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/>
  <mc:AlternateContent xmlns:mc="http://schemas.openxmlformats.org/markup-compatibility/2006">
    <mc:Choice Requires="x15">
      <x15ac:absPath xmlns:x15ac="http://schemas.microsoft.com/office/spreadsheetml/2010/11/ac" url="https://bcgcloudeur-my.sharepoint.com/personal/samson_maurice_bcg_com/Documents/Desktop/bom data auto/"/>
    </mc:Choice>
  </mc:AlternateContent>
  <xr:revisionPtr revIDLastSave="1" documentId="11_A6BCE4D5F9A089156C0E3D0C67299BBC0CFFD53A" xr6:coauthVersionLast="47" xr6:coauthVersionMax="47" xr10:uidLastSave="{D54AC70E-EF24-A743-A110-223F94349A5A}"/>
  <bookViews>
    <workbookView xWindow="240" yWindow="660" windowWidth="14940" windowHeight="9220" xr2:uid="{00000000-000D-0000-FFFF-FFFF00000000}"/>
  </bookViews>
  <sheets>
    <sheet name="Project summary" sheetId="1" r:id="rId1"/>
    <sheet name="Hierarchy" sheetId="2" r:id="rId2"/>
    <sheet name="Parts" sheetId="3" r:id="rId3"/>
    <sheet name="Assemblies" sheetId="4" r:id="rId4"/>
    <sheet name="Equipments" sheetId="5" r:id="rId5"/>
    <sheet name="Processes" sheetId="6" r:id="rId6"/>
    <sheet name="Materials" sheetId="7" r:id="rId7"/>
    <sheet name="Components" sheetId="8" r:id="rId8"/>
    <sheet name="Electronic Components" sheetId="9" r:id="rId9"/>
    <sheet name="Consumables" sheetId="10" r:id="rId10"/>
    <sheet name="Metrics" sheetId="11" r:id="rId11"/>
    <sheet name="Exchange Rates" sheetId="12" r:id="rId12"/>
    <sheet name="Countries" sheetId="13" r:id="rId13"/>
    <sheet name="Calculation Scenarios" sheetId="14" r:id="rId14"/>
    <sheet name="Overhead Setting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4" i="10"/>
  <c r="A9" i="9"/>
  <c r="A8" i="9"/>
  <c r="A7" i="9"/>
  <c r="A6" i="9"/>
  <c r="A5" i="9"/>
  <c r="A4" i="9"/>
  <c r="A3" i="9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1482" i="6"/>
  <c r="A1481" i="6"/>
  <c r="A1480" i="6"/>
  <c r="A1479" i="6"/>
  <c r="A1478" i="6"/>
  <c r="A1477" i="6"/>
  <c r="A1476" i="6"/>
  <c r="A1475" i="6"/>
  <c r="A1474" i="6"/>
  <c r="A1473" i="6"/>
  <c r="A1472" i="6"/>
  <c r="A1471" i="6"/>
  <c r="A1470" i="6"/>
  <c r="A1469" i="6"/>
  <c r="A1468" i="6"/>
  <c r="A1467" i="6"/>
  <c r="A1466" i="6"/>
  <c r="A1465" i="6"/>
  <c r="A1464" i="6"/>
  <c r="A1463" i="6"/>
  <c r="A1462" i="6"/>
  <c r="A1461" i="6"/>
  <c r="A1460" i="6"/>
  <c r="A1459" i="6"/>
  <c r="A1458" i="6"/>
  <c r="A1457" i="6"/>
  <c r="A1456" i="6"/>
  <c r="A1455" i="6"/>
  <c r="A1454" i="6"/>
  <c r="A1453" i="6"/>
  <c r="A1452" i="6"/>
  <c r="A1451" i="6"/>
  <c r="A1450" i="6"/>
  <c r="A1449" i="6"/>
  <c r="A1448" i="6"/>
  <c r="A1447" i="6"/>
  <c r="A1446" i="6"/>
  <c r="A1445" i="6"/>
  <c r="A1444" i="6"/>
  <c r="A1443" i="6"/>
  <c r="A1442" i="6"/>
  <c r="A1441" i="6"/>
  <c r="A1440" i="6"/>
  <c r="A1439" i="6"/>
  <c r="A1438" i="6"/>
  <c r="A1437" i="6"/>
  <c r="A1436" i="6"/>
  <c r="A1435" i="6"/>
  <c r="A1434" i="6"/>
  <c r="A1433" i="6"/>
  <c r="A1432" i="6"/>
  <c r="A1431" i="6"/>
  <c r="A1430" i="6"/>
  <c r="A1429" i="6"/>
  <c r="A1428" i="6"/>
  <c r="A1427" i="6"/>
  <c r="A1426" i="6"/>
  <c r="A1425" i="6"/>
  <c r="A1424" i="6"/>
  <c r="A1423" i="6"/>
  <c r="A1422" i="6"/>
  <c r="A1421" i="6"/>
  <c r="A1420" i="6"/>
  <c r="A1419" i="6"/>
  <c r="A1418" i="6"/>
  <c r="A1417" i="6"/>
  <c r="A1416" i="6"/>
  <c r="A1415" i="6"/>
  <c r="A1414" i="6"/>
  <c r="A1413" i="6"/>
  <c r="A1412" i="6"/>
  <c r="A1411" i="6"/>
  <c r="A1410" i="6"/>
  <c r="A1409" i="6"/>
  <c r="A1408" i="6"/>
  <c r="A1407" i="6"/>
  <c r="A1406" i="6"/>
  <c r="A1405" i="6"/>
  <c r="A1404" i="6"/>
  <c r="A1403" i="6"/>
  <c r="A1402" i="6"/>
  <c r="A1401" i="6"/>
  <c r="A1400" i="6"/>
  <c r="A1399" i="6"/>
  <c r="A1398" i="6"/>
  <c r="A1397" i="6"/>
  <c r="A1396" i="6"/>
  <c r="A1395" i="6"/>
  <c r="A1394" i="6"/>
  <c r="A1393" i="6"/>
  <c r="A1392" i="6"/>
  <c r="A1391" i="6"/>
  <c r="A1390" i="6"/>
  <c r="A1389" i="6"/>
  <c r="A1388" i="6"/>
  <c r="A1387" i="6"/>
  <c r="A1386" i="6"/>
  <c r="A1385" i="6"/>
  <c r="A1384" i="6"/>
  <c r="A1383" i="6"/>
  <c r="A1382" i="6"/>
  <c r="A1381" i="6"/>
  <c r="A1380" i="6"/>
  <c r="A1379" i="6"/>
  <c r="A1378" i="6"/>
  <c r="A1377" i="6"/>
  <c r="A1376" i="6"/>
  <c r="A1375" i="6"/>
  <c r="A1374" i="6"/>
  <c r="A1373" i="6"/>
  <c r="A1372" i="6"/>
  <c r="A1371" i="6"/>
  <c r="A1370" i="6"/>
  <c r="A1369" i="6"/>
  <c r="A1368" i="6"/>
  <c r="A1367" i="6"/>
  <c r="A1366" i="6"/>
  <c r="A1365" i="6"/>
  <c r="A1364" i="6"/>
  <c r="A1363" i="6"/>
  <c r="A1362" i="6"/>
  <c r="A1361" i="6"/>
  <c r="A1360" i="6"/>
  <c r="A1359" i="6"/>
  <c r="A1358" i="6"/>
  <c r="A1357" i="6"/>
  <c r="A1356" i="6"/>
  <c r="A1355" i="6"/>
  <c r="A1354" i="6"/>
  <c r="A1353" i="6"/>
  <c r="A1352" i="6"/>
  <c r="A1351" i="6"/>
  <c r="A1350" i="6"/>
  <c r="A1349" i="6"/>
  <c r="A1348" i="6"/>
  <c r="A1347" i="6"/>
  <c r="A1346" i="6"/>
  <c r="A1345" i="6"/>
  <c r="A1344" i="6"/>
  <c r="A1343" i="6"/>
  <c r="A1342" i="6"/>
  <c r="A1341" i="6"/>
  <c r="A1340" i="6"/>
  <c r="A1339" i="6"/>
  <c r="A1338" i="6"/>
  <c r="A1337" i="6"/>
  <c r="A1336" i="6"/>
  <c r="A1335" i="6"/>
  <c r="A1334" i="6"/>
  <c r="A1333" i="6"/>
  <c r="A1332" i="6"/>
  <c r="A1331" i="6"/>
  <c r="A1330" i="6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1154" i="6"/>
  <c r="A1153" i="6"/>
  <c r="A1152" i="6"/>
  <c r="A1151" i="6"/>
  <c r="A1150" i="6"/>
  <c r="A1149" i="6"/>
  <c r="A1148" i="6"/>
  <c r="A1147" i="6"/>
  <c r="A1146" i="6"/>
  <c r="A1145" i="6"/>
  <c r="A1144" i="6"/>
  <c r="A1143" i="6"/>
  <c r="A1142" i="6"/>
  <c r="A1141" i="6"/>
  <c r="A1140" i="6"/>
  <c r="A1139" i="6"/>
  <c r="A1138" i="6"/>
  <c r="A1137" i="6"/>
  <c r="A1136" i="6"/>
  <c r="A1135" i="6"/>
  <c r="A1134" i="6"/>
  <c r="A1133" i="6"/>
  <c r="A1132" i="6"/>
  <c r="A1131" i="6"/>
  <c r="A1130" i="6"/>
  <c r="A1129" i="6"/>
  <c r="A1128" i="6"/>
  <c r="A1127" i="6"/>
  <c r="A1126" i="6"/>
  <c r="A1125" i="6"/>
  <c r="A1124" i="6"/>
  <c r="A1123" i="6"/>
  <c r="A1122" i="6"/>
  <c r="A1121" i="6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1108" i="6"/>
  <c r="A1107" i="6"/>
  <c r="A1106" i="6"/>
  <c r="A1105" i="6"/>
  <c r="A1104" i="6"/>
  <c r="A1103" i="6"/>
  <c r="A1102" i="6"/>
  <c r="A1101" i="6"/>
  <c r="A1100" i="6"/>
  <c r="A1099" i="6"/>
  <c r="A1098" i="6"/>
  <c r="A1097" i="6"/>
  <c r="A1096" i="6"/>
  <c r="A1095" i="6"/>
  <c r="A1094" i="6"/>
  <c r="A1093" i="6"/>
  <c r="A1092" i="6"/>
  <c r="A1091" i="6"/>
  <c r="A1090" i="6"/>
  <c r="A1089" i="6"/>
  <c r="A1088" i="6"/>
  <c r="A1087" i="6"/>
  <c r="A1086" i="6"/>
  <c r="A1085" i="6"/>
  <c r="A1084" i="6"/>
  <c r="A1083" i="6"/>
  <c r="A1082" i="6"/>
  <c r="A1081" i="6"/>
  <c r="A1080" i="6"/>
  <c r="A1079" i="6"/>
  <c r="A1078" i="6"/>
  <c r="A1077" i="6"/>
  <c r="A1076" i="6"/>
  <c r="A1075" i="6"/>
  <c r="A1074" i="6"/>
  <c r="A1073" i="6"/>
  <c r="A1072" i="6"/>
  <c r="A1071" i="6"/>
  <c r="A1070" i="6"/>
  <c r="A1069" i="6"/>
  <c r="A1068" i="6"/>
  <c r="A1067" i="6"/>
  <c r="A1066" i="6"/>
  <c r="A1065" i="6"/>
  <c r="A1064" i="6"/>
  <c r="A1063" i="6"/>
  <c r="A1062" i="6"/>
  <c r="A1061" i="6"/>
  <c r="A1060" i="6"/>
  <c r="A1059" i="6"/>
  <c r="A1058" i="6"/>
  <c r="A1057" i="6"/>
  <c r="A1056" i="6"/>
  <c r="A1055" i="6"/>
  <c r="A1054" i="6"/>
  <c r="A1053" i="6"/>
  <c r="A1052" i="6"/>
  <c r="A1051" i="6"/>
  <c r="A1050" i="6"/>
  <c r="A1049" i="6"/>
  <c r="A1048" i="6"/>
  <c r="A1047" i="6"/>
  <c r="A1046" i="6"/>
  <c r="A1045" i="6"/>
  <c r="A1044" i="6"/>
  <c r="A1043" i="6"/>
  <c r="A1042" i="6"/>
  <c r="A1041" i="6"/>
  <c r="A1040" i="6"/>
  <c r="A1039" i="6"/>
  <c r="A1038" i="6"/>
  <c r="A1037" i="6"/>
  <c r="A1036" i="6"/>
  <c r="A1035" i="6"/>
  <c r="A1034" i="6"/>
  <c r="A1033" i="6"/>
  <c r="A1032" i="6"/>
  <c r="A1031" i="6"/>
  <c r="A1030" i="6"/>
  <c r="A1029" i="6"/>
  <c r="A1028" i="6"/>
  <c r="A1027" i="6"/>
  <c r="A1026" i="6"/>
  <c r="A1025" i="6"/>
  <c r="A1024" i="6"/>
  <c r="A1023" i="6"/>
  <c r="A1022" i="6"/>
  <c r="A1021" i="6"/>
  <c r="A1020" i="6"/>
  <c r="A1019" i="6"/>
  <c r="A1018" i="6"/>
  <c r="A1017" i="6"/>
  <c r="A1016" i="6"/>
  <c r="A1015" i="6"/>
  <c r="A1014" i="6"/>
  <c r="A1013" i="6"/>
  <c r="A1012" i="6"/>
  <c r="A1011" i="6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<sst xmlns="http://schemas.openxmlformats.org/spreadsheetml/2006/main" count="98577" uniqueCount="8897">
  <si>
    <t>Id</t>
  </si>
  <si>
    <t>ParentId</t>
  </si>
  <si>
    <t>Type</t>
  </si>
  <si>
    <t>ParentType</t>
  </si>
  <si>
    <t>Name</t>
  </si>
  <si>
    <t>Hierarchy</t>
  </si>
  <si>
    <t>Project</t>
  </si>
  <si>
    <t>NotSet</t>
  </si>
  <si>
    <t>Assembly</t>
  </si>
  <si>
    <t/>
  </si>
  <si>
    <t>Part</t>
  </si>
  <si>
    <t>Fluids</t>
  </si>
  <si>
    <t>ID</t>
  </si>
  <si>
    <t>Parent Assembly ID</t>
  </si>
  <si>
    <t>Description</t>
  </si>
  <si>
    <t>Costs summary</t>
  </si>
  <si>
    <t>Materials cost (€)</t>
  </si>
  <si>
    <t>Components cost (€)</t>
  </si>
  <si>
    <t>Consumables cost (€)</t>
  </si>
  <si>
    <t>Material scrap (€)</t>
  </si>
  <si>
    <t>Material overhead (€)</t>
  </si>
  <si>
    <t>Total material cost (€)</t>
  </si>
  <si>
    <t>Material</t>
  </si>
  <si>
    <t>Assembly overhead (€)</t>
  </si>
  <si>
    <t>Total production cost (€)</t>
  </si>
  <si>
    <t>Production</t>
  </si>
  <si>
    <t>Manufacturing</t>
  </si>
  <si>
    <t>Manufacturing cost (€)</t>
  </si>
  <si>
    <t>Material Margin (€)</t>
  </si>
  <si>
    <t>Production margin (€)</t>
  </si>
  <si>
    <t>General overhead (€)</t>
  </si>
  <si>
    <t>Packaging cost (€)</t>
  </si>
  <si>
    <t>Transport cost (€)</t>
  </si>
  <si>
    <t>Overhead and profit</t>
  </si>
  <si>
    <t>Totals</t>
  </si>
  <si>
    <t>Total Cost (€)</t>
  </si>
  <si>
    <t>Co2 emissions summary</t>
  </si>
  <si>
    <t>Material CO2 (kgCO2e)</t>
  </si>
  <si>
    <t>Consumable CO2 (kgCO2e)</t>
  </si>
  <si>
    <t>Component CO2 (kgCO2e)</t>
  </si>
  <si>
    <t>Equipment CO2 (kgCO2e)</t>
  </si>
  <si>
    <t>Total CO2 footprint (kgCO2e)</t>
  </si>
  <si>
    <t>Overview</t>
  </si>
  <si>
    <t>Length (mm)</t>
  </si>
  <si>
    <t>Width (mm)</t>
  </si>
  <si>
    <t>Height (mm)</t>
  </si>
  <si>
    <t>Thickness (mm)</t>
  </si>
  <si>
    <t>Weight (kg)</t>
  </si>
  <si>
    <t>Details part summary</t>
  </si>
  <si>
    <t>Manufacturer</t>
  </si>
  <si>
    <t>Overhead settings</t>
  </si>
  <si>
    <t>Additional cost remarks</t>
  </si>
  <si>
    <t>Calculated total volume (qty/year)</t>
  </si>
  <si>
    <t>Add overhead and profit</t>
  </si>
  <si>
    <t>Quantity top (pcs)</t>
  </si>
  <si>
    <t>Quantity bottom (pcs)</t>
  </si>
  <si>
    <t>Calculated batch size</t>
  </si>
  <si>
    <t>Linked nodes</t>
  </si>
  <si>
    <t>Country</t>
  </si>
  <si>
    <t>Remarks</t>
  </si>
  <si>
    <t>Supplier description</t>
  </si>
  <si>
    <t>Payment terms</t>
  </si>
  <si>
    <t>Target price (€)</t>
  </si>
  <si>
    <t>Entity status</t>
  </si>
  <si>
    <t>Additional</t>
  </si>
  <si>
    <t>Components overhead (€)</t>
  </si>
  <si>
    <t>Consumables overhead (€)</t>
  </si>
  <si>
    <t>Part number</t>
  </si>
  <si>
    <t>Estimated cost (€)</t>
  </si>
  <si>
    <t>Estimated CO₂ footprint (kgCO2e)</t>
  </si>
  <si>
    <t>Functional tag</t>
  </si>
  <si>
    <t>0 %</t>
  </si>
  <si>
    <t>NO MOH/SCRAP/OH/PROFIT</t>
  </si>
  <si>
    <t>No</t>
  </si>
  <si>
    <t>00000004992XEU01 (AutoReverse)</t>
  </si>
  <si>
    <t>China</t>
  </si>
  <si>
    <t>Done</t>
  </si>
  <si>
    <t>00000000SSCUEU01 (AutoReverse)</t>
  </si>
  <si>
    <t>R134A</t>
  </si>
  <si>
    <t>00000009R3DZEU01 (AutoReverse)</t>
  </si>
  <si>
    <t>000000058EITEU01 (AutoReverse)</t>
  </si>
  <si>
    <t>00000007LLW1EU01 (AutoReverse)</t>
  </si>
  <si>
    <t>0000000A6LMBEU01 (AutoReverse)</t>
  </si>
  <si>
    <t>Parent Project ID</t>
  </si>
  <si>
    <t>Quantity top</t>
  </si>
  <si>
    <t>Quantity bottom</t>
  </si>
  <si>
    <t>Electronic component CO2 (kgCO2e)</t>
  </si>
  <si>
    <t>Pcb part CO2 (kgCO2e)</t>
  </si>
  <si>
    <t>Details assembly summary</t>
  </si>
  <si>
    <t>Is PCBA</t>
  </si>
  <si>
    <t>0.000000 %</t>
  </si>
  <si>
    <t>0000000462NGEU01 (AutoReverse)</t>
  </si>
  <si>
    <t>Pedals System</t>
  </si>
  <si>
    <t>Pedals System &gt; Brake Pedal</t>
  </si>
  <si>
    <t>Steel Sheet, Paint, Tube;Stamping, Cutting, Welding, Coating</t>
  </si>
  <si>
    <t>PTR - [Purchased] Assembly</t>
  </si>
  <si>
    <t>STEEL</t>
  </si>
  <si>
    <t>Yes</t>
  </si>
  <si>
    <t>00000000QD0NEU01 (AutoReverse)</t>
  </si>
  <si>
    <t>PVC;Injection molding</t>
  </si>
  <si>
    <t>PTR - [Purchased] Mechanical Prod</t>
  </si>
  <si>
    <t>PVC</t>
  </si>
  <si>
    <t>A0000013RRZAEU02 (AutoReverse)</t>
  </si>
  <si>
    <t>Aluminum Sheet;Stamping</t>
  </si>
  <si>
    <t>ALUMINIUM</t>
  </si>
  <si>
    <t>A0000013TIPJEU02 (AutoReverse)</t>
  </si>
  <si>
    <t>PA6-GF30, Inserts;Injection Molding, Press-in</t>
  </si>
  <si>
    <t>Part (default)</t>
  </si>
  <si>
    <t>4 inserts 0.36€</t>
  </si>
  <si>
    <t>00000008IG1YEU01 (AutoReverse)</t>
  </si>
  <si>
    <t>ELECTRONIC COMPONENT;POM;PA66</t>
  </si>
  <si>
    <t>00000006SP06EU01 (AutoReverse)</t>
  </si>
  <si>
    <t>PA</t>
  </si>
  <si>
    <t>000000056DV4EU01 (AutoReverse)</t>
  </si>
  <si>
    <t>Process</t>
  </si>
  <si>
    <t>Parent process ID</t>
  </si>
  <si>
    <t>Manufacturing year</t>
  </si>
  <si>
    <t>Technology</t>
  </si>
  <si>
    <t>Fixed cost (€)</t>
  </si>
  <si>
    <t>Fixed CO₂ cost (kgCO₂e)</t>
  </si>
  <si>
    <t>Variable cost (€)</t>
  </si>
  <si>
    <t>Hourly rate tooling (€/h)</t>
  </si>
  <si>
    <t>Hourly rate (€/h)</t>
  </si>
  <si>
    <t>Hourly CO₂ footprint (kgCO₂e)</t>
  </si>
  <si>
    <t>Equipment cost (€)</t>
  </si>
  <si>
    <t>Labor cost (€)</t>
  </si>
  <si>
    <t>Setup cost (€)</t>
  </si>
  <si>
    <t>Total investment (€)</t>
  </si>
  <si>
    <t>Tool investment (€)</t>
  </si>
  <si>
    <t>Number of uses (qty)</t>
  </si>
  <si>
    <t>Investment remarks</t>
  </si>
  <si>
    <t>Setup time (s)</t>
  </si>
  <si>
    <t>Depreciation time (years)</t>
  </si>
  <si>
    <t>Utilization (%)</t>
  </si>
  <si>
    <t>Maintenance rate (1-shift) (%)</t>
  </si>
  <si>
    <t>Maintenance rate (2-shift) (%)</t>
  </si>
  <si>
    <t>Maintenance rate (3-shift) (%)</t>
  </si>
  <si>
    <t>Invest and setup</t>
  </si>
  <si>
    <t>Number of engineer operators</t>
  </si>
  <si>
    <t>Number of low skilled operators</t>
  </si>
  <si>
    <t>Number of skilled operators</t>
  </si>
  <si>
    <t>Number of technician operators</t>
  </si>
  <si>
    <t>Number of unskilled operators</t>
  </si>
  <si>
    <t>Number of engineer operators for setup</t>
  </si>
  <si>
    <t>Number of low skilled operators for setup</t>
  </si>
  <si>
    <t>Number of skilled operators for setup</t>
  </si>
  <si>
    <t>Number of technician operators for setup</t>
  </si>
  <si>
    <t>Number of unskilled operators for setup</t>
  </si>
  <si>
    <t>Labor</t>
  </si>
  <si>
    <t>Average energy consumption ratio (%)</t>
  </si>
  <si>
    <t>Electrical power consumption (Kw)</t>
  </si>
  <si>
    <t>Gas consumption (m³/h)</t>
  </si>
  <si>
    <t>Technical gas consumption (m³/h)</t>
  </si>
  <si>
    <t>Oil consumption (L/h)</t>
  </si>
  <si>
    <t>Air consumption (m³/h)</t>
  </si>
  <si>
    <t>Heating oil consumption (m³/h)</t>
  </si>
  <si>
    <t>Water consumption (m³/h)</t>
  </si>
  <si>
    <t>Total workspace area (m²)</t>
  </si>
  <si>
    <t>Consumable cost (€/h)</t>
  </si>
  <si>
    <t>Resource consumption</t>
  </si>
  <si>
    <t>CO₂ capex (kgCO₂e)</t>
  </si>
  <si>
    <t>CO₂ footprint</t>
  </si>
  <si>
    <t>Not set</t>
  </si>
  <si>
    <t>Equipment</t>
  </si>
  <si>
    <t>Pedals System &gt; Brake Pedal &gt; Process</t>
  </si>
  <si>
    <t>Parent line item ID</t>
  </si>
  <si>
    <t>CO2 emissions summary</t>
  </si>
  <si>
    <t>Details process summary</t>
  </si>
  <si>
    <t>Cycle time (s)</t>
  </si>
  <si>
    <t>Parts per cycle</t>
  </si>
  <si>
    <t>Reject ratio (%)</t>
  </si>
  <si>
    <t>Accumulated reject ratio (%)</t>
  </si>
  <si>
    <t>Calculated total process setup time (s)</t>
  </si>
  <si>
    <t>Unit count</t>
  </si>
  <si>
    <t>Setups per batch</t>
  </si>
  <si>
    <t>Brake Pedal Assembly + Functional Test + packaging</t>
  </si>
  <si>
    <t>3.500000 %</t>
  </si>
  <si>
    <t>6.000000 %</t>
  </si>
  <si>
    <t>12.000000 %</t>
  </si>
  <si>
    <t>Assembly (default)</t>
  </si>
  <si>
    <t>00000004ZTQ8EU01 (AutoReverse)</t>
  </si>
  <si>
    <t>Pedals System &gt; Accelerator Pedal</t>
  </si>
  <si>
    <t>Plastic, Aluminum Sheet, Electronics;Multiple, complex assy</t>
  </si>
  <si>
    <t>ELECTRONIC COMPONENT;PA6</t>
  </si>
  <si>
    <t>000000055SXQEU01 (AutoReverse)</t>
  </si>
  <si>
    <t>Folder</t>
  </si>
  <si>
    <t>00000000MZAPEU01 (AutoReverse)</t>
  </si>
  <si>
    <t>00000004CYRSEU01 (AutoReverse)</t>
  </si>
  <si>
    <t>Air Conditioning System</t>
  </si>
  <si>
    <t>Air Conditioning System &gt; Receiver-Drier System / Accumulator</t>
  </si>
  <si>
    <t>00000007A3ISEU01 (AutoReverse)</t>
  </si>
  <si>
    <t>00000004SHV5EU01 (AutoReverse)</t>
  </si>
  <si>
    <t>Air Conditioning System &gt; Condenser Support</t>
  </si>
  <si>
    <t>00000003JJAHEU01 (AutoReverse)</t>
  </si>
  <si>
    <t>00000009S85BEU01 (AutoReverse)</t>
  </si>
  <si>
    <t>Air Conditioning System &gt; AC Line</t>
  </si>
  <si>
    <t>Air Conditioning System &gt; AC Line &gt; High Pressure AC Lines</t>
  </si>
  <si>
    <t>00000005MD09EU01 (AutoReverse)</t>
  </si>
  <si>
    <t>00000001ZGE7EU01 (AutoReverse)</t>
  </si>
  <si>
    <t>00000005P499EU01 (AutoReverse)</t>
  </si>
  <si>
    <t>000000032ORBEU01 (AutoReverse)</t>
  </si>
  <si>
    <t>00000003P3NXEU01 (AutoReverse)</t>
  </si>
  <si>
    <t>Air Conditioning System &gt; AC Line &gt; Low Pressure AC Lines</t>
  </si>
  <si>
    <t>00000006928EEU01 (AutoReverse)</t>
  </si>
  <si>
    <t>00000005AN75EU01 (AutoReverse)</t>
  </si>
  <si>
    <t>A000003G3TBQEU01 (AutoReverse)</t>
  </si>
  <si>
    <t>A000003G9HCSEU01 (AutoReverse)</t>
  </si>
  <si>
    <t>00000003GAA8EU01 (AutoReverse)</t>
  </si>
  <si>
    <t>0000000AIY9IEU01 (AutoReverse)</t>
  </si>
  <si>
    <t>Air Conditioning System &gt; AC Line Support</t>
  </si>
  <si>
    <t>steel; stamping</t>
  </si>
  <si>
    <t>00000006FBP2EU01 (AutoReverse)</t>
  </si>
  <si>
    <t>000000077QLSEU01 (AutoReverse)</t>
  </si>
  <si>
    <t>00000002A05WEU01 (AutoReverse)</t>
  </si>
  <si>
    <t>Air Conditioning System &gt; Valve System</t>
  </si>
  <si>
    <t>00000001PMRWEU01 (AutoReverse)</t>
  </si>
  <si>
    <t>00000006VDHMEU01 (AutoReverse)</t>
  </si>
  <si>
    <t>000000057M18EU01 (AutoReverse)</t>
  </si>
  <si>
    <t>00000002CKUYEU01 (AutoReverse)</t>
  </si>
  <si>
    <t>00000008506AEU01 (AutoReverse)</t>
  </si>
  <si>
    <t>00000009I6RVEU01 (AutoReverse)</t>
  </si>
  <si>
    <t>00000000E0VAEU01 (AutoReverse)</t>
  </si>
  <si>
    <t>000000059M9JEU01 (AutoReverse)</t>
  </si>
  <si>
    <t>00000009IH27EU01 (AutoReverse)</t>
  </si>
  <si>
    <t>0000000292WREU01 (AutoReverse)</t>
  </si>
  <si>
    <t>00000005YT8PEU01 (AutoReverse)</t>
  </si>
  <si>
    <t>00000000I4I3EU01 (AutoReverse)</t>
  </si>
  <si>
    <t>00000007FMLFEU01 (AutoReverse)</t>
  </si>
  <si>
    <t>Air Conditioning System &gt; Valve System &gt; Manifold</t>
  </si>
  <si>
    <t>Price €</t>
  </si>
  <si>
    <t>Net quantity (Unit)</t>
  </si>
  <si>
    <t>Yield (%)</t>
  </si>
  <si>
    <t>Gross quantity (Unit)</t>
  </si>
  <si>
    <t>Scrap refund ratio (%)</t>
  </si>
  <si>
    <t>Quantity (pcs)</t>
  </si>
  <si>
    <t>Process loss (%)</t>
  </si>
  <si>
    <t>Material CO₂ footprint (kgCO₂e)</t>
  </si>
  <si>
    <t>Metric</t>
  </si>
  <si>
    <t>Remark</t>
  </si>
  <si>
    <t>Usage</t>
  </si>
  <si>
    <t>Details material summary</t>
  </si>
  <si>
    <t>Scrap refund (€)</t>
  </si>
  <si>
    <t>CO₂ emissions summary</t>
  </si>
  <si>
    <t>Circular CO₂ Footprint (kgCO₂e)</t>
  </si>
  <si>
    <t>Direct Recycling CO₂ Footprint (kgCO₂e)</t>
  </si>
  <si>
    <t>Indirect Recycling CO₂ Footprint (kgCO₂e)</t>
  </si>
  <si>
    <t>Primary Material Footprint (kgCO₂e)</t>
  </si>
  <si>
    <t>Total CO₂ footprint (kgCO₂e)</t>
  </si>
  <si>
    <t>Recycling</t>
  </si>
  <si>
    <t>Direct recycling ratio (%)</t>
  </si>
  <si>
    <t>Indirect recycling ratio (%)</t>
  </si>
  <si>
    <t>Circular material ratio (%)</t>
  </si>
  <si>
    <t>Standard Names</t>
  </si>
  <si>
    <t>United Kingdom</t>
  </si>
  <si>
    <t>Europe</t>
  </si>
  <si>
    <t>United States</t>
  </si>
  <si>
    <t>Other</t>
  </si>
  <si>
    <t>Region Name</t>
  </si>
  <si>
    <t>Package</t>
  </si>
  <si>
    <t>Gross Material Cost (€)</t>
  </si>
  <si>
    <t>2.71600 kg</t>
  </si>
  <si>
    <t>3.395 kg</t>
  </si>
  <si>
    <t>CH</t>
  </si>
  <si>
    <t>Default package</t>
  </si>
  <si>
    <t>Air Conditioning System &gt; Valve System &gt; Manifold &gt; Process</t>
  </si>
  <si>
    <t>semi solid forging, braze welding, electric discharge machining</t>
  </si>
  <si>
    <t>A000000LBB17EU02 (AutoReverse)</t>
  </si>
  <si>
    <t>A000002TOLKIEU01 (AutoReverse)</t>
  </si>
  <si>
    <t>A000002TOLLVEU01 (AutoReverse)</t>
  </si>
  <si>
    <t>A0000056HO42EU01 (AutoReverse)</t>
  </si>
  <si>
    <t>A000000W3EYSEU02 (AutoReverse)</t>
  </si>
  <si>
    <t>000000082W91EU01 (AutoReverse)</t>
  </si>
  <si>
    <t>Part overheads (default)</t>
  </si>
  <si>
    <t>000000033AMVEU01 (AutoReverse)</t>
  </si>
  <si>
    <t>0000000ATRNXEU01 (AutoReverse)</t>
  </si>
  <si>
    <t>0000000AXSOBEU01 (AutoReverse)</t>
  </si>
  <si>
    <t>00000004ZPMBEU01 (AutoReverse)</t>
  </si>
  <si>
    <t>A000000A72A4EU02 (AutoReverse)</t>
  </si>
  <si>
    <t>00000002WNWZEU01 (AutoReverse)</t>
  </si>
  <si>
    <t>0000000ADQQ1EU01 (AutoReverse)</t>
  </si>
  <si>
    <t>00000000JIT9EU01 (AutoReverse)</t>
  </si>
  <si>
    <t>0000000AC1V2EU01 (AutoReverse)</t>
  </si>
  <si>
    <t>Electrical</t>
  </si>
  <si>
    <t>Electrical &gt; Low Voltage Battery</t>
  </si>
  <si>
    <t>Commodity</t>
  </si>
  <si>
    <t>BATTERY COMPONENT;ADC12</t>
  </si>
  <si>
    <t>0000000AXP6OEU01 (AutoReverse)</t>
  </si>
  <si>
    <t>00000004PTIBEU01 (AutoReverse)</t>
  </si>
  <si>
    <t>Electronics - Part (default)</t>
  </si>
  <si>
    <t>EPDM</t>
  </si>
  <si>
    <t>00000006QUEKEU01 (AutoReverse)</t>
  </si>
  <si>
    <t>00000007MGFWEU01 (AutoReverse)</t>
  </si>
  <si>
    <t>ALUMINIUM;STEEL;PLASTIC UNKNOWN</t>
  </si>
  <si>
    <t>00000006GRZIEU01 (AutoReverse)</t>
  </si>
  <si>
    <t>ALUMINIUM;PLASTIC UNKNOWN</t>
  </si>
  <si>
    <t>00000009BTYAEU01 (AutoReverse)</t>
  </si>
  <si>
    <t>00000006GHIDEU01 (AutoReverse)</t>
  </si>
  <si>
    <t>00000009CCQ7EU01 (AutoReverse)</t>
  </si>
  <si>
    <t>CO2 footprint per quantity (kgCO2e)</t>
  </si>
  <si>
    <t>Price (€)</t>
  </si>
  <si>
    <t>Manufacturer name</t>
  </si>
  <si>
    <t>Unit count top</t>
  </si>
  <si>
    <t>General</t>
  </si>
  <si>
    <t>Unit count bottom</t>
  </si>
  <si>
    <t>Details component summary</t>
  </si>
  <si>
    <t>Total CO₂ (kgCO₂e)</t>
  </si>
  <si>
    <t>Total cost (€)</t>
  </si>
  <si>
    <t>Parent assembly ID</t>
  </si>
  <si>
    <t>Parent part ID</t>
  </si>
  <si>
    <t>Parent raw part ID</t>
  </si>
  <si>
    <t>Other Metal Fasteners (GCDB_01_00033)</t>
  </si>
  <si>
    <t>Component</t>
  </si>
  <si>
    <t>Screws (GCDB_01_00338)</t>
  </si>
  <si>
    <t>00000002NHXFEU01 (AutoReverse)</t>
  </si>
  <si>
    <t>Electrical &gt; Wiring</t>
  </si>
  <si>
    <t>Electrical &gt; Wiring &gt; Body Wiring Harness</t>
  </si>
  <si>
    <t>To review</t>
  </si>
  <si>
    <t>Electrical &gt; Wiring &gt; Body Wiring Harness &gt; Process</t>
  </si>
  <si>
    <t>Cut,crimp assembly ,labeling and packaging</t>
  </si>
  <si>
    <t>Including Connectors, Wire insulation, other material</t>
  </si>
  <si>
    <t>Wireharness Material</t>
  </si>
  <si>
    <t>Material: copper. Process: assembly.</t>
  </si>
  <si>
    <t>10.000000 %</t>
  </si>
  <si>
    <t>Wire Harness</t>
  </si>
  <si>
    <t>000000038S60EU01 (AutoReverse)</t>
  </si>
  <si>
    <t>Electrical &gt; Wiring &gt; Instrument Panel Harness</t>
  </si>
  <si>
    <t>Electrical &gt; Wiring &gt; Instrument Panel Harness &gt; Process</t>
  </si>
  <si>
    <t>00000004J222EU01 (AutoReverse)</t>
  </si>
  <si>
    <t>Electrical &gt; Wiring &gt; Wiring on Front Module</t>
  </si>
  <si>
    <t>Electrical &gt; Wiring &gt; Wiring on Front Module &gt; Process</t>
  </si>
  <si>
    <t>00000006MLISEU01 (AutoReverse)</t>
  </si>
  <si>
    <t>Electrical &gt; Wiring &gt; Center Console Wiring</t>
  </si>
  <si>
    <t>Electrical &gt; Wiring &gt; Center Console Wiring &gt; Process</t>
  </si>
  <si>
    <t>000000011G00EU01 (AutoReverse)</t>
  </si>
  <si>
    <t>Electrical &gt; Wiring &gt; Headliner Harness</t>
  </si>
  <si>
    <t>Electrical &gt; Wiring &gt; Headliner Harness &gt; Process</t>
  </si>
  <si>
    <t>00000003RUYDEU01 (AutoReverse)</t>
  </si>
  <si>
    <t>Electrical &gt; Wiring &gt; Steering Wheel Harness</t>
  </si>
  <si>
    <t>Electrical &gt; Wiring &gt; Steering Wheel Harness &gt; Process</t>
  </si>
  <si>
    <t>000000055KNSEU01 (AutoReverse)</t>
  </si>
  <si>
    <t>Electrical &gt; Wiring &gt; 2nd Steering Wheel Harness</t>
  </si>
  <si>
    <t>Electrical &gt; Wiring &gt; 2nd Steering Wheel Harness &gt; Process</t>
  </si>
  <si>
    <t>00000003QO4WEU01 (AutoReverse)</t>
  </si>
  <si>
    <t>Electrical &gt; Wiring &gt; Rear Axle Harness</t>
  </si>
  <si>
    <t>Electrical &gt; Wiring &gt; Rear Axle Harness &gt; Process</t>
  </si>
  <si>
    <t>00000007169REU01 (AutoReverse)</t>
  </si>
  <si>
    <t>Electrical &gt; Wiring &gt; Blind Spot Radar Camera Harness</t>
  </si>
  <si>
    <t>Electrical &gt; Wiring &gt; Blind Spot Radar Camera Harness &gt; Process</t>
  </si>
  <si>
    <t>00000007H36XEU01 (AutoReverse)</t>
  </si>
  <si>
    <t>Electrical &gt; Wiring &gt; 360 Camera Wire Harness</t>
  </si>
  <si>
    <t>Electrical &gt; Wiring &gt; 360 Camera Wire Harness &gt; Process</t>
  </si>
  <si>
    <t>00000000RIXLEU01 (AutoReverse)</t>
  </si>
  <si>
    <t>Electrical &gt; Wiring &gt; Front compartment wiring</t>
  </si>
  <si>
    <t>Electrical &gt; Wiring &gt; Front compartment wiring &gt; Process</t>
  </si>
  <si>
    <t>00000009QHT3EU01 (AutoReverse)</t>
  </si>
  <si>
    <t>00000003A5C7EU01 (AutoReverse)</t>
  </si>
  <si>
    <t>Electrical &gt; ECU Electronic Control Unit</t>
  </si>
  <si>
    <t>Electrical &gt; ECU Electronic Control Unit &gt; Hands Off Detection ECU</t>
  </si>
  <si>
    <t>100 seconds of cycle time = 1€ of process costs in China, 2024, 100k yearly volume</t>
  </si>
  <si>
    <t>Electrical &gt; ECU Electronic Control Unit &gt; Hands Off Detection ECU &gt; Process</t>
  </si>
  <si>
    <t>PCB Assembly + Final Assembly + Functional Test + Handling/Packaging</t>
  </si>
  <si>
    <t>Housing Parts + Trims</t>
  </si>
  <si>
    <t>EE - Mechanics</t>
  </si>
  <si>
    <t>PCB + All electronics components</t>
  </si>
  <si>
    <t>Electronics</t>
  </si>
  <si>
    <t>Electronics - Assembly (default)</t>
  </si>
  <si>
    <t>A000001D46CVEU02 (AutoReverse)</t>
  </si>
  <si>
    <t>Electrical &gt; ECU Electronic Control Unit &gt; Network ECU BCM</t>
  </si>
  <si>
    <t>Electrical &gt; ECU Electronic Control Unit &gt; Network ECU BCM &gt; Network ECU BCM</t>
  </si>
  <si>
    <t>Electrical &gt; ECU Electronic Control Unit &gt; Network ECU BCM &gt; Network ECU BCM &gt; Process</t>
  </si>
  <si>
    <t>000000057IOQEU01 (AutoReverse)</t>
  </si>
  <si>
    <t>Electrical &gt; ECU Electronic Control Unit &gt; Network ECU BCM &gt; Network ECU 2 BCM</t>
  </si>
  <si>
    <t>Electrical &gt; ECU Electronic Control Unit &gt; Network ECU BCM &gt; Network ECU 2 BCM &gt; Process</t>
  </si>
  <si>
    <t>00000003ZYT8EU01 (AutoReverse)</t>
  </si>
  <si>
    <t>Electrical &gt; ECU Electronic Control Unit &gt; Network ECU BCM &gt; Network ECU 3 BCM</t>
  </si>
  <si>
    <t>Electrical &gt; ECU Electronic Control Unit &gt; Network ECU BCM &gt; Network ECU 3 BCM &gt; Process</t>
  </si>
  <si>
    <t>00000007E6L6EU01 (AutoReverse)</t>
  </si>
  <si>
    <t>Other Metal Fasteners (GCDB_01_00071)</t>
  </si>
  <si>
    <t>Screws (GCDB_01_00662)</t>
  </si>
  <si>
    <t>00000002O363EU01 (AutoReverse)</t>
  </si>
  <si>
    <t>Electrical &gt; ECU Electronic Control Unit &gt; Gateway ECU</t>
  </si>
  <si>
    <t>Electrical &gt; ECU Electronic Control Unit &gt; Gateway ECU &gt; Gateway ECU</t>
  </si>
  <si>
    <t>Electrical &gt; ECU Electronic Control Unit &gt; Gateway ECU &gt; Gateway ECU &gt; Process</t>
  </si>
  <si>
    <t>Housing Parts + Thermal Paste</t>
  </si>
  <si>
    <t>000000019LD8EU01 (AutoReverse)</t>
  </si>
  <si>
    <t>00000005LQC4EU01 (AutoReverse)</t>
  </si>
  <si>
    <t>Electrical &gt; ECU Electronic Control Unit &gt; Trunk Lid   Tailgate Lifting ECU</t>
  </si>
  <si>
    <t>Electrical &gt; ECU Electronic Control Unit &gt; Trunk Lid   Tailgate Lifting ECU &gt; Trunk Lid   Tailgate Lifting ECU</t>
  </si>
  <si>
    <t>Electrical &gt; ECU Electronic Control Unit &gt; Trunk Lid   Tailgate Lifting ECU &gt; Trunk Lid   Tailgate Lifting ECU &gt; Process</t>
  </si>
  <si>
    <t>000000092XQVEU01 (AutoReverse)</t>
  </si>
  <si>
    <t>Other Metal Fasteners (GCDB_01_00038)</t>
  </si>
  <si>
    <t>000000010LZXEU01 (AutoReverse)</t>
  </si>
  <si>
    <t>Electrical &gt; ECU Electronic Control Unit &gt; ADAS ECU</t>
  </si>
  <si>
    <t>Electrical &gt; ECU Electronic Control Unit &gt; ADAS ECU &gt; ADAS ECU</t>
  </si>
  <si>
    <t>Electrical &gt; ECU Electronic Control Unit &gt; ADAS ECU &gt; ADAS ECU &gt; Process</t>
  </si>
  <si>
    <t>Housing Parts + EMI Contact + Thermal Paste</t>
  </si>
  <si>
    <t>00000009GXLNEU01 (AutoReverse)</t>
  </si>
  <si>
    <t>PA12</t>
  </si>
  <si>
    <t>A0000015RIQCEU02 (AutoReverse)</t>
  </si>
  <si>
    <t>PP</t>
  </si>
  <si>
    <t>A0000015RIQFEU02 (AutoReverse)</t>
  </si>
  <si>
    <t>PA12;PA66</t>
  </si>
  <si>
    <t>A0000015RIQDEU02 (AutoReverse)</t>
  </si>
  <si>
    <t>PLASTIC UNKNOWN</t>
  </si>
  <si>
    <t>A0000048EJVUEU01 (AutoReverse)</t>
  </si>
  <si>
    <t>PLASTIC UNKNOWN;STEEL</t>
  </si>
  <si>
    <t>A0000015RIQEEU02 (AutoReverse)</t>
  </si>
  <si>
    <t>00000000FG8OEU01 (AutoReverse)</t>
  </si>
  <si>
    <t>Electrical &gt; ECU Electronic Control Unit &gt; Refrigerated Compartment ECU</t>
  </si>
  <si>
    <t>Electrical &gt; ECU Electronic Control Unit &gt; Refrigerated Compartment ECU &gt; ECU</t>
  </si>
  <si>
    <t>Electrical &gt; ECU Electronic Control Unit &gt; Refrigerated Compartment ECU &gt; ECU &gt; Process</t>
  </si>
  <si>
    <t>A0000000VOSHEU02 (AutoReverse)</t>
  </si>
  <si>
    <t>PC-ABS</t>
  </si>
  <si>
    <t>A0000056HO4CEU01 (AutoReverse)</t>
  </si>
  <si>
    <t>Screws (GCDB_01_00616)</t>
  </si>
  <si>
    <t>Screws (GCDB_01_00575)</t>
  </si>
  <si>
    <t>A0000000VOSXEU02 (AutoReverse)</t>
  </si>
  <si>
    <t>0000000AT6WPEU01 (AutoReverse)</t>
  </si>
  <si>
    <t>00000007ZFDPEU01 (AutoReverse)</t>
  </si>
  <si>
    <t>Electrical &gt; Power cables</t>
  </si>
  <si>
    <t>Electrical &gt; Power cables &gt; Battery Fuses Box Cable</t>
  </si>
  <si>
    <t>Electrical &gt; Power cables &gt; Battery Fuses Box Cable &gt; Process</t>
  </si>
  <si>
    <t>00000004MU5SEU01 (AutoReverse)</t>
  </si>
  <si>
    <t>00000003V4XTEU01 (AutoReverse)</t>
  </si>
  <si>
    <t>Electrical &gt; Ground cable</t>
  </si>
  <si>
    <t>Electrical &gt; Ground cable &gt; Rear Axle Ground Cable</t>
  </si>
  <si>
    <t>Electrical &gt; Ground cable &gt; Rear Axle Ground Cable &gt; Process</t>
  </si>
  <si>
    <t>000000047JNAEU01 (AutoReverse)</t>
  </si>
  <si>
    <t>Electrical &gt; Ground cable &gt; Fuse Box   Relay System Ground Cable</t>
  </si>
  <si>
    <t>Electrical &gt; Ground cable &gt; Fuse Box   Relay System Ground Cable &gt; Process</t>
  </si>
  <si>
    <t>000000AK2KOCEU02 (AutoReverse)</t>
  </si>
  <si>
    <t>Screws (GCDB_01_00661)</t>
  </si>
  <si>
    <t>0000000153A8EU01 (AutoReverse)</t>
  </si>
  <si>
    <t>Electrical &gt; Fuses Box Relay System</t>
  </si>
  <si>
    <t>Electrical &gt; Fuses Box Relay System &gt; Engine compartment fuses relays box system</t>
  </si>
  <si>
    <t>ABS</t>
  </si>
  <si>
    <t>00000005077XEU01 (AutoReverse)</t>
  </si>
  <si>
    <t>Screws (GCDB_01_00657)</t>
  </si>
  <si>
    <t>00000005XE9GEU01 (AutoReverse)</t>
  </si>
  <si>
    <t>00000007I3XQEU01 (AutoReverse)</t>
  </si>
  <si>
    <t>Electrical &gt; Wiring support system</t>
  </si>
  <si>
    <t>Electrical &gt; Wiring support system &gt; Support in rear body</t>
  </si>
  <si>
    <t>0000000A5CDLEU01 (AutoReverse)</t>
  </si>
  <si>
    <t>0000000ALAZ8EU01 (AutoReverse)</t>
  </si>
  <si>
    <t>00000000FNSEEU01 (AutoReverse)</t>
  </si>
  <si>
    <t>Electrical &gt; Wiring support system &gt; Engine compartment support</t>
  </si>
  <si>
    <t>PA6</t>
  </si>
  <si>
    <t>0000000070PEEU01 (AutoReverse)</t>
  </si>
  <si>
    <t>PA66</t>
  </si>
  <si>
    <t>000000068Q3BEU01 (AutoReverse)</t>
  </si>
  <si>
    <t>00000000MJK0EU01 (AutoReverse)</t>
  </si>
  <si>
    <t>00000006VS58EU01 (AutoReverse)</t>
  </si>
  <si>
    <t>000000065K64EU01 (AutoReverse)</t>
  </si>
  <si>
    <t>00000008RWRHEU01 (AutoReverse)</t>
  </si>
  <si>
    <t>0000000AHGGJEU01 (AutoReverse)</t>
  </si>
  <si>
    <t>000000AP1BCAEU02 (AutoReverse)</t>
  </si>
  <si>
    <t>A0000016MXTWEU02 (AutoReverse)</t>
  </si>
  <si>
    <t>00000005NC1AEU01 (AutoReverse)</t>
  </si>
  <si>
    <t>Screws (GCDB_01_00658)</t>
  </si>
  <si>
    <t>00000001U5GHEU01 (AutoReverse)</t>
  </si>
  <si>
    <t>Electrical &gt; Wiring Harness Guide</t>
  </si>
  <si>
    <t>0000000AT681EU01 (AutoReverse)</t>
  </si>
  <si>
    <t>00000001CUDZEU01 (AutoReverse)</t>
  </si>
  <si>
    <t>000000067J88EU01 (AutoReverse)</t>
  </si>
  <si>
    <t>0000000A3JDAEU01 (AutoReverse)</t>
  </si>
  <si>
    <t>Electrical &gt; Accessories Connection System</t>
  </si>
  <si>
    <t>PC-ABS;ELECTRONIC COMPONENT</t>
  </si>
  <si>
    <t>A0000056HO4HEU01 (AutoReverse)</t>
  </si>
  <si>
    <t>VMQ</t>
  </si>
  <si>
    <t>A0000056HO4IEU01 (AutoReverse)</t>
  </si>
  <si>
    <t>A0000056HO4GEU01 (AutoReverse)</t>
  </si>
  <si>
    <t>00000002PL4XEU01 (AutoReverse)</t>
  </si>
  <si>
    <t>00000004UCZ6EU01 (AutoReverse)</t>
  </si>
  <si>
    <t>Suspension</t>
  </si>
  <si>
    <t>Suspension &gt; Shocks absorbers</t>
  </si>
  <si>
    <t>Suspension &gt; Shocks absorbers &gt; Front</t>
  </si>
  <si>
    <t>Suspension &gt; Shocks absorbers &gt; Front &gt; Shock Absorber Complete</t>
  </si>
  <si>
    <t>Suspension &gt; Shocks absorbers &gt; Front &gt; Shock Absorber Complete &gt; Shock Absorber Part</t>
  </si>
  <si>
    <t>1.00000 kg</t>
  </si>
  <si>
    <t>1 kg</t>
  </si>
  <si>
    <t>Suspension &gt; Shocks absorbers &gt; Front &gt; Shock Absorber Complete &gt; Shock Absorber Part &gt; Process</t>
  </si>
  <si>
    <t>Process: Various, molding, forging,..</t>
  </si>
  <si>
    <t>Material: Other &gt; Several components (steel, plastic, electronic component) (99.97%);Elastomers &gt; Other Elastomers (0.03%); Process: Various, molding, forging,..</t>
  </si>
  <si>
    <t>PTR-[Internal] Mechanical Prod</t>
  </si>
  <si>
    <t>Suspension &gt; Shocks absorbers &gt; Front &gt; Shock Absorber Complete &gt; Process</t>
  </si>
  <si>
    <t>multiple, complex assy</t>
  </si>
  <si>
    <t>00000009JVWYEU01 (AutoReverse)</t>
  </si>
  <si>
    <t>Material:  EN AC-AlMg5  ;Process: Forging with in-line testing, T6 Treatment, Dye Penetrant Testing, Machining</t>
  </si>
  <si>
    <t>00000005VJGXEU01 (AutoReverse)</t>
  </si>
  <si>
    <t>A000002Z529WEU01 (AutoReverse)</t>
  </si>
  <si>
    <t>000000084GPDEU01 (AutoReverse)</t>
  </si>
  <si>
    <t>Suspension &gt; Shocks absorbers &gt; Rear</t>
  </si>
  <si>
    <t>Suspension &gt; Shocks absorbers &gt; Rear &gt; Shock Absorber Complete</t>
  </si>
  <si>
    <t>Suspension &gt; Shocks absorbers &gt; Rear &gt; Shock Absorber Complete &gt; Strut Parts</t>
  </si>
  <si>
    <t>Suspension &gt; Shocks absorbers &gt; Rear &gt; Shock Absorber Complete &gt; Strut Parts &gt; Process</t>
  </si>
  <si>
    <t>Tube cuting for puter and pressure tube, steel rod machining, threading, plating for piston rod, D39 sintering for guide</t>
  </si>
  <si>
    <t>Material: &gt;Steel;Aluminium;Electronic component;NR&lt;, Process: Various, complex process</t>
  </si>
  <si>
    <t>000000058AGBEU01 (AutoReverse)</t>
  </si>
  <si>
    <t>Material: TPE ;Process: Elastomer molding</t>
  </si>
  <si>
    <t>00000000MXOXEU01 (AutoReverse)</t>
  </si>
  <si>
    <t>Material: PA6GF30 ;Process: Injection molding</t>
  </si>
  <si>
    <t>00000007KK2PEU01 (AutoReverse)</t>
  </si>
  <si>
    <t>Material: PUR ;Process: Injection molding</t>
  </si>
  <si>
    <t>00000003GQ1FEU01 (AutoReverse)</t>
  </si>
  <si>
    <t>Material: AlMg5 ;Process: Melting, Pressing, Sorue removal, trimming, dim check</t>
  </si>
  <si>
    <t>00000001D4KAEU01 (AutoReverse)</t>
  </si>
  <si>
    <t>Material: ALiSi7Mg, Busshing as commodity ;Process: Die casting line with machining, T5 treatment and anodizing for housing, Forging for inner ring, Press-in station for assembly</t>
  </si>
  <si>
    <t>000000042IVNEU01 (AutoReverse)</t>
  </si>
  <si>
    <t>Material: PP ;Process: Injection molding</t>
  </si>
  <si>
    <t>00000004NNZVEU01 (AutoReverse)</t>
  </si>
  <si>
    <t>Suspension &gt; Shocks absorbers &gt; Rear &gt; Shock Absorber Complete &gt; Process</t>
  </si>
  <si>
    <t>Semi-automated assy with bench test</t>
  </si>
  <si>
    <t>multiple material, complex assy</t>
  </si>
  <si>
    <t>00000008HOEZEU01 (AutoReverse)</t>
  </si>
  <si>
    <t>Suspension &gt; Shocks absorbers &gt; Rear &gt; Coil Spring</t>
  </si>
  <si>
    <t>Suspension &gt; Shocks absorbers &gt; Rear &gt; Coil Spring &gt; Process</t>
  </si>
  <si>
    <t>Process: Injection Molding, Stamping, Spinning, Anodizing, Elastomer Molding, Plastic mountings and slleves welding, Assembly, Helium Leak Test</t>
  </si>
  <si>
    <t xml:space="preserve">Material: PA6.6 GF30/50, AW-6061-T6, TPE, Reinforced rubber sheet, EPDM, Grease </t>
  </si>
  <si>
    <t>00000009DAF9EU01 (AutoReverse)</t>
  </si>
  <si>
    <t>00000002X1OHEU01 (AutoReverse)</t>
  </si>
  <si>
    <t>Suspension &gt; Shocks absorbers &gt; Adjustable Suspension System</t>
  </si>
  <si>
    <t>Suspension &gt; Shocks absorbers &gt; Adjustable Suspension System &gt; Acceleration Sensor</t>
  </si>
  <si>
    <t>0000000A9COTEU01 (AutoReverse)</t>
  </si>
  <si>
    <t>00000001BTUPEU01 (AutoReverse)</t>
  </si>
  <si>
    <t>000000076K4NEU01 (AutoReverse)</t>
  </si>
  <si>
    <t>000000098RNEEU01 (AutoReverse)</t>
  </si>
  <si>
    <t>00000003AOEWEU01 (AutoReverse)</t>
  </si>
  <si>
    <t>Suspension &gt; Shocks absorbers &gt; Adjustable Suspension System &gt; Pipes System</t>
  </si>
  <si>
    <t>Material: Non-Reinforced EPDM hose + Air Fitting ;Process: Cut to Length, Press-fit, Leak Test, Gauging, Packing</t>
  </si>
  <si>
    <t>00000003X28IEU01 (AutoReverse)</t>
  </si>
  <si>
    <t>Material: PA12;Process: Plastic Extrusion / Cutting / Quality Check / Assembl Commodities / Forming</t>
  </si>
  <si>
    <t>00000000C9WREU01 (AutoReverse)</t>
  </si>
  <si>
    <t>000000010WRFEU01 (AutoReverse)</t>
  </si>
  <si>
    <t>00000006VHEKEU01 (AutoReverse)</t>
  </si>
  <si>
    <t>00000008QXB0EU01 (AutoReverse)</t>
  </si>
  <si>
    <t>00000001UJMLEU01 (AutoReverse)</t>
  </si>
  <si>
    <t>00000000UM88EU01 (AutoReverse)</t>
  </si>
  <si>
    <t>A000004R7IOIEU01 (AutoReverse)</t>
  </si>
  <si>
    <t>A000004R7IOJEU01 (AutoReverse)</t>
  </si>
  <si>
    <t>A0000056HO43EU01 (AutoReverse)</t>
  </si>
  <si>
    <t>A0000056HO44EU01 (AutoReverse)</t>
  </si>
  <si>
    <t>00000002T2UUEU01 (AutoReverse)</t>
  </si>
  <si>
    <t>00000008UD2WEU01 (AutoReverse)</t>
  </si>
  <si>
    <t>00000006HX54EU01 (AutoReverse)</t>
  </si>
  <si>
    <t>Material: Steel Sheet, Tubes, Bushings, Steel Ingot ;Process: Progressive &amp; Transfer Stamping, Cold Forming, Cut to Length, Welding, Coating, Press-In</t>
  </si>
  <si>
    <t>0000000AUXLQEU01 (AutoReverse)</t>
  </si>
  <si>
    <t>Suspension &gt; Shocks absorbers &gt; Adjustable Suspension System &gt; Air Bottle</t>
  </si>
  <si>
    <t>Suspension &gt; Shocks absorbers &gt; Adjustable Suspension System &gt; Air Bottle &gt; Process</t>
  </si>
  <si>
    <t>Process: Brackets: Blanking, Stamping / Body: Impact Extrusion, Cut Flange, Punch Hole -&gt; Welding Caps &amp; Brackets, Aging, Assembly of Label, Commodities, Leak Test</t>
  </si>
  <si>
    <t>Material: Alu extruded, alu 6series sheet, Adapter, Voss Connector, Bridgeport Fill Valve</t>
  </si>
  <si>
    <t>0000000AYALWEU01 (AutoReverse)</t>
  </si>
  <si>
    <t>Material: Steel ingot, PA6.6-GF30 ;Process: Overmolding</t>
  </si>
  <si>
    <t>00000001R18UEU01 (AutoReverse)</t>
  </si>
  <si>
    <t>Material: AlSi7Mg, filtering material ;Process: Melting, Casting, Transfer, Shot Blasting/Deburring, Machining, Assembly</t>
  </si>
  <si>
    <t>A000004R7IOHEU01 (AutoReverse)</t>
  </si>
  <si>
    <t>000000008X6TEU01 (AutoReverse)</t>
  </si>
  <si>
    <t>00000002E4VDEU01 (AutoReverse)</t>
  </si>
  <si>
    <t>Suspension &gt; Axles</t>
  </si>
  <si>
    <t>Suspension &gt; Axles &gt; Front Axle</t>
  </si>
  <si>
    <t>Suspension &gt; Axles &gt; Front Axle &gt; K-Frame Reinforcement System</t>
  </si>
  <si>
    <t>Material: Steel Sheet, Cataphoresis Paint ;Process: Blanking, Stamping, Coating</t>
  </si>
  <si>
    <t>00000007WNBPEU01 (AutoReverse)</t>
  </si>
  <si>
    <t>00000007WBUOEU01 (AutoReverse)</t>
  </si>
  <si>
    <t>Material: Steel Tube, Paint ;Process: Cut, Bend, Welding, Coating</t>
  </si>
  <si>
    <t>000000069NHAEU01 (AutoReverse)</t>
  </si>
  <si>
    <t>00000009VFG0EU01 (AutoReverse)</t>
  </si>
  <si>
    <t>Suspension &gt; Axles &gt; Front Axle &gt; Arm Suspension System</t>
  </si>
  <si>
    <t>Suspension &gt; Axles &gt; Front Axle &gt; Arm Suspension System &gt; Upper Triangle</t>
  </si>
  <si>
    <t>Suspension &gt; Axles &gt; Front Axle &gt; Arm Suspension System &gt; Upper Triangle &gt; Upper Left Triangle</t>
  </si>
  <si>
    <t>Suspension &gt; Axles &gt; Front Axle &gt; Arm Suspension System &gt; Upper Triangle &gt; Upper Left Triangle &gt; Process</t>
  </si>
  <si>
    <t>Process: Melting, Transport, Casting, X-ray, Trimming, Blasting, Heat Treatment, Machining, Greasing, Press-in, Assembly, Packaging</t>
  </si>
  <si>
    <t>Material: AlSi7Mg, Bought-IN BJ parts, Bushings ;Process: Melting, Transport, Casting, X-ray, Trimming, Blasting, Heat Treatment, Machining, Greasing, Press-in, Assembly, Packaging</t>
  </si>
  <si>
    <t>A0000034GCPBEU01 (AutoReverse)</t>
  </si>
  <si>
    <t>Suspension &gt; Axles &gt; Front Axle &gt; Arm Suspension System &gt; Upper Triangle &gt; Upper Right Triangle</t>
  </si>
  <si>
    <t>Suspension &gt; Axles &gt; Front Axle &gt; Arm Suspension System &gt; Upper Triangle &gt; Upper Right Triangle &gt; Process</t>
  </si>
  <si>
    <t>A0000034GCPAEU01 (AutoReverse)</t>
  </si>
  <si>
    <t>00000002NM99EU01 (AutoReverse)</t>
  </si>
  <si>
    <t>Suspension &gt; Axles &gt; Front Axle &gt; Arm Suspension System &gt; Lower Arm</t>
  </si>
  <si>
    <t>Suspension &gt; Axles &gt; Front Axle &gt; Arm Suspension System &gt; Lower Arm &gt; Process</t>
  </si>
  <si>
    <t>Process: Billet Heating and Rolling, Forging, Machining, Blasting, Heat Treatment, Marking,Aging, Greasing, Press-in and BJ Assy, Packaging</t>
  </si>
  <si>
    <t>Material: EN AW-Al Si1MgZr, Bought-IN BJ parts, Bushings ;Process: Billet Heating and Rolling, Forging, Machining, Blasting, Heat Treatment, Marking,Aging, Greasing, Press-in and BJ Assy, Packaging</t>
  </si>
  <si>
    <t>00000004ZST6EU01 (AutoReverse)</t>
  </si>
  <si>
    <t>Suspension &gt; Axles &gt; Front Axle &gt; Arm Suspension System &gt; Lower Arm 2</t>
  </si>
  <si>
    <t>Suspension &gt; Axles &gt; Front Axle &gt; Arm Suspension System &gt; Lower Arm 2 &gt; Process</t>
  </si>
  <si>
    <t>A000002Z52AAEU01 (AutoReverse)</t>
  </si>
  <si>
    <t>Suspension &gt; Axles &gt; Front Axle &gt; Arm Suspension System &gt; 2nd Lower Arm (Rear)</t>
  </si>
  <si>
    <t>Suspension &gt; Axles &gt; Front Axle &gt; Arm Suspension System &gt; 2nd Lower Arm (Rear) &gt; Process</t>
  </si>
  <si>
    <t>00000001BBRZEU01 (AutoReverse)</t>
  </si>
  <si>
    <t>Suspension &gt; Axles &gt; Front Axle &gt; Arm Suspension System &gt; 2nd Lower Arm (Rear) 2</t>
  </si>
  <si>
    <t>Suspension &gt; Axles &gt; Front Axle &gt; Arm Suspension System &gt; 2nd Lower Arm (Rear) 2 &gt; Process</t>
  </si>
  <si>
    <t>A000002Z529OEU01 (AutoReverse)</t>
  </si>
  <si>
    <t>0000000A0U3CEU01 (AutoReverse)</t>
  </si>
  <si>
    <t>Suspension &gt; Axles &gt; Front Axle &gt; Stabilizer Bar System</t>
  </si>
  <si>
    <t>Suspension &gt; Axles &gt; Front Axle &gt; Stabilizer Bar System &gt; Stabilizer Link</t>
  </si>
  <si>
    <t>Material: All parts bought-in ;Process: Welding, Coating, BJ mounting, Marking, Packing</t>
  </si>
  <si>
    <t>A000003FIKRNEU01 (AutoReverse)</t>
  </si>
  <si>
    <t>A000003FIKRVEU01 (AutoReverse)</t>
  </si>
  <si>
    <t>00000000VSBEEU01 (AutoReverse)</t>
  </si>
  <si>
    <t>Suspension &gt; Axles &gt; Front Axle &gt; Stabilizer Bar System &gt; Stabilizer Bar</t>
  </si>
  <si>
    <t>Spring steel rod, NBR, Steel Sheet</t>
  </si>
  <si>
    <t>Suspension &gt; Axles &gt; Front Axle &gt; Stabilizer Bar System &gt; Stabilizer Bar &gt; Process</t>
  </si>
  <si>
    <t>Process: Bar: Cutting, Bending, Pressing, Annealing, Blasting, Painting Mounts: Elastomer Molding Brackets: Stamping / Galvanizing</t>
  </si>
  <si>
    <t>Material: Spring steel rod, NBR, Steel Sheet ;Process: Bar: Cutting, Bending, Pressing, Annealing, Blasting, Painting Mounts: Elastomer Molding Brackets: Stamping / Galvanizing</t>
  </si>
  <si>
    <t>00000006F0C7EU01 (AutoReverse)</t>
  </si>
  <si>
    <t>00000004GB7EEU01 (AutoReverse)</t>
  </si>
  <si>
    <t>Suspension &gt; Axles &gt; Front Axle &gt; Steering Knuckle</t>
  </si>
  <si>
    <t>Suspension &gt; Axles &gt; Front Axle &gt; Steering Knuckle &gt; Steering Knuckle</t>
  </si>
  <si>
    <t>Suspension &gt; Axles &gt; Front Axle &gt; Steering Knuckle &gt; Steering Knuckle &gt; Left Steering Knuckle</t>
  </si>
  <si>
    <t>Suspension &gt; Axles &gt; Front Axle &gt; Steering Knuckle &gt; Steering Knuckle &gt; Left Steering Knuckle &gt; Process</t>
  </si>
  <si>
    <t>Process: Melting, Trasnport, Pressing, Sawing, Trimming, X-ray, Shot Blasting, Machining, Dye Penetrant Test, T6 Treatment, Inpection, Cleaning, Packing</t>
  </si>
  <si>
    <t>Material: AlSi7Mg, Guides ;Process: Melting, Trasnport, Pressing, Sawing, Trimming, X-ray, Shot Blasting, Machining, Dye Penetrant Test, T6 Treatment, Inpection, Cleaning, Packing</t>
  </si>
  <si>
    <t>A000002QWMZWEU01 (AutoReverse)</t>
  </si>
  <si>
    <t>Suspension &gt; Axles &gt; Front Axle &gt; Steering Knuckle &gt; Steering Knuckle &gt; Right Steering Knuckle</t>
  </si>
  <si>
    <t>Suspension &gt; Axles &gt; Front Axle &gt; Steering Knuckle &gt; Steering Knuckle &gt; Right Steering Knuckle &gt; Process [2]</t>
  </si>
  <si>
    <t>Material: AlSi7Mg ;Process: Melting, Trasnport, Pressing, Sawing, Trimming, X-ray, Shot Blasting, Machining, Dye Penetrant Test, T6 Treatment, Inpection, Cleaning, Packing</t>
  </si>
  <si>
    <t>A000002QWMZXEU01 (AutoReverse)</t>
  </si>
  <si>
    <t>00000009GUYTEU01 (AutoReverse)</t>
  </si>
  <si>
    <t>Suspension &gt; Axles &gt; Front Axle &gt; Steering Knuckle &gt; Hub and Bearing</t>
  </si>
  <si>
    <t>Suspension &gt; Axles &gt; Front Axle &gt; Steering Knuckle &gt; Hub and Bearing &gt; Process</t>
  </si>
  <si>
    <t>Process: Multiple, complex assy</t>
  </si>
  <si>
    <t>Material: Steel, EPDM  ;Process: Multiple, complex assy</t>
  </si>
  <si>
    <t>0000000AJ202EU01 (AutoReverse)</t>
  </si>
  <si>
    <t>Material: Tube, SBR ;Process: Cut to Length, Overmoldng</t>
  </si>
  <si>
    <t>000000075V68EU01 (AutoReverse)</t>
  </si>
  <si>
    <t>00000001WXUFEU01 (AutoReverse)</t>
  </si>
  <si>
    <t>Suspension &gt; Axles &gt; Front Axle &gt; K-Frame</t>
  </si>
  <si>
    <t>Suspension &gt; Axles &gt; Front Axle &gt; K-Frame &gt; K-Frame Parts</t>
  </si>
  <si>
    <t>Suspension &gt; Axles &gt; Front Axle &gt; K-Frame &gt; K-Frame Parts &gt; Process</t>
  </si>
  <si>
    <t>Process: Progressive &amp; Transfer Stamping, Cold Forming, Cut to Length, Welding, Coating, Press-In</t>
  </si>
  <si>
    <t>Suspension &gt; Axles &gt; Front Axle &gt; K-Frame &gt; Process</t>
  </si>
  <si>
    <t>Loading, Welding, coating, check and pack</t>
  </si>
  <si>
    <t>000000090CWHEU01 (AutoReverse)</t>
  </si>
  <si>
    <t>00000008CE6LEU01 (AutoReverse) ; 00000002AP9VEU01 (Chassis)</t>
  </si>
  <si>
    <t>Suspension &gt; Axles &gt; Rear Axle</t>
  </si>
  <si>
    <t>Suspension &gt; Axles &gt; Rear Axle &gt; K-Frame Fasteners Reinforcements</t>
  </si>
  <si>
    <t>Material: Steel Sheet, Paint ;Process: Stamping, Coating</t>
  </si>
  <si>
    <t>0000000720ZQEU01 (AutoReverse)</t>
  </si>
  <si>
    <t>00000007JVBOEU01 (AutoReverse)</t>
  </si>
  <si>
    <t>Suspension &gt; Axles &gt; Rear Axle &gt; Arm Suspension System</t>
  </si>
  <si>
    <t>Suspension &gt; Axles &gt; Rear Axle &gt; Arm Suspension System &gt; Upper Transversal Arm</t>
  </si>
  <si>
    <t>Material: EN AW-Al Si1MgZr, Bushings ;Process: Billet Heating and Rolling, Forging, Heat Treatment, Penetrant testing, machining, marking, aging, press-in, packaging</t>
  </si>
  <si>
    <t>A0000034GCPGEU01 (AutoReverse)</t>
  </si>
  <si>
    <t>A000002S9JC0EU01 (AutoReverse)</t>
  </si>
  <si>
    <t>0000000A1KZBEU01 (AutoReverse)</t>
  </si>
  <si>
    <t>Suspension &gt; Axles &gt; Rear Axle &gt; Arm Suspension System &gt; Upper Transversal Arm Secondary</t>
  </si>
  <si>
    <t>Material: Steel sheet, Bushing, Paint ;Process: Blanking, Stamping, Painting, Press-In, Packaging</t>
  </si>
  <si>
    <t>A0000034GCPJEU01 (AutoReverse)</t>
  </si>
  <si>
    <t>A0000034GCPKEU01 (AutoReverse)</t>
  </si>
  <si>
    <t>0000000ACPV6EU01 (AutoReverse)</t>
  </si>
  <si>
    <t>Suspension &gt; Axles &gt; Rear Axle &gt; Arm Suspension System &gt; Lower Transversal Arm</t>
  </si>
  <si>
    <t>Material: Steel Sheet, Paint, Bushing, Label ;Process: Blanking, Stamping, Painting, Press-In, Packaging</t>
  </si>
  <si>
    <t>A0000034GCPHEU01 (AutoReverse)</t>
  </si>
  <si>
    <t>A000002S9JCGEU01 (AutoReverse)</t>
  </si>
  <si>
    <t>00000002H7VSEU01 (AutoReverse)</t>
  </si>
  <si>
    <t>Suspension &gt; Axles &gt; Rear Axle &gt; Arm Suspension System &gt; Lower Transversal Arm Secondary</t>
  </si>
  <si>
    <t>Suspension &gt; Axles &gt; Rear Axle &gt; Arm Suspension System &gt; Lower Transversal Arm Secondary &gt; Lower Left Transversal Arm Secondary</t>
  </si>
  <si>
    <t>Suspension &gt; Axles &gt; Rear Axle &gt; Arm Suspension System &gt; Lower Transversal Arm Secondary &gt; Lower Left Transversal Arm Secondary &gt; Process</t>
  </si>
  <si>
    <t>Process: Billet Heating and Rolling, Forging, Heat Treatment, Penetrant testing, machining, marking, aging, press-in, packaging</t>
  </si>
  <si>
    <t>A0000034GCPIEU01 (AutoReverse)</t>
  </si>
  <si>
    <t>Suspension &gt; Axles &gt; Rear Axle &gt; Arm Suspension System &gt; Lower Transversal Arm Secondary &gt; Lower Right Transversal Arm Secondary</t>
  </si>
  <si>
    <t>Suspension &gt; Axles &gt; Rear Axle &gt; Arm Suspension System &gt; Lower Transversal Arm Secondary &gt; Lower Right Transversal Arm Secondary &gt; Process</t>
  </si>
  <si>
    <t>A0000034GCPLEU01 (AutoReverse)</t>
  </si>
  <si>
    <t>000000099WSEEU01 (AutoReverse)</t>
  </si>
  <si>
    <t>00000001U000EU01 (AutoReverse)</t>
  </si>
  <si>
    <t>A0000030Q6PVEU01 (AutoReverse)</t>
  </si>
  <si>
    <t>00000000OWRMEU01 (AutoReverse)</t>
  </si>
  <si>
    <t>Suspension &gt; Axles &gt; Rear Axle &gt; Stabilizer Bar System</t>
  </si>
  <si>
    <t>Suspension &gt; Axles &gt; Rear Axle &gt; Stabilizer Bar System &gt; Stabilizer Link</t>
  </si>
  <si>
    <t>A000003AP88MEU01 (AutoReverse)</t>
  </si>
  <si>
    <t>A000003AP88LEU01 (AutoReverse)</t>
  </si>
  <si>
    <t>00000006S6QLEU01 (AutoReverse)</t>
  </si>
  <si>
    <t>Suspension &gt; Axles &gt; Rear Axle &gt; Stabilizer Bar System &gt; Stabilizer Bar</t>
  </si>
  <si>
    <t>Spring steel rod, NBR</t>
  </si>
  <si>
    <t>Suspension &gt; Axles &gt; Rear Axle &gt; Stabilizer Bar System &gt; Stabilizer Bar &gt; Process</t>
  </si>
  <si>
    <t xml:space="preserve">Process: Bar: Cutting, Bending, Pressing, Annealing, Blasting, Painting Mounts: Elastomer Molding </t>
  </si>
  <si>
    <t xml:space="preserve">Material: Spring steel rod, NBR ;Process: Bar: Cutting, Bending, Pressing, Annealing, Blasting, Painting Mounts: Elastomer Molding </t>
  </si>
  <si>
    <t>00000001J77CEU01 (AutoReverse)</t>
  </si>
  <si>
    <t>Material: Steel Sheet ;Process: Stamping / Galvanizing</t>
  </si>
  <si>
    <t>00000001LGL1EU01 (AutoReverse)</t>
  </si>
  <si>
    <t>000000073WT6EU01 (AutoReverse)</t>
  </si>
  <si>
    <t>Suspension &gt; Axles &gt; Rear Axle &gt; Rear Axle</t>
  </si>
  <si>
    <t>Suspension &gt; Axles &gt; Rear Axle &gt; Rear Axle &gt; Rear Axle Parts</t>
  </si>
  <si>
    <t>Suspension &gt; Axles &gt; Rear Axle &gt; Rear Axle &gt; Rear Axle Parts &gt; Process</t>
  </si>
  <si>
    <t>Process: Progressive Stamping, Blanking, Transfer Stamping, Welding, Coating, Press-In, Inspection Packing</t>
  </si>
  <si>
    <t>Material: Steel Sheet, Tubes, Bushings ;Process: Progressive Stamping, Blanking, Transfer Stamping, Welding, Coating, Press-In, Inspection Packing</t>
  </si>
  <si>
    <t>Suspension &gt; Axles &gt; Rear Axle &gt; Rear Axle &gt; Process</t>
  </si>
  <si>
    <t>00000000EJ88EU01 (AutoReverse)</t>
  </si>
  <si>
    <t>Suspension &gt; Axles &gt; Rear Axle &gt; Bearing Hub</t>
  </si>
  <si>
    <t>Suspension &gt; Axles &gt; Rear Axle &gt; Bearing Hub &gt; Process</t>
  </si>
  <si>
    <t>Material: Steel, Various  ;Process: Multiple, complex assy</t>
  </si>
  <si>
    <t>000000004NJXEU01 (AutoReverse)</t>
  </si>
  <si>
    <t>Suspension &gt; Axles &gt; Rear Axle &gt; Left Knuckle</t>
  </si>
  <si>
    <t>Suspension &gt; Axles &gt; Rear Axle &gt; Left Knuckle &gt; Process</t>
  </si>
  <si>
    <t>Process: Melting, transport, casting, trimming, blasting, x-ray, T6 heat treatment, dye penetrant test, machining, cleaning, dim check, press-ins, maarking, packing</t>
  </si>
  <si>
    <t xml:space="preserve">Material: AlSi7Mg, bushing, BJ parts </t>
  </si>
  <si>
    <t>0000000A04IPEU01 (AutoReverse)</t>
  </si>
  <si>
    <t>Suspension &gt; Axles &gt; Rear Axle &gt; Right Knuckle</t>
  </si>
  <si>
    <t>Suspension &gt; Axles &gt; Rear Axle &gt; Right Knuckle &gt; Process [2]</t>
  </si>
  <si>
    <t>Material: AlSi7Mg, bushing, BJ parts</t>
  </si>
  <si>
    <t>A000002S9JCCEU01 (AutoReverse)</t>
  </si>
  <si>
    <t>00000007YODCEU01 (AutoReverse)</t>
  </si>
  <si>
    <t>00000003J1E1EU01 (AutoReverse)</t>
  </si>
  <si>
    <t>00000004A0W9EU01 (AutoReverse)</t>
  </si>
  <si>
    <t>Suspension &gt; Wheels</t>
  </si>
  <si>
    <t>Suspension &gt; Wheels &gt; Front Wheels</t>
  </si>
  <si>
    <t>Suspension &gt; Wheels &gt; Front Wheels &gt; Rim</t>
  </si>
  <si>
    <t>Suspension &gt; Wheels &gt; Front Wheels &gt; Rim &gt; Process</t>
  </si>
  <si>
    <t>Process: Heating, Casting, Deburring, X-ray, Flow forming, T6, Machining, Grinding/Polishing, Balancing, Helium Leak Test, Painting, Diamond Cutting, Clear paint, Packing</t>
  </si>
  <si>
    <t>Material: AlSi7Mg, Paint</t>
  </si>
  <si>
    <t>00000002H14MEU01 (AutoReverse)</t>
  </si>
  <si>
    <t xml:space="preserve">Material: Model based on market pricing considering price, speed index and NVH/puncture attributes ;Process: </t>
  </si>
  <si>
    <t>00000005XDXHEU01 (AutoReverse)</t>
  </si>
  <si>
    <t>00000007L0RAEU01 (AutoReverse)</t>
  </si>
  <si>
    <t>A000001BJ9UBEU02 (AutoReverse)</t>
  </si>
  <si>
    <t>00000008XGOREU01 (AutoReverse)</t>
  </si>
  <si>
    <t>Suspension &gt; Wheels &gt; Rear Wheels</t>
  </si>
  <si>
    <t>Suspension &gt; Wheels &gt; Rear Wheels &gt; Rim</t>
  </si>
  <si>
    <t>Suspension &gt; Wheels &gt; Rear Wheels &gt; Rim &gt; Process</t>
  </si>
  <si>
    <t>00000002FTWEEU01 (AutoReverse)</t>
  </si>
  <si>
    <t>00000009CMG8EU01 (AutoReverse)</t>
  </si>
  <si>
    <t>00000000KF1PEU01 (AutoReverse)</t>
  </si>
  <si>
    <t>A000001BJ9UCEU02 (AutoReverse)</t>
  </si>
  <si>
    <t>0000000135HQEU01 (AutoReverse)</t>
  </si>
  <si>
    <t>Material: Spring steel, PC-ABS ;Process: 2Kinjection molding (glossy finish), metallization process</t>
  </si>
  <si>
    <t>0000000A4TJQEU01 (AutoReverse)</t>
  </si>
  <si>
    <t>00000002PRP8EU01 (AutoReverse)</t>
  </si>
  <si>
    <t>00000001S4IKEU01 (AutoReverse)</t>
  </si>
  <si>
    <t>Safety System</t>
  </si>
  <si>
    <t>Safety System &gt; Airbags</t>
  </si>
  <si>
    <t>Safety System &gt; Airbags &gt; Airbag Control Unit</t>
  </si>
  <si>
    <t>Safety System &gt; Airbags &gt; Airbag Control Unit &gt; Control Unit</t>
  </si>
  <si>
    <t>Safety System &gt; Airbags &gt; Airbag Control Unit &gt; Control Unit &gt; Process</t>
  </si>
  <si>
    <t>000000039540EU01 (AutoReverse)</t>
  </si>
  <si>
    <t>00000007QBH0EU01 (AutoReverse)</t>
  </si>
  <si>
    <t>Safety System &gt; Airbags &gt; Driver Airbag</t>
  </si>
  <si>
    <t>Safety System &gt; Airbags &gt; Driver Airbag &gt; Airbag Unit</t>
  </si>
  <si>
    <t>Safety System &gt; Airbags &gt; Driver Airbag &gt; Airbag Unit &gt; Bezel</t>
  </si>
  <si>
    <t>Safety System &gt; Airbags &gt; Driver Airbag &gt; Airbag Unit &gt; Bezel &gt; Process</t>
  </si>
  <si>
    <t>2024</t>
  </si>
  <si>
    <t>Injection Molding, Painting</t>
  </si>
  <si>
    <t>Interior - Part (default)</t>
  </si>
  <si>
    <t>00000000OZB3EU01 (AutoReverse)</t>
  </si>
  <si>
    <t>Safety System &gt; Airbags &gt; Driver Airbag &gt; Airbag Unit &gt; Airbag</t>
  </si>
  <si>
    <t>Safety System &gt; Airbags &gt; Driver Airbag &gt; Airbag Unit &gt; Airbag &gt; Process</t>
  </si>
  <si>
    <t>Cushion laying + Cutting + Sewing</t>
  </si>
  <si>
    <t>Reviewed</t>
  </si>
  <si>
    <t>A0000027HKUBEU01 (AutoReverse)</t>
  </si>
  <si>
    <t>Safety System &gt; Airbags &gt; Driver Airbag &gt; Airbag Unit &gt; Airbag Protection</t>
  </si>
  <si>
    <t>Safety System &gt; Airbags &gt; Driver Airbag &gt; Airbag Unit &gt; Airbag Protection &gt; Process</t>
  </si>
  <si>
    <t>PBT</t>
  </si>
  <si>
    <t>A0000028Q0GQEU01 (AutoReverse)</t>
  </si>
  <si>
    <t>Safety System &gt; Airbags &gt; Driver Airbag &gt; Airbag Unit &gt; Airbag Fastener</t>
  </si>
  <si>
    <t>Safety System &gt; Airbags &gt; Driver Airbag &gt; Airbag Unit &gt; Airbag Fastener &gt; Process</t>
  </si>
  <si>
    <t>Stamping</t>
  </si>
  <si>
    <t>Fe;Zn</t>
  </si>
  <si>
    <t>A0000028Q0GREU01 (AutoReverse)</t>
  </si>
  <si>
    <t>Material : Electronic component;Steel</t>
  </si>
  <si>
    <t>ELECTRONIC COMPONENT;STEEL</t>
  </si>
  <si>
    <t>A0000027HKU9EU01 (AutoReverse)</t>
  </si>
  <si>
    <t>Safety System &gt; Airbags &gt; Driver Airbag &gt; Airbag Unit &gt; Airbag Trim</t>
  </si>
  <si>
    <t>Safety System &gt; Airbags &gt; Driver Airbag &gt; Airbag Unit &gt; Airbag Trim &gt; Process</t>
  </si>
  <si>
    <t xml:space="preserve"> Injection Molding, Painting</t>
  </si>
  <si>
    <t>TPO</t>
  </si>
  <si>
    <t>A0000027HKU8EU01 (AutoReverse)</t>
  </si>
  <si>
    <t>Material : Steel;PA6-GF40, Process : Stamping, Injection Molding</t>
  </si>
  <si>
    <t>STEEL;PA6</t>
  </si>
  <si>
    <t>A0000027HKUAEU01 (AutoReverse)</t>
  </si>
  <si>
    <t>Safety System &gt; Airbags &gt; Driver Airbag &gt; Airbag Unit &gt; Logo</t>
  </si>
  <si>
    <t>Safety System &gt; Airbags &gt; Driver Airbag &gt; Airbag Unit &gt; Logo &gt; Process</t>
  </si>
  <si>
    <t xml:space="preserve"> Injection Molding, Chroming</t>
  </si>
  <si>
    <t>A000002BNVU6EU01 (AutoReverse)</t>
  </si>
  <si>
    <t>Safety System &gt; Airbags &gt; Driver Airbag &gt; Airbag Unit &gt; Final Assembly + Inspection</t>
  </si>
  <si>
    <t>Interior - Assembly (default)</t>
  </si>
  <si>
    <t>00000002U0NTEU01 (AutoReverse)</t>
  </si>
  <si>
    <t>00000008LU4HEU01 (AutoReverse)</t>
  </si>
  <si>
    <t>Safety System &gt; Airbags &gt; Passenger Airbag</t>
  </si>
  <si>
    <t>Safety System &gt; Airbags &gt; Passenger Airbag &gt; Airbag Unit</t>
  </si>
  <si>
    <t>Safety System &gt; Airbags &gt; Passenger Airbag &gt; Airbag Unit &gt; Airbag</t>
  </si>
  <si>
    <t>Safety System &gt; Airbags &gt; Passenger Airbag &gt; Airbag Unit &gt; Airbag &gt; Process</t>
  </si>
  <si>
    <t>A0000027HKUEEU01 (AutoReverse)</t>
  </si>
  <si>
    <t>Safety System &gt; Airbags &gt; Passenger Airbag &gt; Airbag Unit &gt; Airbag Fastener</t>
  </si>
  <si>
    <t>Safety System &gt; Airbags &gt; Passenger Airbag &gt; Airbag Unit &gt; Airbag Fastener &gt; Process</t>
  </si>
  <si>
    <t>A0000028Q0GTEU01 (AutoReverse)</t>
  </si>
  <si>
    <t>Safety System &gt; Airbags &gt; Passenger Airbag &gt; Airbag Unit &gt; Airbag Fastener Support</t>
  </si>
  <si>
    <t>0.06100 kg</t>
  </si>
  <si>
    <t>0.0871428571428571428571428571 kg</t>
  </si>
  <si>
    <t>Safety System &gt; Airbags &gt; Passenger Airbag &gt; Airbag Unit &gt; Airbag Fastener Support &gt; Process</t>
  </si>
  <si>
    <t>A000003FSW8OEU01 (AutoReverse)</t>
  </si>
  <si>
    <t>STEEL;ELECTRONIC COMPONENT</t>
  </si>
  <si>
    <t>A0000027HKUFEU01 (AutoReverse)</t>
  </si>
  <si>
    <t>Safety System &gt; Airbags &gt; Passenger Airbag &gt; Airbag Unit &gt; Airbag Support</t>
  </si>
  <si>
    <t>0.36600 kg</t>
  </si>
  <si>
    <t>0.3852631578947368421052631579 kg</t>
  </si>
  <si>
    <t>Safety System &gt; Airbags &gt; Passenger Airbag &gt; Airbag Unit &gt; Airbag Support &gt; Process</t>
  </si>
  <si>
    <t>Injection molding</t>
  </si>
  <si>
    <t>A0000027HKUHEU01 (AutoReverse)</t>
  </si>
  <si>
    <t>Safety System &gt; Airbags &gt; Passenger Airbag &gt; Airbag Unit &gt; Final Assembly + Inspection</t>
  </si>
  <si>
    <t>000000024C6WEU01 (AutoReverse)</t>
  </si>
  <si>
    <t>00000009EBTREU01 (AutoReverse)</t>
  </si>
  <si>
    <t>Safety System &gt; Airbags &gt; Curtains Airbag</t>
  </si>
  <si>
    <t>Safety System &gt; Airbags &gt; Curtains Airbag &gt; Curtain Airbags</t>
  </si>
  <si>
    <t>Safety System &gt; Airbags &gt; Curtains Airbag &gt; Curtain Airbags &gt; Left Airbag System View</t>
  </si>
  <si>
    <t>Safety System &gt; Airbags &gt; Curtains Airbag &gt; Curtain Airbags &gt; Left Airbag System View &gt; Final Assembly + Inspection</t>
  </si>
  <si>
    <t>A000002R5DH7EU01 (AutoReverse)</t>
  </si>
  <si>
    <t>Safety System &gt; Airbags &gt; Curtains Airbag &gt; Curtain Airbags &gt; Left Airbag</t>
  </si>
  <si>
    <t>Safety System &gt; Airbags &gt; Curtains Airbag &gt; Curtain Airbags &gt; Left Airbag &gt; Process</t>
  </si>
  <si>
    <t>TPO;PET</t>
  </si>
  <si>
    <t>A0000028M1VKEU01 (AutoReverse)</t>
  </si>
  <si>
    <t>A0000028M1VLEU01 (AutoReverse)</t>
  </si>
  <si>
    <t>Safety System &gt; Airbags &gt; Curtains Airbag &gt; Curtain Airbags &gt; Left Airbag Cylinder Support</t>
  </si>
  <si>
    <t>Safety System &gt; Airbags &gt; Curtains Airbag &gt; Curtain Airbags &gt; Left Airbag Cylinder Support &gt; Process</t>
  </si>
  <si>
    <t>Fe-Zn</t>
  </si>
  <si>
    <t>A0000028M1VMEU01 (AutoReverse)</t>
  </si>
  <si>
    <t>Safety System &gt; Airbags &gt; Curtains Airbag &gt; Curtain Airbags &gt; Right Airbag System View</t>
  </si>
  <si>
    <t>Safety System &gt; Airbags &gt; Curtains Airbag &gt; Curtain Airbags &gt; Right Airbag System View &gt; Final Assembly + Inspection</t>
  </si>
  <si>
    <t>A000002R5DH9EU01 (AutoReverse)</t>
  </si>
  <si>
    <t>Safety System &gt; Airbags &gt; Curtains Airbag &gt; Curtain Airbags &gt; Right Airbag</t>
  </si>
  <si>
    <t>Safety System &gt; Airbags &gt; Curtains Airbag &gt; Curtain Airbags &gt; Right Airbag &gt; Process</t>
  </si>
  <si>
    <t>PET;TPO</t>
  </si>
  <si>
    <t>A000002R5DH8EU01 (AutoReverse)</t>
  </si>
  <si>
    <t>A000002R5DH5EU01 (AutoReverse)</t>
  </si>
  <si>
    <t>Safety System &gt; Airbags &gt; Curtains Airbag &gt; Curtain Airbags &gt; Right Airbag Cylinder Support</t>
  </si>
  <si>
    <t>Safety System &gt; Airbags &gt; Curtains Airbag &gt; Curtain Airbags &gt; Right Airbag Cylinder Support &gt; Process</t>
  </si>
  <si>
    <t>A000002R5DH6EU01 (AutoReverse)</t>
  </si>
  <si>
    <t>000000027REMEU01 (AutoReverse)</t>
  </si>
  <si>
    <t>0000000822YKEU01 (AutoReverse)</t>
  </si>
  <si>
    <t>Safety System &gt; Airbags &gt; Airbags Sensors</t>
  </si>
  <si>
    <t>PBT;ELECTRONIC COMPONENT</t>
  </si>
  <si>
    <t>00000009FCTUEU01 (AutoReverse)</t>
  </si>
  <si>
    <t>0000000660JBEU01 (AutoReverse)</t>
  </si>
  <si>
    <t>ELECTRONIC COMPONENT;PBT</t>
  </si>
  <si>
    <t>000000007CLQEU01 (AutoReverse)</t>
  </si>
  <si>
    <t>PBT;PBT</t>
  </si>
  <si>
    <t>A000000O9TM6EU02 (AutoReverse)</t>
  </si>
  <si>
    <t>00000000BCBUEU01 (AutoReverse)</t>
  </si>
  <si>
    <t>000000095J44EU01 (AutoReverse)</t>
  </si>
  <si>
    <t>Other Metal Fasteners (GCDB_01_00027)</t>
  </si>
  <si>
    <t>00000000D9M3EU01 (AutoReverse)</t>
  </si>
  <si>
    <t>00000004E6FWEU01 (AutoReverse)</t>
  </si>
  <si>
    <t>Safety System &gt; Seat Belt</t>
  </si>
  <si>
    <t>Safety System &gt; Seat Belt &gt; Seat Belt Front Driver</t>
  </si>
  <si>
    <t>Safety System &gt; Seat Belt &gt; Seat Belt Front Driver &gt; Guide</t>
  </si>
  <si>
    <t>Safety System &gt; Seat Belt &gt; Seat Belt Front Driver &gt; Guide &gt; Upper</t>
  </si>
  <si>
    <t>0.02800 kg</t>
  </si>
  <si>
    <t>0.0294736842105263157894736842 kg</t>
  </si>
  <si>
    <t>Safety System &gt; Seat Belt &gt; Seat Belt Front Driver &gt; Guide &gt; Upper &gt; Process</t>
  </si>
  <si>
    <t>Injection Molding</t>
  </si>
  <si>
    <t>00000004V9STEU01 (AutoReverse)</t>
  </si>
  <si>
    <t>00000006SLVJEU01 (AutoReverse)</t>
  </si>
  <si>
    <t>Safety System &gt; Seat Belt &gt; Seat Belt Front Driver &gt; Safety Belt Complete</t>
  </si>
  <si>
    <t>Safety System &gt; Seat Belt &gt; Seat Belt Front Driver &gt; Safety Belt Complete &gt; Process</t>
  </si>
  <si>
    <t>Material : Plastic, Steel, Pyrotechnic (Electronic component), Webbing,  Process : Injection Molding, Stamping</t>
  </si>
  <si>
    <t>00000003FC6SEU01 (AutoReverse)</t>
  </si>
  <si>
    <t>Safety System &gt; Seat Belt &gt; Seat Belt Front Driver &gt; Belt Lock</t>
  </si>
  <si>
    <t>Safety System &gt; Seat Belt &gt; Seat Belt Front Driver &gt; Belt Lock &gt; Process</t>
  </si>
  <si>
    <t>Material : PP;Electronic component,  Process : Injection Molding, Stamping</t>
  </si>
  <si>
    <t>PP;ELECTRONIC COMPONENT</t>
  </si>
  <si>
    <t>000000032LMREU01 (AutoReverse)</t>
  </si>
  <si>
    <t>0000000913DKEU01 (AutoReverse)</t>
  </si>
  <si>
    <t>Safety System &gt; Seat Belt &gt; Seat Belt Front Passenger</t>
  </si>
  <si>
    <t>Safety System &gt; Seat Belt &gt; Seat Belt Front Passenger &gt; Guide</t>
  </si>
  <si>
    <t>Safety System &gt; Seat Belt &gt; Seat Belt Front Passenger &gt; Guide &gt; Upper</t>
  </si>
  <si>
    <t>Safety System &gt; Seat Belt &gt; Seat Belt Front Passenger &gt; Guide &gt; Upper &gt; Process</t>
  </si>
  <si>
    <t>00000007U380EU01 (AutoReverse)</t>
  </si>
  <si>
    <t>Safety System &gt; Seat Belt &gt; Seat Belt Front Passenger &gt; Guide &gt; Lower</t>
  </si>
  <si>
    <t>0.03800 kg</t>
  </si>
  <si>
    <t>0.076 kg</t>
  </si>
  <si>
    <t>Safety System &gt; Seat Belt &gt; Seat Belt Front Passenger &gt; Guide &gt; Lower &gt; Process</t>
  </si>
  <si>
    <t>00000003J17REU01 (AutoReverse)</t>
  </si>
  <si>
    <t>000000066RD8EU01 (AutoReverse)</t>
  </si>
  <si>
    <t>Safety System &gt; Seat Belt &gt; Seat Belt Front Passenger &gt; Anchor</t>
  </si>
  <si>
    <t>Material : Steel;POM, Process : Injection Molding, Stamping</t>
  </si>
  <si>
    <t>STEEL;POM</t>
  </si>
  <si>
    <t>00000007PEIPEU01 (AutoReverse)</t>
  </si>
  <si>
    <t>Material : Steel, Process : Stamping, cataphoresis</t>
  </si>
  <si>
    <t>00000007IGVNEU01 (AutoReverse)</t>
  </si>
  <si>
    <t>00000007MZWMEU01 (AutoReverse)</t>
  </si>
  <si>
    <t>Material : Steel;PA, Process : Injection Molding, Stamping</t>
  </si>
  <si>
    <t>STEEL;PA</t>
  </si>
  <si>
    <t>0000000A61C0EU01 (AutoReverse)</t>
  </si>
  <si>
    <t>Material : Plastic, Steel, Pyrotechnic (Electronic component), Webbing, Process : Injection Molding, Stamping</t>
  </si>
  <si>
    <t>POM;STEEL;ELECTRONIC COMPONENT</t>
  </si>
  <si>
    <t>0000000211YHEU01 (AutoReverse)</t>
  </si>
  <si>
    <t>Safety System &gt; Seat Belt &gt; Seat Belt Front Passenger &gt; Belt Lock</t>
  </si>
  <si>
    <t>Safety System &gt; Seat Belt &gt; Seat Belt Front Passenger &gt; Belt Lock &gt; Process</t>
  </si>
  <si>
    <t>00000007ZMV8EU01 (AutoReverse)</t>
  </si>
  <si>
    <t>00000009ZBS5EU01 (AutoReverse)</t>
  </si>
  <si>
    <t>Safety System &gt; Seat Belt &gt; Rear Left Seat Belt</t>
  </si>
  <si>
    <t>Safety System &gt; Seat Belt &gt; Rear Left Seat Belt &gt; Belt Guide</t>
  </si>
  <si>
    <t>Safety System &gt; Seat Belt &gt; Rear Left Seat Belt &gt; Belt Guide &gt; Upper</t>
  </si>
  <si>
    <t>Safety System &gt; Seat Belt &gt; Rear Left Seat Belt &gt; Belt Guide &gt; Upper &gt; Process</t>
  </si>
  <si>
    <t>00000001DAWIEU01 (AutoReverse)</t>
  </si>
  <si>
    <t>00000001DBL4EU01 (AutoReverse)</t>
  </si>
  <si>
    <t>Safety System &gt; Seat Belt &gt; Rear Left Seat Belt &gt; Safety Belt Complete</t>
  </si>
  <si>
    <t>Safety System &gt; Seat Belt &gt; Rear Left Seat Belt &gt; Safety Belt Complete &gt; Process</t>
  </si>
  <si>
    <t>Material : Plastic, Steel, Pyrotechnic (Electronic component), Webbing, Process : Stamping, Injection Molding</t>
  </si>
  <si>
    <t>000000053ZHSEU01 (AutoReverse)</t>
  </si>
  <si>
    <t>Safety System &gt; Seat Belt &gt; Rear Left Seat Belt &gt; Belt Lock</t>
  </si>
  <si>
    <t>Safety System &gt; Seat Belt &gt; Rear Left Seat Belt &gt; Belt Lock &gt; Process</t>
  </si>
  <si>
    <t>PP;ELECTRONIC COMPONENT;STEEL</t>
  </si>
  <si>
    <t>000000096P6PEU01 (AutoReverse)</t>
  </si>
  <si>
    <t>00000006Q9HOEU01 (AutoReverse)</t>
  </si>
  <si>
    <t>Safety System &gt; Seat Belt &gt; Rear Central Seat Belt</t>
  </si>
  <si>
    <t>Safety System &gt; Seat Belt &gt; Rear Central Seat Belt &gt; Anchor</t>
  </si>
  <si>
    <t>00000008KETWEU01 (AutoReverse)</t>
  </si>
  <si>
    <t>00000006EGGSEU01 (AutoReverse)</t>
  </si>
  <si>
    <t>00000003O6TKEU01 (AutoReverse)</t>
  </si>
  <si>
    <t>Safety System &gt; Seat Belt &gt; Rear Central Seat Belt &gt; Reel Belt Complete</t>
  </si>
  <si>
    <t>Safety System &gt; Seat Belt &gt; Rear Central Seat Belt &gt; Reel Belt Complete &gt; Process</t>
  </si>
  <si>
    <t>POM;STEEL;PP</t>
  </si>
  <si>
    <t>00000003YKMQEU01 (AutoReverse)</t>
  </si>
  <si>
    <t>PP;STEEL</t>
  </si>
  <si>
    <t>00000004KF85EU01 (AutoReverse)</t>
  </si>
  <si>
    <t>Safety System &gt; Seat Belt &gt; Rear Central Seat Belt &gt; Belt Lock</t>
  </si>
  <si>
    <t>Safety System &gt; Seat Belt &gt; Rear Central Seat Belt &gt; Belt Lock &gt; Process</t>
  </si>
  <si>
    <t>0000000424KJEU01 (AutoReverse)</t>
  </si>
  <si>
    <t>00000001N79IEU01 (AutoReverse)</t>
  </si>
  <si>
    <t>Safety System &gt; Seat Belt &gt; Rear Right Belt</t>
  </si>
  <si>
    <t>Safety System &gt; Seat Belt &gt; Rear Right Belt &gt; Anchor</t>
  </si>
  <si>
    <t>00000000ADMPEU01 (AutoReverse)</t>
  </si>
  <si>
    <t>000000042AVKEU01 (AutoReverse)</t>
  </si>
  <si>
    <t>Safety System &gt; Seat Belt &gt; Rear Right Belt &gt; Belt Guide</t>
  </si>
  <si>
    <t>Safety System &gt; Seat Belt &gt; Rear Right Belt &gt; Belt Guide &gt; Upper</t>
  </si>
  <si>
    <t>Safety System &gt; Seat Belt &gt; Rear Right Belt &gt; Belt Guide &gt; Upper &gt; Process</t>
  </si>
  <si>
    <t>00000003YH9FEU01 (AutoReverse)</t>
  </si>
  <si>
    <t>000000010OC3EU01 (AutoReverse)</t>
  </si>
  <si>
    <t>STEEL;PP</t>
  </si>
  <si>
    <t>0000000AS3ZIEU01 (AutoReverse)</t>
  </si>
  <si>
    <t>Material : Plastic, Steel, Pyrotechnic (Electronic component), Webbing , Process : Stamping, Injection Molding</t>
  </si>
  <si>
    <t>PBT;STEEL;ELECTRONIC COMPONENT</t>
  </si>
  <si>
    <t>00000003ACA4EU01 (AutoReverse)</t>
  </si>
  <si>
    <t>Safety System &gt; Seat Belt &gt; Rear Right Belt &gt; Belt Lock</t>
  </si>
  <si>
    <t>Safety System &gt; Seat Belt &gt; Rear Right Belt &gt; Belt Lock &gt; Process</t>
  </si>
  <si>
    <t>00000008ED03EU01 (AutoReverse)</t>
  </si>
  <si>
    <t>0000000AATN6EU01 (AutoReverse)</t>
  </si>
  <si>
    <t>000000050BHAEU01 (AutoReverse)</t>
  </si>
  <si>
    <t>Safety System &gt; Horn System</t>
  </si>
  <si>
    <t>ELECTRONIC COMPONENT;ABS</t>
  </si>
  <si>
    <t>00000005Q7RVEU01 (AutoReverse)</t>
  </si>
  <si>
    <t>00000007XTPEEU01 (AutoReverse)</t>
  </si>
  <si>
    <t>00000002V46IEU01 (AutoReverse)</t>
  </si>
  <si>
    <t>00000003WMD0EU01 (AutoReverse)</t>
  </si>
  <si>
    <t>Screws (GCDB_01_00333)</t>
  </si>
  <si>
    <t>Screws (GCDB_01_00334)</t>
  </si>
  <si>
    <t>000000085KRMEU01 (AutoReverse)</t>
  </si>
  <si>
    <t>Safety System &gt; Isofix</t>
  </si>
  <si>
    <t>Safety System &gt; Isofix &gt; Top Tether cover</t>
  </si>
  <si>
    <t>0.03200 kg</t>
  </si>
  <si>
    <t>0.0336842105263157894736842105 kg</t>
  </si>
  <si>
    <t>Safety System &gt; Isofix &gt; Top Tether cover &gt; Process</t>
  </si>
  <si>
    <t>Injection Molding, Marking</t>
  </si>
  <si>
    <t>PP-EPDM</t>
  </si>
  <si>
    <t>00000007M32WEU01 (AutoReverse)</t>
  </si>
  <si>
    <t>00000009SS5LEU01 (AutoReverse)</t>
  </si>
  <si>
    <t>Safety System &gt; Active Hood System</t>
  </si>
  <si>
    <t>ELECTRONIC COMPONENT</t>
  </si>
  <si>
    <t>0000000ATZIJEU01 (AutoReverse)</t>
  </si>
  <si>
    <t>00000002HP66EU01 (AutoReverse)</t>
  </si>
  <si>
    <t>00000000RR6SEU01 (AutoReverse)</t>
  </si>
  <si>
    <t>Brakes Mechanism</t>
  </si>
  <si>
    <t>Brakes Mechanism &gt; Master Cylinder</t>
  </si>
  <si>
    <t>Brakes Mechanism &gt; Master Cylinder &gt; Brake Fluid Reservoir System</t>
  </si>
  <si>
    <t>Material: PP ;Process: x2 Injection molding, Ultrasonic welding, Leak Test, Check and Pack</t>
  </si>
  <si>
    <t>1 fastener 0.023€</t>
  </si>
  <si>
    <t>A00000168BZXEU02 (AutoReverse)</t>
  </si>
  <si>
    <t>A00000168BZYEU02 (AutoReverse)</t>
  </si>
  <si>
    <t>Material: PP ;Process: Injection Molding, printing;with Rubber Seal 0,02€</t>
  </si>
  <si>
    <t>A00000168C14EU02 (AutoReverse)</t>
  </si>
  <si>
    <t>A00000168BZWEU02 (AutoReverse)</t>
  </si>
  <si>
    <t>Brakes Mechanism &gt; Master Cylinder &gt; Electric Brake Booster System</t>
  </si>
  <si>
    <t>Material: Various  ;Process: Multiple, complex assy</t>
  </si>
  <si>
    <t>A00000168C17EU02 (AutoReverse)</t>
  </si>
  <si>
    <t>A00000168BZZEU02 (AutoReverse)</t>
  </si>
  <si>
    <t>00000003ECPGEU01 (AutoReverse)</t>
  </si>
  <si>
    <t>00000005561TEU01 (AutoReverse)</t>
  </si>
  <si>
    <t>Brakes Mechanism &gt; ABS System</t>
  </si>
  <si>
    <t>000000005KDLEU01 (AutoReverse)</t>
  </si>
  <si>
    <t>Material: PA66GF40, Steel Inserts ;Process: Injection molding, press-in</t>
  </si>
  <si>
    <t>3 pc 0.18€</t>
  </si>
  <si>
    <t>00000002EHS8EU01 (AutoReverse)</t>
  </si>
  <si>
    <t>000000036HCZEU01 (AutoReverse)</t>
  </si>
  <si>
    <t>Brakes Mechanism &gt; Brake Line System</t>
  </si>
  <si>
    <t>Material: Steel 12L14 Tube, Fittings ;Process: Cut, Deburring, Bending, Fitting Assy, OI, Compression/Bending/Leakage/Dimensional/Functional Tests, Packing</t>
  </si>
  <si>
    <t>fastener 0.01€</t>
  </si>
  <si>
    <t>00000001ZH0KEU01 (AutoReverse)</t>
  </si>
  <si>
    <t>Fastener 0.01€</t>
  </si>
  <si>
    <t>0000000408U9EU01 (AutoReverse)</t>
  </si>
  <si>
    <t>00000003XPM2EU01 (AutoReverse)</t>
  </si>
  <si>
    <t>0000000AA1A9EU01 (AutoReverse)</t>
  </si>
  <si>
    <t>00000003NMBDEU01 (AutoReverse)</t>
  </si>
  <si>
    <t>Fasteners 0.02€</t>
  </si>
  <si>
    <t>00000009MXC4EU01 (AutoReverse)</t>
  </si>
  <si>
    <t>00000000CZE6EU01 (AutoReverse)</t>
  </si>
  <si>
    <t>Fassteners 0.04€</t>
  </si>
  <si>
    <t>00000009XPNZEU01 (AutoReverse)</t>
  </si>
  <si>
    <t>fasteners 0.06€</t>
  </si>
  <si>
    <t>00000001VP76EU01 (AutoReverse)</t>
  </si>
  <si>
    <t>00000001LAA0EU01 (AutoReverse)</t>
  </si>
  <si>
    <t>Brakes Mechanism &gt; Front Brakes</t>
  </si>
  <si>
    <t>Brakes Mechanism &gt; Front Brakes &gt; Disc</t>
  </si>
  <si>
    <t>Brakes Mechanism &gt; Front Brakes &gt; Disc &gt; Left</t>
  </si>
  <si>
    <t>Brakes Mechanism &gt; Front Brakes &gt; Disc &gt; Left &gt; Process</t>
  </si>
  <si>
    <t>Process: Alloying &amp; Melting, Sand Preparation, Core Shooting, Mold Preparation, Pouring, Trimming, Annealing, Blasting, Machining, Hard Coating, Dim Check, Cleaning &amp; Coating, Packing</t>
  </si>
  <si>
    <t>Material: EN-GJS-400-15</t>
  </si>
  <si>
    <t>1 screw 0.06€</t>
  </si>
  <si>
    <t>A0000035PBY3EU01 (AutoReverse)</t>
  </si>
  <si>
    <t>Brakes Mechanism &gt; Front Brakes &gt; Disc &gt; Right</t>
  </si>
  <si>
    <t>Brakes Mechanism &gt; Front Brakes &gt; Disc &gt; Right &gt; Process</t>
  </si>
  <si>
    <t>A0000035PBY4EU01 (AutoReverse)</t>
  </si>
  <si>
    <t>00000002X5HGEU01 (AutoReverse)</t>
  </si>
  <si>
    <t>Brakes Mechanism &gt; Front Brakes &gt; Brake Caliper</t>
  </si>
  <si>
    <t>Brakes Mechanism &gt; Front Brakes &gt; Brake Caliper &gt; Brake Caliper Left Assy</t>
  </si>
  <si>
    <t>Brakes Mechanism &gt; Front Brakes &gt; Brake Caliper &gt; Brake Caliper Left Assy &gt; Brake Pads</t>
  </si>
  <si>
    <t>Material: Steel;Process: Plate: Melting, Casting // Lacquering, Curing, Machining, Assy, Packing</t>
  </si>
  <si>
    <t>2 fasteners 0.16€</t>
  </si>
  <si>
    <t>PTR-NO MOH/SCRAP/OH/PROFIT</t>
  </si>
  <si>
    <t>Brakes Mechanism &gt; Front Brakes &gt; Brake Caliper &gt; Brake Caliper Left Assy &gt; Brake Caliper Left</t>
  </si>
  <si>
    <t>Brakes Mechanism &gt; Front Brakes &gt; Brake Caliper &gt; Brake Caliper Left Assy &gt; Brake Caliper Left &gt; Process</t>
  </si>
  <si>
    <t>Process: Body: Die Casting Line, Blasting, Heat Treatment, Machining, Cleaning, Anodizing, Checking, Marking  // Pistons: Forging, Blasting, Machining, Coating</t>
  </si>
  <si>
    <t>Material: A380, 42CrMo4, Various Commodities ;
Process: Body: Die Casting Line, Blasting, Heat Treatment, Machining,Anodizing// Pistons: Forging, Blasting, Machining, Coating</t>
  </si>
  <si>
    <t>Brakes Mechanism &gt; Front Brakes &gt; Brake Caliper &gt; Brake Caliper Left Assy &gt; Process</t>
  </si>
  <si>
    <t>Final assy &amp; Packaging</t>
  </si>
  <si>
    <t>Material: A3380, 42CrMo4, Various Commodities ;Process: Body: Die Casting Line, Blasting, Heat Treatment, Machining, Anodizing// Pistons: Forging, Blasting, Machining, Coating</t>
  </si>
  <si>
    <t>A000002S27W9EU01 (AutoReverse)</t>
  </si>
  <si>
    <t>Brakes Mechanism &gt; Front Brakes &gt; Brake Caliper &gt; Brake Caliper Right Assy</t>
  </si>
  <si>
    <t>Brakes Mechanism &gt; Front Brakes &gt; Brake Caliper &gt; Brake Caliper Right Assy &gt; Brake Pads</t>
  </si>
  <si>
    <t>0000000181PYEU01 (AutoReverse)</t>
  </si>
  <si>
    <t>000000039XVEEU01 (AutoReverse)</t>
  </si>
  <si>
    <t>00000007LQV2EU01 (AutoReverse)</t>
  </si>
  <si>
    <t>Brakes Mechanism &gt; Front Brakes &gt; Brake Caliper &gt; Brake Caliper Right Assy &gt; Brake Caliper Right</t>
  </si>
  <si>
    <t>Brakes Mechanism &gt; Front Brakes &gt; Brake Caliper &gt; Brake Caliper Right Assy &gt; Brake Caliper Right &gt; Process</t>
  </si>
  <si>
    <t>Material: A380, 42CrMo4, Various Commodities ;Process: Body: Die Casting Line, Blasting, Heat Treatment, Machining,Anodizing// Pistons: Forging, Blasting, Machining, Coating</t>
  </si>
  <si>
    <t>Brakes Mechanism &gt; Front Brakes &gt; Brake Caliper &gt; Brake Caliper Right Assy &gt; Process</t>
  </si>
  <si>
    <t>Material: A380, 42CrMo4, Various Commodities ;Process: Body: Die Casting Line, Blasting, Heat Treatment, Machining, Anodizing// Pistons: Forging, Blasting, Machining, Coating</t>
  </si>
  <si>
    <t>A000002S27WAEU01 (AutoReverse)</t>
  </si>
  <si>
    <t>00000001EP7PEU01 (AutoReverse)</t>
  </si>
  <si>
    <t>Brakes Mechanism &gt; Front Brakes &gt; Backing Plate</t>
  </si>
  <si>
    <t>Material: Aluminum Sheet ;Process: Blanking, Tandem Stamping, Checking and Packing</t>
  </si>
  <si>
    <t>4 fasteners 0.25€</t>
  </si>
  <si>
    <t>A000002S27WGEU01 (AutoReverse)</t>
  </si>
  <si>
    <t>A000002S27WFEU01 (AutoReverse)</t>
  </si>
  <si>
    <t>000000054R8UEU01 (AutoReverse)</t>
  </si>
  <si>
    <t>Brakes Mechanism &gt; Front Brakes &gt; ABS Sensor Support</t>
  </si>
  <si>
    <t>Material: Steel Sheet, Paint ;Process: Progressive Stamping, Coating</t>
  </si>
  <si>
    <t>1 fastener 0.07€</t>
  </si>
  <si>
    <t>00000007HM5BEU01 (AutoReverse)</t>
  </si>
  <si>
    <t>00000002OYPKEU01 (AutoReverse)</t>
  </si>
  <si>
    <t>0000000A93FKEU01 (AutoReverse)</t>
  </si>
  <si>
    <t>000000069VOJEU01 (AutoReverse)</t>
  </si>
  <si>
    <t>0000000AUHG5EU01 (AutoReverse)</t>
  </si>
  <si>
    <t>Material: Reinforced EPDM Hose, 12L14 Tube, Fittings ;Process: cutting, Bending, Assembly &amp; Crimping, Leakage/Dimensional/Pressure Tests, Checking and Packing</t>
  </si>
  <si>
    <t>10 fasteners : 0.29€</t>
  </si>
  <si>
    <t>00000003Z5UAEU01 (AutoReverse)</t>
  </si>
  <si>
    <t>A000000A0HR8EU02 (AutoReverse)</t>
  </si>
  <si>
    <t>00000007MX7QEU01 (AutoReverse)</t>
  </si>
  <si>
    <t>8 clips 0.4€</t>
  </si>
  <si>
    <t>000000019IZFEU01 (AutoReverse)</t>
  </si>
  <si>
    <t>000000060LDREU01 (AutoReverse)</t>
  </si>
  <si>
    <t>Brakes Mechanism &gt; Rear Brakes</t>
  </si>
  <si>
    <t>Brakes Mechanism &gt; Rear Brakes &gt; Disc System</t>
  </si>
  <si>
    <t>Brakes Mechanism &gt; Rear Brakes &gt; Disc System &gt; Brake Caliper</t>
  </si>
  <si>
    <t>Brakes Mechanism &gt; Rear Brakes &gt; Disc System &gt; Brake Caliper &gt; Brake Caliper Left Assy</t>
  </si>
  <si>
    <t>Brakes Mechanism &gt; Rear Brakes &gt; Disc System &gt; Brake Caliper &gt; Brake Caliper Left Assy &gt; Brake Pads</t>
  </si>
  <si>
    <t>000000075QA6EU01 (AutoReverse)</t>
  </si>
  <si>
    <t>00000001LRO5EU01 (AutoReverse)</t>
  </si>
  <si>
    <t>00000006WZ77EU01 (AutoReverse)</t>
  </si>
  <si>
    <t>000000069L0QEU01 (AutoReverse)</t>
  </si>
  <si>
    <t>Brakes Mechanism &gt; Rear Brakes &gt; Disc System &gt; Brake Caliper &gt; Brake Caliper Left Assy &gt; Brake Caliper Left Assy</t>
  </si>
  <si>
    <t>Brakes Mechanism &gt; Rear Brakes &gt; Disc System &gt; Brake Caliper &gt; Brake Caliper Left Assy &gt; Brake Caliper Left Assy &gt; Process</t>
  </si>
  <si>
    <t>Process: Melting, Casting, Shot Blasting, Heat Treatment T6, Machining, Anodizing</t>
  </si>
  <si>
    <t>Material: A380 ; cast iron ;Process: Melting, Casting, Shot Blasting, Heat Treatment T6, Machining, Anodizing</t>
  </si>
  <si>
    <t>Material: Aluminum ; Process : Melting, casting, painting, packing</t>
  </si>
  <si>
    <t>1 fastener 0.05€</t>
  </si>
  <si>
    <t>Brakes Mechanism &gt; Rear Brakes &gt; Disc System &gt; Brake Caliper &gt; Brake Caliper Left Assy &gt; Process</t>
  </si>
  <si>
    <t>A000002S27WBEU01 (AutoReverse)</t>
  </si>
  <si>
    <t>Brakes Mechanism &gt; Rear Brakes &gt; Disc System &gt; Brake Caliper &gt; Brake Caliper Right Assy</t>
  </si>
  <si>
    <t>Brakes Mechanism &gt; Rear Brakes &gt; Disc System &gt; Brake Caliper &gt; Brake Caliper Right Assy &gt; Brake Pads</t>
  </si>
  <si>
    <t>A000002RN3Z3EU01 (AutoReverse)</t>
  </si>
  <si>
    <t>A000000BLDGJEU02 (AutoReverse)</t>
  </si>
  <si>
    <t>Brakes Mechanism &gt; Rear Brakes &gt; Disc System &gt; Brake Caliper &gt; Brake Caliper Right Assy &gt; Brake Caliper Right Assy</t>
  </si>
  <si>
    <t>Brakes Mechanism &gt; Rear Brakes &gt; Disc System &gt; Brake Caliper &gt; Brake Caliper Right Assy &gt; Brake Caliper Right Assy &gt; Process</t>
  </si>
  <si>
    <t>Brakes Mechanism &gt; Rear Brakes &gt; Disc System &gt; Brake Caliper &gt; Brake Caliper Right Assy &gt; Process</t>
  </si>
  <si>
    <t>A000002S27WCEU01 (AutoReverse)</t>
  </si>
  <si>
    <t>00000008V0LIEU01 (AutoReverse)</t>
  </si>
  <si>
    <t>Brakes Mechanism &gt; Rear Brakes &gt; Disc System &gt; Disc</t>
  </si>
  <si>
    <t>Brakes Mechanism &gt; Rear Brakes &gt; Disc System &gt; Disc &gt; Process</t>
  </si>
  <si>
    <t>1 fastener 0.007€</t>
  </si>
  <si>
    <t>00000004P4HNEU01 (AutoReverse)</t>
  </si>
  <si>
    <t>00000003V6H9EU01 (AutoReverse)</t>
  </si>
  <si>
    <t>Brakes Mechanism &gt; Rear Brakes &gt; Backing Plate</t>
  </si>
  <si>
    <t>Material: Aluminum Sheet ;Process: Blanking, Transfer Stamping, Checking and Packing</t>
  </si>
  <si>
    <t>3 fasteners 0.190€</t>
  </si>
  <si>
    <t>A000002S27WDEU01 (AutoReverse)</t>
  </si>
  <si>
    <t>A000002S27WEEU01 (AutoReverse)</t>
  </si>
  <si>
    <t>00000000VS39EU01 (AutoReverse)</t>
  </si>
  <si>
    <t>00000005C9ZAEU01 (AutoReverse)</t>
  </si>
  <si>
    <t>Material: Reinforced EPDM Hose, Fittings ;Process: cutting, Bending, Assembly &amp; Crimping, Leakage/Dimensional/Pressure Tests, Checking and Packing</t>
  </si>
  <si>
    <t>4 metal fasteners 0.2€</t>
  </si>
  <si>
    <t>00000004IRD9EU01 (AutoReverse)</t>
  </si>
  <si>
    <t>A000002TXSEAEU01 (AutoReverse)</t>
  </si>
  <si>
    <t>00000008Y4Y7EU01 (AutoReverse)</t>
  </si>
  <si>
    <t>0000000AI7TXEU01 (AutoReverse)</t>
  </si>
  <si>
    <t>00000004VBMZEU01 (AutoReverse)</t>
  </si>
  <si>
    <t>00000006R1ISEU01 (AutoReverse)</t>
  </si>
  <si>
    <t>Heating System</t>
  </si>
  <si>
    <t>Heating System &gt; Heating System</t>
  </si>
  <si>
    <t>Heating System &gt; Heating System &gt; Covers</t>
  </si>
  <si>
    <t>PP-TD20；Injection molding</t>
  </si>
  <si>
    <t>PTR - [Internal] Mechanical Prod</t>
  </si>
  <si>
    <t>00000002PIHREU01 (AutoReverse)</t>
  </si>
  <si>
    <t>000000A9WT7MEU02 (AutoReverse)</t>
  </si>
  <si>
    <t>0000000ANXG6EU01 (AutoReverse)</t>
  </si>
  <si>
    <t>000000A9WT7NEU02 (AutoReverse)</t>
  </si>
  <si>
    <t>00000008T46WEU01 (AutoReverse)</t>
  </si>
  <si>
    <t>0000000034KBEU01 (AutoReverse)</t>
  </si>
  <si>
    <t>000000010U2OEU01 (AutoReverse)</t>
  </si>
  <si>
    <t>0000000AEDBBEU01 (AutoReverse)</t>
  </si>
  <si>
    <t>00000006SWBCEU01 (AutoReverse)</t>
  </si>
  <si>
    <t>000000016CKTEU01 (AutoReverse)</t>
  </si>
  <si>
    <t>Heating System &gt; Heating System &gt; Motors</t>
  </si>
  <si>
    <t>Heating System &gt; Heating System &gt; Motors &gt; Intake Air Vent Motor</t>
  </si>
  <si>
    <t>00000009WXBREU01 (AutoReverse)</t>
  </si>
  <si>
    <t>000000049V51EU01 (AutoReverse)</t>
  </si>
  <si>
    <t>000000085TOEEU01 (AutoReverse)</t>
  </si>
  <si>
    <t>00000001V5P0EU01 (AutoReverse)</t>
  </si>
  <si>
    <t>Heating System &gt; Heating System &gt; Motors &gt; Central Air Vent Flap Motor</t>
  </si>
  <si>
    <t>00000005U93EEU01 (AutoReverse)</t>
  </si>
  <si>
    <t>000000043VHQEU01 (AutoReverse)</t>
  </si>
  <si>
    <t>Heating System &gt; Heating System &gt; Motors &gt; Heater Core Motors</t>
  </si>
  <si>
    <t>00000004K06OEU01 (AutoReverse)</t>
  </si>
  <si>
    <t>00000005DPYXEU01 (AutoReverse)</t>
  </si>
  <si>
    <t>0000000ASJT3EU01 (AutoReverse)</t>
  </si>
  <si>
    <t>Heating System &gt; Heating System &gt; Motors &gt; Windscreen Vent Flap Motor</t>
  </si>
  <si>
    <t>00000003OT73EU01 (AutoReverse)</t>
  </si>
  <si>
    <t>00000007WGPAEU01 (AutoReverse)</t>
  </si>
  <si>
    <t>Heating System &gt; Heating System &gt; Motors &gt; 2nd Row Air Vent Motor</t>
  </si>
  <si>
    <t>000000071PPDEU01 (AutoReverse)</t>
  </si>
  <si>
    <t>00000006QI3BEU01 (AutoReverse)</t>
  </si>
  <si>
    <t>00000006WAPKEU01 (AutoReverse)</t>
  </si>
  <si>
    <t>Heating System &gt; Heating System &gt; Selection Flaps</t>
  </si>
  <si>
    <t>Heating System &gt; Heating System &gt; Selection Flaps &gt; Upper Front Part</t>
  </si>
  <si>
    <t>PP-TD40; Injection molding</t>
  </si>
  <si>
    <t>000000077WTTEU01 (AutoReverse)</t>
  </si>
  <si>
    <t>0000000A2V8CEU01 (AutoReverse)</t>
  </si>
  <si>
    <t>000000011M61EU01 (AutoReverse)</t>
  </si>
  <si>
    <t>Heating System &gt; Heating System &gt; Selection Flaps &gt; Windshield Demisting</t>
  </si>
  <si>
    <t>00000009ALCPEU01 (AutoReverse)</t>
  </si>
  <si>
    <t>0000000747ABEU01 (AutoReverse)</t>
  </si>
  <si>
    <t>Heating System &gt; Heating System &gt; Selection Flaps &gt; Lower Front Part</t>
  </si>
  <si>
    <t>000000078O8TEU01 (AutoReverse)</t>
  </si>
  <si>
    <t>00000003ET53EU01 (AutoReverse)</t>
  </si>
  <si>
    <t>00000004L3X8EU01 (AutoReverse)</t>
  </si>
  <si>
    <t>Heating System &gt; Heating System &gt; Selection Flaps &gt; Row 2 Center</t>
  </si>
  <si>
    <t>00000005SRA6EU01 (AutoReverse)</t>
  </si>
  <si>
    <t>00000007OG0LEU01 (AutoReverse)</t>
  </si>
  <si>
    <t>Heating System &gt; Heating System &gt; Selection Flaps &gt; Feet Row 2</t>
  </si>
  <si>
    <t>00000003X896EU01 (AutoReverse)</t>
  </si>
  <si>
    <t>00000008Y3KBEU01 (AutoReverse)</t>
  </si>
  <si>
    <t>00000002B2YAEU01 (AutoReverse)</t>
  </si>
  <si>
    <t>0000000AP88UEU01 (AutoReverse)</t>
  </si>
  <si>
    <t>00000000XP48EU01 (AutoReverse)</t>
  </si>
  <si>
    <t>0000000AH7S1EU01 (AutoReverse)</t>
  </si>
  <si>
    <t>A000000K6Z9UEU02 (AutoReverse)</t>
  </si>
  <si>
    <t>00000005CDS7EU01 (AutoReverse)</t>
  </si>
  <si>
    <t>00000003GZLMEU01 (AutoReverse)</t>
  </si>
  <si>
    <t>Heating System &gt; Heating System &gt; Mechanism</t>
  </si>
  <si>
    <t>PA66-GF30; Injection molding</t>
  </si>
  <si>
    <t>0000000AO8DDEU01 (AutoReverse)</t>
  </si>
  <si>
    <t>PP-TD20; Injection molding</t>
  </si>
  <si>
    <t>00000000VPGPEU01 (AutoReverse)</t>
  </si>
  <si>
    <t>POM; Injection molding</t>
  </si>
  <si>
    <t>00000008QNW9EU01 (AutoReverse)</t>
  </si>
  <si>
    <t>00000008Y2DYEU01 (AutoReverse)</t>
  </si>
  <si>
    <t>00000003B6FGEU01 (AutoReverse)</t>
  </si>
  <si>
    <t>00000008547SEU01 (AutoReverse)</t>
  </si>
  <si>
    <t>000000044DGBEU01 (AutoReverse)</t>
  </si>
  <si>
    <t>000000013QRGEU01 (AutoReverse)</t>
  </si>
  <si>
    <t>000000086T4ZEU01 (AutoReverse)</t>
  </si>
  <si>
    <t>000000AHOXZJEU02 (AutoReverse)</t>
  </si>
  <si>
    <t>000000082W7JEU01 (AutoReverse)</t>
  </si>
  <si>
    <t>00000009IN2TEU01 (AutoReverse)</t>
  </si>
  <si>
    <t>00000002K618EU01 (AutoReverse)</t>
  </si>
  <si>
    <t>000000001IKUEU01 (AutoReverse)</t>
  </si>
  <si>
    <t>0000000ALQQYEU01 (AutoReverse)</t>
  </si>
  <si>
    <t>00000011UK80CID0 (AutoReverse)</t>
  </si>
  <si>
    <t>000000ATXBV9EU02 (AutoReverse)</t>
  </si>
  <si>
    <t>000000037G2KEU01 (AutoReverse)</t>
  </si>
  <si>
    <t>00000011UK7ZCID0 (AutoReverse)</t>
  </si>
  <si>
    <t>00000001C7S3EU01 (AutoReverse)</t>
  </si>
  <si>
    <t>0000009YL2UIEU02 (AutoReverse)</t>
  </si>
  <si>
    <t>0000000402JHEU01 (AutoReverse)</t>
  </si>
  <si>
    <t>000000A9WT7EEU02 (AutoReverse)</t>
  </si>
  <si>
    <t>000000AB0CD2EU02 (AutoReverse)</t>
  </si>
  <si>
    <t>00000008YMTOEU01 (AutoReverse)</t>
  </si>
  <si>
    <t>Heating System &gt; Heating System &gt; Blowing Unit System</t>
  </si>
  <si>
    <t>Heating System &gt; Heating System &gt; Blowing Unit System &gt; Air Unit</t>
  </si>
  <si>
    <t>Heating System &gt; Heating System &gt; Blowing Unit System &gt; Air Unit &gt; Covers</t>
  </si>
  <si>
    <t>0000000A6Z5QEU01 (AutoReverse)</t>
  </si>
  <si>
    <t>000000014A14EU01 (AutoReverse)</t>
  </si>
  <si>
    <t>00000000U8NQEU01 (AutoReverse)</t>
  </si>
  <si>
    <t>000000017GMHEU01 (AutoReverse)</t>
  </si>
  <si>
    <t>00000002FFCZEU01 (AutoReverse)</t>
  </si>
  <si>
    <t>00000000BDJ2EU01 (AutoReverse)</t>
  </si>
  <si>
    <t>0000000A2RM9EU01 (AutoReverse)</t>
  </si>
  <si>
    <t>000000045WS5EU01 (AutoReverse)</t>
  </si>
  <si>
    <t>Heating System &gt; Heating System &gt; Air Recycling</t>
  </si>
  <si>
    <t>00000004FN0NEU01 (AutoReverse)</t>
  </si>
  <si>
    <t>00000005L1RQEU01 (AutoReverse)</t>
  </si>
  <si>
    <t>000000AOZHNWEU02 (AutoReverse)</t>
  </si>
  <si>
    <t>00000009E43SEU01 (AutoReverse)</t>
  </si>
  <si>
    <t>Heating System &gt; Heating System &gt; Evaporator System</t>
  </si>
  <si>
    <t>00000004ZU0GEU01 (AutoReverse)</t>
  </si>
  <si>
    <t>00000006DO30EU01 (AutoReverse)</t>
  </si>
  <si>
    <t>00000007JFM5EU01 (AutoReverse)</t>
  </si>
  <si>
    <t>00000006M591EU01 (AutoReverse)</t>
  </si>
  <si>
    <t>000000062KYREU01 (AutoReverse)</t>
  </si>
  <si>
    <t>00000004O8EHEU01 (AutoReverse)</t>
  </si>
  <si>
    <t>00000002S3UIEU01 (AutoReverse)</t>
  </si>
  <si>
    <t>00000007ZERBEU01 (AutoReverse)</t>
  </si>
  <si>
    <t>000000046OFHEU01 (AutoReverse)</t>
  </si>
  <si>
    <t>Heating System &gt; Heating System &gt; Radiator System</t>
  </si>
  <si>
    <t>Heating System &gt; Heating System &gt; Radiator System &gt; Pipe Supports</t>
  </si>
  <si>
    <t>000000024JYTEU01 (AutoReverse)</t>
  </si>
  <si>
    <t>00000006Z7FUEU01 (AutoReverse)</t>
  </si>
  <si>
    <t>0000000AUS1JEU01 (AutoReverse)</t>
  </si>
  <si>
    <t>000000078PBYEU01 (AutoReverse)</t>
  </si>
  <si>
    <t>000000026HLJEU01 (AutoReverse)</t>
  </si>
  <si>
    <t>0000000AAQ0NEU01 (AutoReverse)</t>
  </si>
  <si>
    <t>00000007AATAEU01 (AutoReverse)</t>
  </si>
  <si>
    <t>Heating System &gt; Heating System &gt; Condenser System</t>
  </si>
  <si>
    <t>00000004O2V0EU01 (AutoReverse)</t>
  </si>
  <si>
    <t>0000000A67WZEU01 (AutoReverse)</t>
  </si>
  <si>
    <t>Heating System &gt; Heating System &gt; Purifier Filter</t>
  </si>
  <si>
    <t>00000007XXGHEU01 (AutoReverse)</t>
  </si>
  <si>
    <t>00000008V57UEU01 (AutoReverse)</t>
  </si>
  <si>
    <t>00000001EWT8EU01 (AutoReverse)</t>
  </si>
  <si>
    <t>0000000AG0THEU01 (AutoReverse)</t>
  </si>
  <si>
    <t>Heating System &gt; Heating System &gt; Drain Tube - Air Conditioning System</t>
  </si>
  <si>
    <t>00000001VC1FEU01 (AutoReverse)</t>
  </si>
  <si>
    <t>0000000ACLHUEU01 (AutoReverse)</t>
  </si>
  <si>
    <t>Heating System &gt; Heating System &gt; Air Intake Duct</t>
  </si>
  <si>
    <t>0000000A6PD1EU01 (AutoReverse)</t>
  </si>
  <si>
    <t>00000001PD4FEU01 (AutoReverse)</t>
  </si>
  <si>
    <t>PUR foam; EPP</t>
  </si>
  <si>
    <t>00000006O44FEU01 (AutoReverse)</t>
  </si>
  <si>
    <t>00000000Z4UJEU01 (AutoReverse)</t>
  </si>
  <si>
    <t>00000009ZUR8EU01 (AutoReverse)</t>
  </si>
  <si>
    <t>000000038BJDEU01 (AutoReverse)</t>
  </si>
  <si>
    <t>Heating System &gt; Heating System &gt; Sound Insulation System</t>
  </si>
  <si>
    <t>00000000YD94EU01 (AutoReverse)</t>
  </si>
  <si>
    <t>00000009WXZQEU01 (AutoReverse)</t>
  </si>
  <si>
    <t>00000008MBB5EU01 (AutoReverse)</t>
  </si>
  <si>
    <t>00000002SLJ2EU01 (AutoReverse)</t>
  </si>
  <si>
    <t>A0000017TSDKEU02 (AutoReverse)</t>
  </si>
  <si>
    <t>00000009KKHUEU01 (AutoReverse)</t>
  </si>
  <si>
    <t>00000001HDITEU01 (AutoReverse)</t>
  </si>
  <si>
    <t>Heating System &gt; Front Air Duct</t>
  </si>
  <si>
    <t>PP-TD20; Blow molding</t>
  </si>
  <si>
    <t>000000004B4KEU01 (AutoReverse)</t>
  </si>
  <si>
    <t>HDPE; Blow molding</t>
  </si>
  <si>
    <t>00000002JUJDEU01 (AutoReverse)</t>
  </si>
  <si>
    <t>000000AGEJZEEU02 (AutoReverse)</t>
  </si>
  <si>
    <t>PP-TD10; Blow molding</t>
  </si>
  <si>
    <t>00000008AXKJEU01 (AutoReverse)</t>
  </si>
  <si>
    <t>PP-TD11; Blow molding</t>
  </si>
  <si>
    <t>0000000AJN15EU01 (AutoReverse)</t>
  </si>
  <si>
    <t>000000084GVYEU01 (AutoReverse)</t>
  </si>
  <si>
    <t>00000003RYT3EU01 (AutoReverse)</t>
  </si>
  <si>
    <t>00000006OEUGEU01 (AutoReverse)</t>
  </si>
  <si>
    <t>00000003ST56EU01 (AutoReverse)</t>
  </si>
  <si>
    <t>Heating System &gt; Front Lower Air Pipe</t>
  </si>
  <si>
    <t>Heating System &gt; Front Lower Air Pipe &gt; Temperature Sensor</t>
  </si>
  <si>
    <t>00000006S4V0EU01 (AutoReverse)</t>
  </si>
  <si>
    <t>0000000A1M4AEU01 (AutoReverse)</t>
  </si>
  <si>
    <t>000000046R37EU01 (AutoReverse)</t>
  </si>
  <si>
    <t>000000061K7VEU01 (AutoReverse)</t>
  </si>
  <si>
    <t>00000001QTYSEU01 (AutoReverse)</t>
  </si>
  <si>
    <t>00000007M8H8EU01 (AutoReverse)</t>
  </si>
  <si>
    <t>Heating System &gt; Lateral Defroster System</t>
  </si>
  <si>
    <t>Heating System &gt; Lateral Defroster System &gt; Side Vents</t>
  </si>
  <si>
    <t>PP-EPDM-TD10; Blow molding</t>
  </si>
  <si>
    <t>00000006NGYOEU01 (AutoReverse)</t>
  </si>
  <si>
    <t>PP-EPDM-TD11; Blow molding</t>
  </si>
  <si>
    <t>A0000035KBCQEU01 (AutoReverse)</t>
  </si>
  <si>
    <t>00000001TLMAEU01 (AutoReverse)</t>
  </si>
  <si>
    <t>PP-EPDM-TD12; Blow molding</t>
  </si>
  <si>
    <t>0000000198EWEU01 (AutoReverse)</t>
  </si>
  <si>
    <t>000000023IN6EU01 (AutoReverse)</t>
  </si>
  <si>
    <t>Heating System &gt; Windshield Defroster Vent Ducts</t>
  </si>
  <si>
    <t>00000001R3XCEU01 (AutoReverse)</t>
  </si>
  <si>
    <t>00000006O2SJEU01 (AutoReverse)</t>
  </si>
  <si>
    <t>00000006TQLMEU01 (AutoReverse)</t>
  </si>
  <si>
    <t>Heating System &gt; Windshield Defroster Grill</t>
  </si>
  <si>
    <t>00000003IKBJEU01 (AutoReverse)</t>
  </si>
  <si>
    <t>0000000738QTEU01 (AutoReverse)</t>
  </si>
  <si>
    <t>Heating System &gt; Auxiliary Heating System</t>
  </si>
  <si>
    <t>00000003FQ11EU01 (AutoReverse)</t>
  </si>
  <si>
    <t>00000003K6ENEU01 (AutoReverse)</t>
  </si>
  <si>
    <t>00000004AK8QEU01 (AutoReverse)</t>
  </si>
  <si>
    <t>A000000R3TLREU02 (AutoReverse)</t>
  </si>
  <si>
    <t>000000097RA4EU01 (AutoReverse)</t>
  </si>
  <si>
    <t>Heating System &gt; 2nd Row Ventilation</t>
  </si>
  <si>
    <t>Heating System &gt; 2nd Row Ventilation &gt; 2nd Row: Feet</t>
  </si>
  <si>
    <t>00000003QFMAEU01 (AutoReverse)</t>
  </si>
  <si>
    <t>000000017N2UEU01 (AutoReverse)</t>
  </si>
  <si>
    <t>00000004EWJ8EU01 (AutoReverse)</t>
  </si>
  <si>
    <t>00000002BIMXEU01 (AutoReverse)</t>
  </si>
  <si>
    <t>ABS; Injection molding</t>
  </si>
  <si>
    <t>00000009TMC8EU01 (AutoReverse)</t>
  </si>
  <si>
    <t>00000006L8BLEU01 (AutoReverse)</t>
  </si>
  <si>
    <t>00000009CLMCEU01 (AutoReverse)</t>
  </si>
  <si>
    <t>Heating System &gt; 2nd Row Ventilation &gt; Central</t>
  </si>
  <si>
    <t>000000024LZVEU01 (AutoReverse)</t>
  </si>
  <si>
    <t>00000000OKEQEU01 (AutoReverse)</t>
  </si>
  <si>
    <t>00000001Q2VVEU01 (AutoReverse)</t>
  </si>
  <si>
    <t>Heating System &gt; Heating System Pipes</t>
  </si>
  <si>
    <t>00000000YBLZEU01 (AutoReverse)</t>
  </si>
  <si>
    <t>00000003LJI3EU01 (AutoReverse)</t>
  </si>
  <si>
    <t>000000012A97EU01 (AutoReverse)</t>
  </si>
  <si>
    <t>Heating System &gt; PM 2.5 System</t>
  </si>
  <si>
    <t>00000011UK8ECID0 (AutoReverse)</t>
  </si>
  <si>
    <t>00000003B8Q8EU01 (AutoReverse)</t>
  </si>
  <si>
    <t>00000002JWH9EU01 (AutoReverse)</t>
  </si>
  <si>
    <t>Accessories</t>
  </si>
  <si>
    <t>Accessories &gt; USB Key</t>
  </si>
  <si>
    <t>Accessories &gt; USB Key &gt; Process</t>
  </si>
  <si>
    <t>4.000000 %</t>
  </si>
  <si>
    <t>A000000VS9DWEU02 (AutoReverse)</t>
  </si>
  <si>
    <t>Accessories &gt; Sensors</t>
  </si>
  <si>
    <t>Accessories &gt; Sensors &gt; Rain Sensor</t>
  </si>
  <si>
    <t>Accessories &gt; Sensors &gt; Rain Sensor &gt; Process</t>
  </si>
  <si>
    <t>Housing Parts + Spring</t>
  </si>
  <si>
    <t>00000006E0YYEU01 (AutoReverse)</t>
  </si>
  <si>
    <t>Accessories &gt; Sensors &gt; Yaw-Rate Sensor</t>
  </si>
  <si>
    <t>Accessories &gt; Sensors &gt; Yaw-Rate Sensor &gt; Process</t>
  </si>
  <si>
    <t>Housing Parts + Gaskets</t>
  </si>
  <si>
    <t>A000000LBB3AEU02 (AutoReverse)</t>
  </si>
  <si>
    <t>Accessories &gt; Sensors &gt; Interior Temperature Sensor</t>
  </si>
  <si>
    <t>ABS;ELECTRONIC COMPONENT</t>
  </si>
  <si>
    <t>00000008O989EU01 (AutoReverse)</t>
  </si>
  <si>
    <t>00000009MCXQEU01 (AutoReverse)</t>
  </si>
  <si>
    <t>000000093XYYEU01 (AutoReverse)</t>
  </si>
  <si>
    <t>0000000351DYEU01 (AutoReverse)</t>
  </si>
  <si>
    <t>00000007I4OPEU01 (AutoReverse)</t>
  </si>
  <si>
    <t>ELECTRONIC COMPONENT;PA66</t>
  </si>
  <si>
    <t>0000000A3KYTEU01 (AutoReverse)</t>
  </si>
  <si>
    <t>PP;EPDM</t>
  </si>
  <si>
    <t>000000027N8XEU01 (AutoReverse)</t>
  </si>
  <si>
    <t>0000000968XPEU01 (AutoReverse)</t>
  </si>
  <si>
    <t>Accessories &gt; Plugs</t>
  </si>
  <si>
    <t>Accessories &gt; Plugs &gt; USB Plug</t>
  </si>
  <si>
    <t>Accessories &gt; Plugs &gt; USB Plug &gt; Process</t>
  </si>
  <si>
    <t>00000003YQ5HEU01 (AutoReverse)</t>
  </si>
  <si>
    <t>Accessories &gt; Plugs &gt; USB Plug 2</t>
  </si>
  <si>
    <t>Accessories &gt; Plugs &gt; USB Plug 2 &gt; Process</t>
  </si>
  <si>
    <t>00000007SMGPEU01 (AutoReverse)</t>
  </si>
  <si>
    <t>ELECTRONIC COMPONENT;STEEL;PLASTIC UNKNOWN</t>
  </si>
  <si>
    <t>00000006CUKBEU01 (AutoReverse)</t>
  </si>
  <si>
    <t>00000008HYZREU01 (AutoReverse)</t>
  </si>
  <si>
    <t>000000035YXCEU01 (AutoReverse)</t>
  </si>
  <si>
    <t>ELECTRONIC COMPONENT;POM</t>
  </si>
  <si>
    <t>000000016UPGEU01 (AutoReverse)</t>
  </si>
  <si>
    <t>000000095V7LEU01 (AutoReverse)</t>
  </si>
  <si>
    <t>00000011UKALCID0 (AutoReverse)</t>
  </si>
  <si>
    <t>00000003S7OJEU01 (AutoReverse)</t>
  </si>
  <si>
    <t>000000ATPIPCEU02 (AutoReverse)</t>
  </si>
  <si>
    <t>00000005ZKPPEU01 (AutoReverse)</t>
  </si>
  <si>
    <t>Other Metal Fasteners (GCDB_01_00032)</t>
  </si>
  <si>
    <t>00000008BEDDEU01 (AutoReverse)</t>
  </si>
  <si>
    <t>Accessories &gt; Tool Box</t>
  </si>
  <si>
    <t>42CrMo4 Slab; Heating, Pressing, Blasting, Turning &amp; Threading, Paitning, Checking &amp; Packing</t>
  </si>
  <si>
    <t>00000003UE33EU01 (AutoReverse)</t>
  </si>
  <si>
    <t>PP-GF40;Injection molding</t>
  </si>
  <si>
    <t>00000005LTCMEU01 (AutoReverse)</t>
  </si>
  <si>
    <t>PVC fabirc, zipper, PE sheet, foam, binding, PE wire, webbing colored;Cut fabric / prepare webbing, binder, foam / Sewing / Packing</t>
  </si>
  <si>
    <t>PET</t>
  </si>
  <si>
    <t>0000000A472BEU01 (AutoReverse)</t>
  </si>
  <si>
    <t>PC-ABS;Injection molding</t>
  </si>
  <si>
    <t>00000005LE60EU01 (AutoReverse)</t>
  </si>
  <si>
    <t>PC-ABS,TPE;Overmolding / 2K Injection</t>
  </si>
  <si>
    <t>PC-ABS;TPE</t>
  </si>
  <si>
    <t>A0000056HO4EEU01 (AutoReverse)</t>
  </si>
  <si>
    <t>A0000056HO4FEU01 (AutoReverse)</t>
  </si>
  <si>
    <t>00000006ODVZEU01 (AutoReverse)</t>
  </si>
  <si>
    <t>Accessories &gt; Audio System</t>
  </si>
  <si>
    <t>Accessories &gt; Audio System &gt; 5G Antenna</t>
  </si>
  <si>
    <t>Accessories &gt; Audio System &gt; 5G Antenna &gt; Process</t>
  </si>
  <si>
    <t>Housing Parts + Harness</t>
  </si>
  <si>
    <t>00000006II6IEU01 (AutoReverse)</t>
  </si>
  <si>
    <t>Accessories &gt; Audio System &gt; Audio Amplifier System</t>
  </si>
  <si>
    <t>Accessories &gt; Audio System &gt; Audio Amplifier System &gt; Audio Amplifier</t>
  </si>
  <si>
    <t>Accessories &gt; Audio System &gt; Audio Amplifier System &gt; Audio Amplifier &gt; Process</t>
  </si>
  <si>
    <t>00000002S4U7EU01 (AutoReverse)</t>
  </si>
  <si>
    <t>00000002LCGVEU01 (AutoReverse)</t>
  </si>
  <si>
    <t>000000020IUVEU01 (AutoReverse)</t>
  </si>
  <si>
    <t>0000000277GOEU01 (AutoReverse)</t>
  </si>
  <si>
    <t>Accessories &gt; Audio System &gt; Subwoofer System</t>
  </si>
  <si>
    <t>PC;ELECTRONIC COMPONENT</t>
  </si>
  <si>
    <t>00000009RZWEEU01 (AutoReverse)</t>
  </si>
  <si>
    <t>00000008Q2VSEU01 (AutoReverse)</t>
  </si>
  <si>
    <t>00000003HWIUEU01 (AutoReverse)</t>
  </si>
  <si>
    <t>Accessories &gt; Audio System &gt; Head Unit System</t>
  </si>
  <si>
    <t>Accessories &gt; Audio System &gt; Head Unit System &gt; Head Unit</t>
  </si>
  <si>
    <t>Accessories &gt; Audio System &gt; Head Unit System &gt; Head Unit &gt; Process</t>
  </si>
  <si>
    <t>Housing Parts + Fan + Lids</t>
  </si>
  <si>
    <t>000000084M5QEU01 (AutoReverse)</t>
  </si>
  <si>
    <t>0000000A64VGEU01 (AutoReverse)</t>
  </si>
  <si>
    <t>00000006I075EU01 (AutoReverse)</t>
  </si>
  <si>
    <t>0000000ATOXAEU01 (AutoReverse)</t>
  </si>
  <si>
    <t>A0000016L806EU02 (AutoReverse)</t>
  </si>
  <si>
    <t>Other Metal Fasteners (GCDB_01_00069)</t>
  </si>
  <si>
    <t>00000006QES1EU01 (AutoReverse)</t>
  </si>
  <si>
    <t>Accessories &gt; GPS System</t>
  </si>
  <si>
    <t>000000039LEFEU01 (AutoReverse)</t>
  </si>
  <si>
    <t>Screws (GCDB_01_00635)</t>
  </si>
  <si>
    <t>00000005G65SEU01 (AutoReverse)</t>
  </si>
  <si>
    <t>Accessories &gt; Phone System</t>
  </si>
  <si>
    <t>Accessories &gt; Phone System &gt; Telematics ECU</t>
  </si>
  <si>
    <t>Accessories &gt; Phone System &gt; Telematics ECU &gt; Process</t>
  </si>
  <si>
    <t>PCB + Battery + All electronics components</t>
  </si>
  <si>
    <t>Housing Parts + Antenna + Covers</t>
  </si>
  <si>
    <t>00000008E2ZSEU01 (AutoReverse)</t>
  </si>
  <si>
    <t>Accessories &gt; Phone System &gt; Induction Charger   Qi System</t>
  </si>
  <si>
    <t>Accessories &gt; Phone System &gt; Induction Charger   Qi System &gt; Process</t>
  </si>
  <si>
    <t>Housing Parts + Fan + Supports</t>
  </si>
  <si>
    <t>00000003GUOFEU01 (AutoReverse)</t>
  </si>
  <si>
    <t>Accessories &gt; Phone System &gt; Induction Charger   Qi System 2</t>
  </si>
  <si>
    <t>Accessories &gt; Phone System &gt; Induction Charger   Qi System 2 &gt; Process</t>
  </si>
  <si>
    <t>Housing Parts + Charging coil + Supports</t>
  </si>
  <si>
    <t>0000000ACDEIEU01 (AutoReverse)</t>
  </si>
  <si>
    <t>00000005NH3UEU01 (AutoReverse)</t>
  </si>
  <si>
    <t>A0000056HO4AEU01 (AutoReverse)</t>
  </si>
  <si>
    <t>000000078J0TEU01 (AutoReverse)</t>
  </si>
  <si>
    <t>PLASTIC UNKNOWN;ELECTRONIC COMPONENT</t>
  </si>
  <si>
    <t>00000011UK8QCID0 (AutoReverse)</t>
  </si>
  <si>
    <t>0000009YP5ODEU02 (AutoReverse)</t>
  </si>
  <si>
    <t>Screws (GCDB_01_00617)</t>
  </si>
  <si>
    <t>00000005PCCQEU01 (AutoReverse)</t>
  </si>
  <si>
    <t>Accessories &gt; Video System</t>
  </si>
  <si>
    <t>Accessories &gt; Video System &gt; Screen Support</t>
  </si>
  <si>
    <t>00000005PBU7EU01 (AutoReverse)</t>
  </si>
  <si>
    <t>00000003ALA2EU01 (AutoReverse)</t>
  </si>
  <si>
    <t>A000004I28PQEU01 (AutoReverse)</t>
  </si>
  <si>
    <t>A000004I5M4VEU01 (AutoReverse)</t>
  </si>
  <si>
    <t>A0000054NCACEU01 (AutoReverse)</t>
  </si>
  <si>
    <t>A0000054NCADEU01 (AutoReverse)</t>
  </si>
  <si>
    <t>Screws (GCDB_01_00637)</t>
  </si>
  <si>
    <t>Screws (GCDB_01_00614)</t>
  </si>
  <si>
    <t>000000089P7NEU01 (AutoReverse)</t>
  </si>
  <si>
    <t>000000031U42EU01 (AutoReverse)</t>
  </si>
  <si>
    <t>Accessories &gt; Internet System</t>
  </si>
  <si>
    <t>A000000OIR5MEU02 (AutoReverse)</t>
  </si>
  <si>
    <t>Screws (GCDB_01_00619)</t>
  </si>
  <si>
    <t>0000000AQZUEEU01 (AutoReverse)</t>
  </si>
  <si>
    <t>Accessories &gt; Warning Triangle</t>
  </si>
  <si>
    <t>HDPE;ABS;STEEL</t>
  </si>
  <si>
    <t>0000000599WDEU01 (AutoReverse)</t>
  </si>
  <si>
    <t>00000009S81ZEU01 (AutoReverse)</t>
  </si>
  <si>
    <t>Accessories &gt; Emblems</t>
  </si>
  <si>
    <t>Accessories &gt; Emblems &gt; Brand Emblem</t>
  </si>
  <si>
    <t>0.00700 kg</t>
  </si>
  <si>
    <t>0.0073684210526315789473684211 kg</t>
  </si>
  <si>
    <t>Accessories &gt; Emblems &gt; Brand Emblem &gt; Automated Process</t>
  </si>
  <si>
    <t>Injection Plastc, chroming</t>
  </si>
  <si>
    <t>Interior Standard</t>
  </si>
  <si>
    <t>STEEL;ABS</t>
  </si>
  <si>
    <t>00000007YPZIEU01 (AutoReverse)</t>
  </si>
  <si>
    <t>Accessories &gt; Emblems &gt; Model Emblem</t>
  </si>
  <si>
    <t>0.00500 kg</t>
  </si>
  <si>
    <t>0.0052631578947368421052631579 kg</t>
  </si>
  <si>
    <t>Accessories &gt; Emblems &gt; Model Emblem &gt; Automated Process</t>
  </si>
  <si>
    <t>Injection Plastc, chorming,painting</t>
  </si>
  <si>
    <t>00000009F2O5EU01 (AutoReverse)</t>
  </si>
  <si>
    <t>00000001LICSEU01 (AutoReverse)</t>
  </si>
  <si>
    <t>Accessories &gt; Keyless Opening System</t>
  </si>
  <si>
    <t>Accessories &gt; Keyless Opening System &gt; Antenna 1 Keyless Entry</t>
  </si>
  <si>
    <t>Accessories &gt; Keyless Opening System &gt; Antenna 1 Keyless Entry &gt; Process</t>
  </si>
  <si>
    <t>00000006EFZPEU01 (AutoReverse)</t>
  </si>
  <si>
    <t>Accessories &gt; Keyless Opening System &gt; Antenna 2 Keyless Entry</t>
  </si>
  <si>
    <t>Accessories &gt; Keyless Opening System &gt; Antenna 2 Keyless Entry &gt; Process</t>
  </si>
  <si>
    <t>A0000016HWESEU02 (AutoReverse)</t>
  </si>
  <si>
    <t>000000054E3LEU01 (AutoReverse)</t>
  </si>
  <si>
    <t>00000009SAP3EU01 (AutoReverse)</t>
  </si>
  <si>
    <t>Accessories &gt; Pedestrian Sound System</t>
  </si>
  <si>
    <t>ELECTRONIC COMPONENT;PC-ABS</t>
  </si>
  <si>
    <t>000000029SY4EU01 (AutoReverse)</t>
  </si>
  <si>
    <t>Screws (GCDB_01_00666)</t>
  </si>
  <si>
    <t>0000000AWQLBEU01 (AutoReverse)</t>
  </si>
  <si>
    <t>Accessories &gt; Park Assist System</t>
  </si>
  <si>
    <t>Accessories &gt; Park Assist System &gt; Front Park Assist</t>
  </si>
  <si>
    <t>Accessories &gt; Park Assist System &gt; Front Park Assist &gt; Front Camera System</t>
  </si>
  <si>
    <t>Accessories &gt; Park Assist System &gt; Front Park Assist &gt; Front Camera System &gt; Front Camera</t>
  </si>
  <si>
    <t>Accessories &gt; Park Assist System &gt; Front Park Assist &gt; Front Camera System &gt; Front Camera &gt; Process</t>
  </si>
  <si>
    <t>Housing Parts + Lens</t>
  </si>
  <si>
    <t>00000002AZTGEU01 (AutoReverse)</t>
  </si>
  <si>
    <t>000000026KZPEU01 (AutoReverse)</t>
  </si>
  <si>
    <t>000000072YTCEU01 (AutoReverse)</t>
  </si>
  <si>
    <t>00000007JI1OEU01 (AutoReverse)</t>
  </si>
  <si>
    <t>00000004D71IEU01 (AutoReverse)</t>
  </si>
  <si>
    <t>0000000551OGEU01 (AutoReverse)</t>
  </si>
  <si>
    <t>0000000A1NM7EU01 (AutoReverse)</t>
  </si>
  <si>
    <t>00000002IQX3EU01 (AutoReverse)</t>
  </si>
  <si>
    <t>000000AOXJUEEU02 (AutoReverse)</t>
  </si>
  <si>
    <t>00000009GR8SEU01 (AutoReverse)</t>
  </si>
  <si>
    <t>Accessories &gt; Park Assist System &gt; Rear Park Assist</t>
  </si>
  <si>
    <t>Accessories &gt; Park Assist System &gt; Rear Park Assist &gt; Camera System</t>
  </si>
  <si>
    <t>Accessories &gt; Park Assist System &gt; Rear Park Assist &gt; Camera System &gt; Rear Camera</t>
  </si>
  <si>
    <t>Accessories &gt; Park Assist System &gt; Rear Park Assist &gt; Camera System &gt; Rear Camera &gt; Process</t>
  </si>
  <si>
    <t>000000029UJTEU01 (AutoReverse)</t>
  </si>
  <si>
    <t>00000002L8XGEU01 (AutoReverse)</t>
  </si>
  <si>
    <t>0000009KBE9PCID0 (AutoReverse)</t>
  </si>
  <si>
    <t>000000072XIEEU01 (AutoReverse)</t>
  </si>
  <si>
    <t>0000000765AYEU01 (AutoReverse)</t>
  </si>
  <si>
    <t>00000000VPP9EU01 (AutoReverse)</t>
  </si>
  <si>
    <t>000000058RFCEU01 (AutoReverse)</t>
  </si>
  <si>
    <t>0000000976KPEU01 (AutoReverse)</t>
  </si>
  <si>
    <t>000000ADZUOLEU02 (AutoReverse)</t>
  </si>
  <si>
    <t>00000003H6C5EU01 (AutoReverse)</t>
  </si>
  <si>
    <t>A000000G8TI1EU02 (AutoReverse)</t>
  </si>
  <si>
    <t>00000009992UEU01 (AutoReverse)</t>
  </si>
  <si>
    <t>00000002MP93EU01 (AutoReverse)</t>
  </si>
  <si>
    <t>Accessories &gt; Distance Control System</t>
  </si>
  <si>
    <t>Accessories &gt; Distance Control System &gt; Distance Control Radar</t>
  </si>
  <si>
    <t>Accessories &gt; Distance Control System &gt; Distance Control Radar &gt; Process</t>
  </si>
  <si>
    <t>Housing Parts + Shields</t>
  </si>
  <si>
    <t>00000007NWALEU01 (AutoReverse)</t>
  </si>
  <si>
    <t>Accessories &gt; Distance Control System &gt; Front Corner Detection Camera</t>
  </si>
  <si>
    <t>Accessories &gt; Distance Control System &gt; Front Corner Detection Camera &gt; Process</t>
  </si>
  <si>
    <t>A000000XC0A9EU02 (AutoReverse) ; 000000AVFXLAEU02 (Electronics)</t>
  </si>
  <si>
    <t>Accessories &gt; Distance Control System &gt; Front Corner Detection Camera 2</t>
  </si>
  <si>
    <t>Accessories &gt; Distance Control System &gt; Front Corner Detection Camera 2 &gt; Process</t>
  </si>
  <si>
    <t>A0000031E242EU01 (AutoReverse) ; A000000WSCXQEU02 (Electronics)</t>
  </si>
  <si>
    <t>000000055YLOEU01 (AutoReverse)</t>
  </si>
  <si>
    <t>A000000XC0AAEU02 (AutoReverse)</t>
  </si>
  <si>
    <t>A0000031E243EU01 (AutoReverse)</t>
  </si>
  <si>
    <t>0000000920WNEU01 (AutoReverse)</t>
  </si>
  <si>
    <t>Accessories &gt; Lane Assist System</t>
  </si>
  <si>
    <t>Accessories &gt; Lane Assist System &gt; Lane Assist Camera</t>
  </si>
  <si>
    <t>Accessories &gt; Lane Assist System &gt; Lane Assist Camera &gt; Process</t>
  </si>
  <si>
    <t>00000000RALREU01 (AutoReverse)</t>
  </si>
  <si>
    <t>00000007R124EU01 (AutoReverse)</t>
  </si>
  <si>
    <t>Accessories &gt; Blind Spot Detection System</t>
  </si>
  <si>
    <t>Accessories &gt; Blind Spot Detection System &gt; Blind Spot Detection Radar</t>
  </si>
  <si>
    <t>Accessories &gt; Blind Spot Detection System &gt; Blind Spot Detection Radar &gt; Process</t>
  </si>
  <si>
    <t>Housing Parts + Supports + Shields</t>
  </si>
  <si>
    <t>00000001HQMMEU01 (AutoReverse)</t>
  </si>
  <si>
    <t>Accessories &gt; Blind Spot Detection System &gt; Blind Spot Detection Camera</t>
  </si>
  <si>
    <t>Accessories &gt; Blind Spot Detection System &gt; Blind Spot Detection Camera &gt; Process</t>
  </si>
  <si>
    <t>00000006X2YOEU01 (AutoReverse)</t>
  </si>
  <si>
    <t>Accessories &gt; Blind Spot Detection System &gt; Right Side Camera</t>
  </si>
  <si>
    <t>Accessories &gt; Blind Spot Detection System &gt; Right Side Camera &gt; Process</t>
  </si>
  <si>
    <t>Lens Module</t>
  </si>
  <si>
    <t>A000000ZTCESEU02 (AutoReverse)</t>
  </si>
  <si>
    <t>A000000LK1K3EU02 (AutoReverse)</t>
  </si>
  <si>
    <t>A000003BFOS2EU01 (AutoReverse)</t>
  </si>
  <si>
    <t>A000000ZTCETEU02 (AutoReverse)</t>
  </si>
  <si>
    <t>00000006F85YEU01 (AutoReverse)</t>
  </si>
  <si>
    <t>Accessories &gt; Autonomous Driving System</t>
  </si>
  <si>
    <t>Accessories &gt; Autonomous Driving System &gt; LiDAR</t>
  </si>
  <si>
    <t>Accessories &gt; Autonomous Driving System &gt; LiDAR &gt; Process</t>
  </si>
  <si>
    <t>Housing Parts + Trims + Motors + Mirrors</t>
  </si>
  <si>
    <t>00000008I4QGEU01 (AutoReverse)</t>
  </si>
  <si>
    <t>Accessories &gt; Autonomous Driving System &gt; Driver Monitoring Camera</t>
  </si>
  <si>
    <t>Accessories &gt; Autonomous Driving System &gt; Driver Monitoring Camera &gt; Process</t>
  </si>
  <si>
    <t>00000011UK87CID0 (AutoReverse)</t>
  </si>
  <si>
    <t>PC-PET</t>
  </si>
  <si>
    <t>00000011UK4SCID0 (AutoReverse)</t>
  </si>
  <si>
    <t>PC</t>
  </si>
  <si>
    <t>0000009YMKIOEU02 (AutoReverse)</t>
  </si>
  <si>
    <t>A00000140RD5EU02 (AutoReverse)</t>
  </si>
  <si>
    <t>Screws (GCDB_01_00621)</t>
  </si>
  <si>
    <t>00000004QEYVEU01 (AutoReverse)</t>
  </si>
  <si>
    <t>Accessories &gt; 360 Camera Surveillance System</t>
  </si>
  <si>
    <t>Accessories &gt; 360 Camera Surveillance System &gt; 360 Surveillance Camera</t>
  </si>
  <si>
    <t>Accessories &gt; 360 Camera Surveillance System &gt; 360 Surveillance Camera &gt; Process</t>
  </si>
  <si>
    <t>000000094974EU01 (AutoReverse)</t>
  </si>
  <si>
    <t>000000AOIZK7EU02 (AutoReverse)</t>
  </si>
  <si>
    <t>000000056KI6EU01 (AutoReverse)</t>
  </si>
  <si>
    <t>00000005DA07EU01 (AutoReverse)</t>
  </si>
  <si>
    <t>00000006TOONEU01 (AutoReverse)</t>
  </si>
  <si>
    <t>Steering System</t>
  </si>
  <si>
    <t>Steering System &gt; Steering Wheel System</t>
  </si>
  <si>
    <t>Steering System &gt; Steering Wheel System &gt; Steering Wheel Controls</t>
  </si>
  <si>
    <t>Steering System &gt; Steering Wheel System &gt; Steering Wheel Controls &gt; Horn Control</t>
  </si>
  <si>
    <t>000000075F7UEU01 (AutoReverse)</t>
  </si>
  <si>
    <t>00000005YSM4EU01 (AutoReverse)</t>
  </si>
  <si>
    <t>PBT-ASA;ELECTRONIC COMPONENT</t>
  </si>
  <si>
    <t>00000009JX2SEU01 (AutoReverse)</t>
  </si>
  <si>
    <t>PA;ELECTRONIC COMPONENT</t>
  </si>
  <si>
    <t>000000041MJ3EU01 (AutoReverse)</t>
  </si>
  <si>
    <t>00000007317CEU01 (AutoReverse)</t>
  </si>
  <si>
    <t>Steering System &gt; Steering Wheel System &gt; Steering Wheel</t>
  </si>
  <si>
    <t>Steering System &gt; Steering Wheel System &gt; Steering Wheel &gt; Armature</t>
  </si>
  <si>
    <t>0.61670 kg</t>
  </si>
  <si>
    <t>0.6852222222222222222222222222 kg</t>
  </si>
  <si>
    <t>Steering System &gt; Steering Wheel System &gt; Steering Wheel &gt; Armature &gt; Pressure Die Casting : Furnace</t>
  </si>
  <si>
    <t>0</t>
  </si>
  <si>
    <t>Steering System &gt; Steering Wheel System &gt; Steering Wheel &gt; Armature &gt; Pressure Die Casting : Ladle</t>
  </si>
  <si>
    <t>Steering System &gt; Steering Wheel System &gt; Steering Wheel &gt; Armature &gt; Pressure Die Casting : Press</t>
  </si>
  <si>
    <t>Steering System &gt; Steering Wheel System &gt; Steering Wheel &gt; Armature &gt; Pressure Die Casting : Trimming</t>
  </si>
  <si>
    <t>Steering System &gt; Steering Wheel System &gt; Steering Wheel &gt; Armature &gt; Pressure Die Casting : Laser Marking</t>
  </si>
  <si>
    <t>Steering System &gt; Steering Wheel System &gt; Steering Wheel &gt; Armature &gt; Machining</t>
  </si>
  <si>
    <t>Steering System &gt; Steering Wheel System &gt; Steering Wheel &gt; Armature &gt; Cleaning</t>
  </si>
  <si>
    <t>Steering System &gt; Steering Wheel System &gt; Steering Wheel &gt; Foam Body</t>
  </si>
  <si>
    <t>0.26430 kg</t>
  </si>
  <si>
    <t>0.3775714285714285714285714286 kg</t>
  </si>
  <si>
    <t>Steering System &gt; Steering Wheel System &gt; Steering Wheel &gt; Foam Body &gt; Reaction Injection Molding- Overmolding PUR</t>
  </si>
  <si>
    <t>Steering System &gt; Steering Wheel System &gt; Steering Wheel &gt; Leather</t>
  </si>
  <si>
    <t>0.14410 kg</t>
  </si>
  <si>
    <t>0.2401666666666666666666666667 kg</t>
  </si>
  <si>
    <t>Steering System &gt; Steering Wheel System &gt; Steering Wheel &gt; Leather &gt; Leather Cutting</t>
  </si>
  <si>
    <t>Steering System &gt; Steering Wheel System &gt; Steering Wheel &gt; Leather &gt; Adjusting leather and sewing</t>
  </si>
  <si>
    <t>Metal</t>
  </si>
  <si>
    <t>(2505-1129) Steering wheel BUP costing template</t>
  </si>
  <si>
    <t>00000006IHEFEU01 (AutoReverse)</t>
  </si>
  <si>
    <t>Steering System &gt; Steering Wheel System &gt; Steering Wheel Cover</t>
  </si>
  <si>
    <t>Steering System &gt; Steering Wheel System &gt; Steering Wheel Cover &gt; Trim Bezel</t>
  </si>
  <si>
    <t>0.00031 kg</t>
  </si>
  <si>
    <t>0.0003163265306122448979591837 kg</t>
  </si>
  <si>
    <t>Steering System &gt; Steering Wheel System &gt; Steering Wheel Cover &gt; Trim Bezel &gt; Painting</t>
  </si>
  <si>
    <t>0.00065 kg</t>
  </si>
  <si>
    <t>0.0006632653061224489795918367 kg</t>
  </si>
  <si>
    <t>0.00061 kg</t>
  </si>
  <si>
    <t>0.0006224489795918367346938776 kg</t>
  </si>
  <si>
    <t>Applying color and coating for aesthetic and protection.</t>
  </si>
  <si>
    <t>Steering System &gt; Steering Wheel System &gt; Steering Wheel Cover &gt; Trim Bezel &gt; Loading + Unloading + Retouching + Checking</t>
  </si>
  <si>
    <t>Loading + Unloading + Retouching + Checking</t>
  </si>
  <si>
    <t>0.00300 kg</t>
  </si>
  <si>
    <t>0.0042215111321248554132437247 kg</t>
  </si>
  <si>
    <t>Steering System &gt; Steering Wheel System &gt; Steering Wheel Cover &gt; Trim Bezel &gt; Injection molding</t>
  </si>
  <si>
    <t>2022</t>
  </si>
  <si>
    <t>Opening: 0.67 s, Ejection: 0.02 s, Insert: 0.00 s, Closing: 1.67 s, Removal: 1.42 s, Cooling: 10.23 s, Injection: 0.63</t>
  </si>
  <si>
    <t>(2505-808) Generic injection molding and painting template</t>
  </si>
  <si>
    <t>A0000026174NEU01 (AutoReverse)</t>
  </si>
  <si>
    <t>Steering System &gt; Steering Wheel System &gt; Steering Wheel Cover &gt; Back</t>
  </si>
  <si>
    <t>Steering System &gt; Steering Wheel System &gt; Steering Wheel Cover &gt; Back &gt; Handling/Visual Inspection/Packaging</t>
  </si>
  <si>
    <t>The final step involves inspecting the part for quality and packaging it for delivery.</t>
  </si>
  <si>
    <t>0.12900 kg</t>
  </si>
  <si>
    <t>0.1381589727826823618115747231 kg</t>
  </si>
  <si>
    <t>Steering System &gt; Steering Wheel System &gt; Steering Wheel Cover &gt; Back &gt; Injection molding</t>
  </si>
  <si>
    <t>Opening: 1.38 s, Ejection: 0.21 s, Insert: 0.00 s, Closing: 3.06 s, Removal: 1.91 s, Cooling: 8.56 s, Injection: 2.28</t>
  </si>
  <si>
    <t>(2505-863) Generic injection molding template</t>
  </si>
  <si>
    <t>00000005XXWKEU01 (AutoReverse)</t>
  </si>
  <si>
    <t>Steering System &gt; Steering Wheel System &gt; Steering Wheel Cover &gt; Front</t>
  </si>
  <si>
    <t>0.00716 kg</t>
  </si>
  <si>
    <t>0.0073061224489795918367346939 kg</t>
  </si>
  <si>
    <t>Steering System &gt; Steering Wheel System &gt; Steering Wheel Cover &gt; Front &gt; Painting</t>
  </si>
  <si>
    <t>0.01510 kg</t>
  </si>
  <si>
    <t>0.0154081632653061224489795918 kg</t>
  </si>
  <si>
    <t>0.01409 kg</t>
  </si>
  <si>
    <t>0.0143775510204081632653061224 kg</t>
  </si>
  <si>
    <t>Steering System &gt; Steering Wheel System &gt; Steering Wheel Cover &gt; Front &gt; Loading + Unloading + Retouching + Checking</t>
  </si>
  <si>
    <t>0.04300 kg</t>
  </si>
  <si>
    <t>0.0467704462988261705663792278 kg</t>
  </si>
  <si>
    <t>Steering System &gt; Steering Wheel System &gt; Steering Wheel Cover &gt; Front &gt; Injection molding</t>
  </si>
  <si>
    <t>Opening: 1.12 s, Ejection: 0.18 s, Insert: 0.00 s, Closing: 2.50 s, Removal: 1.72 s, Cooling: 10.23 s, Injection: 1.96</t>
  </si>
  <si>
    <t>(2505-862) Generic injection molding and painting template</t>
  </si>
  <si>
    <t>0000000727XGEU01 (AutoReverse)</t>
  </si>
  <si>
    <t>Steering System &gt; Steering Wheel System &gt; Steering Wheel Cover &gt; Lower Trim</t>
  </si>
  <si>
    <t>0.00199 kg</t>
  </si>
  <si>
    <t>0.0020306122448979591836734694 kg</t>
  </si>
  <si>
    <t>Steering System &gt; Steering Wheel System &gt; Steering Wheel Cover &gt; Lower Trim &gt; Painting</t>
  </si>
  <si>
    <t>0.00420 kg</t>
  </si>
  <si>
    <t>0.0042857142857142857142857143 kg</t>
  </si>
  <si>
    <t>0.00392 kg</t>
  </si>
  <si>
    <t>0.004 kg</t>
  </si>
  <si>
    <t>Steering System &gt; Steering Wheel System &gt; Steering Wheel Cover &gt; Lower Trim &gt; Loading + Unloading + Retouching + Checking</t>
  </si>
  <si>
    <t>0.01600 kg</t>
  </si>
  <si>
    <t>0.0183893672678457315979900422 kg</t>
  </si>
  <si>
    <t>Steering System &gt; Steering Wheel System &gt; Steering Wheel Cover &gt; Lower Trim &gt; Injection molding</t>
  </si>
  <si>
    <t>Opening: 0.67 s, Ejection: 0.08 s, Insert: 0.00 s, Closing: 1.67 s, Removal: 1.46 s, Cooling: 10.23 s, Injection: 1.48</t>
  </si>
  <si>
    <t>(2505-855) Generic injection molding and painting template</t>
  </si>
  <si>
    <t>00000004XD3XEU01 (AutoReverse)</t>
  </si>
  <si>
    <t>00000002LTMVEU01 (AutoReverse)</t>
  </si>
  <si>
    <t>Steering System &gt; Steering Wheel System &gt; Assembly</t>
  </si>
  <si>
    <t>000000008DBUEU01 (AutoReverse)</t>
  </si>
  <si>
    <t>Steering System &gt; Steering Shaft Assembly</t>
  </si>
  <si>
    <t>Steering System &gt; Steering Shaft Assembly &gt; Steering Column Assy</t>
  </si>
  <si>
    <t>Steering System &gt; Steering Shaft Assembly &gt; Steering Column Assy &gt; Support</t>
  </si>
  <si>
    <t>Material: Steel sheet  ;Process: Stamping, Galvanizing</t>
  </si>
  <si>
    <t>Material: AlSi10Mg ;Process: Melting, Casting, Shot Blasting, Milling</t>
  </si>
  <si>
    <t>Material: Steel sheet  ;Process: Stamping</t>
  </si>
  <si>
    <t>Steering System &gt; Steering Shaft Assembly &gt; Steering Column Assy &gt; Electric Adjustment Mechanism</t>
  </si>
  <si>
    <t>Steering System &gt; Steering Shaft Assembly &gt; Steering Column Assy &gt; Electric Adjustment Mechanism &gt; Depth Adjustment</t>
  </si>
  <si>
    <t>Material: Steel Sheet ;Process: Stamping, Galvanizing</t>
  </si>
  <si>
    <t>Material: POM ;Process: Injection molding</t>
  </si>
  <si>
    <t>Steering System &gt; Steering Shaft Assembly &gt; Steering Column Assy &gt; Electric Adjustment Mechanism &gt; Depth Adjustment &gt; Pre-Assembly Movement System</t>
  </si>
  <si>
    <t>Automotive Line (share) with 60sec takt</t>
  </si>
  <si>
    <t xml:space="preserve">PTR-[Internal] Assembly </t>
  </si>
  <si>
    <t>Steering System &gt; Steering Shaft Assembly &gt; Steering Column Assy &gt; Electric Adjustment Mechanism &gt; Height Adjustment</t>
  </si>
  <si>
    <t>Steering System &gt; Steering Shaft Assembly &gt; Steering Column Assy &gt; Electric Adjustment Mechanism &gt; Height Adjustment &gt; Pre-Assembly Movement System</t>
  </si>
  <si>
    <t>Steering System &gt; Steering Shaft Assembly &gt; Steering Column Assy &gt; Steering Column Parts</t>
  </si>
  <si>
    <t>C45E for shaft incremental cold forming, Steel tube for jacket and shaft, AliSi10Mg for Housing</t>
  </si>
  <si>
    <t>Steering System &gt; Steering Shaft Assembly &gt; Steering Column Assy &gt; Steering Column Parts &gt; Process</t>
  </si>
  <si>
    <t>Housing: Casting, Machining, Shot Peening   Shaft: Incremental cold forming, machining, punching, Jacket: Cutting, punching, marking Other Shaft: Cut, roll form, punch, galvanize</t>
  </si>
  <si>
    <t>Material: Steel;Aluminium  ;Process: Multiple, complex assy</t>
  </si>
  <si>
    <t>Steering System &gt; Steering Shaft Assembly &gt; Steering Column Assy &gt; Process</t>
  </si>
  <si>
    <t>Side spindle assy, straightening, bearing assy, VM crash, semi-automated final assy with bench test, packing</t>
  </si>
  <si>
    <t>000000009MHTEU01 (AutoReverse)</t>
  </si>
  <si>
    <t>Steering System &gt; Steering Shaft Assembly &gt; Column Coupling</t>
  </si>
  <si>
    <t>Steering System &gt; Steering Shaft Assembly &gt; Column Coupling &gt; Column Coupling</t>
  </si>
  <si>
    <t>Hot form steel (similar DUCTIBOR 1000P) for yokes, steel tube for shafts, cross joints, needle bearings as standard commodtity, metal-alub for greasing</t>
  </si>
  <si>
    <t>Steering System &gt; Steering Shaft Assembly &gt; Column Coupling &gt; Column Coupling &gt; Process</t>
  </si>
  <si>
    <t>Yokes: Forging, Machining, Broaching    Shafts: Cut, Inner broaching, End forming, KNurling and Turning</t>
  </si>
  <si>
    <t>Material:Steel, POM  ;Process: Multiple, complex assy</t>
  </si>
  <si>
    <t>Steering System &gt; Steering Shaft Assembly &gt; Column Coupling &gt; Process</t>
  </si>
  <si>
    <t>5-station assy (2 automated), EoL Test, Pack</t>
  </si>
  <si>
    <t>00000009ZOM1EU01 (AutoReverse)</t>
  </si>
  <si>
    <t>Steering System &gt; Steering Shaft Assembly &gt; Column Covers</t>
  </si>
  <si>
    <t>Steering System &gt; Steering Shaft Assembly &gt; Column Covers &gt; Steering Switch Cover</t>
  </si>
  <si>
    <t>Steering System &gt; Steering Shaft Assembly &gt; Column Covers &gt; Steering Switch Cover &gt; Steering Switch Covers Lower</t>
  </si>
  <si>
    <t>Steering System &gt; Steering Shaft Assembly &gt; Column Covers &gt; Steering Switch Cover &gt; Steering Switch Covers Lower &gt; Cover</t>
  </si>
  <si>
    <t>Steering System &gt; Steering Shaft Assembly &gt; Column Covers &gt; Steering Switch Cover &gt; Steering Switch Covers Lower &gt; Cover &gt; Automated Process</t>
  </si>
  <si>
    <t>00000000X85KEU01 (AutoReverse)</t>
  </si>
  <si>
    <t>00000006CCXLEU01 (AutoReverse)</t>
  </si>
  <si>
    <t>Steering System &gt; Steering Shaft Assembly &gt; Column Covers &gt; Steering Switch Cover &gt; Steering Switch Covers Upper</t>
  </si>
  <si>
    <t>Steering System &gt; Steering Shaft Assembly &gt; Column Covers &gt; Steering Switch Cover &gt; Steering Switch Covers Upper &gt; Automated Process</t>
  </si>
  <si>
    <t>00000007I2MZEU01 (AutoReverse)</t>
  </si>
  <si>
    <t>00000001071QEU01 (AutoReverse)</t>
  </si>
  <si>
    <t>00000005OLB4EU01 (AutoReverse)</t>
  </si>
  <si>
    <t>Steering System &gt; Steering Shaft Assembly &gt; Ignition Switch Assembly System</t>
  </si>
  <si>
    <t>00000005DV3QEU01 (AutoReverse)</t>
  </si>
  <si>
    <t>000000025F71EU01 (AutoReverse)</t>
  </si>
  <si>
    <t>Material: EPDM ;Process: Elastomer molding</t>
  </si>
  <si>
    <t>0000000A4QJVEU01 (AutoReverse)</t>
  </si>
  <si>
    <t>00000006ORDKEU01 (AutoReverse)</t>
  </si>
  <si>
    <t>Material: PP-GF30, TPE, Steel Inserts ;Process: x2 Molding (multi-cavity)</t>
  </si>
  <si>
    <t>000000091HQDEU01 (AutoReverse)</t>
  </si>
  <si>
    <t>00000009OR03EU01 (AutoReverse)</t>
  </si>
  <si>
    <t>Steering System &gt; Steering Shaft Assembly &gt; Steering Adjuster Cover</t>
  </si>
  <si>
    <t>Steering System &gt; Steering Shaft Assembly &gt; Steering Adjuster Cover &gt; Automated Process</t>
  </si>
  <si>
    <t>Injection molding, Cutting, Sewing</t>
  </si>
  <si>
    <t>00000006LZDDEU01 (AutoReverse)</t>
  </si>
  <si>
    <t>Steering System &gt; Steering Shaft Assembly &gt; Steering Adjuster Cover Support</t>
  </si>
  <si>
    <t>Steering System &gt; Steering Shaft Assembly &gt; Steering Adjuster Cover Support &gt; Automated Process</t>
  </si>
  <si>
    <t>0000000AKLF5EU01 (AutoReverse)</t>
  </si>
  <si>
    <t>00000004XNP3EU01 (AutoReverse)</t>
  </si>
  <si>
    <t>Steering System &gt; Steering Bar</t>
  </si>
  <si>
    <t>Steering System &gt; Steering Bar &gt; Tie Rod End</t>
  </si>
  <si>
    <t>Material: Steel Sheet, 42CrMo4 ingot, TPE, Clipping commodities ;Process: Stamping, Forging, Galvanizing, Elastomer Molding, Dispensing, Assembly</t>
  </si>
  <si>
    <t>A000002TLRHCEU01 (AutoReverse)</t>
  </si>
  <si>
    <t>A000002TLRH9EU01 (AutoReverse)</t>
  </si>
  <si>
    <t>00000005G6HCEU01 (AutoReverse)</t>
  </si>
  <si>
    <t>Steering System &gt; Steering Bar &gt; Steering Bar Parts</t>
  </si>
  <si>
    <t>380/EN AC 46500 - AlSiCu3 for Main Housing,     Steel, 16MnCr5, round bar, for Rack,   D39 poweder for pulley,   Steel, 42CrMo4, round bar, 50mm for pinion</t>
  </si>
  <si>
    <t>Steering System &gt; Steering Bar &gt; Steering Bar Parts &gt; Process</t>
  </si>
  <si>
    <t xml:space="preserve">Process: Multiple, complex assy   </t>
  </si>
  <si>
    <t xml:space="preserve">Material: Steel;Electric motor;Aluminium;PP-EPDM  ;Process: Multiple, complex assy </t>
  </si>
  <si>
    <t xml:space="preserve"> Pinion: Turning, Rolling, Hobbing, Machining, Heat Treatment, Grinding, Commoditiy, Marking and Packing   Housing: Casting with cores, machining, anodizing Rack: Machining, Heat and Quench, Rectify</t>
  </si>
  <si>
    <t>0000000AW16OEU01 (AutoReverse)</t>
  </si>
  <si>
    <t>Steering System &gt; Steering Bar &gt; Process</t>
  </si>
  <si>
    <t>Process: Multiple, complex assy Smi-automated assy with additional bench test, connection to motor, EoL test and reflashing</t>
  </si>
  <si>
    <t>Material: Steel;Electric motor;Aluminium;PP-EPDM  ;Process: Multiple, complex assy</t>
  </si>
  <si>
    <t>00000009JKM1EU01 (AutoReverse)</t>
  </si>
  <si>
    <t>00000001GQ39EU01 (AutoReverse)</t>
  </si>
  <si>
    <t>Transmission System</t>
  </si>
  <si>
    <t>Transmission System &gt; Front Drive Shaft/Differential</t>
  </si>
  <si>
    <t>Transmission System &gt; Front Drive Shaft/Differential &gt; Front Transmission</t>
  </si>
  <si>
    <t>Transmission System &gt; Front Drive Shaft/Differential &gt; Front Transmission &gt; Output Stage</t>
  </si>
  <si>
    <t>Transmission System &gt; Front Drive Shaft/Differential &gt; Front Transmission &gt; Output Stage &gt; Bearing</t>
  </si>
  <si>
    <t>Transmission System &gt; Front Drive Shaft/Differential &gt; Front Transmission &gt; Output Stage &gt; Bearing &gt; Bearing Race</t>
  </si>
  <si>
    <t>PTR-[Purchased] Mechanical Prod</t>
  </si>
  <si>
    <t>0000000AP9C0EU01 (AutoReverse)</t>
  </si>
  <si>
    <t>00000011UK61CID0 (AutoReverse)</t>
  </si>
  <si>
    <t>000000016J84EU01 (AutoReverse)</t>
  </si>
  <si>
    <t>Material: Steel;
Process: Forging, Machining, Grinding, Heat treatment, Assembly</t>
  </si>
  <si>
    <t>000000086KRDEU01 (AutoReverse)</t>
  </si>
  <si>
    <t>0000000A9ZHEEU01 (AutoReverse)</t>
  </si>
  <si>
    <t>00000003VIDSEU01 (AutoReverse)</t>
  </si>
  <si>
    <t>Material: Cast iron;
Process: Sand Casting, Machining, Annealing</t>
  </si>
  <si>
    <t>00000004CYRAEU01 (AutoReverse)</t>
  </si>
  <si>
    <t>Transmission System &gt; Front Drive Shaft/Differential &gt; Front Transmission &gt; Output Stage &gt; Final Cascading Pinion</t>
  </si>
  <si>
    <t>3.64600 kg</t>
  </si>
  <si>
    <t>4.8613333333333333333333333333 kg</t>
  </si>
  <si>
    <t>20MnCr5</t>
  </si>
  <si>
    <t>K02203</t>
  </si>
  <si>
    <t>Transmission System &gt; Front Drive Shaft/Differential &gt; Front Transmission &gt; Output Stage &gt; Final Cascading Pinion &gt; Process</t>
  </si>
  <si>
    <t>Forging, Gear Hobbing, Gear Fishing,  Case haredning, Machining</t>
  </si>
  <si>
    <t>Material: Steel;   Process: Forging, Gear Hobbing, Gear Fishing,  Case haredning, Machining</t>
  </si>
  <si>
    <t>00000005FIXGEU01 (AutoReverse)</t>
  </si>
  <si>
    <t>Material: Steel;
Process: Forging, Machining, Case Hardening</t>
  </si>
  <si>
    <t>00000008QK1AEU01 (AutoReverse)</t>
  </si>
  <si>
    <t>Material: Steel
Process: Cut length, Machining, Case Hardening</t>
  </si>
  <si>
    <t>00000003KDYTEU01 (AutoReverse)</t>
  </si>
  <si>
    <t xml:space="preserve">Material: Steel;
Process: Forging, Machining, Case Hardening, Gear Broaching </t>
  </si>
  <si>
    <t>00000006Q1QJEU01 (AutoReverse)</t>
  </si>
  <si>
    <t>Material: Steel
Process: Stamping</t>
  </si>
  <si>
    <t>000000023EHZEU01 (AutoReverse)</t>
  </si>
  <si>
    <t>Material: Steel;  Process: Stamping</t>
  </si>
  <si>
    <t>Transmission System &gt; Front Drive Shaft/Differential &gt; Front Transmission &gt; Output Stage &gt; Differential assembly</t>
  </si>
  <si>
    <t>Diff Assy</t>
  </si>
  <si>
    <t>Screws (GCDB_01_00087)</t>
  </si>
  <si>
    <t>00000002JZALEU01 (AutoReverse)</t>
  </si>
  <si>
    <t>Transmission System &gt; Front Drive Shaft/Differential &gt; Front Transmission &gt; Input Stage</t>
  </si>
  <si>
    <t>Transmission System &gt; Front Drive Shaft/Differential &gt; Front Transmission &gt; Input Stage &gt; Ball Bearing</t>
  </si>
  <si>
    <t>000000029HS3EU01 (AutoReverse)</t>
  </si>
  <si>
    <t>0000000ACZQLEU01 (AutoReverse)</t>
  </si>
  <si>
    <t>00000006I7ZMEU01 (AutoReverse)</t>
  </si>
  <si>
    <t>Material: Steel
Process: Forging, Gear Hobbing, Gear Fishing, Broaching, Case haredning</t>
  </si>
  <si>
    <t>0000000A49IZEU01 (AutoReverse)</t>
  </si>
  <si>
    <t>00000004CQJ1EU01 (AutoReverse)</t>
  </si>
  <si>
    <t>000000012HBJEU01 (AutoReverse)</t>
  </si>
  <si>
    <t>Transmission System &gt; Front Drive Shaft/Differential &gt; Front Transmission &gt; Intermediate Stage</t>
  </si>
  <si>
    <t>Material: Steel
Process: Forging, Gear Hobbing, Gear Fishing,  Case haredning, Machining</t>
  </si>
  <si>
    <t>0000000658LDEU01 (AutoReverse)</t>
  </si>
  <si>
    <t>Transmission System &gt; Front Drive Shaft/Differential &gt; Front Transmission &gt; Intermediate Stage &gt; Gear</t>
  </si>
  <si>
    <t>2.45000 kg</t>
  </si>
  <si>
    <t>3.2666666666666666666666666667 kg</t>
  </si>
  <si>
    <t>Transmission System &gt; Front Drive Shaft/Differential &gt; Front Transmission &gt; Intermediate Stage &gt; Gear &gt; Process</t>
  </si>
  <si>
    <t>Forging, Gear Hobbing, Gear Fishing,  Case haredning, Gear Broaching , Machining</t>
  </si>
  <si>
    <t>000000012SB2EU01 (AutoReverse)</t>
  </si>
  <si>
    <t>00000008A008EU01 (AutoReverse)</t>
  </si>
  <si>
    <t>000000019WGVEU01 (AutoReverse)</t>
  </si>
  <si>
    <t>00000007KG3MEU01 (AutoReverse)</t>
  </si>
  <si>
    <t>00000000DW4OEU01 (AutoReverse)</t>
  </si>
  <si>
    <t>000000074211EU01 (AutoReverse)</t>
  </si>
  <si>
    <t>00000001VBMVEU01 (AutoReverse)</t>
  </si>
  <si>
    <t>Transmission System &gt; Front Drive Shaft/Differential &gt; Front Transmission &gt; Lubrication/ Degassing</t>
  </si>
  <si>
    <t>Material: Steel
Process: Fastener</t>
  </si>
  <si>
    <t>00000000P1Y3EU01 (AutoReverse)</t>
  </si>
  <si>
    <t>000000070NKEEU01 (AutoReverse)</t>
  </si>
  <si>
    <t>Material: Magent
Process: Sintering</t>
  </si>
  <si>
    <t>00000007H014EU01 (AutoReverse)</t>
  </si>
  <si>
    <t>Material: PA66-GF30
Process: Injection molding</t>
  </si>
  <si>
    <t>00000002Y8GSEU01 (AutoReverse)</t>
  </si>
  <si>
    <t>Material: Aluminium
Process: Stamping and Welding</t>
  </si>
  <si>
    <t>00000002WA65EU01 (AutoReverse)</t>
  </si>
  <si>
    <t>Material: PA66-GF30
Process: Overmolding</t>
  </si>
  <si>
    <t>00000009LZ7CEU01 (AutoReverse)</t>
  </si>
  <si>
    <t>00000009HEGCEU01 (AutoReverse)</t>
  </si>
  <si>
    <t>Material: Electronic component;Aluminium
Process: Die casting, PCB Assembly</t>
  </si>
  <si>
    <t>0000000ASLVGEU01 (AutoReverse)</t>
  </si>
  <si>
    <t>Material: Rayon;PA6-GF3
Process: Overmolding, Assembly</t>
  </si>
  <si>
    <t>00000002NX8VEU01 (AutoReverse)</t>
  </si>
  <si>
    <t>00000005CE48EU01 (AutoReverse)</t>
  </si>
  <si>
    <t>Transmission System &gt; Front Drive Shaft/Differential &gt; Front Transmission &gt; Housing System</t>
  </si>
  <si>
    <t>Transmission System &gt; Front Drive Shaft/Differential &gt; Front Transmission &gt; Housing System &gt; Base Seal</t>
  </si>
  <si>
    <t>Material: Steel;ACM
Process: Rubber forming, Metal bracket processing</t>
  </si>
  <si>
    <t>00000003NPQMEU01 (AutoReverse)</t>
  </si>
  <si>
    <t>00000008YB3TEU01 (AutoReverse)</t>
  </si>
  <si>
    <t>00000006X4PYEU01 (AutoReverse)</t>
  </si>
  <si>
    <t>Transmission System &gt; Front Drive Shaft/Differential &gt; Front Transmission &gt; Housing System &gt; Main Housing</t>
  </si>
  <si>
    <t>4.30100 kg</t>
  </si>
  <si>
    <t>4.7211855104281009879253567508 kg</t>
  </si>
  <si>
    <t>Transmission System &gt; Front Drive Shaft/Differential &gt; Front Transmission &gt; Housing System &gt; Main Housing &gt; Process</t>
  </si>
  <si>
    <t>Die casting, Machining</t>
  </si>
  <si>
    <t>Material: Aluminium
Process: Die Casting, Machining</t>
  </si>
  <si>
    <t>00000009H4U2EU01 (AutoReverse)</t>
  </si>
  <si>
    <t>Material: ADC12
Process: Die Casting, Machining</t>
  </si>
  <si>
    <t>000000AFJBKTEU02 (AutoReverse)</t>
  </si>
  <si>
    <t>Screws (GCDB_01_00966)</t>
  </si>
  <si>
    <t>Screws (GCDB_01_00366)</t>
  </si>
  <si>
    <t>Screws (GCDB_01_00134)</t>
  </si>
  <si>
    <t>Transmission System &gt; Front Drive Shaft/Differential &gt; Front Transmission &gt; Final assembly</t>
  </si>
  <si>
    <t>Final Assy</t>
  </si>
  <si>
    <t>000000033T6MEU01 (AutoReverse)</t>
  </si>
  <si>
    <t>Transmission System &gt; Front Drive Shaft/Differential &gt; Front Drive shaft system</t>
  </si>
  <si>
    <t>Material: Steel;
Process: Forging, Normalization treatment, Quenching and tempering, Machining, Spline rolling, Assembly</t>
  </si>
  <si>
    <t>0000000AT8LIEU01 (AutoReverse)</t>
  </si>
  <si>
    <t>Material: Steel;
Process: Forging, Normalization treatment, Quenching and tempering, Machining, Friction welding, Spline rolling, Assembly</t>
  </si>
  <si>
    <t>00000001Q836EU01 (AutoReverse)</t>
  </si>
  <si>
    <t>000000041O0CEU01 (AutoReverse)</t>
  </si>
  <si>
    <t>0000000ATOWIEU01 (AutoReverse)</t>
  </si>
  <si>
    <t>00000006WCP8EU01 (AutoReverse)</t>
  </si>
  <si>
    <t>00000004FSOEEU01 (AutoReverse)</t>
  </si>
  <si>
    <t>00000006MVC7EU01 (AutoReverse)</t>
  </si>
  <si>
    <t>Fastener</t>
  </si>
  <si>
    <t>00000007OHOBEU01 (AutoReverse)</t>
  </si>
  <si>
    <t>Transmission System &gt; Rear Drive Shaft/Differential</t>
  </si>
  <si>
    <t>Transmission System &gt; Rear Drive Shaft/Differential &gt; Rear Transmission</t>
  </si>
  <si>
    <t>Transmission System &gt; Rear Drive Shaft/Differential &gt; Rear Transmission &gt; Output Stage</t>
  </si>
  <si>
    <t>Transmission System &gt; Rear Drive Shaft/Differential &gt; Rear Transmission &gt; Output Stage &gt; Bearing Races</t>
  </si>
  <si>
    <t>00000000KVHIEU01 (AutoReverse)</t>
  </si>
  <si>
    <t>00000006NRA5EU01 (AutoReverse)</t>
  </si>
  <si>
    <t>0000000APRBJEU01 (AutoReverse)</t>
  </si>
  <si>
    <t>000000049CIKEU01 (AutoReverse)</t>
  </si>
  <si>
    <t>0000000865WYEU01 (AutoReverse)</t>
  </si>
  <si>
    <t>00000009RFZSEU01 (AutoReverse)</t>
  </si>
  <si>
    <t>Transmission System &gt; Rear Drive Shaft/Differential &gt; Rear Transmission &gt; Output Stage &gt; Final Cascading Pinion</t>
  </si>
  <si>
    <t>4.25000 kg</t>
  </si>
  <si>
    <t>5.6666666666666666666666666667 kg</t>
  </si>
  <si>
    <t>Transmission System &gt; Rear Drive Shaft/Differential &gt; Rear Transmission &gt; Output Stage &gt; Final Cascading Pinion &gt; Process</t>
  </si>
  <si>
    <t>00000006RNFPEU01 (AutoReverse)</t>
  </si>
  <si>
    <t>000000024S60EU01 (AutoReverse)</t>
  </si>
  <si>
    <t>00000000WMJLEU01 (AutoReverse)</t>
  </si>
  <si>
    <t>000000017M1CEU01 (AutoReverse)</t>
  </si>
  <si>
    <t>000000092G6VEU01 (AutoReverse)</t>
  </si>
  <si>
    <t>Transmission System &gt; Rear Drive Shaft/Differential &gt; Rear Transmission &gt; Output Stage &gt; Differential assembly</t>
  </si>
  <si>
    <t>Screws (GCDB_01_00116)</t>
  </si>
  <si>
    <t>PTR - [Internal] Assembly</t>
  </si>
  <si>
    <t>00000002DA8TEU01 (AutoReverse)</t>
  </si>
  <si>
    <t>Transmission System &gt; Rear Drive Shaft/Differential &gt; Rear Transmission &gt; Input Stage</t>
  </si>
  <si>
    <t>Transmission System &gt; Rear Drive Shaft/Differential &gt; Rear Transmission &gt; Input Stage &gt; Rolling Bearing</t>
  </si>
  <si>
    <t>00000007CX6EEU01 (AutoReverse)</t>
  </si>
  <si>
    <t>0000000396O3EU01 (AutoReverse)</t>
  </si>
  <si>
    <t>000000AGARBKEU02 (AutoReverse)</t>
  </si>
  <si>
    <t>00000005YACNEU01 (AutoReverse)</t>
  </si>
  <si>
    <t>0000000455XDEU01 (AutoReverse)</t>
  </si>
  <si>
    <t>00000004S01XEU01 (AutoReverse)</t>
  </si>
  <si>
    <t>Transmission System &gt; Rear Drive Shaft/Differential &gt; Rear Transmission &gt; Intermediate Stage</t>
  </si>
  <si>
    <t>00000000938ZEU01 (AutoReverse)</t>
  </si>
  <si>
    <t>Transmission System &gt; Rear Drive Shaft/Differential &gt; Rear Transmission &gt; Intermediate Stage &gt; Gear</t>
  </si>
  <si>
    <t>2.58500 kg</t>
  </si>
  <si>
    <t>3.4466666666666666666666666667 kg</t>
  </si>
  <si>
    <t>Transmission System &gt; Rear Drive Shaft/Differential &gt; Rear Transmission &gt; Intermediate Stage &gt; Gear &gt; Process</t>
  </si>
  <si>
    <t>000000032CZQEU01 (AutoReverse)</t>
  </si>
  <si>
    <t>00000008X463EU01 (AutoReverse)</t>
  </si>
  <si>
    <t>0000000A5GFXEU01 (AutoReverse)</t>
  </si>
  <si>
    <t>00000009RXLOEU01 (AutoReverse)</t>
  </si>
  <si>
    <t>00000001N36REU01 (AutoReverse)</t>
  </si>
  <si>
    <t>0000000A0RLZEU01 (AutoReverse)</t>
  </si>
  <si>
    <t>000000006GBPEU01 (AutoReverse)</t>
  </si>
  <si>
    <t>Transmission System &gt; Rear Drive Shaft/Differential &gt; Rear Transmission &gt; Lubrication/ Degassing</t>
  </si>
  <si>
    <t>000000065UWMEU01 (AutoReverse)</t>
  </si>
  <si>
    <t>00000003JQEGEU01 (AutoReverse)</t>
  </si>
  <si>
    <t>0000000AHSXSEU01 (AutoReverse)</t>
  </si>
  <si>
    <t>00000011UK7HCID0 (AutoReverse)</t>
  </si>
  <si>
    <t>A000000PSKHKEU02 (AutoReverse)</t>
  </si>
  <si>
    <t>A0000014NLL3EU02 (AutoReverse)</t>
  </si>
  <si>
    <t>00000008OLCBEU01 (AutoReverse)</t>
  </si>
  <si>
    <t>A000003AGM3REU01 (AutoReverse)</t>
  </si>
  <si>
    <t>00000004UZL0EU01 (AutoReverse)</t>
  </si>
  <si>
    <t>000000AM9RB7EU02 (AutoReverse) ; 000000AM9RB1EU02 (AutoReverse)</t>
  </si>
  <si>
    <t>000000087NKJEU01 (AutoReverse)</t>
  </si>
  <si>
    <t>Transmission System &gt; Rear Drive Shaft/Differential &gt; Rear Transmission &gt; Housing System</t>
  </si>
  <si>
    <t>Transmission System &gt; Rear Drive Shaft/Differential &gt; Rear Transmission &gt; Housing System &gt; Base Seal</t>
  </si>
  <si>
    <t>00000008UZGXEU01 (AutoReverse)</t>
  </si>
  <si>
    <t>00000008P2FAEU01 (AutoReverse)</t>
  </si>
  <si>
    <t>00000002OAYWEU01 (AutoReverse)</t>
  </si>
  <si>
    <t>Transmission System &gt; Rear Drive Shaft/Differential &gt; Rear Transmission &gt; Housing System &gt; Main Housing</t>
  </si>
  <si>
    <t>4.57400 kg</t>
  </si>
  <si>
    <t>5.0208562019758507135016465423 kg</t>
  </si>
  <si>
    <t>Transmission System &gt; Rear Drive Shaft/Differential &gt; Rear Transmission &gt; Housing System &gt; Main Housing &gt; Process</t>
  </si>
  <si>
    <t>00000003O56GEU01 (AutoReverse)</t>
  </si>
  <si>
    <t>00000000ZWH0EU01 (AutoReverse)</t>
  </si>
  <si>
    <t>Transmission System &gt; Rear Drive Shaft/Differential &gt; Rear Transmission &gt; Final assembly</t>
  </si>
  <si>
    <t>0000000A0FL6EU01 (AutoReverse)</t>
  </si>
  <si>
    <t>Transmission System &gt; Rear Drive Shaft/Differential &gt; Rear Drive Shaft Syatem</t>
  </si>
  <si>
    <t>00000009EFDSEU01 (AutoReverse)</t>
  </si>
  <si>
    <t>000000060KZREU01 (AutoReverse)</t>
  </si>
  <si>
    <t>00000006KFFEEU01 (AutoReverse)</t>
  </si>
  <si>
    <t>000000AM9RBREU02 (AutoReverse)</t>
  </si>
  <si>
    <t>A000004AAVVFEU01 (AutoReverse)</t>
  </si>
  <si>
    <t>0000000ALFGBEU01 (AutoReverse)</t>
  </si>
  <si>
    <t>00000000YMFBEU01 (AutoReverse)</t>
  </si>
  <si>
    <t>00000001CDEWEU01 (AutoReverse)</t>
  </si>
  <si>
    <t>Seats</t>
  </si>
  <si>
    <t>Seats &gt; Driver</t>
  </si>
  <si>
    <t>Seats &gt; Driver &gt; Head Rest</t>
  </si>
  <si>
    <t>Seats &gt; Driver &gt; Head Rest &gt; Cover</t>
  </si>
  <si>
    <t>Seats &gt; Driver &gt; Head Rest &gt; Cover &gt; Automated Process</t>
  </si>
  <si>
    <t>Cutting, Sewing</t>
  </si>
  <si>
    <t>LEATHER</t>
  </si>
  <si>
    <t>000000042HW9EU01 (AutoReverse)</t>
  </si>
  <si>
    <t>Seats &gt; Driver &gt; Head Rest &gt; Padding</t>
  </si>
  <si>
    <t>Seats &gt; Driver &gt; Head Rest &gt; Padding &gt; Automated Process</t>
  </si>
  <si>
    <t>Foaming</t>
  </si>
  <si>
    <t>PUR</t>
  </si>
  <si>
    <t>000000046GDYEU01 (AutoReverse)</t>
  </si>
  <si>
    <t>Material : PET
Process : Cutting</t>
  </si>
  <si>
    <t>000000AQZ5GHEU02 (AutoReverse)</t>
  </si>
  <si>
    <t>Material: Plastic Unknown</t>
  </si>
  <si>
    <t>00000000FR5OEU01 (AutoReverse)</t>
  </si>
  <si>
    <t>Seats &gt; Driver &gt; Head Rest &gt; Frame</t>
  </si>
  <si>
    <t>Seats &gt; Driver &gt; Head Rest &gt; Frame &gt; Automated Process</t>
  </si>
  <si>
    <t xml:space="preserve">Stamping, Cutting, Bending, Welding </t>
  </si>
  <si>
    <t>0000000A543JEU01 (AutoReverse)</t>
  </si>
  <si>
    <t>Seats &gt; Driver &gt; Head Rest &gt; Reinforcement Mechanism</t>
  </si>
  <si>
    <t>Seats &gt; Driver &gt; Head Rest &gt; Reinforcement Mechanism &gt; Automated Process</t>
  </si>
  <si>
    <t>000000095YS9EU01 (AutoReverse)</t>
  </si>
  <si>
    <t>Seats &gt; Driver &gt; Head Rest &gt; Rear Bezel</t>
  </si>
  <si>
    <t>Seats &gt; Driver &gt; Head Rest &gt; Rear Bezel &gt; Automated Process</t>
  </si>
  <si>
    <t>0000000517ZKEU01 (AutoReverse)</t>
  </si>
  <si>
    <t>Seats &gt; Driver &gt; Head Rest &gt; Rear Bezel Support</t>
  </si>
  <si>
    <t>Seats &gt; Driver &gt; Head Rest &gt; Rear Bezel Support &gt; Automated Process</t>
  </si>
  <si>
    <t>00000001ZWX6EU01 (AutoReverse)</t>
  </si>
  <si>
    <t>00000000HXY3EU01 (AutoReverse)</t>
  </si>
  <si>
    <t>Seats &gt; Driver &gt; Back</t>
  </si>
  <si>
    <t>Seats &gt; Driver &gt; Back &gt; Head Rest Support Bracket</t>
  </si>
  <si>
    <t>Seats &gt; Driver &gt; Back &gt; Head Rest Support Bracket &gt; Guide</t>
  </si>
  <si>
    <t>Seats &gt; Driver &gt; Back &gt; Head Rest Support Bracket &gt; Guide &gt; Automated Process</t>
  </si>
  <si>
    <t>PA6-PA66</t>
  </si>
  <si>
    <t>00000005FUC9EU01 (AutoReverse)</t>
  </si>
  <si>
    <t>00000006SMBEEU01 (AutoReverse)</t>
  </si>
  <si>
    <t>Seats &gt; Driver &gt; Back &gt; Rear Shell System</t>
  </si>
  <si>
    <t>Seats &gt; Driver &gt; Back &gt; Rear Shell System &gt; Back Cover</t>
  </si>
  <si>
    <t>Seats &gt; Driver &gt; Back &gt; Rear Shell System &gt; Back Cover &gt; Automated Process</t>
  </si>
  <si>
    <t xml:space="preserve">Injection molding, Gluing </t>
  </si>
  <si>
    <t>LEATHER;PP-EPDM</t>
  </si>
  <si>
    <t>00000001SZFNEU01 (AutoReverse)</t>
  </si>
  <si>
    <t>Seats &gt; Driver &gt; Back &gt; Rear Shell System &gt; Cover Upper Part</t>
  </si>
  <si>
    <t>Seats &gt; Driver &gt; Back &gt; Rear Shell System &gt; Cover Upper Part &gt; Automated Process</t>
  </si>
  <si>
    <t>Injection molding, Painting</t>
  </si>
  <si>
    <t>00000009OILAEU01 (AutoReverse)</t>
  </si>
  <si>
    <t>Seats &gt; Driver &gt; Back &gt; Rear Shell System &gt; Cover Lower Part</t>
  </si>
  <si>
    <t>Seats &gt; Driver &gt; Back &gt; Rear Shell System &gt; Cover Lower Part &gt; Automated Process</t>
  </si>
  <si>
    <t>Die Cutting</t>
  </si>
  <si>
    <t>PET;PE</t>
  </si>
  <si>
    <t>000000016T7PEU01 (AutoReverse)</t>
  </si>
  <si>
    <t>Seats &gt; Driver &gt; Back &gt; Rear Shell System &gt; Bezel</t>
  </si>
  <si>
    <t>Seats &gt; Driver &gt; Back &gt; Rear Shell System &gt; Bezel &gt; Automated Process</t>
  </si>
  <si>
    <t>00000004SOF6EU01 (AutoReverse)</t>
  </si>
  <si>
    <t>Seats &gt; Driver &gt; Back &gt; Rear Shell System &gt; Support 1</t>
  </si>
  <si>
    <t>Seats &gt; Driver &gt; Back &gt; Rear Shell System &gt; Support 1 &gt; Automated Process</t>
  </si>
  <si>
    <t>00000008DYW8EU01 (AutoReverse)</t>
  </si>
  <si>
    <t>Seats &gt; Driver &gt; Back &gt; Rear Shell System &gt; Support 2</t>
  </si>
  <si>
    <t>Seats &gt; Driver &gt; Back &gt; Rear Shell System &gt; Support 2 &gt; Automated Process</t>
  </si>
  <si>
    <t>Bending, Welding</t>
  </si>
  <si>
    <t>A000003B12ZPEU01 (AutoReverse)</t>
  </si>
  <si>
    <t>000000075O3FEU01 (AutoReverse)</t>
  </si>
  <si>
    <t>Seats &gt; Driver &gt; Back &gt; Cover</t>
  </si>
  <si>
    <t>Seats &gt; Driver &gt; Back &gt; Cover &gt; Automated Process</t>
  </si>
  <si>
    <t xml:space="preserve">Cutting, Sewing
</t>
  </si>
  <si>
    <t>00000007MNZUEU01 (AutoReverse)</t>
  </si>
  <si>
    <t>Seats &gt; Driver &gt; Back &gt; Pad</t>
  </si>
  <si>
    <t>Seats &gt; Driver &gt; Back &gt; Pad &gt; Automated Process</t>
  </si>
  <si>
    <t>00000006HLTMEU01 (AutoReverse)</t>
  </si>
  <si>
    <t>Material : PA
Process: Cutting</t>
  </si>
  <si>
    <t>00000007AT69EU01 (AutoReverse)</t>
  </si>
  <si>
    <t>Seats &gt; Driver &gt; Back &gt; 2nd Pad</t>
  </si>
  <si>
    <t>Seats &gt; Driver &gt; Back &gt; 2nd Pad &gt; Automated Process</t>
  </si>
  <si>
    <t>0000000928I1EU01 (AutoReverse)</t>
  </si>
  <si>
    <t>Seats &gt; Driver &gt; Back &gt; Frame</t>
  </si>
  <si>
    <t>Seats &gt; Driver &gt; Back &gt; Frame &gt; Automated Process</t>
  </si>
  <si>
    <t>Stamping, Welding</t>
  </si>
  <si>
    <t>00000003WSH3EU01 (AutoReverse)</t>
  </si>
  <si>
    <t>Seats &gt; Driver &gt; Back &gt; Frame Protection</t>
  </si>
  <si>
    <t>Seats &gt; Driver &gt; Back &gt; Frame Protection &gt; Automated Process</t>
  </si>
  <si>
    <t>00000000K47REU01 (AutoReverse)</t>
  </si>
  <si>
    <t>Seats &gt; Driver &gt; Back &gt; 2nd Frame Protection</t>
  </si>
  <si>
    <t>Seats &gt; Driver &gt; Back &gt; 2nd Frame Protection &gt; Automated Process</t>
  </si>
  <si>
    <t>000000AOZHO3EU02 (AutoReverse)</t>
  </si>
  <si>
    <t>Seats &gt; Driver &gt; Back &gt; Frame Reinforcement</t>
  </si>
  <si>
    <t>Seats &gt; Driver &gt; Back &gt; Frame Reinforcement &gt; Automated Process</t>
  </si>
  <si>
    <t>Welding, Bending, Stamping</t>
  </si>
  <si>
    <t>000000098X3JEU01 (AutoReverse)</t>
  </si>
  <si>
    <t>Seats &gt; Driver &gt; Back &gt; 2nd Frame Reinforcement</t>
  </si>
  <si>
    <t>Seats &gt; Driver &gt; Back &gt; 2nd Frame Reinforcement &gt; Automated Process</t>
  </si>
  <si>
    <t>00000009T8XMEU01 (AutoReverse)</t>
  </si>
  <si>
    <t xml:space="preserve">Material : Plastic, Steel Wire 
Process : Wire Cutting and Bending </t>
  </si>
  <si>
    <t>0000000A6SIQEU01 (AutoReverse)</t>
  </si>
  <si>
    <t>Seats &gt; Driver &gt; Back &gt; Cover Fastener</t>
  </si>
  <si>
    <t>Seats &gt; Driver &gt; Back &gt; Cover Fastener &gt; Automated Process</t>
  </si>
  <si>
    <t>00000006TUPPEU01 (AutoReverse)</t>
  </si>
  <si>
    <t>00000001JG5UEU01 (AutoReverse)</t>
  </si>
  <si>
    <t>Seats &gt; Driver &gt; Cushion</t>
  </si>
  <si>
    <t>Seats &gt; Driver &gt; Cushion &gt; Garnish</t>
  </si>
  <si>
    <t>Seats &gt; Driver &gt; Cushion &gt; Garnish &gt; Outer Side</t>
  </si>
  <si>
    <t>Seats &gt; Driver &gt; Cushion &gt; Garnish &gt; Outer Side &gt; Automated Process</t>
  </si>
  <si>
    <t>00000001W18FEU01 (AutoReverse)</t>
  </si>
  <si>
    <t>Seats &gt; Driver &gt; Cushion &gt; Garnish &gt; 2nd Outer Cover</t>
  </si>
  <si>
    <t>Seats &gt; Driver &gt; Cushion &gt; Garnish &gt; 2nd Outer Cover &gt; Automated Process</t>
  </si>
  <si>
    <t>000000007T7FEU01 (AutoReverse)</t>
  </si>
  <si>
    <t>Seats &gt; Driver &gt; Cushion &gt; Garnish &gt; Exterior Trim Support</t>
  </si>
  <si>
    <t>Seats &gt; Driver &gt; Cushion &gt; Garnish &gt; Exterior Trim Support &gt; Automated Process</t>
  </si>
  <si>
    <t>00000007UJCAEU01 (AutoReverse)</t>
  </si>
  <si>
    <t>Seats &gt; Driver &gt; Cushion &gt; Garnish &gt; Exterior Trim 2nd Support</t>
  </si>
  <si>
    <t>Seats &gt; Driver &gt; Cushion &gt; Garnish &gt; Exterior Trim 2nd Support &gt; Automated Process</t>
  </si>
  <si>
    <t>Stamping, Wire Bending, Welding</t>
  </si>
  <si>
    <t>00000005KREBEU01 (AutoReverse)</t>
  </si>
  <si>
    <t>Seats &gt; Driver &gt; Cushion &gt; Garnish &gt; Inner Side</t>
  </si>
  <si>
    <t>Seats &gt; Driver &gt; Cushion &gt; Garnish &gt; Inner Side &gt; Automated Process</t>
  </si>
  <si>
    <t>00000003WRKHEU01 (AutoReverse)</t>
  </si>
  <si>
    <t>Seats &gt; Driver &gt; Cushion &gt; Garnish &gt; Interior Trim Support</t>
  </si>
  <si>
    <t>Seats &gt; Driver &gt; Cushion &gt; Garnish &gt; Interior Trim Support &gt; Automated Process</t>
  </si>
  <si>
    <t>00000006LQMUEU01 (AutoReverse)</t>
  </si>
  <si>
    <t>00000005OGVAEU01 (AutoReverse)</t>
  </si>
  <si>
    <t>Seats &gt; Driver &gt; Cushion &gt; Cover</t>
  </si>
  <si>
    <t>Seats &gt; Driver &gt; Cushion &gt; Cover &gt; Automated Process</t>
  </si>
  <si>
    <t>00000006D1T2EU01 (AutoReverse)</t>
  </si>
  <si>
    <t>Seats &gt; Driver &gt; Cushion &gt; Pad</t>
  </si>
  <si>
    <t>Seats &gt; Driver &gt; Cushion &gt; Pad &gt; Automated Process</t>
  </si>
  <si>
    <t>00000000587GEU01 (AutoReverse)</t>
  </si>
  <si>
    <t>Seats &gt; Driver &gt; Cushion &gt; Interior Pad</t>
  </si>
  <si>
    <t>Seats &gt; Driver &gt; Cushion &gt; Interior Pad &gt; Automated Process</t>
  </si>
  <si>
    <t>00000008Z281EU01 (AutoReverse)</t>
  </si>
  <si>
    <t>Seats &gt; Driver &gt; Cushion &gt; Frame</t>
  </si>
  <si>
    <t>Seats &gt; Driver &gt; Cushion &gt; Frame &gt; Automated Process</t>
  </si>
  <si>
    <t>Stamping, Tube Cutting, Welding, Cataphoresis</t>
  </si>
  <si>
    <t>00000002P0WYEU01 (AutoReverse)</t>
  </si>
  <si>
    <t>Seats &gt; Driver &gt; Cushion &gt; Base Assembly</t>
  </si>
  <si>
    <t>Seats &gt; Driver &gt; Cushion &gt; Base Assembly &gt; Automated Process</t>
  </si>
  <si>
    <t>Stamping, Cataphoresis</t>
  </si>
  <si>
    <t>00000009INKCEU01 (AutoReverse)</t>
  </si>
  <si>
    <t>Seats &gt; Driver &gt; Cushion &gt; Base Assembly Support</t>
  </si>
  <si>
    <t>Seats &gt; Driver &gt; Cushion &gt; Base Assembly Support &gt; Automated Process</t>
  </si>
  <si>
    <t>POM</t>
  </si>
  <si>
    <t>00000009R6VHEU01 (AutoReverse)</t>
  </si>
  <si>
    <t>Material : Plastic, Steel Wire 
Process : Wire Cutting and Bending, Injection molding</t>
  </si>
  <si>
    <t>00000002VNXFEU01 (AutoReverse)</t>
  </si>
  <si>
    <t>00000003NINTEU01 (AutoReverse)</t>
  </si>
  <si>
    <t>Seats &gt; Driver &gt; Safety</t>
  </si>
  <si>
    <t>Seats &gt; Driver &gt; Safety &gt; Outer Side Airbag System</t>
  </si>
  <si>
    <t>Seats &gt; Driver &gt; Safety &gt; Outer Side Airbag System &gt; Side Airbag</t>
  </si>
  <si>
    <t>Seats &gt; Driver &gt; Safety &gt; Outer Side Airbag System &gt; Side Airbag &gt; Process</t>
  </si>
  <si>
    <t>PA66;VMQ</t>
  </si>
  <si>
    <t>00000099Q56HCID0 (AutoReverse)</t>
  </si>
  <si>
    <t>C67S;ELECTRONIC COMPONENT</t>
  </si>
  <si>
    <t>00000099Q56ICID0 (AutoReverse)</t>
  </si>
  <si>
    <t>Material : PP</t>
  </si>
  <si>
    <t>00000099Q56JCID0 (AutoReverse)</t>
  </si>
  <si>
    <t>Seats &gt; Driver &gt; Safety &gt; Outer Side Airbag System &gt; Final Assembly + Inspection</t>
  </si>
  <si>
    <t>00000002UCH1EU01 (AutoReverse)</t>
  </si>
  <si>
    <t>Seats &gt; Driver &gt; Safety &gt; Inner Side Airbag Passenger Side Center</t>
  </si>
  <si>
    <t>Seats &gt; Driver &gt; Safety &gt; Inner Side Airbag Passenger Side Center &gt; Inner Side Airbag</t>
  </si>
  <si>
    <t>Seats &gt; Driver &gt; Safety &gt; Inner Side Airbag Passenger Side Center &gt; Inner Side Airbag &gt; Process</t>
  </si>
  <si>
    <t>A0000009G2IBEU02 (AutoReverse)</t>
  </si>
  <si>
    <t>A0000009G2IDEU02 (AutoReverse)</t>
  </si>
  <si>
    <t>A0000009G2ICEU02 (AutoReverse)</t>
  </si>
  <si>
    <t>Seats &gt; Driver &gt; Safety &gt; Inner Side Airbag Passenger Side Center &gt; Final Assembly + Inspection</t>
  </si>
  <si>
    <t>000000059L71EU01 (AutoReverse)</t>
  </si>
  <si>
    <t>00000003QPEYEU01 (AutoReverse)</t>
  </si>
  <si>
    <t>000000015UTQEU01 (AutoReverse)</t>
  </si>
  <si>
    <t>Seats &gt; Driver &gt; Power Adjusters</t>
  </si>
  <si>
    <t>Seats &gt; Driver &gt; Power Adjusters &gt; Longitudinal</t>
  </si>
  <si>
    <t>Seats &gt; Driver &gt; Power Adjusters &gt; Longitudinal &gt; Rails</t>
  </si>
  <si>
    <t>Seats &gt; Driver &gt; Power Adjusters &gt; Longitudinal &gt; Rails &gt; Inner Side</t>
  </si>
  <si>
    <t>Seats &gt; Driver &gt; Power Adjusters &gt; Longitudinal &gt; Rails &gt; Inner Side &gt; Automated Process</t>
  </si>
  <si>
    <t>Stamping, Riveting, Cataphoresis</t>
  </si>
  <si>
    <t>00000009CW83EU01 (AutoReverse)</t>
  </si>
  <si>
    <t>Seats &gt; Driver &gt; Power Adjusters &gt; Longitudinal &gt; Rails &gt; Outer Side</t>
  </si>
  <si>
    <t>Seats &gt; Driver &gt; Power Adjusters &gt; Longitudinal &gt; Rails &gt; Outer Side &gt; Automated Process</t>
  </si>
  <si>
    <t>00000009GS0EEU01 (AutoReverse)</t>
  </si>
  <si>
    <t>00000007NMP0EU01 (AutoReverse)</t>
  </si>
  <si>
    <t>ELECTRIC MOTOR;STEEL;PA</t>
  </si>
  <si>
    <t>00000002JCBJEU01 (AutoReverse)</t>
  </si>
  <si>
    <t>Seats &gt; Driver &gt; Power Adjusters &gt; Longitudinal &gt; Mount Bracket</t>
  </si>
  <si>
    <t>Seats &gt; Driver &gt; Power Adjusters &gt; Longitudinal &gt; Mount Bracket &gt; Automated Process</t>
  </si>
  <si>
    <t>0000000098CZEU01 (AutoReverse)</t>
  </si>
  <si>
    <t>Material : Steel</t>
  </si>
  <si>
    <t>A000000S69D0EU02 (AutoReverse)</t>
  </si>
  <si>
    <t>A000000U6LH0EU02 (AutoReverse)</t>
  </si>
  <si>
    <t>Material: PA</t>
  </si>
  <si>
    <t>A000000S69DFEU02 (AutoReverse)</t>
  </si>
  <si>
    <t>00000009ZOUAEU01 (AutoReverse)</t>
  </si>
  <si>
    <t>Seats &gt; Driver &gt; Power Adjusters &gt; Longitudinal &amp; Height</t>
  </si>
  <si>
    <t>Seats &gt; Driver &gt; Power Adjusters &gt; Longitudinal &amp; Height &gt; Control</t>
  </si>
  <si>
    <t>Seats &gt; Driver &gt; Power Adjusters &gt; Longitudinal &amp; Height &gt; Control &gt; Automated Process</t>
  </si>
  <si>
    <t xml:space="preserve">Injection molding, Painting
</t>
  </si>
  <si>
    <t>0000000176PJEU01 (AutoReverse)</t>
  </si>
  <si>
    <t>000000095PN6EU01 (AutoReverse)</t>
  </si>
  <si>
    <t>Seats &gt; Driver &gt; Power Adjusters &gt; Height</t>
  </si>
  <si>
    <t>Seats &gt; Driver &gt; Power Adjusters &gt; Height &gt; Front</t>
  </si>
  <si>
    <t>STEEL;PA;ELECTRONIC COMPONENT</t>
  </si>
  <si>
    <t>0000000593KVEU01 (AutoReverse)</t>
  </si>
  <si>
    <t xml:space="preserve">Material : Steel, PA
Process: Injection molding
</t>
  </si>
  <si>
    <t>000000071KTTEU01 (AutoReverse)</t>
  </si>
  <si>
    <t>Seats &gt; Driver &gt; Power Adjusters &gt; Height &gt; Front &gt; Mechanism Support</t>
  </si>
  <si>
    <t>Seats &gt; Driver &gt; Power Adjusters &gt; Height &gt; Front &gt; Mechanism Support &gt; Automated Process</t>
  </si>
  <si>
    <t xml:space="preserve">Stamping </t>
  </si>
  <si>
    <t>00000007MRAUEU01 (AutoReverse)</t>
  </si>
  <si>
    <t>Seats &gt; Driver &gt; Power Adjusters &gt; Height &gt; Front &gt; Coupling Bar</t>
  </si>
  <si>
    <t>Seats &gt; Driver &gt; Power Adjusters &gt; Height &gt; Front &gt; Coupling Bar &gt; Automated Process</t>
  </si>
  <si>
    <t xml:space="preserve">Stamping, Tube Cutting, Welding </t>
  </si>
  <si>
    <t>00000009L0DMEU01 (AutoReverse)</t>
  </si>
  <si>
    <t>00000009AH87EU01 (AutoReverse)</t>
  </si>
  <si>
    <t>Seats &gt; Driver &gt; Power Adjusters &gt; Height &gt; Rear</t>
  </si>
  <si>
    <t>STEEL;PA;ELECTRIC MOTOR</t>
  </si>
  <si>
    <t>00000007FFYYEU01 (AutoReverse)</t>
  </si>
  <si>
    <t>Material: PA-GF, Steel
Process: Injection molding</t>
  </si>
  <si>
    <t>0000000AUX81EU01 (AutoReverse)</t>
  </si>
  <si>
    <t>00000004WJ0YEU01 (AutoReverse)</t>
  </si>
  <si>
    <t>00000007DSLLEU01 (AutoReverse)</t>
  </si>
  <si>
    <t>Seats &gt; Driver &gt; Power Adjusters &gt; Recliner</t>
  </si>
  <si>
    <t>Seats &gt; Driver &gt; Power Adjusters &gt; Recliner &gt; Mechanism</t>
  </si>
  <si>
    <t xml:space="preserve">Material: PBT-GF30;PA6-GF50
Process: Injection molding
</t>
  </si>
  <si>
    <t>PBT;PA6</t>
  </si>
  <si>
    <t>000000056ZG9EU01 (AutoReverse)</t>
  </si>
  <si>
    <t>Material: Steel
Process: Cutting</t>
  </si>
  <si>
    <t>00000007MPKIEU01 (AutoReverse)</t>
  </si>
  <si>
    <t>00000003UP3IEU01 (AutoReverse)</t>
  </si>
  <si>
    <t>Seats &gt; Driver &gt; Power Adjusters &gt; Recliner &gt; Control</t>
  </si>
  <si>
    <t>Seats &gt; Driver &gt; Power Adjusters &gt; Recliner &gt; Control &gt; Automated Process</t>
  </si>
  <si>
    <t>00000005ZX8FEU01 (AutoReverse)</t>
  </si>
  <si>
    <t>00000004KDIFEU01 (AutoReverse)</t>
  </si>
  <si>
    <t>00000004QWEMEU01 (AutoReverse)</t>
  </si>
  <si>
    <t>Seats &gt; Driver &gt; Power Adjusters &gt; Lumbar</t>
  </si>
  <si>
    <t>Seats &gt; Driver &gt; Power Adjusters &gt; Lumbar &gt; Air Distributor</t>
  </si>
  <si>
    <t>Seats &gt; Driver &gt; Power Adjusters &gt; Lumbar &gt; Air Distributor &gt; Process</t>
  </si>
  <si>
    <t>Housing Parts + Solenoids</t>
  </si>
  <si>
    <t>00000009UXBDEU01 (AutoReverse)</t>
  </si>
  <si>
    <t>Seats &gt; Driver &gt; Power Adjusters &gt; Lumbar &gt; Mechanism</t>
  </si>
  <si>
    <t xml:space="preserve">Material : Plastic
Process : Injection molding
</t>
  </si>
  <si>
    <t>00000006J7VGEU01 (AutoReverse)</t>
  </si>
  <si>
    <t>000000004KJNEU01 (AutoReverse)</t>
  </si>
  <si>
    <t>Seats &gt; Driver &gt; Power Adjusters &gt; Lumbar &gt; Mechanism &gt; Motor Cover</t>
  </si>
  <si>
    <t>Seats &gt; Driver &gt; Power Adjusters &gt; Lumbar &gt; Mechanism &gt; Motor Cover &gt; Automated Process</t>
  </si>
  <si>
    <t>Die Cutting, Sewing</t>
  </si>
  <si>
    <t>00000008VBE6EU01 (AutoReverse)</t>
  </si>
  <si>
    <t>A0000054NCAEEU01 (AutoReverse)</t>
  </si>
  <si>
    <t>Seats &gt; Driver &gt; Power Adjusters &gt; Lumbar &gt; Mechanism &gt; Motor 2 Cover</t>
  </si>
  <si>
    <t>Seats &gt; Driver &gt; Power Adjusters &gt; Lumbar &gt; Mechanism &gt; Motor 2 Cover &gt; Automated Process</t>
  </si>
  <si>
    <t>PUR;PET</t>
  </si>
  <si>
    <t>A0000054NCAFEU01 (AutoReverse)</t>
  </si>
  <si>
    <t>00000009H94QEU01 (AutoReverse)</t>
  </si>
  <si>
    <t>Seats &gt; Driver &gt; Power Adjusters &gt; Lumbar &gt; Air Distributor Support</t>
  </si>
  <si>
    <t>Seats &gt; Driver &gt; Power Adjusters &gt; Lumbar &gt; Air Distributor Support &gt; Automated Process</t>
  </si>
  <si>
    <t>000000067RR3EU01 (AutoReverse)</t>
  </si>
  <si>
    <t>000000046FQ7EU01 (AutoReverse)</t>
  </si>
  <si>
    <t>Seats &gt; Driver &gt; Power Adjusters &gt; Bucket Retaining Adjustment</t>
  </si>
  <si>
    <t>Seats &gt; Driver &gt; Power Adjusters &gt; Bucket Retaining Adjustment &gt; Back Adjustment</t>
  </si>
  <si>
    <t>Seats &gt; Driver &gt; Power Adjusters &gt; Bucket Retaining Adjustment &gt; Back Adjustment &gt; Automated Process</t>
  </si>
  <si>
    <t xml:space="preserve">Injection molding
</t>
  </si>
  <si>
    <t>00000003OQ9QEU01 (AutoReverse)</t>
  </si>
  <si>
    <t>Seats &gt; Driver &gt; Power Adjusters &gt; Bucket Retaining Adjustment &gt; Back Adjustment Protection</t>
  </si>
  <si>
    <t>Seats &gt; Driver &gt; Power Adjusters &gt; Bucket Retaining Adjustment &gt; Back Adjustment Protection &gt; Automated Process</t>
  </si>
  <si>
    <t>Sewing, Cutting</t>
  </si>
  <si>
    <t>0000000BSOQOCID0 (AutoReverse)</t>
  </si>
  <si>
    <t>00000002N7DQEU01 (AutoReverse)</t>
  </si>
  <si>
    <t>ELECTRONIC COMPONENT;PLASTIC UNKNOWN</t>
  </si>
  <si>
    <t>00000004N9K8EU01 (AutoReverse)</t>
  </si>
  <si>
    <t>Seats &gt; Driver &gt; Power Adjusters &gt; Adjustment Control Support</t>
  </si>
  <si>
    <t>Seats &gt; Driver &gt; Power Adjusters &gt; Adjustment Control Support &gt; Automated Process</t>
  </si>
  <si>
    <t>000000087VIPEU01 (AutoReverse)</t>
  </si>
  <si>
    <t>00000000KABIEU01 (AutoReverse)</t>
  </si>
  <si>
    <t>Seats &gt; Driver &gt; Support System</t>
  </si>
  <si>
    <t>Seats &gt; Driver &gt; Support System &gt; Front Inner Trim and Outer if the Same</t>
  </si>
  <si>
    <t>Seats &gt; Driver &gt; Support System &gt; Front Inner Trim and Outer if the Same &gt; Automated Process</t>
  </si>
  <si>
    <t>00000008UJI7EU01 (AutoReverse)</t>
  </si>
  <si>
    <t>Seats &gt; Driver &gt; Support System &gt; Front Outer Trim</t>
  </si>
  <si>
    <t>Seats &gt; Driver &gt; Support System &gt; Front Outer Trim &gt; Automated Process</t>
  </si>
  <si>
    <t>0000000A6PE2EU01 (AutoReverse)</t>
  </si>
  <si>
    <t>Seats &gt; Driver &gt; Support System &gt; Rear Inner Trim and Outer if the Same</t>
  </si>
  <si>
    <t>Seats &gt; Driver &gt; Support System &gt; Rear Inner Trim and Outer if the Same &gt; Automated Process</t>
  </si>
  <si>
    <t>00000006U432EU01 (AutoReverse)</t>
  </si>
  <si>
    <t>Seats &gt; Driver &gt; Support System &gt; Rear Outer Trim</t>
  </si>
  <si>
    <t>Seats &gt; Driver &gt; Support System &gt; Rear Outer Trim &gt; Automated Process</t>
  </si>
  <si>
    <t>00000001Q34WEU01 (AutoReverse)</t>
  </si>
  <si>
    <t>00000001W1E7EU01 (AutoReverse)</t>
  </si>
  <si>
    <t>Seats &gt; Driver &gt; Heating System</t>
  </si>
  <si>
    <t>00000007DGTMEU01 (AutoReverse)</t>
  </si>
  <si>
    <t>PET;ELECTRONIC COMPONENT</t>
  </si>
  <si>
    <t>0000000A4W53EU01 (AutoReverse)</t>
  </si>
  <si>
    <t>00000008UJ87EU01 (AutoReverse)</t>
  </si>
  <si>
    <t>Seats &gt; Driver &gt; Ventilation System</t>
  </si>
  <si>
    <t>ELECTRIC MOTOR;PBT</t>
  </si>
  <si>
    <t>000000095LWCEU01 (AutoReverse)</t>
  </si>
  <si>
    <t>Seats &gt; Driver &gt; Ventilation System &gt; Back Blower Housing Support</t>
  </si>
  <si>
    <t>Seats &gt; Driver &gt; Ventilation System &gt; Back Blower Housing Support &gt; Automated Process</t>
  </si>
  <si>
    <t>00000006A6RSEU01 (AutoReverse)</t>
  </si>
  <si>
    <t>Seats &gt; Driver &gt; Ventilation System &gt; Diffuser on Backrest</t>
  </si>
  <si>
    <t>Seats &gt; Driver &gt; Ventilation System &gt; Diffuser on Backrest &gt; Automated Process</t>
  </si>
  <si>
    <t>00000003GFJWEU01 (AutoReverse)</t>
  </si>
  <si>
    <t>00000009UCPLEU01 (AutoReverse)</t>
  </si>
  <si>
    <t>Seats &gt; Driver &gt; Ventilation System &gt; Diffuser on Cushion</t>
  </si>
  <si>
    <t>Seats &gt; Driver &gt; Ventilation System &gt; Diffuser on Cushion &gt; Automated Process</t>
  </si>
  <si>
    <t>TPE</t>
  </si>
  <si>
    <t>00000007HMRWEU01 (AutoReverse)</t>
  </si>
  <si>
    <t>00000009HVBREU01 (AutoReverse)</t>
  </si>
  <si>
    <t>Seats &gt; Driver &gt; Speakers System</t>
  </si>
  <si>
    <t>000000076FVHEU01 (AutoReverse)</t>
  </si>
  <si>
    <t>00000007VTXTEU01 (AutoReverse)</t>
  </si>
  <si>
    <t>Seats &gt; Driver &gt; Wiring Harness</t>
  </si>
  <si>
    <t>Seats &gt; Driver &gt; Wiring Harness &gt; Process</t>
  </si>
  <si>
    <t>00000001Z36EEU01 (AutoReverse)</t>
  </si>
  <si>
    <t>Seats &gt; Driver &gt; Harness Guide Support</t>
  </si>
  <si>
    <t>Seats &gt; Driver &gt; Harness Guide Support &gt; Automated Process</t>
  </si>
  <si>
    <t>00000008B4W6EU01 (AutoReverse)</t>
  </si>
  <si>
    <t>Seats &gt; Driver &gt; Final Assembly</t>
  </si>
  <si>
    <t>00000004CKY5EU01 (AutoReverse)</t>
  </si>
  <si>
    <t>Seats &gt; Passenger</t>
  </si>
  <si>
    <t>Seats &gt; Passenger &gt; Wiring Harness</t>
  </si>
  <si>
    <t>Seats &gt; Passenger &gt; Wiring Harness &gt; Process</t>
  </si>
  <si>
    <t>00000006XYWUEU01 (AutoReverse)</t>
  </si>
  <si>
    <t>Seats &gt; Passenger &gt; Head Rest</t>
  </si>
  <si>
    <t>Seats &gt; Passenger &gt; Head Rest &gt; Cover</t>
  </si>
  <si>
    <t>Seats &gt; Passenger &gt; Head Rest &gt; Cover &gt; Automated Process</t>
  </si>
  <si>
    <t>00000002L6V1EU01 (AutoReverse)</t>
  </si>
  <si>
    <t>Seats &gt; Passenger &gt; Head Rest &gt; Padding</t>
  </si>
  <si>
    <t>Seats &gt; Passenger &gt; Head Rest &gt; Padding &gt; Automated Process</t>
  </si>
  <si>
    <t>00000009JD9UEU01 (AutoReverse)</t>
  </si>
  <si>
    <t>Seats &gt; Passenger &gt; Head Rest &gt; Frame</t>
  </si>
  <si>
    <t>Seats &gt; Passenger &gt; Head Rest &gt; Frame &gt; Automated Process</t>
  </si>
  <si>
    <t>000000071NOIEU01 (AutoReverse)</t>
  </si>
  <si>
    <t>Seats &gt; Passenger &gt; Head Rest &gt; Reinforcement</t>
  </si>
  <si>
    <t>Seats &gt; Passenger &gt; Head Rest &gt; Reinforcement &gt; Automated Process</t>
  </si>
  <si>
    <t>0000000236VUEU01 (AutoReverse)</t>
  </si>
  <si>
    <t>Seats &gt; Passenger &gt; Head Rest &gt; Rear Bezel</t>
  </si>
  <si>
    <t>Seats &gt; Passenger &gt; Head Rest &gt; Rear Bezel &gt; Automated Process</t>
  </si>
  <si>
    <t>000000A66HNKEU02 (AutoReverse)</t>
  </si>
  <si>
    <t>Seats &gt; Passenger &gt; Head Rest &gt; Rear Bezel Support</t>
  </si>
  <si>
    <t>Seats &gt; Passenger &gt; Head Rest &gt; Rear Bezel Support &gt; Automated Process</t>
  </si>
  <si>
    <t>PE</t>
  </si>
  <si>
    <t>000000A66HNMEU02 (AutoReverse)</t>
  </si>
  <si>
    <t>000000A66HNOEU02 (AutoReverse)</t>
  </si>
  <si>
    <t>00000006K9SZEU01 (AutoReverse)</t>
  </si>
  <si>
    <t>Seats &gt; Passenger &gt; Back</t>
  </si>
  <si>
    <t>Seats &gt; Passenger &gt; Back &gt; Rear Shell System</t>
  </si>
  <si>
    <t>Seats &gt; Passenger &gt; Back &gt; Rear Shell System &gt; Back Cover</t>
  </si>
  <si>
    <t>Seats &gt; Passenger &gt; Back &gt; Rear Shell System &gt; Back Cover &gt; Automated Process</t>
  </si>
  <si>
    <t>00000009JC4WEU01 (AutoReverse)</t>
  </si>
  <si>
    <t>Seats &gt; Passenger &gt; Back &gt; Rear Shell System &gt; Cover Upper Part</t>
  </si>
  <si>
    <t>Seats &gt; Passenger &gt; Back &gt; Rear Shell System &gt; Cover Upper Part &gt; Automated Process</t>
  </si>
  <si>
    <t>00000005RMWTEU01 (AutoReverse)</t>
  </si>
  <si>
    <t>Seats &gt; Passenger &gt; Back &gt; Rear Shell System &gt; Cover Lower Part</t>
  </si>
  <si>
    <t>Seats &gt; Passenger &gt; Back &gt; Rear Shell System &gt; Cover Lower Part &gt; Automated Process</t>
  </si>
  <si>
    <t>000000087IIHEU01 (AutoReverse)</t>
  </si>
  <si>
    <t>Seats &gt; Passenger &gt; Back &gt; Rear Shell System &gt; Bezel</t>
  </si>
  <si>
    <t>Seats &gt; Passenger &gt; Back &gt; Rear Shell System &gt; Bezel &gt; Automated Process</t>
  </si>
  <si>
    <t>00000002NO9IEU01 (AutoReverse)</t>
  </si>
  <si>
    <t>Seats &gt; Passenger &gt; Back &gt; Rear Shell System &gt; Support 1</t>
  </si>
  <si>
    <t>Seats &gt; Passenger &gt; Back &gt; Rear Shell System &gt; Support 1 &gt; Automated Process</t>
  </si>
  <si>
    <t>00000001C9TVEU01 (AutoReverse)</t>
  </si>
  <si>
    <t>Seats &gt; Passenger &gt; Back &gt; Rear Shell System &gt; Support 2</t>
  </si>
  <si>
    <t>Seats &gt; Passenger &gt; Back &gt; Rear Shell System &gt; Support 2 &gt; Automated Process</t>
  </si>
  <si>
    <t>A000003B56OIEU01 (AutoReverse)</t>
  </si>
  <si>
    <t>00000008BGFXEU01 (AutoReverse)</t>
  </si>
  <si>
    <t>Seats &gt; Passenger &gt; Back &gt; Head Rest Support Bracket</t>
  </si>
  <si>
    <t>Seats &gt; Passenger &gt; Back &gt; Head Rest Support Bracket &gt; Guide</t>
  </si>
  <si>
    <t>Seats &gt; Passenger &gt; Back &gt; Head Rest Support Bracket &gt; Guide &gt; Automated Process</t>
  </si>
  <si>
    <t>00000004X1ROEU01 (AutoReverse)</t>
  </si>
  <si>
    <t>00000004SSXKEU01 (AutoReverse)</t>
  </si>
  <si>
    <t>Seats &gt; Passenger &gt; Back &gt; Frame Protection</t>
  </si>
  <si>
    <t>Seats &gt; Passenger &gt; Back &gt; Frame Protection &gt; Automated Process</t>
  </si>
  <si>
    <t>00000007PDDREU01 (AutoReverse)</t>
  </si>
  <si>
    <t>Seats &gt; Passenger &gt; Back &gt; 2nd Frame Protection</t>
  </si>
  <si>
    <t>Seats &gt; Passenger &gt; Back &gt; 2nd Frame Protection &gt; Automated Process</t>
  </si>
  <si>
    <t>000000AOZHO2EU02 (AutoReverse)</t>
  </si>
  <si>
    <t>Seats &gt; Passenger &gt; Back &gt; Cover Fastener</t>
  </si>
  <si>
    <t>Seats &gt; Passenger &gt; Back &gt; Cover Fastener &gt; Automated Process</t>
  </si>
  <si>
    <t>00000003MVHXEU01 (AutoReverse)</t>
  </si>
  <si>
    <t>00000002UGEJEU01 (AutoReverse)</t>
  </si>
  <si>
    <t>Seats &gt; Passenger &gt; Back &gt; Frame</t>
  </si>
  <si>
    <t>Seats &gt; Passenger &gt; Back &gt; Frame &gt; Automated Process</t>
  </si>
  <si>
    <t>00000003R45TEU01 (AutoReverse)</t>
  </si>
  <si>
    <t>Seats &gt; Passenger &gt; Back &gt; 2nd Pad</t>
  </si>
  <si>
    <t>Seats &gt; Passenger &gt; Back &gt; 2nd Pad &gt; Automated Process</t>
  </si>
  <si>
    <t>A0000000OOXWEU02 (AutoReverse)</t>
  </si>
  <si>
    <t>Seats &gt; Passenger &gt; Back &gt; Pad</t>
  </si>
  <si>
    <t>Seats &gt; Passenger &gt; Back &gt; Pad &gt; Automated Process</t>
  </si>
  <si>
    <t>00000003J536EU01 (AutoReverse)</t>
  </si>
  <si>
    <t>Seats &gt; Passenger &gt; Back &gt; Cover</t>
  </si>
  <si>
    <t>Seats &gt; Passenger &gt; Back &gt; Cover &gt; Automated Process</t>
  </si>
  <si>
    <t>00000003QANIEU01 (AutoReverse)</t>
  </si>
  <si>
    <t>0000000538QEEU01 (AutoReverse)</t>
  </si>
  <si>
    <t>Seats &gt; Passenger &gt; Cushion</t>
  </si>
  <si>
    <t>Seats &gt; Passenger &gt; Cushion &gt; Garnish</t>
  </si>
  <si>
    <t>Seats &gt; Passenger &gt; Cushion &gt; Garnish &gt; Outer Side</t>
  </si>
  <si>
    <t>Seats &gt; Passenger &gt; Cushion &gt; Garnish &gt; Outer Side &gt; Automated Process</t>
  </si>
  <si>
    <t>000000050AFKEU01 (AutoReverse)</t>
  </si>
  <si>
    <t>Seats &gt; Passenger &gt; Cushion &gt; Garnish &gt; Inner Side</t>
  </si>
  <si>
    <t>Seats &gt; Passenger &gt; Cushion &gt; Garnish &gt; Inner Side &gt; Automated Process</t>
  </si>
  <si>
    <t>00000009ISXUEU01 (AutoReverse)</t>
  </si>
  <si>
    <t>Seats &gt; Passenger &gt; Cushion &gt; Garnish &gt; 2nd Outer Cover</t>
  </si>
  <si>
    <t>Seats &gt; Passenger &gt; Cushion &gt; Garnish &gt; 2nd Outer Cover &gt; Automated Process</t>
  </si>
  <si>
    <t>000000035YE0EU01 (AutoReverse)</t>
  </si>
  <si>
    <t>Seats &gt; Passenger &gt; Cushion &gt; Garnish &gt; Exterior Trim Support</t>
  </si>
  <si>
    <t>Seats &gt; Passenger &gt; Cushion &gt; Garnish &gt; Exterior Trim Support &gt; Automated Process</t>
  </si>
  <si>
    <t>00000003213NEU01 (AutoReverse)</t>
  </si>
  <si>
    <t>Seats &gt; Passenger &gt; Cushion &gt; Garnish &gt; Exterior Trim 2nd Support</t>
  </si>
  <si>
    <t>Seats &gt; Passenger &gt; Cushion &gt; Garnish &gt; Exterior Trim 2nd Support &gt; Automated Process</t>
  </si>
  <si>
    <t>00000004DX87EU01 (AutoReverse)</t>
  </si>
  <si>
    <t>Seats &gt; Passenger &gt; Cushion &gt; Garnish &gt; Interior Trim Support</t>
  </si>
  <si>
    <t>Seats &gt; Passenger &gt; Cushion &gt; Garnish &gt; Interior Trim Support &gt; Automated Process</t>
  </si>
  <si>
    <t>00000009204HEU01 (AutoReverse)</t>
  </si>
  <si>
    <t>000000043QKZEU01 (AutoReverse)</t>
  </si>
  <si>
    <t>Seats &gt; Passenger &gt; Cushion &gt; Cover</t>
  </si>
  <si>
    <t>Seats &gt; Passenger &gt; Cushion &gt; Cover &gt; Automated Process</t>
  </si>
  <si>
    <t>00000000WXZEEU01 (AutoReverse)</t>
  </si>
  <si>
    <t>Seats &gt; Passenger &gt; Cushion &gt; Pad</t>
  </si>
  <si>
    <t>Seats &gt; Passenger &gt; Cushion &gt; Pad &gt; Automated Process</t>
  </si>
  <si>
    <t>00000000AI7MEU01 (AutoReverse)</t>
  </si>
  <si>
    <t>Seats &gt; Passenger &gt; Cushion &gt; Frame</t>
  </si>
  <si>
    <t>Seats &gt; Passenger &gt; Cushion &gt; Frame &gt; Automated Process</t>
  </si>
  <si>
    <t>00000008OM3SEU01 (AutoReverse)</t>
  </si>
  <si>
    <t>0000000ASFNCEU01 (AutoReverse)</t>
  </si>
  <si>
    <t>Seats &gt; Passenger &gt; Cushion &gt; Interior Pad</t>
  </si>
  <si>
    <t>Seats &gt; Passenger &gt; Cushion &gt; Interior Pad &gt; Automated Process</t>
  </si>
  <si>
    <t>00000009K5OXEU01 (AutoReverse)</t>
  </si>
  <si>
    <t>000000047H68EU01 (AutoReverse)</t>
  </si>
  <si>
    <t>Seats &gt; Passenger &gt; Safety</t>
  </si>
  <si>
    <t>Seats &gt; Passenger &gt; Safety &gt; Side Airbag</t>
  </si>
  <si>
    <t>A000002RN3Z4EU01 (AutoReverse)</t>
  </si>
  <si>
    <t>Seats &gt; Passenger &gt; Safety &gt; Side Airbag &gt; Side Airbag</t>
  </si>
  <si>
    <t>Seats &gt; Passenger &gt; Safety &gt; Side Airbag &gt; Side Airbag &gt; Process</t>
  </si>
  <si>
    <t>A000002RN3Z5EU01 (AutoReverse)</t>
  </si>
  <si>
    <t>A000002T46AHEU01 (AutoReverse)</t>
  </si>
  <si>
    <t>Seats &gt; Passenger &gt; Safety &gt; Side Airbag &gt; Final Assembly + Inspection</t>
  </si>
  <si>
    <t>00000007C2D8EU01 (AutoReverse)</t>
  </si>
  <si>
    <t>Seats &gt; Passenger &gt; Safety &gt; Detection System</t>
  </si>
  <si>
    <t>0000000A5B2GEU01 (AutoReverse)</t>
  </si>
  <si>
    <t>00000007L831EU01 (AutoReverse)</t>
  </si>
  <si>
    <t>00000006K4HBEU01 (AutoReverse)</t>
  </si>
  <si>
    <t>Seats &gt; Passenger &gt; Power Adjusters</t>
  </si>
  <si>
    <t>Seats &gt; Passenger &gt; Power Adjusters &gt; Longitudinal</t>
  </si>
  <si>
    <t>Seats &gt; Passenger &gt; Power Adjusters &gt; Longitudinal &gt; Rails</t>
  </si>
  <si>
    <t>Seats &gt; Passenger &gt; Power Adjusters &gt; Longitudinal &gt; Rails &gt; Inner Side</t>
  </si>
  <si>
    <t>Seats &gt; Passenger &gt; Power Adjusters &gt; Longitudinal &gt; Rails &gt; Inner Side &gt; Automated Process</t>
  </si>
  <si>
    <t>00000008SUNJEU01 (AutoReverse)</t>
  </si>
  <si>
    <t>Seats &gt; Passenger &gt; Power Adjusters &gt; Longitudinal &gt; Rails &gt; Outer Side</t>
  </si>
  <si>
    <t>Seats &gt; Passenger &gt; Power Adjusters &gt; Longitudinal &gt; Rails &gt; Outer Side &gt; Automated Process</t>
  </si>
  <si>
    <t>00000008TRL3EU01 (AutoReverse)</t>
  </si>
  <si>
    <t>0000000AJEBHEU01 (AutoReverse)</t>
  </si>
  <si>
    <t>00000007HAZCEU01 (AutoReverse)</t>
  </si>
  <si>
    <t>Seats &gt; Passenger &gt; Power Adjusters &gt; Longitudinal &gt; Mount Bracket</t>
  </si>
  <si>
    <t>Seats &gt; Passenger &gt; Power Adjusters &gt; Longitudinal &gt; Mount Bracket &gt; Automated Process</t>
  </si>
  <si>
    <t>00000006FSWDEU01 (AutoReverse)</t>
  </si>
  <si>
    <t>A000000S69DGEU02 (AutoReverse)</t>
  </si>
  <si>
    <t>A000000U6LH2EU02 (AutoReverse)</t>
  </si>
  <si>
    <t>Material : PA12</t>
  </si>
  <si>
    <t>A000000S69D2EU02 (AutoReverse)</t>
  </si>
  <si>
    <t>0000000AVZ96EU01 (AutoReverse)</t>
  </si>
  <si>
    <t>Seats &gt; Passenger &gt; Power Adjusters &gt; Longitudinal and Height</t>
  </si>
  <si>
    <t>Seats &gt; Passenger &gt; Power Adjusters &gt; Longitudinal and Height &gt; Control</t>
  </si>
  <si>
    <t>Seats &gt; Passenger &gt; Power Adjusters &gt; Longitudinal and Height &gt; Control &gt; Automated Process</t>
  </si>
  <si>
    <t>000000059OQNEU01 (AutoReverse)</t>
  </si>
  <si>
    <t>00000006CS0MEU01 (AutoReverse)</t>
  </si>
  <si>
    <t>Seats &gt; Passenger &gt; Power Adjusters &gt; Height</t>
  </si>
  <si>
    <t>0000000ALVU9EU01 (AutoReverse)</t>
  </si>
  <si>
    <t xml:space="preserve">Material : Steel, PA-GF
Process: Injection molding, Tube cutting
</t>
  </si>
  <si>
    <t>PA;STEEL</t>
  </si>
  <si>
    <t>00000004XTSKEU01 (AutoReverse)</t>
  </si>
  <si>
    <t>00000001MHBJEU01 (AutoReverse)</t>
  </si>
  <si>
    <t>Seats &gt; Passenger &gt; Power Adjusters &gt; Recliner</t>
  </si>
  <si>
    <t>Seats &gt; Passenger &gt; Power Adjusters &gt; Recliner &gt; Mechanism</t>
  </si>
  <si>
    <t>00000006ALBPEU01 (AutoReverse)</t>
  </si>
  <si>
    <t>000000056ABUEU01 (AutoReverse)</t>
  </si>
  <si>
    <t>00000003B62LEU01 (AutoReverse)</t>
  </si>
  <si>
    <t>Seats &gt; Passenger &gt; Power Adjusters &gt; Recliner &gt; Control</t>
  </si>
  <si>
    <t>Seats &gt; Passenger &gt; Power Adjusters &gt; Recliner &gt; Control &gt; Automated Process</t>
  </si>
  <si>
    <t>00000004RIN7EU01 (AutoReverse)</t>
  </si>
  <si>
    <t>ELECTRIC MOTOR;STEEL;PLASTIC UNKNOWN</t>
  </si>
  <si>
    <t>0000000A8HTYEU01 (AutoReverse)</t>
  </si>
  <si>
    <t>00000004QA6IEU01 (AutoReverse)</t>
  </si>
  <si>
    <t>00000005O160EU01 (AutoReverse)</t>
  </si>
  <si>
    <t>Seats &gt; Passenger &gt; Power Adjusters &gt; Adjustment Control Support</t>
  </si>
  <si>
    <t>Seats &gt; Passenger &gt; Power Adjusters &gt; Adjustment Control Support &gt; Automated Process</t>
  </si>
  <si>
    <t>00000006TWNLEU01 (AutoReverse)</t>
  </si>
  <si>
    <t>000000029W66EU01 (AutoReverse)</t>
  </si>
  <si>
    <t>Seats &gt; Passenger &gt; Support System</t>
  </si>
  <si>
    <t>Seats &gt; Passenger &gt; Support System &gt; Front Inner Trim and Outer if Similar</t>
  </si>
  <si>
    <t>Seats &gt; Passenger &gt; Support System &gt; Front Inner Trim and Outer if Similar &gt; Automated Process</t>
  </si>
  <si>
    <t>00000002AZMUEU01 (AutoReverse)</t>
  </si>
  <si>
    <t>Seats &gt; Passenger &gt; Support System &gt; Front Outer Trim</t>
  </si>
  <si>
    <t>Seats &gt; Passenger &gt; Support System &gt; Front Outer Trim &gt; Automated Process</t>
  </si>
  <si>
    <t>0000000AMDHTEU01 (AutoReverse)</t>
  </si>
  <si>
    <t>Seats &gt; Passenger &gt; Support System &gt; Rear Inner Trim and Outer if Similar</t>
  </si>
  <si>
    <t>Seats &gt; Passenger &gt; Support System &gt; Rear Inner Trim and Outer if Similar &gt; Automated Process</t>
  </si>
  <si>
    <t>000000029UHZEU01 (AutoReverse)</t>
  </si>
  <si>
    <t>Seats &gt; Passenger &gt; Support System &gt; Rear Outer Trim</t>
  </si>
  <si>
    <t>Seats &gt; Passenger &gt; Support System &gt; Rear Outer Trim &gt; Automated Process</t>
  </si>
  <si>
    <t>00000007V7PJEU01 (AutoReverse)</t>
  </si>
  <si>
    <t>00000001Y0AMEU01 (AutoReverse)</t>
  </si>
  <si>
    <t>Seats &gt; Passenger &gt; Heating System</t>
  </si>
  <si>
    <t>00000007N7COEU01 (AutoReverse)</t>
  </si>
  <si>
    <t>00000001R5EVEU01 (AutoReverse)</t>
  </si>
  <si>
    <t>00000003OQ2GEU01 (AutoReverse)</t>
  </si>
  <si>
    <t>Seats &gt; Passenger &gt; Ventilation System</t>
  </si>
  <si>
    <t>Seats &gt; Passenger &gt; Ventilation System &gt; Blower Unit System</t>
  </si>
  <si>
    <t>Seats &gt; Passenger &gt; Ventilation System &gt; Blower Unit System &gt; Blower Unit Support on Back</t>
  </si>
  <si>
    <t>Seats &gt; Passenger &gt; Ventilation System &gt; Blower Unit System &gt; Blower Unit Support on Back &gt; Automated Process</t>
  </si>
  <si>
    <t>000000027WJXEU01 (AutoReverse)</t>
  </si>
  <si>
    <t>00000009A5P1EU01 (AutoReverse)</t>
  </si>
  <si>
    <t>000000044MQYEU01 (AutoReverse)</t>
  </si>
  <si>
    <t>0000000336W0EU01 (AutoReverse)</t>
  </si>
  <si>
    <t>Seats &gt; Passenger &gt; Ventilation System &gt; Diffuser on Cushion</t>
  </si>
  <si>
    <t>Seats &gt; Passenger &gt; Ventilation System &gt; Diffuser on Cushion &gt; Automated Process</t>
  </si>
  <si>
    <t>A0000008L98LEU02 (AutoReverse)</t>
  </si>
  <si>
    <t>Seats &gt; Passenger &gt; Ventilation System &gt; Diffuser on Backrest</t>
  </si>
  <si>
    <t>Seats &gt; Passenger &gt; Ventilation System &gt; Diffuser on Backrest &gt; Automated Process</t>
  </si>
  <si>
    <t>A000000CBIYJEU02 (AutoReverse)</t>
  </si>
  <si>
    <t>00000009JBGUEU01 (AutoReverse)</t>
  </si>
  <si>
    <t>Seats &gt; Passenger &gt; Harness Guide Support</t>
  </si>
  <si>
    <t>Seats &gt; Passenger &gt; Harness Guide Support &gt; Automated Process</t>
  </si>
  <si>
    <t>0000000AQALAEU01 (AutoReverse)</t>
  </si>
  <si>
    <t>Seats &gt; Passenger &gt; Harness Guide Support 2</t>
  </si>
  <si>
    <t>Seats &gt; Passenger &gt; Harness Guide Support 2 &gt; Automated Process</t>
  </si>
  <si>
    <t>000000A66HN3EU02 (AutoReverse)</t>
  </si>
  <si>
    <t>Seats &gt; Passenger &gt; Final Assembly</t>
  </si>
  <si>
    <t>000000050K9NEU01 (AutoReverse)</t>
  </si>
  <si>
    <t>Seats &gt; Rear Seat</t>
  </si>
  <si>
    <t>Seats &gt; Rear Seat &gt; Seat 1-3</t>
  </si>
  <si>
    <t>Seats &gt; Rear Seat &gt; Seat 1-3 &gt; Head Rest</t>
  </si>
  <si>
    <t>Seats &gt; Rear Seat &gt; Seat 1-3 &gt; Head Rest &gt; Cover</t>
  </si>
  <si>
    <t>Seats &gt; Rear Seat &gt; Seat 1-3 &gt; Head Rest &gt; Cover &gt; Automated Process</t>
  </si>
  <si>
    <t>Seats &gt; Rear Seat &gt; Seat 1-3 &gt; Head Rest &gt; Padding</t>
  </si>
  <si>
    <t>Seats &gt; Rear Seat &gt; Seat 1-3 &gt; Head Rest &gt; Padding &gt; Automated Process</t>
  </si>
  <si>
    <t>Seats &gt; Rear Seat &gt; Seat 1-3 &gt; Head Rest &gt; Frame</t>
  </si>
  <si>
    <t>Seats &gt; Rear Seat &gt; Seat 1-3 &gt; Head Rest &gt; Frame &gt; Automated Process</t>
  </si>
  <si>
    <t>Tube Bending, Chroming</t>
  </si>
  <si>
    <t>00000000QVUSEU01 (AutoReverse)</t>
  </si>
  <si>
    <t>Seats &gt; Rear Seat &gt; Seat 1-3 &gt; Back</t>
  </si>
  <si>
    <t>Seats &gt; Rear Seat &gt; Seat 1-3 &gt; Back &gt; Head Rest Support</t>
  </si>
  <si>
    <t>Seats &gt; Rear Seat &gt; Seat 1-3 &gt; Back &gt; Head Rest Support &gt; Lock Support</t>
  </si>
  <si>
    <t>Seats &gt; Rear Seat &gt; Seat 1-3 &gt; Back &gt; Head Rest Support &gt; Lock Support &gt; Automated Process</t>
  </si>
  <si>
    <t>PA6;PA66</t>
  </si>
  <si>
    <t>000000088BHNEU01 (AutoReverse)</t>
  </si>
  <si>
    <t>Seats &gt; Rear Seat &gt; Seat 1-3 &gt; Back &gt; Head Rest Support &gt; Simple Guide Support</t>
  </si>
  <si>
    <t>Seats &gt; Rear Seat &gt; Seat 1-3 &gt; Back &gt; Head Rest Support &gt; Simple Guide Support &gt; Automated Process</t>
  </si>
  <si>
    <t>00000005NLY6EU01 (AutoReverse)</t>
  </si>
  <si>
    <t>00000007SAG6EU01 (AutoReverse)</t>
  </si>
  <si>
    <t>Seats &gt; Rear Seat &gt; Seat 1-3 &gt; Back &gt; Locking System</t>
  </si>
  <si>
    <t>Seats &gt; Rear Seat &gt; Seat 1-3 &gt; Back &gt; Locking System &gt; Handle</t>
  </si>
  <si>
    <t>Seats &gt; Rear Seat &gt; Seat 1-3 &gt; Back &gt; Locking System &gt; Handle &gt; Lever</t>
  </si>
  <si>
    <t>Seats &gt; Rear Seat &gt; Seat 1-3 &gt; Back &gt; Locking System &gt; Handle &gt; Lever &gt; Automated Process</t>
  </si>
  <si>
    <t>PC;ABS</t>
  </si>
  <si>
    <t>00000009GI7QEU01 (AutoReverse)</t>
  </si>
  <si>
    <t>Seats &gt; Rear Seat &gt; Seat 1-3 &gt; Back &gt; Locking System &gt; Handle &gt; Bezel</t>
  </si>
  <si>
    <t>Seats &gt; Rear Seat &gt; Seat 1-3 &gt; Back &gt; Locking System &gt; Handle &gt; Bezel &gt; Automated Process</t>
  </si>
  <si>
    <t>000000031RWFEU01 (AutoReverse)</t>
  </si>
  <si>
    <t>Seats &gt; Rear Seat &gt; Seat 1-3 &gt; Back &gt; Locking System &gt; Handle &gt; Support</t>
  </si>
  <si>
    <t>Seats &gt; Rear Seat &gt; Seat 1-3 &gt; Back &gt; Locking System &gt; Handle &gt; Support &gt; Automated Process</t>
  </si>
  <si>
    <t>000000050QOHEU01 (AutoReverse)</t>
  </si>
  <si>
    <t>Material: Elastomer unknown, Steel</t>
  </si>
  <si>
    <t>ELASTOMER UNKNOWN;STEEL</t>
  </si>
  <si>
    <t>00000004NEKXEU01 (AutoReverse)</t>
  </si>
  <si>
    <t>00000005V0NMEU01 (AutoReverse)</t>
  </si>
  <si>
    <t xml:space="preserve">Material: Steel;PA6-GF30
Process: Injection molding
 </t>
  </si>
  <si>
    <t>00000001EDGOEU01 (AutoReverse)</t>
  </si>
  <si>
    <t>Material: TPE</t>
  </si>
  <si>
    <t>000000023W8LEU01 (AutoReverse)</t>
  </si>
  <si>
    <t>00000001K3FGEU01 (AutoReverse)</t>
  </si>
  <si>
    <t>Seats &gt; Rear Seat &gt; Seat 1-3 &gt; Back &gt; Cover</t>
  </si>
  <si>
    <t>Seats &gt; Rear Seat &gt; Seat 1-3 &gt; Back &gt; Cover &gt; Automated Process</t>
  </si>
  <si>
    <t>00000008094GEU01 (AutoReverse)</t>
  </si>
  <si>
    <t>Seats &gt; Rear Seat &gt; Seat 1-3 &gt; Back &gt; Pad</t>
  </si>
  <si>
    <t>Seats &gt; Rear Seat &gt; Seat 1-3 &gt; Back &gt; Pad &gt; Automated Process</t>
  </si>
  <si>
    <t>00000001EJ43EU01 (AutoReverse)</t>
  </si>
  <si>
    <t>Seats &gt; Rear Seat &gt; Seat 1-3 &gt; Back &gt; Frame</t>
  </si>
  <si>
    <t>Seats &gt; Rear Seat &gt; Seat 1-3 &gt; Back &gt; Frame &gt; Automated Process</t>
  </si>
  <si>
    <t>00000005KXGMEU01 (AutoReverse)</t>
  </si>
  <si>
    <t>Seats &gt; Rear Seat &gt; Seat 1-3 &gt; Back &gt; Rear Panel</t>
  </si>
  <si>
    <t>Seats &gt; Rear Seat &gt; Seat 1-3 &gt; Back &gt; Rear Panel &gt; Automated Process</t>
  </si>
  <si>
    <t>00000004HN3VEU01 (AutoReverse)</t>
  </si>
  <si>
    <t>Seats &gt; Rear Seat &gt; Seat 1-3 &gt; Back &gt; 2nd Pad</t>
  </si>
  <si>
    <t>Seats &gt; Rear Seat &gt; Seat 1-3 &gt; Back &gt; 2nd Pad &gt; Automated Process</t>
  </si>
  <si>
    <t>A000000S69D3EU02 (AutoReverse)</t>
  </si>
  <si>
    <t>000000038280EU01 (AutoReverse)</t>
  </si>
  <si>
    <t>Seats &gt; Rear Seat &gt; Seat 1-3 &gt; Support System</t>
  </si>
  <si>
    <t>Seats &gt; Rear Seat &gt; Seat 1-3 &gt; Support System &gt; Exterior Support</t>
  </si>
  <si>
    <t>Seats &gt; Rear Seat &gt; Seat 1-3 &gt; Support System &gt; Exterior Support &gt; Automated Process</t>
  </si>
  <si>
    <t>00000009I046EU01 (AutoReverse)</t>
  </si>
  <si>
    <t>0000000AMHW6EU01 (AutoReverse)</t>
  </si>
  <si>
    <t>00000007VIYVEU01 (AutoReverse)</t>
  </si>
  <si>
    <t>Seats &gt; Rear Seat &gt; Seat 2-3</t>
  </si>
  <si>
    <t>Seats &gt; Rear Seat &gt; Seat 2-3 &gt; Head Rest</t>
  </si>
  <si>
    <t>Seats &gt; Rear Seat &gt; Seat 2-3 &gt; Head Rest &gt; Inner Side</t>
  </si>
  <si>
    <t>Seats &gt; Rear Seat &gt; Seat 2-3 &gt; Head Rest &gt; Inner Side &gt; Cover</t>
  </si>
  <si>
    <t>Seats &gt; Rear Seat &gt; Seat 2-3 &gt; Head Rest &gt; Inner Side &gt; Cover &gt; Automated Process</t>
  </si>
  <si>
    <t>0000000A9Z0DEU01 (AutoReverse)</t>
  </si>
  <si>
    <t>Seats &gt; Rear Seat &gt; Seat 2-3 &gt; Head Rest &gt; Inner Side &gt; Padding</t>
  </si>
  <si>
    <t>Seats &gt; Rear Seat &gt; Seat 2-3 &gt; Head Rest &gt; Inner Side &gt; Padding &gt; Automated Process</t>
  </si>
  <si>
    <t>00000006JL1KEU01 (AutoReverse)</t>
  </si>
  <si>
    <t>Seats &gt; Rear Seat &gt; Seat 2-3 &gt; Head Rest &gt; Inner Side &gt; Frame</t>
  </si>
  <si>
    <t>Seats &gt; Rear Seat &gt; Seat 2-3 &gt; Head Rest &gt; Inner Side &gt; Frame &gt; Automated Process</t>
  </si>
  <si>
    <t>00000006YQ8EEU01 (AutoReverse)</t>
  </si>
  <si>
    <t>00000003KKO7EU01 (AutoReverse)</t>
  </si>
  <si>
    <t>Seats &gt; Rear Seat &gt; Seat 2-3 &gt; Head Rest &gt; Outer Side</t>
  </si>
  <si>
    <t>Seats &gt; Rear Seat &gt; Seat 2-3 &gt; Head Rest &gt; Outer Side &gt; Cover</t>
  </si>
  <si>
    <t>Seats &gt; Rear Seat &gt; Seat 2-3 &gt; Head Rest &gt; Outer Side &gt; Cover &gt; Automated Process</t>
  </si>
  <si>
    <t>000000096WQ7EU01 (AutoReverse)</t>
  </si>
  <si>
    <t>Seats &gt; Rear Seat &gt; Seat 2-3 &gt; Head Rest &gt; Outer Side &gt; Padding</t>
  </si>
  <si>
    <t>Seats &gt; Rear Seat &gt; Seat 2-3 &gt; Head Rest &gt; Outer Side &gt; Padding &gt; Automated Process</t>
  </si>
  <si>
    <t>000000004G7WEU01 (AutoReverse)</t>
  </si>
  <si>
    <t>Seats &gt; Rear Seat &gt; Seat 2-3 &gt; Head Rest &gt; Outer Side &gt; Frame</t>
  </si>
  <si>
    <t>Seats &gt; Rear Seat &gt; Seat 2-3 &gt; Head Rest &gt; Outer Side &gt; Frame &gt; Automated Process</t>
  </si>
  <si>
    <t>00000004EDVZEU01 (AutoReverse)</t>
  </si>
  <si>
    <t>00000003FMTKEU01 (AutoReverse)</t>
  </si>
  <si>
    <t>0000000A2S84EU01 (AutoReverse)</t>
  </si>
  <si>
    <t>Seats &gt; Rear Seat &gt; Seat 2-3 &gt; Back</t>
  </si>
  <si>
    <t>Seats &gt; Rear Seat &gt; Seat 2-3 &gt; Back &gt; Head Rest Support</t>
  </si>
  <si>
    <t>Seats &gt; Rear Seat &gt; Seat 2-3 &gt; Back &gt; Head Rest Support &gt; Lock Support</t>
  </si>
  <si>
    <t>Seats &gt; Rear Seat &gt; Seat 2-3 &gt; Back &gt; Head Rest Support &gt; Lock Support &gt; Automated Process</t>
  </si>
  <si>
    <t>00000009LYAKEU01 (AutoReverse)</t>
  </si>
  <si>
    <t>Seats &gt; Rear Seat &gt; Seat 2-3 &gt; Back &gt; Head Rest Support &gt; Simple Guide Support</t>
  </si>
  <si>
    <t>Seats &gt; Rear Seat &gt; Seat 2-3 &gt; Back &gt; Head Rest Support &gt; Simple Guide Support &gt; Automated Process</t>
  </si>
  <si>
    <t>000000060S40EU01 (AutoReverse)</t>
  </si>
  <si>
    <t>00000001VWGXEU01 (AutoReverse)</t>
  </si>
  <si>
    <t>Seats &gt; Rear Seat &gt; Seat 2-3 &gt; Back &gt; Unlocking System</t>
  </si>
  <si>
    <t>Seats &gt; Rear Seat &gt; Seat 2-3 &gt; Back &gt; Unlocking System &gt; Handle</t>
  </si>
  <si>
    <t>Seats &gt; Rear Seat &gt; Seat 2-3 &gt; Back &gt; Unlocking System &gt; Handle &gt; Lever</t>
  </si>
  <si>
    <t>Seats &gt; Rear Seat &gt; Seat 2-3 &gt; Back &gt; Unlocking System &gt; Handle &gt; Lever &gt; Automated Process</t>
  </si>
  <si>
    <t>000000072KRZEU01 (AutoReverse)</t>
  </si>
  <si>
    <t>Seats &gt; Rear Seat &gt; Seat 2-3 &gt; Back &gt; Unlocking System &gt; Handle &gt; Bezel</t>
  </si>
  <si>
    <t>Seats &gt; Rear Seat &gt; Seat 2-3 &gt; Back &gt; Unlocking System &gt; Handle &gt; Bezel &gt; Automated Process</t>
  </si>
  <si>
    <t>00000008EABKEU01 (AutoReverse)</t>
  </si>
  <si>
    <t xml:space="preserve">Material: Steel, Plastic </t>
  </si>
  <si>
    <t>STEEL;PLASTIC UNKNOWN</t>
  </si>
  <si>
    <t>000000094X8MEU01 (AutoReverse)</t>
  </si>
  <si>
    <t>Seats &gt; Rear Seat &gt; Seat 2-3 &gt; Back &gt; Unlocking System &gt; Handle &gt; Support</t>
  </si>
  <si>
    <t>Seats &gt; Rear Seat &gt; Seat 2-3 &gt; Back &gt; Unlocking System &gt; Handle &gt; Support &gt; Automated Process</t>
  </si>
  <si>
    <t>00000004OGRCEU01 (AutoReverse)</t>
  </si>
  <si>
    <t>ELASTOMER UNKNOWN</t>
  </si>
  <si>
    <t>A000001CKGCGEU02 (AutoReverse)</t>
  </si>
  <si>
    <t>00000003JQKREU01 (AutoReverse)</t>
  </si>
  <si>
    <t>Material: Steel, PA6-GF30
Process: Injection molding</t>
  </si>
  <si>
    <t>00000002A3Z0EU01 (AutoReverse)</t>
  </si>
  <si>
    <t>000000076VCQEU01 (AutoReverse)</t>
  </si>
  <si>
    <t>Seats &gt; Rear Seat &gt; Seat 2-3 &gt; Back &gt; Seat Belt Sleeve</t>
  </si>
  <si>
    <t>Seats &gt; Rear Seat &gt; Seat 2-3 &gt; Back &gt; Seat Belt Sleeve &gt; Center safety belt</t>
  </si>
  <si>
    <t>Seats &gt; Rear Seat &gt; Seat 2-3 &gt; Back &gt; Seat Belt Sleeve &gt; Center safety belt &gt; Center Safety Belt Guide</t>
  </si>
  <si>
    <t>Seats &gt; Rear Seat &gt; Seat 2-3 &gt; Back &gt; Seat Belt Sleeve &gt; Center safety belt &gt; Center Safety Belt Guide &gt; Automated Process</t>
  </si>
  <si>
    <t>00000007TT4CEU01 (AutoReverse)</t>
  </si>
  <si>
    <t>0000000AIGKKEU01 (AutoReverse)</t>
  </si>
  <si>
    <t>000000042C9DEU01 (AutoReverse)</t>
  </si>
  <si>
    <t>Seats &gt; Rear Seat &gt; Seat 2-3 &gt; Back &gt; Armrest</t>
  </si>
  <si>
    <t>Seats &gt; Rear Seat &gt; Seat 2-3 &gt; Back &gt; Armrest &gt; Mounting Bracket</t>
  </si>
  <si>
    <t>Seats &gt; Rear Seat &gt; Seat 2-3 &gt; Back &gt; Armrest &gt; Mounting Bracket &gt; Inner</t>
  </si>
  <si>
    <t>Seats &gt; Rear Seat &gt; Seat 2-3 &gt; Back &gt; Armrest &gt; Mounting Bracket &gt; Inner &gt; Automated Process</t>
  </si>
  <si>
    <t>00000005ON2YEU01 (AutoReverse)</t>
  </si>
  <si>
    <t>Seats &gt; Rear Seat &gt; Seat 2-3 &gt; Back &gt; Armrest &gt; Mounting Bracket &gt; Outer</t>
  </si>
  <si>
    <t>Seats &gt; Rear Seat &gt; Seat 2-3 &gt; Back &gt; Armrest &gt; Mounting Bracket &gt; Outer &gt; Automated Process</t>
  </si>
  <si>
    <t>00000008PW4GEU01 (AutoReverse)</t>
  </si>
  <si>
    <t>00000002K197EU01 (AutoReverse)</t>
  </si>
  <si>
    <t>Seats &gt; Rear Seat &gt; Seat 2-3 &gt; Back &gt; Armrest &gt; Mounting Bracket Cover</t>
  </si>
  <si>
    <t>Seats &gt; Rear Seat &gt; Seat 2-3 &gt; Back &gt; Armrest &gt; Mounting Bracket Cover &gt; Exterior</t>
  </si>
  <si>
    <t>Seats &gt; Rear Seat &gt; Seat 2-3 &gt; Back &gt; Armrest &gt; Mounting Bracket Cover &gt; Exterior &gt; Automated Process</t>
  </si>
  <si>
    <t>00000006EI0PEU01 (AutoReverse)</t>
  </si>
  <si>
    <t>00000007ONBBEU01 (AutoReverse)</t>
  </si>
  <si>
    <t>Seats &gt; Rear Seat &gt; Seat 2-3 &gt; Back &gt; Armrest &gt; Cup Holder</t>
  </si>
  <si>
    <t>Seats &gt; Rear Seat &gt; Seat 2-3 &gt; Back &gt; Armrest &gt; Cup Holder &gt; Cup Holder</t>
  </si>
  <si>
    <t>Seats &gt; Rear Seat &gt; Seat 2-3 &gt; Back &gt; Armrest &gt; Cup Holder &gt; Cup Holder &gt; Automated Process</t>
  </si>
  <si>
    <t>PC-ABS;TPU</t>
  </si>
  <si>
    <t>0000000BSOQMCID0 (AutoReverse)</t>
  </si>
  <si>
    <t>Seats &gt; Rear Seat &gt; Seat 2-3 &gt; Back &gt; Armrest &gt; Cup Holder &gt; Cup holder bottom</t>
  </si>
  <si>
    <t>Seats &gt; Rear Seat &gt; Seat 2-3 &gt; Back &gt; Armrest &gt; Cup Holder &gt; Cup holder bottom &gt; Automated Process</t>
  </si>
  <si>
    <t>000000094997EU01 (AutoReverse)</t>
  </si>
  <si>
    <t>Seats &gt; Rear Seat &gt; Seat 2-3 &gt; Back &gt; Armrest &gt; Cup Holder &gt; Cup Holder Bezel</t>
  </si>
  <si>
    <t>Seats &gt; Rear Seat &gt; Seat 2-3 &gt; Back &gt; Armrest &gt; Cup Holder &gt; Cup Holder Bezel &gt; Automated Process</t>
  </si>
  <si>
    <t>0000000AHTTGEU01 (AutoReverse)</t>
  </si>
  <si>
    <t>Seats &gt; Rear Seat &gt; Seat 2-3 &gt; Back &gt; Armrest &gt; Cup Holder &gt; Cup Holder Support</t>
  </si>
  <si>
    <t>Seats &gt; Rear Seat &gt; Seat 2-3 &gt; Back &gt; Armrest &gt; Cup Holder &gt; Cup Holder Support &gt; Automated Process</t>
  </si>
  <si>
    <t>000000006BSGEU01 (AutoReverse)</t>
  </si>
  <si>
    <t>000000029NBFEU01 (AutoReverse)</t>
  </si>
  <si>
    <t>Seats &gt; Rear Seat &gt; Seat 2-3 &gt; Back &gt; Armrest &gt; Lid</t>
  </si>
  <si>
    <t>Seats &gt; Rear Seat &gt; Seat 2-3 &gt; Back &gt; Armrest &gt; Lid &gt; Automated Process</t>
  </si>
  <si>
    <t>00000009FKXYEU01 (AutoReverse)</t>
  </si>
  <si>
    <t>Seats &gt; Rear Seat &gt; Seat 2-3 &gt; Back &gt; Armrest &gt; Padding</t>
  </si>
  <si>
    <t>Seats &gt; Rear Seat &gt; Seat 2-3 &gt; Back &gt; Armrest &gt; Padding &gt; Automated Process</t>
  </si>
  <si>
    <t>00000007V1PXEU01 (AutoReverse)</t>
  </si>
  <si>
    <t>Seats &gt; Rear Seat &gt; Seat 2-3 &gt; Back &gt; Armrest &gt; Frame</t>
  </si>
  <si>
    <t>Seats &gt; Rear Seat &gt; Seat 2-3 &gt; Back &gt; Armrest &gt; Frame &gt; Automated Process</t>
  </si>
  <si>
    <t>Tube Bending, Cutting, Welding</t>
  </si>
  <si>
    <t>00000003ZKPWEU01 (AutoReverse)</t>
  </si>
  <si>
    <t>Seats &gt; Rear Seat &gt; Seat 2-3 &gt; Back &gt; Armrest &gt; Reinforcement</t>
  </si>
  <si>
    <t>Seats &gt; Rear Seat &gt; Seat 2-3 &gt; Back &gt; Armrest &gt; Reinforcement &gt; Automated Process</t>
  </si>
  <si>
    <t>0000000AKBKHEU01 (AutoReverse)</t>
  </si>
  <si>
    <t>00000007V78BEU01 (AutoReverse)</t>
  </si>
  <si>
    <t>Seats &gt; Rear Seat &gt; Seat 2-3 &gt; Back &gt; Cover</t>
  </si>
  <si>
    <t>Seats &gt; Rear Seat &gt; Seat 2-3 &gt; Back &gt; Cover &gt; Automated Process</t>
  </si>
  <si>
    <t>00000002T3NNEU01 (AutoReverse)</t>
  </si>
  <si>
    <t>Seats &gt; Rear Seat &gt; Seat 2-3 &gt; Back &gt; Pad</t>
  </si>
  <si>
    <t>Seats &gt; Rear Seat &gt; Seat 2-3 &gt; Back &gt; Pad &gt; Automated Process</t>
  </si>
  <si>
    <t>000000022JVTEU01 (AutoReverse)</t>
  </si>
  <si>
    <t>Seats &gt; Rear Seat &gt; Seat 2-3 &gt; Back &gt; Frame</t>
  </si>
  <si>
    <t>Seats &gt; Rear Seat &gt; Seat 2-3 &gt; Back &gt; Frame &gt; Automated Process</t>
  </si>
  <si>
    <t>0000000AFDTKEU01 (AutoReverse)</t>
  </si>
  <si>
    <t>Seats &gt; Rear Seat &gt; Seat 2-3 &gt; Back &gt; Rear Panel</t>
  </si>
  <si>
    <t>Seats &gt; Rear Seat &gt; Seat 2-3 &gt; Back &gt; Rear Panel &gt; Automated Process</t>
  </si>
  <si>
    <t>00000005VNRLEU01 (AutoReverse)</t>
  </si>
  <si>
    <t>Seats &gt; Rear Seat &gt; Seat 2-3 &gt; Back &gt; 2nd Pad</t>
  </si>
  <si>
    <t>Seats &gt; Rear Seat &gt; Seat 2-3 &gt; Back &gt; 2nd Pad &gt; Automated Process</t>
  </si>
  <si>
    <t>0000000AWESBEU01 (AutoReverse)</t>
  </si>
  <si>
    <t>0000000ARECYEU01 (AutoReverse)</t>
  </si>
  <si>
    <t>Seats &gt; Rear Seat &gt; Seat 2-3 &gt; Support System</t>
  </si>
  <si>
    <t>Seats &gt; Rear Seat &gt; Seat 2-3 &gt; Support System &gt; Exterior Support</t>
  </si>
  <si>
    <t>Seats &gt; Rear Seat &gt; Seat 2-3 &gt; Support System &gt; Exterior Support &gt; Automated Process</t>
  </si>
  <si>
    <t>000000028OJVEU01 (AutoReverse)</t>
  </si>
  <si>
    <t>00000009R9HDEU01 (AutoReverse)</t>
  </si>
  <si>
    <t>00000000JBKREU01 (AutoReverse)</t>
  </si>
  <si>
    <t>Seats &gt; Rear Seat &gt; Cushion</t>
  </si>
  <si>
    <t>Seats &gt; Rear Seat &gt; Cushion &gt; Heating System</t>
  </si>
  <si>
    <t>00000000865EEU01 (AutoReverse)</t>
  </si>
  <si>
    <t>00000001S4WNEU01 (AutoReverse)</t>
  </si>
  <si>
    <t>00000002MO65EU01 (AutoReverse)</t>
  </si>
  <si>
    <t>Seats &gt; Rear Seat &gt; Cushion &gt; Anti-Submarining System</t>
  </si>
  <si>
    <t>Seats &gt; Rear Seat &gt; Cushion &gt; Anti-Submarining System &gt; Anti-Submarining</t>
  </si>
  <si>
    <t>Seats &gt; Rear Seat &gt; Cushion &gt; Anti-Submarining System &gt; Anti-Submarining &gt; Automated Process</t>
  </si>
  <si>
    <t>EPP Foaming</t>
  </si>
  <si>
    <t>EPP</t>
  </si>
  <si>
    <t>000000098IB8EU01 (AutoReverse)</t>
  </si>
  <si>
    <t>A00000552SG3EU01 (AutoReverse)</t>
  </si>
  <si>
    <t>Seats &gt; Rear Seat &gt; Cushion &gt; Frame</t>
  </si>
  <si>
    <t>Wire Bending, Welding</t>
  </si>
  <si>
    <t>Seats &gt; Rear Seat &gt; Cushion &gt; Frame &gt; Automated Process</t>
  </si>
  <si>
    <t>00000003OSV4EU01 (AutoReverse)</t>
  </si>
  <si>
    <t>Seats &gt; Rear Seat &gt; Cushion &gt; Cover</t>
  </si>
  <si>
    <t>Seats &gt; Rear Seat &gt; Cushion &gt; Cover &gt; Automated Process</t>
  </si>
  <si>
    <t xml:space="preserve">Cutting, Sewing </t>
  </si>
  <si>
    <t>00000009YFQ1EU01 (AutoReverse)</t>
  </si>
  <si>
    <t>Seats &gt; Rear Seat &gt; Cushion &gt; Pad</t>
  </si>
  <si>
    <t>Seats &gt; Rear Seat &gt; Cushion &gt; Pad &gt; Automated Process</t>
  </si>
  <si>
    <t>00000001NFNHEU01 (AutoReverse)</t>
  </si>
  <si>
    <t>Seats &gt; Rear Seat &gt; Cushion &gt; Pad 2</t>
  </si>
  <si>
    <t>Seats &gt; Rear Seat &gt; Cushion &gt; Pad 2 &gt; Automated Process</t>
  </si>
  <si>
    <t>A0000034GCPSEU01 (AutoReverse)</t>
  </si>
  <si>
    <t>00000004Y6T1EU01 (AutoReverse)</t>
  </si>
  <si>
    <t>Seats &gt; Rear Seat &gt; Back</t>
  </si>
  <si>
    <t>Seats &gt; Rear Seat &gt; Back &gt; Wiring Harness</t>
  </si>
  <si>
    <t>Seats &gt; Rear Seat &gt; Back &gt; Wiring Harness &gt; Process</t>
  </si>
  <si>
    <t>000000011BAREU01 (AutoReverse)</t>
  </si>
  <si>
    <t>00000005X3XVEU01 (AutoReverse)</t>
  </si>
  <si>
    <t>Seats &gt; Rear Seat &gt; Storage Under Cushion</t>
  </si>
  <si>
    <t>Seats &gt; Rear Seat &gt; Storage Under Cushion &gt; Plastic Garnish</t>
  </si>
  <si>
    <t>Seats &gt; Rear Seat &gt; Storage Under Cushion &gt; Plastic Garnish &gt; Left</t>
  </si>
  <si>
    <t>Seats &gt; Rear Seat &gt; Storage Under Cushion &gt; Plastic Garnish &gt; Left &gt; Automated Process</t>
  </si>
  <si>
    <t>00000005VCPHEU01 (AutoReverse)</t>
  </si>
  <si>
    <t>Seats &gt; Rear Seat &gt; Storage Under Cushion &gt; Plastic Garnish &gt; Right</t>
  </si>
  <si>
    <t>Seats &gt; Rear Seat &gt; Storage Under Cushion &gt; Plastic Garnish &gt; Right &gt; Automated Process</t>
  </si>
  <si>
    <t>00000008JBHDEU01 (AutoReverse)</t>
  </si>
  <si>
    <t>000000060OIJEU01 (AutoReverse)</t>
  </si>
  <si>
    <t>Seats &gt; Rear Seat &gt; Storage Under Cushion &gt; Storage</t>
  </si>
  <si>
    <t>Seats &gt; Rear Seat &gt; Storage Under Cushion &gt; Storage &gt; Left</t>
  </si>
  <si>
    <t>Seats &gt; Rear Seat &gt; Storage Under Cushion &gt; Storage &gt; Left &gt; Drawer</t>
  </si>
  <si>
    <t>Seats &gt; Rear Seat &gt; Storage Under Cushion &gt; Storage &gt; Left &gt; Drawer &gt; Automated Process</t>
  </si>
  <si>
    <t>000000091QW6EU01 (AutoReverse)</t>
  </si>
  <si>
    <t>Seats &gt; Rear Seat &gt; Storage Under Cushion &gt; Storage &gt; Left &gt; Mounting Bracket</t>
  </si>
  <si>
    <t>Seats &gt; Rear Seat &gt; Storage Under Cushion &gt; Storage &gt; Left &gt; Mounting Bracket &gt; Automated Process</t>
  </si>
  <si>
    <t>00000008Z9MREU01 (AutoReverse)</t>
  </si>
  <si>
    <t>000000037DQ0EU01 (AutoReverse)</t>
  </si>
  <si>
    <t>Seats &gt; Rear Seat &gt; Storage Under Cushion &gt; Storage &gt; Right</t>
  </si>
  <si>
    <t>Seats &gt; Rear Seat &gt; Storage Under Cushion &gt; Storage &gt; Right &gt; Drawer</t>
  </si>
  <si>
    <t>Seats &gt; Rear Seat &gt; Storage Under Cushion &gt; Storage &gt; Right &gt; Drawer &gt; Automated Process</t>
  </si>
  <si>
    <t>00000000WGC5EU01 (AutoReverse)</t>
  </si>
  <si>
    <t>Seats &gt; Rear Seat &gt; Storage Under Cushion &gt; Storage &gt; Right &gt; Mounting Bracket</t>
  </si>
  <si>
    <t>Seats &gt; Rear Seat &gt; Storage Under Cushion &gt; Storage &gt; Right &gt; Mounting Bracket &gt; Automated Process</t>
  </si>
  <si>
    <t>00000003PXGGEU01 (AutoReverse)</t>
  </si>
  <si>
    <t>00000006ON2PEU01 (AutoReverse)</t>
  </si>
  <si>
    <t>00000005G347EU01 (AutoReverse)</t>
  </si>
  <si>
    <t>000000014EIIEU01 (AutoReverse)</t>
  </si>
  <si>
    <t>Seats &gt; Rear Seat &gt; Isofix Cover</t>
  </si>
  <si>
    <t>Seats &gt; Rear Seat &gt; Isofix Cover &gt; Trim</t>
  </si>
  <si>
    <t>Seats &gt; Rear Seat &gt; Isofix Cover &gt; Trim &gt; Automated Process</t>
  </si>
  <si>
    <t>A000003BT3TKEU01 (AutoReverse)</t>
  </si>
  <si>
    <t>Seats &gt; Rear Seat &gt; Isofix Cover &gt; Isofix Cover Support</t>
  </si>
  <si>
    <t>Seats &gt; Rear Seat &gt; Isofix Cover &gt; Isofix Cover Support &gt; Automated Process</t>
  </si>
  <si>
    <t>000000093185EU01 (AutoReverse)</t>
  </si>
  <si>
    <t>00000007UXNZEU01 (AutoReverse)</t>
  </si>
  <si>
    <t>00000002PZGXEU01 (AutoReverse)</t>
  </si>
  <si>
    <t>0000000BSOY5CID0 (AutoReverse)</t>
  </si>
  <si>
    <t>Seats &gt; Rear Seat &gt; Final Assembly</t>
  </si>
  <si>
    <t>00000006WID8EU01 (AutoReverse)</t>
  </si>
  <si>
    <t>00000003VG2AEU01 (AutoReverse)</t>
  </si>
  <si>
    <t>Engine</t>
  </si>
  <si>
    <t>Engine &gt; Hybrid Electric System</t>
  </si>
  <si>
    <t>Engine &gt; Hybrid Electric System &gt; Battery System</t>
  </si>
  <si>
    <t>Engine &gt; Hybrid Electric System &gt; Battery System &gt; Support Sytem</t>
  </si>
  <si>
    <t>Steel, Stamping</t>
  </si>
  <si>
    <t>00000005KPAKEU01 (AutoReverse)</t>
  </si>
  <si>
    <t>00000007IMNPEU01 (AutoReverse)</t>
  </si>
  <si>
    <t>000000AFPQ0SEU02 (AutoReverse)</t>
  </si>
  <si>
    <t>000000062M3EEU01 (AutoReverse)</t>
  </si>
  <si>
    <t>A00000396ITEEU01 (AutoReverse)</t>
  </si>
  <si>
    <t>Engine &gt; Hybrid Electric System &gt; Battery System &gt; Power Electronics Combination Module</t>
  </si>
  <si>
    <t>Engine &gt; Hybrid Electric System &gt; Battery System &gt; Power Electronics Combination Module &gt; Onboard Charger</t>
  </si>
  <si>
    <t>Engine &gt; Hybrid Electric System &gt; Battery System &gt; Power Electronics Combination Module &gt; Onboard Charger &gt; Connectors &amp; Wire Harnesses</t>
  </si>
  <si>
    <t>Engine &gt; Hybrid Electric System &gt; Battery System &gt; Power Electronics Combination Module &gt; Onboard Charger &gt; Connectors &amp; Wire Harnesses &gt; Connectors</t>
  </si>
  <si>
    <t>Engine &gt; Hybrid Electric System &gt; Battery System &gt; Power Electronics Combination Module &gt; Onboard Charger &gt; Connectors &amp; Wire Harnesses &gt; Connectors &gt; HV Connectors</t>
  </si>
  <si>
    <t>Engine &gt; Hybrid Electric System &gt; Battery System &gt; Power Electronics Combination Module &gt; Onboard Charger &gt; Electrical Parts</t>
  </si>
  <si>
    <t>Engine &gt; Hybrid Electric System &gt; Battery System &gt; Power Electronics Combination Module &gt; Onboard Charger &gt; Electrical Parts &gt; Ferrites &amp; Cores</t>
  </si>
  <si>
    <t>Engine &gt; Hybrid Electric System &gt; Battery System &gt; Power Electronics Combination Module &gt; Onboard Charger &gt; Electrical Parts &gt; Inductors</t>
  </si>
  <si>
    <t>Engine &gt; Hybrid Electric System &gt; Battery System &gt; Power Electronics Combination Module &gt; Onboard Charger &gt; Electrical Parts &gt; Transformers</t>
  </si>
  <si>
    <t>Engine &gt; Hybrid Electric System &gt; Battery System &gt; Power Electronics Combination Module &gt; Onboard Charger &gt; Electronic Parts</t>
  </si>
  <si>
    <t>Engine &gt; Hybrid Electric System &gt; Battery System &gt; Power Electronics Combination Module &gt; Onboard Charger &gt; Mechanical Parts</t>
  </si>
  <si>
    <t>Engine &gt; Hybrid Electric System &gt; Battery System &gt; Power Electronics Combination Module &gt; Onboard Charger &gt; Mechanical Parts &gt; Brackets</t>
  </si>
  <si>
    <t>Steel, standard, sheet 1mm;Stamping</t>
  </si>
  <si>
    <t>PA6.6-GF25;Injection molding</t>
  </si>
  <si>
    <t>Engine &gt; Hybrid Electric System &gt; Battery System &gt; Power Electronics Combination Module &gt; Onboard Charger &gt; Mechanical Parts &gt; Housing Parts</t>
  </si>
  <si>
    <t>Engine &gt; Hybrid Electric System &gt; Battery System &gt; Power Electronics Combination Module &gt; Onboard Charger &gt; Mechanical Parts &gt; Housing Parts &gt; Main Housing</t>
  </si>
  <si>
    <t>3.29900 kg</t>
  </si>
  <si>
    <t>3.3663265306122448979591836735 kg</t>
  </si>
  <si>
    <t>Engine &gt; Hybrid Electric System &gt; Battery System &gt; Power Electronics Combination Module &gt; Onboard Charger &gt; Mechanical Parts &gt; Housing Parts &gt; Main Housing &gt; Process</t>
  </si>
  <si>
    <t>Die casting &amp; machining, leakage test</t>
  </si>
  <si>
    <t>Aluminium, Standard, 2-7mm;Stamping</t>
  </si>
  <si>
    <t>Engine &gt; Hybrid Electric System &gt; Battery System &gt; Power Electronics Combination Module &gt; Onboard Charger &gt; Mechanical Parts &gt; Insulation Sheets</t>
  </si>
  <si>
    <t>Engine &gt; Hybrid Electric System &gt; Battery System &gt; Power Electronics Combination Module &gt; Onboard Charger &gt; Mechanical Parts &gt; Shields</t>
  </si>
  <si>
    <t>Engine &gt; Hybrid Electric System &gt; Battery System &gt; Power Electronics Combination Module &gt; Onboard Charger &gt; Mechanical Parts &gt; Thermal Paste / Gap Pad</t>
  </si>
  <si>
    <t>Engine &gt; Hybrid Electric System &gt; Battery System &gt; Power Electronics Combination Module &gt; Onboard Charger &gt; Mechanical Parts &gt; Foam Pads</t>
  </si>
  <si>
    <t>Engine &gt; Hybrid Electric System &gt; Battery System &gt; Power Electronics Combination Module &gt; Onboard Charger &gt; Mechanical Parts &gt; Spacers</t>
  </si>
  <si>
    <t>Engine &gt; Hybrid Electric System &gt; Battery System &gt; Power Electronics Combination Module &gt; DC-DC Converter</t>
  </si>
  <si>
    <t>Engine &gt; Hybrid Electric System &gt; Battery System &gt; Power Electronics Combination Module &gt; DC-DC Converter &gt; Connectors &amp; Wire Harnesses</t>
  </si>
  <si>
    <t>Engine &gt; Hybrid Electric System &gt; Battery System &gt; Power Electronics Combination Module &gt; DC-DC Converter &gt; Connectors &amp; Wire Harnesses &gt; Busbars</t>
  </si>
  <si>
    <t>Copper sheet, 2mm-7mm, galvanized nickel;Stamping</t>
  </si>
  <si>
    <t>Engine &gt; Hybrid Electric System &gt; Battery System &gt; Power Electronics Combination Module &gt; DC-DC Converter &gt; Connectors &amp; Wire Harnesses &gt; Connectors</t>
  </si>
  <si>
    <t>Engine &gt; Hybrid Electric System &gt; Battery System &gt; Power Electronics Combination Module &gt; DC-DC Converter &gt; Connectors &amp; Wire Harnesses &gt; Connectors &gt; 12V Power Connectors</t>
  </si>
  <si>
    <t>Engine &gt; Hybrid Electric System &gt; Battery System &gt; Power Electronics Combination Module &gt; DC-DC Converter &gt; Electrical Parts</t>
  </si>
  <si>
    <t>Engine &gt; Hybrid Electric System &gt; Battery System &gt; Power Electronics Combination Module &gt; DC-DC Converter &gt; Electrical Parts &gt; Ferrites &amp; Cores</t>
  </si>
  <si>
    <t>Engine &gt; Hybrid Electric System &gt; Battery System &gt; Power Electronics Combination Module &gt; DC-DC Converter &gt; Electronic Parts</t>
  </si>
  <si>
    <t>Engine &gt; Hybrid Electric System &gt; Battery System &gt; Power Electronics Combination Module &gt; Final Assy</t>
  </si>
  <si>
    <t>Engine &gt; Hybrid Electric System &gt; Battery System &gt; HV Battery Pack</t>
  </si>
  <si>
    <t>Engine &gt; Hybrid Electric System &gt; Battery System &gt; HV Battery Pack &gt; Battery Cells</t>
  </si>
  <si>
    <t>Raw material price of 2024: Lithium carbonate 12131 [USD/t], Lithium hydroxite 11781 [USD/t], Nickel 16624 [USD/t], Cobalt 26415 [USD/t],
 Manganese 3921 [USD/t], Aluminium 2402 [USD/t]</t>
  </si>
  <si>
    <t>Battery [Cells: Cell Manufacturing ] [Purchased]</t>
  </si>
  <si>
    <t>0000009X682LEU02 (AutoReverse)</t>
  </si>
  <si>
    <t>0.500000 %</t>
  </si>
  <si>
    <t>3.000000 %</t>
  </si>
  <si>
    <t>Battery [Cells: Cell to Pack level] [Internal]</t>
  </si>
  <si>
    <t>Engine &gt; Hybrid Electric System &gt; Battery System &gt; HV Battery Pack &gt; Battery pack excluding cells</t>
  </si>
  <si>
    <t>Engine &gt; Hybrid Electric System &gt; Battery System &gt; HV Battery Pack &gt; Battery pack excluding cells &gt; Sub-Pack #1</t>
  </si>
  <si>
    <t>Engine &gt; Hybrid Electric System &gt; Battery System &gt; HV Battery Pack &gt; Battery pack excluding cells &gt; Sub-Pack #1 &gt; Cell Module, Large</t>
  </si>
  <si>
    <t>Aluminum, Stamping</t>
  </si>
  <si>
    <t>Battery [Mechanical Prod] [Purchased]</t>
  </si>
  <si>
    <t>0000009X686NEU02 (AutoReverse)</t>
  </si>
  <si>
    <t>0000009X68B0EU02 (AutoReverse)</t>
  </si>
  <si>
    <t>Plastics, Commodity</t>
  </si>
  <si>
    <t>0000009X68K4EU02 (AutoReverse)</t>
  </si>
  <si>
    <t>PC, Injection molding</t>
  </si>
  <si>
    <t>0000009X683FEU02 (AutoReverse)</t>
  </si>
  <si>
    <t>0000009X68B5EU02 (AutoReverse)</t>
  </si>
  <si>
    <t>PBT-GF30, Injection molding</t>
  </si>
  <si>
    <t>000000AND4ELEU02 (AutoReverse)</t>
  </si>
  <si>
    <t>PP, Injection molding</t>
  </si>
  <si>
    <t>A000003B8GC1EU01 (AutoReverse)</t>
  </si>
  <si>
    <t>ABS+PC, Injection molding</t>
  </si>
  <si>
    <t>0000009X69FXEU02 (AutoReverse)</t>
  </si>
  <si>
    <t>MICA, Commodity</t>
  </si>
  <si>
    <t>A000000K8X1CEU02 (AutoReverse)</t>
  </si>
  <si>
    <t>A0000015AHB9EU02 (AutoReverse)</t>
  </si>
  <si>
    <t>A0000016HWG2EU02 (AutoReverse)</t>
  </si>
  <si>
    <t>16.000000 %</t>
  </si>
  <si>
    <t>Battery [Module Mechanics Overhead Settings] [Purchased]</t>
  </si>
  <si>
    <t>0000009X67S0EU02 (AutoReverse)</t>
  </si>
  <si>
    <t>0000009X67MYEU02 (AutoReverse)</t>
  </si>
  <si>
    <t>Engine &gt; Hybrid Electric System &gt; Battery System &gt; HV Battery Pack &gt; Battery pack excluding cells &gt; Structural Components</t>
  </si>
  <si>
    <t>Engine &gt; Hybrid Electric System &gt; Battery System &gt; HV Battery Pack &gt; Battery pack excluding cells &gt; Structural Components &gt; Enclosures</t>
  </si>
  <si>
    <t>Engine &gt; Hybrid Electric System &gt; Battery System &gt; HV Battery Pack &gt; Battery pack excluding cells &gt; Structural Components &gt; Enclosures &gt; Enclosure Bottom</t>
  </si>
  <si>
    <t>Engine &gt; Hybrid Electric System &gt; Battery System &gt; HV Battery Pack &gt; Battery pack excluding cells &gt; Structural Components &gt; Enclosures &gt; Enclosure Bottom &gt; Internal Assy</t>
  </si>
  <si>
    <t>Engine &gt; Hybrid Electric System &gt; Battery System &gt; HV Battery Pack &gt; Battery pack excluding cells &gt; Structural Components &gt; Enclosures &gt; Enclosure Bottom &gt; Internal Assy &gt; Cross Members</t>
  </si>
  <si>
    <t>Engine &gt; Hybrid Electric System &gt; Battery System &gt; HV Battery Pack &gt; Battery pack excluding cells &gt; Structural Components &gt; Enclosures &gt; Enclosure Bottom &gt; Internal Assy &gt; Cross Members &gt; Cross Member Assy 01</t>
  </si>
  <si>
    <t>Engine &gt; Hybrid Electric System &gt; Battery System &gt; HV Battery Pack &gt; Battery pack excluding cells &gt; Structural Components &gt; Enclosures &gt; Enclosure Bottom &gt; Internal Assy &gt; Cross Members &gt; Cross Member Assy 01 &gt; Cross Member 01</t>
  </si>
  <si>
    <t>3.53000 kg</t>
  </si>
  <si>
    <t>3.7433722163308589607635206787 kg</t>
  </si>
  <si>
    <t>Engine &gt; Hybrid Electric System &gt; Battery System &gt; HV Battery Pack &gt; Battery pack excluding cells &gt; Structural Components &gt; Enclosures &gt; Enclosure Bottom &gt; Internal Assy &gt; Cross Members &gt; Cross Member Assy 01 &gt; Cross Member 01 &gt; Process</t>
  </si>
  <si>
    <t>Extrsuion, Machining</t>
  </si>
  <si>
    <t>Aluminum, Extrusion</t>
  </si>
  <si>
    <t>000000AHKRCSEU02 (AutoReverse)</t>
  </si>
  <si>
    <t>Battery mechanical overhead settings</t>
  </si>
  <si>
    <t>000000AHKRDQEU02 (AutoReverse)</t>
  </si>
  <si>
    <t>000000AHKRDOEU02 (AutoReverse)</t>
  </si>
  <si>
    <t>000000AHKRD9EU02 (AutoReverse)</t>
  </si>
  <si>
    <t>Engine &gt; Hybrid Electric System &gt; Battery System &gt; HV Battery Pack &gt; Battery pack excluding cells &gt; Structural Components &gt; Enclosures &gt; Enclosure Bottom &gt; Internal Assy &gt; Longitudinal Members</t>
  </si>
  <si>
    <t>Engine &gt; Hybrid Electric System &gt; Battery System &gt; HV Battery Pack &gt; Battery pack excluding cells &gt; Structural Components &gt; Enclosures &gt; Enclosure Bottom &gt; Internal Assy &gt; Longitudinal Members &gt; Longitudinal Assy 01</t>
  </si>
  <si>
    <t>000000AHKRD1EU02 (AutoReverse)</t>
  </si>
  <si>
    <t>000000AHKRDREU02 (AutoReverse)</t>
  </si>
  <si>
    <t>Engine &gt; Hybrid Electric System &gt; Battery System &gt; HV Battery Pack &gt; Battery pack excluding cells &gt; Structural Components &gt; Enclosures &gt; Enclosure Bottom &gt; Internal Assy &gt; Longitudinal Members &gt; Longitudinal Assy 02</t>
  </si>
  <si>
    <t>000000AHKRDCEU02 (AutoReverse)</t>
  </si>
  <si>
    <t>000000AHKRDUEU02 (AutoReverse)</t>
  </si>
  <si>
    <t>000000AHKRDAEU02 (AutoReverse)</t>
  </si>
  <si>
    <t>000000AHKRDNEU02 (AutoReverse)</t>
  </si>
  <si>
    <t>Engine &gt; Hybrid Electric System &gt; Battery System &gt; HV Battery Pack &gt; Battery pack excluding cells &gt; Structural Components &gt; Enclosures &gt; Enclosure Bottom &gt; Outer Structure</t>
  </si>
  <si>
    <t>Engine &gt; Hybrid Electric System &gt; Battery System &gt; HV Battery Pack &gt; Battery pack excluding cells &gt; Structural Components &gt; Enclosures &gt; Enclosure Bottom &gt; Outer Structure &gt; Outer Front Assy</t>
  </si>
  <si>
    <t>Engine &gt; Hybrid Electric System &gt; Battery System &gt; HV Battery Pack &gt; Battery pack excluding cells &gt; Structural Components &gt; Enclosures &gt; Enclosure Bottom &gt; Outer Structure &gt; Outer Front Assy &gt; Outer Front Member 01</t>
  </si>
  <si>
    <t>7.90000 kg</t>
  </si>
  <si>
    <t>8.377518557794273594909862142 kg</t>
  </si>
  <si>
    <t>Engine &gt; Hybrid Electric System &gt; Battery System &gt; HV Battery Pack &gt; Battery pack excluding cells &gt; Structural Components &gt; Enclosures &gt; Enclosure Bottom &gt; Outer Structure &gt; Outer Front Assy &gt; Outer Front Member 01 &gt; Processs</t>
  </si>
  <si>
    <t>Extrusion, Machining</t>
  </si>
  <si>
    <t>000000AM2VO7EU02 (AutoReverse)</t>
  </si>
  <si>
    <t>A0000004FG3FEU02 (AutoReverse)</t>
  </si>
  <si>
    <t>A0000004FG2NEU02 (AutoReverse)</t>
  </si>
  <si>
    <t>A000000EVGQ8EU02 (AutoReverse)</t>
  </si>
  <si>
    <t>A000001BALKHEU02 (AutoReverse)</t>
  </si>
  <si>
    <t>A000001BALK4EU02 (AutoReverse)</t>
  </si>
  <si>
    <t>000000AMX8VLEU02 (AutoReverse)</t>
  </si>
  <si>
    <t>A000002S27XNEU01 (AutoReverse)</t>
  </si>
  <si>
    <t>000000AITBGGEU02 (AutoReverse)</t>
  </si>
  <si>
    <t>Engine &gt; Hybrid Electric System &gt; Battery System &gt; HV Battery Pack &gt; Battery pack excluding cells &gt; Structural Components &gt; Enclosures &gt; Enclosure Bottom &gt; Outer Structure &gt; Outer Side Member Assy</t>
  </si>
  <si>
    <t>Engine &gt; Hybrid Electric System &gt; Battery System &gt; HV Battery Pack &gt; Battery pack excluding cells &gt; Structural Components &gt; Enclosures &gt; Enclosure Bottom &gt; Outer Structure &gt; Outer Side Member Assy &gt; Outer Side Member 01</t>
  </si>
  <si>
    <t>10.94000 kg</t>
  </si>
  <si>
    <t>11.60127253446447507953340403 kg</t>
  </si>
  <si>
    <t>Engine &gt; Hybrid Electric System &gt; Battery System &gt; HV Battery Pack &gt; Battery pack excluding cells &gt; Structural Components &gt; Enclosures &gt; Enclosure Bottom &gt; Outer Structure &gt; Outer Side Member Assy &gt; Outer Side Member 01 &gt; Process</t>
  </si>
  <si>
    <t>000000AM2VQYEU02 (AutoReverse)</t>
  </si>
  <si>
    <t>A0000004FG2SEU02 (AutoReverse)</t>
  </si>
  <si>
    <t>A0000004FG2TEU02 (AutoReverse)</t>
  </si>
  <si>
    <t>Engine &gt; Hybrid Electric System &gt; Battery System &gt; HV Battery Pack &gt; Battery pack excluding cells &gt; Structural Components &gt; Enclosures &gt; Enclosure Bottom &gt; Outer Structure &gt; Outer Side Member Assy &gt; Outer Side Member 02</t>
  </si>
  <si>
    <t>10.87000 kg</t>
  </si>
  <si>
    <t>11.527041357370095440084835631 kg</t>
  </si>
  <si>
    <t>Engine &gt; Hybrid Electric System &gt; Battery System &gt; HV Battery Pack &gt; Battery pack excluding cells &gt; Structural Components &gt; Enclosures &gt; Enclosure Bottom &gt; Outer Structure &gt; Outer Side Member Assy &gt; Outer Side Member 02 &gt; Process</t>
  </si>
  <si>
    <t>000000AM2VR0EU02 (AutoReverse)</t>
  </si>
  <si>
    <t>000000AM2VOBEU02 (AutoReverse)</t>
  </si>
  <si>
    <t>Engine &gt; Hybrid Electric System &gt; Battery System &gt; HV Battery Pack &gt; Battery pack excluding cells &gt; Structural Components &gt; Enclosures &gt; Enclosure Bottom &gt; Outer Structure &gt; Outer Rear Assy</t>
  </si>
  <si>
    <t>Engine &gt; Hybrid Electric System &gt; Battery System &gt; HV Battery Pack &gt; Battery pack excluding cells &gt; Structural Components &gt; Enclosures &gt; Enclosure Bottom &gt; Outer Structure &gt; Outer Rear Assy &gt; Outer Rear Member 01</t>
  </si>
  <si>
    <t>4.92000 kg</t>
  </si>
  <si>
    <t>5.2173913043478260869565217391 kg</t>
  </si>
  <si>
    <t>Engine &gt; Hybrid Electric System &gt; Battery System &gt; HV Battery Pack &gt; Battery pack excluding cells &gt; Structural Components &gt; Enclosures &gt; Enclosure Bottom &gt; Outer Structure &gt; Outer Rear Assy &gt; Outer Rear Member 01 &gt; Process</t>
  </si>
  <si>
    <t>000000AM2VSSEU02 (AutoReverse)</t>
  </si>
  <si>
    <t>A0000004FG3KEU02 (AutoReverse)</t>
  </si>
  <si>
    <t>A0000004FG3LEU02 (AutoReverse)</t>
  </si>
  <si>
    <t>A000000C4TPREU02 (AutoReverse)</t>
  </si>
  <si>
    <t>A000000UD744EU02 (AutoReverse)</t>
  </si>
  <si>
    <t>000000AM2VSREU02 (AutoReverse)</t>
  </si>
  <si>
    <t>000000AITBGLEU02 (AutoReverse)</t>
  </si>
  <si>
    <t>A000001BCKZBEU02 (AutoReverse)</t>
  </si>
  <si>
    <t>Battery [Assembly] [Purchased]</t>
  </si>
  <si>
    <t>0000009X67PAEU02 (AutoReverse)</t>
  </si>
  <si>
    <t>Engine &gt; Hybrid Electric System &gt; Battery System &gt; HV Battery Pack &gt; Battery pack excluding cells &gt; Structural Components &gt; Enclosures &gt; Enclosure Top</t>
  </si>
  <si>
    <t>Engine &gt; Hybrid Electric System &gt; Battery System &gt; HV Battery Pack &gt; Battery pack excluding cells &gt; Structural Components &gt; Enclosures &gt; Enclosure Top &gt; Fixing Parts</t>
  </si>
  <si>
    <t>A000000Z3C7TEU02 (AutoReverse)</t>
  </si>
  <si>
    <t>A000000Z3C7VEU02 (AutoReverse)</t>
  </si>
  <si>
    <t>Steel, Hydroforming</t>
  </si>
  <si>
    <t>A000000Z3C7WEU02 (AutoReverse)</t>
  </si>
  <si>
    <t>A000000Z3C7XEU02 (AutoReverse)</t>
  </si>
  <si>
    <t>A000005C6CKUEU01 (AutoReverse)</t>
  </si>
  <si>
    <t>A000005C6CKVEU01 (AutoReverse)</t>
  </si>
  <si>
    <t>Engine &gt; Hybrid Electric System &gt; Battery System &gt; HV Battery Pack &gt; Battery pack excluding cells &gt; Structural Components &gt; Enclosures &gt; Enclosure Top &gt; Cross Members</t>
  </si>
  <si>
    <t>A000000Z3C7UEU02 (AutoReverse)</t>
  </si>
  <si>
    <t>A000005A7UMXEU01 (AutoReverse)</t>
  </si>
  <si>
    <t>A000005A7UMYEU01 (AutoReverse)</t>
  </si>
  <si>
    <t>A000005C3SI1EU01 (AutoReverse)</t>
  </si>
  <si>
    <t>Engine &gt; Hybrid Electric System &gt; Battery System &gt; HV Battery Pack &gt; Battery pack excluding cells &gt; Structural Components &gt; Enclosures &gt; Enclosure Top &gt; Reinforcements</t>
  </si>
  <si>
    <t>A000005C6CKMEU01 (AutoReverse)</t>
  </si>
  <si>
    <t>A000005C6CKNEU01 (AutoReverse)</t>
  </si>
  <si>
    <t>A000005C6CKOEU01 (AutoReverse)</t>
  </si>
  <si>
    <t>A000005C6CKPEU01 (AutoReverse)</t>
  </si>
  <si>
    <t>A000005C6CKQEU01 (AutoReverse)</t>
  </si>
  <si>
    <t>A000005C6CKTEU01 (AutoReverse)</t>
  </si>
  <si>
    <t>A000005C6CKLEU01 (AutoReverse)</t>
  </si>
  <si>
    <t>Engine &gt; Hybrid Electric System &gt; Battery System &gt; HV Battery Pack &gt; Battery pack excluding cells &gt; Structural Components &gt; Enclosures &gt; Enclosure Top &gt; Front Seats Support</t>
  </si>
  <si>
    <t>A000000Y7WPKEU02 (Powertrain)</t>
  </si>
  <si>
    <t>A0000035KBE4EU01 (AutoReverse)</t>
  </si>
  <si>
    <t>A000000Y7WPLEU02 (AutoReverse)</t>
  </si>
  <si>
    <t>A0000035KBE8EU01 (AutoReverse)</t>
  </si>
  <si>
    <t>A0000035KBE9EU01 (AutoReverse)</t>
  </si>
  <si>
    <t>A0000035KBEAEU01 (AutoReverse)</t>
  </si>
  <si>
    <t>A0000035KBE1EU01 (AutoReverse)</t>
  </si>
  <si>
    <t>A0000035KBE7EU01 (AutoReverse)</t>
  </si>
  <si>
    <t>A0000035KBEDEU01 (AutoReverse)</t>
  </si>
  <si>
    <t>A0000035KBE2EU01 (AutoReverse)</t>
  </si>
  <si>
    <t>A0000035KBE3EU01 (AutoReverse)</t>
  </si>
  <si>
    <t>A0000035KBECEU01 (AutoReverse)</t>
  </si>
  <si>
    <t>A0000035KBEEEU01 (AutoReverse)</t>
  </si>
  <si>
    <t>A000000Z3C7REU02 (AutoReverse)</t>
  </si>
  <si>
    <t>A000000Y7WPJEU02 (AutoReverse)</t>
  </si>
  <si>
    <t>A000005C6CKREU01 (AutoReverse)</t>
  </si>
  <si>
    <t>A000005C6CKSEU01 (AutoReverse)</t>
  </si>
  <si>
    <t>Engine &gt; Hybrid Electric System &gt; Battery System &gt; HV Battery Pack &gt; Battery pack excluding cells &gt; Structural Components &gt; Enclosures &gt; Enclosure Top &gt; Top Cover 2</t>
  </si>
  <si>
    <t>17.00000 kg</t>
  </si>
  <si>
    <t>18.888888888888888888888888889 kg</t>
  </si>
  <si>
    <t>Engine &gt; Hybrid Electric System &gt; Battery System &gt; HV Battery Pack &gt; Battery pack excluding cells &gt; Structural Components &gt; Enclosures &gt; Enclosure Top &gt; Top Cover 2 &gt; Process</t>
  </si>
  <si>
    <t>A000004ADXRWEU01 (AutoReverse)</t>
  </si>
  <si>
    <t>Engine &gt; Hybrid Electric System &gt; Battery System &gt; HV Battery Pack &gt; Battery pack excluding cells &gt; Structural Components &gt; Enclosures &gt; Enclosure Top &gt; Top Cover 3</t>
  </si>
  <si>
    <t>2.92100 kg</t>
  </si>
  <si>
    <t>4.8683333333333333333333333333 kg</t>
  </si>
  <si>
    <t>Engine &gt; Hybrid Electric System &gt; Battery System &gt; HV Battery Pack &gt; Battery pack excluding cells &gt; Structural Components &gt; Enclosures &gt; Enclosure Top &gt; Top Cover 3 &gt; Process</t>
  </si>
  <si>
    <t>A000004ADXAPEU01 (AutoReverse)</t>
  </si>
  <si>
    <t>Engine &gt; Hybrid Electric System &gt; Battery System &gt; HV Battery Pack &gt; Battery pack excluding cells &gt; Structural Components &gt; Enclosures &gt; Enclosure Top &gt; Top Cover</t>
  </si>
  <si>
    <t>3.05300 kg</t>
  </si>
  <si>
    <t>12.212 kg</t>
  </si>
  <si>
    <t>Engine &gt; Hybrid Electric System &gt; Battery System &gt; HV Battery Pack &gt; Battery pack excluding cells &gt; Structural Components &gt; Enclosures &gt; Enclosure Top &gt; Top Cover &gt; Process</t>
  </si>
  <si>
    <t>Hydroforming, Machining, Cataphoresis, Coating</t>
  </si>
  <si>
    <t>A000000Z3C7SEU02 (AutoReverse)</t>
  </si>
  <si>
    <t>0000009X67PBEU02 (AutoReverse)</t>
  </si>
  <si>
    <t>0000009X67N5EU02 (AutoReverse)</t>
  </si>
  <si>
    <t>Engine &gt; Hybrid Electric System &gt; Battery System &gt; HV Battery Pack &gt; Battery pack excluding cells &gt; Structural Components &gt; Enclosures &gt; Second Enclosure Top</t>
  </si>
  <si>
    <t>Engine &gt; Hybrid Electric System &gt; Battery System &gt; HV Battery Pack &gt; Battery pack excluding cells &gt; Structural Components &gt; Enclosures &gt; Second Enclosure Top &gt; Cover</t>
  </si>
  <si>
    <t>3.08100 kg</t>
  </si>
  <si>
    <t>3.7573170731707317073170731707 kg</t>
  </si>
  <si>
    <t>Engine &gt; Hybrid Electric System &gt; Battery System &gt; HV Battery Pack &gt; Battery pack excluding cells &gt; Structural Components &gt; Enclosures &gt; Second Enclosure Top &gt; Cover &gt; Process</t>
  </si>
  <si>
    <t>Stamping, Cataphoresis, Coating</t>
  </si>
  <si>
    <t>A000004ADXANEU01 (AutoReverse)</t>
  </si>
  <si>
    <t>A000004ADXDPEU01 (AutoReverse)</t>
  </si>
  <si>
    <t>Engine &gt; Hybrid Electric System &gt; Battery System &gt; HV Battery Pack &gt; Battery pack excluding cells &gt; Structural Components &gt; Enclosures &gt; Second Enclosure Bottom</t>
  </si>
  <si>
    <t>23.00000 kg</t>
  </si>
  <si>
    <t>25.555555555555555555555555556 kg</t>
  </si>
  <si>
    <t>Engine &gt; Hybrid Electric System &gt; Battery System &gt; HV Battery Pack &gt; Battery pack excluding cells &gt; Structural Components &gt; Enclosures &gt; Second Enclosure Bottom &gt; Process</t>
  </si>
  <si>
    <t>6.80000 kg</t>
  </si>
  <si>
    <t>7.1578947368421052631578947368 kg</t>
  </si>
  <si>
    <t>Polyvinylchlorid (PVC)</t>
  </si>
  <si>
    <t>0000009X67MPEU02 (AutoReverse)</t>
  </si>
  <si>
    <t>0000009X67QEEU02 (AutoReverse)</t>
  </si>
  <si>
    <t>Engine &gt; Hybrid Electric System &gt; Battery System &gt; HV Battery Pack &gt; Battery pack excluding cells &gt; Structural Components &gt; Brackets</t>
  </si>
  <si>
    <t>Steel stamping</t>
  </si>
  <si>
    <t>0000009X6A0YEU02 (AutoReverse)</t>
  </si>
  <si>
    <t>0000009X68W1EU02 (AutoReverse)</t>
  </si>
  <si>
    <t>Aluminum, Diecasting</t>
  </si>
  <si>
    <t>0000009X6A0ZEU02 (AutoReverse)</t>
  </si>
  <si>
    <t>0000009X68KUEU02 (AutoReverse)</t>
  </si>
  <si>
    <t>PBT-GF, Injection molding</t>
  </si>
  <si>
    <t>0000009X6A10EU02 (AutoReverse)</t>
  </si>
  <si>
    <t>0000009X6A11EU02 (AutoReverse)</t>
  </si>
  <si>
    <t>0000009X68KVEU02 (AutoReverse)</t>
  </si>
  <si>
    <t>0000009X68KWEU02 (AutoReverse)</t>
  </si>
  <si>
    <t>0000009X68KXEU02 (AutoReverse)</t>
  </si>
  <si>
    <t>0000009X68KYEU02 (AutoReverse)</t>
  </si>
  <si>
    <t>Steel, Diecasting</t>
  </si>
  <si>
    <t>0000009X68KZEU02 (AutoReverse)</t>
  </si>
  <si>
    <t>0000009X68L0EU02 (AutoReverse)</t>
  </si>
  <si>
    <t>0000009X68W2EU02 (AutoReverse)</t>
  </si>
  <si>
    <t>0000009X686DEU02 (AutoReverse)</t>
  </si>
  <si>
    <t>Engine &gt; Hybrid Electric System &gt; Battery System &gt; HV Battery Pack &gt; Battery pack excluding cells &gt; Structural Components &gt; Seal (on top cover)</t>
  </si>
  <si>
    <t>000000APLYKDEU02 (AutoReverse)</t>
  </si>
  <si>
    <t>000000APLYKEEU02 (AutoReverse)</t>
  </si>
  <si>
    <t>000000APLYKCEU02 (AutoReverse)</t>
  </si>
  <si>
    <t>Engine &gt; Hybrid Electric System &gt; Battery System &gt; HV Battery Pack &gt; Battery pack excluding cells &gt; Structural Components &gt; Insulations</t>
  </si>
  <si>
    <t>0000009X6837EU02 (AutoReverse)</t>
  </si>
  <si>
    <t>0000009X69BREU02 (AutoReverse)</t>
  </si>
  <si>
    <t>0000009X69BSEU02 (AutoReverse)</t>
  </si>
  <si>
    <t>0000009X68CHEU02 (AutoReverse)</t>
  </si>
  <si>
    <t>A0000039QDT5EU01 (AutoReverse)</t>
  </si>
  <si>
    <t>A0000039QDT6EU01 (AutoReverse)</t>
  </si>
  <si>
    <t>A0000039QDT7EU01 (AutoReverse)</t>
  </si>
  <si>
    <t>A0000039QDT8EU01 (AutoReverse)</t>
  </si>
  <si>
    <t>A0000039QDT9EU01 (AutoReverse)</t>
  </si>
  <si>
    <t>A0000039QDT4EU01 (AutoReverse)</t>
  </si>
  <si>
    <t>Engine &gt; Hybrid Electric System &gt; Battery System &gt; HV Battery Pack &gt; Battery pack excluding cells &gt; Structural Components &gt; Insulation Sheet</t>
  </si>
  <si>
    <t>000000ARD9VFEU02 (AutoReverse)</t>
  </si>
  <si>
    <t>000000ARD9VGEU02 (AutoReverse)</t>
  </si>
  <si>
    <t>000000ARD9VHEU02 (AutoReverse)</t>
  </si>
  <si>
    <t>000000ARD9VIEU02 (AutoReverse)</t>
  </si>
  <si>
    <t>000000ARD9VEEU02 (AutoReverse)</t>
  </si>
  <si>
    <t>Engine &gt; Hybrid Electric System &gt; Battery System &gt; HV Battery Pack &gt; Battery pack excluding cells &gt; Structural Components &gt; Covers</t>
  </si>
  <si>
    <t>PA-GF, Injection molding</t>
  </si>
  <si>
    <t>A000000K1U8PEU02 (AutoReverse)</t>
  </si>
  <si>
    <t>A000000K1U8QEU02 (AutoReverse)</t>
  </si>
  <si>
    <t>A000000K1U8REU02 (AutoReverse)</t>
  </si>
  <si>
    <t>A000000K1U8SEU02 (AutoReverse)</t>
  </si>
  <si>
    <t>A000000K1U8OEU02 (AutoReverse)</t>
  </si>
  <si>
    <t>Engine &gt; Hybrid Electric System &gt; Battery System &gt; HV Battery Pack &gt; Battery pack excluding cells &gt; Structural Components &gt; Sealing</t>
  </si>
  <si>
    <t>0000009X67NAEU02 (AutoReverse)</t>
  </si>
  <si>
    <t>0000009X6BWFEU02 (AutoReverse)</t>
  </si>
  <si>
    <t>A000000Y1QKUEU02 (AutoReverse)</t>
  </si>
  <si>
    <t>A000003C04F0EU01 (AutoReverse)</t>
  </si>
  <si>
    <t>Engine &gt; Hybrid Electric System &gt; Battery System &gt; HV Battery Pack &gt; Battery pack excluding cells &gt; Structural Components &gt; Vent Valve protection</t>
  </si>
  <si>
    <t>000000A7SPUBEU02 (AutoReverse)</t>
  </si>
  <si>
    <t>Assembly overheads (default)</t>
  </si>
  <si>
    <t>0000009X67MOEU02 (AutoReverse)</t>
  </si>
  <si>
    <t>Engine &gt; Hybrid Electric System &gt; Battery System &gt; HV Battery Pack &gt; Battery pack excluding cells &gt; Thermal Control System (air/liquid)</t>
  </si>
  <si>
    <t>Engine &gt; Hybrid Electric System &gt; Battery System &gt; HV Battery Pack &gt; Battery pack excluding cells &gt; Thermal Control System (air/liquid) &gt; Hose</t>
  </si>
  <si>
    <t>0000009X69WNEU02 (AutoReverse)</t>
  </si>
  <si>
    <t>0000009X69WOEU02 (AutoReverse)</t>
  </si>
  <si>
    <t>0000009X69WPEU02 (AutoReverse)</t>
  </si>
  <si>
    <t>0000009X69Y0EU02 (AutoReverse)</t>
  </si>
  <si>
    <t>Engine &gt; Hybrid Electric System &gt; Battery System &gt; HV Battery Pack &gt; Battery pack excluding cells &gt; Thermal Control System (air/liquid) &gt; Hose Connector</t>
  </si>
  <si>
    <t>000000AHEML4EU02 (AutoReverse)</t>
  </si>
  <si>
    <t>000000AHEMKMEU02 (AutoReverse)</t>
  </si>
  <si>
    <t>Engine &gt; Hybrid Electric System &gt; Battery System &gt; HV Battery Pack &gt; Battery pack excluding cells &gt; Thermal Control System (air/liquid) &gt; Cooling Plate</t>
  </si>
  <si>
    <t>0000009X68LYEU02 (AutoReverse)</t>
  </si>
  <si>
    <t>0000009X69WMEU02 (AutoReverse)</t>
  </si>
  <si>
    <t>0000009X6AOLEU02 (AutoReverse)</t>
  </si>
  <si>
    <t>0000009X68DIEU02 (AutoReverse)</t>
  </si>
  <si>
    <t>Engine &gt; Hybrid Electric System &gt; Battery System &gt; HV Battery Pack &gt; Battery pack excluding cells &gt; Thermal Control System (air/liquid) &gt; Cooling Quick Disconnect</t>
  </si>
  <si>
    <t>PA-GF, Injection Molding</t>
  </si>
  <si>
    <t>0000009X69AMEU02 (AutoReverse)</t>
  </si>
  <si>
    <t>0000009X6A3CEU02 (AutoReverse)</t>
  </si>
  <si>
    <t>0000009X6A3GEU02 (AutoReverse)</t>
  </si>
  <si>
    <t>Engine &gt; Hybrid Electric System &gt; Battery System &gt; HV Battery Pack &gt; Battery pack excluding cells &gt; Thermal Control System (air/liquid) &gt; Thermal Paste</t>
  </si>
  <si>
    <t>000000AHAZFLEU02 (AutoReverse)</t>
  </si>
  <si>
    <t>A0000015EWMKEU02 (AutoReverse)</t>
  </si>
  <si>
    <t>0000009X67OEEU02 (AutoReverse)</t>
  </si>
  <si>
    <t>Engine &gt; Hybrid Electric System &gt; Battery System &gt; HV Battery Pack &gt; Battery pack excluding cells &gt; Off-Gas Vent System</t>
  </si>
  <si>
    <t>0000009X69AHEU02 (AutoReverse)</t>
  </si>
  <si>
    <t>0000009X6BK2EU02 (AutoReverse)</t>
  </si>
  <si>
    <t>000000AHKRD8EU02 (AutoReverse)</t>
  </si>
  <si>
    <t>0000009X686OEU02 (AutoReverse)</t>
  </si>
  <si>
    <t>Engine &gt; Hybrid Electric System &gt; Battery System &gt; HV Battery Pack &gt; Battery pack excluding cells &gt; Electrical Components</t>
  </si>
  <si>
    <t>Engine &gt; Hybrid Electric System &gt; Battery System &gt; HV Battery Pack &gt; Battery pack excluding cells &gt; Electrical Components &gt; BMS Master ECU</t>
  </si>
  <si>
    <t>PCB Material and Assembly Cost</t>
  </si>
  <si>
    <t>Mechanically assembling the PCB with the housings</t>
  </si>
  <si>
    <t>Housings and fasteners</t>
  </si>
  <si>
    <t>Battery [BMS Overhead Settings] [Purchased]</t>
  </si>
  <si>
    <t>0000009X67Q2EU02 (AutoReverse)</t>
  </si>
  <si>
    <t>Engine &gt; Hybrid Electric System &gt; Battery System &gt; HV Battery Pack &gt; Battery pack excluding cells &gt; Electrical Components &gt; Slave BMS ECU</t>
  </si>
  <si>
    <t>0000009X68YXEU02 (AutoReverse)</t>
  </si>
  <si>
    <t>Engine &gt; Hybrid Electric System &gt; Battery System &gt; HV Battery Pack &gt; Battery pack excluding cells &gt; Electrical Components &gt; HV Bus Bars</t>
  </si>
  <si>
    <t>Copper Stamping</t>
  </si>
  <si>
    <t>0000009X67NXEU02 (AutoReverse)</t>
  </si>
  <si>
    <t>Copper, Stamping</t>
  </si>
  <si>
    <t>0000009X67QIEU02 (AutoReverse)</t>
  </si>
  <si>
    <t>0000009X67QJEU02 (AutoReverse)</t>
  </si>
  <si>
    <t>0000009X67QKEU02 (AutoReverse)</t>
  </si>
  <si>
    <t>0000009X687ZEU02 (AutoReverse)</t>
  </si>
  <si>
    <t>0000009X6880EU02 (AutoReverse)</t>
  </si>
  <si>
    <t>0000009X69AIEU02 (AutoReverse)</t>
  </si>
  <si>
    <t>0000009X68F3EU02 (AutoReverse)</t>
  </si>
  <si>
    <t>Engine &gt; Hybrid Electric System &gt; Battery System &gt; HV Battery Pack &gt; Battery pack excluding cells &gt; Electrical Components &gt; HV Bus Bars &gt; Bus Bar 9</t>
  </si>
  <si>
    <t>0.91000 kg</t>
  </si>
  <si>
    <t>1.0111111111111111111111111111 kg</t>
  </si>
  <si>
    <t>Engine &gt; Hybrid Electric System &gt; Battery System &gt; HV Battery Pack &gt; Battery pack excluding cells &gt; Electrical Components &gt; HV Bus Bars &gt; Bus Bar 9 &gt; Process</t>
  </si>
  <si>
    <t>0000009X69AJEU02 (AutoReverse)</t>
  </si>
  <si>
    <t>0000009X67Q1EU02 (AutoReverse)</t>
  </si>
  <si>
    <t>0000009X67PYEU02 (AutoReverse)</t>
  </si>
  <si>
    <t>A000000GQQJKEU02 (AutoReverse)</t>
  </si>
  <si>
    <t>Engine &gt; Hybrid Electric System &gt; Battery System &gt; HV Battery Pack &gt; Battery pack excluding cells &gt; Electrical Components &gt; Pressure Sensor</t>
  </si>
  <si>
    <t>PCB Material + Assembly cost</t>
  </si>
  <si>
    <t xml:space="preserve">Pressure sensor Assembly cost </t>
  </si>
  <si>
    <t>Engine &gt; Hybrid Electric System &gt; Battery System &gt; HV Battery Pack &gt; Battery pack excluding cells &gt; Electrical Components &gt; Wire Harnesses</t>
  </si>
  <si>
    <t>0000009X67PFEU02 (AutoReverse)</t>
  </si>
  <si>
    <t>0000009X68U4EU02 (AutoReverse)</t>
  </si>
  <si>
    <t>0000009X6A9EEU02 (AutoReverse)</t>
  </si>
  <si>
    <t>0000009X6ARIEU02 (AutoReverse)</t>
  </si>
  <si>
    <t>0000009X6BU7EU02 (AutoReverse)</t>
  </si>
  <si>
    <t>0000009X6AVREU02 (AutoReverse)</t>
  </si>
  <si>
    <t>A0000006G7ZTEU02 (AutoReverse)</t>
  </si>
  <si>
    <t>A0000006G7ZUEU02 (AutoReverse)</t>
  </si>
  <si>
    <t>A0000006G80PEU02 (AutoReverse)</t>
  </si>
  <si>
    <t>0000009X67NBEU02 (AutoReverse)</t>
  </si>
  <si>
    <t>Engine &gt; Hybrid Electric System &gt; Battery System &gt; HV Battery Pack &gt; Battery pack excluding cells &gt; Electrical Components &gt; Relay Box</t>
  </si>
  <si>
    <t>Engine &gt; Hybrid Electric System &gt; Battery System &gt; HV Battery Pack &gt; Battery pack excluding cells &gt; Electrical Components &gt; Relay Box &gt; Bus Bars</t>
  </si>
  <si>
    <t>0000009X6ATGEU02 (AutoReverse)</t>
  </si>
  <si>
    <t>0000009X6BSLEU02 (AutoReverse)</t>
  </si>
  <si>
    <t>0000009X6B7XEU02 (AutoReverse)</t>
  </si>
  <si>
    <t>0000009X6ATHEU02 (AutoReverse)</t>
  </si>
  <si>
    <t>0000009X6BSMEU02 (AutoReverse)</t>
  </si>
  <si>
    <t>0000009X6B7YEU02 (AutoReverse)</t>
  </si>
  <si>
    <t>0000009X6B84EU02 (AutoReverse)</t>
  </si>
  <si>
    <t>0000009X6AWVEU02 (AutoReverse)</t>
  </si>
  <si>
    <t>0000009X6BC6EU02 (AutoReverse)</t>
  </si>
  <si>
    <t>0000009X6BGKEU02 (AutoReverse)</t>
  </si>
  <si>
    <t>0000009X6BGLEU02 (AutoReverse)</t>
  </si>
  <si>
    <t>0000009X6BGMEU02 (AutoReverse)</t>
  </si>
  <si>
    <t>0000009X6AWWEU02 (AutoReverse)</t>
  </si>
  <si>
    <t>0000009X6AWXEU02 (AutoReverse)</t>
  </si>
  <si>
    <t>0000009X6BV9EU02 (AutoReverse)</t>
  </si>
  <si>
    <t>0000009X6BC7EU02 (AutoReverse)</t>
  </si>
  <si>
    <t>0000009X6BVAEU02 (AutoReverse)</t>
  </si>
  <si>
    <t>0000009X6BC8EU02 (AutoReverse)</t>
  </si>
  <si>
    <t>000000ADZUP6EU02 (AutoReverse)</t>
  </si>
  <si>
    <t>0000009X68JCEU02 (AutoReverse)</t>
  </si>
  <si>
    <t>Engine &gt; Hybrid Electric System &gt; Battery System &gt; HV Battery Pack &gt; Battery pack excluding cells &gt; Electrical Components &gt; Relay Box &gt; Wire Harnesses</t>
  </si>
  <si>
    <t>0000009X68KQEU02 (AutoReverse)</t>
  </si>
  <si>
    <t>0000009X6BV5EU02 (AutoReverse)</t>
  </si>
  <si>
    <t>0000009X6BC4EU02 (AutoReverse)</t>
  </si>
  <si>
    <t>000000AHEMKOEU02 (AutoReverse)</t>
  </si>
  <si>
    <t>A000000SPIVMEU02 (AutoReverse)</t>
  </si>
  <si>
    <t>A000004D708WEU01 (AutoReverse)</t>
  </si>
  <si>
    <t>0000009X68SXEU02 (AutoReverse)</t>
  </si>
  <si>
    <t>Engine &gt; Hybrid Electric System &gt; Battery System &gt; HV Battery Pack &gt; Battery pack excluding cells &gt; Electrical Components &gt; Relay Box &gt; Current Sensor</t>
  </si>
  <si>
    <t>Battery [Final Assembly] [Internal]</t>
  </si>
  <si>
    <t>0000009X68VXEU02 (AutoReverse)</t>
  </si>
  <si>
    <t>Engine &gt; Hybrid Electric System &gt; Battery System &gt; HV Battery Pack &gt; Battery pack excluding cells &gt; Electrical Components &gt; Relay Box &gt; Current Sensor &gt; PCB 1</t>
  </si>
  <si>
    <t>Engine &gt; Hybrid Electric System &gt; Battery System &gt; HV Battery Pack &gt; Battery pack excluding cells &gt; Electrical Components &gt; Relay Box &gt; Current Sensor &gt; PCB 1 &gt; Connector</t>
  </si>
  <si>
    <t>A000000LK1NYEU02 (AutoReverse)</t>
  </si>
  <si>
    <t>Engine &gt; Hybrid Electric System &gt; Battery System &gt; HV Battery Pack &gt; Battery pack excluding cells &gt; Electrical Components &gt; Relay Box &gt; Current Sensor &gt; PCB 1 &gt; Resistor</t>
  </si>
  <si>
    <t>A000000LK1KZEU02 (AutoReverse)</t>
  </si>
  <si>
    <t>Engine &gt; Hybrid Electric System &gt; Battery System &gt; HV Battery Pack &gt; Battery pack excluding cells &gt; Electrical Components &gt; Relay Box &gt; P.S.S Switch</t>
  </si>
  <si>
    <t>A000002K440KEU01 (AutoReverse)</t>
  </si>
  <si>
    <t>A000002K43Z4EU01 (AutoReverse)</t>
  </si>
  <si>
    <t>A000002K4406EU01 (AutoReverse)</t>
  </si>
  <si>
    <t>Plastic, Injection molding</t>
  </si>
  <si>
    <t>A000002K43Z7EU01 (AutoReverse)</t>
  </si>
  <si>
    <t>A000002K4405EU01 (AutoReverse)</t>
  </si>
  <si>
    <t>000000ADUPP3EU02 (AutoReverse)</t>
  </si>
  <si>
    <t>Engine &gt; Hybrid Electric System &gt; Battery System &gt; HV Battery Pack &gt; Battery pack excluding cells &gt; Electrical Components &gt; Relay Box &gt; Terminal Lids</t>
  </si>
  <si>
    <t>PP-GF, Injection molding</t>
  </si>
  <si>
    <t>000000AVJW7ZEU02 (AutoReverse)</t>
  </si>
  <si>
    <t>A000000I2917EU02 (AutoReverse)</t>
  </si>
  <si>
    <t>A000000I3ZLQEU02 (AutoReverse)</t>
  </si>
  <si>
    <t>000000AVJW7YEU02 (AutoReverse)</t>
  </si>
  <si>
    <t>0000009X68WXEU02 (AutoReverse)</t>
  </si>
  <si>
    <t>0000009X68QMEU02 (AutoReverse)</t>
  </si>
  <si>
    <t>Engine &gt; Hybrid Electric System &gt; Battery System &gt; HV Battery Pack &gt; Battery pack excluding cells &gt; Electrical Components &gt; Relay Box &gt; Relay Housing</t>
  </si>
  <si>
    <t>1.99600 kg</t>
  </si>
  <si>
    <t>2.1370449678800856531049250535 kg</t>
  </si>
  <si>
    <t>Engine &gt; Hybrid Electric System &gt; Battery System &gt; HV Battery Pack &gt; Battery pack excluding cells &gt; Electrical Components &gt; Relay Box &gt; Relay Housing &gt; Process</t>
  </si>
  <si>
    <t>0000009X6A0PEU02 (AutoReverse)</t>
  </si>
  <si>
    <t>0000009X68X1EU02 (AutoReverse)</t>
  </si>
  <si>
    <t>A000003B336EEU01 (AutoReverse)</t>
  </si>
  <si>
    <t>0000009X68JBEU02 (AutoReverse)</t>
  </si>
  <si>
    <t>0000009X68SVEU02 (AutoReverse)</t>
  </si>
  <si>
    <t>0000009X68WYEU02 (AutoReverse)</t>
  </si>
  <si>
    <t>0000009X68WZEU02 (AutoReverse)</t>
  </si>
  <si>
    <t>0000009X68X0EU02 (AutoReverse)</t>
  </si>
  <si>
    <t>0000009X6A0DEU02 (AutoReverse)</t>
  </si>
  <si>
    <t>0000009X69E5EU02 (AutoReverse)</t>
  </si>
  <si>
    <t>0000009X6981EU02 (AutoReverse)</t>
  </si>
  <si>
    <t>PP-GF, Injection Molding</t>
  </si>
  <si>
    <t>Battery [Relay Box Overhead Settings] [Purchased]</t>
  </si>
  <si>
    <t>Engine &gt; Hybrid Electric System &gt; Battery System &gt; HV Battery Pack &gt; Battery pack excluding cells &gt; Electrical Components &gt; Slave BMS ECU 2 Assembly</t>
  </si>
  <si>
    <t xml:space="preserve">Electronics cost </t>
  </si>
  <si>
    <t>Engine &gt; Hybrid Electric System &gt; Battery System &gt; HV Battery Pack &gt; Battery pack excluding cells &gt; Electrical Components &gt; Connectors</t>
  </si>
  <si>
    <t>0000009X68P4EU02 (AutoReverse)</t>
  </si>
  <si>
    <t>0000009X68LZEU02 (AutoReverse)</t>
  </si>
  <si>
    <t>0000009X68QLEU02 (AutoReverse)</t>
  </si>
  <si>
    <t>0000009X6A4QEU02 (AutoReverse)</t>
  </si>
  <si>
    <t>000000AAA9KTEU02 (AutoReverse)</t>
  </si>
  <si>
    <t>0000009X6A0IEU02 (AutoReverse)</t>
  </si>
  <si>
    <t>A000000ZSKDKEU02 (AutoReverse)</t>
  </si>
  <si>
    <t>Battery [Battery Excluding Cells] [Internal]</t>
  </si>
  <si>
    <t>00000004ALGPEU01 (AutoReverse)</t>
  </si>
  <si>
    <t>WIRE HARNESS</t>
  </si>
  <si>
    <t>00000000HKQKEU01 (AutoReverse)</t>
  </si>
  <si>
    <t>0000000ALB0BEU01 (AutoReverse)</t>
  </si>
  <si>
    <t>00000003BT58EU01 (AutoReverse)</t>
  </si>
  <si>
    <t>00000002ZWWCEU01 (AutoReverse)</t>
  </si>
  <si>
    <t>0000000ABQZ6EU01 (AutoReverse)</t>
  </si>
  <si>
    <t>000000AGW0H9EU02 (AutoReverse)</t>
  </si>
  <si>
    <t>000000AGW0HAEU02 (AutoReverse)</t>
  </si>
  <si>
    <t>000000AO7CMOEU02 (AutoReverse)</t>
  </si>
  <si>
    <t>000000AO7CKXEU02 (AutoReverse)</t>
  </si>
  <si>
    <t>00000001THJFEU01 (AutoReverse)</t>
  </si>
  <si>
    <t>Engine &gt; Hybrid Electric System &gt; Cables System</t>
  </si>
  <si>
    <t>Engine &gt; Hybrid Electric System &gt; Cables System &gt; Cable Battery/Junction Box (1)</t>
  </si>
  <si>
    <t>Engine &gt; Hybrid Electric System &gt; Cables System &gt; Cable Battery/Junction Box (1) &gt; Process</t>
  </si>
  <si>
    <t>Material:copper, tape, isnulation, connector, texile; Process: HV cable cutting, routing, assembly, EOL</t>
  </si>
  <si>
    <t>00000004ZPG4EU01 (AutoReverse)</t>
  </si>
  <si>
    <t>Engine &gt; Hybrid Electric System &gt; Cables System &gt; Auxiliary Heating Cable</t>
  </si>
  <si>
    <t>Engine &gt; Hybrid Electric System &gt; Cables System &gt; Auxiliary Heating Cable &gt; Process</t>
  </si>
  <si>
    <t>00000004XK1YEU01 (AutoReverse)</t>
  </si>
  <si>
    <t>Engine &gt; Hybrid Electric System &gt; Cables System &gt; Junction Box/ 2nd Power Inverter</t>
  </si>
  <si>
    <t>Engine &gt; Hybrid Electric System &gt; Cables System &gt; Junction Box/ 2nd Power Inverter &gt; Process</t>
  </si>
  <si>
    <t>000000047V93EU01 (AutoReverse)</t>
  </si>
  <si>
    <t>Engine &gt; Hybrid Electric System &gt; Cables System &gt; HV Battery /2nd Power Inverter Cable</t>
  </si>
  <si>
    <t>Engine &gt; Hybrid Electric System &gt; Cables System &gt; HV Battery /2nd Power Inverter Cable &gt; Process</t>
  </si>
  <si>
    <t>0000000AY4OOEU01 (AutoReverse)</t>
  </si>
  <si>
    <t>Engine &gt; Hybrid Electric System &gt; Cables System &gt; HV Battery / Power Inverter Cable</t>
  </si>
  <si>
    <t>Engine &gt; Hybrid Electric System &gt; Cables System &gt; HV Battery / Power Inverter Cable &gt; Process</t>
  </si>
  <si>
    <t>Material:Aluminum, tape, isnulation, connector, texile; Process: HV cable cutting, routing, assembly, EOL</t>
  </si>
  <si>
    <t>00000009CHBMEU01 (AutoReverse)</t>
  </si>
  <si>
    <t>Steel; Stamping, Cataphoresis</t>
  </si>
  <si>
    <t>00000002LT3FEU01 (AutoReverse)</t>
  </si>
  <si>
    <t>00000001FV8CEU01 (AutoReverse)</t>
  </si>
  <si>
    <t>Engine &gt; Hybrid Electric System &gt; Plug-In System</t>
  </si>
  <si>
    <t>Engine &gt; Hybrid Electric System &gt; Plug-In System &gt; Charging Inlet</t>
  </si>
  <si>
    <t>Engine &gt; Hybrid Electric System &gt; Plug-In System &gt; Charging Inlet &gt; Process</t>
  </si>
  <si>
    <t>0000000095IAEU01 (AutoReverse)</t>
  </si>
  <si>
    <t>Engine &gt; Hybrid Electric System &gt; Plug-In System &gt; Quick Charging Inlet</t>
  </si>
  <si>
    <t>Engine &gt; Hybrid Electric System &gt; Plug-In System &gt; Quick Charging Inlet &gt; Process</t>
  </si>
  <si>
    <t>00000000FIPMEU01 (AutoReverse)</t>
  </si>
  <si>
    <t>PA66-GF; Injection Molding</t>
  </si>
  <si>
    <t>000000013J6FEU01 (AutoReverse)</t>
  </si>
  <si>
    <t>PA6-GF50; Injection Molding</t>
  </si>
  <si>
    <t>00000001WYPKEU01 (AutoReverse)</t>
  </si>
  <si>
    <t>Silicone; Injection Molding</t>
  </si>
  <si>
    <t>000000AOZHNHEU02 (AutoReverse)</t>
  </si>
  <si>
    <t>PP-GF30;EPDM-PP; Injection Molding</t>
  </si>
  <si>
    <t>00000009P67FEU01 (AutoReverse)</t>
  </si>
  <si>
    <t>PPE-PA; Injection Molding</t>
  </si>
  <si>
    <t>000000026LJ3EU01 (AutoReverse)</t>
  </si>
  <si>
    <t>00000001DUOUEU01 (AutoReverse)</t>
  </si>
  <si>
    <t>00000004Z92REU01 (AutoReverse)</t>
  </si>
  <si>
    <t>000000004FT6EU01 (AutoReverse)</t>
  </si>
  <si>
    <t>00000002JLSBEU01 (AutoReverse)</t>
  </si>
  <si>
    <t>00000000BFUJEU01 (AutoReverse)</t>
  </si>
  <si>
    <t>00000007JH1SEU01 (AutoReverse)</t>
  </si>
  <si>
    <t>PA-GF; Injection Molding</t>
  </si>
  <si>
    <t>000000242OCACID0 (AutoReverse)</t>
  </si>
  <si>
    <t>000000242O90CID0 (AutoReverse)</t>
  </si>
  <si>
    <t>000000A6IWF6EU02 (AutoReverse)</t>
  </si>
  <si>
    <t>00000000ZS7XEU01 (AutoReverse)</t>
  </si>
  <si>
    <t>00000003MTGWEU01 (AutoReverse)</t>
  </si>
  <si>
    <t>000000AAA9KPEU02 (AutoReverse)</t>
  </si>
  <si>
    <t>00000005P9DEEU01 (AutoReverse)</t>
  </si>
  <si>
    <t>00000002X4AVEU01 (AutoReverse)</t>
  </si>
  <si>
    <t>Engine &gt; Hybrid Electric System &gt; Noise Insulation System</t>
  </si>
  <si>
    <t>Engine &gt; Hybrid Electric System &gt; Noise Insulation System &gt; On Front e-motor</t>
  </si>
  <si>
    <t>Hot Forming</t>
  </si>
  <si>
    <t>000000089WJUEU01 (AutoReverse)</t>
  </si>
  <si>
    <t>0000000678NZEU01 (AutoReverse)</t>
  </si>
  <si>
    <t>0000000AENXVEU01 (AutoReverse)</t>
  </si>
  <si>
    <t>Automatic cut and seamless weld</t>
  </si>
  <si>
    <t>00000002R8EDEU01 (AutoReverse)</t>
  </si>
  <si>
    <t>000000AFE3KXEU02 (AutoReverse)</t>
  </si>
  <si>
    <t>00000007PR19EU01 (AutoReverse)</t>
  </si>
  <si>
    <t>Engine &gt; Hybrid Electric System &gt; Cooling system</t>
  </si>
  <si>
    <t>Engine &gt; Hybrid Electric System &gt; Cooling system &gt; Expansion Bottle System</t>
  </si>
  <si>
    <t>PA-GF; overmolding</t>
  </si>
  <si>
    <t>00000008WK6VEU01 (AutoReverse)</t>
  </si>
  <si>
    <t>00000004JC79EU01 (AutoReverse)</t>
  </si>
  <si>
    <t>000000012K3WEU01 (AutoReverse)</t>
  </si>
  <si>
    <t>Engine &gt; Hybrid Electric System &gt; Cooling system &gt; Cooling System for Battery</t>
  </si>
  <si>
    <t>Engine &gt; Hybrid Electric System &gt; Cooling system &gt; Cooling System for Battery &gt; Electric Pump</t>
  </si>
  <si>
    <t>A000003AY16MEU01 (AutoReverse)</t>
  </si>
  <si>
    <t>00000008X46GEU01 (AutoReverse)</t>
  </si>
  <si>
    <t>00000001COBBEU01 (AutoReverse)</t>
  </si>
  <si>
    <t>0000000ADSEQEU01 (AutoReverse)</t>
  </si>
  <si>
    <t>00000004XQ0CEU01 (AutoReverse)</t>
  </si>
  <si>
    <t>00000004OTQ5EU01 (AutoReverse)</t>
  </si>
  <si>
    <t>Engine &gt; Hybrid Electric System &gt; Cooling system &gt; Pipe System/Duct</t>
  </si>
  <si>
    <t>000000042RTJEU01 (AutoReverse)</t>
  </si>
  <si>
    <t>00000004J1Y2EU01 (AutoReverse)</t>
  </si>
  <si>
    <t>A00000273CT8EU01 (AutoReverse)</t>
  </si>
  <si>
    <t>00000005L70UEU01 (AutoReverse)</t>
  </si>
  <si>
    <t>A000000OW6PJEU02 (AutoReverse)</t>
  </si>
  <si>
    <t>00000005MHKDEU01 (AutoReverse)</t>
  </si>
  <si>
    <t>00000004TE2VEU01 (AutoReverse)</t>
  </si>
  <si>
    <t>00000005POMHEU01 (AutoReverse)</t>
  </si>
  <si>
    <t>000000052QNGEU01 (AutoReverse)</t>
  </si>
  <si>
    <t>0000000BSOIJCID0 (AutoReverse)</t>
  </si>
  <si>
    <t>00000009DIV4EU01 (AutoReverse)</t>
  </si>
  <si>
    <t>0000000BSOIMCID0 (AutoReverse)</t>
  </si>
  <si>
    <t>000000A91DIREU02 (AutoReverse)</t>
  </si>
  <si>
    <t>A000000LBB1EEU02 (AutoReverse)</t>
  </si>
  <si>
    <t>00000005RTIXEU01 (AutoReverse)</t>
  </si>
  <si>
    <t>Engine &gt; Hybrid Electric System &gt; Cooling system &gt; Fan System</t>
  </si>
  <si>
    <t>Engine &gt; Hybrid Electric System &gt; Cooling system &gt; Fan System &gt; Radiator Fan</t>
  </si>
  <si>
    <t>PA6-GF30; Injection molding</t>
  </si>
  <si>
    <t>000000AO1JKGEU02 (AutoReverse)</t>
  </si>
  <si>
    <t>000000AO1JKKEU02 (AutoReverse)</t>
  </si>
  <si>
    <t>Engine &gt; Hybrid Electric System &gt; Cooling system &gt; Fan System &gt; Motor System</t>
  </si>
  <si>
    <t>000000AO1JKIEU02 (AutoReverse)</t>
  </si>
  <si>
    <t>000000AO1JKHEU02 (AutoReverse)</t>
  </si>
  <si>
    <t>PP-GF30; Injection molding</t>
  </si>
  <si>
    <t>000000AO1JKJEU02 (AutoReverse)</t>
  </si>
  <si>
    <t>000000AO1JKUEU02 (AutoReverse)</t>
  </si>
  <si>
    <t>A000002KZ0DGEU01 (AutoReverse)</t>
  </si>
  <si>
    <t>A000005323BLEU01 (AutoReverse)</t>
  </si>
  <si>
    <t>A000005323BMEU01 (AutoReverse)</t>
  </si>
  <si>
    <t>EPDM; Injection molding</t>
  </si>
  <si>
    <t>A000005323BNEU01 (AutoReverse)</t>
  </si>
  <si>
    <t>000000AO1JKSEU02 (AutoReverse)</t>
  </si>
  <si>
    <t>Engine &gt; Hybrid Electric System &gt; Cooling system &gt; Dynamic Flaps System</t>
  </si>
  <si>
    <t>Engine &gt; Hybrid Electric System &gt; Cooling system &gt; Dynamic Flaps System &gt; Dynamics Flaps Upper / Single</t>
  </si>
  <si>
    <t>000000AODII8EU02 (AutoReverse)</t>
  </si>
  <si>
    <t>A0000007OID3EU02 (AutoReverse)</t>
  </si>
  <si>
    <t>000000AODII9EU02 (AutoReverse)</t>
  </si>
  <si>
    <t>Steel; Stamping</t>
  </si>
  <si>
    <t>A000000FN7VTEU02 (AutoReverse)</t>
  </si>
  <si>
    <t>A000001CKGCDEU02 (AutoReverse)</t>
  </si>
  <si>
    <t>000000AODIIAEU02 (AutoReverse)</t>
  </si>
  <si>
    <t>PA6-GF31; Injection molding</t>
  </si>
  <si>
    <t>A0000007OID1EU02 (AutoReverse)</t>
  </si>
  <si>
    <t>PA6-GF32; Injection molding</t>
  </si>
  <si>
    <t>000000AODIIBEU02 (AutoReverse)</t>
  </si>
  <si>
    <t>000000APO78TEU02 (AutoReverse)</t>
  </si>
  <si>
    <t>000000APO78UEU02 (AutoReverse)</t>
  </si>
  <si>
    <t>000000ATLDRVEU02 (AutoReverse)</t>
  </si>
  <si>
    <t>000000ATLDRWEU02 (AutoReverse)</t>
  </si>
  <si>
    <t>000000AODII7EU02 (AutoReverse)</t>
  </si>
  <si>
    <t>000000AODII6EU02 (AutoReverse)</t>
  </si>
  <si>
    <t>Engine &gt; Hybrid Electric System &gt; Cooling system &gt; Electric Pump</t>
  </si>
  <si>
    <t>A000003AY16KEU01 (AutoReverse)</t>
  </si>
  <si>
    <t>00000009906VEU01 (AutoReverse)</t>
  </si>
  <si>
    <t>Engine &gt; Hybrid Electric System &gt; Cooling system &gt; Air Intake radiator</t>
  </si>
  <si>
    <t>000000ASFI99EU02 (AutoReverse)</t>
  </si>
  <si>
    <t>000000ASFI9AEU02 (AutoReverse)</t>
  </si>
  <si>
    <t>00000008HJS5EU01 (AutoReverse)</t>
  </si>
  <si>
    <t>00000000YGKWEU01 (AutoReverse)</t>
  </si>
  <si>
    <t>0000000A5T19EU01 (AutoReverse)</t>
  </si>
  <si>
    <t>00000009KEG0EU01 (AutoReverse)</t>
  </si>
  <si>
    <t>00000006EM2QEU01 (AutoReverse)</t>
  </si>
  <si>
    <t>0000000AXFNCEU01 (AutoReverse)</t>
  </si>
  <si>
    <t>A000000BLDH0EU02 (AutoReverse)</t>
  </si>
  <si>
    <t>00000004RMUUEU01 (AutoReverse)</t>
  </si>
  <si>
    <t>Engine &gt; Hybrid Electric System &gt; Cooling system &gt; Cooling Manifold</t>
  </si>
  <si>
    <t>1.88600 kg</t>
  </si>
  <si>
    <t>1.9244897959183673469387755102 kg</t>
  </si>
  <si>
    <t>Engine &gt; Hybrid Electric System &gt; Cooling system &gt; Cooling Manifold &gt; Process</t>
  </si>
  <si>
    <t>injection molding, overmolding, welding</t>
  </si>
  <si>
    <t>000000AK0NXTEU02 (AutoReverse)</t>
  </si>
  <si>
    <t>00000009T8UMEU01 (AutoReverse)</t>
  </si>
  <si>
    <t>Engine &gt; Hybrid Electric System &gt; e-Motor System</t>
  </si>
  <si>
    <t>Engine &gt; Hybrid Electric System &gt; e-Motor System &gt; Motor/Generator 1</t>
  </si>
  <si>
    <t>Engine &gt; Hybrid Electric System &gt; e-Motor System &gt; Motor/Generator 1 &gt; Stator Assembly</t>
  </si>
  <si>
    <t>Engine &gt; Hybrid Electric System &gt; e-Motor System &gt; Motor/Generator 1 &gt; Stator Assembly &gt; Wire Winding</t>
  </si>
  <si>
    <t>commodity</t>
  </si>
  <si>
    <t>Only material cost, material: copper</t>
  </si>
  <si>
    <t>material: cooper, PPS-GF40; process: stamping, overmolding</t>
  </si>
  <si>
    <t>material: cooper; process: stamping</t>
  </si>
  <si>
    <t>Engine &gt; Hybrid Electric System &gt; e-Motor System &gt; Motor/Generator 1 &gt; Stator Assembly &gt; Lamination</t>
  </si>
  <si>
    <t>13.40000 kg</t>
  </si>
  <si>
    <t>30.454545454545454545454545455 kg</t>
  </si>
  <si>
    <t>Engine &gt; Hybrid Electric System &gt; e-Motor System &gt; Motor/Generator 1 &gt; Stator Assembly &gt; Lamination &gt; Process</t>
  </si>
  <si>
    <t>stamping and stacking, laser welding</t>
  </si>
  <si>
    <t>Engine &gt; Hybrid Electric System &gt; e-Motor System &gt; Motor/Generator 1 &gt; Stator Assembly &gt; Process</t>
  </si>
  <si>
    <t>hairpin stator assembly</t>
  </si>
  <si>
    <t>Engine &gt; Hybrid Electric System &gt; e-Motor System &gt; Motor/Generator 1 &gt; Rotor Assembly</t>
  </si>
  <si>
    <t>material: aluminium; process: die casting, machining</t>
  </si>
  <si>
    <t>material: steel; process: sintering</t>
  </si>
  <si>
    <t>Engine &gt; Hybrid Electric System &gt; e-Motor System &gt; Motor/Generator 1 &gt; Rotor Assembly &gt; Lamination 1</t>
  </si>
  <si>
    <t>12.64000 kg</t>
  </si>
  <si>
    <t>18.057142857142857142857142857 kg</t>
  </si>
  <si>
    <t>Engine &gt; Hybrid Electric System &gt; e-Motor System &gt; Motor/Generator 1 &gt; Rotor Assembly &gt; Lamination 1 &gt; Process</t>
  </si>
  <si>
    <t>stamping and stacking</t>
  </si>
  <si>
    <t>Engine &gt; Hybrid Electric System &gt; e-Motor System &gt; Motor/Generator 1 &gt; Rotor Assembly &gt; Shaft</t>
  </si>
  <si>
    <t>4.43100 kg</t>
  </si>
  <si>
    <t>7.2639344262295081967213114754 kg</t>
  </si>
  <si>
    <t>16MnCr5</t>
  </si>
  <si>
    <t>PS 59</t>
  </si>
  <si>
    <t>Engine &gt; Hybrid Electric System &gt; e-Motor System &gt; Motor/Generator 1 &gt; Rotor Assembly &gt; Shaft &gt; Process</t>
  </si>
  <si>
    <t>forging, machining (turning/drilling/spline cutting/grinding), hardening</t>
  </si>
  <si>
    <t>Engine &gt; Hybrid Electric System &gt; e-Motor System &gt; Motor/Generator 1 &gt; Rotor Assembly &gt; Process</t>
  </si>
  <si>
    <t>ASM rotor assembly</t>
  </si>
  <si>
    <t>A000000POFBWEU02 (AutoReverse)</t>
  </si>
  <si>
    <t>Engine &gt; Hybrid Electric System &gt; e-Motor System &gt; Motor/Generator 1 &gt; Housings</t>
  </si>
  <si>
    <t>A000000POFC8EU02 (AutoReverse)</t>
  </si>
  <si>
    <t>material: steel; process: stamping</t>
  </si>
  <si>
    <t>A000000PPK01EU02 (AutoReverse)</t>
  </si>
  <si>
    <t>Engine &gt; Hybrid Electric System &gt; e-Motor System &gt; Motor/Generator 1 &gt; Housings &gt; Housing</t>
  </si>
  <si>
    <t>Pin-main housing/right housing
Pin-main housing/differential housing, 2</t>
  </si>
  <si>
    <t>Engine &gt; Hybrid Electric System &gt; e-Motor System &gt; Motor/Generator 1 &gt; Housings &gt; Housing &gt; Process</t>
  </si>
  <si>
    <t xml:space="preserve">bowl plug of heat exchanger coolant passage
</t>
  </si>
  <si>
    <t>threaded plug of inverter coolant passage</t>
  </si>
  <si>
    <t>17.32700 kg</t>
  </si>
  <si>
    <t>19.252222222222222222222222222 kg</t>
  </si>
  <si>
    <t>die casting, machining, plug assembly</t>
  </si>
  <si>
    <t>A000000POFBOEU02 (AutoReverse)</t>
  </si>
  <si>
    <t>Engine &gt; Hybrid Electric System &gt; e-Motor System &gt; Motor/Generator 1 &gt; Housings &gt; Right Housing</t>
  </si>
  <si>
    <t>Pin-right housing/access trap</t>
  </si>
  <si>
    <t>Engine &gt; Hybrid Electric System &gt; e-Motor System &gt; Motor/Generator 1 &gt; Housings &gt; Right Housing &gt; Process</t>
  </si>
  <si>
    <t>4.21500 kg</t>
  </si>
  <si>
    <t>4.6833333333333333333333333333 kg</t>
  </si>
  <si>
    <t>A000000POFBPEU02 (AutoReverse)</t>
  </si>
  <si>
    <t>A0000014FZ4YEU02 (AutoReverse)</t>
  </si>
  <si>
    <t>Screws (GCDB_01_00977)
Fasteners oil filling cap</t>
  </si>
  <si>
    <t>Screws (GCDB_01_00638)
Fasteners access trap *13, inner wiring cover*5</t>
  </si>
  <si>
    <t>Screws (GCDB_01_00366)
fasteners_right housing</t>
  </si>
  <si>
    <t>Engine &gt; Hybrid Electric System &gt; e-Motor System &gt; Motor/Generator 1 &gt; Assembly parts</t>
  </si>
  <si>
    <t>material: PPS-GF40; process: injection molding, machining</t>
  </si>
  <si>
    <t>A000000POFCBEU02 (AutoReverse)</t>
  </si>
  <si>
    <t>material: plastic; process: injection molding, machining</t>
  </si>
  <si>
    <t>PCBA process</t>
  </si>
  <si>
    <t>A000003G3TBIEU01 (AutoReverse)</t>
  </si>
  <si>
    <t>A000000POFCJEU02 (AutoReverse)</t>
  </si>
  <si>
    <t>material: cooper, PPS-GF40; process: stamping, coating, overmolding</t>
  </si>
  <si>
    <t>A000000POFDNEU02 (AutoReverse)</t>
  </si>
  <si>
    <t>material: steel; process: machining</t>
  </si>
  <si>
    <t>A000000POFCNEU02 (AutoReverse)</t>
  </si>
  <si>
    <t>material: steel; process: stamping and stacking</t>
  </si>
  <si>
    <t>A000000POFC0EU02 (AutoReverse)</t>
  </si>
  <si>
    <t>A000000POFBZEU02 (AutoReverse)</t>
  </si>
  <si>
    <t>A000000POFC3EU02 (AutoReverse)</t>
  </si>
  <si>
    <t>material: steel; process: multi-turning, heat treatment</t>
  </si>
  <si>
    <t>A000000POFCSEU02 (AutoReverse)</t>
  </si>
  <si>
    <t>A000000PPJZYEU02 (AutoReverse)</t>
  </si>
  <si>
    <t>A000000POFCCEU02 (AutoReverse)</t>
  </si>
  <si>
    <t>A000000PPJYVEU02 (AutoReverse) ; A000000PPK13EU02 (AutoReverse)</t>
  </si>
  <si>
    <t>A000000POFD8EU02 (AutoReverse)</t>
  </si>
  <si>
    <t>Screws (GCDB_01_00963)
Fasteners HV connector to motor *6, to inverter *3
resolver protection *3</t>
  </si>
  <si>
    <t>Other Metal Fasteners (GCDB_01_01006)
washer of HV connector screw to motor  *6
grounding brush screw *2
PCB *3</t>
  </si>
  <si>
    <t>Screws (GCDB_01_00357)
ground cable fastener to motor</t>
  </si>
  <si>
    <t>Screws (GCDB_01_00961)
fasteners grounding brush *2 PCB*3</t>
  </si>
  <si>
    <t>Other Metal Fasteners (GCDB_01_00033)
ground cable fastener to body</t>
  </si>
  <si>
    <t>Screws (GCDB_01_00338)
water oil exchanger fastener</t>
  </si>
  <si>
    <t>Engine &gt; Hybrid Electric System &gt; e-Motor System &gt; Motor/Generator 1 &gt; Process</t>
  </si>
  <si>
    <t>motor assembly</t>
  </si>
  <si>
    <t>A000000POFBKEU02 (AutoReverse)</t>
  </si>
  <si>
    <t>Engine &gt; Hybrid Electric System &gt; e-Motor System &gt; Motor/Generator 2</t>
  </si>
  <si>
    <t>Engine &gt; Hybrid Electric System &gt; e-Motor System &gt; Motor/Generator 2 &gt; Stator Assembly</t>
  </si>
  <si>
    <t>Engine &gt; Hybrid Electric System &gt; e-Motor System &gt; Motor/Generator 2 &gt; Stator Assembly &gt; Wire Winding</t>
  </si>
  <si>
    <t>Engine &gt; Hybrid Electric System &gt; e-Motor System &gt; Motor/Generator 2 &gt; Stator Assembly &gt; Lamination</t>
  </si>
  <si>
    <t>13.22400 kg</t>
  </si>
  <si>
    <t>27.987301587301587301587301587 kg</t>
  </si>
  <si>
    <t>Engine &gt; Hybrid Electric System &gt; e-Motor System &gt; Motor/Generator 2 &gt; Stator Assembly &gt; Lamination &gt; Process</t>
  </si>
  <si>
    <t>Engine &gt; Hybrid Electric System &gt; e-Motor System &gt; Motor/Generator 2 &gt; Stator Assembly &gt; Process</t>
  </si>
  <si>
    <t>Engine &gt; Hybrid Electric System &gt; e-Motor System &gt; Motor/Generator 2 &gt; Rotor Assembly</t>
  </si>
  <si>
    <t>material: magnetit; process: powder crushing, casting, hydrogen decepitation and removal, milling, annealing, sintering, grinding, coating</t>
  </si>
  <si>
    <t>Engine &gt; Hybrid Electric System &gt; e-Motor System &gt; Motor/Generator 2 &gt; Rotor Assembly &gt; Lamination 1</t>
  </si>
  <si>
    <t>10.32000 kg</t>
  </si>
  <si>
    <t>19.471698113207547169811320755 kg</t>
  </si>
  <si>
    <t>Engine &gt; Hybrid Electric System &gt; e-Motor System &gt; Motor/Generator 2 &gt; Rotor Assembly &gt; Lamination 1 &gt; Process</t>
  </si>
  <si>
    <t>Engine &gt; Hybrid Electric System &gt; e-Motor System &gt; Motor/Generator 2 &gt; Rotor Assembly &gt; Shaft</t>
  </si>
  <si>
    <t>4.12300 kg</t>
  </si>
  <si>
    <t>6.7590163934426229508196721311 kg</t>
  </si>
  <si>
    <t>Engine &gt; Hybrid Electric System &gt; e-Motor System &gt; Motor/Generator 2 &gt; Rotor Assembly &gt; Shaft &gt; Process</t>
  </si>
  <si>
    <t>forging, laser welding, machining (turning/drilling/spline cutting/grinding), hardening</t>
  </si>
  <si>
    <t>Engine &gt; Hybrid Electric System &gt; e-Motor System &gt; Motor/Generator 2 &gt; Rotor Assembly &gt; Process</t>
  </si>
  <si>
    <t>PMSM rotor assembly</t>
  </si>
  <si>
    <t>000000025FOOEU01 (AutoReverse)</t>
  </si>
  <si>
    <t>Engine &gt; Hybrid Electric System &gt; e-Motor System &gt; Motor/Generator 2 &gt; Housings</t>
  </si>
  <si>
    <t>0000000AE8WGEU01 (AutoReverse)</t>
  </si>
  <si>
    <t>A000000LNAM7EU02 (AutoReverse)</t>
  </si>
  <si>
    <t>Engine &gt; Hybrid Electric System &gt; e-Motor System &gt; Motor/Generator 2 &gt; Housings &gt; Main Housing</t>
  </si>
  <si>
    <t>14.95500 kg</t>
  </si>
  <si>
    <t>16.616666666666666666666666667 kg</t>
  </si>
  <si>
    <t>Engine &gt; Hybrid Electric System &gt; e-Motor System &gt; Motor/Generator 2 &gt; Housings &gt; Main Housing &gt; Process</t>
  </si>
  <si>
    <t>00000011UK6GCID0 (AutoReverse)</t>
  </si>
  <si>
    <t>Engine &gt; Hybrid Electric System &gt; e-Motor System &gt; Motor/Generator 2 &gt; Housings &gt; Left Housing</t>
  </si>
  <si>
    <t>4.32200 kg</t>
  </si>
  <si>
    <t>4.8022222222222222222222222222 kg</t>
  </si>
  <si>
    <t>Engine &gt; Hybrid Electric System &gt; e-Motor System &gt; Motor/Generator 2 &gt; Housings &gt; Left Housing &gt; Process</t>
  </si>
  <si>
    <t>00000005NDPKEU01 (AutoReverse)</t>
  </si>
  <si>
    <t>Screws (GCDB_01_00638)
Fasteners access trap *15, inner wiring cover*5</t>
  </si>
  <si>
    <t>Screws (GCDB_01_00366)
fasteners_left housing</t>
  </si>
  <si>
    <t>Engine &gt; Hybrid Electric System &gt; e-Motor System &gt; Motor/Generator 2 &gt; Assembly parts</t>
  </si>
  <si>
    <t>A000003G3TBJEU01 (AutoReverse)</t>
  </si>
  <si>
    <t>00000003L55NEU01 (AutoReverse)</t>
  </si>
  <si>
    <t>00000003JAWREU01 (AutoReverse)</t>
  </si>
  <si>
    <t>0000000691DAEU01 (AutoReverse)</t>
  </si>
  <si>
    <t>0000000BSOP0CID0 (AutoReverse)</t>
  </si>
  <si>
    <t>000000AK2KOIEU02 (AutoReverse)</t>
  </si>
  <si>
    <t>00000003SX7REU01 (AutoReverse)</t>
  </si>
  <si>
    <t>A000000LBB1AEU02 (AutoReverse)</t>
  </si>
  <si>
    <t>00000005S2I3EU01 (AutoReverse)</t>
  </si>
  <si>
    <t>0000000AUBK7EU01 (AutoReverse)</t>
  </si>
  <si>
    <t>00000011UK7LCID0 (AutoReverse)</t>
  </si>
  <si>
    <t>00000011UK7NCID0 (AutoReverse)</t>
  </si>
  <si>
    <t>A000000LNAM9EU02 (AutoReverse)</t>
  </si>
  <si>
    <t>A000002WGDPNEU01 (AutoReverse)</t>
  </si>
  <si>
    <t>000000AQXDFREU02 (AutoReverse) ; 000000AQXDFQEU02 (AutoReverse)</t>
  </si>
  <si>
    <t>Screws (GCDB_01_00963)
Fasteners HV connector plug1 * 6
Fasteners HV connector plug2 * 2
to motor *6, to inverter *3
resolver protection *3</t>
  </si>
  <si>
    <t>Screws (GCDB_01_00962)
Fasteners HV connector plug2 * 2</t>
  </si>
  <si>
    <t>Screws (GCDB_01_00975)
Fasteners HV connector plug2 * 3</t>
  </si>
  <si>
    <t>Other Metal Fasteners (GCDB_01_01006)
washer of HV plug1  *6 
2nd HV plug * 2
grounding brush screw *2
PCB *3</t>
  </si>
  <si>
    <t>Other Metal Fasteners (GCDB_01_00034)</t>
  </si>
  <si>
    <t>Engine &gt; Hybrid Electric System &gt; e-Motor System &gt; Motor/Generator 2 &gt; Process</t>
  </si>
  <si>
    <t>0000000851E0EU01 (AutoReverse)</t>
  </si>
  <si>
    <t>00000001H6Q5EU01 (AutoReverse)</t>
  </si>
  <si>
    <t>Engine &gt; Hybrid Electric System &gt; Power Inverter Module/Converter Module</t>
  </si>
  <si>
    <t>Engine &gt; Hybrid Electric System &gt; Power Inverter Module/Converter Module &gt; AC DC Inverter</t>
  </si>
  <si>
    <t>Engine &gt; Hybrid Electric System &gt; Power Inverter Module/Converter Module &gt; AC DC Inverter &gt; Connectors &amp; Wire Harnesses</t>
  </si>
  <si>
    <t>Engine &gt; Hybrid Electric System &gt; Power Inverter Module/Converter Module &gt; AC DC Inverter &gt; Connectors &amp; Wire Harnesses &gt; Busbars</t>
  </si>
  <si>
    <t>Copper sheet, 2mm-7mm; Stamping</t>
  </si>
  <si>
    <t>000000AUZVYIEU02 (Powertrain)</t>
  </si>
  <si>
    <t>Copper sheet, 2mm-7mm; Stamping; PPS-GF40, Overmolding</t>
  </si>
  <si>
    <t>000000ARYS14EU02 (Powertrain)</t>
  </si>
  <si>
    <t>Engine &gt; Hybrid Electric System &gt; Power Inverter Module/Converter Module &gt; AC DC Inverter &gt; Connectors &amp; Wire Harnesses &gt; Busbars &gt; Busbar Assembly 2</t>
  </si>
  <si>
    <t>Passive</t>
  </si>
  <si>
    <t>Engine &gt; Hybrid Electric System &gt; Power Inverter Module/Converter Module &gt; AC DC Inverter &gt; Connectors &amp; Wire Harnesses &gt; Busbars &gt; Busbar Assembly 2 &gt; Process</t>
  </si>
  <si>
    <t>0.21500 kg</t>
  </si>
  <si>
    <t>0.2182741116751269035532994924 kg</t>
  </si>
  <si>
    <t>Polyphenylene Sulfide with Glas Fiber</t>
  </si>
  <si>
    <t>0.28600 kg</t>
  </si>
  <si>
    <t>0.4085714285714285714285714286 kg</t>
  </si>
  <si>
    <t>0.17920 kg</t>
  </si>
  <si>
    <t>0.1886315789473684210526315789 kg</t>
  </si>
  <si>
    <t>Die casting &amp; machining</t>
  </si>
  <si>
    <t>Copper sheet, 2mm-7mm; Stamping; PPS-GF40, Overmolding; Ferrites</t>
  </si>
  <si>
    <t>000000ARYS15EU02 (Powertrain)</t>
  </si>
  <si>
    <t>000000ARYS1YEU02 (Powertrain)</t>
  </si>
  <si>
    <t>Engine &gt; Hybrid Electric System &gt; Power Inverter Module/Converter Module &gt; AC DC Inverter &gt; Connectors &amp; Wire Harnesses &gt; Connectors</t>
  </si>
  <si>
    <t>Base price (€)</t>
  </si>
  <si>
    <t>CO2 Footprint per quantity (kgCO₂e)</t>
  </si>
  <si>
    <t>Total CO2 (kgCO₂e)</t>
  </si>
  <si>
    <t>Datasheet</t>
  </si>
  <si>
    <t>Specifications</t>
  </si>
  <si>
    <t>Marking</t>
  </si>
  <si>
    <t>Relevant marking</t>
  </si>
  <si>
    <t>Placement options</t>
  </si>
  <si>
    <t>Number of pins</t>
  </si>
  <si>
    <t>Details electronic component summary</t>
  </si>
  <si>
    <t>BsaaS</t>
  </si>
  <si>
    <t>EM</t>
  </si>
  <si>
    <t>Not Set</t>
  </si>
  <si>
    <t>000000ARYS1XEU02 (Powertrain)</t>
  </si>
  <si>
    <t>ElectronicComponent</t>
  </si>
  <si>
    <t>Engine &gt; Hybrid Electric System &gt; Power Inverter Module/Converter Module &gt; AC DC Inverter &gt; Connectors &amp; Wire Harnesses &gt; Connectors &gt; HV Connectors</t>
  </si>
  <si>
    <t>000000AUZVYBEU02 (Powertrain)</t>
  </si>
  <si>
    <t>000000AUZVYAEU02 (Powertrain)</t>
  </si>
  <si>
    <t>000000AUZVYPEU02 (Powertrain)</t>
  </si>
  <si>
    <t>Engine &gt; Hybrid Electric System &gt; Power Inverter Module/Converter Module &gt; AC DC Inverter &gt; Connectors &amp; Wire Harnesses &gt; Wire Harnesses</t>
  </si>
  <si>
    <t>000000AUZVYQEU02 (Powertrain)</t>
  </si>
  <si>
    <t>000000AUZVYOEU02 (Powertrain)</t>
  </si>
  <si>
    <t>000000ARYS1WEU02 (Powertrain)</t>
  </si>
  <si>
    <t>Engine &gt; Hybrid Electric System &gt; Power Inverter Module/Converter Module &gt; AC DC Inverter &gt; Electrical Parts</t>
  </si>
  <si>
    <t>Engine &gt; Hybrid Electric System &gt; Power Inverter Module/Converter Module &gt; AC DC Inverter &gt; Electrical Parts &gt; Capacitors</t>
  </si>
  <si>
    <t>DC-Link OH &amp; Profit</t>
  </si>
  <si>
    <t>000000ARYS1ZEU02 (Powertrain)</t>
  </si>
  <si>
    <t>000000AUZVY9EU02 (Powertrain)</t>
  </si>
  <si>
    <t>Engine &gt; Hybrid Electric System &gt; Power Inverter Module/Converter Module &gt; AC DC Inverter &gt; Electrical Parts &gt; Power Modules</t>
  </si>
  <si>
    <t>Power Module OH &amp; profits</t>
  </si>
  <si>
    <t>000000ARYS22EU02 (Powertrain)</t>
  </si>
  <si>
    <t>000000ASJ3GZEU02 (Powertrain)</t>
  </si>
  <si>
    <t>000000ARWLNFEU02 (Powertrain)</t>
  </si>
  <si>
    <t>Engine &gt; Hybrid Electric System &gt; Power Inverter Module/Converter Module &gt; AC DC Inverter &gt; Electronic Parts</t>
  </si>
  <si>
    <t>000000ARWLNCEU02 (Powertrain)</t>
  </si>
  <si>
    <t>000000ARWLNDEU02 (Powertrain)</t>
  </si>
  <si>
    <t>000000AUZVZHEU02 (Powertrain)</t>
  </si>
  <si>
    <t>000000ARWLNBEU02 (Powertrain)</t>
  </si>
  <si>
    <t>Engine &gt; Hybrid Electric System &gt; Power Inverter Module/Converter Module &gt; AC DC Inverter &gt; Mechanical Parts</t>
  </si>
  <si>
    <t>Engine &gt; Hybrid Electric System &gt; Power Inverter Module/Converter Module &gt; AC DC Inverter &gt; Mechanical Parts &gt; Brackets</t>
  </si>
  <si>
    <t>AlSi12Fe; Die-casting and machining</t>
  </si>
  <si>
    <t>A000000D8LEYEU02 (Powertrain)</t>
  </si>
  <si>
    <t>Steel, standard, sheet 1.5mm; Stamping</t>
  </si>
  <si>
    <t>A000003K0EQUEU01 (Powertrain)</t>
  </si>
  <si>
    <t>PPS-GF40; M 100-23P, Injection Molding</t>
  </si>
  <si>
    <t>A0000000SPXIEU02 (Powertrain)</t>
  </si>
  <si>
    <t>000000AV4FLMEU02 (Powertrain)</t>
  </si>
  <si>
    <t>Engine &gt; Hybrid Electric System &gt; Power Inverter Module/Converter Module &gt; AC DC Inverter &gt; Mechanical Parts &gt; Covers</t>
  </si>
  <si>
    <t>Aluminium, Standard, 0.5mm; Stamping</t>
  </si>
  <si>
    <t>A000000B6W0SEU02 (Powertrain)</t>
  </si>
  <si>
    <t>A0000000SPXEEU02 (Powertrain)</t>
  </si>
  <si>
    <t>Engine &gt; Hybrid Electric System &gt; Power Inverter Module/Converter Module &gt; AC DC Inverter &gt; Mechanical Parts &gt; Housing Parts</t>
  </si>
  <si>
    <t>Engine &gt; Hybrid Electric System &gt; Power Inverter Module/Converter Module &gt; AC DC Inverter &gt; Mechanical Parts &gt; Housing Parts &gt; Top Lid</t>
  </si>
  <si>
    <t>1.57400 kg</t>
  </si>
  <si>
    <t>1.5979695431472081218274111675 kg</t>
  </si>
  <si>
    <t>Engine &gt; Hybrid Electric System &gt; Power Inverter Module/Converter Module &gt; AC DC Inverter &gt; Mechanical Parts &gt; Housing Parts &gt; Top Lid &gt; Process</t>
  </si>
  <si>
    <t>ADC12; Die-casting and Machining</t>
  </si>
  <si>
    <t>000000ARYS26EU02 (Powertrain)</t>
  </si>
  <si>
    <t>000000ARYS25EU02 (Powertrain)</t>
  </si>
  <si>
    <t>Engine &gt; Hybrid Electric System &gt; Power Inverter Module/Converter Module &gt; AC DC Inverter &gt; Mechanical Parts &gt; Pressure Vents</t>
  </si>
  <si>
    <t>000000AS0I36EU02 (Powertrain)</t>
  </si>
  <si>
    <t>000000AUZVY8EU02 (Powertrain)</t>
  </si>
  <si>
    <t>Engine &gt; Hybrid Electric System &gt; Power Inverter Module/Converter Module &gt; AC DC Inverter &gt; Mechanical Parts &gt; Seals</t>
  </si>
  <si>
    <t>A0000000SPXNEU02 (Powertrain)</t>
  </si>
  <si>
    <t>A0000000SPXOEU02 (Powertrain)</t>
  </si>
  <si>
    <t>A0000000SPXMEU02 (Powertrain)</t>
  </si>
  <si>
    <t>000000ARWLNEEU02 (Powertrain)</t>
  </si>
  <si>
    <t>Engine &gt; Hybrid Electric System &gt; Power Inverter Module/Converter Module &gt; AC DC Inverter &gt; Final Assembly</t>
  </si>
  <si>
    <t>Final Assembly</t>
  </si>
  <si>
    <t>0000009X67PQEU02 (Powertrain)</t>
  </si>
  <si>
    <t>Engine &gt; Hybrid Electric System &gt; Power Inverter Module/Converter Module &gt; Second AC DC Inverter</t>
  </si>
  <si>
    <t>Engine &gt; Hybrid Electric System &gt; Power Inverter Module/Converter Module &gt; Second AC DC Inverter &gt; Connectors &amp; Wire Harnesses</t>
  </si>
  <si>
    <t>Engine &gt; Hybrid Electric System &gt; Power Inverter Module/Converter Module &gt; Second AC DC Inverter &gt; Connectors &amp; Wire Harnesses &gt; Busbars</t>
  </si>
  <si>
    <t>A000000AYTXREU02 (Powertrain)</t>
  </si>
  <si>
    <t>Engine &gt; Hybrid Electric System &gt; Power Inverter Module/Converter Module &gt; Second AC DC Inverter &gt; Connectors &amp; Wire Harnesses &gt; Busbars &gt; Busbar Assembly 1</t>
  </si>
  <si>
    <t>Engine &gt; Hybrid Electric System &gt; Power Inverter Module/Converter Module &gt; Second AC DC Inverter &gt; Connectors &amp; Wire Harnesses &gt; Busbars &gt; Busbar Assembly 1 &gt; Process</t>
  </si>
  <si>
    <t>0.29300 kg</t>
  </si>
  <si>
    <t>0.2974619289340101522842639594 kg</t>
  </si>
  <si>
    <t>0.4185714285714285714285714286 kg</t>
  </si>
  <si>
    <t>A000000AYU27EU02 (Powertrain)</t>
  </si>
  <si>
    <t>A000000AYU28EU02 (Powertrain)</t>
  </si>
  <si>
    <t>A000000AYU26EU02 (Powertrain)</t>
  </si>
  <si>
    <t>Engine &gt; Hybrid Electric System &gt; Power Inverter Module/Converter Module &gt; Second AC DC Inverter &gt; Connectors &amp; Wire Harnesses &gt; Connectors</t>
  </si>
  <si>
    <t>A000000AYU2CEU02 (Powertrain)</t>
  </si>
  <si>
    <t>Engine &gt; Hybrid Electric System &gt; Power Inverter Module/Converter Module &gt; Second AC DC Inverter &gt; Connectors &amp; Wire Harnesses &gt; Connectors &gt; Vehicle Connectors</t>
  </si>
  <si>
    <t>A000000AYU2BEU02 (Powertrain)</t>
  </si>
  <si>
    <t>A000000AYTXVEU02 (Powertrain)</t>
  </si>
  <si>
    <t>A000000AYU2DEU02 (Powertrain)</t>
  </si>
  <si>
    <t>Engine &gt; Hybrid Electric System &gt; Power Inverter Module/Converter Module &gt; Second AC DC Inverter &gt; Connectors &amp; Wire Harnesses &gt; Wire Harnesses</t>
  </si>
  <si>
    <t>A000000AYU2EEU02 (Powertrain)</t>
  </si>
  <si>
    <t>A000000AYTXZEU02 (Powertrain)</t>
  </si>
  <si>
    <t>A000000AYTXQEU02 (Powertrain)</t>
  </si>
  <si>
    <t>Engine &gt; Hybrid Electric System &gt; Power Inverter Module/Converter Module &gt; Second AC DC Inverter &gt; Electrical Parts</t>
  </si>
  <si>
    <t>Engine &gt; Hybrid Electric System &gt; Power Inverter Module/Converter Module &gt; Second AC DC Inverter &gt; Electrical Parts &gt; Capacitors</t>
  </si>
  <si>
    <t>A000000AYU2MEU02 (Powertrain)</t>
  </si>
  <si>
    <t>A000000AYU2LEU02 (Powertrain)</t>
  </si>
  <si>
    <t>Engine &gt; Hybrid Electric System &gt; Power Inverter Module/Converter Module &gt; Second AC DC Inverter &gt; Electrical Parts &gt; Ferrites &amp; Cores</t>
  </si>
  <si>
    <t>A000000D8LFCEU02 (Powertrain)</t>
  </si>
  <si>
    <t>A000000D8LFDEU02 (Powertrain)</t>
  </si>
  <si>
    <t>A000000D8LFBEU02 (Powertrain)</t>
  </si>
  <si>
    <t>Engine &gt; Hybrid Electric System &gt; Power Inverter Module/Converter Module &gt; Second AC DC Inverter &gt; Electrical Parts &gt; Power Modules</t>
  </si>
  <si>
    <t>A000000AYTY2EU02 (Powertrain)</t>
  </si>
  <si>
    <t>A000000AYTY1EU02 (Powertrain)</t>
  </si>
  <si>
    <t>A000000AYTY0EU02 (Powertrain)</t>
  </si>
  <si>
    <t>Engine &gt; Hybrid Electric System &gt; Power Inverter Module/Converter Module &gt; Second AC DC Inverter &gt; Electronic Parts</t>
  </si>
  <si>
    <t>A000000AYTYAEU02 (Powertrain)</t>
  </si>
  <si>
    <t>A000000AYU3PEU02 (Powertrain)</t>
  </si>
  <si>
    <t>A000000AYU0QEU02 (Powertrain)</t>
  </si>
  <si>
    <t>A000000AYTY9EU02 (Powertrain)</t>
  </si>
  <si>
    <t>Engine &gt; Hybrid Electric System &gt; Power Inverter Module/Converter Module &gt; Second AC DC Inverter &gt; Mechanical Parts</t>
  </si>
  <si>
    <t>Engine &gt; Hybrid Electric System &gt; Power Inverter Module/Converter Module &gt; Second AC DC Inverter &gt; Mechanical Parts &gt; Brackets</t>
  </si>
  <si>
    <t>A000000AYU5EEU02 (Powertrain)</t>
  </si>
  <si>
    <t>A000000UD742EU02 (Powertrain)</t>
  </si>
  <si>
    <t>A000000AYU5XEU02 (Powertrain)</t>
  </si>
  <si>
    <t>A000000AYU5SEU02 (Powertrain)</t>
  </si>
  <si>
    <t>Engine &gt; Hybrid Electric System &gt; Power Inverter Module/Converter Module &gt; Second AC DC Inverter &gt; Mechanical Parts &gt; Covers</t>
  </si>
  <si>
    <t>A000004I28Q4EU01 (Powertrain)</t>
  </si>
  <si>
    <t>A000000AYU65EU02 (Powertrain)</t>
  </si>
  <si>
    <t>Engine &gt; Hybrid Electric System &gt; Power Inverter Module/Converter Module &gt; Second AC DC Inverter &gt; Mechanical Parts &gt; Housing Parts</t>
  </si>
  <si>
    <t>Aluminium, Standard, 1mm; Stamping</t>
  </si>
  <si>
    <t>A000000AYU19EU02 (Powertrain)</t>
  </si>
  <si>
    <t>A000000AYU5AEU02 (Powertrain)</t>
  </si>
  <si>
    <t>Engine &gt; Hybrid Electric System &gt; Power Inverter Module/Converter Module &gt; Second AC DC Inverter &gt; Mechanical Parts &gt; Seals</t>
  </si>
  <si>
    <t>Elastomer (EPDM base), Injection Molding Elastomer</t>
  </si>
  <si>
    <t>A000000AYU1PEU02 (Powertrain)</t>
  </si>
  <si>
    <t>A000000AYU69EU02 (Powertrain)</t>
  </si>
  <si>
    <t>A000000AYU68EU02 (Powertrain)</t>
  </si>
  <si>
    <t>A000000AYU58EU02 (Powertrain)</t>
  </si>
  <si>
    <t>Engine &gt; Hybrid Electric System &gt; Power Inverter Module/Converter Module &gt; Second AC DC Inverter &gt; Final Assembly</t>
  </si>
  <si>
    <t>000000APZBUOEU02 (Powertrain)</t>
  </si>
  <si>
    <t>00000008T1YAEU01 (AutoReverse)</t>
  </si>
  <si>
    <t>00000009G9UCEU01 (AutoReverse)</t>
  </si>
  <si>
    <t>PA6.6-GF30; Injection Molding</t>
  </si>
  <si>
    <t>00000009XYIXEU01 (AutoReverse)</t>
  </si>
  <si>
    <t>000000AO7CL0EU02 (AutoReverse)</t>
  </si>
  <si>
    <t>000000091G4UEU01 (AutoReverse)</t>
  </si>
  <si>
    <t>Engine &gt; Hybrid Electric System &gt; DC-DC converter/Junction Box system</t>
  </si>
  <si>
    <t>Engine &gt; Hybrid Electric System &gt; DC-DC converter/Junction Box system &gt; High Voltage Booster</t>
  </si>
  <si>
    <t>Engine &gt; Hybrid Electric System &gt; DC-DC converter/Junction Box system &gt; High Voltage Booster &gt; Connectors &amp; Wire Harnesses</t>
  </si>
  <si>
    <t>Engine &gt; Hybrid Electric System &gt; DC-DC converter/Junction Box system &gt; High Voltage Booster &gt; Connectors &amp; Wire Harnesses &gt; Busbars</t>
  </si>
  <si>
    <t>Engine &gt; Hybrid Electric System &gt; DC-DC converter/Junction Box system &gt; High Voltage Booster &gt; Connectors &amp; Wire Harnesses &gt; Connectors</t>
  </si>
  <si>
    <t>Engine &gt; Hybrid Electric System &gt; DC-DC converter/Junction Box system &gt; High Voltage Booster &gt; Connectors &amp; Wire Harnesses &gt; Connectors &gt; HV Connectors</t>
  </si>
  <si>
    <t>Engine &gt; Hybrid Electric System &gt; DC-DC converter/Junction Box system &gt; High Voltage Booster &gt; Connectors &amp; Wire Harnesses &gt; Wire Harnesses</t>
  </si>
  <si>
    <t>Engine &gt; Hybrid Electric System &gt; DC-DC converter/Junction Box system &gt; High Voltage Booster &gt; Electrical Parts</t>
  </si>
  <si>
    <t>Engine &gt; Hybrid Electric System &gt; DC-DC converter/Junction Box system &gt; High Voltage Booster &gt; Electrical Parts &gt; Ferrites &amp; Cores</t>
  </si>
  <si>
    <t>Steel;PBT-GF15;Overmolding</t>
  </si>
  <si>
    <t>Engine &gt; Hybrid Electric System &gt; DC-DC converter/Junction Box system &gt; High Voltage Booster &gt; Electrical Parts &gt; Inductors</t>
  </si>
  <si>
    <t>Engine &gt; Hybrid Electric System &gt; DC-DC converter/Junction Box system &gt; High Voltage Booster &gt; Electrical Parts &gt; Relays</t>
  </si>
  <si>
    <t>Engine &gt; Hybrid Electric System &gt; DC-DC converter/Junction Box system &gt; High Voltage Booster &gt; Electronic Parts</t>
  </si>
  <si>
    <t>Engine &gt; Hybrid Electric System &gt; DC-DC converter/Junction Box system &gt; High Voltage Booster &gt; Mechanical Parts</t>
  </si>
  <si>
    <t>Engine &gt; Hybrid Electric System &gt; DC-DC converter/Junction Box system &gt; High Voltage Booster &gt; Mechanical Parts &gt; Brackets</t>
  </si>
  <si>
    <t>PBT-GF15;Injection molding</t>
  </si>
  <si>
    <t>Engine &gt; Hybrid Electric System &gt; DC-DC converter/Junction Box system &gt; High Voltage Booster &gt; Mechanical Parts &gt; Housing Parts</t>
  </si>
  <si>
    <t>Engine &gt; Hybrid Electric System &gt; DC-DC converter/Junction Box system &gt; High Voltage Booster &gt; Mechanical Parts &gt; Housing Parts &gt; Main Housing</t>
  </si>
  <si>
    <t>3.16900 kg</t>
  </si>
  <si>
    <t>3.2336734693877551020408163265 kg</t>
  </si>
  <si>
    <t>Engine &gt; Hybrid Electric System &gt; DC-DC converter/Junction Box system &gt; High Voltage Booster &gt; Mechanical Parts &gt; Housing Parts &gt; Main Housing &gt; Process</t>
  </si>
  <si>
    <t>Aluminium;Die casting &amp; machining</t>
  </si>
  <si>
    <t>Engine &gt; Hybrid Electric System &gt; DC-DC converter/Junction Box system &gt; High Voltage Booster &gt; Mechanical Parts &gt; Pressure Vents</t>
  </si>
  <si>
    <t>Engine &gt; Hybrid Electric System &gt; DC-DC converter/Junction Box system &gt; High Voltage Booster &gt; Mechanical Parts &gt; Seals</t>
  </si>
  <si>
    <t>Engine &gt; Hybrid Electric System &gt; DC-DC converter/Junction Box system &gt; High Voltage Booster &gt; Mechanical Parts &gt; Shields</t>
  </si>
  <si>
    <t>Plastic;Injection molding</t>
  </si>
  <si>
    <t>Engine &gt; Hybrid Electric System &gt; DC-DC converter/Junction Box system &gt; High Voltage Booster &gt; Mechanical Parts &gt; Thermal Paste/Gap Pads</t>
  </si>
  <si>
    <t>Engine &gt; Hybrid Electric System &gt; DC-DC converter/Junction Box system &gt; High Voltage Booster &gt; Final Assy</t>
  </si>
  <si>
    <t>0000000A4TAJEU01 (AutoReverse)</t>
  </si>
  <si>
    <t>Engine &gt; Hybrid Electric System &gt; DC-DC converter/Junction Box system &gt; Cable 12v</t>
  </si>
  <si>
    <t>Engine &gt; Hybrid Electric System &gt; DC-DC converter/Junction Box system &gt; Cable 12v &gt; Process</t>
  </si>
  <si>
    <t>A000000O3J2NEU02 (AutoReverse)</t>
  </si>
  <si>
    <t>00000002OS2ZEU01 (AutoReverse)</t>
  </si>
  <si>
    <t>Engine &gt; Hybrid Electric System &gt; HV cable bracket system</t>
  </si>
  <si>
    <t>0000000AUS1REU01 (AutoReverse)</t>
  </si>
  <si>
    <t>00000002L2DCEU01 (AutoReverse)</t>
  </si>
  <si>
    <t>0000000A4MSKEU01 (AutoReverse)</t>
  </si>
  <si>
    <t>Steel, standard, sheet 2-6mm; Stamping</t>
  </si>
  <si>
    <t>00000006HNO2EU01 (AutoReverse)</t>
  </si>
  <si>
    <t>Steel, standard, sheet 1mm; Stamping</t>
  </si>
  <si>
    <t>00000009AD81EU01 (AutoReverse)</t>
  </si>
  <si>
    <t>00000005KYB9EU01 (AutoReverse)</t>
  </si>
  <si>
    <t>PA6.6-GF15; Injection Molding</t>
  </si>
  <si>
    <t>0000000AKFBQEU01 (AutoReverse)</t>
  </si>
  <si>
    <t>00000007LYHBEU01 (AutoReverse)</t>
  </si>
  <si>
    <t>00000002W2IIEU01 (AutoReverse)</t>
  </si>
  <si>
    <t>0000000494B3EU01 (AutoReverse)</t>
  </si>
  <si>
    <t>000000054J16EU01 (AutoReverse)</t>
  </si>
  <si>
    <t>000000048CZCEU01 (AutoReverse)</t>
  </si>
  <si>
    <t>00000009J0TUEU01 (AutoReverse)</t>
  </si>
  <si>
    <t>00000007ZUVLEU01 (AutoReverse)</t>
  </si>
  <si>
    <t>000000AM0M3YEU02 (AutoReverse)</t>
  </si>
  <si>
    <t>A0000004S0WIEU02 (AutoReverse)</t>
  </si>
  <si>
    <t>A0000004S0WJEU02 (AutoReverse)</t>
  </si>
  <si>
    <t>A0000004VUEUEU02 (AutoReverse)</t>
  </si>
  <si>
    <t>A0000004VUEVEU02 (AutoReverse)</t>
  </si>
  <si>
    <t>A0000004VUEWEU02 (AutoReverse)</t>
  </si>
  <si>
    <t>00000000IQUAEU01 (AutoReverse)</t>
  </si>
  <si>
    <t>Engine &gt; Hybrid Electric System &gt; Cable Guide</t>
  </si>
  <si>
    <t>00000004AWDKEU01 (AutoReverse)</t>
  </si>
  <si>
    <t>00000004JHGCEU01 (AutoReverse)</t>
  </si>
  <si>
    <t>000000A85FDEEU02 (AutoReverse)</t>
  </si>
  <si>
    <t>0000000IG6YPCID0 (AutoReverse)</t>
  </si>
  <si>
    <t>0000000IG73VCID0 (AutoReverse)</t>
  </si>
  <si>
    <t>0000000IG71VCID0 (AutoReverse)</t>
  </si>
  <si>
    <t>00000011UK51CID0 (AutoReverse)</t>
  </si>
  <si>
    <t>00000002RFRCEU01 (AutoReverse)</t>
  </si>
  <si>
    <t>000000067EJWEU01 (AutoReverse)</t>
  </si>
  <si>
    <t>Engine &gt; Engine mounts</t>
  </si>
  <si>
    <t>Engine &gt; Engine mounts &gt; E-motor Support System</t>
  </si>
  <si>
    <t>Material: Aluminium
Process: Casting and Machining</t>
  </si>
  <si>
    <t>000000AFPQ0KEU02 (AutoReverse)</t>
  </si>
  <si>
    <t>Screws (GCDB_01_00127)</t>
  </si>
  <si>
    <t>Engine &gt; Engine mounts &gt; E-motor Support System &gt; Support 1</t>
  </si>
  <si>
    <t>000000AFPQ0LEU02 (AutoReverse)</t>
  </si>
  <si>
    <t>Engine &gt; Engine mounts &gt; E-motor Support System &gt; Support 2</t>
  </si>
  <si>
    <t>000000AFPQ0MEU02 (AutoReverse)</t>
  </si>
  <si>
    <t>Engine &gt; Engine mounts &gt; E-motor Support System &gt; Support 3</t>
  </si>
  <si>
    <t>Material: Cast iron
Process: Casting and Machining</t>
  </si>
  <si>
    <t>A0000004S0VTEU02 (AutoReverse)</t>
  </si>
  <si>
    <t>Screws (GCDB_01_00361)</t>
  </si>
  <si>
    <t>Engine &gt; Engine mounts &gt; E-motor Support System &gt; Reinforcement 1</t>
  </si>
  <si>
    <t>000000AFPQ0JEU02 (AutoReverse)</t>
  </si>
  <si>
    <t>0000000335RIEU01 (AutoReverse)</t>
  </si>
  <si>
    <t>00000003WRABEU01 (AutoReverse)</t>
  </si>
  <si>
    <t>Interior</t>
  </si>
  <si>
    <t>Interior &gt; Instrument Panel</t>
  </si>
  <si>
    <t>Interior &gt; Instrument Panel &gt; Cross Car Beam</t>
  </si>
  <si>
    <t>Interior &gt; Instrument Panel &gt; Cross Car Beam &gt; Support on Tunnel</t>
  </si>
  <si>
    <t>Interior &gt; Instrument Panel &gt; Cross Car Beam &gt; Support on Tunnel &gt; Left and right if similar</t>
  </si>
  <si>
    <t>0.91300 kg</t>
  </si>
  <si>
    <t>1.0144444444444444444444444444 kg</t>
  </si>
  <si>
    <t>Interior &gt; Instrument Panel &gt; Cross Car Beam &gt; Support on Tunnel &gt; Left and right if similar &gt; Automated Process</t>
  </si>
  <si>
    <t>Die Casting</t>
  </si>
  <si>
    <t>Mg</t>
  </si>
  <si>
    <t>0000000A0B6XEU01 (AutoReverse)</t>
  </si>
  <si>
    <t>Interior &gt; Instrument Panel &gt; Cross Car Beam &gt; Support on Tunnel &gt; Central</t>
  </si>
  <si>
    <t>Interior &gt; Instrument Panel &gt; Cross Car Beam &gt; Support on Tunnel &gt; Central &gt; Automated Process</t>
  </si>
  <si>
    <t>0000000AQ6VJEU01 (AutoReverse)</t>
  </si>
  <si>
    <t>00000003I36UEU01 (AutoReverse)</t>
  </si>
  <si>
    <t>Interior &gt; Instrument Panel &gt; Cross Car Beam &gt; IP Reinforcement</t>
  </si>
  <si>
    <t>Interior &gt; Instrument Panel &gt; Cross Car Beam &gt; IP Reinforcement &gt; Automated Process</t>
  </si>
  <si>
    <t>PA6;STEEL</t>
  </si>
  <si>
    <t>00000002I6LQEU01 (AutoReverse)</t>
  </si>
  <si>
    <t>Interior &gt; Instrument Panel &gt; Cross Car Beam &gt; Reinforcement Driver</t>
  </si>
  <si>
    <t>0.01500 kg</t>
  </si>
  <si>
    <t>0.0157894736842105263157894737 kg</t>
  </si>
  <si>
    <t>Interior &gt; Instrument Panel &gt; Cross Car Beam &gt; Reinforcement Driver &gt; Automated Process</t>
  </si>
  <si>
    <t>A000001545KDEU02 (AutoReverse)</t>
  </si>
  <si>
    <t>00000002YFQ4EU01 (AutoReverse)</t>
  </si>
  <si>
    <t>Interior &gt; Instrument Panel &gt; Dashboard Covers</t>
  </si>
  <si>
    <t>Interior &gt; Instrument Panel &gt; Dashboard Covers &gt; Driver Side Trim</t>
  </si>
  <si>
    <t>Interior &gt; Instrument Panel &gt; Dashboard Covers &gt; Driver Side Trim &gt; Foot Well Trim</t>
  </si>
  <si>
    <t>Interior &gt; Instrument Panel &gt; Dashboard Covers &gt; Driver Side Trim &gt; Foot Well Trim &gt; Automated Process</t>
  </si>
  <si>
    <t>0000000AK6U1EU01 (AutoReverse)</t>
  </si>
  <si>
    <t>00000003U57YEU01 (AutoReverse)</t>
  </si>
  <si>
    <t>Interior &gt; Instrument Panel &gt; Dashboard Covers &gt; Passenger Side Trim</t>
  </si>
  <si>
    <t>Interior &gt; Instrument Panel &gt; Dashboard Covers &gt; Passenger Side Trim &gt; Lower Panel</t>
  </si>
  <si>
    <t>Interior &gt; Instrument Panel &gt; Dashboard Covers &gt; Passenger Side Trim &gt; Lower Panel &gt; Automated Process</t>
  </si>
  <si>
    <t xml:space="preserve">Injection molding, Cutting, Gluing </t>
  </si>
  <si>
    <t>LEATHER;PP</t>
  </si>
  <si>
    <t>00000003RKW0EU01 (AutoReverse)</t>
  </si>
  <si>
    <t>Interior &gt; Instrument Panel &gt; Dashboard Covers &gt; Passenger Side Trim &gt; Foot Well Trim</t>
  </si>
  <si>
    <t>Interior &gt; Instrument Panel &gt; Dashboard Covers &gt; Passenger Side Trim &gt; Foot Well Trim &gt; Automated Process</t>
  </si>
  <si>
    <t>00000009GNA1EU01 (AutoReverse)</t>
  </si>
  <si>
    <t>000000096DR1EU01 (AutoReverse)</t>
  </si>
  <si>
    <t>Interior &gt; Instrument Panel &gt; Dashboard Covers &gt; Central Trim</t>
  </si>
  <si>
    <t>Interior &gt; Instrument Panel &gt; Dashboard Covers &gt; Central Trim &gt; Upper Part</t>
  </si>
  <si>
    <t>Interior &gt; Instrument Panel &gt; Dashboard Covers &gt; Central Trim &gt; Upper Part &gt; Automated Process</t>
  </si>
  <si>
    <t>00000005GU5QEU01 (AutoReverse)</t>
  </si>
  <si>
    <t>Interior &gt; Instrument Panel &gt; Dashboard Covers &gt; Central Trim &gt; 2nd Upper Part</t>
  </si>
  <si>
    <t>Interior &gt; Instrument Panel &gt; Dashboard Covers &gt; Central Trim &gt; 2nd Upper Part &gt; Automated Process</t>
  </si>
  <si>
    <t>A000003AERDHEU01 (AutoReverse)</t>
  </si>
  <si>
    <t>Interior &gt; Instrument Panel &gt; Dashboard Covers &gt; Central Trim &gt; Lower part support</t>
  </si>
  <si>
    <t>Interior &gt; Instrument Panel &gt; Dashboard Covers &gt; Central Trim &gt; Lower part support &gt; Automated Process</t>
  </si>
  <si>
    <t>000000072B3LEU01 (AutoReverse)</t>
  </si>
  <si>
    <t>00000007IKAYEU01 (AutoReverse)</t>
  </si>
  <si>
    <t>Interior &gt; Instrument Panel &gt; Dashboard Covers &gt; Garnish Left Side</t>
  </si>
  <si>
    <t>Interior &gt; Instrument Panel &gt; Dashboard Covers &gt; Garnish Left Side &gt; Automated Process</t>
  </si>
  <si>
    <t>00000007J7ZEEU01 (AutoReverse)</t>
  </si>
  <si>
    <t>Interior &gt; Instrument Panel &gt; Dashboard Covers &gt; Garnish Right Side</t>
  </si>
  <si>
    <t>Interior &gt; Instrument Panel &gt; Dashboard Covers &gt; Garnish Right Side &gt; Automated Process</t>
  </si>
  <si>
    <t>0000000AY8A2EU01 (AutoReverse)</t>
  </si>
  <si>
    <t>Interior &gt; Instrument Panel &gt; Dashboard Covers &gt; Upper Skin Support</t>
  </si>
  <si>
    <t>Interior &gt; Instrument Panel &gt; Dashboard Covers &gt; Upper Skin Support &gt; Automated Process</t>
  </si>
  <si>
    <t>00000002RQMSEU01 (AutoReverse)</t>
  </si>
  <si>
    <t>Interior &gt; Instrument Panel &gt; Dashboard Covers &gt; Cover Reinforcement</t>
  </si>
  <si>
    <t>Interior &gt; Instrument Panel &gt; Dashboard Covers &gt; Cover Reinforcement &gt; Automated Process</t>
  </si>
  <si>
    <t>A0000056HO45EU01 (AutoReverse)</t>
  </si>
  <si>
    <t>Interior &gt; Instrument Panel &gt; Dashboard Covers &gt; Cover Reinforcement 2</t>
  </si>
  <si>
    <t>Interior &gt; Instrument Panel &gt; Dashboard Covers &gt; Cover Reinforcement 2 &gt; Automated Process</t>
  </si>
  <si>
    <t>A0000056HO46EU01 (AutoReverse)</t>
  </si>
  <si>
    <t>000000089T8JEU01 (AutoReverse)</t>
  </si>
  <si>
    <t>Interior &gt; Instrument Panel &gt; Air Vent</t>
  </si>
  <si>
    <t>Interior &gt; Instrument Panel &gt; Air Vent &gt; Left Air Vent</t>
  </si>
  <si>
    <t>Interior &gt; Instrument Panel &gt; Air Vent &gt; Left Air Vent &gt; Oscillating Front System</t>
  </si>
  <si>
    <t>00000009YR50EU01 (AutoReverse)</t>
  </si>
  <si>
    <t>Interior &gt; Instrument Panel &gt; Air Vent &gt; Left Air Vent &gt; Oscillating Front System &gt; Motor Support</t>
  </si>
  <si>
    <t>Interior &gt; Instrument Panel &gt; Air Vent &gt; Left Air Vent &gt; Oscillating Front System &gt; Motor Support &gt; Automated Process</t>
  </si>
  <si>
    <t>A000000SID7LEU02 (AutoReverse)</t>
  </si>
  <si>
    <t>Material: PA-GF
Process: Injection molding</t>
  </si>
  <si>
    <t>A000000SID7MEU02 (AutoReverse)</t>
  </si>
  <si>
    <t>A000000SID89EU02 (AutoReverse)</t>
  </si>
  <si>
    <t>00000004TOLXEU01 (AutoReverse)</t>
  </si>
  <si>
    <t>Interior &gt; Instrument Panel &gt; Air Vent &gt; Left Air Vent &gt; Air Vent</t>
  </si>
  <si>
    <t>Interior &gt; Instrument Panel &gt; Air Vent &gt; Left Air Vent &gt; Air Vent &gt; Automated Process</t>
  </si>
  <si>
    <t>00000001HTR7EU01 (AutoReverse)</t>
  </si>
  <si>
    <t>Interior &gt; Instrument Panel &gt; Air Vent &gt; Left Air Vent &gt; 2nd Air Vent</t>
  </si>
  <si>
    <t>Interior &gt; Instrument Panel &gt; Air Vent &gt; Left Air Vent &gt; 2nd Air Vent &gt; Automated Process</t>
  </si>
  <si>
    <t>000000081VVVEU01 (AutoReverse)</t>
  </si>
  <si>
    <t>Interior &gt; Instrument Panel &gt; Air Vent &gt; Left Air Vent &gt; Support</t>
  </si>
  <si>
    <t>Interior &gt; Instrument Panel &gt; Air Vent &gt; Left Air Vent &gt; Support &gt; Automated Process</t>
  </si>
  <si>
    <t>00000009CVTZEU01 (AutoReverse)</t>
  </si>
  <si>
    <t>00000000OXCIEU01 (AutoReverse)</t>
  </si>
  <si>
    <t>Interior &gt; Instrument Panel &gt; Air Vent &gt; Center Air Vent</t>
  </si>
  <si>
    <t>Interior &gt; Instrument Panel &gt; Air Vent &gt; Center Air Vent &gt; Oscillating Front System</t>
  </si>
  <si>
    <t>000000012RQDEU01 (AutoReverse)</t>
  </si>
  <si>
    <t>A000000SID8BEU02 (AutoReverse)</t>
  </si>
  <si>
    <t>A000000SID8CEU02 (AutoReverse)</t>
  </si>
  <si>
    <t>00000002DA3KEU01 (AutoReverse)</t>
  </si>
  <si>
    <t>Interior &gt; Instrument Panel &gt; Air Vent &gt; Center Air Vent &gt; Left Side and Right if Similar</t>
  </si>
  <si>
    <t>Interior &gt; Instrument Panel &gt; Air Vent &gt; Center Air Vent &gt; Left Side and Right if Similar &gt; Automated Process</t>
  </si>
  <si>
    <t>00000009SO3VEU01 (AutoReverse)</t>
  </si>
  <si>
    <t>Interior &gt; Instrument Panel &gt; Air Vent &gt; Center Air Vent &gt; Center Bezel</t>
  </si>
  <si>
    <t>Interior &gt; Instrument Panel &gt; Air Vent &gt; Center Air Vent &gt; Center Bezel &gt; Automated Process</t>
  </si>
  <si>
    <t>00000002GZI5EU01 (AutoReverse)</t>
  </si>
  <si>
    <t>Interior &gt; Instrument Panel &gt; Air Vent &gt; Center Air Vent &gt; Pipe</t>
  </si>
  <si>
    <t>Interior &gt; Instrument Panel &gt; Air Vent &gt; Center Air Vent &gt; Pipe &gt; Automated Process</t>
  </si>
  <si>
    <t>00000001Y5RJEU01 (AutoReverse)</t>
  </si>
  <si>
    <t>000000076LMFEU01 (AutoReverse)</t>
  </si>
  <si>
    <t>Interior &gt; Instrument Panel &gt; Air Vent &gt; Right Air Vent</t>
  </si>
  <si>
    <t>Interior &gt; Instrument Panel &gt; Air Vent &gt; Right Air Vent &gt; Oscillating Front System</t>
  </si>
  <si>
    <t>Interior &gt; Instrument Panel &gt; Air Vent &gt; Right Air Vent &gt; Oscillating Front System &gt; Motor Harness</t>
  </si>
  <si>
    <t>Interior &gt; Instrument Panel &gt; Air Vent &gt; Right Air Vent &gt; Oscillating Front System &gt; Motor Harness &gt; Process</t>
  </si>
  <si>
    <t>A000000YBS0BEU02 (AutoReverse)</t>
  </si>
  <si>
    <t>ELECTRIC MOTOR;PP</t>
  </si>
  <si>
    <t>000000074I2EEU01 (AutoReverse)</t>
  </si>
  <si>
    <t>Interior &gt; Instrument Panel &gt; Air Vent &gt; Right Air Vent &gt; Oscillating Front System &gt; Motor Support</t>
  </si>
  <si>
    <t>0.03600 kg</t>
  </si>
  <si>
    <t>0.0378947368421052631578947368 kg</t>
  </si>
  <si>
    <t>Interior &gt; Instrument Panel &gt; Air Vent &gt; Right Air Vent &gt; Oscillating Front System &gt; Motor Support &gt; Automated Process</t>
  </si>
  <si>
    <t>A000000SID7PEU02 (AutoReverse)</t>
  </si>
  <si>
    <t>Material: Plastic
Process: Injection molding</t>
  </si>
  <si>
    <t>A000000SID7QEU02 (AutoReverse)</t>
  </si>
  <si>
    <t>A000000SID7REU02 (AutoReverse)</t>
  </si>
  <si>
    <t>000000053ZG9EU01 (AutoReverse)</t>
  </si>
  <si>
    <t>Interior &gt; Instrument Panel &gt; Air Vent &gt; Right Air Vent &gt; Air Vent</t>
  </si>
  <si>
    <t>Interior &gt; Instrument Panel &gt; Air Vent &gt; Right Air Vent &gt; Air Vent &gt; Automated Process</t>
  </si>
  <si>
    <t>00000009G2OQEU01 (AutoReverse)</t>
  </si>
  <si>
    <t>Interior &gt; Instrument Panel &gt; Air Vent &gt; Right Air Vent &gt; Bezel</t>
  </si>
  <si>
    <t>Interior &gt; Instrument Panel &gt; Air Vent &gt; Right Air Vent &gt; Bezel &gt; Automated Process</t>
  </si>
  <si>
    <t>00000000RD87EU01 (AutoReverse)</t>
  </si>
  <si>
    <t>Interior &gt; Instrument Panel &gt; Air Vent &gt; Right Air Vent &gt; 2nd Bezel</t>
  </si>
  <si>
    <t>Interior &gt; Instrument Panel &gt; Air Vent &gt; Right Air Vent &gt; 2nd Bezel &gt; Automated Process</t>
  </si>
  <si>
    <t>A000000MVKQCEU02 (AutoReverse)</t>
  </si>
  <si>
    <t>Interior &gt; Instrument Panel &gt; Air Vent &gt; Right Air Vent &gt; Support</t>
  </si>
  <si>
    <t>Interior &gt; Instrument Panel &gt; Air Vent &gt; Right Air Vent &gt; Support &gt; Automated Process</t>
  </si>
  <si>
    <t>00000009HS85EU01 (AutoReverse)</t>
  </si>
  <si>
    <t>Interior &gt; Instrument Panel &gt; Air Vent &gt; Right Air Vent &gt; 2nd Air Vent</t>
  </si>
  <si>
    <t>Interior &gt; Instrument Panel &gt; Air Vent &gt; Right Air Vent &gt; 2nd Air Vent &gt; Automated Process</t>
  </si>
  <si>
    <t>00000002GEXLEU01 (AutoReverse)</t>
  </si>
  <si>
    <t>00000005XNY8EU01 (AutoReverse)</t>
  </si>
  <si>
    <t>00000006JR7XEU01 (AutoReverse)</t>
  </si>
  <si>
    <t>Interior &gt; Instrument Panel &gt; Speakers System</t>
  </si>
  <si>
    <t>Interior &gt; Instrument Panel &gt; Speakers System &gt; Speaker Grille</t>
  </si>
  <si>
    <t>Interior &gt; Instrument Panel &gt; Speakers System &gt; Speaker Grille &gt; Left Grille and Right if Similar</t>
  </si>
  <si>
    <t>Interior &gt; Instrument Panel &gt; Speakers System &gt; Speaker Grille &gt; Left Grille and Right if Similar &gt; Automated Process</t>
  </si>
  <si>
    <t>00000003OSEPEU01 (AutoReverse)</t>
  </si>
  <si>
    <t>Interior &gt; Instrument Panel &gt; Speakers System &gt; Speaker Grille &gt; Center Grille</t>
  </si>
  <si>
    <t>Interior &gt; Instrument Panel &gt; Speakers System &gt; Speaker Grille &gt; Center Grille &gt; Automated Process</t>
  </si>
  <si>
    <t>00000003DG09EU01 (AutoReverse)</t>
  </si>
  <si>
    <t>000000067MSDEU01 (AutoReverse)</t>
  </si>
  <si>
    <t>00000005GHQGEU01 (AutoReverse)</t>
  </si>
  <si>
    <t>0000000ADN0UEU01 (AutoReverse)</t>
  </si>
  <si>
    <t>000000080YRGEU01 (AutoReverse)</t>
  </si>
  <si>
    <t>ELECTRONIC COMPONENT;PC</t>
  </si>
  <si>
    <t>0000000ARC5REU01 (AutoReverse)</t>
  </si>
  <si>
    <t>00000000R061EU01 (AutoReverse)</t>
  </si>
  <si>
    <t>Interior &gt; Instrument Panel &gt; Lighting System Under Dashboard</t>
  </si>
  <si>
    <t>PC;PC-ABS;ELECTRONIC COMPONENT</t>
  </si>
  <si>
    <t>00000009BYITEU01 (AutoReverse)</t>
  </si>
  <si>
    <t>00000000E83VEU01 (AutoReverse)</t>
  </si>
  <si>
    <t>Interior &gt; Instrument Panel &gt; Instrumentation</t>
  </si>
  <si>
    <t>Interior &gt; Instrument Panel &gt; Instrumentation &gt; Cluster system</t>
  </si>
  <si>
    <t>Interior &gt; Instrument Panel &gt; Instrumentation &gt; Cluster system &gt; Cluster</t>
  </si>
  <si>
    <t>Interior &gt; Instrument Panel &gt; Instrumentation &gt; Cluster system &gt; Cluster &gt; Process</t>
  </si>
  <si>
    <t>Housing Parts + Lids + Shields</t>
  </si>
  <si>
    <t>PCB + LCD Panel + All electronics components</t>
  </si>
  <si>
    <t>00000007ZBITEU01 (AutoReverse)</t>
  </si>
  <si>
    <t>Interior &gt; Instrument Panel &gt; Instrumentation &gt; Cluster system &gt; Cluster Rotation Motor</t>
  </si>
  <si>
    <t>Interior &gt; Instrument Panel &gt; Instrumentation &gt; Cluster system &gt; Cluster Rotation Motor &gt; Process</t>
  </si>
  <si>
    <t>Housing Parts + Lids + Motors</t>
  </si>
  <si>
    <t>A0000056HO49EU01 (AutoReverse)</t>
  </si>
  <si>
    <t>Interior &gt; Instrument Panel &gt; Instrumentation &gt; Cluster system &gt; Bezels System</t>
  </si>
  <si>
    <t>Interior &gt; Instrument Panel &gt; Instrumentation &gt; Cluster system &gt; Bezels System &gt; Bezel of 2nd Display</t>
  </si>
  <si>
    <t>Interior &gt; Instrument Panel &gt; Instrumentation &gt; Cluster system &gt; Bezels System &gt; Bezel of 2nd Display &gt; Automated Process</t>
  </si>
  <si>
    <t>000000059L7FEU01 (AutoReverse)</t>
  </si>
  <si>
    <t>Interior &gt; Instrument Panel &gt; Instrumentation &gt; Cluster system &gt; Bezels System &gt; 2nd Bezel of 2nd Display</t>
  </si>
  <si>
    <t>Interior &gt; Instrument Panel &gt; Instrumentation &gt; Cluster system &gt; Bezels System &gt; 2nd Bezel of 2nd Display &gt; Automated Process</t>
  </si>
  <si>
    <t>00000008PDYAEU01 (AutoReverse)</t>
  </si>
  <si>
    <t>00000000470REU01 (AutoReverse)</t>
  </si>
  <si>
    <t>Interior &gt; Instrument Panel &gt; Instrumentation &gt; Cluster system &gt; Support</t>
  </si>
  <si>
    <t>0.00600 kg</t>
  </si>
  <si>
    <t>0.0063157894736842105263157895 kg</t>
  </si>
  <si>
    <t>Interior &gt; Instrument Panel &gt; Instrumentation &gt; Cluster system &gt; Support &gt; Automated Process</t>
  </si>
  <si>
    <t>00000004OCEWEU01 (AutoReverse)</t>
  </si>
  <si>
    <t>Interior &gt; Instrument Panel &gt; Instrumentation &gt; Cluster system &gt; Display Support</t>
  </si>
  <si>
    <t>Interior &gt; Instrument Panel &gt; Instrumentation &gt; Cluster system &gt; Display Support &gt; Automated Process</t>
  </si>
  <si>
    <t>00000002IQI9EU01 (AutoReverse)</t>
  </si>
  <si>
    <t>00000003KPMYEU01 (AutoReverse)</t>
  </si>
  <si>
    <t>Interior &gt; Instrument Panel &gt; Instrumentation &gt; LCD Screen System</t>
  </si>
  <si>
    <t>Interior &gt; Instrument Panel &gt; Instrumentation &gt; LCD Screen System &gt; Screen</t>
  </si>
  <si>
    <t>Interior &gt; Instrument Panel &gt; Instrumentation &gt; LCD Screen System &gt; Screen &gt; Process</t>
  </si>
  <si>
    <t>PCB + LCD Screen + All electronics components</t>
  </si>
  <si>
    <t>Housing Parts + Trims + SMD Contacts</t>
  </si>
  <si>
    <t>00000002Z8TBEU01 (AutoReverse)</t>
  </si>
  <si>
    <t>Interior &gt; Instrument Panel &gt; Instrumentation &gt; LCD Screen System &gt; LCD Screen Bezel</t>
  </si>
  <si>
    <t>Interior &gt; Instrument Panel &gt; Instrumentation &gt; LCD Screen System &gt; LCD Screen Bezel &gt; Automated Process</t>
  </si>
  <si>
    <t>00000009LMSTEU01 (AutoReverse)</t>
  </si>
  <si>
    <t>Interior &gt; Instrument Panel &gt; Instrumentation &gt; LCD Screen System &gt; LCD Support</t>
  </si>
  <si>
    <t>Interior &gt; Instrument Panel &gt; Instrumentation &gt; LCD Screen System &gt; LCD Support &gt; Automated Process</t>
  </si>
  <si>
    <t>00000009IC9HEU01 (AutoReverse)</t>
  </si>
  <si>
    <t>Interior &gt; Instrument Panel &gt; Instrumentation &gt; LCD Screen System &gt; 2nd LCD Support</t>
  </si>
  <si>
    <t>Interior &gt; Instrument Panel &gt; Instrumentation &gt; LCD Screen System &gt; 2nd LCD Support &gt; Automated Process</t>
  </si>
  <si>
    <t>000000AO1JKYEU02 (AutoReverse)</t>
  </si>
  <si>
    <t>Interior &gt; Instrument Panel &gt; Instrumentation &gt; LCD Screen System &gt; Screen Support Trim</t>
  </si>
  <si>
    <t>Interior &gt; Instrument Panel &gt; Instrumentation &gt; LCD Screen System &gt; Screen Support Trim &gt; Automated Process</t>
  </si>
  <si>
    <t>0000000875SNEU01 (AutoReverse)</t>
  </si>
  <si>
    <t>Interior &gt; Instrument Panel &gt; Instrumentation &gt; LCD Screen System &gt; 2nd Screen Support trim</t>
  </si>
  <si>
    <t>Interior &gt; Instrument Panel &gt; Instrumentation &gt; LCD Screen System &gt; 2nd Screen Support trim &gt; Automated Process</t>
  </si>
  <si>
    <t>000000071SNYEU01 (AutoReverse)</t>
  </si>
  <si>
    <t>00000000HSPLEU01 (AutoReverse)</t>
  </si>
  <si>
    <t>Interior &gt; Instrument Panel &gt; Instrumentation &gt; Heating System</t>
  </si>
  <si>
    <t>Interior &gt; Instrument Panel &gt; Instrumentation &gt; Heating System &gt; Heating Control</t>
  </si>
  <si>
    <t>Interior &gt; Instrument Panel &gt; Instrumentation &gt; Heating System &gt; Heating Control &gt; Process</t>
  </si>
  <si>
    <t>00000008O8TEEU01 (AutoReverse)</t>
  </si>
  <si>
    <t>000000066ADSEU01 (AutoReverse)</t>
  </si>
  <si>
    <t>Interior &gt; Instrument Panel &gt; Instrumentation &gt; Clock System</t>
  </si>
  <si>
    <t>Interior &gt; Instrument Panel &gt; Instrumentation &gt; Clock System &gt; Clock</t>
  </si>
  <si>
    <t>Interior &gt; Instrument Panel &gt; Instrumentation &gt; Clock System &gt; Clock &gt; Process</t>
  </si>
  <si>
    <t>00000008Q791EU01 (AutoReverse)</t>
  </si>
  <si>
    <t>00000001CLTPEU01 (AutoReverse)</t>
  </si>
  <si>
    <t>Interior &gt; Instrument Panel &gt; Instrumentation &gt; Column Switch System</t>
  </si>
  <si>
    <t>Interior &gt; Instrument Panel &gt; Instrumentation &gt; Column Switch System &gt; Combination Switch Double</t>
  </si>
  <si>
    <t>Interior &gt; Instrument Panel &gt; Instrumentation &gt; Column Switch System &gt; Combination Switch Double &gt; Process</t>
  </si>
  <si>
    <t>000000004CTXEU01 (AutoReverse)</t>
  </si>
  <si>
    <t>00000006GRDFEU01 (AutoReverse)</t>
  </si>
  <si>
    <t>Interior &gt; Instrument Panel &gt; Instrumentation &gt; Ambiance Light System</t>
  </si>
  <si>
    <t>PC;PC-ABS;PMMA;PP;ELECTRONIC COMPONENT</t>
  </si>
  <si>
    <t>00000001XBU9EU01 (AutoReverse)</t>
  </si>
  <si>
    <t>0000000BSOR8CID0 (AutoReverse)</t>
  </si>
  <si>
    <t>00000009OO5YEU01 (AutoReverse)</t>
  </si>
  <si>
    <t>Interior &gt; Instrument Panel &gt; Instrumentation &gt; Head-Up Display System</t>
  </si>
  <si>
    <t>Interior &gt; Instrument Panel &gt; Instrumentation &gt; Head-Up Display System &gt; Head-Up Display</t>
  </si>
  <si>
    <t>Interior &gt; Instrument Panel &gt; Instrumentation &gt; Head-Up Display System &gt; Head-Up Display &gt; Process</t>
  </si>
  <si>
    <t>Housing Parts + Trims + Motors + Heat Sink</t>
  </si>
  <si>
    <t>00000007V6SQEU01 (AutoReverse)</t>
  </si>
  <si>
    <t>000000076QV2EU01 (AutoReverse)</t>
  </si>
  <si>
    <t>000000017IH0EU01 (AutoReverse)</t>
  </si>
  <si>
    <t>Interior &gt; Instrument Panel &gt; Instrumentation &gt; Sport Mode Switch Dynamic Drive</t>
  </si>
  <si>
    <t>00000001B1X5EU01 (AutoReverse)</t>
  </si>
  <si>
    <t>000000054DMBEU01 (AutoReverse)</t>
  </si>
  <si>
    <t>Interior &gt; Instrument Panel &gt; Instrumentation &gt; Air Freshener Flagrance Support</t>
  </si>
  <si>
    <t>Interior &gt; Instrument Panel &gt; Instrumentation &gt; Air Freshener Flagrance Support &gt; Automated Process</t>
  </si>
  <si>
    <t>00000007IZBBEU01 (AutoReverse)</t>
  </si>
  <si>
    <t>Interior &gt; Instrument Panel &gt; Instrumentation &gt; Air Freshener Fragrance Trim</t>
  </si>
  <si>
    <t>Interior &gt; Instrument Panel &gt; Instrumentation &gt; Air Freshener Fragrance Trim &gt; Automated Process</t>
  </si>
  <si>
    <t>A000000MOMGPEU02 (AutoReverse)</t>
  </si>
  <si>
    <t>00000000ZH55EU01 (AutoReverse)</t>
  </si>
  <si>
    <t>Interior &gt; Instrument Panel &gt; Bezels System</t>
  </si>
  <si>
    <t>Interior &gt; Instrument Panel &gt; Bezels System &gt; Bezels Driver Side</t>
  </si>
  <si>
    <t>Interior &gt; Instrument Panel &gt; Bezels System &gt; Bezels Driver Side &gt; Left Bezel</t>
  </si>
  <si>
    <t>Interior &gt; Instrument Panel &gt; Bezels System &gt; Bezels Driver Side &gt; Left Bezel &gt; Automated Process</t>
  </si>
  <si>
    <t>PC-ABS;LEATHER</t>
  </si>
  <si>
    <t>000000074CR1EU01 (AutoReverse)</t>
  </si>
  <si>
    <t>Interior &gt; Instrument Panel &gt; Bezels System &gt; Bezels Driver Side &gt; 2nd Left Bezel</t>
  </si>
  <si>
    <t>Interior &gt; Instrument Panel &gt; Bezels System &gt; Bezels Driver Side &gt; 2nd Left Bezel &gt; Automated Process</t>
  </si>
  <si>
    <t>000000079XJKEU01 (AutoReverse)</t>
  </si>
  <si>
    <t>Interior &gt; Instrument Panel &gt; Bezels System &gt; Bezels Driver Side &gt; 3rd Left Bezel</t>
  </si>
  <si>
    <t>Interior &gt; Instrument Panel &gt; Bezels System &gt; Bezels Driver Side &gt; 3rd Left Bezel &gt; Automated Process</t>
  </si>
  <si>
    <t>00000001B5GSEU01 (AutoReverse)</t>
  </si>
  <si>
    <t>Interior &gt; Instrument Panel &gt; Bezels System &gt; Bezels Driver Side &gt; 4th Left Bezel</t>
  </si>
  <si>
    <t>Interior &gt; Instrument Panel &gt; Bezels System &gt; Bezels Driver Side &gt; 4th Left Bezel &gt; Automated Process</t>
  </si>
  <si>
    <t>A00000179E05EU02 (AutoReverse)</t>
  </si>
  <si>
    <t>Interior &gt; Instrument Panel &gt; Bezels System &gt; Bezels Driver Side &gt; Right Bezel</t>
  </si>
  <si>
    <t>Interior &gt; Instrument Panel &gt; Bezels System &gt; Bezels Driver Side &gt; Right Bezel &gt; Automated Process</t>
  </si>
  <si>
    <t>LEATHER;PC-ABS</t>
  </si>
  <si>
    <t>00000006LB4BEU01 (AutoReverse)</t>
  </si>
  <si>
    <t>Interior &gt; Instrument Panel &gt; Bezels System &gt; Bezels Driver Side &gt; 2nd Right Bezel</t>
  </si>
  <si>
    <t>Interior &gt; Instrument Panel &gt; Bezels System &gt; Bezels Driver Side &gt; 2nd Right Bezel &gt; Automated Process</t>
  </si>
  <si>
    <t>00000001WE9WEU01 (AutoReverse)</t>
  </si>
  <si>
    <t>00000004FOD9EU01 (AutoReverse)</t>
  </si>
  <si>
    <t>Interior &gt; Instrument Panel &gt; Bezels System &gt; Bezels Passenger Side</t>
  </si>
  <si>
    <t>Interior &gt; Instrument Panel &gt; Bezels System &gt; Bezels Passenger Side &gt; Bezel</t>
  </si>
  <si>
    <t>Interior &gt; Instrument Panel &gt; Bezels System &gt; Bezels Passenger Side &gt; Bezel &gt; Automated Process</t>
  </si>
  <si>
    <t>0000000A8B9JEU01 (AutoReverse)</t>
  </si>
  <si>
    <t>Interior &gt; Instrument Panel &gt; Bezels System &gt; Bezels Passenger Side &gt; 2nd Bezel</t>
  </si>
  <si>
    <t>Interior &gt; Instrument Panel &gt; Bezels System &gt; Bezels Passenger Side &gt; 2nd Bezel &gt; Automated Process</t>
  </si>
  <si>
    <t>00000002IGSXEU01 (AutoReverse)</t>
  </si>
  <si>
    <t>00000009EKVMEU01 (AutoReverse)</t>
  </si>
  <si>
    <t>Interior &gt; Instrument Panel &gt; Bezels System &gt; Upper Trim</t>
  </si>
  <si>
    <t>Interior &gt; Instrument Panel &gt; Bezels System &gt; Upper Trim &gt; Automated Process</t>
  </si>
  <si>
    <t>LEATHER;PLASTIC UNKNOWN</t>
  </si>
  <si>
    <t>00000007PO7GEU01 (AutoReverse)</t>
  </si>
  <si>
    <t>Interior &gt; Instrument Panel &gt; Bezels System &gt; 2nd Upper Trim</t>
  </si>
  <si>
    <t>Interior &gt; Instrument Panel &gt; Bezels System &gt; 2nd Upper Trim &gt; Automated Process</t>
  </si>
  <si>
    <t>0000000AQDKQEU01 (AutoReverse)</t>
  </si>
  <si>
    <t>00000003QNSJEU01 (AutoReverse)</t>
  </si>
  <si>
    <t>Interior &gt; Instrument Panel &gt; Storage Compartments</t>
  </si>
  <si>
    <t>Interior &gt; Instrument Panel &gt; Storage Compartments &gt; Glove Box System</t>
  </si>
  <si>
    <t>Interior &gt; Instrument Panel &gt; Storage Compartments &gt; Glove Box System &gt; Opening System</t>
  </si>
  <si>
    <t>Interior &gt; Instrument Panel &gt; Storage Compartments &gt; Glove Box System &gt; Opening System &gt; Control</t>
  </si>
  <si>
    <t>Interior &gt; Instrument Panel &gt; Storage Compartments &gt; Glove Box System &gt; Opening System &gt; Control &gt; Automated Process</t>
  </si>
  <si>
    <t>00000004W2UAEU01 (AutoReverse)</t>
  </si>
  <si>
    <t>Interior &gt; Instrument Panel &gt; Storage Compartments &gt; Glove Box System &gt; Opening System &gt; Control Support</t>
  </si>
  <si>
    <t>0.03300 kg</t>
  </si>
  <si>
    <t>0.0347368421052631578947368421 kg</t>
  </si>
  <si>
    <t>Interior &gt; Instrument Panel &gt; Storage Compartments &gt; Glove Box System &gt; Opening System &gt; Control Support &gt; Automated Process</t>
  </si>
  <si>
    <t>000000067EY0EU01 (AutoReverse)</t>
  </si>
  <si>
    <t>Interior &gt; Instrument Panel &gt; Storage Compartments &gt; Glove Box System &gt; Opening System &gt; Latch Anchor</t>
  </si>
  <si>
    <t>Interior &gt; Instrument Panel &gt; Storage Compartments &gt; Glove Box System &gt; Opening System &gt; Latch Anchor &gt; Automated Process</t>
  </si>
  <si>
    <t>000000038WIHEU01 (AutoReverse)</t>
  </si>
  <si>
    <t>Interior &gt; Instrument Panel &gt; Storage Compartments &gt; Glove Box System &gt; Opening System &gt; 2nd Anchor Right</t>
  </si>
  <si>
    <t>Interior &gt; Instrument Panel &gt; Storage Compartments &gt; Glove Box System &gt; Opening System &gt; 2nd Anchor Right &gt; Automated Process</t>
  </si>
  <si>
    <t>00000009FYA2EU01 (AutoReverse)</t>
  </si>
  <si>
    <t>PA6;ELECTRONIC COMPONENT</t>
  </si>
  <si>
    <t>00000004VH5AEU01 (AutoReverse)</t>
  </si>
  <si>
    <t>Interior &gt; Instrument Panel &gt; Storage Compartments &gt; Glove Box System &gt; Opening System &gt; Mechanism</t>
  </si>
  <si>
    <t>Interior &gt; Instrument Panel &gt; Storage Compartments &gt; Glove Box System &gt; Opening System &gt; Mechanism &gt; Automated Process</t>
  </si>
  <si>
    <t>00000002HNEDEU01 (AutoReverse)</t>
  </si>
  <si>
    <t>Interior &gt; Instrument Panel &gt; Storage Compartments &gt; Glove Box System &gt; Opening System &gt; 2nd Mechanism</t>
  </si>
  <si>
    <t>Interior &gt; Instrument Panel &gt; Storage Compartments &gt; Glove Box System &gt; Opening System &gt; 2nd Mechanism &gt; Automated Process</t>
  </si>
  <si>
    <t>A000000T2C7FEU02 (AutoReverse)</t>
  </si>
  <si>
    <t>Interior &gt; Instrument Panel &gt; Storage Compartments &gt; Glove Box System &gt; Opening System &gt; 3rd Mechanism</t>
  </si>
  <si>
    <t>Interior &gt; Instrument Panel &gt; Storage Compartments &gt; Glove Box System &gt; Opening System &gt; 3rd Mechanism &gt; Automated Process</t>
  </si>
  <si>
    <t>A0000011N1U1EU02 (AutoReverse)</t>
  </si>
  <si>
    <t>Material: EPDM</t>
  </si>
  <si>
    <t>00000002DR8AEU01 (AutoReverse)</t>
  </si>
  <si>
    <t>00000008EH3UEU01 (AutoReverse)</t>
  </si>
  <si>
    <t>Interior &gt; Instrument Panel &gt; Storage Compartments &gt; Glove Box System &gt; Box</t>
  </si>
  <si>
    <t>Interior &gt; Instrument Panel &gt; Storage Compartments &gt; Glove Box System &gt; Box &gt; Automated Process</t>
  </si>
  <si>
    <t>00000006RK1LEU01 (AutoReverse)</t>
  </si>
  <si>
    <t>Interior &gt; Instrument Panel &gt; Storage Compartments &gt; Glove Box System &gt; Cover</t>
  </si>
  <si>
    <t>Interior &gt; Instrument Panel &gt; Storage Compartments &gt; Glove Box System &gt; Cover &gt; Automated Process</t>
  </si>
  <si>
    <t>000000010KQMEU01 (AutoReverse)</t>
  </si>
  <si>
    <t>Interior &gt; Instrument Panel &gt; Storage Compartments &gt; Glove Box System &gt; Cover Bezel</t>
  </si>
  <si>
    <t>Interior &gt; Instrument Panel &gt; Storage Compartments &gt; Glove Box System &gt; Cover Bezel &gt; Automated Process</t>
  </si>
  <si>
    <t>00000007MDHNEU01 (AutoReverse)</t>
  </si>
  <si>
    <t>Interior &gt; Instrument Panel &gt; Storage Compartments &gt; Glove Box System &gt; Glovebox Support</t>
  </si>
  <si>
    <t>Interior &gt; Instrument Panel &gt; Storage Compartments &gt; Glove Box System &gt; Glovebox Support &gt; Automated Process</t>
  </si>
  <si>
    <t>00000002Z7H9EU01 (AutoReverse)</t>
  </si>
  <si>
    <t>PC-ABS;PC;ELECTRONIC COMPONENT</t>
  </si>
  <si>
    <t>0000000A9YBGEU01 (AutoReverse)</t>
  </si>
  <si>
    <t>Interior &gt; Instrument Panel &gt; Storage Compartments &gt; Glove Box System &gt; Sound Insulation</t>
  </si>
  <si>
    <t>Interior &gt; Instrument Panel &gt; Storage Compartments &gt; Glove Box System &gt; Sound Insulation &gt; Automated Process</t>
  </si>
  <si>
    <t>PP;PP-PET</t>
  </si>
  <si>
    <t>00000006UATREU01 (AutoReverse)</t>
  </si>
  <si>
    <t>00000004I1VQEU01 (AutoReverse)</t>
  </si>
  <si>
    <t>Interior &gt; Instrument Panel &gt; Storage Compartments &gt; Driver Side</t>
  </si>
  <si>
    <t>Interior &gt; Instrument Panel &gt; Storage Compartments &gt; Driver Side &gt; Tilting Storage Box System</t>
  </si>
  <si>
    <t>Interior &gt; Instrument Panel &gt; Storage Compartments &gt; Driver Side &gt; Tilting Storage Box System &gt; Tilting Storage Box</t>
  </si>
  <si>
    <t>Interior &gt; Instrument Panel &gt; Storage Compartments &gt; Driver Side &gt; Tilting Storage Box System &gt; Tilting Storage Box &gt; Automated Process</t>
  </si>
  <si>
    <t>00000007Z1USEU01 (AutoReverse)</t>
  </si>
  <si>
    <t>Interior &gt; Instrument Panel &gt; Storage Compartments &gt; Driver Side &gt; Tilting Storage Box System &gt; Cover</t>
  </si>
  <si>
    <t>Interior &gt; Instrument Panel &gt; Storage Compartments &gt; Driver Side &gt; Tilting Storage Box System &gt; Cover &gt; Automated Process</t>
  </si>
  <si>
    <t>00000008PGPHEU01 (AutoReverse)</t>
  </si>
  <si>
    <t>Interior &gt; Instrument Panel &gt; Storage Compartments &gt; Driver Side &gt; Tilting Storage Box System &gt; Support</t>
  </si>
  <si>
    <t>Interior &gt; Instrument Panel &gt; Storage Compartments &gt; Driver Side &gt; Tilting Storage Box System &gt; Support &gt; Automated Process</t>
  </si>
  <si>
    <t>Material: POM
Process: Injection molding</t>
  </si>
  <si>
    <t>000000063806EU01 (AutoReverse)</t>
  </si>
  <si>
    <t>0000000BSON6CID0 (AutoReverse)</t>
  </si>
  <si>
    <t>0000000BSOR7CID0 (AutoReverse)</t>
  </si>
  <si>
    <t>0000000AJNWLEU01 (AutoReverse)</t>
  </si>
  <si>
    <t>000000094VABEU01 (AutoReverse)</t>
  </si>
  <si>
    <t>00000007Z864EU01 (AutoReverse)</t>
  </si>
  <si>
    <t>Interior &gt; Instrument Panel &gt; Dashboard</t>
  </si>
  <si>
    <t>Interior &gt; Instrument Panel &gt; Dashboard &gt; Automated Process</t>
  </si>
  <si>
    <t>0000000119CBEU01 (AutoReverse)</t>
  </si>
  <si>
    <t>000000024I2BEU01 (AutoReverse)</t>
  </si>
  <si>
    <t>Interior &gt; Noise Insulation</t>
  </si>
  <si>
    <t>Interior &gt; Noise Insulation &gt; Trunk Area Sound Insulation System</t>
  </si>
  <si>
    <t>Interior &gt; Noise Insulation &gt; Trunk Area Sound Insulation System &gt; On Left Wheel Arch</t>
  </si>
  <si>
    <t>Interior &gt; Noise Insulation &gt; Trunk Area Sound Insulation System &gt; On Left Wheel Arch &gt; Process</t>
  </si>
  <si>
    <t>Thermocompression, Foaming, Cutting</t>
  </si>
  <si>
    <t>EVA;PU;EPP</t>
  </si>
  <si>
    <t>00000008N8CLEU01 (AutoReverse)</t>
  </si>
  <si>
    <t>Interior &gt; Noise Insulation &gt; Trunk Area Sound Insulation System &gt; On Right Wheel Arch</t>
  </si>
  <si>
    <t>Interior &gt; Noise Insulation &gt; Trunk Area Sound Insulation System &gt; On Right Wheel Arch &gt; Process</t>
  </si>
  <si>
    <t>00000000LWGOEU01 (AutoReverse)</t>
  </si>
  <si>
    <t>Interior &gt; Noise Insulation &gt; Trunk Area Sound Insulation System &gt; 2nd on Left Wheel Arch</t>
  </si>
  <si>
    <t>0.18800 kg</t>
  </si>
  <si>
    <t>0.1978947368421052631578947368 kg</t>
  </si>
  <si>
    <t>Interior &gt; Noise Insulation &gt; Trunk Area Sound Insulation System &gt; 2nd on Left Wheel Arch &gt; Process</t>
  </si>
  <si>
    <t>Foam Forming</t>
  </si>
  <si>
    <t>0000000BSOMHCID0 (AutoReverse)</t>
  </si>
  <si>
    <t>Interior &gt; Noise Insulation &gt; Trunk Area Sound Insulation System &gt; 2nd on Right Wheel Arch</t>
  </si>
  <si>
    <t>0.25100 kg</t>
  </si>
  <si>
    <t>0.2642105263157894736842105263 kg</t>
  </si>
  <si>
    <t>Interior &gt; Noise Insulation &gt; Trunk Area Sound Insulation System &gt; 2nd on Right Wheel Arch &gt; Process</t>
  </si>
  <si>
    <t>0000000BSOIACID0 (AutoReverse)</t>
  </si>
  <si>
    <t>Interior &gt; Noise Insulation &gt; Trunk Area Sound Insulation System &gt; On Left Fender and Right if Similar</t>
  </si>
  <si>
    <t>0.43100 kg</t>
  </si>
  <si>
    <t>0.4536842105263157894736842105 kg</t>
  </si>
  <si>
    <t>Interior &gt; Noise Insulation &gt; Trunk Area Sound Insulation System &gt; On Left Fender and Right if Similar &gt; Process</t>
  </si>
  <si>
    <t>00000004F0WCEU01 (AutoReverse)</t>
  </si>
  <si>
    <t>Interior &gt; Noise Insulation &gt; Trunk Area Sound Insulation System &gt; On Right Fender</t>
  </si>
  <si>
    <t>0.34000 kg</t>
  </si>
  <si>
    <t>0.3578947368421052631578947368 kg</t>
  </si>
  <si>
    <t>Interior &gt; Noise Insulation &gt; Trunk Area Sound Insulation System &gt; On Right Fender &gt; Process</t>
  </si>
  <si>
    <t>00000000TJUTEU01 (AutoReverse)</t>
  </si>
  <si>
    <t>Interior &gt; Noise Insulation &gt; Trunk Area Sound Insulation System &gt; Left Floor Insulation</t>
  </si>
  <si>
    <t>Interior &gt; Noise Insulation &gt; Trunk Area Sound Insulation System &gt; Left Floor Insulation &gt; Process</t>
  </si>
  <si>
    <t>0000000A142SEU01 (AutoReverse)</t>
  </si>
  <si>
    <t>Interior &gt; Noise Insulation &gt; Trunk Area Sound Insulation System &gt; Right Floor Insulation</t>
  </si>
  <si>
    <t>Interior &gt; Noise Insulation &gt; Trunk Area Sound Insulation System &gt; Right Floor Insulation &gt; Process</t>
  </si>
  <si>
    <t>00000005RSSFEU01 (AutoReverse)</t>
  </si>
  <si>
    <t>Interior &gt; Noise Insulation &gt; Trunk Area Sound Insulation System &gt; Insulation Between Interior and Trunk</t>
  </si>
  <si>
    <t>0.15500 kg</t>
  </si>
  <si>
    <t>0.1631578947368421052631578947 kg</t>
  </si>
  <si>
    <t>Interior &gt; Noise Insulation &gt; Trunk Area Sound Insulation System &gt; Insulation Between Interior and Trunk &gt; Process</t>
  </si>
  <si>
    <t>00000004B67UEU01 (AutoReverse)</t>
  </si>
  <si>
    <t>Interior &gt; Noise Insulation &gt; Trunk Area Sound Insulation System &gt; Insulation Between Interior and Trunk 2</t>
  </si>
  <si>
    <t>0.27300 kg</t>
  </si>
  <si>
    <t>0.2873684210526315789473684211 kg</t>
  </si>
  <si>
    <t>Interior &gt; Noise Insulation &gt; Trunk Area Sound Insulation System &gt; Insulation Between Interior and Trunk 2 &gt; Process</t>
  </si>
  <si>
    <t>0000000AYKXBEU01 (AutoReverse)</t>
  </si>
  <si>
    <t>00000009VSGSEU01 (AutoReverse)</t>
  </si>
  <si>
    <t>Interior &gt; Noise Insulation &gt; Sound Insulation on Inner Panels</t>
  </si>
  <si>
    <t>Interior &gt; Noise Insulation &gt; Sound Insulation on Inner Panels &gt; On A Pillar Lower Panel</t>
  </si>
  <si>
    <t>Interior &gt; Noise Insulation &gt; Sound Insulation on Inner Panels &gt; On A Pillar Lower Panel &gt; Process</t>
  </si>
  <si>
    <t>00000007I13BEU01 (AutoReverse)</t>
  </si>
  <si>
    <t>Interior &gt; Noise Insulation &gt; Sound Insulation on Inner Panels &gt; On B Pillar Lower Panel</t>
  </si>
  <si>
    <t>Interior &gt; Noise Insulation &gt; Sound Insulation on Inner Panels &gt; On B Pillar Lower Panel &gt; Process</t>
  </si>
  <si>
    <t>000000069BMOEU01 (AutoReverse)</t>
  </si>
  <si>
    <t>Interior &gt; Noise Insulation &gt; Sound Insulation on Inner Panels &gt; On Lower C Pillar Panel</t>
  </si>
  <si>
    <t>Interior &gt; Noise Insulation &gt; Sound Insulation on Inner Panels &gt; On Lower C Pillar Panel &gt; Process</t>
  </si>
  <si>
    <t>0000000AQQ3VEU01 (AutoReverse)</t>
  </si>
  <si>
    <t>Interior &gt; Noise Insulation &gt; Sound Insulation on Inner Panels &gt; On C Pillar Upper Panel</t>
  </si>
  <si>
    <t>Interior &gt; Noise Insulation &gt; Sound Insulation on Inner Panels &gt; On C Pillar Upper Panel &gt; Process</t>
  </si>
  <si>
    <t>0000000APHBMEU01 (AutoReverse)</t>
  </si>
  <si>
    <t>Interior &gt; Noise Insulation &gt; Sound Insulation on Inner Panels &gt; Insulation on Rear Quarter Glass Panel</t>
  </si>
  <si>
    <t>Interior &gt; Noise Insulation &gt; Sound Insulation on Inner Panels &gt; Insulation on Rear Quarter Glass Panel &gt; Process</t>
  </si>
  <si>
    <t>00000009KXRSEU01 (AutoReverse)</t>
  </si>
  <si>
    <t>Interior &gt; Noise Insulation &gt; Sound Insulation on Inner Panels &gt; 2nd Insulation on Rear Quarter Glass Panel</t>
  </si>
  <si>
    <t>Interior &gt; Noise Insulation &gt; Sound Insulation on Inner Panels &gt; 2nd Insulation on Rear Quarter Glass Panel &gt; Process</t>
  </si>
  <si>
    <t>00000006F1ONEU01 (AutoReverse)</t>
  </si>
  <si>
    <t>Interior &gt; Noise Insulation &gt; Sound Insulation on Inner Panels &gt; On Side Lower Trunk Panel Insulation</t>
  </si>
  <si>
    <t>Interior &gt; Noise Insulation &gt; Sound Insulation on Inner Panels &gt; On Side Lower Trunk Panel Insulation &gt; Process</t>
  </si>
  <si>
    <t>00000009MGLREU01 (AutoReverse)</t>
  </si>
  <si>
    <t>Interior &gt; Noise Insulation &gt; Sound Insulation on Inner Panels &gt; 2nd on Side Lower Trunk Panel Insulation</t>
  </si>
  <si>
    <t>Interior &gt; Noise Insulation &gt; Sound Insulation on Inner Panels &gt; 2nd on Side Lower Trunk Panel Insulation &gt; Process</t>
  </si>
  <si>
    <t>00000001D11WEU01 (AutoReverse)</t>
  </si>
  <si>
    <t>Interior &gt; Noise Insulation &gt; Sound Insulation on Inner Panels &gt; 3rd on Side Lower Trunk Panel Insulation</t>
  </si>
  <si>
    <t>Interior &gt; Noise Insulation &gt; Sound Insulation on Inner Panels &gt; 3rd on Side Lower Trunk Panel Insulation &gt; Process</t>
  </si>
  <si>
    <t>00000006HQRZEU01 (AutoReverse)</t>
  </si>
  <si>
    <t>Interior &gt; Noise Insulation &gt; Sound Insulation on Inner Panels &gt; 4th on Side Lower Trunk Panel Insulation</t>
  </si>
  <si>
    <t>Interior &gt; Noise Insulation &gt; Sound Insulation on Inner Panels &gt; 4th on Side Lower Trunk Panel Insulation &gt; Process</t>
  </si>
  <si>
    <t>00000006SI7AEU01 (AutoReverse)</t>
  </si>
  <si>
    <t>000000019WJOEU01 (AutoReverse)</t>
  </si>
  <si>
    <t>Interior &gt; Noise Insulation &gt; Instrument Panel Insulation System</t>
  </si>
  <si>
    <t>Interior &gt; Noise Insulation &gt; Instrument Panel Insulation System &gt; Driver Side</t>
  </si>
  <si>
    <t>Interior &gt; Noise Insulation &gt; Instrument Panel Insulation System &gt; Driver Side &gt; Foot Well Trim Sound Insulation</t>
  </si>
  <si>
    <t>Interior &gt; Noise Insulation &gt; Instrument Panel Insulation System &gt; Driver Side &gt; Foot Well Trim Sound Insulation &gt; Process</t>
  </si>
  <si>
    <t>000000045EGCEU01 (AutoReverse)</t>
  </si>
  <si>
    <t>00000002R9T1EU01 (AutoReverse)</t>
  </si>
  <si>
    <t>Interior &gt; Noise Insulation &gt; Instrument Panel Insulation System &gt; Center Side Identical</t>
  </si>
  <si>
    <t>Interior &gt; Noise Insulation &gt; Instrument Panel Insulation System &gt; Center Side Identical &gt; Process</t>
  </si>
  <si>
    <t>00000009XWWGEU01 (AutoReverse)</t>
  </si>
  <si>
    <t>Interior &gt; Noise Insulation &gt; Instrument Panel Insulation System &gt; Heating Ducts Insulation</t>
  </si>
  <si>
    <t>Interior &gt; Noise Insulation &gt; Instrument Panel Insulation System &gt; Heating Ducts Insulation &gt; Process</t>
  </si>
  <si>
    <t>00000004V5FJEU01 (AutoReverse)</t>
  </si>
  <si>
    <t>Interior &gt; Noise Insulation &gt; Instrument Panel Insulation System &gt; 2nd Heating Ducts Insulation</t>
  </si>
  <si>
    <t>Interior &gt; Noise Insulation &gt; Instrument Panel Insulation System &gt; 2nd Heating Ducts Insulation &gt; Process</t>
  </si>
  <si>
    <t>0000000953B2EU01 (AutoReverse)</t>
  </si>
  <si>
    <t>000000090ETPEU01 (AutoReverse)</t>
  </si>
  <si>
    <t>Interior &gt; Noise Insulation &gt; Roof sound insulation</t>
  </si>
  <si>
    <t>Interior &gt; Noise Insulation &gt; Roof sound insulation &gt; Rear Sound Insulation Under Roof</t>
  </si>
  <si>
    <t>Interior &gt; Noise Insulation &gt; Roof sound insulation &gt; Rear Sound Insulation Under Roof &gt; Process</t>
  </si>
  <si>
    <t>00000009L18LEU01 (AutoReverse)</t>
  </si>
  <si>
    <t>Interior &gt; Noise Insulation &gt; Roof sound insulation &gt; Rear Sound Insulation Under Roof 2</t>
  </si>
  <si>
    <t>Interior &gt; Noise Insulation &gt; Roof sound insulation &gt; Rear Sound Insulation Under Roof 2 &gt; Process</t>
  </si>
  <si>
    <t>000000019ZVMEU01 (AutoReverse)</t>
  </si>
  <si>
    <t>00000001VMCSEU01 (AutoReverse)</t>
  </si>
  <si>
    <t>Interior &gt; Noise Insulation &gt; Noise Insulation on Center Console System</t>
  </si>
  <si>
    <t>Interior &gt; Noise Insulation &gt; Noise Insulation on Center Console System &gt; Noise Insulation on Center Console</t>
  </si>
  <si>
    <t>Interior &gt; Noise Insulation &gt; Noise Insulation on Center Console System &gt; Noise Insulation on Center Console &gt; Process</t>
  </si>
  <si>
    <t>00000003NZ3NEU01 (AutoReverse)</t>
  </si>
  <si>
    <t>Interior &gt; Noise Insulation &gt; Noise Insulation on Center Console System &gt; 2nd Noise Insulation on Center Console</t>
  </si>
  <si>
    <t>Interior &gt; Noise Insulation &gt; Noise Insulation on Center Console System &gt; 2nd Noise Insulation on Center Console &gt; Process</t>
  </si>
  <si>
    <t>00000001EOKVEU01 (AutoReverse)</t>
  </si>
  <si>
    <t>A00000277V33EU01 (AutoReverse)</t>
  </si>
  <si>
    <t>Interior &gt; Noise Insulation &gt; Sound Insulation Engine Side Single Main</t>
  </si>
  <si>
    <t>Interior &gt; Noise Insulation &gt; Sound Insulation Engine Side Single Main &gt; Process</t>
  </si>
  <si>
    <t>Thermocompression, Waterjet cutting</t>
  </si>
  <si>
    <t>PET;PUR</t>
  </si>
  <si>
    <t>00000002KZ4BEU01 (AutoReverse)</t>
  </si>
  <si>
    <t>Interior &gt; Noise Insulation &gt; Sound Insulation Cabin Side</t>
  </si>
  <si>
    <t>Interior &gt; Noise Insulation &gt; Sound Insulation Cabin Side &gt; Process</t>
  </si>
  <si>
    <t>00000002II6SEU01 (AutoReverse)</t>
  </si>
  <si>
    <t>Interior &gt; Noise Insulation &gt; 2nd Sound Insulation Cabin Side</t>
  </si>
  <si>
    <t>Interior &gt; Noise Insulation &gt; 2nd Sound Insulation Cabin Side &gt; Process</t>
  </si>
  <si>
    <t>000000090925EU01 (AutoReverse)</t>
  </si>
  <si>
    <t>Interior &gt; Noise Insulation &gt; 3rd Sound Insulation Cabin Side</t>
  </si>
  <si>
    <t>Interior &gt; Noise Insulation &gt; 3rd Sound Insulation Cabin Side &gt; Process</t>
  </si>
  <si>
    <t>A000002Z5299EU01 (AutoReverse)</t>
  </si>
  <si>
    <t>Interior &gt; Noise Insulation &gt; Left Sound Insulation Cabin Side</t>
  </si>
  <si>
    <t>Interior &gt; Noise Insulation &gt; Left Sound Insulation Cabin Side &gt; Process</t>
  </si>
  <si>
    <t>00000009I4GJEU01 (AutoReverse)</t>
  </si>
  <si>
    <t>Interior &gt; Noise Insulation &gt; Secondary Left Sound Insulation Cabin Side</t>
  </si>
  <si>
    <t>Interior &gt; Noise Insulation &gt; Secondary Left Sound Insulation Cabin Side &gt; Process</t>
  </si>
  <si>
    <t>00000007E8V3EU01 (AutoReverse)</t>
  </si>
  <si>
    <t>Material : PUR, Process : Foaming</t>
  </si>
  <si>
    <t>000000010LPDEU01 (AutoReverse)</t>
  </si>
  <si>
    <t>00000009RLSQEU01 (AutoReverse)</t>
  </si>
  <si>
    <t>Interior &gt; Noise Insulation &gt; Upper Sound Insulation Cabin Side</t>
  </si>
  <si>
    <t>Interior &gt; Noise Insulation &gt; Upper Sound Insulation Cabin Side &gt; Process</t>
  </si>
  <si>
    <t>00000004HYI7EU01 (AutoReverse)</t>
  </si>
  <si>
    <t>Interior &gt; Noise Insulation &gt; Lower Sound Insulation Cabin Side</t>
  </si>
  <si>
    <t>Interior &gt; Noise Insulation &gt; Lower Sound Insulation Cabin Side &gt; Process</t>
  </si>
  <si>
    <t>000000076D6JEU01 (AutoReverse)</t>
  </si>
  <si>
    <t>Interior &gt; Noise Insulation &gt; Rear Parcel Shelf Sound Insulation</t>
  </si>
  <si>
    <t>Interior &gt; Noise Insulation &gt; Rear Parcel Shelf Sound Insulation &gt; Process</t>
  </si>
  <si>
    <t>00000009PYIXEU01 (AutoReverse)</t>
  </si>
  <si>
    <t>Interior &gt; Noise Insulation &gt; Insulation Under Body   on Aerodynamics Screens</t>
  </si>
  <si>
    <t>Interior &gt; Noise Insulation &gt; Insulation Under Body   on Aerodynamics Screens &gt; Process</t>
  </si>
  <si>
    <t>Thermocompression, Cutting</t>
  </si>
  <si>
    <t>00000006ZA0XEU01 (AutoReverse)</t>
  </si>
  <si>
    <t>Interior &gt; Noise Insulation &gt; Insulation on Decompression Vent Deflector</t>
  </si>
  <si>
    <t>Interior &gt; Noise Insulation &gt; Insulation on Decompression Vent Deflector &gt; Process</t>
  </si>
  <si>
    <t>00000004T6M4EU01 (AutoReverse)</t>
  </si>
  <si>
    <t>Interior &gt; Noise Insulation &gt; 2nd Insulation on Decompression Vent Deflector</t>
  </si>
  <si>
    <t>Interior &gt; Noise Insulation &gt; 2nd Insulation on Decompression Vent Deflector &gt; Process</t>
  </si>
  <si>
    <t>A000000A3681EU02 (AutoReverse)</t>
  </si>
  <si>
    <t>00000005HKA9EU01 (AutoReverse)</t>
  </si>
  <si>
    <t>Interior &gt; Center Console</t>
  </si>
  <si>
    <t>Interior &gt; Center Console &gt; Center Console</t>
  </si>
  <si>
    <t>Interior &gt; Center Console &gt; Center Console &gt; Console Main Part Single</t>
  </si>
  <si>
    <t>1.83500 kg</t>
  </si>
  <si>
    <t>1.9315789473684210526315789474 kg</t>
  </si>
  <si>
    <t>Interior &gt; Center Console &gt; Center Console &gt; Console Main Part Single &gt; Automated Process</t>
  </si>
  <si>
    <t xml:space="preserve">Injection plastic
</t>
  </si>
  <si>
    <t>0000000ABF5EEU01 (AutoReverse)</t>
  </si>
  <si>
    <t>Interior &gt; Center Console &gt; Center Console &gt; Upper Trim</t>
  </si>
  <si>
    <t>0.21000 kg</t>
  </si>
  <si>
    <t>0.2210526315789473684210526316 kg</t>
  </si>
  <si>
    <t>Interior &gt; Center Console &gt; Center Console &gt; Upper Trim &gt; Automated Process</t>
  </si>
  <si>
    <t>0000000534NBEU01 (AutoReverse)</t>
  </si>
  <si>
    <t>Interior &gt; Center Console &gt; Center Console &gt; Trim Bezel</t>
  </si>
  <si>
    <t>0.05200 kg</t>
  </si>
  <si>
    <t>0.0547368421052631578947368421 kg</t>
  </si>
  <si>
    <t>Interior &gt; Center Console &gt; Center Console &gt; Trim Bezel &gt; Automated Process</t>
  </si>
  <si>
    <t xml:space="preserve">Injection plastic,Chroming
</t>
  </si>
  <si>
    <t>00000003PJRYEU01 (AutoReverse)</t>
  </si>
  <si>
    <t>Interior &gt; Center Console &gt; Center Console &gt; Upper Part</t>
  </si>
  <si>
    <t>0.02100 kg</t>
  </si>
  <si>
    <t>0.0323076923076923076923076923 kg</t>
  </si>
  <si>
    <t>Interior &gt; Center Console &gt; Center Console &gt; Upper Part &gt; Automated Process</t>
  </si>
  <si>
    <t>0.26800 kg</t>
  </si>
  <si>
    <t>0.2821052631578947368421052632 kg</t>
  </si>
  <si>
    <t xml:space="preserve">Injection plastic,Gluing,Cutting,Covering
</t>
  </si>
  <si>
    <t>0000000889MAEU01 (AutoReverse)</t>
  </si>
  <si>
    <t>Interior &gt; Center Console &gt; Center Console &gt; Frame</t>
  </si>
  <si>
    <t>0.80100 kg</t>
  </si>
  <si>
    <t>0.8431578947368421052631578947 kg</t>
  </si>
  <si>
    <t>Interior &gt; Center Console &gt; Center Console &gt; Frame &gt; Automated Process</t>
  </si>
  <si>
    <t>00000005AJ3LEU01 (AutoReverse)</t>
  </si>
  <si>
    <t>00000000NEZYEU01 (AutoReverse)</t>
  </si>
  <si>
    <t>Interior &gt; Center Console &gt; Side Covers</t>
  </si>
  <si>
    <t>Interior &gt; Center Console &gt; Side Covers &gt; Left Side</t>
  </si>
  <si>
    <t>Interior &gt; Center Console &gt; Side Covers &gt; Left Side &gt; Upper</t>
  </si>
  <si>
    <t>0.06000 kg</t>
  </si>
  <si>
    <t>0.0923076923076923076923076923 kg</t>
  </si>
  <si>
    <t>Interior &gt; Center Console &gt; Side Covers &gt; Left Side &gt; Upper &gt; Automated Process</t>
  </si>
  <si>
    <t>0.18200 kg</t>
  </si>
  <si>
    <t>0.1915789473684210526315789474 kg</t>
  </si>
  <si>
    <t>000000040451EU01 (AutoReverse)</t>
  </si>
  <si>
    <t>Interior &gt; Center Console &gt; Side Covers &gt; Left Side &gt; Front Part</t>
  </si>
  <si>
    <t>0.37900 kg</t>
  </si>
  <si>
    <t>0.3989473684210526315789473684 kg</t>
  </si>
  <si>
    <t>Interior &gt; Center Console &gt; Side Covers &gt; Left Side &gt; Front Part &gt; Automated Process</t>
  </si>
  <si>
    <t>00000005HZ8LEU01 (AutoReverse)</t>
  </si>
  <si>
    <t>Interior &gt; Center Console &gt; Side Covers &gt; Left Side &gt; Rear Part</t>
  </si>
  <si>
    <t>0.55900 kg</t>
  </si>
  <si>
    <t>0.5884210526315789473684210526 kg</t>
  </si>
  <si>
    <t>Interior &gt; Center Console &gt; Side Covers &gt; Left Side &gt; Rear Part &gt; Automated Process</t>
  </si>
  <si>
    <t>000000083QTMEU01 (AutoReverse)</t>
  </si>
  <si>
    <t>00000008NVTKEU01 (AutoReverse)</t>
  </si>
  <si>
    <t>Interior &gt; Center Console &gt; Side Covers &gt; Right Side</t>
  </si>
  <si>
    <t>Interior &gt; Center Console &gt; Side Covers &gt; Right Side &gt; Upper</t>
  </si>
  <si>
    <t>Interior &gt; Center Console &gt; Side Covers &gt; Right Side &gt; Upper &gt; Automated Process</t>
  </si>
  <si>
    <t>0000000AEUUOEU01 (AutoReverse)</t>
  </si>
  <si>
    <t>Interior &gt; Center Console &gt; Side Covers &gt; Right Side &gt; Front Part</t>
  </si>
  <si>
    <t>Interior &gt; Center Console &gt; Side Covers &gt; Right Side &gt; Front Part &gt; Automated Process</t>
  </si>
  <si>
    <t>00000000IN7BEU01 (AutoReverse)</t>
  </si>
  <si>
    <t>Interior &gt; Center Console &gt; Side Covers &gt; Right Side &gt; Rear Part</t>
  </si>
  <si>
    <t>Interior &gt; Center Console &gt; Side Covers &gt; Right Side &gt; Rear Part &gt; Automated Process</t>
  </si>
  <si>
    <t>00000003WF54EU01 (AutoReverse)</t>
  </si>
  <si>
    <t>0000000AF4BBEU01 (AutoReverse)</t>
  </si>
  <si>
    <t>00000005B7EWEU01 (AutoReverse)</t>
  </si>
  <si>
    <t>Interior &gt; Center Console &gt; Mounting Bracket</t>
  </si>
  <si>
    <t>Interior &gt; Center Console &gt; Mounting Bracket &gt; Rear Single Left</t>
  </si>
  <si>
    <t>0.35200 kg</t>
  </si>
  <si>
    <t>0.3705263157894736842105263158 kg</t>
  </si>
  <si>
    <t>Interior &gt; Center Console &gt; Mounting Bracket &gt; Rear Single Left &gt; Automated Process</t>
  </si>
  <si>
    <t>00000006A386EU01 (AutoReverse)</t>
  </si>
  <si>
    <t>000000074L19EU01 (AutoReverse)</t>
  </si>
  <si>
    <t>Interior &gt; Center Console &gt; Instrumentation</t>
  </si>
  <si>
    <t>00000002SRBWEU01 (AutoReverse)</t>
  </si>
  <si>
    <t>ABS-PC</t>
  </si>
  <si>
    <t>A000000MOMHFEU02 (AutoReverse)</t>
  </si>
  <si>
    <t>00000007YWSDEU01 (AutoReverse)</t>
  </si>
  <si>
    <t>Interior &gt; Center Console &gt; Front Storage</t>
  </si>
  <si>
    <t>Interior &gt; Center Console &gt; Front Storage &gt; Storage Box</t>
  </si>
  <si>
    <t>0.11100 kg</t>
  </si>
  <si>
    <t>0.1168421052631578947368421053 kg</t>
  </si>
  <si>
    <t>Interior &gt; Center Console &gt; Front Storage &gt; Storage Box &gt; Automated Process</t>
  </si>
  <si>
    <t>00000001QMCVEU01 (AutoReverse)</t>
  </si>
  <si>
    <t>Interior &gt; Center Console &gt; Front Storage &gt; Bottom of Compartment</t>
  </si>
  <si>
    <t>0.02700 kg</t>
  </si>
  <si>
    <t>0.0284210526315789473684210526 kg</t>
  </si>
  <si>
    <t>Interior &gt; Center Console &gt; Front Storage &gt; Bottom of Compartment &gt; Automated Process</t>
  </si>
  <si>
    <t>00000002FHMBEU01 (AutoReverse)</t>
  </si>
  <si>
    <t>000000053W8DEU01 (AutoReverse)</t>
  </si>
  <si>
    <t>Interior &gt; Center Console &gt; Center Storage</t>
  </si>
  <si>
    <t>Interior &gt; Center Console &gt; Center Storage &gt; Tray</t>
  </si>
  <si>
    <t>0.10100 kg</t>
  </si>
  <si>
    <t>0.1063157894736842105263157895 kg</t>
  </si>
  <si>
    <t>Interior &gt; Center Console &gt; Center Storage &gt; Tray &gt; Automated Process</t>
  </si>
  <si>
    <t>00000004WERBEU01 (AutoReverse)</t>
  </si>
  <si>
    <t>Interior &gt; Center Console &gt; Center Storage &gt; Bottom of Compartment</t>
  </si>
  <si>
    <t>0.01700 kg</t>
  </si>
  <si>
    <t>0.0178947368421052631578947368 kg</t>
  </si>
  <si>
    <t>Interior &gt; Center Console &gt; Center Storage &gt; Bottom of Compartment &gt; Automated Process</t>
  </si>
  <si>
    <t>00000007QGCFEU01 (AutoReverse)</t>
  </si>
  <si>
    <t>00000007HVUOEU01 (AutoReverse)</t>
  </si>
  <si>
    <t>Interior &gt; Center Console &gt; Rear Storage Compartment Armrest</t>
  </si>
  <si>
    <t>Interior &gt; Center Console &gt; Rear Storage Compartment Armrest &gt; Lid Armrest</t>
  </si>
  <si>
    <t>0.28200 kg</t>
  </si>
  <si>
    <t>0.2968421052631578947368421053 kg</t>
  </si>
  <si>
    <t>Interior &gt; Center Console &gt; Rear Storage Compartment Armrest &gt; Lid Armrest &gt; Automated Process</t>
  </si>
  <si>
    <t>00000005MVK3EU01 (AutoReverse)</t>
  </si>
  <si>
    <t>Interior &gt; Center Console &gt; Rear Storage Compartment Armrest &gt; Lid Armrest Support</t>
  </si>
  <si>
    <t>0.38700 kg</t>
  </si>
  <si>
    <t>0.4073684210526315789473684211 kg</t>
  </si>
  <si>
    <t>Interior &gt; Center Console &gt; Rear Storage Compartment Armrest &gt; Lid Armrest Support &gt; Automated Process</t>
  </si>
  <si>
    <t>0000000EWILXCID0 (AutoReverse)</t>
  </si>
  <si>
    <t>Interior &gt; Center Console &gt; Rear Storage Compartment Armrest &gt; 2nd Cover Right Side</t>
  </si>
  <si>
    <t>Interior &gt; Center Console &gt; Rear Storage Compartment Armrest &gt; 2nd Cover Right Side &gt; Automated Process</t>
  </si>
  <si>
    <t>0.28500 kg</t>
  </si>
  <si>
    <t>0.3 kg</t>
  </si>
  <si>
    <t>0000000878K0EU01 (AutoReverse)</t>
  </si>
  <si>
    <t>Interior &gt; Center Console &gt; Rear Storage Compartment Armrest &gt; Mat</t>
  </si>
  <si>
    <t>0.06400 kg</t>
  </si>
  <si>
    <t>0.0673684210526315789473684211 kg</t>
  </si>
  <si>
    <t>Interior &gt; Center Console &gt; Rear Storage Compartment Armrest &gt; Mat &gt; Automated Process</t>
  </si>
  <si>
    <t>00000006BHTXEU01 (AutoReverse)</t>
  </si>
  <si>
    <t>Interior &gt; Center Console &gt; Rear Storage Compartment Armrest &gt; Panel Under Armrest</t>
  </si>
  <si>
    <t>0.13700 kg</t>
  </si>
  <si>
    <t>0.1442105263157894736842105263 kg</t>
  </si>
  <si>
    <t>Interior &gt; Center Console &gt; Rear Storage Compartment Armrest &gt; Panel Under Armrest &gt; Automated Process</t>
  </si>
  <si>
    <t>000000096QF1EU01 (AutoReverse)</t>
  </si>
  <si>
    <t>Interior &gt; Center Console &gt; Rear Storage Compartment Armrest &gt; 2nd Panel Under Armrest</t>
  </si>
  <si>
    <t>0.14100 kg</t>
  </si>
  <si>
    <t>0.1484210526315789473684210526 kg</t>
  </si>
  <si>
    <t>Interior &gt; Center Console &gt; Rear Storage Compartment Armrest &gt; 2nd Panel Under Armrest &gt; Automated Process</t>
  </si>
  <si>
    <t>00000001GY83EU01 (AutoReverse)</t>
  </si>
  <si>
    <t>Interior &gt; Center Console &gt; Rear Storage Compartment Armrest &gt; Support</t>
  </si>
  <si>
    <t>0.05600 kg</t>
  </si>
  <si>
    <t>0.0589473684210526315789473684 kg</t>
  </si>
  <si>
    <t>Interior &gt; Center Console &gt; Rear Storage Compartment Armrest &gt; Support &gt; Automated Process</t>
  </si>
  <si>
    <t>000000000VELEU01 (AutoReverse)</t>
  </si>
  <si>
    <t>Interior &gt; Center Console &gt; Rear Storage Compartment Armrest &gt; Lock</t>
  </si>
  <si>
    <t>0.03500 kg</t>
  </si>
  <si>
    <t>0.0368421052631578947368421053 kg</t>
  </si>
  <si>
    <t>Interior &gt; Center Console &gt; Rear Storage Compartment Armrest &gt; Lock &gt; Automated Process</t>
  </si>
  <si>
    <t>00000006F77JEU01 (AutoReverse)</t>
  </si>
  <si>
    <t>Interior &gt; Center Console &gt; Rear Storage Compartment Armrest &gt; Opening lock</t>
  </si>
  <si>
    <t>0.03100 kg</t>
  </si>
  <si>
    <t>0.0326315789473684210526315789 kg</t>
  </si>
  <si>
    <t>Interior &gt; Center Console &gt; Rear Storage Compartment Armrest &gt; Opening lock &gt; Automated Process</t>
  </si>
  <si>
    <t>00000005V78FEU01 (AutoReverse)</t>
  </si>
  <si>
    <t>Interior &gt; Center Console &gt; Rear Storage Compartment Armrest &gt; Stopper</t>
  </si>
  <si>
    <t>0.00100 kg</t>
  </si>
  <si>
    <t>0.0010526315789473684210526316 kg</t>
  </si>
  <si>
    <t>Interior &gt; Center Console &gt; Rear Storage Compartment Armrest &gt; Stopper &gt; Automated Process</t>
  </si>
  <si>
    <t>0000000BSOX7CID0 (AutoReverse)</t>
  </si>
  <si>
    <t>Interior &gt; Center Console &gt; Rear Storage Compartment Armrest &gt; Lid Seal</t>
  </si>
  <si>
    <t>0.02000 kg</t>
  </si>
  <si>
    <t>0.0210526315789473684210526316 kg</t>
  </si>
  <si>
    <t>Interior &gt; Center Console &gt; Rear Storage Compartment Armrest &gt; Lid Seal &gt; Automated Process</t>
  </si>
  <si>
    <t>A0000015RIQAEU02 (AutoReverse)</t>
  </si>
  <si>
    <t>00000003H14WEU01 (AutoReverse)</t>
  </si>
  <si>
    <t>Interior &gt; Center Console &gt; 2nd Row Storage</t>
  </si>
  <si>
    <t>Interior &gt; Center Console &gt; 2nd Row Storage &gt; Compartment</t>
  </si>
  <si>
    <t>0.06700 kg</t>
  </si>
  <si>
    <t>0.0705263157894736842105263158 kg</t>
  </si>
  <si>
    <t>Interior &gt; Center Console &gt; 2nd Row Storage &gt; Compartment &gt; Automated Process</t>
  </si>
  <si>
    <t>00000001IB5TEU01 (AutoReverse)</t>
  </si>
  <si>
    <t>Interior &gt; Center Console &gt; 2nd Row Storage &gt; Cover</t>
  </si>
  <si>
    <t>0.05650 kg</t>
  </si>
  <si>
    <t>0.0594736842105263157894736842 kg</t>
  </si>
  <si>
    <t>Interior &gt; Center Console &gt; 2nd Row Storage &gt; Cover &gt; Automated Process</t>
  </si>
  <si>
    <t>0.02600 kg</t>
  </si>
  <si>
    <t>0.04 kg</t>
  </si>
  <si>
    <t>000000020PKWEU01 (AutoReverse)</t>
  </si>
  <si>
    <t>Interior &gt; Center Console &gt; 2nd Row Storage &gt; Bottom of Compartment</t>
  </si>
  <si>
    <t>0.0273684210526315789473684211 kg</t>
  </si>
  <si>
    <t>Interior &gt; Center Console &gt; 2nd Row Storage &gt; Bottom of Compartment &gt; Automated Process</t>
  </si>
  <si>
    <t>00000002S1RDEU01 (AutoReverse)</t>
  </si>
  <si>
    <t>00000002F7KOEU01 (AutoReverse)</t>
  </si>
  <si>
    <t>Interior &gt; Center Console &gt; Lower storage</t>
  </si>
  <si>
    <t>Interior &gt; Center Console &gt; Lower storage &gt; Storage Box</t>
  </si>
  <si>
    <t>0.38300 kg</t>
  </si>
  <si>
    <t>0.4031578947368421052631578947 kg</t>
  </si>
  <si>
    <t>Interior &gt; Center Console &gt; Lower storage &gt; Storage Box &gt; Automated Process</t>
  </si>
  <si>
    <t>A000000HX0ZDEU02 (AutoReverse)</t>
  </si>
  <si>
    <t>Interior &gt; Center Console &gt; Lower storage &gt; Bottom of Compartment</t>
  </si>
  <si>
    <t>0.13900 kg</t>
  </si>
  <si>
    <t>0.1463157894736842105263157895 kg</t>
  </si>
  <si>
    <t>Interior &gt; Center Console &gt; Lower storage &gt; Bottom of Compartment &gt; Automated Process</t>
  </si>
  <si>
    <t>A000000HX0ZLEU02 (AutoReverse)</t>
  </si>
  <si>
    <t>A000000HX0ZEEU02 (AutoReverse)</t>
  </si>
  <si>
    <t>Interior &gt; Center Console &gt; Lower storage &gt; Upper Trim</t>
  </si>
  <si>
    <t>0.35300 kg</t>
  </si>
  <si>
    <t>0.3715789473684210526315789474 kg</t>
  </si>
  <si>
    <t>Interior &gt; Center Console &gt; Lower storage &gt; Upper Trim &gt; Automated Process</t>
  </si>
  <si>
    <t>A000000MOMGKEU02 (AutoReverse)</t>
  </si>
  <si>
    <t>A000000HX0ZKEU02 (AutoReverse)</t>
  </si>
  <si>
    <t>Interior &gt; Center Console &gt; Air Vent System</t>
  </si>
  <si>
    <t>Interior &gt; Center Console &gt; Air Vent System &gt; Air Vent</t>
  </si>
  <si>
    <t>0.22000 kg</t>
  </si>
  <si>
    <t>0.2315789473684210526315789474 kg</t>
  </si>
  <si>
    <t>Interior &gt; Center Console &gt; Air Vent System &gt; Air Vent &gt; Automated Process</t>
  </si>
  <si>
    <t xml:space="preserve">Injection plastic, assembly
</t>
  </si>
  <si>
    <t>00000009PC3MEU01 (AutoReverse)</t>
  </si>
  <si>
    <t>Interior &gt; Center Console &gt; Air Vent System &gt; Air Vent Trim</t>
  </si>
  <si>
    <t>0.07400 kg</t>
  </si>
  <si>
    <t>0.0778947368421052631578947368 kg</t>
  </si>
  <si>
    <t>Interior &gt; Center Console &gt; Air Vent System &gt; Air Vent Trim &gt; Automated Process</t>
  </si>
  <si>
    <t>0.0430769230769230769230769231 kg</t>
  </si>
  <si>
    <t>PLASTIC UNKNOWN;LEATHER</t>
  </si>
  <si>
    <t>0000000213OBEU01 (AutoReverse)</t>
  </si>
  <si>
    <t>Interior &gt; Center Console &gt; Air Vent System &gt; 2nd Air Vent Trim</t>
  </si>
  <si>
    <t>Interior &gt; Center Console &gt; Air Vent System &gt; 2nd Air Vent Trim &gt; Automated Process</t>
  </si>
  <si>
    <t>00000008RFULEU01 (AutoReverse)</t>
  </si>
  <si>
    <t>A000002T46ASEU01 (AutoReverse)</t>
  </si>
  <si>
    <t>Interior &gt; Center Console &gt; Cup Holder</t>
  </si>
  <si>
    <t>Interior &gt; Center Console &gt; Cup Holder &gt; Front Cup Holder</t>
  </si>
  <si>
    <t>Interior &gt; Center Console &gt; Cup Holder &gt; Front Cup Holder &gt; Cup Holder</t>
  </si>
  <si>
    <t>0.10050 kg</t>
  </si>
  <si>
    <t>0.1057894736842105263157894737 kg</t>
  </si>
  <si>
    <t>Interior &gt; Center Console &gt; Cup Holder &gt; Front Cup Holder &gt; Cup Holder &gt; Automated Process</t>
  </si>
  <si>
    <t>00000001NRXREU01 (AutoReverse)</t>
  </si>
  <si>
    <t>Interior &gt; Center Console &gt; Cup Holder &gt; Front Cup Holder &gt; Bottom of Compartment</t>
  </si>
  <si>
    <t>0.02200 kg</t>
  </si>
  <si>
    <t>0.0231578947368421052631578947 kg</t>
  </si>
  <si>
    <t>Interior &gt; Center Console &gt; Cup Holder &gt; Front Cup Holder &gt; Bottom of Compartment &gt; Automated Process</t>
  </si>
  <si>
    <t>0000000AWG8HEU01 (AutoReverse)</t>
  </si>
  <si>
    <t>Interior &gt; Center Console &gt; Cup Holder &gt; Front Cup Holder &gt; Bezel</t>
  </si>
  <si>
    <t>0.02500 kg</t>
  </si>
  <si>
    <t>0.0263157894736842105263157895 kg</t>
  </si>
  <si>
    <t>Interior &gt; Center Console &gt; Cup Holder &gt; Front Cup Holder &gt; Bezel &gt; Automated Process</t>
  </si>
  <si>
    <t>00000001NDXAEU01 (AutoReverse)</t>
  </si>
  <si>
    <t>00000002J6EREU01 (AutoReverse)</t>
  </si>
  <si>
    <t>00000005YFPWEU01 (AutoReverse)</t>
  </si>
  <si>
    <t>Interior &gt; Center Console &gt; Ambience light system</t>
  </si>
  <si>
    <t>0000000495IBEU01 (AutoReverse)</t>
  </si>
  <si>
    <t>0000000IG6ZCCID0 (AutoReverse)</t>
  </si>
  <si>
    <t>PC-ABS;PMMA;PP</t>
  </si>
  <si>
    <t>0000000IG6YUCID0 (AutoReverse)</t>
  </si>
  <si>
    <t>00000009OXZ1EU01 (AutoReverse)</t>
  </si>
  <si>
    <t>Interior &gt; Center Console &gt; Refrigerated Compartment</t>
  </si>
  <si>
    <t>Interior &gt; Center Console &gt; Refrigerated Compartment &gt; Main Housing</t>
  </si>
  <si>
    <t>Interior &gt; Center Console &gt; Refrigerated Compartment &gt; Main Housing &gt; Process</t>
  </si>
  <si>
    <t>Housing Parts + Lids</t>
  </si>
  <si>
    <t>A000004Q6NU7EU01 (AutoReverse)</t>
  </si>
  <si>
    <t>ELECTRONIC COMPONENT;CERAMIC</t>
  </si>
  <si>
    <t>A000000LQCBEEU02 (AutoReverse)</t>
  </si>
  <si>
    <t>A000000LQCBFEU02 (AutoReverse)</t>
  </si>
  <si>
    <t>Interior &gt; Center Console &gt; Refrigerated Compartment &gt; Compartment Lid</t>
  </si>
  <si>
    <t>0.16300 kg</t>
  </si>
  <si>
    <t>0.1715789473684210526315789474 kg</t>
  </si>
  <si>
    <t>Interior &gt; Center Console &gt; Refrigerated Compartment &gt; Compartment Lid &gt; Automated Process</t>
  </si>
  <si>
    <t>A000000LQCBGEU02 (AutoReverse)</t>
  </si>
  <si>
    <t>Interior &gt; Center Console &gt; Refrigerated Compartment &gt; Compartment Lid Trim</t>
  </si>
  <si>
    <t>0.10750 kg</t>
  </si>
  <si>
    <t>0.1653846153846153846153846154 kg</t>
  </si>
  <si>
    <t>Interior &gt; Center Console &gt; Refrigerated Compartment &gt; Compartment Lid Trim &gt; Automated Process</t>
  </si>
  <si>
    <t>0.1131578947368421052631578947 kg</t>
  </si>
  <si>
    <t>A000002RHV2LEU01 (AutoReverse)</t>
  </si>
  <si>
    <t>Interior &gt; Center Console &gt; Refrigerated Compartment &gt; Lid Lock</t>
  </si>
  <si>
    <t>0.01900 kg</t>
  </si>
  <si>
    <t>0.02 kg</t>
  </si>
  <si>
    <t>Interior &gt; Center Console &gt; Refrigerated Compartment &gt; Lid Lock &gt; Automated Process</t>
  </si>
  <si>
    <t>A000002RHV2KEU01 (AutoReverse)</t>
  </si>
  <si>
    <t>PBT;PBT;ELECTRONIC COMPONENT</t>
  </si>
  <si>
    <t>A000002RHV2NEU01 (AutoReverse)</t>
  </si>
  <si>
    <t>Interior &gt; Center Console &gt; Refrigerated Compartment &gt; Heat Sink</t>
  </si>
  <si>
    <t>0.47875 kg</t>
  </si>
  <si>
    <t>Interior &gt; Center Console &gt; Refrigerated Compartment &gt; Heat Sink &gt; Automated Process</t>
  </si>
  <si>
    <t xml:space="preserve">Extrusion,Sawing,drilling
</t>
  </si>
  <si>
    <t>A000002RHV2OEU01 (AutoReverse)</t>
  </si>
  <si>
    <t>Interior &gt; Center Console &gt; Refrigerated Compartment &gt; Heat Sink Protection</t>
  </si>
  <si>
    <t>0.11200 kg</t>
  </si>
  <si>
    <t>0.1178947368421052631578947368 kg</t>
  </si>
  <si>
    <t>Interior &gt; Center Console &gt; Refrigerated Compartment &gt; Heat Sink Protection &gt; Automated Process</t>
  </si>
  <si>
    <t>A000002RHV2PEU01 (AutoReverse)</t>
  </si>
  <si>
    <t>Interior &gt; Center Console &gt; Refrigerated Compartment &gt; Storage Box Mat</t>
  </si>
  <si>
    <t>Interior &gt; Center Console &gt; Refrigerated Compartment &gt; Storage Box Mat &gt; Automated Process</t>
  </si>
  <si>
    <t>A000002RHV2REU01 (AutoReverse)</t>
  </si>
  <si>
    <t>Interior &gt; Center Console &gt; Refrigerated Compartment &gt; Rail</t>
  </si>
  <si>
    <t>0.65000 kg</t>
  </si>
  <si>
    <t>0.9285714285714285714285714286 kg</t>
  </si>
  <si>
    <t>Interior &gt; Center Console &gt; Refrigerated Compartment &gt; Rail &gt; Automated Process</t>
  </si>
  <si>
    <t>A000002RHV2SEU01 (AutoReverse)</t>
  </si>
  <si>
    <t>Interior &gt; Center Console &gt; Refrigerated Compartment &gt; Rail Support</t>
  </si>
  <si>
    <t>0.13500 kg</t>
  </si>
  <si>
    <t>0.1421052631578947368421052632 kg</t>
  </si>
  <si>
    <t>Interior &gt; Center Console &gt; Refrigerated Compartment &gt; Rail Support &gt; Automated Process</t>
  </si>
  <si>
    <t>A000002RHV2TEU01 (AutoReverse)</t>
  </si>
  <si>
    <t>Interior &gt; Center Console &gt; Refrigerated Compartment &gt; Compartment</t>
  </si>
  <si>
    <t>0.29100 kg</t>
  </si>
  <si>
    <t>0.3063157894736842105263157895 kg</t>
  </si>
  <si>
    <t>Interior &gt; Center Console &gt; Refrigerated Compartment &gt; Compartment &gt; Automated Process</t>
  </si>
  <si>
    <t>A000002RHV2YEU01 (AutoReverse)</t>
  </si>
  <si>
    <t>Interior &gt; Center Console &gt; Refrigerated Compartment &gt; Lid Insulation</t>
  </si>
  <si>
    <t>Interior &gt; Center Console &gt; Refrigerated Compartment &gt; Lid Insulation &gt; Automated Process</t>
  </si>
  <si>
    <t xml:space="preserve">Foam
</t>
  </si>
  <si>
    <t>A000002RHV2ZEU01 (AutoReverse)</t>
  </si>
  <si>
    <t>Interior &gt; Center Console &gt; Refrigerated Compartment &gt; Lid Seal</t>
  </si>
  <si>
    <t>Interior &gt; Center Console &gt; Refrigerated Compartment &gt; Lid Seal &gt; Automated Process</t>
  </si>
  <si>
    <t xml:space="preserve">Mix,Extrude,Vulcanize,Cool and Trim
</t>
  </si>
  <si>
    <t>SILICONE</t>
  </si>
  <si>
    <t>A000002RHV30EU01 (AutoReverse)</t>
  </si>
  <si>
    <t>Interior &gt; Center Console &gt; Refrigerated Compartment &gt; Ventilation Grille</t>
  </si>
  <si>
    <t>Interior &gt; Center Console &gt; Refrigerated Compartment &gt; Ventilation Grille &gt; Automated Process</t>
  </si>
  <si>
    <t>A000004JZJ8DEU01 (AutoReverse)</t>
  </si>
  <si>
    <t>Interior &gt; Center Console &gt; Refrigerated Compartment &gt; Ventilation Grille 2</t>
  </si>
  <si>
    <t>0.0221052631578947368421052632 kg</t>
  </si>
  <si>
    <t>Interior &gt; Center Console &gt; Refrigerated Compartment &gt; Ventilation Grille 2 &gt; Automated Process</t>
  </si>
  <si>
    <t>A000004KDGNHEU01 (AutoReverse)</t>
  </si>
  <si>
    <t>Interior &gt; Center Console &gt; Refrigerated Compartment &gt; Duct</t>
  </si>
  <si>
    <t>Interior &gt; Center Console &gt; Refrigerated Compartment &gt; Duct &gt; Automated Process</t>
  </si>
  <si>
    <t>HDPE</t>
  </si>
  <si>
    <t>A000004OXTECEU01 (AutoReverse)</t>
  </si>
  <si>
    <t>Interior &gt; Center Console &gt; Refrigerated Compartment &gt; Duct 2</t>
  </si>
  <si>
    <t>0.05800 kg</t>
  </si>
  <si>
    <t>0.0610526315789473684210526316 kg</t>
  </si>
  <si>
    <t>Interior &gt; Center Console &gt; Refrigerated Compartment &gt; Duct 2 &gt; Automated Process</t>
  </si>
  <si>
    <t>A000004OXTEDEU01 (AutoReverse)</t>
  </si>
  <si>
    <t>ELECTRONIC COMPONENT;PBT;PBT</t>
  </si>
  <si>
    <t>A000004P3ICSEU01 (AutoReverse)</t>
  </si>
  <si>
    <t>Interior &gt; Center Console &gt; Refrigerated Compartment &gt; Sliding Stopper</t>
  </si>
  <si>
    <t>Interior &gt; Center Console &gt; Refrigerated Compartment &gt; Sliding Stopper &gt; Automated Process</t>
  </si>
  <si>
    <t>A0000054NCAHEU01 (AutoReverse)</t>
  </si>
  <si>
    <t>Interior &gt; Center Console &gt; Refrigerated Compartment &gt; Retarder</t>
  </si>
  <si>
    <t>Interior &gt; Center Console &gt; Refrigerated Compartment &gt; Retarder &gt; Automated Process</t>
  </si>
  <si>
    <t>A0000054NCAIEU01 (AutoReverse)</t>
  </si>
  <si>
    <t>Interior &gt; Center Console &gt; Refrigerated Compartment &gt; Retarder Support</t>
  </si>
  <si>
    <t>0.01100 kg</t>
  </si>
  <si>
    <t>0.0115789473684210526315789474 kg</t>
  </si>
  <si>
    <t>Interior &gt; Center Console &gt; Refrigerated Compartment &gt; Retarder Support &gt; Automated Process</t>
  </si>
  <si>
    <t>A0000054NCAJEU01 (AutoReverse)</t>
  </si>
  <si>
    <t>Interior &gt; Center Console &gt; Refrigerated Compartment &gt; Return Spring Support</t>
  </si>
  <si>
    <t>0.01800 kg</t>
  </si>
  <si>
    <t>0.0189473684210526315789473684 kg</t>
  </si>
  <si>
    <t>Interior &gt; Center Console &gt; Refrigerated Compartment &gt; Return Spring Support &gt; Automated Process</t>
  </si>
  <si>
    <t>A0000054NCAKEU01 (AutoReverse)</t>
  </si>
  <si>
    <t>Interior &gt; Center Console &gt; Refrigerated Compartment &gt; Return Spring</t>
  </si>
  <si>
    <t>0.00550 kg</t>
  </si>
  <si>
    <t>0.0057894736842105263157894737 kg</t>
  </si>
  <si>
    <t>Interior &gt; Center Console &gt; Refrigerated Compartment &gt; Return Spring &gt; Automated Process</t>
  </si>
  <si>
    <t>0.0078571428571428571428571429 kg</t>
  </si>
  <si>
    <t>A0000054NCALEU01 (AutoReverse)</t>
  </si>
  <si>
    <t>Interior &gt; Center Console &gt; Refrigerated Compartment &gt; Heat Sink 2</t>
  </si>
  <si>
    <t>0.18700 kg</t>
  </si>
  <si>
    <t>0.23375 kg</t>
  </si>
  <si>
    <t>Interior &gt; Center Console &gt; Refrigerated Compartment &gt; Heat Sink 2 &gt; Automated Process</t>
  </si>
  <si>
    <t xml:space="preserve">Stamping
</t>
  </si>
  <si>
    <t>A0000054NCAMEU01 (AutoReverse)</t>
  </si>
  <si>
    <t>ELECTRONIC COMPONENT;ALUMINIUM</t>
  </si>
  <si>
    <t>A0000054NCANEU01 (AutoReverse)</t>
  </si>
  <si>
    <t>A000000LQCBDEU02 (AutoReverse)</t>
  </si>
  <si>
    <t>Interior &gt; Center Console &gt; Rear Cover</t>
  </si>
  <si>
    <t>0.02850 kg</t>
  </si>
  <si>
    <t>0.0438461538461538461538461538 kg</t>
  </si>
  <si>
    <t>Interior &gt; Center Console &gt; Rear Cover &gt; Automated Process</t>
  </si>
  <si>
    <t>0.03 kg</t>
  </si>
  <si>
    <t>000000040Q2JEU01 (AutoReverse)</t>
  </si>
  <si>
    <t>Interior &gt; Center Console &gt; Rear Bezel</t>
  </si>
  <si>
    <t>0.11000 kg</t>
  </si>
  <si>
    <t>0.1692307692307692307692307692 kg</t>
  </si>
  <si>
    <t>Interior &gt; Center Console &gt; Rear Bezel &gt; Automated Process</t>
  </si>
  <si>
    <t>0.26700 kg</t>
  </si>
  <si>
    <t>0.2810526315789473684210526316 kg</t>
  </si>
  <si>
    <t>00000005MGDKEU01 (AutoReverse)</t>
  </si>
  <si>
    <t>Interior &gt; Center Console &gt; Dummy Plate</t>
  </si>
  <si>
    <t>0.00800 kg</t>
  </si>
  <si>
    <t>0.0084210526315789473684210526 kg</t>
  </si>
  <si>
    <t>Interior &gt; Center Console &gt; Dummy Plate &gt; Automated Process</t>
  </si>
  <si>
    <t>00000005RQGWEU01 (AutoReverse)</t>
  </si>
  <si>
    <t>Interior &gt; Center Console &gt; Fasteners Cover</t>
  </si>
  <si>
    <t>Interior &gt; Center Console &gt; Fasteners Cover &gt; Automated Process</t>
  </si>
  <si>
    <t>00000002Y4SJEU01 (AutoReverse)</t>
  </si>
  <si>
    <t>Interior &gt; Center Console &gt; Fasteners Cover 2</t>
  </si>
  <si>
    <t>Interior &gt; Center Console &gt; Fasteners Cover 2 &gt; Automated Process</t>
  </si>
  <si>
    <t>00000002BJ4YEU01 (AutoReverse)</t>
  </si>
  <si>
    <t>Interior &gt; Center Console &gt; Bag Hook</t>
  </si>
  <si>
    <t>0.0452631578947368421052631579 kg</t>
  </si>
  <si>
    <t>Interior &gt; Center Console &gt; Bag Hook &gt; Automated Process</t>
  </si>
  <si>
    <t>A0000054NCAGEU01 (AutoReverse)</t>
  </si>
  <si>
    <t>000000026ERQEU01 (AutoReverse)</t>
  </si>
  <si>
    <t>Interior &gt; Trims Parts</t>
  </si>
  <si>
    <t>Interior &gt; Trims Parts &gt; Headliner Filler</t>
  </si>
  <si>
    <t>Interior &gt; Trims Parts &gt; Headliner Filler &gt; Headliner Filler</t>
  </si>
  <si>
    <t>Skin, Foam, GF, Plastic Fixings, Steel Brackets etc.,</t>
  </si>
  <si>
    <t>Interior &gt; Trims Parts &gt; Headliner Filler &gt; Headliner Filler &gt; Process</t>
  </si>
  <si>
    <t>Die cutting, Thermocompression, Water jet cutting, Injection Molding, Stamping etc.,</t>
  </si>
  <si>
    <t>00000006GWSPEU01 (AutoReverse)</t>
  </si>
  <si>
    <t>00000005FA0FEU01 (AutoReverse)</t>
  </si>
  <si>
    <t>Interior &gt; Trims Parts &gt; Roof Elements</t>
  </si>
  <si>
    <t>Interior &gt; Trims Parts &gt; Roof Elements &gt; Sun Visors</t>
  </si>
  <si>
    <t>Interior &gt; Trims Parts &gt; Roof Elements &gt; Sun Visors &gt; Driver Side</t>
  </si>
  <si>
    <t>PUR;Electronic component;Glass</t>
  </si>
  <si>
    <t>Interior &gt; Trims Parts &gt; Roof Elements &gt; Sun Visors &gt; Driver Side &gt; Process</t>
  </si>
  <si>
    <t>Material : PUR;Electronic component;Glass , Process : Injection, Die cutting, Covering, Gluging skin</t>
  </si>
  <si>
    <t>PUR;ELECTRONIC COMPONENT;GLASS</t>
  </si>
  <si>
    <t>00000004PE1CEU01 (AutoReverse)</t>
  </si>
  <si>
    <t>Interior &gt; Trims Parts &gt; Roof Elements &gt; Sun Visors &gt; Passenger Side</t>
  </si>
  <si>
    <t>Interior &gt; Trims Parts &gt; Roof Elements &gt; Sun Visors &gt; Passenger Side &gt; Process</t>
  </si>
  <si>
    <t>PLASTIC UNKNOWN;ELECTRONIC COMPONENT;GLASS</t>
  </si>
  <si>
    <t>00000005K3KCEU01 (AutoReverse)</t>
  </si>
  <si>
    <t>000000059HLCEU01 (AutoReverse)</t>
  </si>
  <si>
    <t>Interior &gt; Trims Parts &gt; Roof Elements &gt; Side Upper Handle</t>
  </si>
  <si>
    <t>Interior &gt; Trims Parts &gt; Roof Elements &gt; Side Upper Handle &gt; Front</t>
  </si>
  <si>
    <t>Interior &gt; Trims Parts &gt; Roof Elements &gt; Side Upper Handle &gt; Front &gt; Process</t>
  </si>
  <si>
    <t>00000002MOP5EU01 (AutoReverse)</t>
  </si>
  <si>
    <t>Interior &gt; Trims Parts &gt; Roof Elements &gt; Side Upper Handle &gt; Rear</t>
  </si>
  <si>
    <t>Interior &gt; Trims Parts &gt; Roof Elements &gt; Side Upper Handle &gt; Rear &gt; Process</t>
  </si>
  <si>
    <t>00000001RNCLEU01 (AutoReverse)</t>
  </si>
  <si>
    <t>Interior &gt; Trims Parts &gt; Roof Elements &gt; Side Upper Handle &gt; Front Support</t>
  </si>
  <si>
    <t>0.07200 kg</t>
  </si>
  <si>
    <t>0.0757894736842105263157894737 kg</t>
  </si>
  <si>
    <t>Interior &gt; Trims Parts &gt; Roof Elements &gt; Side Upper Handle &gt; Front Support &gt; Process</t>
  </si>
  <si>
    <t>00000000TK2GEU01 (AutoReverse)</t>
  </si>
  <si>
    <t>Interior &gt; Trims Parts &gt; Roof Elements &gt; Side Upper Handle &gt; Rear Support</t>
  </si>
  <si>
    <t>Interior &gt; Trims Parts &gt; Roof Elements &gt; Side Upper Handle &gt; Rear Support &gt; Process</t>
  </si>
  <si>
    <t>000000099KO7EU01 (AutoReverse)</t>
  </si>
  <si>
    <t>00000002T1X6EU01 (AutoReverse)</t>
  </si>
  <si>
    <t>Interior &gt; Trims Parts &gt; Roof Elements &gt; Reading Light</t>
  </si>
  <si>
    <t>Interior &gt; Trims Parts &gt; Roof Elements &gt; Reading Light &gt; Front</t>
  </si>
  <si>
    <t>Interior &gt; Trims Parts &gt; Roof Elements &gt; Reading Light &gt; Front &gt; Process</t>
  </si>
  <si>
    <t>000000010PFCEU01 (AutoReverse)</t>
  </si>
  <si>
    <t>00000004I69REU01 (AutoReverse)</t>
  </si>
  <si>
    <t>00000008DJK9EU01 (AutoReverse)</t>
  </si>
  <si>
    <t>Interior &gt; Trims Parts &gt; Roof Elements &gt; Hanger Support</t>
  </si>
  <si>
    <t>Interior &gt; Trims Parts &gt; Roof Elements &gt; Hanger Support &gt; Process</t>
  </si>
  <si>
    <t>Injection Molding, Chroming</t>
  </si>
  <si>
    <t>00000000UA7MEU01 (AutoReverse)</t>
  </si>
  <si>
    <t>A0000056HO41EU01 (AutoReverse)</t>
  </si>
  <si>
    <t>00000008V6PAEU01 (AutoReverse)</t>
  </si>
  <si>
    <t>Interior &gt; Trims Parts &gt; Panels</t>
  </si>
  <si>
    <t>Interior &gt; Trims Parts &gt; Panels &gt; Left Side</t>
  </si>
  <si>
    <t>Interior &gt; Trims Parts &gt; Panels &gt; Left Side &gt; Door Step Inner Panel</t>
  </si>
  <si>
    <t>Interior &gt; Trims Parts &gt; Panels &gt; Left Side &gt; Door Step Inner Panel &gt; Rear</t>
  </si>
  <si>
    <t>0.23800 kg</t>
  </si>
  <si>
    <t>0.2505263157894736842105263158 kg</t>
  </si>
  <si>
    <t>Interior &gt; Trims Parts &gt; Panels &gt; Left Side &gt; Door Step Inner Panel &gt; Rear &gt; Process</t>
  </si>
  <si>
    <t>00000005OXTPEU01 (AutoReverse)</t>
  </si>
  <si>
    <t>00000001FWNYEU01 (AutoReverse)</t>
  </si>
  <si>
    <t>Interior &gt; Trims Parts &gt; Panels &gt; Left Side &gt; A Pillar Upper Panel</t>
  </si>
  <si>
    <t>Interior &gt; Trims Parts &gt; Panels &gt; Left Side &gt; A Pillar Upper Panel &gt; Process</t>
  </si>
  <si>
    <t>Plastic injection press + skin cutting + gluing + Covering press + edge-wrapping + control</t>
  </si>
  <si>
    <t>Injection Molding, Skin covering</t>
  </si>
  <si>
    <t>00000009HZAXEU01 (AutoReverse)</t>
  </si>
  <si>
    <t>Interior &gt; Trims Parts &gt; Panels &gt; Left Side &gt; A Pillar Lower Panel</t>
  </si>
  <si>
    <t>0.50900 kg</t>
  </si>
  <si>
    <t>0.5357894736842105263157894737 kg</t>
  </si>
  <si>
    <t>Interior &gt; Trims Parts &gt; Panels &gt; Left Side &gt; A Pillar Lower Panel &gt; Process</t>
  </si>
  <si>
    <t>00000004GLVKEU01 (AutoReverse)</t>
  </si>
  <si>
    <t>Interior &gt; Trims Parts &gt; Panels &gt; Left Side &gt; B Pillar Central Panel</t>
  </si>
  <si>
    <t>Interior &gt; Trims Parts &gt; Panels &gt; Left Side &gt; B Pillar Central Panel &gt; Process</t>
  </si>
  <si>
    <t>LEATHER;ABS</t>
  </si>
  <si>
    <t>0000000AR0F3EU01 (AutoReverse)</t>
  </si>
  <si>
    <t>Interior &gt; Trims Parts &gt; Panels &gt; Left Side &gt; B Pillar Lower Panel</t>
  </si>
  <si>
    <t>0.63400 kg</t>
  </si>
  <si>
    <t>0.6673684210526315789473684211 kg</t>
  </si>
  <si>
    <t>Interior &gt; Trims Parts &gt; Panels &gt; Left Side &gt; B Pillar Lower Panel &gt; Process</t>
  </si>
  <si>
    <t>00000000XE5UEU01 (AutoReverse)</t>
  </si>
  <si>
    <t>Interior &gt; Trims Parts &gt; Panels &gt; Left Side &gt; C Pillar Upper Panel</t>
  </si>
  <si>
    <t>Interior &gt; Trims Parts &gt; Panels &gt; Left Side &gt; C Pillar Upper Panel &gt; Process</t>
  </si>
  <si>
    <t>00000003ML1PEU01 (AutoReverse)</t>
  </si>
  <si>
    <t>Interior &gt; Trims Parts &gt; Panels &gt; Left Side &gt; C Pillar Central Panel</t>
  </si>
  <si>
    <t>Interior &gt; Trims Parts &gt; Panels &gt; Left Side &gt; C Pillar Central Panel &gt; Process</t>
  </si>
  <si>
    <t>000000050JCUEU01 (AutoReverse)</t>
  </si>
  <si>
    <t>Interior &gt; Trims Parts &gt; Panels &gt; Left Side &gt; C Pillar Lower Panel</t>
  </si>
  <si>
    <t>Interior &gt; Trims Parts &gt; Panels &gt; Left Side &gt; C Pillar Lower Panel &gt; Process</t>
  </si>
  <si>
    <t>PLASTIC UNKNOWN;ABS</t>
  </si>
  <si>
    <t>00000008TPC7EU01 (AutoReverse)</t>
  </si>
  <si>
    <t>Interior &gt; Trims Parts &gt; Panels &gt; Left Side &gt; Rear Quarter Panel</t>
  </si>
  <si>
    <t>0.22300 kg</t>
  </si>
  <si>
    <t>0.2347368421052631578947368421 kg</t>
  </si>
  <si>
    <t>Interior &gt; Trims Parts &gt; Panels &gt; Left Side &gt; Rear Quarter Panel &gt; Process</t>
  </si>
  <si>
    <t>00000006Q1AQEU01 (AutoReverse)</t>
  </si>
  <si>
    <t>Interior &gt; Trims Parts &gt; Panels &gt; Left Side &gt; C Pillar Panel Support</t>
  </si>
  <si>
    <t>0.54400 kg</t>
  </si>
  <si>
    <t>0.5726315789473684210526315789 kg</t>
  </si>
  <si>
    <t>Interior &gt; Trims Parts &gt; Panels &gt; Left Side &gt; C Pillar Panel Support &gt; Process</t>
  </si>
  <si>
    <t>00000000IBLLEU01 (AutoReverse)</t>
  </si>
  <si>
    <t>Material : Steel, Process : Stamping</t>
  </si>
  <si>
    <t>000000A6HXV6EU02 (AutoReverse)</t>
  </si>
  <si>
    <t>Interior &gt; Trims Parts &gt; Panels &gt; Left Side &gt; Second Rear Quarter Panel</t>
  </si>
  <si>
    <t>Interior &gt; Trims Parts &gt; Panels &gt; Left Side &gt; Second Rear Quarter Panel &gt; Process</t>
  </si>
  <si>
    <t>00000007CSC4EU01 (AutoReverse)</t>
  </si>
  <si>
    <t>Interior &gt; Trims Parts &gt; Panels &gt; Left Side &gt; B Pillar Upper Panel</t>
  </si>
  <si>
    <t>Interior &gt; Trims Parts &gt; Panels &gt; Left Side &gt; B Pillar Upper Panel &gt; Process</t>
  </si>
  <si>
    <t>000000084S9EEU01 (AutoReverse)</t>
  </si>
  <si>
    <t>00000002M9EFEU01 (AutoReverse)</t>
  </si>
  <si>
    <t>Interior &gt; Trims Parts &gt; Panels &gt; Trunk</t>
  </si>
  <si>
    <t>Interior &gt; Trims Parts &gt; Panels &gt; Trunk &gt; Left Side Compartments</t>
  </si>
  <si>
    <t>Interior &gt; Trims Parts &gt; Panels &gt; Trunk &gt; Left Side Compartments &gt; Lower</t>
  </si>
  <si>
    <t>Interior &gt; Trims Parts &gt; Panels &gt; Trunk &gt; Left Side Compartments &gt; Lower &gt; Process</t>
  </si>
  <si>
    <t>Thermocompression, Water jet cutting, Assembly</t>
  </si>
  <si>
    <t>00000003M0OMEU01 (AutoReverse)</t>
  </si>
  <si>
    <t>Interior &gt; Trims Parts &gt; Panels &gt; Trunk &gt; Left Side Compartments &gt; Access Panel no storage</t>
  </si>
  <si>
    <t>Interior &gt; Trims Parts &gt; Panels &gt; Trunk &gt; Left Side Compartments &gt; Access Panel no storage &gt; Process</t>
  </si>
  <si>
    <t>Thermocompression, cutting</t>
  </si>
  <si>
    <t>00000003ILI3EU01 (AutoReverse)</t>
  </si>
  <si>
    <t>00000003M4OMEU01 (AutoReverse)</t>
  </si>
  <si>
    <t>Interior &gt; Trims Parts &gt; Panels &gt; Trunk &gt; Right Side Compartments</t>
  </si>
  <si>
    <t>Interior &gt; Trims Parts &gt; Panels &gt; Trunk &gt; Right Side Compartments &gt; Storage</t>
  </si>
  <si>
    <t>Material : Steel, fabric</t>
  </si>
  <si>
    <t>000000071ZT4EU01 (AutoReverse)</t>
  </si>
  <si>
    <t>00000008ZS7HEU01 (AutoReverse)</t>
  </si>
  <si>
    <t>Interior &gt; Trims Parts &gt; Panels &gt; Trunk &gt; Right Side Compartments &gt; Lower</t>
  </si>
  <si>
    <t>Interior &gt; Trims Parts &gt; Panels &gt; Trunk &gt; Right Side Compartments &gt; Lower &gt; Process</t>
  </si>
  <si>
    <t>00000001R9TXEU01 (AutoReverse)</t>
  </si>
  <si>
    <t>00000003GG10EU01 (AutoReverse)</t>
  </si>
  <si>
    <t>Interior &gt; Trims Parts &gt; Panels &gt; Trunk &gt; Sill Panel</t>
  </si>
  <si>
    <t>0.73200 kg</t>
  </si>
  <si>
    <t>0.7705263157894736842105263158 kg</t>
  </si>
  <si>
    <t>Interior &gt; Trims Parts &gt; Panels &gt; Trunk &gt; Sill Panel &gt; Process</t>
  </si>
  <si>
    <t>00000000GRPNEU01 (AutoReverse)</t>
  </si>
  <si>
    <t>Interior &gt; Trims Parts &gt; Panels &gt; Trunk &gt; Trunk Hinges Trims</t>
  </si>
  <si>
    <t>0.04400 kg</t>
  </si>
  <si>
    <t>0.0463157894736842105263157895 kg</t>
  </si>
  <si>
    <t>Interior &gt; Trims Parts &gt; Panels &gt; Trunk &gt; Trunk Hinges Trims &gt; Process</t>
  </si>
  <si>
    <t>00000000IOJWEU01 (AutoReverse)</t>
  </si>
  <si>
    <t>00000006OY9AEU01 (AutoReverse)</t>
  </si>
  <si>
    <t>Interior &gt; Trims Parts &gt; Panels &gt; Right Side</t>
  </si>
  <si>
    <t>Interior &gt; Trims Parts &gt; Panels &gt; Right Side &gt; Door Step Inner Panel</t>
  </si>
  <si>
    <t>Interior &gt; Trims Parts &gt; Panels &gt; Right Side &gt; Door Step Inner Panel &gt; Rear</t>
  </si>
  <si>
    <t>Interior &gt; Trims Parts &gt; Panels &gt; Right Side &gt; Door Step Inner Panel &gt; Rear &gt; Process</t>
  </si>
  <si>
    <t>00000008IDSOEU01 (AutoReverse)</t>
  </si>
  <si>
    <t>00000002C6PUEU01 (AutoReverse)</t>
  </si>
  <si>
    <t>Interior &gt; Trims Parts &gt; Panels &gt; Right Side &gt; A Pillar Upper Panel</t>
  </si>
  <si>
    <t>Interior &gt; Trims Parts &gt; Panels &gt; Right Side &gt; A Pillar Upper Panel &gt; Process</t>
  </si>
  <si>
    <t>00000001NC79EU01 (AutoReverse)</t>
  </si>
  <si>
    <t>Interior &gt; Trims Parts &gt; Panels &gt; Right Side &gt; A Pillar Lower Panel</t>
  </si>
  <si>
    <t>Interior &gt; Trims Parts &gt; Panels &gt; Right Side &gt; A Pillar Lower Panel &gt; Process</t>
  </si>
  <si>
    <t>00000009HE43EU01 (AutoReverse)</t>
  </si>
  <si>
    <t>Interior &gt; Trims Parts &gt; Panels &gt; Right Side &gt; B Pillar Central Panel</t>
  </si>
  <si>
    <t>Interior &gt; Trims Parts &gt; Panels &gt; Right Side &gt; B Pillar Central Panel &gt; Process</t>
  </si>
  <si>
    <t>00000007RDYVEU01 (AutoReverse)</t>
  </si>
  <si>
    <t>Interior &gt; Trims Parts &gt; Panels &gt; Right Side &gt; B Pillar Lower Panel</t>
  </si>
  <si>
    <t>Interior &gt; Trims Parts &gt; Panels &gt; Right Side &gt; B Pillar Lower Panel &gt; Process</t>
  </si>
  <si>
    <t>00000003RVRNEU01 (AutoReverse)</t>
  </si>
  <si>
    <t>Interior &gt; Trims Parts &gt; Panels &gt; Right Side &gt; C Pillar Upper Panel</t>
  </si>
  <si>
    <t>Interior &gt; Trims Parts &gt; Panels &gt; Right Side &gt; C Pillar Upper Panel &gt; Process</t>
  </si>
  <si>
    <t>00000001Q47BEU01 (AutoReverse)</t>
  </si>
  <si>
    <t>Interior &gt; Trims Parts &gt; Panels &gt; Right Side &gt; C Pillar Central Panel</t>
  </si>
  <si>
    <t>Interior &gt; Trims Parts &gt; Panels &gt; Right Side &gt; C Pillar Central Panel &gt; Process</t>
  </si>
  <si>
    <t>000000095ZIKEU01 (AutoReverse)</t>
  </si>
  <si>
    <t>Interior &gt; Trims Parts &gt; Panels &gt; Right Side &gt; C Pillar Lower Panel</t>
  </si>
  <si>
    <t>Interior &gt; Trims Parts &gt; Panels &gt; Right Side &gt; C Pillar Lower Panel &gt; Process</t>
  </si>
  <si>
    <t>0000000AA6H1EU01 (AutoReverse)</t>
  </si>
  <si>
    <t>Interior &gt; Trims Parts &gt; Panels &gt; Right Side &gt; Rear Quarter Panel</t>
  </si>
  <si>
    <t>Interior &gt; Trims Parts &gt; Panels &gt; Right Side &gt; Rear Quarter Panel &gt; Process</t>
  </si>
  <si>
    <t>00000000QAFBEU01 (AutoReverse)</t>
  </si>
  <si>
    <t>Interior &gt; Trims Parts &gt; Panels &gt; Right Side &gt; C Pillar Panel Support</t>
  </si>
  <si>
    <t>Interior &gt; Trims Parts &gt; Panels &gt; Right Side &gt; C Pillar Panel Support &gt; Process</t>
  </si>
  <si>
    <t>00000002BXI5EU01 (AutoReverse)</t>
  </si>
  <si>
    <t>Interior &gt; Trims Parts &gt; Panels &gt; Right Side &gt; Second Rear Quarter Panel</t>
  </si>
  <si>
    <t>Interior &gt; Trims Parts &gt; Panels &gt; Right Side &gt; Second Rear Quarter Panel &gt; Process</t>
  </si>
  <si>
    <t>00000001E0RAEU01 (AutoReverse)</t>
  </si>
  <si>
    <t>Interior &gt; Trims Parts &gt; Panels &gt; Right Side &gt; B Pillar Upper Panel</t>
  </si>
  <si>
    <t>Interior &gt; Trims Parts &gt; Panels &gt; Right Side &gt; B Pillar Upper Panel &gt; Process</t>
  </si>
  <si>
    <t>000000053MEUEU01 (AutoReverse)</t>
  </si>
  <si>
    <t>0000000A8C7UEU01 (AutoReverse)</t>
  </si>
  <si>
    <t>0000000ARFB9EU01 (AutoReverse)</t>
  </si>
  <si>
    <t>Interior &gt; Trims Parts &gt; Mirror System</t>
  </si>
  <si>
    <t>Material : POM;Electronic component;Glass</t>
  </si>
  <si>
    <t>POM;ELECTRONIC COMPONENT;GLASS</t>
  </si>
  <si>
    <t>00000007HRYPEU01 (AutoReverse)</t>
  </si>
  <si>
    <t>Material : Aluminum</t>
  </si>
  <si>
    <t>00000007IS5OEU01 (AutoReverse)</t>
  </si>
  <si>
    <t>Interior &gt; Trims Parts &gt; Mirror System &gt; Trim</t>
  </si>
  <si>
    <t>0.13800 kg</t>
  </si>
  <si>
    <t>0.1452631578947368421052631579 kg</t>
  </si>
  <si>
    <t>Interior &gt; Trims Parts &gt; Mirror System &gt; Trim &gt; Process</t>
  </si>
  <si>
    <t>00000005YYE4EU01 (AutoReverse)</t>
  </si>
  <si>
    <t>000000028Z8LEU01 (AutoReverse)</t>
  </si>
  <si>
    <t>Interior &gt; Trims Parts &gt; Mirror System &gt; 2nd Trim</t>
  </si>
  <si>
    <t>Interior &gt; Trims Parts &gt; Mirror System &gt; 2nd Trim &gt; Process</t>
  </si>
  <si>
    <t>00000002B087EU01 (AutoReverse)</t>
  </si>
  <si>
    <t>Interior &gt; Trims Parts &gt; Mirror System &gt; Multifunction Support</t>
  </si>
  <si>
    <t>0.10700 kg</t>
  </si>
  <si>
    <t>0.1528571428571428571428571429 kg</t>
  </si>
  <si>
    <t>Interior &gt; Trims Parts &gt; Mirror System &gt; Multifunction Support &gt; Process</t>
  </si>
  <si>
    <t>00000007OKQEEU01 (AutoReverse)</t>
  </si>
  <si>
    <t>00000002EIX9EU01 (AutoReverse)</t>
  </si>
  <si>
    <t>Interior &gt; Trims Parts &gt; Parcel Tray System</t>
  </si>
  <si>
    <t>Interior &gt; Trims Parts &gt; Parcel Tray System &gt; Parcel Tray</t>
  </si>
  <si>
    <t>Interior &gt; Trims Parts &gt; Parcel Tray System &gt; Parcel Tray &gt; Process</t>
  </si>
  <si>
    <t>Thermoforming compression, cutting, Injection Molding</t>
  </si>
  <si>
    <t>00000009H483EU01 (AutoReverse)</t>
  </si>
  <si>
    <t>00000004EJQSEU01 (AutoReverse)</t>
  </si>
  <si>
    <t>Interior &gt; Trims Parts &gt; Storage</t>
  </si>
  <si>
    <t>Interior &gt; Trims Parts &gt; Storage &gt; Front Trunk System</t>
  </si>
  <si>
    <t>Interior &gt; Trims Parts &gt; Storage &gt; Front Trunk System &gt; Front Trunk Box</t>
  </si>
  <si>
    <t>3.66700 kg</t>
  </si>
  <si>
    <t>3.86 kg</t>
  </si>
  <si>
    <t>Interior &gt; Trims Parts &gt; Storage &gt; Front Trunk System &gt; Front Trunk Box &gt; Process</t>
  </si>
  <si>
    <t>A000000D1YNQEU02 (AutoReverse)</t>
  </si>
  <si>
    <t>Interior &gt; Trims Parts &gt; Storage &gt; Front Trunk System &gt; Fastener Cover</t>
  </si>
  <si>
    <t>Interior &gt; Trims Parts &gt; Storage &gt; Front Trunk System &gt; Fastener Cover &gt; Process</t>
  </si>
  <si>
    <t>A000000D3WEAEU02 (AutoReverse)</t>
  </si>
  <si>
    <t>Interior &gt; Trims Parts &gt; Storage &gt; Front Trunk System &gt; Front Trunk Lid Seal</t>
  </si>
  <si>
    <t>0.44950 kg</t>
  </si>
  <si>
    <t>0.6421428571428571428571428571 kg</t>
  </si>
  <si>
    <t>Interior &gt; Trims Parts &gt; Storage &gt; Front Trunk System &gt; Front Trunk Lid Seal &gt; Process</t>
  </si>
  <si>
    <t>0.4731578947368421052631578947 kg</t>
  </si>
  <si>
    <t>Extrusion</t>
  </si>
  <si>
    <t>STEEL;EPDM</t>
  </si>
  <si>
    <t>A000000VCDYOEU02 (AutoReverse)</t>
  </si>
  <si>
    <t>Interior &gt; Trims Parts &gt; Storage &gt; Front Trunk System &gt; Assembly</t>
  </si>
  <si>
    <t>A000000D1YNPEU02 (AutoReverse)</t>
  </si>
  <si>
    <t>Interior &gt; Trims Parts &gt; Storage &gt; Trunk Storage Box Right Support</t>
  </si>
  <si>
    <t>0.44300 kg</t>
  </si>
  <si>
    <t>0.4663157894736842105263157895 kg</t>
  </si>
  <si>
    <t>Interior &gt; Trims Parts &gt; Storage &gt; Trunk Storage Box Right Support &gt; Process</t>
  </si>
  <si>
    <t>00000006CPTHEU01 (AutoReverse)</t>
  </si>
  <si>
    <t>Interior &gt; Trims Parts &gt; Storage &gt; Trunk Storage Box Left Support</t>
  </si>
  <si>
    <t>0.29700 kg</t>
  </si>
  <si>
    <t>0.3126315789473684210526315789 kg</t>
  </si>
  <si>
    <t>Interior &gt; Trims Parts &gt; Storage &gt; Trunk Storage Box Left Support &gt; Process</t>
  </si>
  <si>
    <t>000000012FVSEU01 (AutoReverse)</t>
  </si>
  <si>
    <t>Interior &gt; Trims Parts &gt; Storage &gt; Trunk Storage Box Front Support</t>
  </si>
  <si>
    <t>0.51800 kg</t>
  </si>
  <si>
    <t>0.5452631578947368421052631579 kg</t>
  </si>
  <si>
    <t>Interior &gt; Trims Parts &gt; Storage &gt; Trunk Storage Box Front Support &gt; Process</t>
  </si>
  <si>
    <t>00000003IA8HEU01 (AutoReverse)</t>
  </si>
  <si>
    <t>00000005ZBOZEU01 (AutoReverse)</t>
  </si>
  <si>
    <t>Interior &gt; Trims Parts &gt; Floor Carpeting</t>
  </si>
  <si>
    <t>Interior &gt; Trims Parts &gt; Floor Carpeting &gt; Interior</t>
  </si>
  <si>
    <t>Interior &gt; Trims Parts &gt; Floor Carpeting &gt; Interior &gt; Floor Mats</t>
  </si>
  <si>
    <t>Interior &gt; Trims Parts &gt; Floor Carpeting &gt; Interior &gt; Floor Mats &gt; Driver</t>
  </si>
  <si>
    <t>Interior &gt; Trims Parts &gt; Floor Carpeting &gt; Interior &gt; Floor Mats &gt; Driver &gt; Process</t>
  </si>
  <si>
    <t>Material : PP;PET, Process : Cutting, Binding, Sewing</t>
  </si>
  <si>
    <t>PP;PET</t>
  </si>
  <si>
    <t>000000066JB8EU01 (AutoReverse)</t>
  </si>
  <si>
    <t>Interior &gt; Trims Parts &gt; Floor Carpeting &gt; Interior &gt; Floor Mats &gt; Passenger</t>
  </si>
  <si>
    <t>Interior &gt; Trims Parts &gt; Floor Carpeting &gt; Interior &gt; Floor Mats &gt; Passenger &gt; Process</t>
  </si>
  <si>
    <t>00000000VCT1EU01 (AutoReverse)</t>
  </si>
  <si>
    <t>Interior &gt; Trims Parts &gt; Floor Carpeting &gt; Interior &gt; Floor Mats &gt; Rear Complete</t>
  </si>
  <si>
    <t>Interior &gt; Trims Parts &gt; Floor Carpeting &gt; Interior &gt; Floor Mats &gt; Rear Complete &gt; Process</t>
  </si>
  <si>
    <t>00000009Y2UZEU01 (AutoReverse)</t>
  </si>
  <si>
    <t>000000017WJDEU01 (AutoReverse)</t>
  </si>
  <si>
    <t>Interior &gt; Trims Parts &gt; Floor Carpeting &gt; Interior &gt; Complete Carpet</t>
  </si>
  <si>
    <t>Interior &gt; Trims Parts &gt; Floor Carpeting &gt; Interior &gt; Complete Carpet &gt; Process</t>
  </si>
  <si>
    <t>Material : PET;PUR;EPP, Process : Thermocompression, Water jet cutting, Foam Forming</t>
  </si>
  <si>
    <t>PET;PUR;EPP</t>
  </si>
  <si>
    <t>0000000AOE3SEU01 (AutoReverse)</t>
  </si>
  <si>
    <t>Interior &gt; Trims Parts &gt; Floor Carpeting &gt; Interior &gt; Rear</t>
  </si>
  <si>
    <t>Interior &gt; Trims Parts &gt; Floor Carpeting &gt; Interior &gt; Rear &gt; Process</t>
  </si>
  <si>
    <t>Material : PET , Process : Thermocompression, Water jet cutting</t>
  </si>
  <si>
    <t>00000005ASKYEU01 (AutoReverse)</t>
  </si>
  <si>
    <t>Interior &gt; Trims Parts &gt; Floor Carpeting &gt; Interior &gt; Foot Rest</t>
  </si>
  <si>
    <t>0.08100 kg</t>
  </si>
  <si>
    <t>0.0852631578947368421052631579 kg</t>
  </si>
  <si>
    <t>Interior &gt; Trims Parts &gt; Floor Carpeting &gt; Interior &gt; Foot Rest &gt; Process</t>
  </si>
  <si>
    <t>00000005HV0SEU01 (AutoReverse)</t>
  </si>
  <si>
    <t>Interior &gt; Trims Parts &gt; Floor Carpeting &gt; Interior &gt; Foot Rest Support</t>
  </si>
  <si>
    <t>0.05000 kg</t>
  </si>
  <si>
    <t>0.0526315789473684210526315789 kg</t>
  </si>
  <si>
    <t>Interior &gt; Trims Parts &gt; Floor Carpeting &gt; Interior &gt; Foot Rest Support &gt; Process</t>
  </si>
  <si>
    <t>000000028KH2EU01 (AutoReverse)</t>
  </si>
  <si>
    <t>00000007QBCREU01 (AutoReverse)</t>
  </si>
  <si>
    <t>Interior &gt; Trims Parts &gt; Floor Carpeting &gt; Trunk</t>
  </si>
  <si>
    <t>Interior &gt; Trims Parts &gt; Floor Carpeting &gt; Trunk &gt; Removable Floor System</t>
  </si>
  <si>
    <t>Interior &gt; Trims Parts &gt; Floor Carpeting &gt; Trunk &gt; Removable Floor System &gt; Front</t>
  </si>
  <si>
    <t>Interior &gt; Trims Parts &gt; Floor Carpeting &gt; Trunk &gt; Removable Floor System &gt; Front &gt; Cover</t>
  </si>
  <si>
    <t>Interior &gt; Trims Parts &gt; Floor Carpeting &gt; Trunk &gt; Removable Floor System &gt; Front &gt; Cover &gt; Process</t>
  </si>
  <si>
    <t>Material : EPP;PET;PE , Process : Thermocompression, cutting, Foam Forming</t>
  </si>
  <si>
    <t>EPP;PET;PE</t>
  </si>
  <si>
    <t>A000003FVQHGEU01 (AutoReverse)</t>
  </si>
  <si>
    <t>00000000RMIAEU01 (AutoReverse)</t>
  </si>
  <si>
    <t>Interior &gt; Trims Parts &gt; Floor Carpeting &gt; Trunk &gt; Removable Floor System &gt; Main Floor</t>
  </si>
  <si>
    <t>PET, Honeycomb, GF</t>
  </si>
  <si>
    <t>Interior &gt; Trims Parts &gt; Floor Carpeting &gt; Trunk &gt; Removable Floor System &gt; Main Floor &gt; Process</t>
  </si>
  <si>
    <t>Material : PET, GF, Honeycomb Paper , Process : Thermocompression, Edge Wrapping, Gluing, Cutting</t>
  </si>
  <si>
    <t>00000007DU6MEU01 (AutoReverse)</t>
  </si>
  <si>
    <t>Interior &gt; Trims Parts &gt; Floor Carpeting &gt; Trunk &gt; Removable Floor System &gt; Open Lid Holder</t>
  </si>
  <si>
    <t>0.01400 kg</t>
  </si>
  <si>
    <t>0.0147368421052631578947368421 kg</t>
  </si>
  <si>
    <t>Polyoxymethylen oder Polyacetal</t>
  </si>
  <si>
    <t>Interior &gt; Trims Parts &gt; Floor Carpeting &gt; Trunk &gt; Removable Floor System &gt; Open Lid Holder &gt; Process</t>
  </si>
  <si>
    <t>0000000857OREU01 (AutoReverse)</t>
  </si>
  <si>
    <t>00000005ZIK8EU01 (AutoReverse)</t>
  </si>
  <si>
    <t>Interior &gt; Trims Parts &gt; Floor Carpeting &gt; Trunk &gt; Trunk Cup Carpet</t>
  </si>
  <si>
    <t>Interior &gt; Trims Parts &gt; Floor Carpeting &gt; Trunk &gt; Trunk Cup Carpet &gt; Process</t>
  </si>
  <si>
    <t>Material : PE;PET;EPP , Process : Thermocompression, EPP Foaming</t>
  </si>
  <si>
    <t>PE;PET</t>
  </si>
  <si>
    <t>00000003BR11EU01 (AutoReverse)</t>
  </si>
  <si>
    <t>00000009SQKTEU01 (AutoReverse)</t>
  </si>
  <si>
    <t>000000019UATEU01 (AutoReverse)</t>
  </si>
  <si>
    <t>Interior &gt; Trims Parts &gt; Speakers System</t>
  </si>
  <si>
    <t>Interior &gt; Trims Parts &gt; Speakers System &gt; Front Speaker System</t>
  </si>
  <si>
    <t>00000003D3C6EU01 (AutoReverse)</t>
  </si>
  <si>
    <t>Interior &gt; Trims Parts &gt; Speakers System &gt; Front Speaker System &gt; Front Speaker Grille</t>
  </si>
  <si>
    <t>Interior &gt; Trims Parts &gt; Speakers System &gt; Front Speaker System &gt; Front Speaker Grille &gt; Process</t>
  </si>
  <si>
    <t>00000006GM8SEU01 (AutoReverse)</t>
  </si>
  <si>
    <t>00000006QN6CEU01 (AutoReverse)</t>
  </si>
  <si>
    <t>Interior &gt; Trims Parts &gt; Speakers System &gt; Rear Speaker System</t>
  </si>
  <si>
    <t>00000001E75KEU01 (AutoReverse)</t>
  </si>
  <si>
    <t>Interior &gt; Trims Parts &gt; Speakers System &gt; Rear Speaker System &gt; Rear Speaker Grille</t>
  </si>
  <si>
    <t>0.01550 kg</t>
  </si>
  <si>
    <t>0.0163157894736842105263157895 kg</t>
  </si>
  <si>
    <t>Interior &gt; Trims Parts &gt; Speakers System &gt; Rear Speaker System &gt; Rear Speaker Grille &gt; Process</t>
  </si>
  <si>
    <t>000000053QIREU01 (AutoReverse)</t>
  </si>
  <si>
    <t>00000003OERDEU01 (AutoReverse)</t>
  </si>
  <si>
    <t>Interior &gt; Trims Parts &gt; Speakers System &gt; Tweeter System</t>
  </si>
  <si>
    <t>000000082NQBEU01 (AutoReverse)</t>
  </si>
  <si>
    <t>0000000BSOIXCID0 (AutoReverse)</t>
  </si>
  <si>
    <t>Interior &gt; Trims Parts &gt; Speakers System &gt; Tweeter System &gt; Tweeter Grille on B pillar</t>
  </si>
  <si>
    <t>Interior &gt; Trims Parts &gt; Speakers System &gt; Tweeter System &gt; Tweeter Grille on B pillar &gt; Process</t>
  </si>
  <si>
    <t>0000000BSON5CID0 (AutoReverse)</t>
  </si>
  <si>
    <t>Interior &gt; Trims Parts &gt; Speakers System &gt; Tweeter System &gt; Rear Tweeter Grille</t>
  </si>
  <si>
    <t>0.05400 kg</t>
  </si>
  <si>
    <t>0.0568421052631578947368421053 kg</t>
  </si>
  <si>
    <t>Interior &gt; Trims Parts &gt; Speakers System &gt; Tweeter System &gt; Rear Tweeter Grille &gt; Automated Process</t>
  </si>
  <si>
    <t>00000008D4L0EU01 (AutoReverse)</t>
  </si>
  <si>
    <t>000000A68QEHEU02 (AutoReverse)</t>
  </si>
  <si>
    <t>0000000ANFESEU01 (AutoReverse)</t>
  </si>
  <si>
    <t>0000000983D2EU01 (AutoReverse)</t>
  </si>
  <si>
    <t>Interior &gt; Trims Parts &gt; Tie Bracket System</t>
  </si>
  <si>
    <t>Interior &gt; Trims Parts &gt; Tie Bracket System &gt; Tie Bracket</t>
  </si>
  <si>
    <t>0.01200 kg</t>
  </si>
  <si>
    <t>0.0126315789473684210526315789 kg</t>
  </si>
  <si>
    <t>Interior &gt; Trims Parts &gt; Tie Bracket System &gt; Tie Bracket &gt; Process</t>
  </si>
  <si>
    <t>00000000WWMZEU01 (AutoReverse)</t>
  </si>
  <si>
    <t>00000005P3JEEU01 (AutoReverse)</t>
  </si>
  <si>
    <t>Interior &gt; Trims Parts &gt; Interior Lighting System</t>
  </si>
  <si>
    <t>000000085UTAEU01 (AutoReverse)</t>
  </si>
  <si>
    <t>00000009OFR6EU01 (AutoReverse)</t>
  </si>
  <si>
    <t>00000006F7JTEU01 (AutoReverse)</t>
  </si>
  <si>
    <t>000000055V3ZEU01 (AutoReverse)</t>
  </si>
  <si>
    <t>Body</t>
  </si>
  <si>
    <t>Body &gt; Closures</t>
  </si>
  <si>
    <t>Body &gt; Closures &gt; Driver Door</t>
  </si>
  <si>
    <t>Body &gt; Closures &gt; Driver Door &gt; Driver Door</t>
  </si>
  <si>
    <t>Body &gt; Closures &gt; Driver Door &gt; Driver Door &gt; Outer panel</t>
  </si>
  <si>
    <t>Body &gt; Closures &gt; Driver Door &gt; Driver Door &gt; Outer panel &gt; Panel</t>
  </si>
  <si>
    <t>Body &gt; Closures &gt; Driver Door &gt; Driver Door &gt; Outer panel &gt; Panel &gt; Closures&gt;Front door&gt;Outer panel&gt;Panel&gt;Part 01 (single/main)</t>
  </si>
  <si>
    <t>4.25900 kg</t>
  </si>
  <si>
    <t>5.32375 kg</t>
  </si>
  <si>
    <t>Body &gt; Closures &gt; Driver Door &gt; Driver Door &gt; Outer panel &gt; Panel &gt; Closures&gt;Front door&gt;Outer panel&gt;Panel&gt;Part 01 (single/main) &gt; MANUFACTURING  PROCESS</t>
  </si>
  <si>
    <t>Directional Costing</t>
  </si>
  <si>
    <t>Steel,Stamping</t>
  </si>
  <si>
    <t>Closure - [Assembly] [Internal]</t>
  </si>
  <si>
    <t>00000004Q6XGEU01 (AutoReverse)</t>
  </si>
  <si>
    <t>000000052B2NEU01 (AutoReverse)</t>
  </si>
  <si>
    <t>Body &gt; Closures &gt; Driver Door &gt; Driver Door &gt; Top roll assy</t>
  </si>
  <si>
    <t>Body &gt; Closures &gt; Driver Door &gt; Driver Door &gt; Top roll assy &gt; Cross member 01 (outer)</t>
  </si>
  <si>
    <t>Body &gt; Closures &gt; Driver Door &gt; Driver Door &gt; Top roll assy &gt; Cross member 01 (outer) &gt; Cross member</t>
  </si>
  <si>
    <t>Body &gt; Closures &gt; Driver Door &gt; Driver Door &gt; Top roll assy &gt; Cross member 01 (outer) &gt; Cross member &gt; Closures&gt;Front door&gt;Top roll assy&gt;Cross member 01 (outer)&gt;Cross member&gt;Part 01 (single/main)</t>
  </si>
  <si>
    <t>1.76000 kg</t>
  </si>
  <si>
    <t>2.5142857142857142857142857143 kg</t>
  </si>
  <si>
    <t>Body &gt; Closures &gt; Driver Door &gt; Driver Door &gt; Top roll assy &gt; Cross member 01 (outer) &gt; Cross member &gt; Closures&gt;Front door&gt;Top roll assy&gt;Cross member 01 (outer)&gt;Cross member&gt;Part 01 (single/main) &gt; MANUFACTURING  PROCESS</t>
  </si>
  <si>
    <t>000000040NOAEU01 (AutoReverse)</t>
  </si>
  <si>
    <t>Body &gt; Closures &gt; Driver Door &gt; Driver Door &gt; Top roll assy &gt; Cross member 01 (outer) &gt; Fixing parts</t>
  </si>
  <si>
    <t>Body &gt; Closures &gt; Driver Door &gt; Driver Door &gt; Top roll assy &gt; Cross member 01 (outer) &gt; Fixing parts &gt; Closures&gt;Front door&gt;Top roll assy&gt;Cross member 01 (outer)&gt;Fixing parts&gt;Part 01 (single/main)</t>
  </si>
  <si>
    <t>0.0925 kg</t>
  </si>
  <si>
    <t>Body &gt; Closures &gt; Driver Door &gt; Driver Door &gt; Top roll assy &gt; Cross member 01 (outer) &gt; Fixing parts &gt; Closures&gt;Front door&gt;Top roll assy&gt;Cross member 01 (outer)&gt;Fixing parts&gt;Part 01 (single/main) &gt; MANUFACTURING  PROCESS</t>
  </si>
  <si>
    <t>000000094VZYEU01 (AutoReverse)</t>
  </si>
  <si>
    <t>000000079MASEU01 (AutoReverse)</t>
  </si>
  <si>
    <t>Body &gt; Closures &gt; Driver Door &gt; Driver Door &gt; Top roll assy &gt; Cross member 02 (inner)</t>
  </si>
  <si>
    <t>Body &gt; Closures &gt; Driver Door &gt; Driver Door &gt; Top roll assy &gt; Cross member 02 (inner) &gt; Cross member</t>
  </si>
  <si>
    <t>Body &gt; Closures &gt; Driver Door &gt; Driver Door &gt; Top roll assy &gt; Cross member 02 (inner) &gt; Cross member &gt; Closures&gt;Front door&gt;Top roll assy&gt;Cross member 02 (inner)&gt;Cross member&gt;Part 01 (single/main)</t>
  </si>
  <si>
    <t>1.14700 kg</t>
  </si>
  <si>
    <t>1.43375 kg</t>
  </si>
  <si>
    <t>Body &gt; Closures &gt; Driver Door &gt; Driver Door &gt; Top roll assy &gt; Cross member 02 (inner) &gt; Cross member &gt; Closures&gt;Front door&gt;Top roll assy&gt;Cross member 02 (inner)&gt;Cross member&gt;Part 01 (single/main) &gt; MANUFACTURING  PROCESS</t>
  </si>
  <si>
    <t>00000005EEQ0EU01 (AutoReverse)</t>
  </si>
  <si>
    <t>Body &gt; Closures &gt; Driver Door &gt; Driver Door &gt; Top roll assy &gt; Cross member 02 (inner) &gt; Brackets</t>
  </si>
  <si>
    <t>Body &gt; Closures &gt; Driver Door &gt; Driver Door &gt; Top roll assy &gt; Cross member 02 (inner) &gt; Brackets &gt; Closures&gt;Front door&gt;Top roll assy&gt;Cross member 02 (inner)&gt;Brackets&gt;Part 01 (single/main)</t>
  </si>
  <si>
    <t>0.36500 kg</t>
  </si>
  <si>
    <t>0.4866666666666666666666666667 kg</t>
  </si>
  <si>
    <t>Body &gt; Closures &gt; Driver Door &gt; Driver Door &gt; Top roll assy &gt; Cross member 02 (inner) &gt; Brackets &gt; Closures&gt;Front door&gt;Top roll assy&gt;Cross member 02 (inner)&gt;Brackets&gt;Part 01 (single/main) &gt; MANUFACTURING  PROCESS</t>
  </si>
  <si>
    <t>00000003BDAZEU01 (AutoReverse)</t>
  </si>
  <si>
    <t>00000009PZS1EU01 (AutoReverse)</t>
  </si>
  <si>
    <t>00000009TY36EU01 (AutoReverse)</t>
  </si>
  <si>
    <t>Body &gt; Closures &gt; Driver Door &gt; Driver Door &gt; Window frame assy</t>
  </si>
  <si>
    <t>Body &gt; Closures &gt; Driver Door &gt; Driver Door &gt; Window frame assy &gt; Reinforcements</t>
  </si>
  <si>
    <t>Body &gt; Closures &gt; Driver Door &gt; Driver Door &gt; Window frame assy &gt; Reinforcements &gt; Closures&gt;Front door&gt;Window frame assy&gt;Reinforcements&gt;Part 01 (single/main)</t>
  </si>
  <si>
    <t>0.08700 kg</t>
  </si>
  <si>
    <t>0.1242857142857142857142857143 kg</t>
  </si>
  <si>
    <t>Body &gt; Closures &gt; Driver Door &gt; Driver Door &gt; Window frame assy &gt; Reinforcements &gt; Closures&gt;Front door&gt;Window frame assy&gt;Reinforcements&gt;Part 01 (single/main) &gt; MANUFACTURING  PROCESS</t>
  </si>
  <si>
    <t>000000056XDMEU01 (AutoReverse)</t>
  </si>
  <si>
    <t>Body &gt; Closures &gt; Driver Door &gt; Driver Door &gt; Window frame assy &gt; Glass slides</t>
  </si>
  <si>
    <t>Body &gt; Closures &gt; Driver Door &gt; Driver Door &gt; Window frame assy &gt; Glass slides &gt; Front</t>
  </si>
  <si>
    <t>Body &gt; Closures &gt; Driver Door &gt; Driver Door &gt; Window frame assy &gt; Glass slides &gt; Front &gt; slide</t>
  </si>
  <si>
    <t>Body &gt; Closures &gt; Driver Door &gt; Driver Door &gt; Window frame assy &gt; Glass slides &gt; Front &gt; slide &gt; Closures&gt;Front door&gt;Window frame assy&gt;Glass slides&gt;Front&gt;slide&gt;Part 01 (single/main)</t>
  </si>
  <si>
    <t>Body &gt; Closures &gt; Driver Door &gt; Driver Door &gt; Window frame assy &gt; Glass slides &gt; Front &gt; slide &gt; Closures&gt;Front door&gt;Window frame assy&gt;Glass slides&gt;Front&gt;slide&gt;Part 01 (single/main) &gt; MANUFACTURING  PROCESS</t>
  </si>
  <si>
    <t>Steel , Roll Forming</t>
  </si>
  <si>
    <t>00000007CWUWEU01 (AutoReverse)</t>
  </si>
  <si>
    <t>Body &gt; Closures &gt; Driver Door &gt; Driver Door &gt; Window frame assy &gt; Glass slides &gt; Front &gt; Fixing parts</t>
  </si>
  <si>
    <t>Body &gt; Closures &gt; Driver Door &gt; Driver Door &gt; Window frame assy &gt; Glass slides &gt; Front &gt; Fixing parts &gt; Closures&gt;Front door&gt;Window frame assy&gt;Glass slides&gt;Front&gt;Fixing parts&gt;Part 01 (single/main)</t>
  </si>
  <si>
    <t>0.1246153846153846153846153846 kg</t>
  </si>
  <si>
    <t>Body &gt; Closures &gt; Driver Door &gt; Driver Door &gt; Window frame assy &gt; Glass slides &gt; Front &gt; Fixing parts &gt; Closures&gt;Front door&gt;Window frame assy&gt;Glass slides&gt;Front&gt;Fixing parts&gt;Part 01 (single/main) &gt; MANUFACTURING  PROCESS</t>
  </si>
  <si>
    <t>00000001T3XHEU01 (AutoReverse)</t>
  </si>
  <si>
    <t>00000004TKCHEU01 (AutoReverse)</t>
  </si>
  <si>
    <t>00000008FG5EEU01 (AutoReverse)</t>
  </si>
  <si>
    <t>00000004WO93EU01 (AutoReverse)</t>
  </si>
  <si>
    <t>Body &gt; Closures &gt; Driver Door &gt; Driver Door &gt; Anti-intrusion beam</t>
  </si>
  <si>
    <t>Body &gt; Closures &gt; Driver Door &gt; Driver Door &gt; Anti-intrusion beam &gt; Beam 01 (single/upper)</t>
  </si>
  <si>
    <t>Body &gt; Closures &gt; Driver Door &gt; Driver Door &gt; Anti-intrusion beam &gt; Beam 01 (single/upper) &gt; Beam</t>
  </si>
  <si>
    <t>Body &gt; Closures &gt; Driver Door &gt; Driver Door &gt; Anti-intrusion beam &gt; Beam 01 (single/upper) &gt; Beam &gt; Closures&gt;Front door&gt;Anti-intrusion beam&gt;Beam 01 (single/upper)&gt;Beam&gt;Part 01 (single/main)</t>
  </si>
  <si>
    <t>1.71700 kg</t>
  </si>
  <si>
    <t>2.14625 kg</t>
  </si>
  <si>
    <t>Body &gt; Closures &gt; Driver Door &gt; Driver Door &gt; Anti-intrusion beam &gt; Beam 01 (single/upper) &gt; Beam &gt; Closures&gt;Front door&gt;Anti-intrusion beam&gt;Beam 01 (single/upper)&gt;Beam&gt;Part 01 (single/main) &gt; MANUFACTURING  PROCESS</t>
  </si>
  <si>
    <t>00000004AVZ8EU01 (AutoReverse)</t>
  </si>
  <si>
    <t>0000009X6BXLEU02 (AutoReverse)</t>
  </si>
  <si>
    <t>0000000730Q8EU01 (AutoReverse)</t>
  </si>
  <si>
    <t>Body &gt; Closures &gt; Driver Door &gt; Driver Door &gt; Housing assy</t>
  </si>
  <si>
    <t>Body &gt; Closures &gt; Driver Door &gt; Driver Door &gt; Housing assy &gt; Housing</t>
  </si>
  <si>
    <t>Body &gt; Closures &gt; Driver Door &gt; Driver Door &gt; Housing assy &gt; Housing &gt; Closures&gt;Front door&gt;Housing assy&gt;Housing&gt;Part 01 (single/front)</t>
  </si>
  <si>
    <t>Aluminum</t>
  </si>
  <si>
    <t>4.44600 kg</t>
  </si>
  <si>
    <t>5.5575 kg</t>
  </si>
  <si>
    <t>Body &gt; Closures &gt; Driver Door &gt; Driver Door &gt; Housing assy &gt; Housing &gt; Closures&gt;Front door&gt;Housing assy&gt;Housing&gt;Part 01 (single/front) &gt; MANUFACTURING  PROCESS</t>
  </si>
  <si>
    <t>Closure - [Mechanical Prod] [Internal]</t>
  </si>
  <si>
    <t>000000087KPVEU01 (AutoReverse)</t>
  </si>
  <si>
    <t>Body &gt; Closures &gt; Driver Door &gt; Driver Door &gt; Housing assy &gt; Reinforcements</t>
  </si>
  <si>
    <t>Body &gt; Closures &gt; Driver Door &gt; Driver Door &gt; Housing assy &gt; Reinforcements &gt; Closures&gt;Front door&gt;Housing assy&gt;Reinforcements&gt;Part 01 (single/main)</t>
  </si>
  <si>
    <t>0.47000 kg</t>
  </si>
  <si>
    <t>0.6266666666666666666666666667 kg</t>
  </si>
  <si>
    <t>Body &gt; Closures &gt; Driver Door &gt; Driver Door &gt; Housing assy &gt; Reinforcements &gt; Closures&gt;Front door&gt;Housing assy&gt;Reinforcements&gt;Part 01 (single/main) &gt; MANUFACTURING  PROCESS</t>
  </si>
  <si>
    <t>Body &gt; Closures &gt; Driver Door &gt; Driver Door &gt; Housing assy &gt; Reinforcements &gt; Closures&gt;Front door&gt;Housing assy&gt;Reinforcements&gt;Part 02</t>
  </si>
  <si>
    <t>0.38 kg</t>
  </si>
  <si>
    <t>Body &gt; Closures &gt; Driver Door &gt; Driver Door &gt; Housing assy &gt; Reinforcements &gt; Closures&gt;Front door&gt;Housing assy&gt;Reinforcements&gt;Part 02 &gt; MANUFACTURING  PROCESS</t>
  </si>
  <si>
    <t>Body &gt; Closures &gt; Driver Door &gt; Driver Door &gt; Housing assy &gt; Reinforcements &gt; Closures&gt;Front door&gt;Housing assy&gt;Reinforcements&gt;Part 03</t>
  </si>
  <si>
    <t>0.17625 kg</t>
  </si>
  <si>
    <t>Body &gt; Closures &gt; Driver Door &gt; Driver Door &gt; Housing assy &gt; Reinforcements &gt; Closures&gt;Front door&gt;Housing assy&gt;Reinforcements&gt;Part 03 &gt; MANUFACTURING  PROCESS</t>
  </si>
  <si>
    <t>Body &gt; Closures &gt; Driver Door &gt; Driver Door &gt; Housing assy &gt; Reinforcements &gt; Closures&gt;Front door&gt;Housing assy&gt;Reinforcements&gt;Part 04</t>
  </si>
  <si>
    <t>0.16200 kg</t>
  </si>
  <si>
    <t>0.2025 kg</t>
  </si>
  <si>
    <t>Body &gt; Closures &gt; Driver Door &gt; Driver Door &gt; Housing assy &gt; Reinforcements &gt; Closures&gt;Front door&gt;Housing assy&gt;Reinforcements&gt;Part 04 &gt; MANUFACTURING  PROCESS</t>
  </si>
  <si>
    <t>Body &gt; Closures &gt; Driver Door &gt; Driver Door &gt; Housing assy &gt; Reinforcements &gt; Closures&gt;Front door&gt;Housing assy&gt;Reinforcements&gt;Part 05</t>
  </si>
  <si>
    <t>0.56700 kg</t>
  </si>
  <si>
    <t>0.81 kg</t>
  </si>
  <si>
    <t>Body &gt; Closures &gt; Driver Door &gt; Driver Door &gt; Housing assy &gt; Reinforcements &gt; Closures&gt;Front door&gt;Housing assy&gt;Reinforcements&gt;Part 05 &gt; MANUFACTURING  PROCESS</t>
  </si>
  <si>
    <t>00000002KDMZEU01 (AutoReverse)</t>
  </si>
  <si>
    <t>Body &gt; Closures &gt; Driver Door &gt; Driver Door &gt; Housing assy &gt; Fixing parts</t>
  </si>
  <si>
    <t>Body &gt; Closures &gt; Driver Door &gt; Driver Door &gt; Housing assy &gt; Fixing parts &gt; Front</t>
  </si>
  <si>
    <t>Body &gt; Closures &gt; Driver Door &gt; Driver Door &gt; Housing assy &gt; Fixing parts &gt; Front &gt; Closures&gt;Front door&gt;Housing assy&gt;Fixing parts&gt;Front&gt;Part 01 (single/main)</t>
  </si>
  <si>
    <t>0.04500 kg</t>
  </si>
  <si>
    <t>0.05625 kg</t>
  </si>
  <si>
    <t>Body &gt; Closures &gt; Driver Door &gt; Driver Door &gt; Housing assy &gt; Fixing parts &gt; Front &gt; Closures&gt;Front door&gt;Housing assy&gt;Fixing parts&gt;Front&gt;Part 01 (single/main) &gt; MANUFACTURING  PROCESS</t>
  </si>
  <si>
    <t>Body &gt; Closures &gt; Driver Door &gt; Driver Door &gt; Housing assy &gt; Fixing parts &gt; Front &gt; Closures&gt;Front door&gt;Housing assy&gt;Fixing parts&gt;Front&gt;Part 02</t>
  </si>
  <si>
    <t>Body &gt; Closures &gt; Driver Door &gt; Driver Door &gt; Housing assy &gt; Fixing parts &gt; Front &gt; Closures&gt;Front door&gt;Housing assy&gt;Fixing parts&gt;Front&gt;Part 02 &gt; MANUFACTURING  PROCESS</t>
  </si>
  <si>
    <t>00000009IYH6EU01 (AutoReverse)</t>
  </si>
  <si>
    <t>00000004UM93EU01 (AutoReverse)</t>
  </si>
  <si>
    <t>00000000LPNLEU01 (AutoReverse)</t>
  </si>
  <si>
    <t>Manual Workplace with Transportation Equipment &amp; Traceability</t>
  </si>
  <si>
    <t>Body &gt; Closures &gt; Driver Door &gt; Driver Door &gt; Assembly</t>
  </si>
  <si>
    <t>0000000AUNZ1EU01 (AutoReverse)</t>
  </si>
  <si>
    <t>Body &gt; Closures &gt; Driver Door &gt; Door Panel</t>
  </si>
  <si>
    <t>Body &gt; Closures &gt; Driver Door &gt; Door Panel &gt; Door handle</t>
  </si>
  <si>
    <t>Body &gt; Closures &gt; Driver Door &gt; Door Panel &gt; Door handle &gt; Handle</t>
  </si>
  <si>
    <t>0.11300 kg</t>
  </si>
  <si>
    <t>0.1189473684210526315789473684 kg</t>
  </si>
  <si>
    <t>Body &gt; Closures &gt; Driver Door &gt; Door Panel &gt; Door handle &gt; Handle &gt; Automated Process</t>
  </si>
  <si>
    <t xml:space="preserve">Injection plastic,painting
</t>
  </si>
  <si>
    <t>00000006IZ8AEU01 (AutoReverse)</t>
  </si>
  <si>
    <t>Body &gt; Closures &gt; Driver Door &gt; Door Panel &gt; Door handle &gt; Trim</t>
  </si>
  <si>
    <t>0.0648936170212765957446808511 kg</t>
  </si>
  <si>
    <t>Body &gt; Closures &gt; Driver Door &gt; Door Panel &gt; Door handle &gt; Trim &gt; Automated Process</t>
  </si>
  <si>
    <t>0.18300 kg</t>
  </si>
  <si>
    <t>0.1926315789473684210526315789 kg</t>
  </si>
  <si>
    <t>PC;ABS;LEATHER</t>
  </si>
  <si>
    <t>0000000A4FSTEU01 (AutoReverse)</t>
  </si>
  <si>
    <t>Body &gt; Closures &gt; Driver Door &gt; Door Panel &gt; Door handle &gt; Handle Support</t>
  </si>
  <si>
    <t>0.03400 kg</t>
  </si>
  <si>
    <t>0.0357894736842105263157894737 kg</t>
  </si>
  <si>
    <t>Body &gt; Closures &gt; Driver Door &gt; Door Panel &gt; Door handle &gt; Handle Support &gt; Automated Process</t>
  </si>
  <si>
    <t>00000003PN5QEU01 (AutoReverse)</t>
  </si>
  <si>
    <t>00000004OROAEU01 (AutoReverse)</t>
  </si>
  <si>
    <t>Body &gt; Closures &gt; Driver Door &gt; Door Panel &gt; Speaker Grill System</t>
  </si>
  <si>
    <t>Body &gt; Closures &gt; Driver Door &gt; Door Panel &gt; Speaker Grill System &gt; Speaker Grille</t>
  </si>
  <si>
    <t>0.09300 kg</t>
  </si>
  <si>
    <t>0.0978947368421052631578947368 kg</t>
  </si>
  <si>
    <t>Body &gt; Closures &gt; Driver Door &gt; Door Panel &gt; Speaker Grill System &gt; Speaker Grille &gt; Automated Process</t>
  </si>
  <si>
    <t>0000000552TNEU01 (AutoReverse)</t>
  </si>
  <si>
    <t>Body &gt; Closures &gt; Driver Door &gt; Door Panel &gt; Speaker Grill System &gt; Speaker Bezel</t>
  </si>
  <si>
    <t>0.03700 kg</t>
  </si>
  <si>
    <t>0.0389473684210526315789473684 kg</t>
  </si>
  <si>
    <t>Body &gt; Closures &gt; Driver Door &gt; Door Panel &gt; Speaker Grill System &gt; Speaker Bezel &gt; Automated Process</t>
  </si>
  <si>
    <t>00000001I1VHEU01 (AutoReverse)</t>
  </si>
  <si>
    <t>Body &gt; Closures &gt; Driver Door &gt; Door Panel &gt; Speaker Grill System &gt; Speaker Badge</t>
  </si>
  <si>
    <t>0.00375 kg</t>
  </si>
  <si>
    <t>Body &gt; Closures &gt; Driver Door &gt; Door Panel &gt; Speaker Grill System &gt; Speaker Badge &gt; Automated Process</t>
  </si>
  <si>
    <t xml:space="preserve">Stamping,Welding,painting
</t>
  </si>
  <si>
    <t>00000002140QEU01 (AutoReverse)</t>
  </si>
  <si>
    <t>Body &gt; Closures &gt; Driver Door &gt; Door Panel &gt; Speaker Grill System &gt; Medium Grilles</t>
  </si>
  <si>
    <t>0.02625 kg</t>
  </si>
  <si>
    <t>Body &gt; Closures &gt; Driver Door &gt; Door Panel &gt; Speaker Grill System &gt; Medium Grilles &gt; Automated Process</t>
  </si>
  <si>
    <t xml:space="preserve">Stamping,Chemical etching
</t>
  </si>
  <si>
    <t>00000008QYGLEU01 (AutoReverse)</t>
  </si>
  <si>
    <t>Body &gt; Closures &gt; Driver Door &gt; Door Panel &gt; Speaker Grill System &gt; Medium Grilles Support</t>
  </si>
  <si>
    <t>0.04700 kg</t>
  </si>
  <si>
    <t>0.0494736842105263157894736842 kg</t>
  </si>
  <si>
    <t>Body &gt; Closures &gt; Driver Door &gt; Door Panel &gt; Speaker Grill System &gt; Medium Grilles Support &gt; Automated Process</t>
  </si>
  <si>
    <t>000000AV6D8XEU02 (AutoReverse)</t>
  </si>
  <si>
    <t>00000003UPOKEU01 (AutoReverse)</t>
  </si>
  <si>
    <t>Body &gt; Closures &gt; Driver Door &gt; Door Panel &gt; Panel carrier</t>
  </si>
  <si>
    <t>1.44400 kg</t>
  </si>
  <si>
    <t>1.52 kg</t>
  </si>
  <si>
    <t>Body &gt; Closures &gt; Driver Door &gt; Door Panel &gt; Panel carrier &gt; Automated Process</t>
  </si>
  <si>
    <t>Injection plastic</t>
  </si>
  <si>
    <t>00000000ORNLEU01 (AutoReverse)</t>
  </si>
  <si>
    <t>Body &gt; Closures &gt; Driver Door &gt; Door Panel &gt; Insert</t>
  </si>
  <si>
    <t>Body &gt; Closures &gt; Driver Door &gt; Door Panel &gt; Insert &gt; Automated Process</t>
  </si>
  <si>
    <t>0.11150 kg</t>
  </si>
  <si>
    <t>0.1186170212765957446808510638 kg</t>
  </si>
  <si>
    <t>0000000884N3EU01 (AutoReverse)</t>
  </si>
  <si>
    <t>Body &gt; Closures &gt; Driver Door &gt; Door Panel &gt; Armrest</t>
  </si>
  <si>
    <t>0.66400 kg</t>
  </si>
  <si>
    <t>0.6989473684210526315789473684 kg</t>
  </si>
  <si>
    <t>Body &gt; Closures &gt; Driver Door &gt; Door Panel &gt; Armrest &gt; Automated Process</t>
  </si>
  <si>
    <t>0.33200 kg</t>
  </si>
  <si>
    <t>0.3531914893617021276595744681 kg</t>
  </si>
  <si>
    <t>PP-EPDM;LEATHER</t>
  </si>
  <si>
    <t>00000001XOBSEU01 (AutoReverse)</t>
  </si>
  <si>
    <t>Body &gt; Closures &gt; Driver Door &gt; Door Panel &gt; Trim</t>
  </si>
  <si>
    <t>0.10400 kg</t>
  </si>
  <si>
    <t>0.1094736842105263157894736842 kg</t>
  </si>
  <si>
    <t>Acrylnitril-Butadien-Styrol + Polycarbonat</t>
  </si>
  <si>
    <t>Body &gt; Closures &gt; Driver Door &gt; Door Panel &gt; Trim &gt; Automated Process</t>
  </si>
  <si>
    <t>00000009JFU9EU01 (AutoReverse)</t>
  </si>
  <si>
    <t>Body &gt; Closures &gt; Driver Door &gt; Door Panel &gt; Upper Band</t>
  </si>
  <si>
    <t>Body &gt; Closures &gt; Driver Door &gt; Door Panel &gt; Upper Band &gt; Automated Process</t>
  </si>
  <si>
    <t>0.15 kg</t>
  </si>
  <si>
    <t>000000081SFFEU01 (AutoReverse)</t>
  </si>
  <si>
    <t>Body &gt; Closures &gt; Driver Door &gt; Door Panel &gt; Door Map Pocket Panel</t>
  </si>
  <si>
    <t>0.42700 kg</t>
  </si>
  <si>
    <t>0.4494736842105263157894736842 kg</t>
  </si>
  <si>
    <t>Body &gt; Closures &gt; Driver Door &gt; Door Panel &gt; Door Map Pocket Panel &gt; Automated Process</t>
  </si>
  <si>
    <t>0000000AFK6SEU01 (AutoReverse)</t>
  </si>
  <si>
    <t>Body &gt; Closures &gt; Driver Door &gt; Door Panel &gt; Soundproofing</t>
  </si>
  <si>
    <t>0.41000 kg</t>
  </si>
  <si>
    <t>0.4315789473684210526315789474 kg</t>
  </si>
  <si>
    <t>Body &gt; Closures &gt; Driver Door &gt; Door Panel &gt; Soundproofing &gt; Automated Process</t>
  </si>
  <si>
    <t xml:space="preserve">Die Cutting, Welding
</t>
  </si>
  <si>
    <t>00000000962WEU01 (AutoReverse)</t>
  </si>
  <si>
    <t>Body &gt; Closures &gt; Driver Door &gt; Door Panel &gt; Reinforcement</t>
  </si>
  <si>
    <t>0.09800 kg</t>
  </si>
  <si>
    <t>0.1031578947368421052631578947 kg</t>
  </si>
  <si>
    <t>Body &gt; Closures &gt; Driver Door &gt; Door Panel &gt; Reinforcement &gt; Automated Process</t>
  </si>
  <si>
    <t>0000000A14ASEU01 (AutoReverse)</t>
  </si>
  <si>
    <t>Body &gt; Closures &gt; Driver Door &gt; Door Panel &gt; Storage Box Mat</t>
  </si>
  <si>
    <t>0.07600 kg</t>
  </si>
  <si>
    <t>0.08 kg</t>
  </si>
  <si>
    <t>Body &gt; Closures &gt; Driver Door &gt; Door Panel &gt; Storage Box Mat &gt; Automated Process</t>
  </si>
  <si>
    <t>00000004R1J2EU01 (AutoReverse)</t>
  </si>
  <si>
    <t>Body &gt; Closures &gt; Driver Door &gt; Door Panel &gt; 2nd Trim</t>
  </si>
  <si>
    <t>Body &gt; Closures &gt; Driver Door &gt; Door Panel &gt; 2nd Trim &gt; Automated Process</t>
  </si>
  <si>
    <t xml:space="preserve">Injection plastic,chroming
</t>
  </si>
  <si>
    <t>000000002PZTEU01 (AutoReverse)</t>
  </si>
  <si>
    <t>Body &gt; Closures &gt; Driver Door &gt; Door Panel &gt; Door Panel Adjuster</t>
  </si>
  <si>
    <t>0.01300 kg</t>
  </si>
  <si>
    <t>0.0136842105263157894736842105 kg</t>
  </si>
  <si>
    <t>Body &gt; Closures &gt; Driver Door &gt; Door Panel &gt; Door Panel Adjuster &gt; Automated Process</t>
  </si>
  <si>
    <t>A0000054HFB2EU01 (AutoReverse)</t>
  </si>
  <si>
    <t>Body &gt; Closures &gt; Driver Door &gt; Door Panel &gt; Door Panel Adjuster Support</t>
  </si>
  <si>
    <t>Body &gt; Closures &gt; Driver Door &gt; Door Panel &gt; Door Panel Adjuster Support &gt; Automated Process</t>
  </si>
  <si>
    <t>A0000054HFB3EU01 (AutoReverse)</t>
  </si>
  <si>
    <t>00000002Q5OSEU01 (AutoReverse)</t>
  </si>
  <si>
    <t>Body &gt; Closures &gt; Driver Door &gt; Power Controls</t>
  </si>
  <si>
    <t>00000009HAJCEU01 (AutoReverse)</t>
  </si>
  <si>
    <t>00000000CE9REU01 (AutoReverse)</t>
  </si>
  <si>
    <t>Body &gt; Closures &gt; Driver Door &gt; Speaker System</t>
  </si>
  <si>
    <t>0000000494NXEU01 (AutoReverse)</t>
  </si>
  <si>
    <t>PC;STEEL;ELECTRONIC COMPONENT</t>
  </si>
  <si>
    <t>0000000ADHSIEU01 (AutoReverse)</t>
  </si>
  <si>
    <t>Screws (GCDB_01_00620)</t>
  </si>
  <si>
    <t>000000061N5EEU01 (AutoReverse)</t>
  </si>
  <si>
    <t>Body &gt; Closures &gt; Driver Door &gt; Rear View Mirror System</t>
  </si>
  <si>
    <t>Body &gt; Closures &gt; Driver Door &gt; Rear View Mirror System &gt; Outside Rear View Mirror</t>
  </si>
  <si>
    <t>Body &gt; Closures &gt; Driver Door &gt; Rear View Mirror System &gt; Outside Rear View Mirror &gt; Folding Motor</t>
  </si>
  <si>
    <t>Body &gt; Closures &gt; Driver Door &gt; Rear View Mirror System &gt; Outside Rear View Mirror &gt; Folding Motor &gt; Process</t>
  </si>
  <si>
    <t>0000000799FOEU01 (AutoReverse)</t>
  </si>
  <si>
    <t>Body &gt; Closures &gt; Driver Door &gt; Rear View Mirror System &gt; Outside Rear View Mirror &gt; 360 View Camera side</t>
  </si>
  <si>
    <t>Body &gt; Closures &gt; Driver Door &gt; Rear View Mirror System &gt; Outside Rear View Mirror &gt; 360 View Camera side &gt; Process</t>
  </si>
  <si>
    <t>00000009APHJEU01 (AutoReverse)</t>
  </si>
  <si>
    <t>A2MAC1 Reference Cost</t>
  </si>
  <si>
    <t>PMMA-ASA;ELECTRONIC COMPONENT;GLASS</t>
  </si>
  <si>
    <t>000000083OLDEU01 (AutoReverse)</t>
  </si>
  <si>
    <t>Body &gt; Closures &gt; Driver Door &gt; Rear View Mirror System &gt; Outside Rear View Mirror &gt; Support</t>
  </si>
  <si>
    <t>0.33400 kg</t>
  </si>
  <si>
    <t>0.3515789473684210526315789474 kg</t>
  </si>
  <si>
    <t>Body &gt; Closures &gt; Driver Door &gt; Rear View Mirror System &gt; Outside Rear View Mirror &gt; Support &gt; Furnace heating</t>
  </si>
  <si>
    <t>Body &gt; Closures &gt; Driver Door &gt; Rear View Mirror System &gt; Outside Rear View Mirror &gt; Support &gt; Transport with laddle</t>
  </si>
  <si>
    <t>Body &gt; Closures &gt; Driver Door &gt; Rear View Mirror System &gt; Outside Rear View Mirror &gt; Support &gt; Pressing (Cold Chamber)</t>
  </si>
  <si>
    <t>Aluminium, Casting</t>
  </si>
  <si>
    <t>AL</t>
  </si>
  <si>
    <t>00000007UPTFEU01 (AutoReverse)</t>
  </si>
  <si>
    <t>00000007OSHQEU01 (AutoReverse)</t>
  </si>
  <si>
    <t>Body &gt; Closures &gt; Driver Door &gt; Rear View Mirror System &gt; Outside Rear View Mirror &gt; Mirror Support</t>
  </si>
  <si>
    <t>0.12400 kg</t>
  </si>
  <si>
    <t>0.1278350515463917525773195876 kg</t>
  </si>
  <si>
    <t>Body &gt; Closures &gt; Driver Door &gt; Rear View Mirror System &gt; Outside Rear View Mirror &gt; Mirror Support &gt; Injection molding</t>
  </si>
  <si>
    <t>Opening: 0.77 s, Ejection: 0.23 s, Insert: 0.00 s, Closing: 1.93 s, Removal: 1.64 s, Cooling: 14.70 s, Injection: 2.26</t>
  </si>
  <si>
    <t>PA 6 GF 30,Injection Molding</t>
  </si>
  <si>
    <t>A0000013QRNREU02 (AutoReverse)</t>
  </si>
  <si>
    <t>Body &gt; Closures &gt; Driver Door &gt; Rear View Mirror System &gt; Outside Rear View Mirror &gt; Lower Shell</t>
  </si>
  <si>
    <t>0.08000 kg</t>
  </si>
  <si>
    <t>0.0842105263157894736842105263 kg</t>
  </si>
  <si>
    <t>Acrylnitril-Butadien-Styrol</t>
  </si>
  <si>
    <t>Body &gt; Closures &gt; Driver Door &gt; Rear View Mirror System &gt; Outside Rear View Mirror &gt; Lower Shell &gt; Injection molding</t>
  </si>
  <si>
    <t>0.01000 kg</t>
  </si>
  <si>
    <t>0.0111111111111111111111111111 kg</t>
  </si>
  <si>
    <t>Body &gt; Closures &gt; Driver Door &gt; Rear View Mirror System &gt; Outside Rear View Mirror &gt; Lower Shell &gt; Painting</t>
  </si>
  <si>
    <t>Paint Line</t>
  </si>
  <si>
    <t>Painting of the plastic shell</t>
  </si>
  <si>
    <t>ABS,Injection Molding</t>
  </si>
  <si>
    <t>00000003ZR07EU01 (AutoReverse)</t>
  </si>
  <si>
    <t>Body &gt; Closures &gt; Driver Door &gt; Rear View Mirror System &gt; Outside Rear View Mirror &gt; Support Cover</t>
  </si>
  <si>
    <t>Body &gt; Closures &gt; Driver Door &gt; Rear View Mirror System &gt; Outside Rear View Mirror &gt; Support Cover &gt; Injection molding</t>
  </si>
  <si>
    <t>PMMA-ASA,Injection Molding</t>
  </si>
  <si>
    <t>PMMA-ASA</t>
  </si>
  <si>
    <t>00000000VOZXEU01 (AutoReverse)</t>
  </si>
  <si>
    <t>Body &gt; Closures &gt; Driver Door &gt; Rear View Mirror System &gt; Outside Rear View Mirror &gt; Support Lower Cover</t>
  </si>
  <si>
    <t>Body &gt; Closures &gt; Driver Door &gt; Rear View Mirror System &gt; Outside Rear View Mirror &gt; Support Lower Cover &gt; Injection molding</t>
  </si>
  <si>
    <t>0000000APSZ9EU01 (AutoReverse)</t>
  </si>
  <si>
    <t>Body &gt; Closures &gt; Driver Door &gt; Rear View Mirror System &gt; Outside Rear View Mirror &gt; Support Seal</t>
  </si>
  <si>
    <t>Body &gt; Closures &gt; Driver Door &gt; Rear View Mirror System &gt; Outside Rear View Mirror &gt; Support Seal &gt; Injection molding</t>
  </si>
  <si>
    <t>PP-GF30,Injection Molding</t>
  </si>
  <si>
    <t>PP;TPV</t>
  </si>
  <si>
    <t>00000006PT5REU01 (AutoReverse)</t>
  </si>
  <si>
    <t>Body &gt; Closures &gt; Driver Door &gt; Rear View Mirror System &gt; Outside Rear View Mirror &gt; Seal Cover</t>
  </si>
  <si>
    <t>0.00400 kg</t>
  </si>
  <si>
    <t>0.0042105263157894736842105263 kg</t>
  </si>
  <si>
    <t>Body &gt; Closures &gt; Driver Door &gt; Rear View Mirror System &gt; Outside Rear View Mirror &gt; Seal Cover &gt; Injection molding</t>
  </si>
  <si>
    <t>EPDM+PP,Injection Molding</t>
  </si>
  <si>
    <t>00000004N1CJEU01 (AutoReverse)</t>
  </si>
  <si>
    <t>Body &gt; Closures &gt; Driver Door &gt; Rear View Mirror System &gt; Outside Rear View Mirror &gt; 2nd Seal Cover</t>
  </si>
  <si>
    <t>0.0105263157894736842105263158 kg</t>
  </si>
  <si>
    <t>Body &gt; Closures &gt; Driver Door &gt; Rear View Mirror System &gt; Outside Rear View Mirror &gt; 2nd Seal Cover &gt; Injection molding</t>
  </si>
  <si>
    <t xml:space="preserve">PP-GF30,Injection Molding </t>
  </si>
  <si>
    <t>000000099JWQEU01 (AutoReverse)</t>
  </si>
  <si>
    <t>PMMA;ABS;ELECTRONIC COMPONENT</t>
  </si>
  <si>
    <t>00000004LQ3BEU01 (AutoReverse)</t>
  </si>
  <si>
    <t>Body &gt; Closures &gt; Driver Door &gt; Rear View Mirror System &gt; Outside Rear View Mirror &gt; Trim Signal</t>
  </si>
  <si>
    <t>Body &gt; Closures &gt; Driver Door &gt; Rear View Mirror System &gt; Outside Rear View Mirror &gt; Trim Signal &gt; Injection molding</t>
  </si>
  <si>
    <t>PMMA;ASA,Injection Molding</t>
  </si>
  <si>
    <t>PMMA;ASA</t>
  </si>
  <si>
    <t>00000009XUJJEU01 (AutoReverse)</t>
  </si>
  <si>
    <t>Body &gt; Closures &gt; Driver Door &gt; Rear View Mirror System &gt; Outside Rear View Mirror &gt; Folding Motor Support</t>
  </si>
  <si>
    <t>Body &gt; Closures &gt; Driver Door &gt; Rear View Mirror System &gt; Outside Rear View Mirror &gt; Folding Motor Support &gt; Injection molding</t>
  </si>
  <si>
    <t>PBT-GF30,Injection Molding</t>
  </si>
  <si>
    <t>00000003CUKOEU01 (AutoReverse)</t>
  </si>
  <si>
    <t>Body &gt; Closures &gt; Driver Door &gt; Rear View Mirror System &gt; Outside Rear View Mirror &gt; 360 View Camera Support</t>
  </si>
  <si>
    <t>Polyamid 6.6, 30% Glasfibre</t>
  </si>
  <si>
    <t>Body &gt; Closures &gt; Driver Door &gt; Rear View Mirror System &gt; Outside Rear View Mirror &gt; 360 View Camera Support &gt; Injection molding</t>
  </si>
  <si>
    <t>PA 6.6 GF 30,Injection Molding</t>
  </si>
  <si>
    <t>000000080JM7EU01 (AutoReverse)</t>
  </si>
  <si>
    <t>00000085N6N2CID0 (AutoReverse)</t>
  </si>
  <si>
    <t>Body &gt; Closures &gt; Driver Door &gt; Rear View Mirror System &gt; Outside Rear View Mirror &gt; Shell</t>
  </si>
  <si>
    <t>0.1134020618556701030927835052 kg</t>
  </si>
  <si>
    <t>Body &gt; Closures &gt; Driver Door &gt; Rear View Mirror System &gt; Outside Rear View Mirror &gt; Shell &gt; Injection molding</t>
  </si>
  <si>
    <t>Opening: 1.12 s, Ejection: 0.20 s, Insert: 0.00 s, Closing: 2.50 s, Removal: 1.74 s, Cooling: 21.78 s, Injection: 2.24</t>
  </si>
  <si>
    <t>Body &gt; Closures &gt; Driver Door &gt; Rear View Mirror System &gt; Outside Rear View Mirror &gt; Shell &gt; Painting</t>
  </si>
  <si>
    <t>Body &gt; Closures &gt; Driver Door &gt; Rear View Mirror System &gt; Outside Rear View Mirror &gt; Shell &gt; Handling and Packaging</t>
  </si>
  <si>
    <t>ABS,Injection Molding
Outside mirror shell</t>
  </si>
  <si>
    <t>00000000WXB6EU01 (AutoReverse)</t>
  </si>
  <si>
    <t>Body &gt; Closures &gt; Driver Door &gt; Rear View Mirror System &gt; Outside Rear View Mirror &gt; Assembly</t>
  </si>
  <si>
    <t>Closure - [Assembly] [Purchased]</t>
  </si>
  <si>
    <t>000000014ZVHEU01 (AutoReverse)</t>
  </si>
  <si>
    <t>Body &gt; Closures &gt; Driver Door &gt; Rear View Mirror System &gt; Interior Trim</t>
  </si>
  <si>
    <t>Polypropylen EPDM Blend</t>
  </si>
  <si>
    <t>Body &gt; Closures &gt; Driver Door &gt; Rear View Mirror System &gt; Interior Trim &gt; Injection molding</t>
  </si>
  <si>
    <t>PP-EPDM-TD10,Inection Molding</t>
  </si>
  <si>
    <t>00000007BS74EU01 (AutoReverse)</t>
  </si>
  <si>
    <t>Body &gt; Closures &gt; Driver Door &gt; Rear View Mirror System &gt; Inner Sound Insulation</t>
  </si>
  <si>
    <t>0.0010309278350515463917525773 kg</t>
  </si>
  <si>
    <t>Body &gt; Closures &gt; Driver Door &gt; Rear View Mirror System &gt; Inner Sound Insulation &gt; Press</t>
  </si>
  <si>
    <t xml:space="preserve">EPP EPS foaming press for Interior </t>
  </si>
  <si>
    <t>Body &gt; Closures &gt; Driver Door &gt; Rear View Mirror System &gt; Inner Sound Insulation &gt; Steam facility</t>
  </si>
  <si>
    <t>EPP,Foaming</t>
  </si>
  <si>
    <t>000000085ICPEU01 (AutoReverse)</t>
  </si>
  <si>
    <t>AL;BITUMINEOUS;ALUMINIUM</t>
  </si>
  <si>
    <t>000000094XPFEU01 (AutoReverse)</t>
  </si>
  <si>
    <t>000000068DYAEU01 (AutoReverse)</t>
  </si>
  <si>
    <t>Body &gt; Closures &gt; Driver Door &gt; Molding System</t>
  </si>
  <si>
    <t>Body &gt; Closures &gt; Driver Door &gt; Molding System &gt; A Pillar Accent</t>
  </si>
  <si>
    <t>0.022680412371134020618556701 kg</t>
  </si>
  <si>
    <t>Body &gt; Closures &gt; Driver Door &gt; Molding System &gt; A Pillar Accent &gt; Injection molding</t>
  </si>
  <si>
    <t>Opening: 0.67 s, Ejection: 0.07 s, Insert: 3.00 s, Closing: 1.67 s, Removal: 1.46 s, Cooling: 33.87 s, Injection: 1.60</t>
  </si>
  <si>
    <t>Body &gt; Closures &gt; Driver Door &gt; Molding System &gt; A Pillar Accent &gt; Handling/Visual Inspection/Packaging</t>
  </si>
  <si>
    <t>ASA-PMMA,Injection Molding</t>
  </si>
  <si>
    <t>Closure - [Mechanical Prod] [Purchased]</t>
  </si>
  <si>
    <t>ASA-PMMA</t>
  </si>
  <si>
    <t>0000000ASESEEU01 (AutoReverse)</t>
  </si>
  <si>
    <t>Body &gt; Closures &gt; Driver Door &gt; Molding System &gt; A Pillar Accent Seal</t>
  </si>
  <si>
    <t>Body &gt; Closures &gt; Driver Door &gt; Molding System &gt; A Pillar Accent Seal &gt; Injection molding</t>
  </si>
  <si>
    <t>Opening: 0.67 s, Ejection: 0.02 s, Insert: 0.00 s, Closing: 1.67 s, Removal: 1.42 s, Cooling: 17.57 s, Injection: 0.19</t>
  </si>
  <si>
    <t>Body &gt; Closures &gt; Driver Door &gt; Molding System &gt; A Pillar Accent Seal &gt; Handling/Visual Inspection/Packaging</t>
  </si>
  <si>
    <t>TPE,Injection Molding</t>
  </si>
  <si>
    <t>00000003DJU4EU01 (AutoReverse)</t>
  </si>
  <si>
    <t>000000016BRHEU01 (AutoReverse)</t>
  </si>
  <si>
    <t>Body &gt; Closures &gt; Driver Door &gt; Power System</t>
  </si>
  <si>
    <t>Body &gt; Closures &gt; Driver Door &gt; Power System &gt; Ambiant Light</t>
  </si>
  <si>
    <t>000000071YLMEU01 (AutoReverse)</t>
  </si>
  <si>
    <t>Body &gt; Closures &gt; Driver Door &gt; Power System &gt; Ambiant Light &gt; Light Diffuser</t>
  </si>
  <si>
    <t>0.0144329896907216494845360825 kg</t>
  </si>
  <si>
    <t>Body &gt; Closures &gt; Driver Door &gt; Power System &gt; Ambiant Light &gt; Light Diffuser &gt; Injection molding</t>
  </si>
  <si>
    <t>Opening: 2.20 s, Ejection: 0.01 s, Insert: 0.00 s, Closing: 4.40 s, Removal: 2.18 s, Cooling: 9.10 s, Injection: 1.33</t>
  </si>
  <si>
    <t>Body &gt; Closures &gt; Driver Door &gt; Power System &gt; Ambiant Light &gt; Light Diffuser &gt; Handling/Visual Inspection/Packaging</t>
  </si>
  <si>
    <t>PMMA,Injection Molding</t>
  </si>
  <si>
    <t>PMMA</t>
  </si>
  <si>
    <t>000000006K6CEU01 (AutoReverse)</t>
  </si>
  <si>
    <t>Body &gt; Closures &gt; Driver Door &gt; Power System &gt; Ambiant Light &gt; Mood Light Diffuser Support</t>
  </si>
  <si>
    <t>0.0319587628865979381443298969 kg</t>
  </si>
  <si>
    <t>Body &gt; Closures &gt; Driver Door &gt; Power System &gt; Ambiant Light &gt; Mood Light Diffuser Support &gt; Injection molding</t>
  </si>
  <si>
    <t>Opening: 2.20 s, Ejection: 0.04 s, Insert: 0.00 s, Closing: 4.40 s, Removal: 2.20 s, Cooling: 4.82 s, Injection: 1.78</t>
  </si>
  <si>
    <t>Body &gt; Closures &gt; Driver Door &gt; Power System &gt; Ambiant Light &gt; Mood Light Diffuser Support &gt; Handling/Visual Inspection/Packaging</t>
  </si>
  <si>
    <t>PP TD20,Injection Molding</t>
  </si>
  <si>
    <t>PMMA;PP</t>
  </si>
  <si>
    <t>0000000BSOJ0CID0 (AutoReverse)</t>
  </si>
  <si>
    <t>00000000KKSBEU01 (AutoReverse)</t>
  </si>
  <si>
    <t>Body &gt; Closures &gt; Driver Door &gt; Power System &gt; Harness</t>
  </si>
  <si>
    <t>Body &gt; Closures &gt; Driver Door &gt; Power System &gt; Harness &gt; Process</t>
  </si>
  <si>
    <t>00000003WI0DEU01 (AutoReverse)</t>
  </si>
  <si>
    <t>Cost included in "Harness"</t>
  </si>
  <si>
    <t>000000009FILEU01 (AutoReverse)</t>
  </si>
  <si>
    <t>000000067N4PEU01 (AutoReverse)</t>
  </si>
  <si>
    <t>00000001K2YFEU01 (AutoReverse)</t>
  </si>
  <si>
    <t>Body &gt; Closures &gt; Driver Door &gt; Hinges</t>
  </si>
  <si>
    <t>Body &gt; Closures &gt; Driver Door &gt; Hinges &gt; Upper</t>
  </si>
  <si>
    <t>Body &gt; Closures &gt; Driver Door &gt; Hinges &gt; Upper &gt; On Body</t>
  </si>
  <si>
    <t>0.20400 kg</t>
  </si>
  <si>
    <t>0.255 kg</t>
  </si>
  <si>
    <t>Body &gt; Closures &gt; Driver Door &gt; Hinges &gt; Upper &gt; On Body &gt; MANUFACTURING  PROCESS</t>
  </si>
  <si>
    <t>Steel , Casting</t>
  </si>
  <si>
    <t>00000001RHKFEU01 (AutoReverse)</t>
  </si>
  <si>
    <t>Body &gt; Closures &gt; Driver Door &gt; Hinges &gt; Upper &gt; On Door</t>
  </si>
  <si>
    <t>0.1225 kg</t>
  </si>
  <si>
    <t>Body &gt; Closures &gt; Driver Door &gt; Hinges &gt; Upper &gt; On Door &gt; MANUFACTURING  PROCESS</t>
  </si>
  <si>
    <t>00000004BCMEEU01 (AutoReverse)</t>
  </si>
  <si>
    <t>0000000AWQCNEU01 (AutoReverse)</t>
  </si>
  <si>
    <t>Body &gt; Closures &gt; Driver Door &gt; Hinges &gt; Lower</t>
  </si>
  <si>
    <t>Body &gt; Closures &gt; Driver Door &gt; Hinges &gt; Lower &gt; On Body</t>
  </si>
  <si>
    <t>Body &gt; Closures &gt; Driver Door &gt; Hinges &gt; Lower &gt; On Body &gt; MANUFACTURING  PROCESS</t>
  </si>
  <si>
    <t>00000000RKM8EU01 (AutoReverse)</t>
  </si>
  <si>
    <t>Body &gt; Closures &gt; Driver Door &gt; Hinges &gt; Lower &gt; On Door</t>
  </si>
  <si>
    <t>Body &gt; Closures &gt; Driver Door &gt; Hinges &gt; Lower &gt; On Door &gt; MANUFACTURING  PROCESS</t>
  </si>
  <si>
    <t>00000003TM6LEU01 (AutoReverse)</t>
  </si>
  <si>
    <t>00000004CI8DEU01 (AutoReverse)</t>
  </si>
  <si>
    <t>PA66;STEEL;PA,Injection Molding &amp; Stamping
Cost referred from Lucid Gravity</t>
  </si>
  <si>
    <t>PA66;STEEL;PA</t>
  </si>
  <si>
    <t>00000007OU6PEU01 (AutoReverse)</t>
  </si>
  <si>
    <t>Body &gt; Closures &gt; Driver Door &gt; Hinges &gt; Door Stopper Protection</t>
  </si>
  <si>
    <t>Polyethylen</t>
  </si>
  <si>
    <t>Body &gt; Closures &gt; Driver Door &gt; Hinges &gt; Door Stopper Protection &gt; Injection molding</t>
  </si>
  <si>
    <t>PE,Injection Molding</t>
  </si>
  <si>
    <t>Exterior - [Mechanical Prod] [Purchased]</t>
  </si>
  <si>
    <t>00000006GTD3EU01 (AutoReverse)</t>
  </si>
  <si>
    <t>00000006TUFAEU01 (AutoReverse)</t>
  </si>
  <si>
    <t>Body &gt; Closures &gt; Driver Door &gt; Sealing System</t>
  </si>
  <si>
    <t>Body &gt; Closures &gt; Driver Door &gt; Sealing System &gt; Door Weatherstripping</t>
  </si>
  <si>
    <t>Body &gt; Closures &gt; Driver Door &gt; Sealing System &gt; Door Weatherstripping &gt; On Body</t>
  </si>
  <si>
    <t>1.25000 kg</t>
  </si>
  <si>
    <t>1.3157894736842105263157894737 kg</t>
  </si>
  <si>
    <t>Ethylen-Propylen-Dien-Kautschuk</t>
  </si>
  <si>
    <t>Body &gt; Closures &gt; Driver Door &gt; Sealing System &gt; Door Weatherstripping &gt; On Body &gt; Seal Extrusion (Multi Layer)</t>
  </si>
  <si>
    <t>0.25000 kg</t>
  </si>
  <si>
    <t>0.2631578947368421052631578947 kg</t>
  </si>
  <si>
    <t>Body &gt; Closures &gt; Driver Door &gt; Sealing System &gt; Door Weatherstripping &gt; On Body &gt; End Glueing/Vulcanizing; Check and Pack</t>
  </si>
  <si>
    <t>EPDM;STEEL,Seal Extrusion</t>
  </si>
  <si>
    <t>EPDM;STEEL</t>
  </si>
  <si>
    <t>00000004V45UEU01 (AutoReverse)</t>
  </si>
  <si>
    <t>Body &gt; Closures &gt; Driver Door &gt; Sealing System &gt; Door Weatherstripping &gt; On Door</t>
  </si>
  <si>
    <t>0.23500 kg</t>
  </si>
  <si>
    <t>0.2473684210526315789473684211 kg</t>
  </si>
  <si>
    <t>Body &gt; Closures &gt; Driver Door &gt; Sealing System &gt; Door Weatherstripping &gt; On Door &gt; Seal Extrusion (Multi Layer)</t>
  </si>
  <si>
    <t>EPDM,Seal Extrusion</t>
  </si>
  <si>
    <t>00000002UZVTEU01 (AutoReverse)</t>
  </si>
  <si>
    <t>000000096IVMEU01 (AutoReverse)</t>
  </si>
  <si>
    <t>Body &gt; Closures &gt; Driver Door &gt; Sealing System &gt; Interior Weatherstrip</t>
  </si>
  <si>
    <t>0.35000 kg</t>
  </si>
  <si>
    <t>0.3684210526315789473684210526 kg</t>
  </si>
  <si>
    <t>Body &gt; Closures &gt; Driver Door &gt; Sealing System &gt; Interior Weatherstrip &gt; Seal Extrusion (Multi Layer)</t>
  </si>
  <si>
    <t>0.22500 kg</t>
  </si>
  <si>
    <t>0.2368421052631578947368421053 kg</t>
  </si>
  <si>
    <t>EPDM;Aluminium,Seal Extrusion</t>
  </si>
  <si>
    <t>EPDM;AL</t>
  </si>
  <si>
    <t>00000008UDPWEU01 (AutoReverse)</t>
  </si>
  <si>
    <t>Body &gt; Closures &gt; Driver Door &gt; Sealing System &gt; Exterior Weatherstrip</t>
  </si>
  <si>
    <t>0.17500 kg</t>
  </si>
  <si>
    <t>0.1842105263157894736842105263 kg</t>
  </si>
  <si>
    <t>Body &gt; Closures &gt; Driver Door &gt; Sealing System &gt; Exterior Weatherstrip &gt; Seal Extrusion (Multi Layer)</t>
  </si>
  <si>
    <t>0.10000 kg</t>
  </si>
  <si>
    <t>0.1052631578947368421052631579 kg</t>
  </si>
  <si>
    <t>EPDM;AL,Seal Extrusion</t>
  </si>
  <si>
    <t>0000000A2XUKEU01 (AutoReverse)</t>
  </si>
  <si>
    <t>Body &gt; Closures &gt; Driver Door &gt; Sealing System &gt; Exterior Weatherstrip Bezel</t>
  </si>
  <si>
    <t>0.08300 kg</t>
  </si>
  <si>
    <t>0.0878967266411801459297461585 kg</t>
  </si>
  <si>
    <t>Body &gt; Closures &gt; Driver Door &gt; Sealing System &gt; Exterior Weatherstrip Bezel &gt; Aluminum extrusion</t>
  </si>
  <si>
    <t>Aluminum extrusion</t>
  </si>
  <si>
    <t>000000040IPHEU01 (AutoReverse)</t>
  </si>
  <si>
    <t>000000044UU3EU01 (AutoReverse)</t>
  </si>
  <si>
    <t>Body &gt; Closures &gt; Driver Door &gt; Window System</t>
  </si>
  <si>
    <t>Body &gt; Closures &gt; Driver Door &gt; Window System &gt; Window Regulator Motor</t>
  </si>
  <si>
    <t>Body &gt; Closures &gt; Driver Door &gt; Window System &gt; Window Regulator Motor &gt; Process</t>
  </si>
  <si>
    <t>00000007SIUGEU01 (AutoReverse)</t>
  </si>
  <si>
    <t>Body &gt; Closures &gt; Driver Door &gt; Window System &gt; Window</t>
  </si>
  <si>
    <t>Body &gt; Closures &gt; Driver Door &gt; Window System &gt; Window &gt; Glas Panel</t>
  </si>
  <si>
    <t>Body &gt; Closures &gt; Driver Door &gt; Window System &gt; Window &gt; Glas Panel &gt; Process</t>
  </si>
  <si>
    <t xml:space="preserve">Melting 1 layer, Pouring 1 layer, Cool and Annealing 1 layer, Cut Glass to Form 1 layer, Grind edges 1 layer, Print black frit 1 layer,Mould glass layers 1, Bonding Glass and Layer, Washing and Final </t>
  </si>
  <si>
    <t>00000001QWD1EU01 (AutoReverse)</t>
  </si>
  <si>
    <t>AL;STEEL;PA6;PP</t>
  </si>
  <si>
    <t>00000009QZG8EU01 (AutoReverse)</t>
  </si>
  <si>
    <t>00000000NMJAEU01 (AutoReverse)</t>
  </si>
  <si>
    <t>Body &gt; Closures &gt; Driver Door &gt; Door Mechanism</t>
  </si>
  <si>
    <t>Body &gt; Closures &gt; Driver Door &gt; Door Mechanism &gt; Interior Side</t>
  </si>
  <si>
    <t>Body &gt; Closures &gt; Driver Door &gt; Door Mechanism &gt; Interior Side &gt; Opening Control</t>
  </si>
  <si>
    <t>Body &gt; Closures &gt; Driver Door &gt; Door Mechanism &gt; Interior Side &gt; Opening Control &gt; Injection molding</t>
  </si>
  <si>
    <t>PC;ABS,Injection Molding</t>
  </si>
  <si>
    <t>00000005VU0TEU01 (AutoReverse)</t>
  </si>
  <si>
    <t>Body &gt; Closures &gt; Driver Door &gt; Door Mechanism &gt; Interior Side &gt; Opening Control Support</t>
  </si>
  <si>
    <t>0.06800 kg</t>
  </si>
  <si>
    <t>0.0701030927835051546391752577 kg</t>
  </si>
  <si>
    <t>Body &gt; Closures &gt; Driver Door &gt; Door Mechanism &gt; Interior Side &gt; Opening Control Support &gt; Injection molding</t>
  </si>
  <si>
    <t>Opening: 0.67 s, Ejection: 0.18 s, Insert: 0.00 s, Closing: 1.67 s, Removal: 1.54 s, Cooling: 9.80 s, Injection: 2.11</t>
  </si>
  <si>
    <t>00000007UZ91EU01 (AutoReverse)</t>
  </si>
  <si>
    <t>00000000V3AAEU01 (AutoReverse)</t>
  </si>
  <si>
    <t>Body &gt; Closures &gt; Driver Door &gt; Door Mechanism &gt; Interior Side &gt; Spring</t>
  </si>
  <si>
    <t>0.00200 kg</t>
  </si>
  <si>
    <t>0.002 kg</t>
  </si>
  <si>
    <t>Body &gt; Closures &gt; Driver Door &gt; Door Mechanism &gt; Interior Side &gt; Spring &gt; Coiling + End forming</t>
  </si>
  <si>
    <t xml:space="preserve">1000mm Coiler : TotalForce: ; HeadForce: ; Subsequent Ops: WxLxH: xx Strokes: min, max, Average: ; ; 
</t>
  </si>
  <si>
    <t>T4-600</t>
  </si>
  <si>
    <t>Furnace</t>
  </si>
  <si>
    <t>Body &gt; Closures &gt; Driver Door &gt; Door Mechanism &gt; Interior Side &gt; Spring &gt; Heat treatment</t>
  </si>
  <si>
    <t>000000AEBPA8EU02 (AutoReverse)</t>
  </si>
  <si>
    <t>000000AEYE9QEU02 (AutoReverse)</t>
  </si>
  <si>
    <t>00000006CF8IEU01 (AutoReverse)</t>
  </si>
  <si>
    <t>Body &gt; Closures &gt; Driver Door &gt; Door Mechanism &gt; Exterior Side</t>
  </si>
  <si>
    <t>Body &gt; Closures &gt; Driver Door &gt; Door Mechanism &gt; Exterior Side &gt; Opening Control</t>
  </si>
  <si>
    <t>Body &gt; Closures &gt; Driver Door &gt; Door Mechanism &gt; Exterior Side &gt; Opening Control &gt; Injection molding</t>
  </si>
  <si>
    <t>Opening: 0.67 s, Ejection: 0.14 s, Insert: 0.00 s, Closing: 1.67 s, Removal: 1.51 s, Cooling: 6.27 s, Injection: 2.11</t>
  </si>
  <si>
    <t>PA6;TPS-SEBS</t>
  </si>
  <si>
    <t>00000001A71LEU01 (AutoReverse)</t>
  </si>
  <si>
    <t>Body &gt; Closures &gt; Driver Door &gt; Door Mechanism &gt; Exterior Side &gt; Opening Control Support</t>
  </si>
  <si>
    <t>0.28000 kg</t>
  </si>
  <si>
    <t>0.2886597938144329896907216495 kg</t>
  </si>
  <si>
    <t>Body &gt; Closures &gt; Driver Door &gt; Door Mechanism &gt; Exterior Side &gt; Opening Control Support &gt; Injection molding</t>
  </si>
  <si>
    <t>Opening: 1.38 s, Ejection: 0.16 s, Insert: 0.00 s, Closing: 3.06 s, Removal: 1.86 s, Cooling: 39.19 s, Injection: 2.38</t>
  </si>
  <si>
    <t>00000005XZAYEU01 (AutoReverse)</t>
  </si>
  <si>
    <t>Body &gt; Closures &gt; Driver Door &gt; Door Mechanism &gt; Exterior Side &gt; Bezel</t>
  </si>
  <si>
    <t>0.025773195876288659793814433 kg</t>
  </si>
  <si>
    <t>Body &gt; Closures &gt; Driver Door &gt; Door Mechanism &gt; Exterior Side &gt; Bezel &gt; Injection molding</t>
  </si>
  <si>
    <t>Opening: 0.77 s, Ejection: 0.07 s, Insert: 0.00 s, Closing: 1.93 s, Removal: 1.50 s, Cooling: 14.67 s, Injection: 1.67</t>
  </si>
  <si>
    <t>0.005102040816326530612244898 kg</t>
  </si>
  <si>
    <t>Body &gt; Closures &gt; Driver Door &gt; Door Mechanism &gt; Exterior Side &gt; Bezel &gt; Painting</t>
  </si>
  <si>
    <t>PC-PBT</t>
  </si>
  <si>
    <t>00000006BHS9EU01 (AutoReverse)</t>
  </si>
  <si>
    <t>Body &gt; Closures &gt; Driver Door &gt; Door Mechanism &gt; Exterior Side &gt; 2nd Bezel</t>
  </si>
  <si>
    <t>0.0473684210526315789473684211 kg</t>
  </si>
  <si>
    <t>Polybutylenterephthalat + Polycarbonat</t>
  </si>
  <si>
    <t>Body &gt; Closures &gt; Driver Door &gt; Door Mechanism &gt; Exterior Side &gt; 2nd Bezel &gt; Injection molding</t>
  </si>
  <si>
    <t>Body &gt; Closures &gt; Driver Door &gt; Door Mechanism &gt; Exterior Side &gt; 2nd Bezel &gt; Painting</t>
  </si>
  <si>
    <t>000000A02XYHEU02 (AutoReverse)</t>
  </si>
  <si>
    <t>00000009ZP1SEU01 (AutoReverse)</t>
  </si>
  <si>
    <t>00000002TO4PEU01 (AutoReverse)</t>
  </si>
  <si>
    <t>Body &gt; Closures &gt; Driver Door &gt; Door Mechanism &gt; Exterior Side &gt; Mechanism</t>
  </si>
  <si>
    <t xml:space="preserve">Body &gt; Closures &gt; Driver Door &gt; Door Mechanism &gt; Exterior Side &gt; Mechanism &gt; Injection molding </t>
  </si>
  <si>
    <t>Opening: 0.67 s, Ejection: 0.03 s, Insert: 0.00 s, Closing: 1.67 s, Removal: 1.43 s, Cooling: 20.12 s, Injection: 1.60</t>
  </si>
  <si>
    <t>000000AF3P4AEU02 (AutoReverse)</t>
  </si>
  <si>
    <t>Subassembly assumed made by Tier 1 (Novares, Plastic Omnium, Kiekert, Huf Group)</t>
  </si>
  <si>
    <t>00000005Y2XWEU01 (AutoReverse)</t>
  </si>
  <si>
    <t>ELECTRONIC COMPONENT;STEEL;TPE;PP</t>
  </si>
  <si>
    <t>00000007GQUIEU01 (AutoReverse)</t>
  </si>
  <si>
    <t>Body &gt; Closures &gt; Driver Door &gt; Door Mechanism &gt; Door Striker</t>
  </si>
  <si>
    <t>0.09400 kg</t>
  </si>
  <si>
    <t>0.1342857142857142857142857143 kg</t>
  </si>
  <si>
    <t xml:space="preserve">Body &gt; Closures &gt; Driver Door &gt; Door Mechanism &gt; Door Striker &gt; Stamping </t>
  </si>
  <si>
    <t>Referred from Lucid Gravity</t>
  </si>
  <si>
    <t>Wire Bending</t>
  </si>
  <si>
    <t>Body &gt; Closures &gt; Driver Door &gt; Door Mechanism &gt; Door Striker &gt; Wire Bending</t>
  </si>
  <si>
    <t>Body &gt; Closures &gt; Driver Door &gt; Door Mechanism &gt; Door Striker &gt; Press fit</t>
  </si>
  <si>
    <t>00000002S028EU01 (AutoReverse)</t>
  </si>
  <si>
    <t>Body &gt; Closures &gt; Driver Door &gt; Door Mechanism &gt; Access Cover</t>
  </si>
  <si>
    <t>0.0021052631578947368421052632 kg</t>
  </si>
  <si>
    <t>Body &gt; Closures &gt; Driver Door &gt; Door Mechanism &gt; Access Cover &gt; Injection molding</t>
  </si>
  <si>
    <t>EPDM + PP, Injection Molding</t>
  </si>
  <si>
    <t>00000008G69KEU01 (AutoReverse)</t>
  </si>
  <si>
    <t>Motor Cost - 1.75 € ; Other parts - 1.75</t>
  </si>
  <si>
    <t>000000041VBXEU01 (AutoReverse)</t>
  </si>
  <si>
    <t>Body &gt; Closures &gt; Driver Door &gt; Door Mechanism &gt; Assembly</t>
  </si>
  <si>
    <t>00000003X4JVEU01 (AutoReverse)</t>
  </si>
  <si>
    <t>Body &gt; Closures &gt; Driver Door &gt; Door Moisture Shield</t>
  </si>
  <si>
    <t>0.10625 kg</t>
  </si>
  <si>
    <t>Body &gt; Closures &gt; Driver Door &gt; Door Moisture Shield &gt; Thermocompression</t>
  </si>
  <si>
    <t>2025</t>
  </si>
  <si>
    <t>Thermocompression press - forms the skin</t>
  </si>
  <si>
    <t>Placement robot, 6 axis, 2.5kg</t>
  </si>
  <si>
    <t>Body &gt; Closures &gt; Driver Door &gt; Door Moisture Shield &gt; Placement sheet</t>
  </si>
  <si>
    <t>PE,Thermocompression</t>
  </si>
  <si>
    <t>IXPE</t>
  </si>
  <si>
    <t>00000009GUXPEU01 (AutoReverse)</t>
  </si>
  <si>
    <t>00000002CN3PEU01 (AutoReverse)</t>
  </si>
  <si>
    <t>00000001MAK4EU01 (AutoReverse)</t>
  </si>
  <si>
    <t>Body &gt; Closures &gt; Driver Door &gt; Assembly</t>
  </si>
  <si>
    <t>0000000ABCA9EU01 (AutoReverse)</t>
  </si>
  <si>
    <t>Body &gt; Closures &gt; Hood</t>
  </si>
  <si>
    <t>Body &gt; Closures &gt; Hood &gt; Hinges System</t>
  </si>
  <si>
    <t>Body &gt; Closures &gt; Hood &gt; Hinges System &gt; Left</t>
  </si>
  <si>
    <t>Body &gt; Closures &gt; Hood &gt; Hinges System &gt; Left &gt; Hinges&gt;Hood&gt;On BIW&gt;Part 01 (single/main)</t>
  </si>
  <si>
    <t>0.34500 kg</t>
  </si>
  <si>
    <t>0.43125 kg</t>
  </si>
  <si>
    <t>Body &gt; Closures &gt; Hood &gt; Hinges System &gt; Left &gt; Hinges&gt;Hood&gt;On BIW&gt;Part 01 (single/main) &gt; MANUFACTURING  PROCESS</t>
  </si>
  <si>
    <t>Steel , Stamping</t>
  </si>
  <si>
    <t>Body &gt; Closures &gt; Hood &gt; Hinges System &gt; Left &gt; Hinges&gt;Hood&gt;On hood&gt;Part 01 (single/main)</t>
  </si>
  <si>
    <t>0.34200 kg</t>
  </si>
  <si>
    <t>0.4275 kg</t>
  </si>
  <si>
    <t>Body &gt; Closures &gt; Hood &gt; Hinges System &gt; Left &gt; Hinges&gt;Hood&gt;On hood&gt;Part 01 (single/main) &gt; MANUFACTURING  PROCESS</t>
  </si>
  <si>
    <t>Body &gt; Closures &gt; Hood &gt; Hinges System &gt; Left &gt; Hinges&gt;Hood&gt;Joint&gt;Part 01 (single/main)</t>
  </si>
  <si>
    <t>0.62700 kg</t>
  </si>
  <si>
    <t>0.8957142857142857142857142857 kg</t>
  </si>
  <si>
    <t>Body &gt; Closures &gt; Hood &gt; Hinges System &gt; Left &gt; Hinges&gt;Hood&gt;Joint&gt;Part 01 (single/main) &gt; MANUFACTURING  PROCESS</t>
  </si>
  <si>
    <t>000000082RB1EU01 (AutoReverse)</t>
  </si>
  <si>
    <t>Body &gt; Closures &gt; Hood &gt; Hinges System &gt; Right</t>
  </si>
  <si>
    <t>Body &gt; Closures &gt; Hood &gt; Hinges System &gt; Right &gt; Hinges&gt;Hood&gt;On BIW&gt;Part 01 (single/main)</t>
  </si>
  <si>
    <t>Body &gt; Closures &gt; Hood &gt; Hinges System &gt; Right &gt; Hinges&gt;Hood&gt;On BIW&gt;Part 01 (single/main) &gt; MANUFACTURING  PROCESS</t>
  </si>
  <si>
    <t>Body &gt; Closures &gt; Hood &gt; Hinges System &gt; Right &gt; Hinges&gt;Hood&gt;On hood&gt;Part 01 (single/main)</t>
  </si>
  <si>
    <t>Body &gt; Closures &gt; Hood &gt; Hinges System &gt; Right &gt; Hinges&gt;Hood&gt;On hood&gt;Part 01 (single/main) &gt; MANUFACTURING  PROCESS</t>
  </si>
  <si>
    <t>Body &gt; Closures &gt; Hood &gt; Hinges System &gt; Right &gt; Hinges&gt;Hood&gt;Joint&gt;Part 01 (single/main)</t>
  </si>
  <si>
    <t>Body &gt; Closures &gt; Hood &gt; Hinges System &gt; Right &gt; Hinges&gt;Hood&gt;Joint&gt;Part 01 (single/main) &gt; MANUFACTURING  PROCESS</t>
  </si>
  <si>
    <t>00000001GU1PEU01 (AutoReverse)</t>
  </si>
  <si>
    <t>00000004KP24EU01 (AutoReverse)</t>
  </si>
  <si>
    <t>Body &gt; Closures &gt; Hood &gt; Hood Opening Closing Mechanism</t>
  </si>
  <si>
    <t>Body &gt; Closures &gt; Hood &gt; Hood Opening Closing Mechanism &gt; Cable On Front End Module</t>
  </si>
  <si>
    <t xml:space="preserve">Body &gt; Closures &gt; Hood &gt; Hood Opening Closing Mechanism &gt; Cable On Front End Module &gt; Cinch Cable Conduit </t>
  </si>
  <si>
    <t>Body &gt; Closures &gt; Hood &gt; Hood Opening Closing Mechanism &gt; Cable On Front End Module &gt; Cinch Cable Conduit  &gt; Extrusion Rubber</t>
  </si>
  <si>
    <t>Exterior Rubber</t>
  </si>
  <si>
    <t>Body &gt; Closures &gt; Hood &gt; Hood Opening Closing Mechanism &gt; Cable On Front End Module &gt; Cable Abutment Actuator</t>
  </si>
  <si>
    <t>0.00150 kg</t>
  </si>
  <si>
    <t>0.001595744680851063829787234 kg</t>
  </si>
  <si>
    <t>Body &gt; Closures &gt; Hood &gt; Hood Opening Closing Mechanism &gt; Cable On Front End Module &gt; Cable Abutment Actuator &gt; Injection molding</t>
  </si>
  <si>
    <t>Opening: 0.67 s, Ejection: 0.02 s, Insert: 0.00 s, Closing: 1.67 s, Removal: 1.42 s, Cooling: 5.51 s, Injection: 0.42</t>
  </si>
  <si>
    <t>Body &gt; Closures &gt; Hood &gt; Hood Opening Closing Mechanism &gt; Cable On Front End Module &gt; Foam</t>
  </si>
  <si>
    <t>Polyurethan</t>
  </si>
  <si>
    <t>Body &gt; Closures &gt; Hood &gt; Hood Opening Closing Mechanism &gt; Cable On Front End Module &gt; Foam &gt; Injection foam carrousel</t>
  </si>
  <si>
    <t xml:space="preserve">Injection of poliurethane process into the mold </t>
  </si>
  <si>
    <t>Body &gt; Closures &gt; Hood &gt; Hood Opening Closing Mechanism &gt; Cable On Front End Module &gt; Assembly</t>
  </si>
  <si>
    <t>0000000110L6EU01 (AutoReverse)</t>
  </si>
  <si>
    <t>Cost referred from BYD Song</t>
  </si>
  <si>
    <t>00000002BPHWEU01 (AutoReverse)</t>
  </si>
  <si>
    <t>00000003Q97QEU01 (AutoReverse)</t>
  </si>
  <si>
    <t>Body &gt; Closures &gt; Hood &gt; Hood Opening Closing Mechanism &gt; Latch   Safety Hook Access Trim</t>
  </si>
  <si>
    <t>0.0185567010309278350515463918 kg</t>
  </si>
  <si>
    <t>Body &gt; Closures &gt; Hood &gt; Hood Opening Closing Mechanism &gt; Latch   Safety Hook Access Trim &gt; Injection molding</t>
  </si>
  <si>
    <t>Opening: 1.38 s, Ejection: 0.32 s, Insert: 0.00 s, Closing: 3.06 s, Removal: 1.99 s, Cooling: 43.34 s, Injection: 1.48</t>
  </si>
  <si>
    <t>Body &gt; Closures &gt; Hood &gt; Hood Opening Closing Mechanism &gt; Latch   Safety Hook Access Trim &gt; Handling/Visual Inspection/Packaging</t>
  </si>
  <si>
    <t>0000000612M5EU01 (AutoReverse)</t>
  </si>
  <si>
    <t>0000000AO72REU01 (AutoReverse)</t>
  </si>
  <si>
    <t>Body &gt; Closures &gt; Hood &gt; Hood Opening Closing Mechanism &gt; Support Opening Actuator</t>
  </si>
  <si>
    <t>0.0855670103092783505154639175 kg</t>
  </si>
  <si>
    <t>Body &gt; Closures &gt; Hood &gt; Hood Opening Closing Mechanism &gt; Support Opening Actuator &gt; Injection molding</t>
  </si>
  <si>
    <t>Opening: 1.38 s, Ejection: 0.11 s, Insert: 0.00 s, Closing: 3.06 s, Removal: 1.82 s, Cooling: 8.14 s, Injection: 2.17</t>
  </si>
  <si>
    <t>Body &gt; Closures &gt; Hood &gt; Hood Opening Closing Mechanism &gt; Support Opening Actuator &gt; Handling/Visual Inspection/Packaging</t>
  </si>
  <si>
    <t>00000008HJ9KEU01 (AutoReverse)</t>
  </si>
  <si>
    <t>00000008SHJSEU01 (AutoReverse)</t>
  </si>
  <si>
    <t>Body &gt; Closures &gt; Hood &gt; Struts System</t>
  </si>
  <si>
    <t>Cost referred from BMW X7</t>
  </si>
  <si>
    <t>00000003AYTEEU01 (AutoReverse)</t>
  </si>
  <si>
    <t>Cost referred from Rivian R1S</t>
  </si>
  <si>
    <t>000000093RGJEU01 (AutoReverse)</t>
  </si>
  <si>
    <t>00000001FT2FEU01 (AutoReverse)</t>
  </si>
  <si>
    <t>Body &gt; Closures &gt; Hood &gt; Sealing</t>
  </si>
  <si>
    <t>Body &gt; Closures &gt; Hood &gt; Sealing &gt; Side on Body</t>
  </si>
  <si>
    <t>Body &gt; Closures &gt; Hood &gt; Sealing &gt; Side on Body &gt; Injection foam carrousel</t>
  </si>
  <si>
    <t>Body &gt; Closures &gt; Hood &gt; Sealing &gt; Side on Body &gt; Handling/Visual Inspection/Packaging</t>
  </si>
  <si>
    <t>00000000EMOXEU01 (AutoReverse)</t>
  </si>
  <si>
    <t>Body &gt; Closures &gt; Hood &gt; Sealing &gt; 2nd Side Seal on Body</t>
  </si>
  <si>
    <t>Body &gt; Closures &gt; Hood &gt; Sealing &gt; 2nd Side Seal on Body &gt; Injection foam carrousel</t>
  </si>
  <si>
    <t>Body &gt; Closures &gt; Hood &gt; Sealing &gt; 2nd Side Seal on Body &gt; Handling/Visual Inspection/Packaging</t>
  </si>
  <si>
    <t>00000005CSPCEU01 (AutoReverse)</t>
  </si>
  <si>
    <t>00000006C12IEU01 (AutoReverse)</t>
  </si>
  <si>
    <t>Body &gt; Closures &gt; Hood &gt; Stoppers</t>
  </si>
  <si>
    <t>Body &gt; Closures &gt; Hood &gt; Stoppers &gt; Adjustable Stoppers on Body</t>
  </si>
  <si>
    <t>Body &gt; Closures &gt; Hood &gt; Stoppers &gt; Adjustable Stoppers on Body &gt; Injection molding</t>
  </si>
  <si>
    <t>00000006ER3JEU01 (AutoReverse)</t>
  </si>
  <si>
    <t>Body &gt; Closures &gt; Hood &gt; Stoppers &gt; 2nd Adjustable Stoppers on Body</t>
  </si>
  <si>
    <t>Body &gt; Closures &gt; Hood &gt; Stoppers &gt; 2nd Adjustable Stoppers on Body &gt; Injection molding</t>
  </si>
  <si>
    <t>0000000AFW8MEU01 (AutoReverse)</t>
  </si>
  <si>
    <t>00000002EVWGEU01 (AutoReverse)</t>
  </si>
  <si>
    <t>Body &gt; Closures &gt; Hood &gt; Hood</t>
  </si>
  <si>
    <t>Body &gt; Closures &gt; Hood &gt; Hood &gt; Lining assy</t>
  </si>
  <si>
    <t>Body &gt; Closures &gt; Hood &gt; Hood &gt; Lining assy &gt; Lining</t>
  </si>
  <si>
    <t>Body &gt; Closures &gt; Hood &gt; Hood &gt; Lining assy &gt; Lining &gt; Part 01 (single/main)</t>
  </si>
  <si>
    <t>Body &gt; Closures &gt; Hood &gt; Hood &gt; Lining assy &gt; Lining &gt; Part 01 (single/main) &gt; Stamping</t>
  </si>
  <si>
    <t>4.07000 kg</t>
  </si>
  <si>
    <t>11.621598469489734730590217298 kg</t>
  </si>
  <si>
    <t>Body &gt; Closures &gt; Hood &gt; Hood &gt; Lining assy &gt; Lining &gt; Part 01 (single/main) &gt; Blanking</t>
  </si>
  <si>
    <t>Aluminium , Stamping</t>
  </si>
  <si>
    <t>00000005EV2NEU01 (AutoReverse)</t>
  </si>
  <si>
    <t>Body &gt; Closures &gt; Hood &gt; Hood &gt; Lining assy &gt; Spacers</t>
  </si>
  <si>
    <t>Body &gt; Closures &gt; Hood &gt; Hood &gt; Lining assy &gt; Spacers &gt; Closures&gt;Hood&gt;Lining assy&gt;Spacers&gt;Part 01 (main/single)</t>
  </si>
  <si>
    <t>0.13600 kg</t>
  </si>
  <si>
    <t>0.1813333333333333333333333333 kg</t>
  </si>
  <si>
    <t>Body &gt; Closures &gt; Hood &gt; Hood &gt; Lining assy &gt; Spacers &gt; Closures&gt;Hood&gt;Lining assy&gt;Spacers&gt;Part 01 (main/single) &gt; MANUFACTURING  PROCESS</t>
  </si>
  <si>
    <t>000000052730EU01 (AutoReverse)</t>
  </si>
  <si>
    <t>Body &gt; Closures &gt; Hood &gt; Hood &gt; Lining assy &gt; Fixing parts</t>
  </si>
  <si>
    <t>Body &gt; Closures &gt; Hood &gt; Hood &gt; Lining assy &gt; Fixing parts &gt; Closures&gt;Hood&gt;Lining assy&gt;Fixing parts&gt;Part 02</t>
  </si>
  <si>
    <t>0.19900 kg</t>
  </si>
  <si>
    <t>0.24875 kg</t>
  </si>
  <si>
    <t>Body &gt; Closures &gt; Hood &gt; Hood &gt; Lining assy &gt; Fixing parts &gt; Closures&gt;Hood&gt;Lining assy&gt;Fixing parts&gt;Part 02 &gt; MANUFACTURING  PROCESS</t>
  </si>
  <si>
    <t>Body &gt; Closures &gt; Hood &gt; Hood &gt; Lining assy &gt; Fixing parts &gt; Closures&gt;Hood&gt;Lining assy&gt;Fixing parts&gt;Part 01 (main/single)</t>
  </si>
  <si>
    <t>0.42200 kg</t>
  </si>
  <si>
    <t>0.5275 kg</t>
  </si>
  <si>
    <t>Body &gt; Closures &gt; Hood &gt; Hood &gt; Lining assy &gt; Fixing parts &gt; Closures&gt;Hood&gt;Lining assy&gt;Fixing parts&gt;Part 01 (main/single) &gt; MANUFACTURING  PROCESS</t>
  </si>
  <si>
    <t>00000006ZT4KEU01 (AutoReverse)</t>
  </si>
  <si>
    <t>Body &gt; Closures &gt; Hood &gt; Hood &gt; Lining assy &gt; Striker</t>
  </si>
  <si>
    <t>Body &gt; Closures &gt; Hood &gt; Hood &gt; Lining assy &gt; Striker &gt; Closures&gt;Hood&gt;Lining assy&gt;Striker&gt;Part 01 (main/single)</t>
  </si>
  <si>
    <t>0.04800 kg</t>
  </si>
  <si>
    <t>0.06 kg</t>
  </si>
  <si>
    <t>Body &gt; Closures &gt; Hood &gt; Hood &gt; Lining assy &gt; Striker &gt; Closures&gt;Hood&gt;Lining assy&gt;Striker&gt;Part 01 (main/single) &gt; MANUFACTURING  PROCESS</t>
  </si>
  <si>
    <t>Steel , Bending</t>
  </si>
  <si>
    <t>00000005G156EU01 (AutoReverse)</t>
  </si>
  <si>
    <t>00000009KVS3EU01 (AutoReverse)</t>
  </si>
  <si>
    <t>Body &gt; Closures &gt; Hood &gt; Hood &gt; Outer panel</t>
  </si>
  <si>
    <t>Body &gt; Closures &gt; Hood &gt; Hood &gt; Outer panel &gt; Closures&gt;Hood&gt;Outer panel&gt;Part 01 (main/single)</t>
  </si>
  <si>
    <t>4.49400 kg</t>
  </si>
  <si>
    <t>5.6175 kg</t>
  </si>
  <si>
    <t>Body &gt; Closures &gt; Hood &gt; Hood &gt; Outer panel &gt; Closures&gt;Hood&gt;Outer panel&gt;Part 01 (main/single) &gt; MANUFACTURING  PROCESS</t>
  </si>
  <si>
    <t>00000000K5HPEU01 (AutoReverse)</t>
  </si>
  <si>
    <t>Body &gt; Closures &gt; Hood &gt; Hood &gt; Assembly</t>
  </si>
  <si>
    <t>00000003QO3FEU01 (AutoReverse)</t>
  </si>
  <si>
    <t>Body &gt; Closures &gt; Hood &gt; Symbol</t>
  </si>
  <si>
    <t>0.0288659793814432989690721649 kg</t>
  </si>
  <si>
    <t>Body &gt; Closures &gt; Hood &gt; Symbol &gt; Injection molding</t>
  </si>
  <si>
    <t>Opening: 1.12 s, Ejection: 0.05 s, Insert: 0.00 s, Closing: 2.50 s, Removal: 1.62 s, Cooling: 41.75 s, Injection: 1.73</t>
  </si>
  <si>
    <t>0.0102040816326530612244897959 kg</t>
  </si>
  <si>
    <t>Body &gt; Closures &gt; Hood &gt; Symbol &gt; Painting</t>
  </si>
  <si>
    <t>0.0311111111111111111111111111 kg</t>
  </si>
  <si>
    <t>Body &gt; Closures &gt; Hood &gt; Symbol &gt; Chroming line - Small Parts</t>
  </si>
  <si>
    <t>000000094DH0EU01 (AutoReverse)</t>
  </si>
  <si>
    <t>00000000WJG8EU01 (AutoReverse)</t>
  </si>
  <si>
    <t>Body &gt; Closures &gt; Hood &gt; Assembly</t>
  </si>
  <si>
    <t>00000000JUFREU01 (AutoReverse)</t>
  </si>
  <si>
    <t>Body &gt; Closures &gt; Trunk</t>
  </si>
  <si>
    <t>Body &gt; Closures &gt; Trunk &gt; Trunk Frame</t>
  </si>
  <si>
    <t>Body &gt; Closures &gt; Trunk &gt; Trunk Frame &gt; Trunk Frame</t>
  </si>
  <si>
    <t>Body &gt; Closures &gt; Trunk &gt; Trunk Frame &gt; Trunk Frame &gt; Lining assy</t>
  </si>
  <si>
    <t>Body &gt; Closures &gt; Trunk &gt; Trunk Frame &gt; Trunk Frame &gt; Lining assy &gt; Lining</t>
  </si>
  <si>
    <t>Body &gt; Closures &gt; Trunk &gt; Trunk Frame &gt; Trunk Frame &gt; Lining assy &gt; Lining &gt; Closures&gt;Tailgate or trunk&gt;Lining assy&gt;Lining&gt;Part 01 (single/upper)</t>
  </si>
  <si>
    <t>3.86600 kg</t>
  </si>
  <si>
    <t>4.8325 kg</t>
  </si>
  <si>
    <t>Body &gt; Closures &gt; Trunk &gt; Trunk Frame &gt; Trunk Frame &gt; Lining assy &gt; Lining &gt; Closures&gt;Tailgate or trunk&gt;Lining assy&gt;Lining&gt;Part 01 (single/upper) &gt; MANUFACTURING  PROCESS</t>
  </si>
  <si>
    <t>Body &gt; Closures &gt; Trunk &gt; Trunk Frame &gt; Trunk Frame &gt; Lining assy &gt; Lining &gt; Closures&gt;Tailgate or trunk&gt;Lining assy&gt;Lining&gt;Part 02 (lower)</t>
  </si>
  <si>
    <t>0.05100 kg</t>
  </si>
  <si>
    <t>0.068 kg</t>
  </si>
  <si>
    <t>Body &gt; Closures &gt; Trunk &gt; Trunk Frame &gt; Trunk Frame &gt; Lining assy &gt; Lining &gt; Closures&gt;Tailgate or trunk&gt;Lining assy&gt;Lining&gt;Part 02 (lower) &gt; MANUFACTURING  PROCESS</t>
  </si>
  <si>
    <t>00000003ZX3KEU01 (AutoReverse)</t>
  </si>
  <si>
    <t>Body &gt; Closures &gt; Trunk &gt; Trunk Frame &gt; Trunk Frame &gt; Lining assy &gt; Spacers</t>
  </si>
  <si>
    <t>Body &gt; Closures &gt; Trunk &gt; Trunk Frame &gt; Trunk Frame &gt; Lining assy &gt; Spacers &gt; Closures&gt;Tailgate or trunk&gt;Lining assy&gt;Spacers&gt;Part 01 (main/single)</t>
  </si>
  <si>
    <t>0.08800 kg</t>
  </si>
  <si>
    <t>0.11 kg</t>
  </si>
  <si>
    <t>Body &gt; Closures &gt; Trunk &gt; Trunk Frame &gt; Trunk Frame &gt; Lining assy &gt; Spacers &gt; Closures&gt;Tailgate or trunk&gt;Lining assy&gt;Spacers&gt;Part 01 (main/single) &gt; MANUFACTURING  PROCESS</t>
  </si>
  <si>
    <t>000000005WS3EU01 (AutoReverse)</t>
  </si>
  <si>
    <t>Body &gt; Closures &gt; Trunk &gt; Trunk Frame &gt; Trunk Frame &gt; Lining assy &gt; Fixing parts</t>
  </si>
  <si>
    <t>Body &gt; Closures &gt; Trunk &gt; Trunk Frame &gt; Trunk Frame &gt; Lining assy &gt; Fixing parts &gt; Closures&gt;Tailgate or trunk&gt;Lining assy&gt;Fixing parts&gt;Part 01 (main/single)</t>
  </si>
  <si>
    <t>0.59000 kg</t>
  </si>
  <si>
    <t>0.7866666666666666666666666667 kg</t>
  </si>
  <si>
    <t>Body &gt; Closures &gt; Trunk &gt; Trunk Frame &gt; Trunk Frame &gt; Lining assy &gt; Fixing parts &gt; Closures&gt;Tailgate or trunk&gt;Lining assy&gt;Fixing parts&gt;Part 01 (main/single) &gt; MANUFACTURING  PROCESS</t>
  </si>
  <si>
    <t>Body &gt; Closures &gt; Trunk &gt; Trunk Frame &gt; Trunk Frame &gt; Lining assy &gt; Fixing parts &gt; Closures&gt;Tailgate or trunk&gt;Lining assy&gt;Fixing parts&gt;Part 02</t>
  </si>
  <si>
    <t>0.47800 kg</t>
  </si>
  <si>
    <t>0.5975 kg</t>
  </si>
  <si>
    <t>Body &gt; Closures &gt; Trunk &gt; Trunk Frame &gt; Trunk Frame &gt; Lining assy &gt; Fixing parts &gt; Closures&gt;Tailgate or trunk&gt;Lining assy&gt;Fixing parts&gt;Part 02 &gt; MANUFACTURING  PROCESS</t>
  </si>
  <si>
    <t>00000004O2CLEU01 (AutoReverse)</t>
  </si>
  <si>
    <t>00000006NDUTEU01 (AutoReverse)</t>
  </si>
  <si>
    <t>Body &gt; Closures &gt; Trunk &gt; Trunk Frame &gt; Trunk Frame &gt; Outer panel assy</t>
  </si>
  <si>
    <t>Body &gt; Closures &gt; Trunk &gt; Trunk Frame &gt; Trunk Frame &gt; Outer panel assy &gt; Outer panel</t>
  </si>
  <si>
    <t>Body &gt; Closures &gt; Trunk &gt; Trunk Frame &gt; Trunk Frame &gt; Outer panel assy &gt; Outer panel &gt; Closures&gt;Tailgate or trunk&gt;Outer panel assy&gt;Outer panel&gt;Part 01 (single/upper)</t>
  </si>
  <si>
    <t>3.49200 kg</t>
  </si>
  <si>
    <t>4.365 kg</t>
  </si>
  <si>
    <t>Body &gt; Closures &gt; Trunk &gt; Trunk Frame &gt; Trunk Frame &gt; Outer panel assy &gt; Outer panel &gt; Closures&gt;Tailgate or trunk&gt;Outer panel assy&gt;Outer panel&gt;Part 01 (single/upper) &gt; MANUFACTURING  PROCESS</t>
  </si>
  <si>
    <t>Body &gt; Closures &gt; Trunk &gt; Trunk Frame &gt; Trunk Frame &gt; Outer panel assy &gt; Outer panel &gt; Closures&gt;Tailgate or trunk&gt;Outer panel assy&gt;Outer panel&gt;Part 02 (lower)</t>
  </si>
  <si>
    <t>1.11200 kg</t>
  </si>
  <si>
    <t>1.39 kg</t>
  </si>
  <si>
    <t>Body &gt; Closures &gt; Trunk &gt; Trunk Frame &gt; Trunk Frame &gt; Outer panel assy &gt; Outer panel &gt; Closures&gt;Tailgate or trunk&gt;Outer panel assy&gt;Outer panel&gt;Part 02 (lower) &gt; MANUFACTURING  PROCESS</t>
  </si>
  <si>
    <t>Body &gt; Closures &gt; Trunk &gt; Trunk Frame &gt; Trunk Frame &gt; Outer panel assy &gt; Outer panel &gt; Closures&gt;Tailgate or trunk&gt;Outer panel assy&gt;Outer panel&gt;Part 03</t>
  </si>
  <si>
    <t>1.44200 kg</t>
  </si>
  <si>
    <t>1.9226666666666666666666666667 kg</t>
  </si>
  <si>
    <t>Body &gt; Closures &gt; Trunk &gt; Trunk Frame &gt; Trunk Frame &gt; Outer panel assy &gt; Outer panel &gt; Closures&gt;Tailgate or trunk&gt;Outer panel assy&gt;Outer panel&gt;Part 03 &gt; MANUFACTURING  PROCESS</t>
  </si>
  <si>
    <t>000000048OHMEU01 (AutoReverse)</t>
  </si>
  <si>
    <t>0000000313FMEU01 (AutoReverse)</t>
  </si>
  <si>
    <t>00000000WGCAEU01 (AutoReverse)</t>
  </si>
  <si>
    <t>Body &gt; Closures &gt; Trunk &gt; Trunk Frame &gt; Assembly</t>
  </si>
  <si>
    <t>000000021Q4REU01 (AutoReverse)</t>
  </si>
  <si>
    <t>Body &gt; Closures &gt; Trunk &gt; Symbol</t>
  </si>
  <si>
    <t>Body &gt; Closures &gt; Trunk &gt; Symbol &gt; X</t>
  </si>
  <si>
    <t>0.00125 kg</t>
  </si>
  <si>
    <t>Body &gt; Closures &gt; Trunk &gt; Symbol &gt; X &gt; Stamping</t>
  </si>
  <si>
    <t>Body &gt; Closures &gt; Trunk &gt; Symbol &gt; I</t>
  </si>
  <si>
    <t>Body &gt; Closures &gt; Trunk &gt; Symbol &gt; I &gt; Stamping</t>
  </si>
  <si>
    <t>Body &gt; Closures &gt; Trunk &gt; Symbol &gt; A</t>
  </si>
  <si>
    <t>Body &gt; Closures &gt; Trunk &gt; Symbol &gt; A &gt; Stamping</t>
  </si>
  <si>
    <t>Body &gt; Closures &gt; Trunk &gt; Symbol &gt; O</t>
  </si>
  <si>
    <t>Body &gt; Closures &gt; Trunk &gt; Symbol &gt; O &gt; Stamping</t>
  </si>
  <si>
    <t>Body &gt; Closures &gt; Trunk &gt; Symbol &gt; M</t>
  </si>
  <si>
    <t>Body &gt; Closures &gt; Trunk &gt; Symbol &gt; M &gt; Stamping</t>
  </si>
  <si>
    <t>Degreasing - Batch</t>
  </si>
  <si>
    <t>Body &gt; Closures &gt; Trunk &gt; Symbol &gt; Cleaning</t>
  </si>
  <si>
    <t>Packaging</t>
  </si>
  <si>
    <t>Body &gt; Closures &gt; Trunk &gt; Symbol &gt; Packaging</t>
  </si>
  <si>
    <t>00000000KWAPEU01 (AutoReverse)</t>
  </si>
  <si>
    <t>Body &gt; Closures &gt; Trunk &gt; Hinges</t>
  </si>
  <si>
    <t>Body &gt; Closures &gt; Trunk &gt; Hinges &gt; Hinges</t>
  </si>
  <si>
    <t>Body &gt; Closures &gt; Trunk &gt; Hinges &gt; Hinges &gt; Hinges&gt;Trunk or tailgate&gt;On BIW&gt;Part 01 (single/main)</t>
  </si>
  <si>
    <t>0.275 kg</t>
  </si>
  <si>
    <t>Body &gt; Closures &gt; Trunk &gt; Hinges &gt; Hinges &gt; Hinges&gt;Trunk or tailgate&gt;On BIW&gt;Part 01 (single/main) &gt; MANUFACTURING  PROCESS</t>
  </si>
  <si>
    <t>Body &gt; Closures &gt; Trunk &gt; Hinges &gt; Hinges &gt; Hinges&gt;Trunk or tailgate&gt;On trunk / tailgate&gt;Part 01 (single/main)</t>
  </si>
  <si>
    <t>0.40700 kg</t>
  </si>
  <si>
    <t>0.50875 kg</t>
  </si>
  <si>
    <t>Body &gt; Closures &gt; Trunk &gt; Hinges &gt; Hinges &gt; Hinges&gt;Trunk or tailgate&gt;On trunk / tailgate&gt;Part 01 (single/main) &gt; MANUFACTURING  PROCESS</t>
  </si>
  <si>
    <t>Body &gt; Closures &gt; Trunk &gt; Hinges &gt; Hinges &gt; Hinges&gt;Trunk or tailgate&gt;Joint&gt;Part 01 (single/main)</t>
  </si>
  <si>
    <t>1.13600 kg</t>
  </si>
  <si>
    <t>1.42 kg</t>
  </si>
  <si>
    <t>Body &gt; Closures &gt; Trunk &gt; Hinges &gt; Hinges &gt; Hinges&gt;Trunk or tailgate&gt;Joint&gt;Part 01 (single/main) &gt; MANUFACTURING  PROCESS</t>
  </si>
  <si>
    <t>Steel , Profiling</t>
  </si>
  <si>
    <t>Body &gt; Closures &gt; Trunk &gt; Hinges &gt; Hinges &gt; Hinges&gt;Trunk or tailgate&gt;Joint&gt;Part 02</t>
  </si>
  <si>
    <t>0.17200 kg</t>
  </si>
  <si>
    <t>0.2457142857142857142857142857 kg</t>
  </si>
  <si>
    <t>Body &gt; Closures &gt; Trunk &gt; Hinges &gt; Hinges &gt; Hinges&gt;Trunk or tailgate&gt;Joint&gt;Part 02 &gt; MANUFACTURING  PROCESS</t>
  </si>
  <si>
    <t>00000008M091EU01 (AutoReverse)</t>
  </si>
  <si>
    <t>Body &gt; Closures &gt; Trunk &gt; Hinges &gt; hinges Right if diferent</t>
  </si>
  <si>
    <t>Body &gt; Closures &gt; Trunk &gt; Hinges &gt; hinges Right if diferent &gt; Hinges&gt;Trunk or tailgate&gt;On BIW&gt;Part 01 (single/main)</t>
  </si>
  <si>
    <t>Body &gt; Closures &gt; Trunk &gt; Hinges &gt; hinges Right if diferent &gt; Hinges&gt;Trunk or tailgate&gt;On BIW&gt;Part 01 (single/main) &gt; MANUFACTURING  PROCESS</t>
  </si>
  <si>
    <t>Body &gt; Closures &gt; Trunk &gt; Hinges &gt; hinges Right if diferent &gt; Hinges&gt;Trunk or tailgate&gt;On trunk / tailgate&gt;Part 01 (single/main)</t>
  </si>
  <si>
    <t>Body &gt; Closures &gt; Trunk &gt; Hinges &gt; hinges Right if diferent &gt; Hinges&gt;Trunk or tailgate&gt;On trunk / tailgate&gt;Part 01 (single/main) &gt; MANUFACTURING  PROCESS</t>
  </si>
  <si>
    <t>Body &gt; Closures &gt; Trunk &gt; Hinges &gt; hinges Right if diferent &gt; Hinges&gt;Trunk or tailgate&gt;Joint&gt;Part 01 (single/main)</t>
  </si>
  <si>
    <t>Body &gt; Closures &gt; Trunk &gt; Hinges &gt; hinges Right if diferent &gt; Hinges&gt;Trunk or tailgate&gt;Joint&gt;Part 01 (single/main) &gt; MANUFACTURING  PROCESS</t>
  </si>
  <si>
    <t>Body &gt; Closures &gt; Trunk &gt; Hinges &gt; hinges Right if diferent &gt; Hinges&gt;Trunk or tailgate&gt;Joint&gt;Part 02</t>
  </si>
  <si>
    <t>Body &gt; Closures &gt; Trunk &gt; Hinges &gt; hinges Right if diferent &gt; Hinges&gt;Trunk or tailgate&gt;Joint&gt;Part 02 &gt; MANUFACTURING  PROCESS</t>
  </si>
  <si>
    <t>00000005FG58EU01 (AutoReverse)</t>
  </si>
  <si>
    <t>Body &gt; Closures &gt; Trunk &gt; Hinges &gt; Hinge cover</t>
  </si>
  <si>
    <t>0.17800 kg</t>
  </si>
  <si>
    <t>0.1835051546391752577319587629 kg</t>
  </si>
  <si>
    <t>Body &gt; Closures &gt; Trunk &gt; Hinges &gt; Hinge cover &gt; Injection molding</t>
  </si>
  <si>
    <t>Opening: 1.38 s, Ejection: 0.25 s, Insert: 0.00 s, Closing: 3.06 s, Removal: 1.94 s, Cooling: 13.38 s, Injection: 2.33</t>
  </si>
  <si>
    <t>Body &gt; Closures &gt; Trunk &gt; Hinges &gt; Hinge cover &gt; Handling/Visual Inspection/Packaging</t>
  </si>
  <si>
    <t>00000008BUQOEU01 (AutoReverse)</t>
  </si>
  <si>
    <t>Body &gt; Closures &gt; Trunk &gt; Hinges &gt; Hinge Cover Right if Different</t>
  </si>
  <si>
    <t>Body &gt; Closures &gt; Trunk &gt; Hinges &gt; Hinge Cover Right if Different &gt; Injection molding</t>
  </si>
  <si>
    <t>Body &gt; Closures &gt; Trunk &gt; Hinges &gt; Hinge Cover Right if Different &gt; Handling/Visual Inspection/Packaging</t>
  </si>
  <si>
    <t>00000008190HEU01 (AutoReverse)</t>
  </si>
  <si>
    <t>Body &gt; Closures &gt; Trunk &gt; Hinges &gt; Supports</t>
  </si>
  <si>
    <t>0.27875 kg</t>
  </si>
  <si>
    <t>Body &gt; Closures &gt; Trunk &gt; Hinges &gt; Supports &gt; Stamping</t>
  </si>
  <si>
    <t>Body &gt; Closures &gt; Trunk &gt; Hinges &gt; Supports &gt; Cleaning</t>
  </si>
  <si>
    <t>Body &gt; Closures &gt; Trunk &gt; Hinges &gt; Supports &gt; Packaging</t>
  </si>
  <si>
    <t>00000004J6YAEU01 (AutoReverse)</t>
  </si>
  <si>
    <t>0000000391AZEU01 (AutoReverse)</t>
  </si>
  <si>
    <t>Body &gt; Closures &gt; Trunk &gt; Weatherstripping</t>
  </si>
  <si>
    <t>Body &gt; Closures &gt; Trunk &gt; Weatherstripping &gt; Seal on Body</t>
  </si>
  <si>
    <t>0.69160 kg</t>
  </si>
  <si>
    <t>0.728 kg</t>
  </si>
  <si>
    <t>Body &gt; Closures &gt; Trunk &gt; Weatherstripping &gt; Seal on Body &gt; Seal Extrusion (Multi Layer)</t>
  </si>
  <si>
    <t>0.29640 kg</t>
  </si>
  <si>
    <t>0.312 kg</t>
  </si>
  <si>
    <t>Body &gt; Closures &gt; Trunk &gt; Weatherstripping &gt; Seal on Body &gt; End Glueing/Vulcanizing, Check and Pack</t>
  </si>
  <si>
    <t>000000053NBZEU01 (AutoReverse)</t>
  </si>
  <si>
    <t>00000007G4KXEU01 (AutoReverse)</t>
  </si>
  <si>
    <t>Body &gt; Closures &gt; Trunk &gt; Door Mechanism</t>
  </si>
  <si>
    <t>Body &gt; Closures &gt; Trunk &gt; Door Mechanism &gt; Electric Opening System</t>
  </si>
  <si>
    <t>00000007P5Y8EU01 (AutoReverse)</t>
  </si>
  <si>
    <t>Body &gt; Closures &gt; Trunk &gt; Door Mechanism &gt; Electric Opening System &gt; Switch Support</t>
  </si>
  <si>
    <t>0.0051546391752577319587628866 kg</t>
  </si>
  <si>
    <t>Body &gt; Closures &gt; Trunk &gt; Door Mechanism &gt; Electric Opening System &gt; Switch Support &gt; Injection molding</t>
  </si>
  <si>
    <t>Opening: 0.92 s, Ejection: 0.02 s, Insert: 0.00 s, Closing: 2.30 s, Removal: 1.50 s, Cooling: 13.38 s, Injection: 0.72</t>
  </si>
  <si>
    <t>Body &gt; Closures &gt; Trunk &gt; Door Mechanism &gt; Electric Opening System &gt; Switch Support &gt; Handling/Visual Inspection/Packaging</t>
  </si>
  <si>
    <t>00000001RIP8EU01 (AutoReverse)</t>
  </si>
  <si>
    <t>000000049QAIEU01 (AutoReverse)</t>
  </si>
  <si>
    <t>00000005OA66EU01 (AutoReverse)</t>
  </si>
  <si>
    <t>Referred from Rivian R1S</t>
  </si>
  <si>
    <t>PET;STEEL;ELECTRONIC COMPONENT</t>
  </si>
  <si>
    <t>00000007P075EU01 (AutoReverse)</t>
  </si>
  <si>
    <t>Body &gt; Closures &gt; Trunk &gt; Door Mechanism &gt; Lock Bezel</t>
  </si>
  <si>
    <t>Body &gt; Closures &gt; Trunk &gt; Door Mechanism &gt; Lock Bezel &gt; Injection molding</t>
  </si>
  <si>
    <t>Opening: 0.92 s, Ejection: 0.14 s, Insert: 0.00 s, Closing: 2.30 s, Removal: 1.59 s, Cooling: 15.60 s, Injection: 1.73</t>
  </si>
  <si>
    <t>Body &gt; Closures &gt; Trunk &gt; Door Mechanism &gt; Lock Bezel &gt; Handling/Visual Inspection/Packaging</t>
  </si>
  <si>
    <t>00000004TMG5EU01 (AutoReverse)</t>
  </si>
  <si>
    <t>0000000AU2WQEU01 (AutoReverse)</t>
  </si>
  <si>
    <t>Body &gt; Closures &gt; Trunk &gt; Door Mechanism &gt; Anchor</t>
  </si>
  <si>
    <t>0.1614285714285714285714285714 kg</t>
  </si>
  <si>
    <t xml:space="preserve">Body &gt; Closures &gt; Trunk &gt; Door Mechanism &gt; Anchor &gt; Stamping </t>
  </si>
  <si>
    <t>Body &gt; Closures &gt; Trunk &gt; Door Mechanism &gt; Anchor &gt; Wire Bending</t>
  </si>
  <si>
    <t>Body &gt; Closures &gt; Trunk &gt; Door Mechanism &gt; Anchor &gt; Press fit</t>
  </si>
  <si>
    <t>000000009OQQEU01 (AutoReverse)</t>
  </si>
  <si>
    <t>Body &gt; Closures &gt; Trunk &gt; Door Mechanism &gt; Access Trap</t>
  </si>
  <si>
    <t>0.0053191489361702127659574468 kg</t>
  </si>
  <si>
    <t>Body &gt; Closures &gt; Trunk &gt; Door Mechanism &gt; Access Trap &gt; Injection molding</t>
  </si>
  <si>
    <t>Opening: 0.77 s, Ejection: 0.03 s, Insert: 0.00 s, Closing: 1.93 s, Removal: 1.47 s, Cooling: 2.14 s, Injection: 0.86</t>
  </si>
  <si>
    <t>000000063B3KEU01 (AutoReverse)</t>
  </si>
  <si>
    <t>00000007PHDNEU01 (AutoReverse)</t>
  </si>
  <si>
    <t>Body &gt; Closures &gt; Trunk &gt; Strut System</t>
  </si>
  <si>
    <t>Cost referred from Lucid &gt; Gravity</t>
  </si>
  <si>
    <t>PA66;STEEL;ELECTRIC MOTOR</t>
  </si>
  <si>
    <t>00000005GT8ZEU01 (AutoReverse)</t>
  </si>
  <si>
    <t>0000000AOLMSEU01 (AutoReverse)</t>
  </si>
  <si>
    <t>00000006IBWZEU01 (AutoReverse)</t>
  </si>
  <si>
    <t>00000007UMMMEU01 (AutoReverse)</t>
  </si>
  <si>
    <t>Body &gt; Closures &gt; Trunk &gt; Stoppers   Guides</t>
  </si>
  <si>
    <t>Body &gt; Closures &gt; Trunk &gt; Stoppers   Guides &gt; Stoppers on Body</t>
  </si>
  <si>
    <t>Body &gt; Closures &gt; Trunk &gt; Stoppers   Guides &gt; Stoppers on Body &gt; Injection molding</t>
  </si>
  <si>
    <t>00000004MX6OEU01 (AutoReverse)</t>
  </si>
  <si>
    <t>Body &gt; Closures &gt; Trunk &gt; Stoppers   Guides &gt; Stopper on Trunk</t>
  </si>
  <si>
    <t>Body &gt; Closures &gt; Trunk &gt; Stoppers   Guides &gt; Stopper on Trunk &gt; Injection molding</t>
  </si>
  <si>
    <t>STEEL;TPE</t>
  </si>
  <si>
    <t>00000000UAHKEU01 (AutoReverse)</t>
  </si>
  <si>
    <t>Body &gt; Closures &gt; Trunk &gt; Stoppers   Guides &gt; Adjustable Stopper on Trunk</t>
  </si>
  <si>
    <t>Body &gt; Closures &gt; Trunk &gt; Stoppers   Guides &gt; Adjustable Stopper on Trunk &gt; Injection molding</t>
  </si>
  <si>
    <t>0000000855SDEU01 (AutoReverse)</t>
  </si>
  <si>
    <t>Body &gt; Closures &gt; Trunk &gt; Stoppers   Guides &gt; Stopper Support On Trunk</t>
  </si>
  <si>
    <t>Polyamid (allgemein)</t>
  </si>
  <si>
    <t>Body &gt; Closures &gt; Trunk &gt; Stoppers   Guides &gt; Stopper Support On Trunk &gt; Injection molding</t>
  </si>
  <si>
    <t>000000013F7WEU01 (AutoReverse)</t>
  </si>
  <si>
    <t>000000071YOREU01 (AutoReverse)</t>
  </si>
  <si>
    <t>Body &gt; Closures &gt; Trunk &gt; Spoiler</t>
  </si>
  <si>
    <t>Body &gt; Closures &gt; Trunk &gt; Spoiler &gt; Hinge</t>
  </si>
  <si>
    <t>Body &gt; Closures &gt; Trunk &gt; Spoiler &gt; Hinge &gt; Part 1</t>
  </si>
  <si>
    <t>0.125 kg</t>
  </si>
  <si>
    <t>Body &gt; Closures &gt; Trunk &gt; Spoiler &gt; Hinge &gt; Part 1 &gt; Stamping</t>
  </si>
  <si>
    <t xml:space="preserve">Hydraulic Press for manual or roboto part placement, MSD 650 : TotalForce: 6500; HeadForce: 6500; Subsequent Ops: WxLxH: 1800x3000x800 Strokes: min, max, Average: 5;90 ; 20
</t>
  </si>
  <si>
    <t>Body &gt; Closures &gt; Trunk &gt; Spoiler &gt; Hinge &gt; Part 2</t>
  </si>
  <si>
    <t>0.09000 kg</t>
  </si>
  <si>
    <t>0.1125 kg</t>
  </si>
  <si>
    <t>Body &gt; Closures &gt; Trunk &gt; Spoiler &gt; Hinge &gt; Part 2 &gt; Stamping</t>
  </si>
  <si>
    <t>Body &gt; Closures &gt; Trunk &gt; Spoiler &gt; Hinge &gt; Part 3</t>
  </si>
  <si>
    <t>0.07000 kg</t>
  </si>
  <si>
    <t>0.0875 kg</t>
  </si>
  <si>
    <t>Body &gt; Closures &gt; Trunk &gt; Spoiler &gt; Hinge &gt; Part 3 &gt; Stamping</t>
  </si>
  <si>
    <t>Body &gt; Closures &gt; Trunk &gt; Spoiler &gt; Hinge &gt; Part 4</t>
  </si>
  <si>
    <t>Body &gt; Closures &gt; Trunk &gt; Spoiler &gt; Hinge &gt; Part 4 &gt; Stamping</t>
  </si>
  <si>
    <t>Body &gt; Closures &gt; Trunk &gt; Spoiler &gt; Hinge &gt; Shaft</t>
  </si>
  <si>
    <t>0.09700 kg</t>
  </si>
  <si>
    <t>0.097 kg</t>
  </si>
  <si>
    <t>42CrMo4</t>
  </si>
  <si>
    <t>4140</t>
  </si>
  <si>
    <t>Body &gt; Closures &gt; Trunk &gt; Spoiler &gt; Hinge &gt; Shaft &gt; Machining</t>
  </si>
  <si>
    <t>Machining Center, 1 spindles, 500x420x380mm³,DECKEL MAHO DMU 50 eVolution</t>
  </si>
  <si>
    <t>Machining</t>
  </si>
  <si>
    <t>Body &gt; Closures &gt; Trunk &gt; Spoiler &gt; Hinge &gt; Cataphoresis</t>
  </si>
  <si>
    <t>Body &gt; Closures &gt; Trunk &gt; Spoiler &gt; Hinge &gt; Assembly</t>
  </si>
  <si>
    <t>000000AB21JNEU02 (AutoReverse)</t>
  </si>
  <si>
    <t>Body &gt; Closures &gt; Trunk &gt; Spoiler &gt; Hinge 2</t>
  </si>
  <si>
    <t>Body &gt; Closures &gt; Trunk &gt; Spoiler &gt; Hinge 2 &gt; Part 1</t>
  </si>
  <si>
    <t>Body &gt; Closures &gt; Trunk &gt; Spoiler &gt; Hinge 2 &gt; Part 1 &gt; Stamping</t>
  </si>
  <si>
    <t>Body &gt; Closures &gt; Trunk &gt; Spoiler &gt; Hinge 2 &gt; Part 2</t>
  </si>
  <si>
    <t>Body &gt; Closures &gt; Trunk &gt; Spoiler &gt; Hinge 2 &gt; Part 2 &gt; Stamping</t>
  </si>
  <si>
    <t>Body &gt; Closures &gt; Trunk &gt; Spoiler &gt; Hinge 2 &gt; Part 3</t>
  </si>
  <si>
    <t>Body &gt; Closures &gt; Trunk &gt; Spoiler &gt; Hinge 2 &gt; Part 3 &gt; Stamping</t>
  </si>
  <si>
    <t>Body &gt; Closures &gt; Trunk &gt; Spoiler &gt; Hinge 2 &gt; Part 4</t>
  </si>
  <si>
    <t>Body &gt; Closures &gt; Trunk &gt; Spoiler &gt; Hinge 2 &gt; Part 4 &gt; Stamping</t>
  </si>
  <si>
    <t>Body &gt; Closures &gt; Trunk &gt; Spoiler &gt; Hinge 2 &gt; Shaft</t>
  </si>
  <si>
    <t>Body &gt; Closures &gt; Trunk &gt; Spoiler &gt; Hinge 2 &gt; Shaft &gt; Machining</t>
  </si>
  <si>
    <t>Body &gt; Closures &gt; Trunk &gt; Spoiler &gt; Hinge 2 &gt; Cataphoresis</t>
  </si>
  <si>
    <t>Body &gt; Closures &gt; Trunk &gt; Spoiler &gt; Hinge 2 &gt; Assembly</t>
  </si>
  <si>
    <t>A0000048I6IMEU01 (AutoReverse)</t>
  </si>
  <si>
    <t>Body &gt; Closures &gt; Trunk &gt; Spoiler &gt; Motor</t>
  </si>
  <si>
    <t>Body &gt; Closures &gt; Trunk &gt; Spoiler &gt; Motor &gt; Process</t>
  </si>
  <si>
    <t>000000AGZ1T6EU02 (AutoReverse)</t>
  </si>
  <si>
    <t>Body &gt; Closures &gt; Trunk &gt; Spoiler &gt; Spoiler</t>
  </si>
  <si>
    <t>2.76700 kg</t>
  </si>
  <si>
    <t>2.8525773195876288659793814433 kg</t>
  </si>
  <si>
    <t>Body &gt; Closures &gt; Trunk &gt; Spoiler &gt; Spoiler &gt; Injection molding</t>
  </si>
  <si>
    <t>Opening: 4.38 s, Ejection: 0.21 s, Insert: 0.00 s, Closing: 7.95 s, Removal: 3.17 s, Cooling: 39.46 s, Injection: 2.47</t>
  </si>
  <si>
    <t>0.1122448979591836734693877551 kg</t>
  </si>
  <si>
    <t>Body &gt; Closures &gt; Trunk &gt; Spoiler &gt; Spoiler &gt; Painting</t>
  </si>
  <si>
    <t>0.1020408163265306122448979592 kg</t>
  </si>
  <si>
    <t>Body &gt; Closures &gt; Trunk &gt; Spoiler &gt; Spoiler &gt; Handling/Visual Inspection/Packaging</t>
  </si>
  <si>
    <t>00000004EKAHEU01 (AutoReverse)</t>
  </si>
  <si>
    <t>Body &gt; Closures &gt; Trunk &gt; Spoiler &gt; Spoiler Support Left and Right if Similar</t>
  </si>
  <si>
    <t>0.16875 kg</t>
  </si>
  <si>
    <t>Body &gt; Closures &gt; Trunk &gt; Spoiler &gt; Spoiler Support Left and Right if Similar &gt; Stamping</t>
  </si>
  <si>
    <t>Body &gt; Closures &gt; Trunk &gt; Spoiler &gt; Spoiler Support Left and Right if Similar &gt; Cleaning</t>
  </si>
  <si>
    <t>Body &gt; Closures &gt; Trunk &gt; Spoiler &gt; Spoiler Support Left and Right if Similar &gt; Packaging</t>
  </si>
  <si>
    <t>00000008MNBHEU01 (AutoReverse)</t>
  </si>
  <si>
    <t>Body &gt; Closures &gt; Trunk &gt; Spoiler &gt; Access Trap Fasteners Cover</t>
  </si>
  <si>
    <t>0.02650 kg</t>
  </si>
  <si>
    <t>0.0278947368421052631578947368 kg</t>
  </si>
  <si>
    <t>Body &gt; Closures &gt; Trunk &gt; Spoiler &gt; Access Trap Fasteners Cover &gt; Injection molding</t>
  </si>
  <si>
    <t>00000003XI79EU01 (AutoReverse)</t>
  </si>
  <si>
    <t>000000AB0CCOEU02 (AutoReverse)</t>
  </si>
  <si>
    <t>Body &gt; Closures &gt; Trunk &gt; Spoiler &gt; Hinge Support</t>
  </si>
  <si>
    <t>1.79400 kg</t>
  </si>
  <si>
    <t>4.83916649807809022860610965 kg</t>
  </si>
  <si>
    <t>Body &gt; Closures &gt; Trunk &gt; Spoiler &gt; Hinge Support &gt; Blanking</t>
  </si>
  <si>
    <t>Body &gt; Closures &gt; Trunk &gt; Spoiler &gt; Hinge Support &gt; Stamping</t>
  </si>
  <si>
    <t>Body &gt; Closures &gt; Trunk &gt; Spoiler &gt; Hinge Support &gt; Cleaning</t>
  </si>
  <si>
    <t>Body &gt; Closures &gt; Trunk &gt; Spoiler &gt; Hinge Support &gt; Packaging</t>
  </si>
  <si>
    <t>000000AB3FSSEU02 (AutoReverse)</t>
  </si>
  <si>
    <t>000000AB3FSREU02 (AutoReverse)</t>
  </si>
  <si>
    <t>A0000048I6ILEU01 (AutoReverse)</t>
  </si>
  <si>
    <t>000000AB21JQEU02 (AutoReverse)</t>
  </si>
  <si>
    <t>Body &gt; Closures &gt; Trunk &gt; Spoiler &gt; Connection Bar</t>
  </si>
  <si>
    <t>0.008 kg</t>
  </si>
  <si>
    <t>Body &gt; Closures &gt; Trunk &gt; Spoiler &gt; Connection Bar &gt; Broaching</t>
  </si>
  <si>
    <t>Gear Broaching</t>
  </si>
  <si>
    <t>2 dye baths and H2O preparation (40th use V); Cycle time 5 - 6 min, 2xAutom lift unit with PLC, anodizing 1.2 - 1.6 A / dm_</t>
  </si>
  <si>
    <t>Anodizing</t>
  </si>
  <si>
    <t>Body &gt; Closures &gt; Trunk &gt; Spoiler &gt; Connection Bar &gt; Anodizing</t>
  </si>
  <si>
    <t>000000AB3FSPEU02 (AutoReverse)</t>
  </si>
  <si>
    <t>Body &gt; Closures &gt; Trunk &gt; Spoiler &gt; Draining Hose</t>
  </si>
  <si>
    <t>0.025 kg</t>
  </si>
  <si>
    <t>Body &gt; Closures &gt; Trunk &gt; Spoiler &gt; Draining Hose &gt; Rubber Extrusion</t>
  </si>
  <si>
    <t>Body &gt; Closures &gt; Trunk &gt; Spoiler &gt; Draining Hose &gt; Handling/Visual Inspection/Packaging</t>
  </si>
  <si>
    <t>A0000025WAK4EU01 (AutoReverse)</t>
  </si>
  <si>
    <t>Body &gt; Closures &gt; Trunk &gt; Spoiler &gt; Draining Hose Support</t>
  </si>
  <si>
    <t>0.0113402061855670103092783505 kg</t>
  </si>
  <si>
    <t>Body &gt; Closures &gt; Trunk &gt; Spoiler &gt; Draining Hose Support &gt; Injection molding</t>
  </si>
  <si>
    <t>Opening: 0.67 s, Ejection: 0.08 s, Insert: 0.00 s, Closing: 1.67 s, Removal: 1.46 s, Cooling: 8.56 s, Injection: 1.18</t>
  </si>
  <si>
    <t>Body &gt; Closures &gt; Trunk &gt; Spoiler &gt; Draining Hose Support &gt; Handling/Visual Inspection/Packaging</t>
  </si>
  <si>
    <t>A0000025WAK5EU01 (AutoReverse)</t>
  </si>
  <si>
    <t>Body &gt; Closures &gt; Trunk &gt; Spoiler &gt; Connection Bar 2</t>
  </si>
  <si>
    <t>Body &gt; Closures &gt; Trunk &gt; Spoiler &gt; Connection Bar 2 &gt; Broaching</t>
  </si>
  <si>
    <t>Body &gt; Closures &gt; Trunk &gt; Spoiler &gt; Connection Bar 2 &gt; Anodizing</t>
  </si>
  <si>
    <t>A0000048I6ISEU01 (AutoReverse)</t>
  </si>
  <si>
    <t>Body &gt; Closures &gt; Trunk &gt; Spoiler &gt; Limiter</t>
  </si>
  <si>
    <t>Body &gt; Closures &gt; Trunk &gt; Spoiler &gt; Limiter &gt; Injection molding</t>
  </si>
  <si>
    <t>Opening: 0.67 s, Ejection: 0.05 s, Insert: 0.00 s, Closing: 1.67 s, Removal: 1.44 s, Cooling: 2.45 s, Injection: 0.19</t>
  </si>
  <si>
    <t>Body &gt; Closures &gt; Trunk &gt; Spoiler &gt; Limiter &gt; Handling/Visual Inspection/Packaging</t>
  </si>
  <si>
    <t>A0000056HO4DEU01 (AutoReverse)</t>
  </si>
  <si>
    <t>Body &gt; Closures &gt; Trunk &gt; Spoiler &gt; Assembly</t>
  </si>
  <si>
    <t>00000003UPR5EU01 (AutoReverse)</t>
  </si>
  <si>
    <t>Body &gt; Closures &gt; Trunk &gt; Inner Panel</t>
  </si>
  <si>
    <t>1.17100 kg</t>
  </si>
  <si>
    <t>1.8296875 kg</t>
  </si>
  <si>
    <t>Body &gt; Closures &gt; Trunk &gt; Inner Panel &gt; Thermocompression</t>
  </si>
  <si>
    <t>Body &gt; Closures &gt; Trunk &gt; Inner Panel &gt; Placement sheet</t>
  </si>
  <si>
    <t>000000071LNGEU01 (AutoReverse)</t>
  </si>
  <si>
    <t>Body &gt; Closures &gt; Trunk &gt; Exterior Bezel</t>
  </si>
  <si>
    <t>0.74400 kg</t>
  </si>
  <si>
    <t>0.7670103092783505154639175258 kg</t>
  </si>
  <si>
    <t>Body &gt; Closures &gt; Trunk &gt; Exterior Bezel &gt; Injection molding</t>
  </si>
  <si>
    <t>Opening: 3.15 s, Ejection: 0.12 s, Insert: 0.00 s, Closing: 5.73 s, Removal: 2.73 s, Cooling: 24.35 s, Injection: 2.44</t>
  </si>
  <si>
    <t>Body &gt; Closures &gt; Trunk &gt; Exterior Bezel &gt; Handling/Visual Inspection/Packaging</t>
  </si>
  <si>
    <t>0000000508B8EU01 (AutoReverse)</t>
  </si>
  <si>
    <t>Body &gt; Closures &gt; Trunk &gt; Water Drain</t>
  </si>
  <si>
    <t>0.0010638297872340425531914894 kg</t>
  </si>
  <si>
    <t>Body &gt; Closures &gt; Trunk &gt; Water Drain &gt; Injection molding</t>
  </si>
  <si>
    <t>Opening: 0.67 s, Ejection: 0.01 s, Insert: 0.00 s, Closing: 1.67 s, Removal: 1.41 s, Cooling: 4.39 s, Injection: 0.33</t>
  </si>
  <si>
    <t>Body &gt; Closures &gt; Trunk &gt; Water Drain &gt; Handling/Visual Inspection/Packaging</t>
  </si>
  <si>
    <t>00000009GIZ3EU01 (AutoReverse)</t>
  </si>
  <si>
    <t>Body &gt; Closures &gt; Trunk &gt; Assembly</t>
  </si>
  <si>
    <t>00000004ZFKXEU01 (AutoReverse)</t>
  </si>
  <si>
    <t>Body &gt; Closures &gt; Rear Door Right</t>
  </si>
  <si>
    <t>Body &gt; Closures &gt; Rear Door Right &gt; Rear Door Right</t>
  </si>
  <si>
    <t>Body &gt; Closures &gt; Rear Door Right &gt; Rear Door Right &gt; Housing assy</t>
  </si>
  <si>
    <t>Body &gt; Closures &gt; Rear Door Right &gt; Rear Door Right &gt; Housing assy &gt; Housing</t>
  </si>
  <si>
    <t>Body &gt; Closures &gt; Rear Door Right &gt; Rear Door Right &gt; Housing assy &gt; Housing &gt; Closures&gt;Rear door&gt;Housing assy&gt;Housing&gt;Part 01 (single/front)</t>
  </si>
  <si>
    <t>3.23000 kg</t>
  </si>
  <si>
    <t>4.9692307692307692307692307692 kg</t>
  </si>
  <si>
    <t>Body &gt; Closures &gt; Rear Door Right &gt; Rear Door Right &gt; Housing assy &gt; Housing &gt; Closures&gt;Rear door&gt;Housing assy&gt;Housing&gt;Part 01 (single/front) &gt; MANUFACTURING  PROCESS</t>
  </si>
  <si>
    <t>Body &gt; Closures &gt; Rear Door Right &gt; Rear Door Right &gt; Housing assy &gt; Reinforcements</t>
  </si>
  <si>
    <t>Body &gt; Closures &gt; Rear Door Right &gt; Rear Door Right &gt; Housing assy &gt; Reinforcements &gt; Closures&gt;Rear door&gt;Housing assy&gt;Reinforcements&gt;Part 01 (single/main)</t>
  </si>
  <si>
    <t>0.27400 kg</t>
  </si>
  <si>
    <t>0.4215384615384615384615384615 kg</t>
  </si>
  <si>
    <t>Body &gt; Closures &gt; Rear Door Right &gt; Rear Door Right &gt; Housing assy &gt; Reinforcements &gt; Closures&gt;Rear door&gt;Housing assy&gt;Reinforcements&gt;Part 01 (single/main) &gt; MANUFACTURING  PROCESS</t>
  </si>
  <si>
    <t>Body &gt; Closures &gt; Rear Door Right &gt; Rear Door Right &gt; Housing assy &gt; Reinforcements &gt; Closures&gt;Rear door&gt;Housing assy&gt;Reinforcements&gt;Part 02</t>
  </si>
  <si>
    <t>0.46300 kg</t>
  </si>
  <si>
    <t>0.6173333333333333333333333333 kg</t>
  </si>
  <si>
    <t>Body &gt; Closures &gt; Rear Door Right &gt; Rear Door Right &gt; Housing assy &gt; Reinforcements &gt; Closures&gt;Rear door&gt;Housing assy&gt;Reinforcements&gt;Part 02 &gt; MANUFACTURING  PROCESS</t>
  </si>
  <si>
    <t>Body &gt; Closures &gt; Rear Door Right &gt; Rear Door Right &gt; Housing assy &gt; Reinforcements &gt; Closures&gt;Rear door&gt;Housing assy&gt;Reinforcements&gt;Part 03</t>
  </si>
  <si>
    <t>0.21400 kg</t>
  </si>
  <si>
    <t>0.2853333333333333333333333333 kg</t>
  </si>
  <si>
    <t>Body &gt; Closures &gt; Rear Door Right &gt; Rear Door Right &gt; Housing assy &gt; Reinforcements &gt; Closures&gt;Rear door&gt;Housing assy&gt;Reinforcements&gt;Part 03 &gt; MANUFACTURING  PROCESS</t>
  </si>
  <si>
    <t>Body &gt; Closures &gt; Rear Door Right &gt; Rear Door Right &gt; Housing assy &gt; Reinforcements &gt; Closures&gt;Rear door&gt;Housing assy&gt;Reinforcements&gt;Part 04</t>
  </si>
  <si>
    <t>0.7925 kg</t>
  </si>
  <si>
    <t>Body &gt; Closures &gt; Rear Door Right &gt; Rear Door Right &gt; Housing assy &gt; Reinforcements &gt; Closures&gt;Rear door&gt;Housing assy&gt;Reinforcements&gt;Part 04 &gt; MANUFACTURING  PROCESS</t>
  </si>
  <si>
    <t>Body &gt; Closures &gt; Rear Door Right &gt; Rear Door Right &gt; Housing assy &gt; Fixing parts</t>
  </si>
  <si>
    <t>Body &gt; Closures &gt; Rear Door Right &gt; Rear Door Right &gt; Housing assy &gt; Fixing parts &gt; Front</t>
  </si>
  <si>
    <t>Body &gt; Closures &gt; Rear Door Right &gt; Rear Door Right &gt; Housing assy &gt; Fixing parts &gt; Front &gt; Closures&gt;Rear door&gt;Housing assy&gt;Fixing parts&gt;Front&gt;Part 01 (single/main)</t>
  </si>
  <si>
    <t>Body &gt; Closures &gt; Rear Door Right &gt; Rear Door Right &gt; Housing assy &gt; Fixing parts &gt; Front &gt; Closures&gt;Rear door&gt;Housing assy&gt;Fixing parts&gt;Front&gt;Part 01 (single/main) &gt; MANUFACTURING  PROCESS</t>
  </si>
  <si>
    <t>Body &gt; Closures &gt; Rear Door Right &gt; Rear Door Right &gt; Housing assy &gt; Fixing parts &gt; Front &gt; Closures&gt;Rear door&gt;Housing assy&gt;Fixing parts&gt;Front&gt;Part 02</t>
  </si>
  <si>
    <t>Body &gt; Closures &gt; Rear Door Right &gt; Rear Door Right &gt; Housing assy &gt; Fixing parts &gt; Front &gt; Closures&gt;Rear door&gt;Housing assy&gt;Fixing parts&gt;Front&gt;Part 02 &gt; MANUFACTURING  PROCESS</t>
  </si>
  <si>
    <t>Body &gt; Closures &gt; Rear Door Right &gt; Rear Door Right &gt; Anti-intrusion beams</t>
  </si>
  <si>
    <t>Body &gt; Closures &gt; Rear Door Right &gt; Rear Door Right &gt; Anti-intrusion beams &gt; Beam 01 (single/upper)</t>
  </si>
  <si>
    <t>Body &gt; Closures &gt; Rear Door Right &gt; Rear Door Right &gt; Anti-intrusion beams &gt; Beam 01 (single/upper) &gt; Beam</t>
  </si>
  <si>
    <t>Body &gt; Closures &gt; Rear Door Right &gt; Rear Door Right &gt; Anti-intrusion beams &gt; Beam 01 (single/upper) &gt; Beam &gt; Closures&gt;Rear door&gt;Anti-intrusion beams&gt;Beam 01 (single/upper)&gt;Beam&gt;Part 01 (single/main)</t>
  </si>
  <si>
    <t>1.41200 kg</t>
  </si>
  <si>
    <t>1.765 kg</t>
  </si>
  <si>
    <t>Body &gt; Closures &gt; Rear Door Right &gt; Rear Door Right &gt; Anti-intrusion beams &gt; Beam 01 (single/upper) &gt; Beam &gt; Closures&gt;Rear door&gt;Anti-intrusion beams&gt;Beam 01 (single/upper)&gt;Beam&gt;Part 01 (single/main) &gt; MANUFACTURING  PROCESS</t>
  </si>
  <si>
    <t>Body &gt; Closures &gt; Rear Door Right &gt; Rear Door Right &gt; Top roll assy</t>
  </si>
  <si>
    <t>Body &gt; Closures &gt; Rear Door Right &gt; Rear Door Right &gt; Top roll assy &gt; Cross member 01 (outer)</t>
  </si>
  <si>
    <t>Body &gt; Closures &gt; Rear Door Right &gt; Rear Door Right &gt; Top roll assy &gt; Cross member 01 (outer) &gt; Cross member</t>
  </si>
  <si>
    <t>Body &gt; Closures &gt; Rear Door Right &gt; Rear Door Right &gt; Top roll assy &gt; Cross member 01 (outer) &gt; Cross member &gt; Closures&gt;Rear door&gt;Top roll assy&gt;Cross member 01 (outer)&gt;Cross member&gt;Part 01 (single/main)</t>
  </si>
  <si>
    <t>1.82500 kg</t>
  </si>
  <si>
    <t>2.6071428571428571428571428571 kg</t>
  </si>
  <si>
    <t>Body &gt; Closures &gt; Rear Door Right &gt; Rear Door Right &gt; Top roll assy &gt; Cross member 01 (outer) &gt; Cross member &gt; Closures&gt;Rear door&gt;Top roll assy&gt;Cross member 01 (outer)&gt;Cross member&gt;Part 01 (single/main) &gt; MANUFACTURING  PROCESS</t>
  </si>
  <si>
    <t>Body &gt; Closures &gt; Rear Door Right &gt; Rear Door Right &gt; Top roll assy &gt; Cross member 02 (inner)</t>
  </si>
  <si>
    <t>Body &gt; Closures &gt; Rear Door Right &gt; Rear Door Right &gt; Top roll assy &gt; Cross member 02 (inner) &gt; Cross member</t>
  </si>
  <si>
    <t>Body &gt; Closures &gt; Rear Door Right &gt; Rear Door Right &gt; Top roll assy &gt; Cross member 02 (inner) &gt; Cross member &gt; Closures&gt;Rear door&gt;Top roll assy&gt;Cross member 02 (inner)&gt;Cross member&gt;Part 01 (single/main)</t>
  </si>
  <si>
    <t>0.90500 kg</t>
  </si>
  <si>
    <t>1.13125 kg</t>
  </si>
  <si>
    <t>Body &gt; Closures &gt; Rear Door Right &gt; Rear Door Right &gt; Top roll assy &gt; Cross member 02 (inner) &gt; Cross member &gt; Closures&gt;Rear door&gt;Top roll assy&gt;Cross member 02 (inner)&gt;Cross member&gt;Part 01 (single/main) &gt; MANUFACTURING  PROCESS</t>
  </si>
  <si>
    <t>Body &gt; Closures &gt; Rear Door Right &gt; Rear Door Right &gt; Outer panel</t>
  </si>
  <si>
    <t>Body &gt; Closures &gt; Rear Door Right &gt; Rear Door Right &gt; Outer panel &gt; Panel</t>
  </si>
  <si>
    <t>Body &gt; Closures &gt; Rear Door Right &gt; Rear Door Right &gt; Outer panel &gt; Panel &gt; Closures&gt;Rear door&gt;Outer panel&gt;Panel&gt;Part 01 (single/main)</t>
  </si>
  <si>
    <t>3.70900 kg</t>
  </si>
  <si>
    <t>4.63625 kg</t>
  </si>
  <si>
    <t>Body &gt; Closures &gt; Rear Door Right &gt; Rear Door Right &gt; Outer panel &gt; Panel &gt; Closures&gt;Rear door&gt;Outer panel&gt;Panel&gt;Part 01 (single/main) &gt; MANUFACTURING  PROCESS</t>
  </si>
  <si>
    <t>Body &gt; Closures &gt; Rear Door Right &gt; Rear Door Right &gt; Assembly</t>
  </si>
  <si>
    <t>00000003DE6REU01 (AutoReverse)</t>
  </si>
  <si>
    <t>Body &gt; Closures &gt; Rear Door Right &gt; Door Panel</t>
  </si>
  <si>
    <t>Body &gt; Closures &gt; Rear Door Right &gt; Door Panel &gt; Inner Door Handle</t>
  </si>
  <si>
    <t>Body &gt; Closures &gt; Rear Door Right &gt; Door Panel &gt; Inner Door Handle &gt; Opening Control</t>
  </si>
  <si>
    <t>0.11600 kg</t>
  </si>
  <si>
    <t>0.1221052631578947368421052632 kg</t>
  </si>
  <si>
    <t>Body &gt; Closures &gt; Rear Door Right &gt; Door Panel &gt; Inner Door Handle &gt; Opening Control &gt; Automated Process</t>
  </si>
  <si>
    <t>Body &gt; Closures &gt; Rear Door Right &gt; Door Panel &gt; Inner Door Handle &gt; Bezel</t>
  </si>
  <si>
    <t>0.05633 kg</t>
  </si>
  <si>
    <t>0.0599255319148936170212765957 kg</t>
  </si>
  <si>
    <t>Body &gt; Closures &gt; Rear Door Right &gt; Door Panel &gt; Inner Door Handle &gt; Bezel &gt; Automated Process</t>
  </si>
  <si>
    <t>0.16900 kg</t>
  </si>
  <si>
    <t>0.1778947368421052631578947368 kg</t>
  </si>
  <si>
    <t>A000004QOEI3EU01 (AutoReverse)</t>
  </si>
  <si>
    <t>Body &gt; Closures &gt; Rear Door Right &gt; Door Panel &gt; Speaker Grille System</t>
  </si>
  <si>
    <t>Body &gt; Closures &gt; Rear Door Right &gt; Door Panel &gt; Speaker Grille System &gt; Speaker Grille</t>
  </si>
  <si>
    <t>0.08600 kg</t>
  </si>
  <si>
    <t>0.0905263157894736842105263158 kg</t>
  </si>
  <si>
    <t>Body &gt; Closures &gt; Rear Door Right &gt; Door Panel &gt; Speaker Grille System &gt; Speaker Grille &gt; Automated Process</t>
  </si>
  <si>
    <t>000000A64ENPEU02 (AutoReverse)</t>
  </si>
  <si>
    <t>Body &gt; Closures &gt; Rear Door Right &gt; Door Panel &gt; Speaker Grille System &gt; Medium Grille</t>
  </si>
  <si>
    <t>0.0225 kg</t>
  </si>
  <si>
    <t>Body &gt; Closures &gt; Rear Door Right &gt; Door Panel &gt; Speaker Grille System &gt; Medium Grille &gt; Automated Process</t>
  </si>
  <si>
    <t>000000A64ENREU02 (AutoReverse)</t>
  </si>
  <si>
    <t>Body &gt; Closures &gt; Rear Door Right &gt; Door Panel &gt; Speaker Grille System &gt; Medium Grille Support</t>
  </si>
  <si>
    <t>0.02900 kg</t>
  </si>
  <si>
    <t>0.0305263157894736842105263158 kg</t>
  </si>
  <si>
    <t>Body &gt; Closures &gt; Rear Door Right &gt; Door Panel &gt; Speaker Grille System &gt; Medium Grille Support &gt; Automated Process</t>
  </si>
  <si>
    <t>A000004HIZAXEU01 (AutoReverse)</t>
  </si>
  <si>
    <t>Body &gt; Closures &gt; Rear Door Right &gt; Door Panel &gt; Speaker Grille System &gt; Speaker Bezel</t>
  </si>
  <si>
    <t>0.04100 kg</t>
  </si>
  <si>
    <t>0.0431578947368421052631578947 kg</t>
  </si>
  <si>
    <t>Body &gt; Closures &gt; Rear Door Right &gt; Door Panel &gt; Speaker Grille System &gt; Speaker Bezel &gt; Automated Process</t>
  </si>
  <si>
    <t>A000004HIZAZEU01 (AutoReverse)</t>
  </si>
  <si>
    <t>Body &gt; Closures &gt; Rear Door Right &gt; Door Panel &gt; Speaker Grille System &gt; Speaker Badge</t>
  </si>
  <si>
    <t>Body &gt; Closures &gt; Rear Door Right &gt; Door Panel &gt; Speaker Grille System &gt; Speaker Badge &gt; Automated Process</t>
  </si>
  <si>
    <t>A0000015O34PEU02 (AutoReverse)</t>
  </si>
  <si>
    <t>000000A64ENOEU02 (AutoReverse)</t>
  </si>
  <si>
    <t>Body &gt; Closures &gt; Rear Door Right &gt; Door Panel &gt; Panel Carrier</t>
  </si>
  <si>
    <t>1.13800 kg</t>
  </si>
  <si>
    <t>1.1978947368421052631578947368 kg</t>
  </si>
  <si>
    <t>Body &gt; Closures &gt; Rear Door Right &gt; Door Panel &gt; Panel Carrier &gt; Automated Process</t>
  </si>
  <si>
    <t>00000008BJE0EU01 (AutoReverse)</t>
  </si>
  <si>
    <t>Body &gt; Closures &gt; Rear Door Right &gt; Door Panel &gt; Insert</t>
  </si>
  <si>
    <t>0.16700 kg</t>
  </si>
  <si>
    <t>0.1757894736842105263157894737 kg</t>
  </si>
  <si>
    <t>Body &gt; Closures &gt; Rear Door Right &gt; Door Panel &gt; Insert &gt; Automated Process</t>
  </si>
  <si>
    <t>0.08350 kg</t>
  </si>
  <si>
    <t>0.0888297872340425531914893617 kg</t>
  </si>
  <si>
    <t>000000093QFEEU01 (AutoReverse)</t>
  </si>
  <si>
    <t>Body &gt; Closures &gt; Rear Door Right &gt; Door Panel &gt; Armrest</t>
  </si>
  <si>
    <t>0.62400 kg</t>
  </si>
  <si>
    <t>0.6568421052631578947368421053 kg</t>
  </si>
  <si>
    <t>Body &gt; Closures &gt; Rear Door Right &gt; Door Panel &gt; Armrest &gt; Automated Process</t>
  </si>
  <si>
    <t>0.28400 kg</t>
  </si>
  <si>
    <t>0.3021276595744680851063829787 kg</t>
  </si>
  <si>
    <t>00000005VLPHEU01 (AutoReverse)</t>
  </si>
  <si>
    <t>Body &gt; Closures &gt; Rear Door Right &gt; Door Panel &gt; Trim</t>
  </si>
  <si>
    <t>0.0947368421052631578947368421 kg</t>
  </si>
  <si>
    <t>Body &gt; Closures &gt; Rear Door Right &gt; Door Panel &gt; Trim &gt; Automated Process</t>
  </si>
  <si>
    <t>0000000AV61XEU01 (AutoReverse)</t>
  </si>
  <si>
    <t>Body &gt; Closures &gt; Rear Door Right &gt; Door Panel &gt; 2nd Trim</t>
  </si>
  <si>
    <t>Body &gt; Closures &gt; Rear Door Right &gt; Door Panel &gt; 2nd Trim &gt; Automated Process</t>
  </si>
  <si>
    <t>00000002QGJWEU01 (AutoReverse)</t>
  </si>
  <si>
    <t>Body &gt; Closures &gt; Rear Door Right &gt; Door Panel &gt; Upper Band</t>
  </si>
  <si>
    <t>0.28700 kg</t>
  </si>
  <si>
    <t>0.3021052631578947368421052632 kg</t>
  </si>
  <si>
    <t>Body &gt; Closures &gt; Rear Door Right &gt; Door Panel &gt; Upper Band &gt; Automated Process</t>
  </si>
  <si>
    <t>0.0957446808510638297872340426 kg</t>
  </si>
  <si>
    <t>000000088IIAEU01 (AutoReverse)</t>
  </si>
  <si>
    <t>Body &gt; Closures &gt; Rear Door Right &gt; Door Panel &gt; Door Map Pocket Panel</t>
  </si>
  <si>
    <t>Body &gt; Closures &gt; Rear Door Right &gt; Door Panel &gt; Door Map Pocket Panel &gt; Automated Process</t>
  </si>
  <si>
    <t>A0000015S50TEU02 (AutoReverse)</t>
  </si>
  <si>
    <t>Body &gt; Closures &gt; Rear Door Right &gt; Door Panel &gt; Soundproofing</t>
  </si>
  <si>
    <t>0.32900 kg</t>
  </si>
  <si>
    <t>0.3463157894736842105263157895 kg</t>
  </si>
  <si>
    <t>Body &gt; Closures &gt; Rear Door Right &gt; Door Panel &gt; Soundproofing &gt; Automated Process</t>
  </si>
  <si>
    <t>00000003BE51EU01 (AutoReverse)</t>
  </si>
  <si>
    <t>Body &gt; Closures &gt; Rear Door Right &gt; Door Panel &gt; Reinforcement</t>
  </si>
  <si>
    <t>0.09500 kg</t>
  </si>
  <si>
    <t>0.1 kg</t>
  </si>
  <si>
    <t>Body &gt; Closures &gt; Rear Door Right &gt; Door Panel &gt; Reinforcement &gt; Automated Process</t>
  </si>
  <si>
    <t>A000004HIZAVEU01 (AutoReverse)</t>
  </si>
  <si>
    <t>000000021OXOEU01 (AutoReverse)</t>
  </si>
  <si>
    <t>Body &gt; Closures &gt; Rear Door Right &gt; Door Mechanism</t>
  </si>
  <si>
    <t>Body &gt; Closures &gt; Rear Door Right &gt; Door Mechanism &gt; Interior Side</t>
  </si>
  <si>
    <t>Body &gt; Closures &gt; Rear Door Right &gt; Door Mechanism &gt; Interior Side &gt; Opening Control</t>
  </si>
  <si>
    <t>Body &gt; Closures &gt; Rear Door Right &gt; Door Mechanism &gt; Interior Side &gt; Opening Control &gt; Injection molding</t>
  </si>
  <si>
    <t>00000004QIEFEU01 (AutoReverse)</t>
  </si>
  <si>
    <t>Body &gt; Closures &gt; Rear Door Right &gt; Door Mechanism &gt; Interior Side &gt; Opening Control Support</t>
  </si>
  <si>
    <t>Body &gt; Closures &gt; Rear Door Right &gt; Door Mechanism &gt; Interior Side &gt; Opening Control Support &gt; Injection molding</t>
  </si>
  <si>
    <t>00000009QUZSEU01 (AutoReverse)</t>
  </si>
  <si>
    <t>Body &gt; Closures &gt; Rear Door Right &gt; Door Mechanism &gt; Interior Side &gt; Spring</t>
  </si>
  <si>
    <t>Body &gt; Closures &gt; Rear Door Right &gt; Door Mechanism &gt; Interior Side &gt; Spring &gt; Coiling + End forming</t>
  </si>
  <si>
    <t>Body &gt; Closures &gt; Rear Door Right &gt; Door Mechanism &gt; Interior Side &gt; Spring &gt; Heat treatment</t>
  </si>
  <si>
    <t>A0000049NI98EU01 (AutoReverse)</t>
  </si>
  <si>
    <t>000000AS0I2SEU02 (AutoReverse)</t>
  </si>
  <si>
    <t>A0000015S515EU02 (AutoReverse)</t>
  </si>
  <si>
    <t>00000000QS66EU01 (AutoReverse)</t>
  </si>
  <si>
    <t>Body &gt; Closures &gt; Rear Door Right &gt; Door Mechanism &gt; Exterior side</t>
  </si>
  <si>
    <t>Body &gt; Closures &gt; Rear Door Right &gt; Door Mechanism &gt; Exterior side &gt; Opening Control</t>
  </si>
  <si>
    <t>Body &gt; Closures &gt; Rear Door Right &gt; Door Mechanism &gt; Exterior side &gt; Opening Control &gt; Injection molding</t>
  </si>
  <si>
    <t>Part assumed made by Tier 1</t>
  </si>
  <si>
    <t>0000000331LBEU01 (AutoReverse)</t>
  </si>
  <si>
    <t>Body &gt; Closures &gt; Rear Door Right &gt; Door Mechanism &gt; Exterior side &gt; Opening Control Support</t>
  </si>
  <si>
    <t>Body &gt; Closures &gt; Rear Door Right &gt; Door Mechanism &gt; Exterior side &gt; Opening Control Support &gt; Injection molding</t>
  </si>
  <si>
    <t>00000000UL7AEU01 (AutoReverse)</t>
  </si>
  <si>
    <t>Body &gt; Closures &gt; Rear Door Right &gt; Door Mechanism &gt; Exterior side &gt; Bezel</t>
  </si>
  <si>
    <t>Body &gt; Closures &gt; Rear Door Right &gt; Door Mechanism &gt; Exterior side &gt; Bezel &gt; Injection molding</t>
  </si>
  <si>
    <t>Body &gt; Closures &gt; Rear Door Right &gt; Door Mechanism &gt; Exterior side &gt; Bezel &gt; Painting</t>
  </si>
  <si>
    <t>000000AENBGTEU02 (AutoReverse)</t>
  </si>
  <si>
    <t>Body &gt; Closures &gt; Rear Door Right &gt; Door Mechanism &gt; Exterior side &gt; 2nd Bezel</t>
  </si>
  <si>
    <t>Body &gt; Closures &gt; Rear Door Right &gt; Door Mechanism &gt; Exterior side &gt; 2nd Bezel &gt; Injection molding</t>
  </si>
  <si>
    <t>Body &gt; Closures &gt; Rear Door Right &gt; Door Mechanism &gt; Exterior side &gt; 2nd Bezel &gt; Painting</t>
  </si>
  <si>
    <t>A0000016494UEU02 (AutoReverse)</t>
  </si>
  <si>
    <t>Cost referred from VW ID.4
Part assumed made by Tier 2</t>
  </si>
  <si>
    <t>PMMA;ELECTRONIC COMPONENT</t>
  </si>
  <si>
    <t>A0000016494VEU02 (AutoReverse)</t>
  </si>
  <si>
    <t>Part assumed made by Tier 2</t>
  </si>
  <si>
    <t>PA6;PA;ELECTRONIC COMPONENT</t>
  </si>
  <si>
    <t>00000000Q813EU01 (AutoReverse)</t>
  </si>
  <si>
    <t>Body &gt; Closures &gt; Rear Door Right &gt; Door Mechanism &gt; Exterior side &gt; Mechanism</t>
  </si>
  <si>
    <t>Body &gt; Closures &gt; Rear Door Right &gt; Door Mechanism &gt; Exterior side &gt; Mechanism &gt; Injection molding</t>
  </si>
  <si>
    <t>000000AEDJ4YEU02 (AutoReverse)</t>
  </si>
  <si>
    <t>00000009469HEU01 (AutoReverse)</t>
  </si>
  <si>
    <t>Body &gt; Closures &gt; Rear Door Right &gt; Door Mechanism &gt; Locking System</t>
  </si>
  <si>
    <t>00000008QHGKEU01 (AutoReverse)</t>
  </si>
  <si>
    <t>A2MAC1 Reference Cost
Latch Subassembly - 9.5 € 
Subassembly assumed made by Tier 1</t>
  </si>
  <si>
    <t>TPE;PP;STEEL;ELECTRONIC COMPONENT</t>
  </si>
  <si>
    <t>000000034A4BEU01 (AutoReverse)</t>
  </si>
  <si>
    <t>Body &gt; Closures &gt; Rear Door Right &gt; Door Mechanism &gt; Door Striker</t>
  </si>
  <si>
    <t xml:space="preserve">Body &gt; Closures &gt; Rear Door Right &gt; Door Mechanism &gt; Door Striker &gt; Stamping </t>
  </si>
  <si>
    <t>Body &gt; Closures &gt; Rear Door Right &gt; Door Mechanism &gt; Door Striker &gt; Wire Bending</t>
  </si>
  <si>
    <t>Body &gt; Closures &gt; Rear Door Right &gt; Door Mechanism &gt; Door Striker &gt; Press fit</t>
  </si>
  <si>
    <t>00000001N59AEU01 (AutoReverse)</t>
  </si>
  <si>
    <t>Body &gt; Closures &gt; Rear Door Right &gt; Door Mechanism &gt; Assembly</t>
  </si>
  <si>
    <t>00000005BA6PEU01 (AutoReverse)</t>
  </si>
  <si>
    <t>Body &gt; Closures &gt; Rear Door Right &gt; Window System</t>
  </si>
  <si>
    <t>Body &gt; Closures &gt; Rear Door Right &gt; Window System &gt; Window Regulator Motor</t>
  </si>
  <si>
    <t>Body &gt; Closures &gt; Rear Door Right &gt; Window System &gt; Window Regulator Motor &gt; Process</t>
  </si>
  <si>
    <t>00000007TRGYEU01 (AutoReverse)</t>
  </si>
  <si>
    <t>Body &gt; Closures &gt; Rear Door Right &gt; Window System &gt; Window</t>
  </si>
  <si>
    <t>Body &gt; Closures &gt; Rear Door Right &gt; Window System &gt; Window &gt; Glas Panel</t>
  </si>
  <si>
    <t>Body &gt; Closures &gt; Rear Door Right &gt; Window System &gt; Window &gt; Glas Panel &gt; Automated Process</t>
  </si>
  <si>
    <t>0000000ADBHGEU01 (AutoReverse)</t>
  </si>
  <si>
    <t>Cost referred from Tesla Model Y</t>
  </si>
  <si>
    <t>AL;STEEL;PP</t>
  </si>
  <si>
    <t>0000000457S7EU01 (AutoReverse)</t>
  </si>
  <si>
    <t>000000008Z7CEU01 (AutoReverse)</t>
  </si>
  <si>
    <t>Body &gt; Closures &gt; Rear Door Right &gt; Sealing System</t>
  </si>
  <si>
    <t>Body &gt; Closures &gt; Rear Door Right &gt; Sealing System &gt; Door Weather Stripping</t>
  </si>
  <si>
    <t>Body &gt; Closures &gt; Rear Door Right &gt; Sealing System &gt; Door Weather Stripping &gt; On Body</t>
  </si>
  <si>
    <t>1.30000 kg</t>
  </si>
  <si>
    <t>1.3684210526315789473684210526 kg</t>
  </si>
  <si>
    <t>Body &gt; Closures &gt; Rear Door Right &gt; Sealing System &gt; Door Weather Stripping &gt; On Body &gt; Seal Extrusion (Multi Layer)</t>
  </si>
  <si>
    <t>0.17000 kg</t>
  </si>
  <si>
    <t>0.1789473684210526315789473684 kg</t>
  </si>
  <si>
    <t>Body &gt; Closures &gt; Rear Door Right &gt; Sealing System &gt; Door Weather Stripping &gt; On Body &gt; End Glueing/Vulcanizing; Check and Pack</t>
  </si>
  <si>
    <t>00000007RQTXEU01 (AutoReverse)</t>
  </si>
  <si>
    <t>Body &gt; Closures &gt; Rear Door Right &gt; Sealing System &gt; Door Weather Stripping &gt; On Door</t>
  </si>
  <si>
    <t>0.21800 kg</t>
  </si>
  <si>
    <t>0.2294736842105263157894736842 kg</t>
  </si>
  <si>
    <t>Body &gt; Closures &gt; Rear Door Right &gt; Sealing System &gt; Door Weather Stripping &gt; On Door &gt; Seal Extrusion (Multi Layer)</t>
  </si>
  <si>
    <t>00000008RCLREU01 (AutoReverse)</t>
  </si>
  <si>
    <t>Body &gt; Closures &gt; Rear Door Right &gt; Sealing System &gt; Door Weather Stripping &gt; On Door Front</t>
  </si>
  <si>
    <t>0.0736842105263157894736842105 kg</t>
  </si>
  <si>
    <t>Body &gt; Closures &gt; Rear Door Right &gt; Sealing System &gt; Door Weather Stripping &gt; On Door Front &gt; Seal Extrusion (Multi Layer)</t>
  </si>
  <si>
    <t>0.04000 kg</t>
  </si>
  <si>
    <t>0.0421052631578947368421052632 kg</t>
  </si>
  <si>
    <t>00000000ZZ1XEU01 (AutoReverse)</t>
  </si>
  <si>
    <t>00000008A0V9EU01 (AutoReverse)</t>
  </si>
  <si>
    <t>Body &gt; Closures &gt; Rear Door Right &gt; Sealing System &gt; Interior Weatherstrip</t>
  </si>
  <si>
    <t>0.30000 kg</t>
  </si>
  <si>
    <t>0.3157894736842105263157894737 kg</t>
  </si>
  <si>
    <t>Body &gt; Closures &gt; Rear Door Right &gt; Sealing System &gt; Interior Weatherstrip &gt; Seal Extrusion (Multi Layer)</t>
  </si>
  <si>
    <t>00000009FRGOEU01 (AutoReverse)</t>
  </si>
  <si>
    <t>Body &gt; Closures &gt; Rear Door Right &gt; Sealing System &gt; Exterior Weatherstrip</t>
  </si>
  <si>
    <t>0.16500 kg</t>
  </si>
  <si>
    <t>0.1736842105263157894736842105 kg</t>
  </si>
  <si>
    <t>Body &gt; Closures &gt; Rear Door Right &gt; Sealing System &gt; Exterior Weatherstrip &gt; Seal Extrusion (Multi Layer)</t>
  </si>
  <si>
    <t>00000003U0FUEU01 (AutoReverse)</t>
  </si>
  <si>
    <t>Body &gt; Closures &gt; Rear Door Right &gt; Sealing System &gt; 2nd Exterior Weatherstrip</t>
  </si>
  <si>
    <t>0.0762136225499172764638572773 kg</t>
  </si>
  <si>
    <t>Body &gt; Closures &gt; Rear Door Right &gt; Sealing System &gt; 2nd Exterior Weatherstrip &gt; Aluminum extrusion</t>
  </si>
  <si>
    <t>Exterior Standard</t>
  </si>
  <si>
    <t>A0000054HFB6EU01 (AutoReverse)</t>
  </si>
  <si>
    <t>00000006WSHGEU01 (AutoReverse)</t>
  </si>
  <si>
    <t>Body &gt; Closures &gt; Rear Door Right &gt; Power System</t>
  </si>
  <si>
    <t>Body &gt; Closures &gt; Rear Door Right &gt; Power System &gt; Lighting Band</t>
  </si>
  <si>
    <t>A0000015O34ZEU02 (AutoReverse)</t>
  </si>
  <si>
    <t>Body &gt; Closures &gt; Rear Door Right &gt; Power System &gt; Lighting Band &gt; Light Diffuser/Band</t>
  </si>
  <si>
    <t>Body &gt; Closures &gt; Rear Door Right &gt; Power System &gt; Lighting Band &gt; Light Diffuser/Band &gt; Injection molding</t>
  </si>
  <si>
    <t>Body &gt; Closures &gt; Rear Door Right &gt; Power System &gt; Lighting Band &gt; Light Diffuser/Band &gt; Handling/Visual Inspection/Packaging</t>
  </si>
  <si>
    <t>A0000015O34YEU02 (AutoReverse)</t>
  </si>
  <si>
    <t>Body &gt; Closures &gt; Rear Door Right &gt; Power System &gt; Lighting Band &gt; Mood Light Diffuser Support</t>
  </si>
  <si>
    <t>0.02300 kg</t>
  </si>
  <si>
    <t>0.0237113402061855670103092784 kg</t>
  </si>
  <si>
    <t>Body &gt; Closures &gt; Rear Door Right &gt; Power System &gt; Lighting Band &gt; Mood Light Diffuser Support &gt; Injection molding</t>
  </si>
  <si>
    <t>Body &gt; Closures &gt; Rear Door Right &gt; Power System &gt; Lighting Band &gt; Mood Light Diffuser Support &gt; Handling/Visual Inspection/Packaging</t>
  </si>
  <si>
    <t>PP;PMMA</t>
  </si>
  <si>
    <t>A0000015O34OEU02 (AutoReverse)</t>
  </si>
  <si>
    <t>A0000015O34XEU02 (AutoReverse)</t>
  </si>
  <si>
    <t>00000009R3X9EU01 (AutoReverse)</t>
  </si>
  <si>
    <t>00000002A6BBEU01 (AutoReverse)</t>
  </si>
  <si>
    <t>00000009VDV9EU01 (AutoReverse)</t>
  </si>
  <si>
    <t>Body &gt; Closures &gt; Rear Door Right &gt; Power Controls</t>
  </si>
  <si>
    <t>Body &gt; Closures &gt; Rear Door Right &gt; Power Controls &gt; Window Control Switch</t>
  </si>
  <si>
    <t>00000000FSQ7EU01 (AutoReverse)</t>
  </si>
  <si>
    <t>Body &gt; Closures &gt; Rear Door Right &gt; Power Controls &gt; Window Control Switch &gt; Switch Support</t>
  </si>
  <si>
    <t>Body &gt; Closures &gt; Rear Door Right &gt; Power Controls &gt; Window Control Switch &gt; Switch Support &gt; Injection molding</t>
  </si>
  <si>
    <t>000000077RBWEU01 (AutoReverse)</t>
  </si>
  <si>
    <t>00000009BPOREU01 (AutoReverse)</t>
  </si>
  <si>
    <t>00000000J2R8EU01 (AutoReverse)</t>
  </si>
  <si>
    <t>Body &gt; Closures &gt; Rear Door Right &gt; Speaker System</t>
  </si>
  <si>
    <t>ELECTRONIC COMPONENT;PC;STEEL</t>
  </si>
  <si>
    <t>00000003AV17EU01 (AutoReverse)</t>
  </si>
  <si>
    <t>000000A64ENSEU02 (AutoReverse)</t>
  </si>
  <si>
    <t>00000001UPFMEU01 (AutoReverse)</t>
  </si>
  <si>
    <t>Body &gt; Closures &gt; Rear Door Right &gt; Reinforcement System</t>
  </si>
  <si>
    <t>Cost given for Screw and washer</t>
  </si>
  <si>
    <t>000000060XA0EU01 (AutoReverse)</t>
  </si>
  <si>
    <t>TPE;PP</t>
  </si>
  <si>
    <t>A0000056HO4BEU01 (AutoReverse)</t>
  </si>
  <si>
    <t>000000068VHZEU01 (AutoReverse)</t>
  </si>
  <si>
    <t>Body &gt; Closures &gt; Rear Door Right &gt; Hinges</t>
  </si>
  <si>
    <t>Body &gt; Closures &gt; Rear Door Right &gt; Hinges &gt; Upper</t>
  </si>
  <si>
    <t>Body &gt; Closures &gt; Rear Door Right &gt; Hinges &gt; Upper &gt; On Body</t>
  </si>
  <si>
    <t>Body &gt; Closures &gt; Rear Door Right &gt; Hinges &gt; Upper &gt; On Body &gt; MANUFACTURING  PROCESS</t>
  </si>
  <si>
    <t>00000009QMFUEU01 (AutoReverse)</t>
  </si>
  <si>
    <t>Body &gt; Closures &gt; Rear Door Right &gt; Hinges &gt; Upper &gt; On Door</t>
  </si>
  <si>
    <t>Body &gt; Closures &gt; Rear Door Right &gt; Hinges &gt; Upper &gt; On Door &gt; MANUFACTURING  PROCESS</t>
  </si>
  <si>
    <t>00000004EABEEU01 (AutoReverse)</t>
  </si>
  <si>
    <t>00000003BJ8QEU01 (AutoReverse)</t>
  </si>
  <si>
    <t>Body &gt; Closures &gt; Rear Door Right &gt; Hinges &gt; Lower</t>
  </si>
  <si>
    <t>Body &gt; Closures &gt; Rear Door Right &gt; Hinges &gt; Lower &gt; On Body</t>
  </si>
  <si>
    <t>Body &gt; Closures &gt; Rear Door Right &gt; Hinges &gt; Lower &gt; On Body &gt; MANUFACTURING  PROCESS</t>
  </si>
  <si>
    <t>00000006M4RZEU01 (AutoReverse)</t>
  </si>
  <si>
    <t>Body &gt; Closures &gt; Rear Door Right &gt; Hinges &gt; Lower &gt; On Door</t>
  </si>
  <si>
    <t>Body &gt; Closures &gt; Rear Door Right &gt; Hinges &gt; Lower &gt; On Door &gt; MANUFACTURING  PROCESS</t>
  </si>
  <si>
    <t>00000003HXDHEU01 (AutoReverse)</t>
  </si>
  <si>
    <t>00000005C21MEU01 (AutoReverse)</t>
  </si>
  <si>
    <t>Cost referred from Lucid Gravity</t>
  </si>
  <si>
    <t>00000001K75KEU01 (AutoReverse)</t>
  </si>
  <si>
    <t>Body &gt; Closures &gt; Rear Door Right &gt; Hinges &gt; Door Stopper Protection</t>
  </si>
  <si>
    <t>Body &gt; Closures &gt; Rear Door Right &gt; Hinges &gt; Door Stopper Protection &gt; Injection molding</t>
  </si>
  <si>
    <t>A000004P3ICPEU01 (AutoReverse)</t>
  </si>
  <si>
    <t>00000009ZP1LEU01 (AutoReverse)</t>
  </si>
  <si>
    <t>Body &gt; Closures &gt; Rear Door Right &gt; Function Carrier</t>
  </si>
  <si>
    <t>0.71200 kg</t>
  </si>
  <si>
    <t>0.7340206185567010309278350515 kg</t>
  </si>
  <si>
    <t>Body &gt; Closures &gt; Rear Door Right &gt; Function Carrier &gt; Injection molding</t>
  </si>
  <si>
    <t>Opening: 3.15 s, Ejection: 0.17 s, Insert: 0.00 s, Closing: 5.73 s, Removal: 2.77 s, Cooling: 5.48 s, Injection: 2.44</t>
  </si>
  <si>
    <t>000000A64ENHEU02 (AutoReverse)</t>
  </si>
  <si>
    <t>00000005QYP6EU01 (AutoReverse)</t>
  </si>
  <si>
    <t>A000004R494VEU01 (AutoReverse)</t>
  </si>
  <si>
    <t>Body &gt; Closures &gt; Rear Door Right &gt; Assembly</t>
  </si>
  <si>
    <t>000000049TIDEU01 (AutoReverse)</t>
  </si>
  <si>
    <t>Body &gt; Closures &gt; Rear Door Left</t>
  </si>
  <si>
    <t>Body &gt; Closures &gt; Rear Door Left &gt; Speaker System</t>
  </si>
  <si>
    <t>00000004PUD9EU01 (AutoReverse)</t>
  </si>
  <si>
    <t>000000070FZQEU01 (AutoReverse)</t>
  </si>
  <si>
    <t>00000007IKN3EU01 (AutoReverse)</t>
  </si>
  <si>
    <t>Body &gt; Closures &gt; Rear Door Left &gt; Reinforcement System</t>
  </si>
  <si>
    <t>00000002S5P5EU01 (AutoReverse)</t>
  </si>
  <si>
    <t>00000000KA0EEU01 (AutoReverse)</t>
  </si>
  <si>
    <t>00000008QPK3EU01 (AutoReverse)</t>
  </si>
  <si>
    <t>Body &gt; Closures &gt; Rear Door Left &gt; Hinges</t>
  </si>
  <si>
    <t>Body &gt; Closures &gt; Rear Door Left &gt; Hinges &gt; Upper</t>
  </si>
  <si>
    <t>Body &gt; Closures &gt; Rear Door Left &gt; Hinges &gt; Upper &gt; On Body</t>
  </si>
  <si>
    <t>Body &gt; Closures &gt; Rear Door Left &gt; Hinges &gt; Upper &gt; On Body &gt; MANUFACTURING  PROCESS</t>
  </si>
  <si>
    <t>0000000ADJXXEU01 (AutoReverse)</t>
  </si>
  <si>
    <t>Body &gt; Closures &gt; Rear Door Left &gt; Hinges &gt; Upper &gt; On Door</t>
  </si>
  <si>
    <t>Body &gt; Closures &gt; Rear Door Left &gt; Hinges &gt; Upper &gt; On Door &gt; MANUFACTURING  PROCESS</t>
  </si>
  <si>
    <t>00000003YZG3EU01 (AutoReverse)</t>
  </si>
  <si>
    <t>0000000759AZEU01 (AutoReverse)</t>
  </si>
  <si>
    <t>Body &gt; Closures &gt; Rear Door Left &gt; Hinges &gt; Lower</t>
  </si>
  <si>
    <t>Body &gt; Closures &gt; Rear Door Left &gt; Hinges &gt; Lower &gt; On Body</t>
  </si>
  <si>
    <t>Body &gt; Closures &gt; Rear Door Left &gt; Hinges &gt; Lower &gt; On Body &gt; MANUFACTURING  PROCESS</t>
  </si>
  <si>
    <t>000000013K4IEU01 (AutoReverse)</t>
  </si>
  <si>
    <t>Body &gt; Closures &gt; Rear Door Left &gt; Hinges &gt; Lower &gt; On Door</t>
  </si>
  <si>
    <t>Body &gt; Closures &gt; Rear Door Left &gt; Hinges &gt; Lower &gt; On Door &gt; MANUFACTURING  PROCESS</t>
  </si>
  <si>
    <t>00000001S62KEU01 (AutoReverse)</t>
  </si>
  <si>
    <t>000000032QD9EU01 (AutoReverse)</t>
  </si>
  <si>
    <t>00000002VOXZEU01 (AutoReverse)</t>
  </si>
  <si>
    <t>Body &gt; Closures &gt; Rear Door Left &gt; Hinges &gt; Door Stopper Protection</t>
  </si>
  <si>
    <t>Body &gt; Closures &gt; Rear Door Left &gt; Hinges &gt; Door Stopper Protection &gt; Injection molding</t>
  </si>
  <si>
    <t>PE,injection Molding</t>
  </si>
  <si>
    <t>00000008AMPTEU01 (AutoReverse)</t>
  </si>
  <si>
    <t>0000000011EYEU01 (AutoReverse)</t>
  </si>
  <si>
    <t>Body &gt; Closures &gt; Rear Door Left &gt; Power Controls</t>
  </si>
  <si>
    <t>00000008JR2MEU01 (AutoReverse)</t>
  </si>
  <si>
    <t>Body &gt; Closures &gt; Rear Door Left &gt; Power Controls &gt; Switch Support</t>
  </si>
  <si>
    <t>Body &gt; Closures &gt; Rear Door Left &gt; Power Controls &gt; Switch Support &gt; Injection molding</t>
  </si>
  <si>
    <t>000000015ZD2EU01 (AutoReverse)</t>
  </si>
  <si>
    <t>000000042UCREU01 (AutoReverse)</t>
  </si>
  <si>
    <t>Body &gt; Closures &gt; Rear Door Left &gt; Power System</t>
  </si>
  <si>
    <t>Body &gt; Closures &gt; Rear Door Left &gt; Power System &gt; Lighting Band</t>
  </si>
  <si>
    <t>0000000567UZEU01 (AutoReverse)</t>
  </si>
  <si>
    <t>Body &gt; Closures &gt; Rear Door Left &gt; Power System &gt; Lighting Band &gt; Light Diffuser</t>
  </si>
  <si>
    <t>Body &gt; Closures &gt; Rear Door Left &gt; Power System &gt; Lighting Band &gt; Light Diffuser &gt; Injection molding</t>
  </si>
  <si>
    <t>Body &gt; Closures &gt; Rear Door Left &gt; Power System &gt; Lighting Band &gt; Light Diffuser &gt; Handling/Visual Inspection/Packaging</t>
  </si>
  <si>
    <t>00000003ZOW1EU01 (AutoReverse)</t>
  </si>
  <si>
    <t>Body &gt; Closures &gt; Rear Door Left &gt; Power System &gt; Lighting Band &gt; Mood Light Diffuser Support</t>
  </si>
  <si>
    <t>Body &gt; Closures &gt; Rear Door Left &gt; Power System &gt; Lighting Band &gt; Mood Light Diffuser Support &gt; Injection molding</t>
  </si>
  <si>
    <t>Body &gt; Closures &gt; Rear Door Left &gt; Power System &gt; Lighting Band &gt; Mood Light Diffuser Support &gt; Handling/Visual Inspection/Packaging</t>
  </si>
  <si>
    <t>000000A91DICEU02 (AutoReverse)</t>
  </si>
  <si>
    <t>00000008MURGEU01 (AutoReverse)</t>
  </si>
  <si>
    <t>00000007B7EGEU01 (AutoReverse)</t>
  </si>
  <si>
    <t>00000004LR7FEU01 (AutoReverse)</t>
  </si>
  <si>
    <t>00000009G0YIEU01 (AutoReverse)</t>
  </si>
  <si>
    <t>Body &gt; Closures &gt; Rear Door Left &gt; Sealing System</t>
  </si>
  <si>
    <t>Body &gt; Closures &gt; Rear Door Left &gt; Sealing System &gt; Door Weather Stripping</t>
  </si>
  <si>
    <t>Body &gt; Closures &gt; Rear Door Left &gt; Sealing System &gt; Door Weather Stripping &gt; On Body</t>
  </si>
  <si>
    <t>Body &gt; Closures &gt; Rear Door Left &gt; Sealing System &gt; Door Weather Stripping &gt; On Body &gt; Seal Extrusion (Multi Layer)</t>
  </si>
  <si>
    <t>Body &gt; Closures &gt; Rear Door Left &gt; Sealing System &gt; Door Weather Stripping &gt; On Body &gt; End Glueing/Vulcanizing; Check and Pack</t>
  </si>
  <si>
    <t>STEEL;EPDM,Seal Extrusion</t>
  </si>
  <si>
    <t>00000007WT8TEU01 (AutoReverse)</t>
  </si>
  <si>
    <t>Body &gt; Closures &gt; Rear Door Left &gt; Sealing System &gt; Door Weather Stripping &gt; On Door</t>
  </si>
  <si>
    <t>Body &gt; Closures &gt; Rear Door Left &gt; Sealing System &gt; Door Weather Stripping &gt; On Door &gt; Seal Extrusion (Multi Layer)</t>
  </si>
  <si>
    <t>EPDM,Seal extrusion</t>
  </si>
  <si>
    <t>000000009B24EU01 (AutoReverse)</t>
  </si>
  <si>
    <t>Body &gt; Closures &gt; Rear Door Left &gt; Sealing System &gt; Door Weather Stripping &gt; On Door Front</t>
  </si>
  <si>
    <t>Body &gt; Closures &gt; Rear Door Left &gt; Sealing System &gt; Door Weather Stripping &gt; On Door Front &gt; Seal Extrusion (Multi Layer)</t>
  </si>
  <si>
    <t>EPDM;AL,Seal extrusion</t>
  </si>
  <si>
    <t>0000000AERAWEU01 (AutoReverse)</t>
  </si>
  <si>
    <t>00000000J02KEU01 (AutoReverse)</t>
  </si>
  <si>
    <t>Body &gt; Closures &gt; Rear Door Left &gt; Sealing System &gt; Interior Weatherstrip</t>
  </si>
  <si>
    <t>Body &gt; Closures &gt; Rear Door Left &gt; Sealing System &gt; Interior Weatherstrip &gt; Seal Extrusion (Multi Layer)</t>
  </si>
  <si>
    <t>0000000AJBVIEU01 (AutoReverse)</t>
  </si>
  <si>
    <t>Body &gt; Closures &gt; Rear Door Left &gt; Sealing System &gt; Exterior Weatherstrip</t>
  </si>
  <si>
    <t>Body &gt; Closures &gt; Rear Door Left &gt; Sealing System &gt; Exterior Weatherstrip &gt; Seal Extrusion (Multi Layer)</t>
  </si>
  <si>
    <t>00000003QACYEU01 (AutoReverse)</t>
  </si>
  <si>
    <t>Body &gt; Closures &gt; Rear Door Left &gt; Sealing System &gt; 2nd Exterior Weatherstrip</t>
  </si>
  <si>
    <t>Body &gt; Closures &gt; Rear Door Left &gt; Sealing System &gt; 2nd Exterior Weatherstrip &gt; Aluminum extrusion</t>
  </si>
  <si>
    <t>Aluminium,Extrusion</t>
  </si>
  <si>
    <t>000000071ZZJEU01 (AutoReverse)</t>
  </si>
  <si>
    <t>000000090PQ0EU01 (AutoReverse)</t>
  </si>
  <si>
    <t>Body &gt; Closures &gt; Rear Door Left &gt; Window System</t>
  </si>
  <si>
    <t>Body &gt; Closures &gt; Rear Door Left &gt; Window System &gt; Window Regulator Motor</t>
  </si>
  <si>
    <t>Body &gt; Closures &gt; Rear Door Left &gt; Window System &gt; Window Regulator Motor &gt; Process</t>
  </si>
  <si>
    <t>000000048075EU01 (AutoReverse)</t>
  </si>
  <si>
    <t>Body &gt; Closures &gt; Rear Door Left &gt; Window System &gt; Window</t>
  </si>
  <si>
    <t>Body &gt; Closures &gt; Rear Door Left &gt; Window System &gt; Window &gt; Glas Panel</t>
  </si>
  <si>
    <t>Body &gt; Closures &gt; Rear Door Left &gt; Window System &gt; Window &gt; Glas Panel &gt; Process</t>
  </si>
  <si>
    <t>00000006XOVVEU01 (AutoReverse)</t>
  </si>
  <si>
    <t>0000000289VPEU01 (AutoReverse)</t>
  </si>
  <si>
    <t>0000000589UUEU01 (AutoReverse)</t>
  </si>
  <si>
    <t>Body &gt; Closures &gt; Rear Door Left &gt; Door Mechanism</t>
  </si>
  <si>
    <t>Body &gt; Closures &gt; Rear Door Left &gt; Door Mechanism &gt; Interior Side</t>
  </si>
  <si>
    <t>Body &gt; Closures &gt; Rear Door Left &gt; Door Mechanism &gt; Interior Side &gt; Opening Control</t>
  </si>
  <si>
    <t>Body &gt; Closures &gt; Rear Door Left &gt; Door Mechanism &gt; Interior Side &gt; Opening Control &gt; Injection molding</t>
  </si>
  <si>
    <t>0000000A7D0BEU01 (AutoReverse)</t>
  </si>
  <si>
    <t>Body &gt; Closures &gt; Rear Door Left &gt; Door Mechanism &gt; Interior Side &gt; Opening Control Support</t>
  </si>
  <si>
    <t>Body &gt; Closures &gt; Rear Door Left &gt; Door Mechanism &gt; Interior Side &gt; Opening Control Support &gt; Injection molding</t>
  </si>
  <si>
    <t>000000084COCEU01 (AutoReverse)</t>
  </si>
  <si>
    <t>Body &gt; Closures &gt; Rear Door Left &gt; Door Mechanism &gt; Interior Side &gt; Spring</t>
  </si>
  <si>
    <t>Body &gt; Closures &gt; Rear Door Left &gt; Door Mechanism &gt; Interior Side &gt; Spring &gt; Coiling + End forming</t>
  </si>
  <si>
    <t>Body &gt; Closures &gt; Rear Door Left &gt; Door Mechanism &gt; Interior Side &gt; Spring &gt; Heat treatment</t>
  </si>
  <si>
    <t>Steel,Coiling</t>
  </si>
  <si>
    <t>000000AEZDDFEU02 (AutoReverse)</t>
  </si>
  <si>
    <t>SILICONE,Injection Molding</t>
  </si>
  <si>
    <t>000000AEZDDEEU02 (AutoReverse)</t>
  </si>
  <si>
    <t>00000002VRSCEU01 (AutoReverse)</t>
  </si>
  <si>
    <t>00000006XOTJEU01 (AutoReverse)</t>
  </si>
  <si>
    <t>Body &gt; Closures &gt; Rear Door Left &gt; Door Mechanism &gt; Exterior side</t>
  </si>
  <si>
    <t>Body &gt; Closures &gt; Rear Door Left &gt; Door Mechanism &gt; Exterior side &gt; Opening Control</t>
  </si>
  <si>
    <t>Body &gt; Closures &gt; Rear Door Left &gt; Door Mechanism &gt; Exterior side &gt; Opening Control &gt; Injection molding</t>
  </si>
  <si>
    <t>PA 6 GF 30,Injection Molding
Part assumed made by Tier 1</t>
  </si>
  <si>
    <t>000000018JAAEU01 (AutoReverse)</t>
  </si>
  <si>
    <t>Body &gt; Closures &gt; Rear Door Left &gt; Door Mechanism &gt; Exterior side &gt; Opening Control Support</t>
  </si>
  <si>
    <t>Body &gt; Closures &gt; Rear Door Left &gt; Door Mechanism &gt; Exterior side &gt; Opening Control Support &gt; Injection molding</t>
  </si>
  <si>
    <t>0000000A6ZN9EU01 (AutoReverse)</t>
  </si>
  <si>
    <t>Body &gt; Closures &gt; Rear Door Left &gt; Door Mechanism &gt; Exterior side &gt; Bezel</t>
  </si>
  <si>
    <t>Body &gt; Closures &gt; Rear Door Left &gt; Door Mechanism &gt; Exterior side &gt; Bezel &gt; Injection molding</t>
  </si>
  <si>
    <t>Body &gt; Closures &gt; Rear Door Left &gt; Door Mechanism &gt; Exterior side &gt; Bezel &gt; Painting</t>
  </si>
  <si>
    <t>PC+PBT,Injection Molodng
Part assumed made by Tier 1</t>
  </si>
  <si>
    <t>000000001744EU01 (AutoReverse)</t>
  </si>
  <si>
    <t>Body &gt; Closures &gt; Rear Door Left &gt; Door Mechanism &gt; Exterior side &gt; 2nd Bezel</t>
  </si>
  <si>
    <t>Body &gt; Closures &gt; Rear Door Left &gt; Door Mechanism &gt; Exterior side &gt; 2nd Bezel &gt; Injection molding</t>
  </si>
  <si>
    <t>Body &gt; Closures &gt; Rear Door Left &gt; Door Mechanism &gt; Exterior side &gt; 2nd Bezel &gt; Painting</t>
  </si>
  <si>
    <t>PC+PBT,Injection Molding
Part assumed made by Tier 1</t>
  </si>
  <si>
    <t>A000000K1U8JEU02 (AutoReverse)</t>
  </si>
  <si>
    <t>00000003O2RWEU01 (AutoReverse)</t>
  </si>
  <si>
    <t>00000001K17JEU01 (AutoReverse)</t>
  </si>
  <si>
    <t>Body &gt; Closures &gt; Rear Door Left &gt; Door Mechanism &gt; Exterior side &gt; Mechanism</t>
  </si>
  <si>
    <t>Body &gt; Closures &gt; Rear Door Left &gt; Door Mechanism &gt; Exterior side &gt; Mechanism &gt; Injection molding</t>
  </si>
  <si>
    <t>POM70GF30,Injection Molding
Part assumed made by Tier 1</t>
  </si>
  <si>
    <t>000000AF3P4BEU02 (AutoReverse)</t>
  </si>
  <si>
    <t>00000009XZACEU01 (AutoReverse)</t>
  </si>
  <si>
    <t>Body &gt; Closures &gt; Rear Door Left &gt; Door Mechanism &gt; Locking System</t>
  </si>
  <si>
    <t>00000000KRRTEU01 (AutoReverse)</t>
  </si>
  <si>
    <t>00000002EJ9VEU01 (AutoReverse)</t>
  </si>
  <si>
    <t>000000069BWHEU01 (AutoReverse)</t>
  </si>
  <si>
    <t>Body &gt; Closures &gt; Rear Door Left &gt; Door Mechanism &gt; Door Striker</t>
  </si>
  <si>
    <t xml:space="preserve">Body &gt; Closures &gt; Rear Door Left &gt; Door Mechanism &gt; Door Striker &gt; Stamping </t>
  </si>
  <si>
    <t>Body &gt; Closures &gt; Rear Door Left &gt; Door Mechanism &gt; Door Striker &gt; Wire Bending</t>
  </si>
  <si>
    <t>Body &gt; Closures &gt; Rear Door Left &gt; Door Mechanism &gt; Door Striker &gt; Press fit</t>
  </si>
  <si>
    <t>STEEL,Stamping
Part assumed made by Tier 1</t>
  </si>
  <si>
    <t>00000000YH4BEU01 (AutoReverse)</t>
  </si>
  <si>
    <t>Body &gt; Closures &gt; Rear Door Left &gt; Door Mechanism &gt; Assembly</t>
  </si>
  <si>
    <t>000000087EH1EU01 (AutoReverse)</t>
  </si>
  <si>
    <t>Body &gt; Closures &gt; Rear Door Left &gt; Door Panel</t>
  </si>
  <si>
    <t>Body &gt; Closures &gt; Rear Door Left &gt; Door Panel &gt; Inner Door Handle</t>
  </si>
  <si>
    <t>Body &gt; Closures &gt; Rear Door Left &gt; Door Panel &gt; Inner Door Handle &gt; Opening Control</t>
  </si>
  <si>
    <t>Body &gt; Closures &gt; Rear Door Left &gt; Door Panel &gt; Inner Door Handle &gt; Opening Control &gt; Automated Process</t>
  </si>
  <si>
    <t>00000004W3PFEU01 (AutoReverse)</t>
  </si>
  <si>
    <t>Body &gt; Closures &gt; Rear Door Left &gt; Door Panel &gt; Inner Door Handle &gt; Bezel</t>
  </si>
  <si>
    <t>Body &gt; Closures &gt; Rear Door Left &gt; Door Panel &gt; Inner Door Handle &gt; Bezel &gt; Automated Process</t>
  </si>
  <si>
    <t>00000006FTGREU01 (AutoReverse)</t>
  </si>
  <si>
    <t>0000000474VJEU01 (AutoReverse)</t>
  </si>
  <si>
    <t>Body &gt; Closures &gt; Rear Door Left &gt; Door Panel &gt; Speaker Grille System</t>
  </si>
  <si>
    <t>Body &gt; Closures &gt; Rear Door Left &gt; Door Panel &gt; Speaker Grille System &gt; Speaker Grille</t>
  </si>
  <si>
    <t>Body &gt; Closures &gt; Rear Door Left &gt; Door Panel &gt; Speaker Grille System &gt; Speaker Grille &gt; Automated Process</t>
  </si>
  <si>
    <t>000000039DIAEU01 (AutoReverse)</t>
  </si>
  <si>
    <t>Body &gt; Closures &gt; Rear Door Left &gt; Door Panel &gt; Speaker Grille System &gt; Medium Grille</t>
  </si>
  <si>
    <t>Body &gt; Closures &gt; Rear Door Left &gt; Door Panel &gt; Speaker Grille System &gt; Medium Grille &gt; Automated Process</t>
  </si>
  <si>
    <t>0000000A6XGPEU01 (AutoReverse)</t>
  </si>
  <si>
    <t>Body &gt; Closures &gt; Rear Door Left &gt; Door Panel &gt; Speaker Grille System &gt; Medium Grille Support</t>
  </si>
  <si>
    <t>Body &gt; Closures &gt; Rear Door Left &gt; Door Panel &gt; Speaker Grille System &gt; Medium Grille Support &gt; Automated Process</t>
  </si>
  <si>
    <t>000000AAF3VDEU02 (AutoReverse)</t>
  </si>
  <si>
    <t>Body &gt; Closures &gt; Rear Door Left &gt; Door Panel &gt; Speaker Grille System &gt; Speaker Bezel</t>
  </si>
  <si>
    <t>Body &gt; Closures &gt; Rear Door Left &gt; Door Panel &gt; Speaker Grille System &gt; Speaker Bezel &gt; Automated Process</t>
  </si>
  <si>
    <t>000000027FMHEU01 (AutoReverse)</t>
  </si>
  <si>
    <t>Body &gt; Closures &gt; Rear Door Left &gt; Door Panel &gt; Speaker Grille System &gt; Speaker Badge</t>
  </si>
  <si>
    <t>Body &gt; Closures &gt; Rear Door Left &gt; Door Panel &gt; Speaker Grille System &gt; Speaker Badge &gt; Automated Process</t>
  </si>
  <si>
    <t>000000ACVGMSEU02 (AutoReverse)</t>
  </si>
  <si>
    <t>000000080OSFEU01 (AutoReverse)</t>
  </si>
  <si>
    <t>Body &gt; Closures &gt; Rear Door Left &gt; Door Panel &gt; Panel Carrier</t>
  </si>
  <si>
    <t>Body &gt; Closures &gt; Rear Door Left &gt; Door Panel &gt; Panel Carrier &gt; Automated Process</t>
  </si>
  <si>
    <t>00000006D696EU01 (AutoReverse)</t>
  </si>
  <si>
    <t>Body &gt; Closures &gt; Rear Door Left &gt; Door Panel &gt; Insert</t>
  </si>
  <si>
    <t>Body &gt; Closures &gt; Rear Door Left &gt; Door Panel &gt; Insert &gt; Automated Process</t>
  </si>
  <si>
    <t>0000000AQPEZEU01 (AutoReverse)</t>
  </si>
  <si>
    <t>Body &gt; Closures &gt; Rear Door Left &gt; Door Panel &gt; Armrest</t>
  </si>
  <si>
    <t>Body &gt; Closures &gt; Rear Door Left &gt; Door Panel &gt; Armrest &gt; Automated Process</t>
  </si>
  <si>
    <t>00000008JGTREU01 (AutoReverse)</t>
  </si>
  <si>
    <t>Body &gt; Closures &gt; Rear Door Left &gt; Door Panel &gt; Trim</t>
  </si>
  <si>
    <t>Body &gt; Closures &gt; Rear Door Left &gt; Door Panel &gt; Trim &gt; Automated Process</t>
  </si>
  <si>
    <t>00000008IBC2EU01 (AutoReverse)</t>
  </si>
  <si>
    <t>Body &gt; Closures &gt; Rear Door Left &gt; Door Panel &gt; 2nd Trim</t>
  </si>
  <si>
    <t>Body &gt; Closures &gt; Rear Door Left &gt; Door Panel &gt; 2nd Trim &gt; Automated Process</t>
  </si>
  <si>
    <t>00000007G24CEU01 (AutoReverse)</t>
  </si>
  <si>
    <t>Body &gt; Closures &gt; Rear Door Left &gt; Door Panel &gt; Upper Band</t>
  </si>
  <si>
    <t>Body &gt; Closures &gt; Rear Door Left &gt; Door Panel &gt; Upper Band &gt; Automated Process</t>
  </si>
  <si>
    <t>000000090YMBEU01 (AutoReverse)</t>
  </si>
  <si>
    <t>Body &gt; Closures &gt; Rear Door Left &gt; Door Panel &gt; Door Map Pocket Panel</t>
  </si>
  <si>
    <t>Body &gt; Closures &gt; Rear Door Left &gt; Door Panel &gt; Door Map Pocket Panel &gt; Automated Process</t>
  </si>
  <si>
    <t>00000000PBD2EU01 (AutoReverse)</t>
  </si>
  <si>
    <t>Body &gt; Closures &gt; Rear Door Left &gt; Door Panel &gt; Soundproofing</t>
  </si>
  <si>
    <t>Body &gt; Closures &gt; Rear Door Left &gt; Door Panel &gt; Soundproofing &gt; Automated Process</t>
  </si>
  <si>
    <t>0000000478ZWEU01 (AutoReverse)</t>
  </si>
  <si>
    <t>Body &gt; Closures &gt; Rear Door Left &gt; Door Panel &gt; Reinforcement</t>
  </si>
  <si>
    <t>Body &gt; Closures &gt; Rear Door Left &gt; Door Panel &gt; Reinforcement &gt; Automated Process</t>
  </si>
  <si>
    <t>0000000185D3EU01 (AutoReverse)</t>
  </si>
  <si>
    <t>000000092MGGEU01 (AutoReverse)</t>
  </si>
  <si>
    <t>Body &gt; Closures &gt; Rear Door Left &gt; Rear Door Left</t>
  </si>
  <si>
    <t>Body &gt; Closures &gt; Rear Door Left &gt; Rear Door Left &gt; Housing assy</t>
  </si>
  <si>
    <t>Body &gt; Closures &gt; Rear Door Left &gt; Rear Door Left &gt; Housing assy &gt; Housing</t>
  </si>
  <si>
    <t>Body &gt; Closures &gt; Rear Door Left &gt; Rear Door Left &gt; Housing assy &gt; Housing &gt; Closures&gt;Rear door&gt;Housing assy&gt;Housing&gt;Part 01 (single/front)</t>
  </si>
  <si>
    <t>Body &gt; Closures &gt; Rear Door Left &gt; Rear Door Left &gt; Housing assy &gt; Housing &gt; Closures&gt;Rear door&gt;Housing assy&gt;Housing&gt;Part 01 (single/front) &gt; MANUFACTURING  PROCESS</t>
  </si>
  <si>
    <t>0000000ANTJ8EU01 (AutoReverse)</t>
  </si>
  <si>
    <t>Body &gt; Closures &gt; Rear Door Left &gt; Rear Door Left &gt; Housing assy &gt; Reinforcements</t>
  </si>
  <si>
    <t>Body &gt; Closures &gt; Rear Door Left &gt; Rear Door Left &gt; Housing assy &gt; Reinforcements &gt; Closures&gt;Rear door&gt;Housing assy&gt;Reinforcements&gt;Part 01 (single/main)</t>
  </si>
  <si>
    <t>Body &gt; Closures &gt; Rear Door Left &gt; Rear Door Left &gt; Housing assy &gt; Reinforcements &gt; Closures&gt;Rear door&gt;Housing assy&gt;Reinforcements&gt;Part 01 (single/main) &gt; MANUFACTURING  PROCESS</t>
  </si>
  <si>
    <t>Body &gt; Closures &gt; Rear Door Left &gt; Rear Door Left &gt; Housing assy &gt; Reinforcements &gt; Closures&gt;Rear door&gt;Housing assy&gt;Reinforcements&gt;Part 02</t>
  </si>
  <si>
    <t>Body &gt; Closures &gt; Rear Door Left &gt; Rear Door Left &gt; Housing assy &gt; Reinforcements &gt; Closures&gt;Rear door&gt;Housing assy&gt;Reinforcements&gt;Part 02 &gt; MANUFACTURING  PROCESS</t>
  </si>
  <si>
    <t>Body &gt; Closures &gt; Rear Door Left &gt; Rear Door Left &gt; Housing assy &gt; Reinforcements &gt; Closures&gt;Rear door&gt;Housing assy&gt;Reinforcements&gt;Part 03</t>
  </si>
  <si>
    <t>Body &gt; Closures &gt; Rear Door Left &gt; Rear Door Left &gt; Housing assy &gt; Reinforcements &gt; Closures&gt;Rear door&gt;Housing assy&gt;Reinforcements&gt;Part 03 &gt; MANUFACTURING  PROCESS</t>
  </si>
  <si>
    <t>Body &gt; Closures &gt; Rear Door Left &gt; Rear Door Left &gt; Housing assy &gt; Reinforcements &gt; Closures&gt;Rear door&gt;Housing assy&gt;Reinforcements&gt;Part 04</t>
  </si>
  <si>
    <t>Body &gt; Closures &gt; Rear Door Left &gt; Rear Door Left &gt; Housing assy &gt; Reinforcements &gt; Closures&gt;Rear door&gt;Housing assy&gt;Reinforcements&gt;Part 04 &gt; MANUFACTURING  PROCESS</t>
  </si>
  <si>
    <t>00000009TK1QEU01 (AutoReverse)</t>
  </si>
  <si>
    <t>Body &gt; Closures &gt; Rear Door Left &gt; Rear Door Left &gt; Housing assy &gt; Fixing parts</t>
  </si>
  <si>
    <t>Body &gt; Closures &gt; Rear Door Left &gt; Rear Door Left &gt; Housing assy &gt; Fixing parts &gt; Front</t>
  </si>
  <si>
    <t>Body &gt; Closures &gt; Rear Door Left &gt; Rear Door Left &gt; Housing assy &gt; Fixing parts &gt; Front &gt; Closures&gt;Rear door&gt;Housing assy&gt;Fixing parts&gt;Front&gt;Part 01 (single/main)</t>
  </si>
  <si>
    <t>Body &gt; Closures &gt; Rear Door Left &gt; Rear Door Left &gt; Housing assy &gt; Fixing parts &gt; Front &gt; Closures&gt;Rear door&gt;Housing assy&gt;Fixing parts&gt;Front&gt;Part 01 (single/main) &gt; MANUFACTURING  PROCESS</t>
  </si>
  <si>
    <t>Body &gt; Closures &gt; Rear Door Left &gt; Rear Door Left &gt; Housing assy &gt; Fixing parts &gt; Front &gt; Closures&gt;Rear door&gt;Housing assy&gt;Fixing parts&gt;Front&gt;Part 02</t>
  </si>
  <si>
    <t>Body &gt; Closures &gt; Rear Door Left &gt; Rear Door Left &gt; Housing assy &gt; Fixing parts &gt; Front &gt; Closures&gt;Rear door&gt;Housing assy&gt;Fixing parts&gt;Front&gt;Part 02 &gt; MANUFACTURING  PROCESS</t>
  </si>
  <si>
    <t>00000004JAOGEU01 (AutoReverse)</t>
  </si>
  <si>
    <t>00000004P25LEU01 (AutoReverse)</t>
  </si>
  <si>
    <t>000000060Z3GEU01 (AutoReverse)</t>
  </si>
  <si>
    <t>Body &gt; Closures &gt; Rear Door Left &gt; Rear Door Left &gt; Anti-intrusion beams</t>
  </si>
  <si>
    <t>Body &gt; Closures &gt; Rear Door Left &gt; Rear Door Left &gt; Anti-intrusion beams &gt; Beam 01 (single/upper)</t>
  </si>
  <si>
    <t>Body &gt; Closures &gt; Rear Door Left &gt; Rear Door Left &gt; Anti-intrusion beams &gt; Beam 01 (single/upper) &gt; Beam</t>
  </si>
  <si>
    <t>Body &gt; Closures &gt; Rear Door Left &gt; Rear Door Left &gt; Anti-intrusion beams &gt; Beam 01 (single/upper) &gt; Beam &gt; Closures&gt;Rear door&gt;Anti-intrusion beams&gt;Beam 01 (single/upper)&gt;Beam&gt;Part 01 (single/main)</t>
  </si>
  <si>
    <t>Body &gt; Closures &gt; Rear Door Left &gt; Rear Door Left &gt; Anti-intrusion beams &gt; Beam 01 (single/upper) &gt; Beam &gt; Closures&gt;Rear door&gt;Anti-intrusion beams&gt;Beam 01 (single/upper)&gt;Beam&gt;Part 01 (single/main) &gt; MANUFACTURING  PROCESS</t>
  </si>
  <si>
    <t>000000041747EU01 (AutoReverse)</t>
  </si>
  <si>
    <t>00000006AJ2XEU01 (AutoReverse)</t>
  </si>
  <si>
    <t>000000075ZVGEU01 (AutoReverse)</t>
  </si>
  <si>
    <t>Body &gt; Closures &gt; Rear Door Left &gt; Rear Door Left &gt; Top roll assy</t>
  </si>
  <si>
    <t>Body &gt; Closures &gt; Rear Door Left &gt; Rear Door Left &gt; Top roll assy &gt; Cross member 01 (outer)</t>
  </si>
  <si>
    <t>Body &gt; Closures &gt; Rear Door Left &gt; Rear Door Left &gt; Top roll assy &gt; Cross member 01 (outer) &gt; Cross member</t>
  </si>
  <si>
    <t>Body &gt; Closures &gt; Rear Door Left &gt; Rear Door Left &gt; Top roll assy &gt; Cross member 01 (outer) &gt; Cross member &gt; Closures&gt;Rear door&gt;Top roll assy&gt;Cross member 01 (outer)&gt;Cross member&gt;Part 01 (single/main)</t>
  </si>
  <si>
    <t>Body &gt; Closures &gt; Rear Door Left &gt; Rear Door Left &gt; Top roll assy &gt; Cross member 01 (outer) &gt; Cross member &gt; Closures&gt;Rear door&gt;Top roll assy&gt;Cross member 01 (outer)&gt;Cross member&gt;Part 01 (single/main) &gt; MANUFACTURING  PROCESS</t>
  </si>
  <si>
    <t>00000009JD3KEU01 (AutoReverse)</t>
  </si>
  <si>
    <t>00000005ALEAEU01 (AutoReverse)</t>
  </si>
  <si>
    <t>Body &gt; Closures &gt; Rear Door Left &gt; Rear Door Left &gt; Top roll assy &gt; Cross member 02 (inner)</t>
  </si>
  <si>
    <t>Body &gt; Closures &gt; Rear Door Left &gt; Rear Door Left &gt; Top roll assy &gt; Cross member 02 (inner) &gt; Cross member</t>
  </si>
  <si>
    <t>Body &gt; Closures &gt; Rear Door Left &gt; Rear Door Left &gt; Top roll assy &gt; Cross member 02 (inner) &gt; Cross member &gt; Closures&gt;Rear door&gt;Top roll assy&gt;Cross member 02 (inner)&gt;Cross member&gt;Part 01 (single/main)</t>
  </si>
  <si>
    <t>Body &gt; Closures &gt; Rear Door Left &gt; Rear Door Left &gt; Top roll assy &gt; Cross member 02 (inner) &gt; Cross member &gt; Closures&gt;Rear door&gt;Top roll assy&gt;Cross member 02 (inner)&gt;Cross member&gt;Part 01 (single/main) &gt; MANUFACTURING  PROCESS</t>
  </si>
  <si>
    <t>00000009TD17EU01 (AutoReverse)</t>
  </si>
  <si>
    <t>00000001YZE6EU01 (AutoReverse)</t>
  </si>
  <si>
    <t>00000000T6TYEU01 (AutoReverse)</t>
  </si>
  <si>
    <t>Body &gt; Closures &gt; Rear Door Left &gt; Rear Door Left &gt; Outer panel</t>
  </si>
  <si>
    <t>Body &gt; Closures &gt; Rear Door Left &gt; Rear Door Left &gt; Outer panel &gt; Panel</t>
  </si>
  <si>
    <t>Body &gt; Closures &gt; Rear Door Left &gt; Rear Door Left &gt; Outer panel &gt; Panel &gt; Closures&gt;Rear door&gt;Outer panel&gt;Panel&gt;Part 01 (single/main)</t>
  </si>
  <si>
    <t>Body &gt; Closures &gt; Rear Door Left &gt; Rear Door Left &gt; Outer panel &gt; Panel &gt; Closures&gt;Rear door&gt;Outer panel&gt;Panel&gt;Part 01 (single/main) &gt; MANUFACTURING  PROCESS</t>
  </si>
  <si>
    <t>000000046TNLEU01 (AutoReverse)</t>
  </si>
  <si>
    <t>000000089YZPEU01 (AutoReverse)</t>
  </si>
  <si>
    <t>Body &gt; Closures &gt; Rear Door Left &gt; Rear Door Left &gt; Assembly</t>
  </si>
  <si>
    <t>00000000XTPGEU01 (AutoReverse)</t>
  </si>
  <si>
    <t>A000004S9PCDEU01 (AutoReverse)</t>
  </si>
  <si>
    <t>TPE,injection Molding</t>
  </si>
  <si>
    <t>00000006SDVMEU01 (AutoReverse)</t>
  </si>
  <si>
    <t>Body &gt; Closures &gt; Rear Door Left &gt; Function Carrier</t>
  </si>
  <si>
    <t>Body &gt; Closures &gt; Rear Door Left &gt; Function Carrier &gt; Injection molding</t>
  </si>
  <si>
    <t>PP70GF30,Injection Molding</t>
  </si>
  <si>
    <t>00000000FZPVEU01 (AutoReverse)</t>
  </si>
  <si>
    <t>Body &gt; Closures &gt; Rear Door Left &gt; Assembly</t>
  </si>
  <si>
    <t>00000005MQFKEU01 (AutoReverse)</t>
  </si>
  <si>
    <t>Body &gt; Closures &gt; Front Passenger Door</t>
  </si>
  <si>
    <t>Body &gt; Closures &gt; Front Passenger Door &gt; Front Passenger Door</t>
  </si>
  <si>
    <t>Body &gt; Closures &gt; Front Passenger Door &gt; Front Passenger Door &gt; Housing assy</t>
  </si>
  <si>
    <t>Body &gt; Closures &gt; Front Passenger Door &gt; Front Passenger Door &gt; Housing assy &gt; Housing</t>
  </si>
  <si>
    <t>Body &gt; Closures &gt; Front Passenger Door &gt; Front Passenger Door &gt; Housing assy &gt; Housing &gt; Closures&gt;Front door&gt;Housing assy&gt;Housing&gt;Part 01 (single/front)</t>
  </si>
  <si>
    <t>Body &gt; Closures &gt; Front Passenger Door &gt; Front Passenger Door &gt; Housing assy &gt; Housing &gt; Closures&gt;Front door&gt;Housing assy&gt;Housing&gt;Part 01 (single/front) &gt; MANUFACTURING  PROCESS</t>
  </si>
  <si>
    <t>Body &gt; Closures &gt; Front Passenger Door &gt; Front Passenger Door &gt; Housing assy &gt; Reinforcements</t>
  </si>
  <si>
    <t>Body &gt; Closures &gt; Front Passenger Door &gt; Front Passenger Door &gt; Housing assy &gt; Reinforcements &gt; Closures&gt;Front door&gt;Housing assy&gt;Reinforcements&gt;Part 01 (single/main)</t>
  </si>
  <si>
    <t>Body &gt; Closures &gt; Front Passenger Door &gt; Front Passenger Door &gt; Housing assy &gt; Reinforcements &gt; Closures&gt;Front door&gt;Housing assy&gt;Reinforcements&gt;Part 01 (single/main) &gt; MANUFACTURING  PROCESS</t>
  </si>
  <si>
    <t>Body &gt; Closures &gt; Front Passenger Door &gt; Front Passenger Door &gt; Housing assy &gt; Reinforcements &gt; Closures&gt;Front door&gt;Housing assy&gt;Reinforcements&gt;Part 02</t>
  </si>
  <si>
    <t>Body &gt; Closures &gt; Front Passenger Door &gt; Front Passenger Door &gt; Housing assy &gt; Reinforcements &gt; Closures&gt;Front door&gt;Housing assy&gt;Reinforcements&gt;Part 02 &gt; MANUFACTURING  PROCESS</t>
  </si>
  <si>
    <t>Body &gt; Closures &gt; Front Passenger Door &gt; Front Passenger Door &gt; Housing assy &gt; Reinforcements &gt; Closures&gt;Front door&gt;Housing assy&gt;Reinforcements&gt;Part 03</t>
  </si>
  <si>
    <t>Body &gt; Closures &gt; Front Passenger Door &gt; Front Passenger Door &gt; Housing assy &gt; Reinforcements &gt; Closures&gt;Front door&gt;Housing assy&gt;Reinforcements&gt;Part 03 &gt; MANUFACTURING  PROCESS</t>
  </si>
  <si>
    <t>Body &gt; Closures &gt; Front Passenger Door &gt; Front Passenger Door &gt; Housing assy &gt; Reinforcements &gt; Closures&gt;Front door&gt;Housing assy&gt;Reinforcements&gt;Part 04</t>
  </si>
  <si>
    <t>Body &gt; Closures &gt; Front Passenger Door &gt; Front Passenger Door &gt; Housing assy &gt; Reinforcements &gt; Closures&gt;Front door&gt;Housing assy&gt;Reinforcements&gt;Part 04 &gt; MANUFACTURING  PROCESS</t>
  </si>
  <si>
    <t>Body &gt; Closures &gt; Front Passenger Door &gt; Front Passenger Door &gt; Housing assy &gt; Reinforcements &gt; Closures&gt;Front door&gt;Housing assy&gt;Reinforcements&gt;Part 05</t>
  </si>
  <si>
    <t>Body &gt; Closures &gt; Front Passenger Door &gt; Front Passenger Door &gt; Housing assy &gt; Reinforcements &gt; Closures&gt;Front door&gt;Housing assy&gt;Reinforcements&gt;Part 05 &gt; MANUFACTURING  PROCESS</t>
  </si>
  <si>
    <t>Body &gt; Closures &gt; Front Passenger Door &gt; Front Passenger Door &gt; Housing assy &gt; Fixing parts</t>
  </si>
  <si>
    <t>Body &gt; Closures &gt; Front Passenger Door &gt; Front Passenger Door &gt; Housing assy &gt; Fixing parts &gt; Front</t>
  </si>
  <si>
    <t>Body &gt; Closures &gt; Front Passenger Door &gt; Front Passenger Door &gt; Housing assy &gt; Fixing parts &gt; Front &gt; Closures&gt;Front door&gt;Housing assy&gt;Fixing parts&gt;Front&gt;Part 01 (single/main)</t>
  </si>
  <si>
    <t>Body &gt; Closures &gt; Front Passenger Door &gt; Front Passenger Door &gt; Housing assy &gt; Fixing parts &gt; Front &gt; Closures&gt;Front door&gt;Housing assy&gt;Fixing parts&gt;Front&gt;Part 01 (single/main) &gt; MANUFACTURING  PROCESS</t>
  </si>
  <si>
    <t>Body &gt; Closures &gt; Front Passenger Door &gt; Front Passenger Door &gt; Housing assy &gt; Fixing parts &gt; Front &gt; Closures&gt;Front door&gt;Housing assy&gt;Fixing parts&gt;Front&gt;Part 02</t>
  </si>
  <si>
    <t>Body &gt; Closures &gt; Front Passenger Door &gt; Front Passenger Door &gt; Housing assy &gt; Fixing parts &gt; Front &gt; Closures&gt;Front door&gt;Housing assy&gt;Fixing parts&gt;Front&gt;Part 02 &gt; MANUFACTURING  PROCESS</t>
  </si>
  <si>
    <t>Body &gt; Closures &gt; Front Passenger Door &gt; Front Passenger Door &gt; Anti-intrusion beam</t>
  </si>
  <si>
    <t>Body &gt; Closures &gt; Front Passenger Door &gt; Front Passenger Door &gt; Anti-intrusion beam &gt; Beam 01 (single/upper)</t>
  </si>
  <si>
    <t>Body &gt; Closures &gt; Front Passenger Door &gt; Front Passenger Door &gt; Anti-intrusion beam &gt; Beam 01 (single/upper) &gt; Beam</t>
  </si>
  <si>
    <t>Body &gt; Closures &gt; Front Passenger Door &gt; Front Passenger Door &gt; Anti-intrusion beam &gt; Beam 01 (single/upper) &gt; Beam &gt; Closures&gt;Front door&gt;Anti-intrusion beam&gt;Beam 01 (single/upper)&gt;Beam&gt;Part 01 (single/main)</t>
  </si>
  <si>
    <t>Body &gt; Closures &gt; Front Passenger Door &gt; Front Passenger Door &gt; Anti-intrusion beam &gt; Beam 01 (single/upper) &gt; Beam &gt; Closures&gt;Front door&gt;Anti-intrusion beam&gt;Beam 01 (single/upper)&gt;Beam&gt;Part 01 (single/main) &gt; MANUFACTURING  PROCESS</t>
  </si>
  <si>
    <t>Body &gt; Closures &gt; Front Passenger Door &gt; Front Passenger Door &gt; Window frame assy</t>
  </si>
  <si>
    <t>Body &gt; Closures &gt; Front Passenger Door &gt; Front Passenger Door &gt; Window frame assy &gt; Reinforcements</t>
  </si>
  <si>
    <t>Body &gt; Closures &gt; Front Passenger Door &gt; Front Passenger Door &gt; Window frame assy &gt; Reinforcements &gt; Closures&gt;Front door&gt;Window frame assy&gt;Reinforcements&gt;Part 01 (single/main)</t>
  </si>
  <si>
    <t>Body &gt; Closures &gt; Front Passenger Door &gt; Front Passenger Door &gt; Window frame assy &gt; Reinforcements &gt; Closures&gt;Front door&gt;Window frame assy&gt;Reinforcements&gt;Part 01 (single/main) &gt; MANUFACTURING  PROCESS</t>
  </si>
  <si>
    <t>Body &gt; Closures &gt; Front Passenger Door &gt; Front Passenger Door &gt; Window frame assy &gt; Glass slides</t>
  </si>
  <si>
    <t>Body &gt; Closures &gt; Front Passenger Door &gt; Front Passenger Door &gt; Window frame assy &gt; Glass slides &gt; Front</t>
  </si>
  <si>
    <t>Body &gt; Closures &gt; Front Passenger Door &gt; Front Passenger Door &gt; Window frame assy &gt; Glass slides &gt; Front &gt; slide</t>
  </si>
  <si>
    <t>Body &gt; Closures &gt; Front Passenger Door &gt; Front Passenger Door &gt; Window frame assy &gt; Glass slides &gt; Front &gt; slide &gt; Closures&gt;Front door&gt;Window frame assy&gt;Glass slides&gt;Front&gt;slide&gt;Part 01 (single/main)</t>
  </si>
  <si>
    <t>Body &gt; Closures &gt; Front Passenger Door &gt; Front Passenger Door &gt; Window frame assy &gt; Glass slides &gt; Front &gt; slide &gt; Closures&gt;Front door&gt;Window frame assy&gt;Glass slides&gt;Front&gt;slide&gt;Part 01 (single/main) &gt; MANUFACTURING  PROCESS</t>
  </si>
  <si>
    <t>Body &gt; Closures &gt; Front Passenger Door &gt; Front Passenger Door &gt; Window frame assy &gt; Glass slides &gt; Front &gt; Fixing parts</t>
  </si>
  <si>
    <t>Body &gt; Closures &gt; Front Passenger Door &gt; Front Passenger Door &gt; Window frame assy &gt; Glass slides &gt; Front &gt; Fixing parts &gt; Closures&gt;Front door&gt;Window frame assy&gt;Glass slides&gt;Front&gt;Fixing parts&gt;Part 01 (single/main)</t>
  </si>
  <si>
    <t>Body &gt; Closures &gt; Front Passenger Door &gt; Front Passenger Door &gt; Window frame assy &gt; Glass slides &gt; Front &gt; Fixing parts &gt; Closures&gt;Front door&gt;Window frame assy&gt;Glass slides&gt;Front&gt;Fixing parts&gt;Part 01 (single/main) &gt; MANUFACTURING  PROCESS</t>
  </si>
  <si>
    <t>Body &gt; Closures &gt; Front Passenger Door &gt; Front Passenger Door &gt; Top roll assy</t>
  </si>
  <si>
    <t>Body &gt; Closures &gt; Front Passenger Door &gt; Front Passenger Door &gt; Top roll assy &gt; Cross member 01 (outer)</t>
  </si>
  <si>
    <t>Body &gt; Closures &gt; Front Passenger Door &gt; Front Passenger Door &gt; Top roll assy &gt; Cross member 01 (outer) &gt; Cross member</t>
  </si>
  <si>
    <t>Body &gt; Closures &gt; Front Passenger Door &gt; Front Passenger Door &gt; Top roll assy &gt; Cross member 01 (outer) &gt; Cross member &gt; Closures&gt;Front door&gt;Top roll assy&gt;Cross member 01 (outer)&gt;Cross member&gt;Part 01 (single/main)</t>
  </si>
  <si>
    <t>Body &gt; Closures &gt; Front Passenger Door &gt; Front Passenger Door &gt; Top roll assy &gt; Cross member 01 (outer) &gt; Cross member &gt; Closures&gt;Front door&gt;Top roll assy&gt;Cross member 01 (outer)&gt;Cross member&gt;Part 01 (single/main) &gt; MANUFACTURING  PROCESS</t>
  </si>
  <si>
    <t>Body &gt; Closures &gt; Front Passenger Door &gt; Front Passenger Door &gt; Top roll assy &gt; Cross member 01 (outer) &gt; Fixing parts</t>
  </si>
  <si>
    <t>Body &gt; Closures &gt; Front Passenger Door &gt; Front Passenger Door &gt; Top roll assy &gt; Cross member 01 (outer) &gt; Fixing parts &gt; Closures&gt;Front door&gt;Top roll assy&gt;Cross member 01 (outer)&gt;Fixing parts&gt;Part 01 (single/main)</t>
  </si>
  <si>
    <t>Body &gt; Closures &gt; Front Passenger Door &gt; Front Passenger Door &gt; Top roll assy &gt; Cross member 01 (outer) &gt; Fixing parts &gt; Closures&gt;Front door&gt;Top roll assy&gt;Cross member 01 (outer)&gt;Fixing parts&gt;Part 01 (single/main) &gt; MANUFACTURING  PROCESS</t>
  </si>
  <si>
    <t>Body &gt; Closures &gt; Front Passenger Door &gt; Front Passenger Door &gt; Top roll assy &gt; Cross member 02 (inner)</t>
  </si>
  <si>
    <t>Body &gt; Closures &gt; Front Passenger Door &gt; Front Passenger Door &gt; Top roll assy &gt; Cross member 02 (inner) &gt; Cross member</t>
  </si>
  <si>
    <t>Body &gt; Closures &gt; Front Passenger Door &gt; Front Passenger Door &gt; Top roll assy &gt; Cross member 02 (inner) &gt; Cross member &gt; Closures&gt;Front door&gt;Top roll assy&gt;Cross member 02 (inner)&gt;Cross member&gt;Part 01 (single/main)</t>
  </si>
  <si>
    <t>Body &gt; Closures &gt; Front Passenger Door &gt; Front Passenger Door &gt; Top roll assy &gt; Cross member 02 (inner) &gt; Cross member &gt; Closures&gt;Front door&gt;Top roll assy&gt;Cross member 02 (inner)&gt;Cross member&gt;Part 01 (single/main) &gt; MANUFACTURING  PROCESS</t>
  </si>
  <si>
    <t>Body &gt; Closures &gt; Front Passenger Door &gt; Front Passenger Door &gt; Top roll assy &gt; Cross member 02 (inner) &gt; Brackets</t>
  </si>
  <si>
    <t>Body &gt; Closures &gt; Front Passenger Door &gt; Front Passenger Door &gt; Top roll assy &gt; Cross member 02 (inner) &gt; Brackets &gt; Closures&gt;Front door&gt;Top roll assy&gt;Cross member 02 (inner)&gt;Brackets&gt;Part 01 (single/main)</t>
  </si>
  <si>
    <t>Body &gt; Closures &gt; Front Passenger Door &gt; Front Passenger Door &gt; Top roll assy &gt; Cross member 02 (inner) &gt; Brackets &gt; Closures&gt;Front door&gt;Top roll assy&gt;Cross member 02 (inner)&gt;Brackets&gt;Part 01 (single/main) &gt; MANUFACTURING  PROCESS</t>
  </si>
  <si>
    <t>Body &gt; Closures &gt; Front Passenger Door &gt; Front Passenger Door &gt; Outer panel</t>
  </si>
  <si>
    <t>Body &gt; Closures &gt; Front Passenger Door &gt; Front Passenger Door &gt; Outer panel &gt; Panel</t>
  </si>
  <si>
    <t>Body &gt; Closures &gt; Front Passenger Door &gt; Front Passenger Door &gt; Outer panel &gt; Panel &gt; Closures&gt;Front door&gt;Outer panel&gt;Panel&gt;Part 01 (single/main)</t>
  </si>
  <si>
    <t>Body &gt; Closures &gt; Front Passenger Door &gt; Front Passenger Door &gt; Outer panel &gt; Panel &gt; Closures&gt;Front door&gt;Outer panel&gt;Panel&gt;Part 01 (single/main) &gt; MANUFACTURING  PROCESS</t>
  </si>
  <si>
    <t>Body &gt; Closures &gt; Front Passenger Door &gt; Front Passenger Door &gt; Assembly</t>
  </si>
  <si>
    <t>00000008EC8VEU01 (AutoReverse)</t>
  </si>
  <si>
    <t>Body &gt; Closures &gt; Front Passenger Door &gt; Door Panel</t>
  </si>
  <si>
    <t>Body &gt; Closures &gt; Front Passenger Door &gt; Door Panel &gt; Door handle</t>
  </si>
  <si>
    <t>Body &gt; Closures &gt; Front Passenger Door &gt; Door Panel &gt; Door handle &gt; Handle</t>
  </si>
  <si>
    <t>Body &gt; Closures &gt; Front Passenger Door &gt; Door Panel &gt; Door handle &gt; Handle &gt; Automated Process</t>
  </si>
  <si>
    <t>0000000AIXLMEU01 (AutoReverse)</t>
  </si>
  <si>
    <t>Body &gt; Closures &gt; Front Passenger Door &gt; Door Panel &gt; Door handle &gt; Trim</t>
  </si>
  <si>
    <t>Body &gt; Closures &gt; Front Passenger Door &gt; Door Panel &gt; Door handle &gt; Trim &gt; Automated Process</t>
  </si>
  <si>
    <t>000000072RZREU01 (AutoReverse)</t>
  </si>
  <si>
    <t>Body &gt; Closures &gt; Front Passenger Door &gt; Door Panel &gt; Door handle &gt; Handle Support</t>
  </si>
  <si>
    <t>Body &gt; Closures &gt; Front Passenger Door &gt; Door Panel &gt; Door handle &gt; Handle Support &gt; Automated Process</t>
  </si>
  <si>
    <t>00000007U16NEU01 (AutoReverse)</t>
  </si>
  <si>
    <t>0000000AWVOXEU01 (AutoReverse)</t>
  </si>
  <si>
    <t>Body &gt; Closures &gt; Front Passenger Door &gt; Door Panel &gt; Speaker Grill System</t>
  </si>
  <si>
    <t>Body &gt; Closures &gt; Front Passenger Door &gt; Door Panel &gt; Speaker Grill System &gt; Speaker Grille</t>
  </si>
  <si>
    <t>Body &gt; Closures &gt; Front Passenger Door &gt; Door Panel &gt; Speaker Grill System &gt; Speaker Grille &gt; Automated Process</t>
  </si>
  <si>
    <t>00000003194MEU01 (AutoReverse)</t>
  </si>
  <si>
    <t>Body &gt; Closures &gt; Front Passenger Door &gt; Door Panel &gt; Speaker Grill System &gt; Speaker Bezel</t>
  </si>
  <si>
    <t>Body &gt; Closures &gt; Front Passenger Door &gt; Door Panel &gt; Speaker Grill System &gt; Speaker Bezel &gt; Automated Process</t>
  </si>
  <si>
    <t>A000000UAMTPEU02 (AutoReverse)</t>
  </si>
  <si>
    <t>Body &gt; Closures &gt; Front Passenger Door &gt; Door Panel &gt; Speaker Grill System &gt; Speaker Badge</t>
  </si>
  <si>
    <t>Body &gt; Closures &gt; Front Passenger Door &gt; Door Panel &gt; Speaker Grill System &gt; Speaker Badge &gt; Automated Process</t>
  </si>
  <si>
    <t>A000000NMJB1EU02 (AutoReverse)</t>
  </si>
  <si>
    <t>Body &gt; Closures &gt; Front Passenger Door &gt; Door Panel &gt; Speaker Grill System &gt; Medium Grilles</t>
  </si>
  <si>
    <t>Body &gt; Closures &gt; Front Passenger Door &gt; Door Panel &gt; Speaker Grill System &gt; Medium Grilles &gt; Automated Process</t>
  </si>
  <si>
    <t>00000003QTPUEU01 (AutoReverse)</t>
  </si>
  <si>
    <t>Body &gt; Closures &gt; Front Passenger Door &gt; Door Panel &gt; Speaker Grill System &gt; Medium Grilles Support</t>
  </si>
  <si>
    <t>Body &gt; Closures &gt; Front Passenger Door &gt; Door Panel &gt; Speaker Grill System &gt; Medium Grilles Support &gt; Automated Process</t>
  </si>
  <si>
    <t>A000000W9VA8EU02 (AutoReverse)</t>
  </si>
  <si>
    <t>000000052C87EU01 (AutoReverse)</t>
  </si>
  <si>
    <t>Body &gt; Closures &gt; Front Passenger Door &gt; Door Panel &gt; Panel carrier</t>
  </si>
  <si>
    <t>Body &gt; Closures &gt; Front Passenger Door &gt; Door Panel &gt; Panel carrier &gt; Automated Process</t>
  </si>
  <si>
    <t>00000005WM69EU01 (AutoReverse)</t>
  </si>
  <si>
    <t>Body &gt; Closures &gt; Front Passenger Door &gt; Door Panel &gt; Insert</t>
  </si>
  <si>
    <t>Body &gt; Closures &gt; Front Passenger Door &gt; Door Panel &gt; Insert &gt; Automated Process</t>
  </si>
  <si>
    <t>000000080BS2EU01 (AutoReverse)</t>
  </si>
  <si>
    <t>Body &gt; Closures &gt; Front Passenger Door &gt; Door Panel &gt; Armrest</t>
  </si>
  <si>
    <t>Body &gt; Closures &gt; Front Passenger Door &gt; Door Panel &gt; Armrest &gt; Automated Process</t>
  </si>
  <si>
    <t>00000005A7XUEU01 (AutoReverse)</t>
  </si>
  <si>
    <t>Body &gt; Closures &gt; Front Passenger Door &gt; Door Panel &gt; Trim</t>
  </si>
  <si>
    <t>Body &gt; Closures &gt; Front Passenger Door &gt; Door Panel &gt; Trim &gt; Automated Process</t>
  </si>
  <si>
    <t>000000032OWTEU01 (AutoReverse)</t>
  </si>
  <si>
    <t>Body &gt; Closures &gt; Front Passenger Door &gt; Door Panel &gt; Upper Band</t>
  </si>
  <si>
    <t>Body &gt; Closures &gt; Front Passenger Door &gt; Door Panel &gt; Upper Band &gt; Automated Process</t>
  </si>
  <si>
    <t>00000003HW6PEU01 (AutoReverse)</t>
  </si>
  <si>
    <t>Body &gt; Closures &gt; Front Passenger Door &gt; Door Panel &gt; Door Map Pocket Panel</t>
  </si>
  <si>
    <t>Body &gt; Closures &gt; Front Passenger Door &gt; Door Panel &gt; Door Map Pocket Panel &gt; Automated Process</t>
  </si>
  <si>
    <t>00000002TB6IEU01 (AutoReverse)</t>
  </si>
  <si>
    <t>Body &gt; Closures &gt; Front Passenger Door &gt; Door Panel &gt; Soundproofing</t>
  </si>
  <si>
    <t>Body &gt; Closures &gt; Front Passenger Door &gt; Door Panel &gt; Soundproofing &gt; Automated Process</t>
  </si>
  <si>
    <t>00000000YON0EU01 (AutoReverse)</t>
  </si>
  <si>
    <t>Body &gt; Closures &gt; Front Passenger Door &gt; Door Panel &gt; Reinforcement</t>
  </si>
  <si>
    <t>Body &gt; Closures &gt; Front Passenger Door &gt; Door Panel &gt; Reinforcement &gt; Automated Process</t>
  </si>
  <si>
    <t>00000008XVICEU01 (AutoReverse)</t>
  </si>
  <si>
    <t>Body &gt; Closures &gt; Front Passenger Door &gt; Door Panel &gt; Storage Box Mat</t>
  </si>
  <si>
    <t>Body &gt; Closures &gt; Front Passenger Door &gt; Door Panel &gt; Storage Box Mat &gt; Automated Process</t>
  </si>
  <si>
    <t>A000000HT1S5EU02 (AutoReverse)</t>
  </si>
  <si>
    <t>Body &gt; Closures &gt; Front Passenger Door &gt; Door Panel &gt; 2nd Trim</t>
  </si>
  <si>
    <t>Body &gt; Closures &gt; Front Passenger Door &gt; Door Panel &gt; 2nd Trim &gt; Automated Process</t>
  </si>
  <si>
    <t>0000000AL3K4EU01 (AutoReverse)</t>
  </si>
  <si>
    <t>Body &gt; Closures &gt; Front Passenger Door &gt; Door Panel &gt; Door Panel Adjuster</t>
  </si>
  <si>
    <t>Body &gt; Closures &gt; Front Passenger Door &gt; Door Panel &gt; Door Panel Adjuster &gt; Automated Process</t>
  </si>
  <si>
    <t>A0000054HFB4EU01 (AutoReverse)</t>
  </si>
  <si>
    <t>Body &gt; Closures &gt; Front Passenger Door &gt; Door Panel &gt; Door Panel Adjuster Support</t>
  </si>
  <si>
    <t>Body &gt; Closures &gt; Front Passenger Door &gt; Door Panel &gt; Door Panel Adjuster Support &gt; Automated Process</t>
  </si>
  <si>
    <t>A0000054HFB5EU01 (AutoReverse)</t>
  </si>
  <si>
    <t>Body &gt; Closures &gt; Front Passenger Door &gt; Door Panel &gt; Pull Cup</t>
  </si>
  <si>
    <t xml:space="preserve">  </t>
  </si>
  <si>
    <t>0.06200 kg</t>
  </si>
  <si>
    <t>0.0665420969990587513053520238 kg</t>
  </si>
  <si>
    <t>Body &gt; Closures &gt; Front Passenger Door &gt; Door Panel &gt; Pull Cup &gt; Injection molding</t>
  </si>
  <si>
    <t xml:space="preserve">60T, Tray Size: 450 x 450mm2; Opening Width: 290mm; Invest includes liniar handling robot.
</t>
  </si>
  <si>
    <t>Insert: 0.00 s, Closing: 1.93 s, Injection: 2.09 s, Cooling: 10.23 s, Opening: 0.77 s, Ejection: 0.09 s, Removal: 1.54 s. Default reject ratio based on industry average: 2%</t>
  </si>
  <si>
    <t>0000000208NNEU01 (AutoReverse)</t>
  </si>
  <si>
    <t>Body &gt; Closures &gt; Front Passenger Door &gt; Door Panel &gt; Pull Cup Support</t>
  </si>
  <si>
    <t>0.0258053803095972453317506033 kg</t>
  </si>
  <si>
    <t>Body &gt; Closures &gt; Front Passenger Door &gt; Door Panel &gt; Pull Cup Support &gt; Injection molding</t>
  </si>
  <si>
    <t xml:space="preserve">40T, Tray Size: 400 x 400mm2; Opening Width: 250mm; Invest includes liniar handling robot.
</t>
  </si>
  <si>
    <t>Insert: 0.00 s, Closing: 1.67 s, Injection: 1.68 s, Cooling: 8.56 s, Opening: 0.67 s, Ejection: 0.17 s, Removal: 1.56 s. Default reject ratio based on industry average: 2%</t>
  </si>
  <si>
    <t>0000000386SPEU01 (AutoReverse)</t>
  </si>
  <si>
    <t>00000006LKRWEU01 (AutoReverse)</t>
  </si>
  <si>
    <t>Body &gt; Closures &gt; Front Passenger Door &gt; Door Mechanism</t>
  </si>
  <si>
    <t>Body &gt; Closures &gt; Front Passenger Door &gt; Door Mechanism &gt; Interior Side</t>
  </si>
  <si>
    <t>Body &gt; Closures &gt; Front Passenger Door &gt; Door Mechanism &gt; Interior Side &gt; Opening Control</t>
  </si>
  <si>
    <t>Body &gt; Closures &gt; Front Passenger Door &gt; Door Mechanism &gt; Interior Side &gt; Opening Control &gt; Injection molding</t>
  </si>
  <si>
    <t>00000006Z4K5EU01 (AutoReverse)</t>
  </si>
  <si>
    <t>Body &gt; Closures &gt; Front Passenger Door &gt; Door Mechanism &gt; Interior Side &gt; Opening Control Support</t>
  </si>
  <si>
    <t>Body &gt; Closures &gt; Front Passenger Door &gt; Door Mechanism &gt; Interior Side &gt; Opening Control Support &gt; Injection molding</t>
  </si>
  <si>
    <t>00000007I9UXEU01 (AutoReverse)</t>
  </si>
  <si>
    <t>A000000VS9E7EU02 (AutoReverse)</t>
  </si>
  <si>
    <t>Body &gt; Closures &gt; Front Passenger Door &gt; Door Mechanism &gt; Interior Side &gt; Spring</t>
  </si>
  <si>
    <t>Body &gt; Closures &gt; Front Passenger Door &gt; Door Mechanism &gt; Interior Side &gt; Spring &gt; Coiling + End forming</t>
  </si>
  <si>
    <t>Body &gt; Closures &gt; Front Passenger Door &gt; Door Mechanism &gt; Interior Side &gt; Spring &gt; Heat treatment</t>
  </si>
  <si>
    <t>A000000PC461EU02 (AutoReverse)</t>
  </si>
  <si>
    <t>A000000FBJPKEU02 (AutoReverse)</t>
  </si>
  <si>
    <t>00000005TNCFEU01 (AutoReverse)</t>
  </si>
  <si>
    <t>Body &gt; Closures &gt; Front Passenger Door &gt; Door Mechanism &gt; Exterior Side</t>
  </si>
  <si>
    <t>Body &gt; Closures &gt; Front Passenger Door &gt; Door Mechanism &gt; Exterior Side &gt; Opening Control</t>
  </si>
  <si>
    <t>Body &gt; Closures &gt; Front Passenger Door &gt; Door Mechanism &gt; Exterior Side &gt; Opening Control &gt; Injection molding</t>
  </si>
  <si>
    <t>0000000333L2EU01 (AutoReverse)</t>
  </si>
  <si>
    <t>Body &gt; Closures &gt; Front Passenger Door &gt; Door Mechanism &gt; Exterior Side &gt; Opening Control Support</t>
  </si>
  <si>
    <t>Body &gt; Closures &gt; Front Passenger Door &gt; Door Mechanism &gt; Exterior Side &gt; Opening Control Support &gt; Injection molding</t>
  </si>
  <si>
    <t>00000001UOW1EU01 (AutoReverse)</t>
  </si>
  <si>
    <t>Body &gt; Closures &gt; Front Passenger Door &gt; Door Mechanism &gt; Exterior Side &gt; Bezel</t>
  </si>
  <si>
    <t>Body &gt; Closures &gt; Front Passenger Door &gt; Door Mechanism &gt; Exterior Side &gt; Bezel &gt; Injection molding</t>
  </si>
  <si>
    <t>Body &gt; Closures &gt; Front Passenger Door &gt; Door Mechanism &gt; Exterior Side &gt; Bezel &gt; Painting</t>
  </si>
  <si>
    <t>000000A64EN6EU02 (AutoReverse)</t>
  </si>
  <si>
    <t>Body &gt; Closures &gt; Front Passenger Door &gt; Door Mechanism &gt; Exterior Side &gt; 2nd Bezel</t>
  </si>
  <si>
    <t>Body &gt; Closures &gt; Front Passenger Door &gt; Door Mechanism &gt; Exterior Side &gt; 2nd Bezel &gt; Injection molding</t>
  </si>
  <si>
    <t>Body &gt; Closures &gt; Front Passenger Door &gt; Door Mechanism &gt; Exterior Side &gt; 2nd Bezel &gt; Painting</t>
  </si>
  <si>
    <t>000000AENBH9EU02 (AutoReverse)</t>
  </si>
  <si>
    <t>000000A64ENAEU02 (AutoReverse)</t>
  </si>
  <si>
    <t>00000005N87IEU01 (AutoReverse)</t>
  </si>
  <si>
    <t>Body &gt; Closures &gt; Front Passenger Door &gt; Door Mechanism &gt; Exterior Side &gt; Mechanism</t>
  </si>
  <si>
    <t xml:space="preserve">Body &gt; Closures &gt; Front Passenger Door &gt; Door Mechanism &gt; Exterior Side &gt; Mechanism &gt; Injection molding </t>
  </si>
  <si>
    <t>A000000FQ49OEU02 (AutoReverse)</t>
  </si>
  <si>
    <t>00000002L561EU01 (AutoReverse)</t>
  </si>
  <si>
    <t>000000015UZVEU01 (AutoReverse)</t>
  </si>
  <si>
    <t>Body &gt; Closures &gt; Front Passenger Door &gt; Door Mechanism &gt; Door Striker</t>
  </si>
  <si>
    <t xml:space="preserve">Body &gt; Closures &gt; Front Passenger Door &gt; Door Mechanism &gt; Door Striker &gt; Stamping </t>
  </si>
  <si>
    <t>Body &gt; Closures &gt; Front Passenger Door &gt; Door Mechanism &gt; Door Striker &gt; Wire Bending</t>
  </si>
  <si>
    <t>Body &gt; Closures &gt; Front Passenger Door &gt; Door Mechanism &gt; Door Striker &gt; Press fit</t>
  </si>
  <si>
    <t>00000009TIFNEU01 (AutoReverse)</t>
  </si>
  <si>
    <t>Body &gt; Closures &gt; Front Passenger Door &gt; Door Mechanism &gt; Access Cover</t>
  </si>
  <si>
    <t>Body &gt; Closures &gt; Front Passenger Door &gt; Door Mechanism &gt; Access Cover &gt; Injection molding</t>
  </si>
  <si>
    <t>000000A07317EU02 (AutoReverse)</t>
  </si>
  <si>
    <t>000000A64EN8EU02 (AutoReverse)</t>
  </si>
  <si>
    <t>Body &gt; Closures &gt; Front Passenger Door &gt; Door Mechanism &gt; Assembly</t>
  </si>
  <si>
    <t>00000004ARATEU01 (AutoReverse)</t>
  </si>
  <si>
    <t>Body &gt; Closures &gt; Front Passenger Door &gt; Window System</t>
  </si>
  <si>
    <t>Body &gt; Closures &gt; Front Passenger Door &gt; Window System &gt; Window Regulator Motor</t>
  </si>
  <si>
    <t>Body &gt; Closures &gt; Front Passenger Door &gt; Window System &gt; Window Regulator Motor &gt; Process</t>
  </si>
  <si>
    <t>00000003PR3MEU01 (AutoReverse)</t>
  </si>
  <si>
    <t>Body &gt; Closures &gt; Front Passenger Door &gt; Window System &gt; Window</t>
  </si>
  <si>
    <t>Body &gt; Closures &gt; Front Passenger Door &gt; Window System &gt; Window &gt; Glas Panel</t>
  </si>
  <si>
    <t>Body &gt; Closures &gt; Front Passenger Door &gt; Window System &gt; Window &gt; Glas Panel &gt; Process</t>
  </si>
  <si>
    <t>00000009WK57EU01 (AutoReverse)</t>
  </si>
  <si>
    <t>00000008FTTLEU01 (AutoReverse)</t>
  </si>
  <si>
    <t>00000005NXPQEU01 (AutoReverse)</t>
  </si>
  <si>
    <t>Body &gt; Closures &gt; Front Passenger Door &gt; Sealing System</t>
  </si>
  <si>
    <t>Body &gt; Closures &gt; Front Passenger Door &gt; Sealing System &gt; Door Weatherstripping</t>
  </si>
  <si>
    <t>Body &gt; Closures &gt; Front Passenger Door &gt; Sealing System &gt; Door Weatherstripping &gt; On Body</t>
  </si>
  <si>
    <t>Body &gt; Closures &gt; Front Passenger Door &gt; Sealing System &gt; Door Weatherstripping &gt; On Body &gt; Seal Extrusion (Multi Layer)</t>
  </si>
  <si>
    <t>Body &gt; Closures &gt; Front Passenger Door &gt; Sealing System &gt; Door Weatherstripping &gt; On Body &gt; End Glueing/Vulcanizing; Check and Pack</t>
  </si>
  <si>
    <t>00000009HJWLEU01 (AutoReverse)</t>
  </si>
  <si>
    <t>Body &gt; Closures &gt; Front Passenger Door &gt; Sealing System &gt; Door Weatherstripping &gt; On Door</t>
  </si>
  <si>
    <t>Body &gt; Closures &gt; Front Passenger Door &gt; Sealing System &gt; Door Weatherstripping &gt; On Door &gt; Seal Extrusion (Multi Layer)</t>
  </si>
  <si>
    <t>000000016D8LEU01 (AutoReverse)</t>
  </si>
  <si>
    <t>00000002A0WAEU01 (AutoReverse)</t>
  </si>
  <si>
    <t>Body &gt; Closures &gt; Front Passenger Door &gt; Sealing System &gt; Interior Weatherstrip</t>
  </si>
  <si>
    <t>Body &gt; Closures &gt; Front Passenger Door &gt; Sealing System &gt; Interior Weatherstrip &gt; Seal Extrusion (Multi Layer)</t>
  </si>
  <si>
    <t>0000000061AQEU01 (AutoReverse)</t>
  </si>
  <si>
    <t>Body &gt; Closures &gt; Front Passenger Door &gt; Sealing System &gt; Exterior Weatherstrip</t>
  </si>
  <si>
    <t>Body &gt; Closures &gt; Front Passenger Door &gt; Sealing System &gt; Exterior Weatherstrip &gt; Seal Extrusion (Multi Layer)</t>
  </si>
  <si>
    <t>00000004RO27EU01 (AutoReverse)</t>
  </si>
  <si>
    <t>Body &gt; Closures &gt; Front Passenger Door &gt; Sealing System &gt; Exterior Weatherstrip Bezel</t>
  </si>
  <si>
    <t>Body &gt; Closures &gt; Front Passenger Door &gt; Sealing System &gt; Exterior Weatherstrip Bezel &gt; Aluminum extrusion</t>
  </si>
  <si>
    <t>A000000U3S22EU02 (AutoReverse)</t>
  </si>
  <si>
    <t>00000005A56XEU01 (AutoReverse)</t>
  </si>
  <si>
    <t>Body &gt; Closures &gt; Front Passenger Door &gt; Hinges</t>
  </si>
  <si>
    <t>Body &gt; Closures &gt; Front Passenger Door &gt; Hinges &gt; Upper</t>
  </si>
  <si>
    <t>Body &gt; Closures &gt; Front Passenger Door &gt; Hinges &gt; Upper &gt; On Body</t>
  </si>
  <si>
    <t>Body &gt; Closures &gt; Front Passenger Door &gt; Hinges &gt; Upper &gt; On Body &gt; MANUFACTURING  PROCESS</t>
  </si>
  <si>
    <t>0000000269CQEU01 (AutoReverse)</t>
  </si>
  <si>
    <t>Body &gt; Closures &gt; Front Passenger Door &gt; Hinges &gt; Upper &gt; On Door</t>
  </si>
  <si>
    <t>Body &gt; Closures &gt; Front Passenger Door &gt; Hinges &gt; Upper &gt; On Door &gt; MANUFACTURING  PROCESS</t>
  </si>
  <si>
    <t>000000003TT7EU01 (AutoReverse)</t>
  </si>
  <si>
    <t>00000002FK1AEU01 (AutoReverse)</t>
  </si>
  <si>
    <t>Body &gt; Closures &gt; Front Passenger Door &gt; Hinges &gt; Lower</t>
  </si>
  <si>
    <t>Body &gt; Closures &gt; Front Passenger Door &gt; Hinges &gt; Lower &gt; On Body</t>
  </si>
  <si>
    <t>Body &gt; Closures &gt; Front Passenger Door &gt; Hinges &gt; Lower &gt; On Body &gt; MANUFACTURING  PROCESS</t>
  </si>
  <si>
    <t>00000000AOT0EU01 (AutoReverse)</t>
  </si>
  <si>
    <t>Body &gt; Closures &gt; Front Passenger Door &gt; Hinges &gt; Lower &gt; On Door</t>
  </si>
  <si>
    <t>Body &gt; Closures &gt; Front Passenger Door &gt; Hinges &gt; Lower &gt; On Door &gt; MANUFACTURING  PROCESS</t>
  </si>
  <si>
    <t>00000001DH8PEU01 (AutoReverse)</t>
  </si>
  <si>
    <t>00000008NRKEEU01 (AutoReverse)</t>
  </si>
  <si>
    <t>0000000733B7EU01 (AutoReverse)</t>
  </si>
  <si>
    <t>Body &gt; Closures &gt; Front Passenger Door &gt; Hinges &gt; Door Stopper Protection</t>
  </si>
  <si>
    <t>Body &gt; Closures &gt; Front Passenger Door &gt; Hinges &gt; Door Stopper Protection &gt; Injection molding</t>
  </si>
  <si>
    <t>000000055Q2FEU01 (AutoReverse)</t>
  </si>
  <si>
    <t>0000000580DNEU01 (AutoReverse)</t>
  </si>
  <si>
    <t>Body &gt; Closures &gt; Front Passenger Door &gt; Power System</t>
  </si>
  <si>
    <t>Body &gt; Closures &gt; Front Passenger Door &gt; Power System &gt; Ambiant Light</t>
  </si>
  <si>
    <t>00000001ANU4EU01 (AutoReverse)</t>
  </si>
  <si>
    <t>Body &gt; Closures &gt; Front Passenger Door &gt; Power System &gt; Ambiant Light &gt; Light Diffuser</t>
  </si>
  <si>
    <t>Body &gt; Closures &gt; Front Passenger Door &gt; Power System &gt; Ambiant Light &gt; Light Diffuser &gt; Injection molding</t>
  </si>
  <si>
    <t>Body &gt; Closures &gt; Front Passenger Door &gt; Power System &gt; Ambiant Light &gt; Light Diffuser &gt; Handling/Visual Inspection/Packaging</t>
  </si>
  <si>
    <t>A000000OE4CUEU02 (AutoReverse)</t>
  </si>
  <si>
    <t>Body &gt; Closures &gt; Front Passenger Door &gt; Power System &gt; Ambiant Light &gt; Mood Light Diffuser Support</t>
  </si>
  <si>
    <t>Body &gt; Closures &gt; Front Passenger Door &gt; Power System &gt; Ambiant Light &gt; Mood Light Diffuser Support &gt; Injection molding</t>
  </si>
  <si>
    <t>Body &gt; Closures &gt; Front Passenger Door &gt; Power System &gt; Ambiant Light &gt; Mood Light Diffuser Support &gt; Handling/Visual Inspection/Packaging</t>
  </si>
  <si>
    <t>A0000000SPWIEU02 (AutoReverse)</t>
  </si>
  <si>
    <t>00000003VYXLEU01 (AutoReverse)</t>
  </si>
  <si>
    <t>Body &gt; Closures &gt; Front Passenger Door &gt; Power System &gt; Harness</t>
  </si>
  <si>
    <t>Body &gt; Closures &gt; Front Passenger Door &gt; Power System &gt; Harness &gt; Process</t>
  </si>
  <si>
    <t>00000000TUYAEU01 (AutoReverse)</t>
  </si>
  <si>
    <t>0000000AKZBEEU01 (AutoReverse)</t>
  </si>
  <si>
    <t>000000A07315EU02 (AutoReverse)</t>
  </si>
  <si>
    <t>00000009OJKBEU01 (AutoReverse)</t>
  </si>
  <si>
    <t>Body &gt; Closures &gt; Front Passenger Door &gt; Molding System</t>
  </si>
  <si>
    <t>Body &gt; Closures &gt; Front Passenger Door &gt; Molding System &gt; A Pillar Accent</t>
  </si>
  <si>
    <t>Body &gt; Closures &gt; Front Passenger Door &gt; Molding System &gt; A Pillar Accent &gt; Injection molding</t>
  </si>
  <si>
    <t>Body &gt; Closures &gt; Front Passenger Door &gt; Molding System &gt; A Pillar Accent &gt; Handling/Visual Inspection/Packaging</t>
  </si>
  <si>
    <t>A000000VS9E9EU02 (AutoReverse)</t>
  </si>
  <si>
    <t>Body &gt; Closures &gt; Front Passenger Door &gt; Molding System &gt; A Pillar Accent Seal</t>
  </si>
  <si>
    <t>Body &gt; Closures &gt; Front Passenger Door &gt; Molding System &gt; A Pillar Accent Seal &gt; Injection molding</t>
  </si>
  <si>
    <t>Body &gt; Closures &gt; Front Passenger Door &gt; Molding System &gt; A Pillar Accent Seal &gt; Handling/Visual Inspection/Packaging</t>
  </si>
  <si>
    <t>A000000YGJMSEU02 (AutoReverse)</t>
  </si>
  <si>
    <t>00000009YS0XEU01 (AutoReverse)</t>
  </si>
  <si>
    <t>Body &gt; Closures &gt; Front Passenger Door &gt; Rear View Mirror System</t>
  </si>
  <si>
    <t>Body &gt; Closures &gt; Front Passenger Door &gt; Rear View Mirror System &gt; Outside Rear View Mirror</t>
  </si>
  <si>
    <t>Body &gt; Closures &gt; Front Passenger Door &gt; Rear View Mirror System &gt; Outside Rear View Mirror &gt; Folding Motor</t>
  </si>
  <si>
    <t>Body &gt; Closures &gt; Front Passenger Door &gt; Rear View Mirror System &gt; Outside Rear View Mirror &gt; Folding Motor &gt; Process</t>
  </si>
  <si>
    <t>0000000BSOOTCID0 (AutoReverse)</t>
  </si>
  <si>
    <t>Body &gt; Closures &gt; Front Passenger Door &gt; Rear View Mirror System &gt; Outside Rear View Mirror &gt; 360 View Camera side</t>
  </si>
  <si>
    <t>Body &gt; Closures &gt; Front Passenger Door &gt; Rear View Mirror System &gt; Outside Rear View Mirror &gt; 360 View Camera side &gt; Process</t>
  </si>
  <si>
    <t>0000000BSOSVCID0 (AutoReverse)</t>
  </si>
  <si>
    <t>0000000BSOWZCID0 (AutoReverse)</t>
  </si>
  <si>
    <t>Body &gt; Closures &gt; Front Passenger Door &gt; Rear View Mirror System &gt; Outside Rear View Mirror &gt; Support</t>
  </si>
  <si>
    <t>Body &gt; Closures &gt; Front Passenger Door &gt; Rear View Mirror System &gt; Outside Rear View Mirror &gt; Support &gt; Furnace heating</t>
  </si>
  <si>
    <t>Body &gt; Closures &gt; Front Passenger Door &gt; Rear View Mirror System &gt; Outside Rear View Mirror &gt; Support &gt; Transport with laddle</t>
  </si>
  <si>
    <t>Body &gt; Closures &gt; Front Passenger Door &gt; Rear View Mirror System &gt; Outside Rear View Mirror &gt; Support &gt; Pressing (Cold Chamber)</t>
  </si>
  <si>
    <t>000000A64ENCEU02 (AutoReverse)</t>
  </si>
  <si>
    <t>000000A07318EU02 (AutoReverse)</t>
  </si>
  <si>
    <t>Body &gt; Closures &gt; Front Passenger Door &gt; Rear View Mirror System &gt; Outside Rear View Mirror &gt; Mirror Support</t>
  </si>
  <si>
    <t>Body &gt; Closures &gt; Front Passenger Door &gt; Rear View Mirror System &gt; Outside Rear View Mirror &gt; Mirror Support &gt; Injection molding</t>
  </si>
  <si>
    <t>A0000013QRNSEU02 (AutoReverse)</t>
  </si>
  <si>
    <t>Body &gt; Closures &gt; Front Passenger Door &gt; Rear View Mirror System &gt; Outside Rear View Mirror &gt; Lower Shell</t>
  </si>
  <si>
    <t>Body &gt; Closures &gt; Front Passenger Door &gt; Rear View Mirror System &gt; Outside Rear View Mirror &gt; Lower Shell &gt; Injection molding</t>
  </si>
  <si>
    <t>Body &gt; Closures &gt; Front Passenger Door &gt; Rear View Mirror System &gt; Outside Rear View Mirror &gt; Lower Shell &gt; Painting</t>
  </si>
  <si>
    <t>0000000BSOSXCID0 (AutoReverse)</t>
  </si>
  <si>
    <t>Body &gt; Closures &gt; Front Passenger Door &gt; Rear View Mirror System &gt; Outside Rear View Mirror &gt; Support Cover</t>
  </si>
  <si>
    <t>Body &gt; Closures &gt; Front Passenger Door &gt; Rear View Mirror System &gt; Outside Rear View Mirror &gt; Support Cover &gt; Injection molding</t>
  </si>
  <si>
    <t>0000000BSOKRCID0 (AutoReverse)</t>
  </si>
  <si>
    <t>Body &gt; Closures &gt; Front Passenger Door &gt; Rear View Mirror System &gt; Outside Rear View Mirror &gt; Support Lower Cover</t>
  </si>
  <si>
    <t>Body &gt; Closures &gt; Front Passenger Door &gt; Rear View Mirror System &gt; Outside Rear View Mirror &gt; Support Lower Cover &gt; Injection molding</t>
  </si>
  <si>
    <t>0000000BSOX2CID0 (AutoReverse)</t>
  </si>
  <si>
    <t>Body &gt; Closures &gt; Front Passenger Door &gt; Rear View Mirror System &gt; Outside Rear View Mirror &gt; Support Seal</t>
  </si>
  <si>
    <t>Body &gt; Closures &gt; Front Passenger Door &gt; Rear View Mirror System &gt; Outside Rear View Mirror &gt; Support Seal &gt; Injection molding</t>
  </si>
  <si>
    <t>000000A0731BEU02 (AutoReverse)</t>
  </si>
  <si>
    <t>Body &gt; Closures &gt; Front Passenger Door &gt; Rear View Mirror System &gt; Outside Rear View Mirror &gt; Seal Cover</t>
  </si>
  <si>
    <t>Body &gt; Closures &gt; Front Passenger Door &gt; Rear View Mirror System &gt; Outside Rear View Mirror &gt; Seal Cover &gt; Injection molding</t>
  </si>
  <si>
    <t>0000000BSOOUCID0 (AutoReverse)</t>
  </si>
  <si>
    <t>Body &gt; Closures &gt; Front Passenger Door &gt; Rear View Mirror System &gt; Outside Rear View Mirror &gt; 2nd Seal Cover</t>
  </si>
  <si>
    <t>Body &gt; Closures &gt; Front Passenger Door &gt; Rear View Mirror System &gt; Outside Rear View Mirror &gt; 2nd Seal Cover &gt; Injection molding</t>
  </si>
  <si>
    <t>A000003AERCREU01 (AutoReverse)</t>
  </si>
  <si>
    <t>0000000BSOX3CID0 (AutoReverse)</t>
  </si>
  <si>
    <t>Body &gt; Closures &gt; Front Passenger Door &gt; Rear View Mirror System &gt; Outside Rear View Mirror &gt; Trim Signal</t>
  </si>
  <si>
    <t>Body &gt; Closures &gt; Front Passenger Door &gt; Rear View Mirror System &gt; Outside Rear View Mirror &gt; Trim Signal &gt; Injection molding</t>
  </si>
  <si>
    <t>A000000NHYK7EU02 (AutoReverse)</t>
  </si>
  <si>
    <t>Body &gt; Closures &gt; Front Passenger Door &gt; Rear View Mirror System &gt; Outside Rear View Mirror &gt; Folding Motor Support</t>
  </si>
  <si>
    <t>Body &gt; Closures &gt; Front Passenger Door &gt; Rear View Mirror System &gt; Outside Rear View Mirror &gt; Folding Motor Support &gt; Injection molding</t>
  </si>
  <si>
    <t>0000000BSOKSCID0 (AutoReverse)</t>
  </si>
  <si>
    <t>Body &gt; Closures &gt; Front Passenger Door &gt; Rear View Mirror System &gt; Outside Rear View Mirror &gt; 360 View Camera Support</t>
  </si>
  <si>
    <t>Body &gt; Closures &gt; Front Passenger Door &gt; Rear View Mirror System &gt; Outside Rear View Mirror &gt; 360 View Camera Support &gt; Injection molding</t>
  </si>
  <si>
    <t>0000000BSOWYCID0 (AutoReverse)</t>
  </si>
  <si>
    <t>A000000PVA4CEU02 (AutoReverse)</t>
  </si>
  <si>
    <t>Body &gt; Closures &gt; Front Passenger Door &gt; Rear View Mirror System &gt; Outside Rear View Mirror &gt; Shell</t>
  </si>
  <si>
    <t>Body &gt; Closures &gt; Front Passenger Door &gt; Rear View Mirror System &gt; Outside Rear View Mirror &gt; Shell &gt; Injection molding</t>
  </si>
  <si>
    <t>Body &gt; Closures &gt; Front Passenger Door &gt; Rear View Mirror System &gt; Outside Rear View Mirror &gt; Shell &gt; Painting</t>
  </si>
  <si>
    <t>Body &gt; Closures &gt; Front Passenger Door &gt; Rear View Mirror System &gt; Outside Rear View Mirror &gt; Shell &gt; Handling and Packaging</t>
  </si>
  <si>
    <t>Outside mirror shell</t>
  </si>
  <si>
    <t>0000000BSOX0CID0 (AutoReverse)</t>
  </si>
  <si>
    <t>Body &gt; Closures &gt; Front Passenger Door &gt; Rear View Mirror System &gt; Outside Rear View Mirror &gt; Assembly</t>
  </si>
  <si>
    <t>000000086EK6EU01 (AutoReverse)</t>
  </si>
  <si>
    <t>Body &gt; Closures &gt; Front Passenger Door &gt; Rear View Mirror System &gt; Interior Trim</t>
  </si>
  <si>
    <t>Body &gt; Closures &gt; Front Passenger Door &gt; Rear View Mirror System &gt; Interior Trim &gt; Injection molding</t>
  </si>
  <si>
    <t>00000006TLSIEU01 (AutoReverse)</t>
  </si>
  <si>
    <t>Body &gt; Closures &gt; Front Passenger Door &gt; Rear View Mirror System &gt; Inner Sound Insulation</t>
  </si>
  <si>
    <t>Body &gt; Closures &gt; Front Passenger Door &gt; Rear View Mirror System &gt; Inner Sound Insulation &gt; Press</t>
  </si>
  <si>
    <t>Body &gt; Closures &gt; Front Passenger Door &gt; Rear View Mirror System &gt; Inner Sound Insulation &gt; Steam facility</t>
  </si>
  <si>
    <t>0000000AI2DMEU01 (AutoReverse)</t>
  </si>
  <si>
    <t>A000000PC45ZEU02 (AutoReverse)</t>
  </si>
  <si>
    <t>00000005JTXIEU01 (AutoReverse)</t>
  </si>
  <si>
    <t>Body &gt; Closures &gt; Front Passenger Door &gt; Power Controls</t>
  </si>
  <si>
    <t>0000000882PPEU01 (AutoReverse)</t>
  </si>
  <si>
    <t>Body &gt; Closures &gt; Front Passenger Door &gt; Power Controls &gt; Electric Window Lift Control Support</t>
  </si>
  <si>
    <t>0.0072164948453608247422680412 kg</t>
  </si>
  <si>
    <t>Body &gt; Closures &gt; Front Passenger Door &gt; Power Controls &gt; Electric Window Lift Control Support &gt; Injection molding</t>
  </si>
  <si>
    <t>Opening: 0.67 s, Ejection: 0.07 s, Insert: 0.00 s, Closing: 1.67 s, Removal: 1.45 s, Cooling: 14.73 s, Injection: 0.91</t>
  </si>
  <si>
    <t>00000006V7POEU01 (AutoReverse)</t>
  </si>
  <si>
    <t>000000017TJ4EU01 (AutoReverse)</t>
  </si>
  <si>
    <t>Body &gt; Closures &gt; Front Passenger Door &gt; Speaker System</t>
  </si>
  <si>
    <t>0000000A95ILEU01 (AutoReverse)</t>
  </si>
  <si>
    <t>00000006PMVDEU01 (AutoReverse)</t>
  </si>
  <si>
    <t>00000009824EEU01 (AutoReverse)</t>
  </si>
  <si>
    <t>Body &gt; Closures &gt; Front Passenger Door &gt; Door Moisture Shield</t>
  </si>
  <si>
    <t>Body &gt; Closures &gt; Front Passenger Door &gt; Door Moisture Shield &gt; Thermocompression</t>
  </si>
  <si>
    <t>Body &gt; Closures &gt; Front Passenger Door &gt; Door Moisture Shield &gt; Placement sheet</t>
  </si>
  <si>
    <t>00000000LRLZEU01 (AutoReverse)</t>
  </si>
  <si>
    <t>000000A64EN5EU02 (AutoReverse)</t>
  </si>
  <si>
    <t>000000AAQBSVEU02 (AutoReverse)</t>
  </si>
  <si>
    <t>Body &gt; Closures &gt; Front Passenger Door &gt; Assembly</t>
  </si>
  <si>
    <t>00000006YT01EU01 (AutoReverse)</t>
  </si>
  <si>
    <t>00000000Q5SVEU01 (AutoReverse)</t>
  </si>
  <si>
    <t>Body &gt; Frame</t>
  </si>
  <si>
    <t>Body &gt; Frame &gt; Scuttle Grille System</t>
  </si>
  <si>
    <t>Body &gt; Frame &gt; Scuttle Grille System &gt; Covering Cowl Air Inlet Central Single</t>
  </si>
  <si>
    <t>1.66900 kg</t>
  </si>
  <si>
    <t>1.7568421052631578947368421053 kg</t>
  </si>
  <si>
    <t>Body &gt; Frame &gt; Scuttle Grille System &gt; Covering Cowl Air Inlet Central Single &gt; Automated Process</t>
  </si>
  <si>
    <t>000000028XBZEU01 (AutoReverse)</t>
  </si>
  <si>
    <t>Body &gt; Frame &gt; Scuttle Grille System &gt; Left Scuttle Grille</t>
  </si>
  <si>
    <t>0.01050 kg</t>
  </si>
  <si>
    <t>0.0110526315789473684210526316 kg</t>
  </si>
  <si>
    <t>Body &gt; Frame &gt; Scuttle Grille System &gt; Left Scuttle Grille &gt; Automated Process</t>
  </si>
  <si>
    <t>PP-EPDM;TPE</t>
  </si>
  <si>
    <t>00000001Y6LMEU01 (AutoReverse)</t>
  </si>
  <si>
    <t>Body &gt; Frame &gt; Scuttle Grille System &gt; Right Scuttle Grille</t>
  </si>
  <si>
    <t>Body &gt; Frame &gt; Scuttle Grille System &gt; Right Scuttle Grille &gt; Automated Process</t>
  </si>
  <si>
    <t>000000050MPYEU01 (AutoReverse)</t>
  </si>
  <si>
    <t>Body &gt; Frame &gt; Scuttle Grille System &gt; Right Trap</t>
  </si>
  <si>
    <t>Body &gt; Frame &gt; Scuttle Grille System &gt; Right Trap &gt; Automated Process</t>
  </si>
  <si>
    <t>000000022X11EU01 (AutoReverse)</t>
  </si>
  <si>
    <t>Body &gt; Frame &gt; Scuttle Grille System &gt; Water Protection on Scuttle Grille</t>
  </si>
  <si>
    <t>0.07850 kg</t>
  </si>
  <si>
    <t>0.0826315789473684210526315789 kg</t>
  </si>
  <si>
    <t>Body &gt; Frame &gt; Scuttle Grille System &gt; Water Protection on Scuttle Grille &gt; Automated Process</t>
  </si>
  <si>
    <t>0000000AYLBCEU01 (AutoReverse)</t>
  </si>
  <si>
    <t>Body &gt; Frame &gt; Scuttle Grille System &gt; Water Protection on Scuttle Grille Right if Different</t>
  </si>
  <si>
    <t>0.07750 kg</t>
  </si>
  <si>
    <t>0.0815789473684210526315789474 kg</t>
  </si>
  <si>
    <t>Body &gt; Frame &gt; Scuttle Grille System &gt; Water Protection on Scuttle Grille Right if Different &gt; Automated Process</t>
  </si>
  <si>
    <t>0000000320JKEU01 (AutoReverse)</t>
  </si>
  <si>
    <t>00000000O9USEU01 (AutoReverse)</t>
  </si>
  <si>
    <t>Body &gt; Frame &gt; Pillar Trim</t>
  </si>
  <si>
    <t>Body &gt; Frame &gt; Pillar Trim &gt; B Pillar Trims</t>
  </si>
  <si>
    <t>Body &gt; Frame &gt; Pillar Trim &gt; B Pillar Trims &gt; Front Passive Entry ECU</t>
  </si>
  <si>
    <t>Body &gt; Frame &gt; Pillar Trim &gt; B Pillar Trims &gt; Front Passive Entry ECU &gt; Process</t>
  </si>
  <si>
    <t>Housing Parts + Foam pads</t>
  </si>
  <si>
    <t>00000000ZLZNEU01 (AutoReverse)</t>
  </si>
  <si>
    <t>Body &gt; Frame &gt; Pillar Trim &gt; Right B Pillar Trim if Different</t>
  </si>
  <si>
    <t>Body &gt; Frame &gt; Pillar Trim &gt; Right B Pillar Trim if Different &gt; Process</t>
  </si>
  <si>
    <t>00000006ZA6GEU01 (AutoReverse)</t>
  </si>
  <si>
    <t>Body &gt; Frame &gt; Pillar Trim &gt; B Pillar Trim Seal</t>
  </si>
  <si>
    <t>Body &gt; Frame &gt; Pillar Trim &gt; B Pillar Trim Seal &gt; Automated Process</t>
  </si>
  <si>
    <t>000000AROQSIEU02 (AutoReverse)</t>
  </si>
  <si>
    <t>Body &gt; Frame &gt; Pillar Trim &gt; B Pillar Trim Seal 2</t>
  </si>
  <si>
    <t>Body &gt; Frame &gt; Pillar Trim &gt; B Pillar Trim Seal 2 &gt; Automated Process</t>
  </si>
  <si>
    <t>A000003AP88TEU01 (AutoReverse)</t>
  </si>
  <si>
    <t>00000004G84YEU01 (AutoReverse)</t>
  </si>
  <si>
    <t>Body &gt; Frame &gt; Roof Trim</t>
  </si>
  <si>
    <t>Body &gt; Frame &gt; Roof Trim &gt; Roof Trim Side</t>
  </si>
  <si>
    <t>0.41800 kg</t>
  </si>
  <si>
    <t>0.4429998081747242114232481636 kg</t>
  </si>
  <si>
    <t>Body &gt; Frame &gt; Roof Trim &gt; Roof Trim Side &gt; Aluminum extrusion</t>
  </si>
  <si>
    <t>ALUMINIUM;EPDM</t>
  </si>
  <si>
    <t>00000004HKLEEU01 (AutoReverse)</t>
  </si>
  <si>
    <t>Body &gt; Frame &gt; Roof Trim &gt; Front</t>
  </si>
  <si>
    <t>1.27300 kg</t>
  </si>
  <si>
    <t>1.3123711340206185567010309278 kg</t>
  </si>
  <si>
    <t>Body &gt; Frame &gt; Roof Trim &gt; Front &gt; Injection molding</t>
  </si>
  <si>
    <t>Opening: 4.38 s, Ejection: 0.17 s, Insert: 0.00 s, Closing: 7.95 s, Removal: 3.13 s, Cooling: 27.15 s, Injection: 2.46</t>
  </si>
  <si>
    <t>00000009729WEU01 (AutoReverse)</t>
  </si>
  <si>
    <t>Body &gt; Frame &gt; Roof Trim &gt; Front Seal</t>
  </si>
  <si>
    <t xml:space="preserve">Body &gt; Frame &gt; Roof Trim &gt; Front Seal &gt; Seal Extrusion </t>
  </si>
  <si>
    <t>0000000BSOIYCID0 (AutoReverse)</t>
  </si>
  <si>
    <t>Body &gt; Frame &gt; Roof Trim &gt; Front Seal right</t>
  </si>
  <si>
    <t xml:space="preserve">Body &gt; Frame &gt; Roof Trim &gt; Front Seal right &gt; Seal Extrusion </t>
  </si>
  <si>
    <t>A000003FIKRUEU01 (AutoReverse)</t>
  </si>
  <si>
    <t>00000009KR65EU01 (AutoReverse)</t>
  </si>
  <si>
    <t>Body &gt; Frame &gt; Decompression System</t>
  </si>
  <si>
    <t>PP;TPE</t>
  </si>
  <si>
    <t>00000007KSZTEU01 (AutoReverse)</t>
  </si>
  <si>
    <t>00000001AD4VEU01 (AutoReverse)</t>
  </si>
  <si>
    <t>Body &gt; Frame &gt; Decompression System &gt; Air Duct</t>
  </si>
  <si>
    <t>0.0721649484536082474226804124 kg</t>
  </si>
  <si>
    <t>Body &gt; Frame &gt; Decompression System &gt; Air Duct &gt; Injection molding</t>
  </si>
  <si>
    <t>Opening: 0.92 s, Ejection: 0.25 s, Insert: 0.00 s, Closing: 2.30 s, Removal: 1.69 s, Cooling: 8.56 s, Injection: 2.12</t>
  </si>
  <si>
    <t>00000004E0HBEU01 (AutoReverse)</t>
  </si>
  <si>
    <t>Body &gt; Frame &gt; Decompression System &gt; 2nd Air Duct Right if Different</t>
  </si>
  <si>
    <t>Body &gt; Frame &gt; Decompression System &gt; 2nd Air Duct Right if Different &gt; Injection molding</t>
  </si>
  <si>
    <t>00000002FGXAEU01 (AutoReverse)</t>
  </si>
  <si>
    <t>000000051PZPEU01 (AutoReverse)</t>
  </si>
  <si>
    <t>Body &gt; Frame &gt; Body Reinforcement</t>
  </si>
  <si>
    <t>Body &gt; Frame &gt; Body Reinforcement &gt; Front Reinforcement</t>
  </si>
  <si>
    <t>Body &gt; Frame &gt; Body Reinforcement &gt; Front Reinforcement &gt; Fasteners</t>
  </si>
  <si>
    <t xml:space="preserve">Body &gt; Frame &gt; Body Reinforcement &gt; Front Reinforcement &gt; Bolt-on parts &gt; Front structure &gt; Engine compartment reinforcement assy​  ID 129 </t>
  </si>
  <si>
    <t>4.31200 kg</t>
  </si>
  <si>
    <t>5.0729411764705882352941176471 kg</t>
  </si>
  <si>
    <t>Body &gt; Frame &gt; Body Reinforcement &gt; Front Reinforcement &gt; Bolt-on parts &gt; Front structure &gt; Engine compartment reinforcement assy​  ID 129  &gt; Melting</t>
  </si>
  <si>
    <t>Body &gt; Frame &gt; Body Reinforcement &gt; Front Reinforcement &gt; Bolt-on parts &gt; Front structure &gt; Engine compartment reinforcement assy​  ID 129  &gt; Casting</t>
  </si>
  <si>
    <t>Tool needed</t>
  </si>
  <si>
    <t>Body &gt; Frame &gt; Body Reinforcement &gt; Front Reinforcement &gt; Bolt-on parts &gt; Front structure &gt; Engine compartment reinforcement assy​  ID 129  &gt; Trimming</t>
  </si>
  <si>
    <t>Body &gt; Frame &gt; Body Reinforcement &gt; Front Reinforcement &gt; Bolt-on parts &gt; Front structure &gt; Engine compartment reinforcement assy​  ID 129  &gt; Shaping</t>
  </si>
  <si>
    <t>Body &gt; Frame &gt; Body Reinforcement &gt; Front Reinforcement &gt; Bolt-on parts &gt; Front structure &gt; Engine compartment reinforcement assy​  ID 129  &gt; Heat treatment</t>
  </si>
  <si>
    <t>Machining Center, 2 spindles, 600x600x500mm³, Non magnetic materials</t>
  </si>
  <si>
    <t>Body &gt; Frame &gt; Body Reinforcement &gt; Front Reinforcement &gt; Bolt-on parts &gt; Front structure &gt; Engine compartment reinforcement assy​  ID 129  &gt; Machining</t>
  </si>
  <si>
    <t>Body &gt; Frame &gt; Body Reinforcement &gt; Front Reinforcement &gt; Bolt-on parts &gt; Front structure &gt; Engine compartment reinforcement assy​  ID 129  &gt; Deburring</t>
  </si>
  <si>
    <t>Body &gt; Frame &gt; Body Reinforcement &gt; Front Reinforcement &gt; Bolt-on parts &gt; Front structure &gt; Engine compartment reinforcement assy​  ID 129  &gt; Cleaning</t>
  </si>
  <si>
    <t>Body &gt; Frame &gt; Body Reinforcement &gt; Front Reinforcement &gt; Bolt-on parts &gt; Front structure &gt; Engine compartment reinforcement assy​  ID 129  &gt; laser mark</t>
  </si>
  <si>
    <t>Body &gt; Frame &gt; Body Reinforcement &gt; Front Reinforcement &gt; Bolt-on parts &gt; Front structure &gt; Engine compartment reinforcement assy​  ID 129  &gt; inspection and packaging</t>
  </si>
  <si>
    <t>BUP Caculation Material: Aluminum Process: Die casting</t>
  </si>
  <si>
    <t>Body &gt; Frame &gt; Body Reinforcement &gt; Front Reinforcement &gt; &gt;Bolt-on parts&gt;Front structure&gt;Upper front cross member 01 assy&gt;Cross member&gt;Part 01 (single/main)</t>
  </si>
  <si>
    <t>0.97600 kg</t>
  </si>
  <si>
    <t>1.038297872340425531914893617 kg</t>
  </si>
  <si>
    <t>Body &gt; Frame &gt; Body Reinforcement &gt; Front Reinforcement &gt; &gt;Bolt-on parts&gt;Front structure&gt;Upper front cross member 01 assy&gt;Cross member&gt;Part 01 (single/main) &gt; MANUFACTURING  PROCESS</t>
  </si>
  <si>
    <t>Cataphoresis</t>
  </si>
  <si>
    <t>Body &gt; Frame &gt; Body Reinforcement &gt; Front Reinforcement &gt; &gt;Bolt-on parts&gt;Front structure&gt;Upper front cross member 01 assy&gt;Cross member&gt;Part 01 (single/main) &gt; Electrophoresis</t>
  </si>
  <si>
    <t xml:space="preserve">DC BIW Caclulation    Material： Steel；Process：Rolled forming+Electrophoresis
</t>
  </si>
  <si>
    <t>Body &gt; Frame &gt; Body Reinforcement &gt; Front Reinforcement &gt; &gt;Bolt-on parts&gt;Front structure&gt;Upper front cross member 01 assy&gt;Brackets&gt;Part 01 (single/main)</t>
  </si>
  <si>
    <t>0.0127659574468085106382978723 kg</t>
  </si>
  <si>
    <t>Body &gt; Frame &gt; Body Reinforcement &gt; Front Reinforcement &gt; &gt;Bolt-on parts&gt;Front structure&gt;Upper front cross member 01 assy&gt;Brackets&gt;Part 01 (single/main) &gt; MANUFACTURING  PROCESS</t>
  </si>
  <si>
    <t>Body &gt; Frame &gt; Body Reinforcement &gt; Front Reinforcement &gt; &gt;Bolt-on parts&gt;Front structure&gt;Upper front cross member 01 assy&gt;Brackets&gt;Part 01 (single/main) &gt; Electrophoresis</t>
  </si>
  <si>
    <t xml:space="preserve">DC BIW Caclulation Material： Steel；Process：Stamping+Electrophoresis
</t>
  </si>
  <si>
    <t>000000081KMFEU01 (AutoReverse)</t>
  </si>
  <si>
    <t>Body &gt; Frame &gt; Body Reinforcement &gt; Other Reinforcements</t>
  </si>
  <si>
    <t>Body &gt; Frame &gt; Body Reinforcement &gt; Other Reinforcements &gt; &gt;Bolt-on parts&gt;Other reinforcements&gt;Reinforcement 1&gt;Part 01 (single/main)</t>
  </si>
  <si>
    <t>0.49600 kg</t>
  </si>
  <si>
    <t>0.5276595744680851063829787234 kg</t>
  </si>
  <si>
    <t>Body &gt; Frame &gt; Body Reinforcement &gt; Other Reinforcements &gt; &gt;Bolt-on parts&gt;Other reinforcements&gt;Reinforcement 1&gt;Part 01 (single/main) &gt; MANUFACTURING  PROCESS</t>
  </si>
  <si>
    <t>Body &gt; Frame &gt; Body Reinforcement &gt; Other Reinforcements &gt; &gt;Bolt-on parts&gt;Other reinforcements&gt;Reinforcement 1&gt;Part 01 (single/main) &gt; Electrophoresis</t>
  </si>
  <si>
    <t>000000003S70EU01 (AutoReverse)</t>
  </si>
  <si>
    <t>Body &gt; Frame &gt; Hole Plugs</t>
  </si>
  <si>
    <t>00000004JFLAEU01 (AutoReverse)</t>
  </si>
  <si>
    <t>TPE;EVA</t>
  </si>
  <si>
    <t>0000000446I8EU01 (AutoReverse)</t>
  </si>
  <si>
    <t>TPC;TPE;EVA</t>
  </si>
  <si>
    <t>00000007HNNZEU01 (AutoReverse)</t>
  </si>
  <si>
    <t>PA6;TPE;EVA;TPC</t>
  </si>
  <si>
    <t>00000003ZDGXEU01 (AutoReverse)</t>
  </si>
  <si>
    <t>00000001OESVEU01 (AutoReverse)</t>
  </si>
  <si>
    <t>00000002D7DIEU01 (AutoReverse)</t>
  </si>
  <si>
    <t>000000036ZM4EU01 (AutoReverse)</t>
  </si>
  <si>
    <t>Body &gt; Frame &gt; Tread Plate</t>
  </si>
  <si>
    <t>Body &gt; Frame &gt; Tread Plate &gt; Front</t>
  </si>
  <si>
    <t>0.10875 kg</t>
  </si>
  <si>
    <t>Body &gt; Frame &gt; Tread Plate &gt; Front &gt; Stamping</t>
  </si>
  <si>
    <t>00000008FOS7EU01 (AutoReverse)</t>
  </si>
  <si>
    <t>00000006S81WEU01 (AutoReverse)</t>
  </si>
  <si>
    <t>Body &gt; Frame &gt; Seals</t>
  </si>
  <si>
    <t>Body &gt; Frame &gt; Seals &gt; Upper Left and Right if Similar</t>
  </si>
  <si>
    <t>0.36400 kg</t>
  </si>
  <si>
    <t>0.3831578947368421052631578947 kg</t>
  </si>
  <si>
    <t xml:space="preserve">Body &gt; Frame &gt; Seals &gt; Upper Left and Right if Similar &gt; Seal Extrusion </t>
  </si>
  <si>
    <t>00000008EB79EU01 (AutoReverse)</t>
  </si>
  <si>
    <t>0000000ARA4KEU01 (AutoReverse)</t>
  </si>
  <si>
    <t>Body &gt; Frame &gt; Engine Compartment Protection System</t>
  </si>
  <si>
    <t>Body &gt; Frame &gt; Engine Compartment Protection System &gt; Access Trap</t>
  </si>
  <si>
    <t>Body &gt; Frame &gt; Engine Compartment Protection System &gt; Access Trap &gt; Plastic Part</t>
  </si>
  <si>
    <t>0.13000 kg</t>
  </si>
  <si>
    <t>0.1340206185567010309278350515 kg</t>
  </si>
  <si>
    <t>Body &gt; Frame &gt; Engine Compartment Protection System &gt; Access Trap &gt; Plastic Part &gt; Injection molding</t>
  </si>
  <si>
    <t>Opening: 1.38 s, Ejection: 0.04 s, Insert: 0.00 s, Closing: 3.06 s, Removal: 1.77 s, Cooling: 19.26 s, Injection: 2.27</t>
  </si>
  <si>
    <t>Body &gt; Frame &gt; Engine Compartment Protection System &gt; Access Trap &gt; Aluminium plate</t>
  </si>
  <si>
    <t>0.0625 kg</t>
  </si>
  <si>
    <t>Body &gt; Frame &gt; Engine Compartment Protection System &gt; Access Trap &gt; Aluminium plate &gt; Stamping</t>
  </si>
  <si>
    <t>Body &gt; Frame &gt; Engine Compartment Protection System &gt; Access Trap &gt; Assembly</t>
  </si>
  <si>
    <t>00000000KR6QEU01 (AutoReverse)</t>
  </si>
  <si>
    <t>Body &gt; Frame &gt; Engine Compartment Protection System &gt; Front Cover</t>
  </si>
  <si>
    <t>1.93300 kg</t>
  </si>
  <si>
    <t>1.9927835051546391752577319588 kg</t>
  </si>
  <si>
    <t>Body &gt; Frame &gt; Engine Compartment Protection System &gt; Front Cover &gt; Injection molding</t>
  </si>
  <si>
    <t>Opening: 5.45 s, Ejection: 0.22 s, Insert: 0.00 s, Closing: 9.09 s, Removal: 4.28 s, Cooling: 13.38 s, Injection: 2.47</t>
  </si>
  <si>
    <t>00000000VR5GEU01 (AutoReverse)</t>
  </si>
  <si>
    <t>Body &gt; Frame &gt; Engine Compartment Protection System &gt; 2nd Access Trap</t>
  </si>
  <si>
    <t>Body &gt; Frame &gt; Engine Compartment Protection System &gt; 2nd Access Trap &gt; Injection molding</t>
  </si>
  <si>
    <t>00000001I40MEU01 (AutoReverse)</t>
  </si>
  <si>
    <t>0000000042OUEU01 (AutoReverse)</t>
  </si>
  <si>
    <t>Body &gt; Frame &gt; Jack Pads</t>
  </si>
  <si>
    <t>Body &gt; Frame &gt; Jack Pads &gt; Front and Rear if Similar</t>
  </si>
  <si>
    <t>0.13050 kg</t>
  </si>
  <si>
    <t>0.1345360824742268041237113402 kg</t>
  </si>
  <si>
    <t>Body &gt; Frame &gt; Jack Pads &gt; Front and Rear if Similar &gt; Injection molding</t>
  </si>
  <si>
    <t>Opening: 0.67 s, Ejection: 0.15 s, Insert: 0.00 s, Closing: 1.67 s, Removal: 1.52 s, Cooling: 26.22 s, Injection: 2.37</t>
  </si>
  <si>
    <t>00000009OR4WEU01 (AutoReverse)</t>
  </si>
  <si>
    <t>Body &gt; Frame &gt; Jack Pads &gt; Rear</t>
  </si>
  <si>
    <t>Body &gt; Frame &gt; Jack Pads &gt; Rear &gt; Injection molding</t>
  </si>
  <si>
    <t>0000000AKV5BEU01 (AutoReverse)</t>
  </si>
  <si>
    <t>00000009RZRCEU01 (AutoReverse)</t>
  </si>
  <si>
    <t>Body &gt; Frame &gt; Rocker Panel Cover</t>
  </si>
  <si>
    <t>Body &gt; Frame &gt; Rocker Panel Cover &gt; Support</t>
  </si>
  <si>
    <t>Body &gt; Frame &gt; Rocker Panel Cover &gt; Support &gt; Central</t>
  </si>
  <si>
    <t>0.26400 kg</t>
  </si>
  <si>
    <t>0.2778947368421052631578947368 kg</t>
  </si>
  <si>
    <t>Body &gt; Frame &gt; Rocker Panel Cover &gt; Support &gt; Central &gt; Automated Process</t>
  </si>
  <si>
    <t>0000000A08JVEU01 (AutoReverse)</t>
  </si>
  <si>
    <t>Body &gt; Frame &gt; Rocker Panel Cover &gt; Support &gt; 2nd Central</t>
  </si>
  <si>
    <t>0.26200 kg</t>
  </si>
  <si>
    <t>0.2757894736842105263157894737 kg</t>
  </si>
  <si>
    <t>Body &gt; Frame &gt; Rocker Panel Cover &gt; Support &gt; 2nd Central &gt; Automated Process</t>
  </si>
  <si>
    <t>A000001BALJWEU02 (AutoReverse)</t>
  </si>
  <si>
    <t>Body &gt; Frame &gt; Rocker Panel Cover &gt; Support &gt; 3rd Central</t>
  </si>
  <si>
    <t>0.26900 kg</t>
  </si>
  <si>
    <t>0.2831578947368421052631578947 kg</t>
  </si>
  <si>
    <t>Body &gt; Frame &gt; Rocker Panel Cover &gt; Support &gt; 3rd Central &gt; Automated Process</t>
  </si>
  <si>
    <t>A0000035KBDBEU01 (AutoReverse)</t>
  </si>
  <si>
    <t>Body &gt; Frame &gt; Rocker Panel Cover &gt; Support &gt; 4rd Central</t>
  </si>
  <si>
    <t>Body &gt; Frame &gt; Rocker Panel Cover &gt; Support &gt; 4rd Central &gt; Automated Process</t>
  </si>
  <si>
    <t>A0000035KBDCEU01 (AutoReverse)</t>
  </si>
  <si>
    <t>00000004HA76EU01 (AutoReverse)</t>
  </si>
  <si>
    <t>Body &gt; Frame &gt; Rocker Panel Cover &gt; Cover</t>
  </si>
  <si>
    <t>1.77600 kg</t>
  </si>
  <si>
    <t>1.8694736842105263157894736842 kg</t>
  </si>
  <si>
    <t>Body &gt; Frame &gt; Rocker Panel Cover &gt; Cover &gt; Automated Process</t>
  </si>
  <si>
    <t>00000004I7CVEU01 (AutoReverse)</t>
  </si>
  <si>
    <t>Body &gt; Frame &gt; Rocker Panel Cover &gt; Cover Right if Different</t>
  </si>
  <si>
    <t>1.75500 kg</t>
  </si>
  <si>
    <t>1.8473684210526315789473684211 kg</t>
  </si>
  <si>
    <t>Body &gt; Frame &gt; Rocker Panel Cover &gt; Cover Right if Different &gt; Automated Process</t>
  </si>
  <si>
    <t>0000000A90ILEU01 (AutoReverse)</t>
  </si>
  <si>
    <t>00000007YYS5EU01 (AutoReverse)</t>
  </si>
  <si>
    <t>Body &gt; Frame &gt; Water Box   Draining System</t>
  </si>
  <si>
    <t>Body &gt; Frame &gt; Water Box   Draining System &gt; Water Drainage Ducts</t>
  </si>
  <si>
    <t>Body &gt; Frame &gt; Water Box   Draining System &gt; Water Drainage Ducts &gt; Trunk</t>
  </si>
  <si>
    <t>0.0031578947368421052631578947 kg</t>
  </si>
  <si>
    <t>Body &gt; Frame &gt; Water Box   Draining System &gt; Water Drainage Ducts &gt; Trunk &gt; Automated Process</t>
  </si>
  <si>
    <t>0000000AJFG3EU01 (AutoReverse)</t>
  </si>
  <si>
    <t>000000026OKGEU01 (AutoReverse)</t>
  </si>
  <si>
    <t>Body &gt; Frame &gt; Water Box   Draining System &gt; Left Side and Right if Similar</t>
  </si>
  <si>
    <t>0.06300 kg</t>
  </si>
  <si>
    <t>0.0663157894736842105263157895 kg</t>
  </si>
  <si>
    <t>Body &gt; Frame &gt; Water Box   Draining System &gt; Left Side and Right if Similar &gt; Automated Process</t>
  </si>
  <si>
    <t>00000001UENQEU01 (AutoReverse)</t>
  </si>
  <si>
    <t>Body &gt; Frame &gt; Water Box   Draining System &gt; Right Side</t>
  </si>
  <si>
    <t>0.0642105263157894736842105263 kg</t>
  </si>
  <si>
    <t>Body &gt; Frame &gt; Water Box   Draining System &gt; Right Side &gt; Automated Process</t>
  </si>
  <si>
    <t>00000005QHN3EU01 (AutoReverse)</t>
  </si>
  <si>
    <t>00000008C4UBEU01 (AutoReverse)</t>
  </si>
  <si>
    <t>Body &gt; Frame &gt; Windshields Windows</t>
  </si>
  <si>
    <t>Body &gt; Frame &gt; Windshields Windows &gt; Side Windows Quarter Glass</t>
  </si>
  <si>
    <t>Body &gt; Frame &gt; Windshields Windows &gt; Side Windows Quarter Glass &gt; Rear</t>
  </si>
  <si>
    <t>Body &gt; Frame &gt; Windshields Windows &gt; Side Windows Quarter Glass &gt; Rear &gt; Window</t>
  </si>
  <si>
    <t>1.89800 kg</t>
  </si>
  <si>
    <t>2.3725 kg</t>
  </si>
  <si>
    <t>Body &gt; Frame &gt; Windshields Windows &gt; Side Windows Quarter Glass &gt; Rear &gt; Window &gt; Automated Process</t>
  </si>
  <si>
    <t>GLASS;ALUMINIUM;PVC</t>
  </si>
  <si>
    <t>00000008ZZVZEU01 (AutoReverse)</t>
  </si>
  <si>
    <t>Body &gt; Frame &gt; Windshields Windows &gt; Side Windows Quarter Glass &gt; Rear &gt; Left Bezel</t>
  </si>
  <si>
    <t>0.13200 kg</t>
  </si>
  <si>
    <t>0.165 kg</t>
  </si>
  <si>
    <t>Body &gt; Frame &gt; Windshields Windows &gt; Side Windows Quarter Glass &gt; Rear &gt; Left Bezel &gt; Automated Process</t>
  </si>
  <si>
    <t xml:space="preserve">Stamping, painting
</t>
  </si>
  <si>
    <t>00000002EVFKEU01 (AutoReverse)</t>
  </si>
  <si>
    <t>Body &gt; Frame &gt; Windshields Windows &gt; Side Windows Quarter Glass &gt; Rear &gt; Rear Seal on Glass</t>
  </si>
  <si>
    <t>0.1192857142857142857142857143 kg</t>
  </si>
  <si>
    <t>Body &gt; Frame &gt; Windshields Windows &gt; Side Windows Quarter Glass &gt; Rear &gt; Rear Seal on Glass &gt; Automated Process</t>
  </si>
  <si>
    <t>0.0878947368421052631578947368 kg</t>
  </si>
  <si>
    <t>A000002B9JS6EU01 (AutoReverse)</t>
  </si>
  <si>
    <t>00000009O0NWEU01 (AutoReverse)</t>
  </si>
  <si>
    <t>0000000722AMEU01 (AutoReverse)</t>
  </si>
  <si>
    <t>Body &gt; Frame &gt; Windshields Windows &gt; Windshield System</t>
  </si>
  <si>
    <t>Body &gt; Frame &gt; Windshields Windows &gt; Windshield System &gt; Seal</t>
  </si>
  <si>
    <t>Body &gt; Frame &gt; Windshields Windows &gt; Windshield System &gt; Seal &gt; Lower seal</t>
  </si>
  <si>
    <t>0.03167 kg</t>
  </si>
  <si>
    <t>0.0395875 kg</t>
  </si>
  <si>
    <t>Body &gt; Frame &gt; Windshields Windows &gt; Windshield System &gt; Seal &gt; Lower seal &gt; Automated Process</t>
  </si>
  <si>
    <t>0.0333368421052631578947368421 kg</t>
  </si>
  <si>
    <t xml:space="preserve">Stamping;Mix,Extrude,Vulcanize,Cool and Trim
</t>
  </si>
  <si>
    <t>ALUMINIUM;PP;TPE</t>
  </si>
  <si>
    <t>00000008ZA98EU01 (AutoReverse)</t>
  </si>
  <si>
    <t>Body &gt; Frame &gt; Windshields Windows &gt; Windshield System &gt; Seal &gt; Upper seal</t>
  </si>
  <si>
    <t>0.05500 kg</t>
  </si>
  <si>
    <t>0.0578947368421052631578947368 kg</t>
  </si>
  <si>
    <t>Body &gt; Frame &gt; Windshields Windows &gt; Windshield System &gt; Seal &gt; Upper seal &gt; Automated Process</t>
  </si>
  <si>
    <t>0000000AADF9EU01 (AutoReverse)</t>
  </si>
  <si>
    <t>0000000632WWEU01 (AutoReverse)</t>
  </si>
  <si>
    <t>Body &gt; Frame &gt; Windshields Windows &gt; Windshield System &gt; Windshield</t>
  </si>
  <si>
    <t>Body &gt; Frame &gt; Windshields Windows &gt; Windshield System &gt; Windshield &gt; Glas Panel</t>
  </si>
  <si>
    <t>4.48526 kg</t>
  </si>
  <si>
    <t>4.7213263157894736842105263158 kg</t>
  </si>
  <si>
    <t>Body &gt; Frame &gt; Windshields Windows &gt; Windshield System &gt; Windshield &gt; Glas Panel &gt; Automated Process</t>
  </si>
  <si>
    <t xml:space="preserve">EPDM; 
Mix,Extrude,Vulcanize,Cool and Trim
</t>
  </si>
  <si>
    <t>PC/ABS
Injection plastic</t>
  </si>
  <si>
    <t>00000003ICWNEU01 (AutoReverse)</t>
  </si>
  <si>
    <t>00000008JC0CEU01 (AutoReverse)</t>
  </si>
  <si>
    <t>Body &gt; Frame &gt; Windshields Windows &gt; Panoramic Roof</t>
  </si>
  <si>
    <t>Body &gt; Frame &gt; Windshields Windows &gt; Panoramic Roof &gt; Roof Glass</t>
  </si>
  <si>
    <t>Body &gt; Frame &gt; Windshields Windows &gt; Panoramic Roof &gt; Roof Glass &gt; Automated Process</t>
  </si>
  <si>
    <t>Melting 2 layers, Pouring 2 layers, Cool and Annealing 2 layers, Cut Glass to Form 2 layers, Grind edges 2 layers, Print black frit 2 layers, Frit Paint, Mould glass layers 2, PVB layer app</t>
  </si>
  <si>
    <t>00000004EMEIEU01 (AutoReverse)</t>
  </si>
  <si>
    <t>Body &gt; Frame &gt; Windshields Windows &gt; Panoramic Roof &gt; Front Seal</t>
  </si>
  <si>
    <t>0.08400 kg</t>
  </si>
  <si>
    <t>0.0884210526315789473684210526 kg</t>
  </si>
  <si>
    <t>Body &gt; Frame &gt; Windshields Windows &gt; Panoramic Roof &gt; Front Seal &gt; Automated Process</t>
  </si>
  <si>
    <t>TPV</t>
  </si>
  <si>
    <t>00000008YIYSEU01 (AutoReverse)</t>
  </si>
  <si>
    <t>Body &gt; Frame &gt; Windshields Windows &gt; Panoramic Roof &gt; Rear seal</t>
  </si>
  <si>
    <t>Body &gt; Frame &gt; Windshields Windows &gt; Panoramic Roof &gt; Rear seal &gt; Automated Process</t>
  </si>
  <si>
    <t>000000048AC1EU01 (AutoReverse)</t>
  </si>
  <si>
    <t>00000009Q1HTEU01 (AutoReverse)</t>
  </si>
  <si>
    <t>Body &gt; Frame &gt; Windshields Windows &gt; Rear Window</t>
  </si>
  <si>
    <t>Body &gt; Frame &gt; Windshields Windows &gt; Rear Window &gt; Automated Process</t>
  </si>
  <si>
    <t>GLASS;ELECTRONIC COMPONENT</t>
  </si>
  <si>
    <t>00000009SJZ2EU01 (AutoReverse)</t>
  </si>
  <si>
    <t>Body &gt; Frame &gt; Windshields Windows &gt; Rear Window Seal</t>
  </si>
  <si>
    <t>0.0536842105263157894736842105 kg</t>
  </si>
  <si>
    <t>Body &gt; Frame &gt; Windshields Windows &gt; Rear Window Seal &gt; Automated Process</t>
  </si>
  <si>
    <t>00000005IJZOEU01 (AutoReverse)</t>
  </si>
  <si>
    <t>Body &gt; Frame &gt; Windshields Windows &gt; 2nd Rear Window Seal</t>
  </si>
  <si>
    <t>Body &gt; Frame &gt; Windshields Windows &gt; 2nd Rear Window Seal &gt; Automated Process</t>
  </si>
  <si>
    <t>00000000287FEU01 (AutoReverse)</t>
  </si>
  <si>
    <t>00000008CRKJEU01 (AutoReverse)</t>
  </si>
  <si>
    <t>Body &gt; Frame &gt; Aerodynamic Shield</t>
  </si>
  <si>
    <t>Body &gt; Frame &gt; Aerodynamic Shield &gt; Shield Under Front Bumper System</t>
  </si>
  <si>
    <t>Body &gt; Frame &gt; Aerodynamic Shield &gt; Shield Under Front Bumper System &gt; Main Shield</t>
  </si>
  <si>
    <t>2.62200 kg</t>
  </si>
  <si>
    <t>2.76 kg</t>
  </si>
  <si>
    <t>Body &gt; Frame &gt; Aerodynamic Shield &gt; Shield Under Front Bumper System &gt; Main Shield &gt; Automated Process</t>
  </si>
  <si>
    <t>00000002C1N5EU01 (AutoReverse)</t>
  </si>
  <si>
    <t>00000009P9AIEU01 (AutoReverse)</t>
  </si>
  <si>
    <t>Body &gt; Frame &gt; Aerodynamic Shield &gt; Front Behind the Front Axle</t>
  </si>
  <si>
    <t>1.25400 kg</t>
  </si>
  <si>
    <t>1.32 kg</t>
  </si>
  <si>
    <t>Body &gt; Frame &gt; Aerodynamic Shield &gt; Front Behind the Front Axle &gt; Automated Process</t>
  </si>
  <si>
    <t>00000004B0M9EU01 (AutoReverse)</t>
  </si>
  <si>
    <t>Body &gt; Frame &gt; Aerodynamic Shield &gt; Middle Left</t>
  </si>
  <si>
    <t>0.31600 kg</t>
  </si>
  <si>
    <t>0.3326315789473684210526315789 kg</t>
  </si>
  <si>
    <t>Body &gt; Frame &gt; Aerodynamic Shield &gt; Middle Left &gt; Automated Process</t>
  </si>
  <si>
    <t>00000007CX9CEU01 (AutoReverse)</t>
  </si>
  <si>
    <t>Body &gt; Frame &gt; Aerodynamic Shield &gt; Middle Right</t>
  </si>
  <si>
    <t>0.25300 kg</t>
  </si>
  <si>
    <t>0.2663157894736842105263157895 kg</t>
  </si>
  <si>
    <t>Body &gt; Frame &gt; Aerodynamic Shield &gt; Middle Right &gt; Automated Process</t>
  </si>
  <si>
    <t>00000006CENDEU01 (AutoReverse)</t>
  </si>
  <si>
    <t>Body &gt; Frame &gt; Aerodynamic Shield &gt; Front the rear axle</t>
  </si>
  <si>
    <t>2.42700 kg</t>
  </si>
  <si>
    <t>2.5547368421052631578947368421 kg</t>
  </si>
  <si>
    <t>Body &gt; Frame &gt; Aerodynamic Shield &gt; Front the rear axle &gt; Automated Process</t>
  </si>
  <si>
    <t>000000ATJYE7EU02 (AutoReverse)</t>
  </si>
  <si>
    <t>Body &gt; Frame &gt; Aerodynamic Shield &gt; Rear Under Trunk</t>
  </si>
  <si>
    <t>1.71500 kg</t>
  </si>
  <si>
    <t>1.8052631578947368421052631579 kg</t>
  </si>
  <si>
    <t>Body &gt; Frame &gt; Aerodynamic Shield &gt; Rear Under Trunk &gt; Automated Process</t>
  </si>
  <si>
    <t>0000000AF1REEU01 (AutoReverse)</t>
  </si>
  <si>
    <t>Body &gt; Frame &gt; Aerodynamic Shield &gt; Support</t>
  </si>
  <si>
    <t>0.0642857142857142857142857143 kg</t>
  </si>
  <si>
    <t>Body &gt; Frame &gt; Aerodynamic Shield &gt; Support &gt; Automated Process</t>
  </si>
  <si>
    <t>00000009W45IEU01 (AutoReverse)</t>
  </si>
  <si>
    <t>Body &gt; Frame &gt; Aerodynamic Shield &gt; Support 2</t>
  </si>
  <si>
    <t>0.18600 kg</t>
  </si>
  <si>
    <t>0.2657142857142857142857142857 kg</t>
  </si>
  <si>
    <t>Body &gt; Frame &gt; Aerodynamic Shield &gt; Support 2 &gt; Automated Process</t>
  </si>
  <si>
    <t>000000090OVFEU01 (AutoReverse)</t>
  </si>
  <si>
    <t>Body &gt; Frame &gt; Aerodynamic Shield &gt; Support 3</t>
  </si>
  <si>
    <t>0.11700 kg</t>
  </si>
  <si>
    <t>0.1671428571428571428571428571 kg</t>
  </si>
  <si>
    <t>Body &gt; Frame &gt; Aerodynamic Shield &gt; Support 3 &gt; Automated Process</t>
  </si>
  <si>
    <t>00000004ME3HEU01 (AutoReverse)</t>
  </si>
  <si>
    <t>Body &gt; Frame &gt; Aerodynamic Shield &gt; Support 4</t>
  </si>
  <si>
    <t>0.11500 kg</t>
  </si>
  <si>
    <t>0.1642857142857142857142857143 kg</t>
  </si>
  <si>
    <t>Body &gt; Frame &gt; Aerodynamic Shield &gt; Support 4 &gt; Automated Process</t>
  </si>
  <si>
    <t>00000007X67LEU01 (AutoReverse)</t>
  </si>
  <si>
    <t>Body &gt; Frame &gt; Aerodynamic Shield &gt; Support 5</t>
  </si>
  <si>
    <t>0.0371428571428571428571428571 kg</t>
  </si>
  <si>
    <t>Body &gt; Frame &gt; Aerodynamic Shield &gt; Support 5 &gt; Automated Process</t>
  </si>
  <si>
    <t>00000008GGONEU01 (AutoReverse)</t>
  </si>
  <si>
    <t>Body &gt; Frame &gt; Aerodynamic Shield &gt; Support 6</t>
  </si>
  <si>
    <t>Body &gt; Frame &gt; Aerodynamic Shield &gt; Support 6 &gt; Automated Process</t>
  </si>
  <si>
    <t>00000005VVHMEU01 (AutoReverse)</t>
  </si>
  <si>
    <t>Body &gt; Frame &gt; Aerodynamic Shield &gt; Support 7</t>
  </si>
  <si>
    <t>0.05700 kg</t>
  </si>
  <si>
    <t>0.0814285714285714285714285714 kg</t>
  </si>
  <si>
    <t>Body &gt; Frame &gt; Aerodynamic Shield &gt; Support 7 &gt; Automated Process</t>
  </si>
  <si>
    <t>000000ATQW6SEU02 (AutoReverse)</t>
  </si>
  <si>
    <t>Body &gt; Frame &gt; Aerodynamic Shield &gt; Support 8</t>
  </si>
  <si>
    <t>0.0457142857142857142857142857 kg</t>
  </si>
  <si>
    <t>Body &gt; Frame &gt; Aerodynamic Shield &gt; Support 8 &gt; Automated Process</t>
  </si>
  <si>
    <t>A0000025BR94EU01 (AutoReverse)</t>
  </si>
  <si>
    <t>000000051AMNEU01 (AutoReverse)</t>
  </si>
  <si>
    <t>Body &gt; Frame &gt; Frontend Cooling</t>
  </si>
  <si>
    <t>000000068F6OEU01 (AutoReverse)</t>
  </si>
  <si>
    <t>Body &gt; Frame &gt; Frontend Cooling &gt; Upper Cross Member</t>
  </si>
  <si>
    <t>1.60000 kg</t>
  </si>
  <si>
    <t>1.7021276595744680851063829787 kg</t>
  </si>
  <si>
    <t>Body &gt; Frame &gt; Frontend Cooling &gt; Upper Cross Member &gt; Injection molding</t>
  </si>
  <si>
    <t>Opening: 3.15 s, Ejection: 0.35 s, Insert: 3.00 s, Closing: 5.73 s, Removal: 2.91 s, Cooling: 13.38 s, Injection: 2.47</t>
  </si>
  <si>
    <t>Body &gt; Frame &gt; Frontend Cooling &gt; Upper Cross Member &gt; Handling/Visual Inspection/Packaging</t>
  </si>
  <si>
    <t>00000005AEIBEU01 (AutoReverse)</t>
  </si>
  <si>
    <t>Body &gt; Frame &gt; Frontend Cooling &gt; Vertical Center Cross Member</t>
  </si>
  <si>
    <t>0.17400 kg</t>
  </si>
  <si>
    <t>0.2485714285714285714285714286 kg</t>
  </si>
  <si>
    <t>Body &gt; Frame &gt; Frontend Cooling &gt; Vertical Center Cross Member &gt; Stamping</t>
  </si>
  <si>
    <t>0000000APBCDEU01 (AutoReverse)</t>
  </si>
  <si>
    <t>Body &gt; Frame &gt; Frontend Cooling &gt; Upper Left and Right if Similar</t>
  </si>
  <si>
    <t>0.1957142857142857142857142857 kg</t>
  </si>
  <si>
    <t>Body &gt; Frame &gt; Frontend Cooling &gt; Upper Left and Right if Similar &gt; Stamping</t>
  </si>
  <si>
    <t>00000005FFPYEU01 (AutoReverse)</t>
  </si>
  <si>
    <t>Body &gt; Frame &gt; Frontend Cooling &gt; Upper Right</t>
  </si>
  <si>
    <t>Body &gt; Frame &gt; Frontend Cooling &gt; Upper Right &gt; Stamping</t>
  </si>
  <si>
    <t>00000002U8GXEU01 (AutoReverse)</t>
  </si>
  <si>
    <t>Body &gt; Frame &gt; Frontend Cooling &gt; Upper Cross Member Support</t>
  </si>
  <si>
    <t>0.3185714285714285714285714286 kg</t>
  </si>
  <si>
    <t>Body &gt; Frame &gt; Frontend Cooling &gt; Upper Cross Member Support &gt; Stamping</t>
  </si>
  <si>
    <t>000000011E5MEU01 (AutoReverse)</t>
  </si>
  <si>
    <t>Body &gt; Frame &gt; Frontend Cooling &gt; 2nd Upper Cross Member Support</t>
  </si>
  <si>
    <t>0.22400 kg</t>
  </si>
  <si>
    <t>0.32 kg</t>
  </si>
  <si>
    <t>Body &gt; Frame &gt; Frontend Cooling &gt; 2nd Upper Cross Member Support &gt; Stamping</t>
  </si>
  <si>
    <t>0000000ABM34EU01 (AutoReverse)</t>
  </si>
  <si>
    <t>00000006A3WAEU01 (AutoReverse)</t>
  </si>
  <si>
    <t>Body &gt; Frame &gt; Sound Insulation on Body</t>
  </si>
  <si>
    <t>Body &gt; Frame &gt; Sound Insulation on Body &gt; Sound Deadener</t>
  </si>
  <si>
    <t>Body &gt; Frame &gt; Sound Insulation on Body &gt; Sound Deadener &gt; After Paint</t>
  </si>
  <si>
    <t>ALUMINIUM;BITUMINEOUS</t>
  </si>
  <si>
    <t>000000051MBREU01 (AutoReverse)</t>
  </si>
  <si>
    <t>00000003KQ64EU01 (AutoReverse)</t>
  </si>
  <si>
    <t>BITUMINEOUS;ALUMINIUM</t>
  </si>
  <si>
    <t>000000040MLYEU01 (AutoReverse)</t>
  </si>
  <si>
    <t>00000009TF2KEU01 (AutoReverse)</t>
  </si>
  <si>
    <t>VISCOSE</t>
  </si>
  <si>
    <t>00000000T13IEU01 (AutoReverse)</t>
  </si>
  <si>
    <t>00000003S79XEU01 (AutoReverse)</t>
  </si>
  <si>
    <t>000000052JAMEU01 (AutoReverse)</t>
  </si>
  <si>
    <t>00000005J4QPEU01 (AutoReverse)</t>
  </si>
  <si>
    <t>000000016KSXEU01 (AutoReverse)</t>
  </si>
  <si>
    <t>00000005WDFZEU01 (AutoReverse)</t>
  </si>
  <si>
    <t>00000008MF1PEU01 (AutoReverse)</t>
  </si>
  <si>
    <t>00000000L8C6EU01 (AutoReverse)</t>
  </si>
  <si>
    <t>00000000S9PVEU01 (AutoReverse)</t>
  </si>
  <si>
    <t>0000000338F1EU01 (AutoReverse)</t>
  </si>
  <si>
    <t>00000001Y8TMEU01 (AutoReverse)</t>
  </si>
  <si>
    <t>Body &gt; Frame &gt; Body In White (With Paint)</t>
  </si>
  <si>
    <t>Body &gt; Frame &gt; Body In White (With Paint) &gt; Upper body</t>
  </si>
  <si>
    <t>Body &gt; Frame &gt; Body In White (With Paint) &gt; Upper body &gt; Roof assy</t>
  </si>
  <si>
    <t>Body &gt; Frame &gt; Body In White (With Paint) &gt; Upper body &gt; Roof assy &gt; Cross members</t>
  </si>
  <si>
    <t>Body &gt; Frame &gt; Body In White (With Paint) &gt; Upper body &gt; Roof assy &gt; Cross members &gt; Front cross member assy</t>
  </si>
  <si>
    <t>Body &gt; Frame &gt; Body In White (With Paint) &gt; Upper body &gt; Roof assy &gt; Cross members &gt; Front cross member assy &gt; Cross member</t>
  </si>
  <si>
    <t>Body &gt; Frame &gt; Body In White (With Paint) &gt; Upper body &gt; Roof assy &gt; Cross members &gt; Front cross member assy &gt; Cross member &gt; Part 01 (single/main)</t>
  </si>
  <si>
    <t>2.38400 kg</t>
  </si>
  <si>
    <t>3.9733333333333333333333333333 kg</t>
  </si>
  <si>
    <t>Body &gt; Frame &gt; Body In White (With Paint) &gt; Upper body &gt; Roof assy &gt; Cross members &gt; Front cross member assy &gt; Cross member &gt; Part 01 (single/main) &gt; MANUFACTURING  PROCESS</t>
  </si>
  <si>
    <t>BIW - [Mechanical Prod] [Purchased]</t>
  </si>
  <si>
    <t>000000080FF9EU01 (BodyInWhite)</t>
  </si>
  <si>
    <t>Body &gt; Frame &gt; Body In White (With Paint) &gt; Upper body &gt; Roof assy &gt; Cross members &gt; Front cross member assy &gt; Cross member &gt; Part 02</t>
  </si>
  <si>
    <t>2.49200 kg</t>
  </si>
  <si>
    <t>4.1533333333333333333333333333 kg</t>
  </si>
  <si>
    <t>Body &gt; Frame &gt; Body In White (With Paint) &gt; Upper body &gt; Roof assy &gt; Cross members &gt; Front cross member assy &gt; Cross member &gt; Part 02 &gt; MANUFACTURING  PROCESS</t>
  </si>
  <si>
    <t>00000005T0RLEU01 (BodyInWhite)</t>
  </si>
  <si>
    <t>00000001GBYPEU01 (BodyInWhite)</t>
  </si>
  <si>
    <t>Body &gt; Frame &gt; Body In White (With Paint) &gt; Upper body &gt; Roof assy &gt; Cross members &gt; Front cross member assy &gt; Reinforcements</t>
  </si>
  <si>
    <t>Body &gt; Frame &gt; Body In White (With Paint) &gt; Upper body &gt; Roof assy &gt; Cross members &gt; Front cross member assy &gt; Reinforcements &gt; Part 01 (single/main)</t>
  </si>
  <si>
    <t>0.25800 kg</t>
  </si>
  <si>
    <t>0.3969230769230769230769230769 kg</t>
  </si>
  <si>
    <t>Body &gt; Frame &gt; Body In White (With Paint) &gt; Upper body &gt; Roof assy &gt; Cross members &gt; Front cross member assy &gt; Reinforcements &gt; Part 01 (single/main) &gt; MANUFACTURING  PROCESS</t>
  </si>
  <si>
    <t>00000009BMM7EU01 (BodyInWhite)</t>
  </si>
  <si>
    <t>00000007EFVPEU01 (BodyInWhite)</t>
  </si>
  <si>
    <t>Body &gt; Frame &gt; Body In White (With Paint) &gt; Upper body &gt; Roof assy &gt; Cross members &gt; Front cross member assy &gt; Gussets</t>
  </si>
  <si>
    <t>Body &gt; Frame &gt; Body In White (With Paint) &gt; Upper body &gt; Roof assy &gt; Cross members &gt; Front cross member assy &gt; Gussets &gt; Part 01 (single/main)</t>
  </si>
  <si>
    <t>0.77900 kg</t>
  </si>
  <si>
    <t>1.1984615384615384615384615385 kg</t>
  </si>
  <si>
    <t>Body &gt; Frame &gt; Body In White (With Paint) &gt; Upper body &gt; Roof assy &gt; Cross members &gt; Front cross member assy &gt; Gussets &gt; Part 01 (single/main) &gt; MANUFACTURING  PROCESS</t>
  </si>
  <si>
    <t>000000047PT7EU01 (BodyInWhite)</t>
  </si>
  <si>
    <t>00000005M9UIEU01 (BodyInWhite)</t>
  </si>
  <si>
    <t>Body &gt; Frame &gt; Body In White (With Paint) &gt; Upper body &gt; Roof assy &gt; Cross members &gt; Front cross member assy &gt; Fixing parts</t>
  </si>
  <si>
    <t>Body &gt; Frame &gt; Body In White (With Paint) &gt; Upper body &gt; Roof assy &gt; Cross members &gt; Front cross member assy &gt; Fixing parts &gt; Part 01 (single/main)</t>
  </si>
  <si>
    <t>0.0846153846153846153846153846 kg</t>
  </si>
  <si>
    <t>Body &gt; Frame &gt; Body In White (With Paint) &gt; Upper body &gt; Roof assy &gt; Cross members &gt; Front cross member assy &gt; Fixing parts &gt; Part 01 (single/main) &gt; MANUFACTURING  PROCESS</t>
  </si>
  <si>
    <t>0000000517KUEU01 (BodyInWhite)</t>
  </si>
  <si>
    <t>0000000ALJKGEU01 (BodyInWhite)</t>
  </si>
  <si>
    <t>000000005NYLEU01 (BodyInWhite)</t>
  </si>
  <si>
    <t>Body &gt; Frame &gt; Body In White (With Paint) &gt; Upper body &gt; Roof assy &gt; Cross members &gt; Rear cross member assy</t>
  </si>
  <si>
    <t>Body &gt; Frame &gt; Body In White (With Paint) &gt; Upper body &gt; Roof assy &gt; Cross members &gt; Rear cross member assy &gt; Cross member</t>
  </si>
  <si>
    <t>Body &gt; Frame &gt; Body In White (With Paint) &gt; Upper body &gt; Roof assy &gt; Cross members &gt; Rear cross member assy &gt; Cross member &gt; Part 01 (single/main)</t>
  </si>
  <si>
    <t>0.98200 kg</t>
  </si>
  <si>
    <t>1.3093333333333333333333333333 kg</t>
  </si>
  <si>
    <t>Body &gt; Frame &gt; Body In White (With Paint) &gt; Upper body &gt; Roof assy &gt; Cross members &gt; Rear cross member assy &gt; Cross member &gt; Part 01 (single/main) &gt; MANUFACTURING  PROCESS</t>
  </si>
  <si>
    <t>000000028NIBEU01 (BodyInWhite)</t>
  </si>
  <si>
    <t>Body &gt; Frame &gt; Body In White (With Paint) &gt; Upper body &gt; Roof assy &gt; Cross members &gt; Rear cross member assy &gt; Cross member &gt; Part 02</t>
  </si>
  <si>
    <t>1.44000 kg</t>
  </si>
  <si>
    <t>1.92 kg</t>
  </si>
  <si>
    <t>Body &gt; Frame &gt; Body In White (With Paint) &gt; Upper body &gt; Roof assy &gt; Cross members &gt; Rear cross member assy &gt; Cross member &gt; Part 02 &gt; MANUFACTURING  PROCESS</t>
  </si>
  <si>
    <t>0000000654P6EU01 (BodyInWhite)</t>
  </si>
  <si>
    <t>0000000A9E5WEU01 (BodyInWhite)</t>
  </si>
  <si>
    <t>Body &gt; Frame &gt; Body In White (With Paint) &gt; Upper body &gt; Roof assy &gt; Cross members &gt; Rear cross member assy &gt; Gussets</t>
  </si>
  <si>
    <t>Body &gt; Frame &gt; Body In White (With Paint) &gt; Upper body &gt; Roof assy &gt; Cross members &gt; Rear cross member assy &gt; Gussets &gt; Part 01 (single/main)</t>
  </si>
  <si>
    <t>0.38100 kg</t>
  </si>
  <si>
    <t>0.5442857142857142857142857143 kg</t>
  </si>
  <si>
    <t>Body &gt; Frame &gt; Body In White (With Paint) &gt; Upper body &gt; Roof assy &gt; Cross members &gt; Rear cross member assy &gt; Gussets &gt; Part 01 (single/main) &gt; MANUFACTURING  PROCESS</t>
  </si>
  <si>
    <t>00000007Q3EOEU01 (BodyInWhite)</t>
  </si>
  <si>
    <t>000000014VLXEU01 (BodyInWhite)</t>
  </si>
  <si>
    <t>00000000JX8DEU01 (BodyInWhite)</t>
  </si>
  <si>
    <t>000000049LDREU01 (BodyInWhite)</t>
  </si>
  <si>
    <t>000000053YUZEU01 (BodyInWhite)</t>
  </si>
  <si>
    <t>Body &gt; Frame &gt; Body In White (With Paint) &gt; Upper body &gt; Cowl assy</t>
  </si>
  <si>
    <t>Body &gt; Frame &gt; Body In White (With Paint) &gt; Upper body &gt; Cowl assy &gt; Cowl member</t>
  </si>
  <si>
    <t>Body &gt; Frame &gt; Body In White (With Paint) &gt; Upper body &gt; Cowl assy &gt; Cowl member &gt; Member</t>
  </si>
  <si>
    <t>Body &gt; Frame &gt; Body In White (With Paint) &gt; Upper body &gt; Cowl assy &gt; Cowl member &gt; Member &gt; Part 01 (single/main)</t>
  </si>
  <si>
    <t>1.35000 kg</t>
  </si>
  <si>
    <t>2.25 kg</t>
  </si>
  <si>
    <t>Body &gt; Frame &gt; Body In White (With Paint) &gt; Upper body &gt; Cowl assy &gt; Cowl member &gt; Member &gt; Part 01 (single/main) &gt; MANUFACTURING  PROCESS</t>
  </si>
  <si>
    <t>0000000ABWKZEU01 (BodyInWhite)</t>
  </si>
  <si>
    <t>0000000ADYE0EU01 (BodyInWhite)</t>
  </si>
  <si>
    <t>Body &gt; Frame &gt; Body In White (With Paint) &gt; Upper body &gt; Cowl assy &gt; Cowl member &gt; Spacers</t>
  </si>
  <si>
    <t>Body &gt; Frame &gt; Body In White (With Paint) &gt; Upper body &gt; Cowl assy &gt; Cowl member &gt; Spacers &gt; Part 01 (single/main)</t>
  </si>
  <si>
    <t>0.0714285714285714285714285714 kg</t>
  </si>
  <si>
    <t>Body &gt; Frame &gt; Body In White (With Paint) &gt; Upper body &gt; Cowl assy &gt; Cowl member &gt; Spacers &gt; Part 01 (single/main) &gt; MANUFACTURING  PROCESS</t>
  </si>
  <si>
    <t>00000001C2NZEU01 (BodyInWhite)</t>
  </si>
  <si>
    <t>00000004D1AREU01 (BodyInWhite)</t>
  </si>
  <si>
    <t>Body &gt; Frame &gt; Body In White (With Paint) &gt; Upper body &gt; Cowl assy &gt; Cowl member &gt; Fixing parts</t>
  </si>
  <si>
    <t>Body &gt; Frame &gt; Body In White (With Paint) &gt; Upper body &gt; Cowl assy &gt; Cowl member &gt; Fixing parts &gt; Part 01 (single/main)</t>
  </si>
  <si>
    <t>0.5028571428571428571428571429 kg</t>
  </si>
  <si>
    <t>Body &gt; Frame &gt; Body In White (With Paint) &gt; Upper body &gt; Cowl assy &gt; Cowl member &gt; Fixing parts &gt; Part 01 (single/main) &gt; MANUFACTURING  PROCESS</t>
  </si>
  <si>
    <t>00000004VFYEEU01 (BodyInWhite)</t>
  </si>
  <si>
    <t>Body &gt; Frame &gt; Body In White (With Paint) &gt; Upper body &gt; Cowl assy &gt; Cowl member &gt; Fixing parts &gt; Part 02</t>
  </si>
  <si>
    <t>0.03000 kg</t>
  </si>
  <si>
    <t>0.0428571428571428571428571429 kg</t>
  </si>
  <si>
    <t>Body &gt; Frame &gt; Body In White (With Paint) &gt; Upper body &gt; Cowl assy &gt; Cowl member &gt; Fixing parts &gt; Part 02 &gt; MANUFACTURING  PROCESS</t>
  </si>
  <si>
    <t>00000003DOWXEU01 (BodyInWhite)</t>
  </si>
  <si>
    <t>Body &gt; Frame &gt; Body In White (With Paint) &gt; Upper body &gt; Cowl assy &gt; Cowl member &gt; Fixing parts &gt; Part 03</t>
  </si>
  <si>
    <t>0.0257142857142857142857142857 kg</t>
  </si>
  <si>
    <t>Body &gt; Frame &gt; Body In White (With Paint) &gt; Upper body &gt; Cowl assy &gt; Cowl member &gt; Fixing parts &gt; Part 03 &gt; MANUFACTURING  PROCESS</t>
  </si>
  <si>
    <t>00000000P46FEU01 (BodyInWhite)</t>
  </si>
  <si>
    <t>Body &gt; Frame &gt; Body In White (With Paint) &gt; Upper body &gt; Cowl assy &gt; Cowl member &gt; Fixing parts &gt; Part 04</t>
  </si>
  <si>
    <t>0.0628571428571428571428571429 kg</t>
  </si>
  <si>
    <t>Body &gt; Frame &gt; Body In White (With Paint) &gt; Upper body &gt; Cowl assy &gt; Cowl member &gt; Fixing parts &gt; Part 04 &gt; MANUFACTURING  PROCESS</t>
  </si>
  <si>
    <t>000000097F3WEU01 (BodyInWhite)</t>
  </si>
  <si>
    <t>0000000AIHCCEU01 (BodyInWhite)</t>
  </si>
  <si>
    <t>00000002PY0VEU01 (BodyInWhite)</t>
  </si>
  <si>
    <t>0000000A85QJEU01 (BodyInWhite)</t>
  </si>
  <si>
    <t>Body &gt; Frame &gt; Body In White (With Paint) &gt; Upper body &gt; Rear shelf panel assy</t>
  </si>
  <si>
    <t>Body &gt; Frame &gt; Body In White (With Paint) &gt; Upper body &gt; Rear shelf panel assy &gt; Shelf panel</t>
  </si>
  <si>
    <t>Body &gt; Frame &gt; Body In White (With Paint) &gt; Upper body &gt; Rear shelf panel assy &gt; Shelf panel &gt; Part 01 (single/main)</t>
  </si>
  <si>
    <t>1.40200 kg</t>
  </si>
  <si>
    <t>2.0028571428571428571428571429 kg</t>
  </si>
  <si>
    <t>Body &gt; Frame &gt; Body In White (With Paint) &gt; Upper body &gt; Rear shelf panel assy &gt; Shelf panel &gt; Part 01 (single/main) &gt; MANUFACTURING  PROCESS</t>
  </si>
  <si>
    <t>000000036ZN6EU01 (BodyInWhite)</t>
  </si>
  <si>
    <t>Body &gt; Frame &gt; Body In White (With Paint) &gt; Upper body &gt; Rear shelf panel assy &gt; Shelf panel &gt; Part 02</t>
  </si>
  <si>
    <t>0.51200 kg</t>
  </si>
  <si>
    <t>0.7876923076923076923076923077 kg</t>
  </si>
  <si>
    <t>Body &gt; Frame &gt; Body In White (With Paint) &gt; Upper body &gt; Rear shelf panel assy &gt; Shelf panel &gt; Part 02 &gt; MANUFACTURING  PROCESS</t>
  </si>
  <si>
    <t>00000004GMCCEU01 (BodyInWhite)</t>
  </si>
  <si>
    <t>0000000AMJ44EU01 (BodyInWhite)</t>
  </si>
  <si>
    <t>Body &gt; Frame &gt; Body In White (With Paint) &gt; Upper body &gt; Rear shelf panel assy &gt; Reinforcements</t>
  </si>
  <si>
    <t>Body &gt; Frame &gt; Body In White (With Paint) &gt; Upper body &gt; Rear shelf panel assy &gt; Reinforcements &gt; Part 01 (single/main)</t>
  </si>
  <si>
    <t>0.20875 kg</t>
  </si>
  <si>
    <t>Body &gt; Frame &gt; Body In White (With Paint) &gt; Upper body &gt; Rear shelf panel assy &gt; Reinforcements &gt; Part 01 (single/main) &gt; MANUFACTURING  PROCESS</t>
  </si>
  <si>
    <t>0000000A4O3WEU01 (BodyInWhite)</t>
  </si>
  <si>
    <t>Body &gt; Frame &gt; Body In White (With Paint) &gt; Upper body &gt; Rear shelf panel assy &gt; Reinforcements &gt; Part 02</t>
  </si>
  <si>
    <t>0.0630769230769230769230769231 kg</t>
  </si>
  <si>
    <t>Body &gt; Frame &gt; Body In White (With Paint) &gt; Upper body &gt; Rear shelf panel assy &gt; Reinforcements &gt; Part 02 &gt; MANUFACTURING  PROCESS</t>
  </si>
  <si>
    <t>00000002X0DPEU01 (BodyInWhite)</t>
  </si>
  <si>
    <t>Body &gt; Frame &gt; Body In White (With Paint) &gt; Upper body &gt; Rear shelf panel assy &gt; Reinforcements &gt; Part 03</t>
  </si>
  <si>
    <t>0.42 kg</t>
  </si>
  <si>
    <t>Body &gt; Frame &gt; Body In White (With Paint) &gt; Upper body &gt; Rear shelf panel assy &gt; Reinforcements &gt; Part 03 &gt; MANUFACTURING  PROCESS</t>
  </si>
  <si>
    <t>0000000A95XHEU01 (BodyInWhite)</t>
  </si>
  <si>
    <t>00000003TLUZEU01 (BodyInWhite)</t>
  </si>
  <si>
    <t>Body &gt; Frame &gt; Body In White (With Paint) &gt; Upper body &gt; Rear shelf panel assy &gt; Gussets</t>
  </si>
  <si>
    <t>Body &gt; Frame &gt; Body In White (With Paint) &gt; Upper body &gt; Rear shelf panel assy &gt; Gussets &gt; Part 01 (single/main)</t>
  </si>
  <si>
    <t>0.88600 kg</t>
  </si>
  <si>
    <t>1.4766666666666666666666666667 kg</t>
  </si>
  <si>
    <t>Body &gt; Frame &gt; Body In White (With Paint) &gt; Upper body &gt; Rear shelf panel assy &gt; Gussets &gt; Part 01 (single/main) &gt; MANUFACTURING  PROCESS</t>
  </si>
  <si>
    <t>00000000IDK8EU01 (BodyInWhite)</t>
  </si>
  <si>
    <t>00000000R3W1EU01 (BodyInWhite)</t>
  </si>
  <si>
    <t>Body &gt; Frame &gt; Body In White (With Paint) &gt; Upper body &gt; Rear shelf panel assy &gt; Front cross member</t>
  </si>
  <si>
    <t>Body &gt; Frame &gt; Body In White (With Paint) &gt; Upper body &gt; Rear shelf panel assy &gt; Front cross member &gt; Cross member</t>
  </si>
  <si>
    <t>Body &gt; Frame &gt; Body In White (With Paint) &gt; Upper body &gt; Rear shelf panel assy &gt; Front cross member &gt; Cross member &gt; Part 01 (single/main)</t>
  </si>
  <si>
    <t>0.53800 kg</t>
  </si>
  <si>
    <t>0.7685714285714285714285714286 kg</t>
  </si>
  <si>
    <t>Body &gt; Frame &gt; Body In White (With Paint) &gt; Upper body &gt; Rear shelf panel assy &gt; Front cross member &gt; Cross member &gt; Part 01 (single/main) &gt; MANUFACTURING  PROCESS</t>
  </si>
  <si>
    <t>00000003JG82EU01 (BodyInWhite)</t>
  </si>
  <si>
    <t>00000005HY4QEU01 (BodyInWhite)</t>
  </si>
  <si>
    <t>Body &gt; Frame &gt; Body In White (With Paint) &gt; Upper body &gt; Rear shelf panel assy &gt; Front cross member &gt; Reinforcements</t>
  </si>
  <si>
    <t>Body &gt; Frame &gt; Body In White (With Paint) &gt; Upper body &gt; Rear shelf panel assy &gt; Front cross member &gt; Reinforcements &gt; Part 01 (single/main)</t>
  </si>
  <si>
    <t>0.1285714285714285714285714286 kg</t>
  </si>
  <si>
    <t>Body &gt; Frame &gt; Body In White (With Paint) &gt; Upper body &gt; Rear shelf panel assy &gt; Front cross member &gt; Reinforcements &gt; Part 01 (single/main) &gt; MANUFACTURING  PROCESS</t>
  </si>
  <si>
    <t>0000000AXVASEU01 (BodyInWhite)</t>
  </si>
  <si>
    <t>000000088FP0EU01 (BodyInWhite)</t>
  </si>
  <si>
    <t>000000073V0YEU01 (BodyInWhite)</t>
  </si>
  <si>
    <t>Body &gt; Frame &gt; Body In White (With Paint) &gt; Upper body &gt; Rear shelf panel assy &gt; Rear cross member</t>
  </si>
  <si>
    <t>Body &gt; Frame &gt; Body In White (With Paint) &gt; Upper body &gt; Rear shelf panel assy &gt; Rear cross member &gt; Cross member</t>
  </si>
  <si>
    <t>Body &gt; Frame &gt; Body In White (With Paint) &gt; Upper body &gt; Rear shelf panel assy &gt; Rear cross member &gt; Cross member &gt; Part 01 (single/main)</t>
  </si>
  <si>
    <t>1.3 kg</t>
  </si>
  <si>
    <t>Body &gt; Frame &gt; Body In White (With Paint) &gt; Upper body &gt; Rear shelf panel assy &gt; Rear cross member &gt; Cross member &gt; Part 01 (single/main) &gt; MANUFACTURING  PROCESS</t>
  </si>
  <si>
    <t>00000006FBXVEU01 (BodyInWhite)</t>
  </si>
  <si>
    <t>00000009SZ17EU01 (BodyInWhite)</t>
  </si>
  <si>
    <t>00000008AP68EU01 (BodyInWhite)</t>
  </si>
  <si>
    <t>Body &gt; Frame &gt; Body In White (With Paint) &gt; Upper body &gt; Rear shelf panel assy &gt; Fixing parts</t>
  </si>
  <si>
    <t>Body &gt; Frame &gt; Body In White (With Paint) &gt; Upper body &gt; Rear shelf panel assy &gt; Fixing parts &gt; Part 01 (single/main)</t>
  </si>
  <si>
    <t>0.09600 kg</t>
  </si>
  <si>
    <t>0.1476923076923076923076923077 kg</t>
  </si>
  <si>
    <t>Body &gt; Frame &gt; Body In White (With Paint) &gt; Upper body &gt; Rear shelf panel assy &gt; Fixing parts &gt; Part 01 (single/main) &gt; MANUFACTURING  PROCESS</t>
  </si>
  <si>
    <t>00000002W9VGEU01 (BodyInWhite)</t>
  </si>
  <si>
    <t>Body &gt; Frame &gt; Body In White (With Paint) &gt; Upper body &gt; Rear shelf panel assy &gt; Fixing parts &gt; Part 02</t>
  </si>
  <si>
    <t>0.14125 kg</t>
  </si>
  <si>
    <t>Body &gt; Frame &gt; Body In White (With Paint) &gt; Upper body &gt; Rear shelf panel assy &gt; Fixing parts &gt; Part 02 &gt; MANUFACTURING  PROCESS</t>
  </si>
  <si>
    <t>00000001SLS1EU01 (BodyInWhite)</t>
  </si>
  <si>
    <t>Body &gt; Frame &gt; Body In White (With Paint) &gt; Upper body &gt; Rear shelf panel assy &gt; Fixing parts &gt; Part 03</t>
  </si>
  <si>
    <t>0.0675 kg</t>
  </si>
  <si>
    <t>Body &gt; Frame &gt; Body In White (With Paint) &gt; Upper body &gt; Rear shelf panel assy &gt; Fixing parts &gt; Part 03 &gt; MANUFACTURING  PROCESS</t>
  </si>
  <si>
    <t>00000004FB7GEU01 (BodyInWhite)</t>
  </si>
  <si>
    <t>Body &gt; Frame &gt; Body In White (With Paint) &gt; Upper body &gt; Rear shelf panel assy &gt; Fixing parts &gt; Part 04</t>
  </si>
  <si>
    <t>0.0175 kg</t>
  </si>
  <si>
    <t>Body &gt; Frame &gt; Body In White (With Paint) &gt; Upper body &gt; Rear shelf panel assy &gt; Fixing parts &gt; Part 04 &gt; MANUFACTURING  PROCESS</t>
  </si>
  <si>
    <t>00000000WFM9EU01 (BodyInWhite)</t>
  </si>
  <si>
    <t>00000000BJXHEU01 (BodyInWhite)</t>
  </si>
  <si>
    <t>00000009C54KEU01 (BodyInWhite)</t>
  </si>
  <si>
    <t>Body &gt; Frame &gt; Body In White (With Paint) &gt; Upper body &gt; Rear panel assy</t>
  </si>
  <si>
    <t>Body &gt; Frame &gt; Body In White (With Paint) &gt; Upper body &gt; Rear panel assy &gt; Outer panel</t>
  </si>
  <si>
    <t>Body &gt; Frame &gt; Body In White (With Paint) &gt; Upper body &gt; Rear panel assy &gt; Outer panel &gt; Part 01 (single/main)</t>
  </si>
  <si>
    <t>2.89400 kg</t>
  </si>
  <si>
    <t>3.8586666666666666666666666667 kg</t>
  </si>
  <si>
    <t>Body &gt; Frame &gt; Body In White (With Paint) &gt; Upper body &gt; Rear panel assy &gt; Outer panel &gt; Part 01 (single/main) &gt; MANUFACTURING  PROCESS</t>
  </si>
  <si>
    <t>00000009XUKGEU01 (BodyInWhite)</t>
  </si>
  <si>
    <t>00000000V5UVEU01 (BodyInWhite)</t>
  </si>
  <si>
    <t>Body &gt; Frame &gt; Body In White (With Paint) &gt; Upper body &gt; Rear panel assy &gt; Inner panel</t>
  </si>
  <si>
    <t>Body &gt; Frame &gt; Body In White (With Paint) &gt; Upper body &gt; Rear panel assy &gt; Inner panel &gt; Part 01 (single/main)</t>
  </si>
  <si>
    <t>0.95800 kg</t>
  </si>
  <si>
    <t>1.4738461538461538461538461538 kg</t>
  </si>
  <si>
    <t>Body &gt; Frame &gt; Body In White (With Paint) &gt; Upper body &gt; Rear panel assy &gt; Inner panel &gt; Part 01 (single/main) &gt; MANUFACTURING  PROCESS</t>
  </si>
  <si>
    <t>00000002QFJ5EU01 (BodyInWhite)</t>
  </si>
  <si>
    <t>Body &gt; Frame &gt; Body In White (With Paint) &gt; Upper body &gt; Rear panel assy &gt; Inner panel &gt; Part 02</t>
  </si>
  <si>
    <t>0.59100 kg</t>
  </si>
  <si>
    <t>0.9092307692307692307692307692 kg</t>
  </si>
  <si>
    <t>Body &gt; Frame &gt; Body In White (With Paint) &gt; Upper body &gt; Rear panel assy &gt; Inner panel &gt; Part 02 &gt; MANUFACTURING  PROCESS</t>
  </si>
  <si>
    <t>00000004943BEU01 (BodyInWhite)</t>
  </si>
  <si>
    <t>00000004KFZ4EU01 (BodyInWhite)</t>
  </si>
  <si>
    <t>Body &gt; Frame &gt; Body In White (With Paint) &gt; Upper body &gt; Rear panel assy &gt; Reinforcements</t>
  </si>
  <si>
    <t>Body &gt; Frame &gt; Body In White (With Paint) &gt; Upper body &gt; Rear panel assy &gt; Reinforcements &gt; Part 01 (single/main)</t>
  </si>
  <si>
    <t>0.24400 kg</t>
  </si>
  <si>
    <t>0.3485714285714285714285714286 kg</t>
  </si>
  <si>
    <t>Body &gt; Frame &gt; Body In White (With Paint) &gt; Upper body &gt; Rear panel assy &gt; Reinforcements &gt; Part 01 (single/main) &gt; MANUFACTURING  PROCESS</t>
  </si>
  <si>
    <t>000000010MXLEU01 (BodyInWhite)</t>
  </si>
  <si>
    <t>00000009NYJJEU01 (BodyInWhite)</t>
  </si>
  <si>
    <t>Body &gt; Frame &gt; Body In White (With Paint) &gt; Upper body &gt; Rear panel assy &gt; Fixing parts</t>
  </si>
  <si>
    <t>Body &gt; Frame &gt; Body In White (With Paint) &gt; Upper body &gt; Rear panel assy &gt; Fixing parts &gt; Part 01 (single/main)</t>
  </si>
  <si>
    <t>Body &gt; Frame &gt; Body In White (With Paint) &gt; Upper body &gt; Rear panel assy &gt; Fixing parts &gt; Part 01 (single/main) &gt; MANUFACTURING  PROCESS</t>
  </si>
  <si>
    <t>00000009Q4SGEU01 (BodyInWhite)</t>
  </si>
  <si>
    <t>Body &gt; Frame &gt; Body In White (With Paint) &gt; Upper body &gt; Rear panel assy &gt; Fixing parts &gt; Part 02</t>
  </si>
  <si>
    <t>0.0566666666666666666666666667 kg</t>
  </si>
  <si>
    <t>Body &gt; Frame &gt; Body In White (With Paint) &gt; Upper body &gt; Rear panel assy &gt; Fixing parts &gt; Part 02 &gt; MANUFACTURING  PROCESS</t>
  </si>
  <si>
    <t>00000008KW5WEU01 (BodyInWhite)</t>
  </si>
  <si>
    <t>000000010H1LEU01 (BodyInWhite)</t>
  </si>
  <si>
    <t>00000002A77EEU01 (BodyInWhite)</t>
  </si>
  <si>
    <t>Body &gt; Frame &gt; Body In White (With Paint) &gt; Upper body &gt; Body side assy</t>
  </si>
  <si>
    <t>Body &gt; Frame &gt; Body In White (With Paint) &gt; Upper body &gt; Body side assy &gt; Outer skin assy</t>
  </si>
  <si>
    <t>Body &gt; Frame &gt; Body In White (With Paint) &gt; Upper body &gt; Body side assy &gt; Outer skin assy &gt; Outer skin</t>
  </si>
  <si>
    <t>Body &gt; Frame &gt; Body In White (With Paint) &gt; Upper body &gt; Body side assy &gt; Outer skin assy &gt; Outer skin &gt; Part 01 (single/main/front)</t>
  </si>
  <si>
    <t>9.71300 kg</t>
  </si>
  <si>
    <t>27.751428571428571428571428571 kg</t>
  </si>
  <si>
    <t>Body &gt; Frame &gt; Body In White (With Paint) &gt; Upper body &gt; Body side assy &gt; Outer skin assy &gt; Outer skin &gt; Part 01 (single/main/front) &gt; MANUFACTURING  PROCESS</t>
  </si>
  <si>
    <t>BIW - [Mechanical Prod] [Internal]</t>
  </si>
  <si>
    <t>00000004OLH1EU01 (BodyInWhite)</t>
  </si>
  <si>
    <t>Body &gt; Frame &gt; Body In White (With Paint) &gt; Upper body &gt; Body side assy &gt; Outer skin assy &gt; Outer skin &gt; Part 02</t>
  </si>
  <si>
    <t>0.82700 kg</t>
  </si>
  <si>
    <t>1.654 kg</t>
  </si>
  <si>
    <t>Body &gt; Frame &gt; Body In White (With Paint) &gt; Upper body &gt; Body side assy &gt; Outer skin assy &gt; Outer skin &gt; Part 02 &gt; MANUFACTURING  PROCESS</t>
  </si>
  <si>
    <t>00000002VL3AEU01 (BodyInWhite)</t>
  </si>
  <si>
    <t>Body &gt; Frame &gt; Body In White (With Paint) &gt; Upper body &gt; Body side assy &gt; Outer skin assy &gt; Outer skin &gt; Part 03</t>
  </si>
  <si>
    <t>0.51900 kg</t>
  </si>
  <si>
    <t>0.9436363636363636363636363636 kg</t>
  </si>
  <si>
    <t>Body &gt; Frame &gt; Body In White (With Paint) &gt; Upper body &gt; Body side assy &gt; Outer skin assy &gt; Outer skin &gt; Part 03 &gt; MANUFACTURING  PROCESS</t>
  </si>
  <si>
    <t>00000008S6W3EU01 (BodyInWhite)</t>
  </si>
  <si>
    <t>00000007YOYEEU01 (BodyInWhite)</t>
  </si>
  <si>
    <t>Body &gt; Frame &gt; Body In White (With Paint) &gt; Upper body &gt; Body side assy &gt; Outer skin assy &gt; Rear gutter area</t>
  </si>
  <si>
    <t>Body &gt; Frame &gt; Body In White (With Paint) &gt; Upper body &gt; Body side assy &gt; Outer skin assy &gt; Rear gutter area &gt; Part 01 (single/main/upper)</t>
  </si>
  <si>
    <t>0.568 kg</t>
  </si>
  <si>
    <t>Body &gt; Frame &gt; Body In White (With Paint) &gt; Upper body &gt; Body side assy &gt; Outer skin assy &gt; Rear gutter area &gt; Part 01 (single/main/upper) &gt; MANUFACTURING  PROCESS</t>
  </si>
  <si>
    <t>00000001ISZ4EU01 (BodyInWhite)</t>
  </si>
  <si>
    <t>00000004IVPREU01 (BodyInWhite)</t>
  </si>
  <si>
    <t>Body &gt; Frame &gt; Body In White (With Paint) &gt; Upper body &gt; Body side assy &gt; Outer skin assy &gt; Reinforcements</t>
  </si>
  <si>
    <t>Body &gt; Frame &gt; Body In White (With Paint) &gt; Upper body &gt; Body side assy &gt; Outer skin assy &gt; Reinforcements &gt; Part 01 (single/main)</t>
  </si>
  <si>
    <t>0.188 kg</t>
  </si>
  <si>
    <t>Body &gt; Frame &gt; Body In White (With Paint) &gt; Upper body &gt; Body side assy &gt; Outer skin assy &gt; Reinforcements &gt; Part 01 (single/main) &gt; MANUFACTURING  PROCESS</t>
  </si>
  <si>
    <t>000000053AM3EU01 (BodyInWhite)</t>
  </si>
  <si>
    <t>0000000AVLCBEU01 (BodyInWhite)</t>
  </si>
  <si>
    <t>Body &gt; Frame &gt; Body In White (With Paint) &gt; Upper body &gt; Body side assy &gt; Outer skin assy &gt; Fixing parts</t>
  </si>
  <si>
    <t>Body &gt; Frame &gt; Body In White (With Paint) &gt; Upper body &gt; Body side assy &gt; Outer skin assy &gt; Fixing parts &gt; Part 01 (single/main)</t>
  </si>
  <si>
    <t>Body &gt; Frame &gt; Body In White (With Paint) &gt; Upper body &gt; Body side assy &gt; Outer skin assy &gt; Fixing parts &gt; Part 01 (single/main) &gt; MANUFACTURING  PROCESS</t>
  </si>
  <si>
    <t>00000004LA1VEU01 (BodyInWhite)</t>
  </si>
  <si>
    <t>Body &gt; Frame &gt; Body In White (With Paint) &gt; Upper body &gt; Body side assy &gt; Outer skin assy &gt; Fixing parts &gt; Part 02</t>
  </si>
  <si>
    <t>Body &gt; Frame &gt; Body In White (With Paint) &gt; Upper body &gt; Body side assy &gt; Outer skin assy &gt; Fixing parts &gt; Part 02 &gt; MANUFACTURING  PROCESS</t>
  </si>
  <si>
    <t>00000008NLLZEU01 (BodyInWhite)</t>
  </si>
  <si>
    <t>Body &gt; Frame &gt; Body In White (With Paint) &gt; Upper body &gt; Body side assy &gt; Outer skin assy &gt; Fixing parts &gt; Part 03</t>
  </si>
  <si>
    <t>0.372 kg</t>
  </si>
  <si>
    <t>Body &gt; Frame &gt; Body In White (With Paint) &gt; Upper body &gt; Body side assy &gt; Outer skin assy &gt; Fixing parts &gt; Part 03 &gt; MANUFACTURING  PROCESS</t>
  </si>
  <si>
    <t>00000003R2VLEU01 (BodyInWhite)</t>
  </si>
  <si>
    <t>Body &gt; Frame &gt; Body In White (With Paint) &gt; Upper body &gt; Body side assy &gt; Outer skin assy &gt; Fixing parts &gt; Part 04</t>
  </si>
  <si>
    <t>0.045 kg</t>
  </si>
  <si>
    <t>Body &gt; Frame &gt; Body In White (With Paint) &gt; Upper body &gt; Body side assy &gt; Outer skin assy &gt; Fixing parts &gt; Part 04 &gt; MANUFACTURING  PROCESS</t>
  </si>
  <si>
    <t>000000041I52EU01 (BodyInWhite)</t>
  </si>
  <si>
    <t>00000006LVDFEU01 (BodyInWhite)</t>
  </si>
  <si>
    <t>000000027XQLEU01 (BodyInWhite)</t>
  </si>
  <si>
    <t>Body &gt; Frame &gt; Body In White (With Paint) &gt; Upper body &gt; Body side assy &gt; Roof bow assy</t>
  </si>
  <si>
    <t>Body &gt; Frame &gt; Body In White (With Paint) &gt; Upper body &gt; Body side assy &gt; Roof bow assy &gt; Frame</t>
  </si>
  <si>
    <t>Body &gt; Frame &gt; Body In White (With Paint) &gt; Upper body &gt; Body side assy &gt; Roof bow assy &gt; Frame &gt; Part 01 (single/main/front)</t>
  </si>
  <si>
    <t>4.91200 kg</t>
  </si>
  <si>
    <t>8.930909090909090909090909091 kg</t>
  </si>
  <si>
    <t>Body &gt; Frame &gt; Body In White (With Paint) &gt; Upper body &gt; Body side assy &gt; Roof bow assy &gt; Frame &gt; Part 01 (single/main/front) &gt; MANUFACTURING  PROCESS</t>
  </si>
  <si>
    <t>000000070ADJEU01 (BodyInWhite)</t>
  </si>
  <si>
    <t>00000007EQTZEU01 (BodyInWhite)</t>
  </si>
  <si>
    <t>Body &gt; Frame &gt; Body In White (With Paint) &gt; Upper body &gt; Body side assy &gt; Roof bow assy &gt; Inner skin</t>
  </si>
  <si>
    <t>Body &gt; Frame &gt; Body In White (With Paint) &gt; Upper body &gt; Body side assy &gt; Roof bow assy &gt; Inner skin &gt; Part 01 (single/main/front)</t>
  </si>
  <si>
    <t>3.11900 kg</t>
  </si>
  <si>
    <t>5.6709090909090909090909090909 kg</t>
  </si>
  <si>
    <t>Body &gt; Frame &gt; Body In White (With Paint) &gt; Upper body &gt; Body side assy &gt; Roof bow assy &gt; Inner skin &gt; Part 01 (single/main/front) &gt; MANUFACTURING  PROCESS</t>
  </si>
  <si>
    <t>00000004TCNLEU01 (BodyInWhite)</t>
  </si>
  <si>
    <t>00000006BETPEU01 (BodyInWhite)</t>
  </si>
  <si>
    <t>Body &gt; Frame &gt; Body In White (With Paint) &gt; Upper body &gt; Body side assy &gt; Roof bow assy &gt; Fixing parts</t>
  </si>
  <si>
    <t>Body &gt; Frame &gt; Body In White (With Paint) &gt; Upper body &gt; Body side assy &gt; Roof bow assy &gt; Fixing parts &gt; Part 01 (single/main)</t>
  </si>
  <si>
    <t>Body &gt; Frame &gt; Body In White (With Paint) &gt; Upper body &gt; Body side assy &gt; Roof bow assy &gt; Fixing parts &gt; Part 01 (single/main) &gt; MANUFACTURING  PROCESS</t>
  </si>
  <si>
    <t>00000006FLMFEU01 (BodyInWhite)</t>
  </si>
  <si>
    <t>00000002QTC6EU01 (BodyInWhite)</t>
  </si>
  <si>
    <t>000000095D4JEU01 (BodyInWhite)</t>
  </si>
  <si>
    <t>Body &gt; Frame &gt; Body In White (With Paint) &gt; Upper body &gt; Body side assy &gt; A pillar outer frame</t>
  </si>
  <si>
    <t>Body &gt; Frame &gt; Body In White (With Paint) &gt; Upper body &gt; Body side assy &gt; A pillar outer frame &gt; Frame</t>
  </si>
  <si>
    <t>Body &gt; Frame &gt; Body In White (With Paint) &gt; Upper body &gt; Body side assy &gt; A pillar outer frame &gt; Frame &gt; Part 01 (single/main/upper)</t>
  </si>
  <si>
    <t>2.31100 kg</t>
  </si>
  <si>
    <t>4.622 kg</t>
  </si>
  <si>
    <t>Body &gt; Frame &gt; Body In White (With Paint) &gt; Upper body &gt; Body side assy &gt; A pillar outer frame &gt; Frame &gt; Part 01 (single/main/upper) &gt; MANUFACTURING  PROCESS</t>
  </si>
  <si>
    <t>0000000AIEYQEU01 (BodyInWhite)</t>
  </si>
  <si>
    <t>00000006QY5VEU01 (BodyInWhite)</t>
  </si>
  <si>
    <t>Body &gt; Frame &gt; Body In White (With Paint) &gt; Upper body &gt; Body side assy &gt; A pillar outer frame &gt; Reinforcements</t>
  </si>
  <si>
    <t>Body &gt; Frame &gt; Body In White (With Paint) &gt; Upper body &gt; Body side assy &gt; A pillar outer frame &gt; Reinforcements &gt; Part 01 (single/main)</t>
  </si>
  <si>
    <t>0.23100 kg</t>
  </si>
  <si>
    <t>0.3553846153846153846153846154 kg</t>
  </si>
  <si>
    <t>Body &gt; Frame &gt; Body In White (With Paint) &gt; Upper body &gt; Body side assy &gt; A pillar outer frame &gt; Reinforcements &gt; Part 01 (single/main) &gt; MANUFACTURING  PROCESS</t>
  </si>
  <si>
    <t>00000001U3QUEU01 (BodyInWhite)</t>
  </si>
  <si>
    <t>Body &gt; Frame &gt; Body In White (With Paint) &gt; Upper body &gt; Body side assy &gt; A pillar outer frame &gt; Reinforcements &gt; Part 02</t>
  </si>
  <si>
    <t>0.28 kg</t>
  </si>
  <si>
    <t>Body &gt; Frame &gt; Body In White (With Paint) &gt; Upper body &gt; Body side assy &gt; A pillar outer frame &gt; Reinforcements &gt; Part 02 &gt; MANUFACTURING  PROCESS</t>
  </si>
  <si>
    <t>00000004RL4YEU01 (BodyInWhite)</t>
  </si>
  <si>
    <t>00000001I79SEU01 (BodyInWhite)</t>
  </si>
  <si>
    <t>Body &gt; Frame &gt; Body In White (With Paint) &gt; Upper body &gt; Body side assy &gt; A pillar outer frame &gt; Fixing parts</t>
  </si>
  <si>
    <t>Body &gt; Frame &gt; Body In White (With Paint) &gt; Upper body &gt; Body side assy &gt; A pillar outer frame &gt; Fixing parts &gt; Part 01 (single/main)</t>
  </si>
  <si>
    <t>0.1485714285714285714285714286 kg</t>
  </si>
  <si>
    <t>Body &gt; Frame &gt; Body In White (With Paint) &gt; Upper body &gt; Body side assy &gt; A pillar outer frame &gt; Fixing parts &gt; Part 01 (single/main) &gt; MANUFACTURING  PROCESS</t>
  </si>
  <si>
    <t>000000054KNSEU01 (BodyInWhite)</t>
  </si>
  <si>
    <t>000000089JUHEU01 (BodyInWhite)</t>
  </si>
  <si>
    <t>00000009P14BEU01 (BodyInWhite)</t>
  </si>
  <si>
    <t>Body &gt; Frame &gt; Body In White (With Paint) &gt; Upper body &gt; Body side assy &gt; B pillar assy</t>
  </si>
  <si>
    <t>Body &gt; Frame &gt; Body In White (With Paint) &gt; Upper body &gt; Body side assy &gt; B pillar assy &gt; Frame</t>
  </si>
  <si>
    <t>Body &gt; Frame &gt; Body In White (With Paint) &gt; Upper body &gt; Body side assy &gt; B pillar assy &gt; Frame &gt; Part 01 (single/main/upper)</t>
  </si>
  <si>
    <t>4.05900 kg</t>
  </si>
  <si>
    <t>8.118 kg</t>
  </si>
  <si>
    <t>Body &gt; Frame &gt; Body In White (With Paint) &gt; Upper body &gt; Body side assy &gt; B pillar assy &gt; Frame &gt; Part 01 (single/main/upper) &gt; MANUFACTURING  PROCESS</t>
  </si>
  <si>
    <t>00000003LS2GEU01 (BodyInWhite)</t>
  </si>
  <si>
    <t>00000009EPHAEU01 (BodyInWhite)</t>
  </si>
  <si>
    <t>Body &gt; Frame &gt; Body In White (With Paint) &gt; Upper body &gt; Body side assy &gt; B pillar assy &gt; Inner skin</t>
  </si>
  <si>
    <t>Body &gt; Frame &gt; Body In White (With Paint) &gt; Upper body &gt; Body side assy &gt; B pillar assy &gt; Inner skin &gt; Part 01 (single/main/front)</t>
  </si>
  <si>
    <t>2.61200 kg</t>
  </si>
  <si>
    <t>4.7490909090909090909090909091 kg</t>
  </si>
  <si>
    <t>Body &gt; Frame &gt; Body In White (With Paint) &gt; Upper body &gt; Body side assy &gt; B pillar assy &gt; Inner skin &gt; Part 01 (single/main/front) &gt; MANUFACTURING  PROCESS</t>
  </si>
  <si>
    <t>00000005DKG2EU01 (BodyInWhite)</t>
  </si>
  <si>
    <t>00000005S4HUEU01 (BodyInWhite)</t>
  </si>
  <si>
    <t>Body &gt; Frame &gt; Body In White (With Paint) &gt; Upper body &gt; Body side assy &gt; B pillar assy &gt; Reinforcements</t>
  </si>
  <si>
    <t>Body &gt; Frame &gt; Body In White (With Paint) &gt; Upper body &gt; Body side assy &gt; B pillar assy &gt; Reinforcements &gt; Part 01 (single/main)</t>
  </si>
  <si>
    <t>0.324 kg</t>
  </si>
  <si>
    <t>Body &gt; Frame &gt; Body In White (With Paint) &gt; Upper body &gt; Body side assy &gt; B pillar assy &gt; Reinforcements &gt; Part 01 (single/main) &gt; MANUFACTURING  PROCESS</t>
  </si>
  <si>
    <t>00000006JJBOEU01 (BodyInWhite)</t>
  </si>
  <si>
    <t>Body &gt; Frame &gt; Body In White (With Paint) &gt; Upper body &gt; Body side assy &gt; B pillar assy &gt; Reinforcements &gt; Part 02</t>
  </si>
  <si>
    <t>Body &gt; Frame &gt; Body In White (With Paint) &gt; Upper body &gt; Body side assy &gt; B pillar assy &gt; Reinforcements &gt; Part 02 &gt; MANUFACTURING  PROCESS</t>
  </si>
  <si>
    <t>00000008Z4N2EU01 (BodyInWhite)</t>
  </si>
  <si>
    <t>000000098GDAEU01 (BodyInWhite)</t>
  </si>
  <si>
    <t>Body &gt; Frame &gt; Body In White (With Paint) &gt; Upper body &gt; Body side assy &gt; B pillar assy &gt; Fixing parts</t>
  </si>
  <si>
    <t>Body &gt; Frame &gt; Body In White (With Paint) &gt; Upper body &gt; Body side assy &gt; B pillar assy &gt; Fixing parts &gt; Part 01 (single/main)</t>
  </si>
  <si>
    <t>0.03900 kg</t>
  </si>
  <si>
    <t>0.04875 kg</t>
  </si>
  <si>
    <t>Body &gt; Frame &gt; Body In White (With Paint) &gt; Upper body &gt; Body side assy &gt; B pillar assy &gt; Fixing parts &gt; Part 01 (single/main) &gt; MANUFACTURING  PROCESS</t>
  </si>
  <si>
    <t>00000005PJ7TEU01 (BodyInWhite)</t>
  </si>
  <si>
    <t>Body &gt; Frame &gt; Body In White (With Paint) &gt; Upper body &gt; Body side assy &gt; B pillar assy &gt; Fixing parts &gt; Part 02</t>
  </si>
  <si>
    <t>0.046 kg</t>
  </si>
  <si>
    <t>Body &gt; Frame &gt; Body In White (With Paint) &gt; Upper body &gt; Body side assy &gt; B pillar assy &gt; Fixing parts &gt; Part 02 &gt; MANUFACTURING  PROCESS</t>
  </si>
  <si>
    <t>00000006N7H1EU01 (BodyInWhite)</t>
  </si>
  <si>
    <t>0000000623J6EU01 (BodyInWhite)</t>
  </si>
  <si>
    <t>00000006K1NDEU01 (BodyInWhite)</t>
  </si>
  <si>
    <t>Body &gt; Frame &gt; Body In White (With Paint) &gt; Upper body &gt; Body side assy &gt; C&amp;D pillar assy</t>
  </si>
  <si>
    <t>Body &gt; Frame &gt; Body In White (With Paint) &gt; Upper body &gt; Body side assy &gt; C&amp;D pillar assy &gt; Outer wheel shroud assy</t>
  </si>
  <si>
    <t>Body &gt; Frame &gt; Body In White (With Paint) &gt; Upper body &gt; Body side assy &gt; C&amp;D pillar assy &gt; Outer wheel shroud assy &gt; Part 01 (single/main/upper)</t>
  </si>
  <si>
    <t>2.13900 kg</t>
  </si>
  <si>
    <t>4.7533333333333333333333333333 kg</t>
  </si>
  <si>
    <t>Body &gt; Frame &gt; Body In White (With Paint) &gt; Upper body &gt; Body side assy &gt; C&amp;D pillar assy &gt; Outer wheel shroud assy &gt; Part 01 (single/main/upper) &gt; MANUFACTURING  PROCESS</t>
  </si>
  <si>
    <t>00000005KL1WEU01 (BodyInWhite)</t>
  </si>
  <si>
    <t>Body &gt; Frame &gt; Body In White (With Paint) &gt; Upper body &gt; Body side assy &gt; C&amp;D pillar assy &gt; Outer wheel shroud assy &gt; Part 02</t>
  </si>
  <si>
    <t>0.21700 kg</t>
  </si>
  <si>
    <t>0.434 kg</t>
  </si>
  <si>
    <t>Body &gt; Frame &gt; Body In White (With Paint) &gt; Upper body &gt; Body side assy &gt; C&amp;D pillar assy &gt; Outer wheel shroud assy &gt; Part 02 &gt; MANUFACTURING  PROCESS</t>
  </si>
  <si>
    <t>00000008L48TEU01 (BodyInWhite)</t>
  </si>
  <si>
    <t>Body &gt; Frame &gt; Body In White (With Paint) &gt; Upper body &gt; Body side assy &gt; C&amp;D pillar assy &gt; Outer wheel shroud assy &gt; Part 03</t>
  </si>
  <si>
    <t>0.2542857142857142857142857143 kg</t>
  </si>
  <si>
    <t>Body &gt; Frame &gt; Body In White (With Paint) &gt; Upper body &gt; Body side assy &gt; C&amp;D pillar assy &gt; Outer wheel shroud assy &gt; Part 03 &gt; MANUFACTURING  PROCESS</t>
  </si>
  <si>
    <t>00000008M7UUEU01 (BodyInWhite)</t>
  </si>
  <si>
    <t>00000004ELJFEU01 (BodyInWhite)</t>
  </si>
  <si>
    <t>Body &gt; Frame &gt; Body In White (With Paint) &gt; Upper body &gt; Body side assy &gt; C&amp;D pillar assy &gt; Frame</t>
  </si>
  <si>
    <t>Body &gt; Frame &gt; Body In White (With Paint) &gt; Upper body &gt; Body side assy &gt; C&amp;D pillar assy &gt; Frame &gt; Part 01 (single/main/upper)</t>
  </si>
  <si>
    <t>1.05200 kg</t>
  </si>
  <si>
    <t>1.5028571428571428571428571429 kg</t>
  </si>
  <si>
    <t>Body &gt; Frame &gt; Body In White (With Paint) &gt; Upper body &gt; Body side assy &gt; C&amp;D pillar assy &gt; Frame &gt; Part 01 (single/main/upper) &gt; MANUFACTURING  PROCESS</t>
  </si>
  <si>
    <t>00000008HCNKEU01 (BodyInWhite)</t>
  </si>
  <si>
    <t>Body &gt; Frame &gt; Body In White (With Paint) &gt; Upper body &gt; Body side assy &gt; C&amp;D pillar assy &gt; Frame &gt; Part 02</t>
  </si>
  <si>
    <t>0.47300 kg</t>
  </si>
  <si>
    <t>0.946 kg</t>
  </si>
  <si>
    <t>Body &gt; Frame &gt; Body In White (With Paint) &gt; Upper body &gt; Body side assy &gt; C&amp;D pillar assy &gt; Frame &gt; Part 02 &gt; MANUFACTURING  PROCESS</t>
  </si>
  <si>
    <t>00000001S1XSEU01 (BodyInWhite)</t>
  </si>
  <si>
    <t>Body &gt; Frame &gt; Body In White (With Paint) &gt; Upper body &gt; Body side assy &gt; C&amp;D pillar assy &gt; Frame &gt; Part 03</t>
  </si>
  <si>
    <t>1.66800 kg</t>
  </si>
  <si>
    <t>2.78 kg</t>
  </si>
  <si>
    <t>Body &gt; Frame &gt; Body In White (With Paint) &gt; Upper body &gt; Body side assy &gt; C&amp;D pillar assy &gt; Frame &gt; Part 03 &gt; MANUFACTURING  PROCESS</t>
  </si>
  <si>
    <t>0000000A5CTDEU01 (BodyInWhite)</t>
  </si>
  <si>
    <t>Body &gt; Frame &gt; Body In White (With Paint) &gt; Upper body &gt; Body side assy &gt; C&amp;D pillar assy &gt; Frame &gt; Part 04</t>
  </si>
  <si>
    <t>0.67700 kg</t>
  </si>
  <si>
    <t>1.2309090909090909090909090909 kg</t>
  </si>
  <si>
    <t>Body &gt; Frame &gt; Body In White (With Paint) &gt; Upper body &gt; Body side assy &gt; C&amp;D pillar assy &gt; Frame &gt; Part 04 &gt; MANUFACTURING  PROCESS</t>
  </si>
  <si>
    <t>00000008E3ADEU01 (BodyInWhite)</t>
  </si>
  <si>
    <t>00000001T8SREU01 (BodyInWhite)</t>
  </si>
  <si>
    <t>Body &gt; Frame &gt; Body In White (With Paint) &gt; Upper body &gt; Body side assy &gt; C&amp;D pillar assy &gt; Inner skin</t>
  </si>
  <si>
    <t>Body &gt; Frame &gt; Body In White (With Paint) &gt; Upper body &gt; Body side assy &gt; C&amp;D pillar assy &gt; Inner skin &gt; Part 01 (single/main/upper)</t>
  </si>
  <si>
    <t>1.36000 kg</t>
  </si>
  <si>
    <t>1.9428571428571428571428571429 kg</t>
  </si>
  <si>
    <t>Body &gt; Frame &gt; Body In White (With Paint) &gt; Upper body &gt; Body side assy &gt; C&amp;D pillar assy &gt; Inner skin &gt; Part 01 (single/main/upper) &gt; MANUFACTURING  PROCESS</t>
  </si>
  <si>
    <t>00000002QTNQEU01 (BodyInWhite)</t>
  </si>
  <si>
    <t>Body &gt; Frame &gt; Body In White (With Paint) &gt; Upper body &gt; Body side assy &gt; C&amp;D pillar assy &gt; Inner skin &gt; Part 02</t>
  </si>
  <si>
    <t>0.57500 kg</t>
  </si>
  <si>
    <t>0.8214285714285714285714285714 kg</t>
  </si>
  <si>
    <t>Body &gt; Frame &gt; Body In White (With Paint) &gt; Upper body &gt; Body side assy &gt; C&amp;D pillar assy &gt; Inner skin &gt; Part 02 &gt; MANUFACTURING  PROCESS</t>
  </si>
  <si>
    <t>00000002KLYFEU01 (BodyInWhite)</t>
  </si>
  <si>
    <t>Body &gt; Frame &gt; Body In White (With Paint) &gt; Upper body &gt; Body side assy &gt; C&amp;D pillar assy &gt; Inner skin &gt; Part 03</t>
  </si>
  <si>
    <t>1.50200 kg</t>
  </si>
  <si>
    <t>2.1457142857142857142857142857 kg</t>
  </si>
  <si>
    <t>Body &gt; Frame &gt; Body In White (With Paint) &gt; Upper body &gt; Body side assy &gt; C&amp;D pillar assy &gt; Inner skin &gt; Part 03 &gt; MANUFACTURING  PROCESS</t>
  </si>
  <si>
    <t>000000032MGIEU01 (BodyInWhite)</t>
  </si>
  <si>
    <t>Body &gt; Frame &gt; Body In White (With Paint) &gt; Upper body &gt; Body side assy &gt; C&amp;D pillar assy &gt; Inner skin &gt; Part 04</t>
  </si>
  <si>
    <t>1.05300 kg</t>
  </si>
  <si>
    <t>1.755 kg</t>
  </si>
  <si>
    <t>Body &gt; Frame &gt; Body In White (With Paint) &gt; Upper body &gt; Body side assy &gt; C&amp;D pillar assy &gt; Inner skin &gt; Part 04 &gt; MANUFACTURING  PROCESS</t>
  </si>
  <si>
    <t>00000002KIQOEU01 (BodyInWhite)</t>
  </si>
  <si>
    <t>00000002CTGIEU01 (BodyInWhite)</t>
  </si>
  <si>
    <t>Body &gt; Frame &gt; Body In White (With Paint) &gt; Upper body &gt; Body side assy &gt; C&amp;D pillar assy &gt; Reinforcements</t>
  </si>
  <si>
    <t>Body &gt; Frame &gt; Body In White (With Paint) &gt; Upper body &gt; Body side assy &gt; C&amp;D pillar assy &gt; Reinforcements &gt; Part 01 (single/main)</t>
  </si>
  <si>
    <t>0.33700 kg</t>
  </si>
  <si>
    <t>0.5184615384615384615384615385 kg</t>
  </si>
  <si>
    <t>Body &gt; Frame &gt; Body In White (With Paint) &gt; Upper body &gt; Body side assy &gt; C&amp;D pillar assy &gt; Reinforcements &gt; Part 01 (single/main) &gt; MANUFACTURING  PROCESS</t>
  </si>
  <si>
    <t>000000057XZ2EU01 (BodyInWhite)</t>
  </si>
  <si>
    <t>Body &gt; Frame &gt; Body In White (With Paint) &gt; Upper body &gt; Body side assy &gt; C&amp;D pillar assy &gt; Reinforcements &gt; Part 02</t>
  </si>
  <si>
    <t>0.0690909090909090909090909091 kg</t>
  </si>
  <si>
    <t>Body &gt; Frame &gt; Body In White (With Paint) &gt; Upper body &gt; Body side assy &gt; C&amp;D pillar assy &gt; Reinforcements &gt; Part 02 &gt; MANUFACTURING  PROCESS</t>
  </si>
  <si>
    <t>00000005R1IYEU01 (BodyInWhite)</t>
  </si>
  <si>
    <t>Body &gt; Frame &gt; Body In White (With Paint) &gt; Upper body &gt; Body side assy &gt; C&amp;D pillar assy &gt; Reinforcements &gt; Part 03</t>
  </si>
  <si>
    <t>0.26000 kg</t>
  </si>
  <si>
    <t>0.3714285714285714285714285714 kg</t>
  </si>
  <si>
    <t>Body &gt; Frame &gt; Body In White (With Paint) &gt; Upper body &gt; Body side assy &gt; C&amp;D pillar assy &gt; Reinforcements &gt; Part 03 &gt; MANUFACTURING  PROCESS</t>
  </si>
  <si>
    <t>00000009KI9BEU01 (BodyInWhite)</t>
  </si>
  <si>
    <t>Body &gt; Frame &gt; Body In White (With Paint) &gt; Upper body &gt; Body side assy &gt; C&amp;D pillar assy &gt; Reinforcements &gt; Part 04</t>
  </si>
  <si>
    <t>0.2783333333333333333333333333 kg</t>
  </si>
  <si>
    <t>Body &gt; Frame &gt; Body In White (With Paint) &gt; Upper body &gt; Body side assy &gt; C&amp;D pillar assy &gt; Reinforcements &gt; Part 04 &gt; MANUFACTURING  PROCESS</t>
  </si>
  <si>
    <t>000000055R4JEU01 (BodyInWhite)</t>
  </si>
  <si>
    <t>00000004ICLDEU01 (BodyInWhite)</t>
  </si>
  <si>
    <t>Body &gt; Frame &gt; Body In White (With Paint) &gt; Upper body &gt; Body side assy &gt; C&amp;D pillar assy &gt; Spacers</t>
  </si>
  <si>
    <t>Body &gt; Frame &gt; Body In White (With Paint) &gt; Upper body &gt; Body side assy &gt; C&amp;D pillar assy &gt; Spacers &gt; Part 01 (single/main)</t>
  </si>
  <si>
    <t>0.29375 kg</t>
  </si>
  <si>
    <t>Body &gt; Frame &gt; Body In White (With Paint) &gt; Upper body &gt; Body side assy &gt; C&amp;D pillar assy &gt; Spacers &gt; Part 01 (single/main) &gt; MANUFACTURING  PROCESS</t>
  </si>
  <si>
    <t>00000006EKMNEU01 (BodyInWhite)</t>
  </si>
  <si>
    <t>Body &gt; Frame &gt; Body In White (With Paint) &gt; Upper body &gt; Body side assy &gt; C&amp;D pillar assy &gt; Spacers &gt; Part 02</t>
  </si>
  <si>
    <t>0.05300 kg</t>
  </si>
  <si>
    <t>0.0706666666666666666666666667 kg</t>
  </si>
  <si>
    <t>Body &gt; Frame &gt; Body In White (With Paint) &gt; Upper body &gt; Body side assy &gt; C&amp;D pillar assy &gt; Spacers &gt; Part 02 &gt; MANUFACTURING  PROCESS</t>
  </si>
  <si>
    <t>00000002YDGLEU01 (BodyInWhite)</t>
  </si>
  <si>
    <t>Body &gt; Frame &gt; Body In White (With Paint) &gt; Upper body &gt; Body side assy &gt; C&amp;D pillar assy &gt; Spacers &gt; Part 03</t>
  </si>
  <si>
    <t>0.07100 kg</t>
  </si>
  <si>
    <t>0.0946666666666666666666666667 kg</t>
  </si>
  <si>
    <t>Body &gt; Frame &gt; Body In White (With Paint) &gt; Upper body &gt; Body side assy &gt; C&amp;D pillar assy &gt; Spacers &gt; Part 03 &gt; MANUFACTURING  PROCESS</t>
  </si>
  <si>
    <t>0000000AYI4LEU01 (BodyInWhite)</t>
  </si>
  <si>
    <t>00000007VSV8EU01 (BodyInWhite)</t>
  </si>
  <si>
    <t>Body &gt; Frame &gt; Body In White (With Paint) &gt; Upper body &gt; Body side assy &gt; C&amp;D pillar assy &gt; Fixing parts</t>
  </si>
  <si>
    <t>Body &gt; Frame &gt; Body In White (With Paint) &gt; Upper body &gt; Body side assy &gt; C&amp;D pillar assy &gt; Fixing parts &gt; Part 01 (single/main)</t>
  </si>
  <si>
    <t>Body &gt; Frame &gt; Body In White (With Paint) &gt; Upper body &gt; Body side assy &gt; C&amp;D pillar assy &gt; Fixing parts &gt; Part 01 (single/main) &gt; MANUFACTURING  PROCESS</t>
  </si>
  <si>
    <t>00000004QZ8LEU01 (BodyInWhite)</t>
  </si>
  <si>
    <t>Body &gt; Frame &gt; Body In White (With Paint) &gt; Upper body &gt; Body side assy &gt; C&amp;D pillar assy &gt; Fixing parts &gt; Part 02</t>
  </si>
  <si>
    <t>0.49900 kg</t>
  </si>
  <si>
    <t>0.998 kg</t>
  </si>
  <si>
    <t>Body &gt; Frame &gt; Body In White (With Paint) &gt; Upper body &gt; Body side assy &gt; C&amp;D pillar assy &gt; Fixing parts &gt; Part 02 &gt; MANUFACTURING  PROCESS</t>
  </si>
  <si>
    <t>00000007SH5MEU01 (BodyInWhite)</t>
  </si>
  <si>
    <t>Body &gt; Frame &gt; Body In White (With Paint) &gt; Upper body &gt; Body side assy &gt; C&amp;D pillar assy &gt; Fixing parts &gt; Part 03</t>
  </si>
  <si>
    <t>Body &gt; Frame &gt; Body In White (With Paint) &gt; Upper body &gt; Body side assy &gt; C&amp;D pillar assy &gt; Fixing parts &gt; Part 03 &gt; MANUFACTURING  PROCESS</t>
  </si>
  <si>
    <t>00000008GI9TEU01 (BodyInWhite)</t>
  </si>
  <si>
    <t>Body &gt; Frame &gt; Body In White (With Paint) &gt; Upper body &gt; Body side assy &gt; C&amp;D pillar assy &gt; Fixing parts &gt; Part 04</t>
  </si>
  <si>
    <t>0.32400 kg</t>
  </si>
  <si>
    <t>0.405 kg</t>
  </si>
  <si>
    <t>Body &gt; Frame &gt; Body In White (With Paint) &gt; Upper body &gt; Body side assy &gt; C&amp;D pillar assy &gt; Fixing parts &gt; Part 04 &gt; MANUFACTURING  PROCESS</t>
  </si>
  <si>
    <t>00000002JY0HEU01 (BodyInWhite)</t>
  </si>
  <si>
    <t>Body &gt; Frame &gt; Body In White (With Paint) &gt; Upper body &gt; Body side assy &gt; C&amp;D pillar assy &gt; Fixing parts &gt; Part 05</t>
  </si>
  <si>
    <t>Body &gt; Frame &gt; Body In White (With Paint) &gt; Upper body &gt; Body side assy &gt; C&amp;D pillar assy &gt; Fixing parts &gt; Part 05 &gt; MANUFACTURING  PROCESS</t>
  </si>
  <si>
    <t>000000027FO4EU01 (BodyInWhite)</t>
  </si>
  <si>
    <t>Body &gt; Frame &gt; Body In White (With Paint) &gt; Upper body &gt; Body side assy &gt; C&amp;D pillar assy &gt; Fixing parts &gt; Part 06</t>
  </si>
  <si>
    <t>0.01625 kg</t>
  </si>
  <si>
    <t>Body &gt; Frame &gt; Body In White (With Paint) &gt; Upper body &gt; Body side assy &gt; C&amp;D pillar assy &gt; Fixing parts &gt; Part 06 &gt; MANUFACTURING  PROCESS</t>
  </si>
  <si>
    <t>00000007OM2QEU01 (BodyInWhite)</t>
  </si>
  <si>
    <t>000000016H5LEU01 (BodyInWhite)</t>
  </si>
  <si>
    <t>00000009J72WEU01 (BodyInWhite)</t>
  </si>
  <si>
    <t>Body &gt; Frame &gt; Body In White (With Paint) &gt; Upper body &gt; Body side assy &gt; Outer shotgun assy</t>
  </si>
  <si>
    <t>Body &gt; Frame &gt; Body In White (With Paint) &gt; Upper body &gt; Body side assy &gt; Outer shotgun assy &gt; Frame</t>
  </si>
  <si>
    <t>Body &gt; Frame &gt; Body In White (With Paint) &gt; Upper body &gt; Body side assy &gt; Outer shotgun assy &gt; Frame &gt; Part 01 (single/main/front)</t>
  </si>
  <si>
    <t>1.89000 kg</t>
  </si>
  <si>
    <t>2.9076923076923076923076923077 kg</t>
  </si>
  <si>
    <t>Body &gt; Frame &gt; Body In White (With Paint) &gt; Upper body &gt; Body side assy &gt; Outer shotgun assy &gt; Frame &gt; Part 01 (single/main/front) &gt; MANUFACTURING  PROCESS</t>
  </si>
  <si>
    <t>0000000AURTWEU01 (BodyInWhite)</t>
  </si>
  <si>
    <t>00000008RJJZEU01 (BodyInWhite)</t>
  </si>
  <si>
    <t>Body &gt; Frame &gt; Body In White (With Paint) &gt; Upper body &gt; Body side assy &gt; Outer shotgun assy &gt; Reinforcements</t>
  </si>
  <si>
    <t>Body &gt; Frame &gt; Body In White (With Paint) &gt; Upper body &gt; Body side assy &gt; Outer shotgun assy &gt; Reinforcements &gt; Part 01 (single/main)</t>
  </si>
  <si>
    <t>0.1138461538461538461538461538 kg</t>
  </si>
  <si>
    <t>Body &gt; Frame &gt; Body In White (With Paint) &gt; Upper body &gt; Body side assy &gt; Outer shotgun assy &gt; Reinforcements &gt; Part 01 (single/main) &gt; MANUFACTURING  PROCESS</t>
  </si>
  <si>
    <t>00000002UPA8EU01 (BodyInWhite)</t>
  </si>
  <si>
    <t>0000000A8D52EU01 (BodyInWhite)</t>
  </si>
  <si>
    <t>Body &gt; Frame &gt; Body In White (With Paint) &gt; Upper body &gt; Body side assy &gt; Outer shotgun assy &gt; Fixing parts</t>
  </si>
  <si>
    <t>Body &gt; Frame &gt; Body In White (With Paint) &gt; Upper body &gt; Body side assy &gt; Outer shotgun assy &gt; Fixing parts &gt; Part 01 (single/main)</t>
  </si>
  <si>
    <t>0.33300 kg</t>
  </si>
  <si>
    <t>0.4757142857142857142857142857 kg</t>
  </si>
  <si>
    <t>Body &gt; Frame &gt; Body In White (With Paint) &gt; Upper body &gt; Body side assy &gt; Outer shotgun assy &gt; Fixing parts &gt; Part 01 (single/main) &gt; MANUFACTURING  PROCESS</t>
  </si>
  <si>
    <t>0000000278U4EU01 (BodyInWhite)</t>
  </si>
  <si>
    <t>Body &gt; Frame &gt; Body In White (With Paint) &gt; Upper body &gt; Body side assy &gt; Outer shotgun assy &gt; Fixing parts &gt; Part 02</t>
  </si>
  <si>
    <t>0.232 kg</t>
  </si>
  <si>
    <t>Body &gt; Frame &gt; Body In White (With Paint) &gt; Upper body &gt; Body side assy &gt; Outer shotgun assy &gt; Fixing parts &gt; Part 02 &gt; MANUFACTURING  PROCESS</t>
  </si>
  <si>
    <t>0000000AITSMEU01 (BodyInWhite)</t>
  </si>
  <si>
    <t>Body &gt; Frame &gt; Body In White (With Paint) &gt; Upper body &gt; Body side assy &gt; Outer shotgun assy &gt; Fixing parts &gt; Part 03</t>
  </si>
  <si>
    <t>0.23900 kg</t>
  </si>
  <si>
    <t>0.478 kg</t>
  </si>
  <si>
    <t>Body &gt; Frame &gt; Body In White (With Paint) &gt; Upper body &gt; Body side assy &gt; Outer shotgun assy &gt; Fixing parts &gt; Part 03 &gt; MANUFACTURING  PROCESS</t>
  </si>
  <si>
    <t>00000009G6TREU01 (BodyInWhite)</t>
  </si>
  <si>
    <t>Body &gt; Frame &gt; Body In White (With Paint) &gt; Upper body &gt; Body side assy &gt; Outer shotgun assy &gt; Fixing parts &gt; Part 04</t>
  </si>
  <si>
    <t>0.09 kg</t>
  </si>
  <si>
    <t>Body &gt; Frame &gt; Body In White (With Paint) &gt; Upper body &gt; Body side assy &gt; Outer shotgun assy &gt; Fixing parts &gt; Part 04 &gt; MANUFACTURING  PROCESS</t>
  </si>
  <si>
    <t>00000001HBTUEU01 (BodyInWhite)</t>
  </si>
  <si>
    <t>Body &gt; Frame &gt; Body In White (With Paint) &gt; Upper body &gt; Body side assy &gt; Outer shotgun assy &gt; Fixing parts &gt; Part 05</t>
  </si>
  <si>
    <t>0.0933333333333333333333333333 kg</t>
  </si>
  <si>
    <t>Body &gt; Frame &gt; Body In White (With Paint) &gt; Upper body &gt; Body side assy &gt; Outer shotgun assy &gt; Fixing parts &gt; Part 05 &gt; MANUFACTURING  PROCESS</t>
  </si>
  <si>
    <t>0000000157C9EU01 (BodyInWhite)</t>
  </si>
  <si>
    <t>Body &gt; Frame &gt; Body In White (With Paint) &gt; Upper body &gt; Body side assy &gt; Outer shotgun assy &gt; Fixing parts &gt; Part 06</t>
  </si>
  <si>
    <t>0.0615384615384615384615384615 kg</t>
  </si>
  <si>
    <t>Body &gt; Frame &gt; Body In White (With Paint) &gt; Upper body &gt; Body side assy &gt; Outer shotgun assy &gt; Fixing parts &gt; Part 06 &gt; MANUFACTURING  PROCESS</t>
  </si>
  <si>
    <t>00000007QNJ1EU01 (BodyInWhite)</t>
  </si>
  <si>
    <t>Body &gt; Frame &gt; Body In White (With Paint) &gt; Upper body &gt; Body side assy &gt; Outer shotgun assy &gt; Fixing parts &gt; Part 07</t>
  </si>
  <si>
    <t>0.0571428571428571428571428571 kg</t>
  </si>
  <si>
    <t>Body &gt; Frame &gt; Body In White (With Paint) &gt; Upper body &gt; Body side assy &gt; Outer shotgun assy &gt; Fixing parts &gt; Part 07 &gt; MANUFACTURING  PROCESS</t>
  </si>
  <si>
    <t>0000000AUXB6EU01 (BodyInWhite)</t>
  </si>
  <si>
    <t>00000005XWSGEU01 (BodyInWhite)</t>
  </si>
  <si>
    <t>000000025HR7EU01 (BodyInWhite)</t>
  </si>
  <si>
    <t>0000000AHOM5EU01 (BodyInWhite)</t>
  </si>
  <si>
    <t>00000001YU17EU01 (BodyInWhite)</t>
  </si>
  <si>
    <t>Body &gt; Frame &gt; Body In White (With Paint) &gt; Underbody</t>
  </si>
  <si>
    <t>Body &gt; Frame &gt; Body In White (With Paint) &gt; Underbody &gt; Front unit</t>
  </si>
  <si>
    <t>Body &gt; Frame &gt; Body In White (With Paint) &gt; Underbody &gt; Front unit &gt; Front wheel shroud assy</t>
  </si>
  <si>
    <t>Body &gt; Frame &gt; Body In White (With Paint) &gt; Underbody &gt; Front unit &gt; Front wheel shroud assy &gt; Inner shotgun assy</t>
  </si>
  <si>
    <t>Body &gt; Frame &gt; Body In White (With Paint) &gt; Underbody &gt; Front unit &gt; Front wheel shroud assy &gt; Inner shotgun assy &gt; Frame</t>
  </si>
  <si>
    <t>Body &gt; Frame &gt; Body In White (With Paint) &gt; Underbody &gt; Front unit &gt; Front wheel shroud assy &gt; Inner shotgun assy &gt; Frame &gt; Part 01 (single/main/upper)</t>
  </si>
  <si>
    <t>1.49400 kg</t>
  </si>
  <si>
    <t>2.49 kg</t>
  </si>
  <si>
    <t>Body &gt; Frame &gt; Body In White (With Paint) &gt; Underbody &gt; Front unit &gt; Front wheel shroud assy &gt; Inner shotgun assy &gt; Frame &gt; Part 01 (single/main/upper) &gt; MANUFACTURING  PROCESS</t>
  </si>
  <si>
    <t>00000006SU7YEU01 (BodyInWhite)</t>
  </si>
  <si>
    <t>Body &gt; Frame &gt; Body In White (With Paint) &gt; Underbody &gt; Front unit &gt; Front wheel shroud assy &gt; Inner shotgun assy &gt; Frame &gt; Part 02</t>
  </si>
  <si>
    <t>0.19200 kg</t>
  </si>
  <si>
    <t>0.2953846153846153846153846154 kg</t>
  </si>
  <si>
    <t>Body &gt; Frame &gt; Body In White (With Paint) &gt; Underbody &gt; Front unit &gt; Front wheel shroud assy &gt; Inner shotgun assy &gt; Frame &gt; Part 02 &gt; MANUFACTURING  PROCESS</t>
  </si>
  <si>
    <t>00000008GFE9EU01 (BodyInWhite)</t>
  </si>
  <si>
    <t>00000009VHG7EU01 (BodyInWhite)</t>
  </si>
  <si>
    <t>000000078OOGEU01 (BodyInWhite)</t>
  </si>
  <si>
    <t>Body &gt; Frame &gt; Body In White (With Paint) &gt; Underbody &gt; Front unit &gt; Front wheel shroud assy &gt; Shock absorber bowl assy</t>
  </si>
  <si>
    <t>Body &gt; Frame &gt; Body In White (With Paint) &gt; Underbody &gt; Front unit &gt; Front wheel shroud assy &gt; Shock absorber bowl assy &gt; Bowl</t>
  </si>
  <si>
    <t>Body &gt; Frame &gt; Body In White (With Paint) &gt; Underbody &gt; Front unit &gt; Front wheel shroud assy &gt; Shock absorber bowl assy &gt; Bowl &gt; Part 01 (single/main)</t>
  </si>
  <si>
    <t>4.39700 kg</t>
  </si>
  <si>
    <t>5.49625 kg</t>
  </si>
  <si>
    <t>Body &gt; Frame &gt; Body In White (With Paint) &gt; Underbody &gt; Front unit &gt; Front wheel shroud assy &gt; Shock absorber bowl assy &gt; Bowl &gt; Part 01 (single/main) &gt; MANUFACTURING  PROCESS</t>
  </si>
  <si>
    <t>00000009AMK3EU01 (BodyInWhite)</t>
  </si>
  <si>
    <t>00000009X0U9EU01 (BodyInWhite)</t>
  </si>
  <si>
    <t>00000005G82REU01 (BodyInWhite)</t>
  </si>
  <si>
    <t>000000075KEZEU01 (BodyInWhite)</t>
  </si>
  <si>
    <t>Body &gt; Frame &gt; Body In White (With Paint) &gt; Underbody &gt; Front unit &gt; Front side member assy</t>
  </si>
  <si>
    <t>Body &gt; Frame &gt; Body In White (With Paint) &gt; Underbody &gt; Front unit &gt; Front side member assy &gt; Frame</t>
  </si>
  <si>
    <t>Body &gt; Frame &gt; Body In White (With Paint) &gt; Underbody &gt; Front unit &gt; Front side member assy &gt; Frame &gt; Part 01 (main/single/front)</t>
  </si>
  <si>
    <t>2.29900 kg</t>
  </si>
  <si>
    <t>4.18 kg</t>
  </si>
  <si>
    <t>Body &gt; Frame &gt; Body In White (With Paint) &gt; Underbody &gt; Front unit &gt; Front side member assy &gt; Frame &gt; Part 01 (main/single/front) &gt; MANUFACTURING  PROCESS</t>
  </si>
  <si>
    <t>0000000AFA7CEU01 (BodyInWhite)</t>
  </si>
  <si>
    <t>Body &gt; Frame &gt; Body In White (With Paint) &gt; Underbody &gt; Front unit &gt; Front side member assy &gt; Frame &gt; Part 02</t>
  </si>
  <si>
    <t>2.92600 kg</t>
  </si>
  <si>
    <t>4.5015384615384615384615384615 kg</t>
  </si>
  <si>
    <t>Body &gt; Frame &gt; Body In White (With Paint) &gt; Underbody &gt; Front unit &gt; Front side member assy &gt; Frame &gt; Part 02 &gt; MANUFACTURING  PROCESS</t>
  </si>
  <si>
    <t>0000000A47YDEU01 (BodyInWhite)</t>
  </si>
  <si>
    <t>Body &gt; Frame &gt; Body In White (With Paint) &gt; Underbody &gt; Front unit &gt; Front side member assy &gt; Frame &gt; Part 03</t>
  </si>
  <si>
    <t>1.55600 kg</t>
  </si>
  <si>
    <t>2.3938461538461538461538461538 kg</t>
  </si>
  <si>
    <t>Body &gt; Frame &gt; Body In White (With Paint) &gt; Underbody &gt; Front unit &gt; Front side member assy &gt; Frame &gt; Part 03 &gt; MANUFACTURING  PROCESS</t>
  </si>
  <si>
    <t>0000000435VLEU01 (BodyInWhite)</t>
  </si>
  <si>
    <t>Body &gt; Frame &gt; Body In White (With Paint) &gt; Underbody &gt; Front unit &gt; Front side member assy &gt; Frame &gt; Part 04</t>
  </si>
  <si>
    <t>1.31000 kg</t>
  </si>
  <si>
    <t>1.6375 kg</t>
  </si>
  <si>
    <t>Body &gt; Frame &gt; Body In White (With Paint) &gt; Underbody &gt; Front unit &gt; Front side member assy &gt; Frame &gt; Part 04 &gt; MANUFACTURING  PROCESS</t>
  </si>
  <si>
    <t>0000000AFBLREU01 (BodyInWhite)</t>
  </si>
  <si>
    <t>00000009PD72EU01 (BodyInWhite)</t>
  </si>
  <si>
    <t>Body &gt; Frame &gt; Body In White (With Paint) &gt; Underbody &gt; Front unit &gt; Front side member assy &gt; Reinforcements</t>
  </si>
  <si>
    <t>Body &gt; Frame &gt; Body In White (With Paint) &gt; Underbody &gt; Front unit &gt; Front side member assy &gt; Reinforcements &gt; Part 01 (single/main)</t>
  </si>
  <si>
    <t>1.64800 kg</t>
  </si>
  <si>
    <t>2.7466666666666666666666666667 kg</t>
  </si>
  <si>
    <t>Body &gt; Frame &gt; Body In White (With Paint) &gt; Underbody &gt; Front unit &gt; Front side member assy &gt; Reinforcements &gt; Part 01 (single/main) &gt; MANUFACTURING  PROCESS</t>
  </si>
  <si>
    <t>000000021A6YEU01 (BodyInWhite)</t>
  </si>
  <si>
    <t>Body &gt; Frame &gt; Body In White (With Paint) &gt; Underbody &gt; Front unit &gt; Front side member assy &gt; Reinforcements &gt; Part 02</t>
  </si>
  <si>
    <t>0.0914285714285714285714285714 kg</t>
  </si>
  <si>
    <t>Body &gt; Frame &gt; Body In White (With Paint) &gt; Underbody &gt; Front unit &gt; Front side member assy &gt; Reinforcements &gt; Part 02 &gt; MANUFACTURING  PROCESS</t>
  </si>
  <si>
    <t>00000000FGVFEU01 (BodyInWhite)</t>
  </si>
  <si>
    <t>Body &gt; Frame &gt; Body In White (With Paint) &gt; Underbody &gt; Front unit &gt; Front side member assy &gt; Reinforcements &gt; Part 03</t>
  </si>
  <si>
    <t>0.0957142857142857142857142857 kg</t>
  </si>
  <si>
    <t>Body &gt; Frame &gt; Body In White (With Paint) &gt; Underbody &gt; Front unit &gt; Front side member assy &gt; Reinforcements &gt; Part 03 &gt; MANUFACTURING  PROCESS</t>
  </si>
  <si>
    <t>00000005OMR5EU01 (BodyInWhite)</t>
  </si>
  <si>
    <t>Body &gt; Frame &gt; Body In White (With Paint) &gt; Underbody &gt; Front unit &gt; Front side member assy &gt; Reinforcements &gt; Part 04</t>
  </si>
  <si>
    <t>0.34900 kg</t>
  </si>
  <si>
    <t>0.4653333333333333333333333333 kg</t>
  </si>
  <si>
    <t>Body &gt; Frame &gt; Body In White (With Paint) &gt; Underbody &gt; Front unit &gt; Front side member assy &gt; Reinforcements &gt; Part 04 &gt; MANUFACTURING  PROCESS</t>
  </si>
  <si>
    <t>00000009HVEKEU01 (BodyInWhite)</t>
  </si>
  <si>
    <t>Body &gt; Frame &gt; Body In White (With Paint) &gt; Underbody &gt; Front unit &gt; Front side member assy &gt; Reinforcements &gt; Part 05</t>
  </si>
  <si>
    <t>0.24300 kg</t>
  </si>
  <si>
    <t>0.3738461538461538461538461538 kg</t>
  </si>
  <si>
    <t>Body &gt; Frame &gt; Body In White (With Paint) &gt; Underbody &gt; Front unit &gt; Front side member assy &gt; Reinforcements &gt; Part 05 &gt; MANUFACTURING  PROCESS</t>
  </si>
  <si>
    <t>00000005DQNREU01 (BodyInWhite)</t>
  </si>
  <si>
    <t>Body &gt; Frame &gt; Body In White (With Paint) &gt; Underbody &gt; Front unit &gt; Front side member assy &gt; Reinforcements &gt; Part 06</t>
  </si>
  <si>
    <t>0.0826666666666666666666666667 kg</t>
  </si>
  <si>
    <t>Body &gt; Frame &gt; Body In White (With Paint) &gt; Underbody &gt; Front unit &gt; Front side member assy &gt; Reinforcements &gt; Part 06 &gt; MANUFACTURING  PROCESS</t>
  </si>
  <si>
    <t>00000001EAJDEU01 (BodyInWhite)</t>
  </si>
  <si>
    <t>Body &gt; Frame &gt; Body In White (With Paint) &gt; Underbody &gt; Front unit &gt; Front side member assy &gt; Reinforcements &gt; Part 07</t>
  </si>
  <si>
    <t>0.57200 kg</t>
  </si>
  <si>
    <t>0.9533333333333333333333333333 kg</t>
  </si>
  <si>
    <t>Body &gt; Frame &gt; Body In White (With Paint) &gt; Underbody &gt; Front unit &gt; Front side member assy &gt; Reinforcements &gt; Part 07 &gt; MANUFACTURING  PROCESS</t>
  </si>
  <si>
    <t>00000006KAQ1EU01 (BodyInWhite)</t>
  </si>
  <si>
    <t>Body &gt; Frame &gt; Body In White (With Paint) &gt; Underbody &gt; Front unit &gt; Front side member assy &gt; Reinforcements &gt; Part 08</t>
  </si>
  <si>
    <t>0.66600 kg</t>
  </si>
  <si>
    <t>1.0246153846153846153846153846 kg</t>
  </si>
  <si>
    <t>Body &gt; Frame &gt; Body In White (With Paint) &gt; Underbody &gt; Front unit &gt; Front side member assy &gt; Reinforcements &gt; Part 08 &gt; MANUFACTURING  PROCESS</t>
  </si>
  <si>
    <t>000000085RZ1EU01 (BodyInWhite)</t>
  </si>
  <si>
    <t>Body &gt; Frame &gt; Body In White (With Paint) &gt; Underbody &gt; Front unit &gt; Front side member assy &gt; Reinforcements &gt; Part 09</t>
  </si>
  <si>
    <t>0.16000 kg</t>
  </si>
  <si>
    <t>0.2666666666666666666666666667 kg</t>
  </si>
  <si>
    <t>Body &gt; Frame &gt; Body In White (With Paint) &gt; Underbody &gt; Front unit &gt; Front side member assy &gt; Reinforcements &gt; Part 09 &gt; MANUFACTURING  PROCESS</t>
  </si>
  <si>
    <t>00000005PIBYEU01 (BodyInWhite)</t>
  </si>
  <si>
    <t>Body &gt; Frame &gt; Body In White (With Paint) &gt; Underbody &gt; Front unit &gt; Front side member assy &gt; Reinforcements &gt; Part 10</t>
  </si>
  <si>
    <t>0.112 kg</t>
  </si>
  <si>
    <t>Body &gt; Frame &gt; Body In White (With Paint) &gt; Underbody &gt; Front unit &gt; Front side member assy &gt; Reinforcements &gt; Part 10 &gt; MANUFACTURING  PROCESS</t>
  </si>
  <si>
    <t>00000003NR3CEU01 (BodyInWhite)</t>
  </si>
  <si>
    <t>Body &gt; Frame &gt; Body In White (With Paint) &gt; Underbody &gt; Front unit &gt; Front side member assy &gt; Reinforcements &gt; Part 11</t>
  </si>
  <si>
    <t>0.10800 kg</t>
  </si>
  <si>
    <t>0.1542857142857142857142857143 kg</t>
  </si>
  <si>
    <t>Body &gt; Frame &gt; Body In White (With Paint) &gt; Underbody &gt; Front unit &gt; Front side member assy &gt; Reinforcements &gt; Part 11 &gt; MANUFACTURING  PROCESS</t>
  </si>
  <si>
    <t>00000007FTHMEU01 (BodyInWhite)</t>
  </si>
  <si>
    <t>Body &gt; Frame &gt; Body In White (With Paint) &gt; Underbody &gt; Front unit &gt; Front side member assy &gt; Reinforcements &gt; Part 12</t>
  </si>
  <si>
    <t>0.12500 kg</t>
  </si>
  <si>
    <t>0.1785714285714285714285714286 kg</t>
  </si>
  <si>
    <t>Body &gt; Frame &gt; Body In White (With Paint) &gt; Underbody &gt; Front unit &gt; Front side member assy &gt; Reinforcements &gt; Part 12 &gt; MANUFACTURING  PROCESS</t>
  </si>
  <si>
    <t>00000000TL55EU01 (BodyInWhite)</t>
  </si>
  <si>
    <t>00000007JP1TEU01 (BodyInWhite)</t>
  </si>
  <si>
    <t>Body &gt; Frame &gt; Body In White (With Paint) &gt; Underbody &gt; Front unit &gt; Front side member assy &gt; Other fixing parts</t>
  </si>
  <si>
    <t>Body &gt; Frame &gt; Body In White (With Paint) &gt; Underbody &gt; Front unit &gt; Front side member assy &gt; Other fixing parts &gt; Part 01 (single/main)</t>
  </si>
  <si>
    <t>0.27600 kg</t>
  </si>
  <si>
    <t>0.46 kg</t>
  </si>
  <si>
    <t>Body &gt; Frame &gt; Body In White (With Paint) &gt; Underbody &gt; Front unit &gt; Front side member assy &gt; Other fixing parts &gt; Part 01 (single/main) &gt; MANUFACTURING  PROCESS</t>
  </si>
  <si>
    <t>00000000CXHPEU01 (BodyInWhite)</t>
  </si>
  <si>
    <t>Body &gt; Frame &gt; Body In White (With Paint) &gt; Underbody &gt; Front unit &gt; Front side member assy &gt; Other fixing parts &gt; Part 02</t>
  </si>
  <si>
    <t>0.37200 kg</t>
  </si>
  <si>
    <t>0.5314285714285714285714285714 kg</t>
  </si>
  <si>
    <t>Body &gt; Frame &gt; Body In White (With Paint) &gt; Underbody &gt; Front unit &gt; Front side member assy &gt; Other fixing parts &gt; Part 02 &gt; MANUFACTURING  PROCESS</t>
  </si>
  <si>
    <t>00000008B2RBEU01 (BodyInWhite)</t>
  </si>
  <si>
    <t>Body &gt; Frame &gt; Body In White (With Paint) &gt; Underbody &gt; Front unit &gt; Front side member assy &gt; Other fixing parts &gt; Part 03</t>
  </si>
  <si>
    <t>0.036 kg</t>
  </si>
  <si>
    <t>Body &gt; Frame &gt; Body In White (With Paint) &gt; Underbody &gt; Front unit &gt; Front side member assy &gt; Other fixing parts &gt; Part 03 &gt; MANUFACTURING  PROCESS</t>
  </si>
  <si>
    <t>00000003MDZCEU01 (BodyInWhite)</t>
  </si>
  <si>
    <t>Body &gt; Frame &gt; Body In White (With Paint) &gt; Underbody &gt; Front unit &gt; Front side member assy &gt; Other fixing parts &gt; Part 04</t>
  </si>
  <si>
    <t>0.04125 kg</t>
  </si>
  <si>
    <t>Body &gt; Frame &gt; Body In White (With Paint) &gt; Underbody &gt; Front unit &gt; Front side member assy &gt; Other fixing parts &gt; Part 04 &gt; MANUFACTURING  PROCESS</t>
  </si>
  <si>
    <t>00000005FD0NEU01 (BodyInWhite)</t>
  </si>
  <si>
    <t>Body &gt; Frame &gt; Body In White (With Paint) &gt; Underbody &gt; Front unit &gt; Front side member assy &gt; Other fixing parts &gt; Part 05</t>
  </si>
  <si>
    <t>0.155 kg</t>
  </si>
  <si>
    <t>Body &gt; Frame &gt; Body In White (With Paint) &gt; Underbody &gt; Front unit &gt; Front side member assy &gt; Other fixing parts &gt; Part 05 &gt; MANUFACTURING  PROCESS</t>
  </si>
  <si>
    <t>000000057FUYEU01 (BodyInWhite)</t>
  </si>
  <si>
    <t>Body &gt; Frame &gt; Body In White (With Paint) &gt; Underbody &gt; Front unit &gt; Front side member assy &gt; Other fixing parts &gt; Part 06</t>
  </si>
  <si>
    <t>0.19500 kg</t>
  </si>
  <si>
    <t>0.2785714285714285714285714286 kg</t>
  </si>
  <si>
    <t>Body &gt; Frame &gt; Body In White (With Paint) &gt; Underbody &gt; Front unit &gt; Front side member assy &gt; Other fixing parts &gt; Part 06 &gt; MANUFACTURING  PROCESS</t>
  </si>
  <si>
    <t>0000000905P3EU01 (BodyInWhite)</t>
  </si>
  <si>
    <t>Body &gt; Frame &gt; Body In White (With Paint) &gt; Underbody &gt; Front unit &gt; Front side member assy &gt; Other fixing parts &gt; Part 07</t>
  </si>
  <si>
    <t>0.06600 kg</t>
  </si>
  <si>
    <t>0.0825 kg</t>
  </si>
  <si>
    <t>Body &gt; Frame &gt; Body In White (With Paint) &gt; Underbody &gt; Front unit &gt; Front side member assy &gt; Other fixing parts &gt; Part 07 &gt; MANUFACTURING  PROCESS</t>
  </si>
  <si>
    <t>000000004H4PEU01 (BodyInWhite)</t>
  </si>
  <si>
    <t>00000002O3PFEU01 (BodyInWhite)</t>
  </si>
  <si>
    <t>00000001W0D0EU01 (BodyInWhite)</t>
  </si>
  <si>
    <t>Body &gt; Frame &gt; Body In White (With Paint) &gt; Underbody &gt; Front unit &gt; Dash panel assy</t>
  </si>
  <si>
    <t>Body &gt; Frame &gt; Body In White (With Paint) &gt; Underbody &gt; Front unit &gt; Dash panel assy &gt; Dash panel</t>
  </si>
  <si>
    <t>Body &gt; Frame &gt; Body In White (With Paint) &gt; Underbody &gt; Front unit &gt; Dash panel assy &gt; Dash panel &gt; Part 01 (single/main/upper)</t>
  </si>
  <si>
    <t>3.69200 kg</t>
  </si>
  <si>
    <t>5.68 kg</t>
  </si>
  <si>
    <t>Body &gt; Frame &gt; Body In White (With Paint) &gt; Underbody &gt; Front unit &gt; Dash panel assy &gt; Dash panel &gt; Part 01 (single/main/upper) &gt; MANUFACTURING  PROCESS</t>
  </si>
  <si>
    <t>00000004K5KTEU01 (BodyInWhite)</t>
  </si>
  <si>
    <t>Body &gt; Frame &gt; Body In White (With Paint) &gt; Underbody &gt; Front unit &gt; Dash panel assy &gt; Dash panel &gt; Part 02 (lower)</t>
  </si>
  <si>
    <t>3.25800 kg</t>
  </si>
  <si>
    <t>5.43 kg</t>
  </si>
  <si>
    <t>Body &gt; Frame &gt; Body In White (With Paint) &gt; Underbody &gt; Front unit &gt; Dash panel assy &gt; Dash panel &gt; Part 02 (lower) &gt; MANUFACTURING  PROCESS</t>
  </si>
  <si>
    <t>00000006C40YEU01 (BodyInWhite)</t>
  </si>
  <si>
    <t>00000009YVKTEU01 (BodyInWhite)</t>
  </si>
  <si>
    <t>Body &gt; Frame &gt; Body In White (With Paint) &gt; Underbody &gt; Front unit &gt; Dash panel assy &gt; Reinforcements</t>
  </si>
  <si>
    <t>Body &gt; Frame &gt; Body In White (With Paint) &gt; Underbody &gt; Front unit &gt; Dash panel assy &gt; Reinforcements &gt; Part 01 (single/main)</t>
  </si>
  <si>
    <t>1.54300 kg</t>
  </si>
  <si>
    <t>2.5716666666666666666666666667 kg</t>
  </si>
  <si>
    <t>Body &gt; Frame &gt; Body In White (With Paint) &gt; Underbody &gt; Front unit &gt; Dash panel assy &gt; Reinforcements &gt; Part 01 (single/main) &gt; MANUFACTURING  PROCESS</t>
  </si>
  <si>
    <t>00000001GEIDEU01 (BodyInWhite)</t>
  </si>
  <si>
    <t>Body &gt; Frame &gt; Body In White (With Paint) &gt; Underbody &gt; Front unit &gt; Dash panel assy &gt; Reinforcements &gt; Part 02</t>
  </si>
  <si>
    <t>0.73000 kg</t>
  </si>
  <si>
    <t>1.1230769230769230769230769231 kg</t>
  </si>
  <si>
    <t>Body &gt; Frame &gt; Body In White (With Paint) &gt; Underbody &gt; Front unit &gt; Dash panel assy &gt; Reinforcements &gt; Part 02 &gt; MANUFACTURING  PROCESS</t>
  </si>
  <si>
    <t>000000000OVHEU01 (BodyInWhite)</t>
  </si>
  <si>
    <t>00000003Z9ZZEU01 (BodyInWhite)</t>
  </si>
  <si>
    <t>Body &gt; Frame &gt; Body In White (With Paint) &gt; Underbody &gt; Front unit &gt; Dash panel assy &gt; Cross member assy</t>
  </si>
  <si>
    <t>Body &gt; Frame &gt; Body In White (With Paint) &gt; Underbody &gt; Front unit &gt; Dash panel assy &gt; Cross member assy &gt; Cross member</t>
  </si>
  <si>
    <t>Body &gt; Frame &gt; Body In White (With Paint) &gt; Underbody &gt; Front unit &gt; Dash panel assy &gt; Cross member assy &gt; Cross member &gt; Part 01 (single/main)</t>
  </si>
  <si>
    <t>3.96600 kg</t>
  </si>
  <si>
    <t>6.1015384615384615384615384615 kg</t>
  </si>
  <si>
    <t>Body &gt; Frame &gt; Body In White (With Paint) &gt; Underbody &gt; Front unit &gt; Dash panel assy &gt; Cross member assy &gt; Cross member &gt; Part 01 (single/main) &gt; MANUFACTURING  PROCESS</t>
  </si>
  <si>
    <t>000000019C2TEU01 (BodyInWhite)</t>
  </si>
  <si>
    <t>0000000089SDEU01 (BodyInWhite)</t>
  </si>
  <si>
    <t>Body &gt; Frame &gt; Body In White (With Paint) &gt; Underbody &gt; Front unit &gt; Dash panel assy &gt; A-pillar gussets</t>
  </si>
  <si>
    <t>Body &gt; Frame &gt; Body In White (With Paint) &gt; Underbody &gt; Front unit &gt; Dash panel assy &gt; A-pillar gussets &gt; Part 01 (single/main)</t>
  </si>
  <si>
    <t>0.82100 kg</t>
  </si>
  <si>
    <t>1.3683333333333333333333333333 kg</t>
  </si>
  <si>
    <t>Body &gt; Frame &gt; Body In White (With Paint) &gt; Underbody &gt; Front unit &gt; Dash panel assy &gt; A-pillar gussets &gt; Part 01 (single/main) &gt; MANUFACTURING  PROCESS</t>
  </si>
  <si>
    <t>00000007XI9HEU01 (BodyInWhite)</t>
  </si>
  <si>
    <t>000000094OM4EU01 (BodyInWhite)</t>
  </si>
  <si>
    <t>Body &gt; Frame &gt; Body In White (With Paint) &gt; Underbody &gt; Front unit &gt; Dash panel assy &gt; Fixing parts</t>
  </si>
  <si>
    <t>Body &gt; Frame &gt; Body In White (With Paint) &gt; Underbody &gt; Front unit &gt; Dash panel assy &gt; Fixing parts &gt; Part 01 (single/main)</t>
  </si>
  <si>
    <t>0.176 kg</t>
  </si>
  <si>
    <t>Body &gt; Frame &gt; Body In White (With Paint) &gt; Underbody &gt; Front unit &gt; Dash panel assy &gt; Fixing parts &gt; Part 01 (single/main) &gt; MANUFACTURING  PROCESS</t>
  </si>
  <si>
    <t>00000004E5ZXEU01 (BodyInWhite)</t>
  </si>
  <si>
    <t>Body &gt; Frame &gt; Body In White (With Paint) &gt; Underbody &gt; Front unit &gt; Dash panel assy &gt; Fixing parts &gt; Part 02</t>
  </si>
  <si>
    <t>0.1371428571428571428571428571 kg</t>
  </si>
  <si>
    <t>Body &gt; Frame &gt; Body In White (With Paint) &gt; Underbody &gt; Front unit &gt; Dash panel assy &gt; Fixing parts &gt; Part 02 &gt; MANUFACTURING  PROCESS</t>
  </si>
  <si>
    <t>00000003RPVAEU01 (BodyInWhite)</t>
  </si>
  <si>
    <t>00000001Q5RDEU01 (BodyInWhite)</t>
  </si>
  <si>
    <t>0000000310M1EU01 (BodyInWhite)</t>
  </si>
  <si>
    <t>Body &gt; Frame &gt; Body In White (With Paint) &gt; Underbody &gt; Front unit &gt; A pillar inner skin</t>
  </si>
  <si>
    <t>Body &gt; Frame &gt; Body In White (With Paint) &gt; Underbody &gt; Front unit &gt; A pillar inner skin &gt; Inner skin</t>
  </si>
  <si>
    <t>Body &gt; Frame &gt; Body In White (With Paint) &gt; Underbody &gt; Front unit &gt; A pillar inner skin &gt; Inner skin &gt; Part 01 (single/main/front)</t>
  </si>
  <si>
    <t>2.62700 kg</t>
  </si>
  <si>
    <t>4.3783333333333333333333333333 kg</t>
  </si>
  <si>
    <t>Body &gt; Frame &gt; Body In White (With Paint) &gt; Underbody &gt; Front unit &gt; A pillar inner skin &gt; Inner skin &gt; Part 01 (single/main/front) &gt; MANUFACTURING  PROCESS</t>
  </si>
  <si>
    <t>00000003VI9IEU01 (BodyInWhite)</t>
  </si>
  <si>
    <t>Body &gt; Frame &gt; Body In White (With Paint) &gt; Underbody &gt; Front unit &gt; A pillar inner skin &gt; Inner skin &gt; Part 02</t>
  </si>
  <si>
    <t>0.26600 kg</t>
  </si>
  <si>
    <t>Body &gt; Frame &gt; Body In White (With Paint) &gt; Underbody &gt; Front unit &gt; A pillar inner skin &gt; Inner skin &gt; Part 02 &gt; MANUFACTURING  PROCESS</t>
  </si>
  <si>
    <t>000000087FGEEU01 (BodyInWhite)</t>
  </si>
  <si>
    <t>00000004FJSIEU01 (BodyInWhite)</t>
  </si>
  <si>
    <t>Body &gt; Frame &gt; Body In White (With Paint) &gt; Underbody &gt; Front unit &gt; A pillar inner skin &gt; Reinforcements</t>
  </si>
  <si>
    <t>Body &gt; Frame &gt; Body In White (With Paint) &gt; Underbody &gt; Front unit &gt; A pillar inner skin &gt; Reinforcements &gt; Part 01 (single/main)</t>
  </si>
  <si>
    <t>0.22800 kg</t>
  </si>
  <si>
    <t>0.3507692307692307692307692308 kg</t>
  </si>
  <si>
    <t>Body &gt; Frame &gt; Body In White (With Paint) &gt; Underbody &gt; Front unit &gt; A pillar inner skin &gt; Reinforcements &gt; Part 01 (single/main) &gt; MANUFACTURING  PROCESS</t>
  </si>
  <si>
    <t>000000026JU1EU01 (BodyInWhite)</t>
  </si>
  <si>
    <t>Body &gt; Frame &gt; Body In White (With Paint) &gt; Underbody &gt; Front unit &gt; A pillar inner skin &gt; Reinforcements &gt; Part 02</t>
  </si>
  <si>
    <t>0.35500 kg</t>
  </si>
  <si>
    <t>0.5461538461538461538461538462 kg</t>
  </si>
  <si>
    <t>Body &gt; Frame &gt; Body In White (With Paint) &gt; Underbody &gt; Front unit &gt; A pillar inner skin &gt; Reinforcements &gt; Part 02 &gt; MANUFACTURING  PROCESS</t>
  </si>
  <si>
    <t>00000003XR57EU01 (BodyInWhite)</t>
  </si>
  <si>
    <t>00000001I8H8EU01 (BodyInWhite)</t>
  </si>
  <si>
    <t>Body &gt; Frame &gt; Body In White (With Paint) &gt; Underbody &gt; Front unit &gt; A pillar inner skin &gt; Fixing parts</t>
  </si>
  <si>
    <t>Body &gt; Frame &gt; Body In White (With Paint) &gt; Underbody &gt; Front unit &gt; A pillar inner skin &gt; Fixing parts &gt; Part 01 (single/main)</t>
  </si>
  <si>
    <t>0.1985714285714285714285714286 kg</t>
  </si>
  <si>
    <t>Body &gt; Frame &gt; Body In White (With Paint) &gt; Underbody &gt; Front unit &gt; A pillar inner skin &gt; Fixing parts &gt; Part 01 (single/main) &gt; MANUFACTURING  PROCESS</t>
  </si>
  <si>
    <t>00000000ZPSNEU01 (BodyInWhite)</t>
  </si>
  <si>
    <t>Body &gt; Frame &gt; Body In White (With Paint) &gt; Underbody &gt; Front unit &gt; A pillar inner skin &gt; Fixing parts &gt; Part 02</t>
  </si>
  <si>
    <t>0.56000 kg</t>
  </si>
  <si>
    <t>0.9333333333333333333333333333 kg</t>
  </si>
  <si>
    <t>Body &gt; Frame &gt; Body In White (With Paint) &gt; Underbody &gt; Front unit &gt; A pillar inner skin &gt; Fixing parts &gt; Part 02 &gt; MANUFACTURING  PROCESS</t>
  </si>
  <si>
    <t>00000000BRYFEU01 (BodyInWhite)</t>
  </si>
  <si>
    <t>0000000AWYMJEU01 (BodyInWhite)</t>
  </si>
  <si>
    <t>00000005KX4XEU01 (BodyInWhite)</t>
  </si>
  <si>
    <t>Body &gt; Frame &gt; Body In White (With Paint) &gt; Underbody &gt; Front unit &gt; Load paths under dash panel</t>
  </si>
  <si>
    <t>Body &gt; Frame &gt; Body In White (With Paint) &gt; Underbody &gt; Front unit &gt; Load paths under dash panel &gt; Left area</t>
  </si>
  <si>
    <t>Body &gt; Frame &gt; Body In White (With Paint) &gt; Underbody &gt; Front unit &gt; Load paths under dash panel &gt; Left area &gt; Frame</t>
  </si>
  <si>
    <t>Body &gt; Frame &gt; Body In White (With Paint) &gt; Underbody &gt; Front unit &gt; Load paths under dash panel &gt; Left area &gt; Frame &gt; Part 01 (single/main)</t>
  </si>
  <si>
    <t>0.82000 kg</t>
  </si>
  <si>
    <t>1.3666666666666666666666666667 kg</t>
  </si>
  <si>
    <t>Body &gt; Frame &gt; Body In White (With Paint) &gt; Underbody &gt; Front unit &gt; Load paths under dash panel &gt; Left area &gt; Frame &gt; Part 01 (single/main) &gt; MANUFACTURING  PROCESS</t>
  </si>
  <si>
    <t>00000001XTF3EU01 (BodyInWhite)</t>
  </si>
  <si>
    <t>Body &gt; Frame &gt; Body In White (With Paint) &gt; Underbody &gt; Front unit &gt; Load paths under dash panel &gt; Left area &gt; Frame &gt; Part 02</t>
  </si>
  <si>
    <t>0.39200 kg</t>
  </si>
  <si>
    <t>0.56 kg</t>
  </si>
  <si>
    <t>Body &gt; Frame &gt; Body In White (With Paint) &gt; Underbody &gt; Front unit &gt; Load paths under dash panel &gt; Left area &gt; Frame &gt; Part 02 &gt; MANUFACTURING  PROCESS</t>
  </si>
  <si>
    <t>00000003W9LEEU01 (BodyInWhite)</t>
  </si>
  <si>
    <t>000000083YXQEU01 (BodyInWhite)</t>
  </si>
  <si>
    <t>Body &gt; Frame &gt; Body In White (With Paint) &gt; Underbody &gt; Front unit &gt; Load paths under dash panel &gt; Left area &gt; Reinforcements</t>
  </si>
  <si>
    <t>Body &gt; Frame &gt; Body In White (With Paint) &gt; Underbody &gt; Front unit &gt; Load paths under dash panel &gt; Left area &gt; Reinforcements &gt; Part 01 (single/main)</t>
  </si>
  <si>
    <t>0.14500 kg</t>
  </si>
  <si>
    <t>0.2230769230769230769230769231 kg</t>
  </si>
  <si>
    <t>Body &gt; Frame &gt; Body In White (With Paint) &gt; Underbody &gt; Front unit &gt; Load paths under dash panel &gt; Left area &gt; Reinforcements &gt; Part 01 (single/main) &gt; MANUFACTURING  PROCESS</t>
  </si>
  <si>
    <t>00000008GCC8EU01 (BodyInWhite)</t>
  </si>
  <si>
    <t>00000009ZDCUEU01 (BodyInWhite)</t>
  </si>
  <si>
    <t>Body &gt; Frame &gt; Body In White (With Paint) &gt; Underbody &gt; Front unit &gt; Load paths under dash panel &gt; Left area &gt; Fixing parts</t>
  </si>
  <si>
    <t>Body &gt; Frame &gt; Body In White (With Paint) &gt; Underbody &gt; Front unit &gt; Load paths under dash panel &gt; Left area &gt; Fixing parts &gt; Part 01 (single/main)</t>
  </si>
  <si>
    <t>0.20300 kg</t>
  </si>
  <si>
    <t>0.2706666666666666666666666667 kg</t>
  </si>
  <si>
    <t>Body &gt; Frame &gt; Body In White (With Paint) &gt; Underbody &gt; Front unit &gt; Load paths under dash panel &gt; Left area &gt; Fixing parts &gt; Part 01 (single/main) &gt; MANUFACTURING  PROCESS</t>
  </si>
  <si>
    <t>00000004VKM1EU01 (BodyInWhite)</t>
  </si>
  <si>
    <t>Body &gt; Frame &gt; Body In White (With Paint) &gt; Underbody &gt; Front unit &gt; Load paths under dash panel &gt; Left area &gt; Fixing parts &gt; Part 02</t>
  </si>
  <si>
    <t>Body &gt; Frame &gt; Body In White (With Paint) &gt; Underbody &gt; Front unit &gt; Load paths under dash panel &gt; Left area &gt; Fixing parts &gt; Part 02 &gt; MANUFACTURING  PROCESS</t>
  </si>
  <si>
    <t>00000003CS6IEU01 (BodyInWhite)</t>
  </si>
  <si>
    <t>Body &gt; Frame &gt; Body In White (With Paint) &gt; Underbody &gt; Front unit &gt; Load paths under dash panel &gt; Left area &gt; Fixing parts &gt; Part 03</t>
  </si>
  <si>
    <t>0.11900 kg</t>
  </si>
  <si>
    <t>0.14875 kg</t>
  </si>
  <si>
    <t>Body &gt; Frame &gt; Body In White (With Paint) &gt; Underbody &gt; Front unit &gt; Load paths under dash panel &gt; Left area &gt; Fixing parts &gt; Part 03 &gt; MANUFACTURING  PROCESS</t>
  </si>
  <si>
    <t>000000043OB5EU01 (BodyInWhite)</t>
  </si>
  <si>
    <t>00000003M292EU01 (BodyInWhite)</t>
  </si>
  <si>
    <t>00000009UPMIEU01 (BodyInWhite)</t>
  </si>
  <si>
    <t>000000073TGCEU01 (BodyInWhite)</t>
  </si>
  <si>
    <t>00000003VOJ9EU01 (BodyInWhite)</t>
  </si>
  <si>
    <t>Body &gt; Frame &gt; Body In White (With Paint) &gt; Underbody &gt; Central unit</t>
  </si>
  <si>
    <t>Body &gt; Frame &gt; Body In White (With Paint) &gt; Underbody &gt; Central unit &gt; Rocker inner frame</t>
  </si>
  <si>
    <t>Body &gt; Frame &gt; Body In White (With Paint) &gt; Underbody &gt; Central unit &gt; Rocker inner frame &gt; Frame</t>
  </si>
  <si>
    <t>Body &gt; Frame &gt; Body In White (With Paint) &gt; Underbody &gt; Central unit &gt; Rocker inner frame &gt; Frame &gt; Part 01 (single/main)</t>
  </si>
  <si>
    <t>15.86200 kg</t>
  </si>
  <si>
    <t>19.8275 kg</t>
  </si>
  <si>
    <t>Body &gt; Frame &gt; Body In White (With Paint) &gt; Underbody &gt; Central unit &gt; Rocker inner frame &gt; Frame &gt; Part 01 (single/main) &gt; MANUFACTURING  PROCESS</t>
  </si>
  <si>
    <t>00000002UYEKEU01 (BodyInWhite)</t>
  </si>
  <si>
    <t>000000004D7HEU01 (BodyInWhite)</t>
  </si>
  <si>
    <t>Body &gt; Frame &gt; Body In White (With Paint) &gt; Underbody &gt; Central unit &gt; Rocker inner frame &gt; Reinforcements</t>
  </si>
  <si>
    <t>Body &gt; Frame &gt; Body In White (With Paint) &gt; Underbody &gt; Central unit &gt; Rocker inner frame &gt; Reinforcements &gt; Part 01 (single/main)</t>
  </si>
  <si>
    <t>1.03800 kg</t>
  </si>
  <si>
    <t>1.2975 kg</t>
  </si>
  <si>
    <t>Body &gt; Frame &gt; Body In White (With Paint) &gt; Underbody &gt; Central unit &gt; Rocker inner frame &gt; Reinforcements &gt; Part 01 (single/main) &gt; MANUFACTURING  PROCESS</t>
  </si>
  <si>
    <t>00000000L4S2EU01 (BodyInWhite)</t>
  </si>
  <si>
    <t>Body &gt; Frame &gt; Body In White (With Paint) &gt; Underbody &gt; Central unit &gt; Rocker inner frame &gt; Reinforcements &gt; Part 02</t>
  </si>
  <si>
    <t>0.1142857142857142857142857143 kg</t>
  </si>
  <si>
    <t>Body &gt; Frame &gt; Body In White (With Paint) &gt; Underbody &gt; Central unit &gt; Rocker inner frame &gt; Reinforcements &gt; Part 02 &gt; MANUFACTURING  PROCESS</t>
  </si>
  <si>
    <t>000000082ZQAEU01 (BodyInWhite)</t>
  </si>
  <si>
    <t>Body &gt; Frame &gt; Body In White (With Paint) &gt; Underbody &gt; Central unit &gt; Rocker inner frame &gt; Reinforcements &gt; Part 03</t>
  </si>
  <si>
    <t>0.11625 kg</t>
  </si>
  <si>
    <t>Body &gt; Frame &gt; Body In White (With Paint) &gt; Underbody &gt; Central unit &gt; Rocker inner frame &gt; Reinforcements &gt; Part 03 &gt; MANUFACTURING  PROCESS</t>
  </si>
  <si>
    <t>0000000652KBEU01 (BodyInWhite)</t>
  </si>
  <si>
    <t>000000046Z6UEU01 (BodyInWhite)</t>
  </si>
  <si>
    <t>Body &gt; Frame &gt; Body In White (With Paint) &gt; Underbody &gt; Central unit &gt; Rocker inner frame &gt; Fixing parts</t>
  </si>
  <si>
    <t>Body &gt; Frame &gt; Body In White (With Paint) &gt; Underbody &gt; Central unit &gt; Rocker inner frame &gt; Fixing parts &gt; Part 01 (single/main)</t>
  </si>
  <si>
    <t>1.16200 kg</t>
  </si>
  <si>
    <t>1.9366666666666666666666666667 kg</t>
  </si>
  <si>
    <t>Body &gt; Frame &gt; Body In White (With Paint) &gt; Underbody &gt; Central unit &gt; Rocker inner frame &gt; Fixing parts &gt; Part 01 (single/main) &gt; MANUFACTURING  PROCESS</t>
  </si>
  <si>
    <t>00000007SSZ3EU01 (BodyInWhite)</t>
  </si>
  <si>
    <t>Body &gt; Frame &gt; Body In White (With Paint) &gt; Underbody &gt; Central unit &gt; Rocker inner frame &gt; Fixing parts &gt; Part 02</t>
  </si>
  <si>
    <t>0.15100 kg</t>
  </si>
  <si>
    <t>0.2745454545454545454545454545 kg</t>
  </si>
  <si>
    <t>Body &gt; Frame &gt; Body In White (With Paint) &gt; Underbody &gt; Central unit &gt; Rocker inner frame &gt; Fixing parts &gt; Part 02 &gt; MANUFACTURING  PROCESS</t>
  </si>
  <si>
    <t>00000007M636EU01 (BodyInWhite)</t>
  </si>
  <si>
    <t>Body &gt; Frame &gt; Body In White (With Paint) &gt; Underbody &gt; Central unit &gt; Rocker inner frame &gt; Fixing parts &gt; Part 03</t>
  </si>
  <si>
    <t>0.3381818181818181818181818182 kg</t>
  </si>
  <si>
    <t>Body &gt; Frame &gt; Body In White (With Paint) &gt; Underbody &gt; Central unit &gt; Rocker inner frame &gt; Fixing parts &gt; Part 03 &gt; MANUFACTURING  PROCESS</t>
  </si>
  <si>
    <t>00000008V4Z1EU01 (BodyInWhite)</t>
  </si>
  <si>
    <t>Body &gt; Frame &gt; Body In White (With Paint) &gt; Underbody &gt; Central unit &gt; Rocker inner frame &gt; Fixing parts &gt; Part 04</t>
  </si>
  <si>
    <t>0.4575 kg</t>
  </si>
  <si>
    <t>Body &gt; Frame &gt; Body In White (With Paint) &gt; Underbody &gt; Central unit &gt; Rocker inner frame &gt; Fixing parts &gt; Part 04 &gt; MANUFACTURING  PROCESS</t>
  </si>
  <si>
    <t>0000000AEX6IEU01 (BodyInWhite)</t>
  </si>
  <si>
    <t>Body &gt; Frame &gt; Body In White (With Paint) &gt; Underbody &gt; Central unit &gt; Rocker inner frame &gt; Fixing parts &gt; Part 05</t>
  </si>
  <si>
    <t>0.0338461538461538461538461538 kg</t>
  </si>
  <si>
    <t>Body &gt; Frame &gt; Body In White (With Paint) &gt; Underbody &gt; Central unit &gt; Rocker inner frame &gt; Fixing parts &gt; Part 05 &gt; MANUFACTURING  PROCESS</t>
  </si>
  <si>
    <t>0000000AY5X7EU01 (BodyInWhite)</t>
  </si>
  <si>
    <t>Body &gt; Frame &gt; Body In White (With Paint) &gt; Underbody &gt; Central unit &gt; Rocker inner frame &gt; Fixing parts &gt; Part 06</t>
  </si>
  <si>
    <t>Body &gt; Frame &gt; Body In White (With Paint) &gt; Underbody &gt; Central unit &gt; Rocker inner frame &gt; Fixing parts &gt; Part 06 &gt; MANUFACTURING  PROCESS</t>
  </si>
  <si>
    <t>00000009Q9CFEU01 (BodyInWhite)</t>
  </si>
  <si>
    <t>Body &gt; Frame &gt; Body In White (With Paint) &gt; Underbody &gt; Central unit &gt; Rocker inner frame &gt; Fixing parts &gt; Part 07</t>
  </si>
  <si>
    <t>Body &gt; Frame &gt; Body In White (With Paint) &gt; Underbody &gt; Central unit &gt; Rocker inner frame &gt; Fixing parts &gt; Part 07 &gt; MANUFACTURING  PROCESS</t>
  </si>
  <si>
    <t>0000000BSP7KCID0 (BodyInWhite)</t>
  </si>
  <si>
    <t>Body &gt; Frame &gt; Body In White (With Paint) &gt; Underbody &gt; Central unit &gt; Rocker inner frame &gt; Fixing parts &gt; Part 08</t>
  </si>
  <si>
    <t>Body &gt; Frame &gt; Body In White (With Paint) &gt; Underbody &gt; Central unit &gt; Rocker inner frame &gt; Fixing parts &gt; Part 08 &gt; MANUFACTURING  PROCESS</t>
  </si>
  <si>
    <t>000000AUKINIEU02 (BodyInWhite)</t>
  </si>
  <si>
    <t>Body &gt; Frame &gt; Body In White (With Paint) &gt; Underbody &gt; Central unit &gt; Rocker inner frame &gt; Fixing parts &gt; Part 09</t>
  </si>
  <si>
    <t>Body &gt; Frame &gt; Body In White (With Paint) &gt; Underbody &gt; Central unit &gt; Rocker inner frame &gt; Fixing parts &gt; Part 09 &gt; MANUFACTURING  PROCESS</t>
  </si>
  <si>
    <t>000000AUKINVEU02 (BodyInWhite)</t>
  </si>
  <si>
    <t>Body &gt; Frame &gt; Body In White (With Paint) &gt; Underbody &gt; Central unit &gt; Rocker inner frame &gt; Fixing parts &gt; Part 10</t>
  </si>
  <si>
    <t>0.1783333333333333333333333333 kg</t>
  </si>
  <si>
    <t>Body &gt; Frame &gt; Body In White (With Paint) &gt; Underbody &gt; Central unit &gt; Rocker inner frame &gt; Fixing parts &gt; Part 10 &gt; MANUFACTURING  PROCESS</t>
  </si>
  <si>
    <t>000000AUKINWEU02 (BodyInWhite)</t>
  </si>
  <si>
    <t>Body &gt; Frame &gt; Body In White (With Paint) &gt; Underbody &gt; Central unit &gt; Rocker inner frame &gt; Fixing parts &gt; Part 11</t>
  </si>
  <si>
    <t>Body &gt; Frame &gt; Body In White (With Paint) &gt; Underbody &gt; Central unit &gt; Rocker inner frame &gt; Fixing parts &gt; Part 11 &gt; MANUFACTURING  PROCESS</t>
  </si>
  <si>
    <t>000000AUKINJEU02 (BodyInWhite)</t>
  </si>
  <si>
    <t>Body &gt; Frame &gt; Body In White (With Paint) &gt; Underbody &gt; Central unit &gt; Rocker inner frame &gt; Fixing parts &gt; Part 12</t>
  </si>
  <si>
    <t>0.136 kg</t>
  </si>
  <si>
    <t>Body &gt; Frame &gt; Body In White (With Paint) &gt; Underbody &gt; Central unit &gt; Rocker inner frame &gt; Fixing parts &gt; Part 12 &gt; MANUFACTURING  PROCESS</t>
  </si>
  <si>
    <t>000000AUKINXEU02 (BodyInWhite)</t>
  </si>
  <si>
    <t>Body &gt; Frame &gt; Body In White (With Paint) &gt; Underbody &gt; Central unit &gt; Rocker inner frame &gt; Fixing parts &gt; Part 13</t>
  </si>
  <si>
    <t>0.12200 kg</t>
  </si>
  <si>
    <t>0.244 kg</t>
  </si>
  <si>
    <t>Body &gt; Frame &gt; Body In White (With Paint) &gt; Underbody &gt; Central unit &gt; Rocker inner frame &gt; Fixing parts &gt; Part 13 &gt; MANUFACTURING  PROCESS</t>
  </si>
  <si>
    <t>000000AUKINKEU02 (BodyInWhite)</t>
  </si>
  <si>
    <t>00000001R627EU01 (BodyInWhite)</t>
  </si>
  <si>
    <t>000000031E0DEU01 (BodyInWhite)</t>
  </si>
  <si>
    <t>000000018I3IEU01 (BodyInWhite)</t>
  </si>
  <si>
    <t>Body &gt; Frame &gt; Body In White (With Paint) &gt; Underbody &gt; Rear unit</t>
  </si>
  <si>
    <t>Body &gt; Frame &gt; Body In White (With Paint) &gt; Underbody &gt; Rear unit &gt; Rear floor assy</t>
  </si>
  <si>
    <t>Body &gt; Frame &gt; Body In White (With Paint) &gt; Underbody &gt; Rear unit &gt; Rear floor assy &gt; Rear floor panel</t>
  </si>
  <si>
    <t>Body &gt; Frame &gt; Body In White (With Paint) &gt; Underbody &gt; Rear unit &gt; Rear floor assy &gt; Rear floor panel &gt; Panel</t>
  </si>
  <si>
    <t>Body &gt; Frame &gt; Body In White (With Paint) &gt; Underbody &gt; Rear unit &gt; Rear floor assy &gt; Rear floor panel &gt; Panel &gt; Part 02</t>
  </si>
  <si>
    <t>0.43500 kg</t>
  </si>
  <si>
    <t>0.54375 kg</t>
  </si>
  <si>
    <t>Body &gt; Frame &gt; Body In White (With Paint) &gt; Underbody &gt; Rear unit &gt; Rear floor assy &gt; Rear floor panel &gt; Panel &gt; Part 02 &gt; MANUFACTURING  PROCESS</t>
  </si>
  <si>
    <t>00000007V444EU01 (BodyInWhite)</t>
  </si>
  <si>
    <t>00000005CV7REU01 (BodyInWhite)</t>
  </si>
  <si>
    <t>Body &gt; Frame &gt; Body In White (With Paint) &gt; Underbody &gt; Rear unit &gt; Rear floor assy &gt; Rear floor panel &gt; Fixing parts</t>
  </si>
  <si>
    <t>Body &gt; Frame &gt; Body In White (With Paint) &gt; Underbody &gt; Rear unit &gt; Rear floor assy &gt; Rear floor panel &gt; Fixing parts &gt; Part 02</t>
  </si>
  <si>
    <t>Body &gt; Frame &gt; Body In White (With Paint) &gt; Underbody &gt; Rear unit &gt; Rear floor assy &gt; Rear floor panel &gt; Fixing parts &gt; Part 02 &gt; MANUFACTURING  PROCESS</t>
  </si>
  <si>
    <t>0000000A9TE9EU01 (BodyInWhite)</t>
  </si>
  <si>
    <t>00000001CP4TEU01 (BodyInWhite)</t>
  </si>
  <si>
    <t>00000008DUJ1EU01 (BodyInWhite)</t>
  </si>
  <si>
    <t>00000007XIRBEU01 (BodyInWhite)</t>
  </si>
  <si>
    <t>Body &gt; Frame &gt; Body In White (With Paint) &gt; Underbody &gt; Rear unit &gt; Rear side member assy</t>
  </si>
  <si>
    <t>Body &gt; Frame &gt; Body In White (With Paint) &gt; Underbody &gt; Rear unit &gt; Rear side member assy &gt; Frame</t>
  </si>
  <si>
    <t>Body &gt; Frame &gt; Body In White (With Paint) &gt; Underbody &gt; Rear unit &gt; Rear side member assy &gt; Frame &gt; Part 01 (single/main)</t>
  </si>
  <si>
    <t>55.54000 kg</t>
  </si>
  <si>
    <t>69.425 kg</t>
  </si>
  <si>
    <t>Body &gt; Frame &gt; Body In White (With Paint) &gt; Underbody &gt; Rear unit &gt; Rear side member assy &gt; Frame &gt; Part 01 (single/main) &gt; MANUFACTURING  PROCESS</t>
  </si>
  <si>
    <t>0000000A4JVTEU01 (BodyInWhite)</t>
  </si>
  <si>
    <t>Body &gt; Frame &gt; Body In White (With Paint) &gt; Underbody &gt; Rear unit &gt; Rear side member assy &gt; Frame &gt; Part 02</t>
  </si>
  <si>
    <t>1.16300 kg</t>
  </si>
  <si>
    <t>1.45375 kg</t>
  </si>
  <si>
    <t>Body &gt; Frame &gt; Body In White (With Paint) &gt; Underbody &gt; Rear unit &gt; Rear side member assy &gt; Frame &gt; Part 02 &gt; MANUFACTURING  PROCESS</t>
  </si>
  <si>
    <t>0000000AEH9FEU01 (BodyInWhite)</t>
  </si>
  <si>
    <t>00000006RW34EU01 (BodyInWhite)</t>
  </si>
  <si>
    <t>Body &gt; Frame &gt; Body In White (With Paint) &gt; Underbody &gt; Rear unit &gt; Rear side member assy &gt; Fixing parts</t>
  </si>
  <si>
    <t>Body &gt; Frame &gt; Body In White (With Paint) &gt; Underbody &gt; Rear unit &gt; Rear side member assy &gt; Fixing parts &gt; Part 01 (single/main)</t>
  </si>
  <si>
    <t>0.528 kg</t>
  </si>
  <si>
    <t>Body &gt; Frame &gt; Body In White (With Paint) &gt; Underbody &gt; Rear unit &gt; Rear side member assy &gt; Fixing parts &gt; Part 01 (single/main) &gt; MANUFACTURING  PROCESS</t>
  </si>
  <si>
    <t>00000001H8BJEU01 (BodyInWhite)</t>
  </si>
  <si>
    <t>00000009NKM2EU01 (BodyInWhite)</t>
  </si>
  <si>
    <t>00000008KMZFEU01 (BodyInWhite)</t>
  </si>
  <si>
    <t>00000008XZYIEU01 (BodyInWhite)</t>
  </si>
  <si>
    <t>0000000AS1RSEU01 (BodyInWhite)</t>
  </si>
  <si>
    <t>Details consumable summary</t>
  </si>
  <si>
    <t>Consumable</t>
  </si>
  <si>
    <t>Body &gt; Frame &gt; Body In White (With Paint) &gt; Assembly</t>
  </si>
  <si>
    <t>2023</t>
  </si>
  <si>
    <t>incl. all equipment 139 HQ 2 Shifts</t>
  </si>
  <si>
    <t xml:space="preserve">Body Paint Process		 95,76 € 		
Body Paint Material		 58,14 € 
</t>
  </si>
  <si>
    <t>BIW - [Assembly] [Internal]</t>
  </si>
  <si>
    <t>00000005ETWHEU01 (AutoReverse)</t>
  </si>
  <si>
    <t>Body &gt; Frame &gt; Mass Vibration Absorber</t>
  </si>
  <si>
    <t>0.50200 kg</t>
  </si>
  <si>
    <t>0.5270999736450013177499341125 kg</t>
  </si>
  <si>
    <t>Body &gt; Frame &gt; Mass Vibration Absorber &gt; Oven</t>
  </si>
  <si>
    <t>Body &gt; Frame &gt; Mass Vibration Absorber &gt; Casting</t>
  </si>
  <si>
    <t>Body &gt; Frame &gt; Mass Vibration Absorber &gt; SprueRemoval</t>
  </si>
  <si>
    <t>Body &gt; Frame &gt; Mass Vibration Absorber &gt; Trimming</t>
  </si>
  <si>
    <t>Body &gt; Frame &gt; Mass Vibration Absorber &gt; DimChecking</t>
  </si>
  <si>
    <t>Body &gt; Frame &gt; Mass Vibration Absorber &gt; Checking</t>
  </si>
  <si>
    <t>Body &gt; Frame &gt; Mass Vibration Absorber &gt; CoreMolding3</t>
  </si>
  <si>
    <t>00000000U604EU01 (AutoReverse)</t>
  </si>
  <si>
    <t>Body &gt; Frame &gt; 2nd Mass Vibration Absorber</t>
  </si>
  <si>
    <t>Body &gt; Frame &gt; 2nd Mass Vibration Absorber &gt; Oven</t>
  </si>
  <si>
    <t>Body &gt; Frame &gt; 2nd Mass Vibration Absorber &gt; Casting</t>
  </si>
  <si>
    <t>Body &gt; Frame &gt; 2nd Mass Vibration Absorber &gt; SprueRemoval</t>
  </si>
  <si>
    <t>Body &gt; Frame &gt; 2nd Mass Vibration Absorber &gt; Trimming</t>
  </si>
  <si>
    <t>Body &gt; Frame &gt; 2nd Mass Vibration Absorber &gt; DimChecking</t>
  </si>
  <si>
    <t>Body &gt; Frame &gt; 2nd Mass Vibration Absorber &gt; Checking</t>
  </si>
  <si>
    <t>Body &gt; Frame &gt; 2nd Mass Vibration Absorber &gt; CoreMolding3</t>
  </si>
  <si>
    <t>0000000A414QEU01 (AutoReverse)</t>
  </si>
  <si>
    <t>0000000AO6DDEU01 (AutoReverse)</t>
  </si>
  <si>
    <t>Body &gt; Fenders</t>
  </si>
  <si>
    <t>Body &gt; Fenders &gt; Front Fenders</t>
  </si>
  <si>
    <t>Body &gt; Fenders &gt; Front Fenders &gt; Left Fender</t>
  </si>
  <si>
    <t>Body &gt; Fenders &gt; Front Fenders &gt; Left Fender &gt; Panel&gt;Part 02</t>
  </si>
  <si>
    <t>0.90400 kg</t>
  </si>
  <si>
    <t>1.13 kg</t>
  </si>
  <si>
    <t>Body &gt; Fenders &gt; Front Fenders &gt; Left Fender &gt; Panel&gt;Part 02 &gt; MANUFACTURING  PROCESS</t>
  </si>
  <si>
    <t>Body &gt; Fenders &gt; Front Fenders &gt; Left Fender &gt; Reinforcements&gt;Part 01 (single/main)</t>
  </si>
  <si>
    <t>0.35 kg</t>
  </si>
  <si>
    <t>Body &gt; Fenders &gt; Front Fenders &gt; Left Fender &gt; Reinforcements&gt;Part 01 (single/main) &gt; MANUFACTURING  PROCESS</t>
  </si>
  <si>
    <t>Body &gt; Fenders &gt; Front Fenders &gt; Left Fender &gt; Reinforcements&gt;Part 02</t>
  </si>
  <si>
    <t>0.1625 kg</t>
  </si>
  <si>
    <t>Body &gt; Fenders &gt; Front Fenders &gt; Left Fender &gt; Reinforcements&gt;Part 02 &gt; MANUFACTURING  PROCESS</t>
  </si>
  <si>
    <t>Body &gt; Fenders &gt; Front Fenders &gt; Left Fender &gt; Fixing parts&gt;Part 01 (single/main)</t>
  </si>
  <si>
    <t>0.0325 kg</t>
  </si>
  <si>
    <t>Body &gt; Fenders &gt; Front Fenders &gt; Left Fender &gt; Fixing parts&gt;Part 01 (single/main) &gt; MANUFACTURING  PROCESS</t>
  </si>
  <si>
    <t>Body &gt; Fenders &gt; Front Fenders &gt; Left Fender &gt; Fixing parts&gt;Part 02</t>
  </si>
  <si>
    <t>0.15300 kg</t>
  </si>
  <si>
    <t>0.19125 kg</t>
  </si>
  <si>
    <t>Body &gt; Fenders &gt; Front Fenders &gt; Left Fender &gt; Fixing parts&gt;Part 02 &gt; MANUFACTURING  PROCESS</t>
  </si>
  <si>
    <t>Body &gt; Fenders &gt; Front Fenders &gt; Left Fender &gt; Fixing parts&gt;Part 03</t>
  </si>
  <si>
    <t>0.055 kg</t>
  </si>
  <si>
    <t>Body &gt; Fenders &gt; Front Fenders &gt; Left Fender &gt; Fixing parts&gt;Part 03 &gt; MANUFACTURING  PROCESS</t>
  </si>
  <si>
    <t>Body &gt; Fenders &gt; Front Fenders &gt; Left Fender &gt; Panel&gt;Part 01 (single/main/front)</t>
  </si>
  <si>
    <t>2.02100 kg</t>
  </si>
  <si>
    <t>2.52625 kg</t>
  </si>
  <si>
    <t>Body &gt; Fenders &gt; Front Fenders &gt; Left Fender &gt; Panel&gt;Part 01 (single/main/front) &gt; MANUFACTURING  PROCESS</t>
  </si>
  <si>
    <t>0.0153061224489795918367346939 kg</t>
  </si>
  <si>
    <t>Body &gt; Fenders &gt; Front Fenders &gt; Left Fender &gt; Painting</t>
  </si>
  <si>
    <t>Body &gt; Fenders &gt; Front Fenders &gt; Left Fender &gt; Assembly</t>
  </si>
  <si>
    <t>Exterior - [Assembly] [Internal]</t>
  </si>
  <si>
    <t>00000000T43TEU01 (AutoReverse)</t>
  </si>
  <si>
    <t>Body &gt; Fenders &gt; Front Fenders &gt; Right Fender</t>
  </si>
  <si>
    <t>Body &gt; Fenders &gt; Front Fenders &gt; Right Fender &gt; Panel&gt;Part 02</t>
  </si>
  <si>
    <t>Body &gt; Fenders &gt; Front Fenders &gt; Right Fender &gt; Panel&gt;Part 02 &gt; MANUFACTURING  PROCESS</t>
  </si>
  <si>
    <t>Body &gt; Fenders &gt; Front Fenders &gt; Right Fender &gt; Reinforcements&gt;Part 01 (single/main)</t>
  </si>
  <si>
    <t>Body &gt; Fenders &gt; Front Fenders &gt; Right Fender &gt; Reinforcements&gt;Part 01 (single/main) &gt; MANUFACTURING  PROCESS</t>
  </si>
  <si>
    <t>Body &gt; Fenders &gt; Front Fenders &gt; Right Fender &gt; Reinforcements&gt;Part 02</t>
  </si>
  <si>
    <t>Body &gt; Fenders &gt; Front Fenders &gt; Right Fender &gt; Reinforcements&gt;Part 02 &gt; MANUFACTURING  PROCESS</t>
  </si>
  <si>
    <t>Body &gt; Fenders &gt; Front Fenders &gt; Right Fender &gt; Fixing parts&gt;Part 01 (single/main)</t>
  </si>
  <si>
    <t>Body &gt; Fenders &gt; Front Fenders &gt; Right Fender &gt; Fixing parts&gt;Part 01 (single/main) &gt; MANUFACTURING  PROCESS</t>
  </si>
  <si>
    <t>Body &gt; Fenders &gt; Front Fenders &gt; Right Fender &gt; Fixing parts&gt;Part 02</t>
  </si>
  <si>
    <t>Body &gt; Fenders &gt; Front Fenders &gt; Right Fender &gt; Fixing parts&gt;Part 02 &gt; MANUFACTURING  PROCESS</t>
  </si>
  <si>
    <t>Body &gt; Fenders &gt; Front Fenders &gt; Right Fender &gt; Fixing parts&gt;Part 03</t>
  </si>
  <si>
    <t>Body &gt; Fenders &gt; Front Fenders &gt; Right Fender &gt; Fixing parts&gt;Part 03 &gt; MANUFACTURING  PROCESS</t>
  </si>
  <si>
    <t>Body &gt; Fenders &gt; Front Fenders &gt; Right Fender &gt; Panel&gt;Part 01 (single/main/front)</t>
  </si>
  <si>
    <t>Body &gt; Fenders &gt; Front Fenders &gt; Right Fender &gt; Panel&gt;Part 01 (single/main/front) &gt; MANUFACTURING  PROCESS</t>
  </si>
  <si>
    <t>Body &gt; Fenders &gt; Front Fenders &gt; Right Fender &gt; Painting</t>
  </si>
  <si>
    <t>Body &gt; Fenders &gt; Front Fenders &gt; Right Fender &gt; Assembly</t>
  </si>
  <si>
    <t>A000001004SXEU02 (AutoReverse)</t>
  </si>
  <si>
    <t>Body &gt; Fenders &gt; Front Fenders &gt; Front Fastener</t>
  </si>
  <si>
    <t>Body &gt; Fenders &gt; Front Fenders &gt; Front Fastener &gt; &gt;Bolt-on parts&gt;Bolt-on panels&gt;Fender&gt;Brackets&gt;Part 01 (single/main)</t>
  </si>
  <si>
    <t>0.235 kg</t>
  </si>
  <si>
    <t>Body &gt; Fenders &gt; Front Fenders &gt; Front Fastener &gt; &gt;Bolt-on parts&gt;Bolt-on panels&gt;Fender&gt;Brackets&gt;Part 01 (single/main) &gt; Stamping</t>
  </si>
  <si>
    <t>Body &gt; Fenders &gt; Front Fenders &gt; Front Fastener &gt; &gt;Bolt-on parts&gt;Bolt-on panels&gt;Fender&gt;Fixing parts&gt;Part 04</t>
  </si>
  <si>
    <t>Body &gt; Fenders &gt; Front Fenders &gt; Front Fastener &gt; &gt;Bolt-on parts&gt;Bolt-on panels&gt;Fender&gt;Fixing parts&gt;Part 04 &gt; Stamping</t>
  </si>
  <si>
    <t>00000001TCCHEU01 (AutoReverse)</t>
  </si>
  <si>
    <t>Body &gt; Fenders &gt; Front Fenders &gt; Front Fastener right</t>
  </si>
  <si>
    <t>Body &gt; Fenders &gt; Front Fenders &gt; Front Fastener right &gt; &gt;Bolt-on parts&gt;Bolt-on panels&gt;Fender&gt;Brackets&gt;Part 01 (single/main)</t>
  </si>
  <si>
    <t>Body &gt; Fenders &gt; Front Fenders &gt; Front Fastener right &gt; &gt;Bolt-on parts&gt;Bolt-on panels&gt;Fender&gt;Brackets&gt;Part 01 (single/main) &gt; Stamping</t>
  </si>
  <si>
    <t>Body &gt; Fenders &gt; Front Fenders &gt; Front Fastener right &gt; &gt;Bolt-on parts&gt;Bolt-on panels&gt;Fender&gt;Fixing parts&gt;Part 04</t>
  </si>
  <si>
    <t>Body &gt; Fenders &gt; Front Fenders &gt; Front Fastener right &gt; &gt;Bolt-on parts&gt;Bolt-on panels&gt;Fender&gt;Fixing parts&gt;Part 04 &gt; Stamping</t>
  </si>
  <si>
    <t>0000009Z46JFEU02 (AutoReverse)</t>
  </si>
  <si>
    <t>Body &gt; Fenders &gt; Front Fenders &gt; Trim Bezels</t>
  </si>
  <si>
    <t>0.09900 kg</t>
  </si>
  <si>
    <t>0.1020618556701030927835051546 kg</t>
  </si>
  <si>
    <t>Body &gt; Fenders &gt; Front Fenders &gt; Trim Bezels &gt; Injection molding</t>
  </si>
  <si>
    <t>Opening: 1.01 s, Ejection: 0.12 s, Insert: 0.00 s, Closing: 2.53 s, Removal: 1.61 s, Cooling: 23.87 s, Injection: 2.34</t>
  </si>
  <si>
    <t>Body &gt; Fenders &gt; Front Fenders &gt; Trim Bezels &gt; Handling/Visual Inspection/Packaging</t>
  </si>
  <si>
    <t>PP-EPDM, Injection Molding</t>
  </si>
  <si>
    <t>00000009VHOGEU01 (AutoReverse)</t>
  </si>
  <si>
    <t>Body &gt; Fenders &gt; Front Fenders &gt; Rear Covers</t>
  </si>
  <si>
    <t>0.17700 kg</t>
  </si>
  <si>
    <t>0.1824742268041237113402061856 kg</t>
  </si>
  <si>
    <t>Body &gt; Fenders &gt; Front Fenders &gt; Rear Covers &gt; Injection molding</t>
  </si>
  <si>
    <t>Opening: 1.88 s, Ejection: 0.19 s, Insert: 0.00 s, Closing: 3.75 s, Removal: 2.19 s, Cooling: 6.93 s, Injection: 2.32</t>
  </si>
  <si>
    <t>Body &gt; Fenders &gt; Front Fenders &gt; Rear Covers &gt; Handling/Visual Inspection/Packaging</t>
  </si>
  <si>
    <t>0000000AOUN1EU01 (AutoReverse)</t>
  </si>
  <si>
    <t>Body &gt; Fenders &gt; Front Fenders &gt; Trim Panels</t>
  </si>
  <si>
    <t>0.40850 kg</t>
  </si>
  <si>
    <t>0.4211340206185567010309278351 kg</t>
  </si>
  <si>
    <t>Body &gt; Fenders &gt; Front Fenders &gt; Trim Panels &gt; Injection molding</t>
  </si>
  <si>
    <t>Opening: 1.88 s, Ejection: 0.09 s, Insert: 0.00 s, Closing: 3.75 s, Removal: 2.11 s, Cooling: 22.61 s, Injection: 2.41</t>
  </si>
  <si>
    <t>Body &gt; Fenders &gt; Front Fenders &gt; Trim Panels &gt; Handling/Visual Inspection/Packaging</t>
  </si>
  <si>
    <t>Body &gt; Fenders &gt; Front Fenders &gt; Trim Panels &gt; Painting</t>
  </si>
  <si>
    <t>00000006P76DEU01 (AutoReverse)</t>
  </si>
  <si>
    <t>Body &gt; Fenders &gt; Front Fenders &gt; Fenders Reinforcement</t>
  </si>
  <si>
    <t>0.13950 kg</t>
  </si>
  <si>
    <t>0.1438144329896907216494845361 kg</t>
  </si>
  <si>
    <t>Body &gt; Fenders &gt; Front Fenders &gt; Fenders Reinforcement &gt; Injection molding</t>
  </si>
  <si>
    <t>Opening: 1.38 s, Ejection: 0.09 s, Insert: 0.00 s, Closing: 3.06 s, Removal: 1.81 s, Cooling: 13.38 s, Injection: 2.28</t>
  </si>
  <si>
    <t>Body &gt; Fenders &gt; Front Fenders &gt; Fenders Reinforcement &gt; Handling/Visual Inspection/Packaging</t>
  </si>
  <si>
    <t>PP, Injection Molding</t>
  </si>
  <si>
    <t>000000058EENEU01 (AutoReverse)</t>
  </si>
  <si>
    <t>Body &gt; Fenders &gt; Front Fenders &gt; Assembly</t>
  </si>
  <si>
    <t>Exterior - [Mechanical Prod] [Internal]</t>
  </si>
  <si>
    <t>0000000722MYEU01 (AutoReverse)</t>
  </si>
  <si>
    <t>00000008BS7WEU01 (AutoReverse)</t>
  </si>
  <si>
    <t>Body &gt; Bumpers</t>
  </si>
  <si>
    <t>Body &gt; Bumpers &gt; Front Bumper</t>
  </si>
  <si>
    <t>Body &gt; Bumpers &gt; Front Bumper &gt; Bumper</t>
  </si>
  <si>
    <t>Body &gt; Bumpers &gt; Front Bumper &gt; Bumper &gt; Bezel System</t>
  </si>
  <si>
    <t>Body &gt; Bumpers &gt; Front Bumper &gt; Bumper &gt; Bezel System &gt; Trim</t>
  </si>
  <si>
    <t>1.26100 kg</t>
  </si>
  <si>
    <t>1.3273684210526315789473684211 kg</t>
  </si>
  <si>
    <t>Body &gt; Bumpers &gt; Front Bumper &gt; Bumper &gt; Bezel System &gt; Trim &gt; Automated Process</t>
  </si>
  <si>
    <t>A0000000QG4FEU02 (AutoReverse)</t>
  </si>
  <si>
    <t>Body &gt; Bumpers &gt; Front Bumper &gt; Bumper &gt; Bezel System &gt; Left Side Trim</t>
  </si>
  <si>
    <t>0.07300 kg</t>
  </si>
  <si>
    <t>0.0768421052631578947368421053 kg</t>
  </si>
  <si>
    <t>Body &gt; Bumpers &gt; Front Bumper &gt; Bumper &gt; Bezel System &gt; Left Side Trim &gt; Automated Process</t>
  </si>
  <si>
    <t>A000002TAV0IEU01 (AutoReverse)</t>
  </si>
  <si>
    <t>Body &gt; Bumpers &gt; Front Bumper &gt; Bumper &gt; Bezel System &gt; Right Side Trim</t>
  </si>
  <si>
    <t>Body &gt; Bumpers &gt; Front Bumper &gt; Bumper &gt; Bezel System &gt; Right Side Trim &gt; Automated Process</t>
  </si>
  <si>
    <t>A000002TAV0JEU01 (AutoReverse)</t>
  </si>
  <si>
    <t>Body &gt; Bumpers &gt; Front Bumper &gt; Bumper &gt; Bezel System &gt; Trim Bezel Side</t>
  </si>
  <si>
    <t>0.0915789473684210526315789474 kg</t>
  </si>
  <si>
    <t>Body &gt; Bumpers &gt; Front Bumper &gt; Bumper &gt; Bezel System &gt; Trim Bezel Side &gt; Automated Process</t>
  </si>
  <si>
    <t xml:space="preserve">Injection plastic,painting
</t>
  </si>
  <si>
    <t>00000002B5XBEU01 (AutoReverse)</t>
  </si>
  <si>
    <t>Body &gt; Bumpers &gt; Front Bumper &gt; Bumper &gt; Bezel System &gt; 2nd Trim Bezel Side</t>
  </si>
  <si>
    <t>Body &gt; Bumpers &gt; Front Bumper &gt; Bumper &gt; Bezel System &gt; 2nd Trim Bezel Side &gt; Automated Process</t>
  </si>
  <si>
    <t>000000A8PIN1EU02 (AutoReverse)</t>
  </si>
  <si>
    <t>0000000A37ZUEU01 (AutoReverse)</t>
  </si>
  <si>
    <t>Body &gt; Bumpers &gt; Front Bumper &gt; Bumper &gt; Mounting Bracket</t>
  </si>
  <si>
    <t>Body &gt; Bumpers &gt; Front Bumper &gt; Bumper &gt; Mounting Bracket &gt; Lateral 2</t>
  </si>
  <si>
    <t>Body &gt; Bumpers &gt; Front Bumper &gt; Bumper &gt; Mounting Bracket &gt; Lateral 2 &gt; Automated Process</t>
  </si>
  <si>
    <t>PP;AL</t>
  </si>
  <si>
    <t>000000083RRGEU01 (AutoReverse)</t>
  </si>
  <si>
    <t>Body &gt; Bumpers &gt; Front Bumper &gt; Bumper &gt; Mounting Bracket &gt; Right 2</t>
  </si>
  <si>
    <t>Body &gt; Bumpers &gt; Front Bumper &gt; Bumper &gt; Mounting Bracket &gt; Right 2 &gt; Automated Process</t>
  </si>
  <si>
    <t>000000071Q3GEU01 (AutoReverse)</t>
  </si>
  <si>
    <t>Body &gt; Bumpers &gt; Front Bumper &gt; Bumper &gt; Mounting Bracket &gt; Upper left</t>
  </si>
  <si>
    <t>0.0242105263157894736842105263 kg</t>
  </si>
  <si>
    <t>Body &gt; Bumpers &gt; Front Bumper &gt; Bumper &gt; Mounting Bracket &gt; Upper left &gt; Automated Process</t>
  </si>
  <si>
    <t>A0000035KBCWEU01 (AutoReverse)</t>
  </si>
  <si>
    <t>Body &gt; Bumpers &gt; Front Bumper &gt; Bumper &gt; Mounting Bracket &gt; Upper right</t>
  </si>
  <si>
    <t>Body &gt; Bumpers &gt; Front Bumper &gt; Bumper &gt; Mounting Bracket &gt; Upper right &gt; Automated Process</t>
  </si>
  <si>
    <t>A0000035KBCYEU01 (AutoReverse)</t>
  </si>
  <si>
    <t>00000008C9MQEU01 (AutoReverse)</t>
  </si>
  <si>
    <t>Body &gt; Bumpers &gt; Front Bumper &gt; Bumper &gt; Brake Ventilation System</t>
  </si>
  <si>
    <t>Body &gt; Bumpers &gt; Front Bumper &gt; Bumper &gt; Brake Ventilation System &gt; Left Deflector</t>
  </si>
  <si>
    <t>0.27200 kg</t>
  </si>
  <si>
    <t>0.2863157894736842105263157895 kg</t>
  </si>
  <si>
    <t>Body &gt; Bumpers &gt; Front Bumper &gt; Bumper &gt; Brake Ventilation System &gt; Left Deflector &gt; Automated Process</t>
  </si>
  <si>
    <t>00000000V8FPEU01 (AutoReverse)</t>
  </si>
  <si>
    <t>Body &gt; Bumpers &gt; Front Bumper &gt; Bumper &gt; Brake Ventilation System &gt; Left Deflector 2</t>
  </si>
  <si>
    <t>0.18000 kg</t>
  </si>
  <si>
    <t>0.1894736842105263157894736842 kg</t>
  </si>
  <si>
    <t>Body &gt; Bumpers &gt; Front Bumper &gt; Bumper &gt; Brake Ventilation System &gt; Left Deflector 2 &gt; Automated Process</t>
  </si>
  <si>
    <t>000000A9NRSOEU02 (AutoReverse)</t>
  </si>
  <si>
    <t>Body &gt; Bumpers &gt; Front Bumper &gt; Bumper &gt; Brake Ventilation System &gt; Right Deflector</t>
  </si>
  <si>
    <t>0.27100 kg</t>
  </si>
  <si>
    <t>0.2852631578947368421052631579 kg</t>
  </si>
  <si>
    <t>Body &gt; Bumpers &gt; Front Bumper &gt; Bumper &gt; Brake Ventilation System &gt; Right Deflector &gt; Automated Process</t>
  </si>
  <si>
    <t>00000004LOVXEU01 (AutoReverse)</t>
  </si>
  <si>
    <t>Body &gt; Bumpers &gt; Front Bumper &gt; Bumper &gt; Brake Ventilation System &gt; Right Deflector 2</t>
  </si>
  <si>
    <t>Body &gt; Bumpers &gt; Front Bumper &gt; Bumper &gt; Brake Ventilation System &gt; Right Deflector 2 &gt; Automated Process</t>
  </si>
  <si>
    <t>A000002T62OIEU01 (AutoReverse)</t>
  </si>
  <si>
    <t>00000009AHSIEU01 (AutoReverse)</t>
  </si>
  <si>
    <t>Body &gt; Bumpers &gt; Front Bumper &gt; Bumper &gt; Bumper</t>
  </si>
  <si>
    <t>2.95700 kg</t>
  </si>
  <si>
    <t>3.1126315789473684210526315789 kg</t>
  </si>
  <si>
    <t>Body &gt; Bumpers &gt; Front Bumper &gt; Bumper &gt; Bumper &gt; Automated Process</t>
  </si>
  <si>
    <t>00000006B7DREU01 (AutoReverse)</t>
  </si>
  <si>
    <t>Body &gt; Bumpers &gt; Front Bumper &gt; Bumper &gt; Lower Trim</t>
  </si>
  <si>
    <t>1.41300 kg</t>
  </si>
  <si>
    <t>1.4873684210526315789473684211 kg</t>
  </si>
  <si>
    <t>Body &gt; Bumpers &gt; Front Bumper &gt; Bumper &gt; Lower Trim &gt; Automated Process</t>
  </si>
  <si>
    <t>000000035N51EU01 (AutoReverse)</t>
  </si>
  <si>
    <t>Body &gt; Bumpers &gt; Front Bumper &gt; Bumper &gt; License Plate Support</t>
  </si>
  <si>
    <t>0.2263157894736842105263157895 kg</t>
  </si>
  <si>
    <t>Body &gt; Bumpers &gt; Front Bumper &gt; Bumper &gt; License Plate Support &gt; Automated Process</t>
  </si>
  <si>
    <t>00000009AKNUEU01 (AutoReverse)</t>
  </si>
  <si>
    <t>Body &gt; Bumpers &gt; Front Bumper &gt; Bumper &gt; Towing Hook Fastener Cover</t>
  </si>
  <si>
    <t>Polypropylen</t>
  </si>
  <si>
    <t>Body &gt; Bumpers &gt; Front Bumper &gt; Bumper &gt; Towing Hook Fastener Cover &gt; Automated Process</t>
  </si>
  <si>
    <t>000000062EHOEU01 (AutoReverse)</t>
  </si>
  <si>
    <t>Body &gt; Bumpers &gt; Front Bumper &gt; Bumper &gt; Front Bumper Harness</t>
  </si>
  <si>
    <t>Body &gt; Bumpers &gt; Front Bumper &gt; Bumper &gt; Front Bumper Harness &gt; Process</t>
  </si>
  <si>
    <t>00000002XCFJEU01 (AutoReverse)</t>
  </si>
  <si>
    <t>00000007FZSDEU01 (AutoReverse)</t>
  </si>
  <si>
    <t>00000005IJH3EU01 (AutoReverse)</t>
  </si>
  <si>
    <t>00000004I0QDEU01 (AutoReverse)</t>
  </si>
  <si>
    <t>Body &gt; Bumpers &gt; Front Bumper &gt; Wheel Arch Liner</t>
  </si>
  <si>
    <t>Body &gt; Bumpers &gt; Front Bumper &gt; Wheel Arch Liner &gt; Left</t>
  </si>
  <si>
    <t>Body &gt; Bumpers &gt; Front Bumper &gt; Wheel Arch Liner &gt; Left &gt; Wheel Arch Liner</t>
  </si>
  <si>
    <t>1.04100 kg</t>
  </si>
  <si>
    <t>1.0957894736842105263157894737 kg</t>
  </si>
  <si>
    <t>Body &gt; Bumpers &gt; Front Bumper &gt; Wheel Arch Liner &gt; Left &gt; Wheel Arch Liner &gt; Automated Process</t>
  </si>
  <si>
    <t xml:space="preserve">Thermocompression 
</t>
  </si>
  <si>
    <t>PP-PET</t>
  </si>
  <si>
    <t>0000000489IQEU01 (AutoReverse)</t>
  </si>
  <si>
    <t>0000000ABFEVEU01 (AutoReverse)</t>
  </si>
  <si>
    <t>Body &gt; Bumpers &gt; Front Bumper &gt; Wheel Arch Liner &gt; Right</t>
  </si>
  <si>
    <t>Body &gt; Bumpers &gt; Front Bumper &gt; Wheel Arch Liner &gt; Right &gt; Wheel Arch Liner</t>
  </si>
  <si>
    <t>0.97200 kg</t>
  </si>
  <si>
    <t>1.0231578947368421052631578947 kg</t>
  </si>
  <si>
    <t>Body &gt; Bumpers &gt; Front Bumper &gt; Wheel Arch Liner &gt; Right &gt; Wheel Arch Liner &gt; Automated Process</t>
  </si>
  <si>
    <t>00000001I94LEU01 (AutoReverse)</t>
  </si>
  <si>
    <t>00000004DGIIEU01 (AutoReverse)</t>
  </si>
  <si>
    <t>Body &gt; Bumpers &gt; Front Bumper &gt; Wheel Arch Liner &gt; Rigidity Part</t>
  </si>
  <si>
    <t>0.12300 kg</t>
  </si>
  <si>
    <t>0.1294736842105263157894736842 kg</t>
  </si>
  <si>
    <t>Body &gt; Bumpers &gt; Front Bumper &gt; Wheel Arch Liner &gt; Rigidity Part &gt; Automated Process</t>
  </si>
  <si>
    <t>0000000BSOOKCID0 (AutoReverse)</t>
  </si>
  <si>
    <t>Body &gt; Bumpers &gt; Front Bumper &gt; Wheel Arch Liner &gt; Rigidity 2nd Part</t>
  </si>
  <si>
    <t>0.1315789473684210526315789474 kg</t>
  </si>
  <si>
    <t>Body &gt; Bumpers &gt; Front Bumper &gt; Wheel Arch Liner &gt; Rigidity 2nd Part &gt; Automated Process</t>
  </si>
  <si>
    <t>A0000031208OEU01 (AutoReverse)</t>
  </si>
  <si>
    <t>00000001C7UGEU01 (AutoReverse)</t>
  </si>
  <si>
    <t>Body &gt; Bumpers &gt; Front Bumper &gt; Energy Absorbers System</t>
  </si>
  <si>
    <t>Body &gt; Bumpers &gt; Front Bumper &gt; Energy Absorbers System &gt; Upper Energy Absorber</t>
  </si>
  <si>
    <t>0.22700 kg</t>
  </si>
  <si>
    <t>0.2340206185567010309278350515 kg</t>
  </si>
  <si>
    <t>Body &gt; Bumpers &gt; Front Bumper &gt; Energy Absorbers System &gt; Upper Energy Absorber &gt; Press</t>
  </si>
  <si>
    <t>Body &gt; Bumpers &gt; Front Bumper &gt; Energy Absorbers System &gt; Upper Energy Absorber &gt; Steam facility</t>
  </si>
  <si>
    <t>00000004PRMYEU01 (AutoReverse)</t>
  </si>
  <si>
    <t>00000008A5SMEU01 (AutoReverse)</t>
  </si>
  <si>
    <t>Body &gt; Bumpers &gt; Front Bumper &gt; Upper Cross Member System</t>
  </si>
  <si>
    <t>Body &gt; Bumpers &gt; Front Bumper &gt; Upper Cross Member System &gt; Upper Cross Member</t>
  </si>
  <si>
    <t>5.03600 kg</t>
  </si>
  <si>
    <t>5.3265077316861633490576015908 kg</t>
  </si>
  <si>
    <t>Body &gt; Bumpers &gt; Front Bumper &gt; Upper Cross Member System &gt; Upper Cross Member &gt; Aluminum extrusion</t>
  </si>
  <si>
    <t>Aluminium Extrusion</t>
  </si>
  <si>
    <t>0.0391161029366678577696209544 kg</t>
  </si>
  <si>
    <t>Body &gt; Bumpers &gt; Front Bumper &gt; Upper Cross Member System &gt; Upper Cross Member &gt; Reinforcement - Aluminum extrusion</t>
  </si>
  <si>
    <t>00000001PP73EU01 (AutoReverse)</t>
  </si>
  <si>
    <t>Body &gt; Bumpers &gt; Front Bumper &gt; Upper Cross Member System &gt; Left Support</t>
  </si>
  <si>
    <t>1.52100 kg</t>
  </si>
  <si>
    <t>1.6079294921331970310919226122 kg</t>
  </si>
  <si>
    <t>Body &gt; Bumpers &gt; Front Bumper &gt; Upper Cross Member System &gt; Left Support &gt; Crash Box - Aluminum extrusion</t>
  </si>
  <si>
    <t>0.846915525198644512230580946 kg</t>
  </si>
  <si>
    <t>Body &gt; Bumpers &gt; Front Bumper &gt; Upper Cross Member System &gt; Left Support &gt; Rear Plate - Aluminum extrusion</t>
  </si>
  <si>
    <t>0.04200 kg</t>
  </si>
  <si>
    <t>0.0525 kg</t>
  </si>
  <si>
    <t>Body &gt; Bumpers &gt; Front Bumper &gt; Upper Cross Member System &gt; Left Support &gt; Reinforcement - Stamping</t>
  </si>
  <si>
    <t>0000000AW3DKEU01 (AutoReverse)</t>
  </si>
  <si>
    <t>Body &gt; Bumpers &gt; Front Bumper &gt; Upper Cross Member System &gt; Right Support</t>
  </si>
  <si>
    <t>Body &gt; Bumpers &gt; Front Bumper &gt; Upper Cross Member System &gt; Right Support &gt; Crash Box - Aluminum extrusion</t>
  </si>
  <si>
    <t>Body &gt; Bumpers &gt; Front Bumper &gt; Upper Cross Member System &gt; Right Support &gt; Rear Plate - Aluminum extrusion</t>
  </si>
  <si>
    <t>Body &gt; Bumpers &gt; Front Bumper &gt; Upper Cross Member System &gt; Right Support &gt; Reinforcement - Stamping</t>
  </si>
  <si>
    <t>00000005D0BBEU01 (AutoReverse)</t>
  </si>
  <si>
    <t>00000000G0I9EU01 (AutoReverse)</t>
  </si>
  <si>
    <t>Body &gt; Bumpers &gt; Front Bumper &gt; Support</t>
  </si>
  <si>
    <t>Body &gt; Bumpers &gt; Front Bumper &gt; Support &gt; Fasteners on Fender</t>
  </si>
  <si>
    <t>Body &gt; Bumpers &gt; Front Bumper &gt; Support &gt; Fasteners on Fender &gt; Automated Process</t>
  </si>
  <si>
    <t>00000005X31AEU01 (AutoReverse)</t>
  </si>
  <si>
    <t>Body &gt; Bumpers &gt; Front Bumper &gt; Support &gt; Upper Center Fastener</t>
  </si>
  <si>
    <t>0.46700 kg</t>
  </si>
  <si>
    <t>0.4915789473684210526315789474 kg</t>
  </si>
  <si>
    <t>Body &gt; Bumpers &gt; Front Bumper &gt; Support &gt; Upper Center Fastener &gt; Automated Process</t>
  </si>
  <si>
    <t>00000001164QEU01 (AutoReverse)</t>
  </si>
  <si>
    <t>Body &gt; Bumpers &gt; Front Bumper &gt; Support &gt; 2nd Fasteners on Fender</t>
  </si>
  <si>
    <t>Body &gt; Bumpers &gt; Front Bumper &gt; Support &gt; 2nd Fasteners on Fender &gt; Automated Process</t>
  </si>
  <si>
    <t>00000004KV13EU01 (AutoReverse)</t>
  </si>
  <si>
    <t>00000003U2PZEU01 (AutoReverse)</t>
  </si>
  <si>
    <t>00000004G2J8EU01 (AutoReverse)</t>
  </si>
  <si>
    <t>Body &gt; Bumpers &gt; Rear bumper</t>
  </si>
  <si>
    <t>Body &gt; Bumpers &gt; Rear bumper &gt; Rear Cross Member</t>
  </si>
  <si>
    <t>Body &gt; Bumpers &gt; Rear bumper &gt; Rear Cross Member &gt; Rear Cross Member</t>
  </si>
  <si>
    <t>1.6661620898372580942239008517 kg</t>
  </si>
  <si>
    <t>Body &gt; Bumpers &gt; Rear bumper &gt; Rear Cross Member &gt; Rear Cross Member &gt; Aluminum extrusion</t>
  </si>
  <si>
    <t>Body &gt; Bumpers &gt; Rear bumper &gt; Rear Cross Member &gt; Crashbox</t>
  </si>
  <si>
    <t>0.2833142695248988842914923262 kg</t>
  </si>
  <si>
    <t>Body &gt; Bumpers &gt; Rear bumper &gt; Rear Cross Member &gt; Crashbox &gt; Aluminum extrusion</t>
  </si>
  <si>
    <t>Body &gt; Bumpers &gt; Rear bumper &gt; Rear Cross Member &gt; Rear Plate</t>
  </si>
  <si>
    <t>0.13875 kg</t>
  </si>
  <si>
    <t>Body &gt; Bumpers &gt; Rear bumper &gt; Rear Cross Member &gt; Rear Plate &gt; Stamping</t>
  </si>
  <si>
    <t>2.35100 kg</t>
  </si>
  <si>
    <t>2.351 kg</t>
  </si>
  <si>
    <t>Body &gt; Bumpers &gt; Rear bumper &gt; Rear Cross Member &gt; Arc welding</t>
  </si>
  <si>
    <t>Body &gt; Bumpers &gt; Rear bumper &gt; Rear Cross Member &gt; Cleaning</t>
  </si>
  <si>
    <t>Body &gt; Bumpers &gt; Rear bumper &gt; Rear Cross Member &gt; Visual/Inspection/Packaging</t>
  </si>
  <si>
    <t>00000008XBNLEU01 (AutoReverse)</t>
  </si>
  <si>
    <t>Body &gt; Bumpers &gt; Rear bumper &gt; Bumper</t>
  </si>
  <si>
    <t>Body &gt; Bumpers &gt; Rear bumper &gt; Bumper &gt; Bumper Upper Trim</t>
  </si>
  <si>
    <t>Body &gt; Bumpers &gt; Rear bumper &gt; Bumper &gt; Bumper Upper Trim &gt; Lateral Bezel</t>
  </si>
  <si>
    <t>0.0715789473684210526315789474 kg</t>
  </si>
  <si>
    <t>Body &gt; Bumpers &gt; Rear bumper &gt; Bumper &gt; Bumper Upper Trim &gt; Lateral Bezel &gt; Automated Process</t>
  </si>
  <si>
    <t>00000007UZKWEU01 (AutoReverse)</t>
  </si>
  <si>
    <t>Body &gt; Bumpers &gt; Rear bumper &gt; Bumper &gt; Bumper Upper Trim &gt; Lateral Bezel 2</t>
  </si>
  <si>
    <t>Body &gt; Bumpers &gt; Rear bumper &gt; Bumper &gt; Bumper Upper Trim &gt; Lateral Bezel 2 &gt; Automated Process</t>
  </si>
  <si>
    <t>0000009SLBMFCID0 (AutoReverse)</t>
  </si>
  <si>
    <t>00000004PCJ6EU01 (AutoReverse)</t>
  </si>
  <si>
    <t>Body &gt; Bumpers &gt; Rear bumper &gt; Bumper &gt; Bumper Lower Trim</t>
  </si>
  <si>
    <t>Body &gt; Bumpers &gt; Rear bumper &gt; Bumper &gt; Bumper Lower Trim &gt; Left</t>
  </si>
  <si>
    <t>Body &gt; Bumpers &gt; Rear bumper &gt; Bumper &gt; Bumper Lower Trim &gt; Left &gt; Automated Process</t>
  </si>
  <si>
    <t>00000003ZQKFEU01 (AutoReverse)</t>
  </si>
  <si>
    <t>Body &gt; Bumpers &gt; Rear bumper &gt; Bumper &gt; Bumper Lower Trim &gt; Right</t>
  </si>
  <si>
    <t>Body &gt; Bumpers &gt; Rear bumper &gt; Bumper &gt; Bumper Lower Trim &gt; Right &gt; Automated Process</t>
  </si>
  <si>
    <t>00000005BN4CEU01 (AutoReverse)</t>
  </si>
  <si>
    <t>Body &gt; Bumpers &gt; Rear bumper &gt; Bumper &gt; Bumper Lower Trim &gt; Central Single</t>
  </si>
  <si>
    <t>0.66100 kg</t>
  </si>
  <si>
    <t>0.6957894736842105263157894737 kg</t>
  </si>
  <si>
    <t>Body &gt; Bumpers &gt; Rear bumper &gt; Bumper &gt; Bumper Lower Trim &gt; Central Single &gt; Automated Process</t>
  </si>
  <si>
    <t>00000007FU4UEU01 (AutoReverse)</t>
  </si>
  <si>
    <t>Body &gt; Bumpers &gt; Rear bumper &gt; Bumper &gt; Bumper Lower Trim &gt; Central 2</t>
  </si>
  <si>
    <t>2.63900 kg</t>
  </si>
  <si>
    <t>2.7778947368421052631578947368 kg</t>
  </si>
  <si>
    <t>Body &gt; Bumpers &gt; Rear bumper &gt; Bumper &gt; Bumper Lower Trim &gt; Central 2 &gt; Automated Process</t>
  </si>
  <si>
    <t>00000003KASQEU01 (AutoReverse)</t>
  </si>
  <si>
    <t>00000000DUH5EU01 (AutoReverse)</t>
  </si>
  <si>
    <t>Body &gt; Bumpers &gt; Rear bumper &gt; Bumper &gt; Bumper</t>
  </si>
  <si>
    <t>2.61000 kg</t>
  </si>
  <si>
    <t>2.7473684210526315789473684211 kg</t>
  </si>
  <si>
    <t>Body &gt; Bumpers &gt; Rear bumper &gt; Bumper &gt; Bumper &gt; Automated Process</t>
  </si>
  <si>
    <t>00000004TF2SEU01 (AutoReverse)</t>
  </si>
  <si>
    <t>Body &gt; Bumpers &gt; Rear bumper &gt; Bumper &gt; Rear Bumper Harness</t>
  </si>
  <si>
    <t>Body &gt; Bumpers &gt; Rear bumper &gt; Bumper &gt; Rear Bumper Harness &gt; Process</t>
  </si>
  <si>
    <t>0000000986U1EU01 (AutoReverse)</t>
  </si>
  <si>
    <t>Body &gt; Bumpers &gt; Rear bumper &gt; Bumper &gt; Grille</t>
  </si>
  <si>
    <t>0.1252631578947368421052631579 kg</t>
  </si>
  <si>
    <t>Body &gt; Bumpers &gt; Rear bumper &gt; Bumper &gt; Grille &gt; Automated Process</t>
  </si>
  <si>
    <t>00000001OOU5EU01 (AutoReverse)</t>
  </si>
  <si>
    <t>Body &gt; Bumpers &gt; Rear bumper &gt; Bumper &gt; 2nd Grille</t>
  </si>
  <si>
    <t>Body &gt; Bumpers &gt; Rear bumper &gt; Bumper &gt; 2nd Grille &gt; Automated Process</t>
  </si>
  <si>
    <t>00000002CBPTEU01 (AutoReverse)</t>
  </si>
  <si>
    <t>00000003153UEU01 (AutoReverse)</t>
  </si>
  <si>
    <t>Body &gt; Bumpers &gt; Rear bumper &gt; Bumper Bracket on Body</t>
  </si>
  <si>
    <t>Body &gt; Bumpers &gt; Rear bumper &gt; Bumper Bracket on Body &gt; Left Side Fastener</t>
  </si>
  <si>
    <t>0.16600 kg</t>
  </si>
  <si>
    <t>0.1747368421052631578947368421 kg</t>
  </si>
  <si>
    <t>Body &gt; Bumpers &gt; Rear bumper &gt; Bumper Bracket on Body &gt; Left Side Fastener &gt; Automated Process</t>
  </si>
  <si>
    <t>00000008LRZREU01 (AutoReverse)</t>
  </si>
  <si>
    <t>Body &gt; Bumpers &gt; Rear bumper &gt; Bumper Bracket on Body &gt; Right Side Fastener</t>
  </si>
  <si>
    <t>0.16400 kg</t>
  </si>
  <si>
    <t>0.1726315789473684210526315789 kg</t>
  </si>
  <si>
    <t>Body &gt; Bumpers &gt; Rear bumper &gt; Bumper Bracket on Body &gt; Right Side Fastener &gt; Automated Process</t>
  </si>
  <si>
    <t>0000000A3NYCEU01 (AutoReverse)</t>
  </si>
  <si>
    <t>Body &gt; Bumpers &gt; Rear bumper &gt; Bumper Bracket on Body &gt; Upper Bracket   Reinforcement</t>
  </si>
  <si>
    <t>0.20500 kg</t>
  </si>
  <si>
    <t>0.2157894736842105263157894737 kg</t>
  </si>
  <si>
    <t>Body &gt; Bumpers &gt; Rear bumper &gt; Bumper Bracket on Body &gt; Upper Bracket   Reinforcement &gt; Automated Process</t>
  </si>
  <si>
    <t>0000000AXTGUEU01 (AutoReverse)</t>
  </si>
  <si>
    <t>Body &gt; Bumpers &gt; Rear bumper &gt; Bumper Bracket on Body &gt; Left Mounting Bracket Under Lighting</t>
  </si>
  <si>
    <t>0.32000 kg</t>
  </si>
  <si>
    <t>0.3368421052631578947368421053 kg</t>
  </si>
  <si>
    <t>Body &gt; Bumpers &gt; Rear bumper &gt; Bumper Bracket on Body &gt; Left Mounting Bracket Under Lighting &gt; Automated Process</t>
  </si>
  <si>
    <t>00000006JWMOEU01 (AutoReverse)</t>
  </si>
  <si>
    <t>Body &gt; Bumpers &gt; Rear bumper &gt; Bumper Bracket on Body &gt; Right Mounting Bracket Under Lighting</t>
  </si>
  <si>
    <t>0.32200 kg</t>
  </si>
  <si>
    <t>0.3389473684210526315789473684 kg</t>
  </si>
  <si>
    <t>Body &gt; Bumpers &gt; Rear bumper &gt; Bumper Bracket on Body &gt; Right Mounting Bracket Under Lighting &gt; Automated Process</t>
  </si>
  <si>
    <t>000000090UU4EU01 (AutoReverse)</t>
  </si>
  <si>
    <t>000000099YMJEU01 (AutoReverse)</t>
  </si>
  <si>
    <t>Body &gt; Bumpers &gt; Rear bumper &gt; Wheel Arch Liner</t>
  </si>
  <si>
    <t>Body &gt; Bumpers &gt; Rear bumper &gt; Wheel Arch Liner &gt; Left Side</t>
  </si>
  <si>
    <t>Body &gt; Bumpers &gt; Rear bumper &gt; Wheel Arch Liner &gt; Left Side &gt; Wheel Arch Liner</t>
  </si>
  <si>
    <t>0.88700 kg</t>
  </si>
  <si>
    <t>0.9336842105263157894736842105 kg</t>
  </si>
  <si>
    <t>Body &gt; Bumpers &gt; Rear bumper &gt; Wheel Arch Liner &gt; Left Side &gt; Wheel Arch Liner &gt; Automated Process</t>
  </si>
  <si>
    <t>000000012AI9EU01 (AutoReverse)</t>
  </si>
  <si>
    <t>00000001LBKDEU01 (AutoReverse)</t>
  </si>
  <si>
    <t>Body &gt; Bumpers &gt; Rear bumper &gt; Wheel Arch Liner &gt; Right Side</t>
  </si>
  <si>
    <t>Body &gt; Bumpers &gt; Rear bumper &gt; Wheel Arch Liner &gt; Right Side &gt; Wheel Arch Liner</t>
  </si>
  <si>
    <t>0.88000 kg</t>
  </si>
  <si>
    <t>0.9263157894736842105263157895 kg</t>
  </si>
  <si>
    <t>Body &gt; Bumpers &gt; Rear bumper &gt; Wheel Arch Liner &gt; Right Side &gt; Wheel Arch Liner &gt; Automated Process</t>
  </si>
  <si>
    <t>00000000WPBTEU01 (AutoReverse)</t>
  </si>
  <si>
    <t>00000009BKWUEU01 (AutoReverse)</t>
  </si>
  <si>
    <t>Body &gt; Bumpers &gt; Rear bumper &gt; Wheel Arch Liner &gt; Air Guide</t>
  </si>
  <si>
    <t>0.06500 kg</t>
  </si>
  <si>
    <t>0.0684210526315789473684210526 kg</t>
  </si>
  <si>
    <t>Body &gt; Bumpers &gt; Rear bumper &gt; Wheel Arch Liner &gt; Air Guide &gt; Automated Process</t>
  </si>
  <si>
    <t>PP-EPDM;TPV</t>
  </si>
  <si>
    <t>00000003I1O8EU01 (AutoReverse)</t>
  </si>
  <si>
    <t>Body &gt; Bumpers &gt; Rear bumper &gt; Wheel Arch Liner &gt; Air Guide 2</t>
  </si>
  <si>
    <t>Body &gt; Bumpers &gt; Rear bumper &gt; Wheel Arch Liner &gt; Air Guide 2 &gt; Automated Process</t>
  </si>
  <si>
    <t>00000004I833EU01 (AutoReverse)</t>
  </si>
  <si>
    <t>0000000AVAV5EU01 (AutoReverse)</t>
  </si>
  <si>
    <t>00000008DCBLEU01 (AutoReverse)</t>
  </si>
  <si>
    <t>00000002YJJBEU01 (AutoReverse)</t>
  </si>
  <si>
    <t>Body &gt; Exterior Lighting</t>
  </si>
  <si>
    <t>Body &gt; Exterior Lighting &gt; Headlamp System</t>
  </si>
  <si>
    <t>Body &gt; Exterior Lighting &gt; Headlamp System &gt; Headlamp</t>
  </si>
  <si>
    <t>Body &gt; Exterior Lighting &gt; Headlamp System &gt; Headlamp &gt; Left Headlamp</t>
  </si>
  <si>
    <t>Body &gt; Exterior Lighting &gt; Headlamp System &gt; Headlamp &gt; Left Headlamp &gt; Process</t>
  </si>
  <si>
    <t>A000002QWMZUEU01 (AutoReverse)</t>
  </si>
  <si>
    <t>Body &gt; Exterior Lighting &gt; Headlamp System &gt; Headlamp &gt; Right Headlamp</t>
  </si>
  <si>
    <t>Body &gt; Exterior Lighting &gt; Headlamp System &gt; Headlamp &gt; Right Headlamp &gt; Process</t>
  </si>
  <si>
    <t>A000002QWMZVEU01 (AutoReverse)</t>
  </si>
  <si>
    <t>Screws (GCDB_01_00502)</t>
  </si>
  <si>
    <t>00000002O0QKEU01 (AutoReverse)</t>
  </si>
  <si>
    <t>Body &gt; Exterior Lighting &gt; Headlamp System &gt; Headlamp ECU</t>
  </si>
  <si>
    <t>Body &gt; Exterior Lighting &gt; Headlamp System &gt; Headlamp ECU &gt; Headlight ECU</t>
  </si>
  <si>
    <t>Body &gt; Exterior Lighting &gt; Headlamp System &gt; Headlamp ECU &gt; Headlight ECU &gt; Process</t>
  </si>
  <si>
    <t>00000004GB4KEU01 (AutoReverse)</t>
  </si>
  <si>
    <t>00000004P4HEEU01 (AutoReverse)</t>
  </si>
  <si>
    <t>CELLULOSE</t>
  </si>
  <si>
    <t>0000000IG6YACID0 (AutoReverse)</t>
  </si>
  <si>
    <t>0000000AQ9ZVEU01 (AutoReverse)</t>
  </si>
  <si>
    <t>Body &gt; Exterior Lighting &gt; Rear Lamp System</t>
  </si>
  <si>
    <t>Body &gt; Exterior Lighting &gt; Rear Lamp System &gt; Rear Lamp on Trunk Lid   Tailgate System View</t>
  </si>
  <si>
    <t>Body &gt; Exterior Lighting &gt; Rear Lamp System &gt; Rear Lamp on Trunk Lid   Tailgate System View &gt; Process</t>
  </si>
  <si>
    <t>0000009X67MXEU02 (AutoReverse) ; 000000042FX3EU01 (Unknown) ; 000000AB21JHEU02 (AutoReverse)</t>
  </si>
  <si>
    <t>Body &gt; Exterior Lighting &gt; Rear Lamp System &gt; Rear Lamp on Body</t>
  </si>
  <si>
    <t>Body &gt; Exterior Lighting &gt; Rear Lamp System &gt; Rear Lamp on Body &gt; Rear Left Lamp on Body</t>
  </si>
  <si>
    <t>Body &gt; Exterior Lighting &gt; Rear Lamp System &gt; Rear Lamp on Body &gt; Rear Left Lamp on Body &gt; Process</t>
  </si>
  <si>
    <t>A000002QWMZYEU01 (AutoReverse)</t>
  </si>
  <si>
    <t>Body &gt; Exterior Lighting &gt; Rear Lamp System &gt; Rear Lamp on Body &gt; Rear Right Lamp on Body</t>
  </si>
  <si>
    <t>Body &gt; Exterior Lighting &gt; Rear Lamp System &gt; Rear Lamp on Body &gt; Rear Right Lamp on Body &gt; Process</t>
  </si>
  <si>
    <t>A000002QWMZZEU01 (AutoReverse)</t>
  </si>
  <si>
    <t>00000003SYUCEU01 (AutoReverse) ; 0000009X67N7EU02 (AutoReverse) ; A000002QWMZYEU01 (AutoReverse) ; A000002QWMZZEU01 (AutoReverse) ; 00000001GCK9EU01 (Unknown)</t>
  </si>
  <si>
    <t>PP;TPV-(EPDM-PP)</t>
  </si>
  <si>
    <t>00000002Q4G0EU01 (AutoReverse) ; 000000042FX3EU01 (Unknown)</t>
  </si>
  <si>
    <t>A0000011R1NMEU02 (AutoReverse)</t>
  </si>
  <si>
    <t>000000098E8BEU01 (AutoReverse)</t>
  </si>
  <si>
    <t>00000011UK54CID0 (AutoReverse)</t>
  </si>
  <si>
    <t>000000053BPKEU01 (AutoReverse)</t>
  </si>
  <si>
    <t>Body &gt; Exterior Lighting &gt; Third Stop Lamp System</t>
  </si>
  <si>
    <t>Body &gt; Exterior Lighting &gt; Third Stop Lamp System &gt; Third Stop Lamp</t>
  </si>
  <si>
    <t>Body &gt; Exterior Lighting &gt; Third Stop Lamp System &gt; Third Stop Lamp &gt; Process</t>
  </si>
  <si>
    <t>00000008UE43EU01 (AutoReverse)</t>
  </si>
  <si>
    <t>PC;TPE</t>
  </si>
  <si>
    <t>0000000AKJYCEU01 (AutoReverse)</t>
  </si>
  <si>
    <t>000000026Q30EU01 (AutoReverse) ; 00000001WDJREU01 (Unknown)</t>
  </si>
  <si>
    <t>Body &gt; Exterior Lighting &gt; License Plate Light System</t>
  </si>
  <si>
    <t>PMMA;PC-ABS;ELECTRONIC COMPONENT</t>
  </si>
  <si>
    <t>00000005FYLKEU01 (AutoReverse)</t>
  </si>
  <si>
    <t>000000070PW5EU01 (AutoReverse)</t>
  </si>
  <si>
    <t>Body &gt; Exterior Lighting &gt; Dynamic Adjustment Bar</t>
  </si>
  <si>
    <t>Body &gt; Exterior Lighting &gt; Dynamic Adjustment Bar &gt; Dynamic Adjustment on Front Axle</t>
  </si>
  <si>
    <t>000000089NQKEU01 (AutoReverse)</t>
  </si>
  <si>
    <t>TPU</t>
  </si>
  <si>
    <t>0000000AG94KEU01 (AutoReverse)</t>
  </si>
  <si>
    <t>00000006RN2WEU01 (AutoReverse)</t>
  </si>
  <si>
    <t>000000ADZUOPEU02 (AutoReverse)</t>
  </si>
  <si>
    <t>00000007LEB4EU01 (AutoReverse)</t>
  </si>
  <si>
    <t>000000030Y80EU01 (AutoReverse)</t>
  </si>
  <si>
    <t>Screws (GCDB_01_00639)</t>
  </si>
  <si>
    <t>00000005LGFREU01 (AutoReverse)</t>
  </si>
  <si>
    <t>Body &gt; Exterior Lighting &gt; Dynamic Adjustment Bar &gt; Dynamic Adjustment on Rear Axle</t>
  </si>
  <si>
    <t>00000000ADQVEU01 (AutoReverse)</t>
  </si>
  <si>
    <t>00000008T7T2EU01 (AutoReverse)</t>
  </si>
  <si>
    <t>00000003B4MMEU01 (AutoReverse)</t>
  </si>
  <si>
    <t>00000006SUHDEU01 (AutoReverse)</t>
  </si>
  <si>
    <t>000000079Z6MEU01 (AutoReverse)</t>
  </si>
  <si>
    <t>Body &gt; Exterior Lighting &gt; Rear Fog Lamp System</t>
  </si>
  <si>
    <t>Body &gt; Exterior Lighting &gt; Rear Fog Lamp System &gt; Rear Fog Lamp</t>
  </si>
  <si>
    <t>Body &gt; Exterior Lighting &gt; Rear Fog Lamp System &gt; Rear Fog Lamp &gt; Rear Left Fog Lamp</t>
  </si>
  <si>
    <t>Body &gt; Exterior Lighting &gt; Rear Fog Lamp System &gt; Rear Fog Lamp &gt; Rear Left Fog Lamp &gt; Process</t>
  </si>
  <si>
    <t>A000003FIKROEU01 (AutoReverse)</t>
  </si>
  <si>
    <t>Body &gt; Exterior Lighting &gt; Rear Fog Lamp System &gt; Rear Fog Lamp &gt; Rear Right Fog Lamp</t>
  </si>
  <si>
    <t>Body &gt; Exterior Lighting &gt; Rear Fog Lamp System &gt; Rear Fog Lamp &gt; Rear Right Fog Lamp &gt; Process</t>
  </si>
  <si>
    <t>A000003FIKRQEU01 (AutoReverse)</t>
  </si>
  <si>
    <t>00000002V9M9EU01 (AutoReverse)</t>
  </si>
  <si>
    <t>00000008PJRQEU01 (AutoReverse)</t>
  </si>
  <si>
    <t>00000009D4DWEU01 (AutoReverse)</t>
  </si>
  <si>
    <t>Body &gt; Windshield Wiper</t>
  </si>
  <si>
    <t>Body &gt; Windshield Wiper &gt; Front</t>
  </si>
  <si>
    <t>Body &gt; Windshield Wiper &gt; Front &gt; Wiper Motor</t>
  </si>
  <si>
    <t>Body &gt; Windshield Wiper &gt; Front &gt; Wiper Motor &gt; Process</t>
  </si>
  <si>
    <t>00000002NCNYEU01 (AutoReverse)</t>
  </si>
  <si>
    <t>Body &gt; Windshield Wiper &gt; Front &gt; Wiper Linkage</t>
  </si>
  <si>
    <t>Body &gt; Windshield Wiper &gt; Front &gt; Wiper Linkage &gt; Body Cast Frame</t>
  </si>
  <si>
    <t>0.6052631578947368421052631579 kg</t>
  </si>
  <si>
    <t>Body &gt; Windshield Wiper &gt; Front &gt; Wiper Linkage &gt; Body Cast Frame &gt; Furnace heating</t>
  </si>
  <si>
    <t>Body &gt; Windshield Wiper &gt; Front &gt; Wiper Linkage &gt; Body Cast Frame &gt; Transport with laddle</t>
  </si>
  <si>
    <t>Body &gt; Windshield Wiper &gt; Front &gt; Wiper Linkage &gt; Body Cast Frame &gt; Pressing (Cold Chamber)</t>
  </si>
  <si>
    <t>Body &gt; Windshield Wiper &gt; Front &gt; Wiper Linkage &gt; Link 1</t>
  </si>
  <si>
    <t>0.20000 kg</t>
  </si>
  <si>
    <t>0.25 kg</t>
  </si>
  <si>
    <t>Body &gt; Windshield Wiper &gt; Front &gt; Wiper Linkage &gt; Link 1 &gt; Stamping</t>
  </si>
  <si>
    <t>Body &gt; Windshield Wiper &gt; Front &gt; Wiper Linkage &gt; Link 1 &gt; Cleaning</t>
  </si>
  <si>
    <t>Body &gt; Windshield Wiper &gt; Front &gt; Wiper Linkage &gt; Link 1 &gt; Packaging</t>
  </si>
  <si>
    <t>Body &gt; Windshield Wiper &gt; Front &gt; Wiper Linkage &gt; Link 2</t>
  </si>
  <si>
    <t>0.15000 kg</t>
  </si>
  <si>
    <t>0.1875 kg</t>
  </si>
  <si>
    <t>Body &gt; Windshield Wiper &gt; Front &gt; Wiper Linkage &gt; Link 2 &gt; Stamping</t>
  </si>
  <si>
    <t>Body &gt; Windshield Wiper &gt; Front &gt; Wiper Linkage &gt; Link 2 &gt; Cleaning</t>
  </si>
  <si>
    <t>Body &gt; Windshield Wiper &gt; Front &gt; Wiper Linkage &gt; Link 2 &gt; Packaging</t>
  </si>
  <si>
    <t>Body &gt; Windshield Wiper &gt; Front &gt; Wiper Linkage &gt; Link 3</t>
  </si>
  <si>
    <t>Body &gt; Windshield Wiper &gt; Front &gt; Wiper Linkage &gt; Link 3 &gt; Stamping</t>
  </si>
  <si>
    <t>Body &gt; Windshield Wiper &gt; Front &gt; Wiper Linkage &gt; Link 3 &gt; Cleaning</t>
  </si>
  <si>
    <t>Body &gt; Windshield Wiper &gt; Front &gt; Wiper Linkage &gt; Link 3 &gt; Packaging</t>
  </si>
  <si>
    <t>Body &gt; Windshield Wiper &gt; Front &gt; Wiper Linkage &gt; Link 4</t>
  </si>
  <si>
    <t>Body &gt; Windshield Wiper &gt; Front &gt; Wiper Linkage &gt; Link 4 &gt; Stamping</t>
  </si>
  <si>
    <t>Body &gt; Windshield Wiper &gt; Front &gt; Wiper Linkage &gt; Link 4 &gt; Cleaning</t>
  </si>
  <si>
    <t>Body &gt; Windshield Wiper &gt; Front &gt; Wiper Linkage &gt; Link 4 &gt; Packaging</t>
  </si>
  <si>
    <t>Body &gt; Windshield Wiper &gt; Front &gt; Wiper Linkage &gt; Attaching plate</t>
  </si>
  <si>
    <t>0.03125 kg</t>
  </si>
  <si>
    <t>Body &gt; Windshield Wiper &gt; Front &gt; Wiper Linkage &gt; Attaching plate &gt; Stamping</t>
  </si>
  <si>
    <t>Body &gt; Windshield Wiper &gt; Front &gt; Wiper Linkage &gt; Attaching plate &gt; Cleaning</t>
  </si>
  <si>
    <t>Body &gt; Windshield Wiper &gt; Front &gt; Wiper Linkage &gt; Attaching plate &gt; Packaging</t>
  </si>
  <si>
    <t>Body &gt; Windshield Wiper &gt; Front &gt; Wiper Linkage &gt; Assembly</t>
  </si>
  <si>
    <t>Steel, Stamping ; Aluminium, Casting</t>
  </si>
  <si>
    <t>0000000AJE3JEU01 (AutoReverse)</t>
  </si>
  <si>
    <t>Body &gt; Windshield Wiper &gt; Front &gt; Wiper Blades</t>
  </si>
  <si>
    <t>Steel; EPDM; PBT-PET-GF30, Seal Extrusion</t>
  </si>
  <si>
    <t>A2MAC1 reference price (BYD Song)</t>
  </si>
  <si>
    <t>00000005RP1DEU01 (AutoReverse)</t>
  </si>
  <si>
    <t>Steel; PBT-PET-GF30; EPDM, Seal Extrusion</t>
  </si>
  <si>
    <t>00000001LNZ2EU01 (AutoReverse)</t>
  </si>
  <si>
    <t>000000091GGEEU01 (AutoReverse)</t>
  </si>
  <si>
    <t>Body &gt; Windshield Wiper &gt; Front &gt; Wiper Arm</t>
  </si>
  <si>
    <t>00000005OD6NEU01 (AutoReverse)</t>
  </si>
  <si>
    <t>000000061G13EU01 (AutoReverse)</t>
  </si>
  <si>
    <t>PBT-GF, Injection Molding</t>
  </si>
  <si>
    <t>A000000P05TEEU02 (AutoReverse)</t>
  </si>
  <si>
    <t>00000005CE4REU01 (AutoReverse)</t>
  </si>
  <si>
    <t>PA, Injection Molding</t>
  </si>
  <si>
    <t>00000006J6GXEU01 (AutoReverse)</t>
  </si>
  <si>
    <t>Body &gt; Windshield Wiper &gt; Front &gt; Assembly</t>
  </si>
  <si>
    <t>0000000361D6EU01 (AutoReverse)</t>
  </si>
  <si>
    <t>Body &gt; Windshield Wiper &gt; Washer</t>
  </si>
  <si>
    <t>Body &gt; Windshield Wiper &gt; Washer &gt; Tank</t>
  </si>
  <si>
    <t>0.49700 kg</t>
  </si>
  <si>
    <t>0.5231578947368421052631578947 kg</t>
  </si>
  <si>
    <t>Body &gt; Windshield Wiper &gt; Washer &gt; Tank &gt; Automated Process</t>
  </si>
  <si>
    <t>00000006F6M5EU01 (AutoReverse)</t>
  </si>
  <si>
    <t>Body &gt; Windshield Wiper &gt; Washer &gt; Filler Pipe</t>
  </si>
  <si>
    <t>Body &gt; Windshield Wiper &gt; Washer &gt; Filler Pipe &gt; Automated Process</t>
  </si>
  <si>
    <t>00000006WTPEEU01 (AutoReverse)</t>
  </si>
  <si>
    <t>Body &gt; Windshield Wiper &gt; Washer &gt; Filler Pipe Support</t>
  </si>
  <si>
    <t>Body &gt; Windshield Wiper &gt; Washer &gt; Filler Pipe Support &gt; Automated Process</t>
  </si>
  <si>
    <t>00000007NDAKEU01 (AutoReverse)</t>
  </si>
  <si>
    <t>ELECTRIC MOTOR;PA</t>
  </si>
  <si>
    <t>00000002DGOHEU01 (AutoReverse)</t>
  </si>
  <si>
    <t>Body &gt; Windshield Wiper &gt; Washer &gt; Windshield Washer Jets</t>
  </si>
  <si>
    <t>Body &gt; Windshield Wiper &gt; Washer &gt; Windshield Washer Jets &gt; Automated Process</t>
  </si>
  <si>
    <t>000000092CVSEU01 (AutoReverse)</t>
  </si>
  <si>
    <t>Body &gt; Windshield Wiper &gt; Washer &gt; Front Single Pipe</t>
  </si>
  <si>
    <t>Body &gt; Windshield Wiper &gt; Washer &gt; Front Single Pipe &gt; Automated Process</t>
  </si>
  <si>
    <t>00000008UDP9EU01 (AutoReverse)</t>
  </si>
  <si>
    <t>Body &gt; Windshield Wiper &gt; Washer &gt; 2nd Front Single Pipe</t>
  </si>
  <si>
    <t>Body &gt; Windshield Wiper &gt; Washer &gt; 2nd Front Single Pipe &gt; Automated Process</t>
  </si>
  <si>
    <t>000000A85FDCEU02 (AutoReverse)</t>
  </si>
  <si>
    <t>Body &gt; Windshield Wiper &gt; Washer &gt; Pipe on Hood Scuttle Grille</t>
  </si>
  <si>
    <t>Body &gt; Windshield Wiper &gt; Washer &gt; Pipe on Hood Scuttle Grille &gt; Automated Process</t>
  </si>
  <si>
    <t>00000005YRCKEU01 (AutoReverse)</t>
  </si>
  <si>
    <t>Body &gt; Windshield Wiper &gt; Washer &gt; Tank Cap</t>
  </si>
  <si>
    <t>Body &gt; Windshield Wiper &gt; Washer &gt; Tank Cap &gt; Automated Process</t>
  </si>
  <si>
    <t>00000005WOCSEU01 (AutoReverse)</t>
  </si>
  <si>
    <t>00000003CLGSEU01 (AutoReverse)</t>
  </si>
  <si>
    <t>00000007FRKJEU01 (AutoReverse)</t>
  </si>
  <si>
    <t>00000004QH72EU01 (AutoReverse)</t>
  </si>
  <si>
    <t>Details project summary</t>
  </si>
  <si>
    <t>CS Library - Full Vehicle DC - Xiaomi SU7 - (2505-118) - Reference</t>
  </si>
  <si>
    <t>Release Standard 02/2026 - Version 3.0</t>
  </si>
  <si>
    <t>Status</t>
  </si>
  <si>
    <t>Active</t>
  </si>
  <si>
    <t>Team members</t>
  </si>
  <si>
    <t>Version</t>
  </si>
  <si>
    <t>Year</t>
  </si>
  <si>
    <t>BSaas Product Id</t>
  </si>
  <si>
    <t>A000004QMFLMEU01</t>
  </si>
  <si>
    <t>Active Scenario</t>
  </si>
  <si>
    <t>China 2025, 200k - EURO</t>
  </si>
  <si>
    <t>Entity Status</t>
  </si>
  <si>
    <t>Cost Summary</t>
  </si>
  <si>
    <t>Material margin (€)</t>
  </si>
  <si>
    <t>PCB part CO2 (kgCO2e)</t>
  </si>
  <si>
    <t>Value</t>
  </si>
  <si>
    <t>Ratio</t>
  </si>
  <si>
    <t>Commodity [2]</t>
  </si>
  <si>
    <t>Commodity [3]</t>
  </si>
  <si>
    <t>Commodity [4]</t>
  </si>
  <si>
    <t>EE - Mechanics [2]</t>
  </si>
  <si>
    <t>Electronics [2]</t>
  </si>
  <si>
    <t>From currency</t>
  </si>
  <si>
    <t>To currency</t>
  </si>
  <si>
    <t>Source date</t>
  </si>
  <si>
    <t>Creation date</t>
  </si>
  <si>
    <t>USD (a2mac1 default)</t>
  </si>
  <si>
    <t>USD</t>
  </si>
  <si>
    <t>EUR</t>
  </si>
  <si>
    <t>01/09/2024</t>
  </si>
  <si>
    <t>02/15/2026</t>
  </si>
  <si>
    <t>Cost of electrical energy (€/kwh)</t>
  </si>
  <si>
    <t>Cost of gas (€/m³)</t>
  </si>
  <si>
    <t>Cost of oil (€/m³)</t>
  </si>
  <si>
    <t>Insurance rate (%)</t>
  </si>
  <si>
    <t>Interest rate (%)</t>
  </si>
  <si>
    <t>Working days/year</t>
  </si>
  <si>
    <t>Labor cost increase/year (%)</t>
  </si>
  <si>
    <t>CO₂ equivalent electrical energy (kgCO2eq/kwh)</t>
  </si>
  <si>
    <t>CO₂ equivalent of gas (kgCO2eq/m³)</t>
  </si>
  <si>
    <t>CO₂ equivalent of oil (kgCO2eq/m³)</t>
  </si>
  <si>
    <t>Cost of air (€/m³)</t>
  </si>
  <si>
    <t>Cost of engineer (€/h)</t>
  </si>
  <si>
    <t>Cost of facility rental production (€/m²/month)</t>
  </si>
  <si>
    <t>Cost of fresh water (€/m³)</t>
  </si>
  <si>
    <t>Cost of lowskilled labor (€/h)</t>
  </si>
  <si>
    <t>Cost of skilled labor (€/h)</t>
  </si>
  <si>
    <t>Cost of technician (€/h)</t>
  </si>
  <si>
    <t>Cost of unskilled labor (€/h)</t>
  </si>
  <si>
    <t>Material CO₂ scaling</t>
  </si>
  <si>
    <t>Material price scaling</t>
  </si>
  <si>
    <t>Technical gas cost (€/m³)</t>
  </si>
  <si>
    <t>Currency</t>
  </si>
  <si>
    <t>Base volume</t>
  </si>
  <si>
    <t>Number of lots mechanical</t>
  </si>
  <si>
    <t>Number of lots production</t>
  </si>
  <si>
    <t>Hours per shift</t>
  </si>
  <si>
    <t>Number of shifts</t>
  </si>
  <si>
    <t>Mechanical country</t>
  </si>
  <si>
    <t>Production country</t>
  </si>
  <si>
    <t>As is scenario</t>
  </si>
  <si>
    <t>Scale material based on country</t>
  </si>
  <si>
    <t>China 2025, 200k - US Dollar</t>
  </si>
  <si>
    <t>Overhead group</t>
  </si>
  <si>
    <t>Components overhead (%)</t>
  </si>
  <si>
    <t>Consumable overhead (%)</t>
  </si>
  <si>
    <t>Manufacturing overhead (%)</t>
  </si>
  <si>
    <t>Material overhead (%)</t>
  </si>
  <si>
    <t>General overhead (%)</t>
  </si>
  <si>
    <t>Transport overhead (%)</t>
  </si>
  <si>
    <t>Packaging overhead (%)</t>
  </si>
  <si>
    <t>Production margin (%)</t>
  </si>
  <si>
    <t>Material margin (%)</t>
  </si>
  <si>
    <t>Material scrap rate (%)</t>
  </si>
  <si>
    <t>Overhead type</t>
  </si>
  <si>
    <t>No Overhead INT</t>
  </si>
  <si>
    <t>Custom</t>
  </si>
  <si>
    <t>PCBA Assembly</t>
  </si>
  <si>
    <t>Connectors</t>
  </si>
  <si>
    <t>Modules (SiP, Modem)</t>
  </si>
  <si>
    <t>Display Panel</t>
  </si>
  <si>
    <t>Inductor</t>
  </si>
  <si>
    <t>Power Module</t>
  </si>
  <si>
    <t>DC-Link Capacitor</t>
  </si>
  <si>
    <t>Battery [Final Assembly] [Purchased]</t>
  </si>
  <si>
    <t>Battery [Cells: Cell to Pack level] [Purchased]</t>
  </si>
  <si>
    <t>Battery [Cells: Pack level] [Purchased]</t>
  </si>
  <si>
    <t>Battery [Cells: Module level] [Purchased]</t>
  </si>
  <si>
    <t>Battery [Battery Excluding Cells] [Purchased]</t>
  </si>
  <si>
    <t>Battery [Cells: Pack level] [Internal]</t>
  </si>
  <si>
    <t>Battery [Cells: Module level] [Internal]</t>
  </si>
  <si>
    <t>BIW - [Assembly] [Purchased]</t>
  </si>
  <si>
    <t>Battery: Battery Manufacturing Overhead [Internal][%]</t>
  </si>
  <si>
    <t>Battery: Battery pack excluding cells [Internal][%]</t>
  </si>
  <si>
    <t>Battery [Cells: Cell to Pack level][InHouse]</t>
  </si>
  <si>
    <t>Battery: BMS and Relay Box overhead settings [Purchased][%]</t>
  </si>
  <si>
    <t>Battery: Cell Assembly Overhead settings [Purchased][%]</t>
  </si>
  <si>
    <t>INT - No MOH Mechanical</t>
  </si>
  <si>
    <t>PTR-[Purchased] Assembly</t>
  </si>
  <si>
    <t>HV Battery</t>
  </si>
  <si>
    <t>ePTR Standard</t>
  </si>
  <si>
    <t>EE Standard</t>
  </si>
  <si>
    <t xml:space="preserve">INT - No Overhead </t>
  </si>
  <si>
    <t>No Overhead</t>
  </si>
  <si>
    <t>Mechanical</t>
  </si>
  <si>
    <t>Battery [Cells: Cell Manufacturing] [Internal]</t>
  </si>
  <si>
    <t>Battery [Module Mechanics Overhead Settings] [Internal]</t>
  </si>
  <si>
    <t>Battery [BMS Overhead Settings] [Internal]</t>
  </si>
  <si>
    <t>Battery [Relay Box Overhead Settings] [Internal]</t>
  </si>
  <si>
    <t>Battery [Assembly] [Internal]</t>
  </si>
  <si>
    <t>Battery [Mechanical Prod] [Internal]</t>
  </si>
  <si>
    <t>Exterior - [Assembly] [Purchased]</t>
  </si>
  <si>
    <t>Battery [Cells: Cell Manufacturing] [Purchased]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</si>
</sst>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8B"/>
      <name val="Arial"/>
      <family val="2"/>
    </font>
    <font>
      <b/>
      <sz val="12"/>
      <color rgb="FF00008B"/>
      <name val="Arial"/>
      <family val="2"/>
    </font>
    <font>
      <u/>
      <sz val="10"/>
      <color rgb="FF0000FF"/>
      <name val="Arial"/>
      <family val="2"/>
    </font>
    <font>
      <b/>
      <sz val="13"/>
      <color rgb="FF00008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2C18-EF1A-4BD3-B8A6-F9666B30A7E3}">
  <dimension ref="A1:K14"/>
  <sheetViews>
    <sheetView tabSelected="1" workbookViewId="0">
      <selection sqref="A1:B1"/>
    </sheetView>
  </sheetViews>
  <sheetFormatPr baseColWidth="10" defaultColWidth="8.83203125" defaultRowHeight="13" x14ac:dyDescent="0.15"/>
  <cols>
    <col min="1" max="1" width="15.6640625" customWidth="1"/>
    <col min="2" max="2" width="25.6640625" customWidth="1"/>
    <col min="5" max="6" width="28.6640625" customWidth="1"/>
    <col min="7" max="7" width="15.6640625" customWidth="1"/>
    <col min="9" max="9" width="20.6640625" customWidth="1"/>
    <col min="10" max="10" width="35.6640625" customWidth="1"/>
    <col min="11" max="11" width="15.6640625" customWidth="1"/>
  </cols>
  <sheetData>
    <row r="1" spans="1:11" ht="17" x14ac:dyDescent="0.15">
      <c r="A1" s="6" t="s">
        <v>8783</v>
      </c>
      <c r="B1" s="6"/>
      <c r="E1" s="6" t="s">
        <v>8796</v>
      </c>
      <c r="F1" s="6"/>
      <c r="G1" s="6"/>
      <c r="I1" s="6" t="s">
        <v>36</v>
      </c>
      <c r="J1" s="6"/>
      <c r="K1" s="6"/>
    </row>
    <row r="2" spans="1:11" x14ac:dyDescent="0.15">
      <c r="A2" s="1" t="s">
        <v>4</v>
      </c>
      <c r="B2" s="5" t="s">
        <v>8784</v>
      </c>
      <c r="E2" s="7" t="s">
        <v>22</v>
      </c>
      <c r="F2" s="1" t="s">
        <v>16</v>
      </c>
      <c r="G2" s="5">
        <v>29725.117396462767</v>
      </c>
      <c r="I2" s="7" t="s">
        <v>22</v>
      </c>
      <c r="J2" s="1" t="s">
        <v>37</v>
      </c>
      <c r="K2" s="5">
        <v>0</v>
      </c>
    </row>
    <row r="3" spans="1:11" x14ac:dyDescent="0.15">
      <c r="A3" s="1" t="s">
        <v>14</v>
      </c>
      <c r="B3" s="5" t="s">
        <v>8785</v>
      </c>
      <c r="E3" s="7"/>
      <c r="F3" s="1" t="s">
        <v>19</v>
      </c>
      <c r="G3" s="5">
        <v>0</v>
      </c>
      <c r="I3" s="7"/>
      <c r="J3" s="1" t="s">
        <v>38</v>
      </c>
      <c r="K3" s="5">
        <v>0</v>
      </c>
    </row>
    <row r="4" spans="1:11" x14ac:dyDescent="0.15">
      <c r="A4" s="1" t="s">
        <v>8786</v>
      </c>
      <c r="B4" s="5" t="s">
        <v>8787</v>
      </c>
      <c r="E4" s="7"/>
      <c r="F4" s="1" t="s">
        <v>20</v>
      </c>
      <c r="G4" s="5">
        <v>0</v>
      </c>
      <c r="I4" s="7"/>
      <c r="J4" s="1" t="s">
        <v>39</v>
      </c>
      <c r="K4" s="5">
        <v>0</v>
      </c>
    </row>
    <row r="5" spans="1:11" x14ac:dyDescent="0.15">
      <c r="A5" s="1" t="s">
        <v>8788</v>
      </c>
      <c r="B5" s="5"/>
      <c r="E5" s="7"/>
      <c r="F5" s="1" t="s">
        <v>21</v>
      </c>
      <c r="G5" s="5">
        <v>29725.117396462767</v>
      </c>
      <c r="I5" s="7"/>
      <c r="J5" s="1" t="s">
        <v>86</v>
      </c>
      <c r="K5" s="5">
        <v>0</v>
      </c>
    </row>
    <row r="6" spans="1:11" x14ac:dyDescent="0.15">
      <c r="A6" s="1" t="s">
        <v>8789</v>
      </c>
      <c r="B6" s="5">
        <v>0</v>
      </c>
      <c r="E6" s="7" t="s">
        <v>25</v>
      </c>
      <c r="F6" s="1" t="s">
        <v>23</v>
      </c>
      <c r="G6" s="5">
        <v>0</v>
      </c>
      <c r="I6" s="7"/>
      <c r="J6" s="1" t="s">
        <v>8798</v>
      </c>
      <c r="K6" s="5">
        <v>0</v>
      </c>
    </row>
    <row r="7" spans="1:11" ht="16" x14ac:dyDescent="0.15">
      <c r="A7" s="1" t="s">
        <v>8790</v>
      </c>
      <c r="B7" s="5">
        <v>2024</v>
      </c>
      <c r="E7" s="7"/>
      <c r="F7" s="1" t="s">
        <v>24</v>
      </c>
      <c r="G7" s="5">
        <v>0</v>
      </c>
      <c r="I7" s="2" t="s">
        <v>25</v>
      </c>
      <c r="J7" s="1" t="s">
        <v>40</v>
      </c>
      <c r="K7" s="5">
        <v>0</v>
      </c>
    </row>
    <row r="8" spans="1:11" ht="16" x14ac:dyDescent="0.15">
      <c r="A8" s="1" t="s">
        <v>8791</v>
      </c>
      <c r="B8" s="5" t="s">
        <v>8792</v>
      </c>
      <c r="E8" s="2" t="s">
        <v>26</v>
      </c>
      <c r="F8" s="1" t="s">
        <v>27</v>
      </c>
      <c r="G8" s="5">
        <v>29725.117396462767</v>
      </c>
      <c r="I8" s="2" t="s">
        <v>34</v>
      </c>
      <c r="J8" s="1" t="s">
        <v>41</v>
      </c>
      <c r="K8" s="5">
        <v>0</v>
      </c>
    </row>
    <row r="9" spans="1:11" x14ac:dyDescent="0.15">
      <c r="A9" s="1" t="s">
        <v>8793</v>
      </c>
      <c r="B9" s="5" t="s">
        <v>8794</v>
      </c>
      <c r="E9" s="7" t="s">
        <v>33</v>
      </c>
      <c r="F9" s="1" t="s">
        <v>8797</v>
      </c>
      <c r="G9" s="5">
        <v>0</v>
      </c>
    </row>
    <row r="10" spans="1:11" x14ac:dyDescent="0.15">
      <c r="A10" s="1" t="s">
        <v>8795</v>
      </c>
      <c r="B10" s="5" t="s">
        <v>76</v>
      </c>
      <c r="E10" s="7"/>
      <c r="F10" s="1" t="s">
        <v>29</v>
      </c>
      <c r="G10" s="5">
        <v>0</v>
      </c>
    </row>
    <row r="11" spans="1:11" x14ac:dyDescent="0.15">
      <c r="E11" s="7"/>
      <c r="F11" s="1" t="s">
        <v>30</v>
      </c>
      <c r="G11" s="5">
        <v>0</v>
      </c>
    </row>
    <row r="12" spans="1:11" x14ac:dyDescent="0.15">
      <c r="E12" s="7"/>
      <c r="F12" s="1" t="s">
        <v>31</v>
      </c>
      <c r="G12" s="5">
        <v>0</v>
      </c>
    </row>
    <row r="13" spans="1:11" x14ac:dyDescent="0.15">
      <c r="E13" s="7"/>
      <c r="F13" s="1" t="s">
        <v>32</v>
      </c>
      <c r="G13" s="5">
        <v>0</v>
      </c>
    </row>
    <row r="14" spans="1:11" ht="16" x14ac:dyDescent="0.15">
      <c r="E14" s="2" t="s">
        <v>34</v>
      </c>
      <c r="F14" s="1" t="s">
        <v>35</v>
      </c>
      <c r="G14" s="5">
        <v>29725.117396462767</v>
      </c>
    </row>
  </sheetData>
  <mergeCells count="7">
    <mergeCell ref="E9:E13"/>
    <mergeCell ref="I1:K1"/>
    <mergeCell ref="I2:I6"/>
    <mergeCell ref="A1:B1"/>
    <mergeCell ref="E1:G1"/>
    <mergeCell ref="E2:E5"/>
    <mergeCell ref="E6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C5ED-DBF3-4E0F-8239-EDC07AAF346F}">
  <dimension ref="A1:F8501"/>
  <sheetViews>
    <sheetView workbookViewId="0"/>
  </sheetViews>
  <sheetFormatPr baseColWidth="10" defaultColWidth="8.83203125" defaultRowHeight="13" x14ac:dyDescent="0.15"/>
  <sheetData>
    <row r="1" spans="1:6" ht="1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15">
      <c r="A2">
        <v>9760</v>
      </c>
      <c r="B2">
        <v>9760</v>
      </c>
      <c r="C2" t="s">
        <v>6</v>
      </c>
      <c r="D2" t="s">
        <v>7</v>
      </c>
      <c r="E2" s="4" t="str">
        <f>HYPERLINK("https://ibp.a2mac1.com/costing(costing:projects/details/9760)","CS Library - Full Vehicle DC - Xiaomi SU7 - (2505-118) - Reference")</f>
        <v>CS Library - Full Vehicle DC - Xiaomi SU7 - (2505-118) - Reference</v>
      </c>
    </row>
    <row r="3" spans="1:6" x14ac:dyDescent="0.15">
      <c r="A3">
        <v>8410600</v>
      </c>
      <c r="B3">
        <v>9760</v>
      </c>
      <c r="C3" t="s">
        <v>8</v>
      </c>
      <c r="D3" t="s">
        <v>6</v>
      </c>
      <c r="E3" s="4" t="str">
        <f>HYPERLINK("https://ibp.a2mac1.com/costing(costing:projects/details/9760/assembly/8410600)","Fluids")</f>
        <v>Fluids</v>
      </c>
      <c r="F3" t="s">
        <v>9</v>
      </c>
    </row>
    <row r="4" spans="1:6" x14ac:dyDescent="0.15">
      <c r="A4">
        <v>8410601</v>
      </c>
      <c r="B4">
        <v>8410600</v>
      </c>
      <c r="C4" t="s">
        <v>10</v>
      </c>
      <c r="D4" t="s">
        <v>8</v>
      </c>
      <c r="E4" s="4" t="str">
        <f>HYPERLINK("https://ibp.a2mac1.com/costing(costing:projects/details/9760/part/8410601)","Coolant")</f>
        <v>Coolant</v>
      </c>
      <c r="F4" t="s">
        <v>11</v>
      </c>
    </row>
    <row r="5" spans="1:6" x14ac:dyDescent="0.15">
      <c r="A5">
        <v>8410602</v>
      </c>
      <c r="B5">
        <v>8410600</v>
      </c>
      <c r="C5" t="s">
        <v>10</v>
      </c>
      <c r="D5" t="s">
        <v>8</v>
      </c>
      <c r="E5" s="4" t="str">
        <f>HYPERLINK("https://ibp.a2mac1.com/costing(costing:projects/details/9760/part/8410602)","Brake Fluid")</f>
        <v>Brake Fluid</v>
      </c>
      <c r="F5" t="s">
        <v>11</v>
      </c>
    </row>
    <row r="6" spans="1:6" x14ac:dyDescent="0.15">
      <c r="A6">
        <v>8410603</v>
      </c>
      <c r="B6">
        <v>8410600</v>
      </c>
      <c r="C6" t="s">
        <v>10</v>
      </c>
      <c r="D6" t="s">
        <v>8</v>
      </c>
      <c r="E6" s="4" t="str">
        <f>HYPERLINK("https://ibp.a2mac1.com/costing(costing:projects/details/9760/part/8410603)","Air Conditioning Refrigerant")</f>
        <v>Air Conditioning Refrigerant</v>
      </c>
      <c r="F6" t="s">
        <v>11</v>
      </c>
    </row>
    <row r="7" spans="1:6" x14ac:dyDescent="0.15">
      <c r="A7">
        <v>8410604</v>
      </c>
      <c r="B7">
        <v>8410600</v>
      </c>
      <c r="C7" t="s">
        <v>10</v>
      </c>
      <c r="D7" t="s">
        <v>8</v>
      </c>
      <c r="E7" s="4" t="str">
        <f>HYPERLINK("https://ibp.a2mac1.com/costing(costing:projects/details/9760/part/8410604)","Window Washing Fluid")</f>
        <v>Window Washing Fluid</v>
      </c>
      <c r="F7" t="s">
        <v>11</v>
      </c>
    </row>
    <row r="8" spans="1:6" x14ac:dyDescent="0.15">
      <c r="A8">
        <v>8410605</v>
      </c>
      <c r="B8">
        <v>8410600</v>
      </c>
      <c r="C8" t="s">
        <v>10</v>
      </c>
      <c r="D8" t="s">
        <v>8</v>
      </c>
      <c r="E8" s="4" t="str">
        <f>HYPERLINK("https://ibp.a2mac1.com/costing(costing:projects/details/9760/part/8410605)","Front Differential Oil/Angular Member")</f>
        <v>Front Differential Oil/Angular Member</v>
      </c>
      <c r="F8" t="s">
        <v>11</v>
      </c>
    </row>
    <row r="9" spans="1:6" x14ac:dyDescent="0.15">
      <c r="A9">
        <v>8410606</v>
      </c>
      <c r="B9">
        <v>8410600</v>
      </c>
      <c r="C9" t="s">
        <v>10</v>
      </c>
      <c r="D9" t="s">
        <v>8</v>
      </c>
      <c r="E9" s="4" t="str">
        <f>HYPERLINK("https://ibp.a2mac1.com/costing(costing:projects/details/9760/part/8410606)","Rear Differential Oil")</f>
        <v>Rear Differential Oil</v>
      </c>
      <c r="F9" t="s">
        <v>11</v>
      </c>
    </row>
    <row r="10" spans="1:6" x14ac:dyDescent="0.15">
      <c r="A10">
        <v>8410607</v>
      </c>
      <c r="B10">
        <v>9760</v>
      </c>
      <c r="C10" t="s">
        <v>8</v>
      </c>
      <c r="D10" t="s">
        <v>6</v>
      </c>
      <c r="E10" s="4" t="str">
        <f>HYPERLINK("https://ibp.a2mac1.com/costing(costing:projects/details/9760/assembly/8410607)","Pedals System")</f>
        <v>Pedals System</v>
      </c>
      <c r="F10" t="s">
        <v>9</v>
      </c>
    </row>
    <row r="11" spans="1:6" x14ac:dyDescent="0.15">
      <c r="A11">
        <v>8410608</v>
      </c>
      <c r="B11">
        <v>8410607</v>
      </c>
      <c r="C11" t="s">
        <v>8</v>
      </c>
      <c r="D11" t="s">
        <v>8</v>
      </c>
      <c r="E11" s="4" t="str">
        <f>HYPERLINK("https://ibp.a2mac1.com/costing(costing:projects/details/9760/assembly/8410608)","Brake Pedal")</f>
        <v>Brake Pedal</v>
      </c>
      <c r="F11" t="s">
        <v>92</v>
      </c>
    </row>
    <row r="12" spans="1:6" x14ac:dyDescent="0.15">
      <c r="A12">
        <v>8410610</v>
      </c>
      <c r="B12">
        <v>8410608</v>
      </c>
      <c r="C12" t="s">
        <v>10</v>
      </c>
      <c r="D12" t="s">
        <v>8</v>
      </c>
      <c r="E12" s="4" t="str">
        <f>HYPERLINK("https://ibp.a2mac1.com/costing(costing:projects/details/9760/part/8410610)","Brake Pedal")</f>
        <v>Brake Pedal</v>
      </c>
      <c r="F12" t="s">
        <v>93</v>
      </c>
    </row>
    <row r="13" spans="1:6" x14ac:dyDescent="0.15">
      <c r="A13">
        <v>8410611</v>
      </c>
      <c r="B13">
        <v>8410608</v>
      </c>
      <c r="C13" t="s">
        <v>10</v>
      </c>
      <c r="D13" t="s">
        <v>8</v>
      </c>
      <c r="E13" s="4" t="str">
        <f>HYPERLINK("https://ibp.a2mac1.com/costing(costing:projects/details/9760/part/8410611)","Pedal Pad")</f>
        <v>Pedal Pad</v>
      </c>
      <c r="F13" t="s">
        <v>93</v>
      </c>
    </row>
    <row r="14" spans="1:6" x14ac:dyDescent="0.15">
      <c r="A14">
        <v>8410612</v>
      </c>
      <c r="B14">
        <v>8410608</v>
      </c>
      <c r="C14" t="s">
        <v>10</v>
      </c>
      <c r="D14" t="s">
        <v>8</v>
      </c>
      <c r="E14" s="4" t="str">
        <f>HYPERLINK("https://ibp.a2mac1.com/costing(costing:projects/details/9760/part/8410612)","Pedal Pad Bezel")</f>
        <v>Pedal Pad Bezel</v>
      </c>
      <c r="F14" t="s">
        <v>93</v>
      </c>
    </row>
    <row r="15" spans="1:6" x14ac:dyDescent="0.15">
      <c r="A15">
        <v>8410613</v>
      </c>
      <c r="B15">
        <v>8410608</v>
      </c>
      <c r="C15" t="s">
        <v>10</v>
      </c>
      <c r="D15" t="s">
        <v>8</v>
      </c>
      <c r="E15" s="4" t="str">
        <f>HYPERLINK("https://ibp.a2mac1.com/costing(costing:projects/details/9760/part/8410613)","Pedal Support")</f>
        <v>Pedal Support</v>
      </c>
      <c r="F15" t="s">
        <v>93</v>
      </c>
    </row>
    <row r="16" spans="1:6" x14ac:dyDescent="0.15">
      <c r="A16">
        <v>8410614</v>
      </c>
      <c r="B16">
        <v>8410608</v>
      </c>
      <c r="C16" t="s">
        <v>10</v>
      </c>
      <c r="D16" t="s">
        <v>8</v>
      </c>
      <c r="E16" s="4" t="str">
        <f>HYPERLINK("https://ibp.a2mac1.com/costing(costing:projects/details/9760/part/8410614)","Stop Light Sensor")</f>
        <v>Stop Light Sensor</v>
      </c>
      <c r="F16" t="s">
        <v>93</v>
      </c>
    </row>
    <row r="17" spans="1:6" x14ac:dyDescent="0.15">
      <c r="A17">
        <v>8410615</v>
      </c>
      <c r="B17">
        <v>8410608</v>
      </c>
      <c r="C17" t="s">
        <v>10</v>
      </c>
      <c r="D17" t="s">
        <v>8</v>
      </c>
      <c r="E17" s="4" t="str">
        <f>HYPERLINK("https://ibp.a2mac1.com/costing(costing:projects/details/9760/part/8410615)","Sensor Bracket")</f>
        <v>Sensor Bracket</v>
      </c>
      <c r="F17" t="s">
        <v>93</v>
      </c>
    </row>
    <row r="18" spans="1:6" x14ac:dyDescent="0.15">
      <c r="A18">
        <v>12082354</v>
      </c>
      <c r="B18">
        <v>8410608</v>
      </c>
      <c r="C18" t="s">
        <v>114</v>
      </c>
      <c r="D18" t="s">
        <v>8</v>
      </c>
      <c r="E18" s="4" t="str">
        <f>HYPERLINK("https://ibp.a2mac1.com/costing(costing:projects/details/9760/process/12082354)","Process")</f>
        <v>Process</v>
      </c>
      <c r="F18" t="s">
        <v>93</v>
      </c>
    </row>
    <row r="19" spans="1:6" x14ac:dyDescent="0.15">
      <c r="A19">
        <v>12209444</v>
      </c>
      <c r="B19">
        <v>12082354</v>
      </c>
      <c r="C19" t="s">
        <v>163</v>
      </c>
      <c r="D19" t="s">
        <v>114</v>
      </c>
      <c r="E19" s="4" t="str">
        <f>HYPERLINK("https://ibp.a2mac1.com/costing(costing:projects/details/9760/equipment/12209444)","General production process (0.5-10€)")</f>
        <v>General production process (0.5-10€)</v>
      </c>
      <c r="F19" t="s">
        <v>164</v>
      </c>
    </row>
    <row r="20" spans="1:6" x14ac:dyDescent="0.15">
      <c r="A20">
        <v>8410609</v>
      </c>
      <c r="B20">
        <v>8410607</v>
      </c>
      <c r="C20" t="s">
        <v>8</v>
      </c>
      <c r="D20" t="s">
        <v>8</v>
      </c>
      <c r="E20" s="4" t="str">
        <f>HYPERLINK("https://ibp.a2mac1.com/costing(costing:projects/details/9760/assembly/8410609)","Accelerator Pedal")</f>
        <v>Accelerator Pedal</v>
      </c>
      <c r="F20" t="s">
        <v>92</v>
      </c>
    </row>
    <row r="21" spans="1:6" x14ac:dyDescent="0.15">
      <c r="A21">
        <v>8410616</v>
      </c>
      <c r="B21">
        <v>8410609</v>
      </c>
      <c r="C21" t="s">
        <v>10</v>
      </c>
      <c r="D21" t="s">
        <v>8</v>
      </c>
      <c r="E21" s="4" t="str">
        <f>HYPERLINK("https://ibp.a2mac1.com/costing(costing:projects/details/9760/part/8410616)","Accelerator Pedal")</f>
        <v>Accelerator Pedal</v>
      </c>
      <c r="F21" t="s">
        <v>181</v>
      </c>
    </row>
    <row r="22" spans="1:6" x14ac:dyDescent="0.15">
      <c r="A22">
        <v>8410753</v>
      </c>
      <c r="B22">
        <v>9760</v>
      </c>
      <c r="C22" t="s">
        <v>8</v>
      </c>
      <c r="D22" t="s">
        <v>6</v>
      </c>
      <c r="E22" s="4" t="str">
        <f>HYPERLINK("https://ibp.a2mac1.com/costing(costing:projects/details/9760/assembly/8410753)","Air Conditioning System")</f>
        <v>Air Conditioning System</v>
      </c>
      <c r="F22" t="s">
        <v>9</v>
      </c>
    </row>
    <row r="23" spans="1:6" x14ac:dyDescent="0.15">
      <c r="A23">
        <v>8410832</v>
      </c>
      <c r="B23">
        <v>8410753</v>
      </c>
      <c r="C23" t="s">
        <v>8</v>
      </c>
      <c r="D23" t="s">
        <v>8</v>
      </c>
      <c r="E23" s="4" t="str">
        <f>HYPERLINK("https://ibp.a2mac1.com/costing(costing:projects/details/9760/assembly/8410832)","Receiver-Drier System / Accumulator")</f>
        <v>Receiver-Drier System / Accumulator</v>
      </c>
      <c r="F23" t="s">
        <v>188</v>
      </c>
    </row>
    <row r="24" spans="1:6" x14ac:dyDescent="0.15">
      <c r="A24">
        <v>8410874</v>
      </c>
      <c r="B24">
        <v>8410832</v>
      </c>
      <c r="C24" t="s">
        <v>10</v>
      </c>
      <c r="D24" t="s">
        <v>8</v>
      </c>
      <c r="E24" s="4" t="str">
        <f>HYPERLINK("https://ibp.a2mac1.com/costing(costing:projects/details/9760/part/8410874)","Receiver/Drier")</f>
        <v>Receiver/Drier</v>
      </c>
      <c r="F24" t="s">
        <v>189</v>
      </c>
    </row>
    <row r="25" spans="1:6" x14ac:dyDescent="0.15">
      <c r="A25">
        <v>8410833</v>
      </c>
      <c r="B25">
        <v>8410753</v>
      </c>
      <c r="C25" t="s">
        <v>8</v>
      </c>
      <c r="D25" t="s">
        <v>8</v>
      </c>
      <c r="E25" s="4" t="str">
        <f>HYPERLINK("https://ibp.a2mac1.com/costing(costing:projects/details/9760/assembly/8410833)","Condenser Support")</f>
        <v>Condenser Support</v>
      </c>
      <c r="F25" t="s">
        <v>188</v>
      </c>
    </row>
    <row r="26" spans="1:6" x14ac:dyDescent="0.15">
      <c r="A26">
        <v>8410875</v>
      </c>
      <c r="B26">
        <v>8410833</v>
      </c>
      <c r="C26" t="s">
        <v>10</v>
      </c>
      <c r="D26" t="s">
        <v>8</v>
      </c>
      <c r="E26" s="4" t="str">
        <f>HYPERLINK("https://ibp.a2mac1.com/costing(costing:projects/details/9760/part/8410875)","Right Support")</f>
        <v>Right Support</v>
      </c>
      <c r="F26" t="s">
        <v>192</v>
      </c>
    </row>
    <row r="27" spans="1:6" x14ac:dyDescent="0.15">
      <c r="A27">
        <v>8410834</v>
      </c>
      <c r="B27">
        <v>8410753</v>
      </c>
      <c r="C27" t="s">
        <v>8</v>
      </c>
      <c r="D27" t="s">
        <v>8</v>
      </c>
      <c r="E27" s="4" t="str">
        <f>HYPERLINK("https://ibp.a2mac1.com/costing(costing:projects/details/9760/assembly/8410834)","AC Line")</f>
        <v>AC Line</v>
      </c>
      <c r="F27" t="s">
        <v>188</v>
      </c>
    </row>
    <row r="28" spans="1:6" x14ac:dyDescent="0.15">
      <c r="A28">
        <v>8410876</v>
      </c>
      <c r="B28">
        <v>8410834</v>
      </c>
      <c r="C28" t="s">
        <v>8</v>
      </c>
      <c r="D28" t="s">
        <v>8</v>
      </c>
      <c r="E28" s="4" t="str">
        <f>HYPERLINK("https://ibp.a2mac1.com/costing(costing:projects/details/9760/assembly/8410876)","High Pressure AC Lines")</f>
        <v>High Pressure AC Lines</v>
      </c>
      <c r="F28" t="s">
        <v>195</v>
      </c>
    </row>
    <row r="29" spans="1:6" x14ac:dyDescent="0.15">
      <c r="A29">
        <v>8410898</v>
      </c>
      <c r="B29">
        <v>8410876</v>
      </c>
      <c r="C29" t="s">
        <v>10</v>
      </c>
      <c r="D29" t="s">
        <v>8</v>
      </c>
      <c r="E29" s="4" t="str">
        <f>HYPERLINK("https://ibp.a2mac1.com/costing(costing:projects/details/9760/part/8410898)","Compressor - Exchanger Line")</f>
        <v>Compressor - Exchanger Line</v>
      </c>
      <c r="F29" t="s">
        <v>196</v>
      </c>
    </row>
    <row r="30" spans="1:6" x14ac:dyDescent="0.15">
      <c r="A30">
        <v>8410899</v>
      </c>
      <c r="B30">
        <v>8410876</v>
      </c>
      <c r="C30" t="s">
        <v>10</v>
      </c>
      <c r="D30" t="s">
        <v>8</v>
      </c>
      <c r="E30" s="4" t="str">
        <f>HYPERLINK("https://ibp.a2mac1.com/costing(costing:projects/details/9760/part/8410899)","Condenser - Valve Line")</f>
        <v>Condenser - Valve Line</v>
      </c>
      <c r="F30" t="s">
        <v>196</v>
      </c>
    </row>
    <row r="31" spans="1:6" x14ac:dyDescent="0.15">
      <c r="A31">
        <v>8410900</v>
      </c>
      <c r="B31">
        <v>8410876</v>
      </c>
      <c r="C31" t="s">
        <v>10</v>
      </c>
      <c r="D31" t="s">
        <v>8</v>
      </c>
      <c r="E31" s="4" t="str">
        <f>HYPERLINK("https://ibp.a2mac1.com/costing(costing:projects/details/9760/part/8410900)","Valve - Evaporator Line")</f>
        <v>Valve - Evaporator Line</v>
      </c>
      <c r="F31" t="s">
        <v>196</v>
      </c>
    </row>
    <row r="32" spans="1:6" x14ac:dyDescent="0.15">
      <c r="A32">
        <v>8410901</v>
      </c>
      <c r="B32">
        <v>8410876</v>
      </c>
      <c r="C32" t="s">
        <v>10</v>
      </c>
      <c r="D32" t="s">
        <v>8</v>
      </c>
      <c r="E32" s="4" t="str">
        <f>HYPERLINK("https://ibp.a2mac1.com/costing(costing:projects/details/9760/part/8410901)","Valve - Evaporator 2 Line")</f>
        <v>Valve - Evaporator 2 Line</v>
      </c>
      <c r="F32" t="s">
        <v>196</v>
      </c>
    </row>
    <row r="33" spans="1:6" x14ac:dyDescent="0.15">
      <c r="A33">
        <v>8410877</v>
      </c>
      <c r="B33">
        <v>8410834</v>
      </c>
      <c r="C33" t="s">
        <v>8</v>
      </c>
      <c r="D33" t="s">
        <v>8</v>
      </c>
      <c r="E33" s="4" t="str">
        <f>HYPERLINK("https://ibp.a2mac1.com/costing(costing:projects/details/9760/assembly/8410877)","Low Pressure AC Lines")</f>
        <v>Low Pressure AC Lines</v>
      </c>
      <c r="F33" t="s">
        <v>195</v>
      </c>
    </row>
    <row r="34" spans="1:6" x14ac:dyDescent="0.15">
      <c r="A34">
        <v>8410902</v>
      </c>
      <c r="B34">
        <v>8410877</v>
      </c>
      <c r="C34" t="s">
        <v>10</v>
      </c>
      <c r="D34" t="s">
        <v>8</v>
      </c>
      <c r="E34" s="4" t="str">
        <f>HYPERLINK("https://ibp.a2mac1.com/costing(costing:projects/details/9760/part/8410902)","Compressor - Receiver Line")</f>
        <v>Compressor - Receiver Line</v>
      </c>
      <c r="F34" t="s">
        <v>202</v>
      </c>
    </row>
    <row r="35" spans="1:6" x14ac:dyDescent="0.15">
      <c r="A35">
        <v>8410903</v>
      </c>
      <c r="B35">
        <v>8410877</v>
      </c>
      <c r="C35" t="s">
        <v>10</v>
      </c>
      <c r="D35" t="s">
        <v>8</v>
      </c>
      <c r="E35" s="4" t="str">
        <f>HYPERLINK("https://ibp.a2mac1.com/costing(costing:projects/details/9760/part/8410903)","Condenser - Valve Line")</f>
        <v>Condenser - Valve Line</v>
      </c>
      <c r="F35" t="s">
        <v>202</v>
      </c>
    </row>
    <row r="36" spans="1:6" x14ac:dyDescent="0.15">
      <c r="A36">
        <v>8410904</v>
      </c>
      <c r="B36">
        <v>8410877</v>
      </c>
      <c r="C36" t="s">
        <v>10</v>
      </c>
      <c r="D36" t="s">
        <v>8</v>
      </c>
      <c r="E36" s="4" t="str">
        <f>HYPERLINK("https://ibp.a2mac1.com/costing(costing:projects/details/9760/part/8410904)","Evaporator - Manifold")</f>
        <v>Evaporator - Manifold</v>
      </c>
      <c r="F36" t="s">
        <v>202</v>
      </c>
    </row>
    <row r="37" spans="1:6" x14ac:dyDescent="0.15">
      <c r="A37">
        <v>8410905</v>
      </c>
      <c r="B37">
        <v>8410877</v>
      </c>
      <c r="C37" t="s">
        <v>10</v>
      </c>
      <c r="D37" t="s">
        <v>8</v>
      </c>
      <c r="E37" s="4" t="str">
        <f>HYPERLINK("https://ibp.a2mac1.com/costing(costing:projects/details/9760/part/8410905)","Coupling Manifold - Evaporator")</f>
        <v>Coupling Manifold - Evaporator</v>
      </c>
      <c r="F37" t="s">
        <v>202</v>
      </c>
    </row>
    <row r="38" spans="1:6" x14ac:dyDescent="0.15">
      <c r="A38">
        <v>8410835</v>
      </c>
      <c r="B38">
        <v>8410753</v>
      </c>
      <c r="C38" t="s">
        <v>8</v>
      </c>
      <c r="D38" t="s">
        <v>8</v>
      </c>
      <c r="E38" s="4" t="str">
        <f>HYPERLINK("https://ibp.a2mac1.com/costing(costing:projects/details/9760/assembly/8410835)","AC Line Support")</f>
        <v>AC Line Support</v>
      </c>
      <c r="F38" t="s">
        <v>188</v>
      </c>
    </row>
    <row r="39" spans="1:6" x14ac:dyDescent="0.15">
      <c r="A39">
        <v>8410878</v>
      </c>
      <c r="B39">
        <v>8410835</v>
      </c>
      <c r="C39" t="s">
        <v>10</v>
      </c>
      <c r="D39" t="s">
        <v>8</v>
      </c>
      <c r="E39" s="4" t="str">
        <f>HYPERLINK("https://ibp.a2mac1.com/costing(costing:projects/details/9760/part/8410878)","AC Line Support 1")</f>
        <v>AC Line Support 1</v>
      </c>
      <c r="F39" t="s">
        <v>209</v>
      </c>
    </row>
    <row r="40" spans="1:6" x14ac:dyDescent="0.15">
      <c r="A40">
        <v>8410879</v>
      </c>
      <c r="B40">
        <v>8410835</v>
      </c>
      <c r="C40" t="s">
        <v>10</v>
      </c>
      <c r="D40" t="s">
        <v>8</v>
      </c>
      <c r="E40" s="4" t="str">
        <f>HYPERLINK("https://ibp.a2mac1.com/costing(costing:projects/details/9760/part/8410879)","AC Line Support 2")</f>
        <v>AC Line Support 2</v>
      </c>
      <c r="F40" t="s">
        <v>209</v>
      </c>
    </row>
    <row r="41" spans="1:6" x14ac:dyDescent="0.15">
      <c r="A41">
        <v>8410836</v>
      </c>
      <c r="B41">
        <v>8410753</v>
      </c>
      <c r="C41" t="s">
        <v>8</v>
      </c>
      <c r="D41" t="s">
        <v>8</v>
      </c>
      <c r="E41" s="4" t="str">
        <f>HYPERLINK("https://ibp.a2mac1.com/costing(costing:projects/details/9760/assembly/8410836)","Valve System")</f>
        <v>Valve System</v>
      </c>
      <c r="F41" t="s">
        <v>188</v>
      </c>
    </row>
    <row r="42" spans="1:6" x14ac:dyDescent="0.15">
      <c r="A42">
        <v>8410880</v>
      </c>
      <c r="B42">
        <v>8410836</v>
      </c>
      <c r="C42" t="s">
        <v>10</v>
      </c>
      <c r="D42" t="s">
        <v>8</v>
      </c>
      <c r="E42" s="4" t="str">
        <f>HYPERLINK("https://ibp.a2mac1.com/costing(costing:projects/details/9760/part/8410880)","Valve Actuator 1")</f>
        <v>Valve Actuator 1</v>
      </c>
      <c r="F42" t="s">
        <v>214</v>
      </c>
    </row>
    <row r="43" spans="1:6" x14ac:dyDescent="0.15">
      <c r="A43">
        <v>8410881</v>
      </c>
      <c r="B43">
        <v>8410836</v>
      </c>
      <c r="C43" t="s">
        <v>10</v>
      </c>
      <c r="D43" t="s">
        <v>8</v>
      </c>
      <c r="E43" s="4" t="str">
        <f>HYPERLINK("https://ibp.a2mac1.com/costing(costing:projects/details/9760/part/8410881)","Valve Actuator 2")</f>
        <v>Valve Actuator 2</v>
      </c>
      <c r="F43" t="s">
        <v>214</v>
      </c>
    </row>
    <row r="44" spans="1:6" x14ac:dyDescent="0.15">
      <c r="A44">
        <v>8410882</v>
      </c>
      <c r="B44">
        <v>8410836</v>
      </c>
      <c r="C44" t="s">
        <v>10</v>
      </c>
      <c r="D44" t="s">
        <v>8</v>
      </c>
      <c r="E44" s="4" t="str">
        <f>HYPERLINK("https://ibp.a2mac1.com/costing(costing:projects/details/9760/part/8410882)","Valve Actuator 3")</f>
        <v>Valve Actuator 3</v>
      </c>
      <c r="F44" t="s">
        <v>214</v>
      </c>
    </row>
    <row r="45" spans="1:6" x14ac:dyDescent="0.15">
      <c r="A45">
        <v>8410883</v>
      </c>
      <c r="B45">
        <v>8410836</v>
      </c>
      <c r="C45" t="s">
        <v>10</v>
      </c>
      <c r="D45" t="s">
        <v>8</v>
      </c>
      <c r="E45" s="4" t="str">
        <f>HYPERLINK("https://ibp.a2mac1.com/costing(costing:projects/details/9760/part/8410883)","Valve Actuator 4")</f>
        <v>Valve Actuator 4</v>
      </c>
      <c r="F45" t="s">
        <v>214</v>
      </c>
    </row>
    <row r="46" spans="1:6" x14ac:dyDescent="0.15">
      <c r="A46">
        <v>8410884</v>
      </c>
      <c r="B46">
        <v>8410836</v>
      </c>
      <c r="C46" t="s">
        <v>10</v>
      </c>
      <c r="D46" t="s">
        <v>8</v>
      </c>
      <c r="E46" s="4" t="str">
        <f>HYPERLINK("https://ibp.a2mac1.com/costing(costing:projects/details/9760/part/8410884)","Valve Actuator 5")</f>
        <v>Valve Actuator 5</v>
      </c>
      <c r="F46" t="s">
        <v>214</v>
      </c>
    </row>
    <row r="47" spans="1:6" x14ac:dyDescent="0.15">
      <c r="A47">
        <v>8410885</v>
      </c>
      <c r="B47">
        <v>8410836</v>
      </c>
      <c r="C47" t="s">
        <v>10</v>
      </c>
      <c r="D47" t="s">
        <v>8</v>
      </c>
      <c r="E47" s="4" t="str">
        <f>HYPERLINK("https://ibp.a2mac1.com/costing(costing:projects/details/9760/part/8410885)","Valve Actuator 6")</f>
        <v>Valve Actuator 6</v>
      </c>
      <c r="F47" t="s">
        <v>214</v>
      </c>
    </row>
    <row r="48" spans="1:6" x14ac:dyDescent="0.15">
      <c r="A48">
        <v>8410886</v>
      </c>
      <c r="B48">
        <v>8410836</v>
      </c>
      <c r="C48" t="s">
        <v>10</v>
      </c>
      <c r="D48" t="s">
        <v>8</v>
      </c>
      <c r="E48" s="4" t="str">
        <f>HYPERLINK("https://ibp.a2mac1.com/costing(costing:projects/details/9760/part/8410886)","Valve Actuator Support")</f>
        <v>Valve Actuator Support</v>
      </c>
      <c r="F48" t="s">
        <v>214</v>
      </c>
    </row>
    <row r="49" spans="1:6" x14ac:dyDescent="0.15">
      <c r="A49">
        <v>8410887</v>
      </c>
      <c r="B49">
        <v>8410836</v>
      </c>
      <c r="C49" t="s">
        <v>10</v>
      </c>
      <c r="D49" t="s">
        <v>8</v>
      </c>
      <c r="E49" s="4" t="str">
        <f>HYPERLINK("https://ibp.a2mac1.com/costing(costing:projects/details/9760/part/8410887)","Valve Actuator Support 2")</f>
        <v>Valve Actuator Support 2</v>
      </c>
      <c r="F49" t="s">
        <v>214</v>
      </c>
    </row>
    <row r="50" spans="1:6" x14ac:dyDescent="0.15">
      <c r="A50">
        <v>8410888</v>
      </c>
      <c r="B50">
        <v>8410836</v>
      </c>
      <c r="C50" t="s">
        <v>10</v>
      </c>
      <c r="D50" t="s">
        <v>8</v>
      </c>
      <c r="E50" s="4" t="str">
        <f>HYPERLINK("https://ibp.a2mac1.com/costing(costing:projects/details/9760/part/8410888)","Valve Actuator Support 3")</f>
        <v>Valve Actuator Support 3</v>
      </c>
      <c r="F50" t="s">
        <v>214</v>
      </c>
    </row>
    <row r="51" spans="1:6" x14ac:dyDescent="0.15">
      <c r="A51">
        <v>8410889</v>
      </c>
      <c r="B51">
        <v>8410836</v>
      </c>
      <c r="C51" t="s">
        <v>10</v>
      </c>
      <c r="D51" t="s">
        <v>8</v>
      </c>
      <c r="E51" s="4" t="str">
        <f>HYPERLINK("https://ibp.a2mac1.com/costing(costing:projects/details/9760/part/8410889)","Valve 1")</f>
        <v>Valve 1</v>
      </c>
      <c r="F51" t="s">
        <v>214</v>
      </c>
    </row>
    <row r="52" spans="1:6" x14ac:dyDescent="0.15">
      <c r="A52">
        <v>8410890</v>
      </c>
      <c r="B52">
        <v>8410836</v>
      </c>
      <c r="C52" t="s">
        <v>10</v>
      </c>
      <c r="D52" t="s">
        <v>8</v>
      </c>
      <c r="E52" s="4" t="str">
        <f>HYPERLINK("https://ibp.a2mac1.com/costing(costing:projects/details/9760/part/8410890)","Valve 2")</f>
        <v>Valve 2</v>
      </c>
      <c r="F52" t="s">
        <v>214</v>
      </c>
    </row>
    <row r="53" spans="1:6" x14ac:dyDescent="0.15">
      <c r="A53">
        <v>8410891</v>
      </c>
      <c r="B53">
        <v>8410836</v>
      </c>
      <c r="C53" t="s">
        <v>10</v>
      </c>
      <c r="D53" t="s">
        <v>8</v>
      </c>
      <c r="E53" s="4" t="str">
        <f>HYPERLINK("https://ibp.a2mac1.com/costing(costing:projects/details/9760/part/8410891)","Valve 3")</f>
        <v>Valve 3</v>
      </c>
      <c r="F53" t="s">
        <v>214</v>
      </c>
    </row>
    <row r="54" spans="1:6" x14ac:dyDescent="0.15">
      <c r="A54">
        <v>8410892</v>
      </c>
      <c r="B54">
        <v>8410836</v>
      </c>
      <c r="C54" t="s">
        <v>10</v>
      </c>
      <c r="D54" t="s">
        <v>8</v>
      </c>
      <c r="E54" s="4" t="str">
        <f>HYPERLINK("https://ibp.a2mac1.com/costing(costing:projects/details/9760/part/8410892)","Valve 4")</f>
        <v>Valve 4</v>
      </c>
      <c r="F54" t="s">
        <v>214</v>
      </c>
    </row>
    <row r="55" spans="1:6" x14ac:dyDescent="0.15">
      <c r="A55">
        <v>8410893</v>
      </c>
      <c r="B55">
        <v>8410836</v>
      </c>
      <c r="C55" t="s">
        <v>10</v>
      </c>
      <c r="D55" t="s">
        <v>8</v>
      </c>
      <c r="E55" s="4" t="str">
        <f>HYPERLINK("https://ibp.a2mac1.com/costing(costing:projects/details/9760/part/8410893)","Manifold")</f>
        <v>Manifold</v>
      </c>
      <c r="F55" t="s">
        <v>214</v>
      </c>
    </row>
    <row r="56" spans="1:6" x14ac:dyDescent="0.15">
      <c r="A56">
        <v>12082468</v>
      </c>
      <c r="B56">
        <v>8410893</v>
      </c>
      <c r="C56" t="s">
        <v>114</v>
      </c>
      <c r="D56" t="s">
        <v>10</v>
      </c>
      <c r="E56" s="4" t="str">
        <f>HYPERLINK("https://ibp.a2mac1.com/costing(costing:projects/details/9760/process/12082468)","Process")</f>
        <v>Process</v>
      </c>
      <c r="F56" t="s">
        <v>228</v>
      </c>
    </row>
    <row r="57" spans="1:6" x14ac:dyDescent="0.15">
      <c r="A57">
        <v>8751576</v>
      </c>
      <c r="B57">
        <v>12082468</v>
      </c>
      <c r="C57" t="s">
        <v>22</v>
      </c>
      <c r="D57" t="s">
        <v>114</v>
      </c>
      <c r="E57" s="4" t="str">
        <f>HYPERLINK("https://ibp.a2mac1.com/costing(costing:projects/details/9760/material/8751576)","Aluminum for casting (default, e.g. A380/ADC10/EN-AC46500)")</f>
        <v>Aluminum for casting (default, e.g. A380/ADC10/EN-AC46500)</v>
      </c>
      <c r="F57" t="s">
        <v>264</v>
      </c>
    </row>
    <row r="58" spans="1:6" x14ac:dyDescent="0.15">
      <c r="A58">
        <v>12209535</v>
      </c>
      <c r="B58">
        <v>12082468</v>
      </c>
      <c r="C58" t="s">
        <v>163</v>
      </c>
      <c r="D58" t="s">
        <v>114</v>
      </c>
      <c r="E58" s="4" t="str">
        <f>HYPERLINK("https://ibp.a2mac1.com/costing(costing:projects/details/9760/equipment/12209535)","General production process (&gt;10€)")</f>
        <v>General production process (&gt;10€)</v>
      </c>
      <c r="F58" t="s">
        <v>264</v>
      </c>
    </row>
    <row r="59" spans="1:6" x14ac:dyDescent="0.15">
      <c r="A59">
        <v>8410894</v>
      </c>
      <c r="B59">
        <v>8410836</v>
      </c>
      <c r="C59" t="s">
        <v>10</v>
      </c>
      <c r="D59" t="s">
        <v>8</v>
      </c>
      <c r="E59" s="4" t="str">
        <f>HYPERLINK("https://ibp.a2mac1.com/costing(costing:projects/details/9760/part/8410894)","Manifold Support")</f>
        <v>Manifold Support</v>
      </c>
      <c r="F59" t="s">
        <v>214</v>
      </c>
    </row>
    <row r="60" spans="1:6" x14ac:dyDescent="0.15">
      <c r="A60">
        <v>8410895</v>
      </c>
      <c r="B60">
        <v>8410836</v>
      </c>
      <c r="C60" t="s">
        <v>10</v>
      </c>
      <c r="D60" t="s">
        <v>8</v>
      </c>
      <c r="E60" s="4" t="str">
        <f>HYPERLINK("https://ibp.a2mac1.com/costing(costing:projects/details/9760/part/8410895)","Manifold Support 2")</f>
        <v>Manifold Support 2</v>
      </c>
      <c r="F60" t="s">
        <v>214</v>
      </c>
    </row>
    <row r="61" spans="1:6" x14ac:dyDescent="0.15">
      <c r="A61">
        <v>8410896</v>
      </c>
      <c r="B61">
        <v>8410836</v>
      </c>
      <c r="C61" t="s">
        <v>10</v>
      </c>
      <c r="D61" t="s">
        <v>8</v>
      </c>
      <c r="E61" s="4" t="str">
        <f>HYPERLINK("https://ibp.a2mac1.com/costing(costing:projects/details/9760/part/8410896)","Manifold Support 3")</f>
        <v>Manifold Support 3</v>
      </c>
      <c r="F61" t="s">
        <v>214</v>
      </c>
    </row>
    <row r="62" spans="1:6" x14ac:dyDescent="0.15">
      <c r="A62">
        <v>8410897</v>
      </c>
      <c r="B62">
        <v>8410836</v>
      </c>
      <c r="C62" t="s">
        <v>10</v>
      </c>
      <c r="D62" t="s">
        <v>8</v>
      </c>
      <c r="E62" s="4" t="str">
        <f>HYPERLINK("https://ibp.a2mac1.com/costing(costing:projects/details/9760/part/8410897)","Valve Harness")</f>
        <v>Valve Harness</v>
      </c>
      <c r="F62" t="s">
        <v>214</v>
      </c>
    </row>
    <row r="63" spans="1:6" x14ac:dyDescent="0.15">
      <c r="A63">
        <v>8410824</v>
      </c>
      <c r="B63">
        <v>8410753</v>
      </c>
      <c r="C63" t="s">
        <v>10</v>
      </c>
      <c r="D63" t="s">
        <v>8</v>
      </c>
      <c r="E63" s="4" t="str">
        <f>HYPERLINK("https://ibp.a2mac1.com/costing(costing:projects/details/9760/part/8410824)","Pressure Sensor")</f>
        <v>Pressure Sensor</v>
      </c>
      <c r="F63" t="s">
        <v>188</v>
      </c>
    </row>
    <row r="64" spans="1:6" x14ac:dyDescent="0.15">
      <c r="A64">
        <v>8410825</v>
      </c>
      <c r="B64">
        <v>8410753</v>
      </c>
      <c r="C64" t="s">
        <v>10</v>
      </c>
      <c r="D64" t="s">
        <v>8</v>
      </c>
      <c r="E64" s="4" t="str">
        <f>HYPERLINK("https://ibp.a2mac1.com/costing(costing:projects/details/9760/part/8410825)","Pressure Sensor 2")</f>
        <v>Pressure Sensor 2</v>
      </c>
      <c r="F64" t="s">
        <v>188</v>
      </c>
    </row>
    <row r="65" spans="1:6" x14ac:dyDescent="0.15">
      <c r="A65">
        <v>8410826</v>
      </c>
      <c r="B65">
        <v>8410753</v>
      </c>
      <c r="C65" t="s">
        <v>10</v>
      </c>
      <c r="D65" t="s">
        <v>8</v>
      </c>
      <c r="E65" s="4" t="str">
        <f>HYPERLINK("https://ibp.a2mac1.com/costing(costing:projects/details/9760/part/8410826)","Temperature Sensor")</f>
        <v>Temperature Sensor</v>
      </c>
      <c r="F65" t="s">
        <v>188</v>
      </c>
    </row>
    <row r="66" spans="1:6" x14ac:dyDescent="0.15">
      <c r="A66">
        <v>8410827</v>
      </c>
      <c r="B66">
        <v>8410753</v>
      </c>
      <c r="C66" t="s">
        <v>10</v>
      </c>
      <c r="D66" t="s">
        <v>8</v>
      </c>
      <c r="E66" s="4" t="str">
        <f>HYPERLINK("https://ibp.a2mac1.com/costing(costing:projects/details/9760/part/8410827)","Temperature Sensor 2")</f>
        <v>Temperature Sensor 2</v>
      </c>
      <c r="F66" t="s">
        <v>188</v>
      </c>
    </row>
    <row r="67" spans="1:6" x14ac:dyDescent="0.15">
      <c r="A67">
        <v>8410828</v>
      </c>
      <c r="B67">
        <v>8410753</v>
      </c>
      <c r="C67" t="s">
        <v>10</v>
      </c>
      <c r="D67" t="s">
        <v>8</v>
      </c>
      <c r="E67" s="4" t="str">
        <f>HYPERLINK("https://ibp.a2mac1.com/costing(costing:projects/details/9760/part/8410828)","Temperature Sensor 3")</f>
        <v>Temperature Sensor 3</v>
      </c>
      <c r="F67" t="s">
        <v>188</v>
      </c>
    </row>
    <row r="68" spans="1:6" x14ac:dyDescent="0.15">
      <c r="A68">
        <v>8410829</v>
      </c>
      <c r="B68">
        <v>8410753</v>
      </c>
      <c r="C68" t="s">
        <v>10</v>
      </c>
      <c r="D68" t="s">
        <v>8</v>
      </c>
      <c r="E68" s="4" t="str">
        <f>HYPERLINK("https://ibp.a2mac1.com/costing(costing:projects/details/9760/part/8410829)","Compressor")</f>
        <v>Compressor</v>
      </c>
      <c r="F68" t="s">
        <v>188</v>
      </c>
    </row>
    <row r="69" spans="1:6" x14ac:dyDescent="0.15">
      <c r="A69">
        <v>8410830</v>
      </c>
      <c r="B69">
        <v>8410753</v>
      </c>
      <c r="C69" t="s">
        <v>10</v>
      </c>
      <c r="D69" t="s">
        <v>8</v>
      </c>
      <c r="E69" s="4" t="str">
        <f>HYPERLINK("https://ibp.a2mac1.com/costing(costing:projects/details/9760/part/8410830)","Condenser")</f>
        <v>Condenser</v>
      </c>
      <c r="F69" t="s">
        <v>188</v>
      </c>
    </row>
    <row r="70" spans="1:6" x14ac:dyDescent="0.15">
      <c r="A70">
        <v>8410831</v>
      </c>
      <c r="B70">
        <v>8410753</v>
      </c>
      <c r="C70" t="s">
        <v>10</v>
      </c>
      <c r="D70" t="s">
        <v>8</v>
      </c>
      <c r="E70" s="4" t="str">
        <f>HYPERLINK("https://ibp.a2mac1.com/costing(costing:projects/details/9760/part/8410831)","Coolant/Refrigerant Exchanger")</f>
        <v>Coolant/Refrigerant Exchanger</v>
      </c>
      <c r="F70" t="s">
        <v>188</v>
      </c>
    </row>
    <row r="71" spans="1:6" x14ac:dyDescent="0.15">
      <c r="A71">
        <v>8410906</v>
      </c>
      <c r="B71">
        <v>9760</v>
      </c>
      <c r="C71" t="s">
        <v>8</v>
      </c>
      <c r="D71" t="s">
        <v>6</v>
      </c>
      <c r="E71" s="4" t="str">
        <f>HYPERLINK("https://ibp.a2mac1.com/costing(costing:projects/details/9760/assembly/8410906)","Electrical")</f>
        <v>Electrical</v>
      </c>
      <c r="F71" t="s">
        <v>9</v>
      </c>
    </row>
    <row r="72" spans="1:6" x14ac:dyDescent="0.15">
      <c r="A72">
        <v>8410908</v>
      </c>
      <c r="B72">
        <v>8410906</v>
      </c>
      <c r="C72" t="s">
        <v>8</v>
      </c>
      <c r="D72" t="s">
        <v>8</v>
      </c>
      <c r="E72" s="4" t="str">
        <f>HYPERLINK("https://ibp.a2mac1.com/costing(costing:projects/details/9760/assembly/8410908)","Low Voltage Battery")</f>
        <v>Low Voltage Battery</v>
      </c>
      <c r="F72" t="s">
        <v>282</v>
      </c>
    </row>
    <row r="73" spans="1:6" x14ac:dyDescent="0.15">
      <c r="A73">
        <v>8410917</v>
      </c>
      <c r="B73">
        <v>8410908</v>
      </c>
      <c r="C73" t="s">
        <v>10</v>
      </c>
      <c r="D73" t="s">
        <v>8</v>
      </c>
      <c r="E73" s="4" t="str">
        <f>HYPERLINK("https://ibp.a2mac1.com/costing(costing:projects/details/9760/part/8410917)","Battery")</f>
        <v>Battery</v>
      </c>
      <c r="F73" t="s">
        <v>283</v>
      </c>
    </row>
    <row r="74" spans="1:6" x14ac:dyDescent="0.15">
      <c r="A74">
        <v>8410918</v>
      </c>
      <c r="B74">
        <v>8410908</v>
      </c>
      <c r="C74" t="s">
        <v>10</v>
      </c>
      <c r="D74" t="s">
        <v>8</v>
      </c>
      <c r="E74" s="4" t="str">
        <f>HYPERLINK("https://ibp.a2mac1.com/costing(costing:projects/details/9760/part/8410918)","Battery Terminal +")</f>
        <v>Battery Terminal +</v>
      </c>
      <c r="F74" t="s">
        <v>283</v>
      </c>
    </row>
    <row r="75" spans="1:6" x14ac:dyDescent="0.15">
      <c r="A75">
        <v>8410919</v>
      </c>
      <c r="B75">
        <v>8410908</v>
      </c>
      <c r="C75" t="s">
        <v>10</v>
      </c>
      <c r="D75" t="s">
        <v>8</v>
      </c>
      <c r="E75" s="4" t="str">
        <f>HYPERLINK("https://ibp.a2mac1.com/costing(costing:projects/details/9760/part/8410919)","Battery Terminal + Lid")</f>
        <v>Battery Terminal + Lid</v>
      </c>
      <c r="F75" t="s">
        <v>283</v>
      </c>
    </row>
    <row r="76" spans="1:6" x14ac:dyDescent="0.15">
      <c r="A76">
        <v>8410920</v>
      </c>
      <c r="B76">
        <v>8410908</v>
      </c>
      <c r="C76" t="s">
        <v>10</v>
      </c>
      <c r="D76" t="s">
        <v>8</v>
      </c>
      <c r="E76" s="4" t="str">
        <f>HYPERLINK("https://ibp.a2mac1.com/costing(costing:projects/details/9760/part/8410920)","Battery Terminal + Insulator")</f>
        <v>Battery Terminal + Insulator</v>
      </c>
      <c r="F76" t="s">
        <v>283</v>
      </c>
    </row>
    <row r="77" spans="1:6" x14ac:dyDescent="0.15">
      <c r="A77">
        <v>8410921</v>
      </c>
      <c r="B77">
        <v>8410908</v>
      </c>
      <c r="C77" t="s">
        <v>10</v>
      </c>
      <c r="D77" t="s">
        <v>8</v>
      </c>
      <c r="E77" s="4" t="str">
        <f>HYPERLINK("https://ibp.a2mac1.com/costing(costing:projects/details/9760/part/8410921)","Battery Terminal -")</f>
        <v>Battery Terminal -</v>
      </c>
      <c r="F77" t="s">
        <v>283</v>
      </c>
    </row>
    <row r="78" spans="1:6" x14ac:dyDescent="0.15">
      <c r="A78">
        <v>8410922</v>
      </c>
      <c r="B78">
        <v>8410908</v>
      </c>
      <c r="C78" t="s">
        <v>10</v>
      </c>
      <c r="D78" t="s">
        <v>8</v>
      </c>
      <c r="E78" s="4" t="str">
        <f>HYPERLINK("https://ibp.a2mac1.com/costing(costing:projects/details/9760/part/8410922)","Battery Terminal + Auxiliary Starter")</f>
        <v>Battery Terminal + Auxiliary Starter</v>
      </c>
      <c r="F78" t="s">
        <v>283</v>
      </c>
    </row>
    <row r="79" spans="1:6" x14ac:dyDescent="0.15">
      <c r="A79">
        <v>8410923</v>
      </c>
      <c r="B79">
        <v>8410908</v>
      </c>
      <c r="C79" t="s">
        <v>10</v>
      </c>
      <c r="D79" t="s">
        <v>8</v>
      </c>
      <c r="E79" s="4" t="str">
        <f>HYPERLINK("https://ibp.a2mac1.com/costing(costing:projects/details/9760/part/8410923)","Battery Terminal + Auxiliary Starter Lid")</f>
        <v>Battery Terminal + Auxiliary Starter Lid</v>
      </c>
      <c r="F79" t="s">
        <v>283</v>
      </c>
    </row>
    <row r="80" spans="1:6" x14ac:dyDescent="0.15">
      <c r="A80">
        <v>8410924</v>
      </c>
      <c r="B80">
        <v>8410908</v>
      </c>
      <c r="C80" t="s">
        <v>10</v>
      </c>
      <c r="D80" t="s">
        <v>8</v>
      </c>
      <c r="E80" s="4" t="str">
        <f>HYPERLINK("https://ibp.a2mac1.com/costing(costing:projects/details/9760/part/8410924)","Battery Terminal + Auxiliary Starter Lid 2")</f>
        <v>Battery Terminal + Auxiliary Starter Lid 2</v>
      </c>
      <c r="F80" t="s">
        <v>283</v>
      </c>
    </row>
    <row r="81" spans="1:6" x14ac:dyDescent="0.15">
      <c r="A81">
        <v>8751737</v>
      </c>
      <c r="B81">
        <v>8410908</v>
      </c>
      <c r="C81" t="s">
        <v>311</v>
      </c>
      <c r="D81" t="s">
        <v>8</v>
      </c>
      <c r="E81" s="4" t="str">
        <f>HYPERLINK("https://ibp.a2mac1.com/costing(costing:projects/details/9760/component/8751737)","Flange Nut M6")</f>
        <v>Flange Nut M6</v>
      </c>
      <c r="F81" t="s">
        <v>283</v>
      </c>
    </row>
    <row r="82" spans="1:6" x14ac:dyDescent="0.15">
      <c r="A82">
        <v>8751738</v>
      </c>
      <c r="B82">
        <v>8410908</v>
      </c>
      <c r="C82" t="s">
        <v>311</v>
      </c>
      <c r="D82" t="s">
        <v>8</v>
      </c>
      <c r="E82" s="4" t="str">
        <f>HYPERLINK("https://ibp.a2mac1.com/costing(costing:projects/details/9760/component/8751738)","Flange Nut M6")</f>
        <v>Flange Nut M6</v>
      </c>
      <c r="F82" t="s">
        <v>283</v>
      </c>
    </row>
    <row r="83" spans="1:6" x14ac:dyDescent="0.15">
      <c r="A83">
        <v>8751739</v>
      </c>
      <c r="B83">
        <v>8410908</v>
      </c>
      <c r="C83" t="s">
        <v>311</v>
      </c>
      <c r="D83" t="s">
        <v>8</v>
      </c>
      <c r="E83" s="4" t="str">
        <f>HYPERLINK("https://ibp.a2mac1.com/costing(costing:projects/details/9760/component/8751739)","Hex-head Bolt M6x20")</f>
        <v>Hex-head Bolt M6x20</v>
      </c>
      <c r="F83" t="s">
        <v>283</v>
      </c>
    </row>
    <row r="84" spans="1:6" x14ac:dyDescent="0.15">
      <c r="A84">
        <v>8410909</v>
      </c>
      <c r="B84">
        <v>8410906</v>
      </c>
      <c r="C84" t="s">
        <v>8</v>
      </c>
      <c r="D84" t="s">
        <v>8</v>
      </c>
      <c r="E84" s="4" t="str">
        <f>HYPERLINK("https://ibp.a2mac1.com/costing(costing:projects/details/9760/assembly/8410909)","Wiring")</f>
        <v>Wiring</v>
      </c>
      <c r="F84" t="s">
        <v>282</v>
      </c>
    </row>
    <row r="85" spans="1:6" x14ac:dyDescent="0.15">
      <c r="A85">
        <v>8410925</v>
      </c>
      <c r="B85">
        <v>8410909</v>
      </c>
      <c r="C85" t="s">
        <v>8</v>
      </c>
      <c r="D85" t="s">
        <v>8</v>
      </c>
      <c r="E85" s="4" t="str">
        <f>HYPERLINK("https://ibp.a2mac1.com/costing(costing:projects/details/9760/assembly/8410925)","Body Wiring Harness")</f>
        <v>Body Wiring Harness</v>
      </c>
      <c r="F85" t="s">
        <v>314</v>
      </c>
    </row>
    <row r="86" spans="1:6" x14ac:dyDescent="0.15">
      <c r="A86">
        <v>12082801</v>
      </c>
      <c r="B86">
        <v>8410925</v>
      </c>
      <c r="C86" t="s">
        <v>114</v>
      </c>
      <c r="D86" t="s">
        <v>8</v>
      </c>
      <c r="E86" s="4" t="str">
        <f>HYPERLINK("https://ibp.a2mac1.com/costing(costing:projects/details/9760/process/12082801)","Process")</f>
        <v>Process</v>
      </c>
      <c r="F86" t="s">
        <v>315</v>
      </c>
    </row>
    <row r="87" spans="1:6" x14ac:dyDescent="0.15">
      <c r="A87">
        <v>12209766</v>
      </c>
      <c r="B87">
        <v>12082801</v>
      </c>
      <c r="C87" t="s">
        <v>163</v>
      </c>
      <c r="D87" t="s">
        <v>114</v>
      </c>
      <c r="E87" s="4" t="str">
        <f>HYPERLINK("https://ibp.a2mac1.com/costing(costing:projects/details/9760/equipment/12209766)","Dummy Machine (Wireharness production line)")</f>
        <v>Dummy Machine (Wireharness production line)</v>
      </c>
      <c r="F87" t="s">
        <v>317</v>
      </c>
    </row>
    <row r="88" spans="1:6" x14ac:dyDescent="0.15">
      <c r="A88">
        <v>8751753</v>
      </c>
      <c r="B88">
        <v>8410925</v>
      </c>
      <c r="C88" t="s">
        <v>311</v>
      </c>
      <c r="D88" t="s">
        <v>8</v>
      </c>
      <c r="E88" s="4" t="str">
        <f>HYPERLINK("https://ibp.a2mac1.com/costing(costing:projects/details/9760/component/8751753)","Copper")</f>
        <v>Copper</v>
      </c>
      <c r="F88" t="s">
        <v>315</v>
      </c>
    </row>
    <row r="89" spans="1:6" x14ac:dyDescent="0.15">
      <c r="A89">
        <v>8751754</v>
      </c>
      <c r="B89">
        <v>8410925</v>
      </c>
      <c r="C89" t="s">
        <v>311</v>
      </c>
      <c r="D89" t="s">
        <v>8</v>
      </c>
      <c r="E89" s="4" t="str">
        <f>HYPERLINK("https://ibp.a2mac1.com/costing(costing:projects/details/9760/component/8751754)","Material")</f>
        <v>Material</v>
      </c>
      <c r="F89" t="s">
        <v>315</v>
      </c>
    </row>
    <row r="90" spans="1:6" x14ac:dyDescent="0.15">
      <c r="A90">
        <v>8410926</v>
      </c>
      <c r="B90">
        <v>8410909</v>
      </c>
      <c r="C90" t="s">
        <v>8</v>
      </c>
      <c r="D90" t="s">
        <v>8</v>
      </c>
      <c r="E90" s="4" t="str">
        <f>HYPERLINK("https://ibp.a2mac1.com/costing(costing:projects/details/9760/assembly/8410926)","Instrument Panel Harness")</f>
        <v>Instrument Panel Harness</v>
      </c>
      <c r="F90" t="s">
        <v>314</v>
      </c>
    </row>
    <row r="91" spans="1:6" x14ac:dyDescent="0.15">
      <c r="A91">
        <v>12082802</v>
      </c>
      <c r="B91">
        <v>8410926</v>
      </c>
      <c r="C91" t="s">
        <v>114</v>
      </c>
      <c r="D91" t="s">
        <v>8</v>
      </c>
      <c r="E91" s="4" t="str">
        <f>HYPERLINK("https://ibp.a2mac1.com/costing(costing:projects/details/9760/process/12082802)","Process")</f>
        <v>Process</v>
      </c>
      <c r="F91" t="s">
        <v>325</v>
      </c>
    </row>
    <row r="92" spans="1:6" x14ac:dyDescent="0.15">
      <c r="A92">
        <v>12209767</v>
      </c>
      <c r="B92">
        <v>12082802</v>
      </c>
      <c r="C92" t="s">
        <v>163</v>
      </c>
      <c r="D92" t="s">
        <v>114</v>
      </c>
      <c r="E92" s="4" t="str">
        <f>HYPERLINK("https://ibp.a2mac1.com/costing(costing:projects/details/9760/equipment/12209767)","Dummy Machine (Wireharness production line)")</f>
        <v>Dummy Machine (Wireharness production line)</v>
      </c>
      <c r="F92" t="s">
        <v>326</v>
      </c>
    </row>
    <row r="93" spans="1:6" x14ac:dyDescent="0.15">
      <c r="A93">
        <v>8751755</v>
      </c>
      <c r="B93">
        <v>8410926</v>
      </c>
      <c r="C93" t="s">
        <v>311</v>
      </c>
      <c r="D93" t="s">
        <v>8</v>
      </c>
      <c r="E93" s="4" t="str">
        <f>HYPERLINK("https://ibp.a2mac1.com/costing(costing:projects/details/9760/component/8751755)","Material")</f>
        <v>Material</v>
      </c>
      <c r="F93" t="s">
        <v>325</v>
      </c>
    </row>
    <row r="94" spans="1:6" x14ac:dyDescent="0.15">
      <c r="A94">
        <v>8751756</v>
      </c>
      <c r="B94">
        <v>8410926</v>
      </c>
      <c r="C94" t="s">
        <v>311</v>
      </c>
      <c r="D94" t="s">
        <v>8</v>
      </c>
      <c r="E94" s="4" t="str">
        <f>HYPERLINK("https://ibp.a2mac1.com/costing(costing:projects/details/9760/component/8751756)","Copper")</f>
        <v>Copper</v>
      </c>
      <c r="F94" t="s">
        <v>325</v>
      </c>
    </row>
    <row r="95" spans="1:6" x14ac:dyDescent="0.15">
      <c r="A95">
        <v>8410927</v>
      </c>
      <c r="B95">
        <v>8410909</v>
      </c>
      <c r="C95" t="s">
        <v>8</v>
      </c>
      <c r="D95" t="s">
        <v>8</v>
      </c>
      <c r="E95" s="4" t="str">
        <f>HYPERLINK("https://ibp.a2mac1.com/costing(costing:projects/details/9760/assembly/8410927)","Wiring on Front Module")</f>
        <v>Wiring on Front Module</v>
      </c>
      <c r="F95" t="s">
        <v>314</v>
      </c>
    </row>
    <row r="96" spans="1:6" x14ac:dyDescent="0.15">
      <c r="A96">
        <v>12082803</v>
      </c>
      <c r="B96">
        <v>8410927</v>
      </c>
      <c r="C96" t="s">
        <v>114</v>
      </c>
      <c r="D96" t="s">
        <v>8</v>
      </c>
      <c r="E96" s="4" t="str">
        <f>HYPERLINK("https://ibp.a2mac1.com/costing(costing:projects/details/9760/process/12082803)","Process")</f>
        <v>Process</v>
      </c>
      <c r="F96" t="s">
        <v>328</v>
      </c>
    </row>
    <row r="97" spans="1:6" x14ac:dyDescent="0.15">
      <c r="A97">
        <v>12209768</v>
      </c>
      <c r="B97">
        <v>12082803</v>
      </c>
      <c r="C97" t="s">
        <v>163</v>
      </c>
      <c r="D97" t="s">
        <v>114</v>
      </c>
      <c r="E97" s="4" t="str">
        <f>HYPERLINK("https://ibp.a2mac1.com/costing(costing:projects/details/9760/equipment/12209768)","Dummy Machine (Wireharness production line)")</f>
        <v>Dummy Machine (Wireharness production line)</v>
      </c>
      <c r="F97" t="s">
        <v>329</v>
      </c>
    </row>
    <row r="98" spans="1:6" x14ac:dyDescent="0.15">
      <c r="A98">
        <v>8751757</v>
      </c>
      <c r="B98">
        <v>8410927</v>
      </c>
      <c r="C98" t="s">
        <v>311</v>
      </c>
      <c r="D98" t="s">
        <v>8</v>
      </c>
      <c r="E98" s="4" t="str">
        <f>HYPERLINK("https://ibp.a2mac1.com/costing(costing:projects/details/9760/component/8751757)","Material")</f>
        <v>Material</v>
      </c>
      <c r="F98" t="s">
        <v>328</v>
      </c>
    </row>
    <row r="99" spans="1:6" x14ac:dyDescent="0.15">
      <c r="A99">
        <v>8751758</v>
      </c>
      <c r="B99">
        <v>8410927</v>
      </c>
      <c r="C99" t="s">
        <v>311</v>
      </c>
      <c r="D99" t="s">
        <v>8</v>
      </c>
      <c r="E99" s="4" t="str">
        <f>HYPERLINK("https://ibp.a2mac1.com/costing(costing:projects/details/9760/component/8751758)","Copper")</f>
        <v>Copper</v>
      </c>
      <c r="F99" t="s">
        <v>328</v>
      </c>
    </row>
    <row r="100" spans="1:6" x14ac:dyDescent="0.15">
      <c r="A100">
        <v>8410928</v>
      </c>
      <c r="B100">
        <v>8410909</v>
      </c>
      <c r="C100" t="s">
        <v>8</v>
      </c>
      <c r="D100" t="s">
        <v>8</v>
      </c>
      <c r="E100" s="4" t="str">
        <f>HYPERLINK("https://ibp.a2mac1.com/costing(costing:projects/details/9760/assembly/8410928)","Center Console Wiring")</f>
        <v>Center Console Wiring</v>
      </c>
      <c r="F100" t="s">
        <v>314</v>
      </c>
    </row>
    <row r="101" spans="1:6" x14ac:dyDescent="0.15">
      <c r="A101">
        <v>12082804</v>
      </c>
      <c r="B101">
        <v>8410928</v>
      </c>
      <c r="C101" t="s">
        <v>114</v>
      </c>
      <c r="D101" t="s">
        <v>8</v>
      </c>
      <c r="E101" s="4" t="str">
        <f>HYPERLINK("https://ibp.a2mac1.com/costing(costing:projects/details/9760/process/12082804)","Process")</f>
        <v>Process</v>
      </c>
      <c r="F101" t="s">
        <v>331</v>
      </c>
    </row>
    <row r="102" spans="1:6" x14ac:dyDescent="0.15">
      <c r="A102">
        <v>12209769</v>
      </c>
      <c r="B102">
        <v>12082804</v>
      </c>
      <c r="C102" t="s">
        <v>163</v>
      </c>
      <c r="D102" t="s">
        <v>114</v>
      </c>
      <c r="E102" s="4" t="str">
        <f>HYPERLINK("https://ibp.a2mac1.com/costing(costing:projects/details/9760/equipment/12209769)","Dummy Machine (Wireharness production line)")</f>
        <v>Dummy Machine (Wireharness production line)</v>
      </c>
      <c r="F102" t="s">
        <v>332</v>
      </c>
    </row>
    <row r="103" spans="1:6" x14ac:dyDescent="0.15">
      <c r="A103">
        <v>8751759</v>
      </c>
      <c r="B103">
        <v>8410928</v>
      </c>
      <c r="C103" t="s">
        <v>311</v>
      </c>
      <c r="D103" t="s">
        <v>8</v>
      </c>
      <c r="E103" s="4" t="str">
        <f>HYPERLINK("https://ibp.a2mac1.com/costing(costing:projects/details/9760/component/8751759)","Copper")</f>
        <v>Copper</v>
      </c>
      <c r="F103" t="s">
        <v>331</v>
      </c>
    </row>
    <row r="104" spans="1:6" x14ac:dyDescent="0.15">
      <c r="A104">
        <v>8751760</v>
      </c>
      <c r="B104">
        <v>8410928</v>
      </c>
      <c r="C104" t="s">
        <v>311</v>
      </c>
      <c r="D104" t="s">
        <v>8</v>
      </c>
      <c r="E104" s="4" t="str">
        <f>HYPERLINK("https://ibp.a2mac1.com/costing(costing:projects/details/9760/component/8751760)","Material")</f>
        <v>Material</v>
      </c>
      <c r="F104" t="s">
        <v>331</v>
      </c>
    </row>
    <row r="105" spans="1:6" x14ac:dyDescent="0.15">
      <c r="A105">
        <v>8410929</v>
      </c>
      <c r="B105">
        <v>8410909</v>
      </c>
      <c r="C105" t="s">
        <v>8</v>
      </c>
      <c r="D105" t="s">
        <v>8</v>
      </c>
      <c r="E105" s="4" t="str">
        <f>HYPERLINK("https://ibp.a2mac1.com/costing(costing:projects/details/9760/assembly/8410929)","Headliner Harness")</f>
        <v>Headliner Harness</v>
      </c>
      <c r="F105" t="s">
        <v>314</v>
      </c>
    </row>
    <row r="106" spans="1:6" x14ac:dyDescent="0.15">
      <c r="A106">
        <v>12082805</v>
      </c>
      <c r="B106">
        <v>8410929</v>
      </c>
      <c r="C106" t="s">
        <v>114</v>
      </c>
      <c r="D106" t="s">
        <v>8</v>
      </c>
      <c r="E106" s="4" t="str">
        <f>HYPERLINK("https://ibp.a2mac1.com/costing(costing:projects/details/9760/process/12082805)","Process")</f>
        <v>Process</v>
      </c>
      <c r="F106" t="s">
        <v>334</v>
      </c>
    </row>
    <row r="107" spans="1:6" x14ac:dyDescent="0.15">
      <c r="A107">
        <v>12209770</v>
      </c>
      <c r="B107">
        <v>12082805</v>
      </c>
      <c r="C107" t="s">
        <v>163</v>
      </c>
      <c r="D107" t="s">
        <v>114</v>
      </c>
      <c r="E107" s="4" t="str">
        <f>HYPERLINK("https://ibp.a2mac1.com/costing(costing:projects/details/9760/equipment/12209770)","Dummy Machine (Wireharness production line)")</f>
        <v>Dummy Machine (Wireharness production line)</v>
      </c>
      <c r="F107" t="s">
        <v>335</v>
      </c>
    </row>
    <row r="108" spans="1:6" x14ac:dyDescent="0.15">
      <c r="A108">
        <v>8751761</v>
      </c>
      <c r="B108">
        <v>8410929</v>
      </c>
      <c r="C108" t="s">
        <v>311</v>
      </c>
      <c r="D108" t="s">
        <v>8</v>
      </c>
      <c r="E108" s="4" t="str">
        <f>HYPERLINK("https://ibp.a2mac1.com/costing(costing:projects/details/9760/component/8751761)","Material")</f>
        <v>Material</v>
      </c>
      <c r="F108" t="s">
        <v>334</v>
      </c>
    </row>
    <row r="109" spans="1:6" x14ac:dyDescent="0.15">
      <c r="A109">
        <v>8751762</v>
      </c>
      <c r="B109">
        <v>8410929</v>
      </c>
      <c r="C109" t="s">
        <v>311</v>
      </c>
      <c r="D109" t="s">
        <v>8</v>
      </c>
      <c r="E109" s="4" t="str">
        <f>HYPERLINK("https://ibp.a2mac1.com/costing(costing:projects/details/9760/component/8751762)","Copper")</f>
        <v>Copper</v>
      </c>
      <c r="F109" t="s">
        <v>334</v>
      </c>
    </row>
    <row r="110" spans="1:6" x14ac:dyDescent="0.15">
      <c r="A110">
        <v>8410930</v>
      </c>
      <c r="B110">
        <v>8410909</v>
      </c>
      <c r="C110" t="s">
        <v>8</v>
      </c>
      <c r="D110" t="s">
        <v>8</v>
      </c>
      <c r="E110" s="4" t="str">
        <f>HYPERLINK("https://ibp.a2mac1.com/costing(costing:projects/details/9760/assembly/8410930)","Steering Wheel Harness")</f>
        <v>Steering Wheel Harness</v>
      </c>
      <c r="F110" t="s">
        <v>314</v>
      </c>
    </row>
    <row r="111" spans="1:6" x14ac:dyDescent="0.15">
      <c r="A111">
        <v>12082806</v>
      </c>
      <c r="B111">
        <v>8410930</v>
      </c>
      <c r="C111" t="s">
        <v>114</v>
      </c>
      <c r="D111" t="s">
        <v>8</v>
      </c>
      <c r="E111" s="4" t="str">
        <f>HYPERLINK("https://ibp.a2mac1.com/costing(costing:projects/details/9760/process/12082806)","Process")</f>
        <v>Process</v>
      </c>
      <c r="F111" t="s">
        <v>337</v>
      </c>
    </row>
    <row r="112" spans="1:6" x14ac:dyDescent="0.15">
      <c r="A112">
        <v>12209771</v>
      </c>
      <c r="B112">
        <v>12082806</v>
      </c>
      <c r="C112" t="s">
        <v>163</v>
      </c>
      <c r="D112" t="s">
        <v>114</v>
      </c>
      <c r="E112" s="4" t="str">
        <f>HYPERLINK("https://ibp.a2mac1.com/costing(costing:projects/details/9760/equipment/12209771)","Dummy Machine (Wireharness production line)")</f>
        <v>Dummy Machine (Wireharness production line)</v>
      </c>
      <c r="F112" t="s">
        <v>338</v>
      </c>
    </row>
    <row r="113" spans="1:6" x14ac:dyDescent="0.15">
      <c r="A113">
        <v>8751763</v>
      </c>
      <c r="B113">
        <v>8410930</v>
      </c>
      <c r="C113" t="s">
        <v>311</v>
      </c>
      <c r="D113" t="s">
        <v>8</v>
      </c>
      <c r="E113" s="4" t="str">
        <f>HYPERLINK("https://ibp.a2mac1.com/costing(costing:projects/details/9760/component/8751763)","Material")</f>
        <v>Material</v>
      </c>
      <c r="F113" t="s">
        <v>337</v>
      </c>
    </row>
    <row r="114" spans="1:6" x14ac:dyDescent="0.15">
      <c r="A114">
        <v>8751764</v>
      </c>
      <c r="B114">
        <v>8410930</v>
      </c>
      <c r="C114" t="s">
        <v>311</v>
      </c>
      <c r="D114" t="s">
        <v>8</v>
      </c>
      <c r="E114" s="4" t="str">
        <f>HYPERLINK("https://ibp.a2mac1.com/costing(costing:projects/details/9760/component/8751764)","Copper")</f>
        <v>Copper</v>
      </c>
      <c r="F114" t="s">
        <v>337</v>
      </c>
    </row>
    <row r="115" spans="1:6" x14ac:dyDescent="0.15">
      <c r="A115">
        <v>8410931</v>
      </c>
      <c r="B115">
        <v>8410909</v>
      </c>
      <c r="C115" t="s">
        <v>8</v>
      </c>
      <c r="D115" t="s">
        <v>8</v>
      </c>
      <c r="E115" s="4" t="str">
        <f>HYPERLINK("https://ibp.a2mac1.com/costing(costing:projects/details/9760/assembly/8410931)","2nd Steering Wheel Harness")</f>
        <v>2nd Steering Wheel Harness</v>
      </c>
      <c r="F115" t="s">
        <v>314</v>
      </c>
    </row>
    <row r="116" spans="1:6" x14ac:dyDescent="0.15">
      <c r="A116">
        <v>12082807</v>
      </c>
      <c r="B116">
        <v>8410931</v>
      </c>
      <c r="C116" t="s">
        <v>114</v>
      </c>
      <c r="D116" t="s">
        <v>8</v>
      </c>
      <c r="E116" s="4" t="str">
        <f>HYPERLINK("https://ibp.a2mac1.com/costing(costing:projects/details/9760/process/12082807)","Process")</f>
        <v>Process</v>
      </c>
      <c r="F116" t="s">
        <v>340</v>
      </c>
    </row>
    <row r="117" spans="1:6" x14ac:dyDescent="0.15">
      <c r="A117">
        <v>12209772</v>
      </c>
      <c r="B117">
        <v>12082807</v>
      </c>
      <c r="C117" t="s">
        <v>163</v>
      </c>
      <c r="D117" t="s">
        <v>114</v>
      </c>
      <c r="E117" s="4" t="str">
        <f>HYPERLINK("https://ibp.a2mac1.com/costing(costing:projects/details/9760/equipment/12209772)","Dummy Machine (Wireharness production line)")</f>
        <v>Dummy Machine (Wireharness production line)</v>
      </c>
      <c r="F117" t="s">
        <v>341</v>
      </c>
    </row>
    <row r="118" spans="1:6" x14ac:dyDescent="0.15">
      <c r="A118">
        <v>8751765</v>
      </c>
      <c r="B118">
        <v>8410931</v>
      </c>
      <c r="C118" t="s">
        <v>311</v>
      </c>
      <c r="D118" t="s">
        <v>8</v>
      </c>
      <c r="E118" s="4" t="str">
        <f>HYPERLINK("https://ibp.a2mac1.com/costing(costing:projects/details/9760/component/8751765)","Material")</f>
        <v>Material</v>
      </c>
      <c r="F118" t="s">
        <v>340</v>
      </c>
    </row>
    <row r="119" spans="1:6" x14ac:dyDescent="0.15">
      <c r="A119">
        <v>8751766</v>
      </c>
      <c r="B119">
        <v>8410931</v>
      </c>
      <c r="C119" t="s">
        <v>311</v>
      </c>
      <c r="D119" t="s">
        <v>8</v>
      </c>
      <c r="E119" s="4" t="str">
        <f>HYPERLINK("https://ibp.a2mac1.com/costing(costing:projects/details/9760/component/8751766)","Copper")</f>
        <v>Copper</v>
      </c>
      <c r="F119" t="s">
        <v>340</v>
      </c>
    </row>
    <row r="120" spans="1:6" x14ac:dyDescent="0.15">
      <c r="A120">
        <v>8410932</v>
      </c>
      <c r="B120">
        <v>8410909</v>
      </c>
      <c r="C120" t="s">
        <v>8</v>
      </c>
      <c r="D120" t="s">
        <v>8</v>
      </c>
      <c r="E120" s="4" t="str">
        <f>HYPERLINK("https://ibp.a2mac1.com/costing(costing:projects/details/9760/assembly/8410932)","Rear Axle Harness")</f>
        <v>Rear Axle Harness</v>
      </c>
      <c r="F120" t="s">
        <v>314</v>
      </c>
    </row>
    <row r="121" spans="1:6" x14ac:dyDescent="0.15">
      <c r="A121">
        <v>12082808</v>
      </c>
      <c r="B121">
        <v>8410932</v>
      </c>
      <c r="C121" t="s">
        <v>114</v>
      </c>
      <c r="D121" t="s">
        <v>8</v>
      </c>
      <c r="E121" s="4" t="str">
        <f>HYPERLINK("https://ibp.a2mac1.com/costing(costing:projects/details/9760/process/12082808)","Process")</f>
        <v>Process</v>
      </c>
      <c r="F121" t="s">
        <v>343</v>
      </c>
    </row>
    <row r="122" spans="1:6" x14ac:dyDescent="0.15">
      <c r="A122">
        <v>12209773</v>
      </c>
      <c r="B122">
        <v>12082808</v>
      </c>
      <c r="C122" t="s">
        <v>163</v>
      </c>
      <c r="D122" t="s">
        <v>114</v>
      </c>
      <c r="E122" s="4" t="str">
        <f>HYPERLINK("https://ibp.a2mac1.com/costing(costing:projects/details/9760/equipment/12209773)","Dummy Machine (Wireharness production line)")</f>
        <v>Dummy Machine (Wireharness production line)</v>
      </c>
      <c r="F122" t="s">
        <v>344</v>
      </c>
    </row>
    <row r="123" spans="1:6" x14ac:dyDescent="0.15">
      <c r="A123">
        <v>8751767</v>
      </c>
      <c r="B123">
        <v>8410932</v>
      </c>
      <c r="C123" t="s">
        <v>311</v>
      </c>
      <c r="D123" t="s">
        <v>8</v>
      </c>
      <c r="E123" s="4" t="str">
        <f>HYPERLINK("https://ibp.a2mac1.com/costing(costing:projects/details/9760/component/8751767)","Material")</f>
        <v>Material</v>
      </c>
      <c r="F123" t="s">
        <v>343</v>
      </c>
    </row>
    <row r="124" spans="1:6" x14ac:dyDescent="0.15">
      <c r="A124">
        <v>8751768</v>
      </c>
      <c r="B124">
        <v>8410932</v>
      </c>
      <c r="C124" t="s">
        <v>311</v>
      </c>
      <c r="D124" t="s">
        <v>8</v>
      </c>
      <c r="E124" s="4" t="str">
        <f>HYPERLINK("https://ibp.a2mac1.com/costing(costing:projects/details/9760/component/8751768)","Copper")</f>
        <v>Copper</v>
      </c>
      <c r="F124" t="s">
        <v>343</v>
      </c>
    </row>
    <row r="125" spans="1:6" x14ac:dyDescent="0.15">
      <c r="A125">
        <v>8410933</v>
      </c>
      <c r="B125">
        <v>8410909</v>
      </c>
      <c r="C125" t="s">
        <v>8</v>
      </c>
      <c r="D125" t="s">
        <v>8</v>
      </c>
      <c r="E125" s="4" t="str">
        <f>HYPERLINK("https://ibp.a2mac1.com/costing(costing:projects/details/9760/assembly/8410933)","Blind Spot Radar Camera Harness")</f>
        <v>Blind Spot Radar Camera Harness</v>
      </c>
      <c r="F125" t="s">
        <v>314</v>
      </c>
    </row>
    <row r="126" spans="1:6" x14ac:dyDescent="0.15">
      <c r="A126">
        <v>12082809</v>
      </c>
      <c r="B126">
        <v>8410933</v>
      </c>
      <c r="C126" t="s">
        <v>114</v>
      </c>
      <c r="D126" t="s">
        <v>8</v>
      </c>
      <c r="E126" s="4" t="str">
        <f>HYPERLINK("https://ibp.a2mac1.com/costing(costing:projects/details/9760/process/12082809)","Process")</f>
        <v>Process</v>
      </c>
      <c r="F126" t="s">
        <v>346</v>
      </c>
    </row>
    <row r="127" spans="1:6" x14ac:dyDescent="0.15">
      <c r="A127">
        <v>12209774</v>
      </c>
      <c r="B127">
        <v>12082809</v>
      </c>
      <c r="C127" t="s">
        <v>163</v>
      </c>
      <c r="D127" t="s">
        <v>114</v>
      </c>
      <c r="E127" s="4" t="str">
        <f>HYPERLINK("https://ibp.a2mac1.com/costing(costing:projects/details/9760/equipment/12209774)","Dummy Machine (Wireharness production line)")</f>
        <v>Dummy Machine (Wireharness production line)</v>
      </c>
      <c r="F127" t="s">
        <v>347</v>
      </c>
    </row>
    <row r="128" spans="1:6" x14ac:dyDescent="0.15">
      <c r="A128">
        <v>8751769</v>
      </c>
      <c r="B128">
        <v>8410933</v>
      </c>
      <c r="C128" t="s">
        <v>311</v>
      </c>
      <c r="D128" t="s">
        <v>8</v>
      </c>
      <c r="E128" s="4" t="str">
        <f>HYPERLINK("https://ibp.a2mac1.com/costing(costing:projects/details/9760/component/8751769)","Material")</f>
        <v>Material</v>
      </c>
      <c r="F128" t="s">
        <v>346</v>
      </c>
    </row>
    <row r="129" spans="1:6" x14ac:dyDescent="0.15">
      <c r="A129">
        <v>8751770</v>
      </c>
      <c r="B129">
        <v>8410933</v>
      </c>
      <c r="C129" t="s">
        <v>311</v>
      </c>
      <c r="D129" t="s">
        <v>8</v>
      </c>
      <c r="E129" s="4" t="str">
        <f>HYPERLINK("https://ibp.a2mac1.com/costing(costing:projects/details/9760/component/8751770)","Copper")</f>
        <v>Copper</v>
      </c>
      <c r="F129" t="s">
        <v>346</v>
      </c>
    </row>
    <row r="130" spans="1:6" x14ac:dyDescent="0.15">
      <c r="A130">
        <v>8410934</v>
      </c>
      <c r="B130">
        <v>8410909</v>
      </c>
      <c r="C130" t="s">
        <v>8</v>
      </c>
      <c r="D130" t="s">
        <v>8</v>
      </c>
      <c r="E130" s="4" t="str">
        <f>HYPERLINK("https://ibp.a2mac1.com/costing(costing:projects/details/9760/assembly/8410934)","360 Camera Wire Harness")</f>
        <v>360 Camera Wire Harness</v>
      </c>
      <c r="F130" t="s">
        <v>314</v>
      </c>
    </row>
    <row r="131" spans="1:6" x14ac:dyDescent="0.15">
      <c r="A131">
        <v>12082810</v>
      </c>
      <c r="B131">
        <v>8410934</v>
      </c>
      <c r="C131" t="s">
        <v>114</v>
      </c>
      <c r="D131" t="s">
        <v>8</v>
      </c>
      <c r="E131" s="4" t="str">
        <f>HYPERLINK("https://ibp.a2mac1.com/costing(costing:projects/details/9760/process/12082810)","Process")</f>
        <v>Process</v>
      </c>
      <c r="F131" t="s">
        <v>349</v>
      </c>
    </row>
    <row r="132" spans="1:6" x14ac:dyDescent="0.15">
      <c r="A132">
        <v>12209775</v>
      </c>
      <c r="B132">
        <v>12082810</v>
      </c>
      <c r="C132" t="s">
        <v>163</v>
      </c>
      <c r="D132" t="s">
        <v>114</v>
      </c>
      <c r="E132" s="4" t="str">
        <f>HYPERLINK("https://ibp.a2mac1.com/costing(costing:projects/details/9760/equipment/12209775)","Dummy Machine (Wireharness production line)")</f>
        <v>Dummy Machine (Wireharness production line)</v>
      </c>
      <c r="F132" t="s">
        <v>350</v>
      </c>
    </row>
    <row r="133" spans="1:6" x14ac:dyDescent="0.15">
      <c r="A133">
        <v>8751771</v>
      </c>
      <c r="B133">
        <v>8410934</v>
      </c>
      <c r="C133" t="s">
        <v>311</v>
      </c>
      <c r="D133" t="s">
        <v>8</v>
      </c>
      <c r="E133" s="4" t="str">
        <f>HYPERLINK("https://ibp.a2mac1.com/costing(costing:projects/details/9760/component/8751771)","Material")</f>
        <v>Material</v>
      </c>
      <c r="F133" t="s">
        <v>349</v>
      </c>
    </row>
    <row r="134" spans="1:6" x14ac:dyDescent="0.15">
      <c r="A134">
        <v>8751772</v>
      </c>
      <c r="B134">
        <v>8410934</v>
      </c>
      <c r="C134" t="s">
        <v>311</v>
      </c>
      <c r="D134" t="s">
        <v>8</v>
      </c>
      <c r="E134" s="4" t="str">
        <f>HYPERLINK("https://ibp.a2mac1.com/costing(costing:projects/details/9760/component/8751772)","Copper")</f>
        <v>Copper</v>
      </c>
      <c r="F134" t="s">
        <v>349</v>
      </c>
    </row>
    <row r="135" spans="1:6" x14ac:dyDescent="0.15">
      <c r="A135">
        <v>8410935</v>
      </c>
      <c r="B135">
        <v>8410909</v>
      </c>
      <c r="C135" t="s">
        <v>8</v>
      </c>
      <c r="D135" t="s">
        <v>8</v>
      </c>
      <c r="E135" s="4" t="str">
        <f>HYPERLINK("https://ibp.a2mac1.com/costing(costing:projects/details/9760/assembly/8410935)","Front compartment wiring")</f>
        <v>Front compartment wiring</v>
      </c>
      <c r="F135" t="s">
        <v>314</v>
      </c>
    </row>
    <row r="136" spans="1:6" x14ac:dyDescent="0.15">
      <c r="A136">
        <v>12082811</v>
      </c>
      <c r="B136">
        <v>8410935</v>
      </c>
      <c r="C136" t="s">
        <v>114</v>
      </c>
      <c r="D136" t="s">
        <v>8</v>
      </c>
      <c r="E136" s="4" t="str">
        <f>HYPERLINK("https://ibp.a2mac1.com/costing(costing:projects/details/9760/process/12082811)","Process")</f>
        <v>Process</v>
      </c>
      <c r="F136" t="s">
        <v>352</v>
      </c>
    </row>
    <row r="137" spans="1:6" x14ac:dyDescent="0.15">
      <c r="A137">
        <v>12209776</v>
      </c>
      <c r="B137">
        <v>12082811</v>
      </c>
      <c r="C137" t="s">
        <v>163</v>
      </c>
      <c r="D137" t="s">
        <v>114</v>
      </c>
      <c r="E137" s="4" t="str">
        <f>HYPERLINK("https://ibp.a2mac1.com/costing(costing:projects/details/9760/equipment/12209776)","Dummy Machine (Wireharness production line)")</f>
        <v>Dummy Machine (Wireharness production line)</v>
      </c>
      <c r="F137" t="s">
        <v>353</v>
      </c>
    </row>
    <row r="138" spans="1:6" x14ac:dyDescent="0.15">
      <c r="A138">
        <v>8751773</v>
      </c>
      <c r="B138">
        <v>8410935</v>
      </c>
      <c r="C138" t="s">
        <v>311</v>
      </c>
      <c r="D138" t="s">
        <v>8</v>
      </c>
      <c r="E138" s="4" t="str">
        <f>HYPERLINK("https://ibp.a2mac1.com/costing(costing:projects/details/9760/component/8751773)","Material")</f>
        <v>Material</v>
      </c>
      <c r="F138" t="s">
        <v>352</v>
      </c>
    </row>
    <row r="139" spans="1:6" x14ac:dyDescent="0.15">
      <c r="A139">
        <v>8751774</v>
      </c>
      <c r="B139">
        <v>8410935</v>
      </c>
      <c r="C139" t="s">
        <v>311</v>
      </c>
      <c r="D139" t="s">
        <v>8</v>
      </c>
      <c r="E139" s="4" t="str">
        <f>HYPERLINK("https://ibp.a2mac1.com/costing(costing:projects/details/9760/component/8751774)","Copper")</f>
        <v>Copper</v>
      </c>
      <c r="F139" t="s">
        <v>352</v>
      </c>
    </row>
    <row r="140" spans="1:6" x14ac:dyDescent="0.15">
      <c r="A140">
        <v>8410910</v>
      </c>
      <c r="B140">
        <v>8410906</v>
      </c>
      <c r="C140" t="s">
        <v>8</v>
      </c>
      <c r="D140" t="s">
        <v>8</v>
      </c>
      <c r="E140" s="4" t="str">
        <f>HYPERLINK("https://ibp.a2mac1.com/costing(costing:projects/details/9760/assembly/8410910)","ECU Electronic Control Unit")</f>
        <v>ECU Electronic Control Unit</v>
      </c>
      <c r="F140" t="s">
        <v>282</v>
      </c>
    </row>
    <row r="141" spans="1:6" x14ac:dyDescent="0.15">
      <c r="A141">
        <v>8410937</v>
      </c>
      <c r="B141">
        <v>8410910</v>
      </c>
      <c r="C141" t="s">
        <v>8</v>
      </c>
      <c r="D141" t="s">
        <v>8</v>
      </c>
      <c r="E141" s="4" t="str">
        <f>HYPERLINK("https://ibp.a2mac1.com/costing(costing:projects/details/9760/assembly/8410937)","Hands Off Detection ECU")</f>
        <v>Hands Off Detection ECU</v>
      </c>
      <c r="F141" t="s">
        <v>356</v>
      </c>
    </row>
    <row r="142" spans="1:6" x14ac:dyDescent="0.15">
      <c r="A142">
        <v>12082812</v>
      </c>
      <c r="B142">
        <v>8410937</v>
      </c>
      <c r="C142" t="s">
        <v>114</v>
      </c>
      <c r="D142" t="s">
        <v>8</v>
      </c>
      <c r="E142" s="4" t="str">
        <f>HYPERLINK("https://ibp.a2mac1.com/costing(costing:projects/details/9760/process/12082812)","Process")</f>
        <v>Process</v>
      </c>
      <c r="F142" t="s">
        <v>357</v>
      </c>
    </row>
    <row r="143" spans="1:6" x14ac:dyDescent="0.15">
      <c r="A143">
        <v>12209777</v>
      </c>
      <c r="B143">
        <v>12082812</v>
      </c>
      <c r="C143" t="s">
        <v>163</v>
      </c>
      <c r="D143" t="s">
        <v>114</v>
      </c>
      <c r="E143" s="4" t="str">
        <f>HYPERLINK("https://ibp.a2mac1.com/costing(costing:projects/details/9760/equipment/12209777)","Dummy Machine (PCBA+Final Assembly Line)")</f>
        <v>Dummy Machine (PCBA+Final Assembly Line)</v>
      </c>
      <c r="F143" t="s">
        <v>359</v>
      </c>
    </row>
    <row r="144" spans="1:6" x14ac:dyDescent="0.15">
      <c r="A144">
        <v>8751775</v>
      </c>
      <c r="B144">
        <v>8410937</v>
      </c>
      <c r="C144" t="s">
        <v>311</v>
      </c>
      <c r="D144" t="s">
        <v>8</v>
      </c>
      <c r="E144" s="4" t="str">
        <f>HYPERLINK("https://ibp.a2mac1.com/costing(costing:projects/details/9760/component/8751775)","Mechanics")</f>
        <v>Mechanics</v>
      </c>
      <c r="F144" t="s">
        <v>357</v>
      </c>
    </row>
    <row r="145" spans="1:6" x14ac:dyDescent="0.15">
      <c r="A145">
        <v>8751776</v>
      </c>
      <c r="B145">
        <v>8410937</v>
      </c>
      <c r="C145" t="s">
        <v>311</v>
      </c>
      <c r="D145" t="s">
        <v>8</v>
      </c>
      <c r="E145" s="4" t="str">
        <f>HYPERLINK("https://ibp.a2mac1.com/costing(costing:projects/details/9760/component/8751776)","Electronics")</f>
        <v>Electronics</v>
      </c>
      <c r="F145" t="s">
        <v>357</v>
      </c>
    </row>
    <row r="146" spans="1:6" x14ac:dyDescent="0.15">
      <c r="A146">
        <v>8410938</v>
      </c>
      <c r="B146">
        <v>8410910</v>
      </c>
      <c r="C146" t="s">
        <v>8</v>
      </c>
      <c r="D146" t="s">
        <v>8</v>
      </c>
      <c r="E146" s="4" t="str">
        <f>HYPERLINK("https://ibp.a2mac1.com/costing(costing:projects/details/9760/assembly/8410938)","Network ECU BCM")</f>
        <v>Network ECU BCM</v>
      </c>
      <c r="F146" t="s">
        <v>356</v>
      </c>
    </row>
    <row r="147" spans="1:6" x14ac:dyDescent="0.15">
      <c r="A147">
        <v>8410995</v>
      </c>
      <c r="B147">
        <v>8410938</v>
      </c>
      <c r="C147" t="s">
        <v>8</v>
      </c>
      <c r="D147" t="s">
        <v>8</v>
      </c>
      <c r="E147" s="4" t="str">
        <f>HYPERLINK("https://ibp.a2mac1.com/costing(costing:projects/details/9760/assembly/8410995)","Network ECU BCM")</f>
        <v>Network ECU BCM</v>
      </c>
      <c r="F147" t="s">
        <v>367</v>
      </c>
    </row>
    <row r="148" spans="1:6" x14ac:dyDescent="0.15">
      <c r="A148">
        <v>12082942</v>
      </c>
      <c r="B148">
        <v>8410995</v>
      </c>
      <c r="C148" t="s">
        <v>114</v>
      </c>
      <c r="D148" t="s">
        <v>8</v>
      </c>
      <c r="E148" s="4" t="str">
        <f>HYPERLINK("https://ibp.a2mac1.com/costing(costing:projects/details/9760/process/12082942)","Process")</f>
        <v>Process</v>
      </c>
      <c r="F148" t="s">
        <v>368</v>
      </c>
    </row>
    <row r="149" spans="1:6" x14ac:dyDescent="0.15">
      <c r="A149">
        <v>12209781</v>
      </c>
      <c r="B149">
        <v>12082942</v>
      </c>
      <c r="C149" t="s">
        <v>163</v>
      </c>
      <c r="D149" t="s">
        <v>114</v>
      </c>
      <c r="E149" s="4" t="str">
        <f>HYPERLINK("https://ibp.a2mac1.com/costing(costing:projects/details/9760/equipment/12209781)","Dummy Machine (PCBA+Final Assembly Line)")</f>
        <v>Dummy Machine (PCBA+Final Assembly Line)</v>
      </c>
      <c r="F149" t="s">
        <v>369</v>
      </c>
    </row>
    <row r="150" spans="1:6" x14ac:dyDescent="0.15">
      <c r="A150">
        <v>8751795</v>
      </c>
      <c r="B150">
        <v>8410995</v>
      </c>
      <c r="C150" t="s">
        <v>311</v>
      </c>
      <c r="D150" t="s">
        <v>8</v>
      </c>
      <c r="E150" s="4" t="str">
        <f>HYPERLINK("https://ibp.a2mac1.com/costing(costing:projects/details/9760/component/8751795)","Mechanics")</f>
        <v>Mechanics</v>
      </c>
      <c r="F150" t="s">
        <v>368</v>
      </c>
    </row>
    <row r="151" spans="1:6" x14ac:dyDescent="0.15">
      <c r="A151">
        <v>8751796</v>
      </c>
      <c r="B151">
        <v>8410995</v>
      </c>
      <c r="C151" t="s">
        <v>311</v>
      </c>
      <c r="D151" t="s">
        <v>8</v>
      </c>
      <c r="E151" s="4" t="str">
        <f>HYPERLINK("https://ibp.a2mac1.com/costing(costing:projects/details/9760/component/8751796)","Electronics")</f>
        <v>Electronics</v>
      </c>
      <c r="F151" t="s">
        <v>368</v>
      </c>
    </row>
    <row r="152" spans="1:6" x14ac:dyDescent="0.15">
      <c r="A152">
        <v>8410996</v>
      </c>
      <c r="B152">
        <v>8410938</v>
      </c>
      <c r="C152" t="s">
        <v>8</v>
      </c>
      <c r="D152" t="s">
        <v>8</v>
      </c>
      <c r="E152" s="4" t="str">
        <f>HYPERLINK("https://ibp.a2mac1.com/costing(costing:projects/details/9760/assembly/8410996)","Network ECU 2 BCM")</f>
        <v>Network ECU 2 BCM</v>
      </c>
      <c r="F152" t="s">
        <v>367</v>
      </c>
    </row>
    <row r="153" spans="1:6" x14ac:dyDescent="0.15">
      <c r="A153">
        <v>12082943</v>
      </c>
      <c r="B153">
        <v>8410996</v>
      </c>
      <c r="C153" t="s">
        <v>114</v>
      </c>
      <c r="D153" t="s">
        <v>8</v>
      </c>
      <c r="E153" s="4" t="str">
        <f>HYPERLINK("https://ibp.a2mac1.com/costing(costing:projects/details/9760/process/12082943)","Process")</f>
        <v>Process</v>
      </c>
      <c r="F153" t="s">
        <v>371</v>
      </c>
    </row>
    <row r="154" spans="1:6" x14ac:dyDescent="0.15">
      <c r="A154">
        <v>12209782</v>
      </c>
      <c r="B154">
        <v>12082943</v>
      </c>
      <c r="C154" t="s">
        <v>163</v>
      </c>
      <c r="D154" t="s">
        <v>114</v>
      </c>
      <c r="E154" s="4" t="str">
        <f>HYPERLINK("https://ibp.a2mac1.com/costing(costing:projects/details/9760/equipment/12209782)","Dummy Machine (PCBA+Final Assembly Line)")</f>
        <v>Dummy Machine (PCBA+Final Assembly Line)</v>
      </c>
      <c r="F154" t="s">
        <v>372</v>
      </c>
    </row>
    <row r="155" spans="1:6" x14ac:dyDescent="0.15">
      <c r="A155">
        <v>8751797</v>
      </c>
      <c r="B155">
        <v>8410996</v>
      </c>
      <c r="C155" t="s">
        <v>311</v>
      </c>
      <c r="D155" t="s">
        <v>8</v>
      </c>
      <c r="E155" s="4" t="str">
        <f>HYPERLINK("https://ibp.a2mac1.com/costing(costing:projects/details/9760/component/8751797)","Electronics")</f>
        <v>Electronics</v>
      </c>
      <c r="F155" t="s">
        <v>371</v>
      </c>
    </row>
    <row r="156" spans="1:6" x14ac:dyDescent="0.15">
      <c r="A156">
        <v>8751798</v>
      </c>
      <c r="B156">
        <v>8410996</v>
      </c>
      <c r="C156" t="s">
        <v>311</v>
      </c>
      <c r="D156" t="s">
        <v>8</v>
      </c>
      <c r="E156" s="4" t="str">
        <f>HYPERLINK("https://ibp.a2mac1.com/costing(costing:projects/details/9760/component/8751798)","Mechanics")</f>
        <v>Mechanics</v>
      </c>
      <c r="F156" t="s">
        <v>371</v>
      </c>
    </row>
    <row r="157" spans="1:6" x14ac:dyDescent="0.15">
      <c r="A157">
        <v>8410997</v>
      </c>
      <c r="B157">
        <v>8410938</v>
      </c>
      <c r="C157" t="s">
        <v>8</v>
      </c>
      <c r="D157" t="s">
        <v>8</v>
      </c>
      <c r="E157" s="4" t="str">
        <f>HYPERLINK("https://ibp.a2mac1.com/costing(costing:projects/details/9760/assembly/8410997)","Network ECU 3 BCM")</f>
        <v>Network ECU 3 BCM</v>
      </c>
      <c r="F157" t="s">
        <v>367</v>
      </c>
    </row>
    <row r="158" spans="1:6" x14ac:dyDescent="0.15">
      <c r="A158">
        <v>12082944</v>
      </c>
      <c r="B158">
        <v>8410997</v>
      </c>
      <c r="C158" t="s">
        <v>114</v>
      </c>
      <c r="D158" t="s">
        <v>8</v>
      </c>
      <c r="E158" s="4" t="str">
        <f>HYPERLINK("https://ibp.a2mac1.com/costing(costing:projects/details/9760/process/12082944)","Process")</f>
        <v>Process</v>
      </c>
      <c r="F158" t="s">
        <v>374</v>
      </c>
    </row>
    <row r="159" spans="1:6" x14ac:dyDescent="0.15">
      <c r="A159">
        <v>12209783</v>
      </c>
      <c r="B159">
        <v>12082944</v>
      </c>
      <c r="C159" t="s">
        <v>163</v>
      </c>
      <c r="D159" t="s">
        <v>114</v>
      </c>
      <c r="E159" s="4" t="str">
        <f>HYPERLINK("https://ibp.a2mac1.com/costing(costing:projects/details/9760/equipment/12209783)","Dummy Machine (PCBA+Final Assembly Line)")</f>
        <v>Dummy Machine (PCBA+Final Assembly Line)</v>
      </c>
      <c r="F159" t="s">
        <v>375</v>
      </c>
    </row>
    <row r="160" spans="1:6" x14ac:dyDescent="0.15">
      <c r="A160">
        <v>8751799</v>
      </c>
      <c r="B160">
        <v>8410997</v>
      </c>
      <c r="C160" t="s">
        <v>311</v>
      </c>
      <c r="D160" t="s">
        <v>8</v>
      </c>
      <c r="E160" s="4" t="str">
        <f>HYPERLINK("https://ibp.a2mac1.com/costing(costing:projects/details/9760/component/8751799)","Electronics")</f>
        <v>Electronics</v>
      </c>
      <c r="F160" t="s">
        <v>374</v>
      </c>
    </row>
    <row r="161" spans="1:6" x14ac:dyDescent="0.15">
      <c r="A161">
        <v>8751800</v>
      </c>
      <c r="B161">
        <v>8410997</v>
      </c>
      <c r="C161" t="s">
        <v>311</v>
      </c>
      <c r="D161" t="s">
        <v>8</v>
      </c>
      <c r="E161" s="4" t="str">
        <f>HYPERLINK("https://ibp.a2mac1.com/costing(costing:projects/details/9760/component/8751800)","Mechanics")</f>
        <v>Mechanics</v>
      </c>
      <c r="F161" t="s">
        <v>374</v>
      </c>
    </row>
    <row r="162" spans="1:6" x14ac:dyDescent="0.15">
      <c r="A162">
        <v>8751777</v>
      </c>
      <c r="B162">
        <v>8410938</v>
      </c>
      <c r="C162" t="s">
        <v>311</v>
      </c>
      <c r="D162" t="s">
        <v>8</v>
      </c>
      <c r="E162" s="4" t="str">
        <f>HYPERLINK("https://ibp.a2mac1.com/costing(costing:projects/details/9760/component/8751777)","Hex Nut M6")</f>
        <v>Hex Nut M6</v>
      </c>
      <c r="F162" t="s">
        <v>367</v>
      </c>
    </row>
    <row r="163" spans="1:6" x14ac:dyDescent="0.15">
      <c r="A163">
        <v>8751778</v>
      </c>
      <c r="B163">
        <v>8410938</v>
      </c>
      <c r="C163" t="s">
        <v>311</v>
      </c>
      <c r="D163" t="s">
        <v>8</v>
      </c>
      <c r="E163" s="4" t="str">
        <f>HYPERLINK("https://ibp.a2mac1.com/costing(costing:projects/details/9760/component/8751778)","Round head Screw M6x18")</f>
        <v>Round head Screw M6x18</v>
      </c>
      <c r="F163" t="s">
        <v>367</v>
      </c>
    </row>
    <row r="164" spans="1:6" x14ac:dyDescent="0.15">
      <c r="A164">
        <v>8751779</v>
      </c>
      <c r="B164">
        <v>8410938</v>
      </c>
      <c r="C164" t="s">
        <v>311</v>
      </c>
      <c r="D164" t="s">
        <v>8</v>
      </c>
      <c r="E164" s="4" t="str">
        <f>HYPERLINK("https://ibp.a2mac1.com/costing(costing:projects/details/9760/component/8751779)","Round head Screw M6x18")</f>
        <v>Round head Screw M6x18</v>
      </c>
      <c r="F164" t="s">
        <v>367</v>
      </c>
    </row>
    <row r="165" spans="1:6" x14ac:dyDescent="0.15">
      <c r="A165">
        <v>8410939</v>
      </c>
      <c r="B165">
        <v>8410910</v>
      </c>
      <c r="C165" t="s">
        <v>8</v>
      </c>
      <c r="D165" t="s">
        <v>8</v>
      </c>
      <c r="E165" s="4" t="str">
        <f>HYPERLINK("https://ibp.a2mac1.com/costing(costing:projects/details/9760/assembly/8410939)","Gateway ECU")</f>
        <v>Gateway ECU</v>
      </c>
      <c r="F165" t="s">
        <v>356</v>
      </c>
    </row>
    <row r="166" spans="1:6" x14ac:dyDescent="0.15">
      <c r="A166">
        <v>8410998</v>
      </c>
      <c r="B166">
        <v>8410939</v>
      </c>
      <c r="C166" t="s">
        <v>8</v>
      </c>
      <c r="D166" t="s">
        <v>8</v>
      </c>
      <c r="E166" s="4" t="str">
        <f>HYPERLINK("https://ibp.a2mac1.com/costing(costing:projects/details/9760/assembly/8410998)","Gateway ECU")</f>
        <v>Gateway ECU</v>
      </c>
      <c r="F166" t="s">
        <v>380</v>
      </c>
    </row>
    <row r="167" spans="1:6" x14ac:dyDescent="0.15">
      <c r="A167">
        <v>12082945</v>
      </c>
      <c r="B167">
        <v>8410998</v>
      </c>
      <c r="C167" t="s">
        <v>114</v>
      </c>
      <c r="D167" t="s">
        <v>8</v>
      </c>
      <c r="E167" s="4" t="str">
        <f>HYPERLINK("https://ibp.a2mac1.com/costing(costing:projects/details/9760/process/12082945)","Process")</f>
        <v>Process</v>
      </c>
      <c r="F167" t="s">
        <v>381</v>
      </c>
    </row>
    <row r="168" spans="1:6" x14ac:dyDescent="0.15">
      <c r="A168">
        <v>12209784</v>
      </c>
      <c r="B168">
        <v>12082945</v>
      </c>
      <c r="C168" t="s">
        <v>163</v>
      </c>
      <c r="D168" t="s">
        <v>114</v>
      </c>
      <c r="E168" s="4" t="str">
        <f>HYPERLINK("https://ibp.a2mac1.com/costing(costing:projects/details/9760/equipment/12209784)","Dummy Machine (PCBA+Final Assembly Line)")</f>
        <v>Dummy Machine (PCBA+Final Assembly Line)</v>
      </c>
      <c r="F168" t="s">
        <v>382</v>
      </c>
    </row>
    <row r="169" spans="1:6" x14ac:dyDescent="0.15">
      <c r="A169">
        <v>8751801</v>
      </c>
      <c r="B169">
        <v>8410998</v>
      </c>
      <c r="C169" t="s">
        <v>311</v>
      </c>
      <c r="D169" t="s">
        <v>8</v>
      </c>
      <c r="E169" s="4" t="str">
        <f>HYPERLINK("https://ibp.a2mac1.com/costing(costing:projects/details/9760/component/8751801)","Electronics")</f>
        <v>Electronics</v>
      </c>
      <c r="F169" t="s">
        <v>381</v>
      </c>
    </row>
    <row r="170" spans="1:6" x14ac:dyDescent="0.15">
      <c r="A170">
        <v>8751802</v>
      </c>
      <c r="B170">
        <v>8410998</v>
      </c>
      <c r="C170" t="s">
        <v>311</v>
      </c>
      <c r="D170" t="s">
        <v>8</v>
      </c>
      <c r="E170" s="4" t="str">
        <f>HYPERLINK("https://ibp.a2mac1.com/costing(costing:projects/details/9760/component/8751802)","Mechanics")</f>
        <v>Mechanics</v>
      </c>
      <c r="F170" t="s">
        <v>381</v>
      </c>
    </row>
    <row r="171" spans="1:6" x14ac:dyDescent="0.15">
      <c r="A171">
        <v>8751780</v>
      </c>
      <c r="B171">
        <v>8410939</v>
      </c>
      <c r="C171" t="s">
        <v>311</v>
      </c>
      <c r="D171" t="s">
        <v>8</v>
      </c>
      <c r="E171" s="4" t="str">
        <f>HYPERLINK("https://ibp.a2mac1.com/costing(costing:projects/details/9760/component/8751780)","Flange Nut M6")</f>
        <v>Flange Nut M6</v>
      </c>
      <c r="F171" t="s">
        <v>380</v>
      </c>
    </row>
    <row r="172" spans="1:6" x14ac:dyDescent="0.15">
      <c r="A172">
        <v>8410940</v>
      </c>
      <c r="B172">
        <v>8410910</v>
      </c>
      <c r="C172" t="s">
        <v>8</v>
      </c>
      <c r="D172" t="s">
        <v>8</v>
      </c>
      <c r="E172" s="4" t="str">
        <f>HYPERLINK("https://ibp.a2mac1.com/costing(costing:projects/details/9760/assembly/8410940)","Trunk Lid   Tailgate Lifting ECU")</f>
        <v>Trunk Lid   Tailgate Lifting ECU</v>
      </c>
      <c r="F172" t="s">
        <v>356</v>
      </c>
    </row>
    <row r="173" spans="1:6" x14ac:dyDescent="0.15">
      <c r="A173">
        <v>8410999</v>
      </c>
      <c r="B173">
        <v>8410940</v>
      </c>
      <c r="C173" t="s">
        <v>8</v>
      </c>
      <c r="D173" t="s">
        <v>8</v>
      </c>
      <c r="E173" s="4" t="str">
        <f>HYPERLINK("https://ibp.a2mac1.com/costing(costing:projects/details/9760/assembly/8410999)","Trunk Lid   Tailgate Lifting ECU")</f>
        <v>Trunk Lid   Tailgate Lifting ECU</v>
      </c>
      <c r="F173" t="s">
        <v>386</v>
      </c>
    </row>
    <row r="174" spans="1:6" x14ac:dyDescent="0.15">
      <c r="A174">
        <v>12082946</v>
      </c>
      <c r="B174">
        <v>8410999</v>
      </c>
      <c r="C174" t="s">
        <v>114</v>
      </c>
      <c r="D174" t="s">
        <v>8</v>
      </c>
      <c r="E174" s="4" t="str">
        <f>HYPERLINK("https://ibp.a2mac1.com/costing(costing:projects/details/9760/process/12082946)","Process")</f>
        <v>Process</v>
      </c>
      <c r="F174" t="s">
        <v>387</v>
      </c>
    </row>
    <row r="175" spans="1:6" x14ac:dyDescent="0.15">
      <c r="A175">
        <v>12209785</v>
      </c>
      <c r="B175">
        <v>12082946</v>
      </c>
      <c r="C175" t="s">
        <v>163</v>
      </c>
      <c r="D175" t="s">
        <v>114</v>
      </c>
      <c r="E175" s="4" t="str">
        <f>HYPERLINK("https://ibp.a2mac1.com/costing(costing:projects/details/9760/equipment/12209785)","Dummy Machine (PCBA+Final Assembly Line)")</f>
        <v>Dummy Machine (PCBA+Final Assembly Line)</v>
      </c>
      <c r="F175" t="s">
        <v>388</v>
      </c>
    </row>
    <row r="176" spans="1:6" x14ac:dyDescent="0.15">
      <c r="A176">
        <v>8751803</v>
      </c>
      <c r="B176">
        <v>8410999</v>
      </c>
      <c r="C176" t="s">
        <v>311</v>
      </c>
      <c r="D176" t="s">
        <v>8</v>
      </c>
      <c r="E176" s="4" t="str">
        <f>HYPERLINK("https://ibp.a2mac1.com/costing(costing:projects/details/9760/component/8751803)","Electronics")</f>
        <v>Electronics</v>
      </c>
      <c r="F176" t="s">
        <v>387</v>
      </c>
    </row>
    <row r="177" spans="1:6" x14ac:dyDescent="0.15">
      <c r="A177">
        <v>8751804</v>
      </c>
      <c r="B177">
        <v>8410999</v>
      </c>
      <c r="C177" t="s">
        <v>311</v>
      </c>
      <c r="D177" t="s">
        <v>8</v>
      </c>
      <c r="E177" s="4" t="str">
        <f>HYPERLINK("https://ibp.a2mac1.com/costing(costing:projects/details/9760/component/8751804)","Mechanics")</f>
        <v>Mechanics</v>
      </c>
      <c r="F177" t="s">
        <v>387</v>
      </c>
    </row>
    <row r="178" spans="1:6" x14ac:dyDescent="0.15">
      <c r="A178">
        <v>8751781</v>
      </c>
      <c r="B178">
        <v>8410940</v>
      </c>
      <c r="C178" t="s">
        <v>311</v>
      </c>
      <c r="D178" t="s">
        <v>8</v>
      </c>
      <c r="E178" s="4" t="str">
        <f>HYPERLINK("https://ibp.a2mac1.com/costing(costing:projects/details/9760/component/8751781)","Hex Nut M12")</f>
        <v>Hex Nut M12</v>
      </c>
      <c r="F178" t="s">
        <v>386</v>
      </c>
    </row>
    <row r="179" spans="1:6" x14ac:dyDescent="0.15">
      <c r="A179">
        <v>8410941</v>
      </c>
      <c r="B179">
        <v>8410910</v>
      </c>
      <c r="C179" t="s">
        <v>8</v>
      </c>
      <c r="D179" t="s">
        <v>8</v>
      </c>
      <c r="E179" s="4" t="str">
        <f>HYPERLINK("https://ibp.a2mac1.com/costing(costing:projects/details/9760/assembly/8410941)","ADAS ECU")</f>
        <v>ADAS ECU</v>
      </c>
      <c r="F179" t="s">
        <v>356</v>
      </c>
    </row>
    <row r="180" spans="1:6" x14ac:dyDescent="0.15">
      <c r="A180">
        <v>8411000</v>
      </c>
      <c r="B180">
        <v>8410941</v>
      </c>
      <c r="C180" t="s">
        <v>8</v>
      </c>
      <c r="D180" t="s">
        <v>8</v>
      </c>
      <c r="E180" s="4" t="str">
        <f>HYPERLINK("https://ibp.a2mac1.com/costing(costing:projects/details/9760/assembly/8411000)","ADAS ECU")</f>
        <v>ADAS ECU</v>
      </c>
      <c r="F180" t="s">
        <v>392</v>
      </c>
    </row>
    <row r="181" spans="1:6" x14ac:dyDescent="0.15">
      <c r="A181">
        <v>12082947</v>
      </c>
      <c r="B181">
        <v>8411000</v>
      </c>
      <c r="C181" t="s">
        <v>114</v>
      </c>
      <c r="D181" t="s">
        <v>8</v>
      </c>
      <c r="E181" s="4" t="str">
        <f>HYPERLINK("https://ibp.a2mac1.com/costing(costing:projects/details/9760/process/12082947)","Process")</f>
        <v>Process</v>
      </c>
      <c r="F181" t="s">
        <v>393</v>
      </c>
    </row>
    <row r="182" spans="1:6" x14ac:dyDescent="0.15">
      <c r="A182">
        <v>12209786</v>
      </c>
      <c r="B182">
        <v>12082947</v>
      </c>
      <c r="C182" t="s">
        <v>163</v>
      </c>
      <c r="D182" t="s">
        <v>114</v>
      </c>
      <c r="E182" s="4" t="str">
        <f>HYPERLINK("https://ibp.a2mac1.com/costing(costing:projects/details/9760/equipment/12209786)","Dummy Machine (PCBA+Final Assembly Line)")</f>
        <v>Dummy Machine (PCBA+Final Assembly Line)</v>
      </c>
      <c r="F182" t="s">
        <v>394</v>
      </c>
    </row>
    <row r="183" spans="1:6" x14ac:dyDescent="0.15">
      <c r="A183">
        <v>8751805</v>
      </c>
      <c r="B183">
        <v>8411000</v>
      </c>
      <c r="C183" t="s">
        <v>311</v>
      </c>
      <c r="D183" t="s">
        <v>8</v>
      </c>
      <c r="E183" s="4" t="str">
        <f>HYPERLINK("https://ibp.a2mac1.com/costing(costing:projects/details/9760/component/8751805)","Mechanics")</f>
        <v>Mechanics</v>
      </c>
      <c r="F183" t="s">
        <v>393</v>
      </c>
    </row>
    <row r="184" spans="1:6" x14ac:dyDescent="0.15">
      <c r="A184">
        <v>8751806</v>
      </c>
      <c r="B184">
        <v>8411000</v>
      </c>
      <c r="C184" t="s">
        <v>311</v>
      </c>
      <c r="D184" t="s">
        <v>8</v>
      </c>
      <c r="E184" s="4" t="str">
        <f>HYPERLINK("https://ibp.a2mac1.com/costing(costing:projects/details/9760/component/8751806)","Electronics")</f>
        <v>Electronics</v>
      </c>
      <c r="F184" t="s">
        <v>393</v>
      </c>
    </row>
    <row r="185" spans="1:6" x14ac:dyDescent="0.15">
      <c r="A185">
        <v>8411001</v>
      </c>
      <c r="B185">
        <v>8410941</v>
      </c>
      <c r="C185" t="s">
        <v>10</v>
      </c>
      <c r="D185" t="s">
        <v>8</v>
      </c>
      <c r="E185" s="4" t="str">
        <f>HYPERLINK("https://ibp.a2mac1.com/costing(costing:projects/details/9760/part/8411001)","ADAS ECU Coolant Inlet Hose")</f>
        <v>ADAS ECU Coolant Inlet Hose</v>
      </c>
      <c r="F185" t="s">
        <v>392</v>
      </c>
    </row>
    <row r="186" spans="1:6" x14ac:dyDescent="0.15">
      <c r="A186">
        <v>8411002</v>
      </c>
      <c r="B186">
        <v>8410941</v>
      </c>
      <c r="C186" t="s">
        <v>10</v>
      </c>
      <c r="D186" t="s">
        <v>8</v>
      </c>
      <c r="E186" s="4" t="str">
        <f>HYPERLINK("https://ibp.a2mac1.com/costing(costing:projects/details/9760/part/8411002)","ADAS ECU Coolant Inlet Hose 2")</f>
        <v>ADAS ECU Coolant Inlet Hose 2</v>
      </c>
      <c r="F186" t="s">
        <v>392</v>
      </c>
    </row>
    <row r="187" spans="1:6" x14ac:dyDescent="0.15">
      <c r="A187">
        <v>8411003</v>
      </c>
      <c r="B187">
        <v>8410941</v>
      </c>
      <c r="C187" t="s">
        <v>10</v>
      </c>
      <c r="D187" t="s">
        <v>8</v>
      </c>
      <c r="E187" s="4" t="str">
        <f>HYPERLINK("https://ibp.a2mac1.com/costing(costing:projects/details/9760/part/8411003)","ADAS ECU Coolant Outlet Hose")</f>
        <v>ADAS ECU Coolant Outlet Hose</v>
      </c>
      <c r="F187" t="s">
        <v>392</v>
      </c>
    </row>
    <row r="188" spans="1:6" x14ac:dyDescent="0.15">
      <c r="A188">
        <v>8411004</v>
      </c>
      <c r="B188">
        <v>8410941</v>
      </c>
      <c r="C188" t="s">
        <v>10</v>
      </c>
      <c r="D188" t="s">
        <v>8</v>
      </c>
      <c r="E188" s="4" t="str">
        <f>HYPERLINK("https://ibp.a2mac1.com/costing(costing:projects/details/9760/part/8411004)","ADAS ECU Coolant Outlet Hose 2")</f>
        <v>ADAS ECU Coolant Outlet Hose 2</v>
      </c>
      <c r="F188" t="s">
        <v>392</v>
      </c>
    </row>
    <row r="189" spans="1:6" x14ac:dyDescent="0.15">
      <c r="A189">
        <v>8411005</v>
      </c>
      <c r="B189">
        <v>8410941</v>
      </c>
      <c r="C189" t="s">
        <v>10</v>
      </c>
      <c r="D189" t="s">
        <v>8</v>
      </c>
      <c r="E189" s="4" t="str">
        <f>HYPERLINK("https://ibp.a2mac1.com/costing(costing:projects/details/9760/part/8411005)","Coolant Coupling on Body")</f>
        <v>Coolant Coupling on Body</v>
      </c>
      <c r="F189" t="s">
        <v>392</v>
      </c>
    </row>
    <row r="190" spans="1:6" x14ac:dyDescent="0.15">
      <c r="A190">
        <v>8410942</v>
      </c>
      <c r="B190">
        <v>8410910</v>
      </c>
      <c r="C190" t="s">
        <v>8</v>
      </c>
      <c r="D190" t="s">
        <v>8</v>
      </c>
      <c r="E190" s="4" t="str">
        <f>HYPERLINK("https://ibp.a2mac1.com/costing(costing:projects/details/9760/assembly/8410942)","Refrigerated Compartment ECU")</f>
        <v>Refrigerated Compartment ECU</v>
      </c>
      <c r="F190" t="s">
        <v>356</v>
      </c>
    </row>
    <row r="191" spans="1:6" x14ac:dyDescent="0.15">
      <c r="A191">
        <v>8411006</v>
      </c>
      <c r="B191">
        <v>8410942</v>
      </c>
      <c r="C191" t="s">
        <v>8</v>
      </c>
      <c r="D191" t="s">
        <v>8</v>
      </c>
      <c r="E191" s="4" t="str">
        <f>HYPERLINK("https://ibp.a2mac1.com/costing(costing:projects/details/9760/assembly/8411006)","ECU")</f>
        <v>ECU</v>
      </c>
      <c r="F191" t="s">
        <v>408</v>
      </c>
    </row>
    <row r="192" spans="1:6" x14ac:dyDescent="0.15">
      <c r="A192">
        <v>12082948</v>
      </c>
      <c r="B192">
        <v>8411006</v>
      </c>
      <c r="C192" t="s">
        <v>114</v>
      </c>
      <c r="D192" t="s">
        <v>8</v>
      </c>
      <c r="E192" s="4" t="str">
        <f>HYPERLINK("https://ibp.a2mac1.com/costing(costing:projects/details/9760/process/12082948)","Process")</f>
        <v>Process</v>
      </c>
      <c r="F192" t="s">
        <v>409</v>
      </c>
    </row>
    <row r="193" spans="1:6" x14ac:dyDescent="0.15">
      <c r="A193">
        <v>12209787</v>
      </c>
      <c r="B193">
        <v>12082948</v>
      </c>
      <c r="C193" t="s">
        <v>163</v>
      </c>
      <c r="D193" t="s">
        <v>114</v>
      </c>
      <c r="E193" s="4" t="str">
        <f>HYPERLINK("https://ibp.a2mac1.com/costing(costing:projects/details/9760/equipment/12209787)","Dummy Machine (PCBA+Final Assembly Line)")</f>
        <v>Dummy Machine (PCBA+Final Assembly Line)</v>
      </c>
      <c r="F193" t="s">
        <v>410</v>
      </c>
    </row>
    <row r="194" spans="1:6" x14ac:dyDescent="0.15">
      <c r="A194">
        <v>8751807</v>
      </c>
      <c r="B194">
        <v>8411006</v>
      </c>
      <c r="C194" t="s">
        <v>311</v>
      </c>
      <c r="D194" t="s">
        <v>8</v>
      </c>
      <c r="E194" s="4" t="str">
        <f>HYPERLINK("https://ibp.a2mac1.com/costing(costing:projects/details/9760/component/8751807)","Electronics")</f>
        <v>Electronics</v>
      </c>
      <c r="F194" t="s">
        <v>409</v>
      </c>
    </row>
    <row r="195" spans="1:6" x14ac:dyDescent="0.15">
      <c r="A195">
        <v>8411007</v>
      </c>
      <c r="B195">
        <v>8410942</v>
      </c>
      <c r="C195" t="s">
        <v>10</v>
      </c>
      <c r="D195" t="s">
        <v>8</v>
      </c>
      <c r="E195" s="4" t="str">
        <f>HYPERLINK("https://ibp.a2mac1.com/costing(costing:projects/details/9760/part/8411007)","Protection")</f>
        <v>Protection</v>
      </c>
      <c r="F195" t="s">
        <v>408</v>
      </c>
    </row>
    <row r="196" spans="1:6" x14ac:dyDescent="0.15">
      <c r="A196">
        <v>8751782</v>
      </c>
      <c r="B196">
        <v>8410942</v>
      </c>
      <c r="C196" t="s">
        <v>311</v>
      </c>
      <c r="D196" t="s">
        <v>8</v>
      </c>
      <c r="E196" s="4" t="str">
        <f>HYPERLINK("https://ibp.a2mac1.com/costing(costing:projects/details/9760/component/8751782)","Round head Screw M4x12")</f>
        <v>Round head Screw M4x12</v>
      </c>
      <c r="F196" t="s">
        <v>408</v>
      </c>
    </row>
    <row r="197" spans="1:6" x14ac:dyDescent="0.15">
      <c r="A197">
        <v>8751783</v>
      </c>
      <c r="B197">
        <v>8410942</v>
      </c>
      <c r="C197" t="s">
        <v>311</v>
      </c>
      <c r="D197" t="s">
        <v>8</v>
      </c>
      <c r="E197" s="4" t="str">
        <f>HYPERLINK("https://ibp.a2mac1.com/costing(costing:projects/details/9760/component/8751783)","Round head Screw M3.5x10")</f>
        <v>Round head Screw M3.5x10</v>
      </c>
      <c r="F197" t="s">
        <v>408</v>
      </c>
    </row>
    <row r="198" spans="1:6" x14ac:dyDescent="0.15">
      <c r="A198">
        <v>8410936</v>
      </c>
      <c r="B198">
        <v>8410910</v>
      </c>
      <c r="C198" t="s">
        <v>10</v>
      </c>
      <c r="D198" t="s">
        <v>8</v>
      </c>
      <c r="E198" s="4" t="str">
        <f>HYPERLINK("https://ibp.a2mac1.com/costing(costing:projects/details/9760/part/8410936)","Steering Wheel ECU")</f>
        <v>Steering Wheel ECU</v>
      </c>
      <c r="F198" t="s">
        <v>356</v>
      </c>
    </row>
    <row r="199" spans="1:6" x14ac:dyDescent="0.15">
      <c r="A199">
        <v>8410911</v>
      </c>
      <c r="B199">
        <v>8410906</v>
      </c>
      <c r="C199" t="s">
        <v>8</v>
      </c>
      <c r="D199" t="s">
        <v>8</v>
      </c>
      <c r="E199" s="4" t="str">
        <f>HYPERLINK("https://ibp.a2mac1.com/costing(costing:projects/details/9760/assembly/8410911)","Power cables")</f>
        <v>Power cables</v>
      </c>
      <c r="F199" t="s">
        <v>282</v>
      </c>
    </row>
    <row r="200" spans="1:6" x14ac:dyDescent="0.15">
      <c r="A200">
        <v>8410943</v>
      </c>
      <c r="B200">
        <v>8410911</v>
      </c>
      <c r="C200" t="s">
        <v>8</v>
      </c>
      <c r="D200" t="s">
        <v>8</v>
      </c>
      <c r="E200" s="4" t="str">
        <f>HYPERLINK("https://ibp.a2mac1.com/costing(costing:projects/details/9760/assembly/8410943)","Battery Fuses Box Cable")</f>
        <v>Battery Fuses Box Cable</v>
      </c>
      <c r="F200" t="s">
        <v>419</v>
      </c>
    </row>
    <row r="201" spans="1:6" x14ac:dyDescent="0.15">
      <c r="A201">
        <v>12082813</v>
      </c>
      <c r="B201">
        <v>8410943</v>
      </c>
      <c r="C201" t="s">
        <v>114</v>
      </c>
      <c r="D201" t="s">
        <v>8</v>
      </c>
      <c r="E201" s="4" t="str">
        <f>HYPERLINK("https://ibp.a2mac1.com/costing(costing:projects/details/9760/process/12082813)","Process")</f>
        <v>Process</v>
      </c>
      <c r="F201" t="s">
        <v>420</v>
      </c>
    </row>
    <row r="202" spans="1:6" x14ac:dyDescent="0.15">
      <c r="A202">
        <v>12209778</v>
      </c>
      <c r="B202">
        <v>12082813</v>
      </c>
      <c r="C202" t="s">
        <v>163</v>
      </c>
      <c r="D202" t="s">
        <v>114</v>
      </c>
      <c r="E202" s="4" t="str">
        <f>HYPERLINK("https://ibp.a2mac1.com/costing(costing:projects/details/9760/equipment/12209778)","Dummy Machine (Wireharness production line)")</f>
        <v>Dummy Machine (Wireharness production line)</v>
      </c>
      <c r="F202" t="s">
        <v>421</v>
      </c>
    </row>
    <row r="203" spans="1:6" x14ac:dyDescent="0.15">
      <c r="A203">
        <v>8751784</v>
      </c>
      <c r="B203">
        <v>8410943</v>
      </c>
      <c r="C203" t="s">
        <v>311</v>
      </c>
      <c r="D203" t="s">
        <v>8</v>
      </c>
      <c r="E203" s="4" t="str">
        <f>HYPERLINK("https://ibp.a2mac1.com/costing(costing:projects/details/9760/component/8751784)","Material")</f>
        <v>Material</v>
      </c>
      <c r="F203" t="s">
        <v>420</v>
      </c>
    </row>
    <row r="204" spans="1:6" x14ac:dyDescent="0.15">
      <c r="A204">
        <v>8751785</v>
      </c>
      <c r="B204">
        <v>8410943</v>
      </c>
      <c r="C204" t="s">
        <v>311</v>
      </c>
      <c r="D204" t="s">
        <v>8</v>
      </c>
      <c r="E204" s="4" t="str">
        <f>HYPERLINK("https://ibp.a2mac1.com/costing(costing:projects/details/9760/component/8751785)","Copper")</f>
        <v>Copper</v>
      </c>
      <c r="F204" t="s">
        <v>420</v>
      </c>
    </row>
    <row r="205" spans="1:6" x14ac:dyDescent="0.15">
      <c r="A205">
        <v>8751740</v>
      </c>
      <c r="B205">
        <v>8410911</v>
      </c>
      <c r="C205" t="s">
        <v>311</v>
      </c>
      <c r="D205" t="s">
        <v>8</v>
      </c>
      <c r="E205" s="4" t="str">
        <f>HYPERLINK("https://ibp.a2mac1.com/costing(costing:projects/details/9760/component/8751740)","Flange Nut M6")</f>
        <v>Flange Nut M6</v>
      </c>
      <c r="F205" t="s">
        <v>419</v>
      </c>
    </row>
    <row r="206" spans="1:6" x14ac:dyDescent="0.15">
      <c r="A206">
        <v>8410912</v>
      </c>
      <c r="B206">
        <v>8410906</v>
      </c>
      <c r="C206" t="s">
        <v>8</v>
      </c>
      <c r="D206" t="s">
        <v>8</v>
      </c>
      <c r="E206" s="4" t="str">
        <f>HYPERLINK("https://ibp.a2mac1.com/costing(costing:projects/details/9760/assembly/8410912)","Ground cable")</f>
        <v>Ground cable</v>
      </c>
      <c r="F206" t="s">
        <v>282</v>
      </c>
    </row>
    <row r="207" spans="1:6" x14ac:dyDescent="0.15">
      <c r="A207">
        <v>8410944</v>
      </c>
      <c r="B207">
        <v>8410912</v>
      </c>
      <c r="C207" t="s">
        <v>8</v>
      </c>
      <c r="D207" t="s">
        <v>8</v>
      </c>
      <c r="E207" s="4" t="str">
        <f>HYPERLINK("https://ibp.a2mac1.com/costing(costing:projects/details/9760/assembly/8410944)","Rear Axle Ground Cable")</f>
        <v>Rear Axle Ground Cable</v>
      </c>
      <c r="F207" t="s">
        <v>424</v>
      </c>
    </row>
    <row r="208" spans="1:6" x14ac:dyDescent="0.15">
      <c r="A208">
        <v>12082814</v>
      </c>
      <c r="B208">
        <v>8410944</v>
      </c>
      <c r="C208" t="s">
        <v>114</v>
      </c>
      <c r="D208" t="s">
        <v>8</v>
      </c>
      <c r="E208" s="4" t="str">
        <f>HYPERLINK("https://ibp.a2mac1.com/costing(costing:projects/details/9760/process/12082814)","Process")</f>
        <v>Process</v>
      </c>
      <c r="F208" t="s">
        <v>425</v>
      </c>
    </row>
    <row r="209" spans="1:6" x14ac:dyDescent="0.15">
      <c r="A209">
        <v>12209779</v>
      </c>
      <c r="B209">
        <v>12082814</v>
      </c>
      <c r="C209" t="s">
        <v>163</v>
      </c>
      <c r="D209" t="s">
        <v>114</v>
      </c>
      <c r="E209" s="4" t="str">
        <f>HYPERLINK("https://ibp.a2mac1.com/costing(costing:projects/details/9760/equipment/12209779)","Dummy Machine (Wireharness production line)")</f>
        <v>Dummy Machine (Wireharness production line)</v>
      </c>
      <c r="F209" t="s">
        <v>426</v>
      </c>
    </row>
    <row r="210" spans="1:6" x14ac:dyDescent="0.15">
      <c r="A210">
        <v>8751786</v>
      </c>
      <c r="B210">
        <v>8410944</v>
      </c>
      <c r="C210" t="s">
        <v>311</v>
      </c>
      <c r="D210" t="s">
        <v>8</v>
      </c>
      <c r="E210" s="4" t="str">
        <f>HYPERLINK("https://ibp.a2mac1.com/costing(costing:projects/details/9760/component/8751786)","Material")</f>
        <v>Material</v>
      </c>
      <c r="F210" t="s">
        <v>425</v>
      </c>
    </row>
    <row r="211" spans="1:6" x14ac:dyDescent="0.15">
      <c r="A211">
        <v>8751787</v>
      </c>
      <c r="B211">
        <v>8410944</v>
      </c>
      <c r="C211" t="s">
        <v>311</v>
      </c>
      <c r="D211" t="s">
        <v>8</v>
      </c>
      <c r="E211" s="4" t="str">
        <f>HYPERLINK("https://ibp.a2mac1.com/costing(costing:projects/details/9760/component/8751787)","Copper")</f>
        <v>Copper</v>
      </c>
      <c r="F211" t="s">
        <v>425</v>
      </c>
    </row>
    <row r="212" spans="1:6" x14ac:dyDescent="0.15">
      <c r="A212">
        <v>8410945</v>
      </c>
      <c r="B212">
        <v>8410912</v>
      </c>
      <c r="C212" t="s">
        <v>8</v>
      </c>
      <c r="D212" t="s">
        <v>8</v>
      </c>
      <c r="E212" s="4" t="str">
        <f>HYPERLINK("https://ibp.a2mac1.com/costing(costing:projects/details/9760/assembly/8410945)","Fuse Box   Relay System Ground Cable")</f>
        <v>Fuse Box   Relay System Ground Cable</v>
      </c>
      <c r="F212" t="s">
        <v>424</v>
      </c>
    </row>
    <row r="213" spans="1:6" x14ac:dyDescent="0.15">
      <c r="A213">
        <v>12082815</v>
      </c>
      <c r="B213">
        <v>8410945</v>
      </c>
      <c r="C213" t="s">
        <v>114</v>
      </c>
      <c r="D213" t="s">
        <v>8</v>
      </c>
      <c r="E213" s="4" t="str">
        <f>HYPERLINK("https://ibp.a2mac1.com/costing(costing:projects/details/9760/process/12082815)","Process")</f>
        <v>Process</v>
      </c>
      <c r="F213" t="s">
        <v>428</v>
      </c>
    </row>
    <row r="214" spans="1:6" x14ac:dyDescent="0.15">
      <c r="A214">
        <v>12209780</v>
      </c>
      <c r="B214">
        <v>12082815</v>
      </c>
      <c r="C214" t="s">
        <v>163</v>
      </c>
      <c r="D214" t="s">
        <v>114</v>
      </c>
      <c r="E214" s="4" t="str">
        <f>HYPERLINK("https://ibp.a2mac1.com/costing(costing:projects/details/9760/equipment/12209780)","Dummy Machine (Wireharness production line)")</f>
        <v>Dummy Machine (Wireharness production line)</v>
      </c>
      <c r="F214" t="s">
        <v>429</v>
      </c>
    </row>
    <row r="215" spans="1:6" x14ac:dyDescent="0.15">
      <c r="A215">
        <v>8751788</v>
      </c>
      <c r="B215">
        <v>8410945</v>
      </c>
      <c r="C215" t="s">
        <v>311</v>
      </c>
      <c r="D215" t="s">
        <v>8</v>
      </c>
      <c r="E215" s="4" t="str">
        <f>HYPERLINK("https://ibp.a2mac1.com/costing(costing:projects/details/9760/component/8751788)","Material")</f>
        <v>Material</v>
      </c>
      <c r="F215" t="s">
        <v>428</v>
      </c>
    </row>
    <row r="216" spans="1:6" x14ac:dyDescent="0.15">
      <c r="A216">
        <v>8751789</v>
      </c>
      <c r="B216">
        <v>8410945</v>
      </c>
      <c r="C216" t="s">
        <v>311</v>
      </c>
      <c r="D216" t="s">
        <v>8</v>
      </c>
      <c r="E216" s="4" t="str">
        <f>HYPERLINK("https://ibp.a2mac1.com/costing(costing:projects/details/9760/component/8751789)","Copper")</f>
        <v>Copper</v>
      </c>
      <c r="F216" t="s">
        <v>428</v>
      </c>
    </row>
    <row r="217" spans="1:6" x14ac:dyDescent="0.15">
      <c r="A217">
        <v>8751741</v>
      </c>
      <c r="B217">
        <v>8410912</v>
      </c>
      <c r="C217" t="s">
        <v>311</v>
      </c>
      <c r="D217" t="s">
        <v>8</v>
      </c>
      <c r="E217" s="4" t="str">
        <f>HYPERLINK("https://ibp.a2mac1.com/costing(costing:projects/details/9760/component/8751741)","Round head Screw M6x18")</f>
        <v>Round head Screw M6x18</v>
      </c>
      <c r="F217" t="s">
        <v>424</v>
      </c>
    </row>
    <row r="218" spans="1:6" x14ac:dyDescent="0.15">
      <c r="A218">
        <v>8751742</v>
      </c>
      <c r="B218">
        <v>8410912</v>
      </c>
      <c r="C218" t="s">
        <v>311</v>
      </c>
      <c r="D218" t="s">
        <v>8</v>
      </c>
      <c r="E218" s="4" t="str">
        <f>HYPERLINK("https://ibp.a2mac1.com/costing(costing:projects/details/9760/component/8751742)","Round head Screw M6x16")</f>
        <v>Round head Screw M6x16</v>
      </c>
      <c r="F218" t="s">
        <v>424</v>
      </c>
    </row>
    <row r="219" spans="1:6" x14ac:dyDescent="0.15">
      <c r="A219">
        <v>8410913</v>
      </c>
      <c r="B219">
        <v>8410906</v>
      </c>
      <c r="C219" t="s">
        <v>8</v>
      </c>
      <c r="D219" t="s">
        <v>8</v>
      </c>
      <c r="E219" s="4" t="str">
        <f>HYPERLINK("https://ibp.a2mac1.com/costing(costing:projects/details/9760/assembly/8410913)","Fuses Box Relay System")</f>
        <v>Fuses Box Relay System</v>
      </c>
      <c r="F219" t="s">
        <v>282</v>
      </c>
    </row>
    <row r="220" spans="1:6" x14ac:dyDescent="0.15">
      <c r="A220">
        <v>8410946</v>
      </c>
      <c r="B220">
        <v>8410913</v>
      </c>
      <c r="C220" t="s">
        <v>8</v>
      </c>
      <c r="D220" t="s">
        <v>8</v>
      </c>
      <c r="E220" s="4" t="str">
        <f>HYPERLINK("https://ibp.a2mac1.com/costing(costing:projects/details/9760/assembly/8410946)","Engine compartment fuses relays box system")</f>
        <v>Engine compartment fuses relays box system</v>
      </c>
      <c r="F220" t="s">
        <v>433</v>
      </c>
    </row>
    <row r="221" spans="1:6" x14ac:dyDescent="0.15">
      <c r="A221">
        <v>8411008</v>
      </c>
      <c r="B221">
        <v>8410946</v>
      </c>
      <c r="C221" t="s">
        <v>10</v>
      </c>
      <c r="D221" t="s">
        <v>8</v>
      </c>
      <c r="E221" s="4" t="str">
        <f>HYPERLINK("https://ibp.a2mac1.com/costing(costing:projects/details/9760/part/8411008)","Cover")</f>
        <v>Cover</v>
      </c>
      <c r="F221" t="s">
        <v>434</v>
      </c>
    </row>
    <row r="222" spans="1:6" x14ac:dyDescent="0.15">
      <c r="A222">
        <v>8751790</v>
      </c>
      <c r="B222">
        <v>8410946</v>
      </c>
      <c r="C222" t="s">
        <v>311</v>
      </c>
      <c r="D222" t="s">
        <v>8</v>
      </c>
      <c r="E222" s="4" t="str">
        <f>HYPERLINK("https://ibp.a2mac1.com/costing(costing:projects/details/9760/component/8751790)","Round head Screw M6x10")</f>
        <v>Round head Screw M6x10</v>
      </c>
      <c r="F222" t="s">
        <v>434</v>
      </c>
    </row>
    <row r="223" spans="1:6" x14ac:dyDescent="0.15">
      <c r="A223">
        <v>8410914</v>
      </c>
      <c r="B223">
        <v>8410906</v>
      </c>
      <c r="C223" t="s">
        <v>8</v>
      </c>
      <c r="D223" t="s">
        <v>8</v>
      </c>
      <c r="E223" s="4" t="str">
        <f>HYPERLINK("https://ibp.a2mac1.com/costing(costing:projects/details/9760/assembly/8410914)","Wiring support system")</f>
        <v>Wiring support system</v>
      </c>
      <c r="F223" t="s">
        <v>282</v>
      </c>
    </row>
    <row r="224" spans="1:6" x14ac:dyDescent="0.15">
      <c r="A224">
        <v>8410954</v>
      </c>
      <c r="B224">
        <v>8410914</v>
      </c>
      <c r="C224" t="s">
        <v>8</v>
      </c>
      <c r="D224" t="s">
        <v>8</v>
      </c>
      <c r="E224" s="4" t="str">
        <f>HYPERLINK("https://ibp.a2mac1.com/costing(costing:projects/details/9760/assembly/8410954)","Support in rear body")</f>
        <v>Support in rear body</v>
      </c>
      <c r="F224" t="s">
        <v>440</v>
      </c>
    </row>
    <row r="225" spans="1:6" x14ac:dyDescent="0.15">
      <c r="A225">
        <v>8411009</v>
      </c>
      <c r="B225">
        <v>8410954</v>
      </c>
      <c r="C225" t="s">
        <v>10</v>
      </c>
      <c r="D225" t="s">
        <v>8</v>
      </c>
      <c r="E225" s="4" t="str">
        <f>HYPERLINK("https://ibp.a2mac1.com/costing(costing:projects/details/9760/part/8411009)","Support 1")</f>
        <v>Support 1</v>
      </c>
      <c r="F225" t="s">
        <v>441</v>
      </c>
    </row>
    <row r="226" spans="1:6" x14ac:dyDescent="0.15">
      <c r="A226">
        <v>8411010</v>
      </c>
      <c r="B226">
        <v>8410954</v>
      </c>
      <c r="C226" t="s">
        <v>10</v>
      </c>
      <c r="D226" t="s">
        <v>8</v>
      </c>
      <c r="E226" s="4" t="str">
        <f>HYPERLINK("https://ibp.a2mac1.com/costing(costing:projects/details/9760/part/8411010)","Support 2")</f>
        <v>Support 2</v>
      </c>
      <c r="F226" t="s">
        <v>441</v>
      </c>
    </row>
    <row r="227" spans="1:6" x14ac:dyDescent="0.15">
      <c r="A227">
        <v>8751791</v>
      </c>
      <c r="B227">
        <v>8410954</v>
      </c>
      <c r="C227" t="s">
        <v>311</v>
      </c>
      <c r="D227" t="s">
        <v>8</v>
      </c>
      <c r="E227" s="4" t="str">
        <f>HYPERLINK("https://ibp.a2mac1.com/costing(costing:projects/details/9760/component/8751791)","Screw &gt; Hexagon screw with flange")</f>
        <v>Screw &gt; Hexagon screw with flange</v>
      </c>
      <c r="F227" t="s">
        <v>441</v>
      </c>
    </row>
    <row r="228" spans="1:6" x14ac:dyDescent="0.15">
      <c r="A228">
        <v>8751792</v>
      </c>
      <c r="B228">
        <v>8410954</v>
      </c>
      <c r="C228" t="s">
        <v>311</v>
      </c>
      <c r="D228" t="s">
        <v>8</v>
      </c>
      <c r="E228" s="4" t="str">
        <f>HYPERLINK("https://ibp.a2mac1.com/costing(costing:projects/details/9760/component/8751792)","Nut &gt; Hexagonal nut with collar")</f>
        <v>Nut &gt; Hexagonal nut with collar</v>
      </c>
      <c r="F228" t="s">
        <v>441</v>
      </c>
    </row>
    <row r="229" spans="1:6" x14ac:dyDescent="0.15">
      <c r="A229">
        <v>8410955</v>
      </c>
      <c r="B229">
        <v>8410914</v>
      </c>
      <c r="C229" t="s">
        <v>8</v>
      </c>
      <c r="D229" t="s">
        <v>8</v>
      </c>
      <c r="E229" s="4" t="str">
        <f>HYPERLINK("https://ibp.a2mac1.com/costing(costing:projects/details/9760/assembly/8410955)","Engine compartment support")</f>
        <v>Engine compartment support</v>
      </c>
      <c r="F229" t="s">
        <v>440</v>
      </c>
    </row>
    <row r="230" spans="1:6" x14ac:dyDescent="0.15">
      <c r="A230">
        <v>8411011</v>
      </c>
      <c r="B230">
        <v>8410955</v>
      </c>
      <c r="C230" t="s">
        <v>10</v>
      </c>
      <c r="D230" t="s">
        <v>8</v>
      </c>
      <c r="E230" s="4" t="str">
        <f>HYPERLINK("https://ibp.a2mac1.com/costing(costing:projects/details/9760/part/8411011)","Support 1")</f>
        <v>Support 1</v>
      </c>
      <c r="F230" t="s">
        <v>445</v>
      </c>
    </row>
    <row r="231" spans="1:6" x14ac:dyDescent="0.15">
      <c r="A231">
        <v>8411012</v>
      </c>
      <c r="B231">
        <v>8410955</v>
      </c>
      <c r="C231" t="s">
        <v>10</v>
      </c>
      <c r="D231" t="s">
        <v>8</v>
      </c>
      <c r="E231" s="4" t="str">
        <f>HYPERLINK("https://ibp.a2mac1.com/costing(costing:projects/details/9760/part/8411012)","Support 2")</f>
        <v>Support 2</v>
      </c>
      <c r="F231" t="s">
        <v>445</v>
      </c>
    </row>
    <row r="232" spans="1:6" x14ac:dyDescent="0.15">
      <c r="A232">
        <v>8751793</v>
      </c>
      <c r="B232">
        <v>8410955</v>
      </c>
      <c r="C232" t="s">
        <v>311</v>
      </c>
      <c r="D232" t="s">
        <v>8</v>
      </c>
      <c r="E232" s="4" t="str">
        <f>HYPERLINK("https://ibp.a2mac1.com/costing(costing:projects/details/9760/component/8751793)","Screw &gt; Hexagon screw with flange")</f>
        <v>Screw &gt; Hexagon screw with flange</v>
      </c>
      <c r="F232" t="s">
        <v>445</v>
      </c>
    </row>
    <row r="233" spans="1:6" x14ac:dyDescent="0.15">
      <c r="A233">
        <v>8751794</v>
      </c>
      <c r="B233">
        <v>8410955</v>
      </c>
      <c r="C233" t="s">
        <v>311</v>
      </c>
      <c r="D233" t="s">
        <v>8</v>
      </c>
      <c r="E233" s="4" t="str">
        <f>HYPERLINK("https://ibp.a2mac1.com/costing(costing:projects/details/9760/component/8751794)","Screw &gt; Torx screw with flange")</f>
        <v>Screw &gt; Torx screw with flange</v>
      </c>
      <c r="F233" t="s">
        <v>445</v>
      </c>
    </row>
    <row r="234" spans="1:6" x14ac:dyDescent="0.15">
      <c r="A234">
        <v>8410947</v>
      </c>
      <c r="B234">
        <v>8410914</v>
      </c>
      <c r="C234" t="s">
        <v>10</v>
      </c>
      <c r="D234" t="s">
        <v>8</v>
      </c>
      <c r="E234" s="4" t="str">
        <f>HYPERLINK("https://ibp.a2mac1.com/costing(costing:projects/details/9760/part/8410947)","Support on Rear K Frame")</f>
        <v>Support on Rear K Frame</v>
      </c>
      <c r="F234" t="s">
        <v>440</v>
      </c>
    </row>
    <row r="235" spans="1:6" x14ac:dyDescent="0.15">
      <c r="A235">
        <v>8410948</v>
      </c>
      <c r="B235">
        <v>8410914</v>
      </c>
      <c r="C235" t="s">
        <v>10</v>
      </c>
      <c r="D235" t="s">
        <v>8</v>
      </c>
      <c r="E235" s="4" t="str">
        <f>HYPERLINK("https://ibp.a2mac1.com/costing(costing:projects/details/9760/part/8410948)","2rd support on Rear K Frame")</f>
        <v>2rd support on Rear K Frame</v>
      </c>
      <c r="F235" t="s">
        <v>440</v>
      </c>
    </row>
    <row r="236" spans="1:6" x14ac:dyDescent="0.15">
      <c r="A236">
        <v>8410949</v>
      </c>
      <c r="B236">
        <v>8410914</v>
      </c>
      <c r="C236" t="s">
        <v>10</v>
      </c>
      <c r="D236" t="s">
        <v>8</v>
      </c>
      <c r="E236" s="4" t="str">
        <f>HYPERLINK("https://ibp.a2mac1.com/costing(costing:projects/details/9760/part/8410949)","3rd support on Rear K Frame")</f>
        <v>3rd support on Rear K Frame</v>
      </c>
      <c r="F236" t="s">
        <v>440</v>
      </c>
    </row>
    <row r="237" spans="1:6" x14ac:dyDescent="0.15">
      <c r="A237">
        <v>8410950</v>
      </c>
      <c r="B237">
        <v>8410914</v>
      </c>
      <c r="C237" t="s">
        <v>10</v>
      </c>
      <c r="D237" t="s">
        <v>8</v>
      </c>
      <c r="E237" s="4" t="str">
        <f>HYPERLINK("https://ibp.a2mac1.com/costing(costing:projects/details/9760/part/8410950)","4th support on Rear K Frame")</f>
        <v>4th support on Rear K Frame</v>
      </c>
      <c r="F237" t="s">
        <v>440</v>
      </c>
    </row>
    <row r="238" spans="1:6" x14ac:dyDescent="0.15">
      <c r="A238">
        <v>8410951</v>
      </c>
      <c r="B238">
        <v>8410914</v>
      </c>
      <c r="C238" t="s">
        <v>10</v>
      </c>
      <c r="D238" t="s">
        <v>8</v>
      </c>
      <c r="E238" s="4" t="str">
        <f>HYPERLINK("https://ibp.a2mac1.com/costing(costing:projects/details/9760/part/8410951)","5rd support on Rear K Frame")</f>
        <v>5rd support on Rear K Frame</v>
      </c>
      <c r="F238" t="s">
        <v>440</v>
      </c>
    </row>
    <row r="239" spans="1:6" x14ac:dyDescent="0.15">
      <c r="A239">
        <v>8410952</v>
      </c>
      <c r="B239">
        <v>8410914</v>
      </c>
      <c r="C239" t="s">
        <v>10</v>
      </c>
      <c r="D239" t="s">
        <v>8</v>
      </c>
      <c r="E239" s="4" t="str">
        <f>HYPERLINK("https://ibp.a2mac1.com/costing(costing:projects/details/9760/part/8410952)","6th support on Rear K Frame")</f>
        <v>6th support on Rear K Frame</v>
      </c>
      <c r="F239" t="s">
        <v>440</v>
      </c>
    </row>
    <row r="240" spans="1:6" x14ac:dyDescent="0.15">
      <c r="A240">
        <v>8410953</v>
      </c>
      <c r="B240">
        <v>8410914</v>
      </c>
      <c r="C240" t="s">
        <v>10</v>
      </c>
      <c r="D240" t="s">
        <v>8</v>
      </c>
      <c r="E240" s="4" t="str">
        <f>HYPERLINK("https://ibp.a2mac1.com/costing(costing:projects/details/9760/part/8410953)","2nd Support on IP")</f>
        <v>2nd Support on IP</v>
      </c>
      <c r="F240" t="s">
        <v>440</v>
      </c>
    </row>
    <row r="241" spans="1:6" x14ac:dyDescent="0.15">
      <c r="A241">
        <v>8751743</v>
      </c>
      <c r="B241">
        <v>8410914</v>
      </c>
      <c r="C241" t="s">
        <v>311</v>
      </c>
      <c r="D241" t="s">
        <v>8</v>
      </c>
      <c r="E241" s="4" t="str">
        <f>HYPERLINK("https://ibp.a2mac1.com/costing(costing:projects/details/9760/component/8751743)","Round head Screw M6x16")</f>
        <v>Round head Screw M6x16</v>
      </c>
      <c r="F241" t="s">
        <v>440</v>
      </c>
    </row>
    <row r="242" spans="1:6" x14ac:dyDescent="0.15">
      <c r="A242">
        <v>8751744</v>
      </c>
      <c r="B242">
        <v>8410914</v>
      </c>
      <c r="C242" t="s">
        <v>311</v>
      </c>
      <c r="D242" t="s">
        <v>8</v>
      </c>
      <c r="E242" s="4" t="str">
        <f>HYPERLINK("https://ibp.a2mac1.com/costing(costing:projects/details/9760/component/8751744)","Round head Screw M6x16")</f>
        <v>Round head Screw M6x16</v>
      </c>
      <c r="F242" t="s">
        <v>440</v>
      </c>
    </row>
    <row r="243" spans="1:6" x14ac:dyDescent="0.15">
      <c r="A243">
        <v>8751745</v>
      </c>
      <c r="B243">
        <v>8410914</v>
      </c>
      <c r="C243" t="s">
        <v>311</v>
      </c>
      <c r="D243" t="s">
        <v>8</v>
      </c>
      <c r="E243" s="4" t="str">
        <f>HYPERLINK("https://ibp.a2mac1.com/costing(costing:projects/details/9760/component/8751745)","Round head Screw M6x12")</f>
        <v>Round head Screw M6x12</v>
      </c>
      <c r="F243" t="s">
        <v>440</v>
      </c>
    </row>
    <row r="244" spans="1:6" x14ac:dyDescent="0.15">
      <c r="A244">
        <v>8751746</v>
      </c>
      <c r="B244">
        <v>8410914</v>
      </c>
      <c r="C244" t="s">
        <v>311</v>
      </c>
      <c r="D244" t="s">
        <v>8</v>
      </c>
      <c r="E244" s="4" t="str">
        <f>HYPERLINK("https://ibp.a2mac1.com/costing(costing:projects/details/9760/component/8751746)","Round head Screw M6x12")</f>
        <v>Round head Screw M6x12</v>
      </c>
      <c r="F244" t="s">
        <v>440</v>
      </c>
    </row>
    <row r="245" spans="1:6" x14ac:dyDescent="0.15">
      <c r="A245">
        <v>8751747</v>
      </c>
      <c r="B245">
        <v>8410914</v>
      </c>
      <c r="C245" t="s">
        <v>311</v>
      </c>
      <c r="D245" t="s">
        <v>8</v>
      </c>
      <c r="E245" s="4" t="str">
        <f>HYPERLINK("https://ibp.a2mac1.com/costing(costing:projects/details/9760/component/8751747)","Round head Screw M6x16")</f>
        <v>Round head Screw M6x16</v>
      </c>
      <c r="F245" t="s">
        <v>440</v>
      </c>
    </row>
    <row r="246" spans="1:6" x14ac:dyDescent="0.15">
      <c r="A246">
        <v>8751748</v>
      </c>
      <c r="B246">
        <v>8410914</v>
      </c>
      <c r="C246" t="s">
        <v>311</v>
      </c>
      <c r="D246" t="s">
        <v>8</v>
      </c>
      <c r="E246" s="4" t="str">
        <f>HYPERLINK("https://ibp.a2mac1.com/costing(costing:projects/details/9760/component/8751748)","Round head Screw M6x16")</f>
        <v>Round head Screw M6x16</v>
      </c>
      <c r="F246" t="s">
        <v>440</v>
      </c>
    </row>
    <row r="247" spans="1:6" x14ac:dyDescent="0.15">
      <c r="A247">
        <v>8410915</v>
      </c>
      <c r="B247">
        <v>8410906</v>
      </c>
      <c r="C247" t="s">
        <v>8</v>
      </c>
      <c r="D247" t="s">
        <v>8</v>
      </c>
      <c r="E247" s="4" t="str">
        <f>HYPERLINK("https://ibp.a2mac1.com/costing(costing:projects/details/9760/assembly/8410915)","Wiring Harness Guide")</f>
        <v>Wiring Harness Guide</v>
      </c>
      <c r="F247" t="s">
        <v>282</v>
      </c>
    </row>
    <row r="248" spans="1:6" x14ac:dyDescent="0.15">
      <c r="A248">
        <v>8410956</v>
      </c>
      <c r="B248">
        <v>8410915</v>
      </c>
      <c r="C248" t="s">
        <v>10</v>
      </c>
      <c r="D248" t="s">
        <v>8</v>
      </c>
      <c r="E248" s="4" t="str">
        <f>HYPERLINK("https://ibp.a2mac1.com/costing(costing:projects/details/9760/part/8410956)","On Left A Pillar and Right if Similar")</f>
        <v>On Left A Pillar and Right if Similar</v>
      </c>
      <c r="F248" t="s">
        <v>460</v>
      </c>
    </row>
    <row r="249" spans="1:6" x14ac:dyDescent="0.15">
      <c r="A249">
        <v>8410957</v>
      </c>
      <c r="B249">
        <v>8410915</v>
      </c>
      <c r="C249" t="s">
        <v>10</v>
      </c>
      <c r="D249" t="s">
        <v>8</v>
      </c>
      <c r="E249" s="4" t="str">
        <f>HYPERLINK("https://ibp.a2mac1.com/costing(costing:projects/details/9760/part/8410957)","On Right A Pillar")</f>
        <v>On Right A Pillar</v>
      </c>
      <c r="F249" t="s">
        <v>460</v>
      </c>
    </row>
    <row r="250" spans="1:6" x14ac:dyDescent="0.15">
      <c r="A250">
        <v>8410958</v>
      </c>
      <c r="B250">
        <v>8410915</v>
      </c>
      <c r="C250" t="s">
        <v>10</v>
      </c>
      <c r="D250" t="s">
        <v>8</v>
      </c>
      <c r="E250" s="4" t="str">
        <f>HYPERLINK("https://ibp.a2mac1.com/costing(costing:projects/details/9760/part/8410958)","Guide on K-Frame")</f>
        <v>Guide on K-Frame</v>
      </c>
      <c r="F250" t="s">
        <v>460</v>
      </c>
    </row>
    <row r="251" spans="1:6" x14ac:dyDescent="0.15">
      <c r="A251">
        <v>8751749</v>
      </c>
      <c r="B251">
        <v>8410915</v>
      </c>
      <c r="C251" t="s">
        <v>311</v>
      </c>
      <c r="D251" t="s">
        <v>8</v>
      </c>
      <c r="E251" s="4" t="str">
        <f>HYPERLINK("https://ibp.a2mac1.com/costing(costing:projects/details/9760/component/8751749)","Flange Nut M6")</f>
        <v>Flange Nut M6</v>
      </c>
      <c r="F251" t="s">
        <v>460</v>
      </c>
    </row>
    <row r="252" spans="1:6" x14ac:dyDescent="0.15">
      <c r="A252">
        <v>8751750</v>
      </c>
      <c r="B252">
        <v>8410915</v>
      </c>
      <c r="C252" t="s">
        <v>311</v>
      </c>
      <c r="D252" t="s">
        <v>8</v>
      </c>
      <c r="E252" s="4" t="str">
        <f>HYPERLINK("https://ibp.a2mac1.com/costing(costing:projects/details/9760/component/8751750)","Flange Nut M6")</f>
        <v>Flange Nut M6</v>
      </c>
      <c r="F252" t="s">
        <v>460</v>
      </c>
    </row>
    <row r="253" spans="1:6" x14ac:dyDescent="0.15">
      <c r="A253">
        <v>8751751</v>
      </c>
      <c r="B253">
        <v>8410915</v>
      </c>
      <c r="C253" t="s">
        <v>311</v>
      </c>
      <c r="D253" t="s">
        <v>8</v>
      </c>
      <c r="E253" s="4" t="str">
        <f>HYPERLINK("https://ibp.a2mac1.com/costing(costing:projects/details/9760/component/8751751)","Round head Screw M6x16")</f>
        <v>Round head Screw M6x16</v>
      </c>
      <c r="F253" t="s">
        <v>460</v>
      </c>
    </row>
    <row r="254" spans="1:6" x14ac:dyDescent="0.15">
      <c r="A254">
        <v>8410916</v>
      </c>
      <c r="B254">
        <v>8410906</v>
      </c>
      <c r="C254" t="s">
        <v>8</v>
      </c>
      <c r="D254" t="s">
        <v>8</v>
      </c>
      <c r="E254" s="4" t="str">
        <f>HYPERLINK("https://ibp.a2mac1.com/costing(costing:projects/details/9760/assembly/8410916)","Accessories Connection System")</f>
        <v>Accessories Connection System</v>
      </c>
      <c r="F254" t="s">
        <v>282</v>
      </c>
    </row>
    <row r="255" spans="1:6" x14ac:dyDescent="0.15">
      <c r="A255">
        <v>8410993</v>
      </c>
      <c r="B255">
        <v>8410916</v>
      </c>
      <c r="C255" t="s">
        <v>10</v>
      </c>
      <c r="D255" t="s">
        <v>8</v>
      </c>
      <c r="E255" s="4" t="str">
        <f>HYPERLINK("https://ibp.a2mac1.com/costing(costing:projects/details/9760/part/8410993)","Accessories Connector")</f>
        <v>Accessories Connector</v>
      </c>
      <c r="F255" t="s">
        <v>465</v>
      </c>
    </row>
    <row r="256" spans="1:6" x14ac:dyDescent="0.15">
      <c r="A256">
        <v>8410994</v>
      </c>
      <c r="B256">
        <v>8410916</v>
      </c>
      <c r="C256" t="s">
        <v>10</v>
      </c>
      <c r="D256" t="s">
        <v>8</v>
      </c>
      <c r="E256" s="4" t="str">
        <f>HYPERLINK("https://ibp.a2mac1.com/costing(costing:projects/details/9760/part/8410994)","Connector Cover")</f>
        <v>Connector Cover</v>
      </c>
      <c r="F256" t="s">
        <v>465</v>
      </c>
    </row>
    <row r="257" spans="1:6" x14ac:dyDescent="0.15">
      <c r="A257">
        <v>8751752</v>
      </c>
      <c r="B257">
        <v>8410916</v>
      </c>
      <c r="C257" t="s">
        <v>311</v>
      </c>
      <c r="D257" t="s">
        <v>8</v>
      </c>
      <c r="E257" s="4" t="str">
        <f>HYPERLINK("https://ibp.a2mac1.com/costing(costing:projects/details/9760/component/8751752)","Round head Screw M4x12")</f>
        <v>Round head Screw M4x12</v>
      </c>
      <c r="F257" t="s">
        <v>465</v>
      </c>
    </row>
    <row r="258" spans="1:6" x14ac:dyDescent="0.15">
      <c r="A258">
        <v>8410907</v>
      </c>
      <c r="B258">
        <v>8410906</v>
      </c>
      <c r="C258" t="s">
        <v>10</v>
      </c>
      <c r="D258" t="s">
        <v>8</v>
      </c>
      <c r="E258" s="4" t="str">
        <f>HYPERLINK("https://ibp.a2mac1.com/costing(costing:projects/details/9760/part/8410907)","Option Connector plug")</f>
        <v>Option Connector plug</v>
      </c>
      <c r="F258" t="s">
        <v>282</v>
      </c>
    </row>
    <row r="259" spans="1:6" x14ac:dyDescent="0.15">
      <c r="A259">
        <v>8411013</v>
      </c>
      <c r="B259">
        <v>9760</v>
      </c>
      <c r="C259" t="s">
        <v>8</v>
      </c>
      <c r="D259" t="s">
        <v>6</v>
      </c>
      <c r="E259" s="4" t="str">
        <f>HYPERLINK("https://ibp.a2mac1.com/costing(costing:projects/details/9760/assembly/8411013)","Suspension")</f>
        <v>Suspension</v>
      </c>
      <c r="F259" t="s">
        <v>9</v>
      </c>
    </row>
    <row r="260" spans="1:6" x14ac:dyDescent="0.15">
      <c r="A260">
        <v>8411014</v>
      </c>
      <c r="B260">
        <v>8411013</v>
      </c>
      <c r="C260" t="s">
        <v>8</v>
      </c>
      <c r="D260" t="s">
        <v>8</v>
      </c>
      <c r="E260" s="4" t="str">
        <f>HYPERLINK("https://ibp.a2mac1.com/costing(costing:projects/details/9760/assembly/8411014)","Shocks absorbers")</f>
        <v>Shocks absorbers</v>
      </c>
      <c r="F260" t="s">
        <v>473</v>
      </c>
    </row>
    <row r="261" spans="1:6" x14ac:dyDescent="0.15">
      <c r="A261">
        <v>8411018</v>
      </c>
      <c r="B261">
        <v>8411014</v>
      </c>
      <c r="C261" t="s">
        <v>8</v>
      </c>
      <c r="D261" t="s">
        <v>8</v>
      </c>
      <c r="E261" s="4" t="str">
        <f>HYPERLINK("https://ibp.a2mac1.com/costing(costing:projects/details/9760/assembly/8411018)","Front")</f>
        <v>Front</v>
      </c>
      <c r="F261" t="s">
        <v>474</v>
      </c>
    </row>
    <row r="262" spans="1:6" x14ac:dyDescent="0.15">
      <c r="A262">
        <v>8411029</v>
      </c>
      <c r="B262">
        <v>8411018</v>
      </c>
      <c r="C262" t="s">
        <v>8</v>
      </c>
      <c r="D262" t="s">
        <v>8</v>
      </c>
      <c r="E262" s="4" t="str">
        <f>HYPERLINK("https://ibp.a2mac1.com/costing(costing:projects/details/9760/assembly/8411029)","Shock Absorber Complete")</f>
        <v>Shock Absorber Complete</v>
      </c>
      <c r="F262" t="s">
        <v>475</v>
      </c>
    </row>
    <row r="263" spans="1:6" x14ac:dyDescent="0.15">
      <c r="A263">
        <v>8411066</v>
      </c>
      <c r="B263">
        <v>8411029</v>
      </c>
      <c r="C263" t="s">
        <v>10</v>
      </c>
      <c r="D263" t="s">
        <v>8</v>
      </c>
      <c r="E263" s="4" t="str">
        <f>HYPERLINK("https://ibp.a2mac1.com/costing(costing:projects/details/9760/part/8411066)","Shock Absorber Part")</f>
        <v>Shock Absorber Part</v>
      </c>
      <c r="F263" t="s">
        <v>476</v>
      </c>
    </row>
    <row r="264" spans="1:6" x14ac:dyDescent="0.15">
      <c r="A264">
        <v>12083017</v>
      </c>
      <c r="B264">
        <v>8411066</v>
      </c>
      <c r="C264" t="s">
        <v>114</v>
      </c>
      <c r="D264" t="s">
        <v>10</v>
      </c>
      <c r="E264" s="4" t="str">
        <f>HYPERLINK("https://ibp.a2mac1.com/costing(costing:projects/details/9760/process/12083017)","Process")</f>
        <v>Process</v>
      </c>
      <c r="F264" t="s">
        <v>477</v>
      </c>
    </row>
    <row r="265" spans="1:6" x14ac:dyDescent="0.15">
      <c r="A265">
        <v>8751924</v>
      </c>
      <c r="B265">
        <v>12083017</v>
      </c>
      <c r="C265" t="s">
        <v>22</v>
      </c>
      <c r="D265" t="s">
        <v>114</v>
      </c>
      <c r="E265" s="4" t="str">
        <f>HYPERLINK("https://ibp.a2mac1.com/costing(costing:projects/details/9760/material/8751924)","Material")</f>
        <v>Material</v>
      </c>
      <c r="F265" t="s">
        <v>480</v>
      </c>
    </row>
    <row r="266" spans="1:6" x14ac:dyDescent="0.15">
      <c r="A266">
        <v>12209838</v>
      </c>
      <c r="B266">
        <v>12083017</v>
      </c>
      <c r="C266" t="s">
        <v>163</v>
      </c>
      <c r="D266" t="s">
        <v>114</v>
      </c>
      <c r="E266" s="4" t="str">
        <f>HYPERLINK("https://ibp.a2mac1.com/costing(costing:projects/details/9760/equipment/12209838)","General production process (&gt;10€)")</f>
        <v>General production process (&gt;10€)</v>
      </c>
      <c r="F266" t="s">
        <v>480</v>
      </c>
    </row>
    <row r="267" spans="1:6" x14ac:dyDescent="0.15">
      <c r="A267">
        <v>12083005</v>
      </c>
      <c r="B267">
        <v>8411029</v>
      </c>
      <c r="C267" t="s">
        <v>114</v>
      </c>
      <c r="D267" t="s">
        <v>8</v>
      </c>
      <c r="E267" s="4" t="str">
        <f>HYPERLINK("https://ibp.a2mac1.com/costing(costing:projects/details/9760/process/12083005)","Process")</f>
        <v>Process</v>
      </c>
      <c r="F267" t="s">
        <v>476</v>
      </c>
    </row>
    <row r="268" spans="1:6" x14ac:dyDescent="0.15">
      <c r="A268">
        <v>12209788</v>
      </c>
      <c r="B268">
        <v>12083005</v>
      </c>
      <c r="C268" t="s">
        <v>163</v>
      </c>
      <c r="D268" t="s">
        <v>114</v>
      </c>
      <c r="E268" s="4" t="str">
        <f>HYPERLINK("https://ibp.a2mac1.com/costing(costing:projects/details/9760/equipment/12209788)","General production process (0.5-10€)")</f>
        <v>General production process (0.5-10€)</v>
      </c>
      <c r="F268" t="s">
        <v>484</v>
      </c>
    </row>
    <row r="269" spans="1:6" x14ac:dyDescent="0.15">
      <c r="A269">
        <v>8411027</v>
      </c>
      <c r="B269">
        <v>8411018</v>
      </c>
      <c r="C269" t="s">
        <v>10</v>
      </c>
      <c r="D269" t="s">
        <v>8</v>
      </c>
      <c r="E269" s="4" t="str">
        <f>HYPERLINK("https://ibp.a2mac1.com/costing(costing:projects/details/9760/part/8411027)","Lower leg")</f>
        <v>Lower leg</v>
      </c>
      <c r="F269" t="s">
        <v>475</v>
      </c>
    </row>
    <row r="270" spans="1:6" x14ac:dyDescent="0.15">
      <c r="A270">
        <v>8411028</v>
      </c>
      <c r="B270">
        <v>8411018</v>
      </c>
      <c r="C270" t="s">
        <v>10</v>
      </c>
      <c r="D270" t="s">
        <v>8</v>
      </c>
      <c r="E270" s="4" t="str">
        <f>HYPERLINK("https://ibp.a2mac1.com/costing(costing:projects/details/9760/part/8411028)","Lower Leg 2")</f>
        <v>Lower Leg 2</v>
      </c>
      <c r="F270" t="s">
        <v>475</v>
      </c>
    </row>
    <row r="271" spans="1:6" x14ac:dyDescent="0.15">
      <c r="A271">
        <v>8411019</v>
      </c>
      <c r="B271">
        <v>8411014</v>
      </c>
      <c r="C271" t="s">
        <v>8</v>
      </c>
      <c r="D271" t="s">
        <v>8</v>
      </c>
      <c r="E271" s="4" t="str">
        <f>HYPERLINK("https://ibp.a2mac1.com/costing(costing:projects/details/9760/assembly/8411019)","Rear")</f>
        <v>Rear</v>
      </c>
      <c r="F271" t="s">
        <v>474</v>
      </c>
    </row>
    <row r="272" spans="1:6" x14ac:dyDescent="0.15">
      <c r="A272">
        <v>8411031</v>
      </c>
      <c r="B272">
        <v>8411019</v>
      </c>
      <c r="C272" t="s">
        <v>8</v>
      </c>
      <c r="D272" t="s">
        <v>8</v>
      </c>
      <c r="E272" s="4" t="str">
        <f>HYPERLINK("https://ibp.a2mac1.com/costing(costing:projects/details/9760/assembly/8411031)","Shock Absorber Complete")</f>
        <v>Shock Absorber Complete</v>
      </c>
      <c r="F272" t="s">
        <v>491</v>
      </c>
    </row>
    <row r="273" spans="1:6" x14ac:dyDescent="0.15">
      <c r="A273">
        <v>8411067</v>
      </c>
      <c r="B273">
        <v>8411031</v>
      </c>
      <c r="C273" t="s">
        <v>10</v>
      </c>
      <c r="D273" t="s">
        <v>8</v>
      </c>
      <c r="E273" s="4" t="str">
        <f>HYPERLINK("https://ibp.a2mac1.com/costing(costing:projects/details/9760/part/8411067)","Strut Parts")</f>
        <v>Strut Parts</v>
      </c>
      <c r="F273" t="s">
        <v>492</v>
      </c>
    </row>
    <row r="274" spans="1:6" x14ac:dyDescent="0.15">
      <c r="A274">
        <v>12083018</v>
      </c>
      <c r="B274">
        <v>8411067</v>
      </c>
      <c r="C274" t="s">
        <v>114</v>
      </c>
      <c r="D274" t="s">
        <v>10</v>
      </c>
      <c r="E274" s="4" t="str">
        <f>HYPERLINK("https://ibp.a2mac1.com/costing(costing:projects/details/9760/process/12083018)","Process")</f>
        <v>Process</v>
      </c>
      <c r="F274" t="s">
        <v>493</v>
      </c>
    </row>
    <row r="275" spans="1:6" x14ac:dyDescent="0.15">
      <c r="A275">
        <v>8751925</v>
      </c>
      <c r="B275">
        <v>12083018</v>
      </c>
      <c r="C275" t="s">
        <v>22</v>
      </c>
      <c r="D275" t="s">
        <v>114</v>
      </c>
      <c r="E275" s="4" t="str">
        <f>HYPERLINK("https://ibp.a2mac1.com/costing(costing:projects/details/9760/material/8751925)","Material")</f>
        <v>Material</v>
      </c>
      <c r="F275" t="s">
        <v>494</v>
      </c>
    </row>
    <row r="276" spans="1:6" x14ac:dyDescent="0.15">
      <c r="A276">
        <v>12209839</v>
      </c>
      <c r="B276">
        <v>12083018</v>
      </c>
      <c r="C276" t="s">
        <v>163</v>
      </c>
      <c r="D276" t="s">
        <v>114</v>
      </c>
      <c r="E276" s="4" t="str">
        <f>HYPERLINK("https://ibp.a2mac1.com/costing(costing:projects/details/9760/equipment/12209839)","General production process (&gt;10€)")</f>
        <v>General production process (&gt;10€)</v>
      </c>
      <c r="F276" t="s">
        <v>494</v>
      </c>
    </row>
    <row r="277" spans="1:6" x14ac:dyDescent="0.15">
      <c r="A277">
        <v>8411068</v>
      </c>
      <c r="B277">
        <v>8411031</v>
      </c>
      <c r="C277" t="s">
        <v>10</v>
      </c>
      <c r="D277" t="s">
        <v>8</v>
      </c>
      <c r="E277" s="4" t="str">
        <f>HYPERLINK("https://ibp.a2mac1.com/costing(costing:projects/details/9760/part/8411068)","Dust Cover Shock Absorber")</f>
        <v>Dust Cover Shock Absorber</v>
      </c>
      <c r="F277" t="s">
        <v>492</v>
      </c>
    </row>
    <row r="278" spans="1:6" x14ac:dyDescent="0.15">
      <c r="A278">
        <v>8411069</v>
      </c>
      <c r="B278">
        <v>8411031</v>
      </c>
      <c r="C278" t="s">
        <v>10</v>
      </c>
      <c r="D278" t="s">
        <v>8</v>
      </c>
      <c r="E278" s="4" t="str">
        <f>HYPERLINK("https://ibp.a2mac1.com/costing(costing:projects/details/9760/part/8411069)","Dust Cover")</f>
        <v>Dust Cover</v>
      </c>
      <c r="F278" t="s">
        <v>492</v>
      </c>
    </row>
    <row r="279" spans="1:6" x14ac:dyDescent="0.15">
      <c r="A279">
        <v>8411070</v>
      </c>
      <c r="B279">
        <v>8411031</v>
      </c>
      <c r="C279" t="s">
        <v>10</v>
      </c>
      <c r="D279" t="s">
        <v>8</v>
      </c>
      <c r="E279" s="4" t="str">
        <f>HYPERLINK("https://ibp.a2mac1.com/costing(costing:projects/details/9760/part/8411070)","Strut Stopper")</f>
        <v>Strut Stopper</v>
      </c>
      <c r="F279" t="s">
        <v>492</v>
      </c>
    </row>
    <row r="280" spans="1:6" x14ac:dyDescent="0.15">
      <c r="A280">
        <v>8411071</v>
      </c>
      <c r="B280">
        <v>8411031</v>
      </c>
      <c r="C280" t="s">
        <v>10</v>
      </c>
      <c r="D280" t="s">
        <v>8</v>
      </c>
      <c r="E280" s="4" t="str">
        <f>HYPERLINK("https://ibp.a2mac1.com/costing(costing:projects/details/9760/part/8411071)","Stopper Protection")</f>
        <v>Stopper Protection</v>
      </c>
      <c r="F280" t="s">
        <v>492</v>
      </c>
    </row>
    <row r="281" spans="1:6" x14ac:dyDescent="0.15">
      <c r="A281">
        <v>8411072</v>
      </c>
      <c r="B281">
        <v>8411031</v>
      </c>
      <c r="C281" t="s">
        <v>10</v>
      </c>
      <c r="D281" t="s">
        <v>8</v>
      </c>
      <c r="E281" s="4" t="str">
        <f>HYPERLINK("https://ibp.a2mac1.com/costing(costing:projects/details/9760/part/8411072)","Upper Fastener")</f>
        <v>Upper Fastener</v>
      </c>
      <c r="F281" t="s">
        <v>492</v>
      </c>
    </row>
    <row r="282" spans="1:6" x14ac:dyDescent="0.15">
      <c r="A282">
        <v>8411073</v>
      </c>
      <c r="B282">
        <v>8411031</v>
      </c>
      <c r="C282" t="s">
        <v>10</v>
      </c>
      <c r="D282" t="s">
        <v>8</v>
      </c>
      <c r="E282" s="4" t="str">
        <f>HYPERLINK("https://ibp.a2mac1.com/costing(costing:projects/details/9760/part/8411073)","Tower Cover")</f>
        <v>Tower Cover</v>
      </c>
      <c r="F282" t="s">
        <v>492</v>
      </c>
    </row>
    <row r="283" spans="1:6" x14ac:dyDescent="0.15">
      <c r="A283">
        <v>12083007</v>
      </c>
      <c r="B283">
        <v>8411031</v>
      </c>
      <c r="C283" t="s">
        <v>114</v>
      </c>
      <c r="D283" t="s">
        <v>8</v>
      </c>
      <c r="E283" s="4" t="str">
        <f>HYPERLINK("https://ibp.a2mac1.com/costing(costing:projects/details/9760/process/12083007)","Process")</f>
        <v>Process</v>
      </c>
      <c r="F283" t="s">
        <v>492</v>
      </c>
    </row>
    <row r="284" spans="1:6" x14ac:dyDescent="0.15">
      <c r="A284">
        <v>12209790</v>
      </c>
      <c r="B284">
        <v>12083007</v>
      </c>
      <c r="C284" t="s">
        <v>163</v>
      </c>
      <c r="D284" t="s">
        <v>114</v>
      </c>
      <c r="E284" s="4" t="str">
        <f>HYPERLINK("https://ibp.a2mac1.com/costing(costing:projects/details/9760/equipment/12209790)","General production process (0.5-10€)")</f>
        <v>General production process (0.5-10€)</v>
      </c>
      <c r="F284" t="s">
        <v>510</v>
      </c>
    </row>
    <row r="285" spans="1:6" x14ac:dyDescent="0.15">
      <c r="A285">
        <v>8411030</v>
      </c>
      <c r="B285">
        <v>8411019</v>
      </c>
      <c r="C285" t="s">
        <v>10</v>
      </c>
      <c r="D285" t="s">
        <v>8</v>
      </c>
      <c r="E285" s="4" t="str">
        <f>HYPERLINK("https://ibp.a2mac1.com/costing(costing:projects/details/9760/part/8411030)","Coil Spring")</f>
        <v>Coil Spring</v>
      </c>
      <c r="F285" t="s">
        <v>491</v>
      </c>
    </row>
    <row r="286" spans="1:6" x14ac:dyDescent="0.15">
      <c r="A286">
        <v>12083006</v>
      </c>
      <c r="B286">
        <v>8411030</v>
      </c>
      <c r="C286" t="s">
        <v>114</v>
      </c>
      <c r="D286" t="s">
        <v>10</v>
      </c>
      <c r="E286" s="4" t="str">
        <f>HYPERLINK("https://ibp.a2mac1.com/costing(costing:projects/details/9760/process/12083006)","Process")</f>
        <v>Process</v>
      </c>
      <c r="F286" t="s">
        <v>514</v>
      </c>
    </row>
    <row r="287" spans="1:6" x14ac:dyDescent="0.15">
      <c r="A287">
        <v>8751900</v>
      </c>
      <c r="B287">
        <v>12083006</v>
      </c>
      <c r="C287" t="s">
        <v>22</v>
      </c>
      <c r="D287" t="s">
        <v>114</v>
      </c>
      <c r="E287" s="4" t="str">
        <f>HYPERLINK("https://ibp.a2mac1.com/costing(costing:projects/details/9760/material/8751900)","Material")</f>
        <v>Material</v>
      </c>
      <c r="F287" t="s">
        <v>515</v>
      </c>
    </row>
    <row r="288" spans="1:6" x14ac:dyDescent="0.15">
      <c r="A288">
        <v>12209789</v>
      </c>
      <c r="B288">
        <v>12083006</v>
      </c>
      <c r="C288" t="s">
        <v>163</v>
      </c>
      <c r="D288" t="s">
        <v>114</v>
      </c>
      <c r="E288" s="4" t="str">
        <f>HYPERLINK("https://ibp.a2mac1.com/costing(costing:projects/details/9760/equipment/12209789)","General production process (0.5-10€)")</f>
        <v>General production process (0.5-10€)</v>
      </c>
      <c r="F288" t="s">
        <v>515</v>
      </c>
    </row>
    <row r="289" spans="1:6" x14ac:dyDescent="0.15">
      <c r="A289">
        <v>8411020</v>
      </c>
      <c r="B289">
        <v>8411014</v>
      </c>
      <c r="C289" t="s">
        <v>8</v>
      </c>
      <c r="D289" t="s">
        <v>8</v>
      </c>
      <c r="E289" s="4" t="str">
        <f>HYPERLINK("https://ibp.a2mac1.com/costing(costing:projects/details/9760/assembly/8411020)","Adjustable Suspension System")</f>
        <v>Adjustable Suspension System</v>
      </c>
      <c r="F289" t="s">
        <v>474</v>
      </c>
    </row>
    <row r="290" spans="1:6" x14ac:dyDescent="0.15">
      <c r="A290">
        <v>8411038</v>
      </c>
      <c r="B290">
        <v>8411020</v>
      </c>
      <c r="C290" t="s">
        <v>8</v>
      </c>
      <c r="D290" t="s">
        <v>8</v>
      </c>
      <c r="E290" s="4" t="str">
        <f>HYPERLINK("https://ibp.a2mac1.com/costing(costing:projects/details/9760/assembly/8411038)","Acceleration Sensor")</f>
        <v>Acceleration Sensor</v>
      </c>
      <c r="F290" t="s">
        <v>520</v>
      </c>
    </row>
    <row r="291" spans="1:6" x14ac:dyDescent="0.15">
      <c r="A291">
        <v>8411074</v>
      </c>
      <c r="B291">
        <v>8411038</v>
      </c>
      <c r="C291" t="s">
        <v>10</v>
      </c>
      <c r="D291" t="s">
        <v>8</v>
      </c>
      <c r="E291" s="4" t="str">
        <f>HYPERLINK("https://ibp.a2mac1.com/costing(costing:projects/details/9760/part/8411074)","Front Sensor")</f>
        <v>Front Sensor</v>
      </c>
      <c r="F291" t="s">
        <v>521</v>
      </c>
    </row>
    <row r="292" spans="1:6" x14ac:dyDescent="0.15">
      <c r="A292">
        <v>8411075</v>
      </c>
      <c r="B292">
        <v>8411038</v>
      </c>
      <c r="C292" t="s">
        <v>10</v>
      </c>
      <c r="D292" t="s">
        <v>8</v>
      </c>
      <c r="E292" s="4" t="str">
        <f>HYPERLINK("https://ibp.a2mac1.com/costing(costing:projects/details/9760/part/8411075)","Rear Sensor")</f>
        <v>Rear Sensor</v>
      </c>
      <c r="F292" t="s">
        <v>521</v>
      </c>
    </row>
    <row r="293" spans="1:6" x14ac:dyDescent="0.15">
      <c r="A293">
        <v>8411076</v>
      </c>
      <c r="B293">
        <v>8411038</v>
      </c>
      <c r="C293" t="s">
        <v>10</v>
      </c>
      <c r="D293" t="s">
        <v>8</v>
      </c>
      <c r="E293" s="4" t="str">
        <f>HYPERLINK("https://ibp.a2mac1.com/costing(costing:projects/details/9760/part/8411076)","Front Vertical Acceleration Sensors (and Rear if Identical)")</f>
        <v>Front Vertical Acceleration Sensors (and Rear if Identical)</v>
      </c>
      <c r="F293" t="s">
        <v>521</v>
      </c>
    </row>
    <row r="294" spans="1:6" x14ac:dyDescent="0.15">
      <c r="A294">
        <v>8411077</v>
      </c>
      <c r="B294">
        <v>8411038</v>
      </c>
      <c r="C294" t="s">
        <v>10</v>
      </c>
      <c r="D294" t="s">
        <v>8</v>
      </c>
      <c r="E294" s="4" t="str">
        <f>HYPERLINK("https://ibp.a2mac1.com/costing(costing:projects/details/9760/part/8411077)","Rear Vertical Acceleration Sensors")</f>
        <v>Rear Vertical Acceleration Sensors</v>
      </c>
      <c r="F294" t="s">
        <v>521</v>
      </c>
    </row>
    <row r="295" spans="1:6" x14ac:dyDescent="0.15">
      <c r="A295">
        <v>8411039</v>
      </c>
      <c r="B295">
        <v>8411020</v>
      </c>
      <c r="C295" t="s">
        <v>8</v>
      </c>
      <c r="D295" t="s">
        <v>8</v>
      </c>
      <c r="E295" s="4" t="str">
        <f>HYPERLINK("https://ibp.a2mac1.com/costing(costing:projects/details/9760/assembly/8411039)","Pipes System")</f>
        <v>Pipes System</v>
      </c>
      <c r="F295" t="s">
        <v>520</v>
      </c>
    </row>
    <row r="296" spans="1:6" x14ac:dyDescent="0.15">
      <c r="A296">
        <v>8411078</v>
      </c>
      <c r="B296">
        <v>8411039</v>
      </c>
      <c r="C296" t="s">
        <v>10</v>
      </c>
      <c r="D296" t="s">
        <v>8</v>
      </c>
      <c r="E296" s="4" t="str">
        <f>HYPERLINK("https://ibp.a2mac1.com/costing(costing:projects/details/9760/part/8411078)","IN Pipe Distributor")</f>
        <v>IN Pipe Distributor</v>
      </c>
      <c r="F296" t="s">
        <v>527</v>
      </c>
    </row>
    <row r="297" spans="1:6" x14ac:dyDescent="0.15">
      <c r="A297">
        <v>8411079</v>
      </c>
      <c r="B297">
        <v>8411039</v>
      </c>
      <c r="C297" t="s">
        <v>10</v>
      </c>
      <c r="D297" t="s">
        <v>8</v>
      </c>
      <c r="E297" s="4" t="str">
        <f>HYPERLINK("https://ibp.a2mac1.com/costing(costing:projects/details/9760/part/8411079)","Front Left Shock Absorber Pipe")</f>
        <v>Front Left Shock Absorber Pipe</v>
      </c>
      <c r="F297" t="s">
        <v>527</v>
      </c>
    </row>
    <row r="298" spans="1:6" x14ac:dyDescent="0.15">
      <c r="A298">
        <v>8411080</v>
      </c>
      <c r="B298">
        <v>8411039</v>
      </c>
      <c r="C298" t="s">
        <v>10</v>
      </c>
      <c r="D298" t="s">
        <v>8</v>
      </c>
      <c r="E298" s="4" t="str">
        <f>HYPERLINK("https://ibp.a2mac1.com/costing(costing:projects/details/9760/part/8411080)","Front Right Shock Absorber Pipe")</f>
        <v>Front Right Shock Absorber Pipe</v>
      </c>
      <c r="F298" t="s">
        <v>527</v>
      </c>
    </row>
    <row r="299" spans="1:6" x14ac:dyDescent="0.15">
      <c r="A299">
        <v>8411081</v>
      </c>
      <c r="B299">
        <v>8411039</v>
      </c>
      <c r="C299" t="s">
        <v>10</v>
      </c>
      <c r="D299" t="s">
        <v>8</v>
      </c>
      <c r="E299" s="4" t="str">
        <f>HYPERLINK("https://ibp.a2mac1.com/costing(costing:projects/details/9760/part/8411081)","Rear Left Shock Absorber Pipe")</f>
        <v>Rear Left Shock Absorber Pipe</v>
      </c>
      <c r="F299" t="s">
        <v>527</v>
      </c>
    </row>
    <row r="300" spans="1:6" x14ac:dyDescent="0.15">
      <c r="A300">
        <v>8411082</v>
      </c>
      <c r="B300">
        <v>8411039</v>
      </c>
      <c r="C300" t="s">
        <v>10</v>
      </c>
      <c r="D300" t="s">
        <v>8</v>
      </c>
      <c r="E300" s="4" t="str">
        <f>HYPERLINK("https://ibp.a2mac1.com/costing(costing:projects/details/9760/part/8411082)","Rear Right Shock Absorber Pipe")</f>
        <v>Rear Right Shock Absorber Pipe</v>
      </c>
      <c r="F300" t="s">
        <v>527</v>
      </c>
    </row>
    <row r="301" spans="1:6" x14ac:dyDescent="0.15">
      <c r="A301">
        <v>8411083</v>
      </c>
      <c r="B301">
        <v>8411039</v>
      </c>
      <c r="C301" t="s">
        <v>10</v>
      </c>
      <c r="D301" t="s">
        <v>8</v>
      </c>
      <c r="E301" s="4" t="str">
        <f>HYPERLINK("https://ibp.a2mac1.com/costing(costing:projects/details/9760/part/8411083)","Air Bottle/Distributor Pipe")</f>
        <v>Air Bottle/Distributor Pipe</v>
      </c>
      <c r="F301" t="s">
        <v>527</v>
      </c>
    </row>
    <row r="302" spans="1:6" x14ac:dyDescent="0.15">
      <c r="A302">
        <v>8411084</v>
      </c>
      <c r="B302">
        <v>8411039</v>
      </c>
      <c r="C302" t="s">
        <v>10</v>
      </c>
      <c r="D302" t="s">
        <v>8</v>
      </c>
      <c r="E302" s="4" t="str">
        <f>HYPERLINK("https://ibp.a2mac1.com/costing(costing:projects/details/9760/part/8411084)","Out pipe")</f>
        <v>Out pipe</v>
      </c>
      <c r="F302" t="s">
        <v>527</v>
      </c>
    </row>
    <row r="303" spans="1:6" x14ac:dyDescent="0.15">
      <c r="A303">
        <v>8411085</v>
      </c>
      <c r="B303">
        <v>8411039</v>
      </c>
      <c r="C303" t="s">
        <v>10</v>
      </c>
      <c r="D303" t="s">
        <v>8</v>
      </c>
      <c r="E303" s="4" t="str">
        <f>HYPERLINK("https://ibp.a2mac1.com/costing(costing:projects/details/9760/part/8411085)","Dehumidifier IN Pipe")</f>
        <v>Dehumidifier IN Pipe</v>
      </c>
      <c r="F303" t="s">
        <v>527</v>
      </c>
    </row>
    <row r="304" spans="1:6" x14ac:dyDescent="0.15">
      <c r="A304">
        <v>8411086</v>
      </c>
      <c r="B304">
        <v>8411039</v>
      </c>
      <c r="C304" t="s">
        <v>10</v>
      </c>
      <c r="D304" t="s">
        <v>8</v>
      </c>
      <c r="E304" s="4" t="str">
        <f>HYPERLINK("https://ibp.a2mac1.com/costing(costing:projects/details/9760/part/8411086)","Dehumidifier OUT Pipe")</f>
        <v>Dehumidifier OUT Pipe</v>
      </c>
      <c r="F304" t="s">
        <v>527</v>
      </c>
    </row>
    <row r="305" spans="1:6" x14ac:dyDescent="0.15">
      <c r="A305">
        <v>8411087</v>
      </c>
      <c r="B305">
        <v>8411039</v>
      </c>
      <c r="C305" t="s">
        <v>10</v>
      </c>
      <c r="D305" t="s">
        <v>8</v>
      </c>
      <c r="E305" s="4" t="str">
        <f>HYPERLINK("https://ibp.a2mac1.com/costing(costing:projects/details/9760/part/8411087)","Front Left Shock Absorber Air Valve")</f>
        <v>Front Left Shock Absorber Air Valve</v>
      </c>
      <c r="F305" t="s">
        <v>527</v>
      </c>
    </row>
    <row r="306" spans="1:6" x14ac:dyDescent="0.15">
      <c r="A306">
        <v>8411088</v>
      </c>
      <c r="B306">
        <v>8411039</v>
      </c>
      <c r="C306" t="s">
        <v>10</v>
      </c>
      <c r="D306" t="s">
        <v>8</v>
      </c>
      <c r="E306" s="4" t="str">
        <f>HYPERLINK("https://ibp.a2mac1.com/costing(costing:projects/details/9760/part/8411088)","Front Right Shock Absorber Air Valve")</f>
        <v>Front Right Shock Absorber Air Valve</v>
      </c>
      <c r="F306" t="s">
        <v>527</v>
      </c>
    </row>
    <row r="307" spans="1:6" x14ac:dyDescent="0.15">
      <c r="A307">
        <v>8411032</v>
      </c>
      <c r="B307">
        <v>8411020</v>
      </c>
      <c r="C307" t="s">
        <v>10</v>
      </c>
      <c r="D307" t="s">
        <v>8</v>
      </c>
      <c r="E307" s="4" t="str">
        <f>HYPERLINK("https://ibp.a2mac1.com/costing(costing:projects/details/9760/part/8411032)","Suspension Air Filter")</f>
        <v>Suspension Air Filter</v>
      </c>
      <c r="F307" t="s">
        <v>520</v>
      </c>
    </row>
    <row r="308" spans="1:6" x14ac:dyDescent="0.15">
      <c r="A308">
        <v>8411033</v>
      </c>
      <c r="B308">
        <v>8411020</v>
      </c>
      <c r="C308" t="s">
        <v>10</v>
      </c>
      <c r="D308" t="s">
        <v>8</v>
      </c>
      <c r="E308" s="4" t="str">
        <f>HYPERLINK("https://ibp.a2mac1.com/costing(costing:projects/details/9760/part/8411033)","Compressor")</f>
        <v>Compressor</v>
      </c>
      <c r="F308" t="s">
        <v>520</v>
      </c>
    </row>
    <row r="309" spans="1:6" x14ac:dyDescent="0.15">
      <c r="A309">
        <v>8411034</v>
      </c>
      <c r="B309">
        <v>8411020</v>
      </c>
      <c r="C309" t="s">
        <v>10</v>
      </c>
      <c r="D309" t="s">
        <v>8</v>
      </c>
      <c r="E309" s="4" t="str">
        <f>HYPERLINK("https://ibp.a2mac1.com/costing(costing:projects/details/9760/part/8411034)","Compressor Support on body")</f>
        <v>Compressor Support on body</v>
      </c>
      <c r="F309" t="s">
        <v>520</v>
      </c>
    </row>
    <row r="310" spans="1:6" x14ac:dyDescent="0.15">
      <c r="A310">
        <v>8411035</v>
      </c>
      <c r="B310">
        <v>8411020</v>
      </c>
      <c r="C310" t="s">
        <v>10</v>
      </c>
      <c r="D310" t="s">
        <v>8</v>
      </c>
      <c r="E310" s="4" t="str">
        <f>HYPERLINK("https://ibp.a2mac1.com/costing(costing:projects/details/9760/part/8411035)","Air Bottle")</f>
        <v>Air Bottle</v>
      </c>
      <c r="F310" t="s">
        <v>520</v>
      </c>
    </row>
    <row r="311" spans="1:6" x14ac:dyDescent="0.15">
      <c r="A311">
        <v>12083008</v>
      </c>
      <c r="B311">
        <v>8411035</v>
      </c>
      <c r="C311" t="s">
        <v>114</v>
      </c>
      <c r="D311" t="s">
        <v>10</v>
      </c>
      <c r="E311" s="4" t="str">
        <f>HYPERLINK("https://ibp.a2mac1.com/costing(costing:projects/details/9760/process/12083008)","Process")</f>
        <v>Process</v>
      </c>
      <c r="F311" t="s">
        <v>546</v>
      </c>
    </row>
    <row r="312" spans="1:6" x14ac:dyDescent="0.15">
      <c r="A312">
        <v>8751901</v>
      </c>
      <c r="B312">
        <v>12083008</v>
      </c>
      <c r="C312" t="s">
        <v>22</v>
      </c>
      <c r="D312" t="s">
        <v>114</v>
      </c>
      <c r="E312" s="4" t="str">
        <f>HYPERLINK("https://ibp.a2mac1.com/costing(costing:projects/details/9760/material/8751901)","Material")</f>
        <v>Material</v>
      </c>
      <c r="F312" t="s">
        <v>547</v>
      </c>
    </row>
    <row r="313" spans="1:6" x14ac:dyDescent="0.15">
      <c r="A313">
        <v>12209791</v>
      </c>
      <c r="B313">
        <v>12083008</v>
      </c>
      <c r="C313" t="s">
        <v>163</v>
      </c>
      <c r="D313" t="s">
        <v>114</v>
      </c>
      <c r="E313" s="4" t="str">
        <f>HYPERLINK("https://ibp.a2mac1.com/costing(costing:projects/details/9760/equipment/12209791)","General production process (0.5-10€)")</f>
        <v>General production process (0.5-10€)</v>
      </c>
      <c r="F313" t="s">
        <v>547</v>
      </c>
    </row>
    <row r="314" spans="1:6" x14ac:dyDescent="0.15">
      <c r="A314">
        <v>8411036</v>
      </c>
      <c r="B314">
        <v>8411020</v>
      </c>
      <c r="C314" t="s">
        <v>10</v>
      </c>
      <c r="D314" t="s">
        <v>8</v>
      </c>
      <c r="E314" s="4" t="str">
        <f>HYPERLINK("https://ibp.a2mac1.com/costing(costing:projects/details/9760/part/8411036)","In/Out Air Pipes Connector")</f>
        <v>In/Out Air Pipes Connector</v>
      </c>
      <c r="F314" t="s">
        <v>520</v>
      </c>
    </row>
    <row r="315" spans="1:6" x14ac:dyDescent="0.15">
      <c r="A315">
        <v>8411037</v>
      </c>
      <c r="B315">
        <v>8411020</v>
      </c>
      <c r="C315" t="s">
        <v>10</v>
      </c>
      <c r="D315" t="s">
        <v>8</v>
      </c>
      <c r="E315" s="4" t="str">
        <f>HYPERLINK("https://ibp.a2mac1.com/costing(costing:projects/details/9760/part/8411037)","Dehumidifier")</f>
        <v>Dehumidifier</v>
      </c>
      <c r="F315" t="s">
        <v>520</v>
      </c>
    </row>
    <row r="316" spans="1:6" x14ac:dyDescent="0.15">
      <c r="A316">
        <v>8411015</v>
      </c>
      <c r="B316">
        <v>8411013</v>
      </c>
      <c r="C316" t="s">
        <v>8</v>
      </c>
      <c r="D316" t="s">
        <v>8</v>
      </c>
      <c r="E316" s="4" t="str">
        <f>HYPERLINK("https://ibp.a2mac1.com/costing(costing:projects/details/9760/assembly/8411015)","Axles")</f>
        <v>Axles</v>
      </c>
      <c r="F316" t="s">
        <v>473</v>
      </c>
    </row>
    <row r="317" spans="1:6" x14ac:dyDescent="0.15">
      <c r="A317">
        <v>8411021</v>
      </c>
      <c r="B317">
        <v>8411015</v>
      </c>
      <c r="C317" t="s">
        <v>8</v>
      </c>
      <c r="D317" t="s">
        <v>8</v>
      </c>
      <c r="E317" s="4" t="str">
        <f>HYPERLINK("https://ibp.a2mac1.com/costing(costing:projects/details/9760/assembly/8411021)","Front Axle")</f>
        <v>Front Axle</v>
      </c>
      <c r="F317" t="s">
        <v>557</v>
      </c>
    </row>
    <row r="318" spans="1:6" x14ac:dyDescent="0.15">
      <c r="A318">
        <v>8411040</v>
      </c>
      <c r="B318">
        <v>8411021</v>
      </c>
      <c r="C318" t="s">
        <v>8</v>
      </c>
      <c r="D318" t="s">
        <v>8</v>
      </c>
      <c r="E318" s="4" t="str">
        <f>HYPERLINK("https://ibp.a2mac1.com/costing(costing:projects/details/9760/assembly/8411040)","K-Frame Reinforcement System")</f>
        <v>K-Frame Reinforcement System</v>
      </c>
      <c r="F318" t="s">
        <v>558</v>
      </c>
    </row>
    <row r="319" spans="1:6" x14ac:dyDescent="0.15">
      <c r="A319">
        <v>8411089</v>
      </c>
      <c r="B319">
        <v>8411040</v>
      </c>
      <c r="C319" t="s">
        <v>10</v>
      </c>
      <c r="D319" t="s">
        <v>8</v>
      </c>
      <c r="E319" s="4" t="str">
        <f>HYPERLINK("https://ibp.a2mac1.com/costing(costing:projects/details/9760/part/8411089)","Rear Reinforcement")</f>
        <v>Rear Reinforcement</v>
      </c>
      <c r="F319" t="s">
        <v>559</v>
      </c>
    </row>
    <row r="320" spans="1:6" x14ac:dyDescent="0.15">
      <c r="A320">
        <v>8411090</v>
      </c>
      <c r="B320">
        <v>8411040</v>
      </c>
      <c r="C320" t="s">
        <v>10</v>
      </c>
      <c r="D320" t="s">
        <v>8</v>
      </c>
      <c r="E320" s="4" t="str">
        <f>HYPERLINK("https://ibp.a2mac1.com/costing(costing:projects/details/9760/part/8411090)","2nd Rear Reinforcement")</f>
        <v>2nd Rear Reinforcement</v>
      </c>
      <c r="F320" t="s">
        <v>559</v>
      </c>
    </row>
    <row r="321" spans="1:6" x14ac:dyDescent="0.15">
      <c r="A321">
        <v>8411091</v>
      </c>
      <c r="B321">
        <v>8411040</v>
      </c>
      <c r="C321" t="s">
        <v>10</v>
      </c>
      <c r="D321" t="s">
        <v>8</v>
      </c>
      <c r="E321" s="4" t="str">
        <f>HYPERLINK("https://ibp.a2mac1.com/costing(costing:projects/details/9760/part/8411091)","Front Reinforcement")</f>
        <v>Front Reinforcement</v>
      </c>
      <c r="F321" t="s">
        <v>559</v>
      </c>
    </row>
    <row r="322" spans="1:6" x14ac:dyDescent="0.15">
      <c r="A322">
        <v>8411041</v>
      </c>
      <c r="B322">
        <v>8411021</v>
      </c>
      <c r="C322" t="s">
        <v>8</v>
      </c>
      <c r="D322" t="s">
        <v>8</v>
      </c>
      <c r="E322" s="4" t="str">
        <f>HYPERLINK("https://ibp.a2mac1.com/costing(costing:projects/details/9760/assembly/8411041)","Arm Suspension System")</f>
        <v>Arm Suspension System</v>
      </c>
      <c r="F322" t="s">
        <v>558</v>
      </c>
    </row>
    <row r="323" spans="1:6" x14ac:dyDescent="0.15">
      <c r="A323">
        <v>8411096</v>
      </c>
      <c r="B323">
        <v>8411041</v>
      </c>
      <c r="C323" t="s">
        <v>8</v>
      </c>
      <c r="D323" t="s">
        <v>8</v>
      </c>
      <c r="E323" s="4" t="str">
        <f>HYPERLINK("https://ibp.a2mac1.com/costing(costing:projects/details/9760/assembly/8411096)","Upper Triangle")</f>
        <v>Upper Triangle</v>
      </c>
      <c r="F323" t="s">
        <v>566</v>
      </c>
    </row>
    <row r="324" spans="1:6" x14ac:dyDescent="0.15">
      <c r="A324">
        <v>8411207</v>
      </c>
      <c r="B324">
        <v>8411096</v>
      </c>
      <c r="C324" t="s">
        <v>10</v>
      </c>
      <c r="D324" t="s">
        <v>8</v>
      </c>
      <c r="E324" s="4" t="str">
        <f>HYPERLINK("https://ibp.a2mac1.com/costing(costing:projects/details/9760/part/8411207)","Upper Left Triangle")</f>
        <v>Upper Left Triangle</v>
      </c>
      <c r="F324" t="s">
        <v>567</v>
      </c>
    </row>
    <row r="325" spans="1:6" x14ac:dyDescent="0.15">
      <c r="A325">
        <v>12083044</v>
      </c>
      <c r="B325">
        <v>8411207</v>
      </c>
      <c r="C325" t="s">
        <v>114</v>
      </c>
      <c r="D325" t="s">
        <v>10</v>
      </c>
      <c r="E325" s="4" t="str">
        <f>HYPERLINK("https://ibp.a2mac1.com/costing(costing:projects/details/9760/process/12083044)","Process")</f>
        <v>Process</v>
      </c>
      <c r="F325" t="s">
        <v>568</v>
      </c>
    </row>
    <row r="326" spans="1:6" x14ac:dyDescent="0.15">
      <c r="A326">
        <v>8751940</v>
      </c>
      <c r="B326">
        <v>12083044</v>
      </c>
      <c r="C326" t="s">
        <v>22</v>
      </c>
      <c r="D326" t="s">
        <v>114</v>
      </c>
      <c r="E326" s="4" t="str">
        <f>HYPERLINK("https://ibp.a2mac1.com/costing(costing:projects/details/9760/material/8751940)","Material")</f>
        <v>Material</v>
      </c>
      <c r="F326" t="s">
        <v>569</v>
      </c>
    </row>
    <row r="327" spans="1:6" x14ac:dyDescent="0.15">
      <c r="A327">
        <v>12209907</v>
      </c>
      <c r="B327">
        <v>12083044</v>
      </c>
      <c r="C327" t="s">
        <v>163</v>
      </c>
      <c r="D327" t="s">
        <v>114</v>
      </c>
      <c r="E327" s="4" t="str">
        <f>HYPERLINK("https://ibp.a2mac1.com/costing(costing:projects/details/9760/equipment/12209907)","General production process (0.5-10€)")</f>
        <v>General production process (0.5-10€)</v>
      </c>
      <c r="F327" t="s">
        <v>569</v>
      </c>
    </row>
    <row r="328" spans="1:6" x14ac:dyDescent="0.15">
      <c r="A328">
        <v>8411209</v>
      </c>
      <c r="B328">
        <v>8411096</v>
      </c>
      <c r="C328" t="s">
        <v>10</v>
      </c>
      <c r="D328" t="s">
        <v>8</v>
      </c>
      <c r="E328" s="4" t="str">
        <f>HYPERLINK("https://ibp.a2mac1.com/costing(costing:projects/details/9760/part/8411209)","Upper Right Triangle")</f>
        <v>Upper Right Triangle</v>
      </c>
      <c r="F328" t="s">
        <v>567</v>
      </c>
    </row>
    <row r="329" spans="1:6" x14ac:dyDescent="0.15">
      <c r="A329">
        <v>12083045</v>
      </c>
      <c r="B329">
        <v>8411209</v>
      </c>
      <c r="C329" t="s">
        <v>114</v>
      </c>
      <c r="D329" t="s">
        <v>10</v>
      </c>
      <c r="E329" s="4" t="str">
        <f>HYPERLINK("https://ibp.a2mac1.com/costing(costing:projects/details/9760/process/12083045)","Process")</f>
        <v>Process</v>
      </c>
      <c r="F329" t="s">
        <v>573</v>
      </c>
    </row>
    <row r="330" spans="1:6" x14ac:dyDescent="0.15">
      <c r="A330">
        <v>8751941</v>
      </c>
      <c r="B330">
        <v>12083045</v>
      </c>
      <c r="C330" t="s">
        <v>22</v>
      </c>
      <c r="D330" t="s">
        <v>114</v>
      </c>
      <c r="E330" s="4" t="str">
        <f>HYPERLINK("https://ibp.a2mac1.com/costing(costing:projects/details/9760/material/8751941)","Material")</f>
        <v>Material</v>
      </c>
      <c r="F330" t="s">
        <v>574</v>
      </c>
    </row>
    <row r="331" spans="1:6" x14ac:dyDescent="0.15">
      <c r="A331">
        <v>12209908</v>
      </c>
      <c r="B331">
        <v>12083045</v>
      </c>
      <c r="C331" t="s">
        <v>163</v>
      </c>
      <c r="D331" t="s">
        <v>114</v>
      </c>
      <c r="E331" s="4" t="str">
        <f>HYPERLINK("https://ibp.a2mac1.com/costing(costing:projects/details/9760/equipment/12209908)","General production process (0.5-10€)")</f>
        <v>General production process (0.5-10€)</v>
      </c>
      <c r="F331" t="s">
        <v>574</v>
      </c>
    </row>
    <row r="332" spans="1:6" x14ac:dyDescent="0.15">
      <c r="A332">
        <v>8411092</v>
      </c>
      <c r="B332">
        <v>8411041</v>
      </c>
      <c r="C332" t="s">
        <v>10</v>
      </c>
      <c r="D332" t="s">
        <v>8</v>
      </c>
      <c r="E332" s="4" t="str">
        <f>HYPERLINK("https://ibp.a2mac1.com/costing(costing:projects/details/9760/part/8411092)","Lower Arm")</f>
        <v>Lower Arm</v>
      </c>
      <c r="F332" t="s">
        <v>566</v>
      </c>
    </row>
    <row r="333" spans="1:6" x14ac:dyDescent="0.15">
      <c r="A333">
        <v>12083019</v>
      </c>
      <c r="B333">
        <v>8411092</v>
      </c>
      <c r="C333" t="s">
        <v>114</v>
      </c>
      <c r="D333" t="s">
        <v>10</v>
      </c>
      <c r="E333" s="4" t="str">
        <f>HYPERLINK("https://ibp.a2mac1.com/costing(costing:projects/details/9760/process/12083019)","Process")</f>
        <v>Process</v>
      </c>
      <c r="F333" t="s">
        <v>577</v>
      </c>
    </row>
    <row r="334" spans="1:6" x14ac:dyDescent="0.15">
      <c r="A334">
        <v>8751926</v>
      </c>
      <c r="B334">
        <v>12083019</v>
      </c>
      <c r="C334" t="s">
        <v>22</v>
      </c>
      <c r="D334" t="s">
        <v>114</v>
      </c>
      <c r="E334" s="4" t="str">
        <f>HYPERLINK("https://ibp.a2mac1.com/costing(costing:projects/details/9760/material/8751926)","Material")</f>
        <v>Material</v>
      </c>
      <c r="F334" t="s">
        <v>578</v>
      </c>
    </row>
    <row r="335" spans="1:6" x14ac:dyDescent="0.15">
      <c r="A335">
        <v>12209840</v>
      </c>
      <c r="B335">
        <v>12083019</v>
      </c>
      <c r="C335" t="s">
        <v>163</v>
      </c>
      <c r="D335" t="s">
        <v>114</v>
      </c>
      <c r="E335" s="4" t="str">
        <f>HYPERLINK("https://ibp.a2mac1.com/costing(costing:projects/details/9760/equipment/12209840)","General production process (0.5-10€)")</f>
        <v>General production process (0.5-10€)</v>
      </c>
      <c r="F335" t="s">
        <v>578</v>
      </c>
    </row>
    <row r="336" spans="1:6" x14ac:dyDescent="0.15">
      <c r="A336">
        <v>8411093</v>
      </c>
      <c r="B336">
        <v>8411041</v>
      </c>
      <c r="C336" t="s">
        <v>10</v>
      </c>
      <c r="D336" t="s">
        <v>8</v>
      </c>
      <c r="E336" s="4" t="str">
        <f>HYPERLINK("https://ibp.a2mac1.com/costing(costing:projects/details/9760/part/8411093)","Lower Arm 2")</f>
        <v>Lower Arm 2</v>
      </c>
      <c r="F336" t="s">
        <v>566</v>
      </c>
    </row>
    <row r="337" spans="1:6" x14ac:dyDescent="0.15">
      <c r="A337">
        <v>12083020</v>
      </c>
      <c r="B337">
        <v>8411093</v>
      </c>
      <c r="C337" t="s">
        <v>114</v>
      </c>
      <c r="D337" t="s">
        <v>10</v>
      </c>
      <c r="E337" s="4" t="str">
        <f>HYPERLINK("https://ibp.a2mac1.com/costing(costing:projects/details/9760/process/12083020)","Process")</f>
        <v>Process</v>
      </c>
      <c r="F337" t="s">
        <v>582</v>
      </c>
    </row>
    <row r="338" spans="1:6" x14ac:dyDescent="0.15">
      <c r="A338">
        <v>8751927</v>
      </c>
      <c r="B338">
        <v>12083020</v>
      </c>
      <c r="C338" t="s">
        <v>22</v>
      </c>
      <c r="D338" t="s">
        <v>114</v>
      </c>
      <c r="E338" s="4" t="str">
        <f>HYPERLINK("https://ibp.a2mac1.com/costing(costing:projects/details/9760/material/8751927)","Material")</f>
        <v>Material</v>
      </c>
      <c r="F338" t="s">
        <v>583</v>
      </c>
    </row>
    <row r="339" spans="1:6" x14ac:dyDescent="0.15">
      <c r="A339">
        <v>12209841</v>
      </c>
      <c r="B339">
        <v>12083020</v>
      </c>
      <c r="C339" t="s">
        <v>163</v>
      </c>
      <c r="D339" t="s">
        <v>114</v>
      </c>
      <c r="E339" s="4" t="str">
        <f>HYPERLINK("https://ibp.a2mac1.com/costing(costing:projects/details/9760/equipment/12209841)","General production process (0.5-10€)")</f>
        <v>General production process (0.5-10€)</v>
      </c>
      <c r="F339" t="s">
        <v>583</v>
      </c>
    </row>
    <row r="340" spans="1:6" x14ac:dyDescent="0.15">
      <c r="A340">
        <v>8411094</v>
      </c>
      <c r="B340">
        <v>8411041</v>
      </c>
      <c r="C340" t="s">
        <v>10</v>
      </c>
      <c r="D340" t="s">
        <v>8</v>
      </c>
      <c r="E340" s="4" t="str">
        <f>HYPERLINK("https://ibp.a2mac1.com/costing(costing:projects/details/9760/part/8411094)","2nd Lower Arm (Rear)")</f>
        <v>2nd Lower Arm (Rear)</v>
      </c>
      <c r="F340" t="s">
        <v>566</v>
      </c>
    </row>
    <row r="341" spans="1:6" x14ac:dyDescent="0.15">
      <c r="A341">
        <v>12083021</v>
      </c>
      <c r="B341">
        <v>8411094</v>
      </c>
      <c r="C341" t="s">
        <v>114</v>
      </c>
      <c r="D341" t="s">
        <v>10</v>
      </c>
      <c r="E341" s="4" t="str">
        <f>HYPERLINK("https://ibp.a2mac1.com/costing(costing:projects/details/9760/process/12083021)","Process")</f>
        <v>Process</v>
      </c>
      <c r="F341" t="s">
        <v>585</v>
      </c>
    </row>
    <row r="342" spans="1:6" x14ac:dyDescent="0.15">
      <c r="A342">
        <v>8751928</v>
      </c>
      <c r="B342">
        <v>12083021</v>
      </c>
      <c r="C342" t="s">
        <v>22</v>
      </c>
      <c r="D342" t="s">
        <v>114</v>
      </c>
      <c r="E342" s="4" t="str">
        <f>HYPERLINK("https://ibp.a2mac1.com/costing(costing:projects/details/9760/material/8751928)","Material")</f>
        <v>Material</v>
      </c>
      <c r="F342" t="s">
        <v>586</v>
      </c>
    </row>
    <row r="343" spans="1:6" x14ac:dyDescent="0.15">
      <c r="A343">
        <v>12209842</v>
      </c>
      <c r="B343">
        <v>12083021</v>
      </c>
      <c r="C343" t="s">
        <v>163</v>
      </c>
      <c r="D343" t="s">
        <v>114</v>
      </c>
      <c r="E343" s="4" t="str">
        <f>HYPERLINK("https://ibp.a2mac1.com/costing(costing:projects/details/9760/equipment/12209842)","General production process (0.5-10€)")</f>
        <v>General production process (0.5-10€)</v>
      </c>
      <c r="F343" t="s">
        <v>586</v>
      </c>
    </row>
    <row r="344" spans="1:6" x14ac:dyDescent="0.15">
      <c r="A344">
        <v>8411095</v>
      </c>
      <c r="B344">
        <v>8411041</v>
      </c>
      <c r="C344" t="s">
        <v>10</v>
      </c>
      <c r="D344" t="s">
        <v>8</v>
      </c>
      <c r="E344" s="4" t="str">
        <f>HYPERLINK("https://ibp.a2mac1.com/costing(costing:projects/details/9760/part/8411095)","2nd Lower Arm (Rear) 2")</f>
        <v>2nd Lower Arm (Rear) 2</v>
      </c>
      <c r="F344" t="s">
        <v>566</v>
      </c>
    </row>
    <row r="345" spans="1:6" x14ac:dyDescent="0.15">
      <c r="A345">
        <v>12083022</v>
      </c>
      <c r="B345">
        <v>8411095</v>
      </c>
      <c r="C345" t="s">
        <v>114</v>
      </c>
      <c r="D345" t="s">
        <v>10</v>
      </c>
      <c r="E345" s="4" t="str">
        <f>HYPERLINK("https://ibp.a2mac1.com/costing(costing:projects/details/9760/process/12083022)","Process")</f>
        <v>Process</v>
      </c>
      <c r="F345" t="s">
        <v>588</v>
      </c>
    </row>
    <row r="346" spans="1:6" x14ac:dyDescent="0.15">
      <c r="A346">
        <v>8751929</v>
      </c>
      <c r="B346">
        <v>12083022</v>
      </c>
      <c r="C346" t="s">
        <v>22</v>
      </c>
      <c r="D346" t="s">
        <v>114</v>
      </c>
      <c r="E346" s="4" t="str">
        <f>HYPERLINK("https://ibp.a2mac1.com/costing(costing:projects/details/9760/material/8751929)","Material")</f>
        <v>Material</v>
      </c>
      <c r="F346" t="s">
        <v>589</v>
      </c>
    </row>
    <row r="347" spans="1:6" x14ac:dyDescent="0.15">
      <c r="A347">
        <v>12209843</v>
      </c>
      <c r="B347">
        <v>12083022</v>
      </c>
      <c r="C347" t="s">
        <v>163</v>
      </c>
      <c r="D347" t="s">
        <v>114</v>
      </c>
      <c r="E347" s="4" t="str">
        <f>HYPERLINK("https://ibp.a2mac1.com/costing(costing:projects/details/9760/equipment/12209843)","General production process (0.5-10€)")</f>
        <v>General production process (0.5-10€)</v>
      </c>
      <c r="F347" t="s">
        <v>589</v>
      </c>
    </row>
    <row r="348" spans="1:6" x14ac:dyDescent="0.15">
      <c r="A348">
        <v>8411042</v>
      </c>
      <c r="B348">
        <v>8411021</v>
      </c>
      <c r="C348" t="s">
        <v>8</v>
      </c>
      <c r="D348" t="s">
        <v>8</v>
      </c>
      <c r="E348" s="4" t="str">
        <f>HYPERLINK("https://ibp.a2mac1.com/costing(costing:projects/details/9760/assembly/8411042)","Stabilizer Bar System")</f>
        <v>Stabilizer Bar System</v>
      </c>
      <c r="F348" t="s">
        <v>558</v>
      </c>
    </row>
    <row r="349" spans="1:6" x14ac:dyDescent="0.15">
      <c r="A349">
        <v>8411098</v>
      </c>
      <c r="B349">
        <v>8411042</v>
      </c>
      <c r="C349" t="s">
        <v>8</v>
      </c>
      <c r="D349" t="s">
        <v>8</v>
      </c>
      <c r="E349" s="4" t="str">
        <f>HYPERLINK("https://ibp.a2mac1.com/costing(costing:projects/details/9760/assembly/8411098)","Stabilizer Link")</f>
        <v>Stabilizer Link</v>
      </c>
      <c r="F349" t="s">
        <v>592</v>
      </c>
    </row>
    <row r="350" spans="1:6" x14ac:dyDescent="0.15">
      <c r="A350">
        <v>8411211</v>
      </c>
      <c r="B350">
        <v>8411098</v>
      </c>
      <c r="C350" t="s">
        <v>10</v>
      </c>
      <c r="D350" t="s">
        <v>8</v>
      </c>
      <c r="E350" s="4" t="str">
        <f>HYPERLINK("https://ibp.a2mac1.com/costing(costing:projects/details/9760/part/8411211)","Left")</f>
        <v>Left</v>
      </c>
      <c r="F350" t="s">
        <v>593</v>
      </c>
    </row>
    <row r="351" spans="1:6" x14ac:dyDescent="0.15">
      <c r="A351">
        <v>8411213</v>
      </c>
      <c r="B351">
        <v>8411098</v>
      </c>
      <c r="C351" t="s">
        <v>10</v>
      </c>
      <c r="D351" t="s">
        <v>8</v>
      </c>
      <c r="E351" s="4" t="str">
        <f>HYPERLINK("https://ibp.a2mac1.com/costing(costing:projects/details/9760/part/8411213)","Right")</f>
        <v>Right</v>
      </c>
      <c r="F351" t="s">
        <v>593</v>
      </c>
    </row>
    <row r="352" spans="1:6" x14ac:dyDescent="0.15">
      <c r="A352">
        <v>8411097</v>
      </c>
      <c r="B352">
        <v>8411042</v>
      </c>
      <c r="C352" t="s">
        <v>10</v>
      </c>
      <c r="D352" t="s">
        <v>8</v>
      </c>
      <c r="E352" s="4" t="str">
        <f>HYPERLINK("https://ibp.a2mac1.com/costing(costing:projects/details/9760/part/8411097)","Stabilizer Bar")</f>
        <v>Stabilizer Bar</v>
      </c>
      <c r="F352" t="s">
        <v>592</v>
      </c>
    </row>
    <row r="353" spans="1:6" x14ac:dyDescent="0.15">
      <c r="A353">
        <v>12083023</v>
      </c>
      <c r="B353">
        <v>8411097</v>
      </c>
      <c r="C353" t="s">
        <v>114</v>
      </c>
      <c r="D353" t="s">
        <v>10</v>
      </c>
      <c r="E353" s="4" t="str">
        <f>HYPERLINK("https://ibp.a2mac1.com/costing(costing:projects/details/9760/process/12083023)","Process")</f>
        <v>Process</v>
      </c>
      <c r="F353" t="s">
        <v>598</v>
      </c>
    </row>
    <row r="354" spans="1:6" x14ac:dyDescent="0.15">
      <c r="A354">
        <v>8751930</v>
      </c>
      <c r="B354">
        <v>12083023</v>
      </c>
      <c r="C354" t="s">
        <v>22</v>
      </c>
      <c r="D354" t="s">
        <v>114</v>
      </c>
      <c r="E354" s="4" t="str">
        <f>HYPERLINK("https://ibp.a2mac1.com/costing(costing:projects/details/9760/material/8751930)","Material")</f>
        <v>Material</v>
      </c>
      <c r="F354" t="s">
        <v>600</v>
      </c>
    </row>
    <row r="355" spans="1:6" x14ac:dyDescent="0.15">
      <c r="A355">
        <v>12209844</v>
      </c>
      <c r="B355">
        <v>12083023</v>
      </c>
      <c r="C355" t="s">
        <v>163</v>
      </c>
      <c r="D355" t="s">
        <v>114</v>
      </c>
      <c r="E355" s="4" t="str">
        <f>HYPERLINK("https://ibp.a2mac1.com/costing(costing:projects/details/9760/equipment/12209844)","General production process (0.5-10€)")</f>
        <v>General production process (0.5-10€)</v>
      </c>
      <c r="F355" t="s">
        <v>600</v>
      </c>
    </row>
    <row r="356" spans="1:6" x14ac:dyDescent="0.15">
      <c r="A356">
        <v>8411043</v>
      </c>
      <c r="B356">
        <v>8411021</v>
      </c>
      <c r="C356" t="s">
        <v>8</v>
      </c>
      <c r="D356" t="s">
        <v>8</v>
      </c>
      <c r="E356" s="4" t="str">
        <f>HYPERLINK("https://ibp.a2mac1.com/costing(costing:projects/details/9760/assembly/8411043)","Steering Knuckle")</f>
        <v>Steering Knuckle</v>
      </c>
      <c r="F356" t="s">
        <v>558</v>
      </c>
    </row>
    <row r="357" spans="1:6" x14ac:dyDescent="0.15">
      <c r="A357">
        <v>8411101</v>
      </c>
      <c r="B357">
        <v>8411043</v>
      </c>
      <c r="C357" t="s">
        <v>8</v>
      </c>
      <c r="D357" t="s">
        <v>8</v>
      </c>
      <c r="E357" s="4" t="str">
        <f>HYPERLINK("https://ibp.a2mac1.com/costing(costing:projects/details/9760/assembly/8411101)","Steering Knuckle")</f>
        <v>Steering Knuckle</v>
      </c>
      <c r="F357" t="s">
        <v>605</v>
      </c>
    </row>
    <row r="358" spans="1:6" x14ac:dyDescent="0.15">
      <c r="A358">
        <v>8411215</v>
      </c>
      <c r="B358">
        <v>8411101</v>
      </c>
      <c r="C358" t="s">
        <v>10</v>
      </c>
      <c r="D358" t="s">
        <v>8</v>
      </c>
      <c r="E358" s="4" t="str">
        <f>HYPERLINK("https://ibp.a2mac1.com/costing(costing:projects/details/9760/part/8411215)","Left Steering Knuckle")</f>
        <v>Left Steering Knuckle</v>
      </c>
      <c r="F358" t="s">
        <v>606</v>
      </c>
    </row>
    <row r="359" spans="1:6" x14ac:dyDescent="0.15">
      <c r="A359">
        <v>12083046</v>
      </c>
      <c r="B359">
        <v>8411215</v>
      </c>
      <c r="C359" t="s">
        <v>114</v>
      </c>
      <c r="D359" t="s">
        <v>10</v>
      </c>
      <c r="E359" s="4" t="str">
        <f>HYPERLINK("https://ibp.a2mac1.com/costing(costing:projects/details/9760/process/12083046)","Process")</f>
        <v>Process</v>
      </c>
      <c r="F359" t="s">
        <v>607</v>
      </c>
    </row>
    <row r="360" spans="1:6" x14ac:dyDescent="0.15">
      <c r="A360">
        <v>8751942</v>
      </c>
      <c r="B360">
        <v>12083046</v>
      </c>
      <c r="C360" t="s">
        <v>22</v>
      </c>
      <c r="D360" t="s">
        <v>114</v>
      </c>
      <c r="E360" s="4" t="str">
        <f>HYPERLINK("https://ibp.a2mac1.com/costing(costing:projects/details/9760/material/8751942)","Material")</f>
        <v>Material</v>
      </c>
      <c r="F360" t="s">
        <v>608</v>
      </c>
    </row>
    <row r="361" spans="1:6" x14ac:dyDescent="0.15">
      <c r="A361">
        <v>12209909</v>
      </c>
      <c r="B361">
        <v>12083046</v>
      </c>
      <c r="C361" t="s">
        <v>163</v>
      </c>
      <c r="D361" t="s">
        <v>114</v>
      </c>
      <c r="E361" s="4" t="str">
        <f>HYPERLINK("https://ibp.a2mac1.com/costing(costing:projects/details/9760/equipment/12209909)","General production process (&gt;10€)")</f>
        <v>General production process (&gt;10€)</v>
      </c>
      <c r="F361" t="s">
        <v>608</v>
      </c>
    </row>
    <row r="362" spans="1:6" x14ac:dyDescent="0.15">
      <c r="A362">
        <v>8411217</v>
      </c>
      <c r="B362">
        <v>8411101</v>
      </c>
      <c r="C362" t="s">
        <v>10</v>
      </c>
      <c r="D362" t="s">
        <v>8</v>
      </c>
      <c r="E362" s="4" t="str">
        <f>HYPERLINK("https://ibp.a2mac1.com/costing(costing:projects/details/9760/part/8411217)","Right Steering Knuckle")</f>
        <v>Right Steering Knuckle</v>
      </c>
      <c r="F362" t="s">
        <v>606</v>
      </c>
    </row>
    <row r="363" spans="1:6" x14ac:dyDescent="0.15">
      <c r="A363">
        <v>12083047</v>
      </c>
      <c r="B363">
        <v>8411217</v>
      </c>
      <c r="C363" t="s">
        <v>114</v>
      </c>
      <c r="D363" t="s">
        <v>10</v>
      </c>
      <c r="E363" s="4" t="str">
        <f>HYPERLINK("https://ibp.a2mac1.com/costing(costing:projects/details/9760/process/12083047)","Process [2]")</f>
        <v>Process [2]</v>
      </c>
      <c r="F363" t="s">
        <v>612</v>
      </c>
    </row>
    <row r="364" spans="1:6" x14ac:dyDescent="0.15">
      <c r="A364">
        <v>8751943</v>
      </c>
      <c r="B364">
        <v>12083047</v>
      </c>
      <c r="C364" t="s">
        <v>22</v>
      </c>
      <c r="D364" t="s">
        <v>114</v>
      </c>
      <c r="E364" s="4" t="str">
        <f>HYPERLINK("https://ibp.a2mac1.com/costing(costing:projects/details/9760/material/8751943)","Material")</f>
        <v>Material</v>
      </c>
      <c r="F364" t="s">
        <v>613</v>
      </c>
    </row>
    <row r="365" spans="1:6" x14ac:dyDescent="0.15">
      <c r="A365">
        <v>12209910</v>
      </c>
      <c r="B365">
        <v>12083047</v>
      </c>
      <c r="C365" t="s">
        <v>163</v>
      </c>
      <c r="D365" t="s">
        <v>114</v>
      </c>
      <c r="E365" s="4" t="str">
        <f>HYPERLINK("https://ibp.a2mac1.com/costing(costing:projects/details/9760/equipment/12209910)","General production process (&gt;10€)")</f>
        <v>General production process (&gt;10€)</v>
      </c>
      <c r="F365" t="s">
        <v>613</v>
      </c>
    </row>
    <row r="366" spans="1:6" x14ac:dyDescent="0.15">
      <c r="A366">
        <v>8411099</v>
      </c>
      <c r="B366">
        <v>8411043</v>
      </c>
      <c r="C366" t="s">
        <v>10</v>
      </c>
      <c r="D366" t="s">
        <v>8</v>
      </c>
      <c r="E366" s="4" t="str">
        <f>HYPERLINK("https://ibp.a2mac1.com/costing(costing:projects/details/9760/part/8411099)","Hub and Bearing")</f>
        <v>Hub and Bearing</v>
      </c>
      <c r="F366" t="s">
        <v>605</v>
      </c>
    </row>
    <row r="367" spans="1:6" x14ac:dyDescent="0.15">
      <c r="A367">
        <v>12083024</v>
      </c>
      <c r="B367">
        <v>8411099</v>
      </c>
      <c r="C367" t="s">
        <v>114</v>
      </c>
      <c r="D367" t="s">
        <v>10</v>
      </c>
      <c r="E367" s="4" t="str">
        <f>HYPERLINK("https://ibp.a2mac1.com/costing(costing:projects/details/9760/process/12083024)","Process")</f>
        <v>Process</v>
      </c>
      <c r="F367" t="s">
        <v>617</v>
      </c>
    </row>
    <row r="368" spans="1:6" x14ac:dyDescent="0.15">
      <c r="A368">
        <v>8751931</v>
      </c>
      <c r="B368">
        <v>12083024</v>
      </c>
      <c r="C368" t="s">
        <v>22</v>
      </c>
      <c r="D368" t="s">
        <v>114</v>
      </c>
      <c r="E368" s="4" t="str">
        <f>HYPERLINK("https://ibp.a2mac1.com/costing(costing:projects/details/9760/material/8751931)","Material")</f>
        <v>Material</v>
      </c>
      <c r="F368" t="s">
        <v>618</v>
      </c>
    </row>
    <row r="369" spans="1:6" x14ac:dyDescent="0.15">
      <c r="A369">
        <v>12209845</v>
      </c>
      <c r="B369">
        <v>12083024</v>
      </c>
      <c r="C369" t="s">
        <v>163</v>
      </c>
      <c r="D369" t="s">
        <v>114</v>
      </c>
      <c r="E369" s="4" t="str">
        <f>HYPERLINK("https://ibp.a2mac1.com/costing(costing:projects/details/9760/equipment/12209845)","General production process (0.5-10€)")</f>
        <v>General production process (0.5-10€)</v>
      </c>
      <c r="F369" t="s">
        <v>618</v>
      </c>
    </row>
    <row r="370" spans="1:6" x14ac:dyDescent="0.15">
      <c r="A370">
        <v>8411100</v>
      </c>
      <c r="B370">
        <v>8411043</v>
      </c>
      <c r="C370" t="s">
        <v>10</v>
      </c>
      <c r="D370" t="s">
        <v>8</v>
      </c>
      <c r="E370" s="4" t="str">
        <f>HYPERLINK("https://ibp.a2mac1.com/costing(costing:projects/details/9760/part/8411100)","Seal")</f>
        <v>Seal</v>
      </c>
      <c r="F370" t="s">
        <v>605</v>
      </c>
    </row>
    <row r="371" spans="1:6" x14ac:dyDescent="0.15">
      <c r="A371">
        <v>8411044</v>
      </c>
      <c r="B371">
        <v>8411021</v>
      </c>
      <c r="C371" t="s">
        <v>8</v>
      </c>
      <c r="D371" t="s">
        <v>8</v>
      </c>
      <c r="E371" s="4" t="str">
        <f>HYPERLINK("https://ibp.a2mac1.com/costing(costing:projects/details/9760/assembly/8411044)","K-Frame")</f>
        <v>K-Frame</v>
      </c>
      <c r="F371" t="s">
        <v>558</v>
      </c>
    </row>
    <row r="372" spans="1:6" x14ac:dyDescent="0.15">
      <c r="A372">
        <v>8411102</v>
      </c>
      <c r="B372">
        <v>8411044</v>
      </c>
      <c r="C372" t="s">
        <v>10</v>
      </c>
      <c r="D372" t="s">
        <v>8</v>
      </c>
      <c r="E372" s="4" t="str">
        <f>HYPERLINK("https://ibp.a2mac1.com/costing(costing:projects/details/9760/part/8411102)","K-Frame Parts")</f>
        <v>K-Frame Parts</v>
      </c>
      <c r="F372" t="s">
        <v>625</v>
      </c>
    </row>
    <row r="373" spans="1:6" x14ac:dyDescent="0.15">
      <c r="A373">
        <v>12083025</v>
      </c>
      <c r="B373">
        <v>8411102</v>
      </c>
      <c r="C373" t="s">
        <v>114</v>
      </c>
      <c r="D373" t="s">
        <v>10</v>
      </c>
      <c r="E373" s="4" t="str">
        <f>HYPERLINK("https://ibp.a2mac1.com/costing(costing:projects/details/9760/process/12083025)","Process")</f>
        <v>Process</v>
      </c>
      <c r="F373" t="s">
        <v>626</v>
      </c>
    </row>
    <row r="374" spans="1:6" x14ac:dyDescent="0.15">
      <c r="A374">
        <v>8751932</v>
      </c>
      <c r="B374">
        <v>12083025</v>
      </c>
      <c r="C374" t="s">
        <v>22</v>
      </c>
      <c r="D374" t="s">
        <v>114</v>
      </c>
      <c r="E374" s="4" t="str">
        <f>HYPERLINK("https://ibp.a2mac1.com/costing(costing:projects/details/9760/material/8751932)","Material")</f>
        <v>Material</v>
      </c>
      <c r="F374" t="s">
        <v>627</v>
      </c>
    </row>
    <row r="375" spans="1:6" x14ac:dyDescent="0.15">
      <c r="A375">
        <v>12209846</v>
      </c>
      <c r="B375">
        <v>12083025</v>
      </c>
      <c r="C375" t="s">
        <v>163</v>
      </c>
      <c r="D375" t="s">
        <v>114</v>
      </c>
      <c r="E375" s="4" t="str">
        <f>HYPERLINK("https://ibp.a2mac1.com/costing(costing:projects/details/9760/equipment/12209846)","General production process (0.5-10€)")</f>
        <v>General production process (0.5-10€)</v>
      </c>
      <c r="F375" t="s">
        <v>627</v>
      </c>
    </row>
    <row r="376" spans="1:6" x14ac:dyDescent="0.15">
      <c r="A376">
        <v>12083009</v>
      </c>
      <c r="B376">
        <v>8411044</v>
      </c>
      <c r="C376" t="s">
        <v>114</v>
      </c>
      <c r="D376" t="s">
        <v>8</v>
      </c>
      <c r="E376" s="4" t="str">
        <f>HYPERLINK("https://ibp.a2mac1.com/costing(costing:projects/details/9760/process/12083009)","Process")</f>
        <v>Process</v>
      </c>
      <c r="F376" t="s">
        <v>625</v>
      </c>
    </row>
    <row r="377" spans="1:6" x14ac:dyDescent="0.15">
      <c r="A377">
        <v>12209792</v>
      </c>
      <c r="B377">
        <v>12083009</v>
      </c>
      <c r="C377" t="s">
        <v>163</v>
      </c>
      <c r="D377" t="s">
        <v>114</v>
      </c>
      <c r="E377" s="4" t="str">
        <f>HYPERLINK("https://ibp.a2mac1.com/costing(costing:projects/details/9760/equipment/12209792)","General production process (&gt;10€)")</f>
        <v>General production process (&gt;10€)</v>
      </c>
      <c r="F377" t="s">
        <v>629</v>
      </c>
    </row>
    <row r="378" spans="1:6" x14ac:dyDescent="0.15">
      <c r="A378">
        <v>8411022</v>
      </c>
      <c r="B378">
        <v>8411015</v>
      </c>
      <c r="C378" t="s">
        <v>8</v>
      </c>
      <c r="D378" t="s">
        <v>8</v>
      </c>
      <c r="E378" s="4" t="str">
        <f>HYPERLINK("https://ibp.a2mac1.com/costing(costing:projects/details/9760/assembly/8411022)","Rear Axle")</f>
        <v>Rear Axle</v>
      </c>
      <c r="F378" t="s">
        <v>557</v>
      </c>
    </row>
    <row r="379" spans="1:6" x14ac:dyDescent="0.15">
      <c r="A379">
        <v>8411049</v>
      </c>
      <c r="B379">
        <v>8411022</v>
      </c>
      <c r="C379" t="s">
        <v>8</v>
      </c>
      <c r="D379" t="s">
        <v>8</v>
      </c>
      <c r="E379" s="4" t="str">
        <f>HYPERLINK("https://ibp.a2mac1.com/costing(costing:projects/details/9760/assembly/8411049)","K-Frame Fasteners Reinforcements")</f>
        <v>K-Frame Fasteners Reinforcements</v>
      </c>
      <c r="F379" t="s">
        <v>633</v>
      </c>
    </row>
    <row r="380" spans="1:6" x14ac:dyDescent="0.15">
      <c r="A380">
        <v>8411103</v>
      </c>
      <c r="B380">
        <v>8411049</v>
      </c>
      <c r="C380" t="s">
        <v>10</v>
      </c>
      <c r="D380" t="s">
        <v>8</v>
      </c>
      <c r="E380" s="4" t="str">
        <f>HYPERLINK("https://ibp.a2mac1.com/costing(costing:projects/details/9760/part/8411103)","Front Reinforcement Left and Right")</f>
        <v>Front Reinforcement Left and Right</v>
      </c>
      <c r="F380" t="s">
        <v>634</v>
      </c>
    </row>
    <row r="381" spans="1:6" x14ac:dyDescent="0.15">
      <c r="A381">
        <v>8411050</v>
      </c>
      <c r="B381">
        <v>8411022</v>
      </c>
      <c r="C381" t="s">
        <v>8</v>
      </c>
      <c r="D381" t="s">
        <v>8</v>
      </c>
      <c r="E381" s="4" t="str">
        <f>HYPERLINK("https://ibp.a2mac1.com/costing(costing:projects/details/9760/assembly/8411050)","Arm Suspension System")</f>
        <v>Arm Suspension System</v>
      </c>
      <c r="F381" t="s">
        <v>633</v>
      </c>
    </row>
    <row r="382" spans="1:6" x14ac:dyDescent="0.15">
      <c r="A382">
        <v>8411106</v>
      </c>
      <c r="B382">
        <v>8411050</v>
      </c>
      <c r="C382" t="s">
        <v>8</v>
      </c>
      <c r="D382" t="s">
        <v>8</v>
      </c>
      <c r="E382" s="4" t="str">
        <f>HYPERLINK("https://ibp.a2mac1.com/costing(costing:projects/details/9760/assembly/8411106)","Upper Transversal Arm")</f>
        <v>Upper Transversal Arm</v>
      </c>
      <c r="F382" t="s">
        <v>638</v>
      </c>
    </row>
    <row r="383" spans="1:6" x14ac:dyDescent="0.15">
      <c r="A383">
        <v>8411219</v>
      </c>
      <c r="B383">
        <v>8411106</v>
      </c>
      <c r="C383" t="s">
        <v>10</v>
      </c>
      <c r="D383" t="s">
        <v>8</v>
      </c>
      <c r="E383" s="4" t="str">
        <f>HYPERLINK("https://ibp.a2mac1.com/costing(costing:projects/details/9760/part/8411219)","Left Upper Transversal Arm")</f>
        <v>Left Upper Transversal Arm</v>
      </c>
      <c r="F383" t="s">
        <v>639</v>
      </c>
    </row>
    <row r="384" spans="1:6" x14ac:dyDescent="0.15">
      <c r="A384">
        <v>8411221</v>
      </c>
      <c r="B384">
        <v>8411106</v>
      </c>
      <c r="C384" t="s">
        <v>10</v>
      </c>
      <c r="D384" t="s">
        <v>8</v>
      </c>
      <c r="E384" s="4" t="str">
        <f>HYPERLINK("https://ibp.a2mac1.com/costing(costing:projects/details/9760/part/8411221)","Right Upper Transversal Arm")</f>
        <v>Right Upper Transversal Arm</v>
      </c>
      <c r="F384" t="s">
        <v>639</v>
      </c>
    </row>
    <row r="385" spans="1:6" x14ac:dyDescent="0.15">
      <c r="A385">
        <v>8411107</v>
      </c>
      <c r="B385">
        <v>8411050</v>
      </c>
      <c r="C385" t="s">
        <v>8</v>
      </c>
      <c r="D385" t="s">
        <v>8</v>
      </c>
      <c r="E385" s="4" t="str">
        <f>HYPERLINK("https://ibp.a2mac1.com/costing(costing:projects/details/9760/assembly/8411107)","Upper Transversal Arm Secondary")</f>
        <v>Upper Transversal Arm Secondary</v>
      </c>
      <c r="F385" t="s">
        <v>638</v>
      </c>
    </row>
    <row r="386" spans="1:6" x14ac:dyDescent="0.15">
      <c r="A386">
        <v>8411223</v>
      </c>
      <c r="B386">
        <v>8411107</v>
      </c>
      <c r="C386" t="s">
        <v>10</v>
      </c>
      <c r="D386" t="s">
        <v>8</v>
      </c>
      <c r="E386" s="4" t="str">
        <f>HYPERLINK("https://ibp.a2mac1.com/costing(costing:projects/details/9760/part/8411223)","Upper Left Transversal Arm Secondary")</f>
        <v>Upper Left Transversal Arm Secondary</v>
      </c>
      <c r="F386" t="s">
        <v>644</v>
      </c>
    </row>
    <row r="387" spans="1:6" x14ac:dyDescent="0.15">
      <c r="A387">
        <v>8411225</v>
      </c>
      <c r="B387">
        <v>8411107</v>
      </c>
      <c r="C387" t="s">
        <v>10</v>
      </c>
      <c r="D387" t="s">
        <v>8</v>
      </c>
      <c r="E387" s="4" t="str">
        <f>HYPERLINK("https://ibp.a2mac1.com/costing(costing:projects/details/9760/part/8411225)","Upper Right Transversal Arm Secondary")</f>
        <v>Upper Right Transversal Arm Secondary</v>
      </c>
      <c r="F387" t="s">
        <v>644</v>
      </c>
    </row>
    <row r="388" spans="1:6" x14ac:dyDescent="0.15">
      <c r="A388">
        <v>8411126</v>
      </c>
      <c r="B388">
        <v>8411050</v>
      </c>
      <c r="C388" t="s">
        <v>8</v>
      </c>
      <c r="D388" t="s">
        <v>8</v>
      </c>
      <c r="E388" s="4" t="str">
        <f>HYPERLINK("https://ibp.a2mac1.com/costing(costing:projects/details/9760/assembly/8411126)","Lower Transversal Arm")</f>
        <v>Lower Transversal Arm</v>
      </c>
      <c r="F388" t="s">
        <v>638</v>
      </c>
    </row>
    <row r="389" spans="1:6" x14ac:dyDescent="0.15">
      <c r="A389">
        <v>8411227</v>
      </c>
      <c r="B389">
        <v>8411126</v>
      </c>
      <c r="C389" t="s">
        <v>10</v>
      </c>
      <c r="D389" t="s">
        <v>8</v>
      </c>
      <c r="E389" s="4" t="str">
        <f>HYPERLINK("https://ibp.a2mac1.com/costing(costing:projects/details/9760/part/8411227)","Lower Left Transversal Arm")</f>
        <v>Lower Left Transversal Arm</v>
      </c>
      <c r="F389" t="s">
        <v>649</v>
      </c>
    </row>
    <row r="390" spans="1:6" x14ac:dyDescent="0.15">
      <c r="A390">
        <v>8411229</v>
      </c>
      <c r="B390">
        <v>8411126</v>
      </c>
      <c r="C390" t="s">
        <v>10</v>
      </c>
      <c r="D390" t="s">
        <v>8</v>
      </c>
      <c r="E390" s="4" t="str">
        <f>HYPERLINK("https://ibp.a2mac1.com/costing(costing:projects/details/9760/part/8411229)","Right Lower Transversal Arm")</f>
        <v>Right Lower Transversal Arm</v>
      </c>
      <c r="F390" t="s">
        <v>649</v>
      </c>
    </row>
    <row r="391" spans="1:6" x14ac:dyDescent="0.15">
      <c r="A391">
        <v>8411127</v>
      </c>
      <c r="B391">
        <v>8411050</v>
      </c>
      <c r="C391" t="s">
        <v>8</v>
      </c>
      <c r="D391" t="s">
        <v>8</v>
      </c>
      <c r="E391" s="4" t="str">
        <f>HYPERLINK("https://ibp.a2mac1.com/costing(costing:projects/details/9760/assembly/8411127)","Lower Transversal Arm Secondary")</f>
        <v>Lower Transversal Arm Secondary</v>
      </c>
      <c r="F391" t="s">
        <v>638</v>
      </c>
    </row>
    <row r="392" spans="1:6" x14ac:dyDescent="0.15">
      <c r="A392">
        <v>8411231</v>
      </c>
      <c r="B392">
        <v>8411127</v>
      </c>
      <c r="C392" t="s">
        <v>10</v>
      </c>
      <c r="D392" t="s">
        <v>8</v>
      </c>
      <c r="E392" s="4" t="str">
        <f>HYPERLINK("https://ibp.a2mac1.com/costing(costing:projects/details/9760/part/8411231)","Lower Left Transversal Arm Secondary")</f>
        <v>Lower Left Transversal Arm Secondary</v>
      </c>
      <c r="F392" t="s">
        <v>654</v>
      </c>
    </row>
    <row r="393" spans="1:6" x14ac:dyDescent="0.15">
      <c r="A393">
        <v>12083048</v>
      </c>
      <c r="B393">
        <v>8411231</v>
      </c>
      <c r="C393" t="s">
        <v>114</v>
      </c>
      <c r="D393" t="s">
        <v>10</v>
      </c>
      <c r="E393" s="4" t="str">
        <f>HYPERLINK("https://ibp.a2mac1.com/costing(costing:projects/details/9760/process/12083048)","Process")</f>
        <v>Process</v>
      </c>
      <c r="F393" t="s">
        <v>655</v>
      </c>
    </row>
    <row r="394" spans="1:6" x14ac:dyDescent="0.15">
      <c r="A394">
        <v>8751944</v>
      </c>
      <c r="B394">
        <v>12083048</v>
      </c>
      <c r="C394" t="s">
        <v>22</v>
      </c>
      <c r="D394" t="s">
        <v>114</v>
      </c>
      <c r="E394" s="4" t="str">
        <f>HYPERLINK("https://ibp.a2mac1.com/costing(costing:projects/details/9760/material/8751944)","Material")</f>
        <v>Material</v>
      </c>
      <c r="F394" t="s">
        <v>656</v>
      </c>
    </row>
    <row r="395" spans="1:6" x14ac:dyDescent="0.15">
      <c r="A395">
        <v>12209911</v>
      </c>
      <c r="B395">
        <v>12083048</v>
      </c>
      <c r="C395" t="s">
        <v>163</v>
      </c>
      <c r="D395" t="s">
        <v>114</v>
      </c>
      <c r="E395" s="4" t="str">
        <f>HYPERLINK("https://ibp.a2mac1.com/costing(costing:projects/details/9760/equipment/12209911)","General production process (0.5-10€)")</f>
        <v>General production process (0.5-10€)</v>
      </c>
      <c r="F395" t="s">
        <v>656</v>
      </c>
    </row>
    <row r="396" spans="1:6" x14ac:dyDescent="0.15">
      <c r="A396">
        <v>8411233</v>
      </c>
      <c r="B396">
        <v>8411127</v>
      </c>
      <c r="C396" t="s">
        <v>10</v>
      </c>
      <c r="D396" t="s">
        <v>8</v>
      </c>
      <c r="E396" s="4" t="str">
        <f>HYPERLINK("https://ibp.a2mac1.com/costing(costing:projects/details/9760/part/8411233)","Lower Right Transversal Arm Secondary")</f>
        <v>Lower Right Transversal Arm Secondary</v>
      </c>
      <c r="F396" t="s">
        <v>654</v>
      </c>
    </row>
    <row r="397" spans="1:6" x14ac:dyDescent="0.15">
      <c r="A397">
        <v>12083049</v>
      </c>
      <c r="B397">
        <v>8411233</v>
      </c>
      <c r="C397" t="s">
        <v>114</v>
      </c>
      <c r="D397" t="s">
        <v>10</v>
      </c>
      <c r="E397" s="4" t="str">
        <f>HYPERLINK("https://ibp.a2mac1.com/costing(costing:projects/details/9760/process/12083049)","Process")</f>
        <v>Process</v>
      </c>
      <c r="F397" t="s">
        <v>659</v>
      </c>
    </row>
    <row r="398" spans="1:6" x14ac:dyDescent="0.15">
      <c r="A398">
        <v>8751945</v>
      </c>
      <c r="B398">
        <v>12083049</v>
      </c>
      <c r="C398" t="s">
        <v>22</v>
      </c>
      <c r="D398" t="s">
        <v>114</v>
      </c>
      <c r="E398" s="4" t="str">
        <f>HYPERLINK("https://ibp.a2mac1.com/costing(costing:projects/details/9760/material/8751945)","Material")</f>
        <v>Material</v>
      </c>
      <c r="F398" t="s">
        <v>660</v>
      </c>
    </row>
    <row r="399" spans="1:6" x14ac:dyDescent="0.15">
      <c r="A399">
        <v>12209912</v>
      </c>
      <c r="B399">
        <v>12083049</v>
      </c>
      <c r="C399" t="s">
        <v>163</v>
      </c>
      <c r="D399" t="s">
        <v>114</v>
      </c>
      <c r="E399" s="4" t="str">
        <f>HYPERLINK("https://ibp.a2mac1.com/costing(costing:projects/details/9760/equipment/12209912)","General production process (0.5-10€)")</f>
        <v>General production process (0.5-10€)</v>
      </c>
      <c r="F399" t="s">
        <v>660</v>
      </c>
    </row>
    <row r="400" spans="1:6" x14ac:dyDescent="0.15">
      <c r="A400">
        <v>8411104</v>
      </c>
      <c r="B400">
        <v>8411050</v>
      </c>
      <c r="C400" t="s">
        <v>10</v>
      </c>
      <c r="D400" t="s">
        <v>8</v>
      </c>
      <c r="E400" s="4" t="str">
        <f>HYPERLINK("https://ibp.a2mac1.com/costing(costing:projects/details/9760/part/8411104)","Rear Control Arm")</f>
        <v>Rear Control Arm</v>
      </c>
      <c r="F400" t="s">
        <v>638</v>
      </c>
    </row>
    <row r="401" spans="1:6" x14ac:dyDescent="0.15">
      <c r="A401">
        <v>8411105</v>
      </c>
      <c r="B401">
        <v>8411050</v>
      </c>
      <c r="C401" t="s">
        <v>10</v>
      </c>
      <c r="D401" t="s">
        <v>8</v>
      </c>
      <c r="E401" s="4" t="str">
        <f>HYPERLINK("https://ibp.a2mac1.com/costing(costing:projects/details/9760/part/8411105)","Rear Control Arm Right")</f>
        <v>Rear Control Arm Right</v>
      </c>
      <c r="F401" t="s">
        <v>638</v>
      </c>
    </row>
    <row r="402" spans="1:6" x14ac:dyDescent="0.15">
      <c r="A402">
        <v>8411051</v>
      </c>
      <c r="B402">
        <v>8411022</v>
      </c>
      <c r="C402" t="s">
        <v>8</v>
      </c>
      <c r="D402" t="s">
        <v>8</v>
      </c>
      <c r="E402" s="4" t="str">
        <f>HYPERLINK("https://ibp.a2mac1.com/costing(costing:projects/details/9760/assembly/8411051)","Stabilizer Bar System")</f>
        <v>Stabilizer Bar System</v>
      </c>
      <c r="F402" t="s">
        <v>633</v>
      </c>
    </row>
    <row r="403" spans="1:6" x14ac:dyDescent="0.15">
      <c r="A403">
        <v>8411130</v>
      </c>
      <c r="B403">
        <v>8411051</v>
      </c>
      <c r="C403" t="s">
        <v>8</v>
      </c>
      <c r="D403" t="s">
        <v>8</v>
      </c>
      <c r="E403" s="4" t="str">
        <f>HYPERLINK("https://ibp.a2mac1.com/costing(costing:projects/details/9760/assembly/8411130)","Stabilizer Link")</f>
        <v>Stabilizer Link</v>
      </c>
      <c r="F403" t="s">
        <v>666</v>
      </c>
    </row>
    <row r="404" spans="1:6" x14ac:dyDescent="0.15">
      <c r="A404">
        <v>8411235</v>
      </c>
      <c r="B404">
        <v>8411130</v>
      </c>
      <c r="C404" t="s">
        <v>10</v>
      </c>
      <c r="D404" t="s">
        <v>8</v>
      </c>
      <c r="E404" s="4" t="str">
        <f>HYPERLINK("https://ibp.a2mac1.com/costing(costing:projects/details/9760/part/8411235)","Stabilizer Link")</f>
        <v>Stabilizer Link</v>
      </c>
      <c r="F404" t="s">
        <v>667</v>
      </c>
    </row>
    <row r="405" spans="1:6" x14ac:dyDescent="0.15">
      <c r="A405">
        <v>8411237</v>
      </c>
      <c r="B405">
        <v>8411130</v>
      </c>
      <c r="C405" t="s">
        <v>10</v>
      </c>
      <c r="D405" t="s">
        <v>8</v>
      </c>
      <c r="E405" s="4" t="str">
        <f>HYPERLINK("https://ibp.a2mac1.com/costing(costing:projects/details/9760/part/8411237)","Stabilizer Link 2")</f>
        <v>Stabilizer Link 2</v>
      </c>
      <c r="F405" t="s">
        <v>667</v>
      </c>
    </row>
    <row r="406" spans="1:6" x14ac:dyDescent="0.15">
      <c r="A406">
        <v>8411128</v>
      </c>
      <c r="B406">
        <v>8411051</v>
      </c>
      <c r="C406" t="s">
        <v>10</v>
      </c>
      <c r="D406" t="s">
        <v>8</v>
      </c>
      <c r="E406" s="4" t="str">
        <f>HYPERLINK("https://ibp.a2mac1.com/costing(costing:projects/details/9760/part/8411128)","Stabilizer Bar")</f>
        <v>Stabilizer Bar</v>
      </c>
      <c r="F406" t="s">
        <v>666</v>
      </c>
    </row>
    <row r="407" spans="1:6" x14ac:dyDescent="0.15">
      <c r="A407">
        <v>12083026</v>
      </c>
      <c r="B407">
        <v>8411128</v>
      </c>
      <c r="C407" t="s">
        <v>114</v>
      </c>
      <c r="D407" t="s">
        <v>10</v>
      </c>
      <c r="E407" s="4" t="str">
        <f>HYPERLINK("https://ibp.a2mac1.com/costing(costing:projects/details/9760/process/12083026)","Process")</f>
        <v>Process</v>
      </c>
      <c r="F407" t="s">
        <v>671</v>
      </c>
    </row>
    <row r="408" spans="1:6" x14ac:dyDescent="0.15">
      <c r="A408">
        <v>8751936</v>
      </c>
      <c r="B408">
        <v>12083026</v>
      </c>
      <c r="C408" t="s">
        <v>22</v>
      </c>
      <c r="D408" t="s">
        <v>114</v>
      </c>
      <c r="E408" s="4" t="str">
        <f>HYPERLINK("https://ibp.a2mac1.com/costing(costing:projects/details/9760/material/8751936)","Material")</f>
        <v>Material</v>
      </c>
      <c r="F408" t="s">
        <v>673</v>
      </c>
    </row>
    <row r="409" spans="1:6" x14ac:dyDescent="0.15">
      <c r="A409">
        <v>12209847</v>
      </c>
      <c r="B409">
        <v>12083026</v>
      </c>
      <c r="C409" t="s">
        <v>163</v>
      </c>
      <c r="D409" t="s">
        <v>114</v>
      </c>
      <c r="E409" s="4" t="str">
        <f>HYPERLINK("https://ibp.a2mac1.com/costing(costing:projects/details/9760/equipment/12209847)","General production process (0.5-10€)")</f>
        <v>General production process (0.5-10€)</v>
      </c>
      <c r="F409" t="s">
        <v>673</v>
      </c>
    </row>
    <row r="410" spans="1:6" x14ac:dyDescent="0.15">
      <c r="A410">
        <v>8411129</v>
      </c>
      <c r="B410">
        <v>8411051</v>
      </c>
      <c r="C410" t="s">
        <v>10</v>
      </c>
      <c r="D410" t="s">
        <v>8</v>
      </c>
      <c r="E410" s="4" t="str">
        <f>HYPERLINK("https://ibp.a2mac1.com/costing(costing:projects/details/9760/part/8411129)","Support")</f>
        <v>Support</v>
      </c>
      <c r="F410" t="s">
        <v>666</v>
      </c>
    </row>
    <row r="411" spans="1:6" x14ac:dyDescent="0.15">
      <c r="A411">
        <v>8411052</v>
      </c>
      <c r="B411">
        <v>8411022</v>
      </c>
      <c r="C411" t="s">
        <v>8</v>
      </c>
      <c r="D411" t="s">
        <v>8</v>
      </c>
      <c r="E411" s="4" t="str">
        <f>HYPERLINK("https://ibp.a2mac1.com/costing(costing:projects/details/9760/assembly/8411052)","Rear Axle")</f>
        <v>Rear Axle</v>
      </c>
      <c r="F411" t="s">
        <v>633</v>
      </c>
    </row>
    <row r="412" spans="1:6" x14ac:dyDescent="0.15">
      <c r="A412">
        <v>8411131</v>
      </c>
      <c r="B412">
        <v>8411052</v>
      </c>
      <c r="C412" t="s">
        <v>10</v>
      </c>
      <c r="D412" t="s">
        <v>8</v>
      </c>
      <c r="E412" s="4" t="str">
        <f>HYPERLINK("https://ibp.a2mac1.com/costing(costing:projects/details/9760/part/8411131)","Rear Axle Parts")</f>
        <v>Rear Axle Parts</v>
      </c>
      <c r="F412" t="s">
        <v>680</v>
      </c>
    </row>
    <row r="413" spans="1:6" x14ac:dyDescent="0.15">
      <c r="A413">
        <v>12083027</v>
      </c>
      <c r="B413">
        <v>8411131</v>
      </c>
      <c r="C413" t="s">
        <v>114</v>
      </c>
      <c r="D413" t="s">
        <v>10</v>
      </c>
      <c r="E413" s="4" t="str">
        <f>HYPERLINK("https://ibp.a2mac1.com/costing(costing:projects/details/9760/process/12083027)","Process")</f>
        <v>Process</v>
      </c>
      <c r="F413" t="s">
        <v>681</v>
      </c>
    </row>
    <row r="414" spans="1:6" x14ac:dyDescent="0.15">
      <c r="A414">
        <v>8751937</v>
      </c>
      <c r="B414">
        <v>12083027</v>
      </c>
      <c r="C414" t="s">
        <v>22</v>
      </c>
      <c r="D414" t="s">
        <v>114</v>
      </c>
      <c r="E414" s="4" t="str">
        <f>HYPERLINK("https://ibp.a2mac1.com/costing(costing:projects/details/9760/material/8751937)","Material")</f>
        <v>Material</v>
      </c>
      <c r="F414" t="s">
        <v>682</v>
      </c>
    </row>
    <row r="415" spans="1:6" x14ac:dyDescent="0.15">
      <c r="A415">
        <v>12209848</v>
      </c>
      <c r="B415">
        <v>12083027</v>
      </c>
      <c r="C415" t="s">
        <v>163</v>
      </c>
      <c r="D415" t="s">
        <v>114</v>
      </c>
      <c r="E415" s="4" t="str">
        <f>HYPERLINK("https://ibp.a2mac1.com/costing(costing:projects/details/9760/equipment/12209848)","General production process (0.5-10€)")</f>
        <v>General production process (0.5-10€)</v>
      </c>
      <c r="F415" t="s">
        <v>682</v>
      </c>
    </row>
    <row r="416" spans="1:6" x14ac:dyDescent="0.15">
      <c r="A416">
        <v>12083013</v>
      </c>
      <c r="B416">
        <v>8411052</v>
      </c>
      <c r="C416" t="s">
        <v>114</v>
      </c>
      <c r="D416" t="s">
        <v>8</v>
      </c>
      <c r="E416" s="4" t="str">
        <f>HYPERLINK("https://ibp.a2mac1.com/costing(costing:projects/details/9760/process/12083013)","Process")</f>
        <v>Process</v>
      </c>
      <c r="F416" t="s">
        <v>680</v>
      </c>
    </row>
    <row r="417" spans="1:6" x14ac:dyDescent="0.15">
      <c r="A417">
        <v>12209796</v>
      </c>
      <c r="B417">
        <v>12083013</v>
      </c>
      <c r="C417" t="s">
        <v>163</v>
      </c>
      <c r="D417" t="s">
        <v>114</v>
      </c>
      <c r="E417" s="4" t="str">
        <f>HYPERLINK("https://ibp.a2mac1.com/costing(costing:projects/details/9760/equipment/12209796)","General production process (&gt;10€)")</f>
        <v>General production process (&gt;10€)</v>
      </c>
      <c r="F417" t="s">
        <v>685</v>
      </c>
    </row>
    <row r="418" spans="1:6" x14ac:dyDescent="0.15">
      <c r="A418">
        <v>8411045</v>
      </c>
      <c r="B418">
        <v>8411022</v>
      </c>
      <c r="C418" t="s">
        <v>10</v>
      </c>
      <c r="D418" t="s">
        <v>8</v>
      </c>
      <c r="E418" s="4" t="str">
        <f>HYPERLINK("https://ibp.a2mac1.com/costing(costing:projects/details/9760/part/8411045)","Bearing Hub")</f>
        <v>Bearing Hub</v>
      </c>
      <c r="F418" t="s">
        <v>633</v>
      </c>
    </row>
    <row r="419" spans="1:6" x14ac:dyDescent="0.15">
      <c r="A419">
        <v>12083010</v>
      </c>
      <c r="B419">
        <v>8411045</v>
      </c>
      <c r="C419" t="s">
        <v>114</v>
      </c>
      <c r="D419" t="s">
        <v>10</v>
      </c>
      <c r="E419" s="4" t="str">
        <f>HYPERLINK("https://ibp.a2mac1.com/costing(costing:projects/details/9760/process/12083010)","Process")</f>
        <v>Process</v>
      </c>
      <c r="F419" t="s">
        <v>687</v>
      </c>
    </row>
    <row r="420" spans="1:6" x14ac:dyDescent="0.15">
      <c r="A420">
        <v>8751902</v>
      </c>
      <c r="B420">
        <v>12083010</v>
      </c>
      <c r="C420" t="s">
        <v>22</v>
      </c>
      <c r="D420" t="s">
        <v>114</v>
      </c>
      <c r="E420" s="4" t="str">
        <f>HYPERLINK("https://ibp.a2mac1.com/costing(costing:projects/details/9760/material/8751902)","Material")</f>
        <v>Material</v>
      </c>
      <c r="F420" t="s">
        <v>688</v>
      </c>
    </row>
    <row r="421" spans="1:6" x14ac:dyDescent="0.15">
      <c r="A421">
        <v>12209793</v>
      </c>
      <c r="B421">
        <v>12083010</v>
      </c>
      <c r="C421" t="s">
        <v>163</v>
      </c>
      <c r="D421" t="s">
        <v>114</v>
      </c>
      <c r="E421" s="4" t="str">
        <f>HYPERLINK("https://ibp.a2mac1.com/costing(costing:projects/details/9760/equipment/12209793)","General production process (0.5-10€)")</f>
        <v>General production process (0.5-10€)</v>
      </c>
      <c r="F421" t="s">
        <v>688</v>
      </c>
    </row>
    <row r="422" spans="1:6" x14ac:dyDescent="0.15">
      <c r="A422">
        <v>8411046</v>
      </c>
      <c r="B422">
        <v>8411022</v>
      </c>
      <c r="C422" t="s">
        <v>10</v>
      </c>
      <c r="D422" t="s">
        <v>8</v>
      </c>
      <c r="E422" s="4" t="str">
        <f>HYPERLINK("https://ibp.a2mac1.com/costing(costing:projects/details/9760/part/8411046)","Left Knuckle")</f>
        <v>Left Knuckle</v>
      </c>
      <c r="F422" t="s">
        <v>633</v>
      </c>
    </row>
    <row r="423" spans="1:6" x14ac:dyDescent="0.15">
      <c r="A423">
        <v>12083011</v>
      </c>
      <c r="B423">
        <v>8411046</v>
      </c>
      <c r="C423" t="s">
        <v>114</v>
      </c>
      <c r="D423" t="s">
        <v>10</v>
      </c>
      <c r="E423" s="4" t="str">
        <f>HYPERLINK("https://ibp.a2mac1.com/costing(costing:projects/details/9760/process/12083011)","Process")</f>
        <v>Process</v>
      </c>
      <c r="F423" t="s">
        <v>691</v>
      </c>
    </row>
    <row r="424" spans="1:6" x14ac:dyDescent="0.15">
      <c r="A424">
        <v>8751903</v>
      </c>
      <c r="B424">
        <v>12083011</v>
      </c>
      <c r="C424" t="s">
        <v>22</v>
      </c>
      <c r="D424" t="s">
        <v>114</v>
      </c>
      <c r="E424" s="4" t="str">
        <f>HYPERLINK("https://ibp.a2mac1.com/costing(costing:projects/details/9760/material/8751903)","Material")</f>
        <v>Material</v>
      </c>
      <c r="F424" t="s">
        <v>692</v>
      </c>
    </row>
    <row r="425" spans="1:6" x14ac:dyDescent="0.15">
      <c r="A425">
        <v>12209794</v>
      </c>
      <c r="B425">
        <v>12083011</v>
      </c>
      <c r="C425" t="s">
        <v>163</v>
      </c>
      <c r="D425" t="s">
        <v>114</v>
      </c>
      <c r="E425" s="4" t="str">
        <f>HYPERLINK("https://ibp.a2mac1.com/costing(costing:projects/details/9760/equipment/12209794)","General production process (0.5-10€)")</f>
        <v>General production process (0.5-10€)</v>
      </c>
      <c r="F425" t="s">
        <v>692</v>
      </c>
    </row>
    <row r="426" spans="1:6" x14ac:dyDescent="0.15">
      <c r="A426">
        <v>8411047</v>
      </c>
      <c r="B426">
        <v>8411022</v>
      </c>
      <c r="C426" t="s">
        <v>10</v>
      </c>
      <c r="D426" t="s">
        <v>8</v>
      </c>
      <c r="E426" s="4" t="str">
        <f>HYPERLINK("https://ibp.a2mac1.com/costing(costing:projects/details/9760/part/8411047)","Right Knuckle")</f>
        <v>Right Knuckle</v>
      </c>
      <c r="F426" t="s">
        <v>633</v>
      </c>
    </row>
    <row r="427" spans="1:6" x14ac:dyDescent="0.15">
      <c r="A427">
        <v>12083012</v>
      </c>
      <c r="B427">
        <v>8411047</v>
      </c>
      <c r="C427" t="s">
        <v>114</v>
      </c>
      <c r="D427" t="s">
        <v>10</v>
      </c>
      <c r="E427" s="4" t="str">
        <f>HYPERLINK("https://ibp.a2mac1.com/costing(costing:projects/details/9760/process/12083012)","Process [2]")</f>
        <v>Process [2]</v>
      </c>
      <c r="F427" t="s">
        <v>696</v>
      </c>
    </row>
    <row r="428" spans="1:6" x14ac:dyDescent="0.15">
      <c r="A428">
        <v>8751904</v>
      </c>
      <c r="B428">
        <v>12083012</v>
      </c>
      <c r="C428" t="s">
        <v>22</v>
      </c>
      <c r="D428" t="s">
        <v>114</v>
      </c>
      <c r="E428" s="4" t="str">
        <f>HYPERLINK("https://ibp.a2mac1.com/costing(costing:projects/details/9760/material/8751904)","Material")</f>
        <v>Material</v>
      </c>
      <c r="F428" t="s">
        <v>697</v>
      </c>
    </row>
    <row r="429" spans="1:6" x14ac:dyDescent="0.15">
      <c r="A429">
        <v>12209795</v>
      </c>
      <c r="B429">
        <v>12083012</v>
      </c>
      <c r="C429" t="s">
        <v>163</v>
      </c>
      <c r="D429" t="s">
        <v>114</v>
      </c>
      <c r="E429" s="4" t="str">
        <f>HYPERLINK("https://ibp.a2mac1.com/costing(costing:projects/details/9760/equipment/12209795)","General production process (0.5-10€)")</f>
        <v>General production process (0.5-10€)</v>
      </c>
      <c r="F429" t="s">
        <v>697</v>
      </c>
    </row>
    <row r="430" spans="1:6" x14ac:dyDescent="0.15">
      <c r="A430">
        <v>8411048</v>
      </c>
      <c r="B430">
        <v>8411022</v>
      </c>
      <c r="C430" t="s">
        <v>10</v>
      </c>
      <c r="D430" t="s">
        <v>8</v>
      </c>
      <c r="E430" s="4" t="str">
        <f>HYPERLINK("https://ibp.a2mac1.com/costing(costing:projects/details/9760/part/8411048)","Seal")</f>
        <v>Seal</v>
      </c>
      <c r="F430" t="s">
        <v>633</v>
      </c>
    </row>
    <row r="431" spans="1:6" x14ac:dyDescent="0.15">
      <c r="A431">
        <v>8411016</v>
      </c>
      <c r="B431">
        <v>8411013</v>
      </c>
      <c r="C431" t="s">
        <v>8</v>
      </c>
      <c r="D431" t="s">
        <v>8</v>
      </c>
      <c r="E431" s="4" t="str">
        <f>HYPERLINK("https://ibp.a2mac1.com/costing(costing:projects/details/9760/assembly/8411016)","Wheels")</f>
        <v>Wheels</v>
      </c>
      <c r="F431" t="s">
        <v>473</v>
      </c>
    </row>
    <row r="432" spans="1:6" x14ac:dyDescent="0.15">
      <c r="A432">
        <v>8411024</v>
      </c>
      <c r="B432">
        <v>8411016</v>
      </c>
      <c r="C432" t="s">
        <v>8</v>
      </c>
      <c r="D432" t="s">
        <v>8</v>
      </c>
      <c r="E432" s="4" t="str">
        <f>HYPERLINK("https://ibp.a2mac1.com/costing(costing:projects/details/9760/assembly/8411024)","Front Wheels")</f>
        <v>Front Wheels</v>
      </c>
      <c r="F432" t="s">
        <v>703</v>
      </c>
    </row>
    <row r="433" spans="1:6" x14ac:dyDescent="0.15">
      <c r="A433">
        <v>8411053</v>
      </c>
      <c r="B433">
        <v>8411024</v>
      </c>
      <c r="C433" t="s">
        <v>10</v>
      </c>
      <c r="D433" t="s">
        <v>8</v>
      </c>
      <c r="E433" s="4" t="str">
        <f>HYPERLINK("https://ibp.a2mac1.com/costing(costing:projects/details/9760/part/8411053)","Rim")</f>
        <v>Rim</v>
      </c>
      <c r="F433" t="s">
        <v>704</v>
      </c>
    </row>
    <row r="434" spans="1:6" x14ac:dyDescent="0.15">
      <c r="A434">
        <v>12083014</v>
      </c>
      <c r="B434">
        <v>8411053</v>
      </c>
      <c r="C434" t="s">
        <v>114</v>
      </c>
      <c r="D434" t="s">
        <v>10</v>
      </c>
      <c r="E434" s="4" t="str">
        <f>HYPERLINK("https://ibp.a2mac1.com/costing(costing:projects/details/9760/process/12083014)","Process")</f>
        <v>Process</v>
      </c>
      <c r="F434" t="s">
        <v>705</v>
      </c>
    </row>
    <row r="435" spans="1:6" x14ac:dyDescent="0.15">
      <c r="A435">
        <v>8751905</v>
      </c>
      <c r="B435">
        <v>12083014</v>
      </c>
      <c r="C435" t="s">
        <v>22</v>
      </c>
      <c r="D435" t="s">
        <v>114</v>
      </c>
      <c r="E435" s="4" t="str">
        <f>HYPERLINK("https://ibp.a2mac1.com/costing(costing:projects/details/9760/material/8751905)","Material")</f>
        <v>Material</v>
      </c>
      <c r="F435" t="s">
        <v>706</v>
      </c>
    </row>
    <row r="436" spans="1:6" x14ac:dyDescent="0.15">
      <c r="A436">
        <v>12209797</v>
      </c>
      <c r="B436">
        <v>12083014</v>
      </c>
      <c r="C436" t="s">
        <v>163</v>
      </c>
      <c r="D436" t="s">
        <v>114</v>
      </c>
      <c r="E436" s="4" t="str">
        <f>HYPERLINK("https://ibp.a2mac1.com/costing(costing:projects/details/9760/equipment/12209797)","General production process (&gt;10€)")</f>
        <v>General production process (&gt;10€)</v>
      </c>
      <c r="F436" t="s">
        <v>706</v>
      </c>
    </row>
    <row r="437" spans="1:6" x14ac:dyDescent="0.15">
      <c r="A437">
        <v>8411054</v>
      </c>
      <c r="B437">
        <v>8411024</v>
      </c>
      <c r="C437" t="s">
        <v>10</v>
      </c>
      <c r="D437" t="s">
        <v>8</v>
      </c>
      <c r="E437" s="4" t="str">
        <f>HYPERLINK("https://ibp.a2mac1.com/costing(costing:projects/details/9760/part/8411054)","Tires")</f>
        <v>Tires</v>
      </c>
      <c r="F437" t="s">
        <v>704</v>
      </c>
    </row>
    <row r="438" spans="1:6" x14ac:dyDescent="0.15">
      <c r="A438">
        <v>8411055</v>
      </c>
      <c r="B438">
        <v>8411024</v>
      </c>
      <c r="C438" t="s">
        <v>10</v>
      </c>
      <c r="D438" t="s">
        <v>8</v>
      </c>
      <c r="E438" s="4" t="str">
        <f>HYPERLINK("https://ibp.a2mac1.com/costing(costing:projects/details/9760/part/8411055)","Valve")</f>
        <v>Valve</v>
      </c>
      <c r="F438" t="s">
        <v>704</v>
      </c>
    </row>
    <row r="439" spans="1:6" x14ac:dyDescent="0.15">
      <c r="A439">
        <v>8411056</v>
      </c>
      <c r="B439">
        <v>8411024</v>
      </c>
      <c r="C439" t="s">
        <v>10</v>
      </c>
      <c r="D439" t="s">
        <v>8</v>
      </c>
      <c r="E439" s="4" t="str">
        <f>HYPERLINK("https://ibp.a2mac1.com/costing(costing:projects/details/9760/part/8411056)","Tire Pressure Sensor")</f>
        <v>Tire Pressure Sensor</v>
      </c>
      <c r="F439" t="s">
        <v>704</v>
      </c>
    </row>
    <row r="440" spans="1:6" x14ac:dyDescent="0.15">
      <c r="A440">
        <v>8411025</v>
      </c>
      <c r="B440">
        <v>8411016</v>
      </c>
      <c r="C440" t="s">
        <v>8</v>
      </c>
      <c r="D440" t="s">
        <v>8</v>
      </c>
      <c r="E440" s="4" t="str">
        <f>HYPERLINK("https://ibp.a2mac1.com/costing(costing:projects/details/9760/assembly/8411025)","Rear Wheels")</f>
        <v>Rear Wheels</v>
      </c>
      <c r="F440" t="s">
        <v>703</v>
      </c>
    </row>
    <row r="441" spans="1:6" x14ac:dyDescent="0.15">
      <c r="A441">
        <v>8411057</v>
      </c>
      <c r="B441">
        <v>8411025</v>
      </c>
      <c r="C441" t="s">
        <v>10</v>
      </c>
      <c r="D441" t="s">
        <v>8</v>
      </c>
      <c r="E441" s="4" t="str">
        <f>HYPERLINK("https://ibp.a2mac1.com/costing(costing:projects/details/9760/part/8411057)","Rim")</f>
        <v>Rim</v>
      </c>
      <c r="F441" t="s">
        <v>715</v>
      </c>
    </row>
    <row r="442" spans="1:6" x14ac:dyDescent="0.15">
      <c r="A442">
        <v>12083015</v>
      </c>
      <c r="B442">
        <v>8411057</v>
      </c>
      <c r="C442" t="s">
        <v>114</v>
      </c>
      <c r="D442" t="s">
        <v>10</v>
      </c>
      <c r="E442" s="4" t="str">
        <f>HYPERLINK("https://ibp.a2mac1.com/costing(costing:projects/details/9760/process/12083015)","Process")</f>
        <v>Process</v>
      </c>
      <c r="F442" t="s">
        <v>716</v>
      </c>
    </row>
    <row r="443" spans="1:6" x14ac:dyDescent="0.15">
      <c r="A443">
        <v>8751906</v>
      </c>
      <c r="B443">
        <v>12083015</v>
      </c>
      <c r="C443" t="s">
        <v>22</v>
      </c>
      <c r="D443" t="s">
        <v>114</v>
      </c>
      <c r="E443" s="4" t="str">
        <f>HYPERLINK("https://ibp.a2mac1.com/costing(costing:projects/details/9760/material/8751906)","Material")</f>
        <v>Material</v>
      </c>
      <c r="F443" t="s">
        <v>717</v>
      </c>
    </row>
    <row r="444" spans="1:6" x14ac:dyDescent="0.15">
      <c r="A444">
        <v>12209798</v>
      </c>
      <c r="B444">
        <v>12083015</v>
      </c>
      <c r="C444" t="s">
        <v>163</v>
      </c>
      <c r="D444" t="s">
        <v>114</v>
      </c>
      <c r="E444" s="4" t="str">
        <f>HYPERLINK("https://ibp.a2mac1.com/costing(costing:projects/details/9760/equipment/12209798)","General production process (&gt;10€)")</f>
        <v>General production process (&gt;10€)</v>
      </c>
      <c r="F444" t="s">
        <v>717</v>
      </c>
    </row>
    <row r="445" spans="1:6" x14ac:dyDescent="0.15">
      <c r="A445">
        <v>8411058</v>
      </c>
      <c r="B445">
        <v>8411025</v>
      </c>
      <c r="C445" t="s">
        <v>10</v>
      </c>
      <c r="D445" t="s">
        <v>8</v>
      </c>
      <c r="E445" s="4" t="str">
        <f>HYPERLINK("https://ibp.a2mac1.com/costing(costing:projects/details/9760/part/8411058)","Tires")</f>
        <v>Tires</v>
      </c>
      <c r="F445" t="s">
        <v>715</v>
      </c>
    </row>
    <row r="446" spans="1:6" x14ac:dyDescent="0.15">
      <c r="A446">
        <v>8411059</v>
      </c>
      <c r="B446">
        <v>8411025</v>
      </c>
      <c r="C446" t="s">
        <v>10</v>
      </c>
      <c r="D446" t="s">
        <v>8</v>
      </c>
      <c r="E446" s="4" t="str">
        <f>HYPERLINK("https://ibp.a2mac1.com/costing(costing:projects/details/9760/part/8411059)","Valve")</f>
        <v>Valve</v>
      </c>
      <c r="F446" t="s">
        <v>715</v>
      </c>
    </row>
    <row r="447" spans="1:6" x14ac:dyDescent="0.15">
      <c r="A447">
        <v>8411060</v>
      </c>
      <c r="B447">
        <v>8411025</v>
      </c>
      <c r="C447" t="s">
        <v>10</v>
      </c>
      <c r="D447" t="s">
        <v>8</v>
      </c>
      <c r="E447" s="4" t="str">
        <f>HYPERLINK("https://ibp.a2mac1.com/costing(costing:projects/details/9760/part/8411060)","Tire Pressure Sensor")</f>
        <v>Tire Pressure Sensor</v>
      </c>
      <c r="F447" t="s">
        <v>715</v>
      </c>
    </row>
    <row r="448" spans="1:6" x14ac:dyDescent="0.15">
      <c r="A448">
        <v>8411023</v>
      </c>
      <c r="B448">
        <v>8411016</v>
      </c>
      <c r="C448" t="s">
        <v>10</v>
      </c>
      <c r="D448" t="s">
        <v>8</v>
      </c>
      <c r="E448" s="4" t="str">
        <f>HYPERLINK("https://ibp.a2mac1.com/costing(costing:projects/details/9760/part/8411023)","Hub Cover")</f>
        <v>Hub Cover</v>
      </c>
      <c r="F448" t="s">
        <v>703</v>
      </c>
    </row>
    <row r="449" spans="1:6" x14ac:dyDescent="0.15">
      <c r="A449">
        <v>8411017</v>
      </c>
      <c r="B449">
        <v>8411013</v>
      </c>
      <c r="C449" t="s">
        <v>10</v>
      </c>
      <c r="D449" t="s">
        <v>8</v>
      </c>
      <c r="E449" s="4" t="str">
        <f>HYPERLINK("https://ibp.a2mac1.com/costing(costing:projects/details/9760/part/8411017)","Fasteners")</f>
        <v>Fasteners</v>
      </c>
      <c r="F449" t="s">
        <v>473</v>
      </c>
    </row>
    <row r="450" spans="1:6" x14ac:dyDescent="0.15">
      <c r="A450">
        <v>8411026</v>
      </c>
      <c r="B450">
        <v>9760</v>
      </c>
      <c r="C450" t="s">
        <v>8</v>
      </c>
      <c r="D450" t="s">
        <v>6</v>
      </c>
      <c r="E450" s="4" t="str">
        <f>HYPERLINK("https://ibp.a2mac1.com/costing(costing:projects/details/9760/assembly/8411026)","Safety System")</f>
        <v>Safety System</v>
      </c>
      <c r="F450" t="s">
        <v>9</v>
      </c>
    </row>
    <row r="451" spans="1:6" x14ac:dyDescent="0.15">
      <c r="A451">
        <v>8411061</v>
      </c>
      <c r="B451">
        <v>8411026</v>
      </c>
      <c r="C451" t="s">
        <v>8</v>
      </c>
      <c r="D451" t="s">
        <v>8</v>
      </c>
      <c r="E451" s="4" t="str">
        <f>HYPERLINK("https://ibp.a2mac1.com/costing(costing:projects/details/9760/assembly/8411061)","Airbags")</f>
        <v>Airbags</v>
      </c>
      <c r="F451" t="s">
        <v>727</v>
      </c>
    </row>
    <row r="452" spans="1:6" x14ac:dyDescent="0.15">
      <c r="A452">
        <v>8411108</v>
      </c>
      <c r="B452">
        <v>8411061</v>
      </c>
      <c r="C452" t="s">
        <v>8</v>
      </c>
      <c r="D452" t="s">
        <v>8</v>
      </c>
      <c r="E452" s="4" t="str">
        <f>HYPERLINK("https://ibp.a2mac1.com/costing(costing:projects/details/9760/assembly/8411108)","Airbag Control Unit")</f>
        <v>Airbag Control Unit</v>
      </c>
      <c r="F452" t="s">
        <v>728</v>
      </c>
    </row>
    <row r="453" spans="1:6" x14ac:dyDescent="0.15">
      <c r="A453">
        <v>8411147</v>
      </c>
      <c r="B453">
        <v>8411108</v>
      </c>
      <c r="C453" t="s">
        <v>8</v>
      </c>
      <c r="D453" t="s">
        <v>8</v>
      </c>
      <c r="E453" s="4" t="str">
        <f>HYPERLINK("https://ibp.a2mac1.com/costing(costing:projects/details/9760/assembly/8411147)","Control Unit")</f>
        <v>Control Unit</v>
      </c>
      <c r="F453" t="s">
        <v>729</v>
      </c>
    </row>
    <row r="454" spans="1:6" x14ac:dyDescent="0.15">
      <c r="A454">
        <v>12083033</v>
      </c>
      <c r="B454">
        <v>8411147</v>
      </c>
      <c r="C454" t="s">
        <v>114</v>
      </c>
      <c r="D454" t="s">
        <v>8</v>
      </c>
      <c r="E454" s="4" t="str">
        <f>HYPERLINK("https://ibp.a2mac1.com/costing(costing:projects/details/9760/process/12083033)","Process")</f>
        <v>Process</v>
      </c>
      <c r="F454" t="s">
        <v>730</v>
      </c>
    </row>
    <row r="455" spans="1:6" x14ac:dyDescent="0.15">
      <c r="A455">
        <v>12209892</v>
      </c>
      <c r="B455">
        <v>12083033</v>
      </c>
      <c r="C455" t="s">
        <v>163</v>
      </c>
      <c r="D455" t="s">
        <v>114</v>
      </c>
      <c r="E455" s="4" t="str">
        <f>HYPERLINK("https://ibp.a2mac1.com/costing(costing:projects/details/9760/equipment/12209892)","Dummy Machine (PCBA+Final Assembly Line)")</f>
        <v>Dummy Machine (PCBA+Final Assembly Line)</v>
      </c>
      <c r="F455" t="s">
        <v>731</v>
      </c>
    </row>
    <row r="456" spans="1:6" x14ac:dyDescent="0.15">
      <c r="A456">
        <v>8751907</v>
      </c>
      <c r="B456">
        <v>8411147</v>
      </c>
      <c r="C456" t="s">
        <v>311</v>
      </c>
      <c r="D456" t="s">
        <v>8</v>
      </c>
      <c r="E456" s="4" t="str">
        <f>HYPERLINK("https://ibp.a2mac1.com/costing(costing:projects/details/9760/component/8751907)","Mechanics")</f>
        <v>Mechanics</v>
      </c>
      <c r="F456" t="s">
        <v>730</v>
      </c>
    </row>
    <row r="457" spans="1:6" x14ac:dyDescent="0.15">
      <c r="A457">
        <v>8751908</v>
      </c>
      <c r="B457">
        <v>8411147</v>
      </c>
      <c r="C457" t="s">
        <v>311</v>
      </c>
      <c r="D457" t="s">
        <v>8</v>
      </c>
      <c r="E457" s="4" t="str">
        <f>HYPERLINK("https://ibp.a2mac1.com/costing(costing:projects/details/9760/component/8751908)","Electronics")</f>
        <v>Electronics</v>
      </c>
      <c r="F457" t="s">
        <v>730</v>
      </c>
    </row>
    <row r="458" spans="1:6" x14ac:dyDescent="0.15">
      <c r="A458">
        <v>8751883</v>
      </c>
      <c r="B458">
        <v>8411108</v>
      </c>
      <c r="C458" t="s">
        <v>311</v>
      </c>
      <c r="D458" t="s">
        <v>8</v>
      </c>
      <c r="E458" s="4" t="str">
        <f>HYPERLINK("https://ibp.a2mac1.com/costing(costing:projects/details/9760/component/8751883)","Hex-head Bolt M6x20")</f>
        <v>Hex-head Bolt M6x20</v>
      </c>
      <c r="F458" t="s">
        <v>729</v>
      </c>
    </row>
    <row r="459" spans="1:6" x14ac:dyDescent="0.15">
      <c r="A459">
        <v>8411109</v>
      </c>
      <c r="B459">
        <v>8411061</v>
      </c>
      <c r="C459" t="s">
        <v>8</v>
      </c>
      <c r="D459" t="s">
        <v>8</v>
      </c>
      <c r="E459" s="4" t="str">
        <f>HYPERLINK("https://ibp.a2mac1.com/costing(costing:projects/details/9760/assembly/8411109)","Driver Airbag")</f>
        <v>Driver Airbag</v>
      </c>
      <c r="F459" t="s">
        <v>728</v>
      </c>
    </row>
    <row r="460" spans="1:6" x14ac:dyDescent="0.15">
      <c r="A460">
        <v>8411148</v>
      </c>
      <c r="B460">
        <v>8411109</v>
      </c>
      <c r="C460" t="s">
        <v>8</v>
      </c>
      <c r="D460" t="s">
        <v>8</v>
      </c>
      <c r="E460" s="4" t="str">
        <f>HYPERLINK("https://ibp.a2mac1.com/costing(costing:projects/details/9760/assembly/8411148)","Airbag Unit")</f>
        <v>Airbag Unit</v>
      </c>
      <c r="F460" t="s">
        <v>734</v>
      </c>
    </row>
    <row r="461" spans="1:6" x14ac:dyDescent="0.15">
      <c r="A461">
        <v>8411279</v>
      </c>
      <c r="B461">
        <v>8411148</v>
      </c>
      <c r="C461" t="s">
        <v>10</v>
      </c>
      <c r="D461" t="s">
        <v>8</v>
      </c>
      <c r="E461" s="4" t="str">
        <f>HYPERLINK("https://ibp.a2mac1.com/costing(costing:projects/details/9760/part/8411279)","Bezel")</f>
        <v>Bezel</v>
      </c>
      <c r="F461" t="s">
        <v>735</v>
      </c>
    </row>
    <row r="462" spans="1:6" x14ac:dyDescent="0.15">
      <c r="A462">
        <v>12083056</v>
      </c>
      <c r="B462">
        <v>8411279</v>
      </c>
      <c r="C462" t="s">
        <v>114</v>
      </c>
      <c r="D462" t="s">
        <v>10</v>
      </c>
      <c r="E462" s="4" t="str">
        <f>HYPERLINK("https://ibp.a2mac1.com/costing(costing:projects/details/9760/process/12083056)","Process")</f>
        <v>Process</v>
      </c>
      <c r="F462" t="s">
        <v>736</v>
      </c>
    </row>
    <row r="463" spans="1:6" x14ac:dyDescent="0.15">
      <c r="A463">
        <v>8751956</v>
      </c>
      <c r="B463">
        <v>12083056</v>
      </c>
      <c r="C463" t="s">
        <v>22</v>
      </c>
      <c r="D463" t="s">
        <v>114</v>
      </c>
      <c r="E463" s="4" t="str">
        <f>HYPERLINK("https://ibp.a2mac1.com/costing(costing:projects/details/9760/material/8751956)","PC-ABS + Paint")</f>
        <v>PC-ABS + Paint</v>
      </c>
      <c r="F463" t="s">
        <v>737</v>
      </c>
    </row>
    <row r="464" spans="1:6" x14ac:dyDescent="0.15">
      <c r="A464">
        <v>12210067</v>
      </c>
      <c r="B464">
        <v>12083056</v>
      </c>
      <c r="C464" t="s">
        <v>163</v>
      </c>
      <c r="D464" t="s">
        <v>114</v>
      </c>
      <c r="E464" s="4" t="str">
        <f>HYPERLINK("https://ibp.a2mac1.com/costing(costing:projects/details/9760/equipment/12210067)","DC machine - General")</f>
        <v>DC machine - General</v>
      </c>
      <c r="F464" t="s">
        <v>737</v>
      </c>
    </row>
    <row r="465" spans="1:6" x14ac:dyDescent="0.15">
      <c r="A465">
        <v>8411280</v>
      </c>
      <c r="B465">
        <v>8411148</v>
      </c>
      <c r="C465" t="s">
        <v>10</v>
      </c>
      <c r="D465" t="s">
        <v>8</v>
      </c>
      <c r="E465" s="4" t="str">
        <f>HYPERLINK("https://ibp.a2mac1.com/costing(costing:projects/details/9760/part/8411280)","Airbag")</f>
        <v>Airbag</v>
      </c>
      <c r="F465" t="s">
        <v>735</v>
      </c>
    </row>
    <row r="466" spans="1:6" x14ac:dyDescent="0.15">
      <c r="A466">
        <v>12083057</v>
      </c>
      <c r="B466">
        <v>8411280</v>
      </c>
      <c r="C466" t="s">
        <v>114</v>
      </c>
      <c r="D466" t="s">
        <v>10</v>
      </c>
      <c r="E466" s="4" t="str">
        <f>HYPERLINK("https://ibp.a2mac1.com/costing(costing:projects/details/9760/process/12083057)","Process")</f>
        <v>Process</v>
      </c>
      <c r="F466" t="s">
        <v>742</v>
      </c>
    </row>
    <row r="467" spans="1:6" x14ac:dyDescent="0.15">
      <c r="A467">
        <v>8751957</v>
      </c>
      <c r="B467">
        <v>12083057</v>
      </c>
      <c r="C467" t="s">
        <v>22</v>
      </c>
      <c r="D467" t="s">
        <v>114</v>
      </c>
      <c r="E467" s="4" t="str">
        <f>HYPERLINK("https://ibp.a2mac1.com/costing(costing:projects/details/9760/material/8751957)","PA66 VMQ (airbag) adjusted (part)")</f>
        <v>PA66 VMQ (airbag) adjusted (part)</v>
      </c>
      <c r="F467" t="s">
        <v>743</v>
      </c>
    </row>
    <row r="468" spans="1:6" x14ac:dyDescent="0.15">
      <c r="A468">
        <v>12210068</v>
      </c>
      <c r="B468">
        <v>12083057</v>
      </c>
      <c r="C468" t="s">
        <v>163</v>
      </c>
      <c r="D468" t="s">
        <v>114</v>
      </c>
      <c r="E468" s="4" t="str">
        <f>HYPERLINK("https://ibp.a2mac1.com/costing(costing:projects/details/9760/equipment/12210068)","DC machine - General")</f>
        <v>DC machine - General</v>
      </c>
      <c r="F468" t="s">
        <v>743</v>
      </c>
    </row>
    <row r="469" spans="1:6" x14ac:dyDescent="0.15">
      <c r="A469">
        <v>8411281</v>
      </c>
      <c r="B469">
        <v>8411148</v>
      </c>
      <c r="C469" t="s">
        <v>10</v>
      </c>
      <c r="D469" t="s">
        <v>8</v>
      </c>
      <c r="E469" s="4" t="str">
        <f>HYPERLINK("https://ibp.a2mac1.com/costing(costing:projects/details/9760/part/8411281)","Airbag Protection")</f>
        <v>Airbag Protection</v>
      </c>
      <c r="F469" t="s">
        <v>735</v>
      </c>
    </row>
    <row r="470" spans="1:6" x14ac:dyDescent="0.15">
      <c r="A470">
        <v>12083058</v>
      </c>
      <c r="B470">
        <v>8411281</v>
      </c>
      <c r="C470" t="s">
        <v>114</v>
      </c>
      <c r="D470" t="s">
        <v>10</v>
      </c>
      <c r="E470" s="4" t="str">
        <f>HYPERLINK("https://ibp.a2mac1.com/costing(costing:projects/details/9760/process/12083058)","Process")</f>
        <v>Process</v>
      </c>
      <c r="F470" t="s">
        <v>747</v>
      </c>
    </row>
    <row r="471" spans="1:6" x14ac:dyDescent="0.15">
      <c r="A471">
        <v>8751958</v>
      </c>
      <c r="B471">
        <v>12083058</v>
      </c>
      <c r="C471" t="s">
        <v>22</v>
      </c>
      <c r="D471" t="s">
        <v>114</v>
      </c>
      <c r="E471" s="4" t="str">
        <f>HYPERLINK("https://ibp.a2mac1.com/costing(costing:projects/details/9760/material/8751958)","PET VMQ (airbag) adjusted (part)")</f>
        <v>PET VMQ (airbag) adjusted (part)</v>
      </c>
      <c r="F471" t="s">
        <v>748</v>
      </c>
    </row>
    <row r="472" spans="1:6" x14ac:dyDescent="0.15">
      <c r="A472">
        <v>12210069</v>
      </c>
      <c r="B472">
        <v>12083058</v>
      </c>
      <c r="C472" t="s">
        <v>163</v>
      </c>
      <c r="D472" t="s">
        <v>114</v>
      </c>
      <c r="E472" s="4" t="str">
        <f>HYPERLINK("https://ibp.a2mac1.com/costing(costing:projects/details/9760/equipment/12210069)","DC machine - General")</f>
        <v>DC machine - General</v>
      </c>
      <c r="F472" t="s">
        <v>748</v>
      </c>
    </row>
    <row r="473" spans="1:6" x14ac:dyDescent="0.15">
      <c r="A473">
        <v>8411282</v>
      </c>
      <c r="B473">
        <v>8411148</v>
      </c>
      <c r="C473" t="s">
        <v>10</v>
      </c>
      <c r="D473" t="s">
        <v>8</v>
      </c>
      <c r="E473" s="4" t="str">
        <f>HYPERLINK("https://ibp.a2mac1.com/costing(costing:projects/details/9760/part/8411282)","Airbag Fastener")</f>
        <v>Airbag Fastener</v>
      </c>
      <c r="F473" t="s">
        <v>735</v>
      </c>
    </row>
    <row r="474" spans="1:6" x14ac:dyDescent="0.15">
      <c r="A474">
        <v>12083059</v>
      </c>
      <c r="B474">
        <v>8411282</v>
      </c>
      <c r="C474" t="s">
        <v>114</v>
      </c>
      <c r="D474" t="s">
        <v>10</v>
      </c>
      <c r="E474" s="4" t="str">
        <f>HYPERLINK("https://ibp.a2mac1.com/costing(costing:projects/details/9760/process/12083059)","Process")</f>
        <v>Process</v>
      </c>
      <c r="F474" t="s">
        <v>751</v>
      </c>
    </row>
    <row r="475" spans="1:6" x14ac:dyDescent="0.15">
      <c r="A475">
        <v>8751959</v>
      </c>
      <c r="B475">
        <v>12083059</v>
      </c>
      <c r="C475" t="s">
        <v>22</v>
      </c>
      <c r="D475" t="s">
        <v>114</v>
      </c>
      <c r="E475" s="4" t="str">
        <f>HYPERLINK("https://ibp.a2mac1.com/costing(costing:projects/details/9760/material/8751959)","Steel+Studs")</f>
        <v>Steel+Studs</v>
      </c>
      <c r="F475" t="s">
        <v>752</v>
      </c>
    </row>
    <row r="476" spans="1:6" x14ac:dyDescent="0.15">
      <c r="A476">
        <v>12210070</v>
      </c>
      <c r="B476">
        <v>12083059</v>
      </c>
      <c r="C476" t="s">
        <v>163</v>
      </c>
      <c r="D476" t="s">
        <v>114</v>
      </c>
      <c r="E476" s="4" t="str">
        <f>HYPERLINK("https://ibp.a2mac1.com/costing(costing:projects/details/9760/equipment/12210070)","DC machine - General")</f>
        <v>DC machine - General</v>
      </c>
      <c r="F476" t="s">
        <v>752</v>
      </c>
    </row>
    <row r="477" spans="1:6" x14ac:dyDescent="0.15">
      <c r="A477">
        <v>8411283</v>
      </c>
      <c r="B477">
        <v>8411148</v>
      </c>
      <c r="C477" t="s">
        <v>10</v>
      </c>
      <c r="D477" t="s">
        <v>8</v>
      </c>
      <c r="E477" s="4" t="str">
        <f>HYPERLINK("https://ibp.a2mac1.com/costing(costing:projects/details/9760/part/8411283)","Airbag Cylinder")</f>
        <v>Airbag Cylinder</v>
      </c>
      <c r="F477" t="s">
        <v>735</v>
      </c>
    </row>
    <row r="478" spans="1:6" x14ac:dyDescent="0.15">
      <c r="A478">
        <v>8411284</v>
      </c>
      <c r="B478">
        <v>8411148</v>
      </c>
      <c r="C478" t="s">
        <v>10</v>
      </c>
      <c r="D478" t="s">
        <v>8</v>
      </c>
      <c r="E478" s="4" t="str">
        <f>HYPERLINK("https://ibp.a2mac1.com/costing(costing:projects/details/9760/part/8411284)","Airbag Trim")</f>
        <v>Airbag Trim</v>
      </c>
      <c r="F478" t="s">
        <v>735</v>
      </c>
    </row>
    <row r="479" spans="1:6" x14ac:dyDescent="0.15">
      <c r="A479">
        <v>12083060</v>
      </c>
      <c r="B479">
        <v>8411284</v>
      </c>
      <c r="C479" t="s">
        <v>114</v>
      </c>
      <c r="D479" t="s">
        <v>10</v>
      </c>
      <c r="E479" s="4" t="str">
        <f>HYPERLINK("https://ibp.a2mac1.com/costing(costing:projects/details/9760/process/12083060)","Process")</f>
        <v>Process</v>
      </c>
      <c r="F479" t="s">
        <v>759</v>
      </c>
    </row>
    <row r="480" spans="1:6" x14ac:dyDescent="0.15">
      <c r="A480">
        <v>8751960</v>
      </c>
      <c r="B480">
        <v>12083060</v>
      </c>
      <c r="C480" t="s">
        <v>22</v>
      </c>
      <c r="D480" t="s">
        <v>114</v>
      </c>
      <c r="E480" s="4" t="str">
        <f>HYPERLINK("https://ibp.a2mac1.com/costing(costing:projects/details/9760/material/8751960)","PC-ABS + Paint")</f>
        <v>PC-ABS + Paint</v>
      </c>
      <c r="F480" t="s">
        <v>760</v>
      </c>
    </row>
    <row r="481" spans="1:6" x14ac:dyDescent="0.15">
      <c r="A481">
        <v>12210071</v>
      </c>
      <c r="B481">
        <v>12083060</v>
      </c>
      <c r="C481" t="s">
        <v>163</v>
      </c>
      <c r="D481" t="s">
        <v>114</v>
      </c>
      <c r="E481" s="4" t="str">
        <f>HYPERLINK("https://ibp.a2mac1.com/costing(costing:projects/details/9760/equipment/12210071)","DC machine - General")</f>
        <v>DC machine - General</v>
      </c>
      <c r="F481" t="s">
        <v>760</v>
      </c>
    </row>
    <row r="482" spans="1:6" x14ac:dyDescent="0.15">
      <c r="A482">
        <v>8411285</v>
      </c>
      <c r="B482">
        <v>8411148</v>
      </c>
      <c r="C482" t="s">
        <v>10</v>
      </c>
      <c r="D482" t="s">
        <v>8</v>
      </c>
      <c r="E482" s="4" t="str">
        <f>HYPERLINK("https://ibp.a2mac1.com/costing(costing:projects/details/9760/part/8411285)","Airbag Support")</f>
        <v>Airbag Support</v>
      </c>
      <c r="F482" t="s">
        <v>735</v>
      </c>
    </row>
    <row r="483" spans="1:6" x14ac:dyDescent="0.15">
      <c r="A483">
        <v>8411286</v>
      </c>
      <c r="B483">
        <v>8411148</v>
      </c>
      <c r="C483" t="s">
        <v>10</v>
      </c>
      <c r="D483" t="s">
        <v>8</v>
      </c>
      <c r="E483" s="4" t="str">
        <f>HYPERLINK("https://ibp.a2mac1.com/costing(costing:projects/details/9760/part/8411286)","Logo")</f>
        <v>Logo</v>
      </c>
      <c r="F483" t="s">
        <v>735</v>
      </c>
    </row>
    <row r="484" spans="1:6" x14ac:dyDescent="0.15">
      <c r="A484">
        <v>12083061</v>
      </c>
      <c r="B484">
        <v>8411286</v>
      </c>
      <c r="C484" t="s">
        <v>114</v>
      </c>
      <c r="D484" t="s">
        <v>10</v>
      </c>
      <c r="E484" s="4" t="str">
        <f>HYPERLINK("https://ibp.a2mac1.com/costing(costing:projects/details/9760/process/12083061)","Process")</f>
        <v>Process</v>
      </c>
      <c r="F484" t="s">
        <v>767</v>
      </c>
    </row>
    <row r="485" spans="1:6" x14ac:dyDescent="0.15">
      <c r="A485">
        <v>8751961</v>
      </c>
      <c r="B485">
        <v>12083061</v>
      </c>
      <c r="C485" t="s">
        <v>22</v>
      </c>
      <c r="D485" t="s">
        <v>114</v>
      </c>
      <c r="E485" s="4" t="str">
        <f>HYPERLINK("https://ibp.a2mac1.com/costing(costing:projects/details/9760/material/8751961)","PC-ABS + Paint")</f>
        <v>PC-ABS + Paint</v>
      </c>
      <c r="F485" t="s">
        <v>768</v>
      </c>
    </row>
    <row r="486" spans="1:6" x14ac:dyDescent="0.15">
      <c r="A486">
        <v>12210072</v>
      </c>
      <c r="B486">
        <v>12083061</v>
      </c>
      <c r="C486" t="s">
        <v>163</v>
      </c>
      <c r="D486" t="s">
        <v>114</v>
      </c>
      <c r="E486" s="4" t="str">
        <f>HYPERLINK("https://ibp.a2mac1.com/costing(costing:projects/details/9760/equipment/12210072)","DC machine - General")</f>
        <v>DC machine - General</v>
      </c>
      <c r="F486" t="s">
        <v>768</v>
      </c>
    </row>
    <row r="487" spans="1:6" x14ac:dyDescent="0.15">
      <c r="A487">
        <v>12083034</v>
      </c>
      <c r="B487">
        <v>8411148</v>
      </c>
      <c r="C487" t="s">
        <v>114</v>
      </c>
      <c r="D487" t="s">
        <v>8</v>
      </c>
      <c r="E487" s="4" t="str">
        <f>HYPERLINK("https://ibp.a2mac1.com/costing(costing:projects/details/9760/process/12083034)","Final Assembly + Inspection")</f>
        <v>Final Assembly + Inspection</v>
      </c>
      <c r="F487" t="s">
        <v>735</v>
      </c>
    </row>
    <row r="488" spans="1:6" x14ac:dyDescent="0.15">
      <c r="A488">
        <v>12209893</v>
      </c>
      <c r="B488">
        <v>12083034</v>
      </c>
      <c r="C488" t="s">
        <v>163</v>
      </c>
      <c r="D488" t="s">
        <v>114</v>
      </c>
      <c r="E488" s="4" t="str">
        <f>HYPERLINK("https://ibp.a2mac1.com/costing(costing:projects/details/9760/equipment/12209893)","DC machine - General")</f>
        <v>DC machine - General</v>
      </c>
      <c r="F488" t="s">
        <v>771</v>
      </c>
    </row>
    <row r="489" spans="1:6" x14ac:dyDescent="0.15">
      <c r="A489">
        <v>8751909</v>
      </c>
      <c r="B489">
        <v>8411148</v>
      </c>
      <c r="C489" t="s">
        <v>311</v>
      </c>
      <c r="D489" t="s">
        <v>8</v>
      </c>
      <c r="E489" s="4" t="str">
        <f>HYPERLINK("https://ibp.a2mac1.com/costing(costing:projects/details/9760/component/8751909)","Nut &gt; Hexagonal nut with collar")</f>
        <v>Nut &gt; Hexagonal nut with collar</v>
      </c>
      <c r="F489" t="s">
        <v>735</v>
      </c>
    </row>
    <row r="490" spans="1:6" x14ac:dyDescent="0.15">
      <c r="A490">
        <v>8751910</v>
      </c>
      <c r="B490">
        <v>8411148</v>
      </c>
      <c r="C490" t="s">
        <v>311</v>
      </c>
      <c r="D490" t="s">
        <v>8</v>
      </c>
      <c r="E490" s="4" t="str">
        <f>HYPERLINK("https://ibp.a2mac1.com/costing(costing:projects/details/9760/component/8751910)","Pin clip &gt; Axle pin")</f>
        <v>Pin clip &gt; Axle pin</v>
      </c>
      <c r="F490" t="s">
        <v>735</v>
      </c>
    </row>
    <row r="491" spans="1:6" x14ac:dyDescent="0.15">
      <c r="A491">
        <v>8411110</v>
      </c>
      <c r="B491">
        <v>8411061</v>
      </c>
      <c r="C491" t="s">
        <v>8</v>
      </c>
      <c r="D491" t="s">
        <v>8</v>
      </c>
      <c r="E491" s="4" t="str">
        <f>HYPERLINK("https://ibp.a2mac1.com/costing(costing:projects/details/9760/assembly/8411110)","Passenger Airbag")</f>
        <v>Passenger Airbag</v>
      </c>
      <c r="F491" t="s">
        <v>728</v>
      </c>
    </row>
    <row r="492" spans="1:6" x14ac:dyDescent="0.15">
      <c r="A492">
        <v>8411149</v>
      </c>
      <c r="B492">
        <v>8411110</v>
      </c>
      <c r="C492" t="s">
        <v>8</v>
      </c>
      <c r="D492" t="s">
        <v>8</v>
      </c>
      <c r="E492" s="4" t="str">
        <f>HYPERLINK("https://ibp.a2mac1.com/costing(costing:projects/details/9760/assembly/8411149)","Airbag Unit")</f>
        <v>Airbag Unit</v>
      </c>
      <c r="F492" t="s">
        <v>775</v>
      </c>
    </row>
    <row r="493" spans="1:6" x14ac:dyDescent="0.15">
      <c r="A493">
        <v>8411287</v>
      </c>
      <c r="B493">
        <v>8411149</v>
      </c>
      <c r="C493" t="s">
        <v>10</v>
      </c>
      <c r="D493" t="s">
        <v>8</v>
      </c>
      <c r="E493" s="4" t="str">
        <f>HYPERLINK("https://ibp.a2mac1.com/costing(costing:projects/details/9760/part/8411287)","Airbag")</f>
        <v>Airbag</v>
      </c>
      <c r="F493" t="s">
        <v>776</v>
      </c>
    </row>
    <row r="494" spans="1:6" x14ac:dyDescent="0.15">
      <c r="A494">
        <v>12083062</v>
      </c>
      <c r="B494">
        <v>8411287</v>
      </c>
      <c r="C494" t="s">
        <v>114</v>
      </c>
      <c r="D494" t="s">
        <v>10</v>
      </c>
      <c r="E494" s="4" t="str">
        <f>HYPERLINK("https://ibp.a2mac1.com/costing(costing:projects/details/9760/process/12083062)","Process")</f>
        <v>Process</v>
      </c>
      <c r="F494" t="s">
        <v>777</v>
      </c>
    </row>
    <row r="495" spans="1:6" x14ac:dyDescent="0.15">
      <c r="A495">
        <v>8751962</v>
      </c>
      <c r="B495">
        <v>12083062</v>
      </c>
      <c r="C495" t="s">
        <v>22</v>
      </c>
      <c r="D495" t="s">
        <v>114</v>
      </c>
      <c r="E495" s="4" t="str">
        <f>HYPERLINK("https://ibp.a2mac1.com/costing(costing:projects/details/9760/material/8751962)","PA66 VMQ (airbag) adjusted (part)")</f>
        <v>PA66 VMQ (airbag) adjusted (part)</v>
      </c>
      <c r="F495" t="s">
        <v>778</v>
      </c>
    </row>
    <row r="496" spans="1:6" x14ac:dyDescent="0.15">
      <c r="A496">
        <v>12210073</v>
      </c>
      <c r="B496">
        <v>12083062</v>
      </c>
      <c r="C496" t="s">
        <v>163</v>
      </c>
      <c r="D496" t="s">
        <v>114</v>
      </c>
      <c r="E496" s="4" t="str">
        <f>HYPERLINK("https://ibp.a2mac1.com/costing(costing:projects/details/9760/equipment/12210073)","DC machine - General")</f>
        <v>DC machine - General</v>
      </c>
      <c r="F496" t="s">
        <v>778</v>
      </c>
    </row>
    <row r="497" spans="1:6" x14ac:dyDescent="0.15">
      <c r="A497">
        <v>8411288</v>
      </c>
      <c r="B497">
        <v>8411149</v>
      </c>
      <c r="C497" t="s">
        <v>10</v>
      </c>
      <c r="D497" t="s">
        <v>8</v>
      </c>
      <c r="E497" s="4" t="str">
        <f>HYPERLINK("https://ibp.a2mac1.com/costing(costing:projects/details/9760/part/8411288)","Airbag Fastener")</f>
        <v>Airbag Fastener</v>
      </c>
      <c r="F497" t="s">
        <v>776</v>
      </c>
    </row>
    <row r="498" spans="1:6" x14ac:dyDescent="0.15">
      <c r="A498">
        <v>12083063</v>
      </c>
      <c r="B498">
        <v>8411288</v>
      </c>
      <c r="C498" t="s">
        <v>114</v>
      </c>
      <c r="D498" t="s">
        <v>10</v>
      </c>
      <c r="E498" s="4" t="str">
        <f>HYPERLINK("https://ibp.a2mac1.com/costing(costing:projects/details/9760/process/12083063)","Process")</f>
        <v>Process</v>
      </c>
      <c r="F498" t="s">
        <v>780</v>
      </c>
    </row>
    <row r="499" spans="1:6" x14ac:dyDescent="0.15">
      <c r="A499">
        <v>8751963</v>
      </c>
      <c r="B499">
        <v>12083063</v>
      </c>
      <c r="C499" t="s">
        <v>22</v>
      </c>
      <c r="D499" t="s">
        <v>114</v>
      </c>
      <c r="E499" s="4" t="str">
        <f>HYPERLINK("https://ibp.a2mac1.com/costing(costing:projects/details/9760/material/8751963)","Steel+Studs")</f>
        <v>Steel+Studs</v>
      </c>
      <c r="F499" t="s">
        <v>781</v>
      </c>
    </row>
    <row r="500" spans="1:6" x14ac:dyDescent="0.15">
      <c r="A500">
        <v>12210074</v>
      </c>
      <c r="B500">
        <v>12083063</v>
      </c>
      <c r="C500" t="s">
        <v>163</v>
      </c>
      <c r="D500" t="s">
        <v>114</v>
      </c>
      <c r="E500" s="4" t="str">
        <f>HYPERLINK("https://ibp.a2mac1.com/costing(costing:projects/details/9760/equipment/12210074)","DC machine - General")</f>
        <v>DC machine - General</v>
      </c>
      <c r="F500" t="s">
        <v>781</v>
      </c>
    </row>
    <row r="501" spans="1:6" x14ac:dyDescent="0.15">
      <c r="A501">
        <v>8411289</v>
      </c>
      <c r="B501">
        <v>8411149</v>
      </c>
      <c r="C501" t="s">
        <v>10</v>
      </c>
      <c r="D501" t="s">
        <v>8</v>
      </c>
      <c r="E501" s="4" t="str">
        <f>HYPERLINK("https://ibp.a2mac1.com/costing(costing:projects/details/9760/part/8411289)","Airbag Fastener Support")</f>
        <v>Airbag Fastener Support</v>
      </c>
      <c r="F501" t="s">
        <v>776</v>
      </c>
    </row>
    <row r="502" spans="1:6" x14ac:dyDescent="0.15">
      <c r="A502">
        <v>12083064</v>
      </c>
      <c r="B502">
        <v>8411289</v>
      </c>
      <c r="C502" t="s">
        <v>114</v>
      </c>
      <c r="D502" t="s">
        <v>10</v>
      </c>
      <c r="E502" s="4" t="str">
        <f>HYPERLINK("https://ibp.a2mac1.com/costing(costing:projects/details/9760/process/12083064)","Process")</f>
        <v>Process</v>
      </c>
      <c r="F502" t="s">
        <v>783</v>
      </c>
    </row>
    <row r="503" spans="1:6" x14ac:dyDescent="0.15">
      <c r="A503">
        <v>8751964</v>
      </c>
      <c r="B503">
        <v>12083064</v>
      </c>
      <c r="C503" t="s">
        <v>22</v>
      </c>
      <c r="D503" t="s">
        <v>114</v>
      </c>
      <c r="E503" s="4" t="str">
        <f>HYPERLINK("https://ibp.a2mac1.com/costing(costing:projects/details/9760/material/8751964)","Steel sheet (default)")</f>
        <v>Steel sheet (default)</v>
      </c>
      <c r="F503" t="s">
        <v>786</v>
      </c>
    </row>
    <row r="504" spans="1:6" x14ac:dyDescent="0.15">
      <c r="A504">
        <v>12210075</v>
      </c>
      <c r="B504">
        <v>12083064</v>
      </c>
      <c r="C504" t="s">
        <v>163</v>
      </c>
      <c r="D504" t="s">
        <v>114</v>
      </c>
      <c r="E504" s="4" t="str">
        <f>HYPERLINK("https://ibp.a2mac1.com/costing(costing:projects/details/9760/equipment/12210075)","DC machine - General")</f>
        <v>DC machine - General</v>
      </c>
      <c r="F504" t="s">
        <v>786</v>
      </c>
    </row>
    <row r="505" spans="1:6" x14ac:dyDescent="0.15">
      <c r="A505">
        <v>8411290</v>
      </c>
      <c r="B505">
        <v>8411149</v>
      </c>
      <c r="C505" t="s">
        <v>10</v>
      </c>
      <c r="D505" t="s">
        <v>8</v>
      </c>
      <c r="E505" s="4" t="str">
        <f>HYPERLINK("https://ibp.a2mac1.com/costing(costing:projects/details/9760/part/8411290)","Airbag Cylinder")</f>
        <v>Airbag Cylinder</v>
      </c>
      <c r="F505" t="s">
        <v>776</v>
      </c>
    </row>
    <row r="506" spans="1:6" x14ac:dyDescent="0.15">
      <c r="A506">
        <v>8411291</v>
      </c>
      <c r="B506">
        <v>8411149</v>
      </c>
      <c r="C506" t="s">
        <v>10</v>
      </c>
      <c r="D506" t="s">
        <v>8</v>
      </c>
      <c r="E506" s="4" t="str">
        <f>HYPERLINK("https://ibp.a2mac1.com/costing(costing:projects/details/9760/part/8411291)","Airbag Support")</f>
        <v>Airbag Support</v>
      </c>
      <c r="F506" t="s">
        <v>776</v>
      </c>
    </row>
    <row r="507" spans="1:6" x14ac:dyDescent="0.15">
      <c r="A507">
        <v>12083065</v>
      </c>
      <c r="B507">
        <v>8411291</v>
      </c>
      <c r="C507" t="s">
        <v>114</v>
      </c>
      <c r="D507" t="s">
        <v>10</v>
      </c>
      <c r="E507" s="4" t="str">
        <f>HYPERLINK("https://ibp.a2mac1.com/costing(costing:projects/details/9760/process/12083065)","Process")</f>
        <v>Process</v>
      </c>
      <c r="F507" t="s">
        <v>790</v>
      </c>
    </row>
    <row r="508" spans="1:6" x14ac:dyDescent="0.15">
      <c r="A508">
        <v>8751965</v>
      </c>
      <c r="B508">
        <v>12083065</v>
      </c>
      <c r="C508" t="s">
        <v>22</v>
      </c>
      <c r="D508" t="s">
        <v>114</v>
      </c>
      <c r="E508" s="4" t="str">
        <f>HYPERLINK("https://ibp.a2mac1.com/costing(costing:projects/details/9760/material/8751965)","PP")</f>
        <v>PP</v>
      </c>
      <c r="F508" t="s">
        <v>793</v>
      </c>
    </row>
    <row r="509" spans="1:6" x14ac:dyDescent="0.15">
      <c r="A509">
        <v>12210076</v>
      </c>
      <c r="B509">
        <v>12083065</v>
      </c>
      <c r="C509" t="s">
        <v>163</v>
      </c>
      <c r="D509" t="s">
        <v>114</v>
      </c>
      <c r="E509" s="4" t="str">
        <f>HYPERLINK("https://ibp.a2mac1.com/costing(costing:projects/details/9760/equipment/12210076)","DC machine - General")</f>
        <v>DC machine - General</v>
      </c>
      <c r="F509" t="s">
        <v>793</v>
      </c>
    </row>
    <row r="510" spans="1:6" x14ac:dyDescent="0.15">
      <c r="A510">
        <v>12083035</v>
      </c>
      <c r="B510">
        <v>8411149</v>
      </c>
      <c r="C510" t="s">
        <v>114</v>
      </c>
      <c r="D510" t="s">
        <v>8</v>
      </c>
      <c r="E510" s="4" t="str">
        <f>HYPERLINK("https://ibp.a2mac1.com/costing(costing:projects/details/9760/process/12083035)","Final Assembly + Inspection")</f>
        <v>Final Assembly + Inspection</v>
      </c>
      <c r="F510" t="s">
        <v>776</v>
      </c>
    </row>
    <row r="511" spans="1:6" x14ac:dyDescent="0.15">
      <c r="A511">
        <v>12209894</v>
      </c>
      <c r="B511">
        <v>12083035</v>
      </c>
      <c r="C511" t="s">
        <v>163</v>
      </c>
      <c r="D511" t="s">
        <v>114</v>
      </c>
      <c r="E511" s="4" t="str">
        <f>HYPERLINK("https://ibp.a2mac1.com/costing(costing:projects/details/9760/equipment/12209894)","DC machine - General")</f>
        <v>DC machine - General</v>
      </c>
      <c r="F511" t="s">
        <v>796</v>
      </c>
    </row>
    <row r="512" spans="1:6" x14ac:dyDescent="0.15">
      <c r="A512">
        <v>8751911</v>
      </c>
      <c r="B512">
        <v>8411149</v>
      </c>
      <c r="C512" t="s">
        <v>311</v>
      </c>
      <c r="D512" t="s">
        <v>8</v>
      </c>
      <c r="E512" s="4" t="str">
        <f>HYPERLINK("https://ibp.a2mac1.com/costing(costing:projects/details/9760/component/8751911)","Screw &gt; Hexagon screw with captive washer")</f>
        <v>Screw &gt; Hexagon screw with captive washer</v>
      </c>
      <c r="F512" t="s">
        <v>776</v>
      </c>
    </row>
    <row r="513" spans="1:6" x14ac:dyDescent="0.15">
      <c r="A513">
        <v>8751912</v>
      </c>
      <c r="B513">
        <v>8411149</v>
      </c>
      <c r="C513" t="s">
        <v>311</v>
      </c>
      <c r="D513" t="s">
        <v>8</v>
      </c>
      <c r="E513" s="4" t="str">
        <f>HYPERLINK("https://ibp.a2mac1.com/costing(costing:projects/details/9760/component/8751912)","Nut &gt; Hexagonal nut with collar")</f>
        <v>Nut &gt; Hexagonal nut with collar</v>
      </c>
      <c r="F513" t="s">
        <v>776</v>
      </c>
    </row>
    <row r="514" spans="1:6" x14ac:dyDescent="0.15">
      <c r="A514">
        <v>8751913</v>
      </c>
      <c r="B514">
        <v>8411149</v>
      </c>
      <c r="C514" t="s">
        <v>311</v>
      </c>
      <c r="D514" t="s">
        <v>8</v>
      </c>
      <c r="E514" s="4" t="str">
        <f>HYPERLINK("https://ibp.a2mac1.com/costing(costing:projects/details/9760/component/8751913)","Nut &gt; Hexagonal nut with captive washer")</f>
        <v>Nut &gt; Hexagonal nut with captive washer</v>
      </c>
      <c r="F514" t="s">
        <v>776</v>
      </c>
    </row>
    <row r="515" spans="1:6" x14ac:dyDescent="0.15">
      <c r="A515">
        <v>8411111</v>
      </c>
      <c r="B515">
        <v>8411061</v>
      </c>
      <c r="C515" t="s">
        <v>8</v>
      </c>
      <c r="D515" t="s">
        <v>8</v>
      </c>
      <c r="E515" s="4" t="str">
        <f>HYPERLINK("https://ibp.a2mac1.com/costing(costing:projects/details/9760/assembly/8411111)","Curtains Airbag")</f>
        <v>Curtains Airbag</v>
      </c>
      <c r="F515" t="s">
        <v>728</v>
      </c>
    </row>
    <row r="516" spans="1:6" x14ac:dyDescent="0.15">
      <c r="A516">
        <v>8411150</v>
      </c>
      <c r="B516">
        <v>8411111</v>
      </c>
      <c r="C516" t="s">
        <v>8</v>
      </c>
      <c r="D516" t="s">
        <v>8</v>
      </c>
      <c r="E516" s="4" t="str">
        <f>HYPERLINK("https://ibp.a2mac1.com/costing(costing:projects/details/9760/assembly/8411150)","Curtain Airbags")</f>
        <v>Curtain Airbags</v>
      </c>
      <c r="F516" t="s">
        <v>799</v>
      </c>
    </row>
    <row r="517" spans="1:6" x14ac:dyDescent="0.15">
      <c r="A517">
        <v>8411292</v>
      </c>
      <c r="B517">
        <v>8411150</v>
      </c>
      <c r="C517" t="s">
        <v>10</v>
      </c>
      <c r="D517" t="s">
        <v>8</v>
      </c>
      <c r="E517" s="4" t="str">
        <f>HYPERLINK("https://ibp.a2mac1.com/costing(costing:projects/details/9760/part/8411292)","Left Airbag System View")</f>
        <v>Left Airbag System View</v>
      </c>
      <c r="F517" t="s">
        <v>800</v>
      </c>
    </row>
    <row r="518" spans="1:6" x14ac:dyDescent="0.15">
      <c r="A518">
        <v>12083066</v>
      </c>
      <c r="B518">
        <v>8411292</v>
      </c>
      <c r="C518" t="s">
        <v>114</v>
      </c>
      <c r="D518" t="s">
        <v>10</v>
      </c>
      <c r="E518" s="4" t="str">
        <f>HYPERLINK("https://ibp.a2mac1.com/costing(costing:projects/details/9760/process/12083066)","Final Assembly + Inspection")</f>
        <v>Final Assembly + Inspection</v>
      </c>
      <c r="F518" t="s">
        <v>801</v>
      </c>
    </row>
    <row r="519" spans="1:6" x14ac:dyDescent="0.15">
      <c r="A519">
        <v>12210077</v>
      </c>
      <c r="B519">
        <v>12083066</v>
      </c>
      <c r="C519" t="s">
        <v>163</v>
      </c>
      <c r="D519" t="s">
        <v>114</v>
      </c>
      <c r="E519" s="4" t="str">
        <f>HYPERLINK("https://ibp.a2mac1.com/costing(costing:projects/details/9760/equipment/12210077)","DC machine - General")</f>
        <v>DC machine - General</v>
      </c>
      <c r="F519" t="s">
        <v>802</v>
      </c>
    </row>
    <row r="520" spans="1:6" x14ac:dyDescent="0.15">
      <c r="A520">
        <v>8411293</v>
      </c>
      <c r="B520">
        <v>8411150</v>
      </c>
      <c r="C520" t="s">
        <v>10</v>
      </c>
      <c r="D520" t="s">
        <v>8</v>
      </c>
      <c r="E520" s="4" t="str">
        <f>HYPERLINK("https://ibp.a2mac1.com/costing(costing:projects/details/9760/part/8411293)","Left Airbag")</f>
        <v>Left Airbag</v>
      </c>
      <c r="F520" t="s">
        <v>800</v>
      </c>
    </row>
    <row r="521" spans="1:6" x14ac:dyDescent="0.15">
      <c r="A521">
        <v>12083067</v>
      </c>
      <c r="B521">
        <v>8411293</v>
      </c>
      <c r="C521" t="s">
        <v>114</v>
      </c>
      <c r="D521" t="s">
        <v>10</v>
      </c>
      <c r="E521" s="4" t="str">
        <f>HYPERLINK("https://ibp.a2mac1.com/costing(costing:projects/details/9760/process/12083067)","Process")</f>
        <v>Process</v>
      </c>
      <c r="F521" t="s">
        <v>804</v>
      </c>
    </row>
    <row r="522" spans="1:6" x14ac:dyDescent="0.15">
      <c r="A522">
        <v>8751966</v>
      </c>
      <c r="B522">
        <v>12083067</v>
      </c>
      <c r="C522" t="s">
        <v>22</v>
      </c>
      <c r="D522" t="s">
        <v>114</v>
      </c>
      <c r="E522" s="4" t="str">
        <f>HYPERLINK("https://ibp.a2mac1.com/costing(costing:projects/details/9760/material/8751966)","PET VMQ (airbag) adjusted (part)")</f>
        <v>PET VMQ (airbag) adjusted (part)</v>
      </c>
      <c r="F522" t="s">
        <v>805</v>
      </c>
    </row>
    <row r="523" spans="1:6" x14ac:dyDescent="0.15">
      <c r="A523">
        <v>12210078</v>
      </c>
      <c r="B523">
        <v>12083067</v>
      </c>
      <c r="C523" t="s">
        <v>163</v>
      </c>
      <c r="D523" t="s">
        <v>114</v>
      </c>
      <c r="E523" s="4" t="str">
        <f>HYPERLINK("https://ibp.a2mac1.com/costing(costing:projects/details/9760/equipment/12210078)","DC machine - General")</f>
        <v>DC machine - General</v>
      </c>
      <c r="F523" t="s">
        <v>805</v>
      </c>
    </row>
    <row r="524" spans="1:6" x14ac:dyDescent="0.15">
      <c r="A524">
        <v>8411294</v>
      </c>
      <c r="B524">
        <v>8411150</v>
      </c>
      <c r="C524" t="s">
        <v>10</v>
      </c>
      <c r="D524" t="s">
        <v>8</v>
      </c>
      <c r="E524" s="4" t="str">
        <f>HYPERLINK("https://ibp.a2mac1.com/costing(costing:projects/details/9760/part/8411294)","Left Airbag Cylinder")</f>
        <v>Left Airbag Cylinder</v>
      </c>
      <c r="F524" t="s">
        <v>800</v>
      </c>
    </row>
    <row r="525" spans="1:6" x14ac:dyDescent="0.15">
      <c r="A525">
        <v>8411295</v>
      </c>
      <c r="B525">
        <v>8411150</v>
      </c>
      <c r="C525" t="s">
        <v>10</v>
      </c>
      <c r="D525" t="s">
        <v>8</v>
      </c>
      <c r="E525" s="4" t="str">
        <f>HYPERLINK("https://ibp.a2mac1.com/costing(costing:projects/details/9760/part/8411295)","Left Airbag Cylinder Support")</f>
        <v>Left Airbag Cylinder Support</v>
      </c>
      <c r="F525" t="s">
        <v>800</v>
      </c>
    </row>
    <row r="526" spans="1:6" x14ac:dyDescent="0.15">
      <c r="A526">
        <v>12083068</v>
      </c>
      <c r="B526">
        <v>8411295</v>
      </c>
      <c r="C526" t="s">
        <v>114</v>
      </c>
      <c r="D526" t="s">
        <v>10</v>
      </c>
      <c r="E526" s="4" t="str">
        <f>HYPERLINK("https://ibp.a2mac1.com/costing(costing:projects/details/9760/process/12083068)","Process")</f>
        <v>Process</v>
      </c>
      <c r="F526" t="s">
        <v>809</v>
      </c>
    </row>
    <row r="527" spans="1:6" x14ac:dyDescent="0.15">
      <c r="A527">
        <v>8751967</v>
      </c>
      <c r="B527">
        <v>12083068</v>
      </c>
      <c r="C527" t="s">
        <v>22</v>
      </c>
      <c r="D527" t="s">
        <v>114</v>
      </c>
      <c r="E527" s="4" t="str">
        <f>HYPERLINK("https://ibp.a2mac1.com/costing(costing:projects/details/9760/material/8751967)","Steel sheet (default) adjusted (part)")</f>
        <v>Steel sheet (default) adjusted (part)</v>
      </c>
      <c r="F527" t="s">
        <v>810</v>
      </c>
    </row>
    <row r="528" spans="1:6" x14ac:dyDescent="0.15">
      <c r="A528">
        <v>12210079</v>
      </c>
      <c r="B528">
        <v>12083068</v>
      </c>
      <c r="C528" t="s">
        <v>163</v>
      </c>
      <c r="D528" t="s">
        <v>114</v>
      </c>
      <c r="E528" s="4" t="str">
        <f>HYPERLINK("https://ibp.a2mac1.com/costing(costing:projects/details/9760/equipment/12210079)","DC machine - General")</f>
        <v>DC machine - General</v>
      </c>
      <c r="F528" t="s">
        <v>810</v>
      </c>
    </row>
    <row r="529" spans="1:6" x14ac:dyDescent="0.15">
      <c r="A529">
        <v>8411296</v>
      </c>
      <c r="B529">
        <v>8411150</v>
      </c>
      <c r="C529" t="s">
        <v>10</v>
      </c>
      <c r="D529" t="s">
        <v>8</v>
      </c>
      <c r="E529" s="4" t="str">
        <f>HYPERLINK("https://ibp.a2mac1.com/costing(costing:projects/details/9760/part/8411296)","Right Airbag System View")</f>
        <v>Right Airbag System View</v>
      </c>
      <c r="F529" t="s">
        <v>800</v>
      </c>
    </row>
    <row r="530" spans="1:6" x14ac:dyDescent="0.15">
      <c r="A530">
        <v>12083069</v>
      </c>
      <c r="B530">
        <v>8411296</v>
      </c>
      <c r="C530" t="s">
        <v>114</v>
      </c>
      <c r="D530" t="s">
        <v>10</v>
      </c>
      <c r="E530" s="4" t="str">
        <f>HYPERLINK("https://ibp.a2mac1.com/costing(costing:projects/details/9760/process/12083069)","Final Assembly + Inspection")</f>
        <v>Final Assembly + Inspection</v>
      </c>
      <c r="F530" t="s">
        <v>813</v>
      </c>
    </row>
    <row r="531" spans="1:6" x14ac:dyDescent="0.15">
      <c r="A531">
        <v>12210080</v>
      </c>
      <c r="B531">
        <v>12083069</v>
      </c>
      <c r="C531" t="s">
        <v>163</v>
      </c>
      <c r="D531" t="s">
        <v>114</v>
      </c>
      <c r="E531" s="4" t="str">
        <f>HYPERLINK("https://ibp.a2mac1.com/costing(costing:projects/details/9760/equipment/12210080)","DC machine - General")</f>
        <v>DC machine - General</v>
      </c>
      <c r="F531" t="s">
        <v>814</v>
      </c>
    </row>
    <row r="532" spans="1:6" x14ac:dyDescent="0.15">
      <c r="A532">
        <v>8411297</v>
      </c>
      <c r="B532">
        <v>8411150</v>
      </c>
      <c r="C532" t="s">
        <v>10</v>
      </c>
      <c r="D532" t="s">
        <v>8</v>
      </c>
      <c r="E532" s="4" t="str">
        <f>HYPERLINK("https://ibp.a2mac1.com/costing(costing:projects/details/9760/part/8411297)","Right Airbag")</f>
        <v>Right Airbag</v>
      </c>
      <c r="F532" t="s">
        <v>800</v>
      </c>
    </row>
    <row r="533" spans="1:6" x14ac:dyDescent="0.15">
      <c r="A533">
        <v>12083070</v>
      </c>
      <c r="B533">
        <v>8411297</v>
      </c>
      <c r="C533" t="s">
        <v>114</v>
      </c>
      <c r="D533" t="s">
        <v>10</v>
      </c>
      <c r="E533" s="4" t="str">
        <f>HYPERLINK("https://ibp.a2mac1.com/costing(costing:projects/details/9760/process/12083070)","Process")</f>
        <v>Process</v>
      </c>
      <c r="F533" t="s">
        <v>816</v>
      </c>
    </row>
    <row r="534" spans="1:6" x14ac:dyDescent="0.15">
      <c r="A534">
        <v>8751968</v>
      </c>
      <c r="B534">
        <v>12083070</v>
      </c>
      <c r="C534" t="s">
        <v>22</v>
      </c>
      <c r="D534" t="s">
        <v>114</v>
      </c>
      <c r="E534" s="4" t="str">
        <f>HYPERLINK("https://ibp.a2mac1.com/costing(costing:projects/details/9760/material/8751968)","PET VMQ (airbag) adjusted (part)")</f>
        <v>PET VMQ (airbag) adjusted (part)</v>
      </c>
      <c r="F534" t="s">
        <v>817</v>
      </c>
    </row>
    <row r="535" spans="1:6" x14ac:dyDescent="0.15">
      <c r="A535">
        <v>12210081</v>
      </c>
      <c r="B535">
        <v>12083070</v>
      </c>
      <c r="C535" t="s">
        <v>163</v>
      </c>
      <c r="D535" t="s">
        <v>114</v>
      </c>
      <c r="E535" s="4" t="str">
        <f>HYPERLINK("https://ibp.a2mac1.com/costing(costing:projects/details/9760/equipment/12210081)","DC machine - General")</f>
        <v>DC machine - General</v>
      </c>
      <c r="F535" t="s">
        <v>817</v>
      </c>
    </row>
    <row r="536" spans="1:6" x14ac:dyDescent="0.15">
      <c r="A536">
        <v>8411298</v>
      </c>
      <c r="B536">
        <v>8411150</v>
      </c>
      <c r="C536" t="s">
        <v>10</v>
      </c>
      <c r="D536" t="s">
        <v>8</v>
      </c>
      <c r="E536" s="4" t="str">
        <f>HYPERLINK("https://ibp.a2mac1.com/costing(costing:projects/details/9760/part/8411298)","Right Airbag Cylinder")</f>
        <v>Right Airbag Cylinder</v>
      </c>
      <c r="F536" t="s">
        <v>800</v>
      </c>
    </row>
    <row r="537" spans="1:6" x14ac:dyDescent="0.15">
      <c r="A537">
        <v>8411299</v>
      </c>
      <c r="B537">
        <v>8411150</v>
      </c>
      <c r="C537" t="s">
        <v>10</v>
      </c>
      <c r="D537" t="s">
        <v>8</v>
      </c>
      <c r="E537" s="4" t="str">
        <f>HYPERLINK("https://ibp.a2mac1.com/costing(costing:projects/details/9760/part/8411299)","Right Airbag Cylinder Support")</f>
        <v>Right Airbag Cylinder Support</v>
      </c>
      <c r="F537" t="s">
        <v>800</v>
      </c>
    </row>
    <row r="538" spans="1:6" x14ac:dyDescent="0.15">
      <c r="A538">
        <v>12083071</v>
      </c>
      <c r="B538">
        <v>8411299</v>
      </c>
      <c r="C538" t="s">
        <v>114</v>
      </c>
      <c r="D538" t="s">
        <v>10</v>
      </c>
      <c r="E538" s="4" t="str">
        <f>HYPERLINK("https://ibp.a2mac1.com/costing(costing:projects/details/9760/process/12083071)","Process")</f>
        <v>Process</v>
      </c>
      <c r="F538" t="s">
        <v>821</v>
      </c>
    </row>
    <row r="539" spans="1:6" x14ac:dyDescent="0.15">
      <c r="A539">
        <v>8751969</v>
      </c>
      <c r="B539">
        <v>12083071</v>
      </c>
      <c r="C539" t="s">
        <v>22</v>
      </c>
      <c r="D539" t="s">
        <v>114</v>
      </c>
      <c r="E539" s="4" t="str">
        <f>HYPERLINK("https://ibp.a2mac1.com/costing(costing:projects/details/9760/material/8751969)","Steel sheet (default) adjusted (part)")</f>
        <v>Steel sheet (default) adjusted (part)</v>
      </c>
      <c r="F539" t="s">
        <v>822</v>
      </c>
    </row>
    <row r="540" spans="1:6" x14ac:dyDescent="0.15">
      <c r="A540">
        <v>12210082</v>
      </c>
      <c r="B540">
        <v>12083071</v>
      </c>
      <c r="C540" t="s">
        <v>163</v>
      </c>
      <c r="D540" t="s">
        <v>114</v>
      </c>
      <c r="E540" s="4" t="str">
        <f>HYPERLINK("https://ibp.a2mac1.com/costing(costing:projects/details/9760/equipment/12210082)","DC machine - General")</f>
        <v>DC machine - General</v>
      </c>
      <c r="F540" t="s">
        <v>822</v>
      </c>
    </row>
    <row r="541" spans="1:6" x14ac:dyDescent="0.15">
      <c r="A541">
        <v>8751914</v>
      </c>
      <c r="B541">
        <v>8411150</v>
      </c>
      <c r="C541" t="s">
        <v>311</v>
      </c>
      <c r="D541" t="s">
        <v>8</v>
      </c>
      <c r="E541" s="4" t="str">
        <f>HYPERLINK("https://ibp.a2mac1.com/costing(costing:projects/details/9760/component/8751914)","Tube/cluster support &gt; Tube/cluster beribboned support in hole")</f>
        <v>Tube/cluster support &gt; Tube/cluster beribboned support in hole</v>
      </c>
      <c r="F541" t="s">
        <v>800</v>
      </c>
    </row>
    <row r="542" spans="1:6" x14ac:dyDescent="0.15">
      <c r="A542">
        <v>8751915</v>
      </c>
      <c r="B542">
        <v>8411150</v>
      </c>
      <c r="C542" t="s">
        <v>311</v>
      </c>
      <c r="D542" t="s">
        <v>8</v>
      </c>
      <c r="E542" s="4" t="str">
        <f>HYPERLINK("https://ibp.a2mac1.com/costing(costing:projects/details/9760/component/8751915)","Tube connector &gt; Collar")</f>
        <v>Tube connector &gt; Collar</v>
      </c>
      <c r="F542" t="s">
        <v>800</v>
      </c>
    </row>
    <row r="543" spans="1:6" x14ac:dyDescent="0.15">
      <c r="A543">
        <v>8751916</v>
      </c>
      <c r="B543">
        <v>8411150</v>
      </c>
      <c r="C543" t="s">
        <v>311</v>
      </c>
      <c r="D543" t="s">
        <v>8</v>
      </c>
      <c r="E543" s="4" t="str">
        <f>HYPERLINK("https://ibp.a2mac1.com/costing(costing:projects/details/9760/component/8751916)","Screw &gt; Hexagon screw with captive washer")</f>
        <v>Screw &gt; Hexagon screw with captive washer</v>
      </c>
      <c r="F543" t="s">
        <v>800</v>
      </c>
    </row>
    <row r="544" spans="1:6" x14ac:dyDescent="0.15">
      <c r="A544">
        <v>8751917</v>
      </c>
      <c r="B544">
        <v>8411150</v>
      </c>
      <c r="C544" t="s">
        <v>311</v>
      </c>
      <c r="D544" t="s">
        <v>8</v>
      </c>
      <c r="E544" s="4" t="str">
        <f>HYPERLINK("https://ibp.a2mac1.com/costing(costing:projects/details/9760/component/8751917)","Tube/cluster support &gt; Tube/cluster beribboned support in hole")</f>
        <v>Tube/cluster support &gt; Tube/cluster beribboned support in hole</v>
      </c>
      <c r="F544" t="s">
        <v>800</v>
      </c>
    </row>
    <row r="545" spans="1:6" x14ac:dyDescent="0.15">
      <c r="A545">
        <v>8751918</v>
      </c>
      <c r="B545">
        <v>8411150</v>
      </c>
      <c r="C545" t="s">
        <v>311</v>
      </c>
      <c r="D545" t="s">
        <v>8</v>
      </c>
      <c r="E545" s="4" t="str">
        <f>HYPERLINK("https://ibp.a2mac1.com/costing(costing:projects/details/9760/component/8751918)","Tube connector &gt; Collar")</f>
        <v>Tube connector &gt; Collar</v>
      </c>
      <c r="F545" t="s">
        <v>800</v>
      </c>
    </row>
    <row r="546" spans="1:6" x14ac:dyDescent="0.15">
      <c r="A546">
        <v>8751919</v>
      </c>
      <c r="B546">
        <v>8411150</v>
      </c>
      <c r="C546" t="s">
        <v>311</v>
      </c>
      <c r="D546" t="s">
        <v>8</v>
      </c>
      <c r="E546" s="4" t="str">
        <f>HYPERLINK("https://ibp.a2mac1.com/costing(costing:projects/details/9760/component/8751919)","Screw &gt; Hexagon screw with captive washer")</f>
        <v>Screw &gt; Hexagon screw with captive washer</v>
      </c>
      <c r="F546" t="s">
        <v>800</v>
      </c>
    </row>
    <row r="547" spans="1:6" x14ac:dyDescent="0.15">
      <c r="A547">
        <v>8411112</v>
      </c>
      <c r="B547">
        <v>8411061</v>
      </c>
      <c r="C547" t="s">
        <v>8</v>
      </c>
      <c r="D547" t="s">
        <v>8</v>
      </c>
      <c r="E547" s="4" t="str">
        <f>HYPERLINK("https://ibp.a2mac1.com/costing(costing:projects/details/9760/assembly/8411112)","Airbags Sensors")</f>
        <v>Airbags Sensors</v>
      </c>
      <c r="F547" t="s">
        <v>728</v>
      </c>
    </row>
    <row r="548" spans="1:6" x14ac:dyDescent="0.15">
      <c r="A548">
        <v>8411151</v>
      </c>
      <c r="B548">
        <v>8411112</v>
      </c>
      <c r="C548" t="s">
        <v>10</v>
      </c>
      <c r="D548" t="s">
        <v>8</v>
      </c>
      <c r="E548" s="4" t="str">
        <f>HYPERLINK("https://ibp.a2mac1.com/costing(costing:projects/details/9760/part/8411151)","Front Airbag Sensor")</f>
        <v>Front Airbag Sensor</v>
      </c>
      <c r="F548" t="s">
        <v>826</v>
      </c>
    </row>
    <row r="549" spans="1:6" x14ac:dyDescent="0.15">
      <c r="A549">
        <v>8411152</v>
      </c>
      <c r="B549">
        <v>8411112</v>
      </c>
      <c r="C549" t="s">
        <v>10</v>
      </c>
      <c r="D549" t="s">
        <v>8</v>
      </c>
      <c r="E549" s="4" t="str">
        <f>HYPERLINK("https://ibp.a2mac1.com/costing(costing:projects/details/9760/part/8411152)","Driver Door Sensor")</f>
        <v>Driver Door Sensor</v>
      </c>
      <c r="F549" t="s">
        <v>826</v>
      </c>
    </row>
    <row r="550" spans="1:6" x14ac:dyDescent="0.15">
      <c r="A550">
        <v>8411153</v>
      </c>
      <c r="B550">
        <v>8411112</v>
      </c>
      <c r="C550" t="s">
        <v>10</v>
      </c>
      <c r="D550" t="s">
        <v>8</v>
      </c>
      <c r="E550" s="4" t="str">
        <f>HYPERLINK("https://ibp.a2mac1.com/costing(costing:projects/details/9760/part/8411153)","Passenger Door Sensor")</f>
        <v>Passenger Door Sensor</v>
      </c>
      <c r="F550" t="s">
        <v>826</v>
      </c>
    </row>
    <row r="551" spans="1:6" x14ac:dyDescent="0.15">
      <c r="A551">
        <v>8411154</v>
      </c>
      <c r="B551">
        <v>8411112</v>
      </c>
      <c r="C551" t="s">
        <v>10</v>
      </c>
      <c r="D551" t="s">
        <v>8</v>
      </c>
      <c r="E551" s="4" t="str">
        <f>HYPERLINK("https://ibp.a2mac1.com/costing(costing:projects/details/9760/part/8411154)","Passenger Door Sensor Support")</f>
        <v>Passenger Door Sensor Support</v>
      </c>
      <c r="F551" t="s">
        <v>826</v>
      </c>
    </row>
    <row r="552" spans="1:6" x14ac:dyDescent="0.15">
      <c r="A552">
        <v>8411155</v>
      </c>
      <c r="B552">
        <v>8411112</v>
      </c>
      <c r="C552" t="s">
        <v>10</v>
      </c>
      <c r="D552" t="s">
        <v>8</v>
      </c>
      <c r="E552" s="4" t="str">
        <f>HYPERLINK("https://ibp.a2mac1.com/costing(costing:projects/details/9760/part/8411155)","B Pillar Sensor")</f>
        <v>B Pillar Sensor</v>
      </c>
      <c r="F552" t="s">
        <v>826</v>
      </c>
    </row>
    <row r="553" spans="1:6" x14ac:dyDescent="0.15">
      <c r="A553">
        <v>8411156</v>
      </c>
      <c r="B553">
        <v>8411112</v>
      </c>
      <c r="C553" t="s">
        <v>10</v>
      </c>
      <c r="D553" t="s">
        <v>8</v>
      </c>
      <c r="E553" s="4" t="str">
        <f>HYPERLINK("https://ibp.a2mac1.com/costing(costing:projects/details/9760/part/8411156)","Driver Sensor Door Support")</f>
        <v>Driver Sensor Door Support</v>
      </c>
      <c r="F553" t="s">
        <v>826</v>
      </c>
    </row>
    <row r="554" spans="1:6" x14ac:dyDescent="0.15">
      <c r="A554">
        <v>8751884</v>
      </c>
      <c r="B554">
        <v>8411112</v>
      </c>
      <c r="C554" t="s">
        <v>311</v>
      </c>
      <c r="D554" t="s">
        <v>8</v>
      </c>
      <c r="E554" s="4" t="str">
        <f>HYPERLINK("https://ibp.a2mac1.com/costing(costing:projects/details/9760/component/8751884)","Flange Nut M10")</f>
        <v>Flange Nut M10</v>
      </c>
      <c r="F554" t="s">
        <v>826</v>
      </c>
    </row>
    <row r="555" spans="1:6" x14ac:dyDescent="0.15">
      <c r="A555">
        <v>8751885</v>
      </c>
      <c r="B555">
        <v>8411112</v>
      </c>
      <c r="C555" t="s">
        <v>311</v>
      </c>
      <c r="D555" t="s">
        <v>8</v>
      </c>
      <c r="E555" s="4" t="str">
        <f>HYPERLINK("https://ibp.a2mac1.com/costing(costing:projects/details/9760/component/8751885)","Flange Nut M10")</f>
        <v>Flange Nut M10</v>
      </c>
      <c r="F555" t="s">
        <v>826</v>
      </c>
    </row>
    <row r="556" spans="1:6" x14ac:dyDescent="0.15">
      <c r="A556">
        <v>8411062</v>
      </c>
      <c r="B556">
        <v>8411026</v>
      </c>
      <c r="C556" t="s">
        <v>8</v>
      </c>
      <c r="D556" t="s">
        <v>8</v>
      </c>
      <c r="E556" s="4" t="str">
        <f>HYPERLINK("https://ibp.a2mac1.com/costing(costing:projects/details/9760/assembly/8411062)","Seat Belt")</f>
        <v>Seat Belt</v>
      </c>
      <c r="F556" t="s">
        <v>727</v>
      </c>
    </row>
    <row r="557" spans="1:6" x14ac:dyDescent="0.15">
      <c r="A557">
        <v>8411113</v>
      </c>
      <c r="B557">
        <v>8411062</v>
      </c>
      <c r="C557" t="s">
        <v>8</v>
      </c>
      <c r="D557" t="s">
        <v>8</v>
      </c>
      <c r="E557" s="4" t="str">
        <f>HYPERLINK("https://ibp.a2mac1.com/costing(costing:projects/details/9760/assembly/8411113)","Seat Belt Front Driver")</f>
        <v>Seat Belt Front Driver</v>
      </c>
      <c r="F557" t="s">
        <v>839</v>
      </c>
    </row>
    <row r="558" spans="1:6" x14ac:dyDescent="0.15">
      <c r="A558">
        <v>8411159</v>
      </c>
      <c r="B558">
        <v>8411113</v>
      </c>
      <c r="C558" t="s">
        <v>8</v>
      </c>
      <c r="D558" t="s">
        <v>8</v>
      </c>
      <c r="E558" s="4" t="str">
        <f>HYPERLINK("https://ibp.a2mac1.com/costing(costing:projects/details/9760/assembly/8411159)","Guide")</f>
        <v>Guide</v>
      </c>
      <c r="F558" t="s">
        <v>840</v>
      </c>
    </row>
    <row r="559" spans="1:6" x14ac:dyDescent="0.15">
      <c r="A559">
        <v>8411300</v>
      </c>
      <c r="B559">
        <v>8411159</v>
      </c>
      <c r="C559" t="s">
        <v>10</v>
      </c>
      <c r="D559" t="s">
        <v>8</v>
      </c>
      <c r="E559" s="4" t="str">
        <f>HYPERLINK("https://ibp.a2mac1.com/costing(costing:projects/details/9760/part/8411300)","Upper")</f>
        <v>Upper</v>
      </c>
      <c r="F559" t="s">
        <v>841</v>
      </c>
    </row>
    <row r="560" spans="1:6" x14ac:dyDescent="0.15">
      <c r="A560">
        <v>12083072</v>
      </c>
      <c r="B560">
        <v>8411300</v>
      </c>
      <c r="C560" t="s">
        <v>114</v>
      </c>
      <c r="D560" t="s">
        <v>10</v>
      </c>
      <c r="E560" s="4" t="str">
        <f>HYPERLINK("https://ibp.a2mac1.com/costing(costing:projects/details/9760/process/12083072)","Process")</f>
        <v>Process</v>
      </c>
      <c r="F560" t="s">
        <v>842</v>
      </c>
    </row>
    <row r="561" spans="1:6" x14ac:dyDescent="0.15">
      <c r="A561">
        <v>8751970</v>
      </c>
      <c r="B561">
        <v>12083072</v>
      </c>
      <c r="C561" t="s">
        <v>22</v>
      </c>
      <c r="D561" t="s">
        <v>114</v>
      </c>
      <c r="E561" s="4" t="str">
        <f>HYPERLINK("https://ibp.a2mac1.com/costing(costing:projects/details/9760/material/8751970)","PA66")</f>
        <v>PA66</v>
      </c>
      <c r="F561" t="s">
        <v>845</v>
      </c>
    </row>
    <row r="562" spans="1:6" x14ac:dyDescent="0.15">
      <c r="A562">
        <v>12210083</v>
      </c>
      <c r="B562">
        <v>12083072</v>
      </c>
      <c r="C562" t="s">
        <v>163</v>
      </c>
      <c r="D562" t="s">
        <v>114</v>
      </c>
      <c r="E562" s="4" t="str">
        <f>HYPERLINK("https://ibp.a2mac1.com/costing(costing:projects/details/9760/equipment/12210083)","DC machine - General")</f>
        <v>DC machine - General</v>
      </c>
      <c r="F562" t="s">
        <v>845</v>
      </c>
    </row>
    <row r="563" spans="1:6" x14ac:dyDescent="0.15">
      <c r="A563">
        <v>8411157</v>
      </c>
      <c r="B563">
        <v>8411113</v>
      </c>
      <c r="C563" t="s">
        <v>10</v>
      </c>
      <c r="D563" t="s">
        <v>8</v>
      </c>
      <c r="E563" s="4" t="str">
        <f>HYPERLINK("https://ibp.a2mac1.com/costing(costing:projects/details/9760/part/8411157)","Safety Belt Complete")</f>
        <v>Safety Belt Complete</v>
      </c>
      <c r="F563" t="s">
        <v>840</v>
      </c>
    </row>
    <row r="564" spans="1:6" x14ac:dyDescent="0.15">
      <c r="A564">
        <v>12083036</v>
      </c>
      <c r="B564">
        <v>8411157</v>
      </c>
      <c r="C564" t="s">
        <v>114</v>
      </c>
      <c r="D564" t="s">
        <v>10</v>
      </c>
      <c r="E564" s="4" t="str">
        <f>HYPERLINK("https://ibp.a2mac1.com/costing(costing:projects/details/9760/process/12083036)","Process")</f>
        <v>Process</v>
      </c>
      <c r="F564" t="s">
        <v>849</v>
      </c>
    </row>
    <row r="565" spans="1:6" x14ac:dyDescent="0.15">
      <c r="A565">
        <v>8751948</v>
      </c>
      <c r="B565">
        <v>12083036</v>
      </c>
      <c r="C565" t="s">
        <v>22</v>
      </c>
      <c r="D565" t="s">
        <v>114</v>
      </c>
      <c r="E565" s="4" t="str">
        <f>HYPERLINK("https://ibp.a2mac1.com/costing(costing:projects/details/9760/material/8751948)","Material")</f>
        <v>Material</v>
      </c>
      <c r="F565" t="s">
        <v>850</v>
      </c>
    </row>
    <row r="566" spans="1:6" x14ac:dyDescent="0.15">
      <c r="A566">
        <v>12209895</v>
      </c>
      <c r="B566">
        <v>12083036</v>
      </c>
      <c r="C566" t="s">
        <v>163</v>
      </c>
      <c r="D566" t="s">
        <v>114</v>
      </c>
      <c r="E566" s="4" t="str">
        <f>HYPERLINK("https://ibp.a2mac1.com/costing(costing:projects/details/9760/equipment/12209895)","DC machine - General")</f>
        <v>DC machine - General</v>
      </c>
      <c r="F566" t="s">
        <v>850</v>
      </c>
    </row>
    <row r="567" spans="1:6" x14ac:dyDescent="0.15">
      <c r="A567">
        <v>8411158</v>
      </c>
      <c r="B567">
        <v>8411113</v>
      </c>
      <c r="C567" t="s">
        <v>10</v>
      </c>
      <c r="D567" t="s">
        <v>8</v>
      </c>
      <c r="E567" s="4" t="str">
        <f>HYPERLINK("https://ibp.a2mac1.com/costing(costing:projects/details/9760/part/8411158)","Belt Lock")</f>
        <v>Belt Lock</v>
      </c>
      <c r="F567" t="s">
        <v>840</v>
      </c>
    </row>
    <row r="568" spans="1:6" x14ac:dyDescent="0.15">
      <c r="A568">
        <v>12083037</v>
      </c>
      <c r="B568">
        <v>8411158</v>
      </c>
      <c r="C568" t="s">
        <v>114</v>
      </c>
      <c r="D568" t="s">
        <v>10</v>
      </c>
      <c r="E568" s="4" t="str">
        <f>HYPERLINK("https://ibp.a2mac1.com/costing(costing:projects/details/9760/process/12083037)","Process")</f>
        <v>Process</v>
      </c>
      <c r="F568" t="s">
        <v>853</v>
      </c>
    </row>
    <row r="569" spans="1:6" x14ac:dyDescent="0.15">
      <c r="A569">
        <v>8751949</v>
      </c>
      <c r="B569">
        <v>12083037</v>
      </c>
      <c r="C569" t="s">
        <v>22</v>
      </c>
      <c r="D569" t="s">
        <v>114</v>
      </c>
      <c r="E569" s="4" t="str">
        <f>HYPERLINK("https://ibp.a2mac1.com/costing(costing:projects/details/9760/material/8751949)","Material")</f>
        <v>Material</v>
      </c>
      <c r="F569" t="s">
        <v>854</v>
      </c>
    </row>
    <row r="570" spans="1:6" x14ac:dyDescent="0.15">
      <c r="A570">
        <v>12209896</v>
      </c>
      <c r="B570">
        <v>12083037</v>
      </c>
      <c r="C570" t="s">
        <v>163</v>
      </c>
      <c r="D570" t="s">
        <v>114</v>
      </c>
      <c r="E570" s="4" t="str">
        <f>HYPERLINK("https://ibp.a2mac1.com/costing(costing:projects/details/9760/equipment/12209896)","DC machine - General")</f>
        <v>DC machine - General</v>
      </c>
      <c r="F570" t="s">
        <v>854</v>
      </c>
    </row>
    <row r="571" spans="1:6" x14ac:dyDescent="0.15">
      <c r="A571">
        <v>8751886</v>
      </c>
      <c r="B571">
        <v>8411113</v>
      </c>
      <c r="C571" t="s">
        <v>311</v>
      </c>
      <c r="D571" t="s">
        <v>8</v>
      </c>
      <c r="E571" s="4" t="str">
        <f>HYPERLINK("https://ibp.a2mac1.com/costing(costing:projects/details/9760/component/8751886)","Washer &gt; Plate washer")</f>
        <v>Washer &gt; Plate washer</v>
      </c>
      <c r="F571" t="s">
        <v>840</v>
      </c>
    </row>
    <row r="572" spans="1:6" x14ac:dyDescent="0.15">
      <c r="A572">
        <v>8751887</v>
      </c>
      <c r="B572">
        <v>8411113</v>
      </c>
      <c r="C572" t="s">
        <v>311</v>
      </c>
      <c r="D572" t="s">
        <v>8</v>
      </c>
      <c r="E572" s="4" t="str">
        <f>HYPERLINK("https://ibp.a2mac1.com/costing(costing:projects/details/9760/component/8751887)","Screw &gt; Torx socket head cap screw")</f>
        <v>Screw &gt; Torx socket head cap screw</v>
      </c>
      <c r="F572" t="s">
        <v>840</v>
      </c>
    </row>
    <row r="573" spans="1:6" x14ac:dyDescent="0.15">
      <c r="A573">
        <v>8411114</v>
      </c>
      <c r="B573">
        <v>8411062</v>
      </c>
      <c r="C573" t="s">
        <v>8</v>
      </c>
      <c r="D573" t="s">
        <v>8</v>
      </c>
      <c r="E573" s="4" t="str">
        <f>HYPERLINK("https://ibp.a2mac1.com/costing(costing:projects/details/9760/assembly/8411114)","Seat Belt Front Passenger")</f>
        <v>Seat Belt Front Passenger</v>
      </c>
      <c r="F573" t="s">
        <v>839</v>
      </c>
    </row>
    <row r="574" spans="1:6" x14ac:dyDescent="0.15">
      <c r="A574">
        <v>8411163</v>
      </c>
      <c r="B574">
        <v>8411114</v>
      </c>
      <c r="C574" t="s">
        <v>8</v>
      </c>
      <c r="D574" t="s">
        <v>8</v>
      </c>
      <c r="E574" s="4" t="str">
        <f>HYPERLINK("https://ibp.a2mac1.com/costing(costing:projects/details/9760/assembly/8411163)","Guide")</f>
        <v>Guide</v>
      </c>
      <c r="F574" t="s">
        <v>859</v>
      </c>
    </row>
    <row r="575" spans="1:6" x14ac:dyDescent="0.15">
      <c r="A575">
        <v>8411301</v>
      </c>
      <c r="B575">
        <v>8411163</v>
      </c>
      <c r="C575" t="s">
        <v>10</v>
      </c>
      <c r="D575" t="s">
        <v>8</v>
      </c>
      <c r="E575" s="4" t="str">
        <f>HYPERLINK("https://ibp.a2mac1.com/costing(costing:projects/details/9760/part/8411301)","Upper")</f>
        <v>Upper</v>
      </c>
      <c r="F575" t="s">
        <v>860</v>
      </c>
    </row>
    <row r="576" spans="1:6" x14ac:dyDescent="0.15">
      <c r="A576">
        <v>12083073</v>
      </c>
      <c r="B576">
        <v>8411301</v>
      </c>
      <c r="C576" t="s">
        <v>114</v>
      </c>
      <c r="D576" t="s">
        <v>10</v>
      </c>
      <c r="E576" s="4" t="str">
        <f>HYPERLINK("https://ibp.a2mac1.com/costing(costing:projects/details/9760/process/12083073)","Process")</f>
        <v>Process</v>
      </c>
      <c r="F576" t="s">
        <v>861</v>
      </c>
    </row>
    <row r="577" spans="1:6" x14ac:dyDescent="0.15">
      <c r="A577">
        <v>8751971</v>
      </c>
      <c r="B577">
        <v>12083073</v>
      </c>
      <c r="C577" t="s">
        <v>22</v>
      </c>
      <c r="D577" t="s">
        <v>114</v>
      </c>
      <c r="E577" s="4" t="str">
        <f>HYPERLINK("https://ibp.a2mac1.com/costing(costing:projects/details/9760/material/8751971)","PA66")</f>
        <v>PA66</v>
      </c>
      <c r="F577" t="s">
        <v>862</v>
      </c>
    </row>
    <row r="578" spans="1:6" x14ac:dyDescent="0.15">
      <c r="A578">
        <v>12210084</v>
      </c>
      <c r="B578">
        <v>12083073</v>
      </c>
      <c r="C578" t="s">
        <v>163</v>
      </c>
      <c r="D578" t="s">
        <v>114</v>
      </c>
      <c r="E578" s="4" t="str">
        <f>HYPERLINK("https://ibp.a2mac1.com/costing(costing:projects/details/9760/equipment/12210084)","DC machine - General")</f>
        <v>DC machine - General</v>
      </c>
      <c r="F578" t="s">
        <v>862</v>
      </c>
    </row>
    <row r="579" spans="1:6" x14ac:dyDescent="0.15">
      <c r="A579">
        <v>8411302</v>
      </c>
      <c r="B579">
        <v>8411163</v>
      </c>
      <c r="C579" t="s">
        <v>10</v>
      </c>
      <c r="D579" t="s">
        <v>8</v>
      </c>
      <c r="E579" s="4" t="str">
        <f>HYPERLINK("https://ibp.a2mac1.com/costing(costing:projects/details/9760/part/8411302)","Lower")</f>
        <v>Lower</v>
      </c>
      <c r="F579" t="s">
        <v>860</v>
      </c>
    </row>
    <row r="580" spans="1:6" x14ac:dyDescent="0.15">
      <c r="A580">
        <v>12083074</v>
      </c>
      <c r="B580">
        <v>8411302</v>
      </c>
      <c r="C580" t="s">
        <v>114</v>
      </c>
      <c r="D580" t="s">
        <v>10</v>
      </c>
      <c r="E580" s="4" t="str">
        <f>HYPERLINK("https://ibp.a2mac1.com/costing(costing:projects/details/9760/process/12083074)","Process")</f>
        <v>Process</v>
      </c>
      <c r="F580" t="s">
        <v>864</v>
      </c>
    </row>
    <row r="581" spans="1:6" x14ac:dyDescent="0.15">
      <c r="A581">
        <v>8751972</v>
      </c>
      <c r="B581">
        <v>12083074</v>
      </c>
      <c r="C581" t="s">
        <v>22</v>
      </c>
      <c r="D581" t="s">
        <v>114</v>
      </c>
      <c r="E581" s="4" t="str">
        <f>HYPERLINK("https://ibp.a2mac1.com/costing(costing:projects/details/9760/material/8751972)","Steel sheet (default)")</f>
        <v>Steel sheet (default)</v>
      </c>
      <c r="F581" t="s">
        <v>867</v>
      </c>
    </row>
    <row r="582" spans="1:6" x14ac:dyDescent="0.15">
      <c r="A582">
        <v>12210085</v>
      </c>
      <c r="B582">
        <v>12083074</v>
      </c>
      <c r="C582" t="s">
        <v>163</v>
      </c>
      <c r="D582" t="s">
        <v>114</v>
      </c>
      <c r="E582" s="4" t="str">
        <f>HYPERLINK("https://ibp.a2mac1.com/costing(costing:projects/details/9760/equipment/12210085)","DC machine - General")</f>
        <v>DC machine - General</v>
      </c>
      <c r="F582" t="s">
        <v>867</v>
      </c>
    </row>
    <row r="583" spans="1:6" x14ac:dyDescent="0.15">
      <c r="A583">
        <v>8751920</v>
      </c>
      <c r="B583">
        <v>8411163</v>
      </c>
      <c r="C583" t="s">
        <v>311</v>
      </c>
      <c r="D583" t="s">
        <v>8</v>
      </c>
      <c r="E583" s="4" t="str">
        <f>HYPERLINK("https://ibp.a2mac1.com/costing(costing:projects/details/9760/component/8751920)","Screw &gt; Hexagon screw with flange")</f>
        <v>Screw &gt; Hexagon screw with flange</v>
      </c>
      <c r="F583" t="s">
        <v>860</v>
      </c>
    </row>
    <row r="584" spans="1:6" x14ac:dyDescent="0.15">
      <c r="A584">
        <v>8411164</v>
      </c>
      <c r="B584">
        <v>8411114</v>
      </c>
      <c r="C584" t="s">
        <v>8</v>
      </c>
      <c r="D584" t="s">
        <v>8</v>
      </c>
      <c r="E584" s="4" t="str">
        <f>HYPERLINK("https://ibp.a2mac1.com/costing(costing:projects/details/9760/assembly/8411164)","Anchor")</f>
        <v>Anchor</v>
      </c>
      <c r="F584" t="s">
        <v>859</v>
      </c>
    </row>
    <row r="585" spans="1:6" x14ac:dyDescent="0.15">
      <c r="A585">
        <v>8411303</v>
      </c>
      <c r="B585">
        <v>8411164</v>
      </c>
      <c r="C585" t="s">
        <v>10</v>
      </c>
      <c r="D585" t="s">
        <v>8</v>
      </c>
      <c r="E585" s="4" t="str">
        <f>HYPERLINK("https://ibp.a2mac1.com/costing(costing:projects/details/9760/part/8411303)","Upper Anchor")</f>
        <v>Upper Anchor</v>
      </c>
      <c r="F585" t="s">
        <v>870</v>
      </c>
    </row>
    <row r="586" spans="1:6" x14ac:dyDescent="0.15">
      <c r="A586">
        <v>8411304</v>
      </c>
      <c r="B586">
        <v>8411164</v>
      </c>
      <c r="C586" t="s">
        <v>10</v>
      </c>
      <c r="D586" t="s">
        <v>8</v>
      </c>
      <c r="E586" s="4" t="str">
        <f>HYPERLINK("https://ibp.a2mac1.com/costing(costing:projects/details/9760/part/8411304)","Lower Anchor")</f>
        <v>Lower Anchor</v>
      </c>
      <c r="F586" t="s">
        <v>870</v>
      </c>
    </row>
    <row r="587" spans="1:6" x14ac:dyDescent="0.15">
      <c r="A587">
        <v>8411160</v>
      </c>
      <c r="B587">
        <v>8411114</v>
      </c>
      <c r="C587" t="s">
        <v>10</v>
      </c>
      <c r="D587" t="s">
        <v>8</v>
      </c>
      <c r="E587" s="4" t="str">
        <f>HYPERLINK("https://ibp.a2mac1.com/costing(costing:projects/details/9760/part/8411160)","Buckle")</f>
        <v>Buckle</v>
      </c>
      <c r="F587" t="s">
        <v>859</v>
      </c>
    </row>
    <row r="588" spans="1:6" x14ac:dyDescent="0.15">
      <c r="A588">
        <v>8411161</v>
      </c>
      <c r="B588">
        <v>8411114</v>
      </c>
      <c r="C588" t="s">
        <v>10</v>
      </c>
      <c r="D588" t="s">
        <v>8</v>
      </c>
      <c r="E588" s="4" t="str">
        <f>HYPERLINK("https://ibp.a2mac1.com/costing(costing:projects/details/9760/part/8411161)","Reel")</f>
        <v>Reel</v>
      </c>
      <c r="F588" t="s">
        <v>859</v>
      </c>
    </row>
    <row r="589" spans="1:6" x14ac:dyDescent="0.15">
      <c r="A589">
        <v>8411162</v>
      </c>
      <c r="B589">
        <v>8411114</v>
      </c>
      <c r="C589" t="s">
        <v>10</v>
      </c>
      <c r="D589" t="s">
        <v>8</v>
      </c>
      <c r="E589" s="4" t="str">
        <f>HYPERLINK("https://ibp.a2mac1.com/costing(costing:projects/details/9760/part/8411162)","Belt Lock")</f>
        <v>Belt Lock</v>
      </c>
      <c r="F589" t="s">
        <v>859</v>
      </c>
    </row>
    <row r="590" spans="1:6" x14ac:dyDescent="0.15">
      <c r="A590">
        <v>12083038</v>
      </c>
      <c r="B590">
        <v>8411162</v>
      </c>
      <c r="C590" t="s">
        <v>114</v>
      </c>
      <c r="D590" t="s">
        <v>10</v>
      </c>
      <c r="E590" s="4" t="str">
        <f>HYPERLINK("https://ibp.a2mac1.com/costing(costing:projects/details/9760/process/12083038)","Process")</f>
        <v>Process</v>
      </c>
      <c r="F590" t="s">
        <v>883</v>
      </c>
    </row>
    <row r="591" spans="1:6" x14ac:dyDescent="0.15">
      <c r="A591">
        <v>8751950</v>
      </c>
      <c r="B591">
        <v>12083038</v>
      </c>
      <c r="C591" t="s">
        <v>22</v>
      </c>
      <c r="D591" t="s">
        <v>114</v>
      </c>
      <c r="E591" s="4" t="str">
        <f>HYPERLINK("https://ibp.a2mac1.com/costing(costing:projects/details/9760/material/8751950)","Material")</f>
        <v>Material</v>
      </c>
      <c r="F591" t="s">
        <v>884</v>
      </c>
    </row>
    <row r="592" spans="1:6" x14ac:dyDescent="0.15">
      <c r="A592">
        <v>12209897</v>
      </c>
      <c r="B592">
        <v>12083038</v>
      </c>
      <c r="C592" t="s">
        <v>163</v>
      </c>
      <c r="D592" t="s">
        <v>114</v>
      </c>
      <c r="E592" s="4" t="str">
        <f>HYPERLINK("https://ibp.a2mac1.com/costing(costing:projects/details/9760/equipment/12209897)","DC machine - General")</f>
        <v>DC machine - General</v>
      </c>
      <c r="F592" t="s">
        <v>884</v>
      </c>
    </row>
    <row r="593" spans="1:6" x14ac:dyDescent="0.15">
      <c r="A593">
        <v>8751888</v>
      </c>
      <c r="B593">
        <v>8411114</v>
      </c>
      <c r="C593" t="s">
        <v>311</v>
      </c>
      <c r="D593" t="s">
        <v>8</v>
      </c>
      <c r="E593" s="4" t="str">
        <f>HYPERLINK("https://ibp.a2mac1.com/costing(costing:projects/details/9760/component/8751888)","Screw &gt; Hexagon screw with flange")</f>
        <v>Screw &gt; Hexagon screw with flange</v>
      </c>
      <c r="F593" t="s">
        <v>859</v>
      </c>
    </row>
    <row r="594" spans="1:6" x14ac:dyDescent="0.15">
      <c r="A594">
        <v>8751889</v>
      </c>
      <c r="B594">
        <v>8411114</v>
      </c>
      <c r="C594" t="s">
        <v>311</v>
      </c>
      <c r="D594" t="s">
        <v>8</v>
      </c>
      <c r="E594" s="4" t="str">
        <f>HYPERLINK("https://ibp.a2mac1.com/costing(costing:projects/details/9760/component/8751889)","Washer &gt; Lock interior washer")</f>
        <v>Washer &gt; Lock interior washer</v>
      </c>
      <c r="F594" t="s">
        <v>859</v>
      </c>
    </row>
    <row r="595" spans="1:6" x14ac:dyDescent="0.15">
      <c r="A595">
        <v>8411115</v>
      </c>
      <c r="B595">
        <v>8411062</v>
      </c>
      <c r="C595" t="s">
        <v>8</v>
      </c>
      <c r="D595" t="s">
        <v>8</v>
      </c>
      <c r="E595" s="4" t="str">
        <f>HYPERLINK("https://ibp.a2mac1.com/costing(costing:projects/details/9760/assembly/8411115)","Rear Left Seat Belt")</f>
        <v>Rear Left Seat Belt</v>
      </c>
      <c r="F595" t="s">
        <v>839</v>
      </c>
    </row>
    <row r="596" spans="1:6" x14ac:dyDescent="0.15">
      <c r="A596">
        <v>8411167</v>
      </c>
      <c r="B596">
        <v>8411115</v>
      </c>
      <c r="C596" t="s">
        <v>8</v>
      </c>
      <c r="D596" t="s">
        <v>8</v>
      </c>
      <c r="E596" s="4" t="str">
        <f>HYPERLINK("https://ibp.a2mac1.com/costing(costing:projects/details/9760/assembly/8411167)","Belt Guide")</f>
        <v>Belt Guide</v>
      </c>
      <c r="F596" t="s">
        <v>887</v>
      </c>
    </row>
    <row r="597" spans="1:6" x14ac:dyDescent="0.15">
      <c r="A597">
        <v>8411305</v>
      </c>
      <c r="B597">
        <v>8411167</v>
      </c>
      <c r="C597" t="s">
        <v>10</v>
      </c>
      <c r="D597" t="s">
        <v>8</v>
      </c>
      <c r="E597" s="4" t="str">
        <f>HYPERLINK("https://ibp.a2mac1.com/costing(costing:projects/details/9760/part/8411305)","Upper")</f>
        <v>Upper</v>
      </c>
      <c r="F597" t="s">
        <v>888</v>
      </c>
    </row>
    <row r="598" spans="1:6" x14ac:dyDescent="0.15">
      <c r="A598">
        <v>12083075</v>
      </c>
      <c r="B598">
        <v>8411305</v>
      </c>
      <c r="C598" t="s">
        <v>114</v>
      </c>
      <c r="D598" t="s">
        <v>10</v>
      </c>
      <c r="E598" s="4" t="str">
        <f>HYPERLINK("https://ibp.a2mac1.com/costing(costing:projects/details/9760/process/12083075)","Process")</f>
        <v>Process</v>
      </c>
      <c r="F598" t="s">
        <v>889</v>
      </c>
    </row>
    <row r="599" spans="1:6" x14ac:dyDescent="0.15">
      <c r="A599">
        <v>8751973</v>
      </c>
      <c r="B599">
        <v>12083075</v>
      </c>
      <c r="C599" t="s">
        <v>22</v>
      </c>
      <c r="D599" t="s">
        <v>114</v>
      </c>
      <c r="E599" s="4" t="str">
        <f>HYPERLINK("https://ibp.a2mac1.com/costing(costing:projects/details/9760/material/8751973)","PA66")</f>
        <v>PA66</v>
      </c>
      <c r="F599" t="s">
        <v>890</v>
      </c>
    </row>
    <row r="600" spans="1:6" x14ac:dyDescent="0.15">
      <c r="A600">
        <v>12210086</v>
      </c>
      <c r="B600">
        <v>12083075</v>
      </c>
      <c r="C600" t="s">
        <v>163</v>
      </c>
      <c r="D600" t="s">
        <v>114</v>
      </c>
      <c r="E600" s="4" t="str">
        <f>HYPERLINK("https://ibp.a2mac1.com/costing(costing:projects/details/9760/equipment/12210086)","DC machine - General")</f>
        <v>DC machine - General</v>
      </c>
      <c r="F600" t="s">
        <v>890</v>
      </c>
    </row>
    <row r="601" spans="1:6" x14ac:dyDescent="0.15">
      <c r="A601">
        <v>8411165</v>
      </c>
      <c r="B601">
        <v>8411115</v>
      </c>
      <c r="C601" t="s">
        <v>10</v>
      </c>
      <c r="D601" t="s">
        <v>8</v>
      </c>
      <c r="E601" s="4" t="str">
        <f>HYPERLINK("https://ibp.a2mac1.com/costing(costing:projects/details/9760/part/8411165)","Safety Belt Complete")</f>
        <v>Safety Belt Complete</v>
      </c>
      <c r="F601" t="s">
        <v>887</v>
      </c>
    </row>
    <row r="602" spans="1:6" x14ac:dyDescent="0.15">
      <c r="A602">
        <v>12083039</v>
      </c>
      <c r="B602">
        <v>8411165</v>
      </c>
      <c r="C602" t="s">
        <v>114</v>
      </c>
      <c r="D602" t="s">
        <v>10</v>
      </c>
      <c r="E602" s="4" t="str">
        <f>HYPERLINK("https://ibp.a2mac1.com/costing(costing:projects/details/9760/process/12083039)","Process")</f>
        <v>Process</v>
      </c>
      <c r="F602" t="s">
        <v>893</v>
      </c>
    </row>
    <row r="603" spans="1:6" x14ac:dyDescent="0.15">
      <c r="A603">
        <v>8751951</v>
      </c>
      <c r="B603">
        <v>12083039</v>
      </c>
      <c r="C603" t="s">
        <v>22</v>
      </c>
      <c r="D603" t="s">
        <v>114</v>
      </c>
      <c r="E603" s="4" t="str">
        <f>HYPERLINK("https://ibp.a2mac1.com/costing(costing:projects/details/9760/material/8751951)","Material")</f>
        <v>Material</v>
      </c>
      <c r="F603" t="s">
        <v>894</v>
      </c>
    </row>
    <row r="604" spans="1:6" x14ac:dyDescent="0.15">
      <c r="A604">
        <v>12209898</v>
      </c>
      <c r="B604">
        <v>12083039</v>
      </c>
      <c r="C604" t="s">
        <v>163</v>
      </c>
      <c r="D604" t="s">
        <v>114</v>
      </c>
      <c r="E604" s="4" t="str">
        <f>HYPERLINK("https://ibp.a2mac1.com/costing(costing:projects/details/9760/equipment/12209898)","DC machine - General")</f>
        <v>DC machine - General</v>
      </c>
      <c r="F604" t="s">
        <v>894</v>
      </c>
    </row>
    <row r="605" spans="1:6" x14ac:dyDescent="0.15">
      <c r="A605">
        <v>8411166</v>
      </c>
      <c r="B605">
        <v>8411115</v>
      </c>
      <c r="C605" t="s">
        <v>10</v>
      </c>
      <c r="D605" t="s">
        <v>8</v>
      </c>
      <c r="E605" s="4" t="str">
        <f>HYPERLINK("https://ibp.a2mac1.com/costing(costing:projects/details/9760/part/8411166)","Belt Lock")</f>
        <v>Belt Lock</v>
      </c>
      <c r="F605" t="s">
        <v>887</v>
      </c>
    </row>
    <row r="606" spans="1:6" x14ac:dyDescent="0.15">
      <c r="A606">
        <v>12083040</v>
      </c>
      <c r="B606">
        <v>8411166</v>
      </c>
      <c r="C606" t="s">
        <v>114</v>
      </c>
      <c r="D606" t="s">
        <v>10</v>
      </c>
      <c r="E606" s="4" t="str">
        <f>HYPERLINK("https://ibp.a2mac1.com/costing(costing:projects/details/9760/process/12083040)","Process")</f>
        <v>Process</v>
      </c>
      <c r="F606" t="s">
        <v>897</v>
      </c>
    </row>
    <row r="607" spans="1:6" x14ac:dyDescent="0.15">
      <c r="A607">
        <v>8751952</v>
      </c>
      <c r="B607">
        <v>12083040</v>
      </c>
      <c r="C607" t="s">
        <v>22</v>
      </c>
      <c r="D607" t="s">
        <v>114</v>
      </c>
      <c r="E607" s="4" t="str">
        <f>HYPERLINK("https://ibp.a2mac1.com/costing(costing:projects/details/9760/material/8751952)","Material")</f>
        <v>Material</v>
      </c>
      <c r="F607" t="s">
        <v>898</v>
      </c>
    </row>
    <row r="608" spans="1:6" x14ac:dyDescent="0.15">
      <c r="A608">
        <v>12209899</v>
      </c>
      <c r="B608">
        <v>12083040</v>
      </c>
      <c r="C608" t="s">
        <v>163</v>
      </c>
      <c r="D608" t="s">
        <v>114</v>
      </c>
      <c r="E608" s="4" t="str">
        <f>HYPERLINK("https://ibp.a2mac1.com/costing(costing:projects/details/9760/equipment/12209899)","DC machine - General")</f>
        <v>DC machine - General</v>
      </c>
      <c r="F608" t="s">
        <v>898</v>
      </c>
    </row>
    <row r="609" spans="1:6" x14ac:dyDescent="0.15">
      <c r="A609">
        <v>8751890</v>
      </c>
      <c r="B609">
        <v>8411115</v>
      </c>
      <c r="C609" t="s">
        <v>311</v>
      </c>
      <c r="D609" t="s">
        <v>8</v>
      </c>
      <c r="E609" s="4" t="str">
        <f>HYPERLINK("https://ibp.a2mac1.com/costing(costing:projects/details/9760/component/8751890)","Washer &gt; Lock interior washer")</f>
        <v>Washer &gt; Lock interior washer</v>
      </c>
      <c r="F609" t="s">
        <v>887</v>
      </c>
    </row>
    <row r="610" spans="1:6" x14ac:dyDescent="0.15">
      <c r="A610">
        <v>8751891</v>
      </c>
      <c r="B610">
        <v>8411115</v>
      </c>
      <c r="C610" t="s">
        <v>311</v>
      </c>
      <c r="D610" t="s">
        <v>8</v>
      </c>
      <c r="E610" s="4" t="str">
        <f>HYPERLINK("https://ibp.a2mac1.com/costing(costing:projects/details/9760/component/8751891)","Screw &gt; Hexagon screw with flange")</f>
        <v>Screw &gt; Hexagon screw with flange</v>
      </c>
      <c r="F610" t="s">
        <v>887</v>
      </c>
    </row>
    <row r="611" spans="1:6" x14ac:dyDescent="0.15">
      <c r="A611">
        <v>8411116</v>
      </c>
      <c r="B611">
        <v>8411062</v>
      </c>
      <c r="C611" t="s">
        <v>8</v>
      </c>
      <c r="D611" t="s">
        <v>8</v>
      </c>
      <c r="E611" s="4" t="str">
        <f>HYPERLINK("https://ibp.a2mac1.com/costing(costing:projects/details/9760/assembly/8411116)","Rear Central Seat Belt")</f>
        <v>Rear Central Seat Belt</v>
      </c>
      <c r="F611" t="s">
        <v>839</v>
      </c>
    </row>
    <row r="612" spans="1:6" x14ac:dyDescent="0.15">
      <c r="A612">
        <v>8411171</v>
      </c>
      <c r="B612">
        <v>8411116</v>
      </c>
      <c r="C612" t="s">
        <v>8</v>
      </c>
      <c r="D612" t="s">
        <v>8</v>
      </c>
      <c r="E612" s="4" t="str">
        <f>HYPERLINK("https://ibp.a2mac1.com/costing(costing:projects/details/9760/assembly/8411171)","Anchor")</f>
        <v>Anchor</v>
      </c>
      <c r="F612" t="s">
        <v>902</v>
      </c>
    </row>
    <row r="613" spans="1:6" x14ac:dyDescent="0.15">
      <c r="A613">
        <v>8411306</v>
      </c>
      <c r="B613">
        <v>8411171</v>
      </c>
      <c r="C613" t="s">
        <v>10</v>
      </c>
      <c r="D613" t="s">
        <v>8</v>
      </c>
      <c r="E613" s="4" t="str">
        <f>HYPERLINK("https://ibp.a2mac1.com/costing(costing:projects/details/9760/part/8411306)","Lower Anchor")</f>
        <v>Lower Anchor</v>
      </c>
      <c r="F613" t="s">
        <v>903</v>
      </c>
    </row>
    <row r="614" spans="1:6" x14ac:dyDescent="0.15">
      <c r="A614">
        <v>8411307</v>
      </c>
      <c r="B614">
        <v>8411171</v>
      </c>
      <c r="C614" t="s">
        <v>10</v>
      </c>
      <c r="D614" t="s">
        <v>8</v>
      </c>
      <c r="E614" s="4" t="str">
        <f>HYPERLINK("https://ibp.a2mac1.com/costing(costing:projects/details/9760/part/8411307)","Lower Fastener Bracket")</f>
        <v>Lower Fastener Bracket</v>
      </c>
      <c r="F614" t="s">
        <v>903</v>
      </c>
    </row>
    <row r="615" spans="1:6" x14ac:dyDescent="0.15">
      <c r="A615">
        <v>8751921</v>
      </c>
      <c r="B615">
        <v>8411171</v>
      </c>
      <c r="C615" t="s">
        <v>311</v>
      </c>
      <c r="D615" t="s">
        <v>8</v>
      </c>
      <c r="E615" s="4" t="str">
        <f>HYPERLINK("https://ibp.a2mac1.com/costing(costing:projects/details/9760/component/8751921)","Washer &gt; Lock interior washer")</f>
        <v>Washer &gt; Lock interior washer</v>
      </c>
      <c r="F615" t="s">
        <v>903</v>
      </c>
    </row>
    <row r="616" spans="1:6" x14ac:dyDescent="0.15">
      <c r="A616">
        <v>8411168</v>
      </c>
      <c r="B616">
        <v>8411116</v>
      </c>
      <c r="C616" t="s">
        <v>10</v>
      </c>
      <c r="D616" t="s">
        <v>8</v>
      </c>
      <c r="E616" s="4" t="str">
        <f>HYPERLINK("https://ibp.a2mac1.com/costing(costing:projects/details/9760/part/8411168)","Reel Belt Complete")</f>
        <v>Reel Belt Complete</v>
      </c>
      <c r="F616" t="s">
        <v>902</v>
      </c>
    </row>
    <row r="617" spans="1:6" x14ac:dyDescent="0.15">
      <c r="A617">
        <v>12083041</v>
      </c>
      <c r="B617">
        <v>8411168</v>
      </c>
      <c r="C617" t="s">
        <v>114</v>
      </c>
      <c r="D617" t="s">
        <v>10</v>
      </c>
      <c r="E617" s="4" t="str">
        <f>HYPERLINK("https://ibp.a2mac1.com/costing(costing:projects/details/9760/process/12083041)","Process")</f>
        <v>Process</v>
      </c>
      <c r="F617" t="s">
        <v>907</v>
      </c>
    </row>
    <row r="618" spans="1:6" x14ac:dyDescent="0.15">
      <c r="A618">
        <v>8751953</v>
      </c>
      <c r="B618">
        <v>12083041</v>
      </c>
      <c r="C618" t="s">
        <v>22</v>
      </c>
      <c r="D618" t="s">
        <v>114</v>
      </c>
      <c r="E618" s="4" t="str">
        <f>HYPERLINK("https://ibp.a2mac1.com/costing(costing:projects/details/9760/material/8751953)","Material")</f>
        <v>Material</v>
      </c>
      <c r="F618" t="s">
        <v>908</v>
      </c>
    </row>
    <row r="619" spans="1:6" x14ac:dyDescent="0.15">
      <c r="A619">
        <v>12209900</v>
      </c>
      <c r="B619">
        <v>12083041</v>
      </c>
      <c r="C619" t="s">
        <v>163</v>
      </c>
      <c r="D619" t="s">
        <v>114</v>
      </c>
      <c r="E619" s="4" t="str">
        <f>HYPERLINK("https://ibp.a2mac1.com/costing(costing:projects/details/9760/equipment/12209900)","DC machine - General")</f>
        <v>DC machine - General</v>
      </c>
      <c r="F619" t="s">
        <v>908</v>
      </c>
    </row>
    <row r="620" spans="1:6" x14ac:dyDescent="0.15">
      <c r="A620">
        <v>8411169</v>
      </c>
      <c r="B620">
        <v>8411116</v>
      </c>
      <c r="C620" t="s">
        <v>10</v>
      </c>
      <c r="D620" t="s">
        <v>8</v>
      </c>
      <c r="E620" s="4" t="str">
        <f>HYPERLINK("https://ibp.a2mac1.com/costing(costing:projects/details/9760/part/8411169)","Buckle")</f>
        <v>Buckle</v>
      </c>
      <c r="F620" t="s">
        <v>902</v>
      </c>
    </row>
    <row r="621" spans="1:6" x14ac:dyDescent="0.15">
      <c r="A621">
        <v>8411170</v>
      </c>
      <c r="B621">
        <v>8411116</v>
      </c>
      <c r="C621" t="s">
        <v>10</v>
      </c>
      <c r="D621" t="s">
        <v>8</v>
      </c>
      <c r="E621" s="4" t="str">
        <f>HYPERLINK("https://ibp.a2mac1.com/costing(costing:projects/details/9760/part/8411170)","Belt Lock")</f>
        <v>Belt Lock</v>
      </c>
      <c r="F621" t="s">
        <v>902</v>
      </c>
    </row>
    <row r="622" spans="1:6" x14ac:dyDescent="0.15">
      <c r="A622">
        <v>12083042</v>
      </c>
      <c r="B622">
        <v>8411170</v>
      </c>
      <c r="C622" t="s">
        <v>114</v>
      </c>
      <c r="D622" t="s">
        <v>10</v>
      </c>
      <c r="E622" s="4" t="str">
        <f>HYPERLINK("https://ibp.a2mac1.com/costing(costing:projects/details/9760/process/12083042)","Process")</f>
        <v>Process</v>
      </c>
      <c r="F622" t="s">
        <v>913</v>
      </c>
    </row>
    <row r="623" spans="1:6" x14ac:dyDescent="0.15">
      <c r="A623">
        <v>8751954</v>
      </c>
      <c r="B623">
        <v>12083042</v>
      </c>
      <c r="C623" t="s">
        <v>22</v>
      </c>
      <c r="D623" t="s">
        <v>114</v>
      </c>
      <c r="E623" s="4" t="str">
        <f>HYPERLINK("https://ibp.a2mac1.com/costing(costing:projects/details/9760/material/8751954)","Material")</f>
        <v>Material</v>
      </c>
      <c r="F623" t="s">
        <v>914</v>
      </c>
    </row>
    <row r="624" spans="1:6" x14ac:dyDescent="0.15">
      <c r="A624">
        <v>12209901</v>
      </c>
      <c r="B624">
        <v>12083042</v>
      </c>
      <c r="C624" t="s">
        <v>163</v>
      </c>
      <c r="D624" t="s">
        <v>114</v>
      </c>
      <c r="E624" s="4" t="str">
        <f>HYPERLINK("https://ibp.a2mac1.com/costing(costing:projects/details/9760/equipment/12209901)","DC machine - General")</f>
        <v>DC machine - General</v>
      </c>
      <c r="F624" t="s">
        <v>914</v>
      </c>
    </row>
    <row r="625" spans="1:6" x14ac:dyDescent="0.15">
      <c r="A625">
        <v>8751892</v>
      </c>
      <c r="B625">
        <v>8411116</v>
      </c>
      <c r="C625" t="s">
        <v>311</v>
      </c>
      <c r="D625" t="s">
        <v>8</v>
      </c>
      <c r="E625" s="4" t="str">
        <f>HYPERLINK("https://ibp.a2mac1.com/costing(costing:projects/details/9760/component/8751892)","Screw &gt; Hexagon screw with flange")</f>
        <v>Screw &gt; Hexagon screw with flange</v>
      </c>
      <c r="F625" t="s">
        <v>902</v>
      </c>
    </row>
    <row r="626" spans="1:6" x14ac:dyDescent="0.15">
      <c r="A626">
        <v>8751893</v>
      </c>
      <c r="B626">
        <v>8411116</v>
      </c>
      <c r="C626" t="s">
        <v>311</v>
      </c>
      <c r="D626" t="s">
        <v>8</v>
      </c>
      <c r="E626" s="4" t="str">
        <f>HYPERLINK("https://ibp.a2mac1.com/costing(costing:projects/details/9760/component/8751893)","Nut &gt; Hexagonal nut with collar")</f>
        <v>Nut &gt; Hexagonal nut with collar</v>
      </c>
      <c r="F626" t="s">
        <v>902</v>
      </c>
    </row>
    <row r="627" spans="1:6" x14ac:dyDescent="0.15">
      <c r="A627">
        <v>8411117</v>
      </c>
      <c r="B627">
        <v>8411062</v>
      </c>
      <c r="C627" t="s">
        <v>8</v>
      </c>
      <c r="D627" t="s">
        <v>8</v>
      </c>
      <c r="E627" s="4" t="str">
        <f>HYPERLINK("https://ibp.a2mac1.com/costing(costing:projects/details/9760/assembly/8411117)","Rear Right Belt")</f>
        <v>Rear Right Belt</v>
      </c>
      <c r="F627" t="s">
        <v>839</v>
      </c>
    </row>
    <row r="628" spans="1:6" x14ac:dyDescent="0.15">
      <c r="A628">
        <v>8411175</v>
      </c>
      <c r="B628">
        <v>8411117</v>
      </c>
      <c r="C628" t="s">
        <v>8</v>
      </c>
      <c r="D628" t="s">
        <v>8</v>
      </c>
      <c r="E628" s="4" t="str">
        <f>HYPERLINK("https://ibp.a2mac1.com/costing(costing:projects/details/9760/assembly/8411175)","Anchor")</f>
        <v>Anchor</v>
      </c>
      <c r="F628" t="s">
        <v>917</v>
      </c>
    </row>
    <row r="629" spans="1:6" x14ac:dyDescent="0.15">
      <c r="A629">
        <v>8411308</v>
      </c>
      <c r="B629">
        <v>8411175</v>
      </c>
      <c r="C629" t="s">
        <v>10</v>
      </c>
      <c r="D629" t="s">
        <v>8</v>
      </c>
      <c r="E629" s="4" t="str">
        <f>HYPERLINK("https://ibp.a2mac1.com/costing(costing:projects/details/9760/part/8411308)","Lower Anchor")</f>
        <v>Lower Anchor</v>
      </c>
      <c r="F629" t="s">
        <v>918</v>
      </c>
    </row>
    <row r="630" spans="1:6" x14ac:dyDescent="0.15">
      <c r="A630">
        <v>8751922</v>
      </c>
      <c r="B630">
        <v>8411175</v>
      </c>
      <c r="C630" t="s">
        <v>311</v>
      </c>
      <c r="D630" t="s">
        <v>8</v>
      </c>
      <c r="E630" s="4" t="str">
        <f>HYPERLINK("https://ibp.a2mac1.com/costing(costing:projects/details/9760/component/8751922)","Washer &gt; Lock interior washer")</f>
        <v>Washer &gt; Lock interior washer</v>
      </c>
      <c r="F630" t="s">
        <v>918</v>
      </c>
    </row>
    <row r="631" spans="1:6" x14ac:dyDescent="0.15">
      <c r="A631">
        <v>8411176</v>
      </c>
      <c r="B631">
        <v>8411117</v>
      </c>
      <c r="C631" t="s">
        <v>8</v>
      </c>
      <c r="D631" t="s">
        <v>8</v>
      </c>
      <c r="E631" s="4" t="str">
        <f>HYPERLINK("https://ibp.a2mac1.com/costing(costing:projects/details/9760/assembly/8411176)","Belt Guide")</f>
        <v>Belt Guide</v>
      </c>
      <c r="F631" t="s">
        <v>917</v>
      </c>
    </row>
    <row r="632" spans="1:6" x14ac:dyDescent="0.15">
      <c r="A632">
        <v>8411309</v>
      </c>
      <c r="B632">
        <v>8411176</v>
      </c>
      <c r="C632" t="s">
        <v>10</v>
      </c>
      <c r="D632" t="s">
        <v>8</v>
      </c>
      <c r="E632" s="4" t="str">
        <f>HYPERLINK("https://ibp.a2mac1.com/costing(costing:projects/details/9760/part/8411309)","Upper")</f>
        <v>Upper</v>
      </c>
      <c r="F632" t="s">
        <v>921</v>
      </c>
    </row>
    <row r="633" spans="1:6" x14ac:dyDescent="0.15">
      <c r="A633">
        <v>12083076</v>
      </c>
      <c r="B633">
        <v>8411309</v>
      </c>
      <c r="C633" t="s">
        <v>114</v>
      </c>
      <c r="D633" t="s">
        <v>10</v>
      </c>
      <c r="E633" s="4" t="str">
        <f>HYPERLINK("https://ibp.a2mac1.com/costing(costing:projects/details/9760/process/12083076)","Process")</f>
        <v>Process</v>
      </c>
      <c r="F633" t="s">
        <v>922</v>
      </c>
    </row>
    <row r="634" spans="1:6" x14ac:dyDescent="0.15">
      <c r="A634">
        <v>8751974</v>
      </c>
      <c r="B634">
        <v>12083076</v>
      </c>
      <c r="C634" t="s">
        <v>22</v>
      </c>
      <c r="D634" t="s">
        <v>114</v>
      </c>
      <c r="E634" s="4" t="str">
        <f>HYPERLINK("https://ibp.a2mac1.com/costing(costing:projects/details/9760/material/8751974)","PA66")</f>
        <v>PA66</v>
      </c>
      <c r="F634" t="s">
        <v>923</v>
      </c>
    </row>
    <row r="635" spans="1:6" x14ac:dyDescent="0.15">
      <c r="A635">
        <v>12210087</v>
      </c>
      <c r="B635">
        <v>12083076</v>
      </c>
      <c r="C635" t="s">
        <v>163</v>
      </c>
      <c r="D635" t="s">
        <v>114</v>
      </c>
      <c r="E635" s="4" t="str">
        <f>HYPERLINK("https://ibp.a2mac1.com/costing(costing:projects/details/9760/equipment/12210087)","DC machine - General")</f>
        <v>DC machine - General</v>
      </c>
      <c r="F635" t="s">
        <v>923</v>
      </c>
    </row>
    <row r="636" spans="1:6" x14ac:dyDescent="0.15">
      <c r="A636">
        <v>8411172</v>
      </c>
      <c r="B636">
        <v>8411117</v>
      </c>
      <c r="C636" t="s">
        <v>10</v>
      </c>
      <c r="D636" t="s">
        <v>8</v>
      </c>
      <c r="E636" s="4" t="str">
        <f>HYPERLINK("https://ibp.a2mac1.com/costing(costing:projects/details/9760/part/8411172)","Buckle")</f>
        <v>Buckle</v>
      </c>
      <c r="F636" t="s">
        <v>917</v>
      </c>
    </row>
    <row r="637" spans="1:6" x14ac:dyDescent="0.15">
      <c r="A637">
        <v>8411173</v>
      </c>
      <c r="B637">
        <v>8411117</v>
      </c>
      <c r="C637" t="s">
        <v>10</v>
      </c>
      <c r="D637" t="s">
        <v>8</v>
      </c>
      <c r="E637" s="4" t="str">
        <f>HYPERLINK("https://ibp.a2mac1.com/costing(costing:projects/details/9760/part/8411173)","Reel")</f>
        <v>Reel</v>
      </c>
      <c r="F637" t="s">
        <v>917</v>
      </c>
    </row>
    <row r="638" spans="1:6" x14ac:dyDescent="0.15">
      <c r="A638">
        <v>8411174</v>
      </c>
      <c r="B638">
        <v>8411117</v>
      </c>
      <c r="C638" t="s">
        <v>10</v>
      </c>
      <c r="D638" t="s">
        <v>8</v>
      </c>
      <c r="E638" s="4" t="str">
        <f>HYPERLINK("https://ibp.a2mac1.com/costing(costing:projects/details/9760/part/8411174)","Belt Lock")</f>
        <v>Belt Lock</v>
      </c>
      <c r="F638" t="s">
        <v>917</v>
      </c>
    </row>
    <row r="639" spans="1:6" x14ac:dyDescent="0.15">
      <c r="A639">
        <v>12083043</v>
      </c>
      <c r="B639">
        <v>8411174</v>
      </c>
      <c r="C639" t="s">
        <v>114</v>
      </c>
      <c r="D639" t="s">
        <v>10</v>
      </c>
      <c r="E639" s="4" t="str">
        <f>HYPERLINK("https://ibp.a2mac1.com/costing(costing:projects/details/9760/process/12083043)","Process")</f>
        <v>Process</v>
      </c>
      <c r="F639" t="s">
        <v>931</v>
      </c>
    </row>
    <row r="640" spans="1:6" x14ac:dyDescent="0.15">
      <c r="A640">
        <v>8751955</v>
      </c>
      <c r="B640">
        <v>12083043</v>
      </c>
      <c r="C640" t="s">
        <v>22</v>
      </c>
      <c r="D640" t="s">
        <v>114</v>
      </c>
      <c r="E640" s="4" t="str">
        <f>HYPERLINK("https://ibp.a2mac1.com/costing(costing:projects/details/9760/material/8751955)","Material")</f>
        <v>Material</v>
      </c>
      <c r="F640" t="s">
        <v>932</v>
      </c>
    </row>
    <row r="641" spans="1:6" x14ac:dyDescent="0.15">
      <c r="A641">
        <v>12209902</v>
      </c>
      <c r="B641">
        <v>12083043</v>
      </c>
      <c r="C641" t="s">
        <v>163</v>
      </c>
      <c r="D641" t="s">
        <v>114</v>
      </c>
      <c r="E641" s="4" t="str">
        <f>HYPERLINK("https://ibp.a2mac1.com/costing(costing:projects/details/9760/equipment/12209902)","DC machine - General")</f>
        <v>DC machine - General</v>
      </c>
      <c r="F641" t="s">
        <v>932</v>
      </c>
    </row>
    <row r="642" spans="1:6" x14ac:dyDescent="0.15">
      <c r="A642">
        <v>8751894</v>
      </c>
      <c r="B642">
        <v>8411117</v>
      </c>
      <c r="C642" t="s">
        <v>311</v>
      </c>
      <c r="D642" t="s">
        <v>8</v>
      </c>
      <c r="E642" s="4" t="str">
        <f>HYPERLINK("https://ibp.a2mac1.com/costing(costing:projects/details/9760/component/8751894)","Screw &gt; Hexagon screw with flange")</f>
        <v>Screw &gt; Hexagon screw with flange</v>
      </c>
      <c r="F642" t="s">
        <v>917</v>
      </c>
    </row>
    <row r="643" spans="1:6" x14ac:dyDescent="0.15">
      <c r="A643">
        <v>8411063</v>
      </c>
      <c r="B643">
        <v>8411026</v>
      </c>
      <c r="C643" t="s">
        <v>8</v>
      </c>
      <c r="D643" t="s">
        <v>8</v>
      </c>
      <c r="E643" s="4" t="str">
        <f>HYPERLINK("https://ibp.a2mac1.com/costing(costing:projects/details/9760/assembly/8411063)","Horn System")</f>
        <v>Horn System</v>
      </c>
      <c r="F643" t="s">
        <v>727</v>
      </c>
    </row>
    <row r="644" spans="1:6" x14ac:dyDescent="0.15">
      <c r="A644">
        <v>8411118</v>
      </c>
      <c r="B644">
        <v>8411063</v>
      </c>
      <c r="C644" t="s">
        <v>10</v>
      </c>
      <c r="D644" t="s">
        <v>8</v>
      </c>
      <c r="E644" s="4" t="str">
        <f>HYPERLINK("https://ibp.a2mac1.com/costing(costing:projects/details/9760/part/8411118)","Horn")</f>
        <v>Horn</v>
      </c>
      <c r="F644" t="s">
        <v>936</v>
      </c>
    </row>
    <row r="645" spans="1:6" x14ac:dyDescent="0.15">
      <c r="A645">
        <v>8411119</v>
      </c>
      <c r="B645">
        <v>8411063</v>
      </c>
      <c r="C645" t="s">
        <v>10</v>
      </c>
      <c r="D645" t="s">
        <v>8</v>
      </c>
      <c r="E645" s="4" t="str">
        <f>HYPERLINK("https://ibp.a2mac1.com/costing(costing:projects/details/9760/part/8411119)","Bracket")</f>
        <v>Bracket</v>
      </c>
      <c r="F645" t="s">
        <v>936</v>
      </c>
    </row>
    <row r="646" spans="1:6" x14ac:dyDescent="0.15">
      <c r="A646">
        <v>8411120</v>
      </c>
      <c r="B646">
        <v>8411063</v>
      </c>
      <c r="C646" t="s">
        <v>10</v>
      </c>
      <c r="D646" t="s">
        <v>8</v>
      </c>
      <c r="E646" s="4" t="str">
        <f>HYPERLINK("https://ibp.a2mac1.com/costing(costing:projects/details/9760/part/8411120)","Horn 2 if Different")</f>
        <v>Horn 2 if Different</v>
      </c>
      <c r="F646" t="s">
        <v>936</v>
      </c>
    </row>
    <row r="647" spans="1:6" x14ac:dyDescent="0.15">
      <c r="A647">
        <v>8411121</v>
      </c>
      <c r="B647">
        <v>8411063</v>
      </c>
      <c r="C647" t="s">
        <v>10</v>
      </c>
      <c r="D647" t="s">
        <v>8</v>
      </c>
      <c r="E647" s="4" t="str">
        <f>HYPERLINK("https://ibp.a2mac1.com/costing(costing:projects/details/9760/part/8411121)","2nd Horn Bracket")</f>
        <v>2nd Horn Bracket</v>
      </c>
      <c r="F647" t="s">
        <v>936</v>
      </c>
    </row>
    <row r="648" spans="1:6" x14ac:dyDescent="0.15">
      <c r="A648">
        <v>8751808</v>
      </c>
      <c r="B648">
        <v>8411063</v>
      </c>
      <c r="C648" t="s">
        <v>311</v>
      </c>
      <c r="D648" t="s">
        <v>8</v>
      </c>
      <c r="E648" s="4" t="str">
        <f>HYPERLINK("https://ibp.a2mac1.com/costing(costing:projects/details/9760/component/8751808)","Hex-head Bolt M6x10")</f>
        <v>Hex-head Bolt M6x10</v>
      </c>
      <c r="F648" t="s">
        <v>936</v>
      </c>
    </row>
    <row r="649" spans="1:6" x14ac:dyDescent="0.15">
      <c r="A649">
        <v>8751809</v>
      </c>
      <c r="B649">
        <v>8411063</v>
      </c>
      <c r="C649" t="s">
        <v>311</v>
      </c>
      <c r="D649" t="s">
        <v>8</v>
      </c>
      <c r="E649" s="4" t="str">
        <f>HYPERLINK("https://ibp.a2mac1.com/costing(costing:projects/details/9760/component/8751809)","Hex-head Bolt M6x20")</f>
        <v>Hex-head Bolt M6x20</v>
      </c>
      <c r="F649" t="s">
        <v>936</v>
      </c>
    </row>
    <row r="650" spans="1:6" x14ac:dyDescent="0.15">
      <c r="A650">
        <v>8751810</v>
      </c>
      <c r="B650">
        <v>8411063</v>
      </c>
      <c r="C650" t="s">
        <v>311</v>
      </c>
      <c r="D650" t="s">
        <v>8</v>
      </c>
      <c r="E650" s="4" t="str">
        <f>HYPERLINK("https://ibp.a2mac1.com/costing(costing:projects/details/9760/component/8751810)","Hex-head Bolt M6x10")</f>
        <v>Hex-head Bolt M6x10</v>
      </c>
      <c r="F650" t="s">
        <v>936</v>
      </c>
    </row>
    <row r="651" spans="1:6" x14ac:dyDescent="0.15">
      <c r="A651">
        <v>8751811</v>
      </c>
      <c r="B651">
        <v>8411063</v>
      </c>
      <c r="C651" t="s">
        <v>311</v>
      </c>
      <c r="D651" t="s">
        <v>8</v>
      </c>
      <c r="E651" s="4" t="str">
        <f>HYPERLINK("https://ibp.a2mac1.com/costing(costing:projects/details/9760/component/8751811)","Hex-head Bolt M6x12")</f>
        <v>Hex-head Bolt M6x12</v>
      </c>
      <c r="F651" t="s">
        <v>936</v>
      </c>
    </row>
    <row r="652" spans="1:6" x14ac:dyDescent="0.15">
      <c r="A652">
        <v>8411064</v>
      </c>
      <c r="B652">
        <v>8411026</v>
      </c>
      <c r="C652" t="s">
        <v>8</v>
      </c>
      <c r="D652" t="s">
        <v>8</v>
      </c>
      <c r="E652" s="4" t="str">
        <f>HYPERLINK("https://ibp.a2mac1.com/costing(costing:projects/details/9760/assembly/8411064)","Isofix")</f>
        <v>Isofix</v>
      </c>
      <c r="F652" t="s">
        <v>727</v>
      </c>
    </row>
    <row r="653" spans="1:6" x14ac:dyDescent="0.15">
      <c r="A653">
        <v>8411122</v>
      </c>
      <c r="B653">
        <v>8411064</v>
      </c>
      <c r="C653" t="s">
        <v>10</v>
      </c>
      <c r="D653" t="s">
        <v>8</v>
      </c>
      <c r="E653" s="4" t="str">
        <f>HYPERLINK("https://ibp.a2mac1.com/costing(costing:projects/details/9760/part/8411122)","Top Tether cover")</f>
        <v>Top Tether cover</v>
      </c>
      <c r="F653" t="s">
        <v>945</v>
      </c>
    </row>
    <row r="654" spans="1:6" x14ac:dyDescent="0.15">
      <c r="A654">
        <v>12083016</v>
      </c>
      <c r="B654">
        <v>8411122</v>
      </c>
      <c r="C654" t="s">
        <v>114</v>
      </c>
      <c r="D654" t="s">
        <v>10</v>
      </c>
      <c r="E654" s="4" t="str">
        <f>HYPERLINK("https://ibp.a2mac1.com/costing(costing:projects/details/9760/process/12083016)","Process")</f>
        <v>Process</v>
      </c>
      <c r="F654" t="s">
        <v>946</v>
      </c>
    </row>
    <row r="655" spans="1:6" x14ac:dyDescent="0.15">
      <c r="A655">
        <v>8751923</v>
      </c>
      <c r="B655">
        <v>12083016</v>
      </c>
      <c r="C655" t="s">
        <v>22</v>
      </c>
      <c r="D655" t="s">
        <v>114</v>
      </c>
      <c r="E655" s="4" t="str">
        <f>HYPERLINK("https://ibp.a2mac1.com/costing(costing:projects/details/9760/material/8751923)","PP-EPDM")</f>
        <v>PP-EPDM</v>
      </c>
      <c r="F655" t="s">
        <v>949</v>
      </c>
    </row>
    <row r="656" spans="1:6" x14ac:dyDescent="0.15">
      <c r="A656">
        <v>12209799</v>
      </c>
      <c r="B656">
        <v>12083016</v>
      </c>
      <c r="C656" t="s">
        <v>163</v>
      </c>
      <c r="D656" t="s">
        <v>114</v>
      </c>
      <c r="E656" s="4" t="str">
        <f>HYPERLINK("https://ibp.a2mac1.com/costing(costing:projects/details/9760/equipment/12209799)","DC machine - General")</f>
        <v>DC machine - General</v>
      </c>
      <c r="F656" t="s">
        <v>949</v>
      </c>
    </row>
    <row r="657" spans="1:6" x14ac:dyDescent="0.15">
      <c r="A657">
        <v>8411065</v>
      </c>
      <c r="B657">
        <v>8411026</v>
      </c>
      <c r="C657" t="s">
        <v>8</v>
      </c>
      <c r="D657" t="s">
        <v>8</v>
      </c>
      <c r="E657" s="4" t="str">
        <f>HYPERLINK("https://ibp.a2mac1.com/costing(costing:projects/details/9760/assembly/8411065)","Active Hood System")</f>
        <v>Active Hood System</v>
      </c>
      <c r="F657" t="s">
        <v>727</v>
      </c>
    </row>
    <row r="658" spans="1:6" x14ac:dyDescent="0.15">
      <c r="A658">
        <v>8411123</v>
      </c>
      <c r="B658">
        <v>8411065</v>
      </c>
      <c r="C658" t="s">
        <v>10</v>
      </c>
      <c r="D658" t="s">
        <v>8</v>
      </c>
      <c r="E658" s="4" t="str">
        <f>HYPERLINK("https://ibp.a2mac1.com/costing(costing:projects/details/9760/part/8411123)","Safety Active Hood")</f>
        <v>Safety Active Hood</v>
      </c>
      <c r="F658" t="s">
        <v>954</v>
      </c>
    </row>
    <row r="659" spans="1:6" x14ac:dyDescent="0.15">
      <c r="A659">
        <v>8751812</v>
      </c>
      <c r="B659">
        <v>8411065</v>
      </c>
      <c r="C659" t="s">
        <v>311</v>
      </c>
      <c r="D659" t="s">
        <v>8</v>
      </c>
      <c r="E659" s="4" t="str">
        <f>HYPERLINK("https://ibp.a2mac1.com/costing(costing:projects/details/9760/component/8751812)","Flange Nut M10")</f>
        <v>Flange Nut M10</v>
      </c>
      <c r="F659" t="s">
        <v>954</v>
      </c>
    </row>
    <row r="660" spans="1:6" x14ac:dyDescent="0.15">
      <c r="A660">
        <v>8411124</v>
      </c>
      <c r="B660">
        <v>9760</v>
      </c>
      <c r="C660" t="s">
        <v>8</v>
      </c>
      <c r="D660" t="s">
        <v>6</v>
      </c>
      <c r="E660" s="4" t="str">
        <f>HYPERLINK("https://ibp.a2mac1.com/costing(costing:projects/details/9760/assembly/8411124)","Brakes Mechanism")</f>
        <v>Brakes Mechanism</v>
      </c>
      <c r="F660" t="s">
        <v>9</v>
      </c>
    </row>
    <row r="661" spans="1:6" x14ac:dyDescent="0.15">
      <c r="A661">
        <v>8411132</v>
      </c>
      <c r="B661">
        <v>8411124</v>
      </c>
      <c r="C661" t="s">
        <v>8</v>
      </c>
      <c r="D661" t="s">
        <v>8</v>
      </c>
      <c r="E661" s="4" t="str">
        <f>HYPERLINK("https://ibp.a2mac1.com/costing(costing:projects/details/9760/assembly/8411132)","Master Cylinder")</f>
        <v>Master Cylinder</v>
      </c>
      <c r="F661" t="s">
        <v>959</v>
      </c>
    </row>
    <row r="662" spans="1:6" x14ac:dyDescent="0.15">
      <c r="A662">
        <v>8411178</v>
      </c>
      <c r="B662">
        <v>8411132</v>
      </c>
      <c r="C662" t="s">
        <v>8</v>
      </c>
      <c r="D662" t="s">
        <v>8</v>
      </c>
      <c r="E662" s="4" t="str">
        <f>HYPERLINK("https://ibp.a2mac1.com/costing(costing:projects/details/9760/assembly/8411178)","Brake Fluid Reservoir System")</f>
        <v>Brake Fluid Reservoir System</v>
      </c>
      <c r="F662" t="s">
        <v>960</v>
      </c>
    </row>
    <row r="663" spans="1:6" x14ac:dyDescent="0.15">
      <c r="A663">
        <v>8411261</v>
      </c>
      <c r="B663">
        <v>8411178</v>
      </c>
      <c r="C663" t="s">
        <v>10</v>
      </c>
      <c r="D663" t="s">
        <v>8</v>
      </c>
      <c r="E663" s="4" t="str">
        <f>HYPERLINK("https://ibp.a2mac1.com/costing(costing:projects/details/9760/part/8411261)","Tank")</f>
        <v>Tank</v>
      </c>
      <c r="F663" t="s">
        <v>961</v>
      </c>
    </row>
    <row r="664" spans="1:6" x14ac:dyDescent="0.15">
      <c r="A664">
        <v>8411262</v>
      </c>
      <c r="B664">
        <v>8411178</v>
      </c>
      <c r="C664" t="s">
        <v>10</v>
      </c>
      <c r="D664" t="s">
        <v>8</v>
      </c>
      <c r="E664" s="4" t="str">
        <f>HYPERLINK("https://ibp.a2mac1.com/costing(costing:projects/details/9760/part/8411262)","Tank filter")</f>
        <v>Tank filter</v>
      </c>
      <c r="F664" t="s">
        <v>961</v>
      </c>
    </row>
    <row r="665" spans="1:6" x14ac:dyDescent="0.15">
      <c r="A665">
        <v>8411263</v>
      </c>
      <c r="B665">
        <v>8411178</v>
      </c>
      <c r="C665" t="s">
        <v>10</v>
      </c>
      <c r="D665" t="s">
        <v>8</v>
      </c>
      <c r="E665" s="4" t="str">
        <f>HYPERLINK("https://ibp.a2mac1.com/costing(costing:projects/details/9760/part/8411263)","Cap")</f>
        <v>Cap</v>
      </c>
      <c r="F665" t="s">
        <v>961</v>
      </c>
    </row>
    <row r="666" spans="1:6" x14ac:dyDescent="0.15">
      <c r="A666">
        <v>8411179</v>
      </c>
      <c r="B666">
        <v>8411132</v>
      </c>
      <c r="C666" t="s">
        <v>8</v>
      </c>
      <c r="D666" t="s">
        <v>8</v>
      </c>
      <c r="E666" s="4" t="str">
        <f>HYPERLINK("https://ibp.a2mac1.com/costing(costing:projects/details/9760/assembly/8411179)","Electric Brake Booster System")</f>
        <v>Electric Brake Booster System</v>
      </c>
      <c r="F666" t="s">
        <v>960</v>
      </c>
    </row>
    <row r="667" spans="1:6" x14ac:dyDescent="0.15">
      <c r="A667">
        <v>8411264</v>
      </c>
      <c r="B667">
        <v>8411179</v>
      </c>
      <c r="C667" t="s">
        <v>10</v>
      </c>
      <c r="D667" t="s">
        <v>8</v>
      </c>
      <c r="E667" s="4" t="str">
        <f>HYPERLINK("https://ibp.a2mac1.com/costing(costing:projects/details/9760/part/8411264)","Electric Brake Booster")</f>
        <v>Electric Brake Booster</v>
      </c>
      <c r="F667" t="s">
        <v>969</v>
      </c>
    </row>
    <row r="668" spans="1:6" x14ac:dyDescent="0.15">
      <c r="A668">
        <v>8411177</v>
      </c>
      <c r="B668">
        <v>8411132</v>
      </c>
      <c r="C668" t="s">
        <v>10</v>
      </c>
      <c r="D668" t="s">
        <v>8</v>
      </c>
      <c r="E668" s="4" t="str">
        <f>HYPERLINK("https://ibp.a2mac1.com/costing(costing:projects/details/9760/part/8411177)","Fluid Level Sensor")</f>
        <v>Fluid Level Sensor</v>
      </c>
      <c r="F668" t="s">
        <v>960</v>
      </c>
    </row>
    <row r="669" spans="1:6" x14ac:dyDescent="0.15">
      <c r="A669">
        <v>8411133</v>
      </c>
      <c r="B669">
        <v>8411124</v>
      </c>
      <c r="C669" t="s">
        <v>8</v>
      </c>
      <c r="D669" t="s">
        <v>8</v>
      </c>
      <c r="E669" s="4" t="str">
        <f>HYPERLINK("https://ibp.a2mac1.com/costing(costing:projects/details/9760/assembly/8411133)","ABS System")</f>
        <v>ABS System</v>
      </c>
      <c r="F669" t="s">
        <v>959</v>
      </c>
    </row>
    <row r="670" spans="1:6" x14ac:dyDescent="0.15">
      <c r="A670">
        <v>8411180</v>
      </c>
      <c r="B670">
        <v>8411133</v>
      </c>
      <c r="C670" t="s">
        <v>10</v>
      </c>
      <c r="D670" t="s">
        <v>8</v>
      </c>
      <c r="E670" s="4" t="str">
        <f>HYPERLINK("https://ibp.a2mac1.com/costing(costing:projects/details/9760/part/8411180)","ABS Pump")</f>
        <v>ABS Pump</v>
      </c>
      <c r="F670" t="s">
        <v>975</v>
      </c>
    </row>
    <row r="671" spans="1:6" x14ac:dyDescent="0.15">
      <c r="A671">
        <v>8411181</v>
      </c>
      <c r="B671">
        <v>8411133</v>
      </c>
      <c r="C671" t="s">
        <v>10</v>
      </c>
      <c r="D671" t="s">
        <v>8</v>
      </c>
      <c r="E671" s="4" t="str">
        <f>HYPERLINK("https://ibp.a2mac1.com/costing(costing:projects/details/9760/part/8411181)","Fasteners Support")</f>
        <v>Fasteners Support</v>
      </c>
      <c r="F671" t="s">
        <v>975</v>
      </c>
    </row>
    <row r="672" spans="1:6" x14ac:dyDescent="0.15">
      <c r="A672">
        <v>8411134</v>
      </c>
      <c r="B672">
        <v>8411124</v>
      </c>
      <c r="C672" t="s">
        <v>8</v>
      </c>
      <c r="D672" t="s">
        <v>8</v>
      </c>
      <c r="E672" s="4" t="str">
        <f>HYPERLINK("https://ibp.a2mac1.com/costing(costing:projects/details/9760/assembly/8411134)","Brake Line System")</f>
        <v>Brake Line System</v>
      </c>
      <c r="F672" t="s">
        <v>959</v>
      </c>
    </row>
    <row r="673" spans="1:6" x14ac:dyDescent="0.15">
      <c r="A673">
        <v>8411182</v>
      </c>
      <c r="B673">
        <v>8411134</v>
      </c>
      <c r="C673" t="s">
        <v>10</v>
      </c>
      <c r="D673" t="s">
        <v>8</v>
      </c>
      <c r="E673" s="4" t="str">
        <f>HYPERLINK("https://ibp.a2mac1.com/costing(costing:projects/details/9760/part/8411182)","Front Left Wheel Pipe")</f>
        <v>Front Left Wheel Pipe</v>
      </c>
      <c r="F673" t="s">
        <v>981</v>
      </c>
    </row>
    <row r="674" spans="1:6" x14ac:dyDescent="0.15">
      <c r="A674">
        <v>8411183</v>
      </c>
      <c r="B674">
        <v>8411134</v>
      </c>
      <c r="C674" t="s">
        <v>10</v>
      </c>
      <c r="D674" t="s">
        <v>8</v>
      </c>
      <c r="E674" s="4" t="str">
        <f>HYPERLINK("https://ibp.a2mac1.com/costing(costing:projects/details/9760/part/8411183)","Front Right Wheel Pipe")</f>
        <v>Front Right Wheel Pipe</v>
      </c>
      <c r="F674" t="s">
        <v>981</v>
      </c>
    </row>
    <row r="675" spans="1:6" x14ac:dyDescent="0.15">
      <c r="A675">
        <v>8411184</v>
      </c>
      <c r="B675">
        <v>8411134</v>
      </c>
      <c r="C675" t="s">
        <v>10</v>
      </c>
      <c r="D675" t="s">
        <v>8</v>
      </c>
      <c r="E675" s="4" t="str">
        <f>HYPERLINK("https://ibp.a2mac1.com/costing(costing:projects/details/9760/part/8411184)","Rear left wheel pipe")</f>
        <v>Rear left wheel pipe</v>
      </c>
      <c r="F675" t="s">
        <v>981</v>
      </c>
    </row>
    <row r="676" spans="1:6" x14ac:dyDescent="0.15">
      <c r="A676">
        <v>8411185</v>
      </c>
      <c r="B676">
        <v>8411134</v>
      </c>
      <c r="C676" t="s">
        <v>10</v>
      </c>
      <c r="D676" t="s">
        <v>8</v>
      </c>
      <c r="E676" s="4" t="str">
        <f>HYPERLINK("https://ibp.a2mac1.com/costing(costing:projects/details/9760/part/8411185)","Rear Right Wheel Pipe")</f>
        <v>Rear Right Wheel Pipe</v>
      </c>
      <c r="F676" t="s">
        <v>981</v>
      </c>
    </row>
    <row r="677" spans="1:6" x14ac:dyDescent="0.15">
      <c r="A677">
        <v>8411186</v>
      </c>
      <c r="B677">
        <v>8411134</v>
      </c>
      <c r="C677" t="s">
        <v>10</v>
      </c>
      <c r="D677" t="s">
        <v>8</v>
      </c>
      <c r="E677" s="4" t="str">
        <f>HYPERLINK("https://ibp.a2mac1.com/costing(costing:projects/details/9760/part/8411186)","Master Cylinder - ABS Unit Pipe (1)")</f>
        <v>Master Cylinder - ABS Unit Pipe (1)</v>
      </c>
      <c r="F677" t="s">
        <v>981</v>
      </c>
    </row>
    <row r="678" spans="1:6" x14ac:dyDescent="0.15">
      <c r="A678">
        <v>8411187</v>
      </c>
      <c r="B678">
        <v>8411134</v>
      </c>
      <c r="C678" t="s">
        <v>10</v>
      </c>
      <c r="D678" t="s">
        <v>8</v>
      </c>
      <c r="E678" s="4" t="str">
        <f>HYPERLINK("https://ibp.a2mac1.com/costing(costing:projects/details/9760/part/8411187)","Master Cylinder - ABS Unit Pipe (2)")</f>
        <v>Master Cylinder - ABS Unit Pipe (2)</v>
      </c>
      <c r="F678" t="s">
        <v>981</v>
      </c>
    </row>
    <row r="679" spans="1:6" x14ac:dyDescent="0.15">
      <c r="A679">
        <v>8411188</v>
      </c>
      <c r="B679">
        <v>8411134</v>
      </c>
      <c r="C679" t="s">
        <v>10</v>
      </c>
      <c r="D679" t="s">
        <v>8</v>
      </c>
      <c r="E679" s="4" t="str">
        <f>HYPERLINK("https://ibp.a2mac1.com/costing(costing:projects/details/9760/part/8411188)","Rear Right Wheel Connection - ABS Pump Pipe")</f>
        <v>Rear Right Wheel Connection - ABS Pump Pipe</v>
      </c>
      <c r="F679" t="s">
        <v>981</v>
      </c>
    </row>
    <row r="680" spans="1:6" x14ac:dyDescent="0.15">
      <c r="A680">
        <v>8411189</v>
      </c>
      <c r="B680">
        <v>8411134</v>
      </c>
      <c r="C680" t="s">
        <v>10</v>
      </c>
      <c r="D680" t="s">
        <v>8</v>
      </c>
      <c r="E680" s="4" t="str">
        <f>HYPERLINK("https://ibp.a2mac1.com/costing(costing:projects/details/9760/part/8411189)","Rear Left Wheel Connection - ABS Pump Pipe")</f>
        <v>Rear Left Wheel Connection - ABS Pump Pipe</v>
      </c>
      <c r="F680" t="s">
        <v>981</v>
      </c>
    </row>
    <row r="681" spans="1:6" x14ac:dyDescent="0.15">
      <c r="A681">
        <v>8411190</v>
      </c>
      <c r="B681">
        <v>8411134</v>
      </c>
      <c r="C681" t="s">
        <v>10</v>
      </c>
      <c r="D681" t="s">
        <v>8</v>
      </c>
      <c r="E681" s="4" t="str">
        <f>HYPERLINK("https://ibp.a2mac1.com/costing(costing:projects/details/9760/part/8411190)","Hoses rear axle/body")</f>
        <v>Hoses rear axle/body</v>
      </c>
      <c r="F681" t="s">
        <v>981</v>
      </c>
    </row>
    <row r="682" spans="1:6" x14ac:dyDescent="0.15">
      <c r="A682">
        <v>8411135</v>
      </c>
      <c r="B682">
        <v>8411124</v>
      </c>
      <c r="C682" t="s">
        <v>8</v>
      </c>
      <c r="D682" t="s">
        <v>8</v>
      </c>
      <c r="E682" s="4" t="str">
        <f>HYPERLINK("https://ibp.a2mac1.com/costing(costing:projects/details/9760/assembly/8411135)","Front Brakes")</f>
        <v>Front Brakes</v>
      </c>
      <c r="F682" t="s">
        <v>959</v>
      </c>
    </row>
    <row r="683" spans="1:6" x14ac:dyDescent="0.15">
      <c r="A683">
        <v>8411195</v>
      </c>
      <c r="B683">
        <v>8411135</v>
      </c>
      <c r="C683" t="s">
        <v>8</v>
      </c>
      <c r="D683" t="s">
        <v>8</v>
      </c>
      <c r="E683" s="4" t="str">
        <f>HYPERLINK("https://ibp.a2mac1.com/costing(costing:projects/details/9760/assembly/8411195)","Disc")</f>
        <v>Disc</v>
      </c>
      <c r="F683" t="s">
        <v>998</v>
      </c>
    </row>
    <row r="684" spans="1:6" x14ac:dyDescent="0.15">
      <c r="A684">
        <v>8411265</v>
      </c>
      <c r="B684">
        <v>8411195</v>
      </c>
      <c r="C684" t="s">
        <v>10</v>
      </c>
      <c r="D684" t="s">
        <v>8</v>
      </c>
      <c r="E684" s="4" t="str">
        <f>HYPERLINK("https://ibp.a2mac1.com/costing(costing:projects/details/9760/part/8411265)","Left")</f>
        <v>Left</v>
      </c>
      <c r="F684" t="s">
        <v>999</v>
      </c>
    </row>
    <row r="685" spans="1:6" x14ac:dyDescent="0.15">
      <c r="A685">
        <v>12083028</v>
      </c>
      <c r="B685">
        <v>8411265</v>
      </c>
      <c r="C685" t="s">
        <v>114</v>
      </c>
      <c r="D685" t="s">
        <v>10</v>
      </c>
      <c r="E685" s="4" t="str">
        <f>HYPERLINK("https://ibp.a2mac1.com/costing(costing:projects/details/9760/process/12083028)","Process")</f>
        <v>Process</v>
      </c>
      <c r="F685" t="s">
        <v>1000</v>
      </c>
    </row>
    <row r="686" spans="1:6" x14ac:dyDescent="0.15">
      <c r="A686">
        <v>8751933</v>
      </c>
      <c r="B686">
        <v>12083028</v>
      </c>
      <c r="C686" t="s">
        <v>22</v>
      </c>
      <c r="D686" t="s">
        <v>114</v>
      </c>
      <c r="E686" s="4" t="str">
        <f>HYPERLINK("https://ibp.a2mac1.com/costing(costing:projects/details/9760/material/8751933)","Material")</f>
        <v>Material</v>
      </c>
      <c r="F686" t="s">
        <v>1001</v>
      </c>
    </row>
    <row r="687" spans="1:6" x14ac:dyDescent="0.15">
      <c r="A687">
        <v>12209849</v>
      </c>
      <c r="B687">
        <v>12083028</v>
      </c>
      <c r="C687" t="s">
        <v>163</v>
      </c>
      <c r="D687" t="s">
        <v>114</v>
      </c>
      <c r="E687" s="4" t="str">
        <f>HYPERLINK("https://ibp.a2mac1.com/costing(costing:projects/details/9760/equipment/12209849)","General production process (0.5-10€)")</f>
        <v>General production process (0.5-10€)</v>
      </c>
      <c r="F687" t="s">
        <v>1001</v>
      </c>
    </row>
    <row r="688" spans="1:6" x14ac:dyDescent="0.15">
      <c r="A688">
        <v>8411266</v>
      </c>
      <c r="B688">
        <v>8411195</v>
      </c>
      <c r="C688" t="s">
        <v>10</v>
      </c>
      <c r="D688" t="s">
        <v>8</v>
      </c>
      <c r="E688" s="4" t="str">
        <f>HYPERLINK("https://ibp.a2mac1.com/costing(costing:projects/details/9760/part/8411266)","Right")</f>
        <v>Right</v>
      </c>
      <c r="F688" t="s">
        <v>999</v>
      </c>
    </row>
    <row r="689" spans="1:6" x14ac:dyDescent="0.15">
      <c r="A689">
        <v>12083029</v>
      </c>
      <c r="B689">
        <v>8411266</v>
      </c>
      <c r="C689" t="s">
        <v>114</v>
      </c>
      <c r="D689" t="s">
        <v>10</v>
      </c>
      <c r="E689" s="4" t="str">
        <f>HYPERLINK("https://ibp.a2mac1.com/costing(costing:projects/details/9760/process/12083029)","Process")</f>
        <v>Process</v>
      </c>
      <c r="F689" t="s">
        <v>1006</v>
      </c>
    </row>
    <row r="690" spans="1:6" x14ac:dyDescent="0.15">
      <c r="A690">
        <v>8751934</v>
      </c>
      <c r="B690">
        <v>12083029</v>
      </c>
      <c r="C690" t="s">
        <v>22</v>
      </c>
      <c r="D690" t="s">
        <v>114</v>
      </c>
      <c r="E690" s="4" t="str">
        <f>HYPERLINK("https://ibp.a2mac1.com/costing(costing:projects/details/9760/material/8751934)","Material")</f>
        <v>Material</v>
      </c>
      <c r="F690" t="s">
        <v>1007</v>
      </c>
    </row>
    <row r="691" spans="1:6" x14ac:dyDescent="0.15">
      <c r="A691">
        <v>12209850</v>
      </c>
      <c r="B691">
        <v>12083029</v>
      </c>
      <c r="C691" t="s">
        <v>163</v>
      </c>
      <c r="D691" t="s">
        <v>114</v>
      </c>
      <c r="E691" s="4" t="str">
        <f>HYPERLINK("https://ibp.a2mac1.com/costing(costing:projects/details/9760/equipment/12209850)","General production process (0.5-10€)")</f>
        <v>General production process (0.5-10€)</v>
      </c>
      <c r="F691" t="s">
        <v>1007</v>
      </c>
    </row>
    <row r="692" spans="1:6" x14ac:dyDescent="0.15">
      <c r="A692">
        <v>8411196</v>
      </c>
      <c r="B692">
        <v>8411135</v>
      </c>
      <c r="C692" t="s">
        <v>8</v>
      </c>
      <c r="D692" t="s">
        <v>8</v>
      </c>
      <c r="E692" s="4" t="str">
        <f>HYPERLINK("https://ibp.a2mac1.com/costing(costing:projects/details/9760/assembly/8411196)","Brake Caliper")</f>
        <v>Brake Caliper</v>
      </c>
      <c r="F692" t="s">
        <v>998</v>
      </c>
    </row>
    <row r="693" spans="1:6" x14ac:dyDescent="0.15">
      <c r="A693">
        <v>8411267</v>
      </c>
      <c r="B693">
        <v>8411196</v>
      </c>
      <c r="C693" t="s">
        <v>8</v>
      </c>
      <c r="D693" t="s">
        <v>8</v>
      </c>
      <c r="E693" s="4" t="str">
        <f>HYPERLINK("https://ibp.a2mac1.com/costing(costing:projects/details/9760/assembly/8411267)","Brake Caliper Left Assy")</f>
        <v>Brake Caliper Left Assy</v>
      </c>
      <c r="F693" t="s">
        <v>1010</v>
      </c>
    </row>
    <row r="694" spans="1:6" x14ac:dyDescent="0.15">
      <c r="A694">
        <v>8411311</v>
      </c>
      <c r="B694">
        <v>8411267</v>
      </c>
      <c r="C694" t="s">
        <v>8</v>
      </c>
      <c r="D694" t="s">
        <v>8</v>
      </c>
      <c r="E694" s="4" t="str">
        <f>HYPERLINK("https://ibp.a2mac1.com/costing(costing:projects/details/9760/assembly/8411311)","Brake Pads")</f>
        <v>Brake Pads</v>
      </c>
      <c r="F694" t="s">
        <v>1011</v>
      </c>
    </row>
    <row r="695" spans="1:6" x14ac:dyDescent="0.15">
      <c r="A695">
        <v>8411407</v>
      </c>
      <c r="B695">
        <v>8411311</v>
      </c>
      <c r="C695" t="s">
        <v>10</v>
      </c>
      <c r="D695" t="s">
        <v>8</v>
      </c>
      <c r="E695" s="4" t="str">
        <f>HYPERLINK("https://ibp.a2mac1.com/costing(costing:projects/details/9760/part/8411407)","Exterior")</f>
        <v>Exterior</v>
      </c>
      <c r="F695" t="s">
        <v>1012</v>
      </c>
    </row>
    <row r="696" spans="1:6" x14ac:dyDescent="0.15">
      <c r="A696">
        <v>8411408</v>
      </c>
      <c r="B696">
        <v>8411311</v>
      </c>
      <c r="C696" t="s">
        <v>10</v>
      </c>
      <c r="D696" t="s">
        <v>8</v>
      </c>
      <c r="E696" s="4" t="str">
        <f>HYPERLINK("https://ibp.a2mac1.com/costing(costing:projects/details/9760/part/8411408)","Interior")</f>
        <v>Interior</v>
      </c>
      <c r="F696" t="s">
        <v>1012</v>
      </c>
    </row>
    <row r="697" spans="1:6" x14ac:dyDescent="0.15">
      <c r="A697">
        <v>8411310</v>
      </c>
      <c r="B697">
        <v>8411267</v>
      </c>
      <c r="C697" t="s">
        <v>10</v>
      </c>
      <c r="D697" t="s">
        <v>8</v>
      </c>
      <c r="E697" s="4" t="str">
        <f>HYPERLINK("https://ibp.a2mac1.com/costing(costing:projects/details/9760/part/8411310)","Brake Caliper Left")</f>
        <v>Brake Caliper Left</v>
      </c>
      <c r="F697" t="s">
        <v>1011</v>
      </c>
    </row>
    <row r="698" spans="1:6" x14ac:dyDescent="0.15">
      <c r="A698">
        <v>12083050</v>
      </c>
      <c r="B698">
        <v>8411310</v>
      </c>
      <c r="C698" t="s">
        <v>114</v>
      </c>
      <c r="D698" t="s">
        <v>10</v>
      </c>
      <c r="E698" s="4" t="str">
        <f>HYPERLINK("https://ibp.a2mac1.com/costing(costing:projects/details/9760/process/12083050)","Process")</f>
        <v>Process</v>
      </c>
      <c r="F698" t="s">
        <v>1016</v>
      </c>
    </row>
    <row r="699" spans="1:6" x14ac:dyDescent="0.15">
      <c r="A699">
        <v>8751938</v>
      </c>
      <c r="B699">
        <v>12083050</v>
      </c>
      <c r="C699" t="s">
        <v>22</v>
      </c>
      <c r="D699" t="s">
        <v>114</v>
      </c>
      <c r="E699" s="4" t="str">
        <f>HYPERLINK("https://ibp.a2mac1.com/costing(costing:projects/details/9760/material/8751938)","Material")</f>
        <v>Material</v>
      </c>
      <c r="F699" t="s">
        <v>1017</v>
      </c>
    </row>
    <row r="700" spans="1:6" x14ac:dyDescent="0.15">
      <c r="A700">
        <v>12209903</v>
      </c>
      <c r="B700">
        <v>12083050</v>
      </c>
      <c r="C700" t="s">
        <v>163</v>
      </c>
      <c r="D700" t="s">
        <v>114</v>
      </c>
      <c r="E700" s="4" t="str">
        <f>HYPERLINK("https://ibp.a2mac1.com/costing(costing:projects/details/9760/equipment/12209903)","General production process (0.5-10€)")</f>
        <v>General production process (0.5-10€)</v>
      </c>
      <c r="F700" t="s">
        <v>1017</v>
      </c>
    </row>
    <row r="701" spans="1:6" x14ac:dyDescent="0.15">
      <c r="A701">
        <v>12083030</v>
      </c>
      <c r="B701">
        <v>8411267</v>
      </c>
      <c r="C701" t="s">
        <v>114</v>
      </c>
      <c r="D701" t="s">
        <v>8</v>
      </c>
      <c r="E701" s="4" t="str">
        <f>HYPERLINK("https://ibp.a2mac1.com/costing(costing:projects/details/9760/process/12083030)","Process")</f>
        <v>Process</v>
      </c>
      <c r="F701" t="s">
        <v>1011</v>
      </c>
    </row>
    <row r="702" spans="1:6" x14ac:dyDescent="0.15">
      <c r="A702">
        <v>12209851</v>
      </c>
      <c r="B702">
        <v>12083030</v>
      </c>
      <c r="C702" t="s">
        <v>163</v>
      </c>
      <c r="D702" t="s">
        <v>114</v>
      </c>
      <c r="E702" s="4" t="str">
        <f>HYPERLINK("https://ibp.a2mac1.com/costing(costing:projects/details/9760/equipment/12209851)","General production process (0.5-10€)")</f>
        <v>General production process (0.5-10€)</v>
      </c>
      <c r="F702" t="s">
        <v>1020</v>
      </c>
    </row>
    <row r="703" spans="1:6" x14ac:dyDescent="0.15">
      <c r="A703">
        <v>8411268</v>
      </c>
      <c r="B703">
        <v>8411196</v>
      </c>
      <c r="C703" t="s">
        <v>8</v>
      </c>
      <c r="D703" t="s">
        <v>8</v>
      </c>
      <c r="E703" s="4" t="str">
        <f>HYPERLINK("https://ibp.a2mac1.com/costing(costing:projects/details/9760/assembly/8411268)","Brake Caliper Right Assy")</f>
        <v>Brake Caliper Right Assy</v>
      </c>
      <c r="F703" t="s">
        <v>1010</v>
      </c>
    </row>
    <row r="704" spans="1:6" x14ac:dyDescent="0.15">
      <c r="A704">
        <v>8411313</v>
      </c>
      <c r="B704">
        <v>8411268</v>
      </c>
      <c r="C704" t="s">
        <v>8</v>
      </c>
      <c r="D704" t="s">
        <v>8</v>
      </c>
      <c r="E704" s="4" t="str">
        <f>HYPERLINK("https://ibp.a2mac1.com/costing(costing:projects/details/9760/assembly/8411313)","Brake Pads")</f>
        <v>Brake Pads</v>
      </c>
      <c r="F704" t="s">
        <v>1024</v>
      </c>
    </row>
    <row r="705" spans="1:6" x14ac:dyDescent="0.15">
      <c r="A705">
        <v>8411409</v>
      </c>
      <c r="B705">
        <v>8411313</v>
      </c>
      <c r="C705" t="s">
        <v>10</v>
      </c>
      <c r="D705" t="s">
        <v>8</v>
      </c>
      <c r="E705" s="4" t="str">
        <f>HYPERLINK("https://ibp.a2mac1.com/costing(costing:projects/details/9760/part/8411409)","Exterior")</f>
        <v>Exterior</v>
      </c>
      <c r="F705" t="s">
        <v>1025</v>
      </c>
    </row>
    <row r="706" spans="1:6" x14ac:dyDescent="0.15">
      <c r="A706">
        <v>8411410</v>
      </c>
      <c r="B706">
        <v>8411313</v>
      </c>
      <c r="C706" t="s">
        <v>10</v>
      </c>
      <c r="D706" t="s">
        <v>8</v>
      </c>
      <c r="E706" s="4" t="str">
        <f>HYPERLINK("https://ibp.a2mac1.com/costing(costing:projects/details/9760/part/8411410)","Interior")</f>
        <v>Interior</v>
      </c>
      <c r="F706" t="s">
        <v>1025</v>
      </c>
    </row>
    <row r="707" spans="1:6" x14ac:dyDescent="0.15">
      <c r="A707">
        <v>8411312</v>
      </c>
      <c r="B707">
        <v>8411268</v>
      </c>
      <c r="C707" t="s">
        <v>10</v>
      </c>
      <c r="D707" t="s">
        <v>8</v>
      </c>
      <c r="E707" s="4" t="str">
        <f>HYPERLINK("https://ibp.a2mac1.com/costing(costing:projects/details/9760/part/8411312)","Brake Caliper Right")</f>
        <v>Brake Caliper Right</v>
      </c>
      <c r="F707" t="s">
        <v>1024</v>
      </c>
    </row>
    <row r="708" spans="1:6" x14ac:dyDescent="0.15">
      <c r="A708">
        <v>12083051</v>
      </c>
      <c r="B708">
        <v>8411312</v>
      </c>
      <c r="C708" t="s">
        <v>114</v>
      </c>
      <c r="D708" t="s">
        <v>10</v>
      </c>
      <c r="E708" s="4" t="str">
        <f>HYPERLINK("https://ibp.a2mac1.com/costing(costing:projects/details/9760/process/12083051)","Process")</f>
        <v>Process</v>
      </c>
      <c r="F708" t="s">
        <v>1029</v>
      </c>
    </row>
    <row r="709" spans="1:6" x14ac:dyDescent="0.15">
      <c r="A709">
        <v>8751939</v>
      </c>
      <c r="B709">
        <v>12083051</v>
      </c>
      <c r="C709" t="s">
        <v>22</v>
      </c>
      <c r="D709" t="s">
        <v>114</v>
      </c>
      <c r="E709" s="4" t="str">
        <f>HYPERLINK("https://ibp.a2mac1.com/costing(costing:projects/details/9760/material/8751939)","Material")</f>
        <v>Material</v>
      </c>
      <c r="F709" t="s">
        <v>1030</v>
      </c>
    </row>
    <row r="710" spans="1:6" x14ac:dyDescent="0.15">
      <c r="A710">
        <v>12209904</v>
      </c>
      <c r="B710">
        <v>12083051</v>
      </c>
      <c r="C710" t="s">
        <v>163</v>
      </c>
      <c r="D710" t="s">
        <v>114</v>
      </c>
      <c r="E710" s="4" t="str">
        <f>HYPERLINK("https://ibp.a2mac1.com/costing(costing:projects/details/9760/equipment/12209904)","General production process (0.5-10€)")</f>
        <v>General production process (0.5-10€)</v>
      </c>
      <c r="F710" t="s">
        <v>1030</v>
      </c>
    </row>
    <row r="711" spans="1:6" x14ac:dyDescent="0.15">
      <c r="A711">
        <v>12083031</v>
      </c>
      <c r="B711">
        <v>8411268</v>
      </c>
      <c r="C711" t="s">
        <v>114</v>
      </c>
      <c r="D711" t="s">
        <v>8</v>
      </c>
      <c r="E711" s="4" t="str">
        <f>HYPERLINK("https://ibp.a2mac1.com/costing(costing:projects/details/9760/process/12083031)","Process")</f>
        <v>Process</v>
      </c>
      <c r="F711" t="s">
        <v>1024</v>
      </c>
    </row>
    <row r="712" spans="1:6" x14ac:dyDescent="0.15">
      <c r="A712">
        <v>12209852</v>
      </c>
      <c r="B712">
        <v>12083031</v>
      </c>
      <c r="C712" t="s">
        <v>163</v>
      </c>
      <c r="D712" t="s">
        <v>114</v>
      </c>
      <c r="E712" s="4" t="str">
        <f>HYPERLINK("https://ibp.a2mac1.com/costing(costing:projects/details/9760/equipment/12209852)","General production process (0.5-10€)")</f>
        <v>General production process (0.5-10€)</v>
      </c>
      <c r="F712" t="s">
        <v>1032</v>
      </c>
    </row>
    <row r="713" spans="1:6" x14ac:dyDescent="0.15">
      <c r="A713">
        <v>8411197</v>
      </c>
      <c r="B713">
        <v>8411135</v>
      </c>
      <c r="C713" t="s">
        <v>8</v>
      </c>
      <c r="D713" t="s">
        <v>8</v>
      </c>
      <c r="E713" s="4" t="str">
        <f>HYPERLINK("https://ibp.a2mac1.com/costing(costing:projects/details/9760/assembly/8411197)","Backing Plate")</f>
        <v>Backing Plate</v>
      </c>
      <c r="F713" t="s">
        <v>998</v>
      </c>
    </row>
    <row r="714" spans="1:6" x14ac:dyDescent="0.15">
      <c r="A714">
        <v>8411269</v>
      </c>
      <c r="B714">
        <v>8411197</v>
      </c>
      <c r="C714" t="s">
        <v>10</v>
      </c>
      <c r="D714" t="s">
        <v>8</v>
      </c>
      <c r="E714" s="4" t="str">
        <f>HYPERLINK("https://ibp.a2mac1.com/costing(costing:projects/details/9760/part/8411269)","Left Backing Plate")</f>
        <v>Left Backing Plate</v>
      </c>
      <c r="F714" t="s">
        <v>1036</v>
      </c>
    </row>
    <row r="715" spans="1:6" x14ac:dyDescent="0.15">
      <c r="A715">
        <v>8411270</v>
      </c>
      <c r="B715">
        <v>8411197</v>
      </c>
      <c r="C715" t="s">
        <v>10</v>
      </c>
      <c r="D715" t="s">
        <v>8</v>
      </c>
      <c r="E715" s="4" t="str">
        <f>HYPERLINK("https://ibp.a2mac1.com/costing(costing:projects/details/9760/part/8411270)","Right Backing Plate")</f>
        <v>Right Backing Plate</v>
      </c>
      <c r="F715" t="s">
        <v>1036</v>
      </c>
    </row>
    <row r="716" spans="1:6" x14ac:dyDescent="0.15">
      <c r="A716">
        <v>8411198</v>
      </c>
      <c r="B716">
        <v>8411135</v>
      </c>
      <c r="C716" t="s">
        <v>8</v>
      </c>
      <c r="D716" t="s">
        <v>8</v>
      </c>
      <c r="E716" s="4" t="str">
        <f>HYPERLINK("https://ibp.a2mac1.com/costing(costing:projects/details/9760/assembly/8411198)","ABS Sensor Support")</f>
        <v>ABS Sensor Support</v>
      </c>
      <c r="F716" t="s">
        <v>998</v>
      </c>
    </row>
    <row r="717" spans="1:6" x14ac:dyDescent="0.15">
      <c r="A717">
        <v>8411271</v>
      </c>
      <c r="B717">
        <v>8411198</v>
      </c>
      <c r="C717" t="s">
        <v>10</v>
      </c>
      <c r="D717" t="s">
        <v>8</v>
      </c>
      <c r="E717" s="4" t="str">
        <f>HYPERLINK("https://ibp.a2mac1.com/costing(costing:projects/details/9760/part/8411271)","On Axle")</f>
        <v>On Axle</v>
      </c>
      <c r="F717" t="s">
        <v>1042</v>
      </c>
    </row>
    <row r="718" spans="1:6" x14ac:dyDescent="0.15">
      <c r="A718">
        <v>8411272</v>
      </c>
      <c r="B718">
        <v>8411198</v>
      </c>
      <c r="C718" t="s">
        <v>10</v>
      </c>
      <c r="D718" t="s">
        <v>8</v>
      </c>
      <c r="E718" s="4" t="str">
        <f>HYPERLINK("https://ibp.a2mac1.com/costing(costing:projects/details/9760/part/8411272)","Right on Axle (if Different)")</f>
        <v>Right on Axle (if Different)</v>
      </c>
      <c r="F718" t="s">
        <v>1042</v>
      </c>
    </row>
    <row r="719" spans="1:6" x14ac:dyDescent="0.15">
      <c r="A719">
        <v>8411273</v>
      </c>
      <c r="B719">
        <v>8411198</v>
      </c>
      <c r="C719" t="s">
        <v>10</v>
      </c>
      <c r="D719" t="s">
        <v>8</v>
      </c>
      <c r="E719" s="4" t="str">
        <f>HYPERLINK("https://ibp.a2mac1.com/costing(costing:projects/details/9760/part/8411273)","2nd on Axle")</f>
        <v>2nd on Axle</v>
      </c>
      <c r="F719" t="s">
        <v>1042</v>
      </c>
    </row>
    <row r="720" spans="1:6" x14ac:dyDescent="0.15">
      <c r="A720">
        <v>8411274</v>
      </c>
      <c r="B720">
        <v>8411198</v>
      </c>
      <c r="C720" t="s">
        <v>10</v>
      </c>
      <c r="D720" t="s">
        <v>8</v>
      </c>
      <c r="E720" s="4" t="str">
        <f>HYPERLINK("https://ibp.a2mac1.com/costing(costing:projects/details/9760/part/8411274)","2nd Right on Axle (if Different)")</f>
        <v>2nd Right on Axle (if Different)</v>
      </c>
      <c r="F720" t="s">
        <v>1042</v>
      </c>
    </row>
    <row r="721" spans="1:6" x14ac:dyDescent="0.15">
      <c r="A721">
        <v>8411191</v>
      </c>
      <c r="B721">
        <v>8411135</v>
      </c>
      <c r="C721" t="s">
        <v>10</v>
      </c>
      <c r="D721" t="s">
        <v>8</v>
      </c>
      <c r="E721" s="4" t="str">
        <f>HYPERLINK("https://ibp.a2mac1.com/costing(costing:projects/details/9760/part/8411191)","Hose")</f>
        <v>Hose</v>
      </c>
      <c r="F721" t="s">
        <v>998</v>
      </c>
    </row>
    <row r="722" spans="1:6" x14ac:dyDescent="0.15">
      <c r="A722">
        <v>8411192</v>
      </c>
      <c r="B722">
        <v>8411135</v>
      </c>
      <c r="C722" t="s">
        <v>10</v>
      </c>
      <c r="D722" t="s">
        <v>8</v>
      </c>
      <c r="E722" s="4" t="str">
        <f>HYPERLINK("https://ibp.a2mac1.com/costing(costing:projects/details/9760/part/8411192)","2nd Hose")</f>
        <v>2nd Hose</v>
      </c>
      <c r="F722" t="s">
        <v>998</v>
      </c>
    </row>
    <row r="723" spans="1:6" x14ac:dyDescent="0.15">
      <c r="A723">
        <v>8411193</v>
      </c>
      <c r="B723">
        <v>8411135</v>
      </c>
      <c r="C723" t="s">
        <v>10</v>
      </c>
      <c r="D723" t="s">
        <v>8</v>
      </c>
      <c r="E723" s="4" t="str">
        <f>HYPERLINK("https://ibp.a2mac1.com/costing(costing:projects/details/9760/part/8411193)","ABS Sensor")</f>
        <v>ABS Sensor</v>
      </c>
      <c r="F723" t="s">
        <v>998</v>
      </c>
    </row>
    <row r="724" spans="1:6" x14ac:dyDescent="0.15">
      <c r="A724">
        <v>8411194</v>
      </c>
      <c r="B724">
        <v>8411135</v>
      </c>
      <c r="C724" t="s">
        <v>10</v>
      </c>
      <c r="D724" t="s">
        <v>8</v>
      </c>
      <c r="E724" s="4" t="str">
        <f>HYPERLINK("https://ibp.a2mac1.com/costing(costing:projects/details/9760/part/8411194)","Brake air cooling duct")</f>
        <v>Brake air cooling duct</v>
      </c>
      <c r="F724" t="s">
        <v>998</v>
      </c>
    </row>
    <row r="725" spans="1:6" x14ac:dyDescent="0.15">
      <c r="A725">
        <v>8411136</v>
      </c>
      <c r="B725">
        <v>8411124</v>
      </c>
      <c r="C725" t="s">
        <v>8</v>
      </c>
      <c r="D725" t="s">
        <v>8</v>
      </c>
      <c r="E725" s="4" t="str">
        <f>HYPERLINK("https://ibp.a2mac1.com/costing(costing:projects/details/9760/assembly/8411136)","Rear Brakes")</f>
        <v>Rear Brakes</v>
      </c>
      <c r="F725" t="s">
        <v>959</v>
      </c>
    </row>
    <row r="726" spans="1:6" x14ac:dyDescent="0.15">
      <c r="A726">
        <v>8411204</v>
      </c>
      <c r="B726">
        <v>8411136</v>
      </c>
      <c r="C726" t="s">
        <v>8</v>
      </c>
      <c r="D726" t="s">
        <v>8</v>
      </c>
      <c r="E726" s="4" t="str">
        <f>HYPERLINK("https://ibp.a2mac1.com/costing(costing:projects/details/9760/assembly/8411204)","Disc System")</f>
        <v>Disc System</v>
      </c>
      <c r="F726" t="s">
        <v>1058</v>
      </c>
    </row>
    <row r="727" spans="1:6" x14ac:dyDescent="0.15">
      <c r="A727">
        <v>8411276</v>
      </c>
      <c r="B727">
        <v>8411204</v>
      </c>
      <c r="C727" t="s">
        <v>8</v>
      </c>
      <c r="D727" t="s">
        <v>8</v>
      </c>
      <c r="E727" s="4" t="str">
        <f>HYPERLINK("https://ibp.a2mac1.com/costing(costing:projects/details/9760/assembly/8411276)","Brake Caliper")</f>
        <v>Brake Caliper</v>
      </c>
      <c r="F727" t="s">
        <v>1059</v>
      </c>
    </row>
    <row r="728" spans="1:6" x14ac:dyDescent="0.15">
      <c r="A728">
        <v>8411314</v>
      </c>
      <c r="B728">
        <v>8411276</v>
      </c>
      <c r="C728" t="s">
        <v>8</v>
      </c>
      <c r="D728" t="s">
        <v>8</v>
      </c>
      <c r="E728" s="4" t="str">
        <f>HYPERLINK("https://ibp.a2mac1.com/costing(costing:projects/details/9760/assembly/8411314)","Brake Caliper Left Assy")</f>
        <v>Brake Caliper Left Assy</v>
      </c>
      <c r="F728" t="s">
        <v>1060</v>
      </c>
    </row>
    <row r="729" spans="1:6" x14ac:dyDescent="0.15">
      <c r="A729">
        <v>8411413</v>
      </c>
      <c r="B729">
        <v>8411314</v>
      </c>
      <c r="C729" t="s">
        <v>8</v>
      </c>
      <c r="D729" t="s">
        <v>8</v>
      </c>
      <c r="E729" s="4" t="str">
        <f>HYPERLINK("https://ibp.a2mac1.com/costing(costing:projects/details/9760/assembly/8411413)","Brake Pads")</f>
        <v>Brake Pads</v>
      </c>
      <c r="F729" t="s">
        <v>1061</v>
      </c>
    </row>
    <row r="730" spans="1:6" x14ac:dyDescent="0.15">
      <c r="A730">
        <v>8411419</v>
      </c>
      <c r="B730">
        <v>8411413</v>
      </c>
      <c r="C730" t="s">
        <v>10</v>
      </c>
      <c r="D730" t="s">
        <v>8</v>
      </c>
      <c r="E730" s="4" t="str">
        <f>HYPERLINK("https://ibp.a2mac1.com/costing(costing:projects/details/9760/part/8411419)","Interior")</f>
        <v>Interior</v>
      </c>
      <c r="F730" t="s">
        <v>1062</v>
      </c>
    </row>
    <row r="731" spans="1:6" x14ac:dyDescent="0.15">
      <c r="A731">
        <v>8411420</v>
      </c>
      <c r="B731">
        <v>8411413</v>
      </c>
      <c r="C731" t="s">
        <v>10</v>
      </c>
      <c r="D731" t="s">
        <v>8</v>
      </c>
      <c r="E731" s="4" t="str">
        <f>HYPERLINK("https://ibp.a2mac1.com/costing(costing:projects/details/9760/part/8411420)","Exterior")</f>
        <v>Exterior</v>
      </c>
      <c r="F731" t="s">
        <v>1062</v>
      </c>
    </row>
    <row r="732" spans="1:6" x14ac:dyDescent="0.15">
      <c r="A732">
        <v>8411411</v>
      </c>
      <c r="B732">
        <v>8411314</v>
      </c>
      <c r="C732" t="s">
        <v>10</v>
      </c>
      <c r="D732" t="s">
        <v>8</v>
      </c>
      <c r="E732" s="4" t="str">
        <f>HYPERLINK("https://ibp.a2mac1.com/costing(costing:projects/details/9760/part/8411411)","Actuator for park brake (Left if different)")</f>
        <v>Actuator for park brake (Left if different)</v>
      </c>
      <c r="F732" t="s">
        <v>1061</v>
      </c>
    </row>
    <row r="733" spans="1:6" x14ac:dyDescent="0.15">
      <c r="A733">
        <v>8411412</v>
      </c>
      <c r="B733">
        <v>8411314</v>
      </c>
      <c r="C733" t="s">
        <v>10</v>
      </c>
      <c r="D733" t="s">
        <v>8</v>
      </c>
      <c r="E733" s="4" t="str">
        <f>HYPERLINK("https://ibp.a2mac1.com/costing(costing:projects/details/9760/part/8411412)","Brake Caliper Left Assy")</f>
        <v>Brake Caliper Left Assy</v>
      </c>
      <c r="F733" t="s">
        <v>1061</v>
      </c>
    </row>
    <row r="734" spans="1:6" x14ac:dyDescent="0.15">
      <c r="A734">
        <v>12083054</v>
      </c>
      <c r="B734">
        <v>8411412</v>
      </c>
      <c r="C734" t="s">
        <v>114</v>
      </c>
      <c r="D734" t="s">
        <v>10</v>
      </c>
      <c r="E734" s="4" t="str">
        <f>HYPERLINK("https://ibp.a2mac1.com/costing(costing:projects/details/9760/process/12083054)","Process")</f>
        <v>Process</v>
      </c>
      <c r="F734" t="s">
        <v>1067</v>
      </c>
    </row>
    <row r="735" spans="1:6" x14ac:dyDescent="0.15">
      <c r="A735">
        <v>8751946</v>
      </c>
      <c r="B735">
        <v>12083054</v>
      </c>
      <c r="C735" t="s">
        <v>22</v>
      </c>
      <c r="D735" t="s">
        <v>114</v>
      </c>
      <c r="E735" s="4" t="str">
        <f>HYPERLINK("https://ibp.a2mac1.com/costing(costing:projects/details/9760/material/8751946)","Material")</f>
        <v>Material</v>
      </c>
      <c r="F735" t="s">
        <v>1068</v>
      </c>
    </row>
    <row r="736" spans="1:6" x14ac:dyDescent="0.15">
      <c r="A736">
        <v>12209915</v>
      </c>
      <c r="B736">
        <v>12083054</v>
      </c>
      <c r="C736" t="s">
        <v>163</v>
      </c>
      <c r="D736" t="s">
        <v>114</v>
      </c>
      <c r="E736" s="4" t="str">
        <f>HYPERLINK("https://ibp.a2mac1.com/costing(costing:projects/details/9760/equipment/12209915)","General production process (0.5-10€)")</f>
        <v>General production process (0.5-10€)</v>
      </c>
      <c r="F736" t="s">
        <v>1068</v>
      </c>
    </row>
    <row r="737" spans="1:6" x14ac:dyDescent="0.15">
      <c r="A737">
        <v>8411414</v>
      </c>
      <c r="B737">
        <v>8411314</v>
      </c>
      <c r="C737" t="s">
        <v>10</v>
      </c>
      <c r="D737" t="s">
        <v>8</v>
      </c>
      <c r="E737" s="4" t="str">
        <f>HYPERLINK("https://ibp.a2mac1.com/costing(costing:projects/details/9760/part/8411414)","Caliper Protection")</f>
        <v>Caliper Protection</v>
      </c>
      <c r="F737" t="s">
        <v>1061</v>
      </c>
    </row>
    <row r="738" spans="1:6" x14ac:dyDescent="0.15">
      <c r="A738">
        <v>12083052</v>
      </c>
      <c r="B738">
        <v>8411314</v>
      </c>
      <c r="C738" t="s">
        <v>114</v>
      </c>
      <c r="D738" t="s">
        <v>8</v>
      </c>
      <c r="E738" s="4" t="str">
        <f>HYPERLINK("https://ibp.a2mac1.com/costing(costing:projects/details/9760/process/12083052)","Process")</f>
        <v>Process</v>
      </c>
      <c r="F738" t="s">
        <v>1061</v>
      </c>
    </row>
    <row r="739" spans="1:6" x14ac:dyDescent="0.15">
      <c r="A739">
        <v>12209905</v>
      </c>
      <c r="B739">
        <v>12083052</v>
      </c>
      <c r="C739" t="s">
        <v>163</v>
      </c>
      <c r="D739" t="s">
        <v>114</v>
      </c>
      <c r="E739" s="4" t="str">
        <f>HYPERLINK("https://ibp.a2mac1.com/costing(costing:projects/details/9760/equipment/12209905)","General production process (0.5-10€)")</f>
        <v>General production process (0.5-10€)</v>
      </c>
      <c r="F739" t="s">
        <v>1073</v>
      </c>
    </row>
    <row r="740" spans="1:6" x14ac:dyDescent="0.15">
      <c r="A740">
        <v>8411315</v>
      </c>
      <c r="B740">
        <v>8411276</v>
      </c>
      <c r="C740" t="s">
        <v>8</v>
      </c>
      <c r="D740" t="s">
        <v>8</v>
      </c>
      <c r="E740" s="4" t="str">
        <f>HYPERLINK("https://ibp.a2mac1.com/costing(costing:projects/details/9760/assembly/8411315)","Brake Caliper Right Assy")</f>
        <v>Brake Caliper Right Assy</v>
      </c>
      <c r="F740" t="s">
        <v>1060</v>
      </c>
    </row>
    <row r="741" spans="1:6" x14ac:dyDescent="0.15">
      <c r="A741">
        <v>8411418</v>
      </c>
      <c r="B741">
        <v>8411315</v>
      </c>
      <c r="C741" t="s">
        <v>8</v>
      </c>
      <c r="D741" t="s">
        <v>8</v>
      </c>
      <c r="E741" s="4" t="str">
        <f>HYPERLINK("https://ibp.a2mac1.com/costing(costing:projects/details/9760/assembly/8411418)","Brake Pads")</f>
        <v>Brake Pads</v>
      </c>
      <c r="F741" t="s">
        <v>1075</v>
      </c>
    </row>
    <row r="742" spans="1:6" x14ac:dyDescent="0.15">
      <c r="A742">
        <v>8411421</v>
      </c>
      <c r="B742">
        <v>8411418</v>
      </c>
      <c r="C742" t="s">
        <v>10</v>
      </c>
      <c r="D742" t="s">
        <v>8</v>
      </c>
      <c r="E742" s="4" t="str">
        <f>HYPERLINK("https://ibp.a2mac1.com/costing(costing:projects/details/9760/part/8411421)","Interior")</f>
        <v>Interior</v>
      </c>
      <c r="F742" t="s">
        <v>1076</v>
      </c>
    </row>
    <row r="743" spans="1:6" x14ac:dyDescent="0.15">
      <c r="A743">
        <v>8411422</v>
      </c>
      <c r="B743">
        <v>8411418</v>
      </c>
      <c r="C743" t="s">
        <v>10</v>
      </c>
      <c r="D743" t="s">
        <v>8</v>
      </c>
      <c r="E743" s="4" t="str">
        <f>HYPERLINK("https://ibp.a2mac1.com/costing(costing:projects/details/9760/part/8411422)","Exterior")</f>
        <v>Exterior</v>
      </c>
      <c r="F743" t="s">
        <v>1076</v>
      </c>
    </row>
    <row r="744" spans="1:6" x14ac:dyDescent="0.15">
      <c r="A744">
        <v>8411415</v>
      </c>
      <c r="B744">
        <v>8411315</v>
      </c>
      <c r="C744" t="s">
        <v>10</v>
      </c>
      <c r="D744" t="s">
        <v>8</v>
      </c>
      <c r="E744" s="4" t="str">
        <f>HYPERLINK("https://ibp.a2mac1.com/costing(costing:projects/details/9760/part/8411415)","Right Actuator for park brake")</f>
        <v>Right Actuator for park brake</v>
      </c>
      <c r="F744" t="s">
        <v>1075</v>
      </c>
    </row>
    <row r="745" spans="1:6" x14ac:dyDescent="0.15">
      <c r="A745">
        <v>8411416</v>
      </c>
      <c r="B745">
        <v>8411315</v>
      </c>
      <c r="C745" t="s">
        <v>10</v>
      </c>
      <c r="D745" t="s">
        <v>8</v>
      </c>
      <c r="E745" s="4" t="str">
        <f>HYPERLINK("https://ibp.a2mac1.com/costing(costing:projects/details/9760/part/8411416)","Caliper Protection")</f>
        <v>Caliper Protection</v>
      </c>
      <c r="F745" t="s">
        <v>1075</v>
      </c>
    </row>
    <row r="746" spans="1:6" x14ac:dyDescent="0.15">
      <c r="A746">
        <v>8411417</v>
      </c>
      <c r="B746">
        <v>8411315</v>
      </c>
      <c r="C746" t="s">
        <v>10</v>
      </c>
      <c r="D746" t="s">
        <v>8</v>
      </c>
      <c r="E746" s="4" t="str">
        <f>HYPERLINK("https://ibp.a2mac1.com/costing(costing:projects/details/9760/part/8411417)","Brake Caliper Right Assy")</f>
        <v>Brake Caliper Right Assy</v>
      </c>
      <c r="F746" t="s">
        <v>1075</v>
      </c>
    </row>
    <row r="747" spans="1:6" x14ac:dyDescent="0.15">
      <c r="A747">
        <v>12083055</v>
      </c>
      <c r="B747">
        <v>8411417</v>
      </c>
      <c r="C747" t="s">
        <v>114</v>
      </c>
      <c r="D747" t="s">
        <v>10</v>
      </c>
      <c r="E747" s="4" t="str">
        <f>HYPERLINK("https://ibp.a2mac1.com/costing(costing:projects/details/9760/process/12083055)","Process")</f>
        <v>Process</v>
      </c>
      <c r="F747" t="s">
        <v>1079</v>
      </c>
    </row>
    <row r="748" spans="1:6" x14ac:dyDescent="0.15">
      <c r="A748">
        <v>8751947</v>
      </c>
      <c r="B748">
        <v>12083055</v>
      </c>
      <c r="C748" t="s">
        <v>22</v>
      </c>
      <c r="D748" t="s">
        <v>114</v>
      </c>
      <c r="E748" s="4" t="str">
        <f>HYPERLINK("https://ibp.a2mac1.com/costing(costing:projects/details/9760/material/8751947)","Material")</f>
        <v>Material</v>
      </c>
      <c r="F748" t="s">
        <v>1080</v>
      </c>
    </row>
    <row r="749" spans="1:6" x14ac:dyDescent="0.15">
      <c r="A749">
        <v>12209918</v>
      </c>
      <c r="B749">
        <v>12083055</v>
      </c>
      <c r="C749" t="s">
        <v>163</v>
      </c>
      <c r="D749" t="s">
        <v>114</v>
      </c>
      <c r="E749" s="4" t="str">
        <f>HYPERLINK("https://ibp.a2mac1.com/costing(costing:projects/details/9760/equipment/12209918)","General production process (0.5-10€)")</f>
        <v>General production process (0.5-10€)</v>
      </c>
      <c r="F749" t="s">
        <v>1080</v>
      </c>
    </row>
    <row r="750" spans="1:6" x14ac:dyDescent="0.15">
      <c r="A750">
        <v>12083053</v>
      </c>
      <c r="B750">
        <v>8411315</v>
      </c>
      <c r="C750" t="s">
        <v>114</v>
      </c>
      <c r="D750" t="s">
        <v>8</v>
      </c>
      <c r="E750" s="4" t="str">
        <f>HYPERLINK("https://ibp.a2mac1.com/costing(costing:projects/details/9760/process/12083053)","Process")</f>
        <v>Process</v>
      </c>
      <c r="F750" t="s">
        <v>1075</v>
      </c>
    </row>
    <row r="751" spans="1:6" x14ac:dyDescent="0.15">
      <c r="A751">
        <v>12209906</v>
      </c>
      <c r="B751">
        <v>12083053</v>
      </c>
      <c r="C751" t="s">
        <v>163</v>
      </c>
      <c r="D751" t="s">
        <v>114</v>
      </c>
      <c r="E751" s="4" t="str">
        <f>HYPERLINK("https://ibp.a2mac1.com/costing(costing:projects/details/9760/equipment/12209906)","General production process (0.5-10€)")</f>
        <v>General production process (0.5-10€)</v>
      </c>
      <c r="F751" t="s">
        <v>1081</v>
      </c>
    </row>
    <row r="752" spans="1:6" x14ac:dyDescent="0.15">
      <c r="A752">
        <v>8411275</v>
      </c>
      <c r="B752">
        <v>8411204</v>
      </c>
      <c r="C752" t="s">
        <v>10</v>
      </c>
      <c r="D752" t="s">
        <v>8</v>
      </c>
      <c r="E752" s="4" t="str">
        <f>HYPERLINK("https://ibp.a2mac1.com/costing(costing:projects/details/9760/part/8411275)","Disc")</f>
        <v>Disc</v>
      </c>
      <c r="F752" t="s">
        <v>1059</v>
      </c>
    </row>
    <row r="753" spans="1:6" x14ac:dyDescent="0.15">
      <c r="A753">
        <v>12083032</v>
      </c>
      <c r="B753">
        <v>8411275</v>
      </c>
      <c r="C753" t="s">
        <v>114</v>
      </c>
      <c r="D753" t="s">
        <v>10</v>
      </c>
      <c r="E753" s="4" t="str">
        <f>HYPERLINK("https://ibp.a2mac1.com/costing(costing:projects/details/9760/process/12083032)","Process")</f>
        <v>Process</v>
      </c>
      <c r="F753" t="s">
        <v>1084</v>
      </c>
    </row>
    <row r="754" spans="1:6" x14ac:dyDescent="0.15">
      <c r="A754">
        <v>8751935</v>
      </c>
      <c r="B754">
        <v>12083032</v>
      </c>
      <c r="C754" t="s">
        <v>22</v>
      </c>
      <c r="D754" t="s">
        <v>114</v>
      </c>
      <c r="E754" s="4" t="str">
        <f>HYPERLINK("https://ibp.a2mac1.com/costing(costing:projects/details/9760/material/8751935)","Material")</f>
        <v>Material</v>
      </c>
      <c r="F754" t="s">
        <v>1085</v>
      </c>
    </row>
    <row r="755" spans="1:6" x14ac:dyDescent="0.15">
      <c r="A755">
        <v>12209853</v>
      </c>
      <c r="B755">
        <v>12083032</v>
      </c>
      <c r="C755" t="s">
        <v>163</v>
      </c>
      <c r="D755" t="s">
        <v>114</v>
      </c>
      <c r="E755" s="4" t="str">
        <f>HYPERLINK("https://ibp.a2mac1.com/costing(costing:projects/details/9760/equipment/12209853)","General production process (0.5-10€)")</f>
        <v>General production process (0.5-10€)</v>
      </c>
      <c r="F755" t="s">
        <v>1085</v>
      </c>
    </row>
    <row r="756" spans="1:6" x14ac:dyDescent="0.15">
      <c r="A756">
        <v>8411205</v>
      </c>
      <c r="B756">
        <v>8411136</v>
      </c>
      <c r="C756" t="s">
        <v>8</v>
      </c>
      <c r="D756" t="s">
        <v>8</v>
      </c>
      <c r="E756" s="4" t="str">
        <f>HYPERLINK("https://ibp.a2mac1.com/costing(costing:projects/details/9760/assembly/8411205)","Backing Plate")</f>
        <v>Backing Plate</v>
      </c>
      <c r="F756" t="s">
        <v>1058</v>
      </c>
    </row>
    <row r="757" spans="1:6" x14ac:dyDescent="0.15">
      <c r="A757">
        <v>8411277</v>
      </c>
      <c r="B757">
        <v>8411205</v>
      </c>
      <c r="C757" t="s">
        <v>10</v>
      </c>
      <c r="D757" t="s">
        <v>8</v>
      </c>
      <c r="E757" s="4" t="str">
        <f>HYPERLINK("https://ibp.a2mac1.com/costing(costing:projects/details/9760/part/8411277)","Left Backing Plate")</f>
        <v>Left Backing Plate</v>
      </c>
      <c r="F757" t="s">
        <v>1089</v>
      </c>
    </row>
    <row r="758" spans="1:6" x14ac:dyDescent="0.15">
      <c r="A758">
        <v>8411278</v>
      </c>
      <c r="B758">
        <v>8411205</v>
      </c>
      <c r="C758" t="s">
        <v>10</v>
      </c>
      <c r="D758" t="s">
        <v>8</v>
      </c>
      <c r="E758" s="4" t="str">
        <f>HYPERLINK("https://ibp.a2mac1.com/costing(costing:projects/details/9760/part/8411278)","Right Backing Plate")</f>
        <v>Right Backing Plate</v>
      </c>
      <c r="F758" t="s">
        <v>1089</v>
      </c>
    </row>
    <row r="759" spans="1:6" x14ac:dyDescent="0.15">
      <c r="A759">
        <v>8411199</v>
      </c>
      <c r="B759">
        <v>8411136</v>
      </c>
      <c r="C759" t="s">
        <v>10</v>
      </c>
      <c r="D759" t="s">
        <v>8</v>
      </c>
      <c r="E759" s="4" t="str">
        <f>HYPERLINK("https://ibp.a2mac1.com/costing(costing:projects/details/9760/part/8411199)","Abs Sensor")</f>
        <v>Abs Sensor</v>
      </c>
      <c r="F759" t="s">
        <v>1058</v>
      </c>
    </row>
    <row r="760" spans="1:6" x14ac:dyDescent="0.15">
      <c r="A760">
        <v>8411200</v>
      </c>
      <c r="B760">
        <v>8411136</v>
      </c>
      <c r="C760" t="s">
        <v>10</v>
      </c>
      <c r="D760" t="s">
        <v>8</v>
      </c>
      <c r="E760" s="4" t="str">
        <f>HYPERLINK("https://ibp.a2mac1.com/costing(costing:projects/details/9760/part/8411200)","Left Hoses")</f>
        <v>Left Hoses</v>
      </c>
      <c r="F760" t="s">
        <v>1058</v>
      </c>
    </row>
    <row r="761" spans="1:6" x14ac:dyDescent="0.15">
      <c r="A761">
        <v>8411201</v>
      </c>
      <c r="B761">
        <v>8411136</v>
      </c>
      <c r="C761" t="s">
        <v>10</v>
      </c>
      <c r="D761" t="s">
        <v>8</v>
      </c>
      <c r="E761" s="4" t="str">
        <f>HYPERLINK("https://ibp.a2mac1.com/costing(costing:projects/details/9760/part/8411201)","Right Hoses")</f>
        <v>Right Hoses</v>
      </c>
      <c r="F761" t="s">
        <v>1058</v>
      </c>
    </row>
    <row r="762" spans="1:6" x14ac:dyDescent="0.15">
      <c r="A762">
        <v>8411202</v>
      </c>
      <c r="B762">
        <v>8411136</v>
      </c>
      <c r="C762" t="s">
        <v>10</v>
      </c>
      <c r="D762" t="s">
        <v>8</v>
      </c>
      <c r="E762" s="4" t="str">
        <f>HYPERLINK("https://ibp.a2mac1.com/costing(costing:projects/details/9760/part/8411202)","Hose Support")</f>
        <v>Hose Support</v>
      </c>
      <c r="F762" t="s">
        <v>1058</v>
      </c>
    </row>
    <row r="763" spans="1:6" x14ac:dyDescent="0.15">
      <c r="A763">
        <v>8411203</v>
      </c>
      <c r="B763">
        <v>8411136</v>
      </c>
      <c r="C763" t="s">
        <v>10</v>
      </c>
      <c r="D763" t="s">
        <v>8</v>
      </c>
      <c r="E763" s="4" t="str">
        <f>HYPERLINK("https://ibp.a2mac1.com/costing(costing:projects/details/9760/part/8411203)","2nd Hose Support")</f>
        <v>2nd Hose Support</v>
      </c>
      <c r="F763" t="s">
        <v>1058</v>
      </c>
    </row>
    <row r="764" spans="1:6" x14ac:dyDescent="0.15">
      <c r="A764">
        <v>8411125</v>
      </c>
      <c r="B764">
        <v>9760</v>
      </c>
      <c r="C764" t="s">
        <v>8</v>
      </c>
      <c r="D764" t="s">
        <v>6</v>
      </c>
      <c r="E764" s="4" t="str">
        <f>HYPERLINK("https://ibp.a2mac1.com/costing(costing:projects/details/9760/assembly/8411125)","Heating System")</f>
        <v>Heating System</v>
      </c>
      <c r="F764" t="s">
        <v>9</v>
      </c>
    </row>
    <row r="765" spans="1:6" x14ac:dyDescent="0.15">
      <c r="A765">
        <v>8411137</v>
      </c>
      <c r="B765">
        <v>8411125</v>
      </c>
      <c r="C765" t="s">
        <v>8</v>
      </c>
      <c r="D765" t="s">
        <v>8</v>
      </c>
      <c r="E765" s="4" t="str">
        <f>HYPERLINK("https://ibp.a2mac1.com/costing(costing:projects/details/9760/assembly/8411137)","Heating System")</f>
        <v>Heating System</v>
      </c>
      <c r="F765" t="s">
        <v>1104</v>
      </c>
    </row>
    <row r="766" spans="1:6" x14ac:dyDescent="0.15">
      <c r="A766">
        <v>8411208</v>
      </c>
      <c r="B766">
        <v>8411137</v>
      </c>
      <c r="C766" t="s">
        <v>8</v>
      </c>
      <c r="D766" t="s">
        <v>8</v>
      </c>
      <c r="E766" s="4" t="str">
        <f>HYPERLINK("https://ibp.a2mac1.com/costing(costing:projects/details/9760/assembly/8411208)","Covers")</f>
        <v>Covers</v>
      </c>
      <c r="F766" t="s">
        <v>1105</v>
      </c>
    </row>
    <row r="767" spans="1:6" x14ac:dyDescent="0.15">
      <c r="A767">
        <v>8411316</v>
      </c>
      <c r="B767">
        <v>8411208</v>
      </c>
      <c r="C767" t="s">
        <v>10</v>
      </c>
      <c r="D767" t="s">
        <v>8</v>
      </c>
      <c r="E767" s="4" t="str">
        <f>HYPERLINK("https://ibp.a2mac1.com/costing(costing:projects/details/9760/part/8411316)","Left")</f>
        <v>Left</v>
      </c>
      <c r="F767" t="s">
        <v>1106</v>
      </c>
    </row>
    <row r="768" spans="1:6" x14ac:dyDescent="0.15">
      <c r="A768">
        <v>8411317</v>
      </c>
      <c r="B768">
        <v>8411208</v>
      </c>
      <c r="C768" t="s">
        <v>10</v>
      </c>
      <c r="D768" t="s">
        <v>8</v>
      </c>
      <c r="E768" s="4" t="str">
        <f>HYPERLINK("https://ibp.a2mac1.com/costing(costing:projects/details/9760/part/8411317)","Upper Left")</f>
        <v>Upper Left</v>
      </c>
      <c r="F768" t="s">
        <v>1106</v>
      </c>
    </row>
    <row r="769" spans="1:6" x14ac:dyDescent="0.15">
      <c r="A769">
        <v>8411318</v>
      </c>
      <c r="B769">
        <v>8411208</v>
      </c>
      <c r="C769" t="s">
        <v>10</v>
      </c>
      <c r="D769" t="s">
        <v>8</v>
      </c>
      <c r="E769" s="4" t="str">
        <f>HYPERLINK("https://ibp.a2mac1.com/costing(costing:projects/details/9760/part/8411318)","Right")</f>
        <v>Right</v>
      </c>
      <c r="F769" t="s">
        <v>1106</v>
      </c>
    </row>
    <row r="770" spans="1:6" x14ac:dyDescent="0.15">
      <c r="A770">
        <v>8411319</v>
      </c>
      <c r="B770">
        <v>8411208</v>
      </c>
      <c r="C770" t="s">
        <v>10</v>
      </c>
      <c r="D770" t="s">
        <v>8</v>
      </c>
      <c r="E770" s="4" t="str">
        <f>HYPERLINK("https://ibp.a2mac1.com/costing(costing:projects/details/9760/part/8411319)","Upper right")</f>
        <v>Upper right</v>
      </c>
      <c r="F770" t="s">
        <v>1106</v>
      </c>
    </row>
    <row r="771" spans="1:6" x14ac:dyDescent="0.15">
      <c r="A771">
        <v>8411320</v>
      </c>
      <c r="B771">
        <v>8411208</v>
      </c>
      <c r="C771" t="s">
        <v>10</v>
      </c>
      <c r="D771" t="s">
        <v>8</v>
      </c>
      <c r="E771" s="4" t="str">
        <f>HYPERLINK("https://ibp.a2mac1.com/costing(costing:projects/details/9760/part/8411320)","Central")</f>
        <v>Central</v>
      </c>
      <c r="F771" t="s">
        <v>1106</v>
      </c>
    </row>
    <row r="772" spans="1:6" x14ac:dyDescent="0.15">
      <c r="A772">
        <v>8411321</v>
      </c>
      <c r="B772">
        <v>8411208</v>
      </c>
      <c r="C772" t="s">
        <v>10</v>
      </c>
      <c r="D772" t="s">
        <v>8</v>
      </c>
      <c r="E772" s="4" t="str">
        <f>HYPERLINK("https://ibp.a2mac1.com/costing(costing:projects/details/9760/part/8411321)","Inner Air Guide")</f>
        <v>Inner Air Guide</v>
      </c>
      <c r="F772" t="s">
        <v>1106</v>
      </c>
    </row>
    <row r="773" spans="1:6" x14ac:dyDescent="0.15">
      <c r="A773">
        <v>8411322</v>
      </c>
      <c r="B773">
        <v>8411208</v>
      </c>
      <c r="C773" t="s">
        <v>10</v>
      </c>
      <c r="D773" t="s">
        <v>8</v>
      </c>
      <c r="E773" s="4" t="str">
        <f>HYPERLINK("https://ibp.a2mac1.com/costing(costing:projects/details/9760/part/8411322)","Second inner air guide")</f>
        <v>Second inner air guide</v>
      </c>
      <c r="F773" t="s">
        <v>1106</v>
      </c>
    </row>
    <row r="774" spans="1:6" x14ac:dyDescent="0.15">
      <c r="A774">
        <v>8411323</v>
      </c>
      <c r="B774">
        <v>8411208</v>
      </c>
      <c r="C774" t="s">
        <v>10</v>
      </c>
      <c r="D774" t="s">
        <v>8</v>
      </c>
      <c r="E774" s="4" t="str">
        <f>HYPERLINK("https://ibp.a2mac1.com/costing(costing:projects/details/9760/part/8411323)","Third inner air guide")</f>
        <v>Third inner air guide</v>
      </c>
      <c r="F774" t="s">
        <v>1106</v>
      </c>
    </row>
    <row r="775" spans="1:6" x14ac:dyDescent="0.15">
      <c r="A775">
        <v>8411324</v>
      </c>
      <c r="B775">
        <v>8411208</v>
      </c>
      <c r="C775" t="s">
        <v>10</v>
      </c>
      <c r="D775" t="s">
        <v>8</v>
      </c>
      <c r="E775" s="4" t="str">
        <f>HYPERLINK("https://ibp.a2mac1.com/costing(costing:projects/details/9760/part/8411324)","Fourth inner air guide")</f>
        <v>Fourth inner air guide</v>
      </c>
      <c r="F775" t="s">
        <v>1106</v>
      </c>
    </row>
    <row r="776" spans="1:6" x14ac:dyDescent="0.15">
      <c r="A776">
        <v>8411210</v>
      </c>
      <c r="B776">
        <v>8411137</v>
      </c>
      <c r="C776" t="s">
        <v>8</v>
      </c>
      <c r="D776" t="s">
        <v>8</v>
      </c>
      <c r="E776" s="4" t="str">
        <f>HYPERLINK("https://ibp.a2mac1.com/costing(costing:projects/details/9760/assembly/8411210)","Motors")</f>
        <v>Motors</v>
      </c>
      <c r="F776" t="s">
        <v>1105</v>
      </c>
    </row>
    <row r="777" spans="1:6" x14ac:dyDescent="0.15">
      <c r="A777">
        <v>8411325</v>
      </c>
      <c r="B777">
        <v>8411210</v>
      </c>
      <c r="C777" t="s">
        <v>8</v>
      </c>
      <c r="D777" t="s">
        <v>8</v>
      </c>
      <c r="E777" s="4" t="str">
        <f>HYPERLINK("https://ibp.a2mac1.com/costing(costing:projects/details/9760/assembly/8411325)","Intake Air Vent Motor")</f>
        <v>Intake Air Vent Motor</v>
      </c>
      <c r="F777" t="s">
        <v>1119</v>
      </c>
    </row>
    <row r="778" spans="1:6" x14ac:dyDescent="0.15">
      <c r="A778">
        <v>8411423</v>
      </c>
      <c r="B778">
        <v>8411325</v>
      </c>
      <c r="C778" t="s">
        <v>10</v>
      </c>
      <c r="D778" t="s">
        <v>8</v>
      </c>
      <c r="E778" s="4" t="str">
        <f>HYPERLINK("https://ibp.a2mac1.com/costing(costing:projects/details/9760/part/8411423)","Intake Air Vent Motor")</f>
        <v>Intake Air Vent Motor</v>
      </c>
      <c r="F778" t="s">
        <v>1120</v>
      </c>
    </row>
    <row r="779" spans="1:6" x14ac:dyDescent="0.15">
      <c r="A779">
        <v>8411424</v>
      </c>
      <c r="B779">
        <v>8411325</v>
      </c>
      <c r="C779" t="s">
        <v>10</v>
      </c>
      <c r="D779" t="s">
        <v>8</v>
      </c>
      <c r="E779" s="4" t="str">
        <f>HYPERLINK("https://ibp.a2mac1.com/costing(costing:projects/details/9760/part/8411424)","Intake Air Vent Motor Support")</f>
        <v>Intake Air Vent Motor Support</v>
      </c>
      <c r="F779" t="s">
        <v>1120</v>
      </c>
    </row>
    <row r="780" spans="1:6" x14ac:dyDescent="0.15">
      <c r="A780">
        <v>8411425</v>
      </c>
      <c r="B780">
        <v>8411325</v>
      </c>
      <c r="C780" t="s">
        <v>10</v>
      </c>
      <c r="D780" t="s">
        <v>8</v>
      </c>
      <c r="E780" s="4" t="str">
        <f>HYPERLINK("https://ibp.a2mac1.com/costing(costing:projects/details/9760/part/8411425)","Protection")</f>
        <v>Protection</v>
      </c>
      <c r="F780" t="s">
        <v>1120</v>
      </c>
    </row>
    <row r="781" spans="1:6" x14ac:dyDescent="0.15">
      <c r="A781">
        <v>8411326</v>
      </c>
      <c r="B781">
        <v>8411210</v>
      </c>
      <c r="C781" t="s">
        <v>8</v>
      </c>
      <c r="D781" t="s">
        <v>8</v>
      </c>
      <c r="E781" s="4" t="str">
        <f>HYPERLINK("https://ibp.a2mac1.com/costing(costing:projects/details/9760/assembly/8411326)","Central Air Vent Flap Motor")</f>
        <v>Central Air Vent Flap Motor</v>
      </c>
      <c r="F781" t="s">
        <v>1119</v>
      </c>
    </row>
    <row r="782" spans="1:6" x14ac:dyDescent="0.15">
      <c r="A782">
        <v>8411426</v>
      </c>
      <c r="B782">
        <v>8411326</v>
      </c>
      <c r="C782" t="s">
        <v>10</v>
      </c>
      <c r="D782" t="s">
        <v>8</v>
      </c>
      <c r="E782" s="4" t="str">
        <f>HYPERLINK("https://ibp.a2mac1.com/costing(costing:projects/details/9760/part/8411426)","Right")</f>
        <v>Right</v>
      </c>
      <c r="F782" t="s">
        <v>1125</v>
      </c>
    </row>
    <row r="783" spans="1:6" x14ac:dyDescent="0.15">
      <c r="A783">
        <v>8411327</v>
      </c>
      <c r="B783">
        <v>8411210</v>
      </c>
      <c r="C783" t="s">
        <v>8</v>
      </c>
      <c r="D783" t="s">
        <v>8</v>
      </c>
      <c r="E783" s="4" t="str">
        <f>HYPERLINK("https://ibp.a2mac1.com/costing(costing:projects/details/9760/assembly/8411327)","Heater Core Motors")</f>
        <v>Heater Core Motors</v>
      </c>
      <c r="F783" t="s">
        <v>1119</v>
      </c>
    </row>
    <row r="784" spans="1:6" x14ac:dyDescent="0.15">
      <c r="A784">
        <v>8411427</v>
      </c>
      <c r="B784">
        <v>8411327</v>
      </c>
      <c r="C784" t="s">
        <v>10</v>
      </c>
      <c r="D784" t="s">
        <v>8</v>
      </c>
      <c r="E784" s="4" t="str">
        <f>HYPERLINK("https://ibp.a2mac1.com/costing(costing:projects/details/9760/part/8411427)","Heater Core Motor (Left/Single and Right if Identical)")</f>
        <v>Heater Core Motor (Left/Single and Right if Identical)</v>
      </c>
      <c r="F784" t="s">
        <v>1128</v>
      </c>
    </row>
    <row r="785" spans="1:6" x14ac:dyDescent="0.15">
      <c r="A785">
        <v>8411428</v>
      </c>
      <c r="B785">
        <v>8411327</v>
      </c>
      <c r="C785" t="s">
        <v>10</v>
      </c>
      <c r="D785" t="s">
        <v>8</v>
      </c>
      <c r="E785" s="4" t="str">
        <f>HYPERLINK("https://ibp.a2mac1.com/costing(costing:projects/details/9760/part/8411428)","Heater Core Motor 2nd Row")</f>
        <v>Heater Core Motor 2nd Row</v>
      </c>
      <c r="F785" t="s">
        <v>1128</v>
      </c>
    </row>
    <row r="786" spans="1:6" x14ac:dyDescent="0.15">
      <c r="A786">
        <v>8411328</v>
      </c>
      <c r="B786">
        <v>8411210</v>
      </c>
      <c r="C786" t="s">
        <v>8</v>
      </c>
      <c r="D786" t="s">
        <v>8</v>
      </c>
      <c r="E786" s="4" t="str">
        <f>HYPERLINK("https://ibp.a2mac1.com/costing(costing:projects/details/9760/assembly/8411328)","Windscreen Vent Flap Motor")</f>
        <v>Windscreen Vent Flap Motor</v>
      </c>
      <c r="F786" t="s">
        <v>1119</v>
      </c>
    </row>
    <row r="787" spans="1:6" x14ac:dyDescent="0.15">
      <c r="A787">
        <v>8411429</v>
      </c>
      <c r="B787">
        <v>8411328</v>
      </c>
      <c r="C787" t="s">
        <v>10</v>
      </c>
      <c r="D787" t="s">
        <v>8</v>
      </c>
      <c r="E787" s="4" t="str">
        <f>HYPERLINK("https://ibp.a2mac1.com/costing(costing:projects/details/9760/part/8411429)","Right Motor")</f>
        <v>Right Motor</v>
      </c>
      <c r="F787" t="s">
        <v>1132</v>
      </c>
    </row>
    <row r="788" spans="1:6" x14ac:dyDescent="0.15">
      <c r="A788">
        <v>8411329</v>
      </c>
      <c r="B788">
        <v>8411210</v>
      </c>
      <c r="C788" t="s">
        <v>8</v>
      </c>
      <c r="D788" t="s">
        <v>8</v>
      </c>
      <c r="E788" s="4" t="str">
        <f>HYPERLINK("https://ibp.a2mac1.com/costing(costing:projects/details/9760/assembly/8411329)","2nd Row Air Vent Motor")</f>
        <v>2nd Row Air Vent Motor</v>
      </c>
      <c r="F788" t="s">
        <v>1119</v>
      </c>
    </row>
    <row r="789" spans="1:6" x14ac:dyDescent="0.15">
      <c r="A789">
        <v>8411430</v>
      </c>
      <c r="B789">
        <v>8411329</v>
      </c>
      <c r="C789" t="s">
        <v>10</v>
      </c>
      <c r="D789" t="s">
        <v>8</v>
      </c>
      <c r="E789" s="4" t="str">
        <f>HYPERLINK("https://ibp.a2mac1.com/costing(costing:projects/details/9760/part/8411430)","Motor")</f>
        <v>Motor</v>
      </c>
      <c r="F789" t="s">
        <v>1135</v>
      </c>
    </row>
    <row r="790" spans="1:6" x14ac:dyDescent="0.15">
      <c r="A790">
        <v>8411212</v>
      </c>
      <c r="B790">
        <v>8411137</v>
      </c>
      <c r="C790" t="s">
        <v>8</v>
      </c>
      <c r="D790" t="s">
        <v>8</v>
      </c>
      <c r="E790" s="4" t="str">
        <f>HYPERLINK("https://ibp.a2mac1.com/costing(costing:projects/details/9760/assembly/8411212)","Selection Flaps")</f>
        <v>Selection Flaps</v>
      </c>
      <c r="F790" t="s">
        <v>1105</v>
      </c>
    </row>
    <row r="791" spans="1:6" x14ac:dyDescent="0.15">
      <c r="A791">
        <v>8411336</v>
      </c>
      <c r="B791">
        <v>8411212</v>
      </c>
      <c r="C791" t="s">
        <v>8</v>
      </c>
      <c r="D791" t="s">
        <v>8</v>
      </c>
      <c r="E791" s="4" t="str">
        <f>HYPERLINK("https://ibp.a2mac1.com/costing(costing:projects/details/9760/assembly/8411336)","Upper Front Part")</f>
        <v>Upper Front Part</v>
      </c>
      <c r="F791" t="s">
        <v>1139</v>
      </c>
    </row>
    <row r="792" spans="1:6" x14ac:dyDescent="0.15">
      <c r="A792">
        <v>8411431</v>
      </c>
      <c r="B792">
        <v>8411336</v>
      </c>
      <c r="C792" t="s">
        <v>10</v>
      </c>
      <c r="D792" t="s">
        <v>8</v>
      </c>
      <c r="E792" s="4" t="str">
        <f>HYPERLINK("https://ibp.a2mac1.com/costing(costing:projects/details/9760/part/8411431)","Left")</f>
        <v>Left</v>
      </c>
      <c r="F792" t="s">
        <v>1140</v>
      </c>
    </row>
    <row r="793" spans="1:6" x14ac:dyDescent="0.15">
      <c r="A793">
        <v>8411432</v>
      </c>
      <c r="B793">
        <v>8411336</v>
      </c>
      <c r="C793" t="s">
        <v>10</v>
      </c>
      <c r="D793" t="s">
        <v>8</v>
      </c>
      <c r="E793" s="4" t="str">
        <f>HYPERLINK("https://ibp.a2mac1.com/costing(costing:projects/details/9760/part/8411432)","Right")</f>
        <v>Right</v>
      </c>
      <c r="F793" t="s">
        <v>1140</v>
      </c>
    </row>
    <row r="794" spans="1:6" x14ac:dyDescent="0.15">
      <c r="A794">
        <v>8411337</v>
      </c>
      <c r="B794">
        <v>8411212</v>
      </c>
      <c r="C794" t="s">
        <v>8</v>
      </c>
      <c r="D794" t="s">
        <v>8</v>
      </c>
      <c r="E794" s="4" t="str">
        <f>HYPERLINK("https://ibp.a2mac1.com/costing(costing:projects/details/9760/assembly/8411337)","Windshield Demisting")</f>
        <v>Windshield Demisting</v>
      </c>
      <c r="F794" t="s">
        <v>1139</v>
      </c>
    </row>
    <row r="795" spans="1:6" x14ac:dyDescent="0.15">
      <c r="A795">
        <v>8411433</v>
      </c>
      <c r="B795">
        <v>8411337</v>
      </c>
      <c r="C795" t="s">
        <v>10</v>
      </c>
      <c r="D795" t="s">
        <v>8</v>
      </c>
      <c r="E795" s="4" t="str">
        <f>HYPERLINK("https://ibp.a2mac1.com/costing(costing:projects/details/9760/part/8411433)","Central/Single")</f>
        <v>Central/Single</v>
      </c>
      <c r="F795" t="s">
        <v>1145</v>
      </c>
    </row>
    <row r="796" spans="1:6" x14ac:dyDescent="0.15">
      <c r="A796">
        <v>8411338</v>
      </c>
      <c r="B796">
        <v>8411212</v>
      </c>
      <c r="C796" t="s">
        <v>8</v>
      </c>
      <c r="D796" t="s">
        <v>8</v>
      </c>
      <c r="E796" s="4" t="str">
        <f>HYPERLINK("https://ibp.a2mac1.com/costing(costing:projects/details/9760/assembly/8411338)","Lower Front Part")</f>
        <v>Lower Front Part</v>
      </c>
      <c r="F796" t="s">
        <v>1139</v>
      </c>
    </row>
    <row r="797" spans="1:6" x14ac:dyDescent="0.15">
      <c r="A797">
        <v>8411434</v>
      </c>
      <c r="B797">
        <v>8411338</v>
      </c>
      <c r="C797" t="s">
        <v>10</v>
      </c>
      <c r="D797" t="s">
        <v>8</v>
      </c>
      <c r="E797" s="4" t="str">
        <f>HYPERLINK("https://ibp.a2mac1.com/costing(costing:projects/details/9760/part/8411434)","Left ")</f>
        <v xml:space="preserve">Left </v>
      </c>
      <c r="F797" t="s">
        <v>1148</v>
      </c>
    </row>
    <row r="798" spans="1:6" x14ac:dyDescent="0.15">
      <c r="A798">
        <v>8411435</v>
      </c>
      <c r="B798">
        <v>8411338</v>
      </c>
      <c r="C798" t="s">
        <v>10</v>
      </c>
      <c r="D798" t="s">
        <v>8</v>
      </c>
      <c r="E798" s="4" t="str">
        <f>HYPERLINK("https://ibp.a2mac1.com/costing(costing:projects/details/9760/part/8411435)","Right")</f>
        <v>Right</v>
      </c>
      <c r="F798" t="s">
        <v>1148</v>
      </c>
    </row>
    <row r="799" spans="1:6" x14ac:dyDescent="0.15">
      <c r="A799">
        <v>8411339</v>
      </c>
      <c r="B799">
        <v>8411212</v>
      </c>
      <c r="C799" t="s">
        <v>8</v>
      </c>
      <c r="D799" t="s">
        <v>8</v>
      </c>
      <c r="E799" s="4" t="str">
        <f>HYPERLINK("https://ibp.a2mac1.com/costing(costing:projects/details/9760/assembly/8411339)","Row 2 Center")</f>
        <v>Row 2 Center</v>
      </c>
      <c r="F799" t="s">
        <v>1139</v>
      </c>
    </row>
    <row r="800" spans="1:6" x14ac:dyDescent="0.15">
      <c r="A800">
        <v>8411436</v>
      </c>
      <c r="B800">
        <v>8411339</v>
      </c>
      <c r="C800" t="s">
        <v>10</v>
      </c>
      <c r="D800" t="s">
        <v>8</v>
      </c>
      <c r="E800" s="4" t="str">
        <f>HYPERLINK("https://ibp.a2mac1.com/costing(costing:projects/details/9760/part/8411436)","Central/Single")</f>
        <v>Central/Single</v>
      </c>
      <c r="F800" t="s">
        <v>1152</v>
      </c>
    </row>
    <row r="801" spans="1:6" x14ac:dyDescent="0.15">
      <c r="A801">
        <v>8411340</v>
      </c>
      <c r="B801">
        <v>8411212</v>
      </c>
      <c r="C801" t="s">
        <v>8</v>
      </c>
      <c r="D801" t="s">
        <v>8</v>
      </c>
      <c r="E801" s="4" t="str">
        <f>HYPERLINK("https://ibp.a2mac1.com/costing(costing:projects/details/9760/assembly/8411340)","Feet Row 2")</f>
        <v>Feet Row 2</v>
      </c>
      <c r="F801" t="s">
        <v>1139</v>
      </c>
    </row>
    <row r="802" spans="1:6" x14ac:dyDescent="0.15">
      <c r="A802">
        <v>8411437</v>
      </c>
      <c r="B802">
        <v>8411340</v>
      </c>
      <c r="C802" t="s">
        <v>10</v>
      </c>
      <c r="D802" t="s">
        <v>8</v>
      </c>
      <c r="E802" s="4" t="str">
        <f>HYPERLINK("https://ibp.a2mac1.com/costing(costing:projects/details/9760/part/8411437)","Left/Single")</f>
        <v>Left/Single</v>
      </c>
      <c r="F802" t="s">
        <v>1155</v>
      </c>
    </row>
    <row r="803" spans="1:6" x14ac:dyDescent="0.15">
      <c r="A803">
        <v>8411330</v>
      </c>
      <c r="B803">
        <v>8411212</v>
      </c>
      <c r="C803" t="s">
        <v>10</v>
      </c>
      <c r="D803" t="s">
        <v>8</v>
      </c>
      <c r="E803" s="4" t="str">
        <f>HYPERLINK("https://ibp.a2mac1.com/costing(costing:projects/details/9760/part/8411330)","Temperature Mix Flap")</f>
        <v>Temperature Mix Flap</v>
      </c>
      <c r="F803" t="s">
        <v>1139</v>
      </c>
    </row>
    <row r="804" spans="1:6" x14ac:dyDescent="0.15">
      <c r="A804">
        <v>8411331</v>
      </c>
      <c r="B804">
        <v>8411212</v>
      </c>
      <c r="C804" t="s">
        <v>10</v>
      </c>
      <c r="D804" t="s">
        <v>8</v>
      </c>
      <c r="E804" s="4" t="str">
        <f>HYPERLINK("https://ibp.a2mac1.com/costing(costing:projects/details/9760/part/8411331)","Temperature Mix Flap (Right if Different)")</f>
        <v>Temperature Mix Flap (Right if Different)</v>
      </c>
      <c r="F804" t="s">
        <v>1139</v>
      </c>
    </row>
    <row r="805" spans="1:6" x14ac:dyDescent="0.15">
      <c r="A805">
        <v>8411332</v>
      </c>
      <c r="B805">
        <v>8411212</v>
      </c>
      <c r="C805" t="s">
        <v>10</v>
      </c>
      <c r="D805" t="s">
        <v>8</v>
      </c>
      <c r="E805" s="4" t="str">
        <f>HYPERLINK("https://ibp.a2mac1.com/costing(costing:projects/details/9760/part/8411332)","2nd Temperature Mix Flap")</f>
        <v>2nd Temperature Mix Flap</v>
      </c>
      <c r="F805" t="s">
        <v>1139</v>
      </c>
    </row>
    <row r="806" spans="1:6" x14ac:dyDescent="0.15">
      <c r="A806">
        <v>8411333</v>
      </c>
      <c r="B806">
        <v>8411212</v>
      </c>
      <c r="C806" t="s">
        <v>10</v>
      </c>
      <c r="D806" t="s">
        <v>8</v>
      </c>
      <c r="E806" s="4" t="str">
        <f>HYPERLINK("https://ibp.a2mac1.com/costing(costing:projects/details/9760/part/8411333)","3th Temperature Mix Flap")</f>
        <v>3th Temperature Mix Flap</v>
      </c>
      <c r="F806" t="s">
        <v>1139</v>
      </c>
    </row>
    <row r="807" spans="1:6" x14ac:dyDescent="0.15">
      <c r="A807">
        <v>8411334</v>
      </c>
      <c r="B807">
        <v>8411212</v>
      </c>
      <c r="C807" t="s">
        <v>10</v>
      </c>
      <c r="D807" t="s">
        <v>8</v>
      </c>
      <c r="E807" s="4" t="str">
        <f>HYPERLINK("https://ibp.a2mac1.com/costing(costing:projects/details/9760/part/8411334)","3th Temperature Mix Flap (Right if Different)")</f>
        <v>3th Temperature Mix Flap (Right if Different)</v>
      </c>
      <c r="F807" t="s">
        <v>1139</v>
      </c>
    </row>
    <row r="808" spans="1:6" x14ac:dyDescent="0.15">
      <c r="A808">
        <v>8411335</v>
      </c>
      <c r="B808">
        <v>8411212</v>
      </c>
      <c r="C808" t="s">
        <v>10</v>
      </c>
      <c r="D808" t="s">
        <v>8</v>
      </c>
      <c r="E808" s="4" t="str">
        <f>HYPERLINK("https://ibp.a2mac1.com/costing(costing:projects/details/9760/part/8411335)","Temperature Mix Flap Row 2")</f>
        <v>Temperature Mix Flap Row 2</v>
      </c>
      <c r="F808" t="s">
        <v>1139</v>
      </c>
    </row>
    <row r="809" spans="1:6" x14ac:dyDescent="0.15">
      <c r="A809">
        <v>8411214</v>
      </c>
      <c r="B809">
        <v>8411137</v>
      </c>
      <c r="C809" t="s">
        <v>8</v>
      </c>
      <c r="D809" t="s">
        <v>8</v>
      </c>
      <c r="E809" s="4" t="str">
        <f>HYPERLINK("https://ibp.a2mac1.com/costing(costing:projects/details/9760/assembly/8411214)","Mechanism")</f>
        <v>Mechanism</v>
      </c>
      <c r="F809" t="s">
        <v>1105</v>
      </c>
    </row>
    <row r="810" spans="1:6" x14ac:dyDescent="0.15">
      <c r="A810">
        <v>8411341</v>
      </c>
      <c r="B810">
        <v>8411214</v>
      </c>
      <c r="C810" t="s">
        <v>10</v>
      </c>
      <c r="D810" t="s">
        <v>8</v>
      </c>
      <c r="E810" s="4" t="str">
        <f>HYPERLINK("https://ibp.a2mac1.com/costing(costing:projects/details/9760/part/8411341)","Air Intake")</f>
        <v>Air Intake</v>
      </c>
      <c r="F810" t="s">
        <v>1165</v>
      </c>
    </row>
    <row r="811" spans="1:6" x14ac:dyDescent="0.15">
      <c r="A811">
        <v>8411342</v>
      </c>
      <c r="B811">
        <v>8411214</v>
      </c>
      <c r="C811" t="s">
        <v>10</v>
      </c>
      <c r="D811" t="s">
        <v>8</v>
      </c>
      <c r="E811" s="4" t="str">
        <f>HYPERLINK("https://ibp.a2mac1.com/costing(costing:projects/details/9760/part/8411342)","Mechanism Support")</f>
        <v>Mechanism Support</v>
      </c>
      <c r="F811" t="s">
        <v>1165</v>
      </c>
    </row>
    <row r="812" spans="1:6" x14ac:dyDescent="0.15">
      <c r="A812">
        <v>8411343</v>
      </c>
      <c r="B812">
        <v>8411214</v>
      </c>
      <c r="C812" t="s">
        <v>10</v>
      </c>
      <c r="D812" t="s">
        <v>8</v>
      </c>
      <c r="E812" s="4" t="str">
        <f>HYPERLINK("https://ibp.a2mac1.com/costing(costing:projects/details/9760/part/8411343)","Guide")</f>
        <v>Guide</v>
      </c>
      <c r="F812" t="s">
        <v>1165</v>
      </c>
    </row>
    <row r="813" spans="1:6" x14ac:dyDescent="0.15">
      <c r="A813">
        <v>8411344</v>
      </c>
      <c r="B813">
        <v>8411214</v>
      </c>
      <c r="C813" t="s">
        <v>10</v>
      </c>
      <c r="D813" t="s">
        <v>8</v>
      </c>
      <c r="E813" s="4" t="str">
        <f>HYPERLINK("https://ibp.a2mac1.com/costing(costing:projects/details/9760/part/8411344)","Defroster mechanism")</f>
        <v>Defroster mechanism</v>
      </c>
      <c r="F813" t="s">
        <v>1165</v>
      </c>
    </row>
    <row r="814" spans="1:6" x14ac:dyDescent="0.15">
      <c r="A814">
        <v>8411345</v>
      </c>
      <c r="B814">
        <v>8411214</v>
      </c>
      <c r="C814" t="s">
        <v>10</v>
      </c>
      <c r="D814" t="s">
        <v>8</v>
      </c>
      <c r="E814" s="4" t="str">
        <f>HYPERLINK("https://ibp.a2mac1.com/costing(costing:projects/details/9760/part/8411345)","Front upper")</f>
        <v>Front upper</v>
      </c>
      <c r="F814" t="s">
        <v>1165</v>
      </c>
    </row>
    <row r="815" spans="1:6" x14ac:dyDescent="0.15">
      <c r="A815">
        <v>8411346</v>
      </c>
      <c r="B815">
        <v>8411214</v>
      </c>
      <c r="C815" t="s">
        <v>10</v>
      </c>
      <c r="D815" t="s">
        <v>8</v>
      </c>
      <c r="E815" s="4" t="str">
        <f>HYPERLINK("https://ibp.a2mac1.com/costing(costing:projects/details/9760/part/8411346)","Front lower")</f>
        <v>Front lower</v>
      </c>
      <c r="F815" t="s">
        <v>1165</v>
      </c>
    </row>
    <row r="816" spans="1:6" x14ac:dyDescent="0.15">
      <c r="A816">
        <v>8411347</v>
      </c>
      <c r="B816">
        <v>8411214</v>
      </c>
      <c r="C816" t="s">
        <v>10</v>
      </c>
      <c r="D816" t="s">
        <v>8</v>
      </c>
      <c r="E816" s="4" t="str">
        <f>HYPERLINK("https://ibp.a2mac1.com/costing(costing:projects/details/9760/part/8411347)","Front lower - second element")</f>
        <v>Front lower - second element</v>
      </c>
      <c r="F816" t="s">
        <v>1165</v>
      </c>
    </row>
    <row r="817" spans="1:6" x14ac:dyDescent="0.15">
      <c r="A817">
        <v>8411348</v>
      </c>
      <c r="B817">
        <v>8411214</v>
      </c>
      <c r="C817" t="s">
        <v>10</v>
      </c>
      <c r="D817" t="s">
        <v>8</v>
      </c>
      <c r="E817" s="4" t="str">
        <f>HYPERLINK("https://ibp.a2mac1.com/costing(costing:projects/details/9760/part/8411348)","Temperature Mix Mechanism")</f>
        <v>Temperature Mix Mechanism</v>
      </c>
      <c r="F817" t="s">
        <v>1165</v>
      </c>
    </row>
    <row r="818" spans="1:6" x14ac:dyDescent="0.15">
      <c r="A818">
        <v>8411349</v>
      </c>
      <c r="B818">
        <v>8411214</v>
      </c>
      <c r="C818" t="s">
        <v>10</v>
      </c>
      <c r="D818" t="s">
        <v>8</v>
      </c>
      <c r="E818" s="4" t="str">
        <f>HYPERLINK("https://ibp.a2mac1.com/costing(costing:projects/details/9760/part/8411349)","Temperature Mix Mechanism (2nd Part)")</f>
        <v>Temperature Mix Mechanism (2nd Part)</v>
      </c>
      <c r="F818" t="s">
        <v>1165</v>
      </c>
    </row>
    <row r="819" spans="1:6" x14ac:dyDescent="0.15">
      <c r="A819">
        <v>8411350</v>
      </c>
      <c r="B819">
        <v>8411214</v>
      </c>
      <c r="C819" t="s">
        <v>10</v>
      </c>
      <c r="D819" t="s">
        <v>8</v>
      </c>
      <c r="E819" s="4" t="str">
        <f>HYPERLINK("https://ibp.a2mac1.com/costing(costing:projects/details/9760/part/8411350)","2nd Temperature Mix Mechanism")</f>
        <v>2nd Temperature Mix Mechanism</v>
      </c>
      <c r="F819" t="s">
        <v>1165</v>
      </c>
    </row>
    <row r="820" spans="1:6" x14ac:dyDescent="0.15">
      <c r="A820">
        <v>8411351</v>
      </c>
      <c r="B820">
        <v>8411214</v>
      </c>
      <c r="C820" t="s">
        <v>10</v>
      </c>
      <c r="D820" t="s">
        <v>8</v>
      </c>
      <c r="E820" s="4" t="str">
        <f>HYPERLINK("https://ibp.a2mac1.com/costing(costing:projects/details/9760/part/8411351)","Complete/Multifunction Mechanism")</f>
        <v>Complete/Multifunction Mechanism</v>
      </c>
      <c r="F820" t="s">
        <v>1165</v>
      </c>
    </row>
    <row r="821" spans="1:6" x14ac:dyDescent="0.15">
      <c r="A821">
        <v>8411352</v>
      </c>
      <c r="B821">
        <v>8411214</v>
      </c>
      <c r="C821" t="s">
        <v>10</v>
      </c>
      <c r="D821" t="s">
        <v>8</v>
      </c>
      <c r="E821" s="4" t="str">
        <f>HYPERLINK("https://ibp.a2mac1.com/costing(costing:projects/details/9760/part/8411352)","Complete/Multifunction Mechanism right")</f>
        <v>Complete/Multifunction Mechanism right</v>
      </c>
      <c r="F821" t="s">
        <v>1165</v>
      </c>
    </row>
    <row r="822" spans="1:6" x14ac:dyDescent="0.15">
      <c r="A822">
        <v>8411353</v>
      </c>
      <c r="B822">
        <v>8411214</v>
      </c>
      <c r="C822" t="s">
        <v>10</v>
      </c>
      <c r="D822" t="s">
        <v>8</v>
      </c>
      <c r="E822" s="4" t="str">
        <f>HYPERLINK("https://ibp.a2mac1.com/costing(costing:projects/details/9760/part/8411353)","Right Side Heater Core Mechanism")</f>
        <v>Right Side Heater Core Mechanism</v>
      </c>
      <c r="F822" t="s">
        <v>1165</v>
      </c>
    </row>
    <row r="823" spans="1:6" x14ac:dyDescent="0.15">
      <c r="A823">
        <v>8411354</v>
      </c>
      <c r="B823">
        <v>8411214</v>
      </c>
      <c r="C823" t="s">
        <v>10</v>
      </c>
      <c r="D823" t="s">
        <v>8</v>
      </c>
      <c r="E823" s="4" t="str">
        <f>HYPERLINK("https://ibp.a2mac1.com/costing(costing:projects/details/9760/part/8411354)","Left Side Heater Core Mechanism")</f>
        <v>Left Side Heater Core Mechanism</v>
      </c>
      <c r="F823" t="s">
        <v>1165</v>
      </c>
    </row>
    <row r="824" spans="1:6" x14ac:dyDescent="0.15">
      <c r="A824">
        <v>8411355</v>
      </c>
      <c r="B824">
        <v>8411214</v>
      </c>
      <c r="C824" t="s">
        <v>10</v>
      </c>
      <c r="D824" t="s">
        <v>8</v>
      </c>
      <c r="E824" s="4" t="str">
        <f>HYPERLINK("https://ibp.a2mac1.com/costing(costing:projects/details/9760/part/8411355)","2nd Row Heater Core Mechanism")</f>
        <v>2nd Row Heater Core Mechanism</v>
      </c>
      <c r="F824" t="s">
        <v>1165</v>
      </c>
    </row>
    <row r="825" spans="1:6" x14ac:dyDescent="0.15">
      <c r="A825">
        <v>8411356</v>
      </c>
      <c r="B825">
        <v>8411214</v>
      </c>
      <c r="C825" t="s">
        <v>10</v>
      </c>
      <c r="D825" t="s">
        <v>8</v>
      </c>
      <c r="E825" s="4" t="str">
        <f>HYPERLINK("https://ibp.a2mac1.com/costing(costing:projects/details/9760/part/8411356)","2nd Row Heater Core Mechanism Guide")</f>
        <v>2nd Row Heater Core Mechanism Guide</v>
      </c>
      <c r="F825" t="s">
        <v>1165</v>
      </c>
    </row>
    <row r="826" spans="1:6" x14ac:dyDescent="0.15">
      <c r="A826">
        <v>8411357</v>
      </c>
      <c r="B826">
        <v>8411214</v>
      </c>
      <c r="C826" t="s">
        <v>10</v>
      </c>
      <c r="D826" t="s">
        <v>8</v>
      </c>
      <c r="E826" s="4" t="str">
        <f>HYPERLINK("https://ibp.a2mac1.com/costing(costing:projects/details/9760/part/8411357)","2nd Row Heater Core Mechanism Guide (Right)")</f>
        <v>2nd Row Heater Core Mechanism Guide (Right)</v>
      </c>
      <c r="F826" t="s">
        <v>1165</v>
      </c>
    </row>
    <row r="827" spans="1:6" x14ac:dyDescent="0.15">
      <c r="A827">
        <v>8411358</v>
      </c>
      <c r="B827">
        <v>8411214</v>
      </c>
      <c r="C827" t="s">
        <v>10</v>
      </c>
      <c r="D827" t="s">
        <v>8</v>
      </c>
      <c r="E827" s="4" t="str">
        <f>HYPERLINK("https://ibp.a2mac1.com/costing(costing:projects/details/9760/part/8411358)","2nd Row On/Off")</f>
        <v>2nd Row On/Off</v>
      </c>
      <c r="F827" t="s">
        <v>1165</v>
      </c>
    </row>
    <row r="828" spans="1:6" x14ac:dyDescent="0.15">
      <c r="A828">
        <v>8411359</v>
      </c>
      <c r="B828">
        <v>8411214</v>
      </c>
      <c r="C828" t="s">
        <v>10</v>
      </c>
      <c r="D828" t="s">
        <v>8</v>
      </c>
      <c r="E828" s="4" t="str">
        <f>HYPERLINK("https://ibp.a2mac1.com/costing(costing:projects/details/9760/part/8411359)","2nd Row On/Off Guide")</f>
        <v>2nd Row On/Off Guide</v>
      </c>
      <c r="F828" t="s">
        <v>1165</v>
      </c>
    </row>
    <row r="829" spans="1:6" x14ac:dyDescent="0.15">
      <c r="A829">
        <v>8411360</v>
      </c>
      <c r="B829">
        <v>8411214</v>
      </c>
      <c r="C829" t="s">
        <v>10</v>
      </c>
      <c r="D829" t="s">
        <v>8</v>
      </c>
      <c r="E829" s="4" t="str">
        <f>HYPERLINK("https://ibp.a2mac1.com/costing(costing:projects/details/9760/part/8411360)","Mechanism Protection")</f>
        <v>Mechanism Protection</v>
      </c>
      <c r="F829" t="s">
        <v>1165</v>
      </c>
    </row>
    <row r="830" spans="1:6" x14ac:dyDescent="0.15">
      <c r="A830">
        <v>8411361</v>
      </c>
      <c r="B830">
        <v>8411214</v>
      </c>
      <c r="C830" t="s">
        <v>10</v>
      </c>
      <c r="D830" t="s">
        <v>8</v>
      </c>
      <c r="E830" s="4" t="str">
        <f>HYPERLINK("https://ibp.a2mac1.com/costing(costing:projects/details/9760/part/8411361)","2nd Mechanism Protection")</f>
        <v>2nd Mechanism Protection</v>
      </c>
      <c r="F830" t="s">
        <v>1165</v>
      </c>
    </row>
    <row r="831" spans="1:6" x14ac:dyDescent="0.15">
      <c r="A831">
        <v>8411362</v>
      </c>
      <c r="B831">
        <v>8411214</v>
      </c>
      <c r="C831" t="s">
        <v>10</v>
      </c>
      <c r="D831" t="s">
        <v>8</v>
      </c>
      <c r="E831" s="4" t="str">
        <f>HYPERLINK("https://ibp.a2mac1.com/costing(costing:projects/details/9760/part/8411362)","2nd Row Center Mechanism")</f>
        <v>2nd Row Center Mechanism</v>
      </c>
      <c r="F831" t="s">
        <v>1165</v>
      </c>
    </row>
    <row r="832" spans="1:6" x14ac:dyDescent="0.15">
      <c r="A832">
        <v>8411363</v>
      </c>
      <c r="B832">
        <v>8411214</v>
      </c>
      <c r="C832" t="s">
        <v>10</v>
      </c>
      <c r="D832" t="s">
        <v>8</v>
      </c>
      <c r="E832" s="4" t="str">
        <f>HYPERLINK("https://ibp.a2mac1.com/costing(costing:projects/details/9760/part/8411363)","2nd Row Center 2nd Mechanism")</f>
        <v>2nd Row Center 2nd Mechanism</v>
      </c>
      <c r="F832" t="s">
        <v>1165</v>
      </c>
    </row>
    <row r="833" spans="1:6" x14ac:dyDescent="0.15">
      <c r="A833">
        <v>8411364</v>
      </c>
      <c r="B833">
        <v>8411214</v>
      </c>
      <c r="C833" t="s">
        <v>10</v>
      </c>
      <c r="D833" t="s">
        <v>8</v>
      </c>
      <c r="E833" s="4" t="str">
        <f>HYPERLINK("https://ibp.a2mac1.com/costing(costing:projects/details/9760/part/8411364)","2nd Row foot Mechanism")</f>
        <v>2nd Row foot Mechanism</v>
      </c>
      <c r="F833" t="s">
        <v>1165</v>
      </c>
    </row>
    <row r="834" spans="1:6" x14ac:dyDescent="0.15">
      <c r="A834">
        <v>8411216</v>
      </c>
      <c r="B834">
        <v>8411137</v>
      </c>
      <c r="C834" t="s">
        <v>8</v>
      </c>
      <c r="D834" t="s">
        <v>8</v>
      </c>
      <c r="E834" s="4" t="str">
        <f>HYPERLINK("https://ibp.a2mac1.com/costing(costing:projects/details/9760/assembly/8411216)","Blowing Unit System")</f>
        <v>Blowing Unit System</v>
      </c>
      <c r="F834" t="s">
        <v>1105</v>
      </c>
    </row>
    <row r="835" spans="1:6" x14ac:dyDescent="0.15">
      <c r="A835">
        <v>8411366</v>
      </c>
      <c r="B835">
        <v>8411216</v>
      </c>
      <c r="C835" t="s">
        <v>8</v>
      </c>
      <c r="D835" t="s">
        <v>8</v>
      </c>
      <c r="E835" s="4" t="str">
        <f>HYPERLINK("https://ibp.a2mac1.com/costing(costing:projects/details/9760/assembly/8411366)","Air Unit")</f>
        <v>Air Unit</v>
      </c>
      <c r="F835" t="s">
        <v>1194</v>
      </c>
    </row>
    <row r="836" spans="1:6" x14ac:dyDescent="0.15">
      <c r="A836">
        <v>8411440</v>
      </c>
      <c r="B836">
        <v>8411366</v>
      </c>
      <c r="C836" t="s">
        <v>8</v>
      </c>
      <c r="D836" t="s">
        <v>8</v>
      </c>
      <c r="E836" s="4" t="str">
        <f>HYPERLINK("https://ibp.a2mac1.com/costing(costing:projects/details/9760/assembly/8411440)","Covers")</f>
        <v>Covers</v>
      </c>
      <c r="F836" t="s">
        <v>1195</v>
      </c>
    </row>
    <row r="837" spans="1:6" x14ac:dyDescent="0.15">
      <c r="A837">
        <v>8411443</v>
      </c>
      <c r="B837">
        <v>8411440</v>
      </c>
      <c r="C837" t="s">
        <v>10</v>
      </c>
      <c r="D837" t="s">
        <v>8</v>
      </c>
      <c r="E837" s="4" t="str">
        <f>HYPERLINK("https://ibp.a2mac1.com/costing(costing:projects/details/9760/part/8411443)","Upper")</f>
        <v>Upper</v>
      </c>
      <c r="F837" t="s">
        <v>1196</v>
      </c>
    </row>
    <row r="838" spans="1:6" x14ac:dyDescent="0.15">
      <c r="A838">
        <v>8411444</v>
      </c>
      <c r="B838">
        <v>8411440</v>
      </c>
      <c r="C838" t="s">
        <v>10</v>
      </c>
      <c r="D838" t="s">
        <v>8</v>
      </c>
      <c r="E838" s="4" t="str">
        <f>HYPERLINK("https://ibp.a2mac1.com/costing(costing:projects/details/9760/part/8411444)","Lower")</f>
        <v>Lower</v>
      </c>
      <c r="F838" t="s">
        <v>1196</v>
      </c>
    </row>
    <row r="839" spans="1:6" x14ac:dyDescent="0.15">
      <c r="A839">
        <v>8411438</v>
      </c>
      <c r="B839">
        <v>8411366</v>
      </c>
      <c r="C839" t="s">
        <v>10</v>
      </c>
      <c r="D839" t="s">
        <v>8</v>
      </c>
      <c r="E839" s="4" t="str">
        <f>HYPERLINK("https://ibp.a2mac1.com/costing(costing:projects/details/9760/part/8411438)","Blower Motor")</f>
        <v>Blower Motor</v>
      </c>
      <c r="F839" t="s">
        <v>1195</v>
      </c>
    </row>
    <row r="840" spans="1:6" x14ac:dyDescent="0.15">
      <c r="A840">
        <v>8411439</v>
      </c>
      <c r="B840">
        <v>8411366</v>
      </c>
      <c r="C840" t="s">
        <v>10</v>
      </c>
      <c r="D840" t="s">
        <v>8</v>
      </c>
      <c r="E840" s="4" t="str">
        <f>HYPERLINK("https://ibp.a2mac1.com/costing(costing:projects/details/9760/part/8411439)","Blower Motor Cover")</f>
        <v>Blower Motor Cover</v>
      </c>
      <c r="F840" t="s">
        <v>1195</v>
      </c>
    </row>
    <row r="841" spans="1:6" x14ac:dyDescent="0.15">
      <c r="A841">
        <v>8411365</v>
      </c>
      <c r="B841">
        <v>8411216</v>
      </c>
      <c r="C841" t="s">
        <v>10</v>
      </c>
      <c r="D841" t="s">
        <v>8</v>
      </c>
      <c r="E841" s="4" t="str">
        <f>HYPERLINK("https://ibp.a2mac1.com/costing(costing:projects/details/9760/part/8411365)","Air Quality Sensor")</f>
        <v>Air Quality Sensor</v>
      </c>
      <c r="F841" t="s">
        <v>1194</v>
      </c>
    </row>
    <row r="842" spans="1:6" x14ac:dyDescent="0.15">
      <c r="A842">
        <v>8411218</v>
      </c>
      <c r="B842">
        <v>8411137</v>
      </c>
      <c r="C842" t="s">
        <v>8</v>
      </c>
      <c r="D842" t="s">
        <v>8</v>
      </c>
      <c r="E842" s="4" t="str">
        <f>HYPERLINK("https://ibp.a2mac1.com/costing(costing:projects/details/9760/assembly/8411218)","Air Recycling")</f>
        <v>Air Recycling</v>
      </c>
      <c r="F842" t="s">
        <v>1105</v>
      </c>
    </row>
    <row r="843" spans="1:6" x14ac:dyDescent="0.15">
      <c r="A843">
        <v>8411367</v>
      </c>
      <c r="B843">
        <v>8411218</v>
      </c>
      <c r="C843" t="s">
        <v>10</v>
      </c>
      <c r="D843" t="s">
        <v>8</v>
      </c>
      <c r="E843" s="4" t="str">
        <f>HYPERLINK("https://ibp.a2mac1.com/costing(costing:projects/details/9760/part/8411367)","Selection Flap")</f>
        <v>Selection Flap</v>
      </c>
      <c r="F843" t="s">
        <v>1205</v>
      </c>
    </row>
    <row r="844" spans="1:6" x14ac:dyDescent="0.15">
      <c r="A844">
        <v>8411368</v>
      </c>
      <c r="B844">
        <v>8411218</v>
      </c>
      <c r="C844" t="s">
        <v>10</v>
      </c>
      <c r="D844" t="s">
        <v>8</v>
      </c>
      <c r="E844" s="4" t="str">
        <f>HYPERLINK("https://ibp.a2mac1.com/costing(costing:projects/details/9760/part/8411368)","Mechanism")</f>
        <v>Mechanism</v>
      </c>
      <c r="F844" t="s">
        <v>1205</v>
      </c>
    </row>
    <row r="845" spans="1:6" x14ac:dyDescent="0.15">
      <c r="A845">
        <v>8411369</v>
      </c>
      <c r="B845">
        <v>8411218</v>
      </c>
      <c r="C845" t="s">
        <v>10</v>
      </c>
      <c r="D845" t="s">
        <v>8</v>
      </c>
      <c r="E845" s="4" t="str">
        <f>HYPERLINK("https://ibp.a2mac1.com/costing(costing:projects/details/9760/part/8411369)","2nd Mechanism")</f>
        <v>2nd Mechanism</v>
      </c>
      <c r="F845" t="s">
        <v>1205</v>
      </c>
    </row>
    <row r="846" spans="1:6" x14ac:dyDescent="0.15">
      <c r="A846">
        <v>8411220</v>
      </c>
      <c r="B846">
        <v>8411137</v>
      </c>
      <c r="C846" t="s">
        <v>8</v>
      </c>
      <c r="D846" t="s">
        <v>8</v>
      </c>
      <c r="E846" s="4" t="str">
        <f>HYPERLINK("https://ibp.a2mac1.com/costing(costing:projects/details/9760/assembly/8411220)","Evaporator System")</f>
        <v>Evaporator System</v>
      </c>
      <c r="F846" t="s">
        <v>1105</v>
      </c>
    </row>
    <row r="847" spans="1:6" x14ac:dyDescent="0.15">
      <c r="A847">
        <v>8411370</v>
      </c>
      <c r="B847">
        <v>8411220</v>
      </c>
      <c r="C847" t="s">
        <v>10</v>
      </c>
      <c r="D847" t="s">
        <v>8</v>
      </c>
      <c r="E847" s="4" t="str">
        <f>HYPERLINK("https://ibp.a2mac1.com/costing(costing:projects/details/9760/part/8411370)","Evaporator")</f>
        <v>Evaporator</v>
      </c>
      <c r="F847" t="s">
        <v>1210</v>
      </c>
    </row>
    <row r="848" spans="1:6" x14ac:dyDescent="0.15">
      <c r="A848">
        <v>8411371</v>
      </c>
      <c r="B848">
        <v>8411220</v>
      </c>
      <c r="C848" t="s">
        <v>10</v>
      </c>
      <c r="D848" t="s">
        <v>8</v>
      </c>
      <c r="E848" s="4" t="str">
        <f>HYPERLINK("https://ibp.a2mac1.com/costing(costing:projects/details/9760/part/8411371)","Upper Housing")</f>
        <v>Upper Housing</v>
      </c>
      <c r="F848" t="s">
        <v>1210</v>
      </c>
    </row>
    <row r="849" spans="1:6" x14ac:dyDescent="0.15">
      <c r="A849">
        <v>8411372</v>
      </c>
      <c r="B849">
        <v>8411220</v>
      </c>
      <c r="C849" t="s">
        <v>10</v>
      </c>
      <c r="D849" t="s">
        <v>8</v>
      </c>
      <c r="E849" s="4" t="str">
        <f>HYPERLINK("https://ibp.a2mac1.com/costing(costing:projects/details/9760/part/8411372)","Lower Housing")</f>
        <v>Lower Housing</v>
      </c>
      <c r="F849" t="s">
        <v>1210</v>
      </c>
    </row>
    <row r="850" spans="1:6" x14ac:dyDescent="0.15">
      <c r="A850">
        <v>8411373</v>
      </c>
      <c r="B850">
        <v>8411220</v>
      </c>
      <c r="C850" t="s">
        <v>10</v>
      </c>
      <c r="D850" t="s">
        <v>8</v>
      </c>
      <c r="E850" s="4" t="str">
        <f>HYPERLINK("https://ibp.a2mac1.com/costing(costing:projects/details/9760/part/8411373)","Regulator valve")</f>
        <v>Regulator valve</v>
      </c>
      <c r="F850" t="s">
        <v>1210</v>
      </c>
    </row>
    <row r="851" spans="1:6" x14ac:dyDescent="0.15">
      <c r="A851">
        <v>8411374</v>
      </c>
      <c r="B851">
        <v>8411220</v>
      </c>
      <c r="C851" t="s">
        <v>10</v>
      </c>
      <c r="D851" t="s">
        <v>8</v>
      </c>
      <c r="E851" s="4" t="str">
        <f>HYPERLINK("https://ibp.a2mac1.com/costing(costing:projects/details/9760/part/8411374)","Regulator valve support")</f>
        <v>Regulator valve support</v>
      </c>
      <c r="F851" t="s">
        <v>1210</v>
      </c>
    </row>
    <row r="852" spans="1:6" x14ac:dyDescent="0.15">
      <c r="A852">
        <v>8411375</v>
      </c>
      <c r="B852">
        <v>8411220</v>
      </c>
      <c r="C852" t="s">
        <v>10</v>
      </c>
      <c r="D852" t="s">
        <v>8</v>
      </c>
      <c r="E852" s="4" t="str">
        <f>HYPERLINK("https://ibp.a2mac1.com/costing(costing:projects/details/9760/part/8411375)","Temperature Sensor")</f>
        <v>Temperature Sensor</v>
      </c>
      <c r="F852" t="s">
        <v>1210</v>
      </c>
    </row>
    <row r="853" spans="1:6" x14ac:dyDescent="0.15">
      <c r="A853">
        <v>8411376</v>
      </c>
      <c r="B853">
        <v>8411220</v>
      </c>
      <c r="C853" t="s">
        <v>10</v>
      </c>
      <c r="D853" t="s">
        <v>8</v>
      </c>
      <c r="E853" s="4" t="str">
        <f>HYPERLINK("https://ibp.a2mac1.com/costing(costing:projects/details/9760/part/8411376)","Buffer")</f>
        <v>Buffer</v>
      </c>
      <c r="F853" t="s">
        <v>1210</v>
      </c>
    </row>
    <row r="854" spans="1:6" x14ac:dyDescent="0.15">
      <c r="A854">
        <v>8411377</v>
      </c>
      <c r="B854">
        <v>8411220</v>
      </c>
      <c r="C854" t="s">
        <v>10</v>
      </c>
      <c r="D854" t="s">
        <v>8</v>
      </c>
      <c r="E854" s="4" t="str">
        <f>HYPERLINK("https://ibp.a2mac1.com/costing(costing:projects/details/9760/part/8411377)","2nd Buffer")</f>
        <v>2nd Buffer</v>
      </c>
      <c r="F854" t="s">
        <v>1210</v>
      </c>
    </row>
    <row r="855" spans="1:6" x14ac:dyDescent="0.15">
      <c r="A855">
        <v>8411222</v>
      </c>
      <c r="B855">
        <v>8411137</v>
      </c>
      <c r="C855" t="s">
        <v>8</v>
      </c>
      <c r="D855" t="s">
        <v>8</v>
      </c>
      <c r="E855" s="4" t="str">
        <f>HYPERLINK("https://ibp.a2mac1.com/costing(costing:projects/details/9760/assembly/8411222)","Radiator System")</f>
        <v>Radiator System</v>
      </c>
      <c r="F855" t="s">
        <v>1105</v>
      </c>
    </row>
    <row r="856" spans="1:6" x14ac:dyDescent="0.15">
      <c r="A856">
        <v>8411381</v>
      </c>
      <c r="B856">
        <v>8411222</v>
      </c>
      <c r="C856" t="s">
        <v>8</v>
      </c>
      <c r="D856" t="s">
        <v>8</v>
      </c>
      <c r="E856" s="4" t="str">
        <f>HYPERLINK("https://ibp.a2mac1.com/costing(costing:projects/details/9760/assembly/8411381)","Pipe Supports")</f>
        <v>Pipe Supports</v>
      </c>
      <c r="F856" t="s">
        <v>1220</v>
      </c>
    </row>
    <row r="857" spans="1:6" x14ac:dyDescent="0.15">
      <c r="A857">
        <v>8411441</v>
      </c>
      <c r="B857">
        <v>8411381</v>
      </c>
      <c r="C857" t="s">
        <v>10</v>
      </c>
      <c r="D857" t="s">
        <v>8</v>
      </c>
      <c r="E857" s="4" t="str">
        <f>HYPERLINK("https://ibp.a2mac1.com/costing(costing:projects/details/9760/part/8411441)","Pipes Fixing Part")</f>
        <v>Pipes Fixing Part</v>
      </c>
      <c r="F857" t="s">
        <v>1221</v>
      </c>
    </row>
    <row r="858" spans="1:6" x14ac:dyDescent="0.15">
      <c r="A858">
        <v>8411442</v>
      </c>
      <c r="B858">
        <v>8411381</v>
      </c>
      <c r="C858" t="s">
        <v>10</v>
      </c>
      <c r="D858" t="s">
        <v>8</v>
      </c>
      <c r="E858" s="4" t="str">
        <f>HYPERLINK("https://ibp.a2mac1.com/costing(costing:projects/details/9760/part/8411442)","2nd Pipes Fixing Part")</f>
        <v>2nd Pipes Fixing Part</v>
      </c>
      <c r="F858" t="s">
        <v>1221</v>
      </c>
    </row>
    <row r="859" spans="1:6" x14ac:dyDescent="0.15">
      <c r="A859">
        <v>8411378</v>
      </c>
      <c r="B859">
        <v>8411222</v>
      </c>
      <c r="C859" t="s">
        <v>10</v>
      </c>
      <c r="D859" t="s">
        <v>8</v>
      </c>
      <c r="E859" s="4" t="str">
        <f>HYPERLINK("https://ibp.a2mac1.com/costing(costing:projects/details/9760/part/8411378)","Radiator")</f>
        <v>Radiator</v>
      </c>
      <c r="F859" t="s">
        <v>1220</v>
      </c>
    </row>
    <row r="860" spans="1:6" x14ac:dyDescent="0.15">
      <c r="A860">
        <v>8411379</v>
      </c>
      <c r="B860">
        <v>8411222</v>
      </c>
      <c r="C860" t="s">
        <v>10</v>
      </c>
      <c r="D860" t="s">
        <v>8</v>
      </c>
      <c r="E860" s="4" t="str">
        <f>HYPERLINK("https://ibp.a2mac1.com/costing(costing:projects/details/9760/part/8411379)","Buffer")</f>
        <v>Buffer</v>
      </c>
      <c r="F860" t="s">
        <v>1220</v>
      </c>
    </row>
    <row r="861" spans="1:6" x14ac:dyDescent="0.15">
      <c r="A861">
        <v>8411380</v>
      </c>
      <c r="B861">
        <v>8411222</v>
      </c>
      <c r="C861" t="s">
        <v>10</v>
      </c>
      <c r="D861" t="s">
        <v>8</v>
      </c>
      <c r="E861" s="4" t="str">
        <f>HYPERLINK("https://ibp.a2mac1.com/costing(costing:projects/details/9760/part/8411380)","Radiator Fixing Part")</f>
        <v>Radiator Fixing Part</v>
      </c>
      <c r="F861" t="s">
        <v>1220</v>
      </c>
    </row>
    <row r="862" spans="1:6" x14ac:dyDescent="0.15">
      <c r="A862">
        <v>8411224</v>
      </c>
      <c r="B862">
        <v>8411137</v>
      </c>
      <c r="C862" t="s">
        <v>8</v>
      </c>
      <c r="D862" t="s">
        <v>8</v>
      </c>
      <c r="E862" s="4" t="str">
        <f>HYPERLINK("https://ibp.a2mac1.com/costing(costing:projects/details/9760/assembly/8411224)","Condenser System")</f>
        <v>Condenser System</v>
      </c>
      <c r="F862" t="s">
        <v>1105</v>
      </c>
    </row>
    <row r="863" spans="1:6" x14ac:dyDescent="0.15">
      <c r="A863">
        <v>8411382</v>
      </c>
      <c r="B863">
        <v>8411224</v>
      </c>
      <c r="C863" t="s">
        <v>10</v>
      </c>
      <c r="D863" t="s">
        <v>8</v>
      </c>
      <c r="E863" s="4" t="str">
        <f>HYPERLINK("https://ibp.a2mac1.com/costing(costing:projects/details/9760/part/8411382)","Condenser")</f>
        <v>Condenser</v>
      </c>
      <c r="F863" t="s">
        <v>1229</v>
      </c>
    </row>
    <row r="864" spans="1:6" x14ac:dyDescent="0.15">
      <c r="A864">
        <v>8411226</v>
      </c>
      <c r="B864">
        <v>8411137</v>
      </c>
      <c r="C864" t="s">
        <v>8</v>
      </c>
      <c r="D864" t="s">
        <v>8</v>
      </c>
      <c r="E864" s="4" t="str">
        <f>HYPERLINK("https://ibp.a2mac1.com/costing(costing:projects/details/9760/assembly/8411226)","Purifier Filter")</f>
        <v>Purifier Filter</v>
      </c>
      <c r="F864" t="s">
        <v>1105</v>
      </c>
    </row>
    <row r="865" spans="1:6" x14ac:dyDescent="0.15">
      <c r="A865">
        <v>8411383</v>
      </c>
      <c r="B865">
        <v>8411226</v>
      </c>
      <c r="C865" t="s">
        <v>10</v>
      </c>
      <c r="D865" t="s">
        <v>8</v>
      </c>
      <c r="E865" s="4" t="str">
        <f>HYPERLINK("https://ibp.a2mac1.com/costing(costing:projects/details/9760/part/8411383)","Filter")</f>
        <v>Filter</v>
      </c>
      <c r="F865" t="s">
        <v>1232</v>
      </c>
    </row>
    <row r="866" spans="1:6" x14ac:dyDescent="0.15">
      <c r="A866">
        <v>8411384</v>
      </c>
      <c r="B866">
        <v>8411226</v>
      </c>
      <c r="C866" t="s">
        <v>10</v>
      </c>
      <c r="D866" t="s">
        <v>8</v>
      </c>
      <c r="E866" s="4" t="str">
        <f>HYPERLINK("https://ibp.a2mac1.com/costing(costing:projects/details/9760/part/8411384)","Cover")</f>
        <v>Cover</v>
      </c>
      <c r="F866" t="s">
        <v>1232</v>
      </c>
    </row>
    <row r="867" spans="1:6" x14ac:dyDescent="0.15">
      <c r="A867">
        <v>8411385</v>
      </c>
      <c r="B867">
        <v>8411226</v>
      </c>
      <c r="C867" t="s">
        <v>10</v>
      </c>
      <c r="D867" t="s">
        <v>8</v>
      </c>
      <c r="E867" s="4" t="str">
        <f>HYPERLINK("https://ibp.a2mac1.com/costing(costing:projects/details/9760/part/8411385)","2nd Filter")</f>
        <v>2nd Filter</v>
      </c>
      <c r="F867" t="s">
        <v>1232</v>
      </c>
    </row>
    <row r="868" spans="1:6" x14ac:dyDescent="0.15">
      <c r="A868">
        <v>8411228</v>
      </c>
      <c r="B868">
        <v>8411137</v>
      </c>
      <c r="C868" t="s">
        <v>8</v>
      </c>
      <c r="D868" t="s">
        <v>8</v>
      </c>
      <c r="E868" s="4" t="str">
        <f>HYPERLINK("https://ibp.a2mac1.com/costing(costing:projects/details/9760/assembly/8411228)","Drain Tube - Air Conditioning System")</f>
        <v>Drain Tube - Air Conditioning System</v>
      </c>
      <c r="F868" t="s">
        <v>1105</v>
      </c>
    </row>
    <row r="869" spans="1:6" x14ac:dyDescent="0.15">
      <c r="A869">
        <v>8411386</v>
      </c>
      <c r="B869">
        <v>8411228</v>
      </c>
      <c r="C869" t="s">
        <v>10</v>
      </c>
      <c r="D869" t="s">
        <v>8</v>
      </c>
      <c r="E869" s="4" t="str">
        <f>HYPERLINK("https://ibp.a2mac1.com/costing(costing:projects/details/9760/part/8411386)","Drain Tube Single/Left")</f>
        <v>Drain Tube Single/Left</v>
      </c>
      <c r="F869" t="s">
        <v>1237</v>
      </c>
    </row>
    <row r="870" spans="1:6" x14ac:dyDescent="0.15">
      <c r="A870">
        <v>8411230</v>
      </c>
      <c r="B870">
        <v>8411137</v>
      </c>
      <c r="C870" t="s">
        <v>8</v>
      </c>
      <c r="D870" t="s">
        <v>8</v>
      </c>
      <c r="E870" s="4" t="str">
        <f>HYPERLINK("https://ibp.a2mac1.com/costing(costing:projects/details/9760/assembly/8411230)","Air Intake Duct")</f>
        <v>Air Intake Duct</v>
      </c>
      <c r="F870" t="s">
        <v>1105</v>
      </c>
    </row>
    <row r="871" spans="1:6" x14ac:dyDescent="0.15">
      <c r="A871">
        <v>8411387</v>
      </c>
      <c r="B871">
        <v>8411230</v>
      </c>
      <c r="C871" t="s">
        <v>10</v>
      </c>
      <c r="D871" t="s">
        <v>8</v>
      </c>
      <c r="E871" s="4" t="str">
        <f>HYPERLINK("https://ibp.a2mac1.com/costing(costing:projects/details/9760/part/8411387)","Intake Flap")</f>
        <v>Intake Flap</v>
      </c>
      <c r="F871" t="s">
        <v>1240</v>
      </c>
    </row>
    <row r="872" spans="1:6" x14ac:dyDescent="0.15">
      <c r="A872">
        <v>8411388</v>
      </c>
      <c r="B872">
        <v>8411230</v>
      </c>
      <c r="C872" t="s">
        <v>10</v>
      </c>
      <c r="D872" t="s">
        <v>8</v>
      </c>
      <c r="E872" s="4" t="str">
        <f>HYPERLINK("https://ibp.a2mac1.com/costing(costing:projects/details/9760/part/8411388)","Mechanism")</f>
        <v>Mechanism</v>
      </c>
      <c r="F872" t="s">
        <v>1240</v>
      </c>
    </row>
    <row r="873" spans="1:6" x14ac:dyDescent="0.15">
      <c r="A873">
        <v>8411389</v>
      </c>
      <c r="B873">
        <v>8411230</v>
      </c>
      <c r="C873" t="s">
        <v>10</v>
      </c>
      <c r="D873" t="s">
        <v>8</v>
      </c>
      <c r="E873" s="4" t="str">
        <f>HYPERLINK("https://ibp.a2mac1.com/costing(costing:projects/details/9760/part/8411389)","Buffer")</f>
        <v>Buffer</v>
      </c>
      <c r="F873" t="s">
        <v>1240</v>
      </c>
    </row>
    <row r="874" spans="1:6" x14ac:dyDescent="0.15">
      <c r="A874">
        <v>8411390</v>
      </c>
      <c r="B874">
        <v>8411230</v>
      </c>
      <c r="C874" t="s">
        <v>10</v>
      </c>
      <c r="D874" t="s">
        <v>8</v>
      </c>
      <c r="E874" s="4" t="str">
        <f>HYPERLINK("https://ibp.a2mac1.com/costing(costing:projects/details/9760/part/8411390)","Mechanism Guide")</f>
        <v>Mechanism Guide</v>
      </c>
      <c r="F874" t="s">
        <v>1240</v>
      </c>
    </row>
    <row r="875" spans="1:6" x14ac:dyDescent="0.15">
      <c r="A875">
        <v>8411391</v>
      </c>
      <c r="B875">
        <v>8411230</v>
      </c>
      <c r="C875" t="s">
        <v>10</v>
      </c>
      <c r="D875" t="s">
        <v>8</v>
      </c>
      <c r="E875" s="4" t="str">
        <f>HYPERLINK("https://ibp.a2mac1.com/costing(costing:projects/details/9760/part/8411391)","2nd Buffer")</f>
        <v>2nd Buffer</v>
      </c>
      <c r="F875" t="s">
        <v>1240</v>
      </c>
    </row>
    <row r="876" spans="1:6" x14ac:dyDescent="0.15">
      <c r="A876">
        <v>8411232</v>
      </c>
      <c r="B876">
        <v>8411137</v>
      </c>
      <c r="C876" t="s">
        <v>8</v>
      </c>
      <c r="D876" t="s">
        <v>8</v>
      </c>
      <c r="E876" s="4" t="str">
        <f>HYPERLINK("https://ibp.a2mac1.com/costing(costing:projects/details/9760/assembly/8411232)","Sound Insulation System")</f>
        <v>Sound Insulation System</v>
      </c>
      <c r="F876" t="s">
        <v>1105</v>
      </c>
    </row>
    <row r="877" spans="1:6" x14ac:dyDescent="0.15">
      <c r="A877">
        <v>8411392</v>
      </c>
      <c r="B877">
        <v>8411232</v>
      </c>
      <c r="C877" t="s">
        <v>10</v>
      </c>
      <c r="D877" t="s">
        <v>8</v>
      </c>
      <c r="E877" s="4" t="str">
        <f>HYPERLINK("https://ibp.a2mac1.com/costing(costing:projects/details/9760/part/8411392)","Sound Insulation")</f>
        <v>Sound Insulation</v>
      </c>
      <c r="F877" t="s">
        <v>1248</v>
      </c>
    </row>
    <row r="878" spans="1:6" x14ac:dyDescent="0.15">
      <c r="A878">
        <v>8411393</v>
      </c>
      <c r="B878">
        <v>8411232</v>
      </c>
      <c r="C878" t="s">
        <v>10</v>
      </c>
      <c r="D878" t="s">
        <v>8</v>
      </c>
      <c r="E878" s="4" t="str">
        <f>HYPERLINK("https://ibp.a2mac1.com/costing(costing:projects/details/9760/part/8411393)","2nd Sound Insulation")</f>
        <v>2nd Sound Insulation</v>
      </c>
      <c r="F878" t="s">
        <v>1248</v>
      </c>
    </row>
    <row r="879" spans="1:6" x14ac:dyDescent="0.15">
      <c r="A879">
        <v>8411394</v>
      </c>
      <c r="B879">
        <v>8411232</v>
      </c>
      <c r="C879" t="s">
        <v>10</v>
      </c>
      <c r="D879" t="s">
        <v>8</v>
      </c>
      <c r="E879" s="4" t="str">
        <f>HYPERLINK("https://ibp.a2mac1.com/costing(costing:projects/details/9760/part/8411394)","3rd Sound Insulation")</f>
        <v>3rd Sound Insulation</v>
      </c>
      <c r="F879" t="s">
        <v>1248</v>
      </c>
    </row>
    <row r="880" spans="1:6" x14ac:dyDescent="0.15">
      <c r="A880">
        <v>8411395</v>
      </c>
      <c r="B880">
        <v>8411232</v>
      </c>
      <c r="C880" t="s">
        <v>10</v>
      </c>
      <c r="D880" t="s">
        <v>8</v>
      </c>
      <c r="E880" s="4" t="str">
        <f>HYPERLINK("https://ibp.a2mac1.com/costing(costing:projects/details/9760/part/8411395)","4th Sound Insulation")</f>
        <v>4th Sound Insulation</v>
      </c>
      <c r="F880" t="s">
        <v>1248</v>
      </c>
    </row>
    <row r="881" spans="1:6" x14ac:dyDescent="0.15">
      <c r="A881">
        <v>8411206</v>
      </c>
      <c r="B881">
        <v>8411137</v>
      </c>
      <c r="C881" t="s">
        <v>10</v>
      </c>
      <c r="D881" t="s">
        <v>8</v>
      </c>
      <c r="E881" s="4" t="str">
        <f>HYPERLINK("https://ibp.a2mac1.com/costing(costing:projects/details/9760/part/8411206)","Harness")</f>
        <v>Harness</v>
      </c>
      <c r="F881" t="s">
        <v>1105</v>
      </c>
    </row>
    <row r="882" spans="1:6" x14ac:dyDescent="0.15">
      <c r="A882">
        <v>8411138</v>
      </c>
      <c r="B882">
        <v>8411125</v>
      </c>
      <c r="C882" t="s">
        <v>8</v>
      </c>
      <c r="D882" t="s">
        <v>8</v>
      </c>
      <c r="E882" s="4" t="str">
        <f>HYPERLINK("https://ibp.a2mac1.com/costing(costing:projects/details/9760/assembly/8411138)","Front Air Duct")</f>
        <v>Front Air Duct</v>
      </c>
      <c r="F882" t="s">
        <v>1104</v>
      </c>
    </row>
    <row r="883" spans="1:6" x14ac:dyDescent="0.15">
      <c r="A883">
        <v>8411234</v>
      </c>
      <c r="B883">
        <v>8411138</v>
      </c>
      <c r="C883" t="s">
        <v>10</v>
      </c>
      <c r="D883" t="s">
        <v>8</v>
      </c>
      <c r="E883" s="4" t="str">
        <f>HYPERLINK("https://ibp.a2mac1.com/costing(costing:projects/details/9760/part/8411234)","Driver connector HVAC side")</f>
        <v>Driver connector HVAC side</v>
      </c>
      <c r="F883" t="s">
        <v>1256</v>
      </c>
    </row>
    <row r="884" spans="1:6" x14ac:dyDescent="0.15">
      <c r="A884">
        <v>8411236</v>
      </c>
      <c r="B884">
        <v>8411138</v>
      </c>
      <c r="C884" t="s">
        <v>10</v>
      </c>
      <c r="D884" t="s">
        <v>8</v>
      </c>
      <c r="E884" s="4" t="str">
        <f>HYPERLINK("https://ibp.a2mac1.com/costing(costing:projects/details/9760/part/8411236)","Driver")</f>
        <v>Driver</v>
      </c>
      <c r="F884" t="s">
        <v>1256</v>
      </c>
    </row>
    <row r="885" spans="1:6" x14ac:dyDescent="0.15">
      <c r="A885">
        <v>8411238</v>
      </c>
      <c r="B885">
        <v>8411138</v>
      </c>
      <c r="C885" t="s">
        <v>10</v>
      </c>
      <c r="D885" t="s">
        <v>8</v>
      </c>
      <c r="E885" s="4" t="str">
        <f>HYPERLINK("https://ibp.a2mac1.com/costing(costing:projects/details/9760/part/8411238)","2nd Driver")</f>
        <v>2nd Driver</v>
      </c>
      <c r="F885" t="s">
        <v>1256</v>
      </c>
    </row>
    <row r="886" spans="1:6" x14ac:dyDescent="0.15">
      <c r="A886">
        <v>8411239</v>
      </c>
      <c r="B886">
        <v>8411138</v>
      </c>
      <c r="C886" t="s">
        <v>10</v>
      </c>
      <c r="D886" t="s">
        <v>8</v>
      </c>
      <c r="E886" s="4" t="str">
        <f>HYPERLINK("https://ibp.a2mac1.com/costing(costing:projects/details/9760/part/8411239)","Driver connector air vent side")</f>
        <v>Driver connector air vent side</v>
      </c>
      <c r="F886" t="s">
        <v>1256</v>
      </c>
    </row>
    <row r="887" spans="1:6" x14ac:dyDescent="0.15">
      <c r="A887">
        <v>8411240</v>
      </c>
      <c r="B887">
        <v>8411138</v>
      </c>
      <c r="C887" t="s">
        <v>10</v>
      </c>
      <c r="D887" t="s">
        <v>8</v>
      </c>
      <c r="E887" s="4" t="str">
        <f>HYPERLINK("https://ibp.a2mac1.com/costing(costing:projects/details/9760/part/8411240)","Passenger")</f>
        <v>Passenger</v>
      </c>
      <c r="F887" t="s">
        <v>1256</v>
      </c>
    </row>
    <row r="888" spans="1:6" x14ac:dyDescent="0.15">
      <c r="A888">
        <v>8411241</v>
      </c>
      <c r="B888">
        <v>8411138</v>
      </c>
      <c r="C888" t="s">
        <v>10</v>
      </c>
      <c r="D888" t="s">
        <v>8</v>
      </c>
      <c r="E888" s="4" t="str">
        <f>HYPERLINK("https://ibp.a2mac1.com/costing(costing:projects/details/9760/part/8411241)","Central Coupling")</f>
        <v>Central Coupling</v>
      </c>
      <c r="F888" t="s">
        <v>1256</v>
      </c>
    </row>
    <row r="889" spans="1:6" x14ac:dyDescent="0.15">
      <c r="A889">
        <v>8411242</v>
      </c>
      <c r="B889">
        <v>8411138</v>
      </c>
      <c r="C889" t="s">
        <v>10</v>
      </c>
      <c r="D889" t="s">
        <v>8</v>
      </c>
      <c r="E889" s="4" t="str">
        <f>HYPERLINK("https://ibp.a2mac1.com/costing(costing:projects/details/9760/part/8411242)","Temperature Sensor")</f>
        <v>Temperature Sensor</v>
      </c>
      <c r="F889" t="s">
        <v>1256</v>
      </c>
    </row>
    <row r="890" spans="1:6" x14ac:dyDescent="0.15">
      <c r="A890">
        <v>8411243</v>
      </c>
      <c r="B890">
        <v>8411138</v>
      </c>
      <c r="C890" t="s">
        <v>10</v>
      </c>
      <c r="D890" t="s">
        <v>8</v>
      </c>
      <c r="E890" s="4" t="str">
        <f>HYPERLINK("https://ibp.a2mac1.com/costing(costing:projects/details/9760/part/8411243)","Heater Sealing")</f>
        <v>Heater Sealing</v>
      </c>
      <c r="F890" t="s">
        <v>1256</v>
      </c>
    </row>
    <row r="891" spans="1:6" x14ac:dyDescent="0.15">
      <c r="A891">
        <v>8411139</v>
      </c>
      <c r="B891">
        <v>8411125</v>
      </c>
      <c r="C891" t="s">
        <v>8</v>
      </c>
      <c r="D891" t="s">
        <v>8</v>
      </c>
      <c r="E891" s="4" t="str">
        <f>HYPERLINK("https://ibp.a2mac1.com/costing(costing:projects/details/9760/assembly/8411139)","Front Lower Air Pipe")</f>
        <v>Front Lower Air Pipe</v>
      </c>
      <c r="F891" t="s">
        <v>1104</v>
      </c>
    </row>
    <row r="892" spans="1:6" x14ac:dyDescent="0.15">
      <c r="A892">
        <v>8411246</v>
      </c>
      <c r="B892">
        <v>8411139</v>
      </c>
      <c r="C892" t="s">
        <v>8</v>
      </c>
      <c r="D892" t="s">
        <v>8</v>
      </c>
      <c r="E892" s="4" t="str">
        <f>HYPERLINK("https://ibp.a2mac1.com/costing(costing:projects/details/9760/assembly/8411246)","Temperature Sensor")</f>
        <v>Temperature Sensor</v>
      </c>
      <c r="F892" t="s">
        <v>1270</v>
      </c>
    </row>
    <row r="893" spans="1:6" x14ac:dyDescent="0.15">
      <c r="A893">
        <v>8411396</v>
      </c>
      <c r="B893">
        <v>8411246</v>
      </c>
      <c r="C893" t="s">
        <v>10</v>
      </c>
      <c r="D893" t="s">
        <v>8</v>
      </c>
      <c r="E893" s="4" t="str">
        <f>HYPERLINK("https://ibp.a2mac1.com/costing(costing:projects/details/9760/part/8411396)","Driver (and Passenger if the Same)")</f>
        <v>Driver (and Passenger if the Same)</v>
      </c>
      <c r="F893" t="s">
        <v>1271</v>
      </c>
    </row>
    <row r="894" spans="1:6" x14ac:dyDescent="0.15">
      <c r="A894">
        <v>8411397</v>
      </c>
      <c r="B894">
        <v>8411246</v>
      </c>
      <c r="C894" t="s">
        <v>10</v>
      </c>
      <c r="D894" t="s">
        <v>8</v>
      </c>
      <c r="E894" s="4" t="str">
        <f>HYPERLINK("https://ibp.a2mac1.com/costing(costing:projects/details/9760/part/8411397)","Passenger")</f>
        <v>Passenger</v>
      </c>
      <c r="F894" t="s">
        <v>1271</v>
      </c>
    </row>
    <row r="895" spans="1:6" x14ac:dyDescent="0.15">
      <c r="A895">
        <v>8411244</v>
      </c>
      <c r="B895">
        <v>8411139</v>
      </c>
      <c r="C895" t="s">
        <v>10</v>
      </c>
      <c r="D895" t="s">
        <v>8</v>
      </c>
      <c r="E895" s="4" t="str">
        <f>HYPERLINK("https://ibp.a2mac1.com/costing(costing:projects/details/9760/part/8411244)","Left Pipe")</f>
        <v>Left Pipe</v>
      </c>
      <c r="F895" t="s">
        <v>1270</v>
      </c>
    </row>
    <row r="896" spans="1:6" x14ac:dyDescent="0.15">
      <c r="A896">
        <v>8411245</v>
      </c>
      <c r="B896">
        <v>8411139</v>
      </c>
      <c r="C896" t="s">
        <v>10</v>
      </c>
      <c r="D896" t="s">
        <v>8</v>
      </c>
      <c r="E896" s="4" t="str">
        <f>HYPERLINK("https://ibp.a2mac1.com/costing(costing:projects/details/9760/part/8411245)","Right Pipe")</f>
        <v>Right Pipe</v>
      </c>
      <c r="F896" t="s">
        <v>1270</v>
      </c>
    </row>
    <row r="897" spans="1:6" x14ac:dyDescent="0.15">
      <c r="A897">
        <v>8411140</v>
      </c>
      <c r="B897">
        <v>8411125</v>
      </c>
      <c r="C897" t="s">
        <v>8</v>
      </c>
      <c r="D897" t="s">
        <v>8</v>
      </c>
      <c r="E897" s="4" t="str">
        <f>HYPERLINK("https://ibp.a2mac1.com/costing(costing:projects/details/9760/assembly/8411140)","Lateral Defroster System")</f>
        <v>Lateral Defroster System</v>
      </c>
      <c r="F897" t="s">
        <v>1104</v>
      </c>
    </row>
    <row r="898" spans="1:6" x14ac:dyDescent="0.15">
      <c r="A898">
        <v>8411248</v>
      </c>
      <c r="B898">
        <v>8411140</v>
      </c>
      <c r="C898" t="s">
        <v>8</v>
      </c>
      <c r="D898" t="s">
        <v>8</v>
      </c>
      <c r="E898" s="4" t="str">
        <f>HYPERLINK("https://ibp.a2mac1.com/costing(costing:projects/details/9760/assembly/8411248)","Side Vents")</f>
        <v>Side Vents</v>
      </c>
      <c r="F898" t="s">
        <v>1278</v>
      </c>
    </row>
    <row r="899" spans="1:6" x14ac:dyDescent="0.15">
      <c r="A899">
        <v>8411398</v>
      </c>
      <c r="B899">
        <v>8411248</v>
      </c>
      <c r="C899" t="s">
        <v>10</v>
      </c>
      <c r="D899" t="s">
        <v>8</v>
      </c>
      <c r="E899" s="4" t="str">
        <f>HYPERLINK("https://ibp.a2mac1.com/costing(costing:projects/details/9760/part/8411398)","Grills on A Pillar")</f>
        <v>Grills on A Pillar</v>
      </c>
      <c r="F899" t="s">
        <v>1279</v>
      </c>
    </row>
    <row r="900" spans="1:6" x14ac:dyDescent="0.15">
      <c r="A900">
        <v>8411399</v>
      </c>
      <c r="B900">
        <v>8411248</v>
      </c>
      <c r="C900" t="s">
        <v>10</v>
      </c>
      <c r="D900" t="s">
        <v>8</v>
      </c>
      <c r="E900" s="4" t="str">
        <f>HYPERLINK("https://ibp.a2mac1.com/costing(costing:projects/details/9760/part/8411399)","Grills on A Pillar right")</f>
        <v>Grills on A Pillar right</v>
      </c>
      <c r="F900" t="s">
        <v>1279</v>
      </c>
    </row>
    <row r="901" spans="1:6" x14ac:dyDescent="0.15">
      <c r="A901">
        <v>8411247</v>
      </c>
      <c r="B901">
        <v>8411140</v>
      </c>
      <c r="C901" t="s">
        <v>10</v>
      </c>
      <c r="D901" t="s">
        <v>8</v>
      </c>
      <c r="E901" s="4" t="str">
        <f>HYPERLINK("https://ibp.a2mac1.com/costing(costing:projects/details/9760/part/8411247)","Connecting on A-Pillar/Dashboard")</f>
        <v>Connecting on A-Pillar/Dashboard</v>
      </c>
      <c r="F901" t="s">
        <v>1278</v>
      </c>
    </row>
    <row r="902" spans="1:6" x14ac:dyDescent="0.15">
      <c r="A902">
        <v>8411141</v>
      </c>
      <c r="B902">
        <v>8411125</v>
      </c>
      <c r="C902" t="s">
        <v>8</v>
      </c>
      <c r="D902" t="s">
        <v>8</v>
      </c>
      <c r="E902" s="4" t="str">
        <f>HYPERLINK("https://ibp.a2mac1.com/costing(costing:projects/details/9760/assembly/8411141)","Windshield Defroster Vent Ducts")</f>
        <v>Windshield Defroster Vent Ducts</v>
      </c>
      <c r="F902" t="s">
        <v>1104</v>
      </c>
    </row>
    <row r="903" spans="1:6" x14ac:dyDescent="0.15">
      <c r="A903">
        <v>8411249</v>
      </c>
      <c r="B903">
        <v>8411141</v>
      </c>
      <c r="C903" t="s">
        <v>10</v>
      </c>
      <c r="D903" t="s">
        <v>8</v>
      </c>
      <c r="E903" s="4" t="str">
        <f>HYPERLINK("https://ibp.a2mac1.com/costing(costing:projects/details/9760/part/8411249)","Central")</f>
        <v>Central</v>
      </c>
      <c r="F903" t="s">
        <v>1288</v>
      </c>
    </row>
    <row r="904" spans="1:6" x14ac:dyDescent="0.15">
      <c r="A904">
        <v>8411250</v>
      </c>
      <c r="B904">
        <v>8411141</v>
      </c>
      <c r="C904" t="s">
        <v>10</v>
      </c>
      <c r="D904" t="s">
        <v>8</v>
      </c>
      <c r="E904" s="4" t="str">
        <f>HYPERLINK("https://ibp.a2mac1.com/costing(costing:projects/details/9760/part/8411250)","Heater Sealing")</f>
        <v>Heater Sealing</v>
      </c>
      <c r="F904" t="s">
        <v>1288</v>
      </c>
    </row>
    <row r="905" spans="1:6" x14ac:dyDescent="0.15">
      <c r="A905">
        <v>8411142</v>
      </c>
      <c r="B905">
        <v>8411125</v>
      </c>
      <c r="C905" t="s">
        <v>8</v>
      </c>
      <c r="D905" t="s">
        <v>8</v>
      </c>
      <c r="E905" s="4" t="str">
        <f>HYPERLINK("https://ibp.a2mac1.com/costing(costing:projects/details/9760/assembly/8411142)","Windshield Defroster Grill")</f>
        <v>Windshield Defroster Grill</v>
      </c>
      <c r="F905" t="s">
        <v>1104</v>
      </c>
    </row>
    <row r="906" spans="1:6" x14ac:dyDescent="0.15">
      <c r="A906">
        <v>8411251</v>
      </c>
      <c r="B906">
        <v>8411142</v>
      </c>
      <c r="C906" t="s">
        <v>10</v>
      </c>
      <c r="D906" t="s">
        <v>8</v>
      </c>
      <c r="E906" s="4" t="str">
        <f>HYPERLINK("https://ibp.a2mac1.com/costing(costing:projects/details/9760/part/8411251)","Central")</f>
        <v>Central</v>
      </c>
      <c r="F906" t="s">
        <v>1292</v>
      </c>
    </row>
    <row r="907" spans="1:6" x14ac:dyDescent="0.15">
      <c r="A907">
        <v>8411143</v>
      </c>
      <c r="B907">
        <v>8411125</v>
      </c>
      <c r="C907" t="s">
        <v>8</v>
      </c>
      <c r="D907" t="s">
        <v>8</v>
      </c>
      <c r="E907" s="4" t="str">
        <f>HYPERLINK("https://ibp.a2mac1.com/costing(costing:projects/details/9760/assembly/8411143)","Auxiliary Heating System")</f>
        <v>Auxiliary Heating System</v>
      </c>
      <c r="F907" t="s">
        <v>1104</v>
      </c>
    </row>
    <row r="908" spans="1:6" x14ac:dyDescent="0.15">
      <c r="A908">
        <v>8411252</v>
      </c>
      <c r="B908">
        <v>8411143</v>
      </c>
      <c r="C908" t="s">
        <v>10</v>
      </c>
      <c r="D908" t="s">
        <v>8</v>
      </c>
      <c r="E908" s="4" t="str">
        <f>HYPERLINK("https://ibp.a2mac1.com/costing(costing:projects/details/9760/part/8411252)","Steady Heating (or Electric Vehicle)")</f>
        <v>Steady Heating (or Electric Vehicle)</v>
      </c>
      <c r="F908" t="s">
        <v>1295</v>
      </c>
    </row>
    <row r="909" spans="1:6" x14ac:dyDescent="0.15">
      <c r="A909">
        <v>8411253</v>
      </c>
      <c r="B909">
        <v>8411143</v>
      </c>
      <c r="C909" t="s">
        <v>10</v>
      </c>
      <c r="D909" t="s">
        <v>8</v>
      </c>
      <c r="E909" s="4" t="str">
        <f>HYPERLINK("https://ibp.a2mac1.com/costing(costing:projects/details/9760/part/8411253)","Water Pump")</f>
        <v>Water Pump</v>
      </c>
      <c r="F909" t="s">
        <v>1295</v>
      </c>
    </row>
    <row r="910" spans="1:6" x14ac:dyDescent="0.15">
      <c r="A910">
        <v>8411254</v>
      </c>
      <c r="B910">
        <v>8411143</v>
      </c>
      <c r="C910" t="s">
        <v>10</v>
      </c>
      <c r="D910" t="s">
        <v>8</v>
      </c>
      <c r="E910" s="4" t="str">
        <f>HYPERLINK("https://ibp.a2mac1.com/costing(costing:projects/details/9760/part/8411254)","Steady Heating / Exchanger pipe")</f>
        <v>Steady Heating / Exchanger pipe</v>
      </c>
      <c r="F910" t="s">
        <v>1295</v>
      </c>
    </row>
    <row r="911" spans="1:6" x14ac:dyDescent="0.15">
      <c r="A911">
        <v>8411255</v>
      </c>
      <c r="B911">
        <v>8411143</v>
      </c>
      <c r="C911" t="s">
        <v>10</v>
      </c>
      <c r="D911" t="s">
        <v>8</v>
      </c>
      <c r="E911" s="4" t="str">
        <f>HYPERLINK("https://ibp.a2mac1.com/costing(costing:projects/details/9760/part/8411255)","Pump/Exchanger Pipe")</f>
        <v>Pump/Exchanger Pipe</v>
      </c>
      <c r="F911" t="s">
        <v>1295</v>
      </c>
    </row>
    <row r="912" spans="1:6" x14ac:dyDescent="0.15">
      <c r="A912">
        <v>8411144</v>
      </c>
      <c r="B912">
        <v>8411125</v>
      </c>
      <c r="C912" t="s">
        <v>8</v>
      </c>
      <c r="D912" t="s">
        <v>8</v>
      </c>
      <c r="E912" s="4" t="str">
        <f>HYPERLINK("https://ibp.a2mac1.com/costing(costing:projects/details/9760/assembly/8411144)","2nd Row Ventilation")</f>
        <v>2nd Row Ventilation</v>
      </c>
      <c r="F912" t="s">
        <v>1104</v>
      </c>
    </row>
    <row r="913" spans="1:6" x14ac:dyDescent="0.15">
      <c r="A913">
        <v>8411256</v>
      </c>
      <c r="B913">
        <v>8411144</v>
      </c>
      <c r="C913" t="s">
        <v>8</v>
      </c>
      <c r="D913" t="s">
        <v>8</v>
      </c>
      <c r="E913" s="4" t="str">
        <f>HYPERLINK("https://ibp.a2mac1.com/costing(costing:projects/details/9760/assembly/8411256)","2nd Row: Feet")</f>
        <v>2nd Row: Feet</v>
      </c>
      <c r="F913" t="s">
        <v>1301</v>
      </c>
    </row>
    <row r="914" spans="1:6" x14ac:dyDescent="0.15">
      <c r="A914">
        <v>8411400</v>
      </c>
      <c r="B914">
        <v>8411256</v>
      </c>
      <c r="C914" t="s">
        <v>10</v>
      </c>
      <c r="D914" t="s">
        <v>8</v>
      </c>
      <c r="E914" s="4" t="str">
        <f>HYPERLINK("https://ibp.a2mac1.com/costing(costing:projects/details/9760/part/8411400)","Air Duct Under Left Seat")</f>
        <v>Air Duct Under Left Seat</v>
      </c>
      <c r="F914" t="s">
        <v>1302</v>
      </c>
    </row>
    <row r="915" spans="1:6" x14ac:dyDescent="0.15">
      <c r="A915">
        <v>8411401</v>
      </c>
      <c r="B915">
        <v>8411256</v>
      </c>
      <c r="C915" t="s">
        <v>10</v>
      </c>
      <c r="D915" t="s">
        <v>8</v>
      </c>
      <c r="E915" s="4" t="str">
        <f>HYPERLINK("https://ibp.a2mac1.com/costing(costing:projects/details/9760/part/8411401)","Air Duct Under Right Seat")</f>
        <v>Air Duct Under Right Seat</v>
      </c>
      <c r="F915" t="s">
        <v>1302</v>
      </c>
    </row>
    <row r="916" spans="1:6" x14ac:dyDescent="0.15">
      <c r="A916">
        <v>8411402</v>
      </c>
      <c r="B916">
        <v>8411256</v>
      </c>
      <c r="C916" t="s">
        <v>10</v>
      </c>
      <c r="D916" t="s">
        <v>8</v>
      </c>
      <c r="E916" s="4" t="str">
        <f>HYPERLINK("https://ibp.a2mac1.com/costing(costing:projects/details/9760/part/8411402)","Rear Left Outlet")</f>
        <v>Rear Left Outlet</v>
      </c>
      <c r="F916" t="s">
        <v>1302</v>
      </c>
    </row>
    <row r="917" spans="1:6" x14ac:dyDescent="0.15">
      <c r="A917">
        <v>8411403</v>
      </c>
      <c r="B917">
        <v>8411256</v>
      </c>
      <c r="C917" t="s">
        <v>10</v>
      </c>
      <c r="D917" t="s">
        <v>8</v>
      </c>
      <c r="E917" s="4" t="str">
        <f>HYPERLINK("https://ibp.a2mac1.com/costing(costing:projects/details/9760/part/8411403)","Rear Right Outlet")</f>
        <v>Rear Right Outlet</v>
      </c>
      <c r="F917" t="s">
        <v>1302</v>
      </c>
    </row>
    <row r="918" spans="1:6" x14ac:dyDescent="0.15">
      <c r="A918">
        <v>8411404</v>
      </c>
      <c r="B918">
        <v>8411256</v>
      </c>
      <c r="C918" t="s">
        <v>10</v>
      </c>
      <c r="D918" t="s">
        <v>8</v>
      </c>
      <c r="E918" s="4" t="str">
        <f>HYPERLINK("https://ibp.a2mac1.com/costing(costing:projects/details/9760/part/8411404)","Left Grill (and Right if Similar)")</f>
        <v>Left Grill (and Right if Similar)</v>
      </c>
      <c r="F918" t="s">
        <v>1302</v>
      </c>
    </row>
    <row r="919" spans="1:6" x14ac:dyDescent="0.15">
      <c r="A919">
        <v>8411405</v>
      </c>
      <c r="B919">
        <v>8411256</v>
      </c>
      <c r="C919" t="s">
        <v>10</v>
      </c>
      <c r="D919" t="s">
        <v>8</v>
      </c>
      <c r="E919" s="4" t="str">
        <f>HYPERLINK("https://ibp.a2mac1.com/costing(costing:projects/details/9760/part/8411405)","Right Grill")</f>
        <v>Right Grill</v>
      </c>
      <c r="F919" t="s">
        <v>1302</v>
      </c>
    </row>
    <row r="920" spans="1:6" x14ac:dyDescent="0.15">
      <c r="A920">
        <v>8411257</v>
      </c>
      <c r="B920">
        <v>8411144</v>
      </c>
      <c r="C920" t="s">
        <v>8</v>
      </c>
      <c r="D920" t="s">
        <v>8</v>
      </c>
      <c r="E920" s="4" t="str">
        <f>HYPERLINK("https://ibp.a2mac1.com/costing(costing:projects/details/9760/assembly/8411257)","Central")</f>
        <v>Central</v>
      </c>
      <c r="F920" t="s">
        <v>1301</v>
      </c>
    </row>
    <row r="921" spans="1:6" x14ac:dyDescent="0.15">
      <c r="A921">
        <v>8411406</v>
      </c>
      <c r="B921">
        <v>8411257</v>
      </c>
      <c r="C921" t="s">
        <v>10</v>
      </c>
      <c r="D921" t="s">
        <v>8</v>
      </c>
      <c r="E921" s="4" t="str">
        <f>HYPERLINK("https://ibp.a2mac1.com/costing(costing:projects/details/9760/part/8411406)","Pipe")</f>
        <v>Pipe</v>
      </c>
      <c r="F921" t="s">
        <v>1311</v>
      </c>
    </row>
    <row r="922" spans="1:6" x14ac:dyDescent="0.15">
      <c r="A922">
        <v>8411145</v>
      </c>
      <c r="B922">
        <v>8411125</v>
      </c>
      <c r="C922" t="s">
        <v>8</v>
      </c>
      <c r="D922" t="s">
        <v>8</v>
      </c>
      <c r="E922" s="4" t="str">
        <f>HYPERLINK("https://ibp.a2mac1.com/costing(costing:projects/details/9760/assembly/8411145)","Heating System Pipes")</f>
        <v>Heating System Pipes</v>
      </c>
      <c r="F922" t="s">
        <v>1104</v>
      </c>
    </row>
    <row r="923" spans="1:6" x14ac:dyDescent="0.15">
      <c r="A923">
        <v>8411258</v>
      </c>
      <c r="B923">
        <v>8411145</v>
      </c>
      <c r="C923" t="s">
        <v>10</v>
      </c>
      <c r="D923" t="s">
        <v>8</v>
      </c>
      <c r="E923" s="4" t="str">
        <f>HYPERLINK("https://ibp.a2mac1.com/costing(costing:projects/details/9760/part/8411258)","IN Pipe")</f>
        <v>IN Pipe</v>
      </c>
      <c r="F923" t="s">
        <v>1315</v>
      </c>
    </row>
    <row r="924" spans="1:6" x14ac:dyDescent="0.15">
      <c r="A924">
        <v>8411259</v>
      </c>
      <c r="B924">
        <v>8411145</v>
      </c>
      <c r="C924" t="s">
        <v>10</v>
      </c>
      <c r="D924" t="s">
        <v>8</v>
      </c>
      <c r="E924" s="4" t="str">
        <f>HYPERLINK("https://ibp.a2mac1.com/costing(costing:projects/details/9760/part/8411259)","OUT Pipe")</f>
        <v>OUT Pipe</v>
      </c>
      <c r="F924" t="s">
        <v>1315</v>
      </c>
    </row>
    <row r="925" spans="1:6" x14ac:dyDescent="0.15">
      <c r="A925">
        <v>8411146</v>
      </c>
      <c r="B925">
        <v>8411125</v>
      </c>
      <c r="C925" t="s">
        <v>8</v>
      </c>
      <c r="D925" t="s">
        <v>8</v>
      </c>
      <c r="E925" s="4" t="str">
        <f>HYPERLINK("https://ibp.a2mac1.com/costing(costing:projects/details/9760/assembly/8411146)","PM 2.5 System")</f>
        <v>PM 2.5 System</v>
      </c>
      <c r="F925" t="s">
        <v>1104</v>
      </c>
    </row>
    <row r="926" spans="1:6" x14ac:dyDescent="0.15">
      <c r="A926">
        <v>8411260</v>
      </c>
      <c r="B926">
        <v>8411146</v>
      </c>
      <c r="C926" t="s">
        <v>10</v>
      </c>
      <c r="D926" t="s">
        <v>8</v>
      </c>
      <c r="E926" s="4" t="str">
        <f>HYPERLINK("https://ibp.a2mac1.com/costing(costing:projects/details/9760/part/8411260)","PM2.5 Detector")</f>
        <v>PM2.5 Detector</v>
      </c>
      <c r="F926" t="s">
        <v>1319</v>
      </c>
    </row>
    <row r="927" spans="1:6" x14ac:dyDescent="0.15">
      <c r="A927">
        <v>8411445</v>
      </c>
      <c r="B927">
        <v>9760</v>
      </c>
      <c r="C927" t="s">
        <v>8</v>
      </c>
      <c r="D927" t="s">
        <v>6</v>
      </c>
      <c r="E927" s="4" t="str">
        <f>HYPERLINK("https://ibp.a2mac1.com/costing(costing:projects/details/9760/assembly/8411445)","Accessories")</f>
        <v>Accessories</v>
      </c>
      <c r="F927" t="s">
        <v>9</v>
      </c>
    </row>
    <row r="928" spans="1:6" x14ac:dyDescent="0.15">
      <c r="A928">
        <v>8411447</v>
      </c>
      <c r="B928">
        <v>8411445</v>
      </c>
      <c r="C928" t="s">
        <v>8</v>
      </c>
      <c r="D928" t="s">
        <v>8</v>
      </c>
      <c r="E928" s="4" t="str">
        <f>HYPERLINK("https://ibp.a2mac1.com/costing(costing:projects/details/9760/assembly/8411447)","USB Key")</f>
        <v>USB Key</v>
      </c>
      <c r="F928" t="s">
        <v>1323</v>
      </c>
    </row>
    <row r="929" spans="1:6" x14ac:dyDescent="0.15">
      <c r="A929">
        <v>12083138</v>
      </c>
      <c r="B929">
        <v>8411447</v>
      </c>
      <c r="C929" t="s">
        <v>114</v>
      </c>
      <c r="D929" t="s">
        <v>8</v>
      </c>
      <c r="E929" s="4" t="str">
        <f>HYPERLINK("https://ibp.a2mac1.com/costing(costing:projects/details/9760/process/12083138)","Process")</f>
        <v>Process</v>
      </c>
      <c r="F929" t="s">
        <v>1324</v>
      </c>
    </row>
    <row r="930" spans="1:6" x14ac:dyDescent="0.15">
      <c r="A930">
        <v>12210167</v>
      </c>
      <c r="B930">
        <v>12083138</v>
      </c>
      <c r="C930" t="s">
        <v>163</v>
      </c>
      <c r="D930" t="s">
        <v>114</v>
      </c>
      <c r="E930" s="4" t="str">
        <f>HYPERLINK("https://ibp.a2mac1.com/costing(costing:projects/details/9760/equipment/12210167)","Dummy Machine (PCBA+Final Assembly Line)")</f>
        <v>Dummy Machine (PCBA+Final Assembly Line)</v>
      </c>
      <c r="F930" t="s">
        <v>1325</v>
      </c>
    </row>
    <row r="931" spans="1:6" x14ac:dyDescent="0.15">
      <c r="A931">
        <v>8751975</v>
      </c>
      <c r="B931">
        <v>8411447</v>
      </c>
      <c r="C931" t="s">
        <v>311</v>
      </c>
      <c r="D931" t="s">
        <v>8</v>
      </c>
      <c r="E931" s="4" t="str">
        <f>HYPERLINK("https://ibp.a2mac1.com/costing(costing:projects/details/9760/component/8751975)","Mechanics")</f>
        <v>Mechanics</v>
      </c>
      <c r="F931" t="s">
        <v>1324</v>
      </c>
    </row>
    <row r="932" spans="1:6" x14ac:dyDescent="0.15">
      <c r="A932">
        <v>8751976</v>
      </c>
      <c r="B932">
        <v>8411447</v>
      </c>
      <c r="C932" t="s">
        <v>311</v>
      </c>
      <c r="D932" t="s">
        <v>8</v>
      </c>
      <c r="E932" s="4" t="str">
        <f>HYPERLINK("https://ibp.a2mac1.com/costing(costing:projects/details/9760/component/8751976)","Electronics")</f>
        <v>Electronics</v>
      </c>
      <c r="F932" t="s">
        <v>1324</v>
      </c>
    </row>
    <row r="933" spans="1:6" x14ac:dyDescent="0.15">
      <c r="A933">
        <v>8411448</v>
      </c>
      <c r="B933">
        <v>8411445</v>
      </c>
      <c r="C933" t="s">
        <v>8</v>
      </c>
      <c r="D933" t="s">
        <v>8</v>
      </c>
      <c r="E933" s="4" t="str">
        <f>HYPERLINK("https://ibp.a2mac1.com/costing(costing:projects/details/9760/assembly/8411448)","Sensors")</f>
        <v>Sensors</v>
      </c>
      <c r="F933" t="s">
        <v>1323</v>
      </c>
    </row>
    <row r="934" spans="1:6" x14ac:dyDescent="0.15">
      <c r="A934">
        <v>8411468</v>
      </c>
      <c r="B934">
        <v>8411448</v>
      </c>
      <c r="C934" t="s">
        <v>8</v>
      </c>
      <c r="D934" t="s">
        <v>8</v>
      </c>
      <c r="E934" s="4" t="str">
        <f>HYPERLINK("https://ibp.a2mac1.com/costing(costing:projects/details/9760/assembly/8411468)","Rain Sensor")</f>
        <v>Rain Sensor</v>
      </c>
      <c r="F934" t="s">
        <v>1328</v>
      </c>
    </row>
    <row r="935" spans="1:6" x14ac:dyDescent="0.15">
      <c r="A935">
        <v>12083201</v>
      </c>
      <c r="B935">
        <v>8411468</v>
      </c>
      <c r="C935" t="s">
        <v>114</v>
      </c>
      <c r="D935" t="s">
        <v>8</v>
      </c>
      <c r="E935" s="4" t="str">
        <f>HYPERLINK("https://ibp.a2mac1.com/costing(costing:projects/details/9760/process/12083201)","Process")</f>
        <v>Process</v>
      </c>
      <c r="F935" t="s">
        <v>1329</v>
      </c>
    </row>
    <row r="936" spans="1:6" x14ac:dyDescent="0.15">
      <c r="A936">
        <v>12210175</v>
      </c>
      <c r="B936">
        <v>12083201</v>
      </c>
      <c r="C936" t="s">
        <v>163</v>
      </c>
      <c r="D936" t="s">
        <v>114</v>
      </c>
      <c r="E936" s="4" t="str">
        <f>HYPERLINK("https://ibp.a2mac1.com/costing(costing:projects/details/9760/equipment/12210175)","Dummy Machine (PCBA+Final Assembly Line)")</f>
        <v>Dummy Machine (PCBA+Final Assembly Line)</v>
      </c>
      <c r="F936" t="s">
        <v>1330</v>
      </c>
    </row>
    <row r="937" spans="1:6" x14ac:dyDescent="0.15">
      <c r="A937">
        <v>8752062</v>
      </c>
      <c r="B937">
        <v>8411468</v>
      </c>
      <c r="C937" t="s">
        <v>311</v>
      </c>
      <c r="D937" t="s">
        <v>8</v>
      </c>
      <c r="E937" s="4" t="str">
        <f>HYPERLINK("https://ibp.a2mac1.com/costing(costing:projects/details/9760/component/8752062)","Mechanics")</f>
        <v>Mechanics</v>
      </c>
      <c r="F937" t="s">
        <v>1329</v>
      </c>
    </row>
    <row r="938" spans="1:6" x14ac:dyDescent="0.15">
      <c r="A938">
        <v>8752063</v>
      </c>
      <c r="B938">
        <v>8411468</v>
      </c>
      <c r="C938" t="s">
        <v>311</v>
      </c>
      <c r="D938" t="s">
        <v>8</v>
      </c>
      <c r="E938" s="4" t="str">
        <f>HYPERLINK("https://ibp.a2mac1.com/costing(costing:projects/details/9760/component/8752063)","Electronics")</f>
        <v>Electronics</v>
      </c>
      <c r="F938" t="s">
        <v>1329</v>
      </c>
    </row>
    <row r="939" spans="1:6" x14ac:dyDescent="0.15">
      <c r="A939">
        <v>8411469</v>
      </c>
      <c r="B939">
        <v>8411448</v>
      </c>
      <c r="C939" t="s">
        <v>8</v>
      </c>
      <c r="D939" t="s">
        <v>8</v>
      </c>
      <c r="E939" s="4" t="str">
        <f>HYPERLINK("https://ibp.a2mac1.com/costing(costing:projects/details/9760/assembly/8411469)","Yaw-Rate Sensor")</f>
        <v>Yaw-Rate Sensor</v>
      </c>
      <c r="F939" t="s">
        <v>1328</v>
      </c>
    </row>
    <row r="940" spans="1:6" x14ac:dyDescent="0.15">
      <c r="A940">
        <v>12083202</v>
      </c>
      <c r="B940">
        <v>8411469</v>
      </c>
      <c r="C940" t="s">
        <v>114</v>
      </c>
      <c r="D940" t="s">
        <v>8</v>
      </c>
      <c r="E940" s="4" t="str">
        <f>HYPERLINK("https://ibp.a2mac1.com/costing(costing:projects/details/9760/process/12083202)","Process")</f>
        <v>Process</v>
      </c>
      <c r="F940" t="s">
        <v>1333</v>
      </c>
    </row>
    <row r="941" spans="1:6" x14ac:dyDescent="0.15">
      <c r="A941">
        <v>12210176</v>
      </c>
      <c r="B941">
        <v>12083202</v>
      </c>
      <c r="C941" t="s">
        <v>163</v>
      </c>
      <c r="D941" t="s">
        <v>114</v>
      </c>
      <c r="E941" s="4" t="str">
        <f>HYPERLINK("https://ibp.a2mac1.com/costing(costing:projects/details/9760/equipment/12210176)","Dummy Machine (PCBA+Final Assembly Line)")</f>
        <v>Dummy Machine (PCBA+Final Assembly Line)</v>
      </c>
      <c r="F941" t="s">
        <v>1334</v>
      </c>
    </row>
    <row r="942" spans="1:6" x14ac:dyDescent="0.15">
      <c r="A942">
        <v>8752108</v>
      </c>
      <c r="B942">
        <v>8411469</v>
      </c>
      <c r="C942" t="s">
        <v>311</v>
      </c>
      <c r="D942" t="s">
        <v>8</v>
      </c>
      <c r="E942" s="4" t="str">
        <f>HYPERLINK("https://ibp.a2mac1.com/costing(costing:projects/details/9760/component/8752108)","Mechanics")</f>
        <v>Mechanics</v>
      </c>
      <c r="F942" t="s">
        <v>1333</v>
      </c>
    </row>
    <row r="943" spans="1:6" x14ac:dyDescent="0.15">
      <c r="A943">
        <v>8752109</v>
      </c>
      <c r="B943">
        <v>8411469</v>
      </c>
      <c r="C943" t="s">
        <v>311</v>
      </c>
      <c r="D943" t="s">
        <v>8</v>
      </c>
      <c r="E943" s="4" t="str">
        <f>HYPERLINK("https://ibp.a2mac1.com/costing(costing:projects/details/9760/component/8752109)","Electronics")</f>
        <v>Electronics</v>
      </c>
      <c r="F943" t="s">
        <v>1333</v>
      </c>
    </row>
    <row r="944" spans="1:6" x14ac:dyDescent="0.15">
      <c r="A944">
        <v>8411470</v>
      </c>
      <c r="B944">
        <v>8411448</v>
      </c>
      <c r="C944" t="s">
        <v>8</v>
      </c>
      <c r="D944" t="s">
        <v>8</v>
      </c>
      <c r="E944" s="4" t="str">
        <f>HYPERLINK("https://ibp.a2mac1.com/costing(costing:projects/details/9760/assembly/8411470)","Interior Temperature Sensor")</f>
        <v>Interior Temperature Sensor</v>
      </c>
      <c r="F944" t="s">
        <v>1328</v>
      </c>
    </row>
    <row r="945" spans="1:6" x14ac:dyDescent="0.15">
      <c r="A945">
        <v>8411558</v>
      </c>
      <c r="B945">
        <v>8411470</v>
      </c>
      <c r="C945" t="s">
        <v>10</v>
      </c>
      <c r="D945" t="s">
        <v>8</v>
      </c>
      <c r="E945" s="4" t="str">
        <f>HYPERLINK("https://ibp.a2mac1.com/costing(costing:projects/details/9760/part/8411558)","Interior Temperature Sensor")</f>
        <v>Interior Temperature Sensor</v>
      </c>
      <c r="F945" t="s">
        <v>1337</v>
      </c>
    </row>
    <row r="946" spans="1:6" x14ac:dyDescent="0.15">
      <c r="A946">
        <v>8411559</v>
      </c>
      <c r="B946">
        <v>8411470</v>
      </c>
      <c r="C946" t="s">
        <v>10</v>
      </c>
      <c r="D946" t="s">
        <v>8</v>
      </c>
      <c r="E946" s="4" t="str">
        <f>HYPERLINK("https://ibp.a2mac1.com/costing(costing:projects/details/9760/part/8411559)","Grill")</f>
        <v>Grill</v>
      </c>
      <c r="F946" t="s">
        <v>1337</v>
      </c>
    </row>
    <row r="947" spans="1:6" x14ac:dyDescent="0.15">
      <c r="A947">
        <v>8411560</v>
      </c>
      <c r="B947">
        <v>8411470</v>
      </c>
      <c r="C947" t="s">
        <v>10</v>
      </c>
      <c r="D947" t="s">
        <v>8</v>
      </c>
      <c r="E947" s="4" t="str">
        <f>HYPERLINK("https://ibp.a2mac1.com/costing(costing:projects/details/9760/part/8411560)","End Fitting")</f>
        <v>End Fitting</v>
      </c>
      <c r="F947" t="s">
        <v>1337</v>
      </c>
    </row>
    <row r="948" spans="1:6" x14ac:dyDescent="0.15">
      <c r="A948">
        <v>8411561</v>
      </c>
      <c r="B948">
        <v>8411470</v>
      </c>
      <c r="C948" t="s">
        <v>10</v>
      </c>
      <c r="D948" t="s">
        <v>8</v>
      </c>
      <c r="E948" s="4" t="str">
        <f>HYPERLINK("https://ibp.a2mac1.com/costing(costing:projects/details/9760/part/8411561)","Duct")</f>
        <v>Duct</v>
      </c>
      <c r="F948" t="s">
        <v>1337</v>
      </c>
    </row>
    <row r="949" spans="1:6" x14ac:dyDescent="0.15">
      <c r="A949">
        <v>8411466</v>
      </c>
      <c r="B949">
        <v>8411448</v>
      </c>
      <c r="C949" t="s">
        <v>10</v>
      </c>
      <c r="D949" t="s">
        <v>8</v>
      </c>
      <c r="E949" s="4" t="str">
        <f>HYPERLINK("https://ibp.a2mac1.com/costing(costing:projects/details/9760/part/8411466)","Exterior Temperature Sensor")</f>
        <v>Exterior Temperature Sensor</v>
      </c>
      <c r="F949" t="s">
        <v>1328</v>
      </c>
    </row>
    <row r="950" spans="1:6" x14ac:dyDescent="0.15">
      <c r="A950">
        <v>8411467</v>
      </c>
      <c r="B950">
        <v>8411448</v>
      </c>
      <c r="C950" t="s">
        <v>10</v>
      </c>
      <c r="D950" t="s">
        <v>8</v>
      </c>
      <c r="E950" s="4" t="str">
        <f>HYPERLINK("https://ibp.a2mac1.com/costing(costing:projects/details/9760/part/8411467)","Exterior Temperature Sensor Support")</f>
        <v>Exterior Temperature Sensor Support</v>
      </c>
      <c r="F950" t="s">
        <v>1328</v>
      </c>
    </row>
    <row r="951" spans="1:6" x14ac:dyDescent="0.15">
      <c r="A951">
        <v>8751977</v>
      </c>
      <c r="B951">
        <v>8411448</v>
      </c>
      <c r="C951" t="s">
        <v>311</v>
      </c>
      <c r="D951" t="s">
        <v>8</v>
      </c>
      <c r="E951" s="4" t="str">
        <f>HYPERLINK("https://ibp.a2mac1.com/costing(costing:projects/details/9760/component/8751977)","Hex Nut M6")</f>
        <v>Hex Nut M6</v>
      </c>
      <c r="F951" t="s">
        <v>1328</v>
      </c>
    </row>
    <row r="952" spans="1:6" x14ac:dyDescent="0.15">
      <c r="A952">
        <v>8411449</v>
      </c>
      <c r="B952">
        <v>8411445</v>
      </c>
      <c r="C952" t="s">
        <v>8</v>
      </c>
      <c r="D952" t="s">
        <v>8</v>
      </c>
      <c r="E952" s="4" t="str">
        <f>HYPERLINK("https://ibp.a2mac1.com/costing(costing:projects/details/9760/assembly/8411449)","Plugs")</f>
        <v>Plugs</v>
      </c>
      <c r="F952" t="s">
        <v>1323</v>
      </c>
    </row>
    <row r="953" spans="1:6" x14ac:dyDescent="0.15">
      <c r="A953">
        <v>8411477</v>
      </c>
      <c r="B953">
        <v>8411449</v>
      </c>
      <c r="C953" t="s">
        <v>8</v>
      </c>
      <c r="D953" t="s">
        <v>8</v>
      </c>
      <c r="E953" s="4" t="str">
        <f>HYPERLINK("https://ibp.a2mac1.com/costing(costing:projects/details/9760/assembly/8411477)","USB Plug")</f>
        <v>USB Plug</v>
      </c>
      <c r="F953" t="s">
        <v>1349</v>
      </c>
    </row>
    <row r="954" spans="1:6" x14ac:dyDescent="0.15">
      <c r="A954">
        <v>12083203</v>
      </c>
      <c r="B954">
        <v>8411477</v>
      </c>
      <c r="C954" t="s">
        <v>114</v>
      </c>
      <c r="D954" t="s">
        <v>8</v>
      </c>
      <c r="E954" s="4" t="str">
        <f>HYPERLINK("https://ibp.a2mac1.com/costing(costing:projects/details/9760/process/12083203)","Process")</f>
        <v>Process</v>
      </c>
      <c r="F954" t="s">
        <v>1350</v>
      </c>
    </row>
    <row r="955" spans="1:6" x14ac:dyDescent="0.15">
      <c r="A955">
        <v>12210177</v>
      </c>
      <c r="B955">
        <v>12083203</v>
      </c>
      <c r="C955" t="s">
        <v>163</v>
      </c>
      <c r="D955" t="s">
        <v>114</v>
      </c>
      <c r="E955" s="4" t="str">
        <f>HYPERLINK("https://ibp.a2mac1.com/costing(costing:projects/details/9760/equipment/12210177)","Dummy Machine (PCBA+Final Assembly Line)")</f>
        <v>Dummy Machine (PCBA+Final Assembly Line)</v>
      </c>
      <c r="F955" t="s">
        <v>1351</v>
      </c>
    </row>
    <row r="956" spans="1:6" x14ac:dyDescent="0.15">
      <c r="A956">
        <v>8752110</v>
      </c>
      <c r="B956">
        <v>8411477</v>
      </c>
      <c r="C956" t="s">
        <v>311</v>
      </c>
      <c r="D956" t="s">
        <v>8</v>
      </c>
      <c r="E956" s="4" t="str">
        <f>HYPERLINK("https://ibp.a2mac1.com/costing(costing:projects/details/9760/component/8752110)","Mechanics")</f>
        <v>Mechanics</v>
      </c>
      <c r="F956" t="s">
        <v>1350</v>
      </c>
    </row>
    <row r="957" spans="1:6" x14ac:dyDescent="0.15">
      <c r="A957">
        <v>8752111</v>
      </c>
      <c r="B957">
        <v>8411477</v>
      </c>
      <c r="C957" t="s">
        <v>311</v>
      </c>
      <c r="D957" t="s">
        <v>8</v>
      </c>
      <c r="E957" s="4" t="str">
        <f>HYPERLINK("https://ibp.a2mac1.com/costing(costing:projects/details/9760/component/8752111)","Electronics")</f>
        <v>Electronics</v>
      </c>
      <c r="F957" t="s">
        <v>1350</v>
      </c>
    </row>
    <row r="958" spans="1:6" x14ac:dyDescent="0.15">
      <c r="A958">
        <v>8411478</v>
      </c>
      <c r="B958">
        <v>8411449</v>
      </c>
      <c r="C958" t="s">
        <v>8</v>
      </c>
      <c r="D958" t="s">
        <v>8</v>
      </c>
      <c r="E958" s="4" t="str">
        <f>HYPERLINK("https://ibp.a2mac1.com/costing(costing:projects/details/9760/assembly/8411478)","USB Plug 2")</f>
        <v>USB Plug 2</v>
      </c>
      <c r="F958" t="s">
        <v>1349</v>
      </c>
    </row>
    <row r="959" spans="1:6" x14ac:dyDescent="0.15">
      <c r="A959">
        <v>12083204</v>
      </c>
      <c r="B959">
        <v>8411478</v>
      </c>
      <c r="C959" t="s">
        <v>114</v>
      </c>
      <c r="D959" t="s">
        <v>8</v>
      </c>
      <c r="E959" s="4" t="str">
        <f>HYPERLINK("https://ibp.a2mac1.com/costing(costing:projects/details/9760/process/12083204)","Process")</f>
        <v>Process</v>
      </c>
      <c r="F959" t="s">
        <v>1353</v>
      </c>
    </row>
    <row r="960" spans="1:6" x14ac:dyDescent="0.15">
      <c r="A960">
        <v>12210178</v>
      </c>
      <c r="B960">
        <v>12083204</v>
      </c>
      <c r="C960" t="s">
        <v>163</v>
      </c>
      <c r="D960" t="s">
        <v>114</v>
      </c>
      <c r="E960" s="4" t="str">
        <f>HYPERLINK("https://ibp.a2mac1.com/costing(costing:projects/details/9760/equipment/12210178)","Dummy Machine (PCBA+Final Assembly Line)")</f>
        <v>Dummy Machine (PCBA+Final Assembly Line)</v>
      </c>
      <c r="F960" t="s">
        <v>1354</v>
      </c>
    </row>
    <row r="961" spans="1:6" x14ac:dyDescent="0.15">
      <c r="A961">
        <v>8752112</v>
      </c>
      <c r="B961">
        <v>8411478</v>
      </c>
      <c r="C961" t="s">
        <v>311</v>
      </c>
      <c r="D961" t="s">
        <v>8</v>
      </c>
      <c r="E961" s="4" t="str">
        <f>HYPERLINK("https://ibp.a2mac1.com/costing(costing:projects/details/9760/component/8752112)","Electronics")</f>
        <v>Electronics</v>
      </c>
      <c r="F961" t="s">
        <v>1353</v>
      </c>
    </row>
    <row r="962" spans="1:6" x14ac:dyDescent="0.15">
      <c r="A962">
        <v>8752113</v>
      </c>
      <c r="B962">
        <v>8411478</v>
      </c>
      <c r="C962" t="s">
        <v>311</v>
      </c>
      <c r="D962" t="s">
        <v>8</v>
      </c>
      <c r="E962" s="4" t="str">
        <f>HYPERLINK("https://ibp.a2mac1.com/costing(costing:projects/details/9760/component/8752113)","Mechanics")</f>
        <v>Mechanics</v>
      </c>
      <c r="F962" t="s">
        <v>1353</v>
      </c>
    </row>
    <row r="963" spans="1:6" x14ac:dyDescent="0.15">
      <c r="A963">
        <v>8411471</v>
      </c>
      <c r="B963">
        <v>8411449</v>
      </c>
      <c r="C963" t="s">
        <v>10</v>
      </c>
      <c r="D963" t="s">
        <v>8</v>
      </c>
      <c r="E963" s="4" t="str">
        <f>HYPERLINK("https://ibp.a2mac1.com/costing(costing:projects/details/9760/part/8411471)","Front 12V Plug")</f>
        <v>Front 12V Plug</v>
      </c>
      <c r="F963" t="s">
        <v>1349</v>
      </c>
    </row>
    <row r="964" spans="1:6" x14ac:dyDescent="0.15">
      <c r="A964">
        <v>8411472</v>
      </c>
      <c r="B964">
        <v>8411449</v>
      </c>
      <c r="C964" t="s">
        <v>10</v>
      </c>
      <c r="D964" t="s">
        <v>8</v>
      </c>
      <c r="E964" s="4" t="str">
        <f>HYPERLINK("https://ibp.a2mac1.com/costing(costing:projects/details/9760/part/8411472)","Front 12V Plug Lid")</f>
        <v>Front 12V Plug Lid</v>
      </c>
      <c r="F964" t="s">
        <v>1349</v>
      </c>
    </row>
    <row r="965" spans="1:6" x14ac:dyDescent="0.15">
      <c r="A965">
        <v>8411473</v>
      </c>
      <c r="B965">
        <v>8411449</v>
      </c>
      <c r="C965" t="s">
        <v>10</v>
      </c>
      <c r="D965" t="s">
        <v>8</v>
      </c>
      <c r="E965" s="4" t="str">
        <f>HYPERLINK("https://ibp.a2mac1.com/costing(costing:projects/details/9760/part/8411473)","Front 12V Plug Support")</f>
        <v>Front 12V Plug Support</v>
      </c>
      <c r="F965" t="s">
        <v>1349</v>
      </c>
    </row>
    <row r="966" spans="1:6" x14ac:dyDescent="0.15">
      <c r="A966">
        <v>8411474</v>
      </c>
      <c r="B966">
        <v>8411449</v>
      </c>
      <c r="C966" t="s">
        <v>10</v>
      </c>
      <c r="D966" t="s">
        <v>8</v>
      </c>
      <c r="E966" s="4" t="str">
        <f>HYPERLINK("https://ibp.a2mac1.com/costing(costing:projects/details/9760/part/8411474)","Rear 12V Plug")</f>
        <v>Rear 12V Plug</v>
      </c>
      <c r="F966" t="s">
        <v>1349</v>
      </c>
    </row>
    <row r="967" spans="1:6" x14ac:dyDescent="0.15">
      <c r="A967">
        <v>8411475</v>
      </c>
      <c r="B967">
        <v>8411449</v>
      </c>
      <c r="C967" t="s">
        <v>10</v>
      </c>
      <c r="D967" t="s">
        <v>8</v>
      </c>
      <c r="E967" s="4" t="str">
        <f>HYPERLINK("https://ibp.a2mac1.com/costing(costing:projects/details/9760/part/8411475)","Rear 12V Plug Support")</f>
        <v>Rear 12V Plug Support</v>
      </c>
      <c r="F967" t="s">
        <v>1349</v>
      </c>
    </row>
    <row r="968" spans="1:6" x14ac:dyDescent="0.15">
      <c r="A968">
        <v>8411476</v>
      </c>
      <c r="B968">
        <v>8411449</v>
      </c>
      <c r="C968" t="s">
        <v>10</v>
      </c>
      <c r="D968" t="s">
        <v>8</v>
      </c>
      <c r="E968" s="4" t="str">
        <f>HYPERLINK("https://ibp.a2mac1.com/costing(costing:projects/details/9760/part/8411476)","Rear 12V Plug Lid")</f>
        <v>Rear 12V Plug Lid</v>
      </c>
      <c r="F968" t="s">
        <v>1349</v>
      </c>
    </row>
    <row r="969" spans="1:6" x14ac:dyDescent="0.15">
      <c r="A969">
        <v>8411479</v>
      </c>
      <c r="B969">
        <v>8411449</v>
      </c>
      <c r="C969" t="s">
        <v>10</v>
      </c>
      <c r="D969" t="s">
        <v>8</v>
      </c>
      <c r="E969" s="4" t="str">
        <f>HYPERLINK("https://ibp.a2mac1.com/costing(costing:projects/details/9760/part/8411479)","USB Plug 3")</f>
        <v>USB Plug 3</v>
      </c>
      <c r="F969" t="s">
        <v>1349</v>
      </c>
    </row>
    <row r="970" spans="1:6" x14ac:dyDescent="0.15">
      <c r="A970">
        <v>8411480</v>
      </c>
      <c r="B970">
        <v>8411449</v>
      </c>
      <c r="C970" t="s">
        <v>10</v>
      </c>
      <c r="D970" t="s">
        <v>8</v>
      </c>
      <c r="E970" s="4" t="str">
        <f>HYPERLINK("https://ibp.a2mac1.com/costing(costing:projects/details/9760/part/8411480)","USB Plug 4")</f>
        <v>USB Plug 4</v>
      </c>
      <c r="F970" t="s">
        <v>1349</v>
      </c>
    </row>
    <row r="971" spans="1:6" x14ac:dyDescent="0.15">
      <c r="A971">
        <v>8411481</v>
      </c>
      <c r="B971">
        <v>8411449</v>
      </c>
      <c r="C971" t="s">
        <v>10</v>
      </c>
      <c r="D971" t="s">
        <v>8</v>
      </c>
      <c r="E971" s="4" t="str">
        <f>HYPERLINK("https://ibp.a2mac1.com/costing(costing:projects/details/9760/part/8411481)","USB Plug ECU")</f>
        <v>USB Plug ECU</v>
      </c>
      <c r="F971" t="s">
        <v>1349</v>
      </c>
    </row>
    <row r="972" spans="1:6" x14ac:dyDescent="0.15">
      <c r="A972">
        <v>8751978</v>
      </c>
      <c r="B972">
        <v>8411449</v>
      </c>
      <c r="C972" t="s">
        <v>311</v>
      </c>
      <c r="D972" t="s">
        <v>8</v>
      </c>
      <c r="E972" s="4" t="str">
        <f>HYPERLINK("https://ibp.a2mac1.com/costing(costing:projects/details/9760/component/8751978)","Flange Nut M10")</f>
        <v>Flange Nut M10</v>
      </c>
      <c r="F972" t="s">
        <v>1349</v>
      </c>
    </row>
    <row r="973" spans="1:6" x14ac:dyDescent="0.15">
      <c r="A973">
        <v>8751979</v>
      </c>
      <c r="B973">
        <v>8411449</v>
      </c>
      <c r="C973" t="s">
        <v>311</v>
      </c>
      <c r="D973" t="s">
        <v>8</v>
      </c>
      <c r="E973" s="4" t="str">
        <f>HYPERLINK("https://ibp.a2mac1.com/costing(costing:projects/details/9760/component/8751979)","Flange Nut M5")</f>
        <v>Flange Nut M5</v>
      </c>
      <c r="F973" t="s">
        <v>1349</v>
      </c>
    </row>
    <row r="974" spans="1:6" x14ac:dyDescent="0.15">
      <c r="A974">
        <v>8751980</v>
      </c>
      <c r="B974">
        <v>8411449</v>
      </c>
      <c r="C974" t="s">
        <v>311</v>
      </c>
      <c r="D974" t="s">
        <v>8</v>
      </c>
      <c r="E974" s="4" t="str">
        <f>HYPERLINK("https://ibp.a2mac1.com/costing(costing:projects/details/9760/component/8751980)","Panel holder &gt; Clips in rectangular hole")</f>
        <v>Panel holder &gt; Clips in rectangular hole</v>
      </c>
      <c r="F974" t="s">
        <v>1349</v>
      </c>
    </row>
    <row r="975" spans="1:6" x14ac:dyDescent="0.15">
      <c r="A975">
        <v>8411450</v>
      </c>
      <c r="B975">
        <v>8411445</v>
      </c>
      <c r="C975" t="s">
        <v>8</v>
      </c>
      <c r="D975" t="s">
        <v>8</v>
      </c>
      <c r="E975" s="4" t="str">
        <f>HYPERLINK("https://ibp.a2mac1.com/costing(costing:projects/details/9760/assembly/8411450)","Tool Box")</f>
        <v>Tool Box</v>
      </c>
      <c r="F975" t="s">
        <v>1323</v>
      </c>
    </row>
    <row r="976" spans="1:6" x14ac:dyDescent="0.15">
      <c r="A976">
        <v>8411482</v>
      </c>
      <c r="B976">
        <v>8411450</v>
      </c>
      <c r="C976" t="s">
        <v>10</v>
      </c>
      <c r="D976" t="s">
        <v>8</v>
      </c>
      <c r="E976" s="4" t="str">
        <f>HYPERLINK("https://ibp.a2mac1.com/costing(costing:projects/details/9760/part/8411482)","Towing Hook")</f>
        <v>Towing Hook</v>
      </c>
      <c r="F976" t="s">
        <v>1369</v>
      </c>
    </row>
    <row r="977" spans="1:6" x14ac:dyDescent="0.15">
      <c r="A977">
        <v>8411483</v>
      </c>
      <c r="B977">
        <v>8411450</v>
      </c>
      <c r="C977" t="s">
        <v>10</v>
      </c>
      <c r="D977" t="s">
        <v>8</v>
      </c>
      <c r="E977" s="4" t="str">
        <f>HYPERLINK("https://ibp.a2mac1.com/costing(costing:projects/details/9760/part/8411483)","Storage Compartment")</f>
        <v>Storage Compartment</v>
      </c>
      <c r="F977" t="s">
        <v>1369</v>
      </c>
    </row>
    <row r="978" spans="1:6" x14ac:dyDescent="0.15">
      <c r="A978">
        <v>8411484</v>
      </c>
      <c r="B978">
        <v>8411450</v>
      </c>
      <c r="C978" t="s">
        <v>10</v>
      </c>
      <c r="D978" t="s">
        <v>8</v>
      </c>
      <c r="E978" s="4" t="str">
        <f>HYPERLINK("https://ibp.a2mac1.com/costing(costing:projects/details/9760/part/8411484)","Storage Bag")</f>
        <v>Storage Bag</v>
      </c>
      <c r="F978" t="s">
        <v>1369</v>
      </c>
    </row>
    <row r="979" spans="1:6" x14ac:dyDescent="0.15">
      <c r="A979">
        <v>8411485</v>
      </c>
      <c r="B979">
        <v>8411450</v>
      </c>
      <c r="C979" t="s">
        <v>10</v>
      </c>
      <c r="D979" t="s">
        <v>8</v>
      </c>
      <c r="E979" s="4" t="str">
        <f>HYPERLINK("https://ibp.a2mac1.com/costing(costing:projects/details/9760/part/8411485)","Flashlight Support")</f>
        <v>Flashlight Support</v>
      </c>
      <c r="F979" t="s">
        <v>1369</v>
      </c>
    </row>
    <row r="980" spans="1:6" x14ac:dyDescent="0.15">
      <c r="A980">
        <v>8411486</v>
      </c>
      <c r="B980">
        <v>8411450</v>
      </c>
      <c r="C980" t="s">
        <v>10</v>
      </c>
      <c r="D980" t="s">
        <v>8</v>
      </c>
      <c r="E980" s="4" t="str">
        <f>HYPERLINK("https://ibp.a2mac1.com/costing(costing:projects/details/9760/part/8411486)","Flashlight Support 2")</f>
        <v>Flashlight Support 2</v>
      </c>
      <c r="F980" t="s">
        <v>1369</v>
      </c>
    </row>
    <row r="981" spans="1:6" x14ac:dyDescent="0.15">
      <c r="A981">
        <v>8411487</v>
      </c>
      <c r="B981">
        <v>8411450</v>
      </c>
      <c r="C981" t="s">
        <v>10</v>
      </c>
      <c r="D981" t="s">
        <v>8</v>
      </c>
      <c r="E981" s="4" t="str">
        <f>HYPERLINK("https://ibp.a2mac1.com/costing(costing:projects/details/9760/part/8411487)","Flashlight Support 3")</f>
        <v>Flashlight Support 3</v>
      </c>
      <c r="F981" t="s">
        <v>1369</v>
      </c>
    </row>
    <row r="982" spans="1:6" x14ac:dyDescent="0.15">
      <c r="A982">
        <v>8411488</v>
      </c>
      <c r="B982">
        <v>8411450</v>
      </c>
      <c r="C982" t="s">
        <v>10</v>
      </c>
      <c r="D982" t="s">
        <v>8</v>
      </c>
      <c r="E982" s="4" t="str">
        <f>HYPERLINK("https://ibp.a2mac1.com/costing(costing:projects/details/9760/part/8411488)","Fasteners")</f>
        <v>Fasteners</v>
      </c>
      <c r="F982" t="s">
        <v>1369</v>
      </c>
    </row>
    <row r="983" spans="1:6" x14ac:dyDescent="0.15">
      <c r="A983">
        <v>8411451</v>
      </c>
      <c r="B983">
        <v>8411445</v>
      </c>
      <c r="C983" t="s">
        <v>8</v>
      </c>
      <c r="D983" t="s">
        <v>8</v>
      </c>
      <c r="E983" s="4" t="str">
        <f>HYPERLINK("https://ibp.a2mac1.com/costing(costing:projects/details/9760/assembly/8411451)","Audio System")</f>
        <v>Audio System</v>
      </c>
      <c r="F983" t="s">
        <v>1323</v>
      </c>
    </row>
    <row r="984" spans="1:6" x14ac:dyDescent="0.15">
      <c r="A984">
        <v>8411489</v>
      </c>
      <c r="B984">
        <v>8411451</v>
      </c>
      <c r="C984" t="s">
        <v>8</v>
      </c>
      <c r="D984" t="s">
        <v>8</v>
      </c>
      <c r="E984" s="4" t="str">
        <f>HYPERLINK("https://ibp.a2mac1.com/costing(costing:projects/details/9760/assembly/8411489)","5G Antenna")</f>
        <v>5G Antenna</v>
      </c>
      <c r="F984" t="s">
        <v>1384</v>
      </c>
    </row>
    <row r="985" spans="1:6" x14ac:dyDescent="0.15">
      <c r="A985">
        <v>12083205</v>
      </c>
      <c r="B985">
        <v>8411489</v>
      </c>
      <c r="C985" t="s">
        <v>114</v>
      </c>
      <c r="D985" t="s">
        <v>8</v>
      </c>
      <c r="E985" s="4" t="str">
        <f>HYPERLINK("https://ibp.a2mac1.com/costing(costing:projects/details/9760/process/12083205)","Process")</f>
        <v>Process</v>
      </c>
      <c r="F985" t="s">
        <v>1385</v>
      </c>
    </row>
    <row r="986" spans="1:6" x14ac:dyDescent="0.15">
      <c r="A986">
        <v>12210179</v>
      </c>
      <c r="B986">
        <v>12083205</v>
      </c>
      <c r="C986" t="s">
        <v>163</v>
      </c>
      <c r="D986" t="s">
        <v>114</v>
      </c>
      <c r="E986" s="4" t="str">
        <f>HYPERLINK("https://ibp.a2mac1.com/costing(costing:projects/details/9760/equipment/12210179)","Dummy Machine (PCBA+Final Assembly Line)")</f>
        <v>Dummy Machine (PCBA+Final Assembly Line)</v>
      </c>
      <c r="F986" t="s">
        <v>1386</v>
      </c>
    </row>
    <row r="987" spans="1:6" x14ac:dyDescent="0.15">
      <c r="A987">
        <v>8752114</v>
      </c>
      <c r="B987">
        <v>8411489</v>
      </c>
      <c r="C987" t="s">
        <v>311</v>
      </c>
      <c r="D987" t="s">
        <v>8</v>
      </c>
      <c r="E987" s="4" t="str">
        <f>HYPERLINK("https://ibp.a2mac1.com/costing(costing:projects/details/9760/component/8752114)","Electronics")</f>
        <v>Electronics</v>
      </c>
      <c r="F987" t="s">
        <v>1385</v>
      </c>
    </row>
    <row r="988" spans="1:6" x14ac:dyDescent="0.15">
      <c r="A988">
        <v>8752115</v>
      </c>
      <c r="B988">
        <v>8411489</v>
      </c>
      <c r="C988" t="s">
        <v>311</v>
      </c>
      <c r="D988" t="s">
        <v>8</v>
      </c>
      <c r="E988" s="4" t="str">
        <f>HYPERLINK("https://ibp.a2mac1.com/costing(costing:projects/details/9760/component/8752115)","Mechanics")</f>
        <v>Mechanics</v>
      </c>
      <c r="F988" t="s">
        <v>1385</v>
      </c>
    </row>
    <row r="989" spans="1:6" x14ac:dyDescent="0.15">
      <c r="A989">
        <v>8411490</v>
      </c>
      <c r="B989">
        <v>8411451</v>
      </c>
      <c r="C989" t="s">
        <v>8</v>
      </c>
      <c r="D989" t="s">
        <v>8</v>
      </c>
      <c r="E989" s="4" t="str">
        <f>HYPERLINK("https://ibp.a2mac1.com/costing(costing:projects/details/9760/assembly/8411490)","Audio Amplifier System")</f>
        <v>Audio Amplifier System</v>
      </c>
      <c r="F989" t="s">
        <v>1384</v>
      </c>
    </row>
    <row r="990" spans="1:6" x14ac:dyDescent="0.15">
      <c r="A990">
        <v>8411562</v>
      </c>
      <c r="B990">
        <v>8411490</v>
      </c>
      <c r="C990" t="s">
        <v>8</v>
      </c>
      <c r="D990" t="s">
        <v>8</v>
      </c>
      <c r="E990" s="4" t="str">
        <f>HYPERLINK("https://ibp.a2mac1.com/costing(costing:projects/details/9760/assembly/8411562)","Audio Amplifier")</f>
        <v>Audio Amplifier</v>
      </c>
      <c r="F990" t="s">
        <v>1389</v>
      </c>
    </row>
    <row r="991" spans="1:6" x14ac:dyDescent="0.15">
      <c r="A991">
        <v>12083251</v>
      </c>
      <c r="B991">
        <v>8411562</v>
      </c>
      <c r="C991" t="s">
        <v>114</v>
      </c>
      <c r="D991" t="s">
        <v>8</v>
      </c>
      <c r="E991" s="4" t="str">
        <f>HYPERLINK("https://ibp.a2mac1.com/costing(costing:projects/details/9760/process/12083251)","Process")</f>
        <v>Process</v>
      </c>
      <c r="F991" t="s">
        <v>1390</v>
      </c>
    </row>
    <row r="992" spans="1:6" x14ac:dyDescent="0.15">
      <c r="A992">
        <v>12210257</v>
      </c>
      <c r="B992">
        <v>12083251</v>
      </c>
      <c r="C992" t="s">
        <v>163</v>
      </c>
      <c r="D992" t="s">
        <v>114</v>
      </c>
      <c r="E992" s="4" t="str">
        <f>HYPERLINK("https://ibp.a2mac1.com/costing(costing:projects/details/9760/equipment/12210257)","Dummy Machine (PCBA+Final Assembly Line)")</f>
        <v>Dummy Machine (PCBA+Final Assembly Line)</v>
      </c>
      <c r="F992" t="s">
        <v>1391</v>
      </c>
    </row>
    <row r="993" spans="1:6" x14ac:dyDescent="0.15">
      <c r="A993">
        <v>8752247</v>
      </c>
      <c r="B993">
        <v>8411562</v>
      </c>
      <c r="C993" t="s">
        <v>311</v>
      </c>
      <c r="D993" t="s">
        <v>8</v>
      </c>
      <c r="E993" s="4" t="str">
        <f>HYPERLINK("https://ibp.a2mac1.com/costing(costing:projects/details/9760/component/8752247)","Electronics")</f>
        <v>Electronics</v>
      </c>
      <c r="F993" t="s">
        <v>1390</v>
      </c>
    </row>
    <row r="994" spans="1:6" x14ac:dyDescent="0.15">
      <c r="A994">
        <v>8752248</v>
      </c>
      <c r="B994">
        <v>8411562</v>
      </c>
      <c r="C994" t="s">
        <v>311</v>
      </c>
      <c r="D994" t="s">
        <v>8</v>
      </c>
      <c r="E994" s="4" t="str">
        <f>HYPERLINK("https://ibp.a2mac1.com/costing(costing:projects/details/9760/component/8752248)","Mechanics")</f>
        <v>Mechanics</v>
      </c>
      <c r="F994" t="s">
        <v>1390</v>
      </c>
    </row>
    <row r="995" spans="1:6" x14ac:dyDescent="0.15">
      <c r="A995">
        <v>8411563</v>
      </c>
      <c r="B995">
        <v>8411490</v>
      </c>
      <c r="C995" t="s">
        <v>10</v>
      </c>
      <c r="D995" t="s">
        <v>8</v>
      </c>
      <c r="E995" s="4" t="str">
        <f>HYPERLINK("https://ibp.a2mac1.com/costing(costing:projects/details/9760/part/8411563)","Support")</f>
        <v>Support</v>
      </c>
      <c r="F995" t="s">
        <v>1389</v>
      </c>
    </row>
    <row r="996" spans="1:6" x14ac:dyDescent="0.15">
      <c r="A996">
        <v>8411564</v>
      </c>
      <c r="B996">
        <v>8411490</v>
      </c>
      <c r="C996" t="s">
        <v>10</v>
      </c>
      <c r="D996" t="s">
        <v>8</v>
      </c>
      <c r="E996" s="4" t="str">
        <f>HYPERLINK("https://ibp.a2mac1.com/costing(costing:projects/details/9760/part/8411564)","Support 2")</f>
        <v>Support 2</v>
      </c>
      <c r="F996" t="s">
        <v>1389</v>
      </c>
    </row>
    <row r="997" spans="1:6" x14ac:dyDescent="0.15">
      <c r="A997">
        <v>8752116</v>
      </c>
      <c r="B997">
        <v>8411490</v>
      </c>
      <c r="C997" t="s">
        <v>311</v>
      </c>
      <c r="D997" t="s">
        <v>8</v>
      </c>
      <c r="E997" s="4" t="str">
        <f>HYPERLINK("https://ibp.a2mac1.com/costing(costing:projects/details/9760/component/8752116)","Screw &gt; Cross recessed screw with flange")</f>
        <v>Screw &gt; Cross recessed screw with flange</v>
      </c>
      <c r="F997" t="s">
        <v>1389</v>
      </c>
    </row>
    <row r="998" spans="1:6" x14ac:dyDescent="0.15">
      <c r="A998">
        <v>8752117</v>
      </c>
      <c r="B998">
        <v>8411490</v>
      </c>
      <c r="C998" t="s">
        <v>311</v>
      </c>
      <c r="D998" t="s">
        <v>8</v>
      </c>
      <c r="E998" s="4" t="str">
        <f>HYPERLINK("https://ibp.a2mac1.com/costing(costing:projects/details/9760/component/8752117)","Screw &gt; Hexagon screw with flange")</f>
        <v>Screw &gt; Hexagon screw with flange</v>
      </c>
      <c r="F998" t="s">
        <v>1389</v>
      </c>
    </row>
    <row r="999" spans="1:6" x14ac:dyDescent="0.15">
      <c r="A999">
        <v>8752118</v>
      </c>
      <c r="B999">
        <v>8411490</v>
      </c>
      <c r="C999" t="s">
        <v>311</v>
      </c>
      <c r="D999" t="s">
        <v>8</v>
      </c>
      <c r="E999" s="4" t="str">
        <f>HYPERLINK("https://ibp.a2mac1.com/costing(costing:projects/details/9760/component/8752118)","Nut &gt; Hexagonal nut with captive washer")</f>
        <v>Nut &gt; Hexagonal nut with captive washer</v>
      </c>
      <c r="F999" t="s">
        <v>1389</v>
      </c>
    </row>
    <row r="1000" spans="1:6" x14ac:dyDescent="0.15">
      <c r="A1000">
        <v>8411491</v>
      </c>
      <c r="B1000">
        <v>8411451</v>
      </c>
      <c r="C1000" t="s">
        <v>8</v>
      </c>
      <c r="D1000" t="s">
        <v>8</v>
      </c>
      <c r="E1000" s="4" t="str">
        <f>HYPERLINK("https://ibp.a2mac1.com/costing(costing:projects/details/9760/assembly/8411491)","Subwoofer System")</f>
        <v>Subwoofer System</v>
      </c>
      <c r="F1000" t="s">
        <v>1384</v>
      </c>
    </row>
    <row r="1001" spans="1:6" x14ac:dyDescent="0.15">
      <c r="A1001">
        <v>8411565</v>
      </c>
      <c r="B1001">
        <v>8411491</v>
      </c>
      <c r="C1001" t="s">
        <v>10</v>
      </c>
      <c r="D1001" t="s">
        <v>8</v>
      </c>
      <c r="E1001" s="4" t="str">
        <f>HYPERLINK("https://ibp.a2mac1.com/costing(costing:projects/details/9760/part/8411565)","Subwoofer")</f>
        <v>Subwoofer</v>
      </c>
      <c r="F1001" t="s">
        <v>1396</v>
      </c>
    </row>
    <row r="1002" spans="1:6" x14ac:dyDescent="0.15">
      <c r="A1002">
        <v>8411566</v>
      </c>
      <c r="B1002">
        <v>8411491</v>
      </c>
      <c r="C1002" t="s">
        <v>10</v>
      </c>
      <c r="D1002" t="s">
        <v>8</v>
      </c>
      <c r="E1002" s="4" t="str">
        <f>HYPERLINK("https://ibp.a2mac1.com/costing(costing:projects/details/9760/part/8411566)","Subwoofer Grille")</f>
        <v>Subwoofer Grille</v>
      </c>
      <c r="F1002" t="s">
        <v>1396</v>
      </c>
    </row>
    <row r="1003" spans="1:6" x14ac:dyDescent="0.15">
      <c r="A1003">
        <v>8752119</v>
      </c>
      <c r="B1003">
        <v>8411491</v>
      </c>
      <c r="C1003" t="s">
        <v>311</v>
      </c>
      <c r="D1003" t="s">
        <v>8</v>
      </c>
      <c r="E1003" s="4" t="str">
        <f>HYPERLINK("https://ibp.a2mac1.com/costing(costing:projects/details/9760/component/8752119)","Nut &gt; Hexagonal nut with captive washer")</f>
        <v>Nut &gt; Hexagonal nut with captive washer</v>
      </c>
      <c r="F1003" t="s">
        <v>1396</v>
      </c>
    </row>
    <row r="1004" spans="1:6" x14ac:dyDescent="0.15">
      <c r="A1004">
        <v>8411492</v>
      </c>
      <c r="B1004">
        <v>8411451</v>
      </c>
      <c r="C1004" t="s">
        <v>8</v>
      </c>
      <c r="D1004" t="s">
        <v>8</v>
      </c>
      <c r="E1004" s="4" t="str">
        <f>HYPERLINK("https://ibp.a2mac1.com/costing(costing:projects/details/9760/assembly/8411492)","Head Unit System")</f>
        <v>Head Unit System</v>
      </c>
      <c r="F1004" t="s">
        <v>1384</v>
      </c>
    </row>
    <row r="1005" spans="1:6" x14ac:dyDescent="0.15">
      <c r="A1005">
        <v>8411567</v>
      </c>
      <c r="B1005">
        <v>8411492</v>
      </c>
      <c r="C1005" t="s">
        <v>8</v>
      </c>
      <c r="D1005" t="s">
        <v>8</v>
      </c>
      <c r="E1005" s="4" t="str">
        <f>HYPERLINK("https://ibp.a2mac1.com/costing(costing:projects/details/9760/assembly/8411567)","Head Unit")</f>
        <v>Head Unit</v>
      </c>
      <c r="F1005" t="s">
        <v>1401</v>
      </c>
    </row>
    <row r="1006" spans="1:6" x14ac:dyDescent="0.15">
      <c r="A1006">
        <v>12083252</v>
      </c>
      <c r="B1006">
        <v>8411567</v>
      </c>
      <c r="C1006" t="s">
        <v>114</v>
      </c>
      <c r="D1006" t="s">
        <v>8</v>
      </c>
      <c r="E1006" s="4" t="str">
        <f>HYPERLINK("https://ibp.a2mac1.com/costing(costing:projects/details/9760/process/12083252)","Process")</f>
        <v>Process</v>
      </c>
      <c r="F1006" t="s">
        <v>1402</v>
      </c>
    </row>
    <row r="1007" spans="1:6" x14ac:dyDescent="0.15">
      <c r="A1007">
        <v>12210258</v>
      </c>
      <c r="B1007">
        <v>12083252</v>
      </c>
      <c r="C1007" t="s">
        <v>163</v>
      </c>
      <c r="D1007" t="s">
        <v>114</v>
      </c>
      <c r="E1007" s="4" t="str">
        <f>HYPERLINK("https://ibp.a2mac1.com/costing(costing:projects/details/9760/equipment/12210258)","Dummy Machine (PCBA+Final Assembly Line)")</f>
        <v>Dummy Machine (PCBA+Final Assembly Line)</v>
      </c>
      <c r="F1007" t="s">
        <v>1403</v>
      </c>
    </row>
    <row r="1008" spans="1:6" x14ac:dyDescent="0.15">
      <c r="A1008">
        <v>8752249</v>
      </c>
      <c r="B1008">
        <v>8411567</v>
      </c>
      <c r="C1008" t="s">
        <v>311</v>
      </c>
      <c r="D1008" t="s">
        <v>8</v>
      </c>
      <c r="E1008" s="4" t="str">
        <f>HYPERLINK("https://ibp.a2mac1.com/costing(costing:projects/details/9760/component/8752249)","Electronics")</f>
        <v>Electronics</v>
      </c>
      <c r="F1008" t="s">
        <v>1402</v>
      </c>
    </row>
    <row r="1009" spans="1:6" x14ac:dyDescent="0.15">
      <c r="A1009">
        <v>8752250</v>
      </c>
      <c r="B1009">
        <v>8411567</v>
      </c>
      <c r="C1009" t="s">
        <v>311</v>
      </c>
      <c r="D1009" t="s">
        <v>8</v>
      </c>
      <c r="E1009" s="4" t="str">
        <f>HYPERLINK("https://ibp.a2mac1.com/costing(costing:projects/details/9760/component/8752250)","Mechanics")</f>
        <v>Mechanics</v>
      </c>
      <c r="F1009" t="s">
        <v>1402</v>
      </c>
    </row>
    <row r="1010" spans="1:6" x14ac:dyDescent="0.15">
      <c r="A1010">
        <v>8411568</v>
      </c>
      <c r="B1010">
        <v>8411492</v>
      </c>
      <c r="C1010" t="s">
        <v>10</v>
      </c>
      <c r="D1010" t="s">
        <v>8</v>
      </c>
      <c r="E1010" s="4" t="str">
        <f>HYPERLINK("https://ibp.a2mac1.com/costing(costing:projects/details/9760/part/8411568)","Unit Control Support")</f>
        <v>Unit Control Support</v>
      </c>
      <c r="F1010" t="s">
        <v>1401</v>
      </c>
    </row>
    <row r="1011" spans="1:6" x14ac:dyDescent="0.15">
      <c r="A1011">
        <v>8411569</v>
      </c>
      <c r="B1011">
        <v>8411492</v>
      </c>
      <c r="C1011" t="s">
        <v>10</v>
      </c>
      <c r="D1011" t="s">
        <v>8</v>
      </c>
      <c r="E1011" s="4" t="str">
        <f>HYPERLINK("https://ibp.a2mac1.com/costing(costing:projects/details/9760/part/8411569)","Unit Control Support 2")</f>
        <v>Unit Control Support 2</v>
      </c>
      <c r="F1011" t="s">
        <v>1401</v>
      </c>
    </row>
    <row r="1012" spans="1:6" x14ac:dyDescent="0.15">
      <c r="A1012">
        <v>8411570</v>
      </c>
      <c r="B1012">
        <v>8411492</v>
      </c>
      <c r="C1012" t="s">
        <v>10</v>
      </c>
      <c r="D1012" t="s">
        <v>8</v>
      </c>
      <c r="E1012" s="4" t="str">
        <f>HYPERLINK("https://ibp.a2mac1.com/costing(costing:projects/details/9760/part/8411570)","Unit Control Support 3")</f>
        <v>Unit Control Support 3</v>
      </c>
      <c r="F1012" t="s">
        <v>1401</v>
      </c>
    </row>
    <row r="1013" spans="1:6" x14ac:dyDescent="0.15">
      <c r="A1013">
        <v>8752120</v>
      </c>
      <c r="B1013">
        <v>8411492</v>
      </c>
      <c r="C1013" t="s">
        <v>311</v>
      </c>
      <c r="D1013" t="s">
        <v>8</v>
      </c>
      <c r="E1013" s="4" t="str">
        <f>HYPERLINK("https://ibp.a2mac1.com/costing(costing:projects/details/9760/component/8752120)","Screw &gt; Torx socket head cap screw")</f>
        <v>Screw &gt; Torx socket head cap screw</v>
      </c>
      <c r="F1013" t="s">
        <v>1401</v>
      </c>
    </row>
    <row r="1014" spans="1:6" x14ac:dyDescent="0.15">
      <c r="A1014">
        <v>8752121</v>
      </c>
      <c r="B1014">
        <v>8411492</v>
      </c>
      <c r="C1014" t="s">
        <v>311</v>
      </c>
      <c r="D1014" t="s">
        <v>8</v>
      </c>
      <c r="E1014" s="4" t="str">
        <f>HYPERLINK("https://ibp.a2mac1.com/costing(costing:projects/details/9760/component/8752121)","Screw &gt; Hexagon screw with flange")</f>
        <v>Screw &gt; Hexagon screw with flange</v>
      </c>
      <c r="F1014" t="s">
        <v>1401</v>
      </c>
    </row>
    <row r="1015" spans="1:6" x14ac:dyDescent="0.15">
      <c r="A1015">
        <v>8752122</v>
      </c>
      <c r="B1015">
        <v>8411492</v>
      </c>
      <c r="C1015" t="s">
        <v>311</v>
      </c>
      <c r="D1015" t="s">
        <v>8</v>
      </c>
      <c r="E1015" s="4" t="str">
        <f>HYPERLINK("https://ibp.a2mac1.com/costing(costing:projects/details/9760/component/8752122)","Screw &gt; Hexagon screw with flange")</f>
        <v>Screw &gt; Hexagon screw with flange</v>
      </c>
      <c r="F1015" t="s">
        <v>1401</v>
      </c>
    </row>
    <row r="1016" spans="1:6" x14ac:dyDescent="0.15">
      <c r="A1016">
        <v>8752123</v>
      </c>
      <c r="B1016">
        <v>8411492</v>
      </c>
      <c r="C1016" t="s">
        <v>311</v>
      </c>
      <c r="D1016" t="s">
        <v>8</v>
      </c>
      <c r="E1016" s="4" t="str">
        <f>HYPERLINK("https://ibp.a2mac1.com/costing(costing:projects/details/9760/component/8752123)","Screw &gt; Hexagon screw with flange")</f>
        <v>Screw &gt; Hexagon screw with flange</v>
      </c>
      <c r="F1016" t="s">
        <v>1401</v>
      </c>
    </row>
    <row r="1017" spans="1:6" x14ac:dyDescent="0.15">
      <c r="A1017">
        <v>8751981</v>
      </c>
      <c r="B1017">
        <v>8411451</v>
      </c>
      <c r="C1017" t="s">
        <v>311</v>
      </c>
      <c r="D1017" t="s">
        <v>8</v>
      </c>
      <c r="E1017" s="4" t="str">
        <f>HYPERLINK("https://ibp.a2mac1.com/costing(costing:projects/details/9760/component/8751981)","Hex Nut M5")</f>
        <v>Hex Nut M5</v>
      </c>
      <c r="F1017" t="s">
        <v>1384</v>
      </c>
    </row>
    <row r="1018" spans="1:6" x14ac:dyDescent="0.15">
      <c r="A1018">
        <v>8411452</v>
      </c>
      <c r="B1018">
        <v>8411445</v>
      </c>
      <c r="C1018" t="s">
        <v>8</v>
      </c>
      <c r="D1018" t="s">
        <v>8</v>
      </c>
      <c r="E1018" s="4" t="str">
        <f>HYPERLINK("https://ibp.a2mac1.com/costing(costing:projects/details/9760/assembly/8411452)","GPS System")</f>
        <v>GPS System</v>
      </c>
      <c r="F1018" t="s">
        <v>1323</v>
      </c>
    </row>
    <row r="1019" spans="1:6" x14ac:dyDescent="0.15">
      <c r="A1019">
        <v>8411493</v>
      </c>
      <c r="B1019">
        <v>8411452</v>
      </c>
      <c r="C1019" t="s">
        <v>10</v>
      </c>
      <c r="D1019" t="s">
        <v>8</v>
      </c>
      <c r="E1019" s="4" t="str">
        <f>HYPERLINK("https://ibp.a2mac1.com/costing(costing:projects/details/9760/part/8411493)","GPS Antenna")</f>
        <v>GPS Antenna</v>
      </c>
      <c r="F1019" t="s">
        <v>1412</v>
      </c>
    </row>
    <row r="1020" spans="1:6" x14ac:dyDescent="0.15">
      <c r="A1020">
        <v>8751982</v>
      </c>
      <c r="B1020">
        <v>8411452</v>
      </c>
      <c r="C1020" t="s">
        <v>311</v>
      </c>
      <c r="D1020" t="s">
        <v>8</v>
      </c>
      <c r="E1020" s="4" t="str">
        <f>HYPERLINK("https://ibp.a2mac1.com/costing(costing:projects/details/9760/component/8751982)","Round head Screw M5x10")</f>
        <v>Round head Screw M5x10</v>
      </c>
      <c r="F1020" t="s">
        <v>1412</v>
      </c>
    </row>
    <row r="1021" spans="1:6" x14ac:dyDescent="0.15">
      <c r="A1021">
        <v>8411453</v>
      </c>
      <c r="B1021">
        <v>8411445</v>
      </c>
      <c r="C1021" t="s">
        <v>8</v>
      </c>
      <c r="D1021" t="s">
        <v>8</v>
      </c>
      <c r="E1021" s="4" t="str">
        <f>HYPERLINK("https://ibp.a2mac1.com/costing(costing:projects/details/9760/assembly/8411453)","Phone System")</f>
        <v>Phone System</v>
      </c>
      <c r="F1021" t="s">
        <v>1323</v>
      </c>
    </row>
    <row r="1022" spans="1:6" x14ac:dyDescent="0.15">
      <c r="A1022">
        <v>8411496</v>
      </c>
      <c r="B1022">
        <v>8411453</v>
      </c>
      <c r="C1022" t="s">
        <v>8</v>
      </c>
      <c r="D1022" t="s">
        <v>8</v>
      </c>
      <c r="E1022" s="4" t="str">
        <f>HYPERLINK("https://ibp.a2mac1.com/costing(costing:projects/details/9760/assembly/8411496)","Telematics ECU")</f>
        <v>Telematics ECU</v>
      </c>
      <c r="F1022" t="s">
        <v>1416</v>
      </c>
    </row>
    <row r="1023" spans="1:6" x14ac:dyDescent="0.15">
      <c r="A1023">
        <v>12083206</v>
      </c>
      <c r="B1023">
        <v>8411496</v>
      </c>
      <c r="C1023" t="s">
        <v>114</v>
      </c>
      <c r="D1023" t="s">
        <v>8</v>
      </c>
      <c r="E1023" s="4" t="str">
        <f>HYPERLINK("https://ibp.a2mac1.com/costing(costing:projects/details/9760/process/12083206)","Process")</f>
        <v>Process</v>
      </c>
      <c r="F1023" t="s">
        <v>1417</v>
      </c>
    </row>
    <row r="1024" spans="1:6" x14ac:dyDescent="0.15">
      <c r="A1024">
        <v>12210180</v>
      </c>
      <c r="B1024">
        <v>12083206</v>
      </c>
      <c r="C1024" t="s">
        <v>163</v>
      </c>
      <c r="D1024" t="s">
        <v>114</v>
      </c>
      <c r="E1024" s="4" t="str">
        <f>HYPERLINK("https://ibp.a2mac1.com/costing(costing:projects/details/9760/equipment/12210180)","Dummy Machine (PCBA+Final Assembly Line)")</f>
        <v>Dummy Machine (PCBA+Final Assembly Line)</v>
      </c>
      <c r="F1024" t="s">
        <v>1418</v>
      </c>
    </row>
    <row r="1025" spans="1:6" x14ac:dyDescent="0.15">
      <c r="A1025">
        <v>8752124</v>
      </c>
      <c r="B1025">
        <v>8411496</v>
      </c>
      <c r="C1025" t="s">
        <v>311</v>
      </c>
      <c r="D1025" t="s">
        <v>8</v>
      </c>
      <c r="E1025" s="4" t="str">
        <f>HYPERLINK("https://ibp.a2mac1.com/costing(costing:projects/details/9760/component/8752124)","Electronics")</f>
        <v>Electronics</v>
      </c>
      <c r="F1025" t="s">
        <v>1417</v>
      </c>
    </row>
    <row r="1026" spans="1:6" x14ac:dyDescent="0.15">
      <c r="A1026">
        <v>8752125</v>
      </c>
      <c r="B1026">
        <v>8411496</v>
      </c>
      <c r="C1026" t="s">
        <v>311</v>
      </c>
      <c r="D1026" t="s">
        <v>8</v>
      </c>
      <c r="E1026" s="4" t="str">
        <f>HYPERLINK("https://ibp.a2mac1.com/costing(costing:projects/details/9760/component/8752125)","Mechanics")</f>
        <v>Mechanics</v>
      </c>
      <c r="F1026" t="s">
        <v>1417</v>
      </c>
    </row>
    <row r="1027" spans="1:6" x14ac:dyDescent="0.15">
      <c r="A1027">
        <v>8411499</v>
      </c>
      <c r="B1027">
        <v>8411453</v>
      </c>
      <c r="C1027" t="s">
        <v>8</v>
      </c>
      <c r="D1027" t="s">
        <v>8</v>
      </c>
      <c r="E1027" s="4" t="str">
        <f>HYPERLINK("https://ibp.a2mac1.com/costing(costing:projects/details/9760/assembly/8411499)","Induction Charger   Qi System")</f>
        <v>Induction Charger   Qi System</v>
      </c>
      <c r="F1027" t="s">
        <v>1416</v>
      </c>
    </row>
    <row r="1028" spans="1:6" x14ac:dyDescent="0.15">
      <c r="A1028">
        <v>12083207</v>
      </c>
      <c r="B1028">
        <v>8411499</v>
      </c>
      <c r="C1028" t="s">
        <v>114</v>
      </c>
      <c r="D1028" t="s">
        <v>8</v>
      </c>
      <c r="E1028" s="4" t="str">
        <f>HYPERLINK("https://ibp.a2mac1.com/costing(costing:projects/details/9760/process/12083207)","Process")</f>
        <v>Process</v>
      </c>
      <c r="F1028" t="s">
        <v>1422</v>
      </c>
    </row>
    <row r="1029" spans="1:6" x14ac:dyDescent="0.15">
      <c r="A1029">
        <v>12210181</v>
      </c>
      <c r="B1029">
        <v>12083207</v>
      </c>
      <c r="C1029" t="s">
        <v>163</v>
      </c>
      <c r="D1029" t="s">
        <v>114</v>
      </c>
      <c r="E1029" s="4" t="str">
        <f>HYPERLINK("https://ibp.a2mac1.com/costing(costing:projects/details/9760/equipment/12210181)","Dummy Machine (PCBA+Final Assembly Line)")</f>
        <v>Dummy Machine (PCBA+Final Assembly Line)</v>
      </c>
      <c r="F1029" t="s">
        <v>1423</v>
      </c>
    </row>
    <row r="1030" spans="1:6" x14ac:dyDescent="0.15">
      <c r="A1030">
        <v>8752126</v>
      </c>
      <c r="B1030">
        <v>8411499</v>
      </c>
      <c r="C1030" t="s">
        <v>311</v>
      </c>
      <c r="D1030" t="s">
        <v>8</v>
      </c>
      <c r="E1030" s="4" t="str">
        <f>HYPERLINK("https://ibp.a2mac1.com/costing(costing:projects/details/9760/component/8752126)","Electronics")</f>
        <v>Electronics</v>
      </c>
      <c r="F1030" t="s">
        <v>1422</v>
      </c>
    </row>
    <row r="1031" spans="1:6" x14ac:dyDescent="0.15">
      <c r="A1031">
        <v>8752127</v>
      </c>
      <c r="B1031">
        <v>8411499</v>
      </c>
      <c r="C1031" t="s">
        <v>311</v>
      </c>
      <c r="D1031" t="s">
        <v>8</v>
      </c>
      <c r="E1031" s="4" t="str">
        <f>HYPERLINK("https://ibp.a2mac1.com/costing(costing:projects/details/9760/component/8752127)","Mechanics")</f>
        <v>Mechanics</v>
      </c>
      <c r="F1031" t="s">
        <v>1422</v>
      </c>
    </row>
    <row r="1032" spans="1:6" x14ac:dyDescent="0.15">
      <c r="A1032">
        <v>8411501</v>
      </c>
      <c r="B1032">
        <v>8411453</v>
      </c>
      <c r="C1032" t="s">
        <v>8</v>
      </c>
      <c r="D1032" t="s">
        <v>8</v>
      </c>
      <c r="E1032" s="4" t="str">
        <f>HYPERLINK("https://ibp.a2mac1.com/costing(costing:projects/details/9760/assembly/8411501)","Induction Charger   Qi System 2")</f>
        <v>Induction Charger   Qi System 2</v>
      </c>
      <c r="F1032" t="s">
        <v>1416</v>
      </c>
    </row>
    <row r="1033" spans="1:6" x14ac:dyDescent="0.15">
      <c r="A1033">
        <v>12083208</v>
      </c>
      <c r="B1033">
        <v>8411501</v>
      </c>
      <c r="C1033" t="s">
        <v>114</v>
      </c>
      <c r="D1033" t="s">
        <v>8</v>
      </c>
      <c r="E1033" s="4" t="str">
        <f>HYPERLINK("https://ibp.a2mac1.com/costing(costing:projects/details/9760/process/12083208)","Process")</f>
        <v>Process</v>
      </c>
      <c r="F1033" t="s">
        <v>1426</v>
      </c>
    </row>
    <row r="1034" spans="1:6" x14ac:dyDescent="0.15">
      <c r="A1034">
        <v>12210182</v>
      </c>
      <c r="B1034">
        <v>12083208</v>
      </c>
      <c r="C1034" t="s">
        <v>163</v>
      </c>
      <c r="D1034" t="s">
        <v>114</v>
      </c>
      <c r="E1034" s="4" t="str">
        <f>HYPERLINK("https://ibp.a2mac1.com/costing(costing:projects/details/9760/equipment/12210182)","Dummy Machine (PCBA+Final Assembly Line)")</f>
        <v>Dummy Machine (PCBA+Final Assembly Line)</v>
      </c>
      <c r="F1034" t="s">
        <v>1427</v>
      </c>
    </row>
    <row r="1035" spans="1:6" x14ac:dyDescent="0.15">
      <c r="A1035">
        <v>8752128</v>
      </c>
      <c r="B1035">
        <v>8411501</v>
      </c>
      <c r="C1035" t="s">
        <v>311</v>
      </c>
      <c r="D1035" t="s">
        <v>8</v>
      </c>
      <c r="E1035" s="4" t="str">
        <f>HYPERLINK("https://ibp.a2mac1.com/costing(costing:projects/details/9760/component/8752128)","Electronics")</f>
        <v>Electronics</v>
      </c>
      <c r="F1035" t="s">
        <v>1426</v>
      </c>
    </row>
    <row r="1036" spans="1:6" x14ac:dyDescent="0.15">
      <c r="A1036">
        <v>8752129</v>
      </c>
      <c r="B1036">
        <v>8411501</v>
      </c>
      <c r="C1036" t="s">
        <v>311</v>
      </c>
      <c r="D1036" t="s">
        <v>8</v>
      </c>
      <c r="E1036" s="4" t="str">
        <f>HYPERLINK("https://ibp.a2mac1.com/costing(costing:projects/details/9760/component/8752129)","Mechanics")</f>
        <v>Mechanics</v>
      </c>
      <c r="F1036" t="s">
        <v>1426</v>
      </c>
    </row>
    <row r="1037" spans="1:6" x14ac:dyDescent="0.15">
      <c r="A1037">
        <v>8411494</v>
      </c>
      <c r="B1037">
        <v>8411453</v>
      </c>
      <c r="C1037" t="s">
        <v>10</v>
      </c>
      <c r="D1037" t="s">
        <v>8</v>
      </c>
      <c r="E1037" s="4" t="str">
        <f>HYPERLINK("https://ibp.a2mac1.com/costing(costing:projects/details/9760/part/8411494)","Phone Support Interface")</f>
        <v>Phone Support Interface</v>
      </c>
      <c r="F1037" t="s">
        <v>1416</v>
      </c>
    </row>
    <row r="1038" spans="1:6" x14ac:dyDescent="0.15">
      <c r="A1038">
        <v>8411495</v>
      </c>
      <c r="B1038">
        <v>8411453</v>
      </c>
      <c r="C1038" t="s">
        <v>10</v>
      </c>
      <c r="D1038" t="s">
        <v>8</v>
      </c>
      <c r="E1038" s="4" t="str">
        <f>HYPERLINK("https://ibp.a2mac1.com/costing(costing:projects/details/9760/part/8411495)","Phone Support Interface 2")</f>
        <v>Phone Support Interface 2</v>
      </c>
      <c r="F1038" t="s">
        <v>1416</v>
      </c>
    </row>
    <row r="1039" spans="1:6" x14ac:dyDescent="0.15">
      <c r="A1039">
        <v>8411497</v>
      </c>
      <c r="B1039">
        <v>8411453</v>
      </c>
      <c r="C1039" t="s">
        <v>10</v>
      </c>
      <c r="D1039" t="s">
        <v>8</v>
      </c>
      <c r="E1039" s="4" t="str">
        <f>HYPERLINK("https://ibp.a2mac1.com/costing(costing:projects/details/9760/part/8411497)","Microphone")</f>
        <v>Microphone</v>
      </c>
      <c r="F1039" t="s">
        <v>1416</v>
      </c>
    </row>
    <row r="1040" spans="1:6" x14ac:dyDescent="0.15">
      <c r="A1040">
        <v>8411498</v>
      </c>
      <c r="B1040">
        <v>8411453</v>
      </c>
      <c r="C1040" t="s">
        <v>10</v>
      </c>
      <c r="D1040" t="s">
        <v>8</v>
      </c>
      <c r="E1040" s="4" t="str">
        <f>HYPERLINK("https://ibp.a2mac1.com/costing(costing:projects/details/9760/part/8411498)","Microphone 2")</f>
        <v>Microphone 2</v>
      </c>
      <c r="F1040" t="s">
        <v>1416</v>
      </c>
    </row>
    <row r="1041" spans="1:6" x14ac:dyDescent="0.15">
      <c r="A1041">
        <v>8411500</v>
      </c>
      <c r="B1041">
        <v>8411453</v>
      </c>
      <c r="C1041" t="s">
        <v>10</v>
      </c>
      <c r="D1041" t="s">
        <v>8</v>
      </c>
      <c r="E1041" s="4" t="str">
        <f>HYPERLINK("https://ibp.a2mac1.com/costing(costing:projects/details/9760/part/8411500)","Induction Charger Cover")</f>
        <v>Induction Charger Cover</v>
      </c>
      <c r="F1041" t="s">
        <v>1416</v>
      </c>
    </row>
    <row r="1042" spans="1:6" x14ac:dyDescent="0.15">
      <c r="A1042">
        <v>8751983</v>
      </c>
      <c r="B1042">
        <v>8411453</v>
      </c>
      <c r="C1042" t="s">
        <v>311</v>
      </c>
      <c r="D1042" t="s">
        <v>8</v>
      </c>
      <c r="E1042" s="4" t="str">
        <f>HYPERLINK("https://ibp.a2mac1.com/costing(costing:projects/details/9760/component/8751983)","Round head Screw M4x13")</f>
        <v>Round head Screw M4x13</v>
      </c>
      <c r="F1042" t="s">
        <v>1416</v>
      </c>
    </row>
    <row r="1043" spans="1:6" x14ac:dyDescent="0.15">
      <c r="A1043">
        <v>8751984</v>
      </c>
      <c r="B1043">
        <v>8411453</v>
      </c>
      <c r="C1043" t="s">
        <v>311</v>
      </c>
      <c r="D1043" t="s">
        <v>8</v>
      </c>
      <c r="E1043" s="4" t="str">
        <f>HYPERLINK("https://ibp.a2mac1.com/costing(costing:projects/details/9760/component/8751984)","Round head Screw M4x13")</f>
        <v>Round head Screw M4x13</v>
      </c>
      <c r="F1043" t="s">
        <v>1416</v>
      </c>
    </row>
    <row r="1044" spans="1:6" x14ac:dyDescent="0.15">
      <c r="A1044">
        <v>8751985</v>
      </c>
      <c r="B1044">
        <v>8411453</v>
      </c>
      <c r="C1044" t="s">
        <v>311</v>
      </c>
      <c r="D1044" t="s">
        <v>8</v>
      </c>
      <c r="E1044" s="4" t="str">
        <f>HYPERLINK("https://ibp.a2mac1.com/costing(costing:projects/details/9760/component/8751985)","Hex Nut M5")</f>
        <v>Hex Nut M5</v>
      </c>
      <c r="F1044" t="s">
        <v>1416</v>
      </c>
    </row>
    <row r="1045" spans="1:6" x14ac:dyDescent="0.15">
      <c r="A1045">
        <v>8751986</v>
      </c>
      <c r="B1045">
        <v>8411453</v>
      </c>
      <c r="C1045" t="s">
        <v>311</v>
      </c>
      <c r="D1045" t="s">
        <v>8</v>
      </c>
      <c r="E1045" s="4" t="str">
        <f>HYPERLINK("https://ibp.a2mac1.com/costing(costing:projects/details/9760/component/8751986)","Round head Screw M4x12")</f>
        <v>Round head Screw M4x12</v>
      </c>
      <c r="F1045" t="s">
        <v>1416</v>
      </c>
    </row>
    <row r="1046" spans="1:6" x14ac:dyDescent="0.15">
      <c r="A1046">
        <v>8751987</v>
      </c>
      <c r="B1046">
        <v>8411453</v>
      </c>
      <c r="C1046" t="s">
        <v>311</v>
      </c>
      <c r="D1046" t="s">
        <v>8</v>
      </c>
      <c r="E1046" s="4" t="str">
        <f>HYPERLINK("https://ibp.a2mac1.com/costing(costing:projects/details/9760/component/8751987)","Round head Screw M4x12")</f>
        <v>Round head Screw M4x12</v>
      </c>
      <c r="F1046" t="s">
        <v>1416</v>
      </c>
    </row>
    <row r="1047" spans="1:6" x14ac:dyDescent="0.15">
      <c r="A1047">
        <v>8751988</v>
      </c>
      <c r="B1047">
        <v>8411453</v>
      </c>
      <c r="C1047" t="s">
        <v>311</v>
      </c>
      <c r="D1047" t="s">
        <v>8</v>
      </c>
      <c r="E1047" s="4" t="str">
        <f>HYPERLINK("https://ibp.a2mac1.com/costing(costing:projects/details/9760/component/8751988)","Round head Screw M4x12")</f>
        <v>Round head Screw M4x12</v>
      </c>
      <c r="F1047" t="s">
        <v>1416</v>
      </c>
    </row>
    <row r="1048" spans="1:6" x14ac:dyDescent="0.15">
      <c r="A1048">
        <v>8411454</v>
      </c>
      <c r="B1048">
        <v>8411445</v>
      </c>
      <c r="C1048" t="s">
        <v>8</v>
      </c>
      <c r="D1048" t="s">
        <v>8</v>
      </c>
      <c r="E1048" s="4" t="str">
        <f>HYPERLINK("https://ibp.a2mac1.com/costing(costing:projects/details/9760/assembly/8411454)","Video System")</f>
        <v>Video System</v>
      </c>
      <c r="F1048" t="s">
        <v>1323</v>
      </c>
    </row>
    <row r="1049" spans="1:6" x14ac:dyDescent="0.15">
      <c r="A1049">
        <v>8411502</v>
      </c>
      <c r="B1049">
        <v>8411454</v>
      </c>
      <c r="C1049" t="s">
        <v>8</v>
      </c>
      <c r="D1049" t="s">
        <v>8</v>
      </c>
      <c r="E1049" s="4" t="str">
        <f>HYPERLINK("https://ibp.a2mac1.com/costing(costing:projects/details/9760/assembly/8411502)","Screen Support")</f>
        <v>Screen Support</v>
      </c>
      <c r="F1049" t="s">
        <v>1438</v>
      </c>
    </row>
    <row r="1050" spans="1:6" x14ac:dyDescent="0.15">
      <c r="A1050">
        <v>8411571</v>
      </c>
      <c r="B1050">
        <v>8411502</v>
      </c>
      <c r="C1050" t="s">
        <v>10</v>
      </c>
      <c r="D1050" t="s">
        <v>8</v>
      </c>
      <c r="E1050" s="4" t="str">
        <f>HYPERLINK("https://ibp.a2mac1.com/costing(costing:projects/details/9760/part/8411571)","Screen Support")</f>
        <v>Screen Support</v>
      </c>
      <c r="F1050" t="s">
        <v>1439</v>
      </c>
    </row>
    <row r="1051" spans="1:6" x14ac:dyDescent="0.15">
      <c r="A1051">
        <v>8411572</v>
      </c>
      <c r="B1051">
        <v>8411502</v>
      </c>
      <c r="C1051" t="s">
        <v>10</v>
      </c>
      <c r="D1051" t="s">
        <v>8</v>
      </c>
      <c r="E1051" s="4" t="str">
        <f>HYPERLINK("https://ibp.a2mac1.com/costing(costing:projects/details/9760/part/8411572)","Screen Support 2")</f>
        <v>Screen Support 2</v>
      </c>
      <c r="F1051" t="s">
        <v>1439</v>
      </c>
    </row>
    <row r="1052" spans="1:6" x14ac:dyDescent="0.15">
      <c r="A1052">
        <v>8411573</v>
      </c>
      <c r="B1052">
        <v>8411502</v>
      </c>
      <c r="C1052" t="s">
        <v>10</v>
      </c>
      <c r="D1052" t="s">
        <v>8</v>
      </c>
      <c r="E1052" s="4" t="str">
        <f>HYPERLINK("https://ibp.a2mac1.com/costing(costing:projects/details/9760/part/8411573)","Support Cover 1")</f>
        <v>Support Cover 1</v>
      </c>
      <c r="F1052" t="s">
        <v>1439</v>
      </c>
    </row>
    <row r="1053" spans="1:6" x14ac:dyDescent="0.15">
      <c r="A1053">
        <v>8411574</v>
      </c>
      <c r="B1053">
        <v>8411502</v>
      </c>
      <c r="C1053" t="s">
        <v>10</v>
      </c>
      <c r="D1053" t="s">
        <v>8</v>
      </c>
      <c r="E1053" s="4" t="str">
        <f>HYPERLINK("https://ibp.a2mac1.com/costing(costing:projects/details/9760/part/8411574)","Support 2 Cover 1")</f>
        <v>Support 2 Cover 1</v>
      </c>
      <c r="F1053" t="s">
        <v>1439</v>
      </c>
    </row>
    <row r="1054" spans="1:6" x14ac:dyDescent="0.15">
      <c r="A1054">
        <v>8411575</v>
      </c>
      <c r="B1054">
        <v>8411502</v>
      </c>
      <c r="C1054" t="s">
        <v>10</v>
      </c>
      <c r="D1054" t="s">
        <v>8</v>
      </c>
      <c r="E1054" s="4" t="str">
        <f>HYPERLINK("https://ibp.a2mac1.com/costing(costing:projects/details/9760/part/8411575)","Charging Contact")</f>
        <v>Charging Contact</v>
      </c>
      <c r="F1054" t="s">
        <v>1439</v>
      </c>
    </row>
    <row r="1055" spans="1:6" x14ac:dyDescent="0.15">
      <c r="A1055">
        <v>8411576</v>
      </c>
      <c r="B1055">
        <v>8411502</v>
      </c>
      <c r="C1055" t="s">
        <v>10</v>
      </c>
      <c r="D1055" t="s">
        <v>8</v>
      </c>
      <c r="E1055" s="4" t="str">
        <f>HYPERLINK("https://ibp.a2mac1.com/costing(costing:projects/details/9760/part/8411576)","Charging Contact 2")</f>
        <v>Charging Contact 2</v>
      </c>
      <c r="F1055" t="s">
        <v>1439</v>
      </c>
    </row>
    <row r="1056" spans="1:6" x14ac:dyDescent="0.15">
      <c r="A1056">
        <v>8752130</v>
      </c>
      <c r="B1056">
        <v>8411502</v>
      </c>
      <c r="C1056" t="s">
        <v>311</v>
      </c>
      <c r="D1056" t="s">
        <v>8</v>
      </c>
      <c r="E1056" s="4" t="str">
        <f>HYPERLINK("https://ibp.a2mac1.com/costing(costing:projects/details/9760/component/8752130)","Round head Screw M5x12")</f>
        <v>Round head Screw M5x12</v>
      </c>
      <c r="F1056" t="s">
        <v>1439</v>
      </c>
    </row>
    <row r="1057" spans="1:6" x14ac:dyDescent="0.15">
      <c r="A1057">
        <v>8752131</v>
      </c>
      <c r="B1057">
        <v>8411502</v>
      </c>
      <c r="C1057" t="s">
        <v>311</v>
      </c>
      <c r="D1057" t="s">
        <v>8</v>
      </c>
      <c r="E1057" s="4" t="str">
        <f>HYPERLINK("https://ibp.a2mac1.com/costing(costing:projects/details/9760/component/8752131)","Round head Screw M5x12")</f>
        <v>Round head Screw M5x12</v>
      </c>
      <c r="F1057" t="s">
        <v>1439</v>
      </c>
    </row>
    <row r="1058" spans="1:6" x14ac:dyDescent="0.15">
      <c r="A1058">
        <v>8752132</v>
      </c>
      <c r="B1058">
        <v>8411502</v>
      </c>
      <c r="C1058" t="s">
        <v>311</v>
      </c>
      <c r="D1058" t="s">
        <v>8</v>
      </c>
      <c r="E1058" s="4" t="str">
        <f>HYPERLINK("https://ibp.a2mac1.com/costing(costing:projects/details/9760/component/8752132)","Round head Screw M4x10")</f>
        <v>Round head Screw M4x10</v>
      </c>
      <c r="F1058" t="s">
        <v>1439</v>
      </c>
    </row>
    <row r="1059" spans="1:6" x14ac:dyDescent="0.15">
      <c r="A1059">
        <v>8752133</v>
      </c>
      <c r="B1059">
        <v>8411502</v>
      </c>
      <c r="C1059" t="s">
        <v>311</v>
      </c>
      <c r="D1059" t="s">
        <v>8</v>
      </c>
      <c r="E1059" s="4" t="str">
        <f>HYPERLINK("https://ibp.a2mac1.com/costing(costing:projects/details/9760/component/8752133)","Round head Screw M4x10")</f>
        <v>Round head Screw M4x10</v>
      </c>
      <c r="F1059" t="s">
        <v>1439</v>
      </c>
    </row>
    <row r="1060" spans="1:6" x14ac:dyDescent="0.15">
      <c r="A1060">
        <v>8411455</v>
      </c>
      <c r="B1060">
        <v>8411445</v>
      </c>
      <c r="C1060" t="s">
        <v>8</v>
      </c>
      <c r="D1060" t="s">
        <v>8</v>
      </c>
      <c r="E1060" s="4" t="str">
        <f>HYPERLINK("https://ibp.a2mac1.com/costing(costing:projects/details/9760/assembly/8411455)","Internet System")</f>
        <v>Internet System</v>
      </c>
      <c r="F1060" t="s">
        <v>1323</v>
      </c>
    </row>
    <row r="1061" spans="1:6" x14ac:dyDescent="0.15">
      <c r="A1061">
        <v>8411503</v>
      </c>
      <c r="B1061">
        <v>8411455</v>
      </c>
      <c r="C1061" t="s">
        <v>10</v>
      </c>
      <c r="D1061" t="s">
        <v>8</v>
      </c>
      <c r="E1061" s="4" t="str">
        <f>HYPERLINK("https://ibp.a2mac1.com/costing(costing:projects/details/9760/part/8411503)","Wi-Fi Antenna")</f>
        <v>Wi-Fi Antenna</v>
      </c>
      <c r="F1061" t="s">
        <v>1450</v>
      </c>
    </row>
    <row r="1062" spans="1:6" x14ac:dyDescent="0.15">
      <c r="A1062">
        <v>8751989</v>
      </c>
      <c r="B1062">
        <v>8411455</v>
      </c>
      <c r="C1062" t="s">
        <v>311</v>
      </c>
      <c r="D1062" t="s">
        <v>8</v>
      </c>
      <c r="E1062" s="4" t="str">
        <f>HYPERLINK("https://ibp.a2mac1.com/costing(costing:projects/details/9760/component/8751989)","Round head Screw M4x16")</f>
        <v>Round head Screw M4x16</v>
      </c>
      <c r="F1062" t="s">
        <v>1450</v>
      </c>
    </row>
    <row r="1063" spans="1:6" x14ac:dyDescent="0.15">
      <c r="A1063">
        <v>8411456</v>
      </c>
      <c r="B1063">
        <v>8411445</v>
      </c>
      <c r="C1063" t="s">
        <v>8</v>
      </c>
      <c r="D1063" t="s">
        <v>8</v>
      </c>
      <c r="E1063" s="4" t="str">
        <f>HYPERLINK("https://ibp.a2mac1.com/costing(costing:projects/details/9760/assembly/8411456)","Warning Triangle")</f>
        <v>Warning Triangle</v>
      </c>
      <c r="F1063" t="s">
        <v>1323</v>
      </c>
    </row>
    <row r="1064" spans="1:6" x14ac:dyDescent="0.15">
      <c r="A1064">
        <v>8411504</v>
      </c>
      <c r="B1064">
        <v>8411456</v>
      </c>
      <c r="C1064" t="s">
        <v>10</v>
      </c>
      <c r="D1064" t="s">
        <v>8</v>
      </c>
      <c r="E1064" s="4" t="str">
        <f>HYPERLINK("https://ibp.a2mac1.com/costing(costing:projects/details/9760/part/8411504)","Warning Triangle")</f>
        <v>Warning Triangle</v>
      </c>
      <c r="F1064" t="s">
        <v>1454</v>
      </c>
    </row>
    <row r="1065" spans="1:6" x14ac:dyDescent="0.15">
      <c r="A1065">
        <v>8411457</v>
      </c>
      <c r="B1065">
        <v>8411445</v>
      </c>
      <c r="C1065" t="s">
        <v>8</v>
      </c>
      <c r="D1065" t="s">
        <v>8</v>
      </c>
      <c r="E1065" s="4" t="str">
        <f>HYPERLINK("https://ibp.a2mac1.com/costing(costing:projects/details/9760/assembly/8411457)","Emblems")</f>
        <v>Emblems</v>
      </c>
      <c r="F1065" t="s">
        <v>1323</v>
      </c>
    </row>
    <row r="1066" spans="1:6" x14ac:dyDescent="0.15">
      <c r="A1066">
        <v>8411505</v>
      </c>
      <c r="B1066">
        <v>8411457</v>
      </c>
      <c r="C1066" t="s">
        <v>10</v>
      </c>
      <c r="D1066" t="s">
        <v>8</v>
      </c>
      <c r="E1066" s="4" t="str">
        <f>HYPERLINK("https://ibp.a2mac1.com/costing(costing:projects/details/9760/part/8411505)","Brand Emblem")</f>
        <v>Brand Emblem</v>
      </c>
      <c r="F1066" t="s">
        <v>1458</v>
      </c>
    </row>
    <row r="1067" spans="1:6" x14ac:dyDescent="0.15">
      <c r="A1067">
        <v>12083209</v>
      </c>
      <c r="B1067">
        <v>8411505</v>
      </c>
      <c r="C1067" t="s">
        <v>114</v>
      </c>
      <c r="D1067" t="s">
        <v>10</v>
      </c>
      <c r="E1067" s="4" t="str">
        <f>HYPERLINK("https://ibp.a2mac1.com/costing(costing:projects/details/9760/process/12083209)","Automated Process")</f>
        <v>Automated Process</v>
      </c>
      <c r="F1067" t="s">
        <v>1459</v>
      </c>
    </row>
    <row r="1068" spans="1:6" x14ac:dyDescent="0.15">
      <c r="A1068">
        <v>8752251</v>
      </c>
      <c r="B1068">
        <v>12083209</v>
      </c>
      <c r="C1068" t="s">
        <v>22</v>
      </c>
      <c r="D1068" t="s">
        <v>114</v>
      </c>
      <c r="E1068" s="4" t="str">
        <f>HYPERLINK("https://ibp.a2mac1.com/costing(costing:projects/details/9760/material/8752251)","ABS")</f>
        <v>ABS</v>
      </c>
      <c r="F1068" t="s">
        <v>1462</v>
      </c>
    </row>
    <row r="1069" spans="1:6" x14ac:dyDescent="0.15">
      <c r="A1069">
        <v>12210183</v>
      </c>
      <c r="B1069">
        <v>12083209</v>
      </c>
      <c r="C1069" t="s">
        <v>163</v>
      </c>
      <c r="D1069" t="s">
        <v>114</v>
      </c>
      <c r="E1069" s="4" t="str">
        <f>HYPERLINK("https://ibp.a2mac1.com/costing(costing:projects/details/9760/equipment/12210183)","DC machine - General")</f>
        <v>DC machine - General</v>
      </c>
      <c r="F1069" t="s">
        <v>1462</v>
      </c>
    </row>
    <row r="1070" spans="1:6" x14ac:dyDescent="0.15">
      <c r="A1070">
        <v>8411506</v>
      </c>
      <c r="B1070">
        <v>8411457</v>
      </c>
      <c r="C1070" t="s">
        <v>10</v>
      </c>
      <c r="D1070" t="s">
        <v>8</v>
      </c>
      <c r="E1070" s="4" t="str">
        <f>HYPERLINK("https://ibp.a2mac1.com/costing(costing:projects/details/9760/part/8411506)","Model Emblem")</f>
        <v>Model Emblem</v>
      </c>
      <c r="F1070" t="s">
        <v>1458</v>
      </c>
    </row>
    <row r="1071" spans="1:6" x14ac:dyDescent="0.15">
      <c r="A1071">
        <v>12083210</v>
      </c>
      <c r="B1071">
        <v>8411506</v>
      </c>
      <c r="C1071" t="s">
        <v>114</v>
      </c>
      <c r="D1071" t="s">
        <v>10</v>
      </c>
      <c r="E1071" s="4" t="str">
        <f>HYPERLINK("https://ibp.a2mac1.com/costing(costing:projects/details/9760/process/12083210)","Automated Process")</f>
        <v>Automated Process</v>
      </c>
      <c r="F1071" t="s">
        <v>1467</v>
      </c>
    </row>
    <row r="1072" spans="1:6" x14ac:dyDescent="0.15">
      <c r="A1072">
        <v>8752252</v>
      </c>
      <c r="B1072">
        <v>12083210</v>
      </c>
      <c r="C1072" t="s">
        <v>22</v>
      </c>
      <c r="D1072" t="s">
        <v>114</v>
      </c>
      <c r="E1072" s="4" t="str">
        <f>HYPERLINK("https://ibp.a2mac1.com/costing(costing:projects/details/9760/material/8752252)","ABS")</f>
        <v>ABS</v>
      </c>
      <c r="F1072" t="s">
        <v>1470</v>
      </c>
    </row>
    <row r="1073" spans="1:6" x14ac:dyDescent="0.15">
      <c r="A1073">
        <v>12210184</v>
      </c>
      <c r="B1073">
        <v>12083210</v>
      </c>
      <c r="C1073" t="s">
        <v>163</v>
      </c>
      <c r="D1073" t="s">
        <v>114</v>
      </c>
      <c r="E1073" s="4" t="str">
        <f>HYPERLINK("https://ibp.a2mac1.com/costing(costing:projects/details/9760/equipment/12210184)","DC machine - General")</f>
        <v>DC machine - General</v>
      </c>
      <c r="F1073" t="s">
        <v>1470</v>
      </c>
    </row>
    <row r="1074" spans="1:6" x14ac:dyDescent="0.15">
      <c r="A1074">
        <v>8411458</v>
      </c>
      <c r="B1074">
        <v>8411445</v>
      </c>
      <c r="C1074" t="s">
        <v>8</v>
      </c>
      <c r="D1074" t="s">
        <v>8</v>
      </c>
      <c r="E1074" s="4" t="str">
        <f>HYPERLINK("https://ibp.a2mac1.com/costing(costing:projects/details/9760/assembly/8411458)","Keyless Opening System")</f>
        <v>Keyless Opening System</v>
      </c>
      <c r="F1074" t="s">
        <v>1323</v>
      </c>
    </row>
    <row r="1075" spans="1:6" x14ac:dyDescent="0.15">
      <c r="A1075">
        <v>8411507</v>
      </c>
      <c r="B1075">
        <v>8411458</v>
      </c>
      <c r="C1075" t="s">
        <v>8</v>
      </c>
      <c r="D1075" t="s">
        <v>8</v>
      </c>
      <c r="E1075" s="4" t="str">
        <f>HYPERLINK("https://ibp.a2mac1.com/costing(costing:projects/details/9760/assembly/8411507)","Antenna 1 Keyless Entry")</f>
        <v>Antenna 1 Keyless Entry</v>
      </c>
      <c r="F1075" t="s">
        <v>1474</v>
      </c>
    </row>
    <row r="1076" spans="1:6" x14ac:dyDescent="0.15">
      <c r="A1076">
        <v>12083211</v>
      </c>
      <c r="B1076">
        <v>8411507</v>
      </c>
      <c r="C1076" t="s">
        <v>114</v>
      </c>
      <c r="D1076" t="s">
        <v>8</v>
      </c>
      <c r="E1076" s="4" t="str">
        <f>HYPERLINK("https://ibp.a2mac1.com/costing(costing:projects/details/9760/process/12083211)","Process")</f>
        <v>Process</v>
      </c>
      <c r="F1076" t="s">
        <v>1475</v>
      </c>
    </row>
    <row r="1077" spans="1:6" x14ac:dyDescent="0.15">
      <c r="A1077">
        <v>12210185</v>
      </c>
      <c r="B1077">
        <v>12083211</v>
      </c>
      <c r="C1077" t="s">
        <v>163</v>
      </c>
      <c r="D1077" t="s">
        <v>114</v>
      </c>
      <c r="E1077" s="4" t="str">
        <f>HYPERLINK("https://ibp.a2mac1.com/costing(costing:projects/details/9760/equipment/12210185)","Dummy Machine (PCBA+Final Assembly Line)")</f>
        <v>Dummy Machine (PCBA+Final Assembly Line)</v>
      </c>
      <c r="F1077" t="s">
        <v>1476</v>
      </c>
    </row>
    <row r="1078" spans="1:6" x14ac:dyDescent="0.15">
      <c r="A1078">
        <v>8752134</v>
      </c>
      <c r="B1078">
        <v>8411507</v>
      </c>
      <c r="C1078" t="s">
        <v>311</v>
      </c>
      <c r="D1078" t="s">
        <v>8</v>
      </c>
      <c r="E1078" s="4" t="str">
        <f>HYPERLINK("https://ibp.a2mac1.com/costing(costing:projects/details/9760/component/8752134)","Electronics")</f>
        <v>Electronics</v>
      </c>
      <c r="F1078" t="s">
        <v>1475</v>
      </c>
    </row>
    <row r="1079" spans="1:6" x14ac:dyDescent="0.15">
      <c r="A1079">
        <v>8752135</v>
      </c>
      <c r="B1079">
        <v>8411507</v>
      </c>
      <c r="C1079" t="s">
        <v>311</v>
      </c>
      <c r="D1079" t="s">
        <v>8</v>
      </c>
      <c r="E1079" s="4" t="str">
        <f>HYPERLINK("https://ibp.a2mac1.com/costing(costing:projects/details/9760/component/8752135)","Mechanics")</f>
        <v>Mechanics</v>
      </c>
      <c r="F1079" t="s">
        <v>1475</v>
      </c>
    </row>
    <row r="1080" spans="1:6" x14ac:dyDescent="0.15">
      <c r="A1080">
        <v>8411528</v>
      </c>
      <c r="B1080">
        <v>8411458</v>
      </c>
      <c r="C1080" t="s">
        <v>8</v>
      </c>
      <c r="D1080" t="s">
        <v>8</v>
      </c>
      <c r="E1080" s="4" t="str">
        <f>HYPERLINK("https://ibp.a2mac1.com/costing(costing:projects/details/9760/assembly/8411528)","Antenna 2 Keyless Entry")</f>
        <v>Antenna 2 Keyless Entry</v>
      </c>
      <c r="F1080" t="s">
        <v>1474</v>
      </c>
    </row>
    <row r="1081" spans="1:6" x14ac:dyDescent="0.15">
      <c r="A1081">
        <v>12083212</v>
      </c>
      <c r="B1081">
        <v>8411528</v>
      </c>
      <c r="C1081" t="s">
        <v>114</v>
      </c>
      <c r="D1081" t="s">
        <v>8</v>
      </c>
      <c r="E1081" s="4" t="str">
        <f>HYPERLINK("https://ibp.a2mac1.com/costing(costing:projects/details/9760/process/12083212)","Process")</f>
        <v>Process</v>
      </c>
      <c r="F1081" t="s">
        <v>1478</v>
      </c>
    </row>
    <row r="1082" spans="1:6" x14ac:dyDescent="0.15">
      <c r="A1082">
        <v>12210186</v>
      </c>
      <c r="B1082">
        <v>12083212</v>
      </c>
      <c r="C1082" t="s">
        <v>163</v>
      </c>
      <c r="D1082" t="s">
        <v>114</v>
      </c>
      <c r="E1082" s="4" t="str">
        <f>HYPERLINK("https://ibp.a2mac1.com/costing(costing:projects/details/9760/equipment/12210186)","Dummy Machine (PCBA+Final Assembly Line)")</f>
        <v>Dummy Machine (PCBA+Final Assembly Line)</v>
      </c>
      <c r="F1082" t="s">
        <v>1479</v>
      </c>
    </row>
    <row r="1083" spans="1:6" x14ac:dyDescent="0.15">
      <c r="A1083">
        <v>8752136</v>
      </c>
      <c r="B1083">
        <v>8411528</v>
      </c>
      <c r="C1083" t="s">
        <v>311</v>
      </c>
      <c r="D1083" t="s">
        <v>8</v>
      </c>
      <c r="E1083" s="4" t="str">
        <f>HYPERLINK("https://ibp.a2mac1.com/costing(costing:projects/details/9760/component/8752136)","Electronics")</f>
        <v>Electronics</v>
      </c>
      <c r="F1083" t="s">
        <v>1478</v>
      </c>
    </row>
    <row r="1084" spans="1:6" x14ac:dyDescent="0.15">
      <c r="A1084">
        <v>8752137</v>
      </c>
      <c r="B1084">
        <v>8411528</v>
      </c>
      <c r="C1084" t="s">
        <v>311</v>
      </c>
      <c r="D1084" t="s">
        <v>8</v>
      </c>
      <c r="E1084" s="4" t="str">
        <f>HYPERLINK("https://ibp.a2mac1.com/costing(costing:projects/details/9760/component/8752137)","Mechanics")</f>
        <v>Mechanics</v>
      </c>
      <c r="F1084" t="s">
        <v>1478</v>
      </c>
    </row>
    <row r="1085" spans="1:6" x14ac:dyDescent="0.15">
      <c r="A1085">
        <v>8411529</v>
      </c>
      <c r="B1085">
        <v>8411458</v>
      </c>
      <c r="C1085" t="s">
        <v>10</v>
      </c>
      <c r="D1085" t="s">
        <v>8</v>
      </c>
      <c r="E1085" s="4" t="str">
        <f>HYPERLINK("https://ibp.a2mac1.com/costing(costing:projects/details/9760/part/8411529)","Antenna Support")</f>
        <v>Antenna Support</v>
      </c>
      <c r="F1085" t="s">
        <v>1474</v>
      </c>
    </row>
    <row r="1086" spans="1:6" x14ac:dyDescent="0.15">
      <c r="A1086">
        <v>8751990</v>
      </c>
      <c r="B1086">
        <v>8411458</v>
      </c>
      <c r="C1086" t="s">
        <v>311</v>
      </c>
      <c r="D1086" t="s">
        <v>8</v>
      </c>
      <c r="E1086" s="4" t="str">
        <f>HYPERLINK("https://ibp.a2mac1.com/costing(costing:projects/details/9760/component/8751990)","Round head Screw M4x12")</f>
        <v>Round head Screw M4x12</v>
      </c>
      <c r="F1086" t="s">
        <v>1474</v>
      </c>
    </row>
    <row r="1087" spans="1:6" x14ac:dyDescent="0.15">
      <c r="A1087">
        <v>8411459</v>
      </c>
      <c r="B1087">
        <v>8411445</v>
      </c>
      <c r="C1087" t="s">
        <v>8</v>
      </c>
      <c r="D1087" t="s">
        <v>8</v>
      </c>
      <c r="E1087" s="4" t="str">
        <f>HYPERLINK("https://ibp.a2mac1.com/costing(costing:projects/details/9760/assembly/8411459)","Pedestrian Sound System")</f>
        <v>Pedestrian Sound System</v>
      </c>
      <c r="F1087" t="s">
        <v>1323</v>
      </c>
    </row>
    <row r="1088" spans="1:6" x14ac:dyDescent="0.15">
      <c r="A1088">
        <v>8411530</v>
      </c>
      <c r="B1088">
        <v>8411459</v>
      </c>
      <c r="C1088" t="s">
        <v>10</v>
      </c>
      <c r="D1088" t="s">
        <v>8</v>
      </c>
      <c r="E1088" s="4" t="str">
        <f>HYPERLINK("https://ibp.a2mac1.com/costing(costing:projects/details/9760/part/8411530)","Pedestrian Sound Speaker Grill")</f>
        <v>Pedestrian Sound Speaker Grill</v>
      </c>
      <c r="F1088" t="s">
        <v>1483</v>
      </c>
    </row>
    <row r="1089" spans="1:6" x14ac:dyDescent="0.15">
      <c r="A1089">
        <v>8751991</v>
      </c>
      <c r="B1089">
        <v>8411459</v>
      </c>
      <c r="C1089" t="s">
        <v>311</v>
      </c>
      <c r="D1089" t="s">
        <v>8</v>
      </c>
      <c r="E1089" s="4" t="str">
        <f>HYPERLINK("https://ibp.a2mac1.com/costing(costing:projects/details/9760/component/8751991)","Round head Screw M6x28")</f>
        <v>Round head Screw M6x28</v>
      </c>
      <c r="F1089" t="s">
        <v>1483</v>
      </c>
    </row>
    <row r="1090" spans="1:6" x14ac:dyDescent="0.15">
      <c r="A1090">
        <v>8411460</v>
      </c>
      <c r="B1090">
        <v>8411445</v>
      </c>
      <c r="C1090" t="s">
        <v>8</v>
      </c>
      <c r="D1090" t="s">
        <v>8</v>
      </c>
      <c r="E1090" s="4" t="str">
        <f>HYPERLINK("https://ibp.a2mac1.com/costing(costing:projects/details/9760/assembly/8411460)","Park Assist System")</f>
        <v>Park Assist System</v>
      </c>
      <c r="F1090" t="s">
        <v>1323</v>
      </c>
    </row>
    <row r="1091" spans="1:6" x14ac:dyDescent="0.15">
      <c r="A1091">
        <v>8411531</v>
      </c>
      <c r="B1091">
        <v>8411460</v>
      </c>
      <c r="C1091" t="s">
        <v>8</v>
      </c>
      <c r="D1091" t="s">
        <v>8</v>
      </c>
      <c r="E1091" s="4" t="str">
        <f>HYPERLINK("https://ibp.a2mac1.com/costing(costing:projects/details/9760/assembly/8411531)","Front Park Assist")</f>
        <v>Front Park Assist</v>
      </c>
      <c r="F1091" t="s">
        <v>1488</v>
      </c>
    </row>
    <row r="1092" spans="1:6" x14ac:dyDescent="0.15">
      <c r="A1092">
        <v>8411582</v>
      </c>
      <c r="B1092">
        <v>8411531</v>
      </c>
      <c r="C1092" t="s">
        <v>8</v>
      </c>
      <c r="D1092" t="s">
        <v>8</v>
      </c>
      <c r="E1092" s="4" t="str">
        <f>HYPERLINK("https://ibp.a2mac1.com/costing(costing:projects/details/9760/assembly/8411582)","Front Camera System")</f>
        <v>Front Camera System</v>
      </c>
      <c r="F1092" t="s">
        <v>1489</v>
      </c>
    </row>
    <row r="1093" spans="1:6" x14ac:dyDescent="0.15">
      <c r="A1093">
        <v>8411633</v>
      </c>
      <c r="B1093">
        <v>8411582</v>
      </c>
      <c r="C1093" t="s">
        <v>8</v>
      </c>
      <c r="D1093" t="s">
        <v>8</v>
      </c>
      <c r="E1093" s="4" t="str">
        <f>HYPERLINK("https://ibp.a2mac1.com/costing(costing:projects/details/9760/assembly/8411633)","Front Camera")</f>
        <v>Front Camera</v>
      </c>
      <c r="F1093" t="s">
        <v>1490</v>
      </c>
    </row>
    <row r="1094" spans="1:6" x14ac:dyDescent="0.15">
      <c r="A1094">
        <v>12083256</v>
      </c>
      <c r="B1094">
        <v>8411633</v>
      </c>
      <c r="C1094" t="s">
        <v>114</v>
      </c>
      <c r="D1094" t="s">
        <v>8</v>
      </c>
      <c r="E1094" s="4" t="str">
        <f>HYPERLINK("https://ibp.a2mac1.com/costing(costing:projects/details/9760/process/12083256)","Process")</f>
        <v>Process</v>
      </c>
      <c r="F1094" t="s">
        <v>1491</v>
      </c>
    </row>
    <row r="1095" spans="1:6" x14ac:dyDescent="0.15">
      <c r="A1095">
        <v>12210259</v>
      </c>
      <c r="B1095">
        <v>12083256</v>
      </c>
      <c r="C1095" t="s">
        <v>163</v>
      </c>
      <c r="D1095" t="s">
        <v>114</v>
      </c>
      <c r="E1095" s="4" t="str">
        <f>HYPERLINK("https://ibp.a2mac1.com/costing(costing:projects/details/9760/equipment/12210259)","Dummy Machine (PCBA+Final Assembly Line)")</f>
        <v>Dummy Machine (PCBA+Final Assembly Line)</v>
      </c>
      <c r="F1095" t="s">
        <v>1492</v>
      </c>
    </row>
    <row r="1096" spans="1:6" x14ac:dyDescent="0.15">
      <c r="A1096">
        <v>8752256</v>
      </c>
      <c r="B1096">
        <v>8411633</v>
      </c>
      <c r="C1096" t="s">
        <v>311</v>
      </c>
      <c r="D1096" t="s">
        <v>8</v>
      </c>
      <c r="E1096" s="4" t="str">
        <f>HYPERLINK("https://ibp.a2mac1.com/costing(costing:projects/details/9760/component/8752256)","Mechanics")</f>
        <v>Mechanics</v>
      </c>
      <c r="F1096" t="s">
        <v>1491</v>
      </c>
    </row>
    <row r="1097" spans="1:6" x14ac:dyDescent="0.15">
      <c r="A1097">
        <v>8752257</v>
      </c>
      <c r="B1097">
        <v>8411633</v>
      </c>
      <c r="C1097" t="s">
        <v>311</v>
      </c>
      <c r="D1097" t="s">
        <v>8</v>
      </c>
      <c r="E1097" s="4" t="str">
        <f>HYPERLINK("https://ibp.a2mac1.com/costing(costing:projects/details/9760/component/8752257)","Electronics")</f>
        <v>Electronics</v>
      </c>
      <c r="F1097" t="s">
        <v>1491</v>
      </c>
    </row>
    <row r="1098" spans="1:6" x14ac:dyDescent="0.15">
      <c r="A1098">
        <v>8411634</v>
      </c>
      <c r="B1098">
        <v>8411582</v>
      </c>
      <c r="C1098" t="s">
        <v>10</v>
      </c>
      <c r="D1098" t="s">
        <v>8</v>
      </c>
      <c r="E1098" s="4" t="str">
        <f>HYPERLINK("https://ibp.a2mac1.com/costing(costing:projects/details/9760/part/8411634)","Front Camera Support")</f>
        <v>Front Camera Support</v>
      </c>
      <c r="F1098" t="s">
        <v>1490</v>
      </c>
    </row>
    <row r="1099" spans="1:6" x14ac:dyDescent="0.15">
      <c r="A1099">
        <v>8411635</v>
      </c>
      <c r="B1099">
        <v>8411582</v>
      </c>
      <c r="C1099" t="s">
        <v>10</v>
      </c>
      <c r="D1099" t="s">
        <v>8</v>
      </c>
      <c r="E1099" s="4" t="str">
        <f>HYPERLINK("https://ibp.a2mac1.com/costing(costing:projects/details/9760/part/8411635)","Front Camera Trim")</f>
        <v>Front Camera Trim</v>
      </c>
      <c r="F1099" t="s">
        <v>1490</v>
      </c>
    </row>
    <row r="1100" spans="1:6" x14ac:dyDescent="0.15">
      <c r="A1100">
        <v>8411577</v>
      </c>
      <c r="B1100">
        <v>8411531</v>
      </c>
      <c r="C1100" t="s">
        <v>10</v>
      </c>
      <c r="D1100" t="s">
        <v>8</v>
      </c>
      <c r="E1100" s="4" t="str">
        <f>HYPERLINK("https://ibp.a2mac1.com/costing(costing:projects/details/9760/part/8411577)","Front Park Assist Sensor")</f>
        <v>Front Park Assist Sensor</v>
      </c>
      <c r="F1100" t="s">
        <v>1489</v>
      </c>
    </row>
    <row r="1101" spans="1:6" x14ac:dyDescent="0.15">
      <c r="A1101">
        <v>8411578</v>
      </c>
      <c r="B1101">
        <v>8411531</v>
      </c>
      <c r="C1101" t="s">
        <v>10</v>
      </c>
      <c r="D1101" t="s">
        <v>8</v>
      </c>
      <c r="E1101" s="4" t="str">
        <f>HYPERLINK("https://ibp.a2mac1.com/costing(costing:projects/details/9760/part/8411578)","Front Park Assist Sensor Support")</f>
        <v>Front Park Assist Sensor Support</v>
      </c>
      <c r="F1101" t="s">
        <v>1489</v>
      </c>
    </row>
    <row r="1102" spans="1:6" x14ac:dyDescent="0.15">
      <c r="A1102">
        <v>8411579</v>
      </c>
      <c r="B1102">
        <v>8411531</v>
      </c>
      <c r="C1102" t="s">
        <v>10</v>
      </c>
      <c r="D1102" t="s">
        <v>8</v>
      </c>
      <c r="E1102" s="4" t="str">
        <f>HYPERLINK("https://ibp.a2mac1.com/costing(costing:projects/details/9760/part/8411579)","Front Park Assist Sensor 2")</f>
        <v>Front Park Assist Sensor 2</v>
      </c>
      <c r="F1102" t="s">
        <v>1489</v>
      </c>
    </row>
    <row r="1103" spans="1:6" x14ac:dyDescent="0.15">
      <c r="A1103">
        <v>8411580</v>
      </c>
      <c r="B1103">
        <v>8411531</v>
      </c>
      <c r="C1103" t="s">
        <v>10</v>
      </c>
      <c r="D1103" t="s">
        <v>8</v>
      </c>
      <c r="E1103" s="4" t="str">
        <f>HYPERLINK("https://ibp.a2mac1.com/costing(costing:projects/details/9760/part/8411580)","Front Park Assist Sensor 2 Support")</f>
        <v>Front Park Assist Sensor 2 Support</v>
      </c>
      <c r="F1103" t="s">
        <v>1489</v>
      </c>
    </row>
    <row r="1104" spans="1:6" x14ac:dyDescent="0.15">
      <c r="A1104">
        <v>8411581</v>
      </c>
      <c r="B1104">
        <v>8411531</v>
      </c>
      <c r="C1104" t="s">
        <v>10</v>
      </c>
      <c r="D1104" t="s">
        <v>8</v>
      </c>
      <c r="E1104" s="4" t="str">
        <f>HYPERLINK("https://ibp.a2mac1.com/costing(costing:projects/details/9760/part/8411581)","Front Park Assist Sensor 2 Support 2")</f>
        <v>Front Park Assist Sensor 2 Support 2</v>
      </c>
      <c r="F1104" t="s">
        <v>1489</v>
      </c>
    </row>
    <row r="1105" spans="1:6" x14ac:dyDescent="0.15">
      <c r="A1105">
        <v>8411532</v>
      </c>
      <c r="B1105">
        <v>8411460</v>
      </c>
      <c r="C1105" t="s">
        <v>8</v>
      </c>
      <c r="D1105" t="s">
        <v>8</v>
      </c>
      <c r="E1105" s="4" t="str">
        <f>HYPERLINK("https://ibp.a2mac1.com/costing(costing:projects/details/9760/assembly/8411532)","Rear Park Assist")</f>
        <v>Rear Park Assist</v>
      </c>
      <c r="F1105" t="s">
        <v>1488</v>
      </c>
    </row>
    <row r="1106" spans="1:6" x14ac:dyDescent="0.15">
      <c r="A1106">
        <v>8411590</v>
      </c>
      <c r="B1106">
        <v>8411532</v>
      </c>
      <c r="C1106" t="s">
        <v>8</v>
      </c>
      <c r="D1106" t="s">
        <v>8</v>
      </c>
      <c r="E1106" s="4" t="str">
        <f>HYPERLINK("https://ibp.a2mac1.com/costing(costing:projects/details/9760/assembly/8411590)","Camera System")</f>
        <v>Camera System</v>
      </c>
      <c r="F1106" t="s">
        <v>1504</v>
      </c>
    </row>
    <row r="1107" spans="1:6" x14ac:dyDescent="0.15">
      <c r="A1107">
        <v>8411636</v>
      </c>
      <c r="B1107">
        <v>8411590</v>
      </c>
      <c r="C1107" t="s">
        <v>8</v>
      </c>
      <c r="D1107" t="s">
        <v>8</v>
      </c>
      <c r="E1107" s="4" t="str">
        <f>HYPERLINK("https://ibp.a2mac1.com/costing(costing:projects/details/9760/assembly/8411636)","Rear Camera")</f>
        <v>Rear Camera</v>
      </c>
      <c r="F1107" t="s">
        <v>1505</v>
      </c>
    </row>
    <row r="1108" spans="1:6" x14ac:dyDescent="0.15">
      <c r="A1108">
        <v>12083257</v>
      </c>
      <c r="B1108">
        <v>8411636</v>
      </c>
      <c r="C1108" t="s">
        <v>114</v>
      </c>
      <c r="D1108" t="s">
        <v>8</v>
      </c>
      <c r="E1108" s="4" t="str">
        <f>HYPERLINK("https://ibp.a2mac1.com/costing(costing:projects/details/9760/process/12083257)","Process")</f>
        <v>Process</v>
      </c>
      <c r="F1108" t="s">
        <v>1506</v>
      </c>
    </row>
    <row r="1109" spans="1:6" x14ac:dyDescent="0.15">
      <c r="A1109">
        <v>12210260</v>
      </c>
      <c r="B1109">
        <v>12083257</v>
      </c>
      <c r="C1109" t="s">
        <v>163</v>
      </c>
      <c r="D1109" t="s">
        <v>114</v>
      </c>
      <c r="E1109" s="4" t="str">
        <f>HYPERLINK("https://ibp.a2mac1.com/costing(costing:projects/details/9760/equipment/12210260)","Dummy Machine (PCBA+Final Assembly Line)")</f>
        <v>Dummy Machine (PCBA+Final Assembly Line)</v>
      </c>
      <c r="F1109" t="s">
        <v>1507</v>
      </c>
    </row>
    <row r="1110" spans="1:6" x14ac:dyDescent="0.15">
      <c r="A1110">
        <v>8752258</v>
      </c>
      <c r="B1110">
        <v>8411636</v>
      </c>
      <c r="C1110" t="s">
        <v>311</v>
      </c>
      <c r="D1110" t="s">
        <v>8</v>
      </c>
      <c r="E1110" s="4" t="str">
        <f>HYPERLINK("https://ibp.a2mac1.com/costing(costing:projects/details/9760/component/8752258)","Mechanics")</f>
        <v>Mechanics</v>
      </c>
      <c r="F1110" t="s">
        <v>1506</v>
      </c>
    </row>
    <row r="1111" spans="1:6" x14ac:dyDescent="0.15">
      <c r="A1111">
        <v>8752259</v>
      </c>
      <c r="B1111">
        <v>8411636</v>
      </c>
      <c r="C1111" t="s">
        <v>311</v>
      </c>
      <c r="D1111" t="s">
        <v>8</v>
      </c>
      <c r="E1111" s="4" t="str">
        <f>HYPERLINK("https://ibp.a2mac1.com/costing(costing:projects/details/9760/component/8752259)","Electronics")</f>
        <v>Electronics</v>
      </c>
      <c r="F1111" t="s">
        <v>1506</v>
      </c>
    </row>
    <row r="1112" spans="1:6" x14ac:dyDescent="0.15">
      <c r="A1112">
        <v>8411637</v>
      </c>
      <c r="B1112">
        <v>8411590</v>
      </c>
      <c r="C1112" t="s">
        <v>10</v>
      </c>
      <c r="D1112" t="s">
        <v>8</v>
      </c>
      <c r="E1112" s="4" t="str">
        <f>HYPERLINK("https://ibp.a2mac1.com/costing(costing:projects/details/9760/part/8411637)","Rear Camera Support")</f>
        <v>Rear Camera Support</v>
      </c>
      <c r="F1112" t="s">
        <v>1505</v>
      </c>
    </row>
    <row r="1113" spans="1:6" x14ac:dyDescent="0.15">
      <c r="A1113">
        <v>8411638</v>
      </c>
      <c r="B1113">
        <v>8411590</v>
      </c>
      <c r="C1113" t="s">
        <v>10</v>
      </c>
      <c r="D1113" t="s">
        <v>8</v>
      </c>
      <c r="E1113" s="4" t="str">
        <f>HYPERLINK("https://ibp.a2mac1.com/costing(costing:projects/details/9760/part/8411638)","Rear Camera Support 2")</f>
        <v>Rear Camera Support 2</v>
      </c>
      <c r="F1113" t="s">
        <v>1505</v>
      </c>
    </row>
    <row r="1114" spans="1:6" x14ac:dyDescent="0.15">
      <c r="A1114">
        <v>8411583</v>
      </c>
      <c r="B1114">
        <v>8411532</v>
      </c>
      <c r="C1114" t="s">
        <v>10</v>
      </c>
      <c r="D1114" t="s">
        <v>8</v>
      </c>
      <c r="E1114" s="4" t="str">
        <f>HYPERLINK("https://ibp.a2mac1.com/costing(costing:projects/details/9760/part/8411583)","Rear Park Assist Sensor")</f>
        <v>Rear Park Assist Sensor</v>
      </c>
      <c r="F1114" t="s">
        <v>1504</v>
      </c>
    </row>
    <row r="1115" spans="1:6" x14ac:dyDescent="0.15">
      <c r="A1115">
        <v>8411584</v>
      </c>
      <c r="B1115">
        <v>8411532</v>
      </c>
      <c r="C1115" t="s">
        <v>10</v>
      </c>
      <c r="D1115" t="s">
        <v>8</v>
      </c>
      <c r="E1115" s="4" t="str">
        <f>HYPERLINK("https://ibp.a2mac1.com/costing(costing:projects/details/9760/part/8411584)","Rear Park Assist Sensor Support")</f>
        <v>Rear Park Assist Sensor Support</v>
      </c>
      <c r="F1115" t="s">
        <v>1504</v>
      </c>
    </row>
    <row r="1116" spans="1:6" x14ac:dyDescent="0.15">
      <c r="A1116">
        <v>8411585</v>
      </c>
      <c r="B1116">
        <v>8411532</v>
      </c>
      <c r="C1116" t="s">
        <v>10</v>
      </c>
      <c r="D1116" t="s">
        <v>8</v>
      </c>
      <c r="E1116" s="4" t="str">
        <f>HYPERLINK("https://ibp.a2mac1.com/costing(costing:projects/details/9760/part/8411585)","Rear Park Assist Sensor 2")</f>
        <v>Rear Park Assist Sensor 2</v>
      </c>
      <c r="F1116" t="s">
        <v>1504</v>
      </c>
    </row>
    <row r="1117" spans="1:6" x14ac:dyDescent="0.15">
      <c r="A1117">
        <v>8411586</v>
      </c>
      <c r="B1117">
        <v>8411532</v>
      </c>
      <c r="C1117" t="s">
        <v>10</v>
      </c>
      <c r="D1117" t="s">
        <v>8</v>
      </c>
      <c r="E1117" s="4" t="str">
        <f>HYPERLINK("https://ibp.a2mac1.com/costing(costing:projects/details/9760/part/8411586)","Rear Park Assist Sensor 2 Support")</f>
        <v>Rear Park Assist Sensor 2 Support</v>
      </c>
      <c r="F1117" t="s">
        <v>1504</v>
      </c>
    </row>
    <row r="1118" spans="1:6" x14ac:dyDescent="0.15">
      <c r="A1118">
        <v>8411587</v>
      </c>
      <c r="B1118">
        <v>8411532</v>
      </c>
      <c r="C1118" t="s">
        <v>10</v>
      </c>
      <c r="D1118" t="s">
        <v>8</v>
      </c>
      <c r="E1118" s="4" t="str">
        <f>HYPERLINK("https://ibp.a2mac1.com/costing(costing:projects/details/9760/part/8411587)","Rear Park Assist Sensor 3")</f>
        <v>Rear Park Assist Sensor 3</v>
      </c>
      <c r="F1118" t="s">
        <v>1504</v>
      </c>
    </row>
    <row r="1119" spans="1:6" x14ac:dyDescent="0.15">
      <c r="A1119">
        <v>8411588</v>
      </c>
      <c r="B1119">
        <v>8411532</v>
      </c>
      <c r="C1119" t="s">
        <v>10</v>
      </c>
      <c r="D1119" t="s">
        <v>8</v>
      </c>
      <c r="E1119" s="4" t="str">
        <f>HYPERLINK("https://ibp.a2mac1.com/costing(costing:projects/details/9760/part/8411588)","Rear Park Assist Sensor 3 Support")</f>
        <v>Rear Park Assist Sensor 3 Support</v>
      </c>
      <c r="F1119" t="s">
        <v>1504</v>
      </c>
    </row>
    <row r="1120" spans="1:6" x14ac:dyDescent="0.15">
      <c r="A1120">
        <v>8411589</v>
      </c>
      <c r="B1120">
        <v>8411532</v>
      </c>
      <c r="C1120" t="s">
        <v>10</v>
      </c>
      <c r="D1120" t="s">
        <v>8</v>
      </c>
      <c r="E1120" s="4" t="str">
        <f>HYPERLINK("https://ibp.a2mac1.com/costing(costing:projects/details/9760/part/8411589)","360 View Switch")</f>
        <v>360 View Switch</v>
      </c>
      <c r="F1120" t="s">
        <v>1504</v>
      </c>
    </row>
    <row r="1121" spans="1:6" x14ac:dyDescent="0.15">
      <c r="A1121">
        <v>8411461</v>
      </c>
      <c r="B1121">
        <v>8411445</v>
      </c>
      <c r="C1121" t="s">
        <v>8</v>
      </c>
      <c r="D1121" t="s">
        <v>8</v>
      </c>
      <c r="E1121" s="4" t="str">
        <f>HYPERLINK("https://ibp.a2mac1.com/costing(costing:projects/details/9760/assembly/8411461)","Distance Control System")</f>
        <v>Distance Control System</v>
      </c>
      <c r="F1121" t="s">
        <v>1323</v>
      </c>
    </row>
    <row r="1122" spans="1:6" x14ac:dyDescent="0.15">
      <c r="A1122">
        <v>8411533</v>
      </c>
      <c r="B1122">
        <v>8411461</v>
      </c>
      <c r="C1122" t="s">
        <v>8</v>
      </c>
      <c r="D1122" t="s">
        <v>8</v>
      </c>
      <c r="E1122" s="4" t="str">
        <f>HYPERLINK("https://ibp.a2mac1.com/costing(costing:projects/details/9760/assembly/8411533)","Distance Control Radar")</f>
        <v>Distance Control Radar</v>
      </c>
      <c r="F1122" t="s">
        <v>1521</v>
      </c>
    </row>
    <row r="1123" spans="1:6" x14ac:dyDescent="0.15">
      <c r="A1123">
        <v>12083213</v>
      </c>
      <c r="B1123">
        <v>8411533</v>
      </c>
      <c r="C1123" t="s">
        <v>114</v>
      </c>
      <c r="D1123" t="s">
        <v>8</v>
      </c>
      <c r="E1123" s="4" t="str">
        <f>HYPERLINK("https://ibp.a2mac1.com/costing(costing:projects/details/9760/process/12083213)","Process")</f>
        <v>Process</v>
      </c>
      <c r="F1123" t="s">
        <v>1522</v>
      </c>
    </row>
    <row r="1124" spans="1:6" x14ac:dyDescent="0.15">
      <c r="A1124">
        <v>12210187</v>
      </c>
      <c r="B1124">
        <v>12083213</v>
      </c>
      <c r="C1124" t="s">
        <v>163</v>
      </c>
      <c r="D1124" t="s">
        <v>114</v>
      </c>
      <c r="E1124" s="4" t="str">
        <f>HYPERLINK("https://ibp.a2mac1.com/costing(costing:projects/details/9760/equipment/12210187)","Dummy Machine (PCBA+Final Assembly Line)")</f>
        <v>Dummy Machine (PCBA+Final Assembly Line)</v>
      </c>
      <c r="F1124" t="s">
        <v>1523</v>
      </c>
    </row>
    <row r="1125" spans="1:6" x14ac:dyDescent="0.15">
      <c r="A1125">
        <v>8752138</v>
      </c>
      <c r="B1125">
        <v>8411533</v>
      </c>
      <c r="C1125" t="s">
        <v>311</v>
      </c>
      <c r="D1125" t="s">
        <v>8</v>
      </c>
      <c r="E1125" s="4" t="str">
        <f>HYPERLINK("https://ibp.a2mac1.com/costing(costing:projects/details/9760/component/8752138)","Mechanics")</f>
        <v>Mechanics</v>
      </c>
      <c r="F1125" t="s">
        <v>1522</v>
      </c>
    </row>
    <row r="1126" spans="1:6" x14ac:dyDescent="0.15">
      <c r="A1126">
        <v>8752139</v>
      </c>
      <c r="B1126">
        <v>8411533</v>
      </c>
      <c r="C1126" t="s">
        <v>311</v>
      </c>
      <c r="D1126" t="s">
        <v>8</v>
      </c>
      <c r="E1126" s="4" t="str">
        <f>HYPERLINK("https://ibp.a2mac1.com/costing(costing:projects/details/9760/component/8752139)","Electronics")</f>
        <v>Electronics</v>
      </c>
      <c r="F1126" t="s">
        <v>1522</v>
      </c>
    </row>
    <row r="1127" spans="1:6" x14ac:dyDescent="0.15">
      <c r="A1127">
        <v>8411535</v>
      </c>
      <c r="B1127">
        <v>8411461</v>
      </c>
      <c r="C1127" t="s">
        <v>8</v>
      </c>
      <c r="D1127" t="s">
        <v>8</v>
      </c>
      <c r="E1127" s="4" t="str">
        <f>HYPERLINK("https://ibp.a2mac1.com/costing(costing:projects/details/9760/assembly/8411535)","Front Corner Detection Camera")</f>
        <v>Front Corner Detection Camera</v>
      </c>
      <c r="F1127" t="s">
        <v>1521</v>
      </c>
    </row>
    <row r="1128" spans="1:6" x14ac:dyDescent="0.15">
      <c r="A1128">
        <v>12083214</v>
      </c>
      <c r="B1128">
        <v>8411535</v>
      </c>
      <c r="C1128" t="s">
        <v>114</v>
      </c>
      <c r="D1128" t="s">
        <v>8</v>
      </c>
      <c r="E1128" s="4" t="str">
        <f>HYPERLINK("https://ibp.a2mac1.com/costing(costing:projects/details/9760/process/12083214)","Process")</f>
        <v>Process</v>
      </c>
      <c r="F1128" t="s">
        <v>1526</v>
      </c>
    </row>
    <row r="1129" spans="1:6" x14ac:dyDescent="0.15">
      <c r="A1129">
        <v>12210188</v>
      </c>
      <c r="B1129">
        <v>12083214</v>
      </c>
      <c r="C1129" t="s">
        <v>163</v>
      </c>
      <c r="D1129" t="s">
        <v>114</v>
      </c>
      <c r="E1129" s="4" t="str">
        <f>HYPERLINK("https://ibp.a2mac1.com/costing(costing:projects/details/9760/equipment/12210188)","Dummy Machine (PCBA+Final Assembly Line)")</f>
        <v>Dummy Machine (PCBA+Final Assembly Line)</v>
      </c>
      <c r="F1129" t="s">
        <v>1527</v>
      </c>
    </row>
    <row r="1130" spans="1:6" x14ac:dyDescent="0.15">
      <c r="A1130">
        <v>8752140</v>
      </c>
      <c r="B1130">
        <v>8411535</v>
      </c>
      <c r="C1130" t="s">
        <v>311</v>
      </c>
      <c r="D1130" t="s">
        <v>8</v>
      </c>
      <c r="E1130" s="4" t="str">
        <f>HYPERLINK("https://ibp.a2mac1.com/costing(costing:projects/details/9760/component/8752140)","Electronics")</f>
        <v>Electronics</v>
      </c>
      <c r="F1130" t="s">
        <v>1526</v>
      </c>
    </row>
    <row r="1131" spans="1:6" x14ac:dyDescent="0.15">
      <c r="A1131">
        <v>8752141</v>
      </c>
      <c r="B1131">
        <v>8411535</v>
      </c>
      <c r="C1131" t="s">
        <v>311</v>
      </c>
      <c r="D1131" t="s">
        <v>8</v>
      </c>
      <c r="E1131" s="4" t="str">
        <f>HYPERLINK("https://ibp.a2mac1.com/costing(costing:projects/details/9760/component/8752141)","Mechanics")</f>
        <v>Mechanics</v>
      </c>
      <c r="F1131" t="s">
        <v>1526</v>
      </c>
    </row>
    <row r="1132" spans="1:6" x14ac:dyDescent="0.15">
      <c r="A1132">
        <v>8411537</v>
      </c>
      <c r="B1132">
        <v>8411461</v>
      </c>
      <c r="C1132" t="s">
        <v>8</v>
      </c>
      <c r="D1132" t="s">
        <v>8</v>
      </c>
      <c r="E1132" s="4" t="str">
        <f>HYPERLINK("https://ibp.a2mac1.com/costing(costing:projects/details/9760/assembly/8411537)","Front Corner Detection Camera 2")</f>
        <v>Front Corner Detection Camera 2</v>
      </c>
      <c r="F1132" t="s">
        <v>1521</v>
      </c>
    </row>
    <row r="1133" spans="1:6" x14ac:dyDescent="0.15">
      <c r="A1133">
        <v>12083215</v>
      </c>
      <c r="B1133">
        <v>8411537</v>
      </c>
      <c r="C1133" t="s">
        <v>114</v>
      </c>
      <c r="D1133" t="s">
        <v>8</v>
      </c>
      <c r="E1133" s="4" t="str">
        <f>HYPERLINK("https://ibp.a2mac1.com/costing(costing:projects/details/9760/process/12083215)","Process")</f>
        <v>Process</v>
      </c>
      <c r="F1133" t="s">
        <v>1529</v>
      </c>
    </row>
    <row r="1134" spans="1:6" x14ac:dyDescent="0.15">
      <c r="A1134">
        <v>12210189</v>
      </c>
      <c r="B1134">
        <v>12083215</v>
      </c>
      <c r="C1134" t="s">
        <v>163</v>
      </c>
      <c r="D1134" t="s">
        <v>114</v>
      </c>
      <c r="E1134" s="4" t="str">
        <f>HYPERLINK("https://ibp.a2mac1.com/costing(costing:projects/details/9760/equipment/12210189)","Dummy Machine (PCBA+Final Assembly Line)")</f>
        <v>Dummy Machine (PCBA+Final Assembly Line)</v>
      </c>
      <c r="F1134" t="s">
        <v>1530</v>
      </c>
    </row>
    <row r="1135" spans="1:6" x14ac:dyDescent="0.15">
      <c r="A1135">
        <v>8752142</v>
      </c>
      <c r="B1135">
        <v>8411537</v>
      </c>
      <c r="C1135" t="s">
        <v>311</v>
      </c>
      <c r="D1135" t="s">
        <v>8</v>
      </c>
      <c r="E1135" s="4" t="str">
        <f>HYPERLINK("https://ibp.a2mac1.com/costing(costing:projects/details/9760/component/8752142)","Mechanics")</f>
        <v>Mechanics</v>
      </c>
      <c r="F1135" t="s">
        <v>1529</v>
      </c>
    </row>
    <row r="1136" spans="1:6" x14ac:dyDescent="0.15">
      <c r="A1136">
        <v>8752143</v>
      </c>
      <c r="B1136">
        <v>8411537</v>
      </c>
      <c r="C1136" t="s">
        <v>311</v>
      </c>
      <c r="D1136" t="s">
        <v>8</v>
      </c>
      <c r="E1136" s="4" t="str">
        <f>HYPERLINK("https://ibp.a2mac1.com/costing(costing:projects/details/9760/component/8752143)","Electronics")</f>
        <v>Electronics</v>
      </c>
      <c r="F1136" t="s">
        <v>1529</v>
      </c>
    </row>
    <row r="1137" spans="1:6" x14ac:dyDescent="0.15">
      <c r="A1137">
        <v>8411534</v>
      </c>
      <c r="B1137">
        <v>8411461</v>
      </c>
      <c r="C1137" t="s">
        <v>10</v>
      </c>
      <c r="D1137" t="s">
        <v>8</v>
      </c>
      <c r="E1137" s="4" t="str">
        <f>HYPERLINK("https://ibp.a2mac1.com/costing(costing:projects/details/9760/part/8411534)","Distance Control Radar Support")</f>
        <v>Distance Control Radar Support</v>
      </c>
      <c r="F1137" t="s">
        <v>1521</v>
      </c>
    </row>
    <row r="1138" spans="1:6" x14ac:dyDescent="0.15">
      <c r="A1138">
        <v>8411536</v>
      </c>
      <c r="B1138">
        <v>8411461</v>
      </c>
      <c r="C1138" t="s">
        <v>10</v>
      </c>
      <c r="D1138" t="s">
        <v>8</v>
      </c>
      <c r="E1138" s="4" t="str">
        <f>HYPERLINK("https://ibp.a2mac1.com/costing(costing:projects/details/9760/part/8411536)","Front Corner Detection Camera Support")</f>
        <v>Front Corner Detection Camera Support</v>
      </c>
      <c r="F1138" t="s">
        <v>1521</v>
      </c>
    </row>
    <row r="1139" spans="1:6" x14ac:dyDescent="0.15">
      <c r="A1139">
        <v>8411538</v>
      </c>
      <c r="B1139">
        <v>8411461</v>
      </c>
      <c r="C1139" t="s">
        <v>10</v>
      </c>
      <c r="D1139" t="s">
        <v>8</v>
      </c>
      <c r="E1139" s="4" t="str">
        <f>HYPERLINK("https://ibp.a2mac1.com/costing(costing:projects/details/9760/part/8411538)","Front Corner Detection Camera 2 Support")</f>
        <v>Front Corner Detection Camera 2 Support</v>
      </c>
      <c r="F1139" t="s">
        <v>1521</v>
      </c>
    </row>
    <row r="1140" spans="1:6" x14ac:dyDescent="0.15">
      <c r="A1140">
        <v>8411462</v>
      </c>
      <c r="B1140">
        <v>8411445</v>
      </c>
      <c r="C1140" t="s">
        <v>8</v>
      </c>
      <c r="D1140" t="s">
        <v>8</v>
      </c>
      <c r="E1140" s="4" t="str">
        <f>HYPERLINK("https://ibp.a2mac1.com/costing(costing:projects/details/9760/assembly/8411462)","Lane Assist System")</f>
        <v>Lane Assist System</v>
      </c>
      <c r="F1140" t="s">
        <v>1323</v>
      </c>
    </row>
    <row r="1141" spans="1:6" x14ac:dyDescent="0.15">
      <c r="A1141">
        <v>8411539</v>
      </c>
      <c r="B1141">
        <v>8411462</v>
      </c>
      <c r="C1141" t="s">
        <v>8</v>
      </c>
      <c r="D1141" t="s">
        <v>8</v>
      </c>
      <c r="E1141" s="4" t="str">
        <f>HYPERLINK("https://ibp.a2mac1.com/costing(costing:projects/details/9760/assembly/8411539)","Lane Assist Camera")</f>
        <v>Lane Assist Camera</v>
      </c>
      <c r="F1141" t="s">
        <v>1536</v>
      </c>
    </row>
    <row r="1142" spans="1:6" x14ac:dyDescent="0.15">
      <c r="A1142">
        <v>12083216</v>
      </c>
      <c r="B1142">
        <v>8411539</v>
      </c>
      <c r="C1142" t="s">
        <v>114</v>
      </c>
      <c r="D1142" t="s">
        <v>8</v>
      </c>
      <c r="E1142" s="4" t="str">
        <f>HYPERLINK("https://ibp.a2mac1.com/costing(costing:projects/details/9760/process/12083216)","Process")</f>
        <v>Process</v>
      </c>
      <c r="F1142" t="s">
        <v>1537</v>
      </c>
    </row>
    <row r="1143" spans="1:6" x14ac:dyDescent="0.15">
      <c r="A1143">
        <v>12210190</v>
      </c>
      <c r="B1143">
        <v>12083216</v>
      </c>
      <c r="C1143" t="s">
        <v>163</v>
      </c>
      <c r="D1143" t="s">
        <v>114</v>
      </c>
      <c r="E1143" s="4" t="str">
        <f>HYPERLINK("https://ibp.a2mac1.com/costing(costing:projects/details/9760/equipment/12210190)","Dummy Machine (PCBA+Final Assembly Line)")</f>
        <v>Dummy Machine (PCBA+Final Assembly Line)</v>
      </c>
      <c r="F1143" t="s">
        <v>1538</v>
      </c>
    </row>
    <row r="1144" spans="1:6" x14ac:dyDescent="0.15">
      <c r="A1144">
        <v>8752144</v>
      </c>
      <c r="B1144">
        <v>8411539</v>
      </c>
      <c r="C1144" t="s">
        <v>311</v>
      </c>
      <c r="D1144" t="s">
        <v>8</v>
      </c>
      <c r="E1144" s="4" t="str">
        <f>HYPERLINK("https://ibp.a2mac1.com/costing(costing:projects/details/9760/component/8752144)","Electronics")</f>
        <v>Electronics</v>
      </c>
      <c r="F1144" t="s">
        <v>1537</v>
      </c>
    </row>
    <row r="1145" spans="1:6" x14ac:dyDescent="0.15">
      <c r="A1145">
        <v>8752145</v>
      </c>
      <c r="B1145">
        <v>8411539</v>
      </c>
      <c r="C1145" t="s">
        <v>311</v>
      </c>
      <c r="D1145" t="s">
        <v>8</v>
      </c>
      <c r="E1145" s="4" t="str">
        <f>HYPERLINK("https://ibp.a2mac1.com/costing(costing:projects/details/9760/component/8752145)","Mechanics")</f>
        <v>Mechanics</v>
      </c>
      <c r="F1145" t="s">
        <v>1537</v>
      </c>
    </row>
    <row r="1146" spans="1:6" x14ac:dyDescent="0.15">
      <c r="A1146">
        <v>8411463</v>
      </c>
      <c r="B1146">
        <v>8411445</v>
      </c>
      <c r="C1146" t="s">
        <v>8</v>
      </c>
      <c r="D1146" t="s">
        <v>8</v>
      </c>
      <c r="E1146" s="4" t="str">
        <f>HYPERLINK("https://ibp.a2mac1.com/costing(costing:projects/details/9760/assembly/8411463)","Blind Spot Detection System")</f>
        <v>Blind Spot Detection System</v>
      </c>
      <c r="F1146" t="s">
        <v>1323</v>
      </c>
    </row>
    <row r="1147" spans="1:6" x14ac:dyDescent="0.15">
      <c r="A1147">
        <v>8411540</v>
      </c>
      <c r="B1147">
        <v>8411463</v>
      </c>
      <c r="C1147" t="s">
        <v>8</v>
      </c>
      <c r="D1147" t="s">
        <v>8</v>
      </c>
      <c r="E1147" s="4" t="str">
        <f>HYPERLINK("https://ibp.a2mac1.com/costing(costing:projects/details/9760/assembly/8411540)","Blind Spot Detection Radar")</f>
        <v>Blind Spot Detection Radar</v>
      </c>
      <c r="F1147" t="s">
        <v>1541</v>
      </c>
    </row>
    <row r="1148" spans="1:6" x14ac:dyDescent="0.15">
      <c r="A1148">
        <v>12083217</v>
      </c>
      <c r="B1148">
        <v>8411540</v>
      </c>
      <c r="C1148" t="s">
        <v>114</v>
      </c>
      <c r="D1148" t="s">
        <v>8</v>
      </c>
      <c r="E1148" s="4" t="str">
        <f>HYPERLINK("https://ibp.a2mac1.com/costing(costing:projects/details/9760/process/12083217)","Process")</f>
        <v>Process</v>
      </c>
      <c r="F1148" t="s">
        <v>1542</v>
      </c>
    </row>
    <row r="1149" spans="1:6" x14ac:dyDescent="0.15">
      <c r="A1149">
        <v>12210191</v>
      </c>
      <c r="B1149">
        <v>12083217</v>
      </c>
      <c r="C1149" t="s">
        <v>163</v>
      </c>
      <c r="D1149" t="s">
        <v>114</v>
      </c>
      <c r="E1149" s="4" t="str">
        <f>HYPERLINK("https://ibp.a2mac1.com/costing(costing:projects/details/9760/equipment/12210191)","Dummy Machine (PCBA+Final Assembly Line)")</f>
        <v>Dummy Machine (PCBA+Final Assembly Line)</v>
      </c>
      <c r="F1149" t="s">
        <v>1543</v>
      </c>
    </row>
    <row r="1150" spans="1:6" x14ac:dyDescent="0.15">
      <c r="A1150">
        <v>8752146</v>
      </c>
      <c r="B1150">
        <v>8411540</v>
      </c>
      <c r="C1150" t="s">
        <v>311</v>
      </c>
      <c r="D1150" t="s">
        <v>8</v>
      </c>
      <c r="E1150" s="4" t="str">
        <f>HYPERLINK("https://ibp.a2mac1.com/costing(costing:projects/details/9760/component/8752146)","Mechanics")</f>
        <v>Mechanics</v>
      </c>
      <c r="F1150" t="s">
        <v>1542</v>
      </c>
    </row>
    <row r="1151" spans="1:6" x14ac:dyDescent="0.15">
      <c r="A1151">
        <v>8752147</v>
      </c>
      <c r="B1151">
        <v>8411540</v>
      </c>
      <c r="C1151" t="s">
        <v>311</v>
      </c>
      <c r="D1151" t="s">
        <v>8</v>
      </c>
      <c r="E1151" s="4" t="str">
        <f>HYPERLINK("https://ibp.a2mac1.com/costing(costing:projects/details/9760/component/8752147)","Electronics")</f>
        <v>Electronics</v>
      </c>
      <c r="F1151" t="s">
        <v>1542</v>
      </c>
    </row>
    <row r="1152" spans="1:6" x14ac:dyDescent="0.15">
      <c r="A1152">
        <v>8411541</v>
      </c>
      <c r="B1152">
        <v>8411463</v>
      </c>
      <c r="C1152" t="s">
        <v>8</v>
      </c>
      <c r="D1152" t="s">
        <v>8</v>
      </c>
      <c r="E1152" s="4" t="str">
        <f>HYPERLINK("https://ibp.a2mac1.com/costing(costing:projects/details/9760/assembly/8411541)","Blind Spot Detection Camera")</f>
        <v>Blind Spot Detection Camera</v>
      </c>
      <c r="F1152" t="s">
        <v>1541</v>
      </c>
    </row>
    <row r="1153" spans="1:6" x14ac:dyDescent="0.15">
      <c r="A1153">
        <v>12083218</v>
      </c>
      <c r="B1153">
        <v>8411541</v>
      </c>
      <c r="C1153" t="s">
        <v>114</v>
      </c>
      <c r="D1153" t="s">
        <v>8</v>
      </c>
      <c r="E1153" s="4" t="str">
        <f>HYPERLINK("https://ibp.a2mac1.com/costing(costing:projects/details/9760/process/12083218)","Process")</f>
        <v>Process</v>
      </c>
      <c r="F1153" t="s">
        <v>1546</v>
      </c>
    </row>
    <row r="1154" spans="1:6" x14ac:dyDescent="0.15">
      <c r="A1154">
        <v>12210192</v>
      </c>
      <c r="B1154">
        <v>12083218</v>
      </c>
      <c r="C1154" t="s">
        <v>163</v>
      </c>
      <c r="D1154" t="s">
        <v>114</v>
      </c>
      <c r="E1154" s="4" t="str">
        <f>HYPERLINK("https://ibp.a2mac1.com/costing(costing:projects/details/9760/equipment/12210192)","Dummy Machine (PCBA+Final Assembly Line)")</f>
        <v>Dummy Machine (PCBA+Final Assembly Line)</v>
      </c>
      <c r="F1154" t="s">
        <v>1547</v>
      </c>
    </row>
    <row r="1155" spans="1:6" x14ac:dyDescent="0.15">
      <c r="A1155">
        <v>8752148</v>
      </c>
      <c r="B1155">
        <v>8411541</v>
      </c>
      <c r="C1155" t="s">
        <v>311</v>
      </c>
      <c r="D1155" t="s">
        <v>8</v>
      </c>
      <c r="E1155" s="4" t="str">
        <f>HYPERLINK("https://ibp.a2mac1.com/costing(costing:projects/details/9760/component/8752148)","Mechanics")</f>
        <v>Mechanics</v>
      </c>
      <c r="F1155" t="s">
        <v>1546</v>
      </c>
    </row>
    <row r="1156" spans="1:6" x14ac:dyDescent="0.15">
      <c r="A1156">
        <v>8752149</v>
      </c>
      <c r="B1156">
        <v>8411541</v>
      </c>
      <c r="C1156" t="s">
        <v>311</v>
      </c>
      <c r="D1156" t="s">
        <v>8</v>
      </c>
      <c r="E1156" s="4" t="str">
        <f>HYPERLINK("https://ibp.a2mac1.com/costing(costing:projects/details/9760/component/8752149)","Electronics")</f>
        <v>Electronics</v>
      </c>
      <c r="F1156" t="s">
        <v>1546</v>
      </c>
    </row>
    <row r="1157" spans="1:6" x14ac:dyDescent="0.15">
      <c r="A1157">
        <v>8411544</v>
      </c>
      <c r="B1157">
        <v>8411463</v>
      </c>
      <c r="C1157" t="s">
        <v>8</v>
      </c>
      <c r="D1157" t="s">
        <v>8</v>
      </c>
      <c r="E1157" s="4" t="str">
        <f>HYPERLINK("https://ibp.a2mac1.com/costing(costing:projects/details/9760/assembly/8411544)","Right Side Camera")</f>
        <v>Right Side Camera</v>
      </c>
      <c r="F1157" t="s">
        <v>1541</v>
      </c>
    </row>
    <row r="1158" spans="1:6" x14ac:dyDescent="0.15">
      <c r="A1158">
        <v>12083219</v>
      </c>
      <c r="B1158">
        <v>8411544</v>
      </c>
      <c r="C1158" t="s">
        <v>114</v>
      </c>
      <c r="D1158" t="s">
        <v>8</v>
      </c>
      <c r="E1158" s="4" t="str">
        <f>HYPERLINK("https://ibp.a2mac1.com/costing(costing:projects/details/9760/process/12083219)","Process")</f>
        <v>Process</v>
      </c>
      <c r="F1158" t="s">
        <v>1549</v>
      </c>
    </row>
    <row r="1159" spans="1:6" x14ac:dyDescent="0.15">
      <c r="A1159">
        <v>12210193</v>
      </c>
      <c r="B1159">
        <v>12083219</v>
      </c>
      <c r="C1159" t="s">
        <v>163</v>
      </c>
      <c r="D1159" t="s">
        <v>114</v>
      </c>
      <c r="E1159" s="4" t="str">
        <f>HYPERLINK("https://ibp.a2mac1.com/costing(costing:projects/details/9760/equipment/12210193)","Dummy Machine (PCBA+Final Assembly Line)")</f>
        <v>Dummy Machine (PCBA+Final Assembly Line)</v>
      </c>
      <c r="F1159" t="s">
        <v>1550</v>
      </c>
    </row>
    <row r="1160" spans="1:6" x14ac:dyDescent="0.15">
      <c r="A1160">
        <v>8752150</v>
      </c>
      <c r="B1160">
        <v>8411544</v>
      </c>
      <c r="C1160" t="s">
        <v>311</v>
      </c>
      <c r="D1160" t="s">
        <v>8</v>
      </c>
      <c r="E1160" s="4" t="str">
        <f>HYPERLINK("https://ibp.a2mac1.com/costing(costing:projects/details/9760/component/8752150)","Electronics")</f>
        <v>Electronics</v>
      </c>
      <c r="F1160" t="s">
        <v>1549</v>
      </c>
    </row>
    <row r="1161" spans="1:6" x14ac:dyDescent="0.15">
      <c r="A1161">
        <v>8752151</v>
      </c>
      <c r="B1161">
        <v>8411544</v>
      </c>
      <c r="C1161" t="s">
        <v>311</v>
      </c>
      <c r="D1161" t="s">
        <v>8</v>
      </c>
      <c r="E1161" s="4" t="str">
        <f>HYPERLINK("https://ibp.a2mac1.com/costing(costing:projects/details/9760/component/8752151)","Mechanics")</f>
        <v>Mechanics</v>
      </c>
      <c r="F1161" t="s">
        <v>1549</v>
      </c>
    </row>
    <row r="1162" spans="1:6" x14ac:dyDescent="0.15">
      <c r="A1162">
        <v>8411542</v>
      </c>
      <c r="B1162">
        <v>8411463</v>
      </c>
      <c r="C1162" t="s">
        <v>10</v>
      </c>
      <c r="D1162" t="s">
        <v>8</v>
      </c>
      <c r="E1162" s="4" t="str">
        <f>HYPERLINK("https://ibp.a2mac1.com/costing(costing:projects/details/9760/part/8411542)","Blind Spot Detection Camera Support")</f>
        <v>Blind Spot Detection Camera Support</v>
      </c>
      <c r="F1162" t="s">
        <v>1541</v>
      </c>
    </row>
    <row r="1163" spans="1:6" x14ac:dyDescent="0.15">
      <c r="A1163">
        <v>8411543</v>
      </c>
      <c r="B1163">
        <v>8411463</v>
      </c>
      <c r="C1163" t="s">
        <v>10</v>
      </c>
      <c r="D1163" t="s">
        <v>8</v>
      </c>
      <c r="E1163" s="4" t="str">
        <f>HYPERLINK("https://ibp.a2mac1.com/costing(costing:projects/details/9760/part/8411543)","Blind Spot Detection Camera Support 2")</f>
        <v>Blind Spot Detection Camera Support 2</v>
      </c>
      <c r="F1163" t="s">
        <v>1541</v>
      </c>
    </row>
    <row r="1164" spans="1:6" x14ac:dyDescent="0.15">
      <c r="A1164">
        <v>8411545</v>
      </c>
      <c r="B1164">
        <v>8411463</v>
      </c>
      <c r="C1164" t="s">
        <v>10</v>
      </c>
      <c r="D1164" t="s">
        <v>8</v>
      </c>
      <c r="E1164" s="4" t="str">
        <f>HYPERLINK("https://ibp.a2mac1.com/costing(costing:projects/details/9760/part/8411545)","Right Side Camera Support")</f>
        <v>Right Side Camera Support</v>
      </c>
      <c r="F1164" t="s">
        <v>1541</v>
      </c>
    </row>
    <row r="1165" spans="1:6" x14ac:dyDescent="0.15">
      <c r="A1165">
        <v>8411464</v>
      </c>
      <c r="B1165">
        <v>8411445</v>
      </c>
      <c r="C1165" t="s">
        <v>8</v>
      </c>
      <c r="D1165" t="s">
        <v>8</v>
      </c>
      <c r="E1165" s="4" t="str">
        <f>HYPERLINK("https://ibp.a2mac1.com/costing(costing:projects/details/9760/assembly/8411464)","Autonomous Driving System")</f>
        <v>Autonomous Driving System</v>
      </c>
      <c r="F1165" t="s">
        <v>1323</v>
      </c>
    </row>
    <row r="1166" spans="1:6" x14ac:dyDescent="0.15">
      <c r="A1166">
        <v>8411546</v>
      </c>
      <c r="B1166">
        <v>8411464</v>
      </c>
      <c r="C1166" t="s">
        <v>8</v>
      </c>
      <c r="D1166" t="s">
        <v>8</v>
      </c>
      <c r="E1166" s="4" t="str">
        <f>HYPERLINK("https://ibp.a2mac1.com/costing(costing:projects/details/9760/assembly/8411546)","LiDAR")</f>
        <v>LiDAR</v>
      </c>
      <c r="F1166" t="s">
        <v>1557</v>
      </c>
    </row>
    <row r="1167" spans="1:6" x14ac:dyDescent="0.15">
      <c r="A1167">
        <v>12083220</v>
      </c>
      <c r="B1167">
        <v>8411546</v>
      </c>
      <c r="C1167" t="s">
        <v>114</v>
      </c>
      <c r="D1167" t="s">
        <v>8</v>
      </c>
      <c r="E1167" s="4" t="str">
        <f>HYPERLINK("https://ibp.a2mac1.com/costing(costing:projects/details/9760/process/12083220)","Process")</f>
        <v>Process</v>
      </c>
      <c r="F1167" t="s">
        <v>1558</v>
      </c>
    </row>
    <row r="1168" spans="1:6" x14ac:dyDescent="0.15">
      <c r="A1168">
        <v>12210194</v>
      </c>
      <c r="B1168">
        <v>12083220</v>
      </c>
      <c r="C1168" t="s">
        <v>163</v>
      </c>
      <c r="D1168" t="s">
        <v>114</v>
      </c>
      <c r="E1168" s="4" t="str">
        <f>HYPERLINK("https://ibp.a2mac1.com/costing(costing:projects/details/9760/equipment/12210194)","Dummy Machine (PCBA+Final Assembly Line)")</f>
        <v>Dummy Machine (PCBA+Final Assembly Line)</v>
      </c>
      <c r="F1168" t="s">
        <v>1559</v>
      </c>
    </row>
    <row r="1169" spans="1:6" x14ac:dyDescent="0.15">
      <c r="A1169">
        <v>8752152</v>
      </c>
      <c r="B1169">
        <v>8411546</v>
      </c>
      <c r="C1169" t="s">
        <v>311</v>
      </c>
      <c r="D1169" t="s">
        <v>8</v>
      </c>
      <c r="E1169" s="4" t="str">
        <f>HYPERLINK("https://ibp.a2mac1.com/costing(costing:projects/details/9760/component/8752152)","Mechanics")</f>
        <v>Mechanics</v>
      </c>
      <c r="F1169" t="s">
        <v>1558</v>
      </c>
    </row>
    <row r="1170" spans="1:6" x14ac:dyDescent="0.15">
      <c r="A1170">
        <v>8752153</v>
      </c>
      <c r="B1170">
        <v>8411546</v>
      </c>
      <c r="C1170" t="s">
        <v>311</v>
      </c>
      <c r="D1170" t="s">
        <v>8</v>
      </c>
      <c r="E1170" s="4" t="str">
        <f>HYPERLINK("https://ibp.a2mac1.com/costing(costing:projects/details/9760/component/8752153)","Electronics")</f>
        <v>Electronics</v>
      </c>
      <c r="F1170" t="s">
        <v>1558</v>
      </c>
    </row>
    <row r="1171" spans="1:6" x14ac:dyDescent="0.15">
      <c r="A1171">
        <v>8411548</v>
      </c>
      <c r="B1171">
        <v>8411464</v>
      </c>
      <c r="C1171" t="s">
        <v>8</v>
      </c>
      <c r="D1171" t="s">
        <v>8</v>
      </c>
      <c r="E1171" s="4" t="str">
        <f>HYPERLINK("https://ibp.a2mac1.com/costing(costing:projects/details/9760/assembly/8411548)","Driver Monitoring Camera")</f>
        <v>Driver Monitoring Camera</v>
      </c>
      <c r="F1171" t="s">
        <v>1557</v>
      </c>
    </row>
    <row r="1172" spans="1:6" x14ac:dyDescent="0.15">
      <c r="A1172">
        <v>12083221</v>
      </c>
      <c r="B1172">
        <v>8411548</v>
      </c>
      <c r="C1172" t="s">
        <v>114</v>
      </c>
      <c r="D1172" t="s">
        <v>8</v>
      </c>
      <c r="E1172" s="4" t="str">
        <f>HYPERLINK("https://ibp.a2mac1.com/costing(costing:projects/details/9760/process/12083221)","Process")</f>
        <v>Process</v>
      </c>
      <c r="F1172" t="s">
        <v>1562</v>
      </c>
    </row>
    <row r="1173" spans="1:6" x14ac:dyDescent="0.15">
      <c r="A1173">
        <v>12210195</v>
      </c>
      <c r="B1173">
        <v>12083221</v>
      </c>
      <c r="C1173" t="s">
        <v>163</v>
      </c>
      <c r="D1173" t="s">
        <v>114</v>
      </c>
      <c r="E1173" s="4" t="str">
        <f>HYPERLINK("https://ibp.a2mac1.com/costing(costing:projects/details/9760/equipment/12210195)","Dummy Machine (PCBA+Final Assembly Line)")</f>
        <v>Dummy Machine (PCBA+Final Assembly Line)</v>
      </c>
      <c r="F1173" t="s">
        <v>1563</v>
      </c>
    </row>
    <row r="1174" spans="1:6" x14ac:dyDescent="0.15">
      <c r="A1174">
        <v>8752154</v>
      </c>
      <c r="B1174">
        <v>8411548</v>
      </c>
      <c r="C1174" t="s">
        <v>311</v>
      </c>
      <c r="D1174" t="s">
        <v>8</v>
      </c>
      <c r="E1174" s="4" t="str">
        <f>HYPERLINK("https://ibp.a2mac1.com/costing(costing:projects/details/9760/component/8752154)","Electronics")</f>
        <v>Electronics</v>
      </c>
      <c r="F1174" t="s">
        <v>1562</v>
      </c>
    </row>
    <row r="1175" spans="1:6" x14ac:dyDescent="0.15">
      <c r="A1175">
        <v>8752155</v>
      </c>
      <c r="B1175">
        <v>8411548</v>
      </c>
      <c r="C1175" t="s">
        <v>311</v>
      </c>
      <c r="D1175" t="s">
        <v>8</v>
      </c>
      <c r="E1175" s="4" t="str">
        <f>HYPERLINK("https://ibp.a2mac1.com/costing(costing:projects/details/9760/component/8752155)","Mechanics")</f>
        <v>Mechanics</v>
      </c>
      <c r="F1175" t="s">
        <v>1562</v>
      </c>
    </row>
    <row r="1176" spans="1:6" x14ac:dyDescent="0.15">
      <c r="A1176">
        <v>8411547</v>
      </c>
      <c r="B1176">
        <v>8411464</v>
      </c>
      <c r="C1176" t="s">
        <v>10</v>
      </c>
      <c r="D1176" t="s">
        <v>8</v>
      </c>
      <c r="E1176" s="4" t="str">
        <f>HYPERLINK("https://ibp.a2mac1.com/costing(costing:projects/details/9760/part/8411547)","LiDAR Trim")</f>
        <v>LiDAR Trim</v>
      </c>
      <c r="F1176" t="s">
        <v>1557</v>
      </c>
    </row>
    <row r="1177" spans="1:6" x14ac:dyDescent="0.15">
      <c r="A1177">
        <v>8411549</v>
      </c>
      <c r="B1177">
        <v>8411464</v>
      </c>
      <c r="C1177" t="s">
        <v>10</v>
      </c>
      <c r="D1177" t="s">
        <v>8</v>
      </c>
      <c r="E1177" s="4" t="str">
        <f>HYPERLINK("https://ibp.a2mac1.com/costing(costing:projects/details/9760/part/8411549)","Driver Monitoring Camera Support")</f>
        <v>Driver Monitoring Camera Support</v>
      </c>
      <c r="F1177" t="s">
        <v>1557</v>
      </c>
    </row>
    <row r="1178" spans="1:6" x14ac:dyDescent="0.15">
      <c r="A1178">
        <v>8411550</v>
      </c>
      <c r="B1178">
        <v>8411464</v>
      </c>
      <c r="C1178" t="s">
        <v>10</v>
      </c>
      <c r="D1178" t="s">
        <v>8</v>
      </c>
      <c r="E1178" s="4" t="str">
        <f>HYPERLINK("https://ibp.a2mac1.com/costing(costing:projects/details/9760/part/8411550)","Driver Monitoring Camera Trim")</f>
        <v>Driver Monitoring Camera Trim</v>
      </c>
      <c r="F1178" t="s">
        <v>1557</v>
      </c>
    </row>
    <row r="1179" spans="1:6" x14ac:dyDescent="0.15">
      <c r="A1179">
        <v>8751992</v>
      </c>
      <c r="B1179">
        <v>8411464</v>
      </c>
      <c r="C1179" t="s">
        <v>311</v>
      </c>
      <c r="D1179" t="s">
        <v>8</v>
      </c>
      <c r="E1179" s="4" t="str">
        <f>HYPERLINK("https://ibp.a2mac1.com/costing(costing:projects/details/9760/component/8751992)","Flange Nut M6")</f>
        <v>Flange Nut M6</v>
      </c>
      <c r="F1179" t="s">
        <v>1557</v>
      </c>
    </row>
    <row r="1180" spans="1:6" x14ac:dyDescent="0.15">
      <c r="A1180">
        <v>8751993</v>
      </c>
      <c r="B1180">
        <v>8411464</v>
      </c>
      <c r="C1180" t="s">
        <v>311</v>
      </c>
      <c r="D1180" t="s">
        <v>8</v>
      </c>
      <c r="E1180" s="4" t="str">
        <f>HYPERLINK("https://ibp.a2mac1.com/costing(costing:projects/details/9760/component/8751993)","Flange Nut M6")</f>
        <v>Flange Nut M6</v>
      </c>
      <c r="F1180" t="s">
        <v>1557</v>
      </c>
    </row>
    <row r="1181" spans="1:6" x14ac:dyDescent="0.15">
      <c r="A1181">
        <v>8751994</v>
      </c>
      <c r="B1181">
        <v>8411464</v>
      </c>
      <c r="C1181" t="s">
        <v>311</v>
      </c>
      <c r="D1181" t="s">
        <v>8</v>
      </c>
      <c r="E1181" s="4" t="str">
        <f>HYPERLINK("https://ibp.a2mac1.com/costing(costing:projects/details/9760/component/8751994)","Round head Screw M4x20")</f>
        <v>Round head Screw M4x20</v>
      </c>
      <c r="F1181" t="s">
        <v>1557</v>
      </c>
    </row>
    <row r="1182" spans="1:6" x14ac:dyDescent="0.15">
      <c r="A1182">
        <v>8411465</v>
      </c>
      <c r="B1182">
        <v>8411445</v>
      </c>
      <c r="C1182" t="s">
        <v>8</v>
      </c>
      <c r="D1182" t="s">
        <v>8</v>
      </c>
      <c r="E1182" s="4" t="str">
        <f>HYPERLINK("https://ibp.a2mac1.com/costing(costing:projects/details/9760/assembly/8411465)","360 Camera Surveillance System")</f>
        <v>360 Camera Surveillance System</v>
      </c>
      <c r="F1182" t="s">
        <v>1323</v>
      </c>
    </row>
    <row r="1183" spans="1:6" x14ac:dyDescent="0.15">
      <c r="A1183">
        <v>8411551</v>
      </c>
      <c r="B1183">
        <v>8411465</v>
      </c>
      <c r="C1183" t="s">
        <v>8</v>
      </c>
      <c r="D1183" t="s">
        <v>8</v>
      </c>
      <c r="E1183" s="4" t="str">
        <f>HYPERLINK("https://ibp.a2mac1.com/costing(costing:projects/details/9760/assembly/8411551)","360 Surveillance Camera")</f>
        <v>360 Surveillance Camera</v>
      </c>
      <c r="F1183" t="s">
        <v>1572</v>
      </c>
    </row>
    <row r="1184" spans="1:6" x14ac:dyDescent="0.15">
      <c r="A1184">
        <v>12083222</v>
      </c>
      <c r="B1184">
        <v>8411551</v>
      </c>
      <c r="C1184" t="s">
        <v>114</v>
      </c>
      <c r="D1184" t="s">
        <v>8</v>
      </c>
      <c r="E1184" s="4" t="str">
        <f>HYPERLINK("https://ibp.a2mac1.com/costing(costing:projects/details/9760/process/12083222)","Process")</f>
        <v>Process</v>
      </c>
      <c r="F1184" t="s">
        <v>1573</v>
      </c>
    </row>
    <row r="1185" spans="1:6" x14ac:dyDescent="0.15">
      <c r="A1185">
        <v>12210196</v>
      </c>
      <c r="B1185">
        <v>12083222</v>
      </c>
      <c r="C1185" t="s">
        <v>163</v>
      </c>
      <c r="D1185" t="s">
        <v>114</v>
      </c>
      <c r="E1185" s="4" t="str">
        <f>HYPERLINK("https://ibp.a2mac1.com/costing(costing:projects/details/9760/equipment/12210196)","Dummy Machine (PCBA+Final Assembly Line)")</f>
        <v>Dummy Machine (PCBA+Final Assembly Line)</v>
      </c>
      <c r="F1185" t="s">
        <v>1574</v>
      </c>
    </row>
    <row r="1186" spans="1:6" x14ac:dyDescent="0.15">
      <c r="A1186">
        <v>8752156</v>
      </c>
      <c r="B1186">
        <v>8411551</v>
      </c>
      <c r="C1186" t="s">
        <v>311</v>
      </c>
      <c r="D1186" t="s">
        <v>8</v>
      </c>
      <c r="E1186" s="4" t="str">
        <f>HYPERLINK("https://ibp.a2mac1.com/costing(costing:projects/details/9760/component/8752156)","Electronics")</f>
        <v>Electronics</v>
      </c>
      <c r="F1186" t="s">
        <v>1573</v>
      </c>
    </row>
    <row r="1187" spans="1:6" x14ac:dyDescent="0.15">
      <c r="A1187">
        <v>8752157</v>
      </c>
      <c r="B1187">
        <v>8411551</v>
      </c>
      <c r="C1187" t="s">
        <v>311</v>
      </c>
      <c r="D1187" t="s">
        <v>8</v>
      </c>
      <c r="E1187" s="4" t="str">
        <f>HYPERLINK("https://ibp.a2mac1.com/costing(costing:projects/details/9760/component/8752157)","Mechanics")</f>
        <v>Mechanics</v>
      </c>
      <c r="F1187" t="s">
        <v>1573</v>
      </c>
    </row>
    <row r="1188" spans="1:6" x14ac:dyDescent="0.15">
      <c r="A1188">
        <v>8411552</v>
      </c>
      <c r="B1188">
        <v>8411465</v>
      </c>
      <c r="C1188" t="s">
        <v>10</v>
      </c>
      <c r="D1188" t="s">
        <v>8</v>
      </c>
      <c r="E1188" s="4" t="str">
        <f>HYPERLINK("https://ibp.a2mac1.com/costing(costing:projects/details/9760/part/8411552)","360 Surveillance Camera Bezel")</f>
        <v>360 Surveillance Camera Bezel</v>
      </c>
      <c r="F1188" t="s">
        <v>1572</v>
      </c>
    </row>
    <row r="1189" spans="1:6" x14ac:dyDescent="0.15">
      <c r="A1189">
        <v>8411446</v>
      </c>
      <c r="B1189">
        <v>8411445</v>
      </c>
      <c r="C1189" t="s">
        <v>10</v>
      </c>
      <c r="D1189" t="s">
        <v>8</v>
      </c>
      <c r="E1189" s="4" t="str">
        <f>HYPERLINK("https://ibp.a2mac1.com/costing(costing:projects/details/9760/part/8411446)","Safety Vest")</f>
        <v>Safety Vest</v>
      </c>
      <c r="F1189" t="s">
        <v>1323</v>
      </c>
    </row>
    <row r="1190" spans="1:6" x14ac:dyDescent="0.15">
      <c r="A1190">
        <v>8411553</v>
      </c>
      <c r="B1190">
        <v>9760</v>
      </c>
      <c r="C1190" t="s">
        <v>8</v>
      </c>
      <c r="D1190" t="s">
        <v>6</v>
      </c>
      <c r="E1190" s="4" t="str">
        <f>HYPERLINK("https://ibp.a2mac1.com/costing(costing:projects/details/9760/assembly/8411553)","Steering System")</f>
        <v>Steering System</v>
      </c>
      <c r="F1190" t="s">
        <v>9</v>
      </c>
    </row>
    <row r="1191" spans="1:6" x14ac:dyDescent="0.15">
      <c r="A1191">
        <v>8411554</v>
      </c>
      <c r="B1191">
        <v>8411553</v>
      </c>
      <c r="C1191" t="s">
        <v>8</v>
      </c>
      <c r="D1191" t="s">
        <v>8</v>
      </c>
      <c r="E1191" s="4" t="str">
        <f>HYPERLINK("https://ibp.a2mac1.com/costing(costing:projects/details/9760/assembly/8411554)","Steering Wheel System")</f>
        <v>Steering Wheel System</v>
      </c>
      <c r="F1191" t="s">
        <v>1580</v>
      </c>
    </row>
    <row r="1192" spans="1:6" x14ac:dyDescent="0.15">
      <c r="A1192">
        <v>8411591</v>
      </c>
      <c r="B1192">
        <v>8411554</v>
      </c>
      <c r="C1192" t="s">
        <v>8</v>
      </c>
      <c r="D1192" t="s">
        <v>8</v>
      </c>
      <c r="E1192" s="4" t="str">
        <f>HYPERLINK("https://ibp.a2mac1.com/costing(costing:projects/details/9760/assembly/8411591)","Steering Wheel Controls")</f>
        <v>Steering Wheel Controls</v>
      </c>
      <c r="F1192" t="s">
        <v>1581</v>
      </c>
    </row>
    <row r="1193" spans="1:6" x14ac:dyDescent="0.15">
      <c r="A1193">
        <v>8411609</v>
      </c>
      <c r="B1193">
        <v>8411591</v>
      </c>
      <c r="C1193" t="s">
        <v>8</v>
      </c>
      <c r="D1193" t="s">
        <v>8</v>
      </c>
      <c r="E1193" s="4" t="str">
        <f>HYPERLINK("https://ibp.a2mac1.com/costing(costing:projects/details/9760/assembly/8411609)","Horn Control")</f>
        <v>Horn Control</v>
      </c>
      <c r="F1193" t="s">
        <v>1582</v>
      </c>
    </row>
    <row r="1194" spans="1:6" x14ac:dyDescent="0.15">
      <c r="A1194">
        <v>8411625</v>
      </c>
      <c r="B1194">
        <v>8411609</v>
      </c>
      <c r="C1194" t="s">
        <v>10</v>
      </c>
      <c r="D1194" t="s">
        <v>8</v>
      </c>
      <c r="E1194" s="4" t="str">
        <f>HYPERLINK("https://ibp.a2mac1.com/costing(costing:projects/details/9760/part/8411625)","Control")</f>
        <v>Control</v>
      </c>
      <c r="F1194" t="s">
        <v>1583</v>
      </c>
    </row>
    <row r="1195" spans="1:6" x14ac:dyDescent="0.15">
      <c r="A1195">
        <v>8411607</v>
      </c>
      <c r="B1195">
        <v>8411591</v>
      </c>
      <c r="C1195" t="s">
        <v>10</v>
      </c>
      <c r="D1195" t="s">
        <v>8</v>
      </c>
      <c r="E1195" s="4" t="str">
        <f>HYPERLINK("https://ibp.a2mac1.com/costing(costing:projects/details/9760/part/8411607)","Left")</f>
        <v>Left</v>
      </c>
      <c r="F1195" t="s">
        <v>1582</v>
      </c>
    </row>
    <row r="1196" spans="1:6" x14ac:dyDescent="0.15">
      <c r="A1196">
        <v>8411608</v>
      </c>
      <c r="B1196">
        <v>8411591</v>
      </c>
      <c r="C1196" t="s">
        <v>10</v>
      </c>
      <c r="D1196" t="s">
        <v>8</v>
      </c>
      <c r="E1196" s="4" t="str">
        <f>HYPERLINK("https://ibp.a2mac1.com/costing(costing:projects/details/9760/part/8411608)","Right")</f>
        <v>Right</v>
      </c>
      <c r="F1196" t="s">
        <v>1582</v>
      </c>
    </row>
    <row r="1197" spans="1:6" x14ac:dyDescent="0.15">
      <c r="A1197">
        <v>8411592</v>
      </c>
      <c r="B1197">
        <v>8411554</v>
      </c>
      <c r="C1197" t="s">
        <v>8</v>
      </c>
      <c r="D1197" t="s">
        <v>8</v>
      </c>
      <c r="E1197" s="4" t="str">
        <f>HYPERLINK("https://ibp.a2mac1.com/costing(costing:projects/details/9760/assembly/8411592)","Steering Wheel")</f>
        <v>Steering Wheel</v>
      </c>
      <c r="F1197" t="s">
        <v>1581</v>
      </c>
    </row>
    <row r="1198" spans="1:6" x14ac:dyDescent="0.15">
      <c r="A1198">
        <v>8411610</v>
      </c>
      <c r="B1198">
        <v>8411592</v>
      </c>
      <c r="C1198" t="s">
        <v>10</v>
      </c>
      <c r="D1198" t="s">
        <v>8</v>
      </c>
      <c r="E1198" s="4" t="str">
        <f>HYPERLINK("https://ibp.a2mac1.com/costing(costing:projects/details/9760/part/8411610)","Armature")</f>
        <v>Armature</v>
      </c>
      <c r="F1198" t="s">
        <v>1591</v>
      </c>
    </row>
    <row r="1199" spans="1:6" x14ac:dyDescent="0.15">
      <c r="A1199">
        <v>12083228</v>
      </c>
      <c r="B1199">
        <v>8411610</v>
      </c>
      <c r="C1199" t="s">
        <v>114</v>
      </c>
      <c r="D1199" t="s">
        <v>10</v>
      </c>
      <c r="E1199" s="4" t="str">
        <f>HYPERLINK("https://ibp.a2mac1.com/costing(costing:projects/details/9760/process/12083228)","Pressure Die Casting : Furnace")</f>
        <v>Pressure Die Casting : Furnace</v>
      </c>
      <c r="F1199" t="s">
        <v>1592</v>
      </c>
    </row>
    <row r="1200" spans="1:6" x14ac:dyDescent="0.15">
      <c r="A1200">
        <v>8752253</v>
      </c>
      <c r="B1200">
        <v>12083228</v>
      </c>
      <c r="C1200" t="s">
        <v>22</v>
      </c>
      <c r="D1200" t="s">
        <v>114</v>
      </c>
      <c r="E1200" s="4" t="str">
        <f>HYPERLINK("https://ibp.a2mac1.com/costing(costing:projects/details/9760/material/8752253)","EN-MC21220 / EN MC-MgAl5Mn / AM50A (Ingot)")</f>
        <v>EN-MC21220 / EN MC-MgAl5Mn / AM50A (Ingot)</v>
      </c>
      <c r="F1200" t="s">
        <v>1595</v>
      </c>
    </row>
    <row r="1201" spans="1:6" x14ac:dyDescent="0.15">
      <c r="A1201">
        <v>12210197</v>
      </c>
      <c r="B1201">
        <v>12083228</v>
      </c>
      <c r="C1201" t="s">
        <v>163</v>
      </c>
      <c r="D1201" t="s">
        <v>114</v>
      </c>
      <c r="E1201" s="4" t="str">
        <f>HYPERLINK("https://ibp.a2mac1.com/costing(costing:projects/details/9760/equipment/12210197)","No.03 - T,TF 80/11 ")</f>
        <v xml:space="preserve">No.03 - T,TF 80/11 </v>
      </c>
      <c r="F1201" t="s">
        <v>1595</v>
      </c>
    </row>
    <row r="1202" spans="1:6" x14ac:dyDescent="0.15">
      <c r="A1202">
        <v>12083229</v>
      </c>
      <c r="B1202">
        <v>8411610</v>
      </c>
      <c r="C1202" t="s">
        <v>114</v>
      </c>
      <c r="D1202" t="s">
        <v>10</v>
      </c>
      <c r="E1202" s="4" t="str">
        <f>HYPERLINK("https://ibp.a2mac1.com/costing(costing:projects/details/9760/process/12083229)","Pressure Die Casting : Ladle")</f>
        <v>Pressure Die Casting : Ladle</v>
      </c>
      <c r="F1202" t="s">
        <v>1592</v>
      </c>
    </row>
    <row r="1203" spans="1:6" x14ac:dyDescent="0.15">
      <c r="A1203">
        <v>12210198</v>
      </c>
      <c r="B1203">
        <v>12083229</v>
      </c>
      <c r="C1203" t="s">
        <v>163</v>
      </c>
      <c r="D1203" t="s">
        <v>114</v>
      </c>
      <c r="E1203" s="4" t="str">
        <f>HYPERLINK("https://ibp.a2mac1.com/costing(costing:projects/details/9760/equipment/12210198)","No.01 - Buhler ladel Model 4,5L ")</f>
        <v xml:space="preserve">No.01 - Buhler ladel Model 4,5L </v>
      </c>
      <c r="F1203" t="s">
        <v>1597</v>
      </c>
    </row>
    <row r="1204" spans="1:6" x14ac:dyDescent="0.15">
      <c r="A1204">
        <v>12083230</v>
      </c>
      <c r="B1204">
        <v>8411610</v>
      </c>
      <c r="C1204" t="s">
        <v>114</v>
      </c>
      <c r="D1204" t="s">
        <v>10</v>
      </c>
      <c r="E1204" s="4" t="str">
        <f>HYPERLINK("https://ibp.a2mac1.com/costing(costing:projects/details/9760/process/12083230)","Pressure Die Casting : Press")</f>
        <v>Pressure Die Casting : Press</v>
      </c>
      <c r="F1204" t="s">
        <v>1592</v>
      </c>
    </row>
    <row r="1205" spans="1:6" x14ac:dyDescent="0.15">
      <c r="A1205">
        <v>12210199</v>
      </c>
      <c r="B1205">
        <v>12083230</v>
      </c>
      <c r="C1205" t="s">
        <v>163</v>
      </c>
      <c r="D1205" t="s">
        <v>114</v>
      </c>
      <c r="E1205" s="4" t="str">
        <f>HYPERLINK("https://ibp.a2mac1.com/costing(costing:projects/details/9760/equipment/12210199)","No.04 - Idra - OL 900S ")</f>
        <v xml:space="preserve">No.04 - Idra - OL 900S </v>
      </c>
      <c r="F1205" t="s">
        <v>1598</v>
      </c>
    </row>
    <row r="1206" spans="1:6" x14ac:dyDescent="0.15">
      <c r="A1206">
        <v>12083231</v>
      </c>
      <c r="B1206">
        <v>8411610</v>
      </c>
      <c r="C1206" t="s">
        <v>114</v>
      </c>
      <c r="D1206" t="s">
        <v>10</v>
      </c>
      <c r="E1206" s="4" t="str">
        <f>HYPERLINK("https://ibp.a2mac1.com/costing(costing:projects/details/9760/process/12083231)","Pressure Die Casting : Trimming")</f>
        <v>Pressure Die Casting : Trimming</v>
      </c>
      <c r="F1206" t="s">
        <v>1592</v>
      </c>
    </row>
    <row r="1207" spans="1:6" x14ac:dyDescent="0.15">
      <c r="A1207">
        <v>12210200</v>
      </c>
      <c r="B1207">
        <v>12083231</v>
      </c>
      <c r="C1207" t="s">
        <v>163</v>
      </c>
      <c r="D1207" t="s">
        <v>114</v>
      </c>
      <c r="E1207" s="4" t="str">
        <f>HYPERLINK("https://ibp.a2mac1.com/costing(costing:projects/details/9760/equipment/12210200)","No.04 - Headcutter - 1200x800x700 - 100kg/Mould ")</f>
        <v xml:space="preserve">No.04 - Headcutter - 1200x800x700 - 100kg/Mould </v>
      </c>
      <c r="F1207" t="s">
        <v>1599</v>
      </c>
    </row>
    <row r="1208" spans="1:6" x14ac:dyDescent="0.15">
      <c r="A1208">
        <v>12083232</v>
      </c>
      <c r="B1208">
        <v>8411610</v>
      </c>
      <c r="C1208" t="s">
        <v>114</v>
      </c>
      <c r="D1208" t="s">
        <v>10</v>
      </c>
      <c r="E1208" s="4" t="str">
        <f>HYPERLINK("https://ibp.a2mac1.com/costing(costing:projects/details/9760/process/12083232)","Pressure Die Casting : Laser Marking")</f>
        <v>Pressure Die Casting : Laser Marking</v>
      </c>
      <c r="F1208" t="s">
        <v>1592</v>
      </c>
    </row>
    <row r="1209" spans="1:6" x14ac:dyDescent="0.15">
      <c r="A1209">
        <v>12210201</v>
      </c>
      <c r="B1209">
        <v>12083232</v>
      </c>
      <c r="C1209" t="s">
        <v>163</v>
      </c>
      <c r="D1209" t="s">
        <v>114</v>
      </c>
      <c r="E1209" s="4" t="str">
        <f>HYPERLINK("https://ibp.a2mac1.com/costing(costing:projects/details/9760/equipment/12210201)","Laser marking line ")</f>
        <v xml:space="preserve">Laser marking line </v>
      </c>
      <c r="F1209" t="s">
        <v>1600</v>
      </c>
    </row>
    <row r="1210" spans="1:6" x14ac:dyDescent="0.15">
      <c r="A1210">
        <v>12083233</v>
      </c>
      <c r="B1210">
        <v>8411610</v>
      </c>
      <c r="C1210" t="s">
        <v>114</v>
      </c>
      <c r="D1210" t="s">
        <v>10</v>
      </c>
      <c r="E1210" s="4" t="str">
        <f>HYPERLINK("https://ibp.a2mac1.com/costing(costing:projects/details/9760/process/12083233)","Machining")</f>
        <v>Machining</v>
      </c>
      <c r="F1210" t="s">
        <v>1592</v>
      </c>
    </row>
    <row r="1211" spans="1:6" x14ac:dyDescent="0.15">
      <c r="A1211">
        <v>12210202</v>
      </c>
      <c r="B1211">
        <v>12083233</v>
      </c>
      <c r="C1211" t="s">
        <v>163</v>
      </c>
      <c r="D1211" t="s">
        <v>114</v>
      </c>
      <c r="E1211" s="4" t="str">
        <f>HYPERLINK("https://ibp.a2mac1.com/costing(costing:projects/details/9760/equipment/12210202)","Machining Center, medium ")</f>
        <v xml:space="preserve">Machining Center, medium </v>
      </c>
      <c r="F1211" t="s">
        <v>1601</v>
      </c>
    </row>
    <row r="1212" spans="1:6" x14ac:dyDescent="0.15">
      <c r="A1212">
        <v>12083234</v>
      </c>
      <c r="B1212">
        <v>8411610</v>
      </c>
      <c r="C1212" t="s">
        <v>114</v>
      </c>
      <c r="D1212" t="s">
        <v>10</v>
      </c>
      <c r="E1212" s="4" t="str">
        <f>HYPERLINK("https://ibp.a2mac1.com/costing(costing:projects/details/9760/process/12083234)","Cleaning")</f>
        <v>Cleaning</v>
      </c>
      <c r="F1212" t="s">
        <v>1592</v>
      </c>
    </row>
    <row r="1213" spans="1:6" x14ac:dyDescent="0.15">
      <c r="A1213">
        <v>12210203</v>
      </c>
      <c r="B1213">
        <v>12083234</v>
      </c>
      <c r="C1213" t="s">
        <v>163</v>
      </c>
      <c r="D1213" t="s">
        <v>114</v>
      </c>
      <c r="E1213" s="4" t="str">
        <f>HYPERLINK("https://ibp.a2mac1.com/costing(costing:projects/details/9760/equipment/12210203)","Cleaning machine, run through ")</f>
        <v xml:space="preserve">Cleaning machine, run through </v>
      </c>
      <c r="F1213" t="s">
        <v>1602</v>
      </c>
    </row>
    <row r="1214" spans="1:6" x14ac:dyDescent="0.15">
      <c r="A1214">
        <v>8752238</v>
      </c>
      <c r="B1214">
        <v>8411610</v>
      </c>
      <c r="C1214" t="s">
        <v>311</v>
      </c>
      <c r="D1214" t="s">
        <v>10</v>
      </c>
      <c r="E1214" s="4" t="str">
        <f>HYPERLINK("https://ibp.a2mac1.com/costing(costing:projects/details/9760/component/8752238)","Hub/Boss")</f>
        <v>Hub/Boss</v>
      </c>
      <c r="F1214" t="s">
        <v>1592</v>
      </c>
    </row>
    <row r="1215" spans="1:6" x14ac:dyDescent="0.15">
      <c r="A1215">
        <v>8411611</v>
      </c>
      <c r="B1215">
        <v>8411592</v>
      </c>
      <c r="C1215" t="s">
        <v>10</v>
      </c>
      <c r="D1215" t="s">
        <v>8</v>
      </c>
      <c r="E1215" s="4" t="str">
        <f>HYPERLINK("https://ibp.a2mac1.com/costing(costing:projects/details/9760/part/8411611)","Foam Body")</f>
        <v>Foam Body</v>
      </c>
      <c r="F1215" t="s">
        <v>1591</v>
      </c>
    </row>
    <row r="1216" spans="1:6" x14ac:dyDescent="0.15">
      <c r="A1216">
        <v>12083235</v>
      </c>
      <c r="B1216">
        <v>8411611</v>
      </c>
      <c r="C1216" t="s">
        <v>114</v>
      </c>
      <c r="D1216" t="s">
        <v>10</v>
      </c>
      <c r="E1216" s="4" t="str">
        <f>HYPERLINK("https://ibp.a2mac1.com/costing(costing:projects/details/9760/process/12083235)","Reaction Injection Molding- Overmolding PUR")</f>
        <v>Reaction Injection Molding- Overmolding PUR</v>
      </c>
      <c r="F1216" t="s">
        <v>1603</v>
      </c>
    </row>
    <row r="1217" spans="1:6" x14ac:dyDescent="0.15">
      <c r="A1217">
        <v>8752254</v>
      </c>
      <c r="B1217">
        <v>12083235</v>
      </c>
      <c r="C1217" t="s">
        <v>22</v>
      </c>
      <c r="D1217" t="s">
        <v>114</v>
      </c>
      <c r="E1217" s="4" t="str">
        <f>HYPERLINK("https://ibp.a2mac1.com/costing(costing:projects/details/9760/material/8752254)","PUR")</f>
        <v>PUR</v>
      </c>
      <c r="F1217" t="s">
        <v>1606</v>
      </c>
    </row>
    <row r="1218" spans="1:6" x14ac:dyDescent="0.15">
      <c r="A1218">
        <v>8752255</v>
      </c>
      <c r="B1218">
        <v>12083235</v>
      </c>
      <c r="C1218" t="s">
        <v>22</v>
      </c>
      <c r="D1218" t="s">
        <v>114</v>
      </c>
      <c r="E1218" s="4" t="str">
        <f>HYPERLINK("https://ibp.a2mac1.com/costing(costing:projects/details/9760/material/8752255)","Heat Mat")</f>
        <v>Heat Mat</v>
      </c>
      <c r="F1218" t="s">
        <v>1606</v>
      </c>
    </row>
    <row r="1219" spans="1:6" x14ac:dyDescent="0.15">
      <c r="A1219">
        <v>12210204</v>
      </c>
      <c r="B1219">
        <v>12083235</v>
      </c>
      <c r="C1219" t="s">
        <v>163</v>
      </c>
      <c r="D1219" t="s">
        <v>114</v>
      </c>
      <c r="E1219" s="4" t="str">
        <f>HYPERLINK("https://ibp.a2mac1.com/costing(costing:projects/details/9760/equipment/12210204)","Reaction Injection Molding Machine")</f>
        <v>Reaction Injection Molding Machine</v>
      </c>
      <c r="F1219" t="s">
        <v>1606</v>
      </c>
    </row>
    <row r="1220" spans="1:6" x14ac:dyDescent="0.15">
      <c r="A1220">
        <v>8411612</v>
      </c>
      <c r="B1220">
        <v>8411592</v>
      </c>
      <c r="C1220" t="s">
        <v>10</v>
      </c>
      <c r="D1220" t="s">
        <v>8</v>
      </c>
      <c r="E1220" s="4" t="str">
        <f>HYPERLINK("https://ibp.a2mac1.com/costing(costing:projects/details/9760/part/8411612)","Leather")</f>
        <v>Leather</v>
      </c>
      <c r="F1220" t="s">
        <v>1591</v>
      </c>
    </row>
    <row r="1221" spans="1:6" x14ac:dyDescent="0.15">
      <c r="A1221">
        <v>12083236</v>
      </c>
      <c r="B1221">
        <v>8411612</v>
      </c>
      <c r="C1221" t="s">
        <v>114</v>
      </c>
      <c r="D1221" t="s">
        <v>10</v>
      </c>
      <c r="E1221" s="4" t="str">
        <f>HYPERLINK("https://ibp.a2mac1.com/costing(costing:projects/details/9760/process/12083236)","Leather Cutting")</f>
        <v>Leather Cutting</v>
      </c>
      <c r="F1221" t="s">
        <v>1607</v>
      </c>
    </row>
    <row r="1222" spans="1:6" x14ac:dyDescent="0.15">
      <c r="A1222">
        <v>8752260</v>
      </c>
      <c r="B1222">
        <v>12083236</v>
      </c>
      <c r="C1222" t="s">
        <v>22</v>
      </c>
      <c r="D1222" t="s">
        <v>114</v>
      </c>
      <c r="E1222" s="4" t="str">
        <f>HYPERLINK("https://ibp.a2mac1.com/costing(costing:projects/details/9760/material/8752260)","Covering skin: Artifical Leather")</f>
        <v>Covering skin: Artifical Leather</v>
      </c>
      <c r="F1222" t="s">
        <v>1610</v>
      </c>
    </row>
    <row r="1223" spans="1:6" x14ac:dyDescent="0.15">
      <c r="A1223">
        <v>12210205</v>
      </c>
      <c r="B1223">
        <v>12083236</v>
      </c>
      <c r="C1223" t="s">
        <v>163</v>
      </c>
      <c r="D1223" t="s">
        <v>114</v>
      </c>
      <c r="E1223" s="4" t="str">
        <f>HYPERLINK("https://ibp.a2mac1.com/costing(costing:projects/details/9760/equipment/12210205)","No.01 - Die cutting - PLOTTERMAX 1725 ALLROUNDER ")</f>
        <v xml:space="preserve">No.01 - Die cutting - PLOTTERMAX 1725 ALLROUNDER </v>
      </c>
      <c r="F1223" t="s">
        <v>1610</v>
      </c>
    </row>
    <row r="1224" spans="1:6" x14ac:dyDescent="0.15">
      <c r="A1224">
        <v>12083237</v>
      </c>
      <c r="B1224">
        <v>8411612</v>
      </c>
      <c r="C1224" t="s">
        <v>114</v>
      </c>
      <c r="D1224" t="s">
        <v>10</v>
      </c>
      <c r="E1224" s="4" t="str">
        <f>HYPERLINK("https://ibp.a2mac1.com/costing(costing:projects/details/9760/process/12083237)","Adjusting leather and sewing")</f>
        <v>Adjusting leather and sewing</v>
      </c>
      <c r="F1224" t="s">
        <v>1607</v>
      </c>
    </row>
    <row r="1225" spans="1:6" x14ac:dyDescent="0.15">
      <c r="A1225">
        <v>12210206</v>
      </c>
      <c r="B1225">
        <v>12083237</v>
      </c>
      <c r="C1225" t="s">
        <v>163</v>
      </c>
      <c r="D1225" t="s">
        <v>114</v>
      </c>
      <c r="E1225" s="4" t="str">
        <f>HYPERLINK("https://ibp.a2mac1.com/costing(costing:projects/details/9760/equipment/12210206)","Simple Assembly Cell ")</f>
        <v xml:space="preserve">Simple Assembly Cell </v>
      </c>
      <c r="F1225" t="s">
        <v>1611</v>
      </c>
    </row>
    <row r="1226" spans="1:6" x14ac:dyDescent="0.15">
      <c r="A1226">
        <v>8752064</v>
      </c>
      <c r="B1226">
        <v>8411592</v>
      </c>
      <c r="C1226" t="s">
        <v>311</v>
      </c>
      <c r="D1226" t="s">
        <v>8</v>
      </c>
      <c r="E1226" s="4" t="str">
        <f>HYPERLINK("https://ibp.a2mac1.com/costing(costing:projects/details/9760/component/8752064)","Screw &gt; Hexagon screw with flange")</f>
        <v>Screw &gt; Hexagon screw with flange</v>
      </c>
      <c r="F1226" t="s">
        <v>1591</v>
      </c>
    </row>
    <row r="1227" spans="1:6" x14ac:dyDescent="0.15">
      <c r="A1227">
        <v>8752065</v>
      </c>
      <c r="B1227">
        <v>8411592</v>
      </c>
      <c r="C1227" t="s">
        <v>311</v>
      </c>
      <c r="D1227" t="s">
        <v>8</v>
      </c>
      <c r="E1227" s="4" t="str">
        <f>HYPERLINK("https://ibp.a2mac1.com/costing(costing:projects/details/9760/component/8752065)","Fasteners")</f>
        <v>Fasteners</v>
      </c>
      <c r="F1227" t="s">
        <v>1591</v>
      </c>
    </row>
    <row r="1228" spans="1:6" x14ac:dyDescent="0.15">
      <c r="A1228">
        <v>8411593</v>
      </c>
      <c r="B1228">
        <v>8411554</v>
      </c>
      <c r="C1228" t="s">
        <v>8</v>
      </c>
      <c r="D1228" t="s">
        <v>8</v>
      </c>
      <c r="E1228" s="4" t="str">
        <f>HYPERLINK("https://ibp.a2mac1.com/costing(costing:projects/details/9760/assembly/8411593)","Steering Wheel Cover")</f>
        <v>Steering Wheel Cover</v>
      </c>
      <c r="F1228" t="s">
        <v>1581</v>
      </c>
    </row>
    <row r="1229" spans="1:6" x14ac:dyDescent="0.15">
      <c r="A1229">
        <v>8411613</v>
      </c>
      <c r="B1229">
        <v>8411593</v>
      </c>
      <c r="C1229" t="s">
        <v>10</v>
      </c>
      <c r="D1229" t="s">
        <v>8</v>
      </c>
      <c r="E1229" s="4" t="str">
        <f>HYPERLINK("https://ibp.a2mac1.com/costing(costing:projects/details/9760/part/8411613)","Trim Bezel")</f>
        <v>Trim Bezel</v>
      </c>
      <c r="F1229" t="s">
        <v>1615</v>
      </c>
    </row>
    <row r="1230" spans="1:6" x14ac:dyDescent="0.15">
      <c r="A1230">
        <v>12083238</v>
      </c>
      <c r="B1230">
        <v>8411613</v>
      </c>
      <c r="C1230" t="s">
        <v>114</v>
      </c>
      <c r="D1230" t="s">
        <v>10</v>
      </c>
      <c r="E1230" s="4" t="str">
        <f>HYPERLINK("https://ibp.a2mac1.com/costing(costing:projects/details/9760/process/12083238)","Painting")</f>
        <v>Painting</v>
      </c>
      <c r="F1230" t="s">
        <v>1616</v>
      </c>
    </row>
    <row r="1231" spans="1:6" x14ac:dyDescent="0.15">
      <c r="A1231">
        <v>8752261</v>
      </c>
      <c r="B1231">
        <v>12083238</v>
      </c>
      <c r="C1231" t="s">
        <v>22</v>
      </c>
      <c r="D1231" t="s">
        <v>114</v>
      </c>
      <c r="E1231" s="4" t="str">
        <f>HYPERLINK("https://ibp.a2mac1.com/costing(costing:projects/details/9760/material/8752261)","Paint - Primer")</f>
        <v>Paint - Primer</v>
      </c>
      <c r="F1231" t="s">
        <v>1619</v>
      </c>
    </row>
    <row r="1232" spans="1:6" x14ac:dyDescent="0.15">
      <c r="A1232">
        <v>8752262</v>
      </c>
      <c r="B1232">
        <v>12083238</v>
      </c>
      <c r="C1232" t="s">
        <v>22</v>
      </c>
      <c r="D1232" t="s">
        <v>114</v>
      </c>
      <c r="E1232" s="4" t="str">
        <f>HYPERLINK("https://ibp.a2mac1.com/costing(costing:projects/details/9760/material/8752262)","Paint - Base")</f>
        <v>Paint - Base</v>
      </c>
      <c r="F1232" t="s">
        <v>1619</v>
      </c>
    </row>
    <row r="1233" spans="1:6" x14ac:dyDescent="0.15">
      <c r="A1233">
        <v>8752263</v>
      </c>
      <c r="B1233">
        <v>12083238</v>
      </c>
      <c r="C1233" t="s">
        <v>22</v>
      </c>
      <c r="D1233" t="s">
        <v>114</v>
      </c>
      <c r="E1233" s="4" t="str">
        <f>HYPERLINK("https://ibp.a2mac1.com/costing(costing:projects/details/9760/material/8752263)","Paint - Clear Coat")</f>
        <v>Paint - Clear Coat</v>
      </c>
      <c r="F1233" t="s">
        <v>1619</v>
      </c>
    </row>
    <row r="1234" spans="1:6" x14ac:dyDescent="0.15">
      <c r="A1234">
        <v>12210207</v>
      </c>
      <c r="B1234">
        <v>12083238</v>
      </c>
      <c r="C1234" t="s">
        <v>163</v>
      </c>
      <c r="D1234" t="s">
        <v>114</v>
      </c>
      <c r="E1234" s="4" t="str">
        <f>HYPERLINK("https://ibp.a2mac1.com/costing(costing:projects/details/9760/equipment/12210207)","No.04 - 60000x6000x3500 - Automatic Painting Line - with 12x100kW on line ovens")</f>
        <v>No.04 - 60000x6000x3500 - Automatic Painting Line - with 12x100kW on line ovens</v>
      </c>
      <c r="F1234" t="s">
        <v>1619</v>
      </c>
    </row>
    <row r="1235" spans="1:6" x14ac:dyDescent="0.15">
      <c r="A1235">
        <v>12083239</v>
      </c>
      <c r="B1235">
        <v>8411613</v>
      </c>
      <c r="C1235" t="s">
        <v>114</v>
      </c>
      <c r="D1235" t="s">
        <v>10</v>
      </c>
      <c r="E1235" s="4" t="str">
        <f>HYPERLINK("https://ibp.a2mac1.com/costing(costing:projects/details/9760/process/12083239)","Loading + Unloading + Retouching + Checking")</f>
        <v>Loading + Unloading + Retouching + Checking</v>
      </c>
      <c r="F1235" t="s">
        <v>1616</v>
      </c>
    </row>
    <row r="1236" spans="1:6" x14ac:dyDescent="0.15">
      <c r="A1236">
        <v>12210208</v>
      </c>
      <c r="B1236">
        <v>12083239</v>
      </c>
      <c r="C1236" t="s">
        <v>163</v>
      </c>
      <c r="D1236" t="s">
        <v>114</v>
      </c>
      <c r="E1236" s="4" t="str">
        <f>HYPERLINK("https://ibp.a2mac1.com/costing(costing:projects/details/9760/equipment/12210208)","Loading + Unloading + Retouching + Checking")</f>
        <v>Loading + Unloading + Retouching + Checking</v>
      </c>
      <c r="F1236" t="s">
        <v>1625</v>
      </c>
    </row>
    <row r="1237" spans="1:6" x14ac:dyDescent="0.15">
      <c r="A1237">
        <v>12083240</v>
      </c>
      <c r="B1237">
        <v>8411613</v>
      </c>
      <c r="C1237" t="s">
        <v>114</v>
      </c>
      <c r="D1237" t="s">
        <v>10</v>
      </c>
      <c r="E1237" s="4" t="str">
        <f>HYPERLINK("https://ibp.a2mac1.com/costing(costing:projects/details/9760/process/12083240)","Injection molding")</f>
        <v>Injection molding</v>
      </c>
      <c r="F1237" t="s">
        <v>1616</v>
      </c>
    </row>
    <row r="1238" spans="1:6" x14ac:dyDescent="0.15">
      <c r="A1238">
        <v>8752264</v>
      </c>
      <c r="B1238">
        <v>12083240</v>
      </c>
      <c r="C1238" t="s">
        <v>22</v>
      </c>
      <c r="D1238" t="s">
        <v>114</v>
      </c>
      <c r="E1238" s="4" t="str">
        <f>HYPERLINK("https://ibp.a2mac1.com/costing(costing:projects/details/9760/material/8752264)","ABS-PC")</f>
        <v>ABS-PC</v>
      </c>
      <c r="F1238" t="s">
        <v>1629</v>
      </c>
    </row>
    <row r="1239" spans="1:6" x14ac:dyDescent="0.15">
      <c r="A1239">
        <v>12210209</v>
      </c>
      <c r="B1239">
        <v>12083240</v>
      </c>
      <c r="C1239" t="s">
        <v>163</v>
      </c>
      <c r="D1239" t="s">
        <v>114</v>
      </c>
      <c r="E1239" s="4" t="str">
        <f>HYPERLINK("https://ibp.a2mac1.com/costing(costing:projects/details/9760/equipment/12210209)","No.01 - Injection Press - 40T - 18kW - 270x270 - Max Volume 128cm3 ")</f>
        <v xml:space="preserve">No.01 - Injection Press - 40T - 18kW - 270x270 - Max Volume 128cm3 </v>
      </c>
      <c r="F1239" t="s">
        <v>1629</v>
      </c>
    </row>
    <row r="1240" spans="1:6" x14ac:dyDescent="0.15">
      <c r="A1240">
        <v>8752239</v>
      </c>
      <c r="B1240">
        <v>8411613</v>
      </c>
      <c r="C1240" t="s">
        <v>311</v>
      </c>
      <c r="D1240" t="s">
        <v>10</v>
      </c>
      <c r="E1240" s="4" t="str">
        <f>HYPERLINK("https://ibp.a2mac1.com/costing(costing:projects/details/9760/component/8752239)","Fasteners")</f>
        <v>Fasteners</v>
      </c>
      <c r="F1240" t="s">
        <v>1616</v>
      </c>
    </row>
    <row r="1241" spans="1:6" x14ac:dyDescent="0.15">
      <c r="A1241">
        <v>8411614</v>
      </c>
      <c r="B1241">
        <v>8411593</v>
      </c>
      <c r="C1241" t="s">
        <v>10</v>
      </c>
      <c r="D1241" t="s">
        <v>8</v>
      </c>
      <c r="E1241" s="4" t="str">
        <f>HYPERLINK("https://ibp.a2mac1.com/costing(costing:projects/details/9760/part/8411614)","Back")</f>
        <v>Back</v>
      </c>
      <c r="F1241" t="s">
        <v>1615</v>
      </c>
    </row>
    <row r="1242" spans="1:6" x14ac:dyDescent="0.15">
      <c r="A1242">
        <v>12083241</v>
      </c>
      <c r="B1242">
        <v>8411614</v>
      </c>
      <c r="C1242" t="s">
        <v>114</v>
      </c>
      <c r="D1242" t="s">
        <v>10</v>
      </c>
      <c r="E1242" s="4" t="str">
        <f>HYPERLINK("https://ibp.a2mac1.com/costing(costing:projects/details/9760/process/12083241)","Handling/Visual Inspection/Packaging")</f>
        <v>Handling/Visual Inspection/Packaging</v>
      </c>
      <c r="F1242" t="s">
        <v>1634</v>
      </c>
    </row>
    <row r="1243" spans="1:6" x14ac:dyDescent="0.15">
      <c r="A1243">
        <v>12210210</v>
      </c>
      <c r="B1243">
        <v>12083241</v>
      </c>
      <c r="C1243" t="s">
        <v>163</v>
      </c>
      <c r="D1243" t="s">
        <v>114</v>
      </c>
      <c r="E1243" s="4" t="str">
        <f>HYPERLINK("https://ibp.a2mac1.com/costing(costing:projects/details/9760/equipment/12210210)","Packaging")</f>
        <v>Packaging</v>
      </c>
      <c r="F1243" t="s">
        <v>1635</v>
      </c>
    </row>
    <row r="1244" spans="1:6" x14ac:dyDescent="0.15">
      <c r="A1244">
        <v>12083242</v>
      </c>
      <c r="B1244">
        <v>8411614</v>
      </c>
      <c r="C1244" t="s">
        <v>114</v>
      </c>
      <c r="D1244" t="s">
        <v>10</v>
      </c>
      <c r="E1244" s="4" t="str">
        <f>HYPERLINK("https://ibp.a2mac1.com/costing(costing:projects/details/9760/process/12083242)","Injection molding")</f>
        <v>Injection molding</v>
      </c>
      <c r="F1244" t="s">
        <v>1634</v>
      </c>
    </row>
    <row r="1245" spans="1:6" x14ac:dyDescent="0.15">
      <c r="A1245">
        <v>8752265</v>
      </c>
      <c r="B1245">
        <v>12083242</v>
      </c>
      <c r="C1245" t="s">
        <v>22</v>
      </c>
      <c r="D1245" t="s">
        <v>114</v>
      </c>
      <c r="E1245" s="4" t="str">
        <f>HYPERLINK("https://ibp.a2mac1.com/costing(costing:projects/details/9760/material/8752265)","PP")</f>
        <v>PP</v>
      </c>
      <c r="F1245" t="s">
        <v>1639</v>
      </c>
    </row>
    <row r="1246" spans="1:6" x14ac:dyDescent="0.15">
      <c r="A1246">
        <v>12210211</v>
      </c>
      <c r="B1246">
        <v>12083242</v>
      </c>
      <c r="C1246" t="s">
        <v>163</v>
      </c>
      <c r="D1246" t="s">
        <v>114</v>
      </c>
      <c r="E1246" s="4" t="str">
        <f>HYPERLINK("https://ibp.a2mac1.com/costing(costing:projects/details/9760/equipment/12210211)","No.06 - Injection Press - 200T - 45kW - 510x510 - Max Volume 624cm3 ")</f>
        <v xml:space="preserve">No.06 - Injection Press - 200T - 45kW - 510x510 - Max Volume 624cm3 </v>
      </c>
      <c r="F1246" t="s">
        <v>1639</v>
      </c>
    </row>
    <row r="1247" spans="1:6" x14ac:dyDescent="0.15">
      <c r="A1247">
        <v>8411615</v>
      </c>
      <c r="B1247">
        <v>8411593</v>
      </c>
      <c r="C1247" t="s">
        <v>10</v>
      </c>
      <c r="D1247" t="s">
        <v>8</v>
      </c>
      <c r="E1247" s="4" t="str">
        <f>HYPERLINK("https://ibp.a2mac1.com/costing(costing:projects/details/9760/part/8411615)","Front")</f>
        <v>Front</v>
      </c>
      <c r="F1247" t="s">
        <v>1615</v>
      </c>
    </row>
    <row r="1248" spans="1:6" x14ac:dyDescent="0.15">
      <c r="A1248">
        <v>12083243</v>
      </c>
      <c r="B1248">
        <v>8411615</v>
      </c>
      <c r="C1248" t="s">
        <v>114</v>
      </c>
      <c r="D1248" t="s">
        <v>10</v>
      </c>
      <c r="E1248" s="4" t="str">
        <f>HYPERLINK("https://ibp.a2mac1.com/costing(costing:projects/details/9760/process/12083243)","Painting")</f>
        <v>Painting</v>
      </c>
      <c r="F1248" t="s">
        <v>1643</v>
      </c>
    </row>
    <row r="1249" spans="1:6" x14ac:dyDescent="0.15">
      <c r="A1249">
        <v>8752266</v>
      </c>
      <c r="B1249">
        <v>12083243</v>
      </c>
      <c r="C1249" t="s">
        <v>22</v>
      </c>
      <c r="D1249" t="s">
        <v>114</v>
      </c>
      <c r="E1249" s="4" t="str">
        <f>HYPERLINK("https://ibp.a2mac1.com/costing(costing:projects/details/9760/material/8752266)","Paint - Primer")</f>
        <v>Paint - Primer</v>
      </c>
      <c r="F1249" t="s">
        <v>1646</v>
      </c>
    </row>
    <row r="1250" spans="1:6" x14ac:dyDescent="0.15">
      <c r="A1250">
        <v>8752267</v>
      </c>
      <c r="B1250">
        <v>12083243</v>
      </c>
      <c r="C1250" t="s">
        <v>22</v>
      </c>
      <c r="D1250" t="s">
        <v>114</v>
      </c>
      <c r="E1250" s="4" t="str">
        <f>HYPERLINK("https://ibp.a2mac1.com/costing(costing:projects/details/9760/material/8752267)","Paint - Base")</f>
        <v>Paint - Base</v>
      </c>
      <c r="F1250" t="s">
        <v>1646</v>
      </c>
    </row>
    <row r="1251" spans="1:6" x14ac:dyDescent="0.15">
      <c r="A1251">
        <v>8752268</v>
      </c>
      <c r="B1251">
        <v>12083243</v>
      </c>
      <c r="C1251" t="s">
        <v>22</v>
      </c>
      <c r="D1251" t="s">
        <v>114</v>
      </c>
      <c r="E1251" s="4" t="str">
        <f>HYPERLINK("https://ibp.a2mac1.com/costing(costing:projects/details/9760/material/8752268)","Paint - Clear Coat")</f>
        <v>Paint - Clear Coat</v>
      </c>
      <c r="F1251" t="s">
        <v>1646</v>
      </c>
    </row>
    <row r="1252" spans="1:6" x14ac:dyDescent="0.15">
      <c r="A1252">
        <v>12210212</v>
      </c>
      <c r="B1252">
        <v>12083243</v>
      </c>
      <c r="C1252" t="s">
        <v>163</v>
      </c>
      <c r="D1252" t="s">
        <v>114</v>
      </c>
      <c r="E1252" s="4" t="str">
        <f>HYPERLINK("https://ibp.a2mac1.com/costing(costing:projects/details/9760/equipment/12210212)","No.04 - 60000x6000x3500 - Automatic Painting Line - with 12x100kW on line ovens")</f>
        <v>No.04 - 60000x6000x3500 - Automatic Painting Line - with 12x100kW on line ovens</v>
      </c>
      <c r="F1252" t="s">
        <v>1646</v>
      </c>
    </row>
    <row r="1253" spans="1:6" x14ac:dyDescent="0.15">
      <c r="A1253">
        <v>12083244</v>
      </c>
      <c r="B1253">
        <v>8411615</v>
      </c>
      <c r="C1253" t="s">
        <v>114</v>
      </c>
      <c r="D1253" t="s">
        <v>10</v>
      </c>
      <c r="E1253" s="4" t="str">
        <f>HYPERLINK("https://ibp.a2mac1.com/costing(costing:projects/details/9760/process/12083244)","Loading + Unloading + Retouching + Checking")</f>
        <v>Loading + Unloading + Retouching + Checking</v>
      </c>
      <c r="F1253" t="s">
        <v>1643</v>
      </c>
    </row>
    <row r="1254" spans="1:6" x14ac:dyDescent="0.15">
      <c r="A1254">
        <v>12210213</v>
      </c>
      <c r="B1254">
        <v>12083244</v>
      </c>
      <c r="C1254" t="s">
        <v>163</v>
      </c>
      <c r="D1254" t="s">
        <v>114</v>
      </c>
      <c r="E1254" s="4" t="str">
        <f>HYPERLINK("https://ibp.a2mac1.com/costing(costing:projects/details/9760/equipment/12210213)","Loading + Unloading + Retouching + Checking")</f>
        <v>Loading + Unloading + Retouching + Checking</v>
      </c>
      <c r="F1254" t="s">
        <v>1651</v>
      </c>
    </row>
    <row r="1255" spans="1:6" x14ac:dyDescent="0.15">
      <c r="A1255">
        <v>12083245</v>
      </c>
      <c r="B1255">
        <v>8411615</v>
      </c>
      <c r="C1255" t="s">
        <v>114</v>
      </c>
      <c r="D1255" t="s">
        <v>10</v>
      </c>
      <c r="E1255" s="4" t="str">
        <f>HYPERLINK("https://ibp.a2mac1.com/costing(costing:projects/details/9760/process/12083245)","Injection molding")</f>
        <v>Injection molding</v>
      </c>
      <c r="F1255" t="s">
        <v>1643</v>
      </c>
    </row>
    <row r="1256" spans="1:6" x14ac:dyDescent="0.15">
      <c r="A1256">
        <v>8752269</v>
      </c>
      <c r="B1256">
        <v>12083245</v>
      </c>
      <c r="C1256" t="s">
        <v>22</v>
      </c>
      <c r="D1256" t="s">
        <v>114</v>
      </c>
      <c r="E1256" s="4" t="str">
        <f>HYPERLINK("https://ibp.a2mac1.com/costing(costing:projects/details/9760/material/8752269)","ABS-PC")</f>
        <v>ABS-PC</v>
      </c>
      <c r="F1256" t="s">
        <v>1654</v>
      </c>
    </row>
    <row r="1257" spans="1:6" x14ac:dyDescent="0.15">
      <c r="A1257">
        <v>12210214</v>
      </c>
      <c r="B1257">
        <v>12083245</v>
      </c>
      <c r="C1257" t="s">
        <v>163</v>
      </c>
      <c r="D1257" t="s">
        <v>114</v>
      </c>
      <c r="E1257" s="4" t="str">
        <f>HYPERLINK("https://ibp.a2mac1.com/costing(costing:projects/details/9760/equipment/12210214)","No.05 - Injection Press - 125T - 34kW - 500x500 - Max Volume 260cm3 ")</f>
        <v xml:space="preserve">No.05 - Injection Press - 125T - 34kW - 500x500 - Max Volume 260cm3 </v>
      </c>
      <c r="F1257" t="s">
        <v>1654</v>
      </c>
    </row>
    <row r="1258" spans="1:6" x14ac:dyDescent="0.15">
      <c r="A1258">
        <v>8752240</v>
      </c>
      <c r="B1258">
        <v>8411615</v>
      </c>
      <c r="C1258" t="s">
        <v>311</v>
      </c>
      <c r="D1258" t="s">
        <v>10</v>
      </c>
      <c r="E1258" s="4" t="str">
        <f>HYPERLINK("https://ibp.a2mac1.com/costing(costing:projects/details/9760/component/8752240)","Screw &gt; Cross recessed screw")</f>
        <v>Screw &gt; Cross recessed screw</v>
      </c>
      <c r="F1258" t="s">
        <v>1643</v>
      </c>
    </row>
    <row r="1259" spans="1:6" x14ac:dyDescent="0.15">
      <c r="A1259">
        <v>8752241</v>
      </c>
      <c r="B1259">
        <v>8411615</v>
      </c>
      <c r="C1259" t="s">
        <v>311</v>
      </c>
      <c r="D1259" t="s">
        <v>10</v>
      </c>
      <c r="E1259" s="4" t="str">
        <f>HYPERLINK("https://ibp.a2mac1.com/costing(costing:projects/details/9760/component/8752241)","Fasteners")</f>
        <v>Fasteners</v>
      </c>
      <c r="F1259" t="s">
        <v>1643</v>
      </c>
    </row>
    <row r="1260" spans="1:6" x14ac:dyDescent="0.15">
      <c r="A1260">
        <v>8411616</v>
      </c>
      <c r="B1260">
        <v>8411593</v>
      </c>
      <c r="C1260" t="s">
        <v>10</v>
      </c>
      <c r="D1260" t="s">
        <v>8</v>
      </c>
      <c r="E1260" s="4" t="str">
        <f>HYPERLINK("https://ibp.a2mac1.com/costing(costing:projects/details/9760/part/8411616)","Lower Trim")</f>
        <v>Lower Trim</v>
      </c>
      <c r="F1260" t="s">
        <v>1615</v>
      </c>
    </row>
    <row r="1261" spans="1:6" x14ac:dyDescent="0.15">
      <c r="A1261">
        <v>12083246</v>
      </c>
      <c r="B1261">
        <v>8411616</v>
      </c>
      <c r="C1261" t="s">
        <v>114</v>
      </c>
      <c r="D1261" t="s">
        <v>10</v>
      </c>
      <c r="E1261" s="4" t="str">
        <f>HYPERLINK("https://ibp.a2mac1.com/costing(costing:projects/details/9760/process/12083246)","Painting")</f>
        <v>Painting</v>
      </c>
      <c r="F1261" t="s">
        <v>1658</v>
      </c>
    </row>
    <row r="1262" spans="1:6" x14ac:dyDescent="0.15">
      <c r="A1262">
        <v>8752270</v>
      </c>
      <c r="B1262">
        <v>12083246</v>
      </c>
      <c r="C1262" t="s">
        <v>22</v>
      </c>
      <c r="D1262" t="s">
        <v>114</v>
      </c>
      <c r="E1262" s="4" t="str">
        <f>HYPERLINK("https://ibp.a2mac1.com/costing(costing:projects/details/9760/material/8752270)","Paint - Primer")</f>
        <v>Paint - Primer</v>
      </c>
      <c r="F1262" t="s">
        <v>1661</v>
      </c>
    </row>
    <row r="1263" spans="1:6" x14ac:dyDescent="0.15">
      <c r="A1263">
        <v>8752271</v>
      </c>
      <c r="B1263">
        <v>12083246</v>
      </c>
      <c r="C1263" t="s">
        <v>22</v>
      </c>
      <c r="D1263" t="s">
        <v>114</v>
      </c>
      <c r="E1263" s="4" t="str">
        <f>HYPERLINK("https://ibp.a2mac1.com/costing(costing:projects/details/9760/material/8752271)","Paint - Base")</f>
        <v>Paint - Base</v>
      </c>
      <c r="F1263" t="s">
        <v>1661</v>
      </c>
    </row>
    <row r="1264" spans="1:6" x14ac:dyDescent="0.15">
      <c r="A1264">
        <v>8752272</v>
      </c>
      <c r="B1264">
        <v>12083246</v>
      </c>
      <c r="C1264" t="s">
        <v>22</v>
      </c>
      <c r="D1264" t="s">
        <v>114</v>
      </c>
      <c r="E1264" s="4" t="str">
        <f>HYPERLINK("https://ibp.a2mac1.com/costing(costing:projects/details/9760/material/8752272)","Paint - Clear Coat")</f>
        <v>Paint - Clear Coat</v>
      </c>
      <c r="F1264" t="s">
        <v>1661</v>
      </c>
    </row>
    <row r="1265" spans="1:6" x14ac:dyDescent="0.15">
      <c r="A1265">
        <v>12210215</v>
      </c>
      <c r="B1265">
        <v>12083246</v>
      </c>
      <c r="C1265" t="s">
        <v>163</v>
      </c>
      <c r="D1265" t="s">
        <v>114</v>
      </c>
      <c r="E1265" s="4" t="str">
        <f>HYPERLINK("https://ibp.a2mac1.com/costing(costing:projects/details/9760/equipment/12210215)","No.04 - 60000x6000x3500 - Automatic Painting Line - with 12x100kW on line ovens")</f>
        <v>No.04 - 60000x6000x3500 - Automatic Painting Line - with 12x100kW on line ovens</v>
      </c>
      <c r="F1265" t="s">
        <v>1661</v>
      </c>
    </row>
    <row r="1266" spans="1:6" x14ac:dyDescent="0.15">
      <c r="A1266">
        <v>12083247</v>
      </c>
      <c r="B1266">
        <v>8411616</v>
      </c>
      <c r="C1266" t="s">
        <v>114</v>
      </c>
      <c r="D1266" t="s">
        <v>10</v>
      </c>
      <c r="E1266" s="4" t="str">
        <f>HYPERLINK("https://ibp.a2mac1.com/costing(costing:projects/details/9760/process/12083247)","Loading + Unloading + Retouching + Checking")</f>
        <v>Loading + Unloading + Retouching + Checking</v>
      </c>
      <c r="F1266" t="s">
        <v>1658</v>
      </c>
    </row>
    <row r="1267" spans="1:6" x14ac:dyDescent="0.15">
      <c r="A1267">
        <v>12210216</v>
      </c>
      <c r="B1267">
        <v>12083247</v>
      </c>
      <c r="C1267" t="s">
        <v>163</v>
      </c>
      <c r="D1267" t="s">
        <v>114</v>
      </c>
      <c r="E1267" s="4" t="str">
        <f>HYPERLINK("https://ibp.a2mac1.com/costing(costing:projects/details/9760/equipment/12210216)","Loading + Unloading + Retouching + Checking")</f>
        <v>Loading + Unloading + Retouching + Checking</v>
      </c>
      <c r="F1267" t="s">
        <v>1666</v>
      </c>
    </row>
    <row r="1268" spans="1:6" x14ac:dyDescent="0.15">
      <c r="A1268">
        <v>12083248</v>
      </c>
      <c r="B1268">
        <v>8411616</v>
      </c>
      <c r="C1268" t="s">
        <v>114</v>
      </c>
      <c r="D1268" t="s">
        <v>10</v>
      </c>
      <c r="E1268" s="4" t="str">
        <f>HYPERLINK("https://ibp.a2mac1.com/costing(costing:projects/details/9760/process/12083248)","Injection molding")</f>
        <v>Injection molding</v>
      </c>
      <c r="F1268" t="s">
        <v>1658</v>
      </c>
    </row>
    <row r="1269" spans="1:6" x14ac:dyDescent="0.15">
      <c r="A1269">
        <v>8752273</v>
      </c>
      <c r="B1269">
        <v>12083248</v>
      </c>
      <c r="C1269" t="s">
        <v>22</v>
      </c>
      <c r="D1269" t="s">
        <v>114</v>
      </c>
      <c r="E1269" s="4" t="str">
        <f>HYPERLINK("https://ibp.a2mac1.com/costing(costing:projects/details/9760/material/8752273)","ABS-PC")</f>
        <v>ABS-PC</v>
      </c>
      <c r="F1269" t="s">
        <v>1669</v>
      </c>
    </row>
    <row r="1270" spans="1:6" x14ac:dyDescent="0.15">
      <c r="A1270">
        <v>12210217</v>
      </c>
      <c r="B1270">
        <v>12083248</v>
      </c>
      <c r="C1270" t="s">
        <v>163</v>
      </c>
      <c r="D1270" t="s">
        <v>114</v>
      </c>
      <c r="E1270" s="4" t="str">
        <f>HYPERLINK("https://ibp.a2mac1.com/costing(costing:projects/details/9760/equipment/12210217)","No.01 - Injection Press - 40T - 18kW - 270x270 - Max Volume 128cm3 ")</f>
        <v xml:space="preserve">No.01 - Injection Press - 40T - 18kW - 270x270 - Max Volume 128cm3 </v>
      </c>
      <c r="F1270" t="s">
        <v>1669</v>
      </c>
    </row>
    <row r="1271" spans="1:6" x14ac:dyDescent="0.15">
      <c r="A1271">
        <v>8752242</v>
      </c>
      <c r="B1271">
        <v>8411616</v>
      </c>
      <c r="C1271" t="s">
        <v>311</v>
      </c>
      <c r="D1271" t="s">
        <v>10</v>
      </c>
      <c r="E1271" s="4" t="str">
        <f>HYPERLINK("https://ibp.a2mac1.com/costing(costing:projects/details/9760/component/8752242)","Screw &gt; Cross recessed screw")</f>
        <v>Screw &gt; Cross recessed screw</v>
      </c>
      <c r="F1271" t="s">
        <v>1658</v>
      </c>
    </row>
    <row r="1272" spans="1:6" x14ac:dyDescent="0.15">
      <c r="A1272">
        <v>8752243</v>
      </c>
      <c r="B1272">
        <v>8411616</v>
      </c>
      <c r="C1272" t="s">
        <v>311</v>
      </c>
      <c r="D1272" t="s">
        <v>10</v>
      </c>
      <c r="E1272" s="4" t="str">
        <f>HYPERLINK("https://ibp.a2mac1.com/costing(costing:projects/details/9760/component/8752243)","Fasteners")</f>
        <v>Fasteners</v>
      </c>
      <c r="F1272" t="s">
        <v>1658</v>
      </c>
    </row>
    <row r="1273" spans="1:6" x14ac:dyDescent="0.15">
      <c r="A1273">
        <v>12083199</v>
      </c>
      <c r="B1273">
        <v>8411554</v>
      </c>
      <c r="C1273" t="s">
        <v>114</v>
      </c>
      <c r="D1273" t="s">
        <v>8</v>
      </c>
      <c r="E1273" s="4" t="str">
        <f>HYPERLINK("https://ibp.a2mac1.com/costing(costing:projects/details/9760/process/12083199)","Assembly")</f>
        <v>Assembly</v>
      </c>
      <c r="F1273" t="s">
        <v>1581</v>
      </c>
    </row>
    <row r="1274" spans="1:6" x14ac:dyDescent="0.15">
      <c r="A1274">
        <v>12210168</v>
      </c>
      <c r="B1274">
        <v>12083199</v>
      </c>
      <c r="C1274" t="s">
        <v>163</v>
      </c>
      <c r="D1274" t="s">
        <v>114</v>
      </c>
      <c r="E1274" s="4" t="str">
        <f>HYPERLINK("https://ibp.a2mac1.com/costing(costing:projects/details/9760/equipment/12210168)","DC machine - General")</f>
        <v>DC machine - General</v>
      </c>
      <c r="F1274" t="s">
        <v>1674</v>
      </c>
    </row>
    <row r="1275" spans="1:6" x14ac:dyDescent="0.15">
      <c r="A1275">
        <v>8752019</v>
      </c>
      <c r="B1275">
        <v>8411554</v>
      </c>
      <c r="C1275" t="s">
        <v>311</v>
      </c>
      <c r="D1275" t="s">
        <v>8</v>
      </c>
      <c r="E1275" s="4" t="str">
        <f>HYPERLINK("https://ibp.a2mac1.com/costing(costing:projects/details/9760/component/8752019)","Screw &gt; Hexagon screw with flange")</f>
        <v>Screw &gt; Hexagon screw with flange</v>
      </c>
      <c r="F1275" t="s">
        <v>1581</v>
      </c>
    </row>
    <row r="1276" spans="1:6" x14ac:dyDescent="0.15">
      <c r="A1276">
        <v>8411555</v>
      </c>
      <c r="B1276">
        <v>8411553</v>
      </c>
      <c r="C1276" t="s">
        <v>8</v>
      </c>
      <c r="D1276" t="s">
        <v>8</v>
      </c>
      <c r="E1276" s="4" t="str">
        <f>HYPERLINK("https://ibp.a2mac1.com/costing(costing:projects/details/9760/assembly/8411555)","Steering Shaft Assembly")</f>
        <v>Steering Shaft Assembly</v>
      </c>
      <c r="F1276" t="s">
        <v>1580</v>
      </c>
    </row>
    <row r="1277" spans="1:6" x14ac:dyDescent="0.15">
      <c r="A1277">
        <v>8411597</v>
      </c>
      <c r="B1277">
        <v>8411555</v>
      </c>
      <c r="C1277" t="s">
        <v>8</v>
      </c>
      <c r="D1277" t="s">
        <v>8</v>
      </c>
      <c r="E1277" s="4" t="str">
        <f>HYPERLINK("https://ibp.a2mac1.com/costing(costing:projects/details/9760/assembly/8411597)","Steering Column Assy")</f>
        <v>Steering Column Assy</v>
      </c>
      <c r="F1277" t="s">
        <v>1676</v>
      </c>
    </row>
    <row r="1278" spans="1:6" x14ac:dyDescent="0.15">
      <c r="A1278">
        <v>8411618</v>
      </c>
      <c r="B1278">
        <v>8411597</v>
      </c>
      <c r="C1278" t="s">
        <v>8</v>
      </c>
      <c r="D1278" t="s">
        <v>8</v>
      </c>
      <c r="E1278" s="4" t="str">
        <f>HYPERLINK("https://ibp.a2mac1.com/costing(costing:projects/details/9760/assembly/8411618)","Support")</f>
        <v>Support</v>
      </c>
      <c r="F1278" t="s">
        <v>1677</v>
      </c>
    </row>
    <row r="1279" spans="1:6" x14ac:dyDescent="0.15">
      <c r="A1279">
        <v>8411626</v>
      </c>
      <c r="B1279">
        <v>8411618</v>
      </c>
      <c r="C1279" t="s">
        <v>10</v>
      </c>
      <c r="D1279" t="s">
        <v>8</v>
      </c>
      <c r="E1279" s="4" t="str">
        <f>HYPERLINK("https://ibp.a2mac1.com/costing(costing:projects/details/9760/part/8411626)","Lower Support")</f>
        <v>Lower Support</v>
      </c>
      <c r="F1279" t="s">
        <v>1678</v>
      </c>
    </row>
    <row r="1280" spans="1:6" x14ac:dyDescent="0.15">
      <c r="A1280">
        <v>8411627</v>
      </c>
      <c r="B1280">
        <v>8411618</v>
      </c>
      <c r="C1280" t="s">
        <v>10</v>
      </c>
      <c r="D1280" t="s">
        <v>8</v>
      </c>
      <c r="E1280" s="4" t="str">
        <f>HYPERLINK("https://ibp.a2mac1.com/costing(costing:projects/details/9760/part/8411627)","Upper Support")</f>
        <v>Upper Support</v>
      </c>
      <c r="F1280" t="s">
        <v>1678</v>
      </c>
    </row>
    <row r="1281" spans="1:6" x14ac:dyDescent="0.15">
      <c r="A1281">
        <v>8411628</v>
      </c>
      <c r="B1281">
        <v>8411618</v>
      </c>
      <c r="C1281" t="s">
        <v>10</v>
      </c>
      <c r="D1281" t="s">
        <v>8</v>
      </c>
      <c r="E1281" s="4" t="str">
        <f>HYPERLINK("https://ibp.a2mac1.com/costing(costing:projects/details/9760/part/8411628)","Support on Column")</f>
        <v>Support on Column</v>
      </c>
      <c r="F1281" t="s">
        <v>1678</v>
      </c>
    </row>
    <row r="1282" spans="1:6" x14ac:dyDescent="0.15">
      <c r="A1282">
        <v>8411619</v>
      </c>
      <c r="B1282">
        <v>8411597</v>
      </c>
      <c r="C1282" t="s">
        <v>8</v>
      </c>
      <c r="D1282" t="s">
        <v>8</v>
      </c>
      <c r="E1282" s="4" t="str">
        <f>HYPERLINK("https://ibp.a2mac1.com/costing(costing:projects/details/9760/assembly/8411619)","Electric Adjustment Mechanism")</f>
        <v>Electric Adjustment Mechanism</v>
      </c>
      <c r="F1282" t="s">
        <v>1677</v>
      </c>
    </row>
    <row r="1283" spans="1:6" x14ac:dyDescent="0.15">
      <c r="A1283">
        <v>8411629</v>
      </c>
      <c r="B1283">
        <v>8411619</v>
      </c>
      <c r="C1283" t="s">
        <v>8</v>
      </c>
      <c r="D1283" t="s">
        <v>8</v>
      </c>
      <c r="E1283" s="4" t="str">
        <f>HYPERLINK("https://ibp.a2mac1.com/costing(costing:projects/details/9760/assembly/8411629)","Depth Adjustment")</f>
        <v>Depth Adjustment</v>
      </c>
      <c r="F1283" t="s">
        <v>1682</v>
      </c>
    </row>
    <row r="1284" spans="1:6" x14ac:dyDescent="0.15">
      <c r="A1284">
        <v>8411639</v>
      </c>
      <c r="B1284">
        <v>8411629</v>
      </c>
      <c r="C1284" t="s">
        <v>10</v>
      </c>
      <c r="D1284" t="s">
        <v>8</v>
      </c>
      <c r="E1284" s="4" t="str">
        <f>HYPERLINK("https://ibp.a2mac1.com/costing(costing:projects/details/9760/part/8411639)","Motor")</f>
        <v>Motor</v>
      </c>
      <c r="F1284" t="s">
        <v>1683</v>
      </c>
    </row>
    <row r="1285" spans="1:6" x14ac:dyDescent="0.15">
      <c r="A1285">
        <v>8411640</v>
      </c>
      <c r="B1285">
        <v>8411629</v>
      </c>
      <c r="C1285" t="s">
        <v>10</v>
      </c>
      <c r="D1285" t="s">
        <v>8</v>
      </c>
      <c r="E1285" s="4" t="str">
        <f>HYPERLINK("https://ibp.a2mac1.com/costing(costing:projects/details/9760/part/8411640)","Mechanism")</f>
        <v>Mechanism</v>
      </c>
      <c r="F1285" t="s">
        <v>1683</v>
      </c>
    </row>
    <row r="1286" spans="1:6" x14ac:dyDescent="0.15">
      <c r="A1286">
        <v>8411641</v>
      </c>
      <c r="B1286">
        <v>8411629</v>
      </c>
      <c r="C1286" t="s">
        <v>10</v>
      </c>
      <c r="D1286" t="s">
        <v>8</v>
      </c>
      <c r="E1286" s="4" t="str">
        <f>HYPERLINK("https://ibp.a2mac1.com/costing(costing:projects/details/9760/part/8411641)","Motor Support")</f>
        <v>Motor Support</v>
      </c>
      <c r="F1286" t="s">
        <v>1683</v>
      </c>
    </row>
    <row r="1287" spans="1:6" x14ac:dyDescent="0.15">
      <c r="A1287">
        <v>8411642</v>
      </c>
      <c r="B1287">
        <v>8411629</v>
      </c>
      <c r="C1287" t="s">
        <v>10</v>
      </c>
      <c r="D1287" t="s">
        <v>8</v>
      </c>
      <c r="E1287" s="4" t="str">
        <f>HYPERLINK("https://ibp.a2mac1.com/costing(costing:projects/details/9760/part/8411642)","Mechanism Support")</f>
        <v>Mechanism Support</v>
      </c>
      <c r="F1287" t="s">
        <v>1683</v>
      </c>
    </row>
    <row r="1288" spans="1:6" x14ac:dyDescent="0.15">
      <c r="A1288">
        <v>8411643</v>
      </c>
      <c r="B1288">
        <v>8411629</v>
      </c>
      <c r="C1288" t="s">
        <v>10</v>
      </c>
      <c r="D1288" t="s">
        <v>8</v>
      </c>
      <c r="E1288" s="4" t="str">
        <f>HYPERLINK("https://ibp.a2mac1.com/costing(costing:projects/details/9760/part/8411643)","2nd Mechanism")</f>
        <v>2nd Mechanism</v>
      </c>
      <c r="F1288" t="s">
        <v>1683</v>
      </c>
    </row>
    <row r="1289" spans="1:6" x14ac:dyDescent="0.15">
      <c r="A1289">
        <v>8411644</v>
      </c>
      <c r="B1289">
        <v>8411629</v>
      </c>
      <c r="C1289" t="s">
        <v>10</v>
      </c>
      <c r="D1289" t="s">
        <v>8</v>
      </c>
      <c r="E1289" s="4" t="str">
        <f>HYPERLINK("https://ibp.a2mac1.com/costing(costing:projects/details/9760/part/8411644)","Guide")</f>
        <v>Guide</v>
      </c>
      <c r="F1289" t="s">
        <v>1683</v>
      </c>
    </row>
    <row r="1290" spans="1:6" x14ac:dyDescent="0.15">
      <c r="A1290">
        <v>8411645</v>
      </c>
      <c r="B1290">
        <v>8411629</v>
      </c>
      <c r="C1290" t="s">
        <v>10</v>
      </c>
      <c r="D1290" t="s">
        <v>8</v>
      </c>
      <c r="E1290" s="4" t="str">
        <f>HYPERLINK("https://ibp.a2mac1.com/costing(costing:projects/details/9760/part/8411645)","Guide Support")</f>
        <v>Guide Support</v>
      </c>
      <c r="F1290" t="s">
        <v>1683</v>
      </c>
    </row>
    <row r="1291" spans="1:6" x14ac:dyDescent="0.15">
      <c r="A1291">
        <v>12083253</v>
      </c>
      <c r="B1291">
        <v>8411629</v>
      </c>
      <c r="C1291" t="s">
        <v>114</v>
      </c>
      <c r="D1291" t="s">
        <v>8</v>
      </c>
      <c r="E1291" s="4" t="str">
        <f>HYPERLINK("https://ibp.a2mac1.com/costing(costing:projects/details/9760/process/12083253)","Pre-Assembly Movement System")</f>
        <v>Pre-Assembly Movement System</v>
      </c>
      <c r="F1291" t="s">
        <v>1683</v>
      </c>
    </row>
    <row r="1292" spans="1:6" x14ac:dyDescent="0.15">
      <c r="A1292">
        <v>12210299</v>
      </c>
      <c r="B1292">
        <v>12083253</v>
      </c>
      <c r="C1292" t="s">
        <v>163</v>
      </c>
      <c r="D1292" t="s">
        <v>114</v>
      </c>
      <c r="E1292" s="4" t="str">
        <f>HYPERLINK("https://ibp.a2mac1.com/costing(costing:projects/details/9760/equipment/12210299)","4Station Assembly line for mechanical mechanism and motor (steering column)")</f>
        <v>4Station Assembly line for mechanical mechanism and motor (steering column)</v>
      </c>
      <c r="F1292" t="s">
        <v>1686</v>
      </c>
    </row>
    <row r="1293" spans="1:6" x14ac:dyDescent="0.15">
      <c r="A1293">
        <v>8411630</v>
      </c>
      <c r="B1293">
        <v>8411619</v>
      </c>
      <c r="C1293" t="s">
        <v>8</v>
      </c>
      <c r="D1293" t="s">
        <v>8</v>
      </c>
      <c r="E1293" s="4" t="str">
        <f>HYPERLINK("https://ibp.a2mac1.com/costing(costing:projects/details/9760/assembly/8411630)","Height Adjustment")</f>
        <v>Height Adjustment</v>
      </c>
      <c r="F1293" t="s">
        <v>1682</v>
      </c>
    </row>
    <row r="1294" spans="1:6" x14ac:dyDescent="0.15">
      <c r="A1294">
        <v>8411646</v>
      </c>
      <c r="B1294">
        <v>8411630</v>
      </c>
      <c r="C1294" t="s">
        <v>10</v>
      </c>
      <c r="D1294" t="s">
        <v>8</v>
      </c>
      <c r="E1294" s="4" t="str">
        <f>HYPERLINK("https://ibp.a2mac1.com/costing(costing:projects/details/9760/part/8411646)","Motor")</f>
        <v>Motor</v>
      </c>
      <c r="F1294" t="s">
        <v>1689</v>
      </c>
    </row>
    <row r="1295" spans="1:6" x14ac:dyDescent="0.15">
      <c r="A1295">
        <v>8411647</v>
      </c>
      <c r="B1295">
        <v>8411630</v>
      </c>
      <c r="C1295" t="s">
        <v>10</v>
      </c>
      <c r="D1295" t="s">
        <v>8</v>
      </c>
      <c r="E1295" s="4" t="str">
        <f>HYPERLINK("https://ibp.a2mac1.com/costing(costing:projects/details/9760/part/8411647)","Mechanism")</f>
        <v>Mechanism</v>
      </c>
      <c r="F1295" t="s">
        <v>1689</v>
      </c>
    </row>
    <row r="1296" spans="1:6" x14ac:dyDescent="0.15">
      <c r="A1296">
        <v>12083254</v>
      </c>
      <c r="B1296">
        <v>8411630</v>
      </c>
      <c r="C1296" t="s">
        <v>114</v>
      </c>
      <c r="D1296" t="s">
        <v>8</v>
      </c>
      <c r="E1296" s="4" t="str">
        <f>HYPERLINK("https://ibp.a2mac1.com/costing(costing:projects/details/9760/process/12083254)","Pre-Assembly Movement System")</f>
        <v>Pre-Assembly Movement System</v>
      </c>
      <c r="F1296" t="s">
        <v>1689</v>
      </c>
    </row>
    <row r="1297" spans="1:6" x14ac:dyDescent="0.15">
      <c r="A1297">
        <v>12210300</v>
      </c>
      <c r="B1297">
        <v>12083254</v>
      </c>
      <c r="C1297" t="s">
        <v>163</v>
      </c>
      <c r="D1297" t="s">
        <v>114</v>
      </c>
      <c r="E1297" s="4" t="str">
        <f>HYPERLINK("https://ibp.a2mac1.com/costing(costing:projects/details/9760/equipment/12210300)","4Station Assembly line for mechanical mechanism and motor (steering column)")</f>
        <v>4Station Assembly line for mechanical mechanism and motor (steering column)</v>
      </c>
      <c r="F1297" t="s">
        <v>1690</v>
      </c>
    </row>
    <row r="1298" spans="1:6" x14ac:dyDescent="0.15">
      <c r="A1298">
        <v>8411617</v>
      </c>
      <c r="B1298">
        <v>8411597</v>
      </c>
      <c r="C1298" t="s">
        <v>10</v>
      </c>
      <c r="D1298" t="s">
        <v>8</v>
      </c>
      <c r="E1298" s="4" t="str">
        <f>HYPERLINK("https://ibp.a2mac1.com/costing(costing:projects/details/9760/part/8411617)","Steering Column Parts")</f>
        <v>Steering Column Parts</v>
      </c>
      <c r="F1298" t="s">
        <v>1677</v>
      </c>
    </row>
    <row r="1299" spans="1:6" x14ac:dyDescent="0.15">
      <c r="A1299">
        <v>12083249</v>
      </c>
      <c r="B1299">
        <v>8411617</v>
      </c>
      <c r="C1299" t="s">
        <v>114</v>
      </c>
      <c r="D1299" t="s">
        <v>10</v>
      </c>
      <c r="E1299" s="4" t="str">
        <f>HYPERLINK("https://ibp.a2mac1.com/costing(costing:projects/details/9760/process/12083249)","Process")</f>
        <v>Process</v>
      </c>
      <c r="F1299" t="s">
        <v>1691</v>
      </c>
    </row>
    <row r="1300" spans="1:6" x14ac:dyDescent="0.15">
      <c r="A1300">
        <v>8752274</v>
      </c>
      <c r="B1300">
        <v>12083249</v>
      </c>
      <c r="C1300" t="s">
        <v>22</v>
      </c>
      <c r="D1300" t="s">
        <v>114</v>
      </c>
      <c r="E1300" s="4" t="str">
        <f>HYPERLINK("https://ibp.a2mac1.com/costing(costing:projects/details/9760/material/8752274)","Material")</f>
        <v>Material</v>
      </c>
      <c r="F1300" t="s">
        <v>1693</v>
      </c>
    </row>
    <row r="1301" spans="1:6" x14ac:dyDescent="0.15">
      <c r="A1301">
        <v>12210218</v>
      </c>
      <c r="B1301">
        <v>12083249</v>
      </c>
      <c r="C1301" t="s">
        <v>163</v>
      </c>
      <c r="D1301" t="s">
        <v>114</v>
      </c>
      <c r="E1301" s="4" t="str">
        <f>HYPERLINK("https://ibp.a2mac1.com/costing(costing:projects/details/9760/equipment/12210218)","General production process (0.5-10€)")</f>
        <v>General production process (0.5-10€)</v>
      </c>
      <c r="F1301" t="s">
        <v>1693</v>
      </c>
    </row>
    <row r="1302" spans="1:6" x14ac:dyDescent="0.15">
      <c r="A1302">
        <v>12083223</v>
      </c>
      <c r="B1302">
        <v>8411597</v>
      </c>
      <c r="C1302" t="s">
        <v>114</v>
      </c>
      <c r="D1302" t="s">
        <v>8</v>
      </c>
      <c r="E1302" s="4" t="str">
        <f>HYPERLINK("https://ibp.a2mac1.com/costing(costing:projects/details/9760/process/12083223)","Process")</f>
        <v>Process</v>
      </c>
      <c r="F1302" t="s">
        <v>1677</v>
      </c>
    </row>
    <row r="1303" spans="1:6" x14ac:dyDescent="0.15">
      <c r="A1303">
        <v>12210170</v>
      </c>
      <c r="B1303">
        <v>12083223</v>
      </c>
      <c r="C1303" t="s">
        <v>163</v>
      </c>
      <c r="D1303" t="s">
        <v>114</v>
      </c>
      <c r="E1303" s="4" t="str">
        <f>HYPERLINK("https://ibp.a2mac1.com/costing(costing:projects/details/9760/equipment/12210170)","General production process (0.5-10€)")</f>
        <v>General production process (0.5-10€)</v>
      </c>
      <c r="F1303" t="s">
        <v>1696</v>
      </c>
    </row>
    <row r="1304" spans="1:6" x14ac:dyDescent="0.15">
      <c r="A1304">
        <v>8411598</v>
      </c>
      <c r="B1304">
        <v>8411555</v>
      </c>
      <c r="C1304" t="s">
        <v>8</v>
      </c>
      <c r="D1304" t="s">
        <v>8</v>
      </c>
      <c r="E1304" s="4" t="str">
        <f>HYPERLINK("https://ibp.a2mac1.com/costing(costing:projects/details/9760/assembly/8411598)","Column Coupling")</f>
        <v>Column Coupling</v>
      </c>
      <c r="F1304" t="s">
        <v>1676</v>
      </c>
    </row>
    <row r="1305" spans="1:6" x14ac:dyDescent="0.15">
      <c r="A1305">
        <v>8411620</v>
      </c>
      <c r="B1305">
        <v>8411598</v>
      </c>
      <c r="C1305" t="s">
        <v>10</v>
      </c>
      <c r="D1305" t="s">
        <v>8</v>
      </c>
      <c r="E1305" s="4" t="str">
        <f>HYPERLINK("https://ibp.a2mac1.com/costing(costing:projects/details/9760/part/8411620)","Column Coupling")</f>
        <v>Column Coupling</v>
      </c>
      <c r="F1305" t="s">
        <v>1699</v>
      </c>
    </row>
    <row r="1306" spans="1:6" x14ac:dyDescent="0.15">
      <c r="A1306">
        <v>12083250</v>
      </c>
      <c r="B1306">
        <v>8411620</v>
      </c>
      <c r="C1306" t="s">
        <v>114</v>
      </c>
      <c r="D1306" t="s">
        <v>10</v>
      </c>
      <c r="E1306" s="4" t="str">
        <f>HYPERLINK("https://ibp.a2mac1.com/costing(costing:projects/details/9760/process/12083250)","Process")</f>
        <v>Process</v>
      </c>
      <c r="F1306" t="s">
        <v>1700</v>
      </c>
    </row>
    <row r="1307" spans="1:6" x14ac:dyDescent="0.15">
      <c r="A1307">
        <v>8752275</v>
      </c>
      <c r="B1307">
        <v>12083250</v>
      </c>
      <c r="C1307" t="s">
        <v>22</v>
      </c>
      <c r="D1307" t="s">
        <v>114</v>
      </c>
      <c r="E1307" s="4" t="str">
        <f>HYPERLINK("https://ibp.a2mac1.com/costing(costing:projects/details/9760/material/8752275)","Material")</f>
        <v>Material</v>
      </c>
      <c r="F1307" t="s">
        <v>1702</v>
      </c>
    </row>
    <row r="1308" spans="1:6" x14ac:dyDescent="0.15">
      <c r="A1308">
        <v>12210219</v>
      </c>
      <c r="B1308">
        <v>12083250</v>
      </c>
      <c r="C1308" t="s">
        <v>163</v>
      </c>
      <c r="D1308" t="s">
        <v>114</v>
      </c>
      <c r="E1308" s="4" t="str">
        <f>HYPERLINK("https://ibp.a2mac1.com/costing(costing:projects/details/9760/equipment/12210219)","General production process (0.5-10€)")</f>
        <v>General production process (0.5-10€)</v>
      </c>
      <c r="F1308" t="s">
        <v>1702</v>
      </c>
    </row>
    <row r="1309" spans="1:6" x14ac:dyDescent="0.15">
      <c r="A1309">
        <v>12083224</v>
      </c>
      <c r="B1309">
        <v>8411598</v>
      </c>
      <c r="C1309" t="s">
        <v>114</v>
      </c>
      <c r="D1309" t="s">
        <v>8</v>
      </c>
      <c r="E1309" s="4" t="str">
        <f>HYPERLINK("https://ibp.a2mac1.com/costing(costing:projects/details/9760/process/12083224)","Process")</f>
        <v>Process</v>
      </c>
      <c r="F1309" t="s">
        <v>1699</v>
      </c>
    </row>
    <row r="1310" spans="1:6" x14ac:dyDescent="0.15">
      <c r="A1310">
        <v>12210171</v>
      </c>
      <c r="B1310">
        <v>12083224</v>
      </c>
      <c r="C1310" t="s">
        <v>163</v>
      </c>
      <c r="D1310" t="s">
        <v>114</v>
      </c>
      <c r="E1310" s="4" t="str">
        <f>HYPERLINK("https://ibp.a2mac1.com/costing(costing:projects/details/9760/equipment/12210171)","General production process (0.5-10€)")</f>
        <v>General production process (0.5-10€)</v>
      </c>
      <c r="F1310" t="s">
        <v>1705</v>
      </c>
    </row>
    <row r="1311" spans="1:6" x14ac:dyDescent="0.15">
      <c r="A1311">
        <v>8411600</v>
      </c>
      <c r="B1311">
        <v>8411555</v>
      </c>
      <c r="C1311" t="s">
        <v>8</v>
      </c>
      <c r="D1311" t="s">
        <v>8</v>
      </c>
      <c r="E1311" s="4" t="str">
        <f>HYPERLINK("https://ibp.a2mac1.com/costing(costing:projects/details/9760/assembly/8411600)","Column Covers")</f>
        <v>Column Covers</v>
      </c>
      <c r="F1311" t="s">
        <v>1676</v>
      </c>
    </row>
    <row r="1312" spans="1:6" x14ac:dyDescent="0.15">
      <c r="A1312">
        <v>8411621</v>
      </c>
      <c r="B1312">
        <v>8411600</v>
      </c>
      <c r="C1312" t="s">
        <v>8</v>
      </c>
      <c r="D1312" t="s">
        <v>8</v>
      </c>
      <c r="E1312" s="4" t="str">
        <f>HYPERLINK("https://ibp.a2mac1.com/costing(costing:projects/details/9760/assembly/8411621)","Steering Switch Cover")</f>
        <v>Steering Switch Cover</v>
      </c>
      <c r="F1312" t="s">
        <v>1708</v>
      </c>
    </row>
    <row r="1313" spans="1:6" x14ac:dyDescent="0.15">
      <c r="A1313">
        <v>8411632</v>
      </c>
      <c r="B1313">
        <v>8411621</v>
      </c>
      <c r="C1313" t="s">
        <v>8</v>
      </c>
      <c r="D1313" t="s">
        <v>8</v>
      </c>
      <c r="E1313" s="4" t="str">
        <f>HYPERLINK("https://ibp.a2mac1.com/costing(costing:projects/details/9760/assembly/8411632)","Steering Switch Covers Lower")</f>
        <v>Steering Switch Covers Lower</v>
      </c>
      <c r="F1313" t="s">
        <v>1709</v>
      </c>
    </row>
    <row r="1314" spans="1:6" x14ac:dyDescent="0.15">
      <c r="A1314">
        <v>8411648</v>
      </c>
      <c r="B1314">
        <v>8411632</v>
      </c>
      <c r="C1314" t="s">
        <v>10</v>
      </c>
      <c r="D1314" t="s">
        <v>8</v>
      </c>
      <c r="E1314" s="4" t="str">
        <f>HYPERLINK("https://ibp.a2mac1.com/costing(costing:projects/details/9760/part/8411648)","Cover")</f>
        <v>Cover</v>
      </c>
      <c r="F1314" t="s">
        <v>1710</v>
      </c>
    </row>
    <row r="1315" spans="1:6" x14ac:dyDescent="0.15">
      <c r="A1315">
        <v>12083258</v>
      </c>
      <c r="B1315">
        <v>8411648</v>
      </c>
      <c r="C1315" t="s">
        <v>114</v>
      </c>
      <c r="D1315" t="s">
        <v>10</v>
      </c>
      <c r="E1315" s="4" t="str">
        <f>HYPERLINK("https://ibp.a2mac1.com/costing(costing:projects/details/9760/process/12083258)","Automated Process")</f>
        <v>Automated Process</v>
      </c>
      <c r="F1315" t="s">
        <v>1711</v>
      </c>
    </row>
    <row r="1316" spans="1:6" x14ac:dyDescent="0.15">
      <c r="A1316">
        <v>8752277</v>
      </c>
      <c r="B1316">
        <v>12083258</v>
      </c>
      <c r="C1316" t="s">
        <v>22</v>
      </c>
      <c r="D1316" t="s">
        <v>114</v>
      </c>
      <c r="E1316" s="4" t="str">
        <f>HYPERLINK("https://ibp.a2mac1.com/costing(costing:projects/details/9760/material/8752277)","PP-EPDM-TD10 adjusted (part)")</f>
        <v>PP-EPDM-TD10 adjusted (part)</v>
      </c>
      <c r="F1316" t="s">
        <v>1712</v>
      </c>
    </row>
    <row r="1317" spans="1:6" x14ac:dyDescent="0.15">
      <c r="A1317">
        <v>12210302</v>
      </c>
      <c r="B1317">
        <v>12083258</v>
      </c>
      <c r="C1317" t="s">
        <v>163</v>
      </c>
      <c r="D1317" t="s">
        <v>114</v>
      </c>
      <c r="E1317" s="4" t="str">
        <f>HYPERLINK("https://ibp.a2mac1.com/costing(costing:projects/details/9760/equipment/12210302)","DC machine - General")</f>
        <v>DC machine - General</v>
      </c>
      <c r="F1317" t="s">
        <v>1712</v>
      </c>
    </row>
    <row r="1318" spans="1:6" x14ac:dyDescent="0.15">
      <c r="A1318">
        <v>8411631</v>
      </c>
      <c r="B1318">
        <v>8411621</v>
      </c>
      <c r="C1318" t="s">
        <v>10</v>
      </c>
      <c r="D1318" t="s">
        <v>8</v>
      </c>
      <c r="E1318" s="4" t="str">
        <f>HYPERLINK("https://ibp.a2mac1.com/costing(costing:projects/details/9760/part/8411631)","Steering Switch Covers Upper")</f>
        <v>Steering Switch Covers Upper</v>
      </c>
      <c r="F1318" t="s">
        <v>1709</v>
      </c>
    </row>
    <row r="1319" spans="1:6" x14ac:dyDescent="0.15">
      <c r="A1319">
        <v>12083255</v>
      </c>
      <c r="B1319">
        <v>8411631</v>
      </c>
      <c r="C1319" t="s">
        <v>114</v>
      </c>
      <c r="D1319" t="s">
        <v>10</v>
      </c>
      <c r="E1319" s="4" t="str">
        <f>HYPERLINK("https://ibp.a2mac1.com/costing(costing:projects/details/9760/process/12083255)","Automated Process")</f>
        <v>Automated Process</v>
      </c>
      <c r="F1319" t="s">
        <v>1715</v>
      </c>
    </row>
    <row r="1320" spans="1:6" x14ac:dyDescent="0.15">
      <c r="A1320">
        <v>8752276</v>
      </c>
      <c r="B1320">
        <v>12083255</v>
      </c>
      <c r="C1320" t="s">
        <v>22</v>
      </c>
      <c r="D1320" t="s">
        <v>114</v>
      </c>
      <c r="E1320" s="4" t="str">
        <f>HYPERLINK("https://ibp.a2mac1.com/costing(costing:projects/details/9760/material/8752276)","PP-EPDM-TD10 adjusted (part)")</f>
        <v>PP-EPDM-TD10 adjusted (part)</v>
      </c>
      <c r="F1320" t="s">
        <v>1716</v>
      </c>
    </row>
    <row r="1321" spans="1:6" x14ac:dyDescent="0.15">
      <c r="A1321">
        <v>12210301</v>
      </c>
      <c r="B1321">
        <v>12083255</v>
      </c>
      <c r="C1321" t="s">
        <v>163</v>
      </c>
      <c r="D1321" t="s">
        <v>114</v>
      </c>
      <c r="E1321" s="4" t="str">
        <f>HYPERLINK("https://ibp.a2mac1.com/costing(costing:projects/details/9760/equipment/12210301)","DC machine - General")</f>
        <v>DC machine - General</v>
      </c>
      <c r="F1321" t="s">
        <v>1716</v>
      </c>
    </row>
    <row r="1322" spans="1:6" x14ac:dyDescent="0.15">
      <c r="A1322">
        <v>8411603</v>
      </c>
      <c r="B1322">
        <v>8411555</v>
      </c>
      <c r="C1322" t="s">
        <v>8</v>
      </c>
      <c r="D1322" t="s">
        <v>8</v>
      </c>
      <c r="E1322" s="4" t="str">
        <f>HYPERLINK("https://ibp.a2mac1.com/costing(costing:projects/details/9760/assembly/8411603)","Ignition Switch Assembly System")</f>
        <v>Ignition Switch Assembly System</v>
      </c>
      <c r="F1322" t="s">
        <v>1676</v>
      </c>
    </row>
    <row r="1323" spans="1:6" x14ac:dyDescent="0.15">
      <c r="A1323">
        <v>8411622</v>
      </c>
      <c r="B1323">
        <v>8411603</v>
      </c>
      <c r="C1323" t="s">
        <v>10</v>
      </c>
      <c r="D1323" t="s">
        <v>8</v>
      </c>
      <c r="E1323" s="4" t="str">
        <f>HYPERLINK("https://ibp.a2mac1.com/costing(costing:projects/details/9760/part/8411622)","Car Keys")</f>
        <v>Car Keys</v>
      </c>
      <c r="F1323" t="s">
        <v>1720</v>
      </c>
    </row>
    <row r="1324" spans="1:6" x14ac:dyDescent="0.15">
      <c r="A1324">
        <v>8411594</v>
      </c>
      <c r="B1324">
        <v>8411555</v>
      </c>
      <c r="C1324" t="s">
        <v>10</v>
      </c>
      <c r="D1324" t="s">
        <v>8</v>
      </c>
      <c r="E1324" s="4" t="str">
        <f>HYPERLINK("https://ibp.a2mac1.com/costing(costing:projects/details/9760/part/8411594)","Seal Dash Panel (Inner/Single)")</f>
        <v>Seal Dash Panel (Inner/Single)</v>
      </c>
      <c r="F1324" t="s">
        <v>1676</v>
      </c>
    </row>
    <row r="1325" spans="1:6" x14ac:dyDescent="0.15">
      <c r="A1325">
        <v>8411595</v>
      </c>
      <c r="B1325">
        <v>8411555</v>
      </c>
      <c r="C1325" t="s">
        <v>10</v>
      </c>
      <c r="D1325" t="s">
        <v>8</v>
      </c>
      <c r="E1325" s="4" t="str">
        <f>HYPERLINK("https://ibp.a2mac1.com/costing(costing:projects/details/9760/part/8411595)","2nd Seal Dash Panel (Engine Side)")</f>
        <v>2nd Seal Dash Panel (Engine Side)</v>
      </c>
      <c r="F1325" t="s">
        <v>1676</v>
      </c>
    </row>
    <row r="1326" spans="1:6" x14ac:dyDescent="0.15">
      <c r="A1326">
        <v>8411596</v>
      </c>
      <c r="B1326">
        <v>8411555</v>
      </c>
      <c r="C1326" t="s">
        <v>10</v>
      </c>
      <c r="D1326" t="s">
        <v>8</v>
      </c>
      <c r="E1326" s="4" t="str">
        <f>HYPERLINK("https://ibp.a2mac1.com/costing(costing:projects/details/9760/part/8411596)","Seal Ring Support")</f>
        <v>Seal Ring Support</v>
      </c>
      <c r="F1326" t="s">
        <v>1676</v>
      </c>
    </row>
    <row r="1327" spans="1:6" x14ac:dyDescent="0.15">
      <c r="A1327">
        <v>8411599</v>
      </c>
      <c r="B1327">
        <v>8411555</v>
      </c>
      <c r="C1327" t="s">
        <v>10</v>
      </c>
      <c r="D1327" t="s">
        <v>8</v>
      </c>
      <c r="E1327" s="4" t="str">
        <f>HYPERLINK("https://ibp.a2mac1.com/costing(costing:projects/details/9760/part/8411599)","Turning Switch")</f>
        <v>Turning Switch</v>
      </c>
      <c r="F1327" t="s">
        <v>1676</v>
      </c>
    </row>
    <row r="1328" spans="1:6" x14ac:dyDescent="0.15">
      <c r="A1328">
        <v>8411601</v>
      </c>
      <c r="B1328">
        <v>8411555</v>
      </c>
      <c r="C1328" t="s">
        <v>10</v>
      </c>
      <c r="D1328" t="s">
        <v>8</v>
      </c>
      <c r="E1328" s="4" t="str">
        <f>HYPERLINK("https://ibp.a2mac1.com/costing(costing:projects/details/9760/part/8411601)","Steering Adjuster Cover")</f>
        <v>Steering Adjuster Cover</v>
      </c>
      <c r="F1328" t="s">
        <v>1676</v>
      </c>
    </row>
    <row r="1329" spans="1:6" x14ac:dyDescent="0.15">
      <c r="A1329">
        <v>12083225</v>
      </c>
      <c r="B1329">
        <v>8411601</v>
      </c>
      <c r="C1329" t="s">
        <v>114</v>
      </c>
      <c r="D1329" t="s">
        <v>10</v>
      </c>
      <c r="E1329" s="4" t="str">
        <f>HYPERLINK("https://ibp.a2mac1.com/costing(costing:projects/details/9760/process/12083225)","Automated Process")</f>
        <v>Automated Process</v>
      </c>
      <c r="F1329" t="s">
        <v>1729</v>
      </c>
    </row>
    <row r="1330" spans="1:6" x14ac:dyDescent="0.15">
      <c r="A1330">
        <v>8752244</v>
      </c>
      <c r="B1330">
        <v>12083225</v>
      </c>
      <c r="C1330" t="s">
        <v>22</v>
      </c>
      <c r="D1330" t="s">
        <v>114</v>
      </c>
      <c r="E1330" s="4" t="str">
        <f>HYPERLINK("https://ibp.a2mac1.com/costing(costing:projects/details/9760/material/8752244)","ABS;Leather")</f>
        <v>ABS;Leather</v>
      </c>
      <c r="F1330" t="s">
        <v>1730</v>
      </c>
    </row>
    <row r="1331" spans="1:6" x14ac:dyDescent="0.15">
      <c r="A1331">
        <v>12210172</v>
      </c>
      <c r="B1331">
        <v>12083225</v>
      </c>
      <c r="C1331" t="s">
        <v>163</v>
      </c>
      <c r="D1331" t="s">
        <v>114</v>
      </c>
      <c r="E1331" s="4" t="str">
        <f>HYPERLINK("https://ibp.a2mac1.com/costing(costing:projects/details/9760/equipment/12210172)","DC machine - General")</f>
        <v>DC machine - General</v>
      </c>
      <c r="F1331" t="s">
        <v>1730</v>
      </c>
    </row>
    <row r="1332" spans="1:6" x14ac:dyDescent="0.15">
      <c r="A1332">
        <v>8411602</v>
      </c>
      <c r="B1332">
        <v>8411555</v>
      </c>
      <c r="C1332" t="s">
        <v>10</v>
      </c>
      <c r="D1332" t="s">
        <v>8</v>
      </c>
      <c r="E1332" s="4" t="str">
        <f>HYPERLINK("https://ibp.a2mac1.com/costing(costing:projects/details/9760/part/8411602)","Steering Adjuster Cover Support")</f>
        <v>Steering Adjuster Cover Support</v>
      </c>
      <c r="F1332" t="s">
        <v>1676</v>
      </c>
    </row>
    <row r="1333" spans="1:6" x14ac:dyDescent="0.15">
      <c r="A1333">
        <v>12083226</v>
      </c>
      <c r="B1333">
        <v>8411602</v>
      </c>
      <c r="C1333" t="s">
        <v>114</v>
      </c>
      <c r="D1333" t="s">
        <v>10</v>
      </c>
      <c r="E1333" s="4" t="str">
        <f>HYPERLINK("https://ibp.a2mac1.com/costing(costing:projects/details/9760/process/12083226)","Automated Process")</f>
        <v>Automated Process</v>
      </c>
      <c r="F1333" t="s">
        <v>1733</v>
      </c>
    </row>
    <row r="1334" spans="1:6" x14ac:dyDescent="0.15">
      <c r="A1334">
        <v>8752245</v>
      </c>
      <c r="B1334">
        <v>12083226</v>
      </c>
      <c r="C1334" t="s">
        <v>22</v>
      </c>
      <c r="D1334" t="s">
        <v>114</v>
      </c>
      <c r="E1334" s="4" t="str">
        <f>HYPERLINK("https://ibp.a2mac1.com/costing(costing:projects/details/9760/material/8752245)","ABS adjusted (part)")</f>
        <v>ABS adjusted (part)</v>
      </c>
      <c r="F1334" t="s">
        <v>1734</v>
      </c>
    </row>
    <row r="1335" spans="1:6" x14ac:dyDescent="0.15">
      <c r="A1335">
        <v>12210173</v>
      </c>
      <c r="B1335">
        <v>12083226</v>
      </c>
      <c r="C1335" t="s">
        <v>163</v>
      </c>
      <c r="D1335" t="s">
        <v>114</v>
      </c>
      <c r="E1335" s="4" t="str">
        <f>HYPERLINK("https://ibp.a2mac1.com/costing(costing:projects/details/9760/equipment/12210173)","DC machine - General")</f>
        <v>DC machine - General</v>
      </c>
      <c r="F1335" t="s">
        <v>1734</v>
      </c>
    </row>
    <row r="1336" spans="1:6" x14ac:dyDescent="0.15">
      <c r="A1336">
        <v>8411556</v>
      </c>
      <c r="B1336">
        <v>8411553</v>
      </c>
      <c r="C1336" t="s">
        <v>8</v>
      </c>
      <c r="D1336" t="s">
        <v>8</v>
      </c>
      <c r="E1336" s="4" t="str">
        <f>HYPERLINK("https://ibp.a2mac1.com/costing(costing:projects/details/9760/assembly/8411556)","Steering Bar")</f>
        <v>Steering Bar</v>
      </c>
      <c r="F1336" t="s">
        <v>1580</v>
      </c>
    </row>
    <row r="1337" spans="1:6" x14ac:dyDescent="0.15">
      <c r="A1337">
        <v>8411606</v>
      </c>
      <c r="B1337">
        <v>8411556</v>
      </c>
      <c r="C1337" t="s">
        <v>8</v>
      </c>
      <c r="D1337" t="s">
        <v>8</v>
      </c>
      <c r="E1337" s="4" t="str">
        <f>HYPERLINK("https://ibp.a2mac1.com/costing(costing:projects/details/9760/assembly/8411606)","Tie Rod End")</f>
        <v>Tie Rod End</v>
      </c>
      <c r="F1337" t="s">
        <v>1737</v>
      </c>
    </row>
    <row r="1338" spans="1:6" x14ac:dyDescent="0.15">
      <c r="A1338">
        <v>8411623</v>
      </c>
      <c r="B1338">
        <v>8411606</v>
      </c>
      <c r="C1338" t="s">
        <v>10</v>
      </c>
      <c r="D1338" t="s">
        <v>8</v>
      </c>
      <c r="E1338" s="4" t="str">
        <f>HYPERLINK("https://ibp.a2mac1.com/costing(costing:projects/details/9760/part/8411623)","Left Tie Rod End")</f>
        <v>Left Tie Rod End</v>
      </c>
      <c r="F1338" t="s">
        <v>1738</v>
      </c>
    </row>
    <row r="1339" spans="1:6" x14ac:dyDescent="0.15">
      <c r="A1339">
        <v>8411624</v>
      </c>
      <c r="B1339">
        <v>8411606</v>
      </c>
      <c r="C1339" t="s">
        <v>10</v>
      </c>
      <c r="D1339" t="s">
        <v>8</v>
      </c>
      <c r="E1339" s="4" t="str">
        <f>HYPERLINK("https://ibp.a2mac1.com/costing(costing:projects/details/9760/part/8411624)","Right Tie Rod End")</f>
        <v>Right Tie Rod End</v>
      </c>
      <c r="F1339" t="s">
        <v>1738</v>
      </c>
    </row>
    <row r="1340" spans="1:6" x14ac:dyDescent="0.15">
      <c r="A1340">
        <v>8411604</v>
      </c>
      <c r="B1340">
        <v>8411556</v>
      </c>
      <c r="C1340" t="s">
        <v>10</v>
      </c>
      <c r="D1340" t="s">
        <v>8</v>
      </c>
      <c r="E1340" s="4" t="str">
        <f>HYPERLINK("https://ibp.a2mac1.com/costing(costing:projects/details/9760/part/8411604)","Steering Bar Parts")</f>
        <v>Steering Bar Parts</v>
      </c>
      <c r="F1340" t="s">
        <v>1737</v>
      </c>
    </row>
    <row r="1341" spans="1:6" x14ac:dyDescent="0.15">
      <c r="A1341">
        <v>12083227</v>
      </c>
      <c r="B1341">
        <v>8411604</v>
      </c>
      <c r="C1341" t="s">
        <v>114</v>
      </c>
      <c r="D1341" t="s">
        <v>10</v>
      </c>
      <c r="E1341" s="4" t="str">
        <f>HYPERLINK("https://ibp.a2mac1.com/costing(costing:projects/details/9760/process/12083227)","Process")</f>
        <v>Process</v>
      </c>
      <c r="F1341" t="s">
        <v>1743</v>
      </c>
    </row>
    <row r="1342" spans="1:6" x14ac:dyDescent="0.15">
      <c r="A1342">
        <v>8752246</v>
      </c>
      <c r="B1342">
        <v>12083227</v>
      </c>
      <c r="C1342" t="s">
        <v>22</v>
      </c>
      <c r="D1342" t="s">
        <v>114</v>
      </c>
      <c r="E1342" s="4" t="str">
        <f>HYPERLINK("https://ibp.a2mac1.com/costing(costing:projects/details/9760/material/8752246)","Material")</f>
        <v>Material</v>
      </c>
      <c r="F1342" t="s">
        <v>1745</v>
      </c>
    </row>
    <row r="1343" spans="1:6" x14ac:dyDescent="0.15">
      <c r="A1343">
        <v>12210174</v>
      </c>
      <c r="B1343">
        <v>12083227</v>
      </c>
      <c r="C1343" t="s">
        <v>163</v>
      </c>
      <c r="D1343" t="s">
        <v>114</v>
      </c>
      <c r="E1343" s="4" t="str">
        <f>HYPERLINK("https://ibp.a2mac1.com/costing(costing:projects/details/9760/equipment/12210174)","General production process (&gt;10€)")</f>
        <v>General production process (&gt;10€)</v>
      </c>
      <c r="F1343" t="s">
        <v>1745</v>
      </c>
    </row>
    <row r="1344" spans="1:6" x14ac:dyDescent="0.15">
      <c r="A1344">
        <v>8411605</v>
      </c>
      <c r="B1344">
        <v>8411556</v>
      </c>
      <c r="C1344" t="s">
        <v>10</v>
      </c>
      <c r="D1344" t="s">
        <v>8</v>
      </c>
      <c r="E1344" s="4" t="str">
        <f>HYPERLINK("https://ibp.a2mac1.com/costing(costing:projects/details/9760/part/8411605)","EPS Motor")</f>
        <v>EPS Motor</v>
      </c>
      <c r="F1344" t="s">
        <v>1737</v>
      </c>
    </row>
    <row r="1345" spans="1:6" x14ac:dyDescent="0.15">
      <c r="A1345">
        <v>12083200</v>
      </c>
      <c r="B1345">
        <v>8411556</v>
      </c>
      <c r="C1345" t="s">
        <v>114</v>
      </c>
      <c r="D1345" t="s">
        <v>8</v>
      </c>
      <c r="E1345" s="4" t="str">
        <f>HYPERLINK("https://ibp.a2mac1.com/costing(costing:projects/details/9760/process/12083200)","Process")</f>
        <v>Process</v>
      </c>
      <c r="F1345" t="s">
        <v>1737</v>
      </c>
    </row>
    <row r="1346" spans="1:6" x14ac:dyDescent="0.15">
      <c r="A1346">
        <v>12210169</v>
      </c>
      <c r="B1346">
        <v>12083200</v>
      </c>
      <c r="C1346" t="s">
        <v>163</v>
      </c>
      <c r="D1346" t="s">
        <v>114</v>
      </c>
      <c r="E1346" s="4" t="str">
        <f>HYPERLINK("https://ibp.a2mac1.com/costing(costing:projects/details/9760/equipment/12210169)","General production process (0.5-10€)")</f>
        <v>General production process (0.5-10€)</v>
      </c>
      <c r="F1346" t="s">
        <v>1750</v>
      </c>
    </row>
    <row r="1347" spans="1:6" x14ac:dyDescent="0.15">
      <c r="A1347">
        <v>8411557</v>
      </c>
      <c r="B1347">
        <v>8411553</v>
      </c>
      <c r="C1347" t="s">
        <v>10</v>
      </c>
      <c r="D1347" t="s">
        <v>8</v>
      </c>
      <c r="E1347" s="4" t="str">
        <f>HYPERLINK("https://ibp.a2mac1.com/costing(costing:projects/details/9760/part/8411557)","Chassis Fasteners")</f>
        <v>Chassis Fasteners</v>
      </c>
      <c r="F1347" t="s">
        <v>1580</v>
      </c>
    </row>
    <row r="1348" spans="1:6" x14ac:dyDescent="0.15">
      <c r="A1348">
        <v>8411649</v>
      </c>
      <c r="B1348">
        <v>9760</v>
      </c>
      <c r="C1348" t="s">
        <v>8</v>
      </c>
      <c r="D1348" t="s">
        <v>6</v>
      </c>
      <c r="E1348" s="4" t="str">
        <f>HYPERLINK("https://ibp.a2mac1.com/costing(costing:projects/details/9760/assembly/8411649)","Transmission System")</f>
        <v>Transmission System</v>
      </c>
      <c r="F1348" t="s">
        <v>9</v>
      </c>
    </row>
    <row r="1349" spans="1:6" x14ac:dyDescent="0.15">
      <c r="A1349">
        <v>8411650</v>
      </c>
      <c r="B1349">
        <v>8411649</v>
      </c>
      <c r="C1349" t="s">
        <v>8</v>
      </c>
      <c r="D1349" t="s">
        <v>8</v>
      </c>
      <c r="E1349" s="4" t="str">
        <f>HYPERLINK("https://ibp.a2mac1.com/costing(costing:projects/details/9760/assembly/8411650)","Front Drive Shaft/Differential")</f>
        <v>Front Drive Shaft/Differential</v>
      </c>
      <c r="F1349" t="s">
        <v>1755</v>
      </c>
    </row>
    <row r="1350" spans="1:6" x14ac:dyDescent="0.15">
      <c r="A1350">
        <v>8411652</v>
      </c>
      <c r="B1350">
        <v>8411650</v>
      </c>
      <c r="C1350" t="s">
        <v>8</v>
      </c>
      <c r="D1350" t="s">
        <v>8</v>
      </c>
      <c r="E1350" s="4" t="str">
        <f>HYPERLINK("https://ibp.a2mac1.com/costing(costing:projects/details/9760/assembly/8411652)","Front Transmission")</f>
        <v>Front Transmission</v>
      </c>
      <c r="F1350" t="s">
        <v>1756</v>
      </c>
    </row>
    <row r="1351" spans="1:6" x14ac:dyDescent="0.15">
      <c r="A1351">
        <v>8411656</v>
      </c>
      <c r="B1351">
        <v>8411652</v>
      </c>
      <c r="C1351" t="s">
        <v>8</v>
      </c>
      <c r="D1351" t="s">
        <v>8</v>
      </c>
      <c r="E1351" s="4" t="str">
        <f>HYPERLINK("https://ibp.a2mac1.com/costing(costing:projects/details/9760/assembly/8411656)","Output Stage")</f>
        <v>Output Stage</v>
      </c>
      <c r="F1351" t="s">
        <v>1757</v>
      </c>
    </row>
    <row r="1352" spans="1:6" x14ac:dyDescent="0.15">
      <c r="A1352">
        <v>8411688</v>
      </c>
      <c r="B1352">
        <v>8411656</v>
      </c>
      <c r="C1352" t="s">
        <v>8</v>
      </c>
      <c r="D1352" t="s">
        <v>8</v>
      </c>
      <c r="E1352" s="4" t="str">
        <f>HYPERLINK("https://ibp.a2mac1.com/costing(costing:projects/details/9760/assembly/8411688)","Bearing")</f>
        <v>Bearing</v>
      </c>
      <c r="F1352" t="s">
        <v>1758</v>
      </c>
    </row>
    <row r="1353" spans="1:6" x14ac:dyDescent="0.15">
      <c r="A1353">
        <v>8411750</v>
      </c>
      <c r="B1353">
        <v>8411688</v>
      </c>
      <c r="C1353" t="s">
        <v>8</v>
      </c>
      <c r="D1353" t="s">
        <v>8</v>
      </c>
      <c r="E1353" s="4" t="str">
        <f>HYPERLINK("https://ibp.a2mac1.com/costing(costing:projects/details/9760/assembly/8411750)","Bearing Race")</f>
        <v>Bearing Race</v>
      </c>
      <c r="F1353" t="s">
        <v>1759</v>
      </c>
    </row>
    <row r="1354" spans="1:6" x14ac:dyDescent="0.15">
      <c r="A1354">
        <v>8411762</v>
      </c>
      <c r="B1354">
        <v>8411750</v>
      </c>
      <c r="C1354" t="s">
        <v>10</v>
      </c>
      <c r="D1354" t="s">
        <v>8</v>
      </c>
      <c r="E1354" s="4" t="str">
        <f>HYPERLINK("https://ibp.a2mac1.com/costing(costing:projects/details/9760/part/8411762)","Differential Ring Gear Opposite Side")</f>
        <v>Differential Ring Gear Opposite Side</v>
      </c>
      <c r="F1354" t="s">
        <v>1760</v>
      </c>
    </row>
    <row r="1355" spans="1:6" x14ac:dyDescent="0.15">
      <c r="A1355">
        <v>8411763</v>
      </c>
      <c r="B1355">
        <v>8411750</v>
      </c>
      <c r="C1355" t="s">
        <v>10</v>
      </c>
      <c r="D1355" t="s">
        <v>8</v>
      </c>
      <c r="E1355" s="4" t="str">
        <f>HYPERLINK("https://ibp.a2mac1.com/costing(costing:projects/details/9760/part/8411763)","IN Differential Ring Gear Opposite Side")</f>
        <v>IN Differential Ring Gear Opposite Side</v>
      </c>
      <c r="F1355" t="s">
        <v>1760</v>
      </c>
    </row>
    <row r="1356" spans="1:6" x14ac:dyDescent="0.15">
      <c r="A1356">
        <v>8411748</v>
      </c>
      <c r="B1356">
        <v>8411688</v>
      </c>
      <c r="C1356" t="s">
        <v>10</v>
      </c>
      <c r="D1356" t="s">
        <v>8</v>
      </c>
      <c r="E1356" s="4" t="str">
        <f>HYPERLINK("https://ibp.a2mac1.com/costing(costing:projects/details/9760/part/8411748)","Bearing (Differential Ring Gear Opposite Side)")</f>
        <v>Bearing (Differential Ring Gear Opposite Side)</v>
      </c>
      <c r="F1356" t="s">
        <v>1759</v>
      </c>
    </row>
    <row r="1357" spans="1:6" x14ac:dyDescent="0.15">
      <c r="A1357">
        <v>8411749</v>
      </c>
      <c r="B1357">
        <v>8411688</v>
      </c>
      <c r="C1357" t="s">
        <v>10</v>
      </c>
      <c r="D1357" t="s">
        <v>8</v>
      </c>
      <c r="E1357" s="4" t="str">
        <f>HYPERLINK("https://ibp.a2mac1.com/costing(costing:projects/details/9760/part/8411749)","Bearing Differential Ring Gear Side")</f>
        <v>Bearing Differential Ring Gear Side</v>
      </c>
      <c r="F1357" t="s">
        <v>1759</v>
      </c>
    </row>
    <row r="1358" spans="1:6" x14ac:dyDescent="0.15">
      <c r="A1358">
        <v>8411683</v>
      </c>
      <c r="B1358">
        <v>8411656</v>
      </c>
      <c r="C1358" t="s">
        <v>10</v>
      </c>
      <c r="D1358" t="s">
        <v>8</v>
      </c>
      <c r="E1358" s="4" t="str">
        <f>HYPERLINK("https://ibp.a2mac1.com/costing(costing:projects/details/9760/part/8411683)","Ring Gear Mounting Case")</f>
        <v>Ring Gear Mounting Case</v>
      </c>
      <c r="F1358" t="s">
        <v>1758</v>
      </c>
    </row>
    <row r="1359" spans="1:6" x14ac:dyDescent="0.15">
      <c r="A1359">
        <v>8411684</v>
      </c>
      <c r="B1359">
        <v>8411656</v>
      </c>
      <c r="C1359" t="s">
        <v>10</v>
      </c>
      <c r="D1359" t="s">
        <v>8</v>
      </c>
      <c r="E1359" s="4" t="str">
        <f>HYPERLINK("https://ibp.a2mac1.com/costing(costing:projects/details/9760/part/8411684)","Final Cascading Pinion")</f>
        <v>Final Cascading Pinion</v>
      </c>
      <c r="F1359" t="s">
        <v>1758</v>
      </c>
    </row>
    <row r="1360" spans="1:6" x14ac:dyDescent="0.15">
      <c r="A1360">
        <v>12083316</v>
      </c>
      <c r="B1360">
        <v>8411684</v>
      </c>
      <c r="C1360" t="s">
        <v>114</v>
      </c>
      <c r="D1360" t="s">
        <v>10</v>
      </c>
      <c r="E1360" s="4" t="str">
        <f>HYPERLINK("https://ibp.a2mac1.com/costing(costing:projects/details/9760/process/12083316)","Process")</f>
        <v>Process</v>
      </c>
      <c r="F1360" t="s">
        <v>1771</v>
      </c>
    </row>
    <row r="1361" spans="1:6" x14ac:dyDescent="0.15">
      <c r="A1361">
        <v>8752336</v>
      </c>
      <c r="B1361">
        <v>12083316</v>
      </c>
      <c r="C1361" t="s">
        <v>22</v>
      </c>
      <c r="D1361" t="s">
        <v>114</v>
      </c>
      <c r="E1361" s="4" t="str">
        <f>HYPERLINK("https://ibp.a2mac1.com/costing(costing:projects/details/9760/material/8752336)","20MnCr5-3 / 1.8701 (Billet)")</f>
        <v>20MnCr5-3 / 1.8701 (Billet)</v>
      </c>
      <c r="F1361" t="s">
        <v>1776</v>
      </c>
    </row>
    <row r="1362" spans="1:6" x14ac:dyDescent="0.15">
      <c r="A1362">
        <v>12210406</v>
      </c>
      <c r="B1362">
        <v>12083316</v>
      </c>
      <c r="C1362" t="s">
        <v>163</v>
      </c>
      <c r="D1362" t="s">
        <v>114</v>
      </c>
      <c r="E1362" s="4" t="str">
        <f>HYPERLINK("https://ibp.a2mac1.com/costing(costing:projects/details/9760/equipment/12210406)","General production process (0.5-10€)")</f>
        <v>General production process (0.5-10€)</v>
      </c>
      <c r="F1362" t="s">
        <v>1776</v>
      </c>
    </row>
    <row r="1363" spans="1:6" x14ac:dyDescent="0.15">
      <c r="A1363">
        <v>8411685</v>
      </c>
      <c r="B1363">
        <v>8411656</v>
      </c>
      <c r="C1363" t="s">
        <v>10</v>
      </c>
      <c r="D1363" t="s">
        <v>8</v>
      </c>
      <c r="E1363" s="4" t="str">
        <f>HYPERLINK("https://ibp.a2mac1.com/costing(costing:projects/details/9760/part/8411685)","Planet Gear")</f>
        <v>Planet Gear</v>
      </c>
      <c r="F1363" t="s">
        <v>1758</v>
      </c>
    </row>
    <row r="1364" spans="1:6" x14ac:dyDescent="0.15">
      <c r="A1364">
        <v>8411686</v>
      </c>
      <c r="B1364">
        <v>8411656</v>
      </c>
      <c r="C1364" t="s">
        <v>10</v>
      </c>
      <c r="D1364" t="s">
        <v>8</v>
      </c>
      <c r="E1364" s="4" t="str">
        <f>HYPERLINK("https://ibp.a2mac1.com/costing(costing:projects/details/9760/part/8411686)","Planet Gear Axle")</f>
        <v>Planet Gear Axle</v>
      </c>
      <c r="F1364" t="s">
        <v>1758</v>
      </c>
    </row>
    <row r="1365" spans="1:6" x14ac:dyDescent="0.15">
      <c r="A1365">
        <v>8411687</v>
      </c>
      <c r="B1365">
        <v>8411656</v>
      </c>
      <c r="C1365" t="s">
        <v>10</v>
      </c>
      <c r="D1365" t="s">
        <v>8</v>
      </c>
      <c r="E1365" s="4" t="str">
        <f>HYPERLINK("https://ibp.a2mac1.com/costing(costing:projects/details/9760/part/8411687)","Sun Gear")</f>
        <v>Sun Gear</v>
      </c>
      <c r="F1365" t="s">
        <v>1758</v>
      </c>
    </row>
    <row r="1366" spans="1:6" x14ac:dyDescent="0.15">
      <c r="A1366">
        <v>8411689</v>
      </c>
      <c r="B1366">
        <v>8411656</v>
      </c>
      <c r="C1366" t="s">
        <v>10</v>
      </c>
      <c r="D1366" t="s">
        <v>8</v>
      </c>
      <c r="E1366" s="4" t="str">
        <f>HYPERLINK("https://ibp.a2mac1.com/costing(costing:projects/details/9760/part/8411689)","Lubrication spacer")</f>
        <v>Lubrication spacer</v>
      </c>
      <c r="F1366" t="s">
        <v>1758</v>
      </c>
    </row>
    <row r="1367" spans="1:6" x14ac:dyDescent="0.15">
      <c r="A1367">
        <v>8411690</v>
      </c>
      <c r="B1367">
        <v>8411656</v>
      </c>
      <c r="C1367" t="s">
        <v>10</v>
      </c>
      <c r="D1367" t="s">
        <v>8</v>
      </c>
      <c r="E1367" s="4" t="str">
        <f>HYPERLINK("https://ibp.a2mac1.com/costing(costing:projects/details/9760/part/8411690)","Planet gears - shim")</f>
        <v>Planet gears - shim</v>
      </c>
      <c r="F1367" t="s">
        <v>1758</v>
      </c>
    </row>
    <row r="1368" spans="1:6" x14ac:dyDescent="0.15">
      <c r="A1368">
        <v>8411691</v>
      </c>
      <c r="B1368">
        <v>8411656</v>
      </c>
      <c r="C1368" t="s">
        <v>10</v>
      </c>
      <c r="D1368" t="s">
        <v>8</v>
      </c>
      <c r="E1368" s="4" t="str">
        <f>HYPERLINK("https://ibp.a2mac1.com/costing(costing:projects/details/9760/part/8411691)","Sun wheels - shim")</f>
        <v>Sun wheels - shim</v>
      </c>
      <c r="F1368" t="s">
        <v>1758</v>
      </c>
    </row>
    <row r="1369" spans="1:6" x14ac:dyDescent="0.15">
      <c r="A1369">
        <v>8411692</v>
      </c>
      <c r="B1369">
        <v>8411656</v>
      </c>
      <c r="C1369" t="s">
        <v>10</v>
      </c>
      <c r="D1369" t="s">
        <v>8</v>
      </c>
      <c r="E1369" s="4" t="str">
        <f>HYPERLINK("https://ibp.a2mac1.com/costing(costing:projects/details/9760/part/8411692)","Planet gear Axle- Pin")</f>
        <v>Planet gear Axle- Pin</v>
      </c>
      <c r="F1369" t="s">
        <v>1758</v>
      </c>
    </row>
    <row r="1370" spans="1:6" x14ac:dyDescent="0.15">
      <c r="A1370">
        <v>12083314</v>
      </c>
      <c r="B1370">
        <v>8411656</v>
      </c>
      <c r="C1370" t="s">
        <v>114</v>
      </c>
      <c r="D1370" t="s">
        <v>8</v>
      </c>
      <c r="E1370" s="4" t="str">
        <f>HYPERLINK("https://ibp.a2mac1.com/costing(costing:projects/details/9760/process/12083314)","Differential assembly")</f>
        <v>Differential assembly</v>
      </c>
      <c r="F1370" t="s">
        <v>1758</v>
      </c>
    </row>
    <row r="1371" spans="1:6" x14ac:dyDescent="0.15">
      <c r="A1371">
        <v>12210404</v>
      </c>
      <c r="B1371">
        <v>12083314</v>
      </c>
      <c r="C1371" t="s">
        <v>163</v>
      </c>
      <c r="D1371" t="s">
        <v>114</v>
      </c>
      <c r="E1371" s="4" t="str">
        <f>HYPERLINK("https://ibp.a2mac1.com/costing(costing:projects/details/9760/equipment/12210404)","General production process (0.5-10€)")</f>
        <v>General production process (0.5-10€)</v>
      </c>
      <c r="F1371" t="s">
        <v>1789</v>
      </c>
    </row>
    <row r="1372" spans="1:6" x14ac:dyDescent="0.15">
      <c r="A1372">
        <v>8752318</v>
      </c>
      <c r="B1372">
        <v>8411656</v>
      </c>
      <c r="C1372" t="s">
        <v>311</v>
      </c>
      <c r="D1372" t="s">
        <v>8</v>
      </c>
      <c r="E1372" s="4" t="str">
        <f>HYPERLINK("https://ibp.a2mac1.com/costing(costing:projects/details/9760/component/8752318)","Hex-head Bolt M10x25")</f>
        <v>Hex-head Bolt M10x25</v>
      </c>
      <c r="F1372" t="s">
        <v>1758</v>
      </c>
    </row>
    <row r="1373" spans="1:6" x14ac:dyDescent="0.15">
      <c r="A1373">
        <v>8411657</v>
      </c>
      <c r="B1373">
        <v>8411652</v>
      </c>
      <c r="C1373" t="s">
        <v>8</v>
      </c>
      <c r="D1373" t="s">
        <v>8</v>
      </c>
      <c r="E1373" s="4" t="str">
        <f>HYPERLINK("https://ibp.a2mac1.com/costing(costing:projects/details/9760/assembly/8411657)","Input Stage")</f>
        <v>Input Stage</v>
      </c>
      <c r="F1373" t="s">
        <v>1757</v>
      </c>
    </row>
    <row r="1374" spans="1:6" x14ac:dyDescent="0.15">
      <c r="A1374">
        <v>8411695</v>
      </c>
      <c r="B1374">
        <v>8411657</v>
      </c>
      <c r="C1374" t="s">
        <v>8</v>
      </c>
      <c r="D1374" t="s">
        <v>8</v>
      </c>
      <c r="E1374" s="4" t="str">
        <f>HYPERLINK("https://ibp.a2mac1.com/costing(costing:projects/details/9760/assembly/8411695)","Ball Bearing")</f>
        <v>Ball Bearing</v>
      </c>
      <c r="F1374" t="s">
        <v>1793</v>
      </c>
    </row>
    <row r="1375" spans="1:6" x14ac:dyDescent="0.15">
      <c r="A1375">
        <v>8411751</v>
      </c>
      <c r="B1375">
        <v>8411695</v>
      </c>
      <c r="C1375" t="s">
        <v>10</v>
      </c>
      <c r="D1375" t="s">
        <v>8</v>
      </c>
      <c r="E1375" s="4" t="str">
        <f>HYPERLINK("https://ibp.a2mac1.com/costing(costing:projects/details/9760/part/8411751)","Front")</f>
        <v>Front</v>
      </c>
      <c r="F1375" t="s">
        <v>1794</v>
      </c>
    </row>
    <row r="1376" spans="1:6" x14ac:dyDescent="0.15">
      <c r="A1376">
        <v>8411752</v>
      </c>
      <c r="B1376">
        <v>8411695</v>
      </c>
      <c r="C1376" t="s">
        <v>10</v>
      </c>
      <c r="D1376" t="s">
        <v>8</v>
      </c>
      <c r="E1376" s="4" t="str">
        <f>HYPERLINK("https://ibp.a2mac1.com/costing(costing:projects/details/9760/part/8411752)","Rear")</f>
        <v>Rear</v>
      </c>
      <c r="F1376" t="s">
        <v>1794</v>
      </c>
    </row>
    <row r="1377" spans="1:6" x14ac:dyDescent="0.15">
      <c r="A1377">
        <v>8411693</v>
      </c>
      <c r="B1377">
        <v>8411657</v>
      </c>
      <c r="C1377" t="s">
        <v>10</v>
      </c>
      <c r="D1377" t="s">
        <v>8</v>
      </c>
      <c r="E1377" s="4" t="str">
        <f>HYPERLINK("https://ibp.a2mac1.com/costing(costing:projects/details/9760/part/8411693)","Axle and Pinion")</f>
        <v>Axle and Pinion</v>
      </c>
      <c r="F1377" t="s">
        <v>1793</v>
      </c>
    </row>
    <row r="1378" spans="1:6" x14ac:dyDescent="0.15">
      <c r="A1378">
        <v>8411694</v>
      </c>
      <c r="B1378">
        <v>8411657</v>
      </c>
      <c r="C1378" t="s">
        <v>10</v>
      </c>
      <c r="D1378" t="s">
        <v>8</v>
      </c>
      <c r="E1378" s="4" t="str">
        <f>HYPERLINK("https://ibp.a2mac1.com/costing(costing:projects/details/9760/part/8411694)","Pad")</f>
        <v>Pad</v>
      </c>
      <c r="F1378" t="s">
        <v>1793</v>
      </c>
    </row>
    <row r="1379" spans="1:6" x14ac:dyDescent="0.15">
      <c r="A1379">
        <v>8411658</v>
      </c>
      <c r="B1379">
        <v>8411652</v>
      </c>
      <c r="C1379" t="s">
        <v>8</v>
      </c>
      <c r="D1379" t="s">
        <v>8</v>
      </c>
      <c r="E1379" s="4" t="str">
        <f>HYPERLINK("https://ibp.a2mac1.com/costing(costing:projects/details/9760/assembly/8411658)","Intermediate Stage")</f>
        <v>Intermediate Stage</v>
      </c>
      <c r="F1379" t="s">
        <v>1757</v>
      </c>
    </row>
    <row r="1380" spans="1:6" x14ac:dyDescent="0.15">
      <c r="A1380">
        <v>8411696</v>
      </c>
      <c r="B1380">
        <v>8411658</v>
      </c>
      <c r="C1380" t="s">
        <v>10</v>
      </c>
      <c r="D1380" t="s">
        <v>8</v>
      </c>
      <c r="E1380" s="4" t="str">
        <f>HYPERLINK("https://ibp.a2mac1.com/costing(costing:projects/details/9760/part/8411696)","Shaft")</f>
        <v>Shaft</v>
      </c>
      <c r="F1380" t="s">
        <v>1802</v>
      </c>
    </row>
    <row r="1381" spans="1:6" x14ac:dyDescent="0.15">
      <c r="A1381">
        <v>8411697</v>
      </c>
      <c r="B1381">
        <v>8411658</v>
      </c>
      <c r="C1381" t="s">
        <v>10</v>
      </c>
      <c r="D1381" t="s">
        <v>8</v>
      </c>
      <c r="E1381" s="4" t="str">
        <f>HYPERLINK("https://ibp.a2mac1.com/costing(costing:projects/details/9760/part/8411697)","Gear")</f>
        <v>Gear</v>
      </c>
      <c r="F1381" t="s">
        <v>1802</v>
      </c>
    </row>
    <row r="1382" spans="1:6" x14ac:dyDescent="0.15">
      <c r="A1382">
        <v>12083317</v>
      </c>
      <c r="B1382">
        <v>8411697</v>
      </c>
      <c r="C1382" t="s">
        <v>114</v>
      </c>
      <c r="D1382" t="s">
        <v>10</v>
      </c>
      <c r="E1382" s="4" t="str">
        <f>HYPERLINK("https://ibp.a2mac1.com/costing(costing:projects/details/9760/process/12083317)","Process")</f>
        <v>Process</v>
      </c>
      <c r="F1382" t="s">
        <v>1805</v>
      </c>
    </row>
    <row r="1383" spans="1:6" x14ac:dyDescent="0.15">
      <c r="A1383">
        <v>8752337</v>
      </c>
      <c r="B1383">
        <v>12083317</v>
      </c>
      <c r="C1383" t="s">
        <v>22</v>
      </c>
      <c r="D1383" t="s">
        <v>114</v>
      </c>
      <c r="E1383" s="4" t="str">
        <f>HYPERLINK("https://ibp.a2mac1.com/costing(costing:projects/details/9760/material/8752337)","20MnCr5-3 / 1.8701 (Billet)")</f>
        <v>20MnCr5-3 / 1.8701 (Billet)</v>
      </c>
      <c r="F1383" t="s">
        <v>1808</v>
      </c>
    </row>
    <row r="1384" spans="1:6" x14ac:dyDescent="0.15">
      <c r="A1384">
        <v>12210407</v>
      </c>
      <c r="B1384">
        <v>12083317</v>
      </c>
      <c r="C1384" t="s">
        <v>163</v>
      </c>
      <c r="D1384" t="s">
        <v>114</v>
      </c>
      <c r="E1384" s="4" t="str">
        <f>HYPERLINK("https://ibp.a2mac1.com/costing(costing:projects/details/9760/equipment/12210407)","General production process (0.5-10€)")</f>
        <v>General production process (0.5-10€)</v>
      </c>
      <c r="F1384" t="s">
        <v>1808</v>
      </c>
    </row>
    <row r="1385" spans="1:6" x14ac:dyDescent="0.15">
      <c r="A1385">
        <v>8411698</v>
      </c>
      <c r="B1385">
        <v>8411658</v>
      </c>
      <c r="C1385" t="s">
        <v>10</v>
      </c>
      <c r="D1385" t="s">
        <v>8</v>
      </c>
      <c r="E1385" s="4" t="str">
        <f>HYPERLINK("https://ibp.a2mac1.com/costing(costing:projects/details/9760/part/8411698)","Bearing on Main Housing")</f>
        <v>Bearing on Main Housing</v>
      </c>
      <c r="F1385" t="s">
        <v>1802</v>
      </c>
    </row>
    <row r="1386" spans="1:6" x14ac:dyDescent="0.15">
      <c r="A1386">
        <v>8411699</v>
      </c>
      <c r="B1386">
        <v>8411658</v>
      </c>
      <c r="C1386" t="s">
        <v>10</v>
      </c>
      <c r="D1386" t="s">
        <v>8</v>
      </c>
      <c r="E1386" s="4" t="str">
        <f>HYPERLINK("https://ibp.a2mac1.com/costing(costing:projects/details/9760/part/8411699)","Bearing on 2nd Housing")</f>
        <v>Bearing on 2nd Housing</v>
      </c>
      <c r="F1386" t="s">
        <v>1802</v>
      </c>
    </row>
    <row r="1387" spans="1:6" x14ac:dyDescent="0.15">
      <c r="A1387">
        <v>8411700</v>
      </c>
      <c r="B1387">
        <v>8411658</v>
      </c>
      <c r="C1387" t="s">
        <v>10</v>
      </c>
      <c r="D1387" t="s">
        <v>8</v>
      </c>
      <c r="E1387" s="4" t="str">
        <f>HYPERLINK("https://ibp.a2mac1.com/costing(costing:projects/details/9760/part/8411700)","Ring on Main Housing")</f>
        <v>Ring on Main Housing</v>
      </c>
      <c r="F1387" t="s">
        <v>1802</v>
      </c>
    </row>
    <row r="1388" spans="1:6" x14ac:dyDescent="0.15">
      <c r="A1388">
        <v>8411701</v>
      </c>
      <c r="B1388">
        <v>8411658</v>
      </c>
      <c r="C1388" t="s">
        <v>10</v>
      </c>
      <c r="D1388" t="s">
        <v>8</v>
      </c>
      <c r="E1388" s="4" t="str">
        <f>HYPERLINK("https://ibp.a2mac1.com/costing(costing:projects/details/9760/part/8411701)","Bearing on 2nd housing races")</f>
        <v>Bearing on 2nd housing races</v>
      </c>
      <c r="F1388" t="s">
        <v>1802</v>
      </c>
    </row>
    <row r="1389" spans="1:6" x14ac:dyDescent="0.15">
      <c r="A1389">
        <v>8411702</v>
      </c>
      <c r="B1389">
        <v>8411658</v>
      </c>
      <c r="C1389" t="s">
        <v>10</v>
      </c>
      <c r="D1389" t="s">
        <v>8</v>
      </c>
      <c r="E1389" s="4" t="str">
        <f>HYPERLINK("https://ibp.a2mac1.com/costing(costing:projects/details/9760/part/8411702)","Bearing on Main Housing races")</f>
        <v>Bearing on Main Housing races</v>
      </c>
      <c r="F1389" t="s">
        <v>1802</v>
      </c>
    </row>
    <row r="1390" spans="1:6" x14ac:dyDescent="0.15">
      <c r="A1390">
        <v>8411659</v>
      </c>
      <c r="B1390">
        <v>8411652</v>
      </c>
      <c r="C1390" t="s">
        <v>8</v>
      </c>
      <c r="D1390" t="s">
        <v>8</v>
      </c>
      <c r="E1390" s="4" t="str">
        <f>HYPERLINK("https://ibp.a2mac1.com/costing(costing:projects/details/9760/assembly/8411659)","Lubrication/ Degassing")</f>
        <v>Lubrication/ Degassing</v>
      </c>
      <c r="F1390" t="s">
        <v>1757</v>
      </c>
    </row>
    <row r="1391" spans="1:6" x14ac:dyDescent="0.15">
      <c r="A1391">
        <v>8411703</v>
      </c>
      <c r="B1391">
        <v>8411659</v>
      </c>
      <c r="C1391" t="s">
        <v>10</v>
      </c>
      <c r="D1391" t="s">
        <v>8</v>
      </c>
      <c r="E1391" s="4" t="str">
        <f>HYPERLINK("https://ibp.a2mac1.com/costing(costing:projects/details/9760/part/8411703)","Oil Drain Plug")</f>
        <v>Oil Drain Plug</v>
      </c>
      <c r="F1391" t="s">
        <v>1817</v>
      </c>
    </row>
    <row r="1392" spans="1:6" x14ac:dyDescent="0.15">
      <c r="A1392">
        <v>8411704</v>
      </c>
      <c r="B1392">
        <v>8411659</v>
      </c>
      <c r="C1392" t="s">
        <v>10</v>
      </c>
      <c r="D1392" t="s">
        <v>8</v>
      </c>
      <c r="E1392" s="4" t="str">
        <f>HYPERLINK("https://ibp.a2mac1.com/costing(costing:projects/details/9760/part/8411704)","Level Cap")</f>
        <v>Level Cap</v>
      </c>
      <c r="F1392" t="s">
        <v>1817</v>
      </c>
    </row>
    <row r="1393" spans="1:6" x14ac:dyDescent="0.15">
      <c r="A1393">
        <v>8411705</v>
      </c>
      <c r="B1393">
        <v>8411659</v>
      </c>
      <c r="C1393" t="s">
        <v>10</v>
      </c>
      <c r="D1393" t="s">
        <v>8</v>
      </c>
      <c r="E1393" s="4" t="str">
        <f>HYPERLINK("https://ibp.a2mac1.com/costing(costing:projects/details/9760/part/8411705)","Magnet")</f>
        <v>Magnet</v>
      </c>
      <c r="F1393" t="s">
        <v>1817</v>
      </c>
    </row>
    <row r="1394" spans="1:6" x14ac:dyDescent="0.15">
      <c r="A1394">
        <v>8411706</v>
      </c>
      <c r="B1394">
        <v>8411659</v>
      </c>
      <c r="C1394" t="s">
        <v>10</v>
      </c>
      <c r="D1394" t="s">
        <v>8</v>
      </c>
      <c r="E1394" s="4" t="str">
        <f>HYPERLINK("https://ibp.a2mac1.com/costing(costing:projects/details/9760/part/8411706)","Lubrication Screen")</f>
        <v>Lubrication Screen</v>
      </c>
      <c r="F1394" t="s">
        <v>1817</v>
      </c>
    </row>
    <row r="1395" spans="1:6" x14ac:dyDescent="0.15">
      <c r="A1395">
        <v>8411707</v>
      </c>
      <c r="B1395">
        <v>8411659</v>
      </c>
      <c r="C1395" t="s">
        <v>10</v>
      </c>
      <c r="D1395" t="s">
        <v>8</v>
      </c>
      <c r="E1395" s="4" t="str">
        <f>HYPERLINK("https://ibp.a2mac1.com/costing(costing:projects/details/9760/part/8411707)","2nd Lubrication Screen")</f>
        <v>2nd Lubrication Screen</v>
      </c>
      <c r="F1395" t="s">
        <v>1817</v>
      </c>
    </row>
    <row r="1396" spans="1:6" x14ac:dyDescent="0.15">
      <c r="A1396">
        <v>8411708</v>
      </c>
      <c r="B1396">
        <v>8411659</v>
      </c>
      <c r="C1396" t="s">
        <v>10</v>
      </c>
      <c r="D1396" t="s">
        <v>8</v>
      </c>
      <c r="E1396" s="4" t="str">
        <f>HYPERLINK("https://ibp.a2mac1.com/costing(costing:projects/details/9760/part/8411708)","Oil Gutter")</f>
        <v>Oil Gutter</v>
      </c>
      <c r="F1396" t="s">
        <v>1817</v>
      </c>
    </row>
    <row r="1397" spans="1:6" x14ac:dyDescent="0.15">
      <c r="A1397">
        <v>8411709</v>
      </c>
      <c r="B1397">
        <v>8411659</v>
      </c>
      <c r="C1397" t="s">
        <v>10</v>
      </c>
      <c r="D1397" t="s">
        <v>8</v>
      </c>
      <c r="E1397" s="4" t="str">
        <f>HYPERLINK("https://ibp.a2mac1.com/costing(costing:projects/details/9760/part/8411709)","2nd Oil Gutter")</f>
        <v>2nd Oil Gutter</v>
      </c>
      <c r="F1397" t="s">
        <v>1817</v>
      </c>
    </row>
    <row r="1398" spans="1:6" x14ac:dyDescent="0.15">
      <c r="A1398">
        <v>8411710</v>
      </c>
      <c r="B1398">
        <v>8411659</v>
      </c>
      <c r="C1398" t="s">
        <v>10</v>
      </c>
      <c r="D1398" t="s">
        <v>8</v>
      </c>
      <c r="E1398" s="4" t="str">
        <f>HYPERLINK("https://ibp.a2mac1.com/costing(costing:projects/details/9760/part/8411710)","Oil Pump")</f>
        <v>Oil Pump</v>
      </c>
      <c r="F1398" t="s">
        <v>1817</v>
      </c>
    </row>
    <row r="1399" spans="1:6" x14ac:dyDescent="0.15">
      <c r="A1399">
        <v>8411711</v>
      </c>
      <c r="B1399">
        <v>8411659</v>
      </c>
      <c r="C1399" t="s">
        <v>10</v>
      </c>
      <c r="D1399" t="s">
        <v>8</v>
      </c>
      <c r="E1399" s="4" t="str">
        <f>HYPERLINK("https://ibp.a2mac1.com/costing(costing:projects/details/9760/part/8411711)","Oil Strainer")</f>
        <v>Oil Strainer</v>
      </c>
      <c r="F1399" t="s">
        <v>1817</v>
      </c>
    </row>
    <row r="1400" spans="1:6" x14ac:dyDescent="0.15">
      <c r="A1400">
        <v>8752319</v>
      </c>
      <c r="B1400">
        <v>8411659</v>
      </c>
      <c r="C1400" t="s">
        <v>311</v>
      </c>
      <c r="D1400" t="s">
        <v>8</v>
      </c>
      <c r="E1400" s="4" t="str">
        <f>HYPERLINK("https://ibp.a2mac1.com/costing(costing:projects/details/9760/component/8752319)","Hex-head Bolt M6x20")</f>
        <v>Hex-head Bolt M6x20</v>
      </c>
      <c r="F1400" t="s">
        <v>1817</v>
      </c>
    </row>
    <row r="1401" spans="1:6" x14ac:dyDescent="0.15">
      <c r="A1401">
        <v>8752320</v>
      </c>
      <c r="B1401">
        <v>8411659</v>
      </c>
      <c r="C1401" t="s">
        <v>311</v>
      </c>
      <c r="D1401" t="s">
        <v>8</v>
      </c>
      <c r="E1401" s="4" t="str">
        <f>HYPERLINK("https://ibp.a2mac1.com/costing(costing:projects/details/9760/component/8752320)","Round head Screw M6x16")</f>
        <v>Round head Screw M6x16</v>
      </c>
      <c r="F1401" t="s">
        <v>1817</v>
      </c>
    </row>
    <row r="1402" spans="1:6" x14ac:dyDescent="0.15">
      <c r="A1402">
        <v>8752321</v>
      </c>
      <c r="B1402">
        <v>8411659</v>
      </c>
      <c r="C1402" t="s">
        <v>311</v>
      </c>
      <c r="D1402" t="s">
        <v>8</v>
      </c>
      <c r="E1402" s="4" t="str">
        <f>HYPERLINK("https://ibp.a2mac1.com/costing(costing:projects/details/9760/component/8752321)","Round head Screw M6x16")</f>
        <v>Round head Screw M6x16</v>
      </c>
      <c r="F1402" t="s">
        <v>1817</v>
      </c>
    </row>
    <row r="1403" spans="1:6" x14ac:dyDescent="0.15">
      <c r="A1403">
        <v>8752322</v>
      </c>
      <c r="B1403">
        <v>8411659</v>
      </c>
      <c r="C1403" t="s">
        <v>311</v>
      </c>
      <c r="D1403" t="s">
        <v>8</v>
      </c>
      <c r="E1403" s="4" t="str">
        <f>HYPERLINK("https://ibp.a2mac1.com/costing(costing:projects/details/9760/component/8752322)","Round head Screw M6x16")</f>
        <v>Round head Screw M6x16</v>
      </c>
      <c r="F1403" t="s">
        <v>1817</v>
      </c>
    </row>
    <row r="1404" spans="1:6" x14ac:dyDescent="0.15">
      <c r="A1404">
        <v>8752323</v>
      </c>
      <c r="B1404">
        <v>8411659</v>
      </c>
      <c r="C1404" t="s">
        <v>311</v>
      </c>
      <c r="D1404" t="s">
        <v>8</v>
      </c>
      <c r="E1404" s="4" t="str">
        <f>HYPERLINK("https://ibp.a2mac1.com/costing(costing:projects/details/9760/component/8752323)","Round head Screw M6x16")</f>
        <v>Round head Screw M6x16</v>
      </c>
      <c r="F1404" t="s">
        <v>1817</v>
      </c>
    </row>
    <row r="1405" spans="1:6" x14ac:dyDescent="0.15">
      <c r="A1405">
        <v>8411660</v>
      </c>
      <c r="B1405">
        <v>8411652</v>
      </c>
      <c r="C1405" t="s">
        <v>8</v>
      </c>
      <c r="D1405" t="s">
        <v>8</v>
      </c>
      <c r="E1405" s="4" t="str">
        <f>HYPERLINK("https://ibp.a2mac1.com/costing(costing:projects/details/9760/assembly/8411660)","Housing System")</f>
        <v>Housing System</v>
      </c>
      <c r="F1405" t="s">
        <v>1757</v>
      </c>
    </row>
    <row r="1406" spans="1:6" x14ac:dyDescent="0.15">
      <c r="A1406">
        <v>8411714</v>
      </c>
      <c r="B1406">
        <v>8411660</v>
      </c>
      <c r="C1406" t="s">
        <v>8</v>
      </c>
      <c r="D1406" t="s">
        <v>8</v>
      </c>
      <c r="E1406" s="4" t="str">
        <f>HYPERLINK("https://ibp.a2mac1.com/costing(costing:projects/details/9760/assembly/8411714)","Base Seal")</f>
        <v>Base Seal</v>
      </c>
      <c r="F1406" t="s">
        <v>1835</v>
      </c>
    </row>
    <row r="1407" spans="1:6" x14ac:dyDescent="0.15">
      <c r="A1407">
        <v>8411753</v>
      </c>
      <c r="B1407">
        <v>8411714</v>
      </c>
      <c r="C1407" t="s">
        <v>10</v>
      </c>
      <c r="D1407" t="s">
        <v>8</v>
      </c>
      <c r="E1407" s="4" t="str">
        <f>HYPERLINK("https://ibp.a2mac1.com/costing(costing:projects/details/9760/part/8411753)","Left")</f>
        <v>Left</v>
      </c>
      <c r="F1407" t="s">
        <v>1836</v>
      </c>
    </row>
    <row r="1408" spans="1:6" x14ac:dyDescent="0.15">
      <c r="A1408">
        <v>8411754</v>
      </c>
      <c r="B1408">
        <v>8411714</v>
      </c>
      <c r="C1408" t="s">
        <v>10</v>
      </c>
      <c r="D1408" t="s">
        <v>8</v>
      </c>
      <c r="E1408" s="4" t="str">
        <f>HYPERLINK("https://ibp.a2mac1.com/costing(costing:projects/details/9760/part/8411754)","Right")</f>
        <v>Right</v>
      </c>
      <c r="F1408" t="s">
        <v>1836</v>
      </c>
    </row>
    <row r="1409" spans="1:6" x14ac:dyDescent="0.15">
      <c r="A1409">
        <v>8411712</v>
      </c>
      <c r="B1409">
        <v>8411660</v>
      </c>
      <c r="C1409" t="s">
        <v>10</v>
      </c>
      <c r="D1409" t="s">
        <v>8</v>
      </c>
      <c r="E1409" s="4" t="str">
        <f>HYPERLINK("https://ibp.a2mac1.com/costing(costing:projects/details/9760/part/8411712)","Main Housing")</f>
        <v>Main Housing</v>
      </c>
      <c r="F1409" t="s">
        <v>1835</v>
      </c>
    </row>
    <row r="1410" spans="1:6" x14ac:dyDescent="0.15">
      <c r="A1410">
        <v>12083318</v>
      </c>
      <c r="B1410">
        <v>8411712</v>
      </c>
      <c r="C1410" t="s">
        <v>114</v>
      </c>
      <c r="D1410" t="s">
        <v>10</v>
      </c>
      <c r="E1410" s="4" t="str">
        <f>HYPERLINK("https://ibp.a2mac1.com/costing(costing:projects/details/9760/process/12083318)","Process")</f>
        <v>Process</v>
      </c>
      <c r="F1410" t="s">
        <v>1841</v>
      </c>
    </row>
    <row r="1411" spans="1:6" x14ac:dyDescent="0.15">
      <c r="A1411">
        <v>8752338</v>
      </c>
      <c r="B1411">
        <v>12083318</v>
      </c>
      <c r="C1411" t="s">
        <v>22</v>
      </c>
      <c r="D1411" t="s">
        <v>114</v>
      </c>
      <c r="E1411" s="4" t="str">
        <f>HYPERLINK("https://ibp.a2mac1.com/costing(costing:projects/details/9760/material/8752338)","EN AC-46100 / EN AC-AlSi11Cu2(Fe) / AA46100 / ADC12 (Ingot)")</f>
        <v>EN AC-46100 / EN AC-AlSi11Cu2(Fe) / AA46100 / ADC12 (Ingot)</v>
      </c>
      <c r="F1411" t="s">
        <v>1844</v>
      </c>
    </row>
    <row r="1412" spans="1:6" x14ac:dyDescent="0.15">
      <c r="A1412">
        <v>12210408</v>
      </c>
      <c r="B1412">
        <v>12083318</v>
      </c>
      <c r="C1412" t="s">
        <v>163</v>
      </c>
      <c r="D1412" t="s">
        <v>114</v>
      </c>
      <c r="E1412" s="4" t="str">
        <f>HYPERLINK("https://ibp.a2mac1.com/costing(costing:projects/details/9760/equipment/12210408)","General production process (0.5-10€)")</f>
        <v>General production process (0.5-10€)</v>
      </c>
      <c r="F1412" t="s">
        <v>1844</v>
      </c>
    </row>
    <row r="1413" spans="1:6" x14ac:dyDescent="0.15">
      <c r="A1413">
        <v>8411713</v>
      </c>
      <c r="B1413">
        <v>8411660</v>
      </c>
      <c r="C1413" t="s">
        <v>10</v>
      </c>
      <c r="D1413" t="s">
        <v>8</v>
      </c>
      <c r="E1413" s="4" t="str">
        <f>HYPERLINK("https://ibp.a2mac1.com/costing(costing:projects/details/9760/part/8411713)","End Protection")</f>
        <v>End Protection</v>
      </c>
      <c r="F1413" t="s">
        <v>1835</v>
      </c>
    </row>
    <row r="1414" spans="1:6" x14ac:dyDescent="0.15">
      <c r="A1414">
        <v>8752324</v>
      </c>
      <c r="B1414">
        <v>8411660</v>
      </c>
      <c r="C1414" t="s">
        <v>311</v>
      </c>
      <c r="D1414" t="s">
        <v>8</v>
      </c>
      <c r="E1414" s="4" t="str">
        <f>HYPERLINK("https://ibp.a2mac1.com/costing(costing:projects/details/9760/component/8752324)","Socket Screw M5x20")</f>
        <v>Socket Screw M5x20</v>
      </c>
      <c r="F1414" t="s">
        <v>1835</v>
      </c>
    </row>
    <row r="1415" spans="1:6" x14ac:dyDescent="0.15">
      <c r="A1415">
        <v>8752325</v>
      </c>
      <c r="B1415">
        <v>8411660</v>
      </c>
      <c r="C1415" t="s">
        <v>311</v>
      </c>
      <c r="D1415" t="s">
        <v>8</v>
      </c>
      <c r="E1415" s="4" t="str">
        <f>HYPERLINK("https://ibp.a2mac1.com/costing(costing:projects/details/9760/component/8752325)","Hex-head Bolt M8x40")</f>
        <v>Hex-head Bolt M8x40</v>
      </c>
      <c r="F1415" t="s">
        <v>1835</v>
      </c>
    </row>
    <row r="1416" spans="1:6" x14ac:dyDescent="0.15">
      <c r="A1416">
        <v>8752326</v>
      </c>
      <c r="B1416">
        <v>8411660</v>
      </c>
      <c r="C1416" t="s">
        <v>311</v>
      </c>
      <c r="D1416" t="s">
        <v>8</v>
      </c>
      <c r="E1416" s="4" t="str">
        <f>HYPERLINK("https://ibp.a2mac1.com/costing(costing:projects/details/9760/component/8752326)","Hex-head Bolt M14x130")</f>
        <v>Hex-head Bolt M14x130</v>
      </c>
      <c r="F1416" t="s">
        <v>1835</v>
      </c>
    </row>
    <row r="1417" spans="1:6" x14ac:dyDescent="0.15">
      <c r="A1417">
        <v>12083312</v>
      </c>
      <c r="B1417">
        <v>8411652</v>
      </c>
      <c r="C1417" t="s">
        <v>114</v>
      </c>
      <c r="D1417" t="s">
        <v>8</v>
      </c>
      <c r="E1417" s="4" t="str">
        <f>HYPERLINK("https://ibp.a2mac1.com/costing(costing:projects/details/9760/process/12083312)","Final assembly")</f>
        <v>Final assembly</v>
      </c>
      <c r="F1417" t="s">
        <v>1757</v>
      </c>
    </row>
    <row r="1418" spans="1:6" x14ac:dyDescent="0.15">
      <c r="A1418">
        <v>12210402</v>
      </c>
      <c r="B1418">
        <v>12083312</v>
      </c>
      <c r="C1418" t="s">
        <v>163</v>
      </c>
      <c r="D1418" t="s">
        <v>114</v>
      </c>
      <c r="E1418" s="4" t="str">
        <f>HYPERLINK("https://ibp.a2mac1.com/costing(costing:projects/details/9760/equipment/12210402)","General production process (&gt;10€)")</f>
        <v>General production process (&gt;10€)</v>
      </c>
      <c r="F1418" t="s">
        <v>1853</v>
      </c>
    </row>
    <row r="1419" spans="1:6" x14ac:dyDescent="0.15">
      <c r="A1419">
        <v>8411653</v>
      </c>
      <c r="B1419">
        <v>8411650</v>
      </c>
      <c r="C1419" t="s">
        <v>8</v>
      </c>
      <c r="D1419" t="s">
        <v>8</v>
      </c>
      <c r="E1419" s="4" t="str">
        <f>HYPERLINK("https://ibp.a2mac1.com/costing(costing:projects/details/9760/assembly/8411653)","Front Drive shaft system")</f>
        <v>Front Drive shaft system</v>
      </c>
      <c r="F1419" t="s">
        <v>1756</v>
      </c>
    </row>
    <row r="1420" spans="1:6" x14ac:dyDescent="0.15">
      <c r="A1420">
        <v>8411661</v>
      </c>
      <c r="B1420">
        <v>8411653</v>
      </c>
      <c r="C1420" t="s">
        <v>10</v>
      </c>
      <c r="D1420" t="s">
        <v>8</v>
      </c>
      <c r="E1420" s="4" t="str">
        <f>HYPERLINK("https://ibp.a2mac1.com/costing(costing:projects/details/9760/part/8411661)","Left Drive Shaft")</f>
        <v>Left Drive Shaft</v>
      </c>
      <c r="F1420" t="s">
        <v>1856</v>
      </c>
    </row>
    <row r="1421" spans="1:6" x14ac:dyDescent="0.15">
      <c r="A1421">
        <v>8411662</v>
      </c>
      <c r="B1421">
        <v>8411653</v>
      </c>
      <c r="C1421" t="s">
        <v>10</v>
      </c>
      <c r="D1421" t="s">
        <v>8</v>
      </c>
      <c r="E1421" s="4" t="str">
        <f>HYPERLINK("https://ibp.a2mac1.com/costing(costing:projects/details/9760/part/8411662)","Right Drive Shaft")</f>
        <v>Right Drive Shaft</v>
      </c>
      <c r="F1421" t="s">
        <v>1856</v>
      </c>
    </row>
    <row r="1422" spans="1:6" x14ac:dyDescent="0.15">
      <c r="A1422">
        <v>8411663</v>
      </c>
      <c r="B1422">
        <v>8411653</v>
      </c>
      <c r="C1422" t="s">
        <v>10</v>
      </c>
      <c r="D1422" t="s">
        <v>8</v>
      </c>
      <c r="E1422" s="4" t="str">
        <f>HYPERLINK("https://ibp.a2mac1.com/costing(costing:projects/details/9760/part/8411663)","Drive Shaft Support")</f>
        <v>Drive Shaft Support</v>
      </c>
      <c r="F1422" t="s">
        <v>1856</v>
      </c>
    </row>
    <row r="1423" spans="1:6" x14ac:dyDescent="0.15">
      <c r="A1423">
        <v>8411664</v>
      </c>
      <c r="B1423">
        <v>8411653</v>
      </c>
      <c r="C1423" t="s">
        <v>10</v>
      </c>
      <c r="D1423" t="s">
        <v>8</v>
      </c>
      <c r="E1423" s="4" t="str">
        <f>HYPERLINK("https://ibp.a2mac1.com/costing(costing:projects/details/9760/part/8411664)","Dust Cover")</f>
        <v>Dust Cover</v>
      </c>
      <c r="F1423" t="s">
        <v>1856</v>
      </c>
    </row>
    <row r="1424" spans="1:6" x14ac:dyDescent="0.15">
      <c r="A1424">
        <v>8411665</v>
      </c>
      <c r="B1424">
        <v>8411653</v>
      </c>
      <c r="C1424" t="s">
        <v>10</v>
      </c>
      <c r="D1424" t="s">
        <v>8</v>
      </c>
      <c r="E1424" s="4" t="str">
        <f>HYPERLINK("https://ibp.a2mac1.com/costing(costing:projects/details/9760/part/8411665)","2nd Dust Cover")</f>
        <v>2nd Dust Cover</v>
      </c>
      <c r="F1424" t="s">
        <v>1856</v>
      </c>
    </row>
    <row r="1425" spans="1:6" x14ac:dyDescent="0.15">
      <c r="A1425">
        <v>8411666</v>
      </c>
      <c r="B1425">
        <v>8411653</v>
      </c>
      <c r="C1425" t="s">
        <v>10</v>
      </c>
      <c r="D1425" t="s">
        <v>8</v>
      </c>
      <c r="E1425" s="4" t="str">
        <f>HYPERLINK("https://ibp.a2mac1.com/costing(costing:projects/details/9760/part/8411666)","Drive Shaft Protection")</f>
        <v>Drive Shaft Protection</v>
      </c>
      <c r="F1425" t="s">
        <v>1856</v>
      </c>
    </row>
    <row r="1426" spans="1:6" x14ac:dyDescent="0.15">
      <c r="A1426">
        <v>8411667</v>
      </c>
      <c r="B1426">
        <v>8411653</v>
      </c>
      <c r="C1426" t="s">
        <v>10</v>
      </c>
      <c r="D1426" t="s">
        <v>8</v>
      </c>
      <c r="E1426" s="4" t="str">
        <f>HYPERLINK("https://ibp.a2mac1.com/costing(costing:projects/details/9760/part/8411667)","Bearing on Cardan")</f>
        <v>Bearing on Cardan</v>
      </c>
      <c r="F1426" t="s">
        <v>1856</v>
      </c>
    </row>
    <row r="1427" spans="1:6" x14ac:dyDescent="0.15">
      <c r="A1427">
        <v>8411668</v>
      </c>
      <c r="B1427">
        <v>8411653</v>
      </c>
      <c r="C1427" t="s">
        <v>10</v>
      </c>
      <c r="D1427" t="s">
        <v>8</v>
      </c>
      <c r="E1427" s="4" t="str">
        <f>HYPERLINK("https://ibp.a2mac1.com/costing(costing:projects/details/9760/part/8411668)","Left and Right Drive shaft Lock nut-M16")</f>
        <v>Left and Right Drive shaft Lock nut-M16</v>
      </c>
      <c r="F1427" t="s">
        <v>1856</v>
      </c>
    </row>
    <row r="1428" spans="1:6" x14ac:dyDescent="0.15">
      <c r="A1428">
        <v>8411669</v>
      </c>
      <c r="B1428">
        <v>8411653</v>
      </c>
      <c r="C1428" t="s">
        <v>10</v>
      </c>
      <c r="D1428" t="s">
        <v>8</v>
      </c>
      <c r="E1428" s="4" t="str">
        <f>HYPERLINK("https://ibp.a2mac1.com/costing(costing:projects/details/9760/part/8411669)","Spring")</f>
        <v>Spring</v>
      </c>
      <c r="F1428" t="s">
        <v>1856</v>
      </c>
    </row>
    <row r="1429" spans="1:6" x14ac:dyDescent="0.15">
      <c r="A1429">
        <v>8411651</v>
      </c>
      <c r="B1429">
        <v>8411649</v>
      </c>
      <c r="C1429" t="s">
        <v>8</v>
      </c>
      <c r="D1429" t="s">
        <v>8</v>
      </c>
      <c r="E1429" s="4" t="str">
        <f>HYPERLINK("https://ibp.a2mac1.com/costing(costing:projects/details/9760/assembly/8411651)","Rear Drive Shaft/Differential")</f>
        <v>Rear Drive Shaft/Differential</v>
      </c>
      <c r="F1429" t="s">
        <v>1755</v>
      </c>
    </row>
    <row r="1430" spans="1:6" x14ac:dyDescent="0.15">
      <c r="A1430">
        <v>8411654</v>
      </c>
      <c r="B1430">
        <v>8411651</v>
      </c>
      <c r="C1430" t="s">
        <v>8</v>
      </c>
      <c r="D1430" t="s">
        <v>8</v>
      </c>
      <c r="E1430" s="4" t="str">
        <f>HYPERLINK("https://ibp.a2mac1.com/costing(costing:projects/details/9760/assembly/8411654)","Rear Transmission")</f>
        <v>Rear Transmission</v>
      </c>
      <c r="F1430" t="s">
        <v>1868</v>
      </c>
    </row>
    <row r="1431" spans="1:6" x14ac:dyDescent="0.15">
      <c r="A1431">
        <v>8411670</v>
      </c>
      <c r="B1431">
        <v>8411654</v>
      </c>
      <c r="C1431" t="s">
        <v>8</v>
      </c>
      <c r="D1431" t="s">
        <v>8</v>
      </c>
      <c r="E1431" s="4" t="str">
        <f>HYPERLINK("https://ibp.a2mac1.com/costing(costing:projects/details/9760/assembly/8411670)","Output Stage")</f>
        <v>Output Stage</v>
      </c>
      <c r="F1431" t="s">
        <v>1869</v>
      </c>
    </row>
    <row r="1432" spans="1:6" x14ac:dyDescent="0.15">
      <c r="A1432">
        <v>8411725</v>
      </c>
      <c r="B1432">
        <v>8411670</v>
      </c>
      <c r="C1432" t="s">
        <v>8</v>
      </c>
      <c r="D1432" t="s">
        <v>8</v>
      </c>
      <c r="E1432" s="4" t="str">
        <f>HYPERLINK("https://ibp.a2mac1.com/costing(costing:projects/details/9760/assembly/8411725)","Bearing Races")</f>
        <v>Bearing Races</v>
      </c>
      <c r="F1432" t="s">
        <v>1870</v>
      </c>
    </row>
    <row r="1433" spans="1:6" x14ac:dyDescent="0.15">
      <c r="A1433">
        <v>8411755</v>
      </c>
      <c r="B1433">
        <v>8411725</v>
      </c>
      <c r="C1433" t="s">
        <v>10</v>
      </c>
      <c r="D1433" t="s">
        <v>8</v>
      </c>
      <c r="E1433" s="4" t="str">
        <f>HYPERLINK("https://ibp.a2mac1.com/costing(costing:projects/details/9760/part/8411755)","Bearing Races Differential Ring Gear Side")</f>
        <v>Bearing Races Differential Ring Gear Side</v>
      </c>
      <c r="F1433" t="s">
        <v>1871</v>
      </c>
    </row>
    <row r="1434" spans="1:6" x14ac:dyDescent="0.15">
      <c r="A1434">
        <v>8411756</v>
      </c>
      <c r="B1434">
        <v>8411725</v>
      </c>
      <c r="C1434" t="s">
        <v>10</v>
      </c>
      <c r="D1434" t="s">
        <v>8</v>
      </c>
      <c r="E1434" s="4" t="str">
        <f>HYPERLINK("https://ibp.a2mac1.com/costing(costing:projects/details/9760/part/8411756)","Bearing Race (Differential Ring Gear Opposite Side)")</f>
        <v>Bearing Race (Differential Ring Gear Opposite Side)</v>
      </c>
      <c r="F1434" t="s">
        <v>1871</v>
      </c>
    </row>
    <row r="1435" spans="1:6" x14ac:dyDescent="0.15">
      <c r="A1435">
        <v>8411715</v>
      </c>
      <c r="B1435">
        <v>8411670</v>
      </c>
      <c r="C1435" t="s">
        <v>10</v>
      </c>
      <c r="D1435" t="s">
        <v>8</v>
      </c>
      <c r="E1435" s="4" t="str">
        <f>HYPERLINK("https://ibp.a2mac1.com/costing(costing:projects/details/9760/part/8411715)","Differential Case")</f>
        <v>Differential Case</v>
      </c>
      <c r="F1435" t="s">
        <v>1870</v>
      </c>
    </row>
    <row r="1436" spans="1:6" x14ac:dyDescent="0.15">
      <c r="A1436">
        <v>8411716</v>
      </c>
      <c r="B1436">
        <v>8411670</v>
      </c>
      <c r="C1436" t="s">
        <v>10</v>
      </c>
      <c r="D1436" t="s">
        <v>8</v>
      </c>
      <c r="E1436" s="4" t="str">
        <f>HYPERLINK("https://ibp.a2mac1.com/costing(costing:projects/details/9760/part/8411716)","Sun Gear")</f>
        <v>Sun Gear</v>
      </c>
      <c r="F1436" t="s">
        <v>1870</v>
      </c>
    </row>
    <row r="1437" spans="1:6" x14ac:dyDescent="0.15">
      <c r="A1437">
        <v>8411717</v>
      </c>
      <c r="B1437">
        <v>8411670</v>
      </c>
      <c r="C1437" t="s">
        <v>10</v>
      </c>
      <c r="D1437" t="s">
        <v>8</v>
      </c>
      <c r="E1437" s="4" t="str">
        <f>HYPERLINK("https://ibp.a2mac1.com/costing(costing:projects/details/9760/part/8411717)","Planet Gear")</f>
        <v>Planet Gear</v>
      </c>
      <c r="F1437" t="s">
        <v>1870</v>
      </c>
    </row>
    <row r="1438" spans="1:6" x14ac:dyDescent="0.15">
      <c r="A1438">
        <v>8411718</v>
      </c>
      <c r="B1438">
        <v>8411670</v>
      </c>
      <c r="C1438" t="s">
        <v>10</v>
      </c>
      <c r="D1438" t="s">
        <v>8</v>
      </c>
      <c r="E1438" s="4" t="str">
        <f>HYPERLINK("https://ibp.a2mac1.com/costing(costing:projects/details/9760/part/8411718)","Final Cascading Pinion")</f>
        <v>Final Cascading Pinion</v>
      </c>
      <c r="F1438" t="s">
        <v>1870</v>
      </c>
    </row>
    <row r="1439" spans="1:6" x14ac:dyDescent="0.15">
      <c r="A1439">
        <v>12083319</v>
      </c>
      <c r="B1439">
        <v>8411718</v>
      </c>
      <c r="C1439" t="s">
        <v>114</v>
      </c>
      <c r="D1439" t="s">
        <v>10</v>
      </c>
      <c r="E1439" s="4" t="str">
        <f>HYPERLINK("https://ibp.a2mac1.com/costing(costing:projects/details/9760/process/12083319)","Process")</f>
        <v>Process</v>
      </c>
      <c r="F1439" t="s">
        <v>1878</v>
      </c>
    </row>
    <row r="1440" spans="1:6" x14ac:dyDescent="0.15">
      <c r="A1440">
        <v>8752339</v>
      </c>
      <c r="B1440">
        <v>12083319</v>
      </c>
      <c r="C1440" t="s">
        <v>22</v>
      </c>
      <c r="D1440" t="s">
        <v>114</v>
      </c>
      <c r="E1440" s="4" t="str">
        <f>HYPERLINK("https://ibp.a2mac1.com/costing(costing:projects/details/9760/material/8752339)","20MnCr5-3 / 1.8701 (Billet)")</f>
        <v>20MnCr5-3 / 1.8701 (Billet)</v>
      </c>
      <c r="F1440" t="s">
        <v>1881</v>
      </c>
    </row>
    <row r="1441" spans="1:6" x14ac:dyDescent="0.15">
      <c r="A1441">
        <v>12210409</v>
      </c>
      <c r="B1441">
        <v>12083319</v>
      </c>
      <c r="C1441" t="s">
        <v>163</v>
      </c>
      <c r="D1441" t="s">
        <v>114</v>
      </c>
      <c r="E1441" s="4" t="str">
        <f>HYPERLINK("https://ibp.a2mac1.com/costing(costing:projects/details/9760/equipment/12210409)","General production process (&gt;10€)")</f>
        <v>General production process (&gt;10€)</v>
      </c>
      <c r="F1441" t="s">
        <v>1881</v>
      </c>
    </row>
    <row r="1442" spans="1:6" x14ac:dyDescent="0.15">
      <c r="A1442">
        <v>8411719</v>
      </c>
      <c r="B1442">
        <v>8411670</v>
      </c>
      <c r="C1442" t="s">
        <v>10</v>
      </c>
      <c r="D1442" t="s">
        <v>8</v>
      </c>
      <c r="E1442" s="4" t="str">
        <f>HYPERLINK("https://ibp.a2mac1.com/costing(costing:projects/details/9760/part/8411719)","Planet Gear Axle")</f>
        <v>Planet Gear Axle</v>
      </c>
      <c r="F1442" t="s">
        <v>1870</v>
      </c>
    </row>
    <row r="1443" spans="1:6" x14ac:dyDescent="0.15">
      <c r="A1443">
        <v>8411720</v>
      </c>
      <c r="B1443">
        <v>8411670</v>
      </c>
      <c r="C1443" t="s">
        <v>10</v>
      </c>
      <c r="D1443" t="s">
        <v>8</v>
      </c>
      <c r="E1443" s="4" t="str">
        <f>HYPERLINK("https://ibp.a2mac1.com/costing(costing:projects/details/9760/part/8411720)","Bearing Differential Ring Gear Side")</f>
        <v>Bearing Differential Ring Gear Side</v>
      </c>
      <c r="F1443" t="s">
        <v>1870</v>
      </c>
    </row>
    <row r="1444" spans="1:6" x14ac:dyDescent="0.15">
      <c r="A1444">
        <v>8411721</v>
      </c>
      <c r="B1444">
        <v>8411670</v>
      </c>
      <c r="C1444" t="s">
        <v>10</v>
      </c>
      <c r="D1444" t="s">
        <v>8</v>
      </c>
      <c r="E1444" s="4" t="str">
        <f>HYPERLINK("https://ibp.a2mac1.com/costing(costing:projects/details/9760/part/8411721)","Bearing (Differential Ring Gear Opposite Side)")</f>
        <v>Bearing (Differential Ring Gear Opposite Side)</v>
      </c>
      <c r="F1444" t="s">
        <v>1870</v>
      </c>
    </row>
    <row r="1445" spans="1:6" x14ac:dyDescent="0.15">
      <c r="A1445">
        <v>8411722</v>
      </c>
      <c r="B1445">
        <v>8411670</v>
      </c>
      <c r="C1445" t="s">
        <v>10</v>
      </c>
      <c r="D1445" t="s">
        <v>8</v>
      </c>
      <c r="E1445" s="4" t="str">
        <f>HYPERLINK("https://ibp.a2mac1.com/costing(costing:projects/details/9760/part/8411722)","Adjustment spacer")</f>
        <v>Adjustment spacer</v>
      </c>
      <c r="F1445" t="s">
        <v>1870</v>
      </c>
    </row>
    <row r="1446" spans="1:6" x14ac:dyDescent="0.15">
      <c r="A1446">
        <v>8411723</v>
      </c>
      <c r="B1446">
        <v>8411670</v>
      </c>
      <c r="C1446" t="s">
        <v>10</v>
      </c>
      <c r="D1446" t="s">
        <v>8</v>
      </c>
      <c r="E1446" s="4" t="str">
        <f>HYPERLINK("https://ibp.a2mac1.com/costing(costing:projects/details/9760/part/8411723)","Planet gears - shim")</f>
        <v>Planet gears - shim</v>
      </c>
      <c r="F1446" t="s">
        <v>1870</v>
      </c>
    </row>
    <row r="1447" spans="1:6" x14ac:dyDescent="0.15">
      <c r="A1447">
        <v>8411724</v>
      </c>
      <c r="B1447">
        <v>8411670</v>
      </c>
      <c r="C1447" t="s">
        <v>10</v>
      </c>
      <c r="D1447" t="s">
        <v>8</v>
      </c>
      <c r="E1447" s="4" t="str">
        <f>HYPERLINK("https://ibp.a2mac1.com/costing(costing:projects/details/9760/part/8411724)","Sun wheels - shim")</f>
        <v>Sun wheels - shim</v>
      </c>
      <c r="F1447" t="s">
        <v>1870</v>
      </c>
    </row>
    <row r="1448" spans="1:6" x14ac:dyDescent="0.15">
      <c r="A1448">
        <v>12083315</v>
      </c>
      <c r="B1448">
        <v>8411670</v>
      </c>
      <c r="C1448" t="s">
        <v>114</v>
      </c>
      <c r="D1448" t="s">
        <v>8</v>
      </c>
      <c r="E1448" s="4" t="str">
        <f>HYPERLINK("https://ibp.a2mac1.com/costing(costing:projects/details/9760/process/12083315)","Differential assembly")</f>
        <v>Differential assembly</v>
      </c>
      <c r="F1448" t="s">
        <v>1870</v>
      </c>
    </row>
    <row r="1449" spans="1:6" x14ac:dyDescent="0.15">
      <c r="A1449">
        <v>12210405</v>
      </c>
      <c r="B1449">
        <v>12083315</v>
      </c>
      <c r="C1449" t="s">
        <v>163</v>
      </c>
      <c r="D1449" t="s">
        <v>114</v>
      </c>
      <c r="E1449" s="4" t="str">
        <f>HYPERLINK("https://ibp.a2mac1.com/costing(costing:projects/details/9760/equipment/12210405)","General production process (0.5-10€)")</f>
        <v>General production process (0.5-10€)</v>
      </c>
      <c r="F1449" t="s">
        <v>1887</v>
      </c>
    </row>
    <row r="1450" spans="1:6" x14ac:dyDescent="0.15">
      <c r="A1450">
        <v>8752327</v>
      </c>
      <c r="B1450">
        <v>8411670</v>
      </c>
      <c r="C1450" t="s">
        <v>311</v>
      </c>
      <c r="D1450" t="s">
        <v>8</v>
      </c>
      <c r="E1450" s="4" t="str">
        <f>HYPERLINK("https://ibp.a2mac1.com/costing(costing:projects/details/9760/component/8752327)","Hex-head Bolt M12x25")</f>
        <v>Hex-head Bolt M12x25</v>
      </c>
      <c r="F1450" t="s">
        <v>1870</v>
      </c>
    </row>
    <row r="1451" spans="1:6" x14ac:dyDescent="0.15">
      <c r="A1451">
        <v>8411671</v>
      </c>
      <c r="B1451">
        <v>8411654</v>
      </c>
      <c r="C1451" t="s">
        <v>8</v>
      </c>
      <c r="D1451" t="s">
        <v>8</v>
      </c>
      <c r="E1451" s="4" t="str">
        <f>HYPERLINK("https://ibp.a2mac1.com/costing(costing:projects/details/9760/assembly/8411671)","Input Stage")</f>
        <v>Input Stage</v>
      </c>
      <c r="F1451" t="s">
        <v>1869</v>
      </c>
    </row>
    <row r="1452" spans="1:6" x14ac:dyDescent="0.15">
      <c r="A1452">
        <v>8411727</v>
      </c>
      <c r="B1452">
        <v>8411671</v>
      </c>
      <c r="C1452" t="s">
        <v>8</v>
      </c>
      <c r="D1452" t="s">
        <v>8</v>
      </c>
      <c r="E1452" s="4" t="str">
        <f>HYPERLINK("https://ibp.a2mac1.com/costing(costing:projects/details/9760/assembly/8411727)","Rolling Bearing")</f>
        <v>Rolling Bearing</v>
      </c>
      <c r="F1452" t="s">
        <v>1891</v>
      </c>
    </row>
    <row r="1453" spans="1:6" x14ac:dyDescent="0.15">
      <c r="A1453">
        <v>8411757</v>
      </c>
      <c r="B1453">
        <v>8411727</v>
      </c>
      <c r="C1453" t="s">
        <v>10</v>
      </c>
      <c r="D1453" t="s">
        <v>8</v>
      </c>
      <c r="E1453" s="4" t="str">
        <f>HYPERLINK("https://ibp.a2mac1.com/costing(costing:projects/details/9760/part/8411757)","Front")</f>
        <v>Front</v>
      </c>
      <c r="F1453" t="s">
        <v>1892</v>
      </c>
    </row>
    <row r="1454" spans="1:6" x14ac:dyDescent="0.15">
      <c r="A1454">
        <v>8411758</v>
      </c>
      <c r="B1454">
        <v>8411727</v>
      </c>
      <c r="C1454" t="s">
        <v>10</v>
      </c>
      <c r="D1454" t="s">
        <v>8</v>
      </c>
      <c r="E1454" s="4" t="str">
        <f>HYPERLINK("https://ibp.a2mac1.com/costing(costing:projects/details/9760/part/8411758)","Rear")</f>
        <v>Rear</v>
      </c>
      <c r="F1454" t="s">
        <v>1892</v>
      </c>
    </row>
    <row r="1455" spans="1:6" x14ac:dyDescent="0.15">
      <c r="A1455">
        <v>8411759</v>
      </c>
      <c r="B1455">
        <v>8411727</v>
      </c>
      <c r="C1455" t="s">
        <v>10</v>
      </c>
      <c r="D1455" t="s">
        <v>8</v>
      </c>
      <c r="E1455" s="4" t="str">
        <f>HYPERLINK("https://ibp.a2mac1.com/costing(costing:projects/details/9760/part/8411759)","Adjustement ring")</f>
        <v>Adjustement ring</v>
      </c>
      <c r="F1455" t="s">
        <v>1892</v>
      </c>
    </row>
    <row r="1456" spans="1:6" x14ac:dyDescent="0.15">
      <c r="A1456">
        <v>8411726</v>
      </c>
      <c r="B1456">
        <v>8411671</v>
      </c>
      <c r="C1456" t="s">
        <v>10</v>
      </c>
      <c r="D1456" t="s">
        <v>8</v>
      </c>
      <c r="E1456" s="4" t="str">
        <f>HYPERLINK("https://ibp.a2mac1.com/costing(costing:projects/details/9760/part/8411726)","Pinion and Axle")</f>
        <v>Pinion and Axle</v>
      </c>
      <c r="F1456" t="s">
        <v>1891</v>
      </c>
    </row>
    <row r="1457" spans="1:6" x14ac:dyDescent="0.15">
      <c r="A1457">
        <v>8411672</v>
      </c>
      <c r="B1457">
        <v>8411654</v>
      </c>
      <c r="C1457" t="s">
        <v>8</v>
      </c>
      <c r="D1457" t="s">
        <v>8</v>
      </c>
      <c r="E1457" s="4" t="str">
        <f>HYPERLINK("https://ibp.a2mac1.com/costing(costing:projects/details/9760/assembly/8411672)","Intermediate Stage")</f>
        <v>Intermediate Stage</v>
      </c>
      <c r="F1457" t="s">
        <v>1869</v>
      </c>
    </row>
    <row r="1458" spans="1:6" x14ac:dyDescent="0.15">
      <c r="A1458">
        <v>8411728</v>
      </c>
      <c r="B1458">
        <v>8411672</v>
      </c>
      <c r="C1458" t="s">
        <v>10</v>
      </c>
      <c r="D1458" t="s">
        <v>8</v>
      </c>
      <c r="E1458" s="4" t="str">
        <f>HYPERLINK("https://ibp.a2mac1.com/costing(costing:projects/details/9760/part/8411728)","Shaft")</f>
        <v>Shaft</v>
      </c>
      <c r="F1458" t="s">
        <v>1899</v>
      </c>
    </row>
    <row r="1459" spans="1:6" x14ac:dyDescent="0.15">
      <c r="A1459">
        <v>8411729</v>
      </c>
      <c r="B1459">
        <v>8411672</v>
      </c>
      <c r="C1459" t="s">
        <v>10</v>
      </c>
      <c r="D1459" t="s">
        <v>8</v>
      </c>
      <c r="E1459" s="4" t="str">
        <f>HYPERLINK("https://ibp.a2mac1.com/costing(costing:projects/details/9760/part/8411729)","Gear")</f>
        <v>Gear</v>
      </c>
      <c r="F1459" t="s">
        <v>1899</v>
      </c>
    </row>
    <row r="1460" spans="1:6" x14ac:dyDescent="0.15">
      <c r="A1460">
        <v>12083320</v>
      </c>
      <c r="B1460">
        <v>8411729</v>
      </c>
      <c r="C1460" t="s">
        <v>114</v>
      </c>
      <c r="D1460" t="s">
        <v>10</v>
      </c>
      <c r="E1460" s="4" t="str">
        <f>HYPERLINK("https://ibp.a2mac1.com/costing(costing:projects/details/9760/process/12083320)","Process")</f>
        <v>Process</v>
      </c>
      <c r="F1460" t="s">
        <v>1901</v>
      </c>
    </row>
    <row r="1461" spans="1:6" x14ac:dyDescent="0.15">
      <c r="A1461">
        <v>8752340</v>
      </c>
      <c r="B1461">
        <v>12083320</v>
      </c>
      <c r="C1461" t="s">
        <v>22</v>
      </c>
      <c r="D1461" t="s">
        <v>114</v>
      </c>
      <c r="E1461" s="4" t="str">
        <f>HYPERLINK("https://ibp.a2mac1.com/costing(costing:projects/details/9760/material/8752340)","20MnCr5-3 / 1.8701 (Billet)")</f>
        <v>20MnCr5-3 / 1.8701 (Billet)</v>
      </c>
      <c r="F1461" t="s">
        <v>1904</v>
      </c>
    </row>
    <row r="1462" spans="1:6" x14ac:dyDescent="0.15">
      <c r="A1462">
        <v>12210410</v>
      </c>
      <c r="B1462">
        <v>12083320</v>
      </c>
      <c r="C1462" t="s">
        <v>163</v>
      </c>
      <c r="D1462" t="s">
        <v>114</v>
      </c>
      <c r="E1462" s="4" t="str">
        <f>HYPERLINK("https://ibp.a2mac1.com/costing(costing:projects/details/9760/equipment/12210410)","General production process (0.5-10€)")</f>
        <v>General production process (0.5-10€)</v>
      </c>
      <c r="F1462" t="s">
        <v>1904</v>
      </c>
    </row>
    <row r="1463" spans="1:6" x14ac:dyDescent="0.15">
      <c r="A1463">
        <v>8411730</v>
      </c>
      <c r="B1463">
        <v>8411672</v>
      </c>
      <c r="C1463" t="s">
        <v>10</v>
      </c>
      <c r="D1463" t="s">
        <v>8</v>
      </c>
      <c r="E1463" s="4" t="str">
        <f>HYPERLINK("https://ibp.a2mac1.com/costing(costing:projects/details/9760/part/8411730)","Bearing on Main Housing-Left Bearing")</f>
        <v>Bearing on Main Housing-Left Bearing</v>
      </c>
      <c r="F1463" t="s">
        <v>1899</v>
      </c>
    </row>
    <row r="1464" spans="1:6" x14ac:dyDescent="0.15">
      <c r="A1464">
        <v>8411731</v>
      </c>
      <c r="B1464">
        <v>8411672</v>
      </c>
      <c r="C1464" t="s">
        <v>10</v>
      </c>
      <c r="D1464" t="s">
        <v>8</v>
      </c>
      <c r="E1464" s="4" t="str">
        <f>HYPERLINK("https://ibp.a2mac1.com/costing(costing:projects/details/9760/part/8411731)","Bearing on Secondary Housing-Right Bearing")</f>
        <v>Bearing on Secondary Housing-Right Bearing</v>
      </c>
      <c r="F1464" t="s">
        <v>1899</v>
      </c>
    </row>
    <row r="1465" spans="1:6" x14ac:dyDescent="0.15">
      <c r="A1465">
        <v>8411732</v>
      </c>
      <c r="B1465">
        <v>8411672</v>
      </c>
      <c r="C1465" t="s">
        <v>10</v>
      </c>
      <c r="D1465" t="s">
        <v>8</v>
      </c>
      <c r="E1465" s="4" t="str">
        <f>HYPERLINK("https://ibp.a2mac1.com/costing(costing:projects/details/9760/part/8411732)","Adjustment Ring")</f>
        <v>Adjustment Ring</v>
      </c>
      <c r="F1465" t="s">
        <v>1899</v>
      </c>
    </row>
    <row r="1466" spans="1:6" x14ac:dyDescent="0.15">
      <c r="A1466">
        <v>8411733</v>
      </c>
      <c r="B1466">
        <v>8411672</v>
      </c>
      <c r="C1466" t="s">
        <v>10</v>
      </c>
      <c r="D1466" t="s">
        <v>8</v>
      </c>
      <c r="E1466" s="4" t="str">
        <f>HYPERLINK("https://ibp.a2mac1.com/costing(costing:projects/details/9760/part/8411733)","Bearing Cage on Right Housing")</f>
        <v>Bearing Cage on Right Housing</v>
      </c>
      <c r="F1466" t="s">
        <v>1899</v>
      </c>
    </row>
    <row r="1467" spans="1:6" x14ac:dyDescent="0.15">
      <c r="A1467">
        <v>8411734</v>
      </c>
      <c r="B1467">
        <v>8411672</v>
      </c>
      <c r="C1467" t="s">
        <v>10</v>
      </c>
      <c r="D1467" t="s">
        <v>8</v>
      </c>
      <c r="E1467" s="4" t="str">
        <f>HYPERLINK("https://ibp.a2mac1.com/costing(costing:projects/details/9760/part/8411734)","Bearing Cage on Left Housing")</f>
        <v>Bearing Cage on Left Housing</v>
      </c>
      <c r="F1467" t="s">
        <v>1899</v>
      </c>
    </row>
    <row r="1468" spans="1:6" x14ac:dyDescent="0.15">
      <c r="A1468">
        <v>8411673</v>
      </c>
      <c r="B1468">
        <v>8411654</v>
      </c>
      <c r="C1468" t="s">
        <v>8</v>
      </c>
      <c r="D1468" t="s">
        <v>8</v>
      </c>
      <c r="E1468" s="4" t="str">
        <f>HYPERLINK("https://ibp.a2mac1.com/costing(costing:projects/details/9760/assembly/8411673)","Lubrication/ Degassing")</f>
        <v>Lubrication/ Degassing</v>
      </c>
      <c r="F1468" t="s">
        <v>1869</v>
      </c>
    </row>
    <row r="1469" spans="1:6" x14ac:dyDescent="0.15">
      <c r="A1469">
        <v>8411735</v>
      </c>
      <c r="B1469">
        <v>8411673</v>
      </c>
      <c r="C1469" t="s">
        <v>10</v>
      </c>
      <c r="D1469" t="s">
        <v>8</v>
      </c>
      <c r="E1469" s="4" t="str">
        <f>HYPERLINK("https://ibp.a2mac1.com/costing(costing:projects/details/9760/part/8411735)","Oil Drain Plug")</f>
        <v>Oil Drain Plug</v>
      </c>
      <c r="F1469" t="s">
        <v>1912</v>
      </c>
    </row>
    <row r="1470" spans="1:6" x14ac:dyDescent="0.15">
      <c r="A1470">
        <v>8411736</v>
      </c>
      <c r="B1470">
        <v>8411673</v>
      </c>
      <c r="C1470" t="s">
        <v>10</v>
      </c>
      <c r="D1470" t="s">
        <v>8</v>
      </c>
      <c r="E1470" s="4" t="str">
        <f>HYPERLINK("https://ibp.a2mac1.com/costing(costing:projects/details/9760/part/8411736)","Level Cap")</f>
        <v>Level Cap</v>
      </c>
      <c r="F1470" t="s">
        <v>1912</v>
      </c>
    </row>
    <row r="1471" spans="1:6" x14ac:dyDescent="0.15">
      <c r="A1471">
        <v>8411737</v>
      </c>
      <c r="B1471">
        <v>8411673</v>
      </c>
      <c r="C1471" t="s">
        <v>10</v>
      </c>
      <c r="D1471" t="s">
        <v>8</v>
      </c>
      <c r="E1471" s="4" t="str">
        <f>HYPERLINK("https://ibp.a2mac1.com/costing(costing:projects/details/9760/part/8411737)","Filling Up Cap")</f>
        <v>Filling Up Cap</v>
      </c>
      <c r="F1471" t="s">
        <v>1912</v>
      </c>
    </row>
    <row r="1472" spans="1:6" x14ac:dyDescent="0.15">
      <c r="A1472">
        <v>8411738</v>
      </c>
      <c r="B1472">
        <v>8411673</v>
      </c>
      <c r="C1472" t="s">
        <v>10</v>
      </c>
      <c r="D1472" t="s">
        <v>8</v>
      </c>
      <c r="E1472" s="4" t="str">
        <f>HYPERLINK("https://ibp.a2mac1.com/costing(costing:projects/details/9760/part/8411738)","Lubrication Screen")</f>
        <v>Lubrication Screen</v>
      </c>
      <c r="F1472" t="s">
        <v>1912</v>
      </c>
    </row>
    <row r="1473" spans="1:6" x14ac:dyDescent="0.15">
      <c r="A1473">
        <v>8411739</v>
      </c>
      <c r="B1473">
        <v>8411673</v>
      </c>
      <c r="C1473" t="s">
        <v>10</v>
      </c>
      <c r="D1473" t="s">
        <v>8</v>
      </c>
      <c r="E1473" s="4" t="str">
        <f>HYPERLINK("https://ibp.a2mac1.com/costing(costing:projects/details/9760/part/8411739)","2nd Lubrication Screen")</f>
        <v>2nd Lubrication Screen</v>
      </c>
      <c r="F1473" t="s">
        <v>1912</v>
      </c>
    </row>
    <row r="1474" spans="1:6" x14ac:dyDescent="0.15">
      <c r="A1474">
        <v>8411740</v>
      </c>
      <c r="B1474">
        <v>8411673</v>
      </c>
      <c r="C1474" t="s">
        <v>10</v>
      </c>
      <c r="D1474" t="s">
        <v>8</v>
      </c>
      <c r="E1474" s="4" t="str">
        <f>HYPERLINK("https://ibp.a2mac1.com/costing(costing:projects/details/9760/part/8411740)","3rd Lubrication Screen")</f>
        <v>3rd Lubrication Screen</v>
      </c>
      <c r="F1474" t="s">
        <v>1912</v>
      </c>
    </row>
    <row r="1475" spans="1:6" x14ac:dyDescent="0.15">
      <c r="A1475">
        <v>8411741</v>
      </c>
      <c r="B1475">
        <v>8411673</v>
      </c>
      <c r="C1475" t="s">
        <v>10</v>
      </c>
      <c r="D1475" t="s">
        <v>8</v>
      </c>
      <c r="E1475" s="4" t="str">
        <f>HYPERLINK("https://ibp.a2mac1.com/costing(costing:projects/details/9760/part/8411741)","Inner Pipe")</f>
        <v>Inner Pipe</v>
      </c>
      <c r="F1475" t="s">
        <v>1912</v>
      </c>
    </row>
    <row r="1476" spans="1:6" x14ac:dyDescent="0.15">
      <c r="A1476">
        <v>8411742</v>
      </c>
      <c r="B1476">
        <v>8411673</v>
      </c>
      <c r="C1476" t="s">
        <v>10</v>
      </c>
      <c r="D1476" t="s">
        <v>8</v>
      </c>
      <c r="E1476" s="4" t="str">
        <f>HYPERLINK("https://ibp.a2mac1.com/costing(costing:projects/details/9760/part/8411742)","Magnet")</f>
        <v>Magnet</v>
      </c>
      <c r="F1476" t="s">
        <v>1912</v>
      </c>
    </row>
    <row r="1477" spans="1:6" x14ac:dyDescent="0.15">
      <c r="A1477">
        <v>8411743</v>
      </c>
      <c r="B1477">
        <v>8411673</v>
      </c>
      <c r="C1477" t="s">
        <v>10</v>
      </c>
      <c r="D1477" t="s">
        <v>8</v>
      </c>
      <c r="E1477" s="4" t="str">
        <f>HYPERLINK("https://ibp.a2mac1.com/costing(costing:projects/details/9760/part/8411743)","Complete oil pump")</f>
        <v>Complete oil pump</v>
      </c>
      <c r="F1477" t="s">
        <v>1912</v>
      </c>
    </row>
    <row r="1478" spans="1:6" x14ac:dyDescent="0.15">
      <c r="A1478">
        <v>8411744</v>
      </c>
      <c r="B1478">
        <v>8411673</v>
      </c>
      <c r="C1478" t="s">
        <v>10</v>
      </c>
      <c r="D1478" t="s">
        <v>8</v>
      </c>
      <c r="E1478" s="4" t="str">
        <f>HYPERLINK("https://ibp.a2mac1.com/costing(costing:projects/details/9760/part/8411744)","Oil Strainer")</f>
        <v>Oil Strainer</v>
      </c>
      <c r="F1478" t="s">
        <v>1912</v>
      </c>
    </row>
    <row r="1479" spans="1:6" x14ac:dyDescent="0.15">
      <c r="A1479">
        <v>8752328</v>
      </c>
      <c r="B1479">
        <v>8411673</v>
      </c>
      <c r="C1479" t="s">
        <v>311</v>
      </c>
      <c r="D1479" t="s">
        <v>8</v>
      </c>
      <c r="E1479" s="4" t="str">
        <f>HYPERLINK("https://ibp.a2mac1.com/costing(costing:projects/details/9760/component/8752328)","Round head Screw M6x16")</f>
        <v>Round head Screw M6x16</v>
      </c>
      <c r="F1479" t="s">
        <v>1912</v>
      </c>
    </row>
    <row r="1480" spans="1:6" x14ac:dyDescent="0.15">
      <c r="A1480">
        <v>8752329</v>
      </c>
      <c r="B1480">
        <v>8411673</v>
      </c>
      <c r="C1480" t="s">
        <v>311</v>
      </c>
      <c r="D1480" t="s">
        <v>8</v>
      </c>
      <c r="E1480" s="4" t="str">
        <f>HYPERLINK("https://ibp.a2mac1.com/costing(costing:projects/details/9760/component/8752329)","Hex-head Bolt M6x20")</f>
        <v>Hex-head Bolt M6x20</v>
      </c>
      <c r="F1480" t="s">
        <v>1912</v>
      </c>
    </row>
    <row r="1481" spans="1:6" x14ac:dyDescent="0.15">
      <c r="A1481">
        <v>8752330</v>
      </c>
      <c r="B1481">
        <v>8411673</v>
      </c>
      <c r="C1481" t="s">
        <v>311</v>
      </c>
      <c r="D1481" t="s">
        <v>8</v>
      </c>
      <c r="E1481" s="4" t="str">
        <f>HYPERLINK("https://ibp.a2mac1.com/costing(costing:projects/details/9760/component/8752330)","Round head Screw M6x16")</f>
        <v>Round head Screw M6x16</v>
      </c>
      <c r="F1481" t="s">
        <v>1912</v>
      </c>
    </row>
    <row r="1482" spans="1:6" x14ac:dyDescent="0.15">
      <c r="A1482">
        <v>8752331</v>
      </c>
      <c r="B1482">
        <v>8411673</v>
      </c>
      <c r="C1482" t="s">
        <v>311</v>
      </c>
      <c r="D1482" t="s">
        <v>8</v>
      </c>
      <c r="E1482" s="4" t="str">
        <f>HYPERLINK("https://ibp.a2mac1.com/costing(costing:projects/details/9760/component/8752331)","Round head Screw M6x16")</f>
        <v>Round head Screw M6x16</v>
      </c>
      <c r="F1482" t="s">
        <v>1912</v>
      </c>
    </row>
    <row r="1483" spans="1:6" x14ac:dyDescent="0.15">
      <c r="A1483">
        <v>8752332</v>
      </c>
      <c r="B1483">
        <v>8411673</v>
      </c>
      <c r="C1483" t="s">
        <v>311</v>
      </c>
      <c r="D1483" t="s">
        <v>8</v>
      </c>
      <c r="E1483" s="4" t="str">
        <f>HYPERLINK("https://ibp.a2mac1.com/costing(costing:projects/details/9760/component/8752332)","Round head Screw M6x16")</f>
        <v>Round head Screw M6x16</v>
      </c>
      <c r="F1483" t="s">
        <v>1912</v>
      </c>
    </row>
    <row r="1484" spans="1:6" x14ac:dyDescent="0.15">
      <c r="A1484">
        <v>8411674</v>
      </c>
      <c r="B1484">
        <v>8411654</v>
      </c>
      <c r="C1484" t="s">
        <v>8</v>
      </c>
      <c r="D1484" t="s">
        <v>8</v>
      </c>
      <c r="E1484" s="4" t="str">
        <f>HYPERLINK("https://ibp.a2mac1.com/costing(costing:projects/details/9760/assembly/8411674)","Housing System")</f>
        <v>Housing System</v>
      </c>
      <c r="F1484" t="s">
        <v>1869</v>
      </c>
    </row>
    <row r="1485" spans="1:6" x14ac:dyDescent="0.15">
      <c r="A1485">
        <v>8411747</v>
      </c>
      <c r="B1485">
        <v>8411674</v>
      </c>
      <c r="C1485" t="s">
        <v>8</v>
      </c>
      <c r="D1485" t="s">
        <v>8</v>
      </c>
      <c r="E1485" s="4" t="str">
        <f>HYPERLINK("https://ibp.a2mac1.com/costing(costing:projects/details/9760/assembly/8411747)","Base Seal")</f>
        <v>Base Seal</v>
      </c>
      <c r="F1485" t="s">
        <v>1924</v>
      </c>
    </row>
    <row r="1486" spans="1:6" x14ac:dyDescent="0.15">
      <c r="A1486">
        <v>8411760</v>
      </c>
      <c r="B1486">
        <v>8411747</v>
      </c>
      <c r="C1486" t="s">
        <v>10</v>
      </c>
      <c r="D1486" t="s">
        <v>8</v>
      </c>
      <c r="E1486" s="4" t="str">
        <f>HYPERLINK("https://ibp.a2mac1.com/costing(costing:projects/details/9760/part/8411760)","Left")</f>
        <v>Left</v>
      </c>
      <c r="F1486" t="s">
        <v>1925</v>
      </c>
    </row>
    <row r="1487" spans="1:6" x14ac:dyDescent="0.15">
      <c r="A1487">
        <v>8411761</v>
      </c>
      <c r="B1487">
        <v>8411747</v>
      </c>
      <c r="C1487" t="s">
        <v>10</v>
      </c>
      <c r="D1487" t="s">
        <v>8</v>
      </c>
      <c r="E1487" s="4" t="str">
        <f>HYPERLINK("https://ibp.a2mac1.com/costing(costing:projects/details/9760/part/8411761)","Right")</f>
        <v>Right</v>
      </c>
      <c r="F1487" t="s">
        <v>1925</v>
      </c>
    </row>
    <row r="1488" spans="1:6" x14ac:dyDescent="0.15">
      <c r="A1488">
        <v>8411745</v>
      </c>
      <c r="B1488">
        <v>8411674</v>
      </c>
      <c r="C1488" t="s">
        <v>10</v>
      </c>
      <c r="D1488" t="s">
        <v>8</v>
      </c>
      <c r="E1488" s="4" t="str">
        <f>HYPERLINK("https://ibp.a2mac1.com/costing(costing:projects/details/9760/part/8411745)","Main Housing")</f>
        <v>Main Housing</v>
      </c>
      <c r="F1488" t="s">
        <v>1924</v>
      </c>
    </row>
    <row r="1489" spans="1:6" x14ac:dyDescent="0.15">
      <c r="A1489">
        <v>12083321</v>
      </c>
      <c r="B1489">
        <v>8411745</v>
      </c>
      <c r="C1489" t="s">
        <v>114</v>
      </c>
      <c r="D1489" t="s">
        <v>10</v>
      </c>
      <c r="E1489" s="4" t="str">
        <f>HYPERLINK("https://ibp.a2mac1.com/costing(costing:projects/details/9760/process/12083321)","Process")</f>
        <v>Process</v>
      </c>
      <c r="F1489" t="s">
        <v>1929</v>
      </c>
    </row>
    <row r="1490" spans="1:6" x14ac:dyDescent="0.15">
      <c r="A1490">
        <v>8752341</v>
      </c>
      <c r="B1490">
        <v>12083321</v>
      </c>
      <c r="C1490" t="s">
        <v>22</v>
      </c>
      <c r="D1490" t="s">
        <v>114</v>
      </c>
      <c r="E1490" s="4" t="str">
        <f>HYPERLINK("https://ibp.a2mac1.com/costing(costing:projects/details/9760/material/8752341)","EN AC-46100 / EN AC-AlSi11Cu2(Fe) / AA46100 / ADC12 (Ingot)")</f>
        <v>EN AC-46100 / EN AC-AlSi11Cu2(Fe) / AA46100 / ADC12 (Ingot)</v>
      </c>
      <c r="F1490" t="s">
        <v>1932</v>
      </c>
    </row>
    <row r="1491" spans="1:6" x14ac:dyDescent="0.15">
      <c r="A1491">
        <v>12210411</v>
      </c>
      <c r="B1491">
        <v>12083321</v>
      </c>
      <c r="C1491" t="s">
        <v>163</v>
      </c>
      <c r="D1491" t="s">
        <v>114</v>
      </c>
      <c r="E1491" s="4" t="str">
        <f>HYPERLINK("https://ibp.a2mac1.com/costing(costing:projects/details/9760/equipment/12210411)","General production process (0.5-10€)")</f>
        <v>General production process (0.5-10€)</v>
      </c>
      <c r="F1491" t="s">
        <v>1932</v>
      </c>
    </row>
    <row r="1492" spans="1:6" x14ac:dyDescent="0.15">
      <c r="A1492">
        <v>8411746</v>
      </c>
      <c r="B1492">
        <v>8411674</v>
      </c>
      <c r="C1492" t="s">
        <v>10</v>
      </c>
      <c r="D1492" t="s">
        <v>8</v>
      </c>
      <c r="E1492" s="4" t="str">
        <f>HYPERLINK("https://ibp.a2mac1.com/costing(costing:projects/details/9760/part/8411746)","End Protection")</f>
        <v>End Protection</v>
      </c>
      <c r="F1492" t="s">
        <v>1924</v>
      </c>
    </row>
    <row r="1493" spans="1:6" x14ac:dyDescent="0.15">
      <c r="A1493">
        <v>8752333</v>
      </c>
      <c r="B1493">
        <v>8411674</v>
      </c>
      <c r="C1493" t="s">
        <v>311</v>
      </c>
      <c r="D1493" t="s">
        <v>8</v>
      </c>
      <c r="E1493" s="4" t="str">
        <f>HYPERLINK("https://ibp.a2mac1.com/costing(costing:projects/details/9760/component/8752333)","Socket Screw M5x20")</f>
        <v>Socket Screw M5x20</v>
      </c>
      <c r="F1493" t="s">
        <v>1924</v>
      </c>
    </row>
    <row r="1494" spans="1:6" x14ac:dyDescent="0.15">
      <c r="A1494">
        <v>8752334</v>
      </c>
      <c r="B1494">
        <v>8411674</v>
      </c>
      <c r="C1494" t="s">
        <v>311</v>
      </c>
      <c r="D1494" t="s">
        <v>8</v>
      </c>
      <c r="E1494" s="4" t="str">
        <f>HYPERLINK("https://ibp.a2mac1.com/costing(costing:projects/details/9760/component/8752334)","Hex-head Bolt M14x130")</f>
        <v>Hex-head Bolt M14x130</v>
      </c>
      <c r="F1494" t="s">
        <v>1924</v>
      </c>
    </row>
    <row r="1495" spans="1:6" x14ac:dyDescent="0.15">
      <c r="A1495">
        <v>8752335</v>
      </c>
      <c r="B1495">
        <v>8411674</v>
      </c>
      <c r="C1495" t="s">
        <v>311</v>
      </c>
      <c r="D1495" t="s">
        <v>8</v>
      </c>
      <c r="E1495" s="4" t="str">
        <f>HYPERLINK("https://ibp.a2mac1.com/costing(costing:projects/details/9760/component/8752335)","Hex-head Bolt M8x40")</f>
        <v>Hex-head Bolt M8x40</v>
      </c>
      <c r="F1495" t="s">
        <v>1924</v>
      </c>
    </row>
    <row r="1496" spans="1:6" x14ac:dyDescent="0.15">
      <c r="A1496">
        <v>12083313</v>
      </c>
      <c r="B1496">
        <v>8411654</v>
      </c>
      <c r="C1496" t="s">
        <v>114</v>
      </c>
      <c r="D1496" t="s">
        <v>8</v>
      </c>
      <c r="E1496" s="4" t="str">
        <f>HYPERLINK("https://ibp.a2mac1.com/costing(costing:projects/details/9760/process/12083313)","Final assembly")</f>
        <v>Final assembly</v>
      </c>
      <c r="F1496" t="s">
        <v>1869</v>
      </c>
    </row>
    <row r="1497" spans="1:6" x14ac:dyDescent="0.15">
      <c r="A1497">
        <v>12210403</v>
      </c>
      <c r="B1497">
        <v>12083313</v>
      </c>
      <c r="C1497" t="s">
        <v>163</v>
      </c>
      <c r="D1497" t="s">
        <v>114</v>
      </c>
      <c r="E1497" s="4" t="str">
        <f>HYPERLINK("https://ibp.a2mac1.com/costing(costing:projects/details/9760/equipment/12210403)","General production process (&gt;10€)")</f>
        <v>General production process (&gt;10€)</v>
      </c>
      <c r="F1497" t="s">
        <v>1935</v>
      </c>
    </row>
    <row r="1498" spans="1:6" x14ac:dyDescent="0.15">
      <c r="A1498">
        <v>8411655</v>
      </c>
      <c r="B1498">
        <v>8411651</v>
      </c>
      <c r="C1498" t="s">
        <v>8</v>
      </c>
      <c r="D1498" t="s">
        <v>8</v>
      </c>
      <c r="E1498" s="4" t="str">
        <f>HYPERLINK("https://ibp.a2mac1.com/costing(costing:projects/details/9760/assembly/8411655)","Rear Drive Shaft Syatem")</f>
        <v>Rear Drive Shaft Syatem</v>
      </c>
      <c r="F1498" t="s">
        <v>1868</v>
      </c>
    </row>
    <row r="1499" spans="1:6" x14ac:dyDescent="0.15">
      <c r="A1499">
        <v>8411675</v>
      </c>
      <c r="B1499">
        <v>8411655</v>
      </c>
      <c r="C1499" t="s">
        <v>10</v>
      </c>
      <c r="D1499" t="s">
        <v>8</v>
      </c>
      <c r="E1499" s="4" t="str">
        <f>HYPERLINK("https://ibp.a2mac1.com/costing(costing:projects/details/9760/part/8411675)","Left drive shaft")</f>
        <v>Left drive shaft</v>
      </c>
      <c r="F1499" t="s">
        <v>1937</v>
      </c>
    </row>
    <row r="1500" spans="1:6" x14ac:dyDescent="0.15">
      <c r="A1500">
        <v>8411676</v>
      </c>
      <c r="B1500">
        <v>8411655</v>
      </c>
      <c r="C1500" t="s">
        <v>10</v>
      </c>
      <c r="D1500" t="s">
        <v>8</v>
      </c>
      <c r="E1500" s="4" t="str">
        <f>HYPERLINK("https://ibp.a2mac1.com/costing(costing:projects/details/9760/part/8411676)","Right drive shaft")</f>
        <v>Right drive shaft</v>
      </c>
      <c r="F1500" t="s">
        <v>1937</v>
      </c>
    </row>
    <row r="1501" spans="1:6" x14ac:dyDescent="0.15">
      <c r="A1501">
        <v>8411677</v>
      </c>
      <c r="B1501">
        <v>8411655</v>
      </c>
      <c r="C1501" t="s">
        <v>10</v>
      </c>
      <c r="D1501" t="s">
        <v>8</v>
      </c>
      <c r="E1501" s="4" t="str">
        <f>HYPERLINK("https://ibp.a2mac1.com/costing(costing:projects/details/9760/part/8411677)","Drive shaft protection")</f>
        <v>Drive shaft protection</v>
      </c>
      <c r="F1501" t="s">
        <v>1937</v>
      </c>
    </row>
    <row r="1502" spans="1:6" x14ac:dyDescent="0.15">
      <c r="A1502">
        <v>8411678</v>
      </c>
      <c r="B1502">
        <v>8411655</v>
      </c>
      <c r="C1502" t="s">
        <v>10</v>
      </c>
      <c r="D1502" t="s">
        <v>8</v>
      </c>
      <c r="E1502" s="4" t="str">
        <f>HYPERLINK("https://ibp.a2mac1.com/costing(costing:projects/details/9760/part/8411678)","Drive Shaft Distributor Shaft Bearing")</f>
        <v>Drive Shaft Distributor Shaft Bearing</v>
      </c>
      <c r="F1502" t="s">
        <v>1937</v>
      </c>
    </row>
    <row r="1503" spans="1:6" x14ac:dyDescent="0.15">
      <c r="A1503">
        <v>8411679</v>
      </c>
      <c r="B1503">
        <v>8411655</v>
      </c>
      <c r="C1503" t="s">
        <v>10</v>
      </c>
      <c r="D1503" t="s">
        <v>8</v>
      </c>
      <c r="E1503" s="4" t="str">
        <f>HYPERLINK("https://ibp.a2mac1.com/costing(costing:projects/details/9760/part/8411679)","Drive Shaft Distributor Shaft Bearing Protection")</f>
        <v>Drive Shaft Distributor Shaft Bearing Protection</v>
      </c>
      <c r="F1503" t="s">
        <v>1937</v>
      </c>
    </row>
    <row r="1504" spans="1:6" x14ac:dyDescent="0.15">
      <c r="A1504">
        <v>8411680</v>
      </c>
      <c r="B1504">
        <v>8411655</v>
      </c>
      <c r="C1504" t="s">
        <v>10</v>
      </c>
      <c r="D1504" t="s">
        <v>8</v>
      </c>
      <c r="E1504" s="4" t="str">
        <f>HYPERLINK("https://ibp.a2mac1.com/costing(costing:projects/details/9760/part/8411680)","Drive Shaft Support")</f>
        <v>Drive Shaft Support</v>
      </c>
      <c r="F1504" t="s">
        <v>1937</v>
      </c>
    </row>
    <row r="1505" spans="1:6" x14ac:dyDescent="0.15">
      <c r="A1505">
        <v>8411681</v>
      </c>
      <c r="B1505">
        <v>8411655</v>
      </c>
      <c r="C1505" t="s">
        <v>10</v>
      </c>
      <c r="D1505" t="s">
        <v>8</v>
      </c>
      <c r="E1505" s="4" t="str">
        <f>HYPERLINK("https://ibp.a2mac1.com/costing(costing:projects/details/9760/part/8411681)","Left and Right Drive shaft Lock nut-M16")</f>
        <v>Left and Right Drive shaft Lock nut-M16</v>
      </c>
      <c r="F1505" t="s">
        <v>1937</v>
      </c>
    </row>
    <row r="1506" spans="1:6" x14ac:dyDescent="0.15">
      <c r="A1506">
        <v>8411682</v>
      </c>
      <c r="B1506">
        <v>8411655</v>
      </c>
      <c r="C1506" t="s">
        <v>10</v>
      </c>
      <c r="D1506" t="s">
        <v>8</v>
      </c>
      <c r="E1506" s="4" t="str">
        <f>HYPERLINK("https://ibp.a2mac1.com/costing(costing:projects/details/9760/part/8411682)","Spring")</f>
        <v>Spring</v>
      </c>
      <c r="F1506" t="s">
        <v>1937</v>
      </c>
    </row>
    <row r="1507" spans="1:6" x14ac:dyDescent="0.15">
      <c r="A1507">
        <v>8412548</v>
      </c>
      <c r="B1507">
        <v>9760</v>
      </c>
      <c r="C1507" t="s">
        <v>8</v>
      </c>
      <c r="D1507" t="s">
        <v>6</v>
      </c>
      <c r="E1507" s="4" t="str">
        <f>HYPERLINK("https://ibp.a2mac1.com/costing(costing:projects/details/9760/assembly/8412548)","Seats")</f>
        <v>Seats</v>
      </c>
      <c r="F1507" t="s">
        <v>9</v>
      </c>
    </row>
    <row r="1508" spans="1:6" x14ac:dyDescent="0.15">
      <c r="A1508">
        <v>8412549</v>
      </c>
      <c r="B1508">
        <v>8412548</v>
      </c>
      <c r="C1508" t="s">
        <v>8</v>
      </c>
      <c r="D1508" t="s">
        <v>8</v>
      </c>
      <c r="E1508" s="4" t="str">
        <f>HYPERLINK("https://ibp.a2mac1.com/costing(costing:projects/details/9760/assembly/8412549)","Driver")</f>
        <v>Driver</v>
      </c>
      <c r="F1508" t="s">
        <v>1946</v>
      </c>
    </row>
    <row r="1509" spans="1:6" x14ac:dyDescent="0.15">
      <c r="A1509">
        <v>8412553</v>
      </c>
      <c r="B1509">
        <v>8412549</v>
      </c>
      <c r="C1509" t="s">
        <v>8</v>
      </c>
      <c r="D1509" t="s">
        <v>8</v>
      </c>
      <c r="E1509" s="4" t="str">
        <f>HYPERLINK("https://ibp.a2mac1.com/costing(costing:projects/details/9760/assembly/8412553)","Head Rest")</f>
        <v>Head Rest</v>
      </c>
      <c r="F1509" t="s">
        <v>1947</v>
      </c>
    </row>
    <row r="1510" spans="1:6" x14ac:dyDescent="0.15">
      <c r="A1510">
        <v>8412585</v>
      </c>
      <c r="B1510">
        <v>8412553</v>
      </c>
      <c r="C1510" t="s">
        <v>10</v>
      </c>
      <c r="D1510" t="s">
        <v>8</v>
      </c>
      <c r="E1510" s="4" t="str">
        <f>HYPERLINK("https://ibp.a2mac1.com/costing(costing:projects/details/9760/part/8412585)","Cover")</f>
        <v>Cover</v>
      </c>
      <c r="F1510" t="s">
        <v>1948</v>
      </c>
    </row>
    <row r="1511" spans="1:6" x14ac:dyDescent="0.15">
      <c r="A1511">
        <v>12083818</v>
      </c>
      <c r="B1511">
        <v>8412585</v>
      </c>
      <c r="C1511" t="s">
        <v>114</v>
      </c>
      <c r="D1511" t="s">
        <v>10</v>
      </c>
      <c r="E1511" s="4" t="str">
        <f>HYPERLINK("https://ibp.a2mac1.com/costing(costing:projects/details/9760/process/12083818)","Automated Process")</f>
        <v>Automated Process</v>
      </c>
      <c r="F1511" t="s">
        <v>1949</v>
      </c>
    </row>
    <row r="1512" spans="1:6" x14ac:dyDescent="0.15">
      <c r="A1512">
        <v>8752703</v>
      </c>
      <c r="B1512">
        <v>12083818</v>
      </c>
      <c r="C1512" t="s">
        <v>22</v>
      </c>
      <c r="D1512" t="s">
        <v>114</v>
      </c>
      <c r="E1512" s="4" t="str">
        <f>HYPERLINK("https://ibp.a2mac1.com/costing(costing:projects/details/9760/material/8752703)","Leather")</f>
        <v>Leather</v>
      </c>
      <c r="F1512" t="s">
        <v>1950</v>
      </c>
    </row>
    <row r="1513" spans="1:6" x14ac:dyDescent="0.15">
      <c r="A1513">
        <v>12210875</v>
      </c>
      <c r="B1513">
        <v>12083818</v>
      </c>
      <c r="C1513" t="s">
        <v>163</v>
      </c>
      <c r="D1513" t="s">
        <v>114</v>
      </c>
      <c r="E1513" s="4" t="str">
        <f>HYPERLINK("https://ibp.a2mac1.com/costing(costing:projects/details/9760/equipment/12210875)","DC machine - General")</f>
        <v>DC machine - General</v>
      </c>
      <c r="F1513" t="s">
        <v>1950</v>
      </c>
    </row>
    <row r="1514" spans="1:6" x14ac:dyDescent="0.15">
      <c r="A1514">
        <v>8412586</v>
      </c>
      <c r="B1514">
        <v>8412553</v>
      </c>
      <c r="C1514" t="s">
        <v>10</v>
      </c>
      <c r="D1514" t="s">
        <v>8</v>
      </c>
      <c r="E1514" s="4" t="str">
        <f>HYPERLINK("https://ibp.a2mac1.com/costing(costing:projects/details/9760/part/8412586)","Padding")</f>
        <v>Padding</v>
      </c>
      <c r="F1514" t="s">
        <v>1948</v>
      </c>
    </row>
    <row r="1515" spans="1:6" x14ac:dyDescent="0.15">
      <c r="A1515">
        <v>12083819</v>
      </c>
      <c r="B1515">
        <v>8412586</v>
      </c>
      <c r="C1515" t="s">
        <v>114</v>
      </c>
      <c r="D1515" t="s">
        <v>10</v>
      </c>
      <c r="E1515" s="4" t="str">
        <f>HYPERLINK("https://ibp.a2mac1.com/costing(costing:projects/details/9760/process/12083819)","Automated Process")</f>
        <v>Automated Process</v>
      </c>
      <c r="F1515" t="s">
        <v>1954</v>
      </c>
    </row>
    <row r="1516" spans="1:6" x14ac:dyDescent="0.15">
      <c r="A1516">
        <v>8752704</v>
      </c>
      <c r="B1516">
        <v>12083819</v>
      </c>
      <c r="C1516" t="s">
        <v>22</v>
      </c>
      <c r="D1516" t="s">
        <v>114</v>
      </c>
      <c r="E1516" s="4" t="str">
        <f>HYPERLINK("https://ibp.a2mac1.com/costing(costing:projects/details/9760/material/8752704)","PUR adjusted (part)")</f>
        <v>PUR adjusted (part)</v>
      </c>
      <c r="F1516" t="s">
        <v>1955</v>
      </c>
    </row>
    <row r="1517" spans="1:6" x14ac:dyDescent="0.15">
      <c r="A1517">
        <v>12210876</v>
      </c>
      <c r="B1517">
        <v>12083819</v>
      </c>
      <c r="C1517" t="s">
        <v>163</v>
      </c>
      <c r="D1517" t="s">
        <v>114</v>
      </c>
      <c r="E1517" s="4" t="str">
        <f>HYPERLINK("https://ibp.a2mac1.com/costing(costing:projects/details/9760/equipment/12210876)","DC machine - General")</f>
        <v>DC machine - General</v>
      </c>
      <c r="F1517" t="s">
        <v>1955</v>
      </c>
    </row>
    <row r="1518" spans="1:6" x14ac:dyDescent="0.15">
      <c r="A1518">
        <v>8412587</v>
      </c>
      <c r="B1518">
        <v>8412553</v>
      </c>
      <c r="C1518" t="s">
        <v>10</v>
      </c>
      <c r="D1518" t="s">
        <v>8</v>
      </c>
      <c r="E1518" s="4" t="str">
        <f>HYPERLINK("https://ibp.a2mac1.com/costing(costing:projects/details/9760/part/8412587)","2nd padding")</f>
        <v>2nd padding</v>
      </c>
      <c r="F1518" t="s">
        <v>1948</v>
      </c>
    </row>
    <row r="1519" spans="1:6" x14ac:dyDescent="0.15">
      <c r="A1519">
        <v>8412588</v>
      </c>
      <c r="B1519">
        <v>8412553</v>
      </c>
      <c r="C1519" t="s">
        <v>10</v>
      </c>
      <c r="D1519" t="s">
        <v>8</v>
      </c>
      <c r="E1519" s="4" t="str">
        <f>HYPERLINK("https://ibp.a2mac1.com/costing(costing:projects/details/9760/part/8412588)","Rear Pad")</f>
        <v>Rear Pad</v>
      </c>
      <c r="F1519" t="s">
        <v>1948</v>
      </c>
    </row>
    <row r="1520" spans="1:6" x14ac:dyDescent="0.15">
      <c r="A1520">
        <v>8412589</v>
      </c>
      <c r="B1520">
        <v>8412553</v>
      </c>
      <c r="C1520" t="s">
        <v>10</v>
      </c>
      <c r="D1520" t="s">
        <v>8</v>
      </c>
      <c r="E1520" s="4" t="str">
        <f>HYPERLINK("https://ibp.a2mac1.com/costing(costing:projects/details/9760/part/8412589)","Frame")</f>
        <v>Frame</v>
      </c>
      <c r="F1520" t="s">
        <v>1948</v>
      </c>
    </row>
    <row r="1521" spans="1:6" x14ac:dyDescent="0.15">
      <c r="A1521">
        <v>12083820</v>
      </c>
      <c r="B1521">
        <v>8412589</v>
      </c>
      <c r="C1521" t="s">
        <v>114</v>
      </c>
      <c r="D1521" t="s">
        <v>10</v>
      </c>
      <c r="E1521" s="4" t="str">
        <f>HYPERLINK("https://ibp.a2mac1.com/costing(costing:projects/details/9760/process/12083820)","Automated Process")</f>
        <v>Automated Process</v>
      </c>
      <c r="F1521" t="s">
        <v>1963</v>
      </c>
    </row>
    <row r="1522" spans="1:6" x14ac:dyDescent="0.15">
      <c r="A1522">
        <v>8752705</v>
      </c>
      <c r="B1522">
        <v>12083820</v>
      </c>
      <c r="C1522" t="s">
        <v>22</v>
      </c>
      <c r="D1522" t="s">
        <v>114</v>
      </c>
      <c r="E1522" s="4" t="str">
        <f>HYPERLINK("https://ibp.a2mac1.com/costing(costing:projects/details/9760/material/8752705)","Steel sheet (default) adjusted (part)")</f>
        <v>Steel sheet (default) adjusted (part)</v>
      </c>
      <c r="F1522" t="s">
        <v>1964</v>
      </c>
    </row>
    <row r="1523" spans="1:6" x14ac:dyDescent="0.15">
      <c r="A1523">
        <v>12210877</v>
      </c>
      <c r="B1523">
        <v>12083820</v>
      </c>
      <c r="C1523" t="s">
        <v>163</v>
      </c>
      <c r="D1523" t="s">
        <v>114</v>
      </c>
      <c r="E1523" s="4" t="str">
        <f>HYPERLINK("https://ibp.a2mac1.com/costing(costing:projects/details/9760/equipment/12210877)","DC machine - General")</f>
        <v>DC machine - General</v>
      </c>
      <c r="F1523" t="s">
        <v>1964</v>
      </c>
    </row>
    <row r="1524" spans="1:6" x14ac:dyDescent="0.15">
      <c r="A1524">
        <v>8412590</v>
      </c>
      <c r="B1524">
        <v>8412553</v>
      </c>
      <c r="C1524" t="s">
        <v>10</v>
      </c>
      <c r="D1524" t="s">
        <v>8</v>
      </c>
      <c r="E1524" s="4" t="str">
        <f>HYPERLINK("https://ibp.a2mac1.com/costing(costing:projects/details/9760/part/8412590)","Reinforcement Mechanism")</f>
        <v>Reinforcement Mechanism</v>
      </c>
      <c r="F1524" t="s">
        <v>1948</v>
      </c>
    </row>
    <row r="1525" spans="1:6" x14ac:dyDescent="0.15">
      <c r="A1525">
        <v>12083821</v>
      </c>
      <c r="B1525">
        <v>8412590</v>
      </c>
      <c r="C1525" t="s">
        <v>114</v>
      </c>
      <c r="D1525" t="s">
        <v>10</v>
      </c>
      <c r="E1525" s="4" t="str">
        <f>HYPERLINK("https://ibp.a2mac1.com/costing(costing:projects/details/9760/process/12083821)","Automated Process")</f>
        <v>Automated Process</v>
      </c>
      <c r="F1525" t="s">
        <v>1967</v>
      </c>
    </row>
    <row r="1526" spans="1:6" x14ac:dyDescent="0.15">
      <c r="A1526">
        <v>8752706</v>
      </c>
      <c r="B1526">
        <v>12083821</v>
      </c>
      <c r="C1526" t="s">
        <v>22</v>
      </c>
      <c r="D1526" t="s">
        <v>114</v>
      </c>
      <c r="E1526" s="4" t="str">
        <f>HYPERLINK("https://ibp.a2mac1.com/costing(costing:projects/details/9760/material/8752706)","PLASTIC UNKNOWN")</f>
        <v>PLASTIC UNKNOWN</v>
      </c>
      <c r="F1526" t="s">
        <v>1968</v>
      </c>
    </row>
    <row r="1527" spans="1:6" x14ac:dyDescent="0.15">
      <c r="A1527">
        <v>12210878</v>
      </c>
      <c r="B1527">
        <v>12083821</v>
      </c>
      <c r="C1527" t="s">
        <v>163</v>
      </c>
      <c r="D1527" t="s">
        <v>114</v>
      </c>
      <c r="E1527" s="4" t="str">
        <f>HYPERLINK("https://ibp.a2mac1.com/costing(costing:projects/details/9760/equipment/12210878)","DC machine - General")</f>
        <v>DC machine - General</v>
      </c>
      <c r="F1527" t="s">
        <v>1968</v>
      </c>
    </row>
    <row r="1528" spans="1:6" x14ac:dyDescent="0.15">
      <c r="A1528">
        <v>8412591</v>
      </c>
      <c r="B1528">
        <v>8412553</v>
      </c>
      <c r="C1528" t="s">
        <v>10</v>
      </c>
      <c r="D1528" t="s">
        <v>8</v>
      </c>
      <c r="E1528" s="4" t="str">
        <f>HYPERLINK("https://ibp.a2mac1.com/costing(costing:projects/details/9760/part/8412591)","Rear Bezel")</f>
        <v>Rear Bezel</v>
      </c>
      <c r="F1528" t="s">
        <v>1948</v>
      </c>
    </row>
    <row r="1529" spans="1:6" x14ac:dyDescent="0.15">
      <c r="A1529">
        <v>12083822</v>
      </c>
      <c r="B1529">
        <v>8412591</v>
      </c>
      <c r="C1529" t="s">
        <v>114</v>
      </c>
      <c r="D1529" t="s">
        <v>10</v>
      </c>
      <c r="E1529" s="4" t="str">
        <f>HYPERLINK("https://ibp.a2mac1.com/costing(costing:projects/details/9760/process/12083822)","Automated Process")</f>
        <v>Automated Process</v>
      </c>
      <c r="F1529" t="s">
        <v>1970</v>
      </c>
    </row>
    <row r="1530" spans="1:6" x14ac:dyDescent="0.15">
      <c r="A1530">
        <v>8752707</v>
      </c>
      <c r="B1530">
        <v>12083822</v>
      </c>
      <c r="C1530" t="s">
        <v>22</v>
      </c>
      <c r="D1530" t="s">
        <v>114</v>
      </c>
      <c r="E1530" s="4" t="str">
        <f>HYPERLINK("https://ibp.a2mac1.com/costing(costing:projects/details/9760/material/8752707)","PC-ABS adjusted (part)")</f>
        <v>PC-ABS adjusted (part)</v>
      </c>
      <c r="F1530" t="s">
        <v>1971</v>
      </c>
    </row>
    <row r="1531" spans="1:6" x14ac:dyDescent="0.15">
      <c r="A1531">
        <v>12210879</v>
      </c>
      <c r="B1531">
        <v>12083822</v>
      </c>
      <c r="C1531" t="s">
        <v>163</v>
      </c>
      <c r="D1531" t="s">
        <v>114</v>
      </c>
      <c r="E1531" s="4" t="str">
        <f>HYPERLINK("https://ibp.a2mac1.com/costing(costing:projects/details/9760/equipment/12210879)","DC machine - General")</f>
        <v>DC machine - General</v>
      </c>
      <c r="F1531" t="s">
        <v>1971</v>
      </c>
    </row>
    <row r="1532" spans="1:6" x14ac:dyDescent="0.15">
      <c r="A1532">
        <v>8412592</v>
      </c>
      <c r="B1532">
        <v>8412553</v>
      </c>
      <c r="C1532" t="s">
        <v>10</v>
      </c>
      <c r="D1532" t="s">
        <v>8</v>
      </c>
      <c r="E1532" s="4" t="str">
        <f>HYPERLINK("https://ibp.a2mac1.com/costing(costing:projects/details/9760/part/8412592)","Rear Bezel Support")</f>
        <v>Rear Bezel Support</v>
      </c>
      <c r="F1532" t="s">
        <v>1948</v>
      </c>
    </row>
    <row r="1533" spans="1:6" x14ac:dyDescent="0.15">
      <c r="A1533">
        <v>12083823</v>
      </c>
      <c r="B1533">
        <v>8412592</v>
      </c>
      <c r="C1533" t="s">
        <v>114</v>
      </c>
      <c r="D1533" t="s">
        <v>10</v>
      </c>
      <c r="E1533" s="4" t="str">
        <f>HYPERLINK("https://ibp.a2mac1.com/costing(costing:projects/details/9760/process/12083823)","Automated Process")</f>
        <v>Automated Process</v>
      </c>
      <c r="F1533" t="s">
        <v>1973</v>
      </c>
    </row>
    <row r="1534" spans="1:6" x14ac:dyDescent="0.15">
      <c r="A1534">
        <v>8752708</v>
      </c>
      <c r="B1534">
        <v>12083823</v>
      </c>
      <c r="C1534" t="s">
        <v>22</v>
      </c>
      <c r="D1534" t="s">
        <v>114</v>
      </c>
      <c r="E1534" s="4" t="str">
        <f>HYPERLINK("https://ibp.a2mac1.com/costing(costing:projects/details/9760/material/8752708)","PLASTIC UNKNOWN")</f>
        <v>PLASTIC UNKNOWN</v>
      </c>
      <c r="F1534" t="s">
        <v>1974</v>
      </c>
    </row>
    <row r="1535" spans="1:6" x14ac:dyDescent="0.15">
      <c r="A1535">
        <v>12210880</v>
      </c>
      <c r="B1535">
        <v>12083823</v>
      </c>
      <c r="C1535" t="s">
        <v>163</v>
      </c>
      <c r="D1535" t="s">
        <v>114</v>
      </c>
      <c r="E1535" s="4" t="str">
        <f>HYPERLINK("https://ibp.a2mac1.com/costing(costing:projects/details/9760/equipment/12210880)","DC machine - General")</f>
        <v>DC machine - General</v>
      </c>
      <c r="F1535" t="s">
        <v>1974</v>
      </c>
    </row>
    <row r="1536" spans="1:6" x14ac:dyDescent="0.15">
      <c r="A1536">
        <v>8412554</v>
      </c>
      <c r="B1536">
        <v>8412549</v>
      </c>
      <c r="C1536" t="s">
        <v>8</v>
      </c>
      <c r="D1536" t="s">
        <v>8</v>
      </c>
      <c r="E1536" s="4" t="str">
        <f>HYPERLINK("https://ibp.a2mac1.com/costing(costing:projects/details/9760/assembly/8412554)","Back")</f>
        <v>Back</v>
      </c>
      <c r="F1536" t="s">
        <v>1947</v>
      </c>
    </row>
    <row r="1537" spans="1:6" x14ac:dyDescent="0.15">
      <c r="A1537">
        <v>8412604</v>
      </c>
      <c r="B1537">
        <v>8412554</v>
      </c>
      <c r="C1537" t="s">
        <v>8</v>
      </c>
      <c r="D1537" t="s">
        <v>8</v>
      </c>
      <c r="E1537" s="4" t="str">
        <f>HYPERLINK("https://ibp.a2mac1.com/costing(costing:projects/details/9760/assembly/8412604)","Head Rest Support Bracket")</f>
        <v>Head Rest Support Bracket</v>
      </c>
      <c r="F1537" t="s">
        <v>1977</v>
      </c>
    </row>
    <row r="1538" spans="1:6" x14ac:dyDescent="0.15">
      <c r="A1538">
        <v>8412696</v>
      </c>
      <c r="B1538">
        <v>8412604</v>
      </c>
      <c r="C1538" t="s">
        <v>10</v>
      </c>
      <c r="D1538" t="s">
        <v>8</v>
      </c>
      <c r="E1538" s="4" t="str">
        <f>HYPERLINK("https://ibp.a2mac1.com/costing(costing:projects/details/9760/part/8412696)","Guide")</f>
        <v>Guide</v>
      </c>
      <c r="F1538" t="s">
        <v>1978</v>
      </c>
    </row>
    <row r="1539" spans="1:6" x14ac:dyDescent="0.15">
      <c r="A1539">
        <v>12083942</v>
      </c>
      <c r="B1539">
        <v>8412696</v>
      </c>
      <c r="C1539" t="s">
        <v>114</v>
      </c>
      <c r="D1539" t="s">
        <v>10</v>
      </c>
      <c r="E1539" s="4" t="str">
        <f>HYPERLINK("https://ibp.a2mac1.com/costing(costing:projects/details/9760/process/12083942)","Automated Process")</f>
        <v>Automated Process</v>
      </c>
      <c r="F1539" t="s">
        <v>1979</v>
      </c>
    </row>
    <row r="1540" spans="1:6" x14ac:dyDescent="0.15">
      <c r="A1540">
        <v>8752809</v>
      </c>
      <c r="B1540">
        <v>12083942</v>
      </c>
      <c r="C1540" t="s">
        <v>22</v>
      </c>
      <c r="D1540" t="s">
        <v>114</v>
      </c>
      <c r="E1540" s="4" t="str">
        <f>HYPERLINK("https://ibp.a2mac1.com/costing(costing:projects/details/9760/material/8752809)","PA6-PA66")</f>
        <v>PA6-PA66</v>
      </c>
      <c r="F1540" t="s">
        <v>1980</v>
      </c>
    </row>
    <row r="1541" spans="1:6" x14ac:dyDescent="0.15">
      <c r="A1541">
        <v>12211008</v>
      </c>
      <c r="B1541">
        <v>12083942</v>
      </c>
      <c r="C1541" t="s">
        <v>163</v>
      </c>
      <c r="D1541" t="s">
        <v>114</v>
      </c>
      <c r="E1541" s="4" t="str">
        <f>HYPERLINK("https://ibp.a2mac1.com/costing(costing:projects/details/9760/equipment/12211008)","DC machine - General")</f>
        <v>DC machine - General</v>
      </c>
      <c r="F1541" t="s">
        <v>1980</v>
      </c>
    </row>
    <row r="1542" spans="1:6" x14ac:dyDescent="0.15">
      <c r="A1542">
        <v>8412605</v>
      </c>
      <c r="B1542">
        <v>8412554</v>
      </c>
      <c r="C1542" t="s">
        <v>8</v>
      </c>
      <c r="D1542" t="s">
        <v>8</v>
      </c>
      <c r="E1542" s="4" t="str">
        <f>HYPERLINK("https://ibp.a2mac1.com/costing(costing:projects/details/9760/assembly/8412605)","Rear Shell System")</f>
        <v>Rear Shell System</v>
      </c>
      <c r="F1542" t="s">
        <v>1977</v>
      </c>
    </row>
    <row r="1543" spans="1:6" x14ac:dyDescent="0.15">
      <c r="A1543">
        <v>8412697</v>
      </c>
      <c r="B1543">
        <v>8412605</v>
      </c>
      <c r="C1543" t="s">
        <v>10</v>
      </c>
      <c r="D1543" t="s">
        <v>8</v>
      </c>
      <c r="E1543" s="4" t="str">
        <f>HYPERLINK("https://ibp.a2mac1.com/costing(costing:projects/details/9760/part/8412697)","Back Cover")</f>
        <v>Back Cover</v>
      </c>
      <c r="F1543" t="s">
        <v>1984</v>
      </c>
    </row>
    <row r="1544" spans="1:6" x14ac:dyDescent="0.15">
      <c r="A1544">
        <v>12083943</v>
      </c>
      <c r="B1544">
        <v>8412697</v>
      </c>
      <c r="C1544" t="s">
        <v>114</v>
      </c>
      <c r="D1544" t="s">
        <v>10</v>
      </c>
      <c r="E1544" s="4" t="str">
        <f>HYPERLINK("https://ibp.a2mac1.com/costing(costing:projects/details/9760/process/12083943)","Automated Process")</f>
        <v>Automated Process</v>
      </c>
      <c r="F1544" t="s">
        <v>1985</v>
      </c>
    </row>
    <row r="1545" spans="1:6" x14ac:dyDescent="0.15">
      <c r="A1545">
        <v>8752810</v>
      </c>
      <c r="B1545">
        <v>12083943</v>
      </c>
      <c r="C1545" t="s">
        <v>22</v>
      </c>
      <c r="D1545" t="s">
        <v>114</v>
      </c>
      <c r="E1545" s="4" t="str">
        <f>HYPERLINK("https://ibp.a2mac1.com/costing(costing:projects/details/9760/material/8752810)","PP-EPDM-T20 &amp; Leather")</f>
        <v>PP-EPDM-T20 &amp; Leather</v>
      </c>
      <c r="F1545" t="s">
        <v>1986</v>
      </c>
    </row>
    <row r="1546" spans="1:6" x14ac:dyDescent="0.15">
      <c r="A1546">
        <v>12211009</v>
      </c>
      <c r="B1546">
        <v>12083943</v>
      </c>
      <c r="C1546" t="s">
        <v>163</v>
      </c>
      <c r="D1546" t="s">
        <v>114</v>
      </c>
      <c r="E1546" s="4" t="str">
        <f>HYPERLINK("https://ibp.a2mac1.com/costing(costing:projects/details/9760/equipment/12211009)","DC machine - General")</f>
        <v>DC machine - General</v>
      </c>
      <c r="F1546" t="s">
        <v>1986</v>
      </c>
    </row>
    <row r="1547" spans="1:6" x14ac:dyDescent="0.15">
      <c r="A1547">
        <v>8412698</v>
      </c>
      <c r="B1547">
        <v>8412605</v>
      </c>
      <c r="C1547" t="s">
        <v>10</v>
      </c>
      <c r="D1547" t="s">
        <v>8</v>
      </c>
      <c r="E1547" s="4" t="str">
        <f>HYPERLINK("https://ibp.a2mac1.com/costing(costing:projects/details/9760/part/8412698)","Cover Upper Part")</f>
        <v>Cover Upper Part</v>
      </c>
      <c r="F1547" t="s">
        <v>1984</v>
      </c>
    </row>
    <row r="1548" spans="1:6" x14ac:dyDescent="0.15">
      <c r="A1548">
        <v>12083944</v>
      </c>
      <c r="B1548">
        <v>8412698</v>
      </c>
      <c r="C1548" t="s">
        <v>114</v>
      </c>
      <c r="D1548" t="s">
        <v>10</v>
      </c>
      <c r="E1548" s="4" t="str">
        <f>HYPERLINK("https://ibp.a2mac1.com/costing(costing:projects/details/9760/process/12083944)","Automated Process")</f>
        <v>Automated Process</v>
      </c>
      <c r="F1548" t="s">
        <v>1990</v>
      </c>
    </row>
    <row r="1549" spans="1:6" x14ac:dyDescent="0.15">
      <c r="A1549">
        <v>8752811</v>
      </c>
      <c r="B1549">
        <v>12083944</v>
      </c>
      <c r="C1549" t="s">
        <v>22</v>
      </c>
      <c r="D1549" t="s">
        <v>114</v>
      </c>
      <c r="E1549" s="4" t="str">
        <f>HYPERLINK("https://ibp.a2mac1.com/costing(costing:projects/details/9760/material/8752811)","PC-ABS adjusted (part)")</f>
        <v>PC-ABS adjusted (part)</v>
      </c>
      <c r="F1549" t="s">
        <v>1991</v>
      </c>
    </row>
    <row r="1550" spans="1:6" x14ac:dyDescent="0.15">
      <c r="A1550">
        <v>12211010</v>
      </c>
      <c r="B1550">
        <v>12083944</v>
      </c>
      <c r="C1550" t="s">
        <v>163</v>
      </c>
      <c r="D1550" t="s">
        <v>114</v>
      </c>
      <c r="E1550" s="4" t="str">
        <f>HYPERLINK("https://ibp.a2mac1.com/costing(costing:projects/details/9760/equipment/12211010)","DC machine - General")</f>
        <v>DC machine - General</v>
      </c>
      <c r="F1550" t="s">
        <v>1991</v>
      </c>
    </row>
    <row r="1551" spans="1:6" x14ac:dyDescent="0.15">
      <c r="A1551">
        <v>8412699</v>
      </c>
      <c r="B1551">
        <v>8412605</v>
      </c>
      <c r="C1551" t="s">
        <v>10</v>
      </c>
      <c r="D1551" t="s">
        <v>8</v>
      </c>
      <c r="E1551" s="4" t="str">
        <f>HYPERLINK("https://ibp.a2mac1.com/costing(costing:projects/details/9760/part/8412699)","Cover Lower Part")</f>
        <v>Cover Lower Part</v>
      </c>
      <c r="F1551" t="s">
        <v>1984</v>
      </c>
    </row>
    <row r="1552" spans="1:6" x14ac:dyDescent="0.15">
      <c r="A1552">
        <v>12083945</v>
      </c>
      <c r="B1552">
        <v>8412699</v>
      </c>
      <c r="C1552" t="s">
        <v>114</v>
      </c>
      <c r="D1552" t="s">
        <v>10</v>
      </c>
      <c r="E1552" s="4" t="str">
        <f>HYPERLINK("https://ibp.a2mac1.com/costing(costing:projects/details/9760/process/12083945)","Automated Process")</f>
        <v>Automated Process</v>
      </c>
      <c r="F1552" t="s">
        <v>1994</v>
      </c>
    </row>
    <row r="1553" spans="1:6" x14ac:dyDescent="0.15">
      <c r="A1553">
        <v>8752812</v>
      </c>
      <c r="B1553">
        <v>12083945</v>
      </c>
      <c r="C1553" t="s">
        <v>22</v>
      </c>
      <c r="D1553" t="s">
        <v>114</v>
      </c>
      <c r="E1553" s="4" t="str">
        <f>HYPERLINK("https://ibp.a2mac1.com/costing(costing:projects/details/9760/material/8752812)","PET + PE")</f>
        <v>PET + PE</v>
      </c>
      <c r="F1553" t="s">
        <v>1995</v>
      </c>
    </row>
    <row r="1554" spans="1:6" x14ac:dyDescent="0.15">
      <c r="A1554">
        <v>12211011</v>
      </c>
      <c r="B1554">
        <v>12083945</v>
      </c>
      <c r="C1554" t="s">
        <v>163</v>
      </c>
      <c r="D1554" t="s">
        <v>114</v>
      </c>
      <c r="E1554" s="4" t="str">
        <f>HYPERLINK("https://ibp.a2mac1.com/costing(costing:projects/details/9760/equipment/12211011)","DC machine - General")</f>
        <v>DC machine - General</v>
      </c>
      <c r="F1554" t="s">
        <v>1995</v>
      </c>
    </row>
    <row r="1555" spans="1:6" x14ac:dyDescent="0.15">
      <c r="A1555">
        <v>8412700</v>
      </c>
      <c r="B1555">
        <v>8412605</v>
      </c>
      <c r="C1555" t="s">
        <v>10</v>
      </c>
      <c r="D1555" t="s">
        <v>8</v>
      </c>
      <c r="E1555" s="4" t="str">
        <f>HYPERLINK("https://ibp.a2mac1.com/costing(costing:projects/details/9760/part/8412700)","Bezel")</f>
        <v>Bezel</v>
      </c>
      <c r="F1555" t="s">
        <v>1984</v>
      </c>
    </row>
    <row r="1556" spans="1:6" x14ac:dyDescent="0.15">
      <c r="A1556">
        <v>12083946</v>
      </c>
      <c r="B1556">
        <v>8412700</v>
      </c>
      <c r="C1556" t="s">
        <v>114</v>
      </c>
      <c r="D1556" t="s">
        <v>10</v>
      </c>
      <c r="E1556" s="4" t="str">
        <f>HYPERLINK("https://ibp.a2mac1.com/costing(costing:projects/details/9760/process/12083946)","Automated Process")</f>
        <v>Automated Process</v>
      </c>
      <c r="F1556" t="s">
        <v>1999</v>
      </c>
    </row>
    <row r="1557" spans="1:6" x14ac:dyDescent="0.15">
      <c r="A1557">
        <v>8752813</v>
      </c>
      <c r="B1557">
        <v>12083946</v>
      </c>
      <c r="C1557" t="s">
        <v>22</v>
      </c>
      <c r="D1557" t="s">
        <v>114</v>
      </c>
      <c r="E1557" s="4" t="str">
        <f>HYPERLINK("https://ibp.a2mac1.com/costing(costing:projects/details/9760/material/8752813)","PC-ABS adjusted (part)")</f>
        <v>PC-ABS adjusted (part)</v>
      </c>
      <c r="F1557" t="s">
        <v>2000</v>
      </c>
    </row>
    <row r="1558" spans="1:6" x14ac:dyDescent="0.15">
      <c r="A1558">
        <v>12211012</v>
      </c>
      <c r="B1558">
        <v>12083946</v>
      </c>
      <c r="C1558" t="s">
        <v>163</v>
      </c>
      <c r="D1558" t="s">
        <v>114</v>
      </c>
      <c r="E1558" s="4" t="str">
        <f>HYPERLINK("https://ibp.a2mac1.com/costing(costing:projects/details/9760/equipment/12211012)","DC machine - General")</f>
        <v>DC machine - General</v>
      </c>
      <c r="F1558" t="s">
        <v>2000</v>
      </c>
    </row>
    <row r="1559" spans="1:6" x14ac:dyDescent="0.15">
      <c r="A1559">
        <v>8412701</v>
      </c>
      <c r="B1559">
        <v>8412605</v>
      </c>
      <c r="C1559" t="s">
        <v>10</v>
      </c>
      <c r="D1559" t="s">
        <v>8</v>
      </c>
      <c r="E1559" s="4" t="str">
        <f>HYPERLINK("https://ibp.a2mac1.com/costing(costing:projects/details/9760/part/8412701)","Support 1")</f>
        <v>Support 1</v>
      </c>
      <c r="F1559" t="s">
        <v>1984</v>
      </c>
    </row>
    <row r="1560" spans="1:6" x14ac:dyDescent="0.15">
      <c r="A1560">
        <v>12083947</v>
      </c>
      <c r="B1560">
        <v>8412701</v>
      </c>
      <c r="C1560" t="s">
        <v>114</v>
      </c>
      <c r="D1560" t="s">
        <v>10</v>
      </c>
      <c r="E1560" s="4" t="str">
        <f>HYPERLINK("https://ibp.a2mac1.com/costing(costing:projects/details/9760/process/12083947)","Automated Process")</f>
        <v>Automated Process</v>
      </c>
      <c r="F1560" t="s">
        <v>2002</v>
      </c>
    </row>
    <row r="1561" spans="1:6" x14ac:dyDescent="0.15">
      <c r="A1561">
        <v>8752814</v>
      </c>
      <c r="B1561">
        <v>12083947</v>
      </c>
      <c r="C1561" t="s">
        <v>22</v>
      </c>
      <c r="D1561" t="s">
        <v>114</v>
      </c>
      <c r="E1561" s="4" t="str">
        <f>HYPERLINK("https://ibp.a2mac1.com/costing(costing:projects/details/9760/material/8752814)","PP-TD20 adjusted (part)")</f>
        <v>PP-TD20 adjusted (part)</v>
      </c>
      <c r="F1561" t="s">
        <v>2003</v>
      </c>
    </row>
    <row r="1562" spans="1:6" x14ac:dyDescent="0.15">
      <c r="A1562">
        <v>12211013</v>
      </c>
      <c r="B1562">
        <v>12083947</v>
      </c>
      <c r="C1562" t="s">
        <v>163</v>
      </c>
      <c r="D1562" t="s">
        <v>114</v>
      </c>
      <c r="E1562" s="4" t="str">
        <f>HYPERLINK("https://ibp.a2mac1.com/costing(costing:projects/details/9760/equipment/12211013)","DC machine - General")</f>
        <v>DC machine - General</v>
      </c>
      <c r="F1562" t="s">
        <v>2003</v>
      </c>
    </row>
    <row r="1563" spans="1:6" x14ac:dyDescent="0.15">
      <c r="A1563">
        <v>8412702</v>
      </c>
      <c r="B1563">
        <v>8412605</v>
      </c>
      <c r="C1563" t="s">
        <v>10</v>
      </c>
      <c r="D1563" t="s">
        <v>8</v>
      </c>
      <c r="E1563" s="4" t="str">
        <f>HYPERLINK("https://ibp.a2mac1.com/costing(costing:projects/details/9760/part/8412702)","Support 2")</f>
        <v>Support 2</v>
      </c>
      <c r="F1563" t="s">
        <v>1984</v>
      </c>
    </row>
    <row r="1564" spans="1:6" x14ac:dyDescent="0.15">
      <c r="A1564">
        <v>12083948</v>
      </c>
      <c r="B1564">
        <v>8412702</v>
      </c>
      <c r="C1564" t="s">
        <v>114</v>
      </c>
      <c r="D1564" t="s">
        <v>10</v>
      </c>
      <c r="E1564" s="4" t="str">
        <f>HYPERLINK("https://ibp.a2mac1.com/costing(costing:projects/details/9760/process/12083948)","Automated Process")</f>
        <v>Automated Process</v>
      </c>
      <c r="F1564" t="s">
        <v>2005</v>
      </c>
    </row>
    <row r="1565" spans="1:6" x14ac:dyDescent="0.15">
      <c r="A1565">
        <v>8752815</v>
      </c>
      <c r="B1565">
        <v>12083948</v>
      </c>
      <c r="C1565" t="s">
        <v>22</v>
      </c>
      <c r="D1565" t="s">
        <v>114</v>
      </c>
      <c r="E1565" s="4" t="str">
        <f>HYPERLINK("https://ibp.a2mac1.com/costing(costing:projects/details/9760/material/8752815)","Steel sheet (default) adjusted (part)")</f>
        <v>Steel sheet (default) adjusted (part)</v>
      </c>
      <c r="F1565" t="s">
        <v>2006</v>
      </c>
    </row>
    <row r="1566" spans="1:6" x14ac:dyDescent="0.15">
      <c r="A1566">
        <v>12211014</v>
      </c>
      <c r="B1566">
        <v>12083948</v>
      </c>
      <c r="C1566" t="s">
        <v>163</v>
      </c>
      <c r="D1566" t="s">
        <v>114</v>
      </c>
      <c r="E1566" s="4" t="str">
        <f>HYPERLINK("https://ibp.a2mac1.com/costing(costing:projects/details/9760/equipment/12211014)","DC machine - General")</f>
        <v>DC machine - General</v>
      </c>
      <c r="F1566" t="s">
        <v>2006</v>
      </c>
    </row>
    <row r="1567" spans="1:6" x14ac:dyDescent="0.15">
      <c r="A1567">
        <v>8412593</v>
      </c>
      <c r="B1567">
        <v>8412554</v>
      </c>
      <c r="C1567" t="s">
        <v>10</v>
      </c>
      <c r="D1567" t="s">
        <v>8</v>
      </c>
      <c r="E1567" s="4" t="str">
        <f>HYPERLINK("https://ibp.a2mac1.com/costing(costing:projects/details/9760/part/8412593)","Cover")</f>
        <v>Cover</v>
      </c>
      <c r="F1567" t="s">
        <v>1977</v>
      </c>
    </row>
    <row r="1568" spans="1:6" x14ac:dyDescent="0.15">
      <c r="A1568">
        <v>12083824</v>
      </c>
      <c r="B1568">
        <v>8412593</v>
      </c>
      <c r="C1568" t="s">
        <v>114</v>
      </c>
      <c r="D1568" t="s">
        <v>10</v>
      </c>
      <c r="E1568" s="4" t="str">
        <f>HYPERLINK("https://ibp.a2mac1.com/costing(costing:projects/details/9760/process/12083824)","Automated Process")</f>
        <v>Automated Process</v>
      </c>
      <c r="F1568" t="s">
        <v>2010</v>
      </c>
    </row>
    <row r="1569" spans="1:6" x14ac:dyDescent="0.15">
      <c r="A1569">
        <v>8752709</v>
      </c>
      <c r="B1569">
        <v>12083824</v>
      </c>
      <c r="C1569" t="s">
        <v>22</v>
      </c>
      <c r="D1569" t="s">
        <v>114</v>
      </c>
      <c r="E1569" s="4" t="str">
        <f>HYPERLINK("https://ibp.a2mac1.com/costing(costing:projects/details/9760/material/8752709)","Leather")</f>
        <v>Leather</v>
      </c>
      <c r="F1569" t="s">
        <v>2011</v>
      </c>
    </row>
    <row r="1570" spans="1:6" x14ac:dyDescent="0.15">
      <c r="A1570">
        <v>12210881</v>
      </c>
      <c r="B1570">
        <v>12083824</v>
      </c>
      <c r="C1570" t="s">
        <v>163</v>
      </c>
      <c r="D1570" t="s">
        <v>114</v>
      </c>
      <c r="E1570" s="4" t="str">
        <f>HYPERLINK("https://ibp.a2mac1.com/costing(costing:projects/details/9760/equipment/12210881)","DC machine - General")</f>
        <v>DC machine - General</v>
      </c>
      <c r="F1570" t="s">
        <v>2011</v>
      </c>
    </row>
    <row r="1571" spans="1:6" x14ac:dyDescent="0.15">
      <c r="A1571">
        <v>8412594</v>
      </c>
      <c r="B1571">
        <v>8412554</v>
      </c>
      <c r="C1571" t="s">
        <v>10</v>
      </c>
      <c r="D1571" t="s">
        <v>8</v>
      </c>
      <c r="E1571" s="4" t="str">
        <f>HYPERLINK("https://ibp.a2mac1.com/costing(costing:projects/details/9760/part/8412594)","Pad")</f>
        <v>Pad</v>
      </c>
      <c r="F1571" t="s">
        <v>1977</v>
      </c>
    </row>
    <row r="1572" spans="1:6" x14ac:dyDescent="0.15">
      <c r="A1572">
        <v>12083825</v>
      </c>
      <c r="B1572">
        <v>8412594</v>
      </c>
      <c r="C1572" t="s">
        <v>114</v>
      </c>
      <c r="D1572" t="s">
        <v>10</v>
      </c>
      <c r="E1572" s="4" t="str">
        <f>HYPERLINK("https://ibp.a2mac1.com/costing(costing:projects/details/9760/process/12083825)","Automated Process")</f>
        <v>Automated Process</v>
      </c>
      <c r="F1572" t="s">
        <v>2014</v>
      </c>
    </row>
    <row r="1573" spans="1:6" x14ac:dyDescent="0.15">
      <c r="A1573">
        <v>8752710</v>
      </c>
      <c r="B1573">
        <v>12083825</v>
      </c>
      <c r="C1573" t="s">
        <v>22</v>
      </c>
      <c r="D1573" t="s">
        <v>114</v>
      </c>
      <c r="E1573" s="4" t="str">
        <f>HYPERLINK("https://ibp.a2mac1.com/costing(costing:projects/details/9760/material/8752710)","PUR adjusted (part)")</f>
        <v>PUR adjusted (part)</v>
      </c>
      <c r="F1573" t="s">
        <v>2015</v>
      </c>
    </row>
    <row r="1574" spans="1:6" x14ac:dyDescent="0.15">
      <c r="A1574">
        <v>12210882</v>
      </c>
      <c r="B1574">
        <v>12083825</v>
      </c>
      <c r="C1574" t="s">
        <v>163</v>
      </c>
      <c r="D1574" t="s">
        <v>114</v>
      </c>
      <c r="E1574" s="4" t="str">
        <f>HYPERLINK("https://ibp.a2mac1.com/costing(costing:projects/details/9760/equipment/12210882)","DC machine - General")</f>
        <v>DC machine - General</v>
      </c>
      <c r="F1574" t="s">
        <v>2015</v>
      </c>
    </row>
    <row r="1575" spans="1:6" x14ac:dyDescent="0.15">
      <c r="A1575">
        <v>8412595</v>
      </c>
      <c r="B1575">
        <v>8412554</v>
      </c>
      <c r="C1575" t="s">
        <v>10</v>
      </c>
      <c r="D1575" t="s">
        <v>8</v>
      </c>
      <c r="E1575" s="4" t="str">
        <f>HYPERLINK("https://ibp.a2mac1.com/costing(costing:projects/details/9760/part/8412595)","Pad Protection")</f>
        <v>Pad Protection</v>
      </c>
      <c r="F1575" t="s">
        <v>1977</v>
      </c>
    </row>
    <row r="1576" spans="1:6" x14ac:dyDescent="0.15">
      <c r="A1576">
        <v>8412596</v>
      </c>
      <c r="B1576">
        <v>8412554</v>
      </c>
      <c r="C1576" t="s">
        <v>10</v>
      </c>
      <c r="D1576" t="s">
        <v>8</v>
      </c>
      <c r="E1576" s="4" t="str">
        <f>HYPERLINK("https://ibp.a2mac1.com/costing(costing:projects/details/9760/part/8412596)","2nd Pad")</f>
        <v>2nd Pad</v>
      </c>
      <c r="F1576" t="s">
        <v>1977</v>
      </c>
    </row>
    <row r="1577" spans="1:6" x14ac:dyDescent="0.15">
      <c r="A1577">
        <v>12083826</v>
      </c>
      <c r="B1577">
        <v>8412596</v>
      </c>
      <c r="C1577" t="s">
        <v>114</v>
      </c>
      <c r="D1577" t="s">
        <v>10</v>
      </c>
      <c r="E1577" s="4" t="str">
        <f>HYPERLINK("https://ibp.a2mac1.com/costing(costing:projects/details/9760/process/12083826)","Automated Process")</f>
        <v>Automated Process</v>
      </c>
      <c r="F1577" t="s">
        <v>2019</v>
      </c>
    </row>
    <row r="1578" spans="1:6" x14ac:dyDescent="0.15">
      <c r="A1578">
        <v>8752711</v>
      </c>
      <c r="B1578">
        <v>12083826</v>
      </c>
      <c r="C1578" t="s">
        <v>22</v>
      </c>
      <c r="D1578" t="s">
        <v>114</v>
      </c>
      <c r="E1578" s="4" t="str">
        <f>HYPERLINK("https://ibp.a2mac1.com/costing(costing:projects/details/9760/material/8752711)","PUR adjusted (part)")</f>
        <v>PUR adjusted (part)</v>
      </c>
      <c r="F1578" t="s">
        <v>2020</v>
      </c>
    </row>
    <row r="1579" spans="1:6" x14ac:dyDescent="0.15">
      <c r="A1579">
        <v>12210883</v>
      </c>
      <c r="B1579">
        <v>12083826</v>
      </c>
      <c r="C1579" t="s">
        <v>163</v>
      </c>
      <c r="D1579" t="s">
        <v>114</v>
      </c>
      <c r="E1579" s="4" t="str">
        <f>HYPERLINK("https://ibp.a2mac1.com/costing(costing:projects/details/9760/equipment/12210883)","DC machine - General")</f>
        <v>DC machine - General</v>
      </c>
      <c r="F1579" t="s">
        <v>2020</v>
      </c>
    </row>
    <row r="1580" spans="1:6" x14ac:dyDescent="0.15">
      <c r="A1580">
        <v>8412597</v>
      </c>
      <c r="B1580">
        <v>8412554</v>
      </c>
      <c r="C1580" t="s">
        <v>10</v>
      </c>
      <c r="D1580" t="s">
        <v>8</v>
      </c>
      <c r="E1580" s="4" t="str">
        <f>HYPERLINK("https://ibp.a2mac1.com/costing(costing:projects/details/9760/part/8412597)","Frame")</f>
        <v>Frame</v>
      </c>
      <c r="F1580" t="s">
        <v>1977</v>
      </c>
    </row>
    <row r="1581" spans="1:6" x14ac:dyDescent="0.15">
      <c r="A1581">
        <v>12083827</v>
      </c>
      <c r="B1581">
        <v>8412597</v>
      </c>
      <c r="C1581" t="s">
        <v>114</v>
      </c>
      <c r="D1581" t="s">
        <v>10</v>
      </c>
      <c r="E1581" s="4" t="str">
        <f>HYPERLINK("https://ibp.a2mac1.com/costing(costing:projects/details/9760/process/12083827)","Automated Process")</f>
        <v>Automated Process</v>
      </c>
      <c r="F1581" t="s">
        <v>2022</v>
      </c>
    </row>
    <row r="1582" spans="1:6" x14ac:dyDescent="0.15">
      <c r="A1582">
        <v>8752712</v>
      </c>
      <c r="B1582">
        <v>12083827</v>
      </c>
      <c r="C1582" t="s">
        <v>22</v>
      </c>
      <c r="D1582" t="s">
        <v>114</v>
      </c>
      <c r="E1582" s="4" t="str">
        <f>HYPERLINK("https://ibp.a2mac1.com/costing(costing:projects/details/9760/material/8752712)","Steel sheet (default) adjusted (part)")</f>
        <v>Steel sheet (default) adjusted (part)</v>
      </c>
      <c r="F1582" t="s">
        <v>2023</v>
      </c>
    </row>
    <row r="1583" spans="1:6" x14ac:dyDescent="0.15">
      <c r="A1583">
        <v>12210884</v>
      </c>
      <c r="B1583">
        <v>12083827</v>
      </c>
      <c r="C1583" t="s">
        <v>163</v>
      </c>
      <c r="D1583" t="s">
        <v>114</v>
      </c>
      <c r="E1583" s="4" t="str">
        <f>HYPERLINK("https://ibp.a2mac1.com/costing(costing:projects/details/9760/equipment/12210884)","DC machine - General")</f>
        <v>DC machine - General</v>
      </c>
      <c r="F1583" t="s">
        <v>2023</v>
      </c>
    </row>
    <row r="1584" spans="1:6" x14ac:dyDescent="0.15">
      <c r="A1584">
        <v>8412598</v>
      </c>
      <c r="B1584">
        <v>8412554</v>
      </c>
      <c r="C1584" t="s">
        <v>10</v>
      </c>
      <c r="D1584" t="s">
        <v>8</v>
      </c>
      <c r="E1584" s="4" t="str">
        <f>HYPERLINK("https://ibp.a2mac1.com/costing(costing:projects/details/9760/part/8412598)","Frame Protection")</f>
        <v>Frame Protection</v>
      </c>
      <c r="F1584" t="s">
        <v>1977</v>
      </c>
    </row>
    <row r="1585" spans="1:6" x14ac:dyDescent="0.15">
      <c r="A1585">
        <v>12083828</v>
      </c>
      <c r="B1585">
        <v>8412598</v>
      </c>
      <c r="C1585" t="s">
        <v>114</v>
      </c>
      <c r="D1585" t="s">
        <v>10</v>
      </c>
      <c r="E1585" s="4" t="str">
        <f>HYPERLINK("https://ibp.a2mac1.com/costing(costing:projects/details/9760/process/12083828)","Automated Process")</f>
        <v>Automated Process</v>
      </c>
      <c r="F1585" t="s">
        <v>2026</v>
      </c>
    </row>
    <row r="1586" spans="1:6" x14ac:dyDescent="0.15">
      <c r="A1586">
        <v>8752713</v>
      </c>
      <c r="B1586">
        <v>12083828</v>
      </c>
      <c r="C1586" t="s">
        <v>22</v>
      </c>
      <c r="D1586" t="s">
        <v>114</v>
      </c>
      <c r="E1586" s="4" t="str">
        <f>HYPERLINK("https://ibp.a2mac1.com/costing(costing:projects/details/9760/material/8752713)","PP-EPDM-TD20 adjusted (part)")</f>
        <v>PP-EPDM-TD20 adjusted (part)</v>
      </c>
      <c r="F1586" t="s">
        <v>2027</v>
      </c>
    </row>
    <row r="1587" spans="1:6" x14ac:dyDescent="0.15">
      <c r="A1587">
        <v>12210885</v>
      </c>
      <c r="B1587">
        <v>12083828</v>
      </c>
      <c r="C1587" t="s">
        <v>163</v>
      </c>
      <c r="D1587" t="s">
        <v>114</v>
      </c>
      <c r="E1587" s="4" t="str">
        <f>HYPERLINK("https://ibp.a2mac1.com/costing(costing:projects/details/9760/equipment/12210885)","DC machine - General")</f>
        <v>DC machine - General</v>
      </c>
      <c r="F1587" t="s">
        <v>2027</v>
      </c>
    </row>
    <row r="1588" spans="1:6" x14ac:dyDescent="0.15">
      <c r="A1588">
        <v>8412599</v>
      </c>
      <c r="B1588">
        <v>8412554</v>
      </c>
      <c r="C1588" t="s">
        <v>10</v>
      </c>
      <c r="D1588" t="s">
        <v>8</v>
      </c>
      <c r="E1588" s="4" t="str">
        <f>HYPERLINK("https://ibp.a2mac1.com/costing(costing:projects/details/9760/part/8412599)","2nd Frame Protection")</f>
        <v>2nd Frame Protection</v>
      </c>
      <c r="F1588" t="s">
        <v>1977</v>
      </c>
    </row>
    <row r="1589" spans="1:6" x14ac:dyDescent="0.15">
      <c r="A1589">
        <v>12083829</v>
      </c>
      <c r="B1589">
        <v>8412599</v>
      </c>
      <c r="C1589" t="s">
        <v>114</v>
      </c>
      <c r="D1589" t="s">
        <v>10</v>
      </c>
      <c r="E1589" s="4" t="str">
        <f>HYPERLINK("https://ibp.a2mac1.com/costing(costing:projects/details/9760/process/12083829)","Automated Process")</f>
        <v>Automated Process</v>
      </c>
      <c r="F1589" t="s">
        <v>2029</v>
      </c>
    </row>
    <row r="1590" spans="1:6" x14ac:dyDescent="0.15">
      <c r="A1590">
        <v>8752714</v>
      </c>
      <c r="B1590">
        <v>12083829</v>
      </c>
      <c r="C1590" t="s">
        <v>22</v>
      </c>
      <c r="D1590" t="s">
        <v>114</v>
      </c>
      <c r="E1590" s="4" t="str">
        <f>HYPERLINK("https://ibp.a2mac1.com/costing(costing:projects/details/9760/material/8752714)","PP-EPDM-TD20 adjusted (part)")</f>
        <v>PP-EPDM-TD20 adjusted (part)</v>
      </c>
      <c r="F1590" t="s">
        <v>2030</v>
      </c>
    </row>
    <row r="1591" spans="1:6" x14ac:dyDescent="0.15">
      <c r="A1591">
        <v>12210886</v>
      </c>
      <c r="B1591">
        <v>12083829</v>
      </c>
      <c r="C1591" t="s">
        <v>163</v>
      </c>
      <c r="D1591" t="s">
        <v>114</v>
      </c>
      <c r="E1591" s="4" t="str">
        <f>HYPERLINK("https://ibp.a2mac1.com/costing(costing:projects/details/9760/equipment/12210886)","DC machine - General")</f>
        <v>DC machine - General</v>
      </c>
      <c r="F1591" t="s">
        <v>2030</v>
      </c>
    </row>
    <row r="1592" spans="1:6" x14ac:dyDescent="0.15">
      <c r="A1592">
        <v>8412600</v>
      </c>
      <c r="B1592">
        <v>8412554</v>
      </c>
      <c r="C1592" t="s">
        <v>10</v>
      </c>
      <c r="D1592" t="s">
        <v>8</v>
      </c>
      <c r="E1592" s="4" t="str">
        <f>HYPERLINK("https://ibp.a2mac1.com/costing(costing:projects/details/9760/part/8412600)","Frame Reinforcement")</f>
        <v>Frame Reinforcement</v>
      </c>
      <c r="F1592" t="s">
        <v>1977</v>
      </c>
    </row>
    <row r="1593" spans="1:6" x14ac:dyDescent="0.15">
      <c r="A1593">
        <v>12083830</v>
      </c>
      <c r="B1593">
        <v>8412600</v>
      </c>
      <c r="C1593" t="s">
        <v>114</v>
      </c>
      <c r="D1593" t="s">
        <v>10</v>
      </c>
      <c r="E1593" s="4" t="str">
        <f>HYPERLINK("https://ibp.a2mac1.com/costing(costing:projects/details/9760/process/12083830)","Automated Process")</f>
        <v>Automated Process</v>
      </c>
      <c r="F1593" t="s">
        <v>2032</v>
      </c>
    </row>
    <row r="1594" spans="1:6" x14ac:dyDescent="0.15">
      <c r="A1594">
        <v>8752715</v>
      </c>
      <c r="B1594">
        <v>12083830</v>
      </c>
      <c r="C1594" t="s">
        <v>22</v>
      </c>
      <c r="D1594" t="s">
        <v>114</v>
      </c>
      <c r="E1594" s="4" t="str">
        <f>HYPERLINK("https://ibp.a2mac1.com/costing(costing:projects/details/9760/material/8752715)","Steel sheet (default) adjusted (part)")</f>
        <v>Steel sheet (default) adjusted (part)</v>
      </c>
      <c r="F1594" t="s">
        <v>2033</v>
      </c>
    </row>
    <row r="1595" spans="1:6" x14ac:dyDescent="0.15">
      <c r="A1595">
        <v>12210887</v>
      </c>
      <c r="B1595">
        <v>12083830</v>
      </c>
      <c r="C1595" t="s">
        <v>163</v>
      </c>
      <c r="D1595" t="s">
        <v>114</v>
      </c>
      <c r="E1595" s="4" t="str">
        <f>HYPERLINK("https://ibp.a2mac1.com/costing(costing:projects/details/9760/equipment/12210887)","DC machine - General")</f>
        <v>DC machine - General</v>
      </c>
      <c r="F1595" t="s">
        <v>2033</v>
      </c>
    </row>
    <row r="1596" spans="1:6" x14ac:dyDescent="0.15">
      <c r="A1596">
        <v>8412601</v>
      </c>
      <c r="B1596">
        <v>8412554</v>
      </c>
      <c r="C1596" t="s">
        <v>10</v>
      </c>
      <c r="D1596" t="s">
        <v>8</v>
      </c>
      <c r="E1596" s="4" t="str">
        <f>HYPERLINK("https://ibp.a2mac1.com/costing(costing:projects/details/9760/part/8412601)","2nd Frame Reinforcement")</f>
        <v>2nd Frame Reinforcement</v>
      </c>
      <c r="F1596" t="s">
        <v>1977</v>
      </c>
    </row>
    <row r="1597" spans="1:6" x14ac:dyDescent="0.15">
      <c r="A1597">
        <v>12083831</v>
      </c>
      <c r="B1597">
        <v>8412601</v>
      </c>
      <c r="C1597" t="s">
        <v>114</v>
      </c>
      <c r="D1597" t="s">
        <v>10</v>
      </c>
      <c r="E1597" s="4" t="str">
        <f>HYPERLINK("https://ibp.a2mac1.com/costing(costing:projects/details/9760/process/12083831)","Automated Process")</f>
        <v>Automated Process</v>
      </c>
      <c r="F1597" t="s">
        <v>2036</v>
      </c>
    </row>
    <row r="1598" spans="1:6" x14ac:dyDescent="0.15">
      <c r="A1598">
        <v>8752716</v>
      </c>
      <c r="B1598">
        <v>12083831</v>
      </c>
      <c r="C1598" t="s">
        <v>22</v>
      </c>
      <c r="D1598" t="s">
        <v>114</v>
      </c>
      <c r="E1598" s="4" t="str">
        <f>HYPERLINK("https://ibp.a2mac1.com/costing(costing:projects/details/9760/material/8752716)","Steel sheet (default) adjusted (part)")</f>
        <v>Steel sheet (default) adjusted (part)</v>
      </c>
      <c r="F1598" t="s">
        <v>2037</v>
      </c>
    </row>
    <row r="1599" spans="1:6" x14ac:dyDescent="0.15">
      <c r="A1599">
        <v>12210888</v>
      </c>
      <c r="B1599">
        <v>12083831</v>
      </c>
      <c r="C1599" t="s">
        <v>163</v>
      </c>
      <c r="D1599" t="s">
        <v>114</v>
      </c>
      <c r="E1599" s="4" t="str">
        <f>HYPERLINK("https://ibp.a2mac1.com/costing(costing:projects/details/9760/equipment/12210888)","DC machine - General")</f>
        <v>DC machine - General</v>
      </c>
      <c r="F1599" t="s">
        <v>2037</v>
      </c>
    </row>
    <row r="1600" spans="1:6" x14ac:dyDescent="0.15">
      <c r="A1600">
        <v>8412602</v>
      </c>
      <c r="B1600">
        <v>8412554</v>
      </c>
      <c r="C1600" t="s">
        <v>10</v>
      </c>
      <c r="D1600" t="s">
        <v>8</v>
      </c>
      <c r="E1600" s="4" t="str">
        <f>HYPERLINK("https://ibp.a2mac1.com/costing(costing:projects/details/9760/part/8412602)","Suspension")</f>
        <v>Suspension</v>
      </c>
      <c r="F1600" t="s">
        <v>1977</v>
      </c>
    </row>
    <row r="1601" spans="1:6" x14ac:dyDescent="0.15">
      <c r="A1601">
        <v>8412603</v>
      </c>
      <c r="B1601">
        <v>8412554</v>
      </c>
      <c r="C1601" t="s">
        <v>10</v>
      </c>
      <c r="D1601" t="s">
        <v>8</v>
      </c>
      <c r="E1601" s="4" t="str">
        <f>HYPERLINK("https://ibp.a2mac1.com/costing(costing:projects/details/9760/part/8412603)","Cover Fastener")</f>
        <v>Cover Fastener</v>
      </c>
      <c r="F1601" t="s">
        <v>1977</v>
      </c>
    </row>
    <row r="1602" spans="1:6" x14ac:dyDescent="0.15">
      <c r="A1602">
        <v>12083832</v>
      </c>
      <c r="B1602">
        <v>8412603</v>
      </c>
      <c r="C1602" t="s">
        <v>114</v>
      </c>
      <c r="D1602" t="s">
        <v>10</v>
      </c>
      <c r="E1602" s="4" t="str">
        <f>HYPERLINK("https://ibp.a2mac1.com/costing(costing:projects/details/9760/process/12083832)","Automated Process")</f>
        <v>Automated Process</v>
      </c>
      <c r="F1602" t="s">
        <v>2041</v>
      </c>
    </row>
    <row r="1603" spans="1:6" x14ac:dyDescent="0.15">
      <c r="A1603">
        <v>8752717</v>
      </c>
      <c r="B1603">
        <v>12083832</v>
      </c>
      <c r="C1603" t="s">
        <v>22</v>
      </c>
      <c r="D1603" t="s">
        <v>114</v>
      </c>
      <c r="E1603" s="4" t="str">
        <f>HYPERLINK("https://ibp.a2mac1.com/costing(costing:projects/details/9760/material/8752717)","PP-GF15 adjusted (part)")</f>
        <v>PP-GF15 adjusted (part)</v>
      </c>
      <c r="F1603" t="s">
        <v>2042</v>
      </c>
    </row>
    <row r="1604" spans="1:6" x14ac:dyDescent="0.15">
      <c r="A1604">
        <v>12210889</v>
      </c>
      <c r="B1604">
        <v>12083832</v>
      </c>
      <c r="C1604" t="s">
        <v>163</v>
      </c>
      <c r="D1604" t="s">
        <v>114</v>
      </c>
      <c r="E1604" s="4" t="str">
        <f>HYPERLINK("https://ibp.a2mac1.com/costing(costing:projects/details/9760/equipment/12210889)","DC machine - General")</f>
        <v>DC machine - General</v>
      </c>
      <c r="F1604" t="s">
        <v>2042</v>
      </c>
    </row>
    <row r="1605" spans="1:6" x14ac:dyDescent="0.15">
      <c r="A1605">
        <v>8412555</v>
      </c>
      <c r="B1605">
        <v>8412549</v>
      </c>
      <c r="C1605" t="s">
        <v>8</v>
      </c>
      <c r="D1605" t="s">
        <v>8</v>
      </c>
      <c r="E1605" s="4" t="str">
        <f>HYPERLINK("https://ibp.a2mac1.com/costing(costing:projects/details/9760/assembly/8412555)","Cushion")</f>
        <v>Cushion</v>
      </c>
      <c r="F1605" t="s">
        <v>1947</v>
      </c>
    </row>
    <row r="1606" spans="1:6" x14ac:dyDescent="0.15">
      <c r="A1606">
        <v>8412613</v>
      </c>
      <c r="B1606">
        <v>8412555</v>
      </c>
      <c r="C1606" t="s">
        <v>8</v>
      </c>
      <c r="D1606" t="s">
        <v>8</v>
      </c>
      <c r="E1606" s="4" t="str">
        <f>HYPERLINK("https://ibp.a2mac1.com/costing(costing:projects/details/9760/assembly/8412613)","Garnish")</f>
        <v>Garnish</v>
      </c>
      <c r="F1606" t="s">
        <v>2045</v>
      </c>
    </row>
    <row r="1607" spans="1:6" x14ac:dyDescent="0.15">
      <c r="A1607">
        <v>8412703</v>
      </c>
      <c r="B1607">
        <v>8412613</v>
      </c>
      <c r="C1607" t="s">
        <v>10</v>
      </c>
      <c r="D1607" t="s">
        <v>8</v>
      </c>
      <c r="E1607" s="4" t="str">
        <f>HYPERLINK("https://ibp.a2mac1.com/costing(costing:projects/details/9760/part/8412703)","Outer Side")</f>
        <v>Outer Side</v>
      </c>
      <c r="F1607" t="s">
        <v>2046</v>
      </c>
    </row>
    <row r="1608" spans="1:6" x14ac:dyDescent="0.15">
      <c r="A1608">
        <v>12083949</v>
      </c>
      <c r="B1608">
        <v>8412703</v>
      </c>
      <c r="C1608" t="s">
        <v>114</v>
      </c>
      <c r="D1608" t="s">
        <v>10</v>
      </c>
      <c r="E1608" s="4" t="str">
        <f>HYPERLINK("https://ibp.a2mac1.com/costing(costing:projects/details/9760/process/12083949)","Automated Process")</f>
        <v>Automated Process</v>
      </c>
      <c r="F1608" t="s">
        <v>2047</v>
      </c>
    </row>
    <row r="1609" spans="1:6" x14ac:dyDescent="0.15">
      <c r="A1609">
        <v>8752816</v>
      </c>
      <c r="B1609">
        <v>12083949</v>
      </c>
      <c r="C1609" t="s">
        <v>22</v>
      </c>
      <c r="D1609" t="s">
        <v>114</v>
      </c>
      <c r="E1609" s="4" t="str">
        <f>HYPERLINK("https://ibp.a2mac1.com/costing(costing:projects/details/9760/material/8752816)","PP-EPDM-TD20 adjusted (part)")</f>
        <v>PP-EPDM-TD20 adjusted (part)</v>
      </c>
      <c r="F1609" t="s">
        <v>2048</v>
      </c>
    </row>
    <row r="1610" spans="1:6" x14ac:dyDescent="0.15">
      <c r="A1610">
        <v>12211015</v>
      </c>
      <c r="B1610">
        <v>12083949</v>
      </c>
      <c r="C1610" t="s">
        <v>163</v>
      </c>
      <c r="D1610" t="s">
        <v>114</v>
      </c>
      <c r="E1610" s="4" t="str">
        <f>HYPERLINK("https://ibp.a2mac1.com/costing(costing:projects/details/9760/equipment/12211015)","DC machine - General")</f>
        <v>DC machine - General</v>
      </c>
      <c r="F1610" t="s">
        <v>2048</v>
      </c>
    </row>
    <row r="1611" spans="1:6" x14ac:dyDescent="0.15">
      <c r="A1611">
        <v>8412704</v>
      </c>
      <c r="B1611">
        <v>8412613</v>
      </c>
      <c r="C1611" t="s">
        <v>10</v>
      </c>
      <c r="D1611" t="s">
        <v>8</v>
      </c>
      <c r="E1611" s="4" t="str">
        <f>HYPERLINK("https://ibp.a2mac1.com/costing(costing:projects/details/9760/part/8412704)","2nd Outer Cover")</f>
        <v>2nd Outer Cover</v>
      </c>
      <c r="F1611" t="s">
        <v>2046</v>
      </c>
    </row>
    <row r="1612" spans="1:6" x14ac:dyDescent="0.15">
      <c r="A1612">
        <v>12083950</v>
      </c>
      <c r="B1612">
        <v>8412704</v>
      </c>
      <c r="C1612" t="s">
        <v>114</v>
      </c>
      <c r="D1612" t="s">
        <v>10</v>
      </c>
      <c r="E1612" s="4" t="str">
        <f>HYPERLINK("https://ibp.a2mac1.com/costing(costing:projects/details/9760/process/12083950)","Automated Process")</f>
        <v>Automated Process</v>
      </c>
      <c r="F1612" t="s">
        <v>2050</v>
      </c>
    </row>
    <row r="1613" spans="1:6" x14ac:dyDescent="0.15">
      <c r="A1613">
        <v>8752817</v>
      </c>
      <c r="B1613">
        <v>12083950</v>
      </c>
      <c r="C1613" t="s">
        <v>22</v>
      </c>
      <c r="D1613" t="s">
        <v>114</v>
      </c>
      <c r="E1613" s="4" t="str">
        <f>HYPERLINK("https://ibp.a2mac1.com/costing(costing:projects/details/9760/material/8752817)","PP-EPDM-TD20 adjusted (part)")</f>
        <v>PP-EPDM-TD20 adjusted (part)</v>
      </c>
      <c r="F1613" t="s">
        <v>2051</v>
      </c>
    </row>
    <row r="1614" spans="1:6" x14ac:dyDescent="0.15">
      <c r="A1614">
        <v>12211016</v>
      </c>
      <c r="B1614">
        <v>12083950</v>
      </c>
      <c r="C1614" t="s">
        <v>163</v>
      </c>
      <c r="D1614" t="s">
        <v>114</v>
      </c>
      <c r="E1614" s="4" t="str">
        <f>HYPERLINK("https://ibp.a2mac1.com/costing(costing:projects/details/9760/equipment/12211016)","DC machine - General")</f>
        <v>DC machine - General</v>
      </c>
      <c r="F1614" t="s">
        <v>2051</v>
      </c>
    </row>
    <row r="1615" spans="1:6" x14ac:dyDescent="0.15">
      <c r="A1615">
        <v>8412705</v>
      </c>
      <c r="B1615">
        <v>8412613</v>
      </c>
      <c r="C1615" t="s">
        <v>10</v>
      </c>
      <c r="D1615" t="s">
        <v>8</v>
      </c>
      <c r="E1615" s="4" t="str">
        <f>HYPERLINK("https://ibp.a2mac1.com/costing(costing:projects/details/9760/part/8412705)","Exterior Trim Support")</f>
        <v>Exterior Trim Support</v>
      </c>
      <c r="F1615" t="s">
        <v>2046</v>
      </c>
    </row>
    <row r="1616" spans="1:6" x14ac:dyDescent="0.15">
      <c r="A1616">
        <v>12083951</v>
      </c>
      <c r="B1616">
        <v>8412705</v>
      </c>
      <c r="C1616" t="s">
        <v>114</v>
      </c>
      <c r="D1616" t="s">
        <v>10</v>
      </c>
      <c r="E1616" s="4" t="str">
        <f>HYPERLINK("https://ibp.a2mac1.com/costing(costing:projects/details/9760/process/12083951)","Automated Process")</f>
        <v>Automated Process</v>
      </c>
      <c r="F1616" t="s">
        <v>2053</v>
      </c>
    </row>
    <row r="1617" spans="1:6" x14ac:dyDescent="0.15">
      <c r="A1617">
        <v>8752818</v>
      </c>
      <c r="B1617">
        <v>12083951</v>
      </c>
      <c r="C1617" t="s">
        <v>22</v>
      </c>
      <c r="D1617" t="s">
        <v>114</v>
      </c>
      <c r="E1617" s="4" t="str">
        <f>HYPERLINK("https://ibp.a2mac1.com/costing(costing:projects/details/9760/material/8752818)","PP-EPDM-TD20 adjusted (part)")</f>
        <v>PP-EPDM-TD20 adjusted (part)</v>
      </c>
      <c r="F1617" t="s">
        <v>2054</v>
      </c>
    </row>
    <row r="1618" spans="1:6" x14ac:dyDescent="0.15">
      <c r="A1618">
        <v>12211017</v>
      </c>
      <c r="B1618">
        <v>12083951</v>
      </c>
      <c r="C1618" t="s">
        <v>163</v>
      </c>
      <c r="D1618" t="s">
        <v>114</v>
      </c>
      <c r="E1618" s="4" t="str">
        <f>HYPERLINK("https://ibp.a2mac1.com/costing(costing:projects/details/9760/equipment/12211017)","DC machine - General")</f>
        <v>DC machine - General</v>
      </c>
      <c r="F1618" t="s">
        <v>2054</v>
      </c>
    </row>
    <row r="1619" spans="1:6" x14ac:dyDescent="0.15">
      <c r="A1619">
        <v>8412706</v>
      </c>
      <c r="B1619">
        <v>8412613</v>
      </c>
      <c r="C1619" t="s">
        <v>10</v>
      </c>
      <c r="D1619" t="s">
        <v>8</v>
      </c>
      <c r="E1619" s="4" t="str">
        <f>HYPERLINK("https://ibp.a2mac1.com/costing(costing:projects/details/9760/part/8412706)","Exterior Trim 2nd Support")</f>
        <v>Exterior Trim 2nd Support</v>
      </c>
      <c r="F1619" t="s">
        <v>2046</v>
      </c>
    </row>
    <row r="1620" spans="1:6" x14ac:dyDescent="0.15">
      <c r="A1620">
        <v>12083952</v>
      </c>
      <c r="B1620">
        <v>8412706</v>
      </c>
      <c r="C1620" t="s">
        <v>114</v>
      </c>
      <c r="D1620" t="s">
        <v>10</v>
      </c>
      <c r="E1620" s="4" t="str">
        <f>HYPERLINK("https://ibp.a2mac1.com/costing(costing:projects/details/9760/process/12083952)","Automated Process")</f>
        <v>Automated Process</v>
      </c>
      <c r="F1620" t="s">
        <v>2056</v>
      </c>
    </row>
    <row r="1621" spans="1:6" x14ac:dyDescent="0.15">
      <c r="A1621">
        <v>8752819</v>
      </c>
      <c r="B1621">
        <v>12083952</v>
      </c>
      <c r="C1621" t="s">
        <v>22</v>
      </c>
      <c r="D1621" t="s">
        <v>114</v>
      </c>
      <c r="E1621" s="4" t="str">
        <f>HYPERLINK("https://ibp.a2mac1.com/costing(costing:projects/details/9760/material/8752819)","Steel sheet (default) adjusted (part)")</f>
        <v>Steel sheet (default) adjusted (part)</v>
      </c>
      <c r="F1621" t="s">
        <v>2057</v>
      </c>
    </row>
    <row r="1622" spans="1:6" x14ac:dyDescent="0.15">
      <c r="A1622">
        <v>12211018</v>
      </c>
      <c r="B1622">
        <v>12083952</v>
      </c>
      <c r="C1622" t="s">
        <v>163</v>
      </c>
      <c r="D1622" t="s">
        <v>114</v>
      </c>
      <c r="E1622" s="4" t="str">
        <f>HYPERLINK("https://ibp.a2mac1.com/costing(costing:projects/details/9760/equipment/12211018)","DC machine - General")</f>
        <v>DC machine - General</v>
      </c>
      <c r="F1622" t="s">
        <v>2057</v>
      </c>
    </row>
    <row r="1623" spans="1:6" x14ac:dyDescent="0.15">
      <c r="A1623">
        <v>8412707</v>
      </c>
      <c r="B1623">
        <v>8412613</v>
      </c>
      <c r="C1623" t="s">
        <v>10</v>
      </c>
      <c r="D1623" t="s">
        <v>8</v>
      </c>
      <c r="E1623" s="4" t="str">
        <f>HYPERLINK("https://ibp.a2mac1.com/costing(costing:projects/details/9760/part/8412707)","Inner Side")</f>
        <v>Inner Side</v>
      </c>
      <c r="F1623" t="s">
        <v>2046</v>
      </c>
    </row>
    <row r="1624" spans="1:6" x14ac:dyDescent="0.15">
      <c r="A1624">
        <v>12083953</v>
      </c>
      <c r="B1624">
        <v>8412707</v>
      </c>
      <c r="C1624" t="s">
        <v>114</v>
      </c>
      <c r="D1624" t="s">
        <v>10</v>
      </c>
      <c r="E1624" s="4" t="str">
        <f>HYPERLINK("https://ibp.a2mac1.com/costing(costing:projects/details/9760/process/12083953)","Automated Process")</f>
        <v>Automated Process</v>
      </c>
      <c r="F1624" t="s">
        <v>2060</v>
      </c>
    </row>
    <row r="1625" spans="1:6" x14ac:dyDescent="0.15">
      <c r="A1625">
        <v>8752820</v>
      </c>
      <c r="B1625">
        <v>12083953</v>
      </c>
      <c r="C1625" t="s">
        <v>22</v>
      </c>
      <c r="D1625" t="s">
        <v>114</v>
      </c>
      <c r="E1625" s="4" t="str">
        <f>HYPERLINK("https://ibp.a2mac1.com/costing(costing:projects/details/9760/material/8752820)","PP-EPDM-TD20 adjusted (part)")</f>
        <v>PP-EPDM-TD20 adjusted (part)</v>
      </c>
      <c r="F1625" t="s">
        <v>2061</v>
      </c>
    </row>
    <row r="1626" spans="1:6" x14ac:dyDescent="0.15">
      <c r="A1626">
        <v>12211019</v>
      </c>
      <c r="B1626">
        <v>12083953</v>
      </c>
      <c r="C1626" t="s">
        <v>163</v>
      </c>
      <c r="D1626" t="s">
        <v>114</v>
      </c>
      <c r="E1626" s="4" t="str">
        <f>HYPERLINK("https://ibp.a2mac1.com/costing(costing:projects/details/9760/equipment/12211019)","DC machine - General")</f>
        <v>DC machine - General</v>
      </c>
      <c r="F1626" t="s">
        <v>2061</v>
      </c>
    </row>
    <row r="1627" spans="1:6" x14ac:dyDescent="0.15">
      <c r="A1627">
        <v>8412708</v>
      </c>
      <c r="B1627">
        <v>8412613</v>
      </c>
      <c r="C1627" t="s">
        <v>10</v>
      </c>
      <c r="D1627" t="s">
        <v>8</v>
      </c>
      <c r="E1627" s="4" t="str">
        <f>HYPERLINK("https://ibp.a2mac1.com/costing(costing:projects/details/9760/part/8412708)","Interior Trim Support")</f>
        <v>Interior Trim Support</v>
      </c>
      <c r="F1627" t="s">
        <v>2046</v>
      </c>
    </row>
    <row r="1628" spans="1:6" x14ac:dyDescent="0.15">
      <c r="A1628">
        <v>12083954</v>
      </c>
      <c r="B1628">
        <v>8412708</v>
      </c>
      <c r="C1628" t="s">
        <v>114</v>
      </c>
      <c r="D1628" t="s">
        <v>10</v>
      </c>
      <c r="E1628" s="4" t="str">
        <f>HYPERLINK("https://ibp.a2mac1.com/costing(costing:projects/details/9760/process/12083954)","Automated Process")</f>
        <v>Automated Process</v>
      </c>
      <c r="F1628" t="s">
        <v>2063</v>
      </c>
    </row>
    <row r="1629" spans="1:6" x14ac:dyDescent="0.15">
      <c r="A1629">
        <v>8752821</v>
      </c>
      <c r="B1629">
        <v>12083954</v>
      </c>
      <c r="C1629" t="s">
        <v>22</v>
      </c>
      <c r="D1629" t="s">
        <v>114</v>
      </c>
      <c r="E1629" s="4" t="str">
        <f>HYPERLINK("https://ibp.a2mac1.com/costing(costing:projects/details/9760/material/8752821)","PP-EPDM-TD20 adjusted (part)")</f>
        <v>PP-EPDM-TD20 adjusted (part)</v>
      </c>
      <c r="F1629" t="s">
        <v>2064</v>
      </c>
    </row>
    <row r="1630" spans="1:6" x14ac:dyDescent="0.15">
      <c r="A1630">
        <v>12211020</v>
      </c>
      <c r="B1630">
        <v>12083954</v>
      </c>
      <c r="C1630" t="s">
        <v>163</v>
      </c>
      <c r="D1630" t="s">
        <v>114</v>
      </c>
      <c r="E1630" s="4" t="str">
        <f>HYPERLINK("https://ibp.a2mac1.com/costing(costing:projects/details/9760/equipment/12211020)","DC machine - General")</f>
        <v>DC machine - General</v>
      </c>
      <c r="F1630" t="s">
        <v>2064</v>
      </c>
    </row>
    <row r="1631" spans="1:6" x14ac:dyDescent="0.15">
      <c r="A1631">
        <v>8412606</v>
      </c>
      <c r="B1631">
        <v>8412555</v>
      </c>
      <c r="C1631" t="s">
        <v>10</v>
      </c>
      <c r="D1631" t="s">
        <v>8</v>
      </c>
      <c r="E1631" s="4" t="str">
        <f>HYPERLINK("https://ibp.a2mac1.com/costing(costing:projects/details/9760/part/8412606)","Cover")</f>
        <v>Cover</v>
      </c>
      <c r="F1631" t="s">
        <v>2045</v>
      </c>
    </row>
    <row r="1632" spans="1:6" x14ac:dyDescent="0.15">
      <c r="A1632">
        <v>12083833</v>
      </c>
      <c r="B1632">
        <v>8412606</v>
      </c>
      <c r="C1632" t="s">
        <v>114</v>
      </c>
      <c r="D1632" t="s">
        <v>10</v>
      </c>
      <c r="E1632" s="4" t="str">
        <f>HYPERLINK("https://ibp.a2mac1.com/costing(costing:projects/details/9760/process/12083833)","Automated Process")</f>
        <v>Automated Process</v>
      </c>
      <c r="F1632" t="s">
        <v>2067</v>
      </c>
    </row>
    <row r="1633" spans="1:6" x14ac:dyDescent="0.15">
      <c r="A1633">
        <v>8752718</v>
      </c>
      <c r="B1633">
        <v>12083833</v>
      </c>
      <c r="C1633" t="s">
        <v>22</v>
      </c>
      <c r="D1633" t="s">
        <v>114</v>
      </c>
      <c r="E1633" s="4" t="str">
        <f>HYPERLINK("https://ibp.a2mac1.com/costing(costing:projects/details/9760/material/8752718)","Leather ")</f>
        <v xml:space="preserve">Leather </v>
      </c>
      <c r="F1633" t="s">
        <v>2068</v>
      </c>
    </row>
    <row r="1634" spans="1:6" x14ac:dyDescent="0.15">
      <c r="A1634">
        <v>12210890</v>
      </c>
      <c r="B1634">
        <v>12083833</v>
      </c>
      <c r="C1634" t="s">
        <v>163</v>
      </c>
      <c r="D1634" t="s">
        <v>114</v>
      </c>
      <c r="E1634" s="4" t="str">
        <f>HYPERLINK("https://ibp.a2mac1.com/costing(costing:projects/details/9760/equipment/12210890)","DC machine - General")</f>
        <v>DC machine - General</v>
      </c>
      <c r="F1634" t="s">
        <v>2068</v>
      </c>
    </row>
    <row r="1635" spans="1:6" x14ac:dyDescent="0.15">
      <c r="A1635">
        <v>8412607</v>
      </c>
      <c r="B1635">
        <v>8412555</v>
      </c>
      <c r="C1635" t="s">
        <v>10</v>
      </c>
      <c r="D1635" t="s">
        <v>8</v>
      </c>
      <c r="E1635" s="4" t="str">
        <f>HYPERLINK("https://ibp.a2mac1.com/costing(costing:projects/details/9760/part/8412607)","Pad")</f>
        <v>Pad</v>
      </c>
      <c r="F1635" t="s">
        <v>2045</v>
      </c>
    </row>
    <row r="1636" spans="1:6" x14ac:dyDescent="0.15">
      <c r="A1636">
        <v>12083834</v>
      </c>
      <c r="B1636">
        <v>8412607</v>
      </c>
      <c r="C1636" t="s">
        <v>114</v>
      </c>
      <c r="D1636" t="s">
        <v>10</v>
      </c>
      <c r="E1636" s="4" t="str">
        <f>HYPERLINK("https://ibp.a2mac1.com/costing(costing:projects/details/9760/process/12083834)","Automated Process")</f>
        <v>Automated Process</v>
      </c>
      <c r="F1636" t="s">
        <v>2070</v>
      </c>
    </row>
    <row r="1637" spans="1:6" x14ac:dyDescent="0.15">
      <c r="A1637">
        <v>8752719</v>
      </c>
      <c r="B1637">
        <v>12083834</v>
      </c>
      <c r="C1637" t="s">
        <v>22</v>
      </c>
      <c r="D1637" t="s">
        <v>114</v>
      </c>
      <c r="E1637" s="4" t="str">
        <f>HYPERLINK("https://ibp.a2mac1.com/costing(costing:projects/details/9760/material/8752719)","PUR adjusted (part)")</f>
        <v>PUR adjusted (part)</v>
      </c>
      <c r="F1637" t="s">
        <v>2071</v>
      </c>
    </row>
    <row r="1638" spans="1:6" x14ac:dyDescent="0.15">
      <c r="A1638">
        <v>12210891</v>
      </c>
      <c r="B1638">
        <v>12083834</v>
      </c>
      <c r="C1638" t="s">
        <v>163</v>
      </c>
      <c r="D1638" t="s">
        <v>114</v>
      </c>
      <c r="E1638" s="4" t="str">
        <f>HYPERLINK("https://ibp.a2mac1.com/costing(costing:projects/details/9760/equipment/12210891)","DC machine - General")</f>
        <v>DC machine - General</v>
      </c>
      <c r="F1638" t="s">
        <v>2071</v>
      </c>
    </row>
    <row r="1639" spans="1:6" x14ac:dyDescent="0.15">
      <c r="A1639">
        <v>8412608</v>
      </c>
      <c r="B1639">
        <v>8412555</v>
      </c>
      <c r="C1639" t="s">
        <v>10</v>
      </c>
      <c r="D1639" t="s">
        <v>8</v>
      </c>
      <c r="E1639" s="4" t="str">
        <f>HYPERLINK("https://ibp.a2mac1.com/costing(costing:projects/details/9760/part/8412608)","Interior Pad")</f>
        <v>Interior Pad</v>
      </c>
      <c r="F1639" t="s">
        <v>2045</v>
      </c>
    </row>
    <row r="1640" spans="1:6" x14ac:dyDescent="0.15">
      <c r="A1640">
        <v>12083835</v>
      </c>
      <c r="B1640">
        <v>8412608</v>
      </c>
      <c r="C1640" t="s">
        <v>114</v>
      </c>
      <c r="D1640" t="s">
        <v>10</v>
      </c>
      <c r="E1640" s="4" t="str">
        <f>HYPERLINK("https://ibp.a2mac1.com/costing(costing:projects/details/9760/process/12083835)","Automated Process")</f>
        <v>Automated Process</v>
      </c>
      <c r="F1640" t="s">
        <v>2073</v>
      </c>
    </row>
    <row r="1641" spans="1:6" x14ac:dyDescent="0.15">
      <c r="A1641">
        <v>8752720</v>
      </c>
      <c r="B1641">
        <v>12083835</v>
      </c>
      <c r="C1641" t="s">
        <v>22</v>
      </c>
      <c r="D1641" t="s">
        <v>114</v>
      </c>
      <c r="E1641" s="4" t="str">
        <f>HYPERLINK("https://ibp.a2mac1.com/costing(costing:projects/details/9760/material/8752720)","PUR adjusted (part)")</f>
        <v>PUR adjusted (part)</v>
      </c>
      <c r="F1641" t="s">
        <v>2074</v>
      </c>
    </row>
    <row r="1642" spans="1:6" x14ac:dyDescent="0.15">
      <c r="A1642">
        <v>12210892</v>
      </c>
      <c r="B1642">
        <v>12083835</v>
      </c>
      <c r="C1642" t="s">
        <v>163</v>
      </c>
      <c r="D1642" t="s">
        <v>114</v>
      </c>
      <c r="E1642" s="4" t="str">
        <f>HYPERLINK("https://ibp.a2mac1.com/costing(costing:projects/details/9760/equipment/12210892)","DC machine - General")</f>
        <v>DC machine - General</v>
      </c>
      <c r="F1642" t="s">
        <v>2074</v>
      </c>
    </row>
    <row r="1643" spans="1:6" x14ac:dyDescent="0.15">
      <c r="A1643">
        <v>8412609</v>
      </c>
      <c r="B1643">
        <v>8412555</v>
      </c>
      <c r="C1643" t="s">
        <v>10</v>
      </c>
      <c r="D1643" t="s">
        <v>8</v>
      </c>
      <c r="E1643" s="4" t="str">
        <f>HYPERLINK("https://ibp.a2mac1.com/costing(costing:projects/details/9760/part/8412609)","Frame")</f>
        <v>Frame</v>
      </c>
      <c r="F1643" t="s">
        <v>2045</v>
      </c>
    </row>
    <row r="1644" spans="1:6" x14ac:dyDescent="0.15">
      <c r="A1644">
        <v>12083836</v>
      </c>
      <c r="B1644">
        <v>8412609</v>
      </c>
      <c r="C1644" t="s">
        <v>114</v>
      </c>
      <c r="D1644" t="s">
        <v>10</v>
      </c>
      <c r="E1644" s="4" t="str">
        <f>HYPERLINK("https://ibp.a2mac1.com/costing(costing:projects/details/9760/process/12083836)","Automated Process")</f>
        <v>Automated Process</v>
      </c>
      <c r="F1644" t="s">
        <v>2076</v>
      </c>
    </row>
    <row r="1645" spans="1:6" x14ac:dyDescent="0.15">
      <c r="A1645">
        <v>8752721</v>
      </c>
      <c r="B1645">
        <v>12083836</v>
      </c>
      <c r="C1645" t="s">
        <v>22</v>
      </c>
      <c r="D1645" t="s">
        <v>114</v>
      </c>
      <c r="E1645" s="4" t="str">
        <f>HYPERLINK("https://ibp.a2mac1.com/costing(costing:projects/details/9760/material/8752721)","Steel sheet (default) adjusted (part)")</f>
        <v>Steel sheet (default) adjusted (part)</v>
      </c>
      <c r="F1645" t="s">
        <v>2077</v>
      </c>
    </row>
    <row r="1646" spans="1:6" x14ac:dyDescent="0.15">
      <c r="A1646">
        <v>12210893</v>
      </c>
      <c r="B1646">
        <v>12083836</v>
      </c>
      <c r="C1646" t="s">
        <v>163</v>
      </c>
      <c r="D1646" t="s">
        <v>114</v>
      </c>
      <c r="E1646" s="4" t="str">
        <f>HYPERLINK("https://ibp.a2mac1.com/costing(costing:projects/details/9760/equipment/12210893)","DC machine - General")</f>
        <v>DC machine - General</v>
      </c>
      <c r="F1646" t="s">
        <v>2077</v>
      </c>
    </row>
    <row r="1647" spans="1:6" x14ac:dyDescent="0.15">
      <c r="A1647">
        <v>8412610</v>
      </c>
      <c r="B1647">
        <v>8412555</v>
      </c>
      <c r="C1647" t="s">
        <v>10</v>
      </c>
      <c r="D1647" t="s">
        <v>8</v>
      </c>
      <c r="E1647" s="4" t="str">
        <f>HYPERLINK("https://ibp.a2mac1.com/costing(costing:projects/details/9760/part/8412610)","Base Assembly")</f>
        <v>Base Assembly</v>
      </c>
      <c r="F1647" t="s">
        <v>2045</v>
      </c>
    </row>
    <row r="1648" spans="1:6" x14ac:dyDescent="0.15">
      <c r="A1648">
        <v>12083837</v>
      </c>
      <c r="B1648">
        <v>8412610</v>
      </c>
      <c r="C1648" t="s">
        <v>114</v>
      </c>
      <c r="D1648" t="s">
        <v>10</v>
      </c>
      <c r="E1648" s="4" t="str">
        <f>HYPERLINK("https://ibp.a2mac1.com/costing(costing:projects/details/9760/process/12083837)","Automated Process")</f>
        <v>Automated Process</v>
      </c>
      <c r="F1648" t="s">
        <v>2080</v>
      </c>
    </row>
    <row r="1649" spans="1:6" x14ac:dyDescent="0.15">
      <c r="A1649">
        <v>8752722</v>
      </c>
      <c r="B1649">
        <v>12083837</v>
      </c>
      <c r="C1649" t="s">
        <v>22</v>
      </c>
      <c r="D1649" t="s">
        <v>114</v>
      </c>
      <c r="E1649" s="4" t="str">
        <f>HYPERLINK("https://ibp.a2mac1.com/costing(costing:projects/details/9760/material/8752722)","Steel sheet (default) adjusted (part)")</f>
        <v>Steel sheet (default) adjusted (part)</v>
      </c>
      <c r="F1649" t="s">
        <v>2081</v>
      </c>
    </row>
    <row r="1650" spans="1:6" x14ac:dyDescent="0.15">
      <c r="A1650">
        <v>12210894</v>
      </c>
      <c r="B1650">
        <v>12083837</v>
      </c>
      <c r="C1650" t="s">
        <v>163</v>
      </c>
      <c r="D1650" t="s">
        <v>114</v>
      </c>
      <c r="E1650" s="4" t="str">
        <f>HYPERLINK("https://ibp.a2mac1.com/costing(costing:projects/details/9760/equipment/12210894)","DC machine - General")</f>
        <v>DC machine - General</v>
      </c>
      <c r="F1650" t="s">
        <v>2081</v>
      </c>
    </row>
    <row r="1651" spans="1:6" x14ac:dyDescent="0.15">
      <c r="A1651">
        <v>8412611</v>
      </c>
      <c r="B1651">
        <v>8412555</v>
      </c>
      <c r="C1651" t="s">
        <v>10</v>
      </c>
      <c r="D1651" t="s">
        <v>8</v>
      </c>
      <c r="E1651" s="4" t="str">
        <f>HYPERLINK("https://ibp.a2mac1.com/costing(costing:projects/details/9760/part/8412611)","Base Assembly Support")</f>
        <v>Base Assembly Support</v>
      </c>
      <c r="F1651" t="s">
        <v>2045</v>
      </c>
    </row>
    <row r="1652" spans="1:6" x14ac:dyDescent="0.15">
      <c r="A1652">
        <v>12083838</v>
      </c>
      <c r="B1652">
        <v>8412611</v>
      </c>
      <c r="C1652" t="s">
        <v>114</v>
      </c>
      <c r="D1652" t="s">
        <v>10</v>
      </c>
      <c r="E1652" s="4" t="str">
        <f>HYPERLINK("https://ibp.a2mac1.com/costing(costing:projects/details/9760/process/12083838)","Automated Process")</f>
        <v>Automated Process</v>
      </c>
      <c r="F1652" t="s">
        <v>2084</v>
      </c>
    </row>
    <row r="1653" spans="1:6" x14ac:dyDescent="0.15">
      <c r="A1653">
        <v>8752723</v>
      </c>
      <c r="B1653">
        <v>12083838</v>
      </c>
      <c r="C1653" t="s">
        <v>22</v>
      </c>
      <c r="D1653" t="s">
        <v>114</v>
      </c>
      <c r="E1653" s="4" t="str">
        <f>HYPERLINK("https://ibp.a2mac1.com/costing(costing:projects/details/9760/material/8752723)","POM adjusted (part)")</f>
        <v>POM adjusted (part)</v>
      </c>
      <c r="F1653" t="s">
        <v>2085</v>
      </c>
    </row>
    <row r="1654" spans="1:6" x14ac:dyDescent="0.15">
      <c r="A1654">
        <v>12210895</v>
      </c>
      <c r="B1654">
        <v>12083838</v>
      </c>
      <c r="C1654" t="s">
        <v>163</v>
      </c>
      <c r="D1654" t="s">
        <v>114</v>
      </c>
      <c r="E1654" s="4" t="str">
        <f>HYPERLINK("https://ibp.a2mac1.com/costing(costing:projects/details/9760/equipment/12210895)","DC machine - General")</f>
        <v>DC machine - General</v>
      </c>
      <c r="F1654" t="s">
        <v>2085</v>
      </c>
    </row>
    <row r="1655" spans="1:6" x14ac:dyDescent="0.15">
      <c r="A1655">
        <v>8412612</v>
      </c>
      <c r="B1655">
        <v>8412555</v>
      </c>
      <c r="C1655" t="s">
        <v>10</v>
      </c>
      <c r="D1655" t="s">
        <v>8</v>
      </c>
      <c r="E1655" s="4" t="str">
        <f>HYPERLINK("https://ibp.a2mac1.com/costing(costing:projects/details/9760/part/8412612)","Suspension")</f>
        <v>Suspension</v>
      </c>
      <c r="F1655" t="s">
        <v>2045</v>
      </c>
    </row>
    <row r="1656" spans="1:6" x14ac:dyDescent="0.15">
      <c r="A1656">
        <v>8412556</v>
      </c>
      <c r="B1656">
        <v>8412549</v>
      </c>
      <c r="C1656" t="s">
        <v>8</v>
      </c>
      <c r="D1656" t="s">
        <v>8</v>
      </c>
      <c r="E1656" s="4" t="str">
        <f>HYPERLINK("https://ibp.a2mac1.com/costing(costing:projects/details/9760/assembly/8412556)","Safety")</f>
        <v>Safety</v>
      </c>
      <c r="F1656" t="s">
        <v>1947</v>
      </c>
    </row>
    <row r="1657" spans="1:6" x14ac:dyDescent="0.15">
      <c r="A1657">
        <v>8412615</v>
      </c>
      <c r="B1657">
        <v>8412556</v>
      </c>
      <c r="C1657" t="s">
        <v>8</v>
      </c>
      <c r="D1657" t="s">
        <v>8</v>
      </c>
      <c r="E1657" s="4" t="str">
        <f>HYPERLINK("https://ibp.a2mac1.com/costing(costing:projects/details/9760/assembly/8412615)","Outer Side Airbag System")</f>
        <v>Outer Side Airbag System</v>
      </c>
      <c r="F1657" t="s">
        <v>2091</v>
      </c>
    </row>
    <row r="1658" spans="1:6" x14ac:dyDescent="0.15">
      <c r="A1658">
        <v>8412709</v>
      </c>
      <c r="B1658">
        <v>8412615</v>
      </c>
      <c r="C1658" t="s">
        <v>10</v>
      </c>
      <c r="D1658" t="s">
        <v>8</v>
      </c>
      <c r="E1658" s="4" t="str">
        <f>HYPERLINK("https://ibp.a2mac1.com/costing(costing:projects/details/9760/part/8412709)","Side Airbag")</f>
        <v>Side Airbag</v>
      </c>
      <c r="F1658" t="s">
        <v>2092</v>
      </c>
    </row>
    <row r="1659" spans="1:6" x14ac:dyDescent="0.15">
      <c r="A1659">
        <v>12083955</v>
      </c>
      <c r="B1659">
        <v>8412709</v>
      </c>
      <c r="C1659" t="s">
        <v>114</v>
      </c>
      <c r="D1659" t="s">
        <v>10</v>
      </c>
      <c r="E1659" s="4" t="str">
        <f>HYPERLINK("https://ibp.a2mac1.com/costing(costing:projects/details/9760/process/12083955)","Process")</f>
        <v>Process</v>
      </c>
      <c r="F1659" t="s">
        <v>2093</v>
      </c>
    </row>
    <row r="1660" spans="1:6" x14ac:dyDescent="0.15">
      <c r="A1660">
        <v>8752822</v>
      </c>
      <c r="B1660">
        <v>12083955</v>
      </c>
      <c r="C1660" t="s">
        <v>22</v>
      </c>
      <c r="D1660" t="s">
        <v>114</v>
      </c>
      <c r="E1660" s="4" t="str">
        <f>HYPERLINK("https://ibp.a2mac1.com/costing(costing:projects/details/9760/material/8752822)","PA66 VMQ (airbag) adjusted (part)")</f>
        <v>PA66 VMQ (airbag) adjusted (part)</v>
      </c>
      <c r="F1660" t="s">
        <v>2094</v>
      </c>
    </row>
    <row r="1661" spans="1:6" x14ac:dyDescent="0.15">
      <c r="A1661">
        <v>12211021</v>
      </c>
      <c r="B1661">
        <v>12083955</v>
      </c>
      <c r="C1661" t="s">
        <v>163</v>
      </c>
      <c r="D1661" t="s">
        <v>114</v>
      </c>
      <c r="E1661" s="4" t="str">
        <f>HYPERLINK("https://ibp.a2mac1.com/costing(costing:projects/details/9760/equipment/12211021)","DC machine - General")</f>
        <v>DC machine - General</v>
      </c>
      <c r="F1661" t="s">
        <v>2094</v>
      </c>
    </row>
    <row r="1662" spans="1:6" x14ac:dyDescent="0.15">
      <c r="A1662">
        <v>8412710</v>
      </c>
      <c r="B1662">
        <v>8412615</v>
      </c>
      <c r="C1662" t="s">
        <v>10</v>
      </c>
      <c r="D1662" t="s">
        <v>8</v>
      </c>
      <c r="E1662" s="4" t="str">
        <f>HYPERLINK("https://ibp.a2mac1.com/costing(costing:projects/details/9760/part/8412710)","Airbag Cylinder")</f>
        <v>Airbag Cylinder</v>
      </c>
      <c r="F1662" t="s">
        <v>2092</v>
      </c>
    </row>
    <row r="1663" spans="1:6" x14ac:dyDescent="0.15">
      <c r="A1663">
        <v>8412711</v>
      </c>
      <c r="B1663">
        <v>8412615</v>
      </c>
      <c r="C1663" t="s">
        <v>10</v>
      </c>
      <c r="D1663" t="s">
        <v>8</v>
      </c>
      <c r="E1663" s="4" t="str">
        <f>HYPERLINK("https://ibp.a2mac1.com/costing(costing:projects/details/9760/part/8412711)","Side Airbag Garnish")</f>
        <v>Side Airbag Garnish</v>
      </c>
      <c r="F1663" t="s">
        <v>2092</v>
      </c>
    </row>
    <row r="1664" spans="1:6" x14ac:dyDescent="0.15">
      <c r="A1664">
        <v>12083839</v>
      </c>
      <c r="B1664">
        <v>8412615</v>
      </c>
      <c r="C1664" t="s">
        <v>114</v>
      </c>
      <c r="D1664" t="s">
        <v>8</v>
      </c>
      <c r="E1664" s="4" t="str">
        <f>HYPERLINK("https://ibp.a2mac1.com/costing(costing:projects/details/9760/process/12083839)","Final Assembly + Inspection")</f>
        <v>Final Assembly + Inspection</v>
      </c>
      <c r="F1664" t="s">
        <v>2092</v>
      </c>
    </row>
    <row r="1665" spans="1:6" x14ac:dyDescent="0.15">
      <c r="A1665">
        <v>12210896</v>
      </c>
      <c r="B1665">
        <v>12083839</v>
      </c>
      <c r="C1665" t="s">
        <v>163</v>
      </c>
      <c r="D1665" t="s">
        <v>114</v>
      </c>
      <c r="E1665" s="4" t="str">
        <f>HYPERLINK("https://ibp.a2mac1.com/costing(costing:projects/details/9760/equipment/12210896)","DC machine - General")</f>
        <v>DC machine - General</v>
      </c>
      <c r="F1665" t="s">
        <v>2101</v>
      </c>
    </row>
    <row r="1666" spans="1:6" x14ac:dyDescent="0.15">
      <c r="A1666">
        <v>8412616</v>
      </c>
      <c r="B1666">
        <v>8412556</v>
      </c>
      <c r="C1666" t="s">
        <v>8</v>
      </c>
      <c r="D1666" t="s">
        <v>8</v>
      </c>
      <c r="E1666" s="4" t="str">
        <f>HYPERLINK("https://ibp.a2mac1.com/costing(costing:projects/details/9760/assembly/8412616)","Inner Side Airbag Passenger Side Center")</f>
        <v>Inner Side Airbag Passenger Side Center</v>
      </c>
      <c r="F1666" t="s">
        <v>2091</v>
      </c>
    </row>
    <row r="1667" spans="1:6" x14ac:dyDescent="0.15">
      <c r="A1667">
        <v>8412712</v>
      </c>
      <c r="B1667">
        <v>8412616</v>
      </c>
      <c r="C1667" t="s">
        <v>10</v>
      </c>
      <c r="D1667" t="s">
        <v>8</v>
      </c>
      <c r="E1667" s="4" t="str">
        <f>HYPERLINK("https://ibp.a2mac1.com/costing(costing:projects/details/9760/part/8412712)","Inner Side Airbag")</f>
        <v>Inner Side Airbag</v>
      </c>
      <c r="F1667" t="s">
        <v>2103</v>
      </c>
    </row>
    <row r="1668" spans="1:6" x14ac:dyDescent="0.15">
      <c r="A1668">
        <v>12083956</v>
      </c>
      <c r="B1668">
        <v>8412712</v>
      </c>
      <c r="C1668" t="s">
        <v>114</v>
      </c>
      <c r="D1668" t="s">
        <v>10</v>
      </c>
      <c r="E1668" s="4" t="str">
        <f>HYPERLINK("https://ibp.a2mac1.com/costing(costing:projects/details/9760/process/12083956)","Process")</f>
        <v>Process</v>
      </c>
      <c r="F1668" t="s">
        <v>2104</v>
      </c>
    </row>
    <row r="1669" spans="1:6" x14ac:dyDescent="0.15">
      <c r="A1669">
        <v>8752823</v>
      </c>
      <c r="B1669">
        <v>12083956</v>
      </c>
      <c r="C1669" t="s">
        <v>22</v>
      </c>
      <c r="D1669" t="s">
        <v>114</v>
      </c>
      <c r="E1669" s="4" t="str">
        <f>HYPERLINK("https://ibp.a2mac1.com/costing(costing:projects/details/9760/material/8752823)","PA66 VMQ (airbag) adjusted (part)")</f>
        <v>PA66 VMQ (airbag) adjusted (part)</v>
      </c>
      <c r="F1669" t="s">
        <v>2105</v>
      </c>
    </row>
    <row r="1670" spans="1:6" x14ac:dyDescent="0.15">
      <c r="A1670">
        <v>12211022</v>
      </c>
      <c r="B1670">
        <v>12083956</v>
      </c>
      <c r="C1670" t="s">
        <v>163</v>
      </c>
      <c r="D1670" t="s">
        <v>114</v>
      </c>
      <c r="E1670" s="4" t="str">
        <f>HYPERLINK("https://ibp.a2mac1.com/costing(costing:projects/details/9760/equipment/12211022)","DC machine - General")</f>
        <v>DC machine - General</v>
      </c>
      <c r="F1670" t="s">
        <v>2105</v>
      </c>
    </row>
    <row r="1671" spans="1:6" x14ac:dyDescent="0.15">
      <c r="A1671">
        <v>8412713</v>
      </c>
      <c r="B1671">
        <v>8412616</v>
      </c>
      <c r="C1671" t="s">
        <v>10</v>
      </c>
      <c r="D1671" t="s">
        <v>8</v>
      </c>
      <c r="E1671" s="4" t="str">
        <f>HYPERLINK("https://ibp.a2mac1.com/costing(costing:projects/details/9760/part/8412713)","Airbag Cylinder")</f>
        <v>Airbag Cylinder</v>
      </c>
      <c r="F1671" t="s">
        <v>2103</v>
      </c>
    </row>
    <row r="1672" spans="1:6" x14ac:dyDescent="0.15">
      <c r="A1672">
        <v>8412714</v>
      </c>
      <c r="B1672">
        <v>8412616</v>
      </c>
      <c r="C1672" t="s">
        <v>10</v>
      </c>
      <c r="D1672" t="s">
        <v>8</v>
      </c>
      <c r="E1672" s="4" t="str">
        <f>HYPERLINK("https://ibp.a2mac1.com/costing(costing:projects/details/9760/part/8412714)","Airbag Garnish")</f>
        <v>Airbag Garnish</v>
      </c>
      <c r="F1672" t="s">
        <v>2103</v>
      </c>
    </row>
    <row r="1673" spans="1:6" x14ac:dyDescent="0.15">
      <c r="A1673">
        <v>12083840</v>
      </c>
      <c r="B1673">
        <v>8412616</v>
      </c>
      <c r="C1673" t="s">
        <v>114</v>
      </c>
      <c r="D1673" t="s">
        <v>8</v>
      </c>
      <c r="E1673" s="4" t="str">
        <f>HYPERLINK("https://ibp.a2mac1.com/costing(costing:projects/details/9760/process/12083840)","Final Assembly + Inspection")</f>
        <v>Final Assembly + Inspection</v>
      </c>
      <c r="F1673" t="s">
        <v>2103</v>
      </c>
    </row>
    <row r="1674" spans="1:6" x14ac:dyDescent="0.15">
      <c r="A1674">
        <v>12210897</v>
      </c>
      <c r="B1674">
        <v>12083840</v>
      </c>
      <c r="C1674" t="s">
        <v>163</v>
      </c>
      <c r="D1674" t="s">
        <v>114</v>
      </c>
      <c r="E1674" s="4" t="str">
        <f>HYPERLINK("https://ibp.a2mac1.com/costing(costing:projects/details/9760/equipment/12210897)","DC machine - General")</f>
        <v>DC machine - General</v>
      </c>
      <c r="F1674" t="s">
        <v>2109</v>
      </c>
    </row>
    <row r="1675" spans="1:6" x14ac:dyDescent="0.15">
      <c r="A1675">
        <v>8412614</v>
      </c>
      <c r="B1675">
        <v>8412556</v>
      </c>
      <c r="C1675" t="s">
        <v>10</v>
      </c>
      <c r="D1675" t="s">
        <v>8</v>
      </c>
      <c r="E1675" s="4" t="str">
        <f>HYPERLINK("https://ibp.a2mac1.com/costing(costing:projects/details/9760/part/8412614)","Occupant Detection")</f>
        <v>Occupant Detection</v>
      </c>
      <c r="F1675" t="s">
        <v>2091</v>
      </c>
    </row>
    <row r="1676" spans="1:6" x14ac:dyDescent="0.15">
      <c r="A1676">
        <v>8412557</v>
      </c>
      <c r="B1676">
        <v>8412549</v>
      </c>
      <c r="C1676" t="s">
        <v>8</v>
      </c>
      <c r="D1676" t="s">
        <v>8</v>
      </c>
      <c r="E1676" s="4" t="str">
        <f>HYPERLINK("https://ibp.a2mac1.com/costing(costing:projects/details/9760/assembly/8412557)","Power Adjusters")</f>
        <v>Power Adjusters</v>
      </c>
      <c r="F1676" t="s">
        <v>1947</v>
      </c>
    </row>
    <row r="1677" spans="1:6" x14ac:dyDescent="0.15">
      <c r="A1677">
        <v>8412619</v>
      </c>
      <c r="B1677">
        <v>8412557</v>
      </c>
      <c r="C1677" t="s">
        <v>8</v>
      </c>
      <c r="D1677" t="s">
        <v>8</v>
      </c>
      <c r="E1677" s="4" t="str">
        <f>HYPERLINK("https://ibp.a2mac1.com/costing(costing:projects/details/9760/assembly/8412619)","Longitudinal")</f>
        <v>Longitudinal</v>
      </c>
      <c r="F1677" t="s">
        <v>2113</v>
      </c>
    </row>
    <row r="1678" spans="1:6" x14ac:dyDescent="0.15">
      <c r="A1678">
        <v>8412720</v>
      </c>
      <c r="B1678">
        <v>8412619</v>
      </c>
      <c r="C1678" t="s">
        <v>8</v>
      </c>
      <c r="D1678" t="s">
        <v>8</v>
      </c>
      <c r="E1678" s="4" t="str">
        <f>HYPERLINK("https://ibp.a2mac1.com/costing(costing:projects/details/9760/assembly/8412720)","Rails")</f>
        <v>Rails</v>
      </c>
      <c r="F1678" t="s">
        <v>2114</v>
      </c>
    </row>
    <row r="1679" spans="1:6" x14ac:dyDescent="0.15">
      <c r="A1679">
        <v>8412800</v>
      </c>
      <c r="B1679">
        <v>8412720</v>
      </c>
      <c r="C1679" t="s">
        <v>10</v>
      </c>
      <c r="D1679" t="s">
        <v>8</v>
      </c>
      <c r="E1679" s="4" t="str">
        <f>HYPERLINK("https://ibp.a2mac1.com/costing(costing:projects/details/9760/part/8412800)","Inner Side")</f>
        <v>Inner Side</v>
      </c>
      <c r="F1679" t="s">
        <v>2115</v>
      </c>
    </row>
    <row r="1680" spans="1:6" x14ac:dyDescent="0.15">
      <c r="A1680">
        <v>12084008</v>
      </c>
      <c r="B1680">
        <v>8412800</v>
      </c>
      <c r="C1680" t="s">
        <v>114</v>
      </c>
      <c r="D1680" t="s">
        <v>10</v>
      </c>
      <c r="E1680" s="4" t="str">
        <f>HYPERLINK("https://ibp.a2mac1.com/costing(costing:projects/details/9760/process/12084008)","Automated Process")</f>
        <v>Automated Process</v>
      </c>
      <c r="F1680" t="s">
        <v>2116</v>
      </c>
    </row>
    <row r="1681" spans="1:6" x14ac:dyDescent="0.15">
      <c r="A1681">
        <v>8752890</v>
      </c>
      <c r="B1681">
        <v>12084008</v>
      </c>
      <c r="C1681" t="s">
        <v>22</v>
      </c>
      <c r="D1681" t="s">
        <v>114</v>
      </c>
      <c r="E1681" s="4" t="str">
        <f>HYPERLINK("https://ibp.a2mac1.com/costing(costing:projects/details/9760/material/8752890)","Steel sheet (default) adjusted (part)")</f>
        <v>Steel sheet (default) adjusted (part)</v>
      </c>
      <c r="F1681" t="s">
        <v>2117</v>
      </c>
    </row>
    <row r="1682" spans="1:6" x14ac:dyDescent="0.15">
      <c r="A1682">
        <v>12211097</v>
      </c>
      <c r="B1682">
        <v>12084008</v>
      </c>
      <c r="C1682" t="s">
        <v>163</v>
      </c>
      <c r="D1682" t="s">
        <v>114</v>
      </c>
      <c r="E1682" s="4" t="str">
        <f>HYPERLINK("https://ibp.a2mac1.com/costing(costing:projects/details/9760/equipment/12211097)","DC machine - General")</f>
        <v>DC machine - General</v>
      </c>
      <c r="F1682" t="s">
        <v>2117</v>
      </c>
    </row>
    <row r="1683" spans="1:6" x14ac:dyDescent="0.15">
      <c r="A1683">
        <v>8412801</v>
      </c>
      <c r="B1683">
        <v>8412720</v>
      </c>
      <c r="C1683" t="s">
        <v>10</v>
      </c>
      <c r="D1683" t="s">
        <v>8</v>
      </c>
      <c r="E1683" s="4" t="str">
        <f>HYPERLINK("https://ibp.a2mac1.com/costing(costing:projects/details/9760/part/8412801)","Outer Side")</f>
        <v>Outer Side</v>
      </c>
      <c r="F1683" t="s">
        <v>2115</v>
      </c>
    </row>
    <row r="1684" spans="1:6" x14ac:dyDescent="0.15">
      <c r="A1684">
        <v>12084009</v>
      </c>
      <c r="B1684">
        <v>8412801</v>
      </c>
      <c r="C1684" t="s">
        <v>114</v>
      </c>
      <c r="D1684" t="s">
        <v>10</v>
      </c>
      <c r="E1684" s="4" t="str">
        <f>HYPERLINK("https://ibp.a2mac1.com/costing(costing:projects/details/9760/process/12084009)","Automated Process")</f>
        <v>Automated Process</v>
      </c>
      <c r="F1684" t="s">
        <v>2120</v>
      </c>
    </row>
    <row r="1685" spans="1:6" x14ac:dyDescent="0.15">
      <c r="A1685">
        <v>8752891</v>
      </c>
      <c r="B1685">
        <v>12084009</v>
      </c>
      <c r="C1685" t="s">
        <v>22</v>
      </c>
      <c r="D1685" t="s">
        <v>114</v>
      </c>
      <c r="E1685" s="4" t="str">
        <f>HYPERLINK("https://ibp.a2mac1.com/costing(costing:projects/details/9760/material/8752891)","Steel sheet (default) adjusted (part)")</f>
        <v>Steel sheet (default) adjusted (part)</v>
      </c>
      <c r="F1685" t="s">
        <v>2121</v>
      </c>
    </row>
    <row r="1686" spans="1:6" x14ac:dyDescent="0.15">
      <c r="A1686">
        <v>12211098</v>
      </c>
      <c r="B1686">
        <v>12084009</v>
      </c>
      <c r="C1686" t="s">
        <v>163</v>
      </c>
      <c r="D1686" t="s">
        <v>114</v>
      </c>
      <c r="E1686" s="4" t="str">
        <f>HYPERLINK("https://ibp.a2mac1.com/costing(costing:projects/details/9760/equipment/12211098)","DC machine - General")</f>
        <v>DC machine - General</v>
      </c>
      <c r="F1686" t="s">
        <v>2121</v>
      </c>
    </row>
    <row r="1687" spans="1:6" x14ac:dyDescent="0.15">
      <c r="A1687">
        <v>8412715</v>
      </c>
      <c r="B1687">
        <v>8412619</v>
      </c>
      <c r="C1687" t="s">
        <v>10</v>
      </c>
      <c r="D1687" t="s">
        <v>8</v>
      </c>
      <c r="E1687" s="4" t="str">
        <f>HYPERLINK("https://ibp.a2mac1.com/costing(costing:projects/details/9760/part/8412715)","Motor")</f>
        <v>Motor</v>
      </c>
      <c r="F1687" t="s">
        <v>2114</v>
      </c>
    </row>
    <row r="1688" spans="1:6" x14ac:dyDescent="0.15">
      <c r="A1688">
        <v>8412716</v>
      </c>
      <c r="B1688">
        <v>8412619</v>
      </c>
      <c r="C1688" t="s">
        <v>10</v>
      </c>
      <c r="D1688" t="s">
        <v>8</v>
      </c>
      <c r="E1688" s="4" t="str">
        <f>HYPERLINK("https://ibp.a2mac1.com/costing(costing:projects/details/9760/part/8412716)","Mount Bracket")</f>
        <v>Mount Bracket</v>
      </c>
      <c r="F1688" t="s">
        <v>2114</v>
      </c>
    </row>
    <row r="1689" spans="1:6" x14ac:dyDescent="0.15">
      <c r="A1689">
        <v>12083957</v>
      </c>
      <c r="B1689">
        <v>8412716</v>
      </c>
      <c r="C1689" t="s">
        <v>114</v>
      </c>
      <c r="D1689" t="s">
        <v>10</v>
      </c>
      <c r="E1689" s="4" t="str">
        <f>HYPERLINK("https://ibp.a2mac1.com/costing(costing:projects/details/9760/process/12083957)","Automated Process")</f>
        <v>Automated Process</v>
      </c>
      <c r="F1689" t="s">
        <v>2126</v>
      </c>
    </row>
    <row r="1690" spans="1:6" x14ac:dyDescent="0.15">
      <c r="A1690">
        <v>8752824</v>
      </c>
      <c r="B1690">
        <v>12083957</v>
      </c>
      <c r="C1690" t="s">
        <v>22</v>
      </c>
      <c r="D1690" t="s">
        <v>114</v>
      </c>
      <c r="E1690" s="4" t="str">
        <f>HYPERLINK("https://ibp.a2mac1.com/costing(costing:projects/details/9760/material/8752824)","PP-GF30 adjusted (part)")</f>
        <v>PP-GF30 adjusted (part)</v>
      </c>
      <c r="F1690" t="s">
        <v>2127</v>
      </c>
    </row>
    <row r="1691" spans="1:6" x14ac:dyDescent="0.15">
      <c r="A1691">
        <v>12211023</v>
      </c>
      <c r="B1691">
        <v>12083957</v>
      </c>
      <c r="C1691" t="s">
        <v>163</v>
      </c>
      <c r="D1691" t="s">
        <v>114</v>
      </c>
      <c r="E1691" s="4" t="str">
        <f>HYPERLINK("https://ibp.a2mac1.com/costing(costing:projects/details/9760/equipment/12211023)","DC machine - General")</f>
        <v>DC machine - General</v>
      </c>
      <c r="F1691" t="s">
        <v>2127</v>
      </c>
    </row>
    <row r="1692" spans="1:6" x14ac:dyDescent="0.15">
      <c r="A1692">
        <v>8412717</v>
      </c>
      <c r="B1692">
        <v>8412619</v>
      </c>
      <c r="C1692" t="s">
        <v>10</v>
      </c>
      <c r="D1692" t="s">
        <v>8</v>
      </c>
      <c r="E1692" s="4" t="str">
        <f>HYPERLINK("https://ibp.a2mac1.com/costing(costing:projects/details/9760/part/8412717)","Cable")</f>
        <v>Cable</v>
      </c>
      <c r="F1692" t="s">
        <v>2114</v>
      </c>
    </row>
    <row r="1693" spans="1:6" x14ac:dyDescent="0.15">
      <c r="A1693">
        <v>8412718</v>
      </c>
      <c r="B1693">
        <v>8412619</v>
      </c>
      <c r="C1693" t="s">
        <v>10</v>
      </c>
      <c r="D1693" t="s">
        <v>8</v>
      </c>
      <c r="E1693" s="4" t="str">
        <f>HYPERLINK("https://ibp.a2mac1.com/costing(costing:projects/details/9760/part/8412718)","2nd Cable")</f>
        <v>2nd Cable</v>
      </c>
      <c r="F1693" t="s">
        <v>2114</v>
      </c>
    </row>
    <row r="1694" spans="1:6" x14ac:dyDescent="0.15">
      <c r="A1694">
        <v>8412719</v>
      </c>
      <c r="B1694">
        <v>8412619</v>
      </c>
      <c r="C1694" t="s">
        <v>10</v>
      </c>
      <c r="D1694" t="s">
        <v>8</v>
      </c>
      <c r="E1694" s="4" t="str">
        <f>HYPERLINK("https://ibp.a2mac1.com/costing(costing:projects/details/9760/part/8412719)","Cable sheath")</f>
        <v>Cable sheath</v>
      </c>
      <c r="F1694" t="s">
        <v>2114</v>
      </c>
    </row>
    <row r="1695" spans="1:6" x14ac:dyDescent="0.15">
      <c r="A1695">
        <v>8412620</v>
      </c>
      <c r="B1695">
        <v>8412557</v>
      </c>
      <c r="C1695" t="s">
        <v>8</v>
      </c>
      <c r="D1695" t="s">
        <v>8</v>
      </c>
      <c r="E1695" s="4" t="str">
        <f>HYPERLINK("https://ibp.a2mac1.com/costing(costing:projects/details/9760/assembly/8412620)","Longitudinal &amp; Height")</f>
        <v>Longitudinal &amp; Height</v>
      </c>
      <c r="F1695" t="s">
        <v>2113</v>
      </c>
    </row>
    <row r="1696" spans="1:6" x14ac:dyDescent="0.15">
      <c r="A1696">
        <v>8412721</v>
      </c>
      <c r="B1696">
        <v>8412620</v>
      </c>
      <c r="C1696" t="s">
        <v>10</v>
      </c>
      <c r="D1696" t="s">
        <v>8</v>
      </c>
      <c r="E1696" s="4" t="str">
        <f>HYPERLINK("https://ibp.a2mac1.com/costing(costing:projects/details/9760/part/8412721)","Control")</f>
        <v>Control</v>
      </c>
      <c r="F1696" t="s">
        <v>2135</v>
      </c>
    </row>
    <row r="1697" spans="1:6" x14ac:dyDescent="0.15">
      <c r="A1697">
        <v>12083958</v>
      </c>
      <c r="B1697">
        <v>8412721</v>
      </c>
      <c r="C1697" t="s">
        <v>114</v>
      </c>
      <c r="D1697" t="s">
        <v>10</v>
      </c>
      <c r="E1697" s="4" t="str">
        <f>HYPERLINK("https://ibp.a2mac1.com/costing(costing:projects/details/9760/process/12083958)","Automated Process")</f>
        <v>Automated Process</v>
      </c>
      <c r="F1697" t="s">
        <v>2136</v>
      </c>
    </row>
    <row r="1698" spans="1:6" x14ac:dyDescent="0.15">
      <c r="A1698">
        <v>8752825</v>
      </c>
      <c r="B1698">
        <v>12083958</v>
      </c>
      <c r="C1698" t="s">
        <v>22</v>
      </c>
      <c r="D1698" t="s">
        <v>114</v>
      </c>
      <c r="E1698" s="4" t="str">
        <f>HYPERLINK("https://ibp.a2mac1.com/costing(costing:projects/details/9760/material/8752825)","PC-ABS adjusted (part)")</f>
        <v>PC-ABS adjusted (part)</v>
      </c>
      <c r="F1698" t="s">
        <v>2137</v>
      </c>
    </row>
    <row r="1699" spans="1:6" x14ac:dyDescent="0.15">
      <c r="A1699">
        <v>12211024</v>
      </c>
      <c r="B1699">
        <v>12083958</v>
      </c>
      <c r="C1699" t="s">
        <v>163</v>
      </c>
      <c r="D1699" t="s">
        <v>114</v>
      </c>
      <c r="E1699" s="4" t="str">
        <f>HYPERLINK("https://ibp.a2mac1.com/costing(costing:projects/details/9760/equipment/12211024)","DC machine - General")</f>
        <v>DC machine - General</v>
      </c>
      <c r="F1699" t="s">
        <v>2137</v>
      </c>
    </row>
    <row r="1700" spans="1:6" x14ac:dyDescent="0.15">
      <c r="A1700">
        <v>8412621</v>
      </c>
      <c r="B1700">
        <v>8412557</v>
      </c>
      <c r="C1700" t="s">
        <v>8</v>
      </c>
      <c r="D1700" t="s">
        <v>8</v>
      </c>
      <c r="E1700" s="4" t="str">
        <f>HYPERLINK("https://ibp.a2mac1.com/costing(costing:projects/details/9760/assembly/8412621)","Height")</f>
        <v>Height</v>
      </c>
      <c r="F1700" t="s">
        <v>2113</v>
      </c>
    </row>
    <row r="1701" spans="1:6" x14ac:dyDescent="0.15">
      <c r="A1701">
        <v>8412722</v>
      </c>
      <c r="B1701">
        <v>8412621</v>
      </c>
      <c r="C1701" t="s">
        <v>8</v>
      </c>
      <c r="D1701" t="s">
        <v>8</v>
      </c>
      <c r="E1701" s="4" t="str">
        <f>HYPERLINK("https://ibp.a2mac1.com/costing(costing:projects/details/9760/assembly/8412722)","Front")</f>
        <v>Front</v>
      </c>
      <c r="F1701" t="s">
        <v>2141</v>
      </c>
    </row>
    <row r="1702" spans="1:6" x14ac:dyDescent="0.15">
      <c r="A1702">
        <v>8412802</v>
      </c>
      <c r="B1702">
        <v>8412722</v>
      </c>
      <c r="C1702" t="s">
        <v>10</v>
      </c>
      <c r="D1702" t="s">
        <v>8</v>
      </c>
      <c r="E1702" s="4" t="str">
        <f>HYPERLINK("https://ibp.a2mac1.com/costing(costing:projects/details/9760/part/8412802)","Motor")</f>
        <v>Motor</v>
      </c>
      <c r="F1702" t="s">
        <v>2142</v>
      </c>
    </row>
    <row r="1703" spans="1:6" x14ac:dyDescent="0.15">
      <c r="A1703">
        <v>8412803</v>
      </c>
      <c r="B1703">
        <v>8412722</v>
      </c>
      <c r="C1703" t="s">
        <v>10</v>
      </c>
      <c r="D1703" t="s">
        <v>8</v>
      </c>
      <c r="E1703" s="4" t="str">
        <f>HYPERLINK("https://ibp.a2mac1.com/costing(costing:projects/details/9760/part/8412803)","Mechanism")</f>
        <v>Mechanism</v>
      </c>
      <c r="F1703" t="s">
        <v>2142</v>
      </c>
    </row>
    <row r="1704" spans="1:6" x14ac:dyDescent="0.15">
      <c r="A1704">
        <v>8412804</v>
      </c>
      <c r="B1704">
        <v>8412722</v>
      </c>
      <c r="C1704" t="s">
        <v>10</v>
      </c>
      <c r="D1704" t="s">
        <v>8</v>
      </c>
      <c r="E1704" s="4" t="str">
        <f>HYPERLINK("https://ibp.a2mac1.com/costing(costing:projects/details/9760/part/8412804)","Mechanism Support")</f>
        <v>Mechanism Support</v>
      </c>
      <c r="F1704" t="s">
        <v>2142</v>
      </c>
    </row>
    <row r="1705" spans="1:6" x14ac:dyDescent="0.15">
      <c r="A1705">
        <v>12084010</v>
      </c>
      <c r="B1705">
        <v>8412804</v>
      </c>
      <c r="C1705" t="s">
        <v>114</v>
      </c>
      <c r="D1705" t="s">
        <v>10</v>
      </c>
      <c r="E1705" s="4" t="str">
        <f>HYPERLINK("https://ibp.a2mac1.com/costing(costing:projects/details/9760/process/12084010)","Automated Process")</f>
        <v>Automated Process</v>
      </c>
      <c r="F1705" t="s">
        <v>2147</v>
      </c>
    </row>
    <row r="1706" spans="1:6" x14ac:dyDescent="0.15">
      <c r="A1706">
        <v>8752892</v>
      </c>
      <c r="B1706">
        <v>12084010</v>
      </c>
      <c r="C1706" t="s">
        <v>22</v>
      </c>
      <c r="D1706" t="s">
        <v>114</v>
      </c>
      <c r="E1706" s="4" t="str">
        <f>HYPERLINK("https://ibp.a2mac1.com/costing(costing:projects/details/9760/material/8752892)","Steel sheet (default) adjusted (part)")</f>
        <v>Steel sheet (default) adjusted (part)</v>
      </c>
      <c r="F1706" t="s">
        <v>2148</v>
      </c>
    </row>
    <row r="1707" spans="1:6" x14ac:dyDescent="0.15">
      <c r="A1707">
        <v>12211099</v>
      </c>
      <c r="B1707">
        <v>12084010</v>
      </c>
      <c r="C1707" t="s">
        <v>163</v>
      </c>
      <c r="D1707" t="s">
        <v>114</v>
      </c>
      <c r="E1707" s="4" t="str">
        <f>HYPERLINK("https://ibp.a2mac1.com/costing(costing:projects/details/9760/equipment/12211099)","DC machine - General")</f>
        <v>DC machine - General</v>
      </c>
      <c r="F1707" t="s">
        <v>2148</v>
      </c>
    </row>
    <row r="1708" spans="1:6" x14ac:dyDescent="0.15">
      <c r="A1708">
        <v>8412805</v>
      </c>
      <c r="B1708">
        <v>8412722</v>
      </c>
      <c r="C1708" t="s">
        <v>10</v>
      </c>
      <c r="D1708" t="s">
        <v>8</v>
      </c>
      <c r="E1708" s="4" t="str">
        <f>HYPERLINK("https://ibp.a2mac1.com/costing(costing:projects/details/9760/part/8412805)","Coupling Bar")</f>
        <v>Coupling Bar</v>
      </c>
      <c r="F1708" t="s">
        <v>2142</v>
      </c>
    </row>
    <row r="1709" spans="1:6" x14ac:dyDescent="0.15">
      <c r="A1709">
        <v>12084011</v>
      </c>
      <c r="B1709">
        <v>8412805</v>
      </c>
      <c r="C1709" t="s">
        <v>114</v>
      </c>
      <c r="D1709" t="s">
        <v>10</v>
      </c>
      <c r="E1709" s="4" t="str">
        <f>HYPERLINK("https://ibp.a2mac1.com/costing(costing:projects/details/9760/process/12084011)","Automated Process")</f>
        <v>Automated Process</v>
      </c>
      <c r="F1709" t="s">
        <v>2151</v>
      </c>
    </row>
    <row r="1710" spans="1:6" x14ac:dyDescent="0.15">
      <c r="A1710">
        <v>8752893</v>
      </c>
      <c r="B1710">
        <v>12084011</v>
      </c>
      <c r="C1710" t="s">
        <v>22</v>
      </c>
      <c r="D1710" t="s">
        <v>114</v>
      </c>
      <c r="E1710" s="4" t="str">
        <f>HYPERLINK("https://ibp.a2mac1.com/costing(costing:projects/details/9760/material/8752893)","Steel sheet (default) adjusted (part)")</f>
        <v>Steel sheet (default) adjusted (part)</v>
      </c>
      <c r="F1710" t="s">
        <v>2152</v>
      </c>
    </row>
    <row r="1711" spans="1:6" x14ac:dyDescent="0.15">
      <c r="A1711">
        <v>12211100</v>
      </c>
      <c r="B1711">
        <v>12084011</v>
      </c>
      <c r="C1711" t="s">
        <v>163</v>
      </c>
      <c r="D1711" t="s">
        <v>114</v>
      </c>
      <c r="E1711" s="4" t="str">
        <f>HYPERLINK("https://ibp.a2mac1.com/costing(costing:projects/details/9760/equipment/12211100)","DC machine - General")</f>
        <v>DC machine - General</v>
      </c>
      <c r="F1711" t="s">
        <v>2152</v>
      </c>
    </row>
    <row r="1712" spans="1:6" x14ac:dyDescent="0.15">
      <c r="A1712">
        <v>8412723</v>
      </c>
      <c r="B1712">
        <v>8412621</v>
      </c>
      <c r="C1712" t="s">
        <v>8</v>
      </c>
      <c r="D1712" t="s">
        <v>8</v>
      </c>
      <c r="E1712" s="4" t="str">
        <f>HYPERLINK("https://ibp.a2mac1.com/costing(costing:projects/details/9760/assembly/8412723)","Rear")</f>
        <v>Rear</v>
      </c>
      <c r="F1712" t="s">
        <v>2141</v>
      </c>
    </row>
    <row r="1713" spans="1:6" x14ac:dyDescent="0.15">
      <c r="A1713">
        <v>8412806</v>
      </c>
      <c r="B1713">
        <v>8412723</v>
      </c>
      <c r="C1713" t="s">
        <v>10</v>
      </c>
      <c r="D1713" t="s">
        <v>8</v>
      </c>
      <c r="E1713" s="4" t="str">
        <f>HYPERLINK("https://ibp.a2mac1.com/costing(costing:projects/details/9760/part/8412806)","Motor")</f>
        <v>Motor</v>
      </c>
      <c r="F1713" t="s">
        <v>2156</v>
      </c>
    </row>
    <row r="1714" spans="1:6" x14ac:dyDescent="0.15">
      <c r="A1714">
        <v>8412807</v>
      </c>
      <c r="B1714">
        <v>8412723</v>
      </c>
      <c r="C1714" t="s">
        <v>10</v>
      </c>
      <c r="D1714" t="s">
        <v>8</v>
      </c>
      <c r="E1714" s="4" t="str">
        <f>HYPERLINK("https://ibp.a2mac1.com/costing(costing:projects/details/9760/part/8412807)","Mechanism")</f>
        <v>Mechanism</v>
      </c>
      <c r="F1714" t="s">
        <v>2156</v>
      </c>
    </row>
    <row r="1715" spans="1:6" x14ac:dyDescent="0.15">
      <c r="A1715">
        <v>8412622</v>
      </c>
      <c r="B1715">
        <v>8412557</v>
      </c>
      <c r="C1715" t="s">
        <v>8</v>
      </c>
      <c r="D1715" t="s">
        <v>8</v>
      </c>
      <c r="E1715" s="4" t="str">
        <f>HYPERLINK("https://ibp.a2mac1.com/costing(costing:projects/details/9760/assembly/8412622)","Recliner")</f>
        <v>Recliner</v>
      </c>
      <c r="F1715" t="s">
        <v>2113</v>
      </c>
    </row>
    <row r="1716" spans="1:6" x14ac:dyDescent="0.15">
      <c r="A1716">
        <v>8412726</v>
      </c>
      <c r="B1716">
        <v>8412622</v>
      </c>
      <c r="C1716" t="s">
        <v>8</v>
      </c>
      <c r="D1716" t="s">
        <v>8</v>
      </c>
      <c r="E1716" s="4" t="str">
        <f>HYPERLINK("https://ibp.a2mac1.com/costing(costing:projects/details/9760/assembly/8412726)","Mechanism")</f>
        <v>Mechanism</v>
      </c>
      <c r="F1716" t="s">
        <v>2163</v>
      </c>
    </row>
    <row r="1717" spans="1:6" x14ac:dyDescent="0.15">
      <c r="A1717">
        <v>8412808</v>
      </c>
      <c r="B1717">
        <v>8412726</v>
      </c>
      <c r="C1717" t="s">
        <v>10</v>
      </c>
      <c r="D1717" t="s">
        <v>8</v>
      </c>
      <c r="E1717" s="4" t="str">
        <f>HYPERLINK("https://ibp.a2mac1.com/costing(costing:projects/details/9760/part/8412808)","Outer Side")</f>
        <v>Outer Side</v>
      </c>
      <c r="F1717" t="s">
        <v>2164</v>
      </c>
    </row>
    <row r="1718" spans="1:6" x14ac:dyDescent="0.15">
      <c r="A1718">
        <v>8412809</v>
      </c>
      <c r="B1718">
        <v>8412726</v>
      </c>
      <c r="C1718" t="s">
        <v>10</v>
      </c>
      <c r="D1718" t="s">
        <v>8</v>
      </c>
      <c r="E1718" s="4" t="str">
        <f>HYPERLINK("https://ibp.a2mac1.com/costing(costing:projects/details/9760/part/8412809)","Linking Bar")</f>
        <v>Linking Bar</v>
      </c>
      <c r="F1718" t="s">
        <v>2164</v>
      </c>
    </row>
    <row r="1719" spans="1:6" x14ac:dyDescent="0.15">
      <c r="A1719">
        <v>8412724</v>
      </c>
      <c r="B1719">
        <v>8412622</v>
      </c>
      <c r="C1719" t="s">
        <v>10</v>
      </c>
      <c r="D1719" t="s">
        <v>8</v>
      </c>
      <c r="E1719" s="4" t="str">
        <f>HYPERLINK("https://ibp.a2mac1.com/costing(costing:projects/details/9760/part/8412724)","Control")</f>
        <v>Control</v>
      </c>
      <c r="F1719" t="s">
        <v>2163</v>
      </c>
    </row>
    <row r="1720" spans="1:6" x14ac:dyDescent="0.15">
      <c r="A1720">
        <v>12083959</v>
      </c>
      <c r="B1720">
        <v>8412724</v>
      </c>
      <c r="C1720" t="s">
        <v>114</v>
      </c>
      <c r="D1720" t="s">
        <v>10</v>
      </c>
      <c r="E1720" s="4" t="str">
        <f>HYPERLINK("https://ibp.a2mac1.com/costing(costing:projects/details/9760/process/12083959)","Automated Process")</f>
        <v>Automated Process</v>
      </c>
      <c r="F1720" t="s">
        <v>2171</v>
      </c>
    </row>
    <row r="1721" spans="1:6" x14ac:dyDescent="0.15">
      <c r="A1721">
        <v>8752842</v>
      </c>
      <c r="B1721">
        <v>12083959</v>
      </c>
      <c r="C1721" t="s">
        <v>22</v>
      </c>
      <c r="D1721" t="s">
        <v>114</v>
      </c>
      <c r="E1721" s="4" t="str">
        <f>HYPERLINK("https://ibp.a2mac1.com/costing(costing:projects/details/9760/material/8752842)","PC-ABS adjusted (part)")</f>
        <v>PC-ABS adjusted (part)</v>
      </c>
      <c r="F1721" t="s">
        <v>2172</v>
      </c>
    </row>
    <row r="1722" spans="1:6" x14ac:dyDescent="0.15">
      <c r="A1722">
        <v>12211025</v>
      </c>
      <c r="B1722">
        <v>12083959</v>
      </c>
      <c r="C1722" t="s">
        <v>163</v>
      </c>
      <c r="D1722" t="s">
        <v>114</v>
      </c>
      <c r="E1722" s="4" t="str">
        <f>HYPERLINK("https://ibp.a2mac1.com/costing(costing:projects/details/9760/equipment/12211025)","DC machine - General")</f>
        <v>DC machine - General</v>
      </c>
      <c r="F1722" t="s">
        <v>2172</v>
      </c>
    </row>
    <row r="1723" spans="1:6" x14ac:dyDescent="0.15">
      <c r="A1723">
        <v>8412725</v>
      </c>
      <c r="B1723">
        <v>8412622</v>
      </c>
      <c r="C1723" t="s">
        <v>10</v>
      </c>
      <c r="D1723" t="s">
        <v>8</v>
      </c>
      <c r="E1723" s="4" t="str">
        <f>HYPERLINK("https://ibp.a2mac1.com/costing(costing:projects/details/9760/part/8412725)","Motor")</f>
        <v>Motor</v>
      </c>
      <c r="F1723" t="s">
        <v>2163</v>
      </c>
    </row>
    <row r="1724" spans="1:6" x14ac:dyDescent="0.15">
      <c r="A1724">
        <v>8412623</v>
      </c>
      <c r="B1724">
        <v>8412557</v>
      </c>
      <c r="C1724" t="s">
        <v>8</v>
      </c>
      <c r="D1724" t="s">
        <v>8</v>
      </c>
      <c r="E1724" s="4" t="str">
        <f>HYPERLINK("https://ibp.a2mac1.com/costing(costing:projects/details/9760/assembly/8412623)","Lumbar")</f>
        <v>Lumbar</v>
      </c>
      <c r="F1724" t="s">
        <v>2113</v>
      </c>
    </row>
    <row r="1725" spans="1:6" x14ac:dyDescent="0.15">
      <c r="A1725">
        <v>8412727</v>
      </c>
      <c r="B1725">
        <v>8412623</v>
      </c>
      <c r="C1725" t="s">
        <v>8</v>
      </c>
      <c r="D1725" t="s">
        <v>8</v>
      </c>
      <c r="E1725" s="4" t="str">
        <f>HYPERLINK("https://ibp.a2mac1.com/costing(costing:projects/details/9760/assembly/8412727)","Air Distributor")</f>
        <v>Air Distributor</v>
      </c>
      <c r="F1725" t="s">
        <v>2176</v>
      </c>
    </row>
    <row r="1726" spans="1:6" x14ac:dyDescent="0.15">
      <c r="A1726">
        <v>12083960</v>
      </c>
      <c r="B1726">
        <v>8412727</v>
      </c>
      <c r="C1726" t="s">
        <v>114</v>
      </c>
      <c r="D1726" t="s">
        <v>8</v>
      </c>
      <c r="E1726" s="4" t="str">
        <f>HYPERLINK("https://ibp.a2mac1.com/costing(costing:projects/details/9760/process/12083960)","Process")</f>
        <v>Process</v>
      </c>
      <c r="F1726" t="s">
        <v>2177</v>
      </c>
    </row>
    <row r="1727" spans="1:6" x14ac:dyDescent="0.15">
      <c r="A1727">
        <v>12211026</v>
      </c>
      <c r="B1727">
        <v>12083960</v>
      </c>
      <c r="C1727" t="s">
        <v>163</v>
      </c>
      <c r="D1727" t="s">
        <v>114</v>
      </c>
      <c r="E1727" s="4" t="str">
        <f>HYPERLINK("https://ibp.a2mac1.com/costing(costing:projects/details/9760/equipment/12211026)","Dummy Machine (PCBA+Final Assembly Line)")</f>
        <v>Dummy Machine (PCBA+Final Assembly Line)</v>
      </c>
      <c r="F1727" t="s">
        <v>2178</v>
      </c>
    </row>
    <row r="1728" spans="1:6" x14ac:dyDescent="0.15">
      <c r="A1728">
        <v>8752725</v>
      </c>
      <c r="B1728">
        <v>8412727</v>
      </c>
      <c r="C1728" t="s">
        <v>311</v>
      </c>
      <c r="D1728" t="s">
        <v>8</v>
      </c>
      <c r="E1728" s="4" t="str">
        <f>HYPERLINK("https://ibp.a2mac1.com/costing(costing:projects/details/9760/component/8752725)","Electronics")</f>
        <v>Electronics</v>
      </c>
      <c r="F1728" t="s">
        <v>2177</v>
      </c>
    </row>
    <row r="1729" spans="1:6" x14ac:dyDescent="0.15">
      <c r="A1729">
        <v>8752726</v>
      </c>
      <c r="B1729">
        <v>8412727</v>
      </c>
      <c r="C1729" t="s">
        <v>311</v>
      </c>
      <c r="D1729" t="s">
        <v>8</v>
      </c>
      <c r="E1729" s="4" t="str">
        <f>HYPERLINK("https://ibp.a2mac1.com/costing(costing:projects/details/9760/component/8752726)","Mechanics")</f>
        <v>Mechanics</v>
      </c>
      <c r="F1729" t="s">
        <v>2177</v>
      </c>
    </row>
    <row r="1730" spans="1:6" x14ac:dyDescent="0.15">
      <c r="A1730">
        <v>8412729</v>
      </c>
      <c r="B1730">
        <v>8412623</v>
      </c>
      <c r="C1730" t="s">
        <v>8</v>
      </c>
      <c r="D1730" t="s">
        <v>8</v>
      </c>
      <c r="E1730" s="4" t="str">
        <f>HYPERLINK("https://ibp.a2mac1.com/costing(costing:projects/details/9760/assembly/8412729)","Mechanism")</f>
        <v>Mechanism</v>
      </c>
      <c r="F1730" t="s">
        <v>2176</v>
      </c>
    </row>
    <row r="1731" spans="1:6" x14ac:dyDescent="0.15">
      <c r="A1731">
        <v>8412810</v>
      </c>
      <c r="B1731">
        <v>8412729</v>
      </c>
      <c r="C1731" t="s">
        <v>10</v>
      </c>
      <c r="D1731" t="s">
        <v>8</v>
      </c>
      <c r="E1731" s="4" t="str">
        <f>HYPERLINK("https://ibp.a2mac1.com/costing(costing:projects/details/9760/part/8412810)","Pressure Knob")</f>
        <v>Pressure Knob</v>
      </c>
      <c r="F1731" t="s">
        <v>2181</v>
      </c>
    </row>
    <row r="1732" spans="1:6" x14ac:dyDescent="0.15">
      <c r="A1732">
        <v>8412811</v>
      </c>
      <c r="B1732">
        <v>8412729</v>
      </c>
      <c r="C1732" t="s">
        <v>10</v>
      </c>
      <c r="D1732" t="s">
        <v>8</v>
      </c>
      <c r="E1732" s="4" t="str">
        <f>HYPERLINK("https://ibp.a2mac1.com/costing(costing:projects/details/9760/part/8412811)","Motor")</f>
        <v>Motor</v>
      </c>
      <c r="F1732" t="s">
        <v>2181</v>
      </c>
    </row>
    <row r="1733" spans="1:6" x14ac:dyDescent="0.15">
      <c r="A1733">
        <v>8412812</v>
      </c>
      <c r="B1733">
        <v>8412729</v>
      </c>
      <c r="C1733" t="s">
        <v>10</v>
      </c>
      <c r="D1733" t="s">
        <v>8</v>
      </c>
      <c r="E1733" s="4" t="str">
        <f>HYPERLINK("https://ibp.a2mac1.com/costing(costing:projects/details/9760/part/8412812)","Motor Cover")</f>
        <v>Motor Cover</v>
      </c>
      <c r="F1733" t="s">
        <v>2181</v>
      </c>
    </row>
    <row r="1734" spans="1:6" x14ac:dyDescent="0.15">
      <c r="A1734">
        <v>12084012</v>
      </c>
      <c r="B1734">
        <v>8412812</v>
      </c>
      <c r="C1734" t="s">
        <v>114</v>
      </c>
      <c r="D1734" t="s">
        <v>10</v>
      </c>
      <c r="E1734" s="4" t="str">
        <f>HYPERLINK("https://ibp.a2mac1.com/costing(costing:projects/details/9760/process/12084012)","Automated Process")</f>
        <v>Automated Process</v>
      </c>
      <c r="F1734" t="s">
        <v>2185</v>
      </c>
    </row>
    <row r="1735" spans="1:6" x14ac:dyDescent="0.15">
      <c r="A1735">
        <v>8752894</v>
      </c>
      <c r="B1735">
        <v>12084012</v>
      </c>
      <c r="C1735" t="s">
        <v>22</v>
      </c>
      <c r="D1735" t="s">
        <v>114</v>
      </c>
      <c r="E1735" s="4" t="str">
        <f>HYPERLINK("https://ibp.a2mac1.com/costing(costing:projects/details/9760/material/8752894)","PLASTIC UNKNOWN")</f>
        <v>PLASTIC UNKNOWN</v>
      </c>
      <c r="F1735" t="s">
        <v>2186</v>
      </c>
    </row>
    <row r="1736" spans="1:6" x14ac:dyDescent="0.15">
      <c r="A1736">
        <v>12211101</v>
      </c>
      <c r="B1736">
        <v>12084012</v>
      </c>
      <c r="C1736" t="s">
        <v>163</v>
      </c>
      <c r="D1736" t="s">
        <v>114</v>
      </c>
      <c r="E1736" s="4" t="str">
        <f>HYPERLINK("https://ibp.a2mac1.com/costing(costing:projects/details/9760/equipment/12211101)","DC machine - General")</f>
        <v>DC machine - General</v>
      </c>
      <c r="F1736" t="s">
        <v>2186</v>
      </c>
    </row>
    <row r="1737" spans="1:6" x14ac:dyDescent="0.15">
      <c r="A1737">
        <v>8412813</v>
      </c>
      <c r="B1737">
        <v>8412729</v>
      </c>
      <c r="C1737" t="s">
        <v>10</v>
      </c>
      <c r="D1737" t="s">
        <v>8</v>
      </c>
      <c r="E1737" s="4" t="str">
        <f>HYPERLINK("https://ibp.a2mac1.com/costing(costing:projects/details/9760/part/8412813)","Motor 2")</f>
        <v>Motor 2</v>
      </c>
      <c r="F1737" t="s">
        <v>2181</v>
      </c>
    </row>
    <row r="1738" spans="1:6" x14ac:dyDescent="0.15">
      <c r="A1738">
        <v>8412814</v>
      </c>
      <c r="B1738">
        <v>8412729</v>
      </c>
      <c r="C1738" t="s">
        <v>10</v>
      </c>
      <c r="D1738" t="s">
        <v>8</v>
      </c>
      <c r="E1738" s="4" t="str">
        <f>HYPERLINK("https://ibp.a2mac1.com/costing(costing:projects/details/9760/part/8412814)","Motor 2 Cover")</f>
        <v>Motor 2 Cover</v>
      </c>
      <c r="F1738" t="s">
        <v>2181</v>
      </c>
    </row>
    <row r="1739" spans="1:6" x14ac:dyDescent="0.15">
      <c r="A1739">
        <v>12084013</v>
      </c>
      <c r="B1739">
        <v>8412814</v>
      </c>
      <c r="C1739" t="s">
        <v>114</v>
      </c>
      <c r="D1739" t="s">
        <v>10</v>
      </c>
      <c r="E1739" s="4" t="str">
        <f>HYPERLINK("https://ibp.a2mac1.com/costing(costing:projects/details/9760/process/12084013)","Automated Process")</f>
        <v>Automated Process</v>
      </c>
      <c r="F1739" t="s">
        <v>2190</v>
      </c>
    </row>
    <row r="1740" spans="1:6" x14ac:dyDescent="0.15">
      <c r="A1740">
        <v>8752895</v>
      </c>
      <c r="B1740">
        <v>12084013</v>
      </c>
      <c r="C1740" t="s">
        <v>22</v>
      </c>
      <c r="D1740" t="s">
        <v>114</v>
      </c>
      <c r="E1740" s="4" t="str">
        <f>HYPERLINK("https://ibp.a2mac1.com/costing(costing:projects/details/9760/material/8752895)","PUR + PET")</f>
        <v>PUR + PET</v>
      </c>
      <c r="F1740" t="s">
        <v>2191</v>
      </c>
    </row>
    <row r="1741" spans="1:6" x14ac:dyDescent="0.15">
      <c r="A1741">
        <v>12211102</v>
      </c>
      <c r="B1741">
        <v>12084013</v>
      </c>
      <c r="C1741" t="s">
        <v>163</v>
      </c>
      <c r="D1741" t="s">
        <v>114</v>
      </c>
      <c r="E1741" s="4" t="str">
        <f>HYPERLINK("https://ibp.a2mac1.com/costing(costing:projects/details/9760/equipment/12211102)","DC machine - General")</f>
        <v>DC machine - General</v>
      </c>
      <c r="F1741" t="s">
        <v>2191</v>
      </c>
    </row>
    <row r="1742" spans="1:6" x14ac:dyDescent="0.15">
      <c r="A1742">
        <v>8412728</v>
      </c>
      <c r="B1742">
        <v>8412623</v>
      </c>
      <c r="C1742" t="s">
        <v>10</v>
      </c>
      <c r="D1742" t="s">
        <v>8</v>
      </c>
      <c r="E1742" s="4" t="str">
        <f>HYPERLINK("https://ibp.a2mac1.com/costing(costing:projects/details/9760/part/8412728)","Air Distributor Support")</f>
        <v>Air Distributor Support</v>
      </c>
      <c r="F1742" t="s">
        <v>2176</v>
      </c>
    </row>
    <row r="1743" spans="1:6" x14ac:dyDescent="0.15">
      <c r="A1743">
        <v>12083961</v>
      </c>
      <c r="B1743">
        <v>8412728</v>
      </c>
      <c r="C1743" t="s">
        <v>114</v>
      </c>
      <c r="D1743" t="s">
        <v>10</v>
      </c>
      <c r="E1743" s="4" t="str">
        <f>HYPERLINK("https://ibp.a2mac1.com/costing(costing:projects/details/9760/process/12083961)","Automated Process")</f>
        <v>Automated Process</v>
      </c>
      <c r="F1743" t="s">
        <v>2195</v>
      </c>
    </row>
    <row r="1744" spans="1:6" x14ac:dyDescent="0.15">
      <c r="A1744">
        <v>8752843</v>
      </c>
      <c r="B1744">
        <v>12083961</v>
      </c>
      <c r="C1744" t="s">
        <v>22</v>
      </c>
      <c r="D1744" t="s">
        <v>114</v>
      </c>
      <c r="E1744" s="4" t="str">
        <f>HYPERLINK("https://ibp.a2mac1.com/costing(costing:projects/details/9760/material/8752843)","PET adjusted (part)")</f>
        <v>PET adjusted (part)</v>
      </c>
      <c r="F1744" t="s">
        <v>2196</v>
      </c>
    </row>
    <row r="1745" spans="1:6" x14ac:dyDescent="0.15">
      <c r="A1745">
        <v>12211027</v>
      </c>
      <c r="B1745">
        <v>12083961</v>
      </c>
      <c r="C1745" t="s">
        <v>163</v>
      </c>
      <c r="D1745" t="s">
        <v>114</v>
      </c>
      <c r="E1745" s="4" t="str">
        <f>HYPERLINK("https://ibp.a2mac1.com/costing(costing:projects/details/9760/equipment/12211027)","DC machine - General")</f>
        <v>DC machine - General</v>
      </c>
      <c r="F1745" t="s">
        <v>2196</v>
      </c>
    </row>
    <row r="1746" spans="1:6" x14ac:dyDescent="0.15">
      <c r="A1746">
        <v>8412624</v>
      </c>
      <c r="B1746">
        <v>8412557</v>
      </c>
      <c r="C1746" t="s">
        <v>8</v>
      </c>
      <c r="D1746" t="s">
        <v>8</v>
      </c>
      <c r="E1746" s="4" t="str">
        <f>HYPERLINK("https://ibp.a2mac1.com/costing(costing:projects/details/9760/assembly/8412624)","Bucket Retaining Adjustment")</f>
        <v>Bucket Retaining Adjustment</v>
      </c>
      <c r="F1746" t="s">
        <v>2113</v>
      </c>
    </row>
    <row r="1747" spans="1:6" x14ac:dyDescent="0.15">
      <c r="A1747">
        <v>8412730</v>
      </c>
      <c r="B1747">
        <v>8412624</v>
      </c>
      <c r="C1747" t="s">
        <v>10</v>
      </c>
      <c r="D1747" t="s">
        <v>8</v>
      </c>
      <c r="E1747" s="4" t="str">
        <f>HYPERLINK("https://ibp.a2mac1.com/costing(costing:projects/details/9760/part/8412730)","Back Adjustment")</f>
        <v>Back Adjustment</v>
      </c>
      <c r="F1747" t="s">
        <v>2199</v>
      </c>
    </row>
    <row r="1748" spans="1:6" x14ac:dyDescent="0.15">
      <c r="A1748">
        <v>12083962</v>
      </c>
      <c r="B1748">
        <v>8412730</v>
      </c>
      <c r="C1748" t="s">
        <v>114</v>
      </c>
      <c r="D1748" t="s">
        <v>10</v>
      </c>
      <c r="E1748" s="4" t="str">
        <f>HYPERLINK("https://ibp.a2mac1.com/costing(costing:projects/details/9760/process/12083962)","Automated Process")</f>
        <v>Automated Process</v>
      </c>
      <c r="F1748" t="s">
        <v>2200</v>
      </c>
    </row>
    <row r="1749" spans="1:6" x14ac:dyDescent="0.15">
      <c r="A1749">
        <v>8752844</v>
      </c>
      <c r="B1749">
        <v>12083962</v>
      </c>
      <c r="C1749" t="s">
        <v>22</v>
      </c>
      <c r="D1749" t="s">
        <v>114</v>
      </c>
      <c r="E1749" s="4" t="str">
        <f>HYPERLINK("https://ibp.a2mac1.com/costing(costing:projects/details/9760/material/8752844)","PA66 adjusted (part)")</f>
        <v>PA66 adjusted (part)</v>
      </c>
      <c r="F1749" t="s">
        <v>2201</v>
      </c>
    </row>
    <row r="1750" spans="1:6" x14ac:dyDescent="0.15">
      <c r="A1750">
        <v>12211028</v>
      </c>
      <c r="B1750">
        <v>12083962</v>
      </c>
      <c r="C1750" t="s">
        <v>163</v>
      </c>
      <c r="D1750" t="s">
        <v>114</v>
      </c>
      <c r="E1750" s="4" t="str">
        <f>HYPERLINK("https://ibp.a2mac1.com/costing(costing:projects/details/9760/equipment/12211028)","DC machine - General")</f>
        <v>DC machine - General</v>
      </c>
      <c r="F1750" t="s">
        <v>2201</v>
      </c>
    </row>
    <row r="1751" spans="1:6" x14ac:dyDescent="0.15">
      <c r="A1751">
        <v>8412731</v>
      </c>
      <c r="B1751">
        <v>8412624</v>
      </c>
      <c r="C1751" t="s">
        <v>10</v>
      </c>
      <c r="D1751" t="s">
        <v>8</v>
      </c>
      <c r="E1751" s="4" t="str">
        <f>HYPERLINK("https://ibp.a2mac1.com/costing(costing:projects/details/9760/part/8412731)","Back Adjustment Protection")</f>
        <v>Back Adjustment Protection</v>
      </c>
      <c r="F1751" t="s">
        <v>2199</v>
      </c>
    </row>
    <row r="1752" spans="1:6" x14ac:dyDescent="0.15">
      <c r="A1752">
        <v>12083963</v>
      </c>
      <c r="B1752">
        <v>8412731</v>
      </c>
      <c r="C1752" t="s">
        <v>114</v>
      </c>
      <c r="D1752" t="s">
        <v>10</v>
      </c>
      <c r="E1752" s="4" t="str">
        <f>HYPERLINK("https://ibp.a2mac1.com/costing(costing:projects/details/9760/process/12083963)","Automated Process")</f>
        <v>Automated Process</v>
      </c>
      <c r="F1752" t="s">
        <v>2204</v>
      </c>
    </row>
    <row r="1753" spans="1:6" x14ac:dyDescent="0.15">
      <c r="A1753">
        <v>8752845</v>
      </c>
      <c r="B1753">
        <v>12083963</v>
      </c>
      <c r="C1753" t="s">
        <v>22</v>
      </c>
      <c r="D1753" t="s">
        <v>114</v>
      </c>
      <c r="E1753" s="4" t="str">
        <f>HYPERLINK("https://ibp.a2mac1.com/costing(costing:projects/details/9760/material/8752845)","PET adjusted (part)")</f>
        <v>PET adjusted (part)</v>
      </c>
      <c r="F1753" t="s">
        <v>2205</v>
      </c>
    </row>
    <row r="1754" spans="1:6" x14ac:dyDescent="0.15">
      <c r="A1754">
        <v>12211029</v>
      </c>
      <c r="B1754">
        <v>12083963</v>
      </c>
      <c r="C1754" t="s">
        <v>163</v>
      </c>
      <c r="D1754" t="s">
        <v>114</v>
      </c>
      <c r="E1754" s="4" t="str">
        <f>HYPERLINK("https://ibp.a2mac1.com/costing(costing:projects/details/9760/equipment/12211029)","DC machine - General")</f>
        <v>DC machine - General</v>
      </c>
      <c r="F1754" t="s">
        <v>2205</v>
      </c>
    </row>
    <row r="1755" spans="1:6" x14ac:dyDescent="0.15">
      <c r="A1755">
        <v>8412617</v>
      </c>
      <c r="B1755">
        <v>8412557</v>
      </c>
      <c r="C1755" t="s">
        <v>10</v>
      </c>
      <c r="D1755" t="s">
        <v>8</v>
      </c>
      <c r="E1755" s="4" t="str">
        <f>HYPERLINK("https://ibp.a2mac1.com/costing(costing:projects/details/9760/part/8412617)","Adjustment Control")</f>
        <v>Adjustment Control</v>
      </c>
      <c r="F1755" t="s">
        <v>2113</v>
      </c>
    </row>
    <row r="1756" spans="1:6" x14ac:dyDescent="0.15">
      <c r="A1756">
        <v>8412618</v>
      </c>
      <c r="B1756">
        <v>8412557</v>
      </c>
      <c r="C1756" t="s">
        <v>10</v>
      </c>
      <c r="D1756" t="s">
        <v>8</v>
      </c>
      <c r="E1756" s="4" t="str">
        <f>HYPERLINK("https://ibp.a2mac1.com/costing(costing:projects/details/9760/part/8412618)","Adjustment Control Support")</f>
        <v>Adjustment Control Support</v>
      </c>
      <c r="F1756" t="s">
        <v>2113</v>
      </c>
    </row>
    <row r="1757" spans="1:6" x14ac:dyDescent="0.15">
      <c r="A1757">
        <v>12083841</v>
      </c>
      <c r="B1757">
        <v>8412618</v>
      </c>
      <c r="C1757" t="s">
        <v>114</v>
      </c>
      <c r="D1757" t="s">
        <v>10</v>
      </c>
      <c r="E1757" s="4" t="str">
        <f>HYPERLINK("https://ibp.a2mac1.com/costing(costing:projects/details/9760/process/12083841)","Automated Process")</f>
        <v>Automated Process</v>
      </c>
      <c r="F1757" t="s">
        <v>2211</v>
      </c>
    </row>
    <row r="1758" spans="1:6" x14ac:dyDescent="0.15">
      <c r="A1758">
        <v>8752724</v>
      </c>
      <c r="B1758">
        <v>12083841</v>
      </c>
      <c r="C1758" t="s">
        <v>22</v>
      </c>
      <c r="D1758" t="s">
        <v>114</v>
      </c>
      <c r="E1758" s="4" t="str">
        <f>HYPERLINK("https://ibp.a2mac1.com/costing(costing:projects/details/9760/material/8752724)","PP-EPDM-TD20 adjusted (part)")</f>
        <v>PP-EPDM-TD20 adjusted (part)</v>
      </c>
      <c r="F1758" t="s">
        <v>2212</v>
      </c>
    </row>
    <row r="1759" spans="1:6" x14ac:dyDescent="0.15">
      <c r="A1759">
        <v>12210898</v>
      </c>
      <c r="B1759">
        <v>12083841</v>
      </c>
      <c r="C1759" t="s">
        <v>163</v>
      </c>
      <c r="D1759" t="s">
        <v>114</v>
      </c>
      <c r="E1759" s="4" t="str">
        <f>HYPERLINK("https://ibp.a2mac1.com/costing(costing:projects/details/9760/equipment/12210898)","DC machine - General")</f>
        <v>DC machine - General</v>
      </c>
      <c r="F1759" t="s">
        <v>2212</v>
      </c>
    </row>
    <row r="1760" spans="1:6" x14ac:dyDescent="0.15">
      <c r="A1760">
        <v>8412558</v>
      </c>
      <c r="B1760">
        <v>8412549</v>
      </c>
      <c r="C1760" t="s">
        <v>8</v>
      </c>
      <c r="D1760" t="s">
        <v>8</v>
      </c>
      <c r="E1760" s="4" t="str">
        <f>HYPERLINK("https://ibp.a2mac1.com/costing(costing:projects/details/9760/assembly/8412558)","Support System")</f>
        <v>Support System</v>
      </c>
      <c r="F1760" t="s">
        <v>1947</v>
      </c>
    </row>
    <row r="1761" spans="1:6" x14ac:dyDescent="0.15">
      <c r="A1761">
        <v>8412625</v>
      </c>
      <c r="B1761">
        <v>8412558</v>
      </c>
      <c r="C1761" t="s">
        <v>10</v>
      </c>
      <c r="D1761" t="s">
        <v>8</v>
      </c>
      <c r="E1761" s="4" t="str">
        <f>HYPERLINK("https://ibp.a2mac1.com/costing(costing:projects/details/9760/part/8412625)","Front Inner Trim and Outer if the Same")</f>
        <v>Front Inner Trim and Outer if the Same</v>
      </c>
      <c r="F1761" t="s">
        <v>2215</v>
      </c>
    </row>
    <row r="1762" spans="1:6" x14ac:dyDescent="0.15">
      <c r="A1762">
        <v>12083842</v>
      </c>
      <c r="B1762">
        <v>8412625</v>
      </c>
      <c r="C1762" t="s">
        <v>114</v>
      </c>
      <c r="D1762" t="s">
        <v>10</v>
      </c>
      <c r="E1762" s="4" t="str">
        <f>HYPERLINK("https://ibp.a2mac1.com/costing(costing:projects/details/9760/process/12083842)","Automated Process")</f>
        <v>Automated Process</v>
      </c>
      <c r="F1762" t="s">
        <v>2216</v>
      </c>
    </row>
    <row r="1763" spans="1:6" x14ac:dyDescent="0.15">
      <c r="A1763">
        <v>8752727</v>
      </c>
      <c r="B1763">
        <v>12083842</v>
      </c>
      <c r="C1763" t="s">
        <v>22</v>
      </c>
      <c r="D1763" t="s">
        <v>114</v>
      </c>
      <c r="E1763" s="4" t="str">
        <f>HYPERLINK("https://ibp.a2mac1.com/costing(costing:projects/details/9760/material/8752727)","ABS adjusted (part)")</f>
        <v>ABS adjusted (part)</v>
      </c>
      <c r="F1763" t="s">
        <v>2217</v>
      </c>
    </row>
    <row r="1764" spans="1:6" x14ac:dyDescent="0.15">
      <c r="A1764">
        <v>12210899</v>
      </c>
      <c r="B1764">
        <v>12083842</v>
      </c>
      <c r="C1764" t="s">
        <v>163</v>
      </c>
      <c r="D1764" t="s">
        <v>114</v>
      </c>
      <c r="E1764" s="4" t="str">
        <f>HYPERLINK("https://ibp.a2mac1.com/costing(costing:projects/details/9760/equipment/12210899)","DC machine - General")</f>
        <v>DC machine - General</v>
      </c>
      <c r="F1764" t="s">
        <v>2217</v>
      </c>
    </row>
    <row r="1765" spans="1:6" x14ac:dyDescent="0.15">
      <c r="A1765">
        <v>8412626</v>
      </c>
      <c r="B1765">
        <v>8412558</v>
      </c>
      <c r="C1765" t="s">
        <v>10</v>
      </c>
      <c r="D1765" t="s">
        <v>8</v>
      </c>
      <c r="E1765" s="4" t="str">
        <f>HYPERLINK("https://ibp.a2mac1.com/costing(costing:projects/details/9760/part/8412626)","Front Outer Trim")</f>
        <v>Front Outer Trim</v>
      </c>
      <c r="F1765" t="s">
        <v>2215</v>
      </c>
    </row>
    <row r="1766" spans="1:6" x14ac:dyDescent="0.15">
      <c r="A1766">
        <v>12083843</v>
      </c>
      <c r="B1766">
        <v>8412626</v>
      </c>
      <c r="C1766" t="s">
        <v>114</v>
      </c>
      <c r="D1766" t="s">
        <v>10</v>
      </c>
      <c r="E1766" s="4" t="str">
        <f>HYPERLINK("https://ibp.a2mac1.com/costing(costing:projects/details/9760/process/12083843)","Automated Process")</f>
        <v>Automated Process</v>
      </c>
      <c r="F1766" t="s">
        <v>2219</v>
      </c>
    </row>
    <row r="1767" spans="1:6" x14ac:dyDescent="0.15">
      <c r="A1767">
        <v>8752728</v>
      </c>
      <c r="B1767">
        <v>12083843</v>
      </c>
      <c r="C1767" t="s">
        <v>22</v>
      </c>
      <c r="D1767" t="s">
        <v>114</v>
      </c>
      <c r="E1767" s="4" t="str">
        <f>HYPERLINK("https://ibp.a2mac1.com/costing(costing:projects/details/9760/material/8752728)","ABS adjusted (part)")</f>
        <v>ABS adjusted (part)</v>
      </c>
      <c r="F1767" t="s">
        <v>2220</v>
      </c>
    </row>
    <row r="1768" spans="1:6" x14ac:dyDescent="0.15">
      <c r="A1768">
        <v>12210900</v>
      </c>
      <c r="B1768">
        <v>12083843</v>
      </c>
      <c r="C1768" t="s">
        <v>163</v>
      </c>
      <c r="D1768" t="s">
        <v>114</v>
      </c>
      <c r="E1768" s="4" t="str">
        <f>HYPERLINK("https://ibp.a2mac1.com/costing(costing:projects/details/9760/equipment/12210900)","DC machine - General")</f>
        <v>DC machine - General</v>
      </c>
      <c r="F1768" t="s">
        <v>2220</v>
      </c>
    </row>
    <row r="1769" spans="1:6" x14ac:dyDescent="0.15">
      <c r="A1769">
        <v>8412627</v>
      </c>
      <c r="B1769">
        <v>8412558</v>
      </c>
      <c r="C1769" t="s">
        <v>10</v>
      </c>
      <c r="D1769" t="s">
        <v>8</v>
      </c>
      <c r="E1769" s="4" t="str">
        <f>HYPERLINK("https://ibp.a2mac1.com/costing(costing:projects/details/9760/part/8412627)","Rear Inner Trim and Outer if the Same")</f>
        <v>Rear Inner Trim and Outer if the Same</v>
      </c>
      <c r="F1769" t="s">
        <v>2215</v>
      </c>
    </row>
    <row r="1770" spans="1:6" x14ac:dyDescent="0.15">
      <c r="A1770">
        <v>12083844</v>
      </c>
      <c r="B1770">
        <v>8412627</v>
      </c>
      <c r="C1770" t="s">
        <v>114</v>
      </c>
      <c r="D1770" t="s">
        <v>10</v>
      </c>
      <c r="E1770" s="4" t="str">
        <f>HYPERLINK("https://ibp.a2mac1.com/costing(costing:projects/details/9760/process/12083844)","Automated Process")</f>
        <v>Automated Process</v>
      </c>
      <c r="F1770" t="s">
        <v>2222</v>
      </c>
    </row>
    <row r="1771" spans="1:6" x14ac:dyDescent="0.15">
      <c r="A1771">
        <v>8752729</v>
      </c>
      <c r="B1771">
        <v>12083844</v>
      </c>
      <c r="C1771" t="s">
        <v>22</v>
      </c>
      <c r="D1771" t="s">
        <v>114</v>
      </c>
      <c r="E1771" s="4" t="str">
        <f>HYPERLINK("https://ibp.a2mac1.com/costing(costing:projects/details/9760/material/8752729)","ABS adjusted (part)")</f>
        <v>ABS adjusted (part)</v>
      </c>
      <c r="F1771" t="s">
        <v>2223</v>
      </c>
    </row>
    <row r="1772" spans="1:6" x14ac:dyDescent="0.15">
      <c r="A1772">
        <v>12210901</v>
      </c>
      <c r="B1772">
        <v>12083844</v>
      </c>
      <c r="C1772" t="s">
        <v>163</v>
      </c>
      <c r="D1772" t="s">
        <v>114</v>
      </c>
      <c r="E1772" s="4" t="str">
        <f>HYPERLINK("https://ibp.a2mac1.com/costing(costing:projects/details/9760/equipment/12210901)","DC machine - General")</f>
        <v>DC machine - General</v>
      </c>
      <c r="F1772" t="s">
        <v>2223</v>
      </c>
    </row>
    <row r="1773" spans="1:6" x14ac:dyDescent="0.15">
      <c r="A1773">
        <v>8412628</v>
      </c>
      <c r="B1773">
        <v>8412558</v>
      </c>
      <c r="C1773" t="s">
        <v>10</v>
      </c>
      <c r="D1773" t="s">
        <v>8</v>
      </c>
      <c r="E1773" s="4" t="str">
        <f>HYPERLINK("https://ibp.a2mac1.com/costing(costing:projects/details/9760/part/8412628)","Rear Outer Trim")</f>
        <v>Rear Outer Trim</v>
      </c>
      <c r="F1773" t="s">
        <v>2215</v>
      </c>
    </row>
    <row r="1774" spans="1:6" x14ac:dyDescent="0.15">
      <c r="A1774">
        <v>12083845</v>
      </c>
      <c r="B1774">
        <v>8412628</v>
      </c>
      <c r="C1774" t="s">
        <v>114</v>
      </c>
      <c r="D1774" t="s">
        <v>10</v>
      </c>
      <c r="E1774" s="4" t="str">
        <f>HYPERLINK("https://ibp.a2mac1.com/costing(costing:projects/details/9760/process/12083845)","Automated Process")</f>
        <v>Automated Process</v>
      </c>
      <c r="F1774" t="s">
        <v>2225</v>
      </c>
    </row>
    <row r="1775" spans="1:6" x14ac:dyDescent="0.15">
      <c r="A1775">
        <v>8752730</v>
      </c>
      <c r="B1775">
        <v>12083845</v>
      </c>
      <c r="C1775" t="s">
        <v>22</v>
      </c>
      <c r="D1775" t="s">
        <v>114</v>
      </c>
      <c r="E1775" s="4" t="str">
        <f>HYPERLINK("https://ibp.a2mac1.com/costing(costing:projects/details/9760/material/8752730)","ABS adjusted (part)")</f>
        <v>ABS adjusted (part)</v>
      </c>
      <c r="F1775" t="s">
        <v>2226</v>
      </c>
    </row>
    <row r="1776" spans="1:6" x14ac:dyDescent="0.15">
      <c r="A1776">
        <v>12210902</v>
      </c>
      <c r="B1776">
        <v>12083845</v>
      </c>
      <c r="C1776" t="s">
        <v>163</v>
      </c>
      <c r="D1776" t="s">
        <v>114</v>
      </c>
      <c r="E1776" s="4" t="str">
        <f>HYPERLINK("https://ibp.a2mac1.com/costing(costing:projects/details/9760/equipment/12210902)","DC machine - General")</f>
        <v>DC machine - General</v>
      </c>
      <c r="F1776" t="s">
        <v>2226</v>
      </c>
    </row>
    <row r="1777" spans="1:6" x14ac:dyDescent="0.15">
      <c r="A1777">
        <v>8412559</v>
      </c>
      <c r="B1777">
        <v>8412549</v>
      </c>
      <c r="C1777" t="s">
        <v>8</v>
      </c>
      <c r="D1777" t="s">
        <v>8</v>
      </c>
      <c r="E1777" s="4" t="str">
        <f>HYPERLINK("https://ibp.a2mac1.com/costing(costing:projects/details/9760/assembly/8412559)","Heating System")</f>
        <v>Heating System</v>
      </c>
      <c r="F1777" t="s">
        <v>1947</v>
      </c>
    </row>
    <row r="1778" spans="1:6" x14ac:dyDescent="0.15">
      <c r="A1778">
        <v>8412629</v>
      </c>
      <c r="B1778">
        <v>8412559</v>
      </c>
      <c r="C1778" t="s">
        <v>10</v>
      </c>
      <c r="D1778" t="s">
        <v>8</v>
      </c>
      <c r="E1778" s="4" t="str">
        <f>HYPERLINK("https://ibp.a2mac1.com/costing(costing:projects/details/9760/part/8412629)","Cushion Heating")</f>
        <v>Cushion Heating</v>
      </c>
      <c r="F1778" t="s">
        <v>2229</v>
      </c>
    </row>
    <row r="1779" spans="1:6" x14ac:dyDescent="0.15">
      <c r="A1779">
        <v>8412630</v>
      </c>
      <c r="B1779">
        <v>8412559</v>
      </c>
      <c r="C1779" t="s">
        <v>10</v>
      </c>
      <c r="D1779" t="s">
        <v>8</v>
      </c>
      <c r="E1779" s="4" t="str">
        <f>HYPERLINK("https://ibp.a2mac1.com/costing(costing:projects/details/9760/part/8412630)","Back Heating")</f>
        <v>Back Heating</v>
      </c>
      <c r="F1779" t="s">
        <v>2229</v>
      </c>
    </row>
    <row r="1780" spans="1:6" x14ac:dyDescent="0.15">
      <c r="A1780">
        <v>8412560</v>
      </c>
      <c r="B1780">
        <v>8412549</v>
      </c>
      <c r="C1780" t="s">
        <v>8</v>
      </c>
      <c r="D1780" t="s">
        <v>8</v>
      </c>
      <c r="E1780" s="4" t="str">
        <f>HYPERLINK("https://ibp.a2mac1.com/costing(costing:projects/details/9760/assembly/8412560)","Ventilation System")</f>
        <v>Ventilation System</v>
      </c>
      <c r="F1780" t="s">
        <v>1947</v>
      </c>
    </row>
    <row r="1781" spans="1:6" x14ac:dyDescent="0.15">
      <c r="A1781">
        <v>8412631</v>
      </c>
      <c r="B1781">
        <v>8412560</v>
      </c>
      <c r="C1781" t="s">
        <v>10</v>
      </c>
      <c r="D1781" t="s">
        <v>8</v>
      </c>
      <c r="E1781" s="4" t="str">
        <f>HYPERLINK("https://ibp.a2mac1.com/costing(costing:projects/details/9760/part/8412631)","Air Blower on Back")</f>
        <v>Air Blower on Back</v>
      </c>
      <c r="F1781" t="s">
        <v>2234</v>
      </c>
    </row>
    <row r="1782" spans="1:6" x14ac:dyDescent="0.15">
      <c r="A1782">
        <v>8412632</v>
      </c>
      <c r="B1782">
        <v>8412560</v>
      </c>
      <c r="C1782" t="s">
        <v>10</v>
      </c>
      <c r="D1782" t="s">
        <v>8</v>
      </c>
      <c r="E1782" s="4" t="str">
        <f>HYPERLINK("https://ibp.a2mac1.com/costing(costing:projects/details/9760/part/8412632)","Back Blower Housing Support")</f>
        <v>Back Blower Housing Support</v>
      </c>
      <c r="F1782" t="s">
        <v>2234</v>
      </c>
    </row>
    <row r="1783" spans="1:6" x14ac:dyDescent="0.15">
      <c r="A1783">
        <v>12083846</v>
      </c>
      <c r="B1783">
        <v>8412632</v>
      </c>
      <c r="C1783" t="s">
        <v>114</v>
      </c>
      <c r="D1783" t="s">
        <v>10</v>
      </c>
      <c r="E1783" s="4" t="str">
        <f>HYPERLINK("https://ibp.a2mac1.com/costing(costing:projects/details/9760/process/12083846)","Automated Process")</f>
        <v>Automated Process</v>
      </c>
      <c r="F1783" t="s">
        <v>2237</v>
      </c>
    </row>
    <row r="1784" spans="1:6" x14ac:dyDescent="0.15">
      <c r="A1784">
        <v>8752731</v>
      </c>
      <c r="B1784">
        <v>12083846</v>
      </c>
      <c r="C1784" t="s">
        <v>22</v>
      </c>
      <c r="D1784" t="s">
        <v>114</v>
      </c>
      <c r="E1784" s="4" t="str">
        <f>HYPERLINK("https://ibp.a2mac1.com/costing(costing:projects/details/9760/material/8752731)","Steel sheet (default) adjusted (part)")</f>
        <v>Steel sheet (default) adjusted (part)</v>
      </c>
      <c r="F1784" t="s">
        <v>2238</v>
      </c>
    </row>
    <row r="1785" spans="1:6" x14ac:dyDescent="0.15">
      <c r="A1785">
        <v>12210903</v>
      </c>
      <c r="B1785">
        <v>12083846</v>
      </c>
      <c r="C1785" t="s">
        <v>163</v>
      </c>
      <c r="D1785" t="s">
        <v>114</v>
      </c>
      <c r="E1785" s="4" t="str">
        <f>HYPERLINK("https://ibp.a2mac1.com/costing(costing:projects/details/9760/equipment/12210903)","DC machine - General")</f>
        <v>DC machine - General</v>
      </c>
      <c r="F1785" t="s">
        <v>2238</v>
      </c>
    </row>
    <row r="1786" spans="1:6" x14ac:dyDescent="0.15">
      <c r="A1786">
        <v>8412633</v>
      </c>
      <c r="B1786">
        <v>8412560</v>
      </c>
      <c r="C1786" t="s">
        <v>10</v>
      </c>
      <c r="D1786" t="s">
        <v>8</v>
      </c>
      <c r="E1786" s="4" t="str">
        <f>HYPERLINK("https://ibp.a2mac1.com/costing(costing:projects/details/9760/part/8412633)","Diffuser on Backrest")</f>
        <v>Diffuser on Backrest</v>
      </c>
      <c r="F1786" t="s">
        <v>2234</v>
      </c>
    </row>
    <row r="1787" spans="1:6" x14ac:dyDescent="0.15">
      <c r="A1787">
        <v>12083847</v>
      </c>
      <c r="B1787">
        <v>8412633</v>
      </c>
      <c r="C1787" t="s">
        <v>114</v>
      </c>
      <c r="D1787" t="s">
        <v>10</v>
      </c>
      <c r="E1787" s="4" t="str">
        <f>HYPERLINK("https://ibp.a2mac1.com/costing(costing:projects/details/9760/process/12083847)","Automated Process")</f>
        <v>Automated Process</v>
      </c>
      <c r="F1787" t="s">
        <v>2240</v>
      </c>
    </row>
    <row r="1788" spans="1:6" x14ac:dyDescent="0.15">
      <c r="A1788">
        <v>8752732</v>
      </c>
      <c r="B1788">
        <v>12083847</v>
      </c>
      <c r="C1788" t="s">
        <v>22</v>
      </c>
      <c r="D1788" t="s">
        <v>114</v>
      </c>
      <c r="E1788" s="4" t="str">
        <f>HYPERLINK("https://ibp.a2mac1.com/costing(costing:projects/details/9760/material/8752732)","TPE adjusted (part)")</f>
        <v>TPE adjusted (part)</v>
      </c>
      <c r="F1788" t="s">
        <v>2241</v>
      </c>
    </row>
    <row r="1789" spans="1:6" x14ac:dyDescent="0.15">
      <c r="A1789">
        <v>12210904</v>
      </c>
      <c r="B1789">
        <v>12083847</v>
      </c>
      <c r="C1789" t="s">
        <v>163</v>
      </c>
      <c r="D1789" t="s">
        <v>114</v>
      </c>
      <c r="E1789" s="4" t="str">
        <f>HYPERLINK("https://ibp.a2mac1.com/costing(costing:projects/details/9760/equipment/12210904)","DC machine - General")</f>
        <v>DC machine - General</v>
      </c>
      <c r="F1789" t="s">
        <v>2241</v>
      </c>
    </row>
    <row r="1790" spans="1:6" x14ac:dyDescent="0.15">
      <c r="A1790">
        <v>8412634</v>
      </c>
      <c r="B1790">
        <v>8412560</v>
      </c>
      <c r="C1790" t="s">
        <v>10</v>
      </c>
      <c r="D1790" t="s">
        <v>8</v>
      </c>
      <c r="E1790" s="4" t="str">
        <f>HYPERLINK("https://ibp.a2mac1.com/costing(costing:projects/details/9760/part/8412634)","Air Blower on Cushion")</f>
        <v>Air Blower on Cushion</v>
      </c>
      <c r="F1790" t="s">
        <v>2234</v>
      </c>
    </row>
    <row r="1791" spans="1:6" x14ac:dyDescent="0.15">
      <c r="A1791">
        <v>8412635</v>
      </c>
      <c r="B1791">
        <v>8412560</v>
      </c>
      <c r="C1791" t="s">
        <v>10</v>
      </c>
      <c r="D1791" t="s">
        <v>8</v>
      </c>
      <c r="E1791" s="4" t="str">
        <f>HYPERLINK("https://ibp.a2mac1.com/costing(costing:projects/details/9760/part/8412635)","Diffuser on Cushion")</f>
        <v>Diffuser on Cushion</v>
      </c>
      <c r="F1791" t="s">
        <v>2234</v>
      </c>
    </row>
    <row r="1792" spans="1:6" x14ac:dyDescent="0.15">
      <c r="A1792">
        <v>12083848</v>
      </c>
      <c r="B1792">
        <v>8412635</v>
      </c>
      <c r="C1792" t="s">
        <v>114</v>
      </c>
      <c r="D1792" t="s">
        <v>10</v>
      </c>
      <c r="E1792" s="4" t="str">
        <f>HYPERLINK("https://ibp.a2mac1.com/costing(costing:projects/details/9760/process/12083848)","Automated Process")</f>
        <v>Automated Process</v>
      </c>
      <c r="F1792" t="s">
        <v>2244</v>
      </c>
    </row>
    <row r="1793" spans="1:6" x14ac:dyDescent="0.15">
      <c r="A1793">
        <v>8752733</v>
      </c>
      <c r="B1793">
        <v>12083848</v>
      </c>
      <c r="C1793" t="s">
        <v>22</v>
      </c>
      <c r="D1793" t="s">
        <v>114</v>
      </c>
      <c r="E1793" s="4" t="str">
        <f>HYPERLINK("https://ibp.a2mac1.com/costing(costing:projects/details/9760/material/8752733)","TPE adjusted (part)")</f>
        <v>TPE adjusted (part)</v>
      </c>
      <c r="F1793" t="s">
        <v>2245</v>
      </c>
    </row>
    <row r="1794" spans="1:6" x14ac:dyDescent="0.15">
      <c r="A1794">
        <v>12210905</v>
      </c>
      <c r="B1794">
        <v>12083848</v>
      </c>
      <c r="C1794" t="s">
        <v>163</v>
      </c>
      <c r="D1794" t="s">
        <v>114</v>
      </c>
      <c r="E1794" s="4" t="str">
        <f>HYPERLINK("https://ibp.a2mac1.com/costing(costing:projects/details/9760/equipment/12210905)","DC machine - General")</f>
        <v>DC machine - General</v>
      </c>
      <c r="F1794" t="s">
        <v>2245</v>
      </c>
    </row>
    <row r="1795" spans="1:6" x14ac:dyDescent="0.15">
      <c r="A1795">
        <v>8412561</v>
      </c>
      <c r="B1795">
        <v>8412549</v>
      </c>
      <c r="C1795" t="s">
        <v>8</v>
      </c>
      <c r="D1795" t="s">
        <v>8</v>
      </c>
      <c r="E1795" s="4" t="str">
        <f>HYPERLINK("https://ibp.a2mac1.com/costing(costing:projects/details/9760/assembly/8412561)","Speakers System")</f>
        <v>Speakers System</v>
      </c>
      <c r="F1795" t="s">
        <v>1947</v>
      </c>
    </row>
    <row r="1796" spans="1:6" x14ac:dyDescent="0.15">
      <c r="A1796">
        <v>8412636</v>
      </c>
      <c r="B1796">
        <v>8412561</v>
      </c>
      <c r="C1796" t="s">
        <v>10</v>
      </c>
      <c r="D1796" t="s">
        <v>8</v>
      </c>
      <c r="E1796" s="4" t="str">
        <f>HYPERLINK("https://ibp.a2mac1.com/costing(costing:projects/details/9760/part/8412636)","Speaker on Head Rest")</f>
        <v>Speaker on Head Rest</v>
      </c>
      <c r="F1796" t="s">
        <v>2249</v>
      </c>
    </row>
    <row r="1797" spans="1:6" x14ac:dyDescent="0.15">
      <c r="A1797">
        <v>8412562</v>
      </c>
      <c r="B1797">
        <v>8412549</v>
      </c>
      <c r="C1797" t="s">
        <v>8</v>
      </c>
      <c r="D1797" t="s">
        <v>8</v>
      </c>
      <c r="E1797" s="4" t="str">
        <f>HYPERLINK("https://ibp.a2mac1.com/costing(costing:projects/details/9760/assembly/8412562)","Wiring Harness")</f>
        <v>Wiring Harness</v>
      </c>
      <c r="F1797" t="s">
        <v>1947</v>
      </c>
    </row>
    <row r="1798" spans="1:6" x14ac:dyDescent="0.15">
      <c r="A1798">
        <v>12083814</v>
      </c>
      <c r="B1798">
        <v>8412562</v>
      </c>
      <c r="C1798" t="s">
        <v>114</v>
      </c>
      <c r="D1798" t="s">
        <v>8</v>
      </c>
      <c r="E1798" s="4" t="str">
        <f>HYPERLINK("https://ibp.a2mac1.com/costing(costing:projects/details/9760/process/12083814)","Process")</f>
        <v>Process</v>
      </c>
      <c r="F1798" t="s">
        <v>2252</v>
      </c>
    </row>
    <row r="1799" spans="1:6" x14ac:dyDescent="0.15">
      <c r="A1799">
        <v>12210719</v>
      </c>
      <c r="B1799">
        <v>12083814</v>
      </c>
      <c r="C1799" t="s">
        <v>163</v>
      </c>
      <c r="D1799" t="s">
        <v>114</v>
      </c>
      <c r="E1799" s="4" t="str">
        <f>HYPERLINK("https://ibp.a2mac1.com/costing(costing:projects/details/9760/equipment/12210719)","Dummy Machine (Wireharness production line)")</f>
        <v>Dummy Machine (Wireharness production line)</v>
      </c>
      <c r="F1799" t="s">
        <v>2253</v>
      </c>
    </row>
    <row r="1800" spans="1:6" x14ac:dyDescent="0.15">
      <c r="A1800">
        <v>8752619</v>
      </c>
      <c r="B1800">
        <v>8412562</v>
      </c>
      <c r="C1800" t="s">
        <v>311</v>
      </c>
      <c r="D1800" t="s">
        <v>8</v>
      </c>
      <c r="E1800" s="4" t="str">
        <f>HYPERLINK("https://ibp.a2mac1.com/costing(costing:projects/details/9760/component/8752619)","Material")</f>
        <v>Material</v>
      </c>
      <c r="F1800" t="s">
        <v>2252</v>
      </c>
    </row>
    <row r="1801" spans="1:6" x14ac:dyDescent="0.15">
      <c r="A1801">
        <v>8752620</v>
      </c>
      <c r="B1801">
        <v>8412562</v>
      </c>
      <c r="C1801" t="s">
        <v>311</v>
      </c>
      <c r="D1801" t="s">
        <v>8</v>
      </c>
      <c r="E1801" s="4" t="str">
        <f>HYPERLINK("https://ibp.a2mac1.com/costing(costing:projects/details/9760/component/8752620)","Copper")</f>
        <v>Copper</v>
      </c>
      <c r="F1801" t="s">
        <v>2252</v>
      </c>
    </row>
    <row r="1802" spans="1:6" x14ac:dyDescent="0.15">
      <c r="A1802">
        <v>8412552</v>
      </c>
      <c r="B1802">
        <v>8412549</v>
      </c>
      <c r="C1802" t="s">
        <v>10</v>
      </c>
      <c r="D1802" t="s">
        <v>8</v>
      </c>
      <c r="E1802" s="4" t="str">
        <f>HYPERLINK("https://ibp.a2mac1.com/costing(costing:projects/details/9760/part/8412552)","Harness Guide Support")</f>
        <v>Harness Guide Support</v>
      </c>
      <c r="F1802" t="s">
        <v>1947</v>
      </c>
    </row>
    <row r="1803" spans="1:6" x14ac:dyDescent="0.15">
      <c r="A1803">
        <v>12083813</v>
      </c>
      <c r="B1803">
        <v>8412552</v>
      </c>
      <c r="C1803" t="s">
        <v>114</v>
      </c>
      <c r="D1803" t="s">
        <v>10</v>
      </c>
      <c r="E1803" s="4" t="str">
        <f>HYPERLINK("https://ibp.a2mac1.com/costing(costing:projects/details/9760/process/12083813)","Automated Process")</f>
        <v>Automated Process</v>
      </c>
      <c r="F1803" t="s">
        <v>2255</v>
      </c>
    </row>
    <row r="1804" spans="1:6" x14ac:dyDescent="0.15">
      <c r="A1804">
        <v>8752623</v>
      </c>
      <c r="B1804">
        <v>12083813</v>
      </c>
      <c r="C1804" t="s">
        <v>22</v>
      </c>
      <c r="D1804" t="s">
        <v>114</v>
      </c>
      <c r="E1804" s="4" t="str">
        <f>HYPERLINK("https://ibp.a2mac1.com/costing(costing:projects/details/9760/material/8752623)","Steel sheet (default) adjusted (part)")</f>
        <v>Steel sheet (default) adjusted (part)</v>
      </c>
      <c r="F1804" t="s">
        <v>2256</v>
      </c>
    </row>
    <row r="1805" spans="1:6" x14ac:dyDescent="0.15">
      <c r="A1805">
        <v>12210718</v>
      </c>
      <c r="B1805">
        <v>12083813</v>
      </c>
      <c r="C1805" t="s">
        <v>163</v>
      </c>
      <c r="D1805" t="s">
        <v>114</v>
      </c>
      <c r="E1805" s="4" t="str">
        <f>HYPERLINK("https://ibp.a2mac1.com/costing(costing:projects/details/9760/equipment/12210718)","DC machine - General")</f>
        <v>DC machine - General</v>
      </c>
      <c r="F1805" t="s">
        <v>2256</v>
      </c>
    </row>
    <row r="1806" spans="1:6" x14ac:dyDescent="0.15">
      <c r="A1806">
        <v>8412563</v>
      </c>
      <c r="B1806">
        <v>8412549</v>
      </c>
      <c r="C1806" t="s">
        <v>10</v>
      </c>
      <c r="D1806" t="s">
        <v>8</v>
      </c>
      <c r="E1806" s="4" t="str">
        <f>HYPERLINK("https://ibp.a2mac1.com/costing(costing:projects/details/9760/part/8412563)","Fasteners")</f>
        <v>Fasteners</v>
      </c>
      <c r="F1806" t="s">
        <v>1947</v>
      </c>
    </row>
    <row r="1807" spans="1:6" x14ac:dyDescent="0.15">
      <c r="A1807">
        <v>12083744</v>
      </c>
      <c r="B1807">
        <v>8412549</v>
      </c>
      <c r="C1807" t="s">
        <v>114</v>
      </c>
      <c r="D1807" t="s">
        <v>8</v>
      </c>
      <c r="E1807" s="4" t="str">
        <f>HYPERLINK("https://ibp.a2mac1.com/costing(costing:projects/details/9760/process/12083744)","Final Assembly")</f>
        <v>Final Assembly</v>
      </c>
      <c r="F1807" t="s">
        <v>1947</v>
      </c>
    </row>
    <row r="1808" spans="1:6" x14ac:dyDescent="0.15">
      <c r="A1808">
        <v>12210681</v>
      </c>
      <c r="B1808">
        <v>12083744</v>
      </c>
      <c r="C1808" t="s">
        <v>163</v>
      </c>
      <c r="D1808" t="s">
        <v>114</v>
      </c>
      <c r="E1808" s="4" t="str">
        <f>HYPERLINK("https://ibp.a2mac1.com/costing(costing:projects/details/9760/equipment/12210681)","DC machine - General")</f>
        <v>DC machine - General</v>
      </c>
      <c r="F1808" t="s">
        <v>2258</v>
      </c>
    </row>
    <row r="1809" spans="1:6" x14ac:dyDescent="0.15">
      <c r="A1809">
        <v>8412550</v>
      </c>
      <c r="B1809">
        <v>8412548</v>
      </c>
      <c r="C1809" t="s">
        <v>8</v>
      </c>
      <c r="D1809" t="s">
        <v>8</v>
      </c>
      <c r="E1809" s="4" t="str">
        <f>HYPERLINK("https://ibp.a2mac1.com/costing(costing:projects/details/9760/assembly/8412550)","Passenger")</f>
        <v>Passenger</v>
      </c>
      <c r="F1809" t="s">
        <v>1946</v>
      </c>
    </row>
    <row r="1810" spans="1:6" x14ac:dyDescent="0.15">
      <c r="A1810">
        <v>8412564</v>
      </c>
      <c r="B1810">
        <v>8412550</v>
      </c>
      <c r="C1810" t="s">
        <v>8</v>
      </c>
      <c r="D1810" t="s">
        <v>8</v>
      </c>
      <c r="E1810" s="4" t="str">
        <f>HYPERLINK("https://ibp.a2mac1.com/costing(costing:projects/details/9760/assembly/8412564)","Wiring Harness")</f>
        <v>Wiring Harness</v>
      </c>
      <c r="F1810" t="s">
        <v>2260</v>
      </c>
    </row>
    <row r="1811" spans="1:6" x14ac:dyDescent="0.15">
      <c r="A1811">
        <v>12083815</v>
      </c>
      <c r="B1811">
        <v>8412564</v>
      </c>
      <c r="C1811" t="s">
        <v>114</v>
      </c>
      <c r="D1811" t="s">
        <v>8</v>
      </c>
      <c r="E1811" s="4" t="str">
        <f>HYPERLINK("https://ibp.a2mac1.com/costing(costing:projects/details/9760/process/12083815)","Process")</f>
        <v>Process</v>
      </c>
      <c r="F1811" t="s">
        <v>2261</v>
      </c>
    </row>
    <row r="1812" spans="1:6" x14ac:dyDescent="0.15">
      <c r="A1812">
        <v>12210720</v>
      </c>
      <c r="B1812">
        <v>12083815</v>
      </c>
      <c r="C1812" t="s">
        <v>163</v>
      </c>
      <c r="D1812" t="s">
        <v>114</v>
      </c>
      <c r="E1812" s="4" t="str">
        <f>HYPERLINK("https://ibp.a2mac1.com/costing(costing:projects/details/9760/equipment/12210720)","Dummy Machine (Wireharness production line)")</f>
        <v>Dummy Machine (Wireharness production line)</v>
      </c>
      <c r="F1812" t="s">
        <v>2262</v>
      </c>
    </row>
    <row r="1813" spans="1:6" x14ac:dyDescent="0.15">
      <c r="A1813">
        <v>8752621</v>
      </c>
      <c r="B1813">
        <v>8412564</v>
      </c>
      <c r="C1813" t="s">
        <v>311</v>
      </c>
      <c r="D1813" t="s">
        <v>8</v>
      </c>
      <c r="E1813" s="4" t="str">
        <f>HYPERLINK("https://ibp.a2mac1.com/costing(costing:projects/details/9760/component/8752621)","Material")</f>
        <v>Material</v>
      </c>
      <c r="F1813" t="s">
        <v>2261</v>
      </c>
    </row>
    <row r="1814" spans="1:6" x14ac:dyDescent="0.15">
      <c r="A1814">
        <v>8752622</v>
      </c>
      <c r="B1814">
        <v>8412564</v>
      </c>
      <c r="C1814" t="s">
        <v>311</v>
      </c>
      <c r="D1814" t="s">
        <v>8</v>
      </c>
      <c r="E1814" s="4" t="str">
        <f>HYPERLINK("https://ibp.a2mac1.com/costing(costing:projects/details/9760/component/8752622)","Copper")</f>
        <v>Copper</v>
      </c>
      <c r="F1814" t="s">
        <v>2261</v>
      </c>
    </row>
    <row r="1815" spans="1:6" x14ac:dyDescent="0.15">
      <c r="A1815">
        <v>8412567</v>
      </c>
      <c r="B1815">
        <v>8412550</v>
      </c>
      <c r="C1815" t="s">
        <v>8</v>
      </c>
      <c r="D1815" t="s">
        <v>8</v>
      </c>
      <c r="E1815" s="4" t="str">
        <f>HYPERLINK("https://ibp.a2mac1.com/costing(costing:projects/details/9760/assembly/8412567)","Head Rest")</f>
        <v>Head Rest</v>
      </c>
      <c r="F1815" t="s">
        <v>2260</v>
      </c>
    </row>
    <row r="1816" spans="1:6" x14ac:dyDescent="0.15">
      <c r="A1816">
        <v>8412637</v>
      </c>
      <c r="B1816">
        <v>8412567</v>
      </c>
      <c r="C1816" t="s">
        <v>10</v>
      </c>
      <c r="D1816" t="s">
        <v>8</v>
      </c>
      <c r="E1816" s="4" t="str">
        <f>HYPERLINK("https://ibp.a2mac1.com/costing(costing:projects/details/9760/part/8412637)","Cover")</f>
        <v>Cover</v>
      </c>
      <c r="F1816" t="s">
        <v>2264</v>
      </c>
    </row>
    <row r="1817" spans="1:6" x14ac:dyDescent="0.15">
      <c r="A1817">
        <v>12083849</v>
      </c>
      <c r="B1817">
        <v>8412637</v>
      </c>
      <c r="C1817" t="s">
        <v>114</v>
      </c>
      <c r="D1817" t="s">
        <v>10</v>
      </c>
      <c r="E1817" s="4" t="str">
        <f>HYPERLINK("https://ibp.a2mac1.com/costing(costing:projects/details/9760/process/12083849)","Automated Process")</f>
        <v>Automated Process</v>
      </c>
      <c r="F1817" t="s">
        <v>2265</v>
      </c>
    </row>
    <row r="1818" spans="1:6" x14ac:dyDescent="0.15">
      <c r="A1818">
        <v>8752734</v>
      </c>
      <c r="B1818">
        <v>12083849</v>
      </c>
      <c r="C1818" t="s">
        <v>22</v>
      </c>
      <c r="D1818" t="s">
        <v>114</v>
      </c>
      <c r="E1818" s="4" t="str">
        <f>HYPERLINK("https://ibp.a2mac1.com/costing(costing:projects/details/9760/material/8752734)","Leather")</f>
        <v>Leather</v>
      </c>
      <c r="F1818" t="s">
        <v>2266</v>
      </c>
    </row>
    <row r="1819" spans="1:6" x14ac:dyDescent="0.15">
      <c r="A1819">
        <v>12210906</v>
      </c>
      <c r="B1819">
        <v>12083849</v>
      </c>
      <c r="C1819" t="s">
        <v>163</v>
      </c>
      <c r="D1819" t="s">
        <v>114</v>
      </c>
      <c r="E1819" s="4" t="str">
        <f>HYPERLINK("https://ibp.a2mac1.com/costing(costing:projects/details/9760/equipment/12210906)","DC machine - General")</f>
        <v>DC machine - General</v>
      </c>
      <c r="F1819" t="s">
        <v>2266</v>
      </c>
    </row>
    <row r="1820" spans="1:6" x14ac:dyDescent="0.15">
      <c r="A1820">
        <v>8412638</v>
      </c>
      <c r="B1820">
        <v>8412567</v>
      </c>
      <c r="C1820" t="s">
        <v>10</v>
      </c>
      <c r="D1820" t="s">
        <v>8</v>
      </c>
      <c r="E1820" s="4" t="str">
        <f>HYPERLINK("https://ibp.a2mac1.com/costing(costing:projects/details/9760/part/8412638)","Padding")</f>
        <v>Padding</v>
      </c>
      <c r="F1820" t="s">
        <v>2264</v>
      </c>
    </row>
    <row r="1821" spans="1:6" x14ac:dyDescent="0.15">
      <c r="A1821">
        <v>12083850</v>
      </c>
      <c r="B1821">
        <v>8412638</v>
      </c>
      <c r="C1821" t="s">
        <v>114</v>
      </c>
      <c r="D1821" t="s">
        <v>10</v>
      </c>
      <c r="E1821" s="4" t="str">
        <f>HYPERLINK("https://ibp.a2mac1.com/costing(costing:projects/details/9760/process/12083850)","Automated Process")</f>
        <v>Automated Process</v>
      </c>
      <c r="F1821" t="s">
        <v>2268</v>
      </c>
    </row>
    <row r="1822" spans="1:6" x14ac:dyDescent="0.15">
      <c r="A1822">
        <v>8752735</v>
      </c>
      <c r="B1822">
        <v>12083850</v>
      </c>
      <c r="C1822" t="s">
        <v>22</v>
      </c>
      <c r="D1822" t="s">
        <v>114</v>
      </c>
      <c r="E1822" s="4" t="str">
        <f>HYPERLINK("https://ibp.a2mac1.com/costing(costing:projects/details/9760/material/8752735)","PUR adjusted (part)")</f>
        <v>PUR adjusted (part)</v>
      </c>
      <c r="F1822" t="s">
        <v>2269</v>
      </c>
    </row>
    <row r="1823" spans="1:6" x14ac:dyDescent="0.15">
      <c r="A1823">
        <v>12210907</v>
      </c>
      <c r="B1823">
        <v>12083850</v>
      </c>
      <c r="C1823" t="s">
        <v>163</v>
      </c>
      <c r="D1823" t="s">
        <v>114</v>
      </c>
      <c r="E1823" s="4" t="str">
        <f>HYPERLINK("https://ibp.a2mac1.com/costing(costing:projects/details/9760/equipment/12210907)","DC machine - General")</f>
        <v>DC machine - General</v>
      </c>
      <c r="F1823" t="s">
        <v>2269</v>
      </c>
    </row>
    <row r="1824" spans="1:6" x14ac:dyDescent="0.15">
      <c r="A1824">
        <v>8412639</v>
      </c>
      <c r="B1824">
        <v>8412567</v>
      </c>
      <c r="C1824" t="s">
        <v>10</v>
      </c>
      <c r="D1824" t="s">
        <v>8</v>
      </c>
      <c r="E1824" s="4" t="str">
        <f>HYPERLINK("https://ibp.a2mac1.com/costing(costing:projects/details/9760/part/8412639)","Frame")</f>
        <v>Frame</v>
      </c>
      <c r="F1824" t="s">
        <v>2264</v>
      </c>
    </row>
    <row r="1825" spans="1:6" x14ac:dyDescent="0.15">
      <c r="A1825">
        <v>12083851</v>
      </c>
      <c r="B1825">
        <v>8412639</v>
      </c>
      <c r="C1825" t="s">
        <v>114</v>
      </c>
      <c r="D1825" t="s">
        <v>10</v>
      </c>
      <c r="E1825" s="4" t="str">
        <f>HYPERLINK("https://ibp.a2mac1.com/costing(costing:projects/details/9760/process/12083851)","Automated Process")</f>
        <v>Automated Process</v>
      </c>
      <c r="F1825" t="s">
        <v>2271</v>
      </c>
    </row>
    <row r="1826" spans="1:6" x14ac:dyDescent="0.15">
      <c r="A1826">
        <v>8752736</v>
      </c>
      <c r="B1826">
        <v>12083851</v>
      </c>
      <c r="C1826" t="s">
        <v>22</v>
      </c>
      <c r="D1826" t="s">
        <v>114</v>
      </c>
      <c r="E1826" s="4" t="str">
        <f>HYPERLINK("https://ibp.a2mac1.com/costing(costing:projects/details/9760/material/8752736)","Steel sheet (default) adjusted (part)")</f>
        <v>Steel sheet (default) adjusted (part)</v>
      </c>
      <c r="F1826" t="s">
        <v>2272</v>
      </c>
    </row>
    <row r="1827" spans="1:6" x14ac:dyDescent="0.15">
      <c r="A1827">
        <v>12210908</v>
      </c>
      <c r="B1827">
        <v>12083851</v>
      </c>
      <c r="C1827" t="s">
        <v>163</v>
      </c>
      <c r="D1827" t="s">
        <v>114</v>
      </c>
      <c r="E1827" s="4" t="str">
        <f>HYPERLINK("https://ibp.a2mac1.com/costing(costing:projects/details/9760/equipment/12210908)","DC machine - General")</f>
        <v>DC machine - General</v>
      </c>
      <c r="F1827" t="s">
        <v>2272</v>
      </c>
    </row>
    <row r="1828" spans="1:6" x14ac:dyDescent="0.15">
      <c r="A1828">
        <v>8412640</v>
      </c>
      <c r="B1828">
        <v>8412567</v>
      </c>
      <c r="C1828" t="s">
        <v>10</v>
      </c>
      <c r="D1828" t="s">
        <v>8</v>
      </c>
      <c r="E1828" s="4" t="str">
        <f>HYPERLINK("https://ibp.a2mac1.com/costing(costing:projects/details/9760/part/8412640)","Reinforcement")</f>
        <v>Reinforcement</v>
      </c>
      <c r="F1828" t="s">
        <v>2264</v>
      </c>
    </row>
    <row r="1829" spans="1:6" x14ac:dyDescent="0.15">
      <c r="A1829">
        <v>12083852</v>
      </c>
      <c r="B1829">
        <v>8412640</v>
      </c>
      <c r="C1829" t="s">
        <v>114</v>
      </c>
      <c r="D1829" t="s">
        <v>10</v>
      </c>
      <c r="E1829" s="4" t="str">
        <f>HYPERLINK("https://ibp.a2mac1.com/costing(costing:projects/details/9760/process/12083852)","Automated Process")</f>
        <v>Automated Process</v>
      </c>
      <c r="F1829" t="s">
        <v>2274</v>
      </c>
    </row>
    <row r="1830" spans="1:6" x14ac:dyDescent="0.15">
      <c r="A1830">
        <v>8752737</v>
      </c>
      <c r="B1830">
        <v>12083852</v>
      </c>
      <c r="C1830" t="s">
        <v>22</v>
      </c>
      <c r="D1830" t="s">
        <v>114</v>
      </c>
      <c r="E1830" s="4" t="str">
        <f>HYPERLINK("https://ibp.a2mac1.com/costing(costing:projects/details/9760/material/8752737)","PP-GF30 adjusted (part)")</f>
        <v>PP-GF30 adjusted (part)</v>
      </c>
      <c r="F1830" t="s">
        <v>2275</v>
      </c>
    </row>
    <row r="1831" spans="1:6" x14ac:dyDescent="0.15">
      <c r="A1831">
        <v>12210909</v>
      </c>
      <c r="B1831">
        <v>12083852</v>
      </c>
      <c r="C1831" t="s">
        <v>163</v>
      </c>
      <c r="D1831" t="s">
        <v>114</v>
      </c>
      <c r="E1831" s="4" t="str">
        <f>HYPERLINK("https://ibp.a2mac1.com/costing(costing:projects/details/9760/equipment/12210909)","DC machine - General")</f>
        <v>DC machine - General</v>
      </c>
      <c r="F1831" t="s">
        <v>2275</v>
      </c>
    </row>
    <row r="1832" spans="1:6" x14ac:dyDescent="0.15">
      <c r="A1832">
        <v>8412641</v>
      </c>
      <c r="B1832">
        <v>8412567</v>
      </c>
      <c r="C1832" t="s">
        <v>10</v>
      </c>
      <c r="D1832" t="s">
        <v>8</v>
      </c>
      <c r="E1832" s="4" t="str">
        <f>HYPERLINK("https://ibp.a2mac1.com/costing(costing:projects/details/9760/part/8412641)","Rear Bezel")</f>
        <v>Rear Bezel</v>
      </c>
      <c r="F1832" t="s">
        <v>2264</v>
      </c>
    </row>
    <row r="1833" spans="1:6" x14ac:dyDescent="0.15">
      <c r="A1833">
        <v>12083853</v>
      </c>
      <c r="B1833">
        <v>8412641</v>
      </c>
      <c r="C1833" t="s">
        <v>114</v>
      </c>
      <c r="D1833" t="s">
        <v>10</v>
      </c>
      <c r="E1833" s="4" t="str">
        <f>HYPERLINK("https://ibp.a2mac1.com/costing(costing:projects/details/9760/process/12083853)","Automated Process")</f>
        <v>Automated Process</v>
      </c>
      <c r="F1833" t="s">
        <v>2277</v>
      </c>
    </row>
    <row r="1834" spans="1:6" x14ac:dyDescent="0.15">
      <c r="A1834">
        <v>8752738</v>
      </c>
      <c r="B1834">
        <v>12083853</v>
      </c>
      <c r="C1834" t="s">
        <v>22</v>
      </c>
      <c r="D1834" t="s">
        <v>114</v>
      </c>
      <c r="E1834" s="4" t="str">
        <f>HYPERLINK("https://ibp.a2mac1.com/costing(costing:projects/details/9760/material/8752738)","PC-ABS adjusted (part)")</f>
        <v>PC-ABS adjusted (part)</v>
      </c>
      <c r="F1834" t="s">
        <v>2278</v>
      </c>
    </row>
    <row r="1835" spans="1:6" x14ac:dyDescent="0.15">
      <c r="A1835">
        <v>12210910</v>
      </c>
      <c r="B1835">
        <v>12083853</v>
      </c>
      <c r="C1835" t="s">
        <v>163</v>
      </c>
      <c r="D1835" t="s">
        <v>114</v>
      </c>
      <c r="E1835" s="4" t="str">
        <f>HYPERLINK("https://ibp.a2mac1.com/costing(costing:projects/details/9760/equipment/12210910)","DC machine - General")</f>
        <v>DC machine - General</v>
      </c>
      <c r="F1835" t="s">
        <v>2278</v>
      </c>
    </row>
    <row r="1836" spans="1:6" x14ac:dyDescent="0.15">
      <c r="A1836">
        <v>8412642</v>
      </c>
      <c r="B1836">
        <v>8412567</v>
      </c>
      <c r="C1836" t="s">
        <v>10</v>
      </c>
      <c r="D1836" t="s">
        <v>8</v>
      </c>
      <c r="E1836" s="4" t="str">
        <f>HYPERLINK("https://ibp.a2mac1.com/costing(costing:projects/details/9760/part/8412642)","Rear Bezel Support")</f>
        <v>Rear Bezel Support</v>
      </c>
      <c r="F1836" t="s">
        <v>2264</v>
      </c>
    </row>
    <row r="1837" spans="1:6" x14ac:dyDescent="0.15">
      <c r="A1837">
        <v>12083854</v>
      </c>
      <c r="B1837">
        <v>8412642</v>
      </c>
      <c r="C1837" t="s">
        <v>114</v>
      </c>
      <c r="D1837" t="s">
        <v>10</v>
      </c>
      <c r="E1837" s="4" t="str">
        <f>HYPERLINK("https://ibp.a2mac1.com/costing(costing:projects/details/9760/process/12083854)","Automated Process")</f>
        <v>Automated Process</v>
      </c>
      <c r="F1837" t="s">
        <v>2280</v>
      </c>
    </row>
    <row r="1838" spans="1:6" x14ac:dyDescent="0.15">
      <c r="A1838">
        <v>8752739</v>
      </c>
      <c r="B1838">
        <v>12083854</v>
      </c>
      <c r="C1838" t="s">
        <v>22</v>
      </c>
      <c r="D1838" t="s">
        <v>114</v>
      </c>
      <c r="E1838" s="4" t="str">
        <f>HYPERLINK("https://ibp.a2mac1.com/costing(costing:projects/details/9760/material/8752739)","PE adjusted (part)")</f>
        <v>PE adjusted (part)</v>
      </c>
      <c r="F1838" t="s">
        <v>2281</v>
      </c>
    </row>
    <row r="1839" spans="1:6" x14ac:dyDescent="0.15">
      <c r="A1839">
        <v>12210911</v>
      </c>
      <c r="B1839">
        <v>12083854</v>
      </c>
      <c r="C1839" t="s">
        <v>163</v>
      </c>
      <c r="D1839" t="s">
        <v>114</v>
      </c>
      <c r="E1839" s="4" t="str">
        <f>HYPERLINK("https://ibp.a2mac1.com/costing(costing:projects/details/9760/equipment/12210911)","DC machine - General")</f>
        <v>DC machine - General</v>
      </c>
      <c r="F1839" t="s">
        <v>2281</v>
      </c>
    </row>
    <row r="1840" spans="1:6" x14ac:dyDescent="0.15">
      <c r="A1840">
        <v>8412643</v>
      </c>
      <c r="B1840">
        <v>8412567</v>
      </c>
      <c r="C1840" t="s">
        <v>10</v>
      </c>
      <c r="D1840" t="s">
        <v>8</v>
      </c>
      <c r="E1840" s="4" t="str">
        <f>HYPERLINK("https://ibp.a2mac1.com/costing(costing:projects/details/9760/part/8412643)","Upper Padding")</f>
        <v>Upper Padding</v>
      </c>
      <c r="F1840" t="s">
        <v>2264</v>
      </c>
    </row>
    <row r="1841" spans="1:6" x14ac:dyDescent="0.15">
      <c r="A1841">
        <v>8412568</v>
      </c>
      <c r="B1841">
        <v>8412550</v>
      </c>
      <c r="C1841" t="s">
        <v>8</v>
      </c>
      <c r="D1841" t="s">
        <v>8</v>
      </c>
      <c r="E1841" s="4" t="str">
        <f>HYPERLINK("https://ibp.a2mac1.com/costing(costing:projects/details/9760/assembly/8412568)","Back")</f>
        <v>Back</v>
      </c>
      <c r="F1841" t="s">
        <v>2260</v>
      </c>
    </row>
    <row r="1842" spans="1:6" x14ac:dyDescent="0.15">
      <c r="A1842">
        <v>8412647</v>
      </c>
      <c r="B1842">
        <v>8412568</v>
      </c>
      <c r="C1842" t="s">
        <v>8</v>
      </c>
      <c r="D1842" t="s">
        <v>8</v>
      </c>
      <c r="E1842" s="4" t="str">
        <f>HYPERLINK("https://ibp.a2mac1.com/costing(costing:projects/details/9760/assembly/8412647)","Rear Shell System")</f>
        <v>Rear Shell System</v>
      </c>
      <c r="F1842" t="s">
        <v>2286</v>
      </c>
    </row>
    <row r="1843" spans="1:6" x14ac:dyDescent="0.15">
      <c r="A1843">
        <v>8412732</v>
      </c>
      <c r="B1843">
        <v>8412647</v>
      </c>
      <c r="C1843" t="s">
        <v>10</v>
      </c>
      <c r="D1843" t="s">
        <v>8</v>
      </c>
      <c r="E1843" s="4" t="str">
        <f>HYPERLINK("https://ibp.a2mac1.com/costing(costing:projects/details/9760/part/8412732)","Back Cover")</f>
        <v>Back Cover</v>
      </c>
      <c r="F1843" t="s">
        <v>2287</v>
      </c>
    </row>
    <row r="1844" spans="1:6" x14ac:dyDescent="0.15">
      <c r="A1844">
        <v>12083964</v>
      </c>
      <c r="B1844">
        <v>8412732</v>
      </c>
      <c r="C1844" t="s">
        <v>114</v>
      </c>
      <c r="D1844" t="s">
        <v>10</v>
      </c>
      <c r="E1844" s="4" t="str">
        <f>HYPERLINK("https://ibp.a2mac1.com/costing(costing:projects/details/9760/process/12083964)","Automated Process")</f>
        <v>Automated Process</v>
      </c>
      <c r="F1844" t="s">
        <v>2288</v>
      </c>
    </row>
    <row r="1845" spans="1:6" x14ac:dyDescent="0.15">
      <c r="A1845">
        <v>8752846</v>
      </c>
      <c r="B1845">
        <v>12083964</v>
      </c>
      <c r="C1845" t="s">
        <v>22</v>
      </c>
      <c r="D1845" t="s">
        <v>114</v>
      </c>
      <c r="E1845" s="4" t="str">
        <f>HYPERLINK("https://ibp.a2mac1.com/costing(costing:projects/details/9760/material/8752846)","PP-EPDM-T20 &amp; Leather")</f>
        <v>PP-EPDM-T20 &amp; Leather</v>
      </c>
      <c r="F1845" t="s">
        <v>2289</v>
      </c>
    </row>
    <row r="1846" spans="1:6" x14ac:dyDescent="0.15">
      <c r="A1846">
        <v>12211030</v>
      </c>
      <c r="B1846">
        <v>12083964</v>
      </c>
      <c r="C1846" t="s">
        <v>163</v>
      </c>
      <c r="D1846" t="s">
        <v>114</v>
      </c>
      <c r="E1846" s="4" t="str">
        <f>HYPERLINK("https://ibp.a2mac1.com/costing(costing:projects/details/9760/equipment/12211030)","DC machine - General")</f>
        <v>DC machine - General</v>
      </c>
      <c r="F1846" t="s">
        <v>2289</v>
      </c>
    </row>
    <row r="1847" spans="1:6" x14ac:dyDescent="0.15">
      <c r="A1847">
        <v>8412733</v>
      </c>
      <c r="B1847">
        <v>8412647</v>
      </c>
      <c r="C1847" t="s">
        <v>10</v>
      </c>
      <c r="D1847" t="s">
        <v>8</v>
      </c>
      <c r="E1847" s="4" t="str">
        <f>HYPERLINK("https://ibp.a2mac1.com/costing(costing:projects/details/9760/part/8412733)","Cover Upper Part")</f>
        <v>Cover Upper Part</v>
      </c>
      <c r="F1847" t="s">
        <v>2287</v>
      </c>
    </row>
    <row r="1848" spans="1:6" x14ac:dyDescent="0.15">
      <c r="A1848">
        <v>12083965</v>
      </c>
      <c r="B1848">
        <v>8412733</v>
      </c>
      <c r="C1848" t="s">
        <v>114</v>
      </c>
      <c r="D1848" t="s">
        <v>10</v>
      </c>
      <c r="E1848" s="4" t="str">
        <f>HYPERLINK("https://ibp.a2mac1.com/costing(costing:projects/details/9760/process/12083965)","Automated Process")</f>
        <v>Automated Process</v>
      </c>
      <c r="F1848" t="s">
        <v>2291</v>
      </c>
    </row>
    <row r="1849" spans="1:6" x14ac:dyDescent="0.15">
      <c r="A1849">
        <v>8752847</v>
      </c>
      <c r="B1849">
        <v>12083965</v>
      </c>
      <c r="C1849" t="s">
        <v>22</v>
      </c>
      <c r="D1849" t="s">
        <v>114</v>
      </c>
      <c r="E1849" s="4" t="str">
        <f>HYPERLINK("https://ibp.a2mac1.com/costing(costing:projects/details/9760/material/8752847)","PC-ABS adjusted (part)")</f>
        <v>PC-ABS adjusted (part)</v>
      </c>
      <c r="F1849" t="s">
        <v>2292</v>
      </c>
    </row>
    <row r="1850" spans="1:6" x14ac:dyDescent="0.15">
      <c r="A1850">
        <v>12211031</v>
      </c>
      <c r="B1850">
        <v>12083965</v>
      </c>
      <c r="C1850" t="s">
        <v>163</v>
      </c>
      <c r="D1850" t="s">
        <v>114</v>
      </c>
      <c r="E1850" s="4" t="str">
        <f>HYPERLINK("https://ibp.a2mac1.com/costing(costing:projects/details/9760/equipment/12211031)","DC machine - General")</f>
        <v>DC machine - General</v>
      </c>
      <c r="F1850" t="s">
        <v>2292</v>
      </c>
    </row>
    <row r="1851" spans="1:6" x14ac:dyDescent="0.15">
      <c r="A1851">
        <v>8412734</v>
      </c>
      <c r="B1851">
        <v>8412647</v>
      </c>
      <c r="C1851" t="s">
        <v>10</v>
      </c>
      <c r="D1851" t="s">
        <v>8</v>
      </c>
      <c r="E1851" s="4" t="str">
        <f>HYPERLINK("https://ibp.a2mac1.com/costing(costing:projects/details/9760/part/8412734)","Cover Lower Part")</f>
        <v>Cover Lower Part</v>
      </c>
      <c r="F1851" t="s">
        <v>2287</v>
      </c>
    </row>
    <row r="1852" spans="1:6" x14ac:dyDescent="0.15">
      <c r="A1852">
        <v>12083966</v>
      </c>
      <c r="B1852">
        <v>8412734</v>
      </c>
      <c r="C1852" t="s">
        <v>114</v>
      </c>
      <c r="D1852" t="s">
        <v>10</v>
      </c>
      <c r="E1852" s="4" t="str">
        <f>HYPERLINK("https://ibp.a2mac1.com/costing(costing:projects/details/9760/process/12083966)","Automated Process")</f>
        <v>Automated Process</v>
      </c>
      <c r="F1852" t="s">
        <v>2294</v>
      </c>
    </row>
    <row r="1853" spans="1:6" x14ac:dyDescent="0.15">
      <c r="A1853">
        <v>8752848</v>
      </c>
      <c r="B1853">
        <v>12083966</v>
      </c>
      <c r="C1853" t="s">
        <v>22</v>
      </c>
      <c r="D1853" t="s">
        <v>114</v>
      </c>
      <c r="E1853" s="4" t="str">
        <f>HYPERLINK("https://ibp.a2mac1.com/costing(costing:projects/details/9760/material/8752848)","PET + PE")</f>
        <v>PET + PE</v>
      </c>
      <c r="F1853" t="s">
        <v>2295</v>
      </c>
    </row>
    <row r="1854" spans="1:6" x14ac:dyDescent="0.15">
      <c r="A1854">
        <v>12211032</v>
      </c>
      <c r="B1854">
        <v>12083966</v>
      </c>
      <c r="C1854" t="s">
        <v>163</v>
      </c>
      <c r="D1854" t="s">
        <v>114</v>
      </c>
      <c r="E1854" s="4" t="str">
        <f>HYPERLINK("https://ibp.a2mac1.com/costing(costing:projects/details/9760/equipment/12211032)","DC machine - General")</f>
        <v>DC machine - General</v>
      </c>
      <c r="F1854" t="s">
        <v>2295</v>
      </c>
    </row>
    <row r="1855" spans="1:6" x14ac:dyDescent="0.15">
      <c r="A1855">
        <v>8412735</v>
      </c>
      <c r="B1855">
        <v>8412647</v>
      </c>
      <c r="C1855" t="s">
        <v>10</v>
      </c>
      <c r="D1855" t="s">
        <v>8</v>
      </c>
      <c r="E1855" s="4" t="str">
        <f>HYPERLINK("https://ibp.a2mac1.com/costing(costing:projects/details/9760/part/8412735)","Bezel")</f>
        <v>Bezel</v>
      </c>
      <c r="F1855" t="s">
        <v>2287</v>
      </c>
    </row>
    <row r="1856" spans="1:6" x14ac:dyDescent="0.15">
      <c r="A1856">
        <v>12083967</v>
      </c>
      <c r="B1856">
        <v>8412735</v>
      </c>
      <c r="C1856" t="s">
        <v>114</v>
      </c>
      <c r="D1856" t="s">
        <v>10</v>
      </c>
      <c r="E1856" s="4" t="str">
        <f>HYPERLINK("https://ibp.a2mac1.com/costing(costing:projects/details/9760/process/12083967)","Automated Process")</f>
        <v>Automated Process</v>
      </c>
      <c r="F1856" t="s">
        <v>2297</v>
      </c>
    </row>
    <row r="1857" spans="1:6" x14ac:dyDescent="0.15">
      <c r="A1857">
        <v>8752849</v>
      </c>
      <c r="B1857">
        <v>12083967</v>
      </c>
      <c r="C1857" t="s">
        <v>22</v>
      </c>
      <c r="D1857" t="s">
        <v>114</v>
      </c>
      <c r="E1857" s="4" t="str">
        <f>HYPERLINK("https://ibp.a2mac1.com/costing(costing:projects/details/9760/material/8752849)","PC-ABS adjusted (part)")</f>
        <v>PC-ABS adjusted (part)</v>
      </c>
      <c r="F1857" t="s">
        <v>2298</v>
      </c>
    </row>
    <row r="1858" spans="1:6" x14ac:dyDescent="0.15">
      <c r="A1858">
        <v>12211033</v>
      </c>
      <c r="B1858">
        <v>12083967</v>
      </c>
      <c r="C1858" t="s">
        <v>163</v>
      </c>
      <c r="D1858" t="s">
        <v>114</v>
      </c>
      <c r="E1858" s="4" t="str">
        <f>HYPERLINK("https://ibp.a2mac1.com/costing(costing:projects/details/9760/equipment/12211033)","DC machine - General")</f>
        <v>DC machine - General</v>
      </c>
      <c r="F1858" t="s">
        <v>2298</v>
      </c>
    </row>
    <row r="1859" spans="1:6" x14ac:dyDescent="0.15">
      <c r="A1859">
        <v>8412736</v>
      </c>
      <c r="B1859">
        <v>8412647</v>
      </c>
      <c r="C1859" t="s">
        <v>10</v>
      </c>
      <c r="D1859" t="s">
        <v>8</v>
      </c>
      <c r="E1859" s="4" t="str">
        <f>HYPERLINK("https://ibp.a2mac1.com/costing(costing:projects/details/9760/part/8412736)","Support 1")</f>
        <v>Support 1</v>
      </c>
      <c r="F1859" t="s">
        <v>2287</v>
      </c>
    </row>
    <row r="1860" spans="1:6" x14ac:dyDescent="0.15">
      <c r="A1860">
        <v>12083968</v>
      </c>
      <c r="B1860">
        <v>8412736</v>
      </c>
      <c r="C1860" t="s">
        <v>114</v>
      </c>
      <c r="D1860" t="s">
        <v>10</v>
      </c>
      <c r="E1860" s="4" t="str">
        <f>HYPERLINK("https://ibp.a2mac1.com/costing(costing:projects/details/9760/process/12083968)","Automated Process")</f>
        <v>Automated Process</v>
      </c>
      <c r="F1860" t="s">
        <v>2300</v>
      </c>
    </row>
    <row r="1861" spans="1:6" x14ac:dyDescent="0.15">
      <c r="A1861">
        <v>8752850</v>
      </c>
      <c r="B1861">
        <v>12083968</v>
      </c>
      <c r="C1861" t="s">
        <v>22</v>
      </c>
      <c r="D1861" t="s">
        <v>114</v>
      </c>
      <c r="E1861" s="4" t="str">
        <f>HYPERLINK("https://ibp.a2mac1.com/costing(costing:projects/details/9760/material/8752850)","Steel sheet (default) adjusted (part)")</f>
        <v>Steel sheet (default) adjusted (part)</v>
      </c>
      <c r="F1861" t="s">
        <v>2301</v>
      </c>
    </row>
    <row r="1862" spans="1:6" x14ac:dyDescent="0.15">
      <c r="A1862">
        <v>12211034</v>
      </c>
      <c r="B1862">
        <v>12083968</v>
      </c>
      <c r="C1862" t="s">
        <v>163</v>
      </c>
      <c r="D1862" t="s">
        <v>114</v>
      </c>
      <c r="E1862" s="4" t="str">
        <f>HYPERLINK("https://ibp.a2mac1.com/costing(costing:projects/details/9760/equipment/12211034)","DC machine - General")</f>
        <v>DC machine - General</v>
      </c>
      <c r="F1862" t="s">
        <v>2301</v>
      </c>
    </row>
    <row r="1863" spans="1:6" x14ac:dyDescent="0.15">
      <c r="A1863">
        <v>8412737</v>
      </c>
      <c r="B1863">
        <v>8412647</v>
      </c>
      <c r="C1863" t="s">
        <v>10</v>
      </c>
      <c r="D1863" t="s">
        <v>8</v>
      </c>
      <c r="E1863" s="4" t="str">
        <f>HYPERLINK("https://ibp.a2mac1.com/costing(costing:projects/details/9760/part/8412737)","Support 2")</f>
        <v>Support 2</v>
      </c>
      <c r="F1863" t="s">
        <v>2287</v>
      </c>
    </row>
    <row r="1864" spans="1:6" x14ac:dyDescent="0.15">
      <c r="A1864">
        <v>12083969</v>
      </c>
      <c r="B1864">
        <v>8412737</v>
      </c>
      <c r="C1864" t="s">
        <v>114</v>
      </c>
      <c r="D1864" t="s">
        <v>10</v>
      </c>
      <c r="E1864" s="4" t="str">
        <f>HYPERLINK("https://ibp.a2mac1.com/costing(costing:projects/details/9760/process/12083969)","Automated Process")</f>
        <v>Automated Process</v>
      </c>
      <c r="F1864" t="s">
        <v>2303</v>
      </c>
    </row>
    <row r="1865" spans="1:6" x14ac:dyDescent="0.15">
      <c r="A1865">
        <v>8752851</v>
      </c>
      <c r="B1865">
        <v>12083969</v>
      </c>
      <c r="C1865" t="s">
        <v>22</v>
      </c>
      <c r="D1865" t="s">
        <v>114</v>
      </c>
      <c r="E1865" s="4" t="str">
        <f>HYPERLINK("https://ibp.a2mac1.com/costing(costing:projects/details/9760/material/8752851)","PP-TD20 adjusted (part)")</f>
        <v>PP-TD20 adjusted (part)</v>
      </c>
      <c r="F1865" t="s">
        <v>2304</v>
      </c>
    </row>
    <row r="1866" spans="1:6" x14ac:dyDescent="0.15">
      <c r="A1866">
        <v>12211035</v>
      </c>
      <c r="B1866">
        <v>12083969</v>
      </c>
      <c r="C1866" t="s">
        <v>163</v>
      </c>
      <c r="D1866" t="s">
        <v>114</v>
      </c>
      <c r="E1866" s="4" t="str">
        <f>HYPERLINK("https://ibp.a2mac1.com/costing(costing:projects/details/9760/equipment/12211035)","DC machine - General")</f>
        <v>DC machine - General</v>
      </c>
      <c r="F1866" t="s">
        <v>2304</v>
      </c>
    </row>
    <row r="1867" spans="1:6" x14ac:dyDescent="0.15">
      <c r="A1867">
        <v>8412648</v>
      </c>
      <c r="B1867">
        <v>8412568</v>
      </c>
      <c r="C1867" t="s">
        <v>8</v>
      </c>
      <c r="D1867" t="s">
        <v>8</v>
      </c>
      <c r="E1867" s="4" t="str">
        <f>HYPERLINK("https://ibp.a2mac1.com/costing(costing:projects/details/9760/assembly/8412648)","Head Rest Support Bracket")</f>
        <v>Head Rest Support Bracket</v>
      </c>
      <c r="F1867" t="s">
        <v>2286</v>
      </c>
    </row>
    <row r="1868" spans="1:6" x14ac:dyDescent="0.15">
      <c r="A1868">
        <v>8412738</v>
      </c>
      <c r="B1868">
        <v>8412648</v>
      </c>
      <c r="C1868" t="s">
        <v>10</v>
      </c>
      <c r="D1868" t="s">
        <v>8</v>
      </c>
      <c r="E1868" s="4" t="str">
        <f>HYPERLINK("https://ibp.a2mac1.com/costing(costing:projects/details/9760/part/8412738)","Guide")</f>
        <v>Guide</v>
      </c>
      <c r="F1868" t="s">
        <v>2307</v>
      </c>
    </row>
    <row r="1869" spans="1:6" x14ac:dyDescent="0.15">
      <c r="A1869">
        <v>12083970</v>
      </c>
      <c r="B1869">
        <v>8412738</v>
      </c>
      <c r="C1869" t="s">
        <v>114</v>
      </c>
      <c r="D1869" t="s">
        <v>10</v>
      </c>
      <c r="E1869" s="4" t="str">
        <f>HYPERLINK("https://ibp.a2mac1.com/costing(costing:projects/details/9760/process/12083970)","Automated Process")</f>
        <v>Automated Process</v>
      </c>
      <c r="F1869" t="s">
        <v>2308</v>
      </c>
    </row>
    <row r="1870" spans="1:6" x14ac:dyDescent="0.15">
      <c r="A1870">
        <v>8752852</v>
      </c>
      <c r="B1870">
        <v>12083970</v>
      </c>
      <c r="C1870" t="s">
        <v>22</v>
      </c>
      <c r="D1870" t="s">
        <v>114</v>
      </c>
      <c r="E1870" s="4" t="str">
        <f>HYPERLINK("https://ibp.a2mac1.com/costing(costing:projects/details/9760/material/8752852)","PA6-PA66")</f>
        <v>PA6-PA66</v>
      </c>
      <c r="F1870" t="s">
        <v>2309</v>
      </c>
    </row>
    <row r="1871" spans="1:6" x14ac:dyDescent="0.15">
      <c r="A1871">
        <v>12211036</v>
      </c>
      <c r="B1871">
        <v>12083970</v>
      </c>
      <c r="C1871" t="s">
        <v>163</v>
      </c>
      <c r="D1871" t="s">
        <v>114</v>
      </c>
      <c r="E1871" s="4" t="str">
        <f>HYPERLINK("https://ibp.a2mac1.com/costing(costing:projects/details/9760/equipment/12211036)","DC machine - General")</f>
        <v>DC machine - General</v>
      </c>
      <c r="F1871" t="s">
        <v>2309</v>
      </c>
    </row>
    <row r="1872" spans="1:6" x14ac:dyDescent="0.15">
      <c r="A1872">
        <v>8412644</v>
      </c>
      <c r="B1872">
        <v>8412568</v>
      </c>
      <c r="C1872" t="s">
        <v>10</v>
      </c>
      <c r="D1872" t="s">
        <v>8</v>
      </c>
      <c r="E1872" s="4" t="str">
        <f>HYPERLINK("https://ibp.a2mac1.com/costing(costing:projects/details/9760/part/8412644)","Frame Protection")</f>
        <v>Frame Protection</v>
      </c>
      <c r="F1872" t="s">
        <v>2286</v>
      </c>
    </row>
    <row r="1873" spans="1:6" x14ac:dyDescent="0.15">
      <c r="A1873">
        <v>12083855</v>
      </c>
      <c r="B1873">
        <v>8412644</v>
      </c>
      <c r="C1873" t="s">
        <v>114</v>
      </c>
      <c r="D1873" t="s">
        <v>10</v>
      </c>
      <c r="E1873" s="4" t="str">
        <f>HYPERLINK("https://ibp.a2mac1.com/costing(costing:projects/details/9760/process/12083855)","Automated Process")</f>
        <v>Automated Process</v>
      </c>
      <c r="F1873" t="s">
        <v>2312</v>
      </c>
    </row>
    <row r="1874" spans="1:6" x14ac:dyDescent="0.15">
      <c r="A1874">
        <v>8752740</v>
      </c>
      <c r="B1874">
        <v>12083855</v>
      </c>
      <c r="C1874" t="s">
        <v>22</v>
      </c>
      <c r="D1874" t="s">
        <v>114</v>
      </c>
      <c r="E1874" s="4" t="str">
        <f>HYPERLINK("https://ibp.a2mac1.com/costing(costing:projects/details/9760/material/8752740)","PP-EPDM-TD20 adjusted (part)")</f>
        <v>PP-EPDM-TD20 adjusted (part)</v>
      </c>
      <c r="F1874" t="s">
        <v>2313</v>
      </c>
    </row>
    <row r="1875" spans="1:6" x14ac:dyDescent="0.15">
      <c r="A1875">
        <v>12210912</v>
      </c>
      <c r="B1875">
        <v>12083855</v>
      </c>
      <c r="C1875" t="s">
        <v>163</v>
      </c>
      <c r="D1875" t="s">
        <v>114</v>
      </c>
      <c r="E1875" s="4" t="str">
        <f>HYPERLINK("https://ibp.a2mac1.com/costing(costing:projects/details/9760/equipment/12210912)","DC machine - General")</f>
        <v>DC machine - General</v>
      </c>
      <c r="F1875" t="s">
        <v>2313</v>
      </c>
    </row>
    <row r="1876" spans="1:6" x14ac:dyDescent="0.15">
      <c r="A1876">
        <v>8412645</v>
      </c>
      <c r="B1876">
        <v>8412568</v>
      </c>
      <c r="C1876" t="s">
        <v>10</v>
      </c>
      <c r="D1876" t="s">
        <v>8</v>
      </c>
      <c r="E1876" s="4" t="str">
        <f>HYPERLINK("https://ibp.a2mac1.com/costing(costing:projects/details/9760/part/8412645)","2nd Frame Protection")</f>
        <v>2nd Frame Protection</v>
      </c>
      <c r="F1876" t="s">
        <v>2286</v>
      </c>
    </row>
    <row r="1877" spans="1:6" x14ac:dyDescent="0.15">
      <c r="A1877">
        <v>12083856</v>
      </c>
      <c r="B1877">
        <v>8412645</v>
      </c>
      <c r="C1877" t="s">
        <v>114</v>
      </c>
      <c r="D1877" t="s">
        <v>10</v>
      </c>
      <c r="E1877" s="4" t="str">
        <f>HYPERLINK("https://ibp.a2mac1.com/costing(costing:projects/details/9760/process/12083856)","Automated Process")</f>
        <v>Automated Process</v>
      </c>
      <c r="F1877" t="s">
        <v>2315</v>
      </c>
    </row>
    <row r="1878" spans="1:6" x14ac:dyDescent="0.15">
      <c r="A1878">
        <v>8752741</v>
      </c>
      <c r="B1878">
        <v>12083856</v>
      </c>
      <c r="C1878" t="s">
        <v>22</v>
      </c>
      <c r="D1878" t="s">
        <v>114</v>
      </c>
      <c r="E1878" s="4" t="str">
        <f>HYPERLINK("https://ibp.a2mac1.com/costing(costing:projects/details/9760/material/8752741)","PP-EPDM-TD20 adjusted (part)")</f>
        <v>PP-EPDM-TD20 adjusted (part)</v>
      </c>
      <c r="F1878" t="s">
        <v>2316</v>
      </c>
    </row>
    <row r="1879" spans="1:6" x14ac:dyDescent="0.15">
      <c r="A1879">
        <v>12210945</v>
      </c>
      <c r="B1879">
        <v>12083856</v>
      </c>
      <c r="C1879" t="s">
        <v>163</v>
      </c>
      <c r="D1879" t="s">
        <v>114</v>
      </c>
      <c r="E1879" s="4" t="str">
        <f>HYPERLINK("https://ibp.a2mac1.com/costing(costing:projects/details/9760/equipment/12210945)","DC machine - General")</f>
        <v>DC machine - General</v>
      </c>
      <c r="F1879" t="s">
        <v>2316</v>
      </c>
    </row>
    <row r="1880" spans="1:6" x14ac:dyDescent="0.15">
      <c r="A1880">
        <v>8412646</v>
      </c>
      <c r="B1880">
        <v>8412568</v>
      </c>
      <c r="C1880" t="s">
        <v>10</v>
      </c>
      <c r="D1880" t="s">
        <v>8</v>
      </c>
      <c r="E1880" s="4" t="str">
        <f>HYPERLINK("https://ibp.a2mac1.com/costing(costing:projects/details/9760/part/8412646)","Cover Fastener")</f>
        <v>Cover Fastener</v>
      </c>
      <c r="F1880" t="s">
        <v>2286</v>
      </c>
    </row>
    <row r="1881" spans="1:6" x14ac:dyDescent="0.15">
      <c r="A1881">
        <v>12083857</v>
      </c>
      <c r="B1881">
        <v>8412646</v>
      </c>
      <c r="C1881" t="s">
        <v>114</v>
      </c>
      <c r="D1881" t="s">
        <v>10</v>
      </c>
      <c r="E1881" s="4" t="str">
        <f>HYPERLINK("https://ibp.a2mac1.com/costing(costing:projects/details/9760/process/12083857)","Automated Process")</f>
        <v>Automated Process</v>
      </c>
      <c r="F1881" t="s">
        <v>2318</v>
      </c>
    </row>
    <row r="1882" spans="1:6" x14ac:dyDescent="0.15">
      <c r="A1882">
        <v>8752742</v>
      </c>
      <c r="B1882">
        <v>12083857</v>
      </c>
      <c r="C1882" t="s">
        <v>22</v>
      </c>
      <c r="D1882" t="s">
        <v>114</v>
      </c>
      <c r="E1882" s="4" t="str">
        <f>HYPERLINK("https://ibp.a2mac1.com/costing(costing:projects/details/9760/material/8752742)","PP-GF15 adjusted (part)")</f>
        <v>PP-GF15 adjusted (part)</v>
      </c>
      <c r="F1882" t="s">
        <v>2319</v>
      </c>
    </row>
    <row r="1883" spans="1:6" x14ac:dyDescent="0.15">
      <c r="A1883">
        <v>12210946</v>
      </c>
      <c r="B1883">
        <v>12083857</v>
      </c>
      <c r="C1883" t="s">
        <v>163</v>
      </c>
      <c r="D1883" t="s">
        <v>114</v>
      </c>
      <c r="E1883" s="4" t="str">
        <f>HYPERLINK("https://ibp.a2mac1.com/costing(costing:projects/details/9760/equipment/12210946)","DC machine - General")</f>
        <v>DC machine - General</v>
      </c>
      <c r="F1883" t="s">
        <v>2319</v>
      </c>
    </row>
    <row r="1884" spans="1:6" x14ac:dyDescent="0.15">
      <c r="A1884">
        <v>8412649</v>
      </c>
      <c r="B1884">
        <v>8412568</v>
      </c>
      <c r="C1884" t="s">
        <v>10</v>
      </c>
      <c r="D1884" t="s">
        <v>8</v>
      </c>
      <c r="E1884" s="4" t="str">
        <f>HYPERLINK("https://ibp.a2mac1.com/costing(costing:projects/details/9760/part/8412649)","Suspension")</f>
        <v>Suspension</v>
      </c>
      <c r="F1884" t="s">
        <v>2286</v>
      </c>
    </row>
    <row r="1885" spans="1:6" x14ac:dyDescent="0.15">
      <c r="A1885">
        <v>8412650</v>
      </c>
      <c r="B1885">
        <v>8412568</v>
      </c>
      <c r="C1885" t="s">
        <v>10</v>
      </c>
      <c r="D1885" t="s">
        <v>8</v>
      </c>
      <c r="E1885" s="4" t="str">
        <f>HYPERLINK("https://ibp.a2mac1.com/costing(costing:projects/details/9760/part/8412650)","Frame")</f>
        <v>Frame</v>
      </c>
      <c r="F1885" t="s">
        <v>2286</v>
      </c>
    </row>
    <row r="1886" spans="1:6" x14ac:dyDescent="0.15">
      <c r="A1886">
        <v>12083858</v>
      </c>
      <c r="B1886">
        <v>8412650</v>
      </c>
      <c r="C1886" t="s">
        <v>114</v>
      </c>
      <c r="D1886" t="s">
        <v>10</v>
      </c>
      <c r="E1886" s="4" t="str">
        <f>HYPERLINK("https://ibp.a2mac1.com/costing(costing:projects/details/9760/process/12083858)","Automated Process")</f>
        <v>Automated Process</v>
      </c>
      <c r="F1886" t="s">
        <v>2322</v>
      </c>
    </row>
    <row r="1887" spans="1:6" x14ac:dyDescent="0.15">
      <c r="A1887">
        <v>8752743</v>
      </c>
      <c r="B1887">
        <v>12083858</v>
      </c>
      <c r="C1887" t="s">
        <v>22</v>
      </c>
      <c r="D1887" t="s">
        <v>114</v>
      </c>
      <c r="E1887" s="4" t="str">
        <f>HYPERLINK("https://ibp.a2mac1.com/costing(costing:projects/details/9760/material/8752743)","Steel sheet (default) adjusted (part)")</f>
        <v>Steel sheet (default) adjusted (part)</v>
      </c>
      <c r="F1887" t="s">
        <v>2323</v>
      </c>
    </row>
    <row r="1888" spans="1:6" x14ac:dyDescent="0.15">
      <c r="A1888">
        <v>12210947</v>
      </c>
      <c r="B1888">
        <v>12083858</v>
      </c>
      <c r="C1888" t="s">
        <v>163</v>
      </c>
      <c r="D1888" t="s">
        <v>114</v>
      </c>
      <c r="E1888" s="4" t="str">
        <f>HYPERLINK("https://ibp.a2mac1.com/costing(costing:projects/details/9760/equipment/12210947)","DC machine - General")</f>
        <v>DC machine - General</v>
      </c>
      <c r="F1888" t="s">
        <v>2323</v>
      </c>
    </row>
    <row r="1889" spans="1:6" x14ac:dyDescent="0.15">
      <c r="A1889">
        <v>8412651</v>
      </c>
      <c r="B1889">
        <v>8412568</v>
      </c>
      <c r="C1889" t="s">
        <v>10</v>
      </c>
      <c r="D1889" t="s">
        <v>8</v>
      </c>
      <c r="E1889" s="4" t="str">
        <f>HYPERLINK("https://ibp.a2mac1.com/costing(costing:projects/details/9760/part/8412651)","2nd Pad")</f>
        <v>2nd Pad</v>
      </c>
      <c r="F1889" t="s">
        <v>2286</v>
      </c>
    </row>
    <row r="1890" spans="1:6" x14ac:dyDescent="0.15">
      <c r="A1890">
        <v>12083859</v>
      </c>
      <c r="B1890">
        <v>8412651</v>
      </c>
      <c r="C1890" t="s">
        <v>114</v>
      </c>
      <c r="D1890" t="s">
        <v>10</v>
      </c>
      <c r="E1890" s="4" t="str">
        <f>HYPERLINK("https://ibp.a2mac1.com/costing(costing:projects/details/9760/process/12083859)","Automated Process")</f>
        <v>Automated Process</v>
      </c>
      <c r="F1890" t="s">
        <v>2325</v>
      </c>
    </row>
    <row r="1891" spans="1:6" x14ac:dyDescent="0.15">
      <c r="A1891">
        <v>8752744</v>
      </c>
      <c r="B1891">
        <v>12083859</v>
      </c>
      <c r="C1891" t="s">
        <v>22</v>
      </c>
      <c r="D1891" t="s">
        <v>114</v>
      </c>
      <c r="E1891" s="4" t="str">
        <f>HYPERLINK("https://ibp.a2mac1.com/costing(costing:projects/details/9760/material/8752744)","PUR adjusted (part)")</f>
        <v>PUR adjusted (part)</v>
      </c>
      <c r="F1891" t="s">
        <v>2326</v>
      </c>
    </row>
    <row r="1892" spans="1:6" x14ac:dyDescent="0.15">
      <c r="A1892">
        <v>12210948</v>
      </c>
      <c r="B1892">
        <v>12083859</v>
      </c>
      <c r="C1892" t="s">
        <v>163</v>
      </c>
      <c r="D1892" t="s">
        <v>114</v>
      </c>
      <c r="E1892" s="4" t="str">
        <f>HYPERLINK("https://ibp.a2mac1.com/costing(costing:projects/details/9760/equipment/12210948)","DC machine - General")</f>
        <v>DC machine - General</v>
      </c>
      <c r="F1892" t="s">
        <v>2326</v>
      </c>
    </row>
    <row r="1893" spans="1:6" x14ac:dyDescent="0.15">
      <c r="A1893">
        <v>8412652</v>
      </c>
      <c r="B1893">
        <v>8412568</v>
      </c>
      <c r="C1893" t="s">
        <v>10</v>
      </c>
      <c r="D1893" t="s">
        <v>8</v>
      </c>
      <c r="E1893" s="4" t="str">
        <f>HYPERLINK("https://ibp.a2mac1.com/costing(costing:projects/details/9760/part/8412652)","Pad")</f>
        <v>Pad</v>
      </c>
      <c r="F1893" t="s">
        <v>2286</v>
      </c>
    </row>
    <row r="1894" spans="1:6" x14ac:dyDescent="0.15">
      <c r="A1894">
        <v>12083860</v>
      </c>
      <c r="B1894">
        <v>8412652</v>
      </c>
      <c r="C1894" t="s">
        <v>114</v>
      </c>
      <c r="D1894" t="s">
        <v>10</v>
      </c>
      <c r="E1894" s="4" t="str">
        <f>HYPERLINK("https://ibp.a2mac1.com/costing(costing:projects/details/9760/process/12083860)","Automated Process")</f>
        <v>Automated Process</v>
      </c>
      <c r="F1894" t="s">
        <v>2328</v>
      </c>
    </row>
    <row r="1895" spans="1:6" x14ac:dyDescent="0.15">
      <c r="A1895">
        <v>8752745</v>
      </c>
      <c r="B1895">
        <v>12083860</v>
      </c>
      <c r="C1895" t="s">
        <v>22</v>
      </c>
      <c r="D1895" t="s">
        <v>114</v>
      </c>
      <c r="E1895" s="4" t="str">
        <f>HYPERLINK("https://ibp.a2mac1.com/costing(costing:projects/details/9760/material/8752745)","PUR adjusted (part)")</f>
        <v>PUR adjusted (part)</v>
      </c>
      <c r="F1895" t="s">
        <v>2329</v>
      </c>
    </row>
    <row r="1896" spans="1:6" x14ac:dyDescent="0.15">
      <c r="A1896">
        <v>12210949</v>
      </c>
      <c r="B1896">
        <v>12083860</v>
      </c>
      <c r="C1896" t="s">
        <v>163</v>
      </c>
      <c r="D1896" t="s">
        <v>114</v>
      </c>
      <c r="E1896" s="4" t="str">
        <f>HYPERLINK("https://ibp.a2mac1.com/costing(costing:projects/details/9760/equipment/12210949)","DC machine - General")</f>
        <v>DC machine - General</v>
      </c>
      <c r="F1896" t="s">
        <v>2329</v>
      </c>
    </row>
    <row r="1897" spans="1:6" x14ac:dyDescent="0.15">
      <c r="A1897">
        <v>8412653</v>
      </c>
      <c r="B1897">
        <v>8412568</v>
      </c>
      <c r="C1897" t="s">
        <v>10</v>
      </c>
      <c r="D1897" t="s">
        <v>8</v>
      </c>
      <c r="E1897" s="4" t="str">
        <f>HYPERLINK("https://ibp.a2mac1.com/costing(costing:projects/details/9760/part/8412653)","Cover")</f>
        <v>Cover</v>
      </c>
      <c r="F1897" t="s">
        <v>2286</v>
      </c>
    </row>
    <row r="1898" spans="1:6" x14ac:dyDescent="0.15">
      <c r="A1898">
        <v>12083861</v>
      </c>
      <c r="B1898">
        <v>8412653</v>
      </c>
      <c r="C1898" t="s">
        <v>114</v>
      </c>
      <c r="D1898" t="s">
        <v>10</v>
      </c>
      <c r="E1898" s="4" t="str">
        <f>HYPERLINK("https://ibp.a2mac1.com/costing(costing:projects/details/9760/process/12083861)","Automated Process")</f>
        <v>Automated Process</v>
      </c>
      <c r="F1898" t="s">
        <v>2331</v>
      </c>
    </row>
    <row r="1899" spans="1:6" x14ac:dyDescent="0.15">
      <c r="A1899">
        <v>8752746</v>
      </c>
      <c r="B1899">
        <v>12083861</v>
      </c>
      <c r="C1899" t="s">
        <v>22</v>
      </c>
      <c r="D1899" t="s">
        <v>114</v>
      </c>
      <c r="E1899" s="4" t="str">
        <f>HYPERLINK("https://ibp.a2mac1.com/costing(costing:projects/details/9760/material/8752746)","Leather")</f>
        <v>Leather</v>
      </c>
      <c r="F1899" t="s">
        <v>2332</v>
      </c>
    </row>
    <row r="1900" spans="1:6" x14ac:dyDescent="0.15">
      <c r="A1900">
        <v>12210950</v>
      </c>
      <c r="B1900">
        <v>12083861</v>
      </c>
      <c r="C1900" t="s">
        <v>163</v>
      </c>
      <c r="D1900" t="s">
        <v>114</v>
      </c>
      <c r="E1900" s="4" t="str">
        <f>HYPERLINK("https://ibp.a2mac1.com/costing(costing:projects/details/9760/equipment/12210950)","DC machine - General")</f>
        <v>DC machine - General</v>
      </c>
      <c r="F1900" t="s">
        <v>2332</v>
      </c>
    </row>
    <row r="1901" spans="1:6" x14ac:dyDescent="0.15">
      <c r="A1901">
        <v>8412569</v>
      </c>
      <c r="B1901">
        <v>8412550</v>
      </c>
      <c r="C1901" t="s">
        <v>8</v>
      </c>
      <c r="D1901" t="s">
        <v>8</v>
      </c>
      <c r="E1901" s="4" t="str">
        <f>HYPERLINK("https://ibp.a2mac1.com/costing(costing:projects/details/9760/assembly/8412569)","Cushion")</f>
        <v>Cushion</v>
      </c>
      <c r="F1901" t="s">
        <v>2260</v>
      </c>
    </row>
    <row r="1902" spans="1:6" x14ac:dyDescent="0.15">
      <c r="A1902">
        <v>8412659</v>
      </c>
      <c r="B1902">
        <v>8412569</v>
      </c>
      <c r="C1902" t="s">
        <v>8</v>
      </c>
      <c r="D1902" t="s">
        <v>8</v>
      </c>
      <c r="E1902" s="4" t="str">
        <f>HYPERLINK("https://ibp.a2mac1.com/costing(costing:projects/details/9760/assembly/8412659)","Garnish")</f>
        <v>Garnish</v>
      </c>
      <c r="F1902" t="s">
        <v>2335</v>
      </c>
    </row>
    <row r="1903" spans="1:6" x14ac:dyDescent="0.15">
      <c r="A1903">
        <v>8412739</v>
      </c>
      <c r="B1903">
        <v>8412659</v>
      </c>
      <c r="C1903" t="s">
        <v>10</v>
      </c>
      <c r="D1903" t="s">
        <v>8</v>
      </c>
      <c r="E1903" s="4" t="str">
        <f>HYPERLINK("https://ibp.a2mac1.com/costing(costing:projects/details/9760/part/8412739)","Outer Side")</f>
        <v>Outer Side</v>
      </c>
      <c r="F1903" t="s">
        <v>2336</v>
      </c>
    </row>
    <row r="1904" spans="1:6" x14ac:dyDescent="0.15">
      <c r="A1904">
        <v>12083971</v>
      </c>
      <c r="B1904">
        <v>8412739</v>
      </c>
      <c r="C1904" t="s">
        <v>114</v>
      </c>
      <c r="D1904" t="s">
        <v>10</v>
      </c>
      <c r="E1904" s="4" t="str">
        <f>HYPERLINK("https://ibp.a2mac1.com/costing(costing:projects/details/9760/process/12083971)","Automated Process")</f>
        <v>Automated Process</v>
      </c>
      <c r="F1904" t="s">
        <v>2337</v>
      </c>
    </row>
    <row r="1905" spans="1:6" x14ac:dyDescent="0.15">
      <c r="A1905">
        <v>8752853</v>
      </c>
      <c r="B1905">
        <v>12083971</v>
      </c>
      <c r="C1905" t="s">
        <v>22</v>
      </c>
      <c r="D1905" t="s">
        <v>114</v>
      </c>
      <c r="E1905" s="4" t="str">
        <f>HYPERLINK("https://ibp.a2mac1.com/costing(costing:projects/details/9760/material/8752853)","PP-EPDM-TD20 adjusted (part)")</f>
        <v>PP-EPDM-TD20 adjusted (part)</v>
      </c>
      <c r="F1905" t="s">
        <v>2338</v>
      </c>
    </row>
    <row r="1906" spans="1:6" x14ac:dyDescent="0.15">
      <c r="A1906">
        <v>12211037</v>
      </c>
      <c r="B1906">
        <v>12083971</v>
      </c>
      <c r="C1906" t="s">
        <v>163</v>
      </c>
      <c r="D1906" t="s">
        <v>114</v>
      </c>
      <c r="E1906" s="4" t="str">
        <f>HYPERLINK("https://ibp.a2mac1.com/costing(costing:projects/details/9760/equipment/12211037)","DC machine - General")</f>
        <v>DC machine - General</v>
      </c>
      <c r="F1906" t="s">
        <v>2338</v>
      </c>
    </row>
    <row r="1907" spans="1:6" x14ac:dyDescent="0.15">
      <c r="A1907">
        <v>8412740</v>
      </c>
      <c r="B1907">
        <v>8412659</v>
      </c>
      <c r="C1907" t="s">
        <v>10</v>
      </c>
      <c r="D1907" t="s">
        <v>8</v>
      </c>
      <c r="E1907" s="4" t="str">
        <f>HYPERLINK("https://ibp.a2mac1.com/costing(costing:projects/details/9760/part/8412740)","Inner Side")</f>
        <v>Inner Side</v>
      </c>
      <c r="F1907" t="s">
        <v>2336</v>
      </c>
    </row>
    <row r="1908" spans="1:6" x14ac:dyDescent="0.15">
      <c r="A1908">
        <v>12083972</v>
      </c>
      <c r="B1908">
        <v>8412740</v>
      </c>
      <c r="C1908" t="s">
        <v>114</v>
      </c>
      <c r="D1908" t="s">
        <v>10</v>
      </c>
      <c r="E1908" s="4" t="str">
        <f>HYPERLINK("https://ibp.a2mac1.com/costing(costing:projects/details/9760/process/12083972)","Automated Process")</f>
        <v>Automated Process</v>
      </c>
      <c r="F1908" t="s">
        <v>2340</v>
      </c>
    </row>
    <row r="1909" spans="1:6" x14ac:dyDescent="0.15">
      <c r="A1909">
        <v>8752854</v>
      </c>
      <c r="B1909">
        <v>12083972</v>
      </c>
      <c r="C1909" t="s">
        <v>22</v>
      </c>
      <c r="D1909" t="s">
        <v>114</v>
      </c>
      <c r="E1909" s="4" t="str">
        <f>HYPERLINK("https://ibp.a2mac1.com/costing(costing:projects/details/9760/material/8752854)","PP-EPDM-TD20 adjusted (part)")</f>
        <v>PP-EPDM-TD20 adjusted (part)</v>
      </c>
      <c r="F1909" t="s">
        <v>2341</v>
      </c>
    </row>
    <row r="1910" spans="1:6" x14ac:dyDescent="0.15">
      <c r="A1910">
        <v>12211038</v>
      </c>
      <c r="B1910">
        <v>12083972</v>
      </c>
      <c r="C1910" t="s">
        <v>163</v>
      </c>
      <c r="D1910" t="s">
        <v>114</v>
      </c>
      <c r="E1910" s="4" t="str">
        <f>HYPERLINK("https://ibp.a2mac1.com/costing(costing:projects/details/9760/equipment/12211038)","DC machine - General")</f>
        <v>DC machine - General</v>
      </c>
      <c r="F1910" t="s">
        <v>2341</v>
      </c>
    </row>
    <row r="1911" spans="1:6" x14ac:dyDescent="0.15">
      <c r="A1911">
        <v>8412741</v>
      </c>
      <c r="B1911">
        <v>8412659</v>
      </c>
      <c r="C1911" t="s">
        <v>10</v>
      </c>
      <c r="D1911" t="s">
        <v>8</v>
      </c>
      <c r="E1911" s="4" t="str">
        <f>HYPERLINK("https://ibp.a2mac1.com/costing(costing:projects/details/9760/part/8412741)","2nd Outer Cover")</f>
        <v>2nd Outer Cover</v>
      </c>
      <c r="F1911" t="s">
        <v>2336</v>
      </c>
    </row>
    <row r="1912" spans="1:6" x14ac:dyDescent="0.15">
      <c r="A1912">
        <v>12083973</v>
      </c>
      <c r="B1912">
        <v>8412741</v>
      </c>
      <c r="C1912" t="s">
        <v>114</v>
      </c>
      <c r="D1912" t="s">
        <v>10</v>
      </c>
      <c r="E1912" s="4" t="str">
        <f>HYPERLINK("https://ibp.a2mac1.com/costing(costing:projects/details/9760/process/12083973)","Automated Process")</f>
        <v>Automated Process</v>
      </c>
      <c r="F1912" t="s">
        <v>2343</v>
      </c>
    </row>
    <row r="1913" spans="1:6" x14ac:dyDescent="0.15">
      <c r="A1913">
        <v>8752855</v>
      </c>
      <c r="B1913">
        <v>12083973</v>
      </c>
      <c r="C1913" t="s">
        <v>22</v>
      </c>
      <c r="D1913" t="s">
        <v>114</v>
      </c>
      <c r="E1913" s="4" t="str">
        <f>HYPERLINK("https://ibp.a2mac1.com/costing(costing:projects/details/9760/material/8752855)","PP-EPDM-TD20 adjusted (part)")</f>
        <v>PP-EPDM-TD20 adjusted (part)</v>
      </c>
      <c r="F1913" t="s">
        <v>2344</v>
      </c>
    </row>
    <row r="1914" spans="1:6" x14ac:dyDescent="0.15">
      <c r="A1914">
        <v>12211039</v>
      </c>
      <c r="B1914">
        <v>12083973</v>
      </c>
      <c r="C1914" t="s">
        <v>163</v>
      </c>
      <c r="D1914" t="s">
        <v>114</v>
      </c>
      <c r="E1914" s="4" t="str">
        <f>HYPERLINK("https://ibp.a2mac1.com/costing(costing:projects/details/9760/equipment/12211039)","DC machine - General")</f>
        <v>DC machine - General</v>
      </c>
      <c r="F1914" t="s">
        <v>2344</v>
      </c>
    </row>
    <row r="1915" spans="1:6" x14ac:dyDescent="0.15">
      <c r="A1915">
        <v>8412742</v>
      </c>
      <c r="B1915">
        <v>8412659</v>
      </c>
      <c r="C1915" t="s">
        <v>10</v>
      </c>
      <c r="D1915" t="s">
        <v>8</v>
      </c>
      <c r="E1915" s="4" t="str">
        <f>HYPERLINK("https://ibp.a2mac1.com/costing(costing:projects/details/9760/part/8412742)","Exterior Trim Support")</f>
        <v>Exterior Trim Support</v>
      </c>
      <c r="F1915" t="s">
        <v>2336</v>
      </c>
    </row>
    <row r="1916" spans="1:6" x14ac:dyDescent="0.15">
      <c r="A1916">
        <v>12083974</v>
      </c>
      <c r="B1916">
        <v>8412742</v>
      </c>
      <c r="C1916" t="s">
        <v>114</v>
      </c>
      <c r="D1916" t="s">
        <v>10</v>
      </c>
      <c r="E1916" s="4" t="str">
        <f>HYPERLINK("https://ibp.a2mac1.com/costing(costing:projects/details/9760/process/12083974)","Automated Process")</f>
        <v>Automated Process</v>
      </c>
      <c r="F1916" t="s">
        <v>2346</v>
      </c>
    </row>
    <row r="1917" spans="1:6" x14ac:dyDescent="0.15">
      <c r="A1917">
        <v>8752856</v>
      </c>
      <c r="B1917">
        <v>12083974</v>
      </c>
      <c r="C1917" t="s">
        <v>22</v>
      </c>
      <c r="D1917" t="s">
        <v>114</v>
      </c>
      <c r="E1917" s="4" t="str">
        <f>HYPERLINK("https://ibp.a2mac1.com/costing(costing:projects/details/9760/material/8752856)","Steel sheet (default) adjusted (part)")</f>
        <v>Steel sheet (default) adjusted (part)</v>
      </c>
      <c r="F1917" t="s">
        <v>2347</v>
      </c>
    </row>
    <row r="1918" spans="1:6" x14ac:dyDescent="0.15">
      <c r="A1918">
        <v>12211040</v>
      </c>
      <c r="B1918">
        <v>12083974</v>
      </c>
      <c r="C1918" t="s">
        <v>163</v>
      </c>
      <c r="D1918" t="s">
        <v>114</v>
      </c>
      <c r="E1918" s="4" t="str">
        <f>HYPERLINK("https://ibp.a2mac1.com/costing(costing:projects/details/9760/equipment/12211040)","DC machine - General")</f>
        <v>DC machine - General</v>
      </c>
      <c r="F1918" t="s">
        <v>2347</v>
      </c>
    </row>
    <row r="1919" spans="1:6" x14ac:dyDescent="0.15">
      <c r="A1919">
        <v>8412743</v>
      </c>
      <c r="B1919">
        <v>8412659</v>
      </c>
      <c r="C1919" t="s">
        <v>10</v>
      </c>
      <c r="D1919" t="s">
        <v>8</v>
      </c>
      <c r="E1919" s="4" t="str">
        <f>HYPERLINK("https://ibp.a2mac1.com/costing(costing:projects/details/9760/part/8412743)","Exterior Trim 2nd Support")</f>
        <v>Exterior Trim 2nd Support</v>
      </c>
      <c r="F1919" t="s">
        <v>2336</v>
      </c>
    </row>
    <row r="1920" spans="1:6" x14ac:dyDescent="0.15">
      <c r="A1920">
        <v>12083975</v>
      </c>
      <c r="B1920">
        <v>8412743</v>
      </c>
      <c r="C1920" t="s">
        <v>114</v>
      </c>
      <c r="D1920" t="s">
        <v>10</v>
      </c>
      <c r="E1920" s="4" t="str">
        <f>HYPERLINK("https://ibp.a2mac1.com/costing(costing:projects/details/9760/process/12083975)","Automated Process")</f>
        <v>Automated Process</v>
      </c>
      <c r="F1920" t="s">
        <v>2349</v>
      </c>
    </row>
    <row r="1921" spans="1:6" x14ac:dyDescent="0.15">
      <c r="A1921">
        <v>8752857</v>
      </c>
      <c r="B1921">
        <v>12083975</v>
      </c>
      <c r="C1921" t="s">
        <v>22</v>
      </c>
      <c r="D1921" t="s">
        <v>114</v>
      </c>
      <c r="E1921" s="4" t="str">
        <f>HYPERLINK("https://ibp.a2mac1.com/costing(costing:projects/details/9760/material/8752857)","PP-EPDM-TD20 adjusted (part)")</f>
        <v>PP-EPDM-TD20 adjusted (part)</v>
      </c>
      <c r="F1921" t="s">
        <v>2350</v>
      </c>
    </row>
    <row r="1922" spans="1:6" x14ac:dyDescent="0.15">
      <c r="A1922">
        <v>12211041</v>
      </c>
      <c r="B1922">
        <v>12083975</v>
      </c>
      <c r="C1922" t="s">
        <v>163</v>
      </c>
      <c r="D1922" t="s">
        <v>114</v>
      </c>
      <c r="E1922" s="4" t="str">
        <f>HYPERLINK("https://ibp.a2mac1.com/costing(costing:projects/details/9760/equipment/12211041)","DC machine - General")</f>
        <v>DC machine - General</v>
      </c>
      <c r="F1922" t="s">
        <v>2350</v>
      </c>
    </row>
    <row r="1923" spans="1:6" x14ac:dyDescent="0.15">
      <c r="A1923">
        <v>8412744</v>
      </c>
      <c r="B1923">
        <v>8412659</v>
      </c>
      <c r="C1923" t="s">
        <v>10</v>
      </c>
      <c r="D1923" t="s">
        <v>8</v>
      </c>
      <c r="E1923" s="4" t="str">
        <f>HYPERLINK("https://ibp.a2mac1.com/costing(costing:projects/details/9760/part/8412744)","Interior Trim Support")</f>
        <v>Interior Trim Support</v>
      </c>
      <c r="F1923" t="s">
        <v>2336</v>
      </c>
    </row>
    <row r="1924" spans="1:6" x14ac:dyDescent="0.15">
      <c r="A1924">
        <v>12083976</v>
      </c>
      <c r="B1924">
        <v>8412744</v>
      </c>
      <c r="C1924" t="s">
        <v>114</v>
      </c>
      <c r="D1924" t="s">
        <v>10</v>
      </c>
      <c r="E1924" s="4" t="str">
        <f>HYPERLINK("https://ibp.a2mac1.com/costing(costing:projects/details/9760/process/12083976)","Automated Process")</f>
        <v>Automated Process</v>
      </c>
      <c r="F1924" t="s">
        <v>2352</v>
      </c>
    </row>
    <row r="1925" spans="1:6" x14ac:dyDescent="0.15">
      <c r="A1925">
        <v>8752858</v>
      </c>
      <c r="B1925">
        <v>12083976</v>
      </c>
      <c r="C1925" t="s">
        <v>22</v>
      </c>
      <c r="D1925" t="s">
        <v>114</v>
      </c>
      <c r="E1925" s="4" t="str">
        <f>HYPERLINK("https://ibp.a2mac1.com/costing(costing:projects/details/9760/material/8752858)","PP-EPDM-TD20 adjusted (part)")</f>
        <v>PP-EPDM-TD20 adjusted (part)</v>
      </c>
      <c r="F1925" t="s">
        <v>2353</v>
      </c>
    </row>
    <row r="1926" spans="1:6" x14ac:dyDescent="0.15">
      <c r="A1926">
        <v>12211042</v>
      </c>
      <c r="B1926">
        <v>12083976</v>
      </c>
      <c r="C1926" t="s">
        <v>163</v>
      </c>
      <c r="D1926" t="s">
        <v>114</v>
      </c>
      <c r="E1926" s="4" t="str">
        <f>HYPERLINK("https://ibp.a2mac1.com/costing(costing:projects/details/9760/equipment/12211042)","DC machine - General")</f>
        <v>DC machine - General</v>
      </c>
      <c r="F1926" t="s">
        <v>2353</v>
      </c>
    </row>
    <row r="1927" spans="1:6" x14ac:dyDescent="0.15">
      <c r="A1927">
        <v>8412654</v>
      </c>
      <c r="B1927">
        <v>8412569</v>
      </c>
      <c r="C1927" t="s">
        <v>10</v>
      </c>
      <c r="D1927" t="s">
        <v>8</v>
      </c>
      <c r="E1927" s="4" t="str">
        <f>HYPERLINK("https://ibp.a2mac1.com/costing(costing:projects/details/9760/part/8412654)","Cover")</f>
        <v>Cover</v>
      </c>
      <c r="F1927" t="s">
        <v>2335</v>
      </c>
    </row>
    <row r="1928" spans="1:6" x14ac:dyDescent="0.15">
      <c r="A1928">
        <v>12083862</v>
      </c>
      <c r="B1928">
        <v>8412654</v>
      </c>
      <c r="C1928" t="s">
        <v>114</v>
      </c>
      <c r="D1928" t="s">
        <v>10</v>
      </c>
      <c r="E1928" s="4" t="str">
        <f>HYPERLINK("https://ibp.a2mac1.com/costing(costing:projects/details/9760/process/12083862)","Automated Process")</f>
        <v>Automated Process</v>
      </c>
      <c r="F1928" t="s">
        <v>2356</v>
      </c>
    </row>
    <row r="1929" spans="1:6" x14ac:dyDescent="0.15">
      <c r="A1929">
        <v>8752747</v>
      </c>
      <c r="B1929">
        <v>12083862</v>
      </c>
      <c r="C1929" t="s">
        <v>22</v>
      </c>
      <c r="D1929" t="s">
        <v>114</v>
      </c>
      <c r="E1929" s="4" t="str">
        <f>HYPERLINK("https://ibp.a2mac1.com/costing(costing:projects/details/9760/material/8752747)","Leather ")</f>
        <v xml:space="preserve">Leather </v>
      </c>
      <c r="F1929" t="s">
        <v>2357</v>
      </c>
    </row>
    <row r="1930" spans="1:6" x14ac:dyDescent="0.15">
      <c r="A1930">
        <v>12210951</v>
      </c>
      <c r="B1930">
        <v>12083862</v>
      </c>
      <c r="C1930" t="s">
        <v>163</v>
      </c>
      <c r="D1930" t="s">
        <v>114</v>
      </c>
      <c r="E1930" s="4" t="str">
        <f>HYPERLINK("https://ibp.a2mac1.com/costing(costing:projects/details/9760/equipment/12210951)","DC machine - General")</f>
        <v>DC machine - General</v>
      </c>
      <c r="F1930" t="s">
        <v>2357</v>
      </c>
    </row>
    <row r="1931" spans="1:6" x14ac:dyDescent="0.15">
      <c r="A1931">
        <v>8412655</v>
      </c>
      <c r="B1931">
        <v>8412569</v>
      </c>
      <c r="C1931" t="s">
        <v>10</v>
      </c>
      <c r="D1931" t="s">
        <v>8</v>
      </c>
      <c r="E1931" s="4" t="str">
        <f>HYPERLINK("https://ibp.a2mac1.com/costing(costing:projects/details/9760/part/8412655)","Pad")</f>
        <v>Pad</v>
      </c>
      <c r="F1931" t="s">
        <v>2335</v>
      </c>
    </row>
    <row r="1932" spans="1:6" x14ac:dyDescent="0.15">
      <c r="A1932">
        <v>12083863</v>
      </c>
      <c r="B1932">
        <v>8412655</v>
      </c>
      <c r="C1932" t="s">
        <v>114</v>
      </c>
      <c r="D1932" t="s">
        <v>10</v>
      </c>
      <c r="E1932" s="4" t="str">
        <f>HYPERLINK("https://ibp.a2mac1.com/costing(costing:projects/details/9760/process/12083863)","Automated Process")</f>
        <v>Automated Process</v>
      </c>
      <c r="F1932" t="s">
        <v>2359</v>
      </c>
    </row>
    <row r="1933" spans="1:6" x14ac:dyDescent="0.15">
      <c r="A1933">
        <v>8752748</v>
      </c>
      <c r="B1933">
        <v>12083863</v>
      </c>
      <c r="C1933" t="s">
        <v>22</v>
      </c>
      <c r="D1933" t="s">
        <v>114</v>
      </c>
      <c r="E1933" s="4" t="str">
        <f>HYPERLINK("https://ibp.a2mac1.com/costing(costing:projects/details/9760/material/8752748)","PUR adjusted (part)")</f>
        <v>PUR adjusted (part)</v>
      </c>
      <c r="F1933" t="s">
        <v>2360</v>
      </c>
    </row>
    <row r="1934" spans="1:6" x14ac:dyDescent="0.15">
      <c r="A1934">
        <v>12210952</v>
      </c>
      <c r="B1934">
        <v>12083863</v>
      </c>
      <c r="C1934" t="s">
        <v>163</v>
      </c>
      <c r="D1934" t="s">
        <v>114</v>
      </c>
      <c r="E1934" s="4" t="str">
        <f>HYPERLINK("https://ibp.a2mac1.com/costing(costing:projects/details/9760/equipment/12210952)","DC machine - General")</f>
        <v>DC machine - General</v>
      </c>
      <c r="F1934" t="s">
        <v>2360</v>
      </c>
    </row>
    <row r="1935" spans="1:6" x14ac:dyDescent="0.15">
      <c r="A1935">
        <v>8412656</v>
      </c>
      <c r="B1935">
        <v>8412569</v>
      </c>
      <c r="C1935" t="s">
        <v>10</v>
      </c>
      <c r="D1935" t="s">
        <v>8</v>
      </c>
      <c r="E1935" s="4" t="str">
        <f>HYPERLINK("https://ibp.a2mac1.com/costing(costing:projects/details/9760/part/8412656)","Frame")</f>
        <v>Frame</v>
      </c>
      <c r="F1935" t="s">
        <v>2335</v>
      </c>
    </row>
    <row r="1936" spans="1:6" x14ac:dyDescent="0.15">
      <c r="A1936">
        <v>12083864</v>
      </c>
      <c r="B1936">
        <v>8412656</v>
      </c>
      <c r="C1936" t="s">
        <v>114</v>
      </c>
      <c r="D1936" t="s">
        <v>10</v>
      </c>
      <c r="E1936" s="4" t="str">
        <f>HYPERLINK("https://ibp.a2mac1.com/costing(costing:projects/details/9760/process/12083864)","Automated Process")</f>
        <v>Automated Process</v>
      </c>
      <c r="F1936" t="s">
        <v>2362</v>
      </c>
    </row>
    <row r="1937" spans="1:6" x14ac:dyDescent="0.15">
      <c r="A1937">
        <v>8752749</v>
      </c>
      <c r="B1937">
        <v>12083864</v>
      </c>
      <c r="C1937" t="s">
        <v>22</v>
      </c>
      <c r="D1937" t="s">
        <v>114</v>
      </c>
      <c r="E1937" s="4" t="str">
        <f>HYPERLINK("https://ibp.a2mac1.com/costing(costing:projects/details/9760/material/8752749)","Steel sheet (default) adjusted (part)")</f>
        <v>Steel sheet (default) adjusted (part)</v>
      </c>
      <c r="F1937" t="s">
        <v>2363</v>
      </c>
    </row>
    <row r="1938" spans="1:6" x14ac:dyDescent="0.15">
      <c r="A1938">
        <v>12210953</v>
      </c>
      <c r="B1938">
        <v>12083864</v>
      </c>
      <c r="C1938" t="s">
        <v>163</v>
      </c>
      <c r="D1938" t="s">
        <v>114</v>
      </c>
      <c r="E1938" s="4" t="str">
        <f>HYPERLINK("https://ibp.a2mac1.com/costing(costing:projects/details/9760/equipment/12210953)","DC machine - General")</f>
        <v>DC machine - General</v>
      </c>
      <c r="F1938" t="s">
        <v>2363</v>
      </c>
    </row>
    <row r="1939" spans="1:6" x14ac:dyDescent="0.15">
      <c r="A1939">
        <v>8412657</v>
      </c>
      <c r="B1939">
        <v>8412569</v>
      </c>
      <c r="C1939" t="s">
        <v>10</v>
      </c>
      <c r="D1939" t="s">
        <v>8</v>
      </c>
      <c r="E1939" s="4" t="str">
        <f>HYPERLINK("https://ibp.a2mac1.com/costing(costing:projects/details/9760/part/8412657)","Suspension")</f>
        <v>Suspension</v>
      </c>
      <c r="F1939" t="s">
        <v>2335</v>
      </c>
    </row>
    <row r="1940" spans="1:6" x14ac:dyDescent="0.15">
      <c r="A1940">
        <v>8412658</v>
      </c>
      <c r="B1940">
        <v>8412569</v>
      </c>
      <c r="C1940" t="s">
        <v>10</v>
      </c>
      <c r="D1940" t="s">
        <v>8</v>
      </c>
      <c r="E1940" s="4" t="str">
        <f>HYPERLINK("https://ibp.a2mac1.com/costing(costing:projects/details/9760/part/8412658)","Interior Pad")</f>
        <v>Interior Pad</v>
      </c>
      <c r="F1940" t="s">
        <v>2335</v>
      </c>
    </row>
    <row r="1941" spans="1:6" x14ac:dyDescent="0.15">
      <c r="A1941">
        <v>12083865</v>
      </c>
      <c r="B1941">
        <v>8412658</v>
      </c>
      <c r="C1941" t="s">
        <v>114</v>
      </c>
      <c r="D1941" t="s">
        <v>10</v>
      </c>
      <c r="E1941" s="4" t="str">
        <f>HYPERLINK("https://ibp.a2mac1.com/costing(costing:projects/details/9760/process/12083865)","Automated Process")</f>
        <v>Automated Process</v>
      </c>
      <c r="F1941" t="s">
        <v>2366</v>
      </c>
    </row>
    <row r="1942" spans="1:6" x14ac:dyDescent="0.15">
      <c r="A1942">
        <v>8752750</v>
      </c>
      <c r="B1942">
        <v>12083865</v>
      </c>
      <c r="C1942" t="s">
        <v>22</v>
      </c>
      <c r="D1942" t="s">
        <v>114</v>
      </c>
      <c r="E1942" s="4" t="str">
        <f>HYPERLINK("https://ibp.a2mac1.com/costing(costing:projects/details/9760/material/8752750)","PUR adjusted (part)")</f>
        <v>PUR adjusted (part)</v>
      </c>
      <c r="F1942" t="s">
        <v>2367</v>
      </c>
    </row>
    <row r="1943" spans="1:6" x14ac:dyDescent="0.15">
      <c r="A1943">
        <v>12210954</v>
      </c>
      <c r="B1943">
        <v>12083865</v>
      </c>
      <c r="C1943" t="s">
        <v>163</v>
      </c>
      <c r="D1943" t="s">
        <v>114</v>
      </c>
      <c r="E1943" s="4" t="str">
        <f>HYPERLINK("https://ibp.a2mac1.com/costing(costing:projects/details/9760/equipment/12210954)","DC machine - General")</f>
        <v>DC machine - General</v>
      </c>
      <c r="F1943" t="s">
        <v>2367</v>
      </c>
    </row>
    <row r="1944" spans="1:6" x14ac:dyDescent="0.15">
      <c r="A1944">
        <v>8412570</v>
      </c>
      <c r="B1944">
        <v>8412550</v>
      </c>
      <c r="C1944" t="s">
        <v>8</v>
      </c>
      <c r="D1944" t="s">
        <v>8</v>
      </c>
      <c r="E1944" s="4" t="str">
        <f>HYPERLINK("https://ibp.a2mac1.com/costing(costing:projects/details/9760/assembly/8412570)","Safety")</f>
        <v>Safety</v>
      </c>
      <c r="F1944" t="s">
        <v>2260</v>
      </c>
    </row>
    <row r="1945" spans="1:6" x14ac:dyDescent="0.15">
      <c r="A1945">
        <v>8412660</v>
      </c>
      <c r="B1945">
        <v>8412570</v>
      </c>
      <c r="C1945" t="s">
        <v>8</v>
      </c>
      <c r="D1945" t="s">
        <v>8</v>
      </c>
      <c r="E1945" s="4" t="str">
        <f>HYPERLINK("https://ibp.a2mac1.com/costing(costing:projects/details/9760/assembly/8412660)","Side Airbag")</f>
        <v>Side Airbag</v>
      </c>
      <c r="F1945" t="s">
        <v>2370</v>
      </c>
    </row>
    <row r="1946" spans="1:6" x14ac:dyDescent="0.15">
      <c r="A1946">
        <v>8412745</v>
      </c>
      <c r="B1946">
        <v>8412660</v>
      </c>
      <c r="C1946" t="s">
        <v>10</v>
      </c>
      <c r="D1946" t="s">
        <v>8</v>
      </c>
      <c r="E1946" s="4" t="str">
        <f>HYPERLINK("https://ibp.a2mac1.com/costing(costing:projects/details/9760/part/8412745)","Airbag Cylinder")</f>
        <v>Airbag Cylinder</v>
      </c>
      <c r="F1946" t="s">
        <v>2371</v>
      </c>
    </row>
    <row r="1947" spans="1:6" x14ac:dyDescent="0.15">
      <c r="A1947">
        <v>8412746</v>
      </c>
      <c r="B1947">
        <v>8412660</v>
      </c>
      <c r="C1947" t="s">
        <v>10</v>
      </c>
      <c r="D1947" t="s">
        <v>8</v>
      </c>
      <c r="E1947" s="4" t="str">
        <f>HYPERLINK("https://ibp.a2mac1.com/costing(costing:projects/details/9760/part/8412746)","Side Airbag")</f>
        <v>Side Airbag</v>
      </c>
      <c r="F1947" t="s">
        <v>2371</v>
      </c>
    </row>
    <row r="1948" spans="1:6" x14ac:dyDescent="0.15">
      <c r="A1948">
        <v>12083977</v>
      </c>
      <c r="B1948">
        <v>8412746</v>
      </c>
      <c r="C1948" t="s">
        <v>114</v>
      </c>
      <c r="D1948" t="s">
        <v>10</v>
      </c>
      <c r="E1948" s="4" t="str">
        <f>HYPERLINK("https://ibp.a2mac1.com/costing(costing:projects/details/9760/process/12083977)","Process")</f>
        <v>Process</v>
      </c>
      <c r="F1948" t="s">
        <v>2373</v>
      </c>
    </row>
    <row r="1949" spans="1:6" x14ac:dyDescent="0.15">
      <c r="A1949">
        <v>8752859</v>
      </c>
      <c r="B1949">
        <v>12083977</v>
      </c>
      <c r="C1949" t="s">
        <v>22</v>
      </c>
      <c r="D1949" t="s">
        <v>114</v>
      </c>
      <c r="E1949" s="4" t="str">
        <f>HYPERLINK("https://ibp.a2mac1.com/costing(costing:projects/details/9760/material/8752859)","PA66 VMQ (airbag) adjusted (part)")</f>
        <v>PA66 VMQ (airbag) adjusted (part)</v>
      </c>
      <c r="F1949" t="s">
        <v>2374</v>
      </c>
    </row>
    <row r="1950" spans="1:6" x14ac:dyDescent="0.15">
      <c r="A1950">
        <v>12211043</v>
      </c>
      <c r="B1950">
        <v>12083977</v>
      </c>
      <c r="C1950" t="s">
        <v>163</v>
      </c>
      <c r="D1950" t="s">
        <v>114</v>
      </c>
      <c r="E1950" s="4" t="str">
        <f>HYPERLINK("https://ibp.a2mac1.com/costing(costing:projects/details/9760/equipment/12211043)","DC machine - General")</f>
        <v>DC machine - General</v>
      </c>
      <c r="F1950" t="s">
        <v>2374</v>
      </c>
    </row>
    <row r="1951" spans="1:6" x14ac:dyDescent="0.15">
      <c r="A1951">
        <v>8412747</v>
      </c>
      <c r="B1951">
        <v>8412660</v>
      </c>
      <c r="C1951" t="s">
        <v>10</v>
      </c>
      <c r="D1951" t="s">
        <v>8</v>
      </c>
      <c r="E1951" s="4" t="str">
        <f>HYPERLINK("https://ibp.a2mac1.com/costing(costing:projects/details/9760/part/8412747)","Side Airbag Garnish")</f>
        <v>Side Airbag Garnish</v>
      </c>
      <c r="F1951" t="s">
        <v>2371</v>
      </c>
    </row>
    <row r="1952" spans="1:6" x14ac:dyDescent="0.15">
      <c r="A1952">
        <v>12083866</v>
      </c>
      <c r="B1952">
        <v>8412660</v>
      </c>
      <c r="C1952" t="s">
        <v>114</v>
      </c>
      <c r="D1952" t="s">
        <v>8</v>
      </c>
      <c r="E1952" s="4" t="str">
        <f>HYPERLINK("https://ibp.a2mac1.com/costing(costing:projects/details/9760/process/12083866)","Final Assembly + Inspection")</f>
        <v>Final Assembly + Inspection</v>
      </c>
      <c r="F1952" t="s">
        <v>2371</v>
      </c>
    </row>
    <row r="1953" spans="1:6" x14ac:dyDescent="0.15">
      <c r="A1953">
        <v>12210955</v>
      </c>
      <c r="B1953">
        <v>12083866</v>
      </c>
      <c r="C1953" t="s">
        <v>163</v>
      </c>
      <c r="D1953" t="s">
        <v>114</v>
      </c>
      <c r="E1953" s="4" t="str">
        <f>HYPERLINK("https://ibp.a2mac1.com/costing(costing:projects/details/9760/equipment/12210955)","DC machine - General")</f>
        <v>DC machine - General</v>
      </c>
      <c r="F1953" t="s">
        <v>2377</v>
      </c>
    </row>
    <row r="1954" spans="1:6" x14ac:dyDescent="0.15">
      <c r="A1954">
        <v>8412661</v>
      </c>
      <c r="B1954">
        <v>8412570</v>
      </c>
      <c r="C1954" t="s">
        <v>8</v>
      </c>
      <c r="D1954" t="s">
        <v>8</v>
      </c>
      <c r="E1954" s="4" t="str">
        <f>HYPERLINK("https://ibp.a2mac1.com/costing(costing:projects/details/9760/assembly/8412661)","Detection System")</f>
        <v>Detection System</v>
      </c>
      <c r="F1954" t="s">
        <v>2370</v>
      </c>
    </row>
    <row r="1955" spans="1:6" x14ac:dyDescent="0.15">
      <c r="A1955">
        <v>8412748</v>
      </c>
      <c r="B1955">
        <v>8412661</v>
      </c>
      <c r="C1955" t="s">
        <v>10</v>
      </c>
      <c r="D1955" t="s">
        <v>8</v>
      </c>
      <c r="E1955" s="4" t="str">
        <f>HYPERLINK("https://ibp.a2mac1.com/costing(costing:projects/details/9760/part/8412748)","Sensor Mat")</f>
        <v>Sensor Mat</v>
      </c>
      <c r="F1955" t="s">
        <v>2379</v>
      </c>
    </row>
    <row r="1956" spans="1:6" x14ac:dyDescent="0.15">
      <c r="A1956">
        <v>8412571</v>
      </c>
      <c r="B1956">
        <v>8412550</v>
      </c>
      <c r="C1956" t="s">
        <v>8</v>
      </c>
      <c r="D1956" t="s">
        <v>8</v>
      </c>
      <c r="E1956" s="4" t="str">
        <f>HYPERLINK("https://ibp.a2mac1.com/costing(costing:projects/details/9760/assembly/8412571)","Power Adjusters")</f>
        <v>Power Adjusters</v>
      </c>
      <c r="F1956" t="s">
        <v>2260</v>
      </c>
    </row>
    <row r="1957" spans="1:6" x14ac:dyDescent="0.15">
      <c r="A1957">
        <v>8412664</v>
      </c>
      <c r="B1957">
        <v>8412571</v>
      </c>
      <c r="C1957" t="s">
        <v>8</v>
      </c>
      <c r="D1957" t="s">
        <v>8</v>
      </c>
      <c r="E1957" s="4" t="str">
        <f>HYPERLINK("https://ibp.a2mac1.com/costing(costing:projects/details/9760/assembly/8412664)","Longitudinal")</f>
        <v>Longitudinal</v>
      </c>
      <c r="F1957" t="s">
        <v>2383</v>
      </c>
    </row>
    <row r="1958" spans="1:6" x14ac:dyDescent="0.15">
      <c r="A1958">
        <v>8412754</v>
      </c>
      <c r="B1958">
        <v>8412664</v>
      </c>
      <c r="C1958" t="s">
        <v>8</v>
      </c>
      <c r="D1958" t="s">
        <v>8</v>
      </c>
      <c r="E1958" s="4" t="str">
        <f>HYPERLINK("https://ibp.a2mac1.com/costing(costing:projects/details/9760/assembly/8412754)","Rails")</f>
        <v>Rails</v>
      </c>
      <c r="F1958" t="s">
        <v>2384</v>
      </c>
    </row>
    <row r="1959" spans="1:6" x14ac:dyDescent="0.15">
      <c r="A1959">
        <v>8412815</v>
      </c>
      <c r="B1959">
        <v>8412754</v>
      </c>
      <c r="C1959" t="s">
        <v>10</v>
      </c>
      <c r="D1959" t="s">
        <v>8</v>
      </c>
      <c r="E1959" s="4" t="str">
        <f>HYPERLINK("https://ibp.a2mac1.com/costing(costing:projects/details/9760/part/8412815)","Inner Side")</f>
        <v>Inner Side</v>
      </c>
      <c r="F1959" t="s">
        <v>2385</v>
      </c>
    </row>
    <row r="1960" spans="1:6" x14ac:dyDescent="0.15">
      <c r="A1960">
        <v>12084014</v>
      </c>
      <c r="B1960">
        <v>8412815</v>
      </c>
      <c r="C1960" t="s">
        <v>114</v>
      </c>
      <c r="D1960" t="s">
        <v>10</v>
      </c>
      <c r="E1960" s="4" t="str">
        <f>HYPERLINK("https://ibp.a2mac1.com/costing(costing:projects/details/9760/process/12084014)","Automated Process")</f>
        <v>Automated Process</v>
      </c>
      <c r="F1960" t="s">
        <v>2386</v>
      </c>
    </row>
    <row r="1961" spans="1:6" x14ac:dyDescent="0.15">
      <c r="A1961">
        <v>8752896</v>
      </c>
      <c r="B1961">
        <v>12084014</v>
      </c>
      <c r="C1961" t="s">
        <v>22</v>
      </c>
      <c r="D1961" t="s">
        <v>114</v>
      </c>
      <c r="E1961" s="4" t="str">
        <f>HYPERLINK("https://ibp.a2mac1.com/costing(costing:projects/details/9760/material/8752896)","Steel sheet (default) adjusted (part)")</f>
        <v>Steel sheet (default) adjusted (part)</v>
      </c>
      <c r="F1961" t="s">
        <v>2387</v>
      </c>
    </row>
    <row r="1962" spans="1:6" x14ac:dyDescent="0.15">
      <c r="A1962">
        <v>12211103</v>
      </c>
      <c r="B1962">
        <v>12084014</v>
      </c>
      <c r="C1962" t="s">
        <v>163</v>
      </c>
      <c r="D1962" t="s">
        <v>114</v>
      </c>
      <c r="E1962" s="4" t="str">
        <f>HYPERLINK("https://ibp.a2mac1.com/costing(costing:projects/details/9760/equipment/12211103)","DC machine - General")</f>
        <v>DC machine - General</v>
      </c>
      <c r="F1962" t="s">
        <v>2387</v>
      </c>
    </row>
    <row r="1963" spans="1:6" x14ac:dyDescent="0.15">
      <c r="A1963">
        <v>8412816</v>
      </c>
      <c r="B1963">
        <v>8412754</v>
      </c>
      <c r="C1963" t="s">
        <v>10</v>
      </c>
      <c r="D1963" t="s">
        <v>8</v>
      </c>
      <c r="E1963" s="4" t="str">
        <f>HYPERLINK("https://ibp.a2mac1.com/costing(costing:projects/details/9760/part/8412816)","Outer Side")</f>
        <v>Outer Side</v>
      </c>
      <c r="F1963" t="s">
        <v>2385</v>
      </c>
    </row>
    <row r="1964" spans="1:6" x14ac:dyDescent="0.15">
      <c r="A1964">
        <v>12084015</v>
      </c>
      <c r="B1964">
        <v>8412816</v>
      </c>
      <c r="C1964" t="s">
        <v>114</v>
      </c>
      <c r="D1964" t="s">
        <v>10</v>
      </c>
      <c r="E1964" s="4" t="str">
        <f>HYPERLINK("https://ibp.a2mac1.com/costing(costing:projects/details/9760/process/12084015)","Automated Process")</f>
        <v>Automated Process</v>
      </c>
      <c r="F1964" t="s">
        <v>2389</v>
      </c>
    </row>
    <row r="1965" spans="1:6" x14ac:dyDescent="0.15">
      <c r="A1965">
        <v>8752897</v>
      </c>
      <c r="B1965">
        <v>12084015</v>
      </c>
      <c r="C1965" t="s">
        <v>22</v>
      </c>
      <c r="D1965" t="s">
        <v>114</v>
      </c>
      <c r="E1965" s="4" t="str">
        <f>HYPERLINK("https://ibp.a2mac1.com/costing(costing:projects/details/9760/material/8752897)","Steel sheet (default) adjusted (part)")</f>
        <v>Steel sheet (default) adjusted (part)</v>
      </c>
      <c r="F1965" t="s">
        <v>2390</v>
      </c>
    </row>
    <row r="1966" spans="1:6" x14ac:dyDescent="0.15">
      <c r="A1966">
        <v>12211104</v>
      </c>
      <c r="B1966">
        <v>12084015</v>
      </c>
      <c r="C1966" t="s">
        <v>163</v>
      </c>
      <c r="D1966" t="s">
        <v>114</v>
      </c>
      <c r="E1966" s="4" t="str">
        <f>HYPERLINK("https://ibp.a2mac1.com/costing(costing:projects/details/9760/equipment/12211104)","DC machine - General")</f>
        <v>DC machine - General</v>
      </c>
      <c r="F1966" t="s">
        <v>2390</v>
      </c>
    </row>
    <row r="1967" spans="1:6" x14ac:dyDescent="0.15">
      <c r="A1967">
        <v>8412749</v>
      </c>
      <c r="B1967">
        <v>8412664</v>
      </c>
      <c r="C1967" t="s">
        <v>10</v>
      </c>
      <c r="D1967" t="s">
        <v>8</v>
      </c>
      <c r="E1967" s="4" t="str">
        <f>HYPERLINK("https://ibp.a2mac1.com/costing(costing:projects/details/9760/part/8412749)","Motor")</f>
        <v>Motor</v>
      </c>
      <c r="F1967" t="s">
        <v>2384</v>
      </c>
    </row>
    <row r="1968" spans="1:6" x14ac:dyDescent="0.15">
      <c r="A1968">
        <v>8412750</v>
      </c>
      <c r="B1968">
        <v>8412664</v>
      </c>
      <c r="C1968" t="s">
        <v>10</v>
      </c>
      <c r="D1968" t="s">
        <v>8</v>
      </c>
      <c r="E1968" s="4" t="str">
        <f>HYPERLINK("https://ibp.a2mac1.com/costing(costing:projects/details/9760/part/8412750)","Mount Bracket")</f>
        <v>Mount Bracket</v>
      </c>
      <c r="F1968" t="s">
        <v>2384</v>
      </c>
    </row>
    <row r="1969" spans="1:6" x14ac:dyDescent="0.15">
      <c r="A1969">
        <v>12083978</v>
      </c>
      <c r="B1969">
        <v>8412750</v>
      </c>
      <c r="C1969" t="s">
        <v>114</v>
      </c>
      <c r="D1969" t="s">
        <v>10</v>
      </c>
      <c r="E1969" s="4" t="str">
        <f>HYPERLINK("https://ibp.a2mac1.com/costing(costing:projects/details/9760/process/12083978)","Automated Process")</f>
        <v>Automated Process</v>
      </c>
      <c r="F1969" t="s">
        <v>2394</v>
      </c>
    </row>
    <row r="1970" spans="1:6" x14ac:dyDescent="0.15">
      <c r="A1970">
        <v>8752860</v>
      </c>
      <c r="B1970">
        <v>12083978</v>
      </c>
      <c r="C1970" t="s">
        <v>22</v>
      </c>
      <c r="D1970" t="s">
        <v>114</v>
      </c>
      <c r="E1970" s="4" t="str">
        <f>HYPERLINK("https://ibp.a2mac1.com/costing(costing:projects/details/9760/material/8752860)","PP-GF30 adjusted (part)")</f>
        <v>PP-GF30 adjusted (part)</v>
      </c>
      <c r="F1970" t="s">
        <v>2395</v>
      </c>
    </row>
    <row r="1971" spans="1:6" x14ac:dyDescent="0.15">
      <c r="A1971">
        <v>12211044</v>
      </c>
      <c r="B1971">
        <v>12083978</v>
      </c>
      <c r="C1971" t="s">
        <v>163</v>
      </c>
      <c r="D1971" t="s">
        <v>114</v>
      </c>
      <c r="E1971" s="4" t="str">
        <f>HYPERLINK("https://ibp.a2mac1.com/costing(costing:projects/details/9760/equipment/12211044)","DC machine - General")</f>
        <v>DC machine - General</v>
      </c>
      <c r="F1971" t="s">
        <v>2395</v>
      </c>
    </row>
    <row r="1972" spans="1:6" x14ac:dyDescent="0.15">
      <c r="A1972">
        <v>8412751</v>
      </c>
      <c r="B1972">
        <v>8412664</v>
      </c>
      <c r="C1972" t="s">
        <v>10</v>
      </c>
      <c r="D1972" t="s">
        <v>8</v>
      </c>
      <c r="E1972" s="4" t="str">
        <f>HYPERLINK("https://ibp.a2mac1.com/costing(costing:projects/details/9760/part/8412751)","Cable")</f>
        <v>Cable</v>
      </c>
      <c r="F1972" t="s">
        <v>2384</v>
      </c>
    </row>
    <row r="1973" spans="1:6" x14ac:dyDescent="0.15">
      <c r="A1973">
        <v>8412752</v>
      </c>
      <c r="B1973">
        <v>8412664</v>
      </c>
      <c r="C1973" t="s">
        <v>10</v>
      </c>
      <c r="D1973" t="s">
        <v>8</v>
      </c>
      <c r="E1973" s="4" t="str">
        <f>HYPERLINK("https://ibp.a2mac1.com/costing(costing:projects/details/9760/part/8412752)","2nd Cable")</f>
        <v>2nd Cable</v>
      </c>
      <c r="F1973" t="s">
        <v>2384</v>
      </c>
    </row>
    <row r="1974" spans="1:6" x14ac:dyDescent="0.15">
      <c r="A1974">
        <v>8412753</v>
      </c>
      <c r="B1974">
        <v>8412664</v>
      </c>
      <c r="C1974" t="s">
        <v>10</v>
      </c>
      <c r="D1974" t="s">
        <v>8</v>
      </c>
      <c r="E1974" s="4" t="str">
        <f>HYPERLINK("https://ibp.a2mac1.com/costing(costing:projects/details/9760/part/8412753)","cable sheath")</f>
        <v>cable sheath</v>
      </c>
      <c r="F1974" t="s">
        <v>2384</v>
      </c>
    </row>
    <row r="1975" spans="1:6" x14ac:dyDescent="0.15">
      <c r="A1975">
        <v>8412665</v>
      </c>
      <c r="B1975">
        <v>8412571</v>
      </c>
      <c r="C1975" t="s">
        <v>8</v>
      </c>
      <c r="D1975" t="s">
        <v>8</v>
      </c>
      <c r="E1975" s="4" t="str">
        <f>HYPERLINK("https://ibp.a2mac1.com/costing(costing:projects/details/9760/assembly/8412665)","Longitudinal and Height")</f>
        <v>Longitudinal and Height</v>
      </c>
      <c r="F1975" t="s">
        <v>2383</v>
      </c>
    </row>
    <row r="1976" spans="1:6" x14ac:dyDescent="0.15">
      <c r="A1976">
        <v>8412755</v>
      </c>
      <c r="B1976">
        <v>8412665</v>
      </c>
      <c r="C1976" t="s">
        <v>10</v>
      </c>
      <c r="D1976" t="s">
        <v>8</v>
      </c>
      <c r="E1976" s="4" t="str">
        <f>HYPERLINK("https://ibp.a2mac1.com/costing(costing:projects/details/9760/part/8412755)","Control")</f>
        <v>Control</v>
      </c>
      <c r="F1976" t="s">
        <v>2402</v>
      </c>
    </row>
    <row r="1977" spans="1:6" x14ac:dyDescent="0.15">
      <c r="A1977">
        <v>12083979</v>
      </c>
      <c r="B1977">
        <v>8412755</v>
      </c>
      <c r="C1977" t="s">
        <v>114</v>
      </c>
      <c r="D1977" t="s">
        <v>10</v>
      </c>
      <c r="E1977" s="4" t="str">
        <f>HYPERLINK("https://ibp.a2mac1.com/costing(costing:projects/details/9760/process/12083979)","Automated Process")</f>
        <v>Automated Process</v>
      </c>
      <c r="F1977" t="s">
        <v>2403</v>
      </c>
    </row>
    <row r="1978" spans="1:6" x14ac:dyDescent="0.15">
      <c r="A1978">
        <v>8752861</v>
      </c>
      <c r="B1978">
        <v>12083979</v>
      </c>
      <c r="C1978" t="s">
        <v>22</v>
      </c>
      <c r="D1978" t="s">
        <v>114</v>
      </c>
      <c r="E1978" s="4" t="str">
        <f>HYPERLINK("https://ibp.a2mac1.com/costing(costing:projects/details/9760/material/8752861)","PC-ABS adjusted (part)")</f>
        <v>PC-ABS adjusted (part)</v>
      </c>
      <c r="F1978" t="s">
        <v>2404</v>
      </c>
    </row>
    <row r="1979" spans="1:6" x14ac:dyDescent="0.15">
      <c r="A1979">
        <v>12211045</v>
      </c>
      <c r="B1979">
        <v>12083979</v>
      </c>
      <c r="C1979" t="s">
        <v>163</v>
      </c>
      <c r="D1979" t="s">
        <v>114</v>
      </c>
      <c r="E1979" s="4" t="str">
        <f>HYPERLINK("https://ibp.a2mac1.com/costing(costing:projects/details/9760/equipment/12211045)","DC machine - General")</f>
        <v>DC machine - General</v>
      </c>
      <c r="F1979" t="s">
        <v>2404</v>
      </c>
    </row>
    <row r="1980" spans="1:6" x14ac:dyDescent="0.15">
      <c r="A1980">
        <v>8412666</v>
      </c>
      <c r="B1980">
        <v>8412571</v>
      </c>
      <c r="C1980" t="s">
        <v>8</v>
      </c>
      <c r="D1980" t="s">
        <v>8</v>
      </c>
      <c r="E1980" s="4" t="str">
        <f>HYPERLINK("https://ibp.a2mac1.com/costing(costing:projects/details/9760/assembly/8412666)","Height")</f>
        <v>Height</v>
      </c>
      <c r="F1980" t="s">
        <v>2383</v>
      </c>
    </row>
    <row r="1981" spans="1:6" x14ac:dyDescent="0.15">
      <c r="A1981">
        <v>8412756</v>
      </c>
      <c r="B1981">
        <v>8412666</v>
      </c>
      <c r="C1981" t="s">
        <v>10</v>
      </c>
      <c r="D1981" t="s">
        <v>8</v>
      </c>
      <c r="E1981" s="4" t="str">
        <f>HYPERLINK("https://ibp.a2mac1.com/costing(costing:projects/details/9760/part/8412756)","Motor")</f>
        <v>Motor</v>
      </c>
      <c r="F1981" t="s">
        <v>2407</v>
      </c>
    </row>
    <row r="1982" spans="1:6" x14ac:dyDescent="0.15">
      <c r="A1982">
        <v>8412757</v>
      </c>
      <c r="B1982">
        <v>8412666</v>
      </c>
      <c r="C1982" t="s">
        <v>10</v>
      </c>
      <c r="D1982" t="s">
        <v>8</v>
      </c>
      <c r="E1982" s="4" t="str">
        <f>HYPERLINK("https://ibp.a2mac1.com/costing(costing:projects/details/9760/part/8412757)","Mechanism")</f>
        <v>Mechanism</v>
      </c>
      <c r="F1982" t="s">
        <v>2407</v>
      </c>
    </row>
    <row r="1983" spans="1:6" x14ac:dyDescent="0.15">
      <c r="A1983">
        <v>8412667</v>
      </c>
      <c r="B1983">
        <v>8412571</v>
      </c>
      <c r="C1983" t="s">
        <v>8</v>
      </c>
      <c r="D1983" t="s">
        <v>8</v>
      </c>
      <c r="E1983" s="4" t="str">
        <f>HYPERLINK("https://ibp.a2mac1.com/costing(costing:projects/details/9760/assembly/8412667)","Recliner")</f>
        <v>Recliner</v>
      </c>
      <c r="F1983" t="s">
        <v>2383</v>
      </c>
    </row>
    <row r="1984" spans="1:6" x14ac:dyDescent="0.15">
      <c r="A1984">
        <v>8412760</v>
      </c>
      <c r="B1984">
        <v>8412667</v>
      </c>
      <c r="C1984" t="s">
        <v>8</v>
      </c>
      <c r="D1984" t="s">
        <v>8</v>
      </c>
      <c r="E1984" s="4" t="str">
        <f>HYPERLINK("https://ibp.a2mac1.com/costing(costing:projects/details/9760/assembly/8412760)","Mechanism")</f>
        <v>Mechanism</v>
      </c>
      <c r="F1984" t="s">
        <v>2413</v>
      </c>
    </row>
    <row r="1985" spans="1:6" x14ac:dyDescent="0.15">
      <c r="A1985">
        <v>8412817</v>
      </c>
      <c r="B1985">
        <v>8412760</v>
      </c>
      <c r="C1985" t="s">
        <v>10</v>
      </c>
      <c r="D1985" t="s">
        <v>8</v>
      </c>
      <c r="E1985" s="4" t="str">
        <f>HYPERLINK("https://ibp.a2mac1.com/costing(costing:projects/details/9760/part/8412817)","Inner Side")</f>
        <v>Inner Side</v>
      </c>
      <c r="F1985" t="s">
        <v>2414</v>
      </c>
    </row>
    <row r="1986" spans="1:6" x14ac:dyDescent="0.15">
      <c r="A1986">
        <v>8412818</v>
      </c>
      <c r="B1986">
        <v>8412760</v>
      </c>
      <c r="C1986" t="s">
        <v>10</v>
      </c>
      <c r="D1986" t="s">
        <v>8</v>
      </c>
      <c r="E1986" s="4" t="str">
        <f>HYPERLINK("https://ibp.a2mac1.com/costing(costing:projects/details/9760/part/8412818)","Linking Bar")</f>
        <v>Linking Bar</v>
      </c>
      <c r="F1986" t="s">
        <v>2414</v>
      </c>
    </row>
    <row r="1987" spans="1:6" x14ac:dyDescent="0.15">
      <c r="A1987">
        <v>8412758</v>
      </c>
      <c r="B1987">
        <v>8412667</v>
      </c>
      <c r="C1987" t="s">
        <v>10</v>
      </c>
      <c r="D1987" t="s">
        <v>8</v>
      </c>
      <c r="E1987" s="4" t="str">
        <f>HYPERLINK("https://ibp.a2mac1.com/costing(costing:projects/details/9760/part/8412758)","Control")</f>
        <v>Control</v>
      </c>
      <c r="F1987" t="s">
        <v>2413</v>
      </c>
    </row>
    <row r="1988" spans="1:6" x14ac:dyDescent="0.15">
      <c r="A1988">
        <v>12083980</v>
      </c>
      <c r="B1988">
        <v>8412758</v>
      </c>
      <c r="C1988" t="s">
        <v>114</v>
      </c>
      <c r="D1988" t="s">
        <v>10</v>
      </c>
      <c r="E1988" s="4" t="str">
        <f>HYPERLINK("https://ibp.a2mac1.com/costing(costing:projects/details/9760/process/12083980)","Automated Process")</f>
        <v>Automated Process</v>
      </c>
      <c r="F1988" t="s">
        <v>2418</v>
      </c>
    </row>
    <row r="1989" spans="1:6" x14ac:dyDescent="0.15">
      <c r="A1989">
        <v>8752862</v>
      </c>
      <c r="B1989">
        <v>12083980</v>
      </c>
      <c r="C1989" t="s">
        <v>22</v>
      </c>
      <c r="D1989" t="s">
        <v>114</v>
      </c>
      <c r="E1989" s="4" t="str">
        <f>HYPERLINK("https://ibp.a2mac1.com/costing(costing:projects/details/9760/material/8752862)","PC-ABS adjusted (part)")</f>
        <v>PC-ABS adjusted (part)</v>
      </c>
      <c r="F1989" t="s">
        <v>2419</v>
      </c>
    </row>
    <row r="1990" spans="1:6" x14ac:dyDescent="0.15">
      <c r="A1990">
        <v>12211069</v>
      </c>
      <c r="B1990">
        <v>12083980</v>
      </c>
      <c r="C1990" t="s">
        <v>163</v>
      </c>
      <c r="D1990" t="s">
        <v>114</v>
      </c>
      <c r="E1990" s="4" t="str">
        <f>HYPERLINK("https://ibp.a2mac1.com/costing(costing:projects/details/9760/equipment/12211069)","DC machine - General")</f>
        <v>DC machine - General</v>
      </c>
      <c r="F1990" t="s">
        <v>2419</v>
      </c>
    </row>
    <row r="1991" spans="1:6" x14ac:dyDescent="0.15">
      <c r="A1991">
        <v>8412759</v>
      </c>
      <c r="B1991">
        <v>8412667</v>
      </c>
      <c r="C1991" t="s">
        <v>10</v>
      </c>
      <c r="D1991" t="s">
        <v>8</v>
      </c>
      <c r="E1991" s="4" t="str">
        <f>HYPERLINK("https://ibp.a2mac1.com/costing(costing:projects/details/9760/part/8412759)","Motor")</f>
        <v>Motor</v>
      </c>
      <c r="F1991" t="s">
        <v>2413</v>
      </c>
    </row>
    <row r="1992" spans="1:6" x14ac:dyDescent="0.15">
      <c r="A1992">
        <v>8412662</v>
      </c>
      <c r="B1992">
        <v>8412571</v>
      </c>
      <c r="C1992" t="s">
        <v>10</v>
      </c>
      <c r="D1992" t="s">
        <v>8</v>
      </c>
      <c r="E1992" s="4" t="str">
        <f>HYPERLINK("https://ibp.a2mac1.com/costing(costing:projects/details/9760/part/8412662)","Adjustment Control")</f>
        <v>Adjustment Control</v>
      </c>
      <c r="F1992" t="s">
        <v>2383</v>
      </c>
    </row>
    <row r="1993" spans="1:6" x14ac:dyDescent="0.15">
      <c r="A1993">
        <v>8412663</v>
      </c>
      <c r="B1993">
        <v>8412571</v>
      </c>
      <c r="C1993" t="s">
        <v>10</v>
      </c>
      <c r="D1993" t="s">
        <v>8</v>
      </c>
      <c r="E1993" s="4" t="str">
        <f>HYPERLINK("https://ibp.a2mac1.com/costing(costing:projects/details/9760/part/8412663)","Adjustment Control Support")</f>
        <v>Adjustment Control Support</v>
      </c>
      <c r="F1993" t="s">
        <v>2383</v>
      </c>
    </row>
    <row r="1994" spans="1:6" x14ac:dyDescent="0.15">
      <c r="A1994">
        <v>12083867</v>
      </c>
      <c r="B1994">
        <v>8412663</v>
      </c>
      <c r="C1994" t="s">
        <v>114</v>
      </c>
      <c r="D1994" t="s">
        <v>10</v>
      </c>
      <c r="E1994" s="4" t="str">
        <f>HYPERLINK("https://ibp.a2mac1.com/costing(costing:projects/details/9760/process/12083867)","Automated Process")</f>
        <v>Automated Process</v>
      </c>
      <c r="F1994" t="s">
        <v>2425</v>
      </c>
    </row>
    <row r="1995" spans="1:6" x14ac:dyDescent="0.15">
      <c r="A1995">
        <v>8752751</v>
      </c>
      <c r="B1995">
        <v>12083867</v>
      </c>
      <c r="C1995" t="s">
        <v>22</v>
      </c>
      <c r="D1995" t="s">
        <v>114</v>
      </c>
      <c r="E1995" s="4" t="str">
        <f>HYPERLINK("https://ibp.a2mac1.com/costing(costing:projects/details/9760/material/8752751)","PP-EPDM-TD20 adjusted (part)")</f>
        <v>PP-EPDM-TD20 adjusted (part)</v>
      </c>
      <c r="F1995" t="s">
        <v>2426</v>
      </c>
    </row>
    <row r="1996" spans="1:6" x14ac:dyDescent="0.15">
      <c r="A1996">
        <v>12210956</v>
      </c>
      <c r="B1996">
        <v>12083867</v>
      </c>
      <c r="C1996" t="s">
        <v>163</v>
      </c>
      <c r="D1996" t="s">
        <v>114</v>
      </c>
      <c r="E1996" s="4" t="str">
        <f>HYPERLINK("https://ibp.a2mac1.com/costing(costing:projects/details/9760/equipment/12210956)","DC machine - General")</f>
        <v>DC machine - General</v>
      </c>
      <c r="F1996" t="s">
        <v>2426</v>
      </c>
    </row>
    <row r="1997" spans="1:6" x14ac:dyDescent="0.15">
      <c r="A1997">
        <v>8412572</v>
      </c>
      <c r="B1997">
        <v>8412550</v>
      </c>
      <c r="C1997" t="s">
        <v>8</v>
      </c>
      <c r="D1997" t="s">
        <v>8</v>
      </c>
      <c r="E1997" s="4" t="str">
        <f>HYPERLINK("https://ibp.a2mac1.com/costing(costing:projects/details/9760/assembly/8412572)","Support System")</f>
        <v>Support System</v>
      </c>
      <c r="F1997" t="s">
        <v>2260</v>
      </c>
    </row>
    <row r="1998" spans="1:6" x14ac:dyDescent="0.15">
      <c r="A1998">
        <v>8412668</v>
      </c>
      <c r="B1998">
        <v>8412572</v>
      </c>
      <c r="C1998" t="s">
        <v>10</v>
      </c>
      <c r="D1998" t="s">
        <v>8</v>
      </c>
      <c r="E1998" s="4" t="str">
        <f>HYPERLINK("https://ibp.a2mac1.com/costing(costing:projects/details/9760/part/8412668)","Front Inner Trim and Outer if Similar")</f>
        <v>Front Inner Trim and Outer if Similar</v>
      </c>
      <c r="F1998" t="s">
        <v>2429</v>
      </c>
    </row>
    <row r="1999" spans="1:6" x14ac:dyDescent="0.15">
      <c r="A1999">
        <v>12083868</v>
      </c>
      <c r="B1999">
        <v>8412668</v>
      </c>
      <c r="C1999" t="s">
        <v>114</v>
      </c>
      <c r="D1999" t="s">
        <v>10</v>
      </c>
      <c r="E1999" s="4" t="str">
        <f>HYPERLINK("https://ibp.a2mac1.com/costing(costing:projects/details/9760/process/12083868)","Automated Process")</f>
        <v>Automated Process</v>
      </c>
      <c r="F1999" t="s">
        <v>2430</v>
      </c>
    </row>
    <row r="2000" spans="1:6" x14ac:dyDescent="0.15">
      <c r="A2000">
        <v>8752752</v>
      </c>
      <c r="B2000">
        <v>12083868</v>
      </c>
      <c r="C2000" t="s">
        <v>22</v>
      </c>
      <c r="D2000" t="s">
        <v>114</v>
      </c>
      <c r="E2000" s="4" t="str">
        <f>HYPERLINK("https://ibp.a2mac1.com/costing(costing:projects/details/9760/material/8752752)","ABS adjusted (part)")</f>
        <v>ABS adjusted (part)</v>
      </c>
      <c r="F2000" t="s">
        <v>2431</v>
      </c>
    </row>
    <row r="2001" spans="1:6" x14ac:dyDescent="0.15">
      <c r="A2001">
        <v>12210957</v>
      </c>
      <c r="B2001">
        <v>12083868</v>
      </c>
      <c r="C2001" t="s">
        <v>163</v>
      </c>
      <c r="D2001" t="s">
        <v>114</v>
      </c>
      <c r="E2001" s="4" t="str">
        <f>HYPERLINK("https://ibp.a2mac1.com/costing(costing:projects/details/9760/equipment/12210957)","DC machine - General")</f>
        <v>DC machine - General</v>
      </c>
      <c r="F2001" t="s">
        <v>2431</v>
      </c>
    </row>
    <row r="2002" spans="1:6" x14ac:dyDescent="0.15">
      <c r="A2002">
        <v>8412669</v>
      </c>
      <c r="B2002">
        <v>8412572</v>
      </c>
      <c r="C2002" t="s">
        <v>10</v>
      </c>
      <c r="D2002" t="s">
        <v>8</v>
      </c>
      <c r="E2002" s="4" t="str">
        <f>HYPERLINK("https://ibp.a2mac1.com/costing(costing:projects/details/9760/part/8412669)","Front Outer Trim")</f>
        <v>Front Outer Trim</v>
      </c>
      <c r="F2002" t="s">
        <v>2429</v>
      </c>
    </row>
    <row r="2003" spans="1:6" x14ac:dyDescent="0.15">
      <c r="A2003">
        <v>12083869</v>
      </c>
      <c r="B2003">
        <v>8412669</v>
      </c>
      <c r="C2003" t="s">
        <v>114</v>
      </c>
      <c r="D2003" t="s">
        <v>10</v>
      </c>
      <c r="E2003" s="4" t="str">
        <f>HYPERLINK("https://ibp.a2mac1.com/costing(costing:projects/details/9760/process/12083869)","Automated Process")</f>
        <v>Automated Process</v>
      </c>
      <c r="F2003" t="s">
        <v>2433</v>
      </c>
    </row>
    <row r="2004" spans="1:6" x14ac:dyDescent="0.15">
      <c r="A2004">
        <v>8752753</v>
      </c>
      <c r="B2004">
        <v>12083869</v>
      </c>
      <c r="C2004" t="s">
        <v>22</v>
      </c>
      <c r="D2004" t="s">
        <v>114</v>
      </c>
      <c r="E2004" s="4" t="str">
        <f>HYPERLINK("https://ibp.a2mac1.com/costing(costing:projects/details/9760/material/8752753)","ABS adjusted (part)")</f>
        <v>ABS adjusted (part)</v>
      </c>
      <c r="F2004" t="s">
        <v>2434</v>
      </c>
    </row>
    <row r="2005" spans="1:6" x14ac:dyDescent="0.15">
      <c r="A2005">
        <v>12210958</v>
      </c>
      <c r="B2005">
        <v>12083869</v>
      </c>
      <c r="C2005" t="s">
        <v>163</v>
      </c>
      <c r="D2005" t="s">
        <v>114</v>
      </c>
      <c r="E2005" s="4" t="str">
        <f>HYPERLINK("https://ibp.a2mac1.com/costing(costing:projects/details/9760/equipment/12210958)","DC machine - General")</f>
        <v>DC machine - General</v>
      </c>
      <c r="F2005" t="s">
        <v>2434</v>
      </c>
    </row>
    <row r="2006" spans="1:6" x14ac:dyDescent="0.15">
      <c r="A2006">
        <v>8412670</v>
      </c>
      <c r="B2006">
        <v>8412572</v>
      </c>
      <c r="C2006" t="s">
        <v>10</v>
      </c>
      <c r="D2006" t="s">
        <v>8</v>
      </c>
      <c r="E2006" s="4" t="str">
        <f>HYPERLINK("https://ibp.a2mac1.com/costing(costing:projects/details/9760/part/8412670)","Rear Inner Trim and Outer if Similar")</f>
        <v>Rear Inner Trim and Outer if Similar</v>
      </c>
      <c r="F2006" t="s">
        <v>2429</v>
      </c>
    </row>
    <row r="2007" spans="1:6" x14ac:dyDescent="0.15">
      <c r="A2007">
        <v>12083870</v>
      </c>
      <c r="B2007">
        <v>8412670</v>
      </c>
      <c r="C2007" t="s">
        <v>114</v>
      </c>
      <c r="D2007" t="s">
        <v>10</v>
      </c>
      <c r="E2007" s="4" t="str">
        <f>HYPERLINK("https://ibp.a2mac1.com/costing(costing:projects/details/9760/process/12083870)","Automated Process")</f>
        <v>Automated Process</v>
      </c>
      <c r="F2007" t="s">
        <v>2436</v>
      </c>
    </row>
    <row r="2008" spans="1:6" x14ac:dyDescent="0.15">
      <c r="A2008">
        <v>8752754</v>
      </c>
      <c r="B2008">
        <v>12083870</v>
      </c>
      <c r="C2008" t="s">
        <v>22</v>
      </c>
      <c r="D2008" t="s">
        <v>114</v>
      </c>
      <c r="E2008" s="4" t="str">
        <f>HYPERLINK("https://ibp.a2mac1.com/costing(costing:projects/details/9760/material/8752754)","ABS adjusted (part)")</f>
        <v>ABS adjusted (part)</v>
      </c>
      <c r="F2008" t="s">
        <v>2437</v>
      </c>
    </row>
    <row r="2009" spans="1:6" x14ac:dyDescent="0.15">
      <c r="A2009">
        <v>12210959</v>
      </c>
      <c r="B2009">
        <v>12083870</v>
      </c>
      <c r="C2009" t="s">
        <v>163</v>
      </c>
      <c r="D2009" t="s">
        <v>114</v>
      </c>
      <c r="E2009" s="4" t="str">
        <f>HYPERLINK("https://ibp.a2mac1.com/costing(costing:projects/details/9760/equipment/12210959)","DC machine - General")</f>
        <v>DC machine - General</v>
      </c>
      <c r="F2009" t="s">
        <v>2437</v>
      </c>
    </row>
    <row r="2010" spans="1:6" x14ac:dyDescent="0.15">
      <c r="A2010">
        <v>8412671</v>
      </c>
      <c r="B2010">
        <v>8412572</v>
      </c>
      <c r="C2010" t="s">
        <v>10</v>
      </c>
      <c r="D2010" t="s">
        <v>8</v>
      </c>
      <c r="E2010" s="4" t="str">
        <f>HYPERLINK("https://ibp.a2mac1.com/costing(costing:projects/details/9760/part/8412671)","Rear Outer Trim")</f>
        <v>Rear Outer Trim</v>
      </c>
      <c r="F2010" t="s">
        <v>2429</v>
      </c>
    </row>
    <row r="2011" spans="1:6" x14ac:dyDescent="0.15">
      <c r="A2011">
        <v>12083871</v>
      </c>
      <c r="B2011">
        <v>8412671</v>
      </c>
      <c r="C2011" t="s">
        <v>114</v>
      </c>
      <c r="D2011" t="s">
        <v>10</v>
      </c>
      <c r="E2011" s="4" t="str">
        <f>HYPERLINK("https://ibp.a2mac1.com/costing(costing:projects/details/9760/process/12083871)","Automated Process")</f>
        <v>Automated Process</v>
      </c>
      <c r="F2011" t="s">
        <v>2439</v>
      </c>
    </row>
    <row r="2012" spans="1:6" x14ac:dyDescent="0.15">
      <c r="A2012">
        <v>8752755</v>
      </c>
      <c r="B2012">
        <v>12083871</v>
      </c>
      <c r="C2012" t="s">
        <v>22</v>
      </c>
      <c r="D2012" t="s">
        <v>114</v>
      </c>
      <c r="E2012" s="4" t="str">
        <f>HYPERLINK("https://ibp.a2mac1.com/costing(costing:projects/details/9760/material/8752755)","ABS adjusted (part)")</f>
        <v>ABS adjusted (part)</v>
      </c>
      <c r="F2012" t="s">
        <v>2440</v>
      </c>
    </row>
    <row r="2013" spans="1:6" x14ac:dyDescent="0.15">
      <c r="A2013">
        <v>12210960</v>
      </c>
      <c r="B2013">
        <v>12083871</v>
      </c>
      <c r="C2013" t="s">
        <v>163</v>
      </c>
      <c r="D2013" t="s">
        <v>114</v>
      </c>
      <c r="E2013" s="4" t="str">
        <f>HYPERLINK("https://ibp.a2mac1.com/costing(costing:projects/details/9760/equipment/12210960)","DC machine - General")</f>
        <v>DC machine - General</v>
      </c>
      <c r="F2013" t="s">
        <v>2440</v>
      </c>
    </row>
    <row r="2014" spans="1:6" x14ac:dyDescent="0.15">
      <c r="A2014">
        <v>8412573</v>
      </c>
      <c r="B2014">
        <v>8412550</v>
      </c>
      <c r="C2014" t="s">
        <v>8</v>
      </c>
      <c r="D2014" t="s">
        <v>8</v>
      </c>
      <c r="E2014" s="4" t="str">
        <f>HYPERLINK("https://ibp.a2mac1.com/costing(costing:projects/details/9760/assembly/8412573)","Heating System")</f>
        <v>Heating System</v>
      </c>
      <c r="F2014" t="s">
        <v>2260</v>
      </c>
    </row>
    <row r="2015" spans="1:6" x14ac:dyDescent="0.15">
      <c r="A2015">
        <v>8412672</v>
      </c>
      <c r="B2015">
        <v>8412573</v>
      </c>
      <c r="C2015" t="s">
        <v>10</v>
      </c>
      <c r="D2015" t="s">
        <v>8</v>
      </c>
      <c r="E2015" s="4" t="str">
        <f>HYPERLINK("https://ibp.a2mac1.com/costing(costing:projects/details/9760/part/8412672)","Cushion Heating")</f>
        <v>Cushion Heating</v>
      </c>
      <c r="F2015" t="s">
        <v>2443</v>
      </c>
    </row>
    <row r="2016" spans="1:6" x14ac:dyDescent="0.15">
      <c r="A2016">
        <v>8412673</v>
      </c>
      <c r="B2016">
        <v>8412573</v>
      </c>
      <c r="C2016" t="s">
        <v>10</v>
      </c>
      <c r="D2016" t="s">
        <v>8</v>
      </c>
      <c r="E2016" s="4" t="str">
        <f>HYPERLINK("https://ibp.a2mac1.com/costing(costing:projects/details/9760/part/8412673)","Back Heating")</f>
        <v>Back Heating</v>
      </c>
      <c r="F2016" t="s">
        <v>2443</v>
      </c>
    </row>
    <row r="2017" spans="1:6" x14ac:dyDescent="0.15">
      <c r="A2017">
        <v>8412574</v>
      </c>
      <c r="B2017">
        <v>8412550</v>
      </c>
      <c r="C2017" t="s">
        <v>8</v>
      </c>
      <c r="D2017" t="s">
        <v>8</v>
      </c>
      <c r="E2017" s="4" t="str">
        <f>HYPERLINK("https://ibp.a2mac1.com/costing(costing:projects/details/9760/assembly/8412574)","Ventilation System")</f>
        <v>Ventilation System</v>
      </c>
      <c r="F2017" t="s">
        <v>2260</v>
      </c>
    </row>
    <row r="2018" spans="1:6" x14ac:dyDescent="0.15">
      <c r="A2018">
        <v>8412678</v>
      </c>
      <c r="B2018">
        <v>8412574</v>
      </c>
      <c r="C2018" t="s">
        <v>8</v>
      </c>
      <c r="D2018" t="s">
        <v>8</v>
      </c>
      <c r="E2018" s="4" t="str">
        <f>HYPERLINK("https://ibp.a2mac1.com/costing(costing:projects/details/9760/assembly/8412678)","Blower Unit System")</f>
        <v>Blower Unit System</v>
      </c>
      <c r="F2018" t="s">
        <v>2447</v>
      </c>
    </row>
    <row r="2019" spans="1:6" x14ac:dyDescent="0.15">
      <c r="A2019">
        <v>8412761</v>
      </c>
      <c r="B2019">
        <v>8412678</v>
      </c>
      <c r="C2019" t="s">
        <v>10</v>
      </c>
      <c r="D2019" t="s">
        <v>8</v>
      </c>
      <c r="E2019" s="4" t="str">
        <f>HYPERLINK("https://ibp.a2mac1.com/costing(costing:projects/details/9760/part/8412761)","Blower Unit Support on Back")</f>
        <v>Blower Unit Support on Back</v>
      </c>
      <c r="F2019" t="s">
        <v>2448</v>
      </c>
    </row>
    <row r="2020" spans="1:6" x14ac:dyDescent="0.15">
      <c r="A2020">
        <v>12083981</v>
      </c>
      <c r="B2020">
        <v>8412761</v>
      </c>
      <c r="C2020" t="s">
        <v>114</v>
      </c>
      <c r="D2020" t="s">
        <v>10</v>
      </c>
      <c r="E2020" s="4" t="str">
        <f>HYPERLINK("https://ibp.a2mac1.com/costing(costing:projects/details/9760/process/12083981)","Automated Process")</f>
        <v>Automated Process</v>
      </c>
      <c r="F2020" t="s">
        <v>2449</v>
      </c>
    </row>
    <row r="2021" spans="1:6" x14ac:dyDescent="0.15">
      <c r="A2021">
        <v>8752863</v>
      </c>
      <c r="B2021">
        <v>12083981</v>
      </c>
      <c r="C2021" t="s">
        <v>22</v>
      </c>
      <c r="D2021" t="s">
        <v>114</v>
      </c>
      <c r="E2021" s="4" t="str">
        <f>HYPERLINK("https://ibp.a2mac1.com/costing(costing:projects/details/9760/material/8752863)","Steel sheet (default) adjusted (part)")</f>
        <v>Steel sheet (default) adjusted (part)</v>
      </c>
      <c r="F2021" t="s">
        <v>2450</v>
      </c>
    </row>
    <row r="2022" spans="1:6" x14ac:dyDescent="0.15">
      <c r="A2022">
        <v>12211070</v>
      </c>
      <c r="B2022">
        <v>12083981</v>
      </c>
      <c r="C2022" t="s">
        <v>163</v>
      </c>
      <c r="D2022" t="s">
        <v>114</v>
      </c>
      <c r="E2022" s="4" t="str">
        <f>HYPERLINK("https://ibp.a2mac1.com/costing(costing:projects/details/9760/equipment/12211070)","DC machine - General")</f>
        <v>DC machine - General</v>
      </c>
      <c r="F2022" t="s">
        <v>2450</v>
      </c>
    </row>
    <row r="2023" spans="1:6" x14ac:dyDescent="0.15">
      <c r="A2023">
        <v>8412674</v>
      </c>
      <c r="B2023">
        <v>8412574</v>
      </c>
      <c r="C2023" t="s">
        <v>10</v>
      </c>
      <c r="D2023" t="s">
        <v>8</v>
      </c>
      <c r="E2023" s="4" t="str">
        <f>HYPERLINK("https://ibp.a2mac1.com/costing(costing:projects/details/9760/part/8412674)","On Back")</f>
        <v>On Back</v>
      </c>
      <c r="F2023" t="s">
        <v>2447</v>
      </c>
    </row>
    <row r="2024" spans="1:6" x14ac:dyDescent="0.15">
      <c r="A2024">
        <v>8412675</v>
      </c>
      <c r="B2024">
        <v>8412574</v>
      </c>
      <c r="C2024" t="s">
        <v>10</v>
      </c>
      <c r="D2024" t="s">
        <v>8</v>
      </c>
      <c r="E2024" s="4" t="str">
        <f>HYPERLINK("https://ibp.a2mac1.com/costing(costing:projects/details/9760/part/8412675)","On Cushion")</f>
        <v>On Cushion</v>
      </c>
      <c r="F2024" t="s">
        <v>2447</v>
      </c>
    </row>
    <row r="2025" spans="1:6" x14ac:dyDescent="0.15">
      <c r="A2025">
        <v>8412676</v>
      </c>
      <c r="B2025">
        <v>8412574</v>
      </c>
      <c r="C2025" t="s">
        <v>10</v>
      </c>
      <c r="D2025" t="s">
        <v>8</v>
      </c>
      <c r="E2025" s="4" t="str">
        <f>HYPERLINK("https://ibp.a2mac1.com/costing(costing:projects/details/9760/part/8412676)","Diffuser on Cushion")</f>
        <v>Diffuser on Cushion</v>
      </c>
      <c r="F2025" t="s">
        <v>2447</v>
      </c>
    </row>
    <row r="2026" spans="1:6" x14ac:dyDescent="0.15">
      <c r="A2026">
        <v>12083872</v>
      </c>
      <c r="B2026">
        <v>8412676</v>
      </c>
      <c r="C2026" t="s">
        <v>114</v>
      </c>
      <c r="D2026" t="s">
        <v>10</v>
      </c>
      <c r="E2026" s="4" t="str">
        <f>HYPERLINK("https://ibp.a2mac1.com/costing(costing:projects/details/9760/process/12083872)","Automated Process")</f>
        <v>Automated Process</v>
      </c>
      <c r="F2026" t="s">
        <v>2455</v>
      </c>
    </row>
    <row r="2027" spans="1:6" x14ac:dyDescent="0.15">
      <c r="A2027">
        <v>8752756</v>
      </c>
      <c r="B2027">
        <v>12083872</v>
      </c>
      <c r="C2027" t="s">
        <v>22</v>
      </c>
      <c r="D2027" t="s">
        <v>114</v>
      </c>
      <c r="E2027" s="4" t="str">
        <f>HYPERLINK("https://ibp.a2mac1.com/costing(costing:projects/details/9760/material/8752756)","TPE adjusted (part)")</f>
        <v>TPE adjusted (part)</v>
      </c>
      <c r="F2027" t="s">
        <v>2456</v>
      </c>
    </row>
    <row r="2028" spans="1:6" x14ac:dyDescent="0.15">
      <c r="A2028">
        <v>12210961</v>
      </c>
      <c r="B2028">
        <v>12083872</v>
      </c>
      <c r="C2028" t="s">
        <v>163</v>
      </c>
      <c r="D2028" t="s">
        <v>114</v>
      </c>
      <c r="E2028" s="4" t="str">
        <f>HYPERLINK("https://ibp.a2mac1.com/costing(costing:projects/details/9760/equipment/12210961)","DC machine - General")</f>
        <v>DC machine - General</v>
      </c>
      <c r="F2028" t="s">
        <v>2456</v>
      </c>
    </row>
    <row r="2029" spans="1:6" x14ac:dyDescent="0.15">
      <c r="A2029">
        <v>8412677</v>
      </c>
      <c r="B2029">
        <v>8412574</v>
      </c>
      <c r="C2029" t="s">
        <v>10</v>
      </c>
      <c r="D2029" t="s">
        <v>8</v>
      </c>
      <c r="E2029" s="4" t="str">
        <f>HYPERLINK("https://ibp.a2mac1.com/costing(costing:projects/details/9760/part/8412677)","Diffuser on Backrest")</f>
        <v>Diffuser on Backrest</v>
      </c>
      <c r="F2029" t="s">
        <v>2447</v>
      </c>
    </row>
    <row r="2030" spans="1:6" x14ac:dyDescent="0.15">
      <c r="A2030">
        <v>12083873</v>
      </c>
      <c r="B2030">
        <v>8412677</v>
      </c>
      <c r="C2030" t="s">
        <v>114</v>
      </c>
      <c r="D2030" t="s">
        <v>10</v>
      </c>
      <c r="E2030" s="4" t="str">
        <f>HYPERLINK("https://ibp.a2mac1.com/costing(costing:projects/details/9760/process/12083873)","Automated Process")</f>
        <v>Automated Process</v>
      </c>
      <c r="F2030" t="s">
        <v>2458</v>
      </c>
    </row>
    <row r="2031" spans="1:6" x14ac:dyDescent="0.15">
      <c r="A2031">
        <v>8752757</v>
      </c>
      <c r="B2031">
        <v>12083873</v>
      </c>
      <c r="C2031" t="s">
        <v>22</v>
      </c>
      <c r="D2031" t="s">
        <v>114</v>
      </c>
      <c r="E2031" s="4" t="str">
        <f>HYPERLINK("https://ibp.a2mac1.com/costing(costing:projects/details/9760/material/8752757)","TPE adjusted (part)")</f>
        <v>TPE adjusted (part)</v>
      </c>
      <c r="F2031" t="s">
        <v>2459</v>
      </c>
    </row>
    <row r="2032" spans="1:6" x14ac:dyDescent="0.15">
      <c r="A2032">
        <v>12210962</v>
      </c>
      <c r="B2032">
        <v>12083873</v>
      </c>
      <c r="C2032" t="s">
        <v>163</v>
      </c>
      <c r="D2032" t="s">
        <v>114</v>
      </c>
      <c r="E2032" s="4" t="str">
        <f>HYPERLINK("https://ibp.a2mac1.com/costing(costing:projects/details/9760/equipment/12210962)","DC machine - General")</f>
        <v>DC machine - General</v>
      </c>
      <c r="F2032" t="s">
        <v>2459</v>
      </c>
    </row>
    <row r="2033" spans="1:6" x14ac:dyDescent="0.15">
      <c r="A2033">
        <v>8412565</v>
      </c>
      <c r="B2033">
        <v>8412550</v>
      </c>
      <c r="C2033" t="s">
        <v>10</v>
      </c>
      <c r="D2033" t="s">
        <v>8</v>
      </c>
      <c r="E2033" s="4" t="str">
        <f>HYPERLINK("https://ibp.a2mac1.com/costing(costing:projects/details/9760/part/8412565)","Harness Guide Support")</f>
        <v>Harness Guide Support</v>
      </c>
      <c r="F2033" t="s">
        <v>2260</v>
      </c>
    </row>
    <row r="2034" spans="1:6" x14ac:dyDescent="0.15">
      <c r="A2034">
        <v>12083816</v>
      </c>
      <c r="B2034">
        <v>8412565</v>
      </c>
      <c r="C2034" t="s">
        <v>114</v>
      </c>
      <c r="D2034" t="s">
        <v>10</v>
      </c>
      <c r="E2034" s="4" t="str">
        <f>HYPERLINK("https://ibp.a2mac1.com/costing(costing:projects/details/9760/process/12083816)","Automated Process")</f>
        <v>Automated Process</v>
      </c>
      <c r="F2034" t="s">
        <v>2462</v>
      </c>
    </row>
    <row r="2035" spans="1:6" x14ac:dyDescent="0.15">
      <c r="A2035">
        <v>8752624</v>
      </c>
      <c r="B2035">
        <v>12083816</v>
      </c>
      <c r="C2035" t="s">
        <v>22</v>
      </c>
      <c r="D2035" t="s">
        <v>114</v>
      </c>
      <c r="E2035" s="4" t="str">
        <f>HYPERLINK("https://ibp.a2mac1.com/costing(costing:projects/details/9760/material/8752624)","Steel sheet (default) adjusted (part)")</f>
        <v>Steel sheet (default) adjusted (part)</v>
      </c>
      <c r="F2035" t="s">
        <v>2463</v>
      </c>
    </row>
    <row r="2036" spans="1:6" x14ac:dyDescent="0.15">
      <c r="A2036">
        <v>12210721</v>
      </c>
      <c r="B2036">
        <v>12083816</v>
      </c>
      <c r="C2036" t="s">
        <v>163</v>
      </c>
      <c r="D2036" t="s">
        <v>114</v>
      </c>
      <c r="E2036" s="4" t="str">
        <f>HYPERLINK("https://ibp.a2mac1.com/costing(costing:projects/details/9760/equipment/12210721)","DC machine - General")</f>
        <v>DC machine - General</v>
      </c>
      <c r="F2036" t="s">
        <v>2463</v>
      </c>
    </row>
    <row r="2037" spans="1:6" x14ac:dyDescent="0.15">
      <c r="A2037">
        <v>8412566</v>
      </c>
      <c r="B2037">
        <v>8412550</v>
      </c>
      <c r="C2037" t="s">
        <v>10</v>
      </c>
      <c r="D2037" t="s">
        <v>8</v>
      </c>
      <c r="E2037" s="4" t="str">
        <f>HYPERLINK("https://ibp.a2mac1.com/costing(costing:projects/details/9760/part/8412566)","Harness Guide Support 2")</f>
        <v>Harness Guide Support 2</v>
      </c>
      <c r="F2037" t="s">
        <v>2260</v>
      </c>
    </row>
    <row r="2038" spans="1:6" x14ac:dyDescent="0.15">
      <c r="A2038">
        <v>12083817</v>
      </c>
      <c r="B2038">
        <v>8412566</v>
      </c>
      <c r="C2038" t="s">
        <v>114</v>
      </c>
      <c r="D2038" t="s">
        <v>10</v>
      </c>
      <c r="E2038" s="4" t="str">
        <f>HYPERLINK("https://ibp.a2mac1.com/costing(costing:projects/details/9760/process/12083817)","Automated Process")</f>
        <v>Automated Process</v>
      </c>
      <c r="F2038" t="s">
        <v>2465</v>
      </c>
    </row>
    <row r="2039" spans="1:6" x14ac:dyDescent="0.15">
      <c r="A2039">
        <v>8752625</v>
      </c>
      <c r="B2039">
        <v>12083817</v>
      </c>
      <c r="C2039" t="s">
        <v>22</v>
      </c>
      <c r="D2039" t="s">
        <v>114</v>
      </c>
      <c r="E2039" s="4" t="str">
        <f>HYPERLINK("https://ibp.a2mac1.com/costing(costing:projects/details/9760/material/8752625)","Steel sheet (default) adjusted (part)")</f>
        <v>Steel sheet (default) adjusted (part)</v>
      </c>
      <c r="F2039" t="s">
        <v>2466</v>
      </c>
    </row>
    <row r="2040" spans="1:6" x14ac:dyDescent="0.15">
      <c r="A2040">
        <v>12210722</v>
      </c>
      <c r="B2040">
        <v>12083817</v>
      </c>
      <c r="C2040" t="s">
        <v>163</v>
      </c>
      <c r="D2040" t="s">
        <v>114</v>
      </c>
      <c r="E2040" s="4" t="str">
        <f>HYPERLINK("https://ibp.a2mac1.com/costing(costing:projects/details/9760/equipment/12210722)","DC machine - General")</f>
        <v>DC machine - General</v>
      </c>
      <c r="F2040" t="s">
        <v>2466</v>
      </c>
    </row>
    <row r="2041" spans="1:6" x14ac:dyDescent="0.15">
      <c r="A2041">
        <v>8412575</v>
      </c>
      <c r="B2041">
        <v>8412550</v>
      </c>
      <c r="C2041" t="s">
        <v>10</v>
      </c>
      <c r="D2041" t="s">
        <v>8</v>
      </c>
      <c r="E2041" s="4" t="str">
        <f>HYPERLINK("https://ibp.a2mac1.com/costing(costing:projects/details/9760/part/8412575)","Fasteners")</f>
        <v>Fasteners</v>
      </c>
      <c r="F2041" t="s">
        <v>2260</v>
      </c>
    </row>
    <row r="2042" spans="1:6" x14ac:dyDescent="0.15">
      <c r="A2042">
        <v>12083745</v>
      </c>
      <c r="B2042">
        <v>8412550</v>
      </c>
      <c r="C2042" t="s">
        <v>114</v>
      </c>
      <c r="D2042" t="s">
        <v>8</v>
      </c>
      <c r="E2042" s="4" t="str">
        <f>HYPERLINK("https://ibp.a2mac1.com/costing(costing:projects/details/9760/process/12083745)","Final Assembly")</f>
        <v>Final Assembly</v>
      </c>
      <c r="F2042" t="s">
        <v>2260</v>
      </c>
    </row>
    <row r="2043" spans="1:6" x14ac:dyDescent="0.15">
      <c r="A2043">
        <v>12210682</v>
      </c>
      <c r="B2043">
        <v>12083745</v>
      </c>
      <c r="C2043" t="s">
        <v>163</v>
      </c>
      <c r="D2043" t="s">
        <v>114</v>
      </c>
      <c r="E2043" s="4" t="str">
        <f>HYPERLINK("https://ibp.a2mac1.com/costing(costing:projects/details/9760/equipment/12210682)","DC machine - General")</f>
        <v>DC machine - General</v>
      </c>
      <c r="F2043" t="s">
        <v>2468</v>
      </c>
    </row>
    <row r="2044" spans="1:6" x14ac:dyDescent="0.15">
      <c r="A2044">
        <v>8412551</v>
      </c>
      <c r="B2044">
        <v>8412548</v>
      </c>
      <c r="C2044" t="s">
        <v>8</v>
      </c>
      <c r="D2044" t="s">
        <v>8</v>
      </c>
      <c r="E2044" s="4" t="str">
        <f>HYPERLINK("https://ibp.a2mac1.com/costing(costing:projects/details/9760/assembly/8412551)","Rear Seat")</f>
        <v>Rear Seat</v>
      </c>
      <c r="F2044" t="s">
        <v>1946</v>
      </c>
    </row>
    <row r="2045" spans="1:6" x14ac:dyDescent="0.15">
      <c r="A2045">
        <v>8412578</v>
      </c>
      <c r="B2045">
        <v>8412551</v>
      </c>
      <c r="C2045" t="s">
        <v>8</v>
      </c>
      <c r="D2045" t="s">
        <v>8</v>
      </c>
      <c r="E2045" s="4" t="str">
        <f>HYPERLINK("https://ibp.a2mac1.com/costing(costing:projects/details/9760/assembly/8412578)","Seat 1-3")</f>
        <v>Seat 1-3</v>
      </c>
      <c r="F2045" t="s">
        <v>2470</v>
      </c>
    </row>
    <row r="2046" spans="1:6" x14ac:dyDescent="0.15">
      <c r="A2046">
        <v>8412679</v>
      </c>
      <c r="B2046">
        <v>8412578</v>
      </c>
      <c r="C2046" t="s">
        <v>8</v>
      </c>
      <c r="D2046" t="s">
        <v>8</v>
      </c>
      <c r="E2046" s="4" t="str">
        <f>HYPERLINK("https://ibp.a2mac1.com/costing(costing:projects/details/9760/assembly/8412679)","Head Rest")</f>
        <v>Head Rest</v>
      </c>
      <c r="F2046" t="s">
        <v>2471</v>
      </c>
    </row>
    <row r="2047" spans="1:6" x14ac:dyDescent="0.15">
      <c r="A2047">
        <v>8412762</v>
      </c>
      <c r="B2047">
        <v>8412679</v>
      </c>
      <c r="C2047" t="s">
        <v>10</v>
      </c>
      <c r="D2047" t="s">
        <v>8</v>
      </c>
      <c r="E2047" s="4" t="str">
        <f>HYPERLINK("https://ibp.a2mac1.com/costing(costing:projects/details/9760/part/8412762)","Cover")</f>
        <v>Cover</v>
      </c>
      <c r="F2047" t="s">
        <v>2472</v>
      </c>
    </row>
    <row r="2048" spans="1:6" x14ac:dyDescent="0.15">
      <c r="A2048">
        <v>12083982</v>
      </c>
      <c r="B2048">
        <v>8412762</v>
      </c>
      <c r="C2048" t="s">
        <v>114</v>
      </c>
      <c r="D2048" t="s">
        <v>10</v>
      </c>
      <c r="E2048" s="4" t="str">
        <f>HYPERLINK("https://ibp.a2mac1.com/costing(costing:projects/details/9760/process/12083982)","Automated Process")</f>
        <v>Automated Process</v>
      </c>
      <c r="F2048" t="s">
        <v>2473</v>
      </c>
    </row>
    <row r="2049" spans="1:6" x14ac:dyDescent="0.15">
      <c r="A2049">
        <v>8752864</v>
      </c>
      <c r="B2049">
        <v>12083982</v>
      </c>
      <c r="C2049" t="s">
        <v>22</v>
      </c>
      <c r="D2049" t="s">
        <v>114</v>
      </c>
      <c r="E2049" s="4" t="str">
        <f>HYPERLINK("https://ibp.a2mac1.com/costing(costing:projects/details/9760/material/8752864)","Leather")</f>
        <v>Leather</v>
      </c>
      <c r="F2049" t="s">
        <v>2474</v>
      </c>
    </row>
    <row r="2050" spans="1:6" x14ac:dyDescent="0.15">
      <c r="A2050">
        <v>12211071</v>
      </c>
      <c r="B2050">
        <v>12083982</v>
      </c>
      <c r="C2050" t="s">
        <v>163</v>
      </c>
      <c r="D2050" t="s">
        <v>114</v>
      </c>
      <c r="E2050" s="4" t="str">
        <f>HYPERLINK("https://ibp.a2mac1.com/costing(costing:projects/details/9760/equipment/12211071)","DC machine - General")</f>
        <v>DC machine - General</v>
      </c>
      <c r="F2050" t="s">
        <v>2474</v>
      </c>
    </row>
    <row r="2051" spans="1:6" x14ac:dyDescent="0.15">
      <c r="A2051">
        <v>8412763</v>
      </c>
      <c r="B2051">
        <v>8412679</v>
      </c>
      <c r="C2051" t="s">
        <v>10</v>
      </c>
      <c r="D2051" t="s">
        <v>8</v>
      </c>
      <c r="E2051" s="4" t="str">
        <f>HYPERLINK("https://ibp.a2mac1.com/costing(costing:projects/details/9760/part/8412763)","Padding")</f>
        <v>Padding</v>
      </c>
      <c r="F2051" t="s">
        <v>2472</v>
      </c>
    </row>
    <row r="2052" spans="1:6" x14ac:dyDescent="0.15">
      <c r="A2052">
        <v>12083983</v>
      </c>
      <c r="B2052">
        <v>8412763</v>
      </c>
      <c r="C2052" t="s">
        <v>114</v>
      </c>
      <c r="D2052" t="s">
        <v>10</v>
      </c>
      <c r="E2052" s="4" t="str">
        <f>HYPERLINK("https://ibp.a2mac1.com/costing(costing:projects/details/9760/process/12083983)","Automated Process")</f>
        <v>Automated Process</v>
      </c>
      <c r="F2052" t="s">
        <v>2475</v>
      </c>
    </row>
    <row r="2053" spans="1:6" x14ac:dyDescent="0.15">
      <c r="A2053">
        <v>8752865</v>
      </c>
      <c r="B2053">
        <v>12083983</v>
      </c>
      <c r="C2053" t="s">
        <v>22</v>
      </c>
      <c r="D2053" t="s">
        <v>114</v>
      </c>
      <c r="E2053" s="4" t="str">
        <f>HYPERLINK("https://ibp.a2mac1.com/costing(costing:projects/details/9760/material/8752865)","PUR adjusted (part)")</f>
        <v>PUR adjusted (part)</v>
      </c>
      <c r="F2053" t="s">
        <v>2476</v>
      </c>
    </row>
    <row r="2054" spans="1:6" x14ac:dyDescent="0.15">
      <c r="A2054">
        <v>12211072</v>
      </c>
      <c r="B2054">
        <v>12083983</v>
      </c>
      <c r="C2054" t="s">
        <v>163</v>
      </c>
      <c r="D2054" t="s">
        <v>114</v>
      </c>
      <c r="E2054" s="4" t="str">
        <f>HYPERLINK("https://ibp.a2mac1.com/costing(costing:projects/details/9760/equipment/12211072)","DC machine - General")</f>
        <v>DC machine - General</v>
      </c>
      <c r="F2054" t="s">
        <v>2476</v>
      </c>
    </row>
    <row r="2055" spans="1:6" x14ac:dyDescent="0.15">
      <c r="A2055">
        <v>8412764</v>
      </c>
      <c r="B2055">
        <v>8412679</v>
      </c>
      <c r="C2055" t="s">
        <v>10</v>
      </c>
      <c r="D2055" t="s">
        <v>8</v>
      </c>
      <c r="E2055" s="4" t="str">
        <f>HYPERLINK("https://ibp.a2mac1.com/costing(costing:projects/details/9760/part/8412764)","Frame")</f>
        <v>Frame</v>
      </c>
      <c r="F2055" t="s">
        <v>2472</v>
      </c>
    </row>
    <row r="2056" spans="1:6" x14ac:dyDescent="0.15">
      <c r="A2056">
        <v>12083984</v>
      </c>
      <c r="B2056">
        <v>8412764</v>
      </c>
      <c r="C2056" t="s">
        <v>114</v>
      </c>
      <c r="D2056" t="s">
        <v>10</v>
      </c>
      <c r="E2056" s="4" t="str">
        <f>HYPERLINK("https://ibp.a2mac1.com/costing(costing:projects/details/9760/process/12083984)","Automated Process")</f>
        <v>Automated Process</v>
      </c>
      <c r="F2056" t="s">
        <v>2477</v>
      </c>
    </row>
    <row r="2057" spans="1:6" x14ac:dyDescent="0.15">
      <c r="A2057">
        <v>8752866</v>
      </c>
      <c r="B2057">
        <v>12083984</v>
      </c>
      <c r="C2057" t="s">
        <v>22</v>
      </c>
      <c r="D2057" t="s">
        <v>114</v>
      </c>
      <c r="E2057" s="4" t="str">
        <f>HYPERLINK("https://ibp.a2mac1.com/costing(costing:projects/details/9760/material/8752866)","Steel Tube (default, chromed) adjusted (part)")</f>
        <v>Steel Tube (default, chromed) adjusted (part)</v>
      </c>
      <c r="F2057" t="s">
        <v>2478</v>
      </c>
    </row>
    <row r="2058" spans="1:6" x14ac:dyDescent="0.15">
      <c r="A2058">
        <v>12211073</v>
      </c>
      <c r="B2058">
        <v>12083984</v>
      </c>
      <c r="C2058" t="s">
        <v>163</v>
      </c>
      <c r="D2058" t="s">
        <v>114</v>
      </c>
      <c r="E2058" s="4" t="str">
        <f>HYPERLINK("https://ibp.a2mac1.com/costing(costing:projects/details/9760/equipment/12211073)","DC machine - General")</f>
        <v>DC machine - General</v>
      </c>
      <c r="F2058" t="s">
        <v>2478</v>
      </c>
    </row>
    <row r="2059" spans="1:6" x14ac:dyDescent="0.15">
      <c r="A2059">
        <v>8412680</v>
      </c>
      <c r="B2059">
        <v>8412578</v>
      </c>
      <c r="C2059" t="s">
        <v>8</v>
      </c>
      <c r="D2059" t="s">
        <v>8</v>
      </c>
      <c r="E2059" s="4" t="str">
        <f>HYPERLINK("https://ibp.a2mac1.com/costing(costing:projects/details/9760/assembly/8412680)","Back")</f>
        <v>Back</v>
      </c>
      <c r="F2059" t="s">
        <v>2471</v>
      </c>
    </row>
    <row r="2060" spans="1:6" x14ac:dyDescent="0.15">
      <c r="A2060">
        <v>8412770</v>
      </c>
      <c r="B2060">
        <v>8412680</v>
      </c>
      <c r="C2060" t="s">
        <v>8</v>
      </c>
      <c r="D2060" t="s">
        <v>8</v>
      </c>
      <c r="E2060" s="4" t="str">
        <f>HYPERLINK("https://ibp.a2mac1.com/costing(costing:projects/details/9760/assembly/8412770)","Head Rest Support")</f>
        <v>Head Rest Support</v>
      </c>
      <c r="F2060" t="s">
        <v>2481</v>
      </c>
    </row>
    <row r="2061" spans="1:6" x14ac:dyDescent="0.15">
      <c r="A2061">
        <v>8412819</v>
      </c>
      <c r="B2061">
        <v>8412770</v>
      </c>
      <c r="C2061" t="s">
        <v>10</v>
      </c>
      <c r="D2061" t="s">
        <v>8</v>
      </c>
      <c r="E2061" s="4" t="str">
        <f>HYPERLINK("https://ibp.a2mac1.com/costing(costing:projects/details/9760/part/8412819)","Lock Support")</f>
        <v>Lock Support</v>
      </c>
      <c r="F2061" t="s">
        <v>2482</v>
      </c>
    </row>
    <row r="2062" spans="1:6" x14ac:dyDescent="0.15">
      <c r="A2062">
        <v>12084016</v>
      </c>
      <c r="B2062">
        <v>8412819</v>
      </c>
      <c r="C2062" t="s">
        <v>114</v>
      </c>
      <c r="D2062" t="s">
        <v>10</v>
      </c>
      <c r="E2062" s="4" t="str">
        <f>HYPERLINK("https://ibp.a2mac1.com/costing(costing:projects/details/9760/process/12084016)","Automated Process")</f>
        <v>Automated Process</v>
      </c>
      <c r="F2062" t="s">
        <v>2483</v>
      </c>
    </row>
    <row r="2063" spans="1:6" x14ac:dyDescent="0.15">
      <c r="A2063">
        <v>8752898</v>
      </c>
      <c r="B2063">
        <v>12084016</v>
      </c>
      <c r="C2063" t="s">
        <v>22</v>
      </c>
      <c r="D2063" t="s">
        <v>114</v>
      </c>
      <c r="E2063" s="4" t="str">
        <f>HYPERLINK("https://ibp.a2mac1.com/costing(costing:projects/details/9760/material/8752898)","PA6;PA66")</f>
        <v>PA6;PA66</v>
      </c>
      <c r="F2063" t="s">
        <v>2484</v>
      </c>
    </row>
    <row r="2064" spans="1:6" x14ac:dyDescent="0.15">
      <c r="A2064">
        <v>12211105</v>
      </c>
      <c r="B2064">
        <v>12084016</v>
      </c>
      <c r="C2064" t="s">
        <v>163</v>
      </c>
      <c r="D2064" t="s">
        <v>114</v>
      </c>
      <c r="E2064" s="4" t="str">
        <f>HYPERLINK("https://ibp.a2mac1.com/costing(costing:projects/details/9760/equipment/12211105)","DC machine - General")</f>
        <v>DC machine - General</v>
      </c>
      <c r="F2064" t="s">
        <v>2484</v>
      </c>
    </row>
    <row r="2065" spans="1:6" x14ac:dyDescent="0.15">
      <c r="A2065">
        <v>8412820</v>
      </c>
      <c r="B2065">
        <v>8412770</v>
      </c>
      <c r="C2065" t="s">
        <v>10</v>
      </c>
      <c r="D2065" t="s">
        <v>8</v>
      </c>
      <c r="E2065" s="4" t="str">
        <f>HYPERLINK("https://ibp.a2mac1.com/costing(costing:projects/details/9760/part/8412820)","Simple Guide Support")</f>
        <v>Simple Guide Support</v>
      </c>
      <c r="F2065" t="s">
        <v>2482</v>
      </c>
    </row>
    <row r="2066" spans="1:6" x14ac:dyDescent="0.15">
      <c r="A2066">
        <v>12084017</v>
      </c>
      <c r="B2066">
        <v>8412820</v>
      </c>
      <c r="C2066" t="s">
        <v>114</v>
      </c>
      <c r="D2066" t="s">
        <v>10</v>
      </c>
      <c r="E2066" s="4" t="str">
        <f>HYPERLINK("https://ibp.a2mac1.com/costing(costing:projects/details/9760/process/12084017)","Automated Process")</f>
        <v>Automated Process</v>
      </c>
      <c r="F2066" t="s">
        <v>2487</v>
      </c>
    </row>
    <row r="2067" spans="1:6" x14ac:dyDescent="0.15">
      <c r="A2067">
        <v>8752899</v>
      </c>
      <c r="B2067">
        <v>12084017</v>
      </c>
      <c r="C2067" t="s">
        <v>22</v>
      </c>
      <c r="D2067" t="s">
        <v>114</v>
      </c>
      <c r="E2067" s="4" t="str">
        <f>HYPERLINK("https://ibp.a2mac1.com/costing(costing:projects/details/9760/material/8752899)","PA6;PA66")</f>
        <v>PA6;PA66</v>
      </c>
      <c r="F2067" t="s">
        <v>2488</v>
      </c>
    </row>
    <row r="2068" spans="1:6" x14ac:dyDescent="0.15">
      <c r="A2068">
        <v>12211106</v>
      </c>
      <c r="B2068">
        <v>12084017</v>
      </c>
      <c r="C2068" t="s">
        <v>163</v>
      </c>
      <c r="D2068" t="s">
        <v>114</v>
      </c>
      <c r="E2068" s="4" t="str">
        <f>HYPERLINK("https://ibp.a2mac1.com/costing(costing:projects/details/9760/equipment/12211106)","DC machine - General")</f>
        <v>DC machine - General</v>
      </c>
      <c r="F2068" t="s">
        <v>2488</v>
      </c>
    </row>
    <row r="2069" spans="1:6" x14ac:dyDescent="0.15">
      <c r="A2069">
        <v>8412771</v>
      </c>
      <c r="B2069">
        <v>8412680</v>
      </c>
      <c r="C2069" t="s">
        <v>8</v>
      </c>
      <c r="D2069" t="s">
        <v>8</v>
      </c>
      <c r="E2069" s="4" t="str">
        <f>HYPERLINK("https://ibp.a2mac1.com/costing(costing:projects/details/9760/assembly/8412771)","Locking System")</f>
        <v>Locking System</v>
      </c>
      <c r="F2069" t="s">
        <v>2481</v>
      </c>
    </row>
    <row r="2070" spans="1:6" x14ac:dyDescent="0.15">
      <c r="A2070">
        <v>8412823</v>
      </c>
      <c r="B2070">
        <v>8412771</v>
      </c>
      <c r="C2070" t="s">
        <v>8</v>
      </c>
      <c r="D2070" t="s">
        <v>8</v>
      </c>
      <c r="E2070" s="4" t="str">
        <f>HYPERLINK("https://ibp.a2mac1.com/costing(costing:projects/details/9760/assembly/8412823)","Handle")</f>
        <v>Handle</v>
      </c>
      <c r="F2070" t="s">
        <v>2491</v>
      </c>
    </row>
    <row r="2071" spans="1:6" x14ac:dyDescent="0.15">
      <c r="A2071">
        <v>8412846</v>
      </c>
      <c r="B2071">
        <v>8412823</v>
      </c>
      <c r="C2071" t="s">
        <v>10</v>
      </c>
      <c r="D2071" t="s">
        <v>8</v>
      </c>
      <c r="E2071" s="4" t="str">
        <f>HYPERLINK("https://ibp.a2mac1.com/costing(costing:projects/details/9760/part/8412846)","Lever")</f>
        <v>Lever</v>
      </c>
      <c r="F2071" t="s">
        <v>2492</v>
      </c>
    </row>
    <row r="2072" spans="1:6" x14ac:dyDescent="0.15">
      <c r="A2072">
        <v>12084034</v>
      </c>
      <c r="B2072">
        <v>8412846</v>
      </c>
      <c r="C2072" t="s">
        <v>114</v>
      </c>
      <c r="D2072" t="s">
        <v>10</v>
      </c>
      <c r="E2072" s="4" t="str">
        <f>HYPERLINK("https://ibp.a2mac1.com/costing(costing:projects/details/9760/process/12084034)","Automated Process")</f>
        <v>Automated Process</v>
      </c>
      <c r="F2072" t="s">
        <v>2493</v>
      </c>
    </row>
    <row r="2073" spans="1:6" x14ac:dyDescent="0.15">
      <c r="A2073">
        <v>8752916</v>
      </c>
      <c r="B2073">
        <v>12084034</v>
      </c>
      <c r="C2073" t="s">
        <v>22</v>
      </c>
      <c r="D2073" t="s">
        <v>114</v>
      </c>
      <c r="E2073" s="4" t="str">
        <f>HYPERLINK("https://ibp.a2mac1.com/costing(costing:projects/details/9760/material/8752916)","PC-ABS adjusted (part)")</f>
        <v>PC-ABS adjusted (part)</v>
      </c>
      <c r="F2073" t="s">
        <v>2494</v>
      </c>
    </row>
    <row r="2074" spans="1:6" x14ac:dyDescent="0.15">
      <c r="A2074">
        <v>12211123</v>
      </c>
      <c r="B2074">
        <v>12084034</v>
      </c>
      <c r="C2074" t="s">
        <v>163</v>
      </c>
      <c r="D2074" t="s">
        <v>114</v>
      </c>
      <c r="E2074" s="4" t="str">
        <f>HYPERLINK("https://ibp.a2mac1.com/costing(costing:projects/details/9760/equipment/12211123)","DC machine - General")</f>
        <v>DC machine - General</v>
      </c>
      <c r="F2074" t="s">
        <v>2494</v>
      </c>
    </row>
    <row r="2075" spans="1:6" x14ac:dyDescent="0.15">
      <c r="A2075">
        <v>8412847</v>
      </c>
      <c r="B2075">
        <v>8412823</v>
      </c>
      <c r="C2075" t="s">
        <v>10</v>
      </c>
      <c r="D2075" t="s">
        <v>8</v>
      </c>
      <c r="E2075" s="4" t="str">
        <f>HYPERLINK("https://ibp.a2mac1.com/costing(costing:projects/details/9760/part/8412847)","Bezel")</f>
        <v>Bezel</v>
      </c>
      <c r="F2075" t="s">
        <v>2492</v>
      </c>
    </row>
    <row r="2076" spans="1:6" x14ac:dyDescent="0.15">
      <c r="A2076">
        <v>12084035</v>
      </c>
      <c r="B2076">
        <v>8412847</v>
      </c>
      <c r="C2076" t="s">
        <v>114</v>
      </c>
      <c r="D2076" t="s">
        <v>10</v>
      </c>
      <c r="E2076" s="4" t="str">
        <f>HYPERLINK("https://ibp.a2mac1.com/costing(costing:projects/details/9760/process/12084035)","Automated Process")</f>
        <v>Automated Process</v>
      </c>
      <c r="F2076" t="s">
        <v>2497</v>
      </c>
    </row>
    <row r="2077" spans="1:6" x14ac:dyDescent="0.15">
      <c r="A2077">
        <v>8752917</v>
      </c>
      <c r="B2077">
        <v>12084035</v>
      </c>
      <c r="C2077" t="s">
        <v>22</v>
      </c>
      <c r="D2077" t="s">
        <v>114</v>
      </c>
      <c r="E2077" s="4" t="str">
        <f>HYPERLINK("https://ibp.a2mac1.com/costing(costing:projects/details/9760/material/8752917)","PC-ABS adjusted (part)")</f>
        <v>PC-ABS adjusted (part)</v>
      </c>
      <c r="F2077" t="s">
        <v>2498</v>
      </c>
    </row>
    <row r="2078" spans="1:6" x14ac:dyDescent="0.15">
      <c r="A2078">
        <v>12211124</v>
      </c>
      <c r="B2078">
        <v>12084035</v>
      </c>
      <c r="C2078" t="s">
        <v>163</v>
      </c>
      <c r="D2078" t="s">
        <v>114</v>
      </c>
      <c r="E2078" s="4" t="str">
        <f>HYPERLINK("https://ibp.a2mac1.com/costing(costing:projects/details/9760/equipment/12211124)","DC machine - General")</f>
        <v>DC machine - General</v>
      </c>
      <c r="F2078" t="s">
        <v>2498</v>
      </c>
    </row>
    <row r="2079" spans="1:6" x14ac:dyDescent="0.15">
      <c r="A2079">
        <v>8412848</v>
      </c>
      <c r="B2079">
        <v>8412823</v>
      </c>
      <c r="C2079" t="s">
        <v>10</v>
      </c>
      <c r="D2079" t="s">
        <v>8</v>
      </c>
      <c r="E2079" s="4" t="str">
        <f>HYPERLINK("https://ibp.a2mac1.com/costing(costing:projects/details/9760/part/8412848)","Support")</f>
        <v>Support</v>
      </c>
      <c r="F2079" t="s">
        <v>2492</v>
      </c>
    </row>
    <row r="2080" spans="1:6" x14ac:dyDescent="0.15">
      <c r="A2080">
        <v>12084036</v>
      </c>
      <c r="B2080">
        <v>8412848</v>
      </c>
      <c r="C2080" t="s">
        <v>114</v>
      </c>
      <c r="D2080" t="s">
        <v>10</v>
      </c>
      <c r="E2080" s="4" t="str">
        <f>HYPERLINK("https://ibp.a2mac1.com/costing(costing:projects/details/9760/process/12084036)","Automated Process")</f>
        <v>Automated Process</v>
      </c>
      <c r="F2080" t="s">
        <v>2500</v>
      </c>
    </row>
    <row r="2081" spans="1:6" x14ac:dyDescent="0.15">
      <c r="A2081">
        <v>8752918</v>
      </c>
      <c r="B2081">
        <v>12084036</v>
      </c>
      <c r="C2081" t="s">
        <v>22</v>
      </c>
      <c r="D2081" t="s">
        <v>114</v>
      </c>
      <c r="E2081" s="4" t="str">
        <f>HYPERLINK("https://ibp.a2mac1.com/costing(costing:projects/details/9760/material/8752918)","PP-GF30 adjusted (part)")</f>
        <v>PP-GF30 adjusted (part)</v>
      </c>
      <c r="F2081" t="s">
        <v>2501</v>
      </c>
    </row>
    <row r="2082" spans="1:6" x14ac:dyDescent="0.15">
      <c r="A2082">
        <v>12211125</v>
      </c>
      <c r="B2082">
        <v>12084036</v>
      </c>
      <c r="C2082" t="s">
        <v>163</v>
      </c>
      <c r="D2082" t="s">
        <v>114</v>
      </c>
      <c r="E2082" s="4" t="str">
        <f>HYPERLINK("https://ibp.a2mac1.com/costing(costing:projects/details/9760/equipment/12211125)","DC machine - General")</f>
        <v>DC machine - General</v>
      </c>
      <c r="F2082" t="s">
        <v>2501</v>
      </c>
    </row>
    <row r="2083" spans="1:6" x14ac:dyDescent="0.15">
      <c r="A2083">
        <v>8412849</v>
      </c>
      <c r="B2083">
        <v>8412823</v>
      </c>
      <c r="C2083" t="s">
        <v>10</v>
      </c>
      <c r="D2083" t="s">
        <v>8</v>
      </c>
      <c r="E2083" s="4" t="str">
        <f>HYPERLINK("https://ibp.a2mac1.com/costing(costing:projects/details/9760/part/8412849)","Cable")</f>
        <v>Cable</v>
      </c>
      <c r="F2083" t="s">
        <v>2492</v>
      </c>
    </row>
    <row r="2084" spans="1:6" x14ac:dyDescent="0.15">
      <c r="A2084">
        <v>8412821</v>
      </c>
      <c r="B2084">
        <v>8412771</v>
      </c>
      <c r="C2084" t="s">
        <v>10</v>
      </c>
      <c r="D2084" t="s">
        <v>8</v>
      </c>
      <c r="E2084" s="4" t="str">
        <f>HYPERLINK("https://ibp.a2mac1.com/costing(costing:projects/details/9760/part/8412821)","Lock")</f>
        <v>Lock</v>
      </c>
      <c r="F2084" t="s">
        <v>2491</v>
      </c>
    </row>
    <row r="2085" spans="1:6" x14ac:dyDescent="0.15">
      <c r="A2085">
        <v>8412822</v>
      </c>
      <c r="B2085">
        <v>8412771</v>
      </c>
      <c r="C2085" t="s">
        <v>10</v>
      </c>
      <c r="D2085" t="s">
        <v>8</v>
      </c>
      <c r="E2085" s="4" t="str">
        <f>HYPERLINK("https://ibp.a2mac1.com/costing(costing:projects/details/9760/part/8412822)","Stoppers")</f>
        <v>Stoppers</v>
      </c>
      <c r="F2085" t="s">
        <v>2491</v>
      </c>
    </row>
    <row r="2086" spans="1:6" x14ac:dyDescent="0.15">
      <c r="A2086">
        <v>8412765</v>
      </c>
      <c r="B2086">
        <v>8412680</v>
      </c>
      <c r="C2086" t="s">
        <v>10</v>
      </c>
      <c r="D2086" t="s">
        <v>8</v>
      </c>
      <c r="E2086" s="4" t="str">
        <f>HYPERLINK("https://ibp.a2mac1.com/costing(costing:projects/details/9760/part/8412765)","Cover")</f>
        <v>Cover</v>
      </c>
      <c r="F2086" t="s">
        <v>2481</v>
      </c>
    </row>
    <row r="2087" spans="1:6" x14ac:dyDescent="0.15">
      <c r="A2087">
        <v>12083985</v>
      </c>
      <c r="B2087">
        <v>8412765</v>
      </c>
      <c r="C2087" t="s">
        <v>114</v>
      </c>
      <c r="D2087" t="s">
        <v>10</v>
      </c>
      <c r="E2087" s="4" t="str">
        <f>HYPERLINK("https://ibp.a2mac1.com/costing(costing:projects/details/9760/process/12083985)","Automated Process")</f>
        <v>Automated Process</v>
      </c>
      <c r="F2087" t="s">
        <v>2512</v>
      </c>
    </row>
    <row r="2088" spans="1:6" x14ac:dyDescent="0.15">
      <c r="A2088">
        <v>8752867</v>
      </c>
      <c r="B2088">
        <v>12083985</v>
      </c>
      <c r="C2088" t="s">
        <v>22</v>
      </c>
      <c r="D2088" t="s">
        <v>114</v>
      </c>
      <c r="E2088" s="4" t="str">
        <f>HYPERLINK("https://ibp.a2mac1.com/costing(costing:projects/details/9760/material/8752867)","Leather")</f>
        <v>Leather</v>
      </c>
      <c r="F2088" t="s">
        <v>2513</v>
      </c>
    </row>
    <row r="2089" spans="1:6" x14ac:dyDescent="0.15">
      <c r="A2089">
        <v>12211074</v>
      </c>
      <c r="B2089">
        <v>12083985</v>
      </c>
      <c r="C2089" t="s">
        <v>163</v>
      </c>
      <c r="D2089" t="s">
        <v>114</v>
      </c>
      <c r="E2089" s="4" t="str">
        <f>HYPERLINK("https://ibp.a2mac1.com/costing(costing:projects/details/9760/equipment/12211074)","DC machine - General")</f>
        <v>DC machine - General</v>
      </c>
      <c r="F2089" t="s">
        <v>2513</v>
      </c>
    </row>
    <row r="2090" spans="1:6" x14ac:dyDescent="0.15">
      <c r="A2090">
        <v>8412766</v>
      </c>
      <c r="B2090">
        <v>8412680</v>
      </c>
      <c r="C2090" t="s">
        <v>10</v>
      </c>
      <c r="D2090" t="s">
        <v>8</v>
      </c>
      <c r="E2090" s="4" t="str">
        <f>HYPERLINK("https://ibp.a2mac1.com/costing(costing:projects/details/9760/part/8412766)","Pad")</f>
        <v>Pad</v>
      </c>
      <c r="F2090" t="s">
        <v>2481</v>
      </c>
    </row>
    <row r="2091" spans="1:6" x14ac:dyDescent="0.15">
      <c r="A2091">
        <v>12083986</v>
      </c>
      <c r="B2091">
        <v>8412766</v>
      </c>
      <c r="C2091" t="s">
        <v>114</v>
      </c>
      <c r="D2091" t="s">
        <v>10</v>
      </c>
      <c r="E2091" s="4" t="str">
        <f>HYPERLINK("https://ibp.a2mac1.com/costing(costing:projects/details/9760/process/12083986)","Automated Process")</f>
        <v>Automated Process</v>
      </c>
      <c r="F2091" t="s">
        <v>2515</v>
      </c>
    </row>
    <row r="2092" spans="1:6" x14ac:dyDescent="0.15">
      <c r="A2092">
        <v>8752868</v>
      </c>
      <c r="B2092">
        <v>12083986</v>
      </c>
      <c r="C2092" t="s">
        <v>22</v>
      </c>
      <c r="D2092" t="s">
        <v>114</v>
      </c>
      <c r="E2092" s="4" t="str">
        <f>HYPERLINK("https://ibp.a2mac1.com/costing(costing:projects/details/9760/material/8752868)","PUR adjusted (part)")</f>
        <v>PUR adjusted (part)</v>
      </c>
      <c r="F2092" t="s">
        <v>2516</v>
      </c>
    </row>
    <row r="2093" spans="1:6" x14ac:dyDescent="0.15">
      <c r="A2093">
        <v>12211075</v>
      </c>
      <c r="B2093">
        <v>12083986</v>
      </c>
      <c r="C2093" t="s">
        <v>163</v>
      </c>
      <c r="D2093" t="s">
        <v>114</v>
      </c>
      <c r="E2093" s="4" t="str">
        <f>HYPERLINK("https://ibp.a2mac1.com/costing(costing:projects/details/9760/equipment/12211075)","DC machine - General")</f>
        <v>DC machine - General</v>
      </c>
      <c r="F2093" t="s">
        <v>2516</v>
      </c>
    </row>
    <row r="2094" spans="1:6" x14ac:dyDescent="0.15">
      <c r="A2094">
        <v>8412767</v>
      </c>
      <c r="B2094">
        <v>8412680</v>
      </c>
      <c r="C2094" t="s">
        <v>10</v>
      </c>
      <c r="D2094" t="s">
        <v>8</v>
      </c>
      <c r="E2094" s="4" t="str">
        <f>HYPERLINK("https://ibp.a2mac1.com/costing(costing:projects/details/9760/part/8412767)","Frame")</f>
        <v>Frame</v>
      </c>
      <c r="F2094" t="s">
        <v>2481</v>
      </c>
    </row>
    <row r="2095" spans="1:6" x14ac:dyDescent="0.15">
      <c r="A2095">
        <v>12083987</v>
      </c>
      <c r="B2095">
        <v>8412767</v>
      </c>
      <c r="C2095" t="s">
        <v>114</v>
      </c>
      <c r="D2095" t="s">
        <v>10</v>
      </c>
      <c r="E2095" s="4" t="str">
        <f>HYPERLINK("https://ibp.a2mac1.com/costing(costing:projects/details/9760/process/12083987)","Automated Process")</f>
        <v>Automated Process</v>
      </c>
      <c r="F2095" t="s">
        <v>2518</v>
      </c>
    </row>
    <row r="2096" spans="1:6" x14ac:dyDescent="0.15">
      <c r="A2096">
        <v>8752869</v>
      </c>
      <c r="B2096">
        <v>12083987</v>
      </c>
      <c r="C2096" t="s">
        <v>22</v>
      </c>
      <c r="D2096" t="s">
        <v>114</v>
      </c>
      <c r="E2096" s="4" t="str">
        <f>HYPERLINK("https://ibp.a2mac1.com/costing(costing:projects/details/9760/material/8752869)","Steel sheet (default) adjusted (part)")</f>
        <v>Steel sheet (default) adjusted (part)</v>
      </c>
      <c r="F2096" t="s">
        <v>2519</v>
      </c>
    </row>
    <row r="2097" spans="1:6" x14ac:dyDescent="0.15">
      <c r="A2097">
        <v>12211076</v>
      </c>
      <c r="B2097">
        <v>12083987</v>
      </c>
      <c r="C2097" t="s">
        <v>163</v>
      </c>
      <c r="D2097" t="s">
        <v>114</v>
      </c>
      <c r="E2097" s="4" t="str">
        <f>HYPERLINK("https://ibp.a2mac1.com/costing(costing:projects/details/9760/equipment/12211076)","DC machine - General")</f>
        <v>DC machine - General</v>
      </c>
      <c r="F2097" t="s">
        <v>2519</v>
      </c>
    </row>
    <row r="2098" spans="1:6" x14ac:dyDescent="0.15">
      <c r="A2098">
        <v>8412768</v>
      </c>
      <c r="B2098">
        <v>8412680</v>
      </c>
      <c r="C2098" t="s">
        <v>10</v>
      </c>
      <c r="D2098" t="s">
        <v>8</v>
      </c>
      <c r="E2098" s="4" t="str">
        <f>HYPERLINK("https://ibp.a2mac1.com/costing(costing:projects/details/9760/part/8412768)","Rear Panel")</f>
        <v>Rear Panel</v>
      </c>
      <c r="F2098" t="s">
        <v>2481</v>
      </c>
    </row>
    <row r="2099" spans="1:6" x14ac:dyDescent="0.15">
      <c r="A2099">
        <v>12083988</v>
      </c>
      <c r="B2099">
        <v>8412768</v>
      </c>
      <c r="C2099" t="s">
        <v>114</v>
      </c>
      <c r="D2099" t="s">
        <v>10</v>
      </c>
      <c r="E2099" s="4" t="str">
        <f>HYPERLINK("https://ibp.a2mac1.com/costing(costing:projects/details/9760/process/12083988)","Automated Process")</f>
        <v>Automated Process</v>
      </c>
      <c r="F2099" t="s">
        <v>2521</v>
      </c>
    </row>
    <row r="2100" spans="1:6" x14ac:dyDescent="0.15">
      <c r="A2100">
        <v>8752870</v>
      </c>
      <c r="B2100">
        <v>12083988</v>
      </c>
      <c r="C2100" t="s">
        <v>22</v>
      </c>
      <c r="D2100" t="s">
        <v>114</v>
      </c>
      <c r="E2100" s="4" t="str">
        <f>HYPERLINK("https://ibp.a2mac1.com/costing(costing:projects/details/9760/material/8752870)","PET adjusted (part)")</f>
        <v>PET adjusted (part)</v>
      </c>
      <c r="F2100" t="s">
        <v>2522</v>
      </c>
    </row>
    <row r="2101" spans="1:6" x14ac:dyDescent="0.15">
      <c r="A2101">
        <v>12211077</v>
      </c>
      <c r="B2101">
        <v>12083988</v>
      </c>
      <c r="C2101" t="s">
        <v>163</v>
      </c>
      <c r="D2101" t="s">
        <v>114</v>
      </c>
      <c r="E2101" s="4" t="str">
        <f>HYPERLINK("https://ibp.a2mac1.com/costing(costing:projects/details/9760/equipment/12211077)","DC machine - General")</f>
        <v>DC machine - General</v>
      </c>
      <c r="F2101" t="s">
        <v>2522</v>
      </c>
    </row>
    <row r="2102" spans="1:6" x14ac:dyDescent="0.15">
      <c r="A2102">
        <v>8412769</v>
      </c>
      <c r="B2102">
        <v>8412680</v>
      </c>
      <c r="C2102" t="s">
        <v>10</v>
      </c>
      <c r="D2102" t="s">
        <v>8</v>
      </c>
      <c r="E2102" s="4" t="str">
        <f>HYPERLINK("https://ibp.a2mac1.com/costing(costing:projects/details/9760/part/8412769)","2nd Pad")</f>
        <v>2nd Pad</v>
      </c>
      <c r="F2102" t="s">
        <v>2481</v>
      </c>
    </row>
    <row r="2103" spans="1:6" x14ac:dyDescent="0.15">
      <c r="A2103">
        <v>12083989</v>
      </c>
      <c r="B2103">
        <v>8412769</v>
      </c>
      <c r="C2103" t="s">
        <v>114</v>
      </c>
      <c r="D2103" t="s">
        <v>10</v>
      </c>
      <c r="E2103" s="4" t="str">
        <f>HYPERLINK("https://ibp.a2mac1.com/costing(costing:projects/details/9760/process/12083989)","Automated Process")</f>
        <v>Automated Process</v>
      </c>
      <c r="F2103" t="s">
        <v>2524</v>
      </c>
    </row>
    <row r="2104" spans="1:6" x14ac:dyDescent="0.15">
      <c r="A2104">
        <v>8752871</v>
      </c>
      <c r="B2104">
        <v>12083989</v>
      </c>
      <c r="C2104" t="s">
        <v>22</v>
      </c>
      <c r="D2104" t="s">
        <v>114</v>
      </c>
      <c r="E2104" s="4" t="str">
        <f>HYPERLINK("https://ibp.a2mac1.com/costing(costing:projects/details/9760/material/8752871)","PUR adjusted (part)")</f>
        <v>PUR adjusted (part)</v>
      </c>
      <c r="F2104" t="s">
        <v>2525</v>
      </c>
    </row>
    <row r="2105" spans="1:6" x14ac:dyDescent="0.15">
      <c r="A2105">
        <v>12211078</v>
      </c>
      <c r="B2105">
        <v>12083989</v>
      </c>
      <c r="C2105" t="s">
        <v>163</v>
      </c>
      <c r="D2105" t="s">
        <v>114</v>
      </c>
      <c r="E2105" s="4" t="str">
        <f>HYPERLINK("https://ibp.a2mac1.com/costing(costing:projects/details/9760/equipment/12211078)","DC machine - General")</f>
        <v>DC machine - General</v>
      </c>
      <c r="F2105" t="s">
        <v>2525</v>
      </c>
    </row>
    <row r="2106" spans="1:6" x14ac:dyDescent="0.15">
      <c r="A2106">
        <v>8412681</v>
      </c>
      <c r="B2106">
        <v>8412578</v>
      </c>
      <c r="C2106" t="s">
        <v>8</v>
      </c>
      <c r="D2106" t="s">
        <v>8</v>
      </c>
      <c r="E2106" s="4" t="str">
        <f>HYPERLINK("https://ibp.a2mac1.com/costing(costing:projects/details/9760/assembly/8412681)","Support System")</f>
        <v>Support System</v>
      </c>
      <c r="F2106" t="s">
        <v>2471</v>
      </c>
    </row>
    <row r="2107" spans="1:6" x14ac:dyDescent="0.15">
      <c r="A2107">
        <v>8412772</v>
      </c>
      <c r="B2107">
        <v>8412681</v>
      </c>
      <c r="C2107" t="s">
        <v>10</v>
      </c>
      <c r="D2107" t="s">
        <v>8</v>
      </c>
      <c r="E2107" s="4" t="str">
        <f>HYPERLINK("https://ibp.a2mac1.com/costing(costing:projects/details/9760/part/8412772)","Exterior Support")</f>
        <v>Exterior Support</v>
      </c>
      <c r="F2107" t="s">
        <v>2528</v>
      </c>
    </row>
    <row r="2108" spans="1:6" x14ac:dyDescent="0.15">
      <c r="A2108">
        <v>12083990</v>
      </c>
      <c r="B2108">
        <v>8412772</v>
      </c>
      <c r="C2108" t="s">
        <v>114</v>
      </c>
      <c r="D2108" t="s">
        <v>10</v>
      </c>
      <c r="E2108" s="4" t="str">
        <f>HYPERLINK("https://ibp.a2mac1.com/costing(costing:projects/details/9760/process/12083990)","Automated Process")</f>
        <v>Automated Process</v>
      </c>
      <c r="F2108" t="s">
        <v>2529</v>
      </c>
    </row>
    <row r="2109" spans="1:6" x14ac:dyDescent="0.15">
      <c r="A2109">
        <v>8752872</v>
      </c>
      <c r="B2109">
        <v>12083990</v>
      </c>
      <c r="C2109" t="s">
        <v>22</v>
      </c>
      <c r="D2109" t="s">
        <v>114</v>
      </c>
      <c r="E2109" s="4" t="str">
        <f>HYPERLINK("https://ibp.a2mac1.com/costing(costing:projects/details/9760/material/8752872)","Steel sheet (default) adjusted (part)")</f>
        <v>Steel sheet (default) adjusted (part)</v>
      </c>
      <c r="F2109" t="s">
        <v>2530</v>
      </c>
    </row>
    <row r="2110" spans="1:6" x14ac:dyDescent="0.15">
      <c r="A2110">
        <v>12211079</v>
      </c>
      <c r="B2110">
        <v>12083990</v>
      </c>
      <c r="C2110" t="s">
        <v>163</v>
      </c>
      <c r="D2110" t="s">
        <v>114</v>
      </c>
      <c r="E2110" s="4" t="str">
        <f>HYPERLINK("https://ibp.a2mac1.com/costing(costing:projects/details/9760/equipment/12211079)","DC machine - General")</f>
        <v>DC machine - General</v>
      </c>
      <c r="F2110" t="s">
        <v>2530</v>
      </c>
    </row>
    <row r="2111" spans="1:6" x14ac:dyDescent="0.15">
      <c r="A2111">
        <v>8412579</v>
      </c>
      <c r="B2111">
        <v>8412551</v>
      </c>
      <c r="C2111" t="s">
        <v>8</v>
      </c>
      <c r="D2111" t="s">
        <v>8</v>
      </c>
      <c r="E2111" s="4" t="str">
        <f>HYPERLINK("https://ibp.a2mac1.com/costing(costing:projects/details/9760/assembly/8412579)","Seat 2-3")</f>
        <v>Seat 2-3</v>
      </c>
      <c r="F2111" t="s">
        <v>2470</v>
      </c>
    </row>
    <row r="2112" spans="1:6" x14ac:dyDescent="0.15">
      <c r="A2112">
        <v>8412682</v>
      </c>
      <c r="B2112">
        <v>8412579</v>
      </c>
      <c r="C2112" t="s">
        <v>8</v>
      </c>
      <c r="D2112" t="s">
        <v>8</v>
      </c>
      <c r="E2112" s="4" t="str">
        <f>HYPERLINK("https://ibp.a2mac1.com/costing(costing:projects/details/9760/assembly/8412682)","Head Rest")</f>
        <v>Head Rest</v>
      </c>
      <c r="F2112" t="s">
        <v>2534</v>
      </c>
    </row>
    <row r="2113" spans="1:6" x14ac:dyDescent="0.15">
      <c r="A2113">
        <v>8412773</v>
      </c>
      <c r="B2113">
        <v>8412682</v>
      </c>
      <c r="C2113" t="s">
        <v>8</v>
      </c>
      <c r="D2113" t="s">
        <v>8</v>
      </c>
      <c r="E2113" s="4" t="str">
        <f>HYPERLINK("https://ibp.a2mac1.com/costing(costing:projects/details/9760/assembly/8412773)","Inner Side")</f>
        <v>Inner Side</v>
      </c>
      <c r="F2113" t="s">
        <v>2535</v>
      </c>
    </row>
    <row r="2114" spans="1:6" x14ac:dyDescent="0.15">
      <c r="A2114">
        <v>8412824</v>
      </c>
      <c r="B2114">
        <v>8412773</v>
      </c>
      <c r="C2114" t="s">
        <v>10</v>
      </c>
      <c r="D2114" t="s">
        <v>8</v>
      </c>
      <c r="E2114" s="4" t="str">
        <f>HYPERLINK("https://ibp.a2mac1.com/costing(costing:projects/details/9760/part/8412824)","Cover")</f>
        <v>Cover</v>
      </c>
      <c r="F2114" t="s">
        <v>2536</v>
      </c>
    </row>
    <row r="2115" spans="1:6" x14ac:dyDescent="0.15">
      <c r="A2115">
        <v>12084018</v>
      </c>
      <c r="B2115">
        <v>8412824</v>
      </c>
      <c r="C2115" t="s">
        <v>114</v>
      </c>
      <c r="D2115" t="s">
        <v>10</v>
      </c>
      <c r="E2115" s="4" t="str">
        <f>HYPERLINK("https://ibp.a2mac1.com/costing(costing:projects/details/9760/process/12084018)","Automated Process")</f>
        <v>Automated Process</v>
      </c>
      <c r="F2115" t="s">
        <v>2537</v>
      </c>
    </row>
    <row r="2116" spans="1:6" x14ac:dyDescent="0.15">
      <c r="A2116">
        <v>8752900</v>
      </c>
      <c r="B2116">
        <v>12084018</v>
      </c>
      <c r="C2116" t="s">
        <v>22</v>
      </c>
      <c r="D2116" t="s">
        <v>114</v>
      </c>
      <c r="E2116" s="4" t="str">
        <f>HYPERLINK("https://ibp.a2mac1.com/costing(costing:projects/details/9760/material/8752900)","Leather")</f>
        <v>Leather</v>
      </c>
      <c r="F2116" t="s">
        <v>2538</v>
      </c>
    </row>
    <row r="2117" spans="1:6" x14ac:dyDescent="0.15">
      <c r="A2117">
        <v>12211107</v>
      </c>
      <c r="B2117">
        <v>12084018</v>
      </c>
      <c r="C2117" t="s">
        <v>163</v>
      </c>
      <c r="D2117" t="s">
        <v>114</v>
      </c>
      <c r="E2117" s="4" t="str">
        <f>HYPERLINK("https://ibp.a2mac1.com/costing(costing:projects/details/9760/equipment/12211107)","DC machine - General")</f>
        <v>DC machine - General</v>
      </c>
      <c r="F2117" t="s">
        <v>2538</v>
      </c>
    </row>
    <row r="2118" spans="1:6" x14ac:dyDescent="0.15">
      <c r="A2118">
        <v>8412825</v>
      </c>
      <c r="B2118">
        <v>8412773</v>
      </c>
      <c r="C2118" t="s">
        <v>10</v>
      </c>
      <c r="D2118" t="s">
        <v>8</v>
      </c>
      <c r="E2118" s="4" t="str">
        <f>HYPERLINK("https://ibp.a2mac1.com/costing(costing:projects/details/9760/part/8412825)","Padding")</f>
        <v>Padding</v>
      </c>
      <c r="F2118" t="s">
        <v>2536</v>
      </c>
    </row>
    <row r="2119" spans="1:6" x14ac:dyDescent="0.15">
      <c r="A2119">
        <v>12084019</v>
      </c>
      <c r="B2119">
        <v>8412825</v>
      </c>
      <c r="C2119" t="s">
        <v>114</v>
      </c>
      <c r="D2119" t="s">
        <v>10</v>
      </c>
      <c r="E2119" s="4" t="str">
        <f>HYPERLINK("https://ibp.a2mac1.com/costing(costing:projects/details/9760/process/12084019)","Automated Process")</f>
        <v>Automated Process</v>
      </c>
      <c r="F2119" t="s">
        <v>2540</v>
      </c>
    </row>
    <row r="2120" spans="1:6" x14ac:dyDescent="0.15">
      <c r="A2120">
        <v>8752901</v>
      </c>
      <c r="B2120">
        <v>12084019</v>
      </c>
      <c r="C2120" t="s">
        <v>22</v>
      </c>
      <c r="D2120" t="s">
        <v>114</v>
      </c>
      <c r="E2120" s="4" t="str">
        <f>HYPERLINK("https://ibp.a2mac1.com/costing(costing:projects/details/9760/material/8752901)","PUR adjusted (part)")</f>
        <v>PUR adjusted (part)</v>
      </c>
      <c r="F2120" t="s">
        <v>2541</v>
      </c>
    </row>
    <row r="2121" spans="1:6" x14ac:dyDescent="0.15">
      <c r="A2121">
        <v>12211108</v>
      </c>
      <c r="B2121">
        <v>12084019</v>
      </c>
      <c r="C2121" t="s">
        <v>163</v>
      </c>
      <c r="D2121" t="s">
        <v>114</v>
      </c>
      <c r="E2121" s="4" t="str">
        <f>HYPERLINK("https://ibp.a2mac1.com/costing(costing:projects/details/9760/equipment/12211108)","DC machine - General")</f>
        <v>DC machine - General</v>
      </c>
      <c r="F2121" t="s">
        <v>2541</v>
      </c>
    </row>
    <row r="2122" spans="1:6" x14ac:dyDescent="0.15">
      <c r="A2122">
        <v>8412826</v>
      </c>
      <c r="B2122">
        <v>8412773</v>
      </c>
      <c r="C2122" t="s">
        <v>10</v>
      </c>
      <c r="D2122" t="s">
        <v>8</v>
      </c>
      <c r="E2122" s="4" t="str">
        <f>HYPERLINK("https://ibp.a2mac1.com/costing(costing:projects/details/9760/part/8412826)","Frame")</f>
        <v>Frame</v>
      </c>
      <c r="F2122" t="s">
        <v>2536</v>
      </c>
    </row>
    <row r="2123" spans="1:6" x14ac:dyDescent="0.15">
      <c r="A2123">
        <v>12084020</v>
      </c>
      <c r="B2123">
        <v>8412826</v>
      </c>
      <c r="C2123" t="s">
        <v>114</v>
      </c>
      <c r="D2123" t="s">
        <v>10</v>
      </c>
      <c r="E2123" s="4" t="str">
        <f>HYPERLINK("https://ibp.a2mac1.com/costing(costing:projects/details/9760/process/12084020)","Automated Process")</f>
        <v>Automated Process</v>
      </c>
      <c r="F2123" t="s">
        <v>2543</v>
      </c>
    </row>
    <row r="2124" spans="1:6" x14ac:dyDescent="0.15">
      <c r="A2124">
        <v>8752902</v>
      </c>
      <c r="B2124">
        <v>12084020</v>
      </c>
      <c r="C2124" t="s">
        <v>22</v>
      </c>
      <c r="D2124" t="s">
        <v>114</v>
      </c>
      <c r="E2124" s="4" t="str">
        <f>HYPERLINK("https://ibp.a2mac1.com/costing(costing:projects/details/9760/material/8752902)","Steel Tube (default, chromed) adjusted (part)")</f>
        <v>Steel Tube (default, chromed) adjusted (part)</v>
      </c>
      <c r="F2124" t="s">
        <v>2544</v>
      </c>
    </row>
    <row r="2125" spans="1:6" x14ac:dyDescent="0.15">
      <c r="A2125">
        <v>12211109</v>
      </c>
      <c r="B2125">
        <v>12084020</v>
      </c>
      <c r="C2125" t="s">
        <v>163</v>
      </c>
      <c r="D2125" t="s">
        <v>114</v>
      </c>
      <c r="E2125" s="4" t="str">
        <f>HYPERLINK("https://ibp.a2mac1.com/costing(costing:projects/details/9760/equipment/12211109)","DC machine - General")</f>
        <v>DC machine - General</v>
      </c>
      <c r="F2125" t="s">
        <v>2544</v>
      </c>
    </row>
    <row r="2126" spans="1:6" x14ac:dyDescent="0.15">
      <c r="A2126">
        <v>8412774</v>
      </c>
      <c r="B2126">
        <v>8412682</v>
      </c>
      <c r="C2126" t="s">
        <v>8</v>
      </c>
      <c r="D2126" t="s">
        <v>8</v>
      </c>
      <c r="E2126" s="4" t="str">
        <f>HYPERLINK("https://ibp.a2mac1.com/costing(costing:projects/details/9760/assembly/8412774)","Outer Side")</f>
        <v>Outer Side</v>
      </c>
      <c r="F2126" t="s">
        <v>2535</v>
      </c>
    </row>
    <row r="2127" spans="1:6" x14ac:dyDescent="0.15">
      <c r="A2127">
        <v>8412827</v>
      </c>
      <c r="B2127">
        <v>8412774</v>
      </c>
      <c r="C2127" t="s">
        <v>10</v>
      </c>
      <c r="D2127" t="s">
        <v>8</v>
      </c>
      <c r="E2127" s="4" t="str">
        <f>HYPERLINK("https://ibp.a2mac1.com/costing(costing:projects/details/9760/part/8412827)","Cover")</f>
        <v>Cover</v>
      </c>
      <c r="F2127" t="s">
        <v>2547</v>
      </c>
    </row>
    <row r="2128" spans="1:6" x14ac:dyDescent="0.15">
      <c r="A2128">
        <v>12084021</v>
      </c>
      <c r="B2128">
        <v>8412827</v>
      </c>
      <c r="C2128" t="s">
        <v>114</v>
      </c>
      <c r="D2128" t="s">
        <v>10</v>
      </c>
      <c r="E2128" s="4" t="str">
        <f>HYPERLINK("https://ibp.a2mac1.com/costing(costing:projects/details/9760/process/12084021)","Automated Process")</f>
        <v>Automated Process</v>
      </c>
      <c r="F2128" t="s">
        <v>2548</v>
      </c>
    </row>
    <row r="2129" spans="1:6" x14ac:dyDescent="0.15">
      <c r="A2129">
        <v>8752903</v>
      </c>
      <c r="B2129">
        <v>12084021</v>
      </c>
      <c r="C2129" t="s">
        <v>22</v>
      </c>
      <c r="D2129" t="s">
        <v>114</v>
      </c>
      <c r="E2129" s="4" t="str">
        <f>HYPERLINK("https://ibp.a2mac1.com/costing(costing:projects/details/9760/material/8752903)","Leather")</f>
        <v>Leather</v>
      </c>
      <c r="F2129" t="s">
        <v>2549</v>
      </c>
    </row>
    <row r="2130" spans="1:6" x14ac:dyDescent="0.15">
      <c r="A2130">
        <v>12211110</v>
      </c>
      <c r="B2130">
        <v>12084021</v>
      </c>
      <c r="C2130" t="s">
        <v>163</v>
      </c>
      <c r="D2130" t="s">
        <v>114</v>
      </c>
      <c r="E2130" s="4" t="str">
        <f>HYPERLINK("https://ibp.a2mac1.com/costing(costing:projects/details/9760/equipment/12211110)","DC machine - General")</f>
        <v>DC machine - General</v>
      </c>
      <c r="F2130" t="s">
        <v>2549</v>
      </c>
    </row>
    <row r="2131" spans="1:6" x14ac:dyDescent="0.15">
      <c r="A2131">
        <v>8412828</v>
      </c>
      <c r="B2131">
        <v>8412774</v>
      </c>
      <c r="C2131" t="s">
        <v>10</v>
      </c>
      <c r="D2131" t="s">
        <v>8</v>
      </c>
      <c r="E2131" s="4" t="str">
        <f>HYPERLINK("https://ibp.a2mac1.com/costing(costing:projects/details/9760/part/8412828)","Padding")</f>
        <v>Padding</v>
      </c>
      <c r="F2131" t="s">
        <v>2547</v>
      </c>
    </row>
    <row r="2132" spans="1:6" x14ac:dyDescent="0.15">
      <c r="A2132">
        <v>12084022</v>
      </c>
      <c r="B2132">
        <v>8412828</v>
      </c>
      <c r="C2132" t="s">
        <v>114</v>
      </c>
      <c r="D2132" t="s">
        <v>10</v>
      </c>
      <c r="E2132" s="4" t="str">
        <f>HYPERLINK("https://ibp.a2mac1.com/costing(costing:projects/details/9760/process/12084022)","Automated Process")</f>
        <v>Automated Process</v>
      </c>
      <c r="F2132" t="s">
        <v>2551</v>
      </c>
    </row>
    <row r="2133" spans="1:6" x14ac:dyDescent="0.15">
      <c r="A2133">
        <v>8752904</v>
      </c>
      <c r="B2133">
        <v>12084022</v>
      </c>
      <c r="C2133" t="s">
        <v>22</v>
      </c>
      <c r="D2133" t="s">
        <v>114</v>
      </c>
      <c r="E2133" s="4" t="str">
        <f>HYPERLINK("https://ibp.a2mac1.com/costing(costing:projects/details/9760/material/8752904)","PUR adjusted (part)")</f>
        <v>PUR adjusted (part)</v>
      </c>
      <c r="F2133" t="s">
        <v>2552</v>
      </c>
    </row>
    <row r="2134" spans="1:6" x14ac:dyDescent="0.15">
      <c r="A2134">
        <v>12211111</v>
      </c>
      <c r="B2134">
        <v>12084022</v>
      </c>
      <c r="C2134" t="s">
        <v>163</v>
      </c>
      <c r="D2134" t="s">
        <v>114</v>
      </c>
      <c r="E2134" s="4" t="str">
        <f>HYPERLINK("https://ibp.a2mac1.com/costing(costing:projects/details/9760/equipment/12211111)","DC machine - General")</f>
        <v>DC machine - General</v>
      </c>
      <c r="F2134" t="s">
        <v>2552</v>
      </c>
    </row>
    <row r="2135" spans="1:6" x14ac:dyDescent="0.15">
      <c r="A2135">
        <v>8412829</v>
      </c>
      <c r="B2135">
        <v>8412774</v>
      </c>
      <c r="C2135" t="s">
        <v>10</v>
      </c>
      <c r="D2135" t="s">
        <v>8</v>
      </c>
      <c r="E2135" s="4" t="str">
        <f>HYPERLINK("https://ibp.a2mac1.com/costing(costing:projects/details/9760/part/8412829)","Frame")</f>
        <v>Frame</v>
      </c>
      <c r="F2135" t="s">
        <v>2547</v>
      </c>
    </row>
    <row r="2136" spans="1:6" x14ac:dyDescent="0.15">
      <c r="A2136">
        <v>12084023</v>
      </c>
      <c r="B2136">
        <v>8412829</v>
      </c>
      <c r="C2136" t="s">
        <v>114</v>
      </c>
      <c r="D2136" t="s">
        <v>10</v>
      </c>
      <c r="E2136" s="4" t="str">
        <f>HYPERLINK("https://ibp.a2mac1.com/costing(costing:projects/details/9760/process/12084023)","Automated Process")</f>
        <v>Automated Process</v>
      </c>
      <c r="F2136" t="s">
        <v>2554</v>
      </c>
    </row>
    <row r="2137" spans="1:6" x14ac:dyDescent="0.15">
      <c r="A2137">
        <v>8752905</v>
      </c>
      <c r="B2137">
        <v>12084023</v>
      </c>
      <c r="C2137" t="s">
        <v>22</v>
      </c>
      <c r="D2137" t="s">
        <v>114</v>
      </c>
      <c r="E2137" s="4" t="str">
        <f>HYPERLINK("https://ibp.a2mac1.com/costing(costing:projects/details/9760/material/8752905)","Steel Tube (default, chromed) adjusted (part)")</f>
        <v>Steel Tube (default, chromed) adjusted (part)</v>
      </c>
      <c r="F2137" t="s">
        <v>2555</v>
      </c>
    </row>
    <row r="2138" spans="1:6" x14ac:dyDescent="0.15">
      <c r="A2138">
        <v>12211112</v>
      </c>
      <c r="B2138">
        <v>12084023</v>
      </c>
      <c r="C2138" t="s">
        <v>163</v>
      </c>
      <c r="D2138" t="s">
        <v>114</v>
      </c>
      <c r="E2138" s="4" t="str">
        <f>HYPERLINK("https://ibp.a2mac1.com/costing(costing:projects/details/9760/equipment/12211112)","DC machine - General")</f>
        <v>DC machine - General</v>
      </c>
      <c r="F2138" t="s">
        <v>2555</v>
      </c>
    </row>
    <row r="2139" spans="1:6" x14ac:dyDescent="0.15">
      <c r="A2139">
        <v>8412683</v>
      </c>
      <c r="B2139">
        <v>8412579</v>
      </c>
      <c r="C2139" t="s">
        <v>8</v>
      </c>
      <c r="D2139" t="s">
        <v>8</v>
      </c>
      <c r="E2139" s="4" t="str">
        <f>HYPERLINK("https://ibp.a2mac1.com/costing(costing:projects/details/9760/assembly/8412683)","Back")</f>
        <v>Back</v>
      </c>
      <c r="F2139" t="s">
        <v>2534</v>
      </c>
    </row>
    <row r="2140" spans="1:6" x14ac:dyDescent="0.15">
      <c r="A2140">
        <v>8412780</v>
      </c>
      <c r="B2140">
        <v>8412683</v>
      </c>
      <c r="C2140" t="s">
        <v>8</v>
      </c>
      <c r="D2140" t="s">
        <v>8</v>
      </c>
      <c r="E2140" s="4" t="str">
        <f>HYPERLINK("https://ibp.a2mac1.com/costing(costing:projects/details/9760/assembly/8412780)","Head Rest Support")</f>
        <v>Head Rest Support</v>
      </c>
      <c r="F2140" t="s">
        <v>2559</v>
      </c>
    </row>
    <row r="2141" spans="1:6" x14ac:dyDescent="0.15">
      <c r="A2141">
        <v>8412830</v>
      </c>
      <c r="B2141">
        <v>8412780</v>
      </c>
      <c r="C2141" t="s">
        <v>10</v>
      </c>
      <c r="D2141" t="s">
        <v>8</v>
      </c>
      <c r="E2141" s="4" t="str">
        <f>HYPERLINK("https://ibp.a2mac1.com/costing(costing:projects/details/9760/part/8412830)","Lock Support")</f>
        <v>Lock Support</v>
      </c>
      <c r="F2141" t="s">
        <v>2560</v>
      </c>
    </row>
    <row r="2142" spans="1:6" x14ac:dyDescent="0.15">
      <c r="A2142">
        <v>12084024</v>
      </c>
      <c r="B2142">
        <v>8412830</v>
      </c>
      <c r="C2142" t="s">
        <v>114</v>
      </c>
      <c r="D2142" t="s">
        <v>10</v>
      </c>
      <c r="E2142" s="4" t="str">
        <f>HYPERLINK("https://ibp.a2mac1.com/costing(costing:projects/details/9760/process/12084024)","Automated Process")</f>
        <v>Automated Process</v>
      </c>
      <c r="F2142" t="s">
        <v>2561</v>
      </c>
    </row>
    <row r="2143" spans="1:6" x14ac:dyDescent="0.15">
      <c r="A2143">
        <v>8752906</v>
      </c>
      <c r="B2143">
        <v>12084024</v>
      </c>
      <c r="C2143" t="s">
        <v>22</v>
      </c>
      <c r="D2143" t="s">
        <v>114</v>
      </c>
      <c r="E2143" s="4" t="str">
        <f>HYPERLINK("https://ibp.a2mac1.com/costing(costing:projects/details/9760/material/8752906)","PA6;PA66")</f>
        <v>PA6;PA66</v>
      </c>
      <c r="F2143" t="s">
        <v>2562</v>
      </c>
    </row>
    <row r="2144" spans="1:6" x14ac:dyDescent="0.15">
      <c r="A2144">
        <v>12211113</v>
      </c>
      <c r="B2144">
        <v>12084024</v>
      </c>
      <c r="C2144" t="s">
        <v>163</v>
      </c>
      <c r="D2144" t="s">
        <v>114</v>
      </c>
      <c r="E2144" s="4" t="str">
        <f>HYPERLINK("https://ibp.a2mac1.com/costing(costing:projects/details/9760/equipment/12211113)","DC machine - General")</f>
        <v>DC machine - General</v>
      </c>
      <c r="F2144" t="s">
        <v>2562</v>
      </c>
    </row>
    <row r="2145" spans="1:6" x14ac:dyDescent="0.15">
      <c r="A2145">
        <v>8412831</v>
      </c>
      <c r="B2145">
        <v>8412780</v>
      </c>
      <c r="C2145" t="s">
        <v>10</v>
      </c>
      <c r="D2145" t="s">
        <v>8</v>
      </c>
      <c r="E2145" s="4" t="str">
        <f>HYPERLINK("https://ibp.a2mac1.com/costing(costing:projects/details/9760/part/8412831)","Simple Guide Support")</f>
        <v>Simple Guide Support</v>
      </c>
      <c r="F2145" t="s">
        <v>2560</v>
      </c>
    </row>
    <row r="2146" spans="1:6" x14ac:dyDescent="0.15">
      <c r="A2146">
        <v>12084025</v>
      </c>
      <c r="B2146">
        <v>8412831</v>
      </c>
      <c r="C2146" t="s">
        <v>114</v>
      </c>
      <c r="D2146" t="s">
        <v>10</v>
      </c>
      <c r="E2146" s="4" t="str">
        <f>HYPERLINK("https://ibp.a2mac1.com/costing(costing:projects/details/9760/process/12084025)","Automated Process")</f>
        <v>Automated Process</v>
      </c>
      <c r="F2146" t="s">
        <v>2564</v>
      </c>
    </row>
    <row r="2147" spans="1:6" x14ac:dyDescent="0.15">
      <c r="A2147">
        <v>8752907</v>
      </c>
      <c r="B2147">
        <v>12084025</v>
      </c>
      <c r="C2147" t="s">
        <v>22</v>
      </c>
      <c r="D2147" t="s">
        <v>114</v>
      </c>
      <c r="E2147" s="4" t="str">
        <f>HYPERLINK("https://ibp.a2mac1.com/costing(costing:projects/details/9760/material/8752907)","PA6;PA66")</f>
        <v>PA6;PA66</v>
      </c>
      <c r="F2147" t="s">
        <v>2565</v>
      </c>
    </row>
    <row r="2148" spans="1:6" x14ac:dyDescent="0.15">
      <c r="A2148">
        <v>12211114</v>
      </c>
      <c r="B2148">
        <v>12084025</v>
      </c>
      <c r="C2148" t="s">
        <v>163</v>
      </c>
      <c r="D2148" t="s">
        <v>114</v>
      </c>
      <c r="E2148" s="4" t="str">
        <f>HYPERLINK("https://ibp.a2mac1.com/costing(costing:projects/details/9760/equipment/12211114)","DC machine - General")</f>
        <v>DC machine - General</v>
      </c>
      <c r="F2148" t="s">
        <v>2565</v>
      </c>
    </row>
    <row r="2149" spans="1:6" x14ac:dyDescent="0.15">
      <c r="A2149">
        <v>8412781</v>
      </c>
      <c r="B2149">
        <v>8412683</v>
      </c>
      <c r="C2149" t="s">
        <v>8</v>
      </c>
      <c r="D2149" t="s">
        <v>8</v>
      </c>
      <c r="E2149" s="4" t="str">
        <f>HYPERLINK("https://ibp.a2mac1.com/costing(costing:projects/details/9760/assembly/8412781)","Unlocking System")</f>
        <v>Unlocking System</v>
      </c>
      <c r="F2149" t="s">
        <v>2559</v>
      </c>
    </row>
    <row r="2150" spans="1:6" x14ac:dyDescent="0.15">
      <c r="A2150">
        <v>8412833</v>
      </c>
      <c r="B2150">
        <v>8412781</v>
      </c>
      <c r="C2150" t="s">
        <v>8</v>
      </c>
      <c r="D2150" t="s">
        <v>8</v>
      </c>
      <c r="E2150" s="4" t="str">
        <f>HYPERLINK("https://ibp.a2mac1.com/costing(costing:projects/details/9760/assembly/8412833)","Handle")</f>
        <v>Handle</v>
      </c>
      <c r="F2150" t="s">
        <v>2568</v>
      </c>
    </row>
    <row r="2151" spans="1:6" x14ac:dyDescent="0.15">
      <c r="A2151">
        <v>8412850</v>
      </c>
      <c r="B2151">
        <v>8412833</v>
      </c>
      <c r="C2151" t="s">
        <v>10</v>
      </c>
      <c r="D2151" t="s">
        <v>8</v>
      </c>
      <c r="E2151" s="4" t="str">
        <f>HYPERLINK("https://ibp.a2mac1.com/costing(costing:projects/details/9760/part/8412850)","Lever")</f>
        <v>Lever</v>
      </c>
      <c r="F2151" t="s">
        <v>2569</v>
      </c>
    </row>
    <row r="2152" spans="1:6" x14ac:dyDescent="0.15">
      <c r="A2152">
        <v>12084037</v>
      </c>
      <c r="B2152">
        <v>8412850</v>
      </c>
      <c r="C2152" t="s">
        <v>114</v>
      </c>
      <c r="D2152" t="s">
        <v>10</v>
      </c>
      <c r="E2152" s="4" t="str">
        <f>HYPERLINK("https://ibp.a2mac1.com/costing(costing:projects/details/9760/process/12084037)","Automated Process")</f>
        <v>Automated Process</v>
      </c>
      <c r="F2152" t="s">
        <v>2570</v>
      </c>
    </row>
    <row r="2153" spans="1:6" x14ac:dyDescent="0.15">
      <c r="A2153">
        <v>8752919</v>
      </c>
      <c r="B2153">
        <v>12084037</v>
      </c>
      <c r="C2153" t="s">
        <v>22</v>
      </c>
      <c r="D2153" t="s">
        <v>114</v>
      </c>
      <c r="E2153" s="4" t="str">
        <f>HYPERLINK("https://ibp.a2mac1.com/costing(costing:projects/details/9760/material/8752919)","PC-ABS adjusted (part)")</f>
        <v>PC-ABS adjusted (part)</v>
      </c>
      <c r="F2153" t="s">
        <v>2571</v>
      </c>
    </row>
    <row r="2154" spans="1:6" x14ac:dyDescent="0.15">
      <c r="A2154">
        <v>12211126</v>
      </c>
      <c r="B2154">
        <v>12084037</v>
      </c>
      <c r="C2154" t="s">
        <v>163</v>
      </c>
      <c r="D2154" t="s">
        <v>114</v>
      </c>
      <c r="E2154" s="4" t="str">
        <f>HYPERLINK("https://ibp.a2mac1.com/costing(costing:projects/details/9760/equipment/12211126)","DC machine - General")</f>
        <v>DC machine - General</v>
      </c>
      <c r="F2154" t="s">
        <v>2571</v>
      </c>
    </row>
    <row r="2155" spans="1:6" x14ac:dyDescent="0.15">
      <c r="A2155">
        <v>8412851</v>
      </c>
      <c r="B2155">
        <v>8412833</v>
      </c>
      <c r="C2155" t="s">
        <v>10</v>
      </c>
      <c r="D2155" t="s">
        <v>8</v>
      </c>
      <c r="E2155" s="4" t="str">
        <f>HYPERLINK("https://ibp.a2mac1.com/costing(costing:projects/details/9760/part/8412851)","Bezel")</f>
        <v>Bezel</v>
      </c>
      <c r="F2155" t="s">
        <v>2569</v>
      </c>
    </row>
    <row r="2156" spans="1:6" x14ac:dyDescent="0.15">
      <c r="A2156">
        <v>12084038</v>
      </c>
      <c r="B2156">
        <v>8412851</v>
      </c>
      <c r="C2156" t="s">
        <v>114</v>
      </c>
      <c r="D2156" t="s">
        <v>10</v>
      </c>
      <c r="E2156" s="4" t="str">
        <f>HYPERLINK("https://ibp.a2mac1.com/costing(costing:projects/details/9760/process/12084038)","Automated Process")</f>
        <v>Automated Process</v>
      </c>
      <c r="F2156" t="s">
        <v>2573</v>
      </c>
    </row>
    <row r="2157" spans="1:6" x14ac:dyDescent="0.15">
      <c r="A2157">
        <v>8752920</v>
      </c>
      <c r="B2157">
        <v>12084038</v>
      </c>
      <c r="C2157" t="s">
        <v>22</v>
      </c>
      <c r="D2157" t="s">
        <v>114</v>
      </c>
      <c r="E2157" s="4" t="str">
        <f>HYPERLINK("https://ibp.a2mac1.com/costing(costing:projects/details/9760/material/8752920)","PC-ABS adjusted (part)")</f>
        <v>PC-ABS adjusted (part)</v>
      </c>
      <c r="F2157" t="s">
        <v>2574</v>
      </c>
    </row>
    <row r="2158" spans="1:6" x14ac:dyDescent="0.15">
      <c r="A2158">
        <v>12211127</v>
      </c>
      <c r="B2158">
        <v>12084038</v>
      </c>
      <c r="C2158" t="s">
        <v>163</v>
      </c>
      <c r="D2158" t="s">
        <v>114</v>
      </c>
      <c r="E2158" s="4" t="str">
        <f>HYPERLINK("https://ibp.a2mac1.com/costing(costing:projects/details/9760/equipment/12211127)","DC machine - General")</f>
        <v>DC machine - General</v>
      </c>
      <c r="F2158" t="s">
        <v>2574</v>
      </c>
    </row>
    <row r="2159" spans="1:6" x14ac:dyDescent="0.15">
      <c r="A2159">
        <v>8412852</v>
      </c>
      <c r="B2159">
        <v>8412833</v>
      </c>
      <c r="C2159" t="s">
        <v>10</v>
      </c>
      <c r="D2159" t="s">
        <v>8</v>
      </c>
      <c r="E2159" s="4" t="str">
        <f>HYPERLINK("https://ibp.a2mac1.com/costing(costing:projects/details/9760/part/8412852)","Cable")</f>
        <v>Cable</v>
      </c>
      <c r="F2159" t="s">
        <v>2569</v>
      </c>
    </row>
    <row r="2160" spans="1:6" x14ac:dyDescent="0.15">
      <c r="A2160">
        <v>8412853</v>
      </c>
      <c r="B2160">
        <v>8412833</v>
      </c>
      <c r="C2160" t="s">
        <v>10</v>
      </c>
      <c r="D2160" t="s">
        <v>8</v>
      </c>
      <c r="E2160" s="4" t="str">
        <f>HYPERLINK("https://ibp.a2mac1.com/costing(costing:projects/details/9760/part/8412853)","Support")</f>
        <v>Support</v>
      </c>
      <c r="F2160" t="s">
        <v>2569</v>
      </c>
    </row>
    <row r="2161" spans="1:6" x14ac:dyDescent="0.15">
      <c r="A2161">
        <v>12084039</v>
      </c>
      <c r="B2161">
        <v>8412853</v>
      </c>
      <c r="C2161" t="s">
        <v>114</v>
      </c>
      <c r="D2161" t="s">
        <v>10</v>
      </c>
      <c r="E2161" s="4" t="str">
        <f>HYPERLINK("https://ibp.a2mac1.com/costing(costing:projects/details/9760/process/12084039)","Automated Process")</f>
        <v>Automated Process</v>
      </c>
      <c r="F2161" t="s">
        <v>2579</v>
      </c>
    </row>
    <row r="2162" spans="1:6" x14ac:dyDescent="0.15">
      <c r="A2162">
        <v>8752921</v>
      </c>
      <c r="B2162">
        <v>12084039</v>
      </c>
      <c r="C2162" t="s">
        <v>22</v>
      </c>
      <c r="D2162" t="s">
        <v>114</v>
      </c>
      <c r="E2162" s="4" t="str">
        <f>HYPERLINK("https://ibp.a2mac1.com/costing(costing:projects/details/9760/material/8752921)","PP-GF30 adjusted (part)")</f>
        <v>PP-GF30 adjusted (part)</v>
      </c>
      <c r="F2162" t="s">
        <v>2580</v>
      </c>
    </row>
    <row r="2163" spans="1:6" x14ac:dyDescent="0.15">
      <c r="A2163">
        <v>12211128</v>
      </c>
      <c r="B2163">
        <v>12084039</v>
      </c>
      <c r="C2163" t="s">
        <v>163</v>
      </c>
      <c r="D2163" t="s">
        <v>114</v>
      </c>
      <c r="E2163" s="4" t="str">
        <f>HYPERLINK("https://ibp.a2mac1.com/costing(costing:projects/details/9760/equipment/12211128)","DC machine - General")</f>
        <v>DC machine - General</v>
      </c>
      <c r="F2163" t="s">
        <v>2580</v>
      </c>
    </row>
    <row r="2164" spans="1:6" x14ac:dyDescent="0.15">
      <c r="A2164">
        <v>8412854</v>
      </c>
      <c r="B2164">
        <v>8412833</v>
      </c>
      <c r="C2164" t="s">
        <v>10</v>
      </c>
      <c r="D2164" t="s">
        <v>8</v>
      </c>
      <c r="E2164" s="4" t="str">
        <f>HYPERLINK("https://ibp.a2mac1.com/costing(costing:projects/details/9760/part/8412854)","Stopper")</f>
        <v>Stopper</v>
      </c>
      <c r="F2164" t="s">
        <v>2569</v>
      </c>
    </row>
    <row r="2165" spans="1:6" x14ac:dyDescent="0.15">
      <c r="A2165">
        <v>8412832</v>
      </c>
      <c r="B2165">
        <v>8412781</v>
      </c>
      <c r="C2165" t="s">
        <v>10</v>
      </c>
      <c r="D2165" t="s">
        <v>8</v>
      </c>
      <c r="E2165" s="4" t="str">
        <f>HYPERLINK("https://ibp.a2mac1.com/costing(costing:projects/details/9760/part/8412832)","Lock")</f>
        <v>Lock</v>
      </c>
      <c r="F2165" t="s">
        <v>2568</v>
      </c>
    </row>
    <row r="2166" spans="1:6" x14ac:dyDescent="0.15">
      <c r="A2166">
        <v>8412782</v>
      </c>
      <c r="B2166">
        <v>8412683</v>
      </c>
      <c r="C2166" t="s">
        <v>8</v>
      </c>
      <c r="D2166" t="s">
        <v>8</v>
      </c>
      <c r="E2166" s="4" t="str">
        <f>HYPERLINK("https://ibp.a2mac1.com/costing(costing:projects/details/9760/assembly/8412782)","Seat Belt Sleeve")</f>
        <v>Seat Belt Sleeve</v>
      </c>
      <c r="F2166" t="s">
        <v>2559</v>
      </c>
    </row>
    <row r="2167" spans="1:6" x14ac:dyDescent="0.15">
      <c r="A2167">
        <v>8412834</v>
      </c>
      <c r="B2167">
        <v>8412782</v>
      </c>
      <c r="C2167" t="s">
        <v>8</v>
      </c>
      <c r="D2167" t="s">
        <v>8</v>
      </c>
      <c r="E2167" s="4" t="str">
        <f>HYPERLINK("https://ibp.a2mac1.com/costing(costing:projects/details/9760/assembly/8412834)","Center safety belt")</f>
        <v>Center safety belt</v>
      </c>
      <c r="F2167" t="s">
        <v>2588</v>
      </c>
    </row>
    <row r="2168" spans="1:6" x14ac:dyDescent="0.15">
      <c r="A2168">
        <v>8412855</v>
      </c>
      <c r="B2168">
        <v>8412834</v>
      </c>
      <c r="C2168" t="s">
        <v>10</v>
      </c>
      <c r="D2168" t="s">
        <v>8</v>
      </c>
      <c r="E2168" s="4" t="str">
        <f>HYPERLINK("https://ibp.a2mac1.com/costing(costing:projects/details/9760/part/8412855)","Center Safety Belt Guide")</f>
        <v>Center Safety Belt Guide</v>
      </c>
      <c r="F2168" t="s">
        <v>2589</v>
      </c>
    </row>
    <row r="2169" spans="1:6" x14ac:dyDescent="0.15">
      <c r="A2169">
        <v>12084040</v>
      </c>
      <c r="B2169">
        <v>8412855</v>
      </c>
      <c r="C2169" t="s">
        <v>114</v>
      </c>
      <c r="D2169" t="s">
        <v>10</v>
      </c>
      <c r="E2169" s="4" t="str">
        <f>HYPERLINK("https://ibp.a2mac1.com/costing(costing:projects/details/9760/process/12084040)","Automated Process")</f>
        <v>Automated Process</v>
      </c>
      <c r="F2169" t="s">
        <v>2590</v>
      </c>
    </row>
    <row r="2170" spans="1:6" x14ac:dyDescent="0.15">
      <c r="A2170">
        <v>8752922</v>
      </c>
      <c r="B2170">
        <v>12084040</v>
      </c>
      <c r="C2170" t="s">
        <v>22</v>
      </c>
      <c r="D2170" t="s">
        <v>114</v>
      </c>
      <c r="E2170" s="4" t="str">
        <f>HYPERLINK("https://ibp.a2mac1.com/costing(costing:projects/details/9760/material/8752922)","PC-ABS adjusted (part)")</f>
        <v>PC-ABS adjusted (part)</v>
      </c>
      <c r="F2170" t="s">
        <v>2591</v>
      </c>
    </row>
    <row r="2171" spans="1:6" x14ac:dyDescent="0.15">
      <c r="A2171">
        <v>12211129</v>
      </c>
      <c r="B2171">
        <v>12084040</v>
      </c>
      <c r="C2171" t="s">
        <v>163</v>
      </c>
      <c r="D2171" t="s">
        <v>114</v>
      </c>
      <c r="E2171" s="4" t="str">
        <f>HYPERLINK("https://ibp.a2mac1.com/costing(costing:projects/details/9760/equipment/12211129)","DC machine - General")</f>
        <v>DC machine - General</v>
      </c>
      <c r="F2171" t="s">
        <v>2591</v>
      </c>
    </row>
    <row r="2172" spans="1:6" x14ac:dyDescent="0.15">
      <c r="A2172">
        <v>8412783</v>
      </c>
      <c r="B2172">
        <v>8412683</v>
      </c>
      <c r="C2172" t="s">
        <v>8</v>
      </c>
      <c r="D2172" t="s">
        <v>8</v>
      </c>
      <c r="E2172" s="4" t="str">
        <f>HYPERLINK("https://ibp.a2mac1.com/costing(costing:projects/details/9760/assembly/8412783)","Armrest")</f>
        <v>Armrest</v>
      </c>
      <c r="F2172" t="s">
        <v>2559</v>
      </c>
    </row>
    <row r="2173" spans="1:6" x14ac:dyDescent="0.15">
      <c r="A2173">
        <v>8412839</v>
      </c>
      <c r="B2173">
        <v>8412783</v>
      </c>
      <c r="C2173" t="s">
        <v>8</v>
      </c>
      <c r="D2173" t="s">
        <v>8</v>
      </c>
      <c r="E2173" s="4" t="str">
        <f>HYPERLINK("https://ibp.a2mac1.com/costing(costing:projects/details/9760/assembly/8412839)","Mounting Bracket")</f>
        <v>Mounting Bracket</v>
      </c>
      <c r="F2173" t="s">
        <v>2595</v>
      </c>
    </row>
    <row r="2174" spans="1:6" x14ac:dyDescent="0.15">
      <c r="A2174">
        <v>8412856</v>
      </c>
      <c r="B2174">
        <v>8412839</v>
      </c>
      <c r="C2174" t="s">
        <v>10</v>
      </c>
      <c r="D2174" t="s">
        <v>8</v>
      </c>
      <c r="E2174" s="4" t="str">
        <f>HYPERLINK("https://ibp.a2mac1.com/costing(costing:projects/details/9760/part/8412856)","Inner")</f>
        <v>Inner</v>
      </c>
      <c r="F2174" t="s">
        <v>2596</v>
      </c>
    </row>
    <row r="2175" spans="1:6" x14ac:dyDescent="0.15">
      <c r="A2175">
        <v>12084041</v>
      </c>
      <c r="B2175">
        <v>8412856</v>
      </c>
      <c r="C2175" t="s">
        <v>114</v>
      </c>
      <c r="D2175" t="s">
        <v>10</v>
      </c>
      <c r="E2175" s="4" t="str">
        <f>HYPERLINK("https://ibp.a2mac1.com/costing(costing:projects/details/9760/process/12084041)","Automated Process")</f>
        <v>Automated Process</v>
      </c>
      <c r="F2175" t="s">
        <v>2597</v>
      </c>
    </row>
    <row r="2176" spans="1:6" x14ac:dyDescent="0.15">
      <c r="A2176">
        <v>8752923</v>
      </c>
      <c r="B2176">
        <v>12084041</v>
      </c>
      <c r="C2176" t="s">
        <v>22</v>
      </c>
      <c r="D2176" t="s">
        <v>114</v>
      </c>
      <c r="E2176" s="4" t="str">
        <f>HYPERLINK("https://ibp.a2mac1.com/costing(costing:projects/details/9760/material/8752923)","POM adjusted (part)")</f>
        <v>POM adjusted (part)</v>
      </c>
      <c r="F2176" t="s">
        <v>2598</v>
      </c>
    </row>
    <row r="2177" spans="1:6" x14ac:dyDescent="0.15">
      <c r="A2177">
        <v>12211130</v>
      </c>
      <c r="B2177">
        <v>12084041</v>
      </c>
      <c r="C2177" t="s">
        <v>163</v>
      </c>
      <c r="D2177" t="s">
        <v>114</v>
      </c>
      <c r="E2177" s="4" t="str">
        <f>HYPERLINK("https://ibp.a2mac1.com/costing(costing:projects/details/9760/equipment/12211130)","DC machine - General")</f>
        <v>DC machine - General</v>
      </c>
      <c r="F2177" t="s">
        <v>2598</v>
      </c>
    </row>
    <row r="2178" spans="1:6" x14ac:dyDescent="0.15">
      <c r="A2178">
        <v>8412857</v>
      </c>
      <c r="B2178">
        <v>8412839</v>
      </c>
      <c r="C2178" t="s">
        <v>10</v>
      </c>
      <c r="D2178" t="s">
        <v>8</v>
      </c>
      <c r="E2178" s="4" t="str">
        <f>HYPERLINK("https://ibp.a2mac1.com/costing(costing:projects/details/9760/part/8412857)","Outer")</f>
        <v>Outer</v>
      </c>
      <c r="F2178" t="s">
        <v>2596</v>
      </c>
    </row>
    <row r="2179" spans="1:6" x14ac:dyDescent="0.15">
      <c r="A2179">
        <v>12084042</v>
      </c>
      <c r="B2179">
        <v>8412857</v>
      </c>
      <c r="C2179" t="s">
        <v>114</v>
      </c>
      <c r="D2179" t="s">
        <v>10</v>
      </c>
      <c r="E2179" s="4" t="str">
        <f>HYPERLINK("https://ibp.a2mac1.com/costing(costing:projects/details/9760/process/12084042)","Automated Process")</f>
        <v>Automated Process</v>
      </c>
      <c r="F2179" t="s">
        <v>2600</v>
      </c>
    </row>
    <row r="2180" spans="1:6" x14ac:dyDescent="0.15">
      <c r="A2180">
        <v>8752924</v>
      </c>
      <c r="B2180">
        <v>12084042</v>
      </c>
      <c r="C2180" t="s">
        <v>22</v>
      </c>
      <c r="D2180" t="s">
        <v>114</v>
      </c>
      <c r="E2180" s="4" t="str">
        <f>HYPERLINK("https://ibp.a2mac1.com/costing(costing:projects/details/9760/material/8752924)","POM adjusted (part)")</f>
        <v>POM adjusted (part)</v>
      </c>
      <c r="F2180" t="s">
        <v>2601</v>
      </c>
    </row>
    <row r="2181" spans="1:6" x14ac:dyDescent="0.15">
      <c r="A2181">
        <v>12211131</v>
      </c>
      <c r="B2181">
        <v>12084042</v>
      </c>
      <c r="C2181" t="s">
        <v>163</v>
      </c>
      <c r="D2181" t="s">
        <v>114</v>
      </c>
      <c r="E2181" s="4" t="str">
        <f>HYPERLINK("https://ibp.a2mac1.com/costing(costing:projects/details/9760/equipment/12211131)","DC machine - General")</f>
        <v>DC machine - General</v>
      </c>
      <c r="F2181" t="s">
        <v>2601</v>
      </c>
    </row>
    <row r="2182" spans="1:6" x14ac:dyDescent="0.15">
      <c r="A2182">
        <v>8412840</v>
      </c>
      <c r="B2182">
        <v>8412783</v>
      </c>
      <c r="C2182" t="s">
        <v>8</v>
      </c>
      <c r="D2182" t="s">
        <v>8</v>
      </c>
      <c r="E2182" s="4" t="str">
        <f>HYPERLINK("https://ibp.a2mac1.com/costing(costing:projects/details/9760/assembly/8412840)","Mounting Bracket Cover")</f>
        <v>Mounting Bracket Cover</v>
      </c>
      <c r="F2182" t="s">
        <v>2595</v>
      </c>
    </row>
    <row r="2183" spans="1:6" x14ac:dyDescent="0.15">
      <c r="A2183">
        <v>8412858</v>
      </c>
      <c r="B2183">
        <v>8412840</v>
      </c>
      <c r="C2183" t="s">
        <v>10</v>
      </c>
      <c r="D2183" t="s">
        <v>8</v>
      </c>
      <c r="E2183" s="4" t="str">
        <f>HYPERLINK("https://ibp.a2mac1.com/costing(costing:projects/details/9760/part/8412858)","Exterior")</f>
        <v>Exterior</v>
      </c>
      <c r="F2183" t="s">
        <v>2604</v>
      </c>
    </row>
    <row r="2184" spans="1:6" x14ac:dyDescent="0.15">
      <c r="A2184">
        <v>12084043</v>
      </c>
      <c r="B2184">
        <v>8412858</v>
      </c>
      <c r="C2184" t="s">
        <v>114</v>
      </c>
      <c r="D2184" t="s">
        <v>10</v>
      </c>
      <c r="E2184" s="4" t="str">
        <f>HYPERLINK("https://ibp.a2mac1.com/costing(costing:projects/details/9760/process/12084043)","Automated Process")</f>
        <v>Automated Process</v>
      </c>
      <c r="F2184" t="s">
        <v>2605</v>
      </c>
    </row>
    <row r="2185" spans="1:6" x14ac:dyDescent="0.15">
      <c r="A2185">
        <v>8752925</v>
      </c>
      <c r="B2185">
        <v>12084043</v>
      </c>
      <c r="C2185" t="s">
        <v>22</v>
      </c>
      <c r="D2185" t="s">
        <v>114</v>
      </c>
      <c r="E2185" s="4" t="str">
        <f>HYPERLINK("https://ibp.a2mac1.com/costing(costing:projects/details/9760/material/8752925)","PP-EPDM-TD20 adjusted (part)")</f>
        <v>PP-EPDM-TD20 adjusted (part)</v>
      </c>
      <c r="F2185" t="s">
        <v>2606</v>
      </c>
    </row>
    <row r="2186" spans="1:6" x14ac:dyDescent="0.15">
      <c r="A2186">
        <v>12211132</v>
      </c>
      <c r="B2186">
        <v>12084043</v>
      </c>
      <c r="C2186" t="s">
        <v>163</v>
      </c>
      <c r="D2186" t="s">
        <v>114</v>
      </c>
      <c r="E2186" s="4" t="str">
        <f>HYPERLINK("https://ibp.a2mac1.com/costing(costing:projects/details/9760/equipment/12211132)","DC machine - General")</f>
        <v>DC machine - General</v>
      </c>
      <c r="F2186" t="s">
        <v>2606</v>
      </c>
    </row>
    <row r="2187" spans="1:6" x14ac:dyDescent="0.15">
      <c r="A2187">
        <v>8412841</v>
      </c>
      <c r="B2187">
        <v>8412783</v>
      </c>
      <c r="C2187" t="s">
        <v>8</v>
      </c>
      <c r="D2187" t="s">
        <v>8</v>
      </c>
      <c r="E2187" s="4" t="str">
        <f>HYPERLINK("https://ibp.a2mac1.com/costing(costing:projects/details/9760/assembly/8412841)","Cup Holder")</f>
        <v>Cup Holder</v>
      </c>
      <c r="F2187" t="s">
        <v>2595</v>
      </c>
    </row>
    <row r="2188" spans="1:6" x14ac:dyDescent="0.15">
      <c r="A2188">
        <v>8412859</v>
      </c>
      <c r="B2188">
        <v>8412841</v>
      </c>
      <c r="C2188" t="s">
        <v>10</v>
      </c>
      <c r="D2188" t="s">
        <v>8</v>
      </c>
      <c r="E2188" s="4" t="str">
        <f>HYPERLINK("https://ibp.a2mac1.com/costing(costing:projects/details/9760/part/8412859)","Cup Holder")</f>
        <v>Cup Holder</v>
      </c>
      <c r="F2188" t="s">
        <v>2609</v>
      </c>
    </row>
    <row r="2189" spans="1:6" x14ac:dyDescent="0.15">
      <c r="A2189">
        <v>12084044</v>
      </c>
      <c r="B2189">
        <v>8412859</v>
      </c>
      <c r="C2189" t="s">
        <v>114</v>
      </c>
      <c r="D2189" t="s">
        <v>10</v>
      </c>
      <c r="E2189" s="4" t="str">
        <f>HYPERLINK("https://ibp.a2mac1.com/costing(costing:projects/details/9760/process/12084044)","Automated Process")</f>
        <v>Automated Process</v>
      </c>
      <c r="F2189" t="s">
        <v>2610</v>
      </c>
    </row>
    <row r="2190" spans="1:6" x14ac:dyDescent="0.15">
      <c r="A2190">
        <v>8752926</v>
      </c>
      <c r="B2190">
        <v>12084044</v>
      </c>
      <c r="C2190" t="s">
        <v>22</v>
      </c>
      <c r="D2190" t="s">
        <v>114</v>
      </c>
      <c r="E2190" s="4" t="str">
        <f>HYPERLINK("https://ibp.a2mac1.com/costing(costing:projects/details/9760/material/8752926)","PC-ABS adjusted (part)")</f>
        <v>PC-ABS adjusted (part)</v>
      </c>
      <c r="F2190" t="s">
        <v>2611</v>
      </c>
    </row>
    <row r="2191" spans="1:6" x14ac:dyDescent="0.15">
      <c r="A2191">
        <v>12211133</v>
      </c>
      <c r="B2191">
        <v>12084044</v>
      </c>
      <c r="C2191" t="s">
        <v>163</v>
      </c>
      <c r="D2191" t="s">
        <v>114</v>
      </c>
      <c r="E2191" s="4" t="str">
        <f>HYPERLINK("https://ibp.a2mac1.com/costing(costing:projects/details/9760/equipment/12211133)","DC machine - General")</f>
        <v>DC machine - General</v>
      </c>
      <c r="F2191" t="s">
        <v>2611</v>
      </c>
    </row>
    <row r="2192" spans="1:6" x14ac:dyDescent="0.15">
      <c r="A2192">
        <v>8412860</v>
      </c>
      <c r="B2192">
        <v>8412841</v>
      </c>
      <c r="C2192" t="s">
        <v>10</v>
      </c>
      <c r="D2192" t="s">
        <v>8</v>
      </c>
      <c r="E2192" s="4" t="str">
        <f>HYPERLINK("https://ibp.a2mac1.com/costing(costing:projects/details/9760/part/8412860)","Cup holder bottom")</f>
        <v>Cup holder bottom</v>
      </c>
      <c r="F2192" t="s">
        <v>2609</v>
      </c>
    </row>
    <row r="2193" spans="1:6" x14ac:dyDescent="0.15">
      <c r="A2193">
        <v>12084045</v>
      </c>
      <c r="B2193">
        <v>8412860</v>
      </c>
      <c r="C2193" t="s">
        <v>114</v>
      </c>
      <c r="D2193" t="s">
        <v>10</v>
      </c>
      <c r="E2193" s="4" t="str">
        <f>HYPERLINK("https://ibp.a2mac1.com/costing(costing:projects/details/9760/process/12084045)","Automated Process")</f>
        <v>Automated Process</v>
      </c>
      <c r="F2193" t="s">
        <v>2614</v>
      </c>
    </row>
    <row r="2194" spans="1:6" x14ac:dyDescent="0.15">
      <c r="A2194">
        <v>8752927</v>
      </c>
      <c r="B2194">
        <v>12084045</v>
      </c>
      <c r="C2194" t="s">
        <v>22</v>
      </c>
      <c r="D2194" t="s">
        <v>114</v>
      </c>
      <c r="E2194" s="4" t="str">
        <f>HYPERLINK("https://ibp.a2mac1.com/costing(costing:projects/details/9760/material/8752927)","TPE adjusted (part)")</f>
        <v>TPE adjusted (part)</v>
      </c>
      <c r="F2194" t="s">
        <v>2615</v>
      </c>
    </row>
    <row r="2195" spans="1:6" x14ac:dyDescent="0.15">
      <c r="A2195">
        <v>12211134</v>
      </c>
      <c r="B2195">
        <v>12084045</v>
      </c>
      <c r="C2195" t="s">
        <v>163</v>
      </c>
      <c r="D2195" t="s">
        <v>114</v>
      </c>
      <c r="E2195" s="4" t="str">
        <f>HYPERLINK("https://ibp.a2mac1.com/costing(costing:projects/details/9760/equipment/12211134)","DC machine - General")</f>
        <v>DC machine - General</v>
      </c>
      <c r="F2195" t="s">
        <v>2615</v>
      </c>
    </row>
    <row r="2196" spans="1:6" x14ac:dyDescent="0.15">
      <c r="A2196">
        <v>8412861</v>
      </c>
      <c r="B2196">
        <v>8412841</v>
      </c>
      <c r="C2196" t="s">
        <v>10</v>
      </c>
      <c r="D2196" t="s">
        <v>8</v>
      </c>
      <c r="E2196" s="4" t="str">
        <f>HYPERLINK("https://ibp.a2mac1.com/costing(costing:projects/details/9760/part/8412861)","Cup Holder Bezel")</f>
        <v>Cup Holder Bezel</v>
      </c>
      <c r="F2196" t="s">
        <v>2609</v>
      </c>
    </row>
    <row r="2197" spans="1:6" x14ac:dyDescent="0.15">
      <c r="A2197">
        <v>12084046</v>
      </c>
      <c r="B2197">
        <v>8412861</v>
      </c>
      <c r="C2197" t="s">
        <v>114</v>
      </c>
      <c r="D2197" t="s">
        <v>10</v>
      </c>
      <c r="E2197" s="4" t="str">
        <f>HYPERLINK("https://ibp.a2mac1.com/costing(costing:projects/details/9760/process/12084046)","Automated Process")</f>
        <v>Automated Process</v>
      </c>
      <c r="F2197" t="s">
        <v>2617</v>
      </c>
    </row>
    <row r="2198" spans="1:6" x14ac:dyDescent="0.15">
      <c r="A2198">
        <v>8752928</v>
      </c>
      <c r="B2198">
        <v>12084046</v>
      </c>
      <c r="C2198" t="s">
        <v>22</v>
      </c>
      <c r="D2198" t="s">
        <v>114</v>
      </c>
      <c r="E2198" s="4" t="str">
        <f>HYPERLINK("https://ibp.a2mac1.com/costing(costing:projects/details/9760/material/8752928)","PC-ABS adjusted (part)")</f>
        <v>PC-ABS adjusted (part)</v>
      </c>
      <c r="F2198" t="s">
        <v>2618</v>
      </c>
    </row>
    <row r="2199" spans="1:6" x14ac:dyDescent="0.15">
      <c r="A2199">
        <v>12211135</v>
      </c>
      <c r="B2199">
        <v>12084046</v>
      </c>
      <c r="C2199" t="s">
        <v>163</v>
      </c>
      <c r="D2199" t="s">
        <v>114</v>
      </c>
      <c r="E2199" s="4" t="str">
        <f>HYPERLINK("https://ibp.a2mac1.com/costing(costing:projects/details/9760/equipment/12211135)","DC machine - General")</f>
        <v>DC machine - General</v>
      </c>
      <c r="F2199" t="s">
        <v>2618</v>
      </c>
    </row>
    <row r="2200" spans="1:6" x14ac:dyDescent="0.15">
      <c r="A2200">
        <v>8412862</v>
      </c>
      <c r="B2200">
        <v>8412841</v>
      </c>
      <c r="C2200" t="s">
        <v>10</v>
      </c>
      <c r="D2200" t="s">
        <v>8</v>
      </c>
      <c r="E2200" s="4" t="str">
        <f>HYPERLINK("https://ibp.a2mac1.com/costing(costing:projects/details/9760/part/8412862)","Cup Holder Support")</f>
        <v>Cup Holder Support</v>
      </c>
      <c r="F2200" t="s">
        <v>2609</v>
      </c>
    </row>
    <row r="2201" spans="1:6" x14ac:dyDescent="0.15">
      <c r="A2201">
        <v>12084047</v>
      </c>
      <c r="B2201">
        <v>8412862</v>
      </c>
      <c r="C2201" t="s">
        <v>114</v>
      </c>
      <c r="D2201" t="s">
        <v>10</v>
      </c>
      <c r="E2201" s="4" t="str">
        <f>HYPERLINK("https://ibp.a2mac1.com/costing(costing:projects/details/9760/process/12084047)","Automated Process")</f>
        <v>Automated Process</v>
      </c>
      <c r="F2201" t="s">
        <v>2620</v>
      </c>
    </row>
    <row r="2202" spans="1:6" x14ac:dyDescent="0.15">
      <c r="A2202">
        <v>8752929</v>
      </c>
      <c r="B2202">
        <v>12084047</v>
      </c>
      <c r="C2202" t="s">
        <v>22</v>
      </c>
      <c r="D2202" t="s">
        <v>114</v>
      </c>
      <c r="E2202" s="4" t="str">
        <f>HYPERLINK("https://ibp.a2mac1.com/costing(costing:projects/details/9760/material/8752929)","PLASTIC UNKNOWN")</f>
        <v>PLASTIC UNKNOWN</v>
      </c>
      <c r="F2202" t="s">
        <v>2621</v>
      </c>
    </row>
    <row r="2203" spans="1:6" x14ac:dyDescent="0.15">
      <c r="A2203">
        <v>12211136</v>
      </c>
      <c r="B2203">
        <v>12084047</v>
      </c>
      <c r="C2203" t="s">
        <v>163</v>
      </c>
      <c r="D2203" t="s">
        <v>114</v>
      </c>
      <c r="E2203" s="4" t="str">
        <f>HYPERLINK("https://ibp.a2mac1.com/costing(costing:projects/details/9760/equipment/12211136)","DC machine - General")</f>
        <v>DC machine - General</v>
      </c>
      <c r="F2203" t="s">
        <v>2621</v>
      </c>
    </row>
    <row r="2204" spans="1:6" x14ac:dyDescent="0.15">
      <c r="A2204">
        <v>8412835</v>
      </c>
      <c r="B2204">
        <v>8412783</v>
      </c>
      <c r="C2204" t="s">
        <v>10</v>
      </c>
      <c r="D2204" t="s">
        <v>8</v>
      </c>
      <c r="E2204" s="4" t="str">
        <f>HYPERLINK("https://ibp.a2mac1.com/costing(costing:projects/details/9760/part/8412835)","Lid")</f>
        <v>Lid</v>
      </c>
      <c r="F2204" t="s">
        <v>2595</v>
      </c>
    </row>
    <row r="2205" spans="1:6" x14ac:dyDescent="0.15">
      <c r="A2205">
        <v>12084026</v>
      </c>
      <c r="B2205">
        <v>8412835</v>
      </c>
      <c r="C2205" t="s">
        <v>114</v>
      </c>
      <c r="D2205" t="s">
        <v>10</v>
      </c>
      <c r="E2205" s="4" t="str">
        <f>HYPERLINK("https://ibp.a2mac1.com/costing(costing:projects/details/9760/process/12084026)","Automated Process")</f>
        <v>Automated Process</v>
      </c>
      <c r="F2205" t="s">
        <v>2624</v>
      </c>
    </row>
    <row r="2206" spans="1:6" x14ac:dyDescent="0.15">
      <c r="A2206">
        <v>8752908</v>
      </c>
      <c r="B2206">
        <v>12084026</v>
      </c>
      <c r="C2206" t="s">
        <v>22</v>
      </c>
      <c r="D2206" t="s">
        <v>114</v>
      </c>
      <c r="E2206" s="4" t="str">
        <f>HYPERLINK("https://ibp.a2mac1.com/costing(costing:projects/details/9760/material/8752908)","Leather")</f>
        <v>Leather</v>
      </c>
      <c r="F2206" t="s">
        <v>2625</v>
      </c>
    </row>
    <row r="2207" spans="1:6" x14ac:dyDescent="0.15">
      <c r="A2207">
        <v>12211115</v>
      </c>
      <c r="B2207">
        <v>12084026</v>
      </c>
      <c r="C2207" t="s">
        <v>163</v>
      </c>
      <c r="D2207" t="s">
        <v>114</v>
      </c>
      <c r="E2207" s="4" t="str">
        <f>HYPERLINK("https://ibp.a2mac1.com/costing(costing:projects/details/9760/equipment/12211115)","DC machine - General")</f>
        <v>DC machine - General</v>
      </c>
      <c r="F2207" t="s">
        <v>2625</v>
      </c>
    </row>
    <row r="2208" spans="1:6" x14ac:dyDescent="0.15">
      <c r="A2208">
        <v>8412836</v>
      </c>
      <c r="B2208">
        <v>8412783</v>
      </c>
      <c r="C2208" t="s">
        <v>10</v>
      </c>
      <c r="D2208" t="s">
        <v>8</v>
      </c>
      <c r="E2208" s="4" t="str">
        <f>HYPERLINK("https://ibp.a2mac1.com/costing(costing:projects/details/9760/part/8412836)","Padding")</f>
        <v>Padding</v>
      </c>
      <c r="F2208" t="s">
        <v>2595</v>
      </c>
    </row>
    <row r="2209" spans="1:6" x14ac:dyDescent="0.15">
      <c r="A2209">
        <v>12084027</v>
      </c>
      <c r="B2209">
        <v>8412836</v>
      </c>
      <c r="C2209" t="s">
        <v>114</v>
      </c>
      <c r="D2209" t="s">
        <v>10</v>
      </c>
      <c r="E2209" s="4" t="str">
        <f>HYPERLINK("https://ibp.a2mac1.com/costing(costing:projects/details/9760/process/12084027)","Automated Process")</f>
        <v>Automated Process</v>
      </c>
      <c r="F2209" t="s">
        <v>2627</v>
      </c>
    </row>
    <row r="2210" spans="1:6" x14ac:dyDescent="0.15">
      <c r="A2210">
        <v>8752909</v>
      </c>
      <c r="B2210">
        <v>12084027</v>
      </c>
      <c r="C2210" t="s">
        <v>22</v>
      </c>
      <c r="D2210" t="s">
        <v>114</v>
      </c>
      <c r="E2210" s="4" t="str">
        <f>HYPERLINK("https://ibp.a2mac1.com/costing(costing:projects/details/9760/material/8752909)","PUR adjusted (part)")</f>
        <v>PUR adjusted (part)</v>
      </c>
      <c r="F2210" t="s">
        <v>2628</v>
      </c>
    </row>
    <row r="2211" spans="1:6" x14ac:dyDescent="0.15">
      <c r="A2211">
        <v>12211116</v>
      </c>
      <c r="B2211">
        <v>12084027</v>
      </c>
      <c r="C2211" t="s">
        <v>163</v>
      </c>
      <c r="D2211" t="s">
        <v>114</v>
      </c>
      <c r="E2211" s="4" t="str">
        <f>HYPERLINK("https://ibp.a2mac1.com/costing(costing:projects/details/9760/equipment/12211116)","DC machine - General")</f>
        <v>DC machine - General</v>
      </c>
      <c r="F2211" t="s">
        <v>2628</v>
      </c>
    </row>
    <row r="2212" spans="1:6" x14ac:dyDescent="0.15">
      <c r="A2212">
        <v>8412837</v>
      </c>
      <c r="B2212">
        <v>8412783</v>
      </c>
      <c r="C2212" t="s">
        <v>10</v>
      </c>
      <c r="D2212" t="s">
        <v>8</v>
      </c>
      <c r="E2212" s="4" t="str">
        <f>HYPERLINK("https://ibp.a2mac1.com/costing(costing:projects/details/9760/part/8412837)","Frame")</f>
        <v>Frame</v>
      </c>
      <c r="F2212" t="s">
        <v>2595</v>
      </c>
    </row>
    <row r="2213" spans="1:6" x14ac:dyDescent="0.15">
      <c r="A2213">
        <v>12084028</v>
      </c>
      <c r="B2213">
        <v>8412837</v>
      </c>
      <c r="C2213" t="s">
        <v>114</v>
      </c>
      <c r="D2213" t="s">
        <v>10</v>
      </c>
      <c r="E2213" s="4" t="str">
        <f>HYPERLINK("https://ibp.a2mac1.com/costing(costing:projects/details/9760/process/12084028)","Automated Process")</f>
        <v>Automated Process</v>
      </c>
      <c r="F2213" t="s">
        <v>2630</v>
      </c>
    </row>
    <row r="2214" spans="1:6" x14ac:dyDescent="0.15">
      <c r="A2214">
        <v>8752910</v>
      </c>
      <c r="B2214">
        <v>12084028</v>
      </c>
      <c r="C2214" t="s">
        <v>22</v>
      </c>
      <c r="D2214" t="s">
        <v>114</v>
      </c>
      <c r="E2214" s="4" t="str">
        <f>HYPERLINK("https://ibp.a2mac1.com/costing(costing:projects/details/9760/material/8752910)","Steel sheet (default) adjusted (part)")</f>
        <v>Steel sheet (default) adjusted (part)</v>
      </c>
      <c r="F2214" t="s">
        <v>2631</v>
      </c>
    </row>
    <row r="2215" spans="1:6" x14ac:dyDescent="0.15">
      <c r="A2215">
        <v>12211117</v>
      </c>
      <c r="B2215">
        <v>12084028</v>
      </c>
      <c r="C2215" t="s">
        <v>163</v>
      </c>
      <c r="D2215" t="s">
        <v>114</v>
      </c>
      <c r="E2215" s="4" t="str">
        <f>HYPERLINK("https://ibp.a2mac1.com/costing(costing:projects/details/9760/equipment/12211117)","DC machine - General")</f>
        <v>DC machine - General</v>
      </c>
      <c r="F2215" t="s">
        <v>2631</v>
      </c>
    </row>
    <row r="2216" spans="1:6" x14ac:dyDescent="0.15">
      <c r="A2216">
        <v>8412838</v>
      </c>
      <c r="B2216">
        <v>8412783</v>
      </c>
      <c r="C2216" t="s">
        <v>10</v>
      </c>
      <c r="D2216" t="s">
        <v>8</v>
      </c>
      <c r="E2216" s="4" t="str">
        <f>HYPERLINK("https://ibp.a2mac1.com/costing(costing:projects/details/9760/part/8412838)","Reinforcement")</f>
        <v>Reinforcement</v>
      </c>
      <c r="F2216" t="s">
        <v>2595</v>
      </c>
    </row>
    <row r="2217" spans="1:6" x14ac:dyDescent="0.15">
      <c r="A2217">
        <v>12084029</v>
      </c>
      <c r="B2217">
        <v>8412838</v>
      </c>
      <c r="C2217" t="s">
        <v>114</v>
      </c>
      <c r="D2217" t="s">
        <v>10</v>
      </c>
      <c r="E2217" s="4" t="str">
        <f>HYPERLINK("https://ibp.a2mac1.com/costing(costing:projects/details/9760/process/12084029)","Automated Process")</f>
        <v>Automated Process</v>
      </c>
      <c r="F2217" t="s">
        <v>2634</v>
      </c>
    </row>
    <row r="2218" spans="1:6" x14ac:dyDescent="0.15">
      <c r="A2218">
        <v>8752911</v>
      </c>
      <c r="B2218">
        <v>12084029</v>
      </c>
      <c r="C2218" t="s">
        <v>22</v>
      </c>
      <c r="D2218" t="s">
        <v>114</v>
      </c>
      <c r="E2218" s="4" t="str">
        <f>HYPERLINK("https://ibp.a2mac1.com/costing(costing:projects/details/9760/material/8752911)","PP-EPDM-TD20 adjusted (part)")</f>
        <v>PP-EPDM-TD20 adjusted (part)</v>
      </c>
      <c r="F2218" t="s">
        <v>2635</v>
      </c>
    </row>
    <row r="2219" spans="1:6" x14ac:dyDescent="0.15">
      <c r="A2219">
        <v>12211118</v>
      </c>
      <c r="B2219">
        <v>12084029</v>
      </c>
      <c r="C2219" t="s">
        <v>163</v>
      </c>
      <c r="D2219" t="s">
        <v>114</v>
      </c>
      <c r="E2219" s="4" t="str">
        <f>HYPERLINK("https://ibp.a2mac1.com/costing(costing:projects/details/9760/equipment/12211118)","DC machine - General")</f>
        <v>DC machine - General</v>
      </c>
      <c r="F2219" t="s">
        <v>2635</v>
      </c>
    </row>
    <row r="2220" spans="1:6" x14ac:dyDescent="0.15">
      <c r="A2220">
        <v>8412775</v>
      </c>
      <c r="B2220">
        <v>8412683</v>
      </c>
      <c r="C2220" t="s">
        <v>10</v>
      </c>
      <c r="D2220" t="s">
        <v>8</v>
      </c>
      <c r="E2220" s="4" t="str">
        <f>HYPERLINK("https://ibp.a2mac1.com/costing(costing:projects/details/9760/part/8412775)","Cover")</f>
        <v>Cover</v>
      </c>
      <c r="F2220" t="s">
        <v>2559</v>
      </c>
    </row>
    <row r="2221" spans="1:6" x14ac:dyDescent="0.15">
      <c r="A2221">
        <v>12083991</v>
      </c>
      <c r="B2221">
        <v>8412775</v>
      </c>
      <c r="C2221" t="s">
        <v>114</v>
      </c>
      <c r="D2221" t="s">
        <v>10</v>
      </c>
      <c r="E2221" s="4" t="str">
        <f>HYPERLINK("https://ibp.a2mac1.com/costing(costing:projects/details/9760/process/12083991)","Automated Process")</f>
        <v>Automated Process</v>
      </c>
      <c r="F2221" t="s">
        <v>2638</v>
      </c>
    </row>
    <row r="2222" spans="1:6" x14ac:dyDescent="0.15">
      <c r="A2222">
        <v>8752873</v>
      </c>
      <c r="B2222">
        <v>12083991</v>
      </c>
      <c r="C2222" t="s">
        <v>22</v>
      </c>
      <c r="D2222" t="s">
        <v>114</v>
      </c>
      <c r="E2222" s="4" t="str">
        <f>HYPERLINK("https://ibp.a2mac1.com/costing(costing:projects/details/9760/material/8752873)","Leather")</f>
        <v>Leather</v>
      </c>
      <c r="F2222" t="s">
        <v>2639</v>
      </c>
    </row>
    <row r="2223" spans="1:6" x14ac:dyDescent="0.15">
      <c r="A2223">
        <v>12211080</v>
      </c>
      <c r="B2223">
        <v>12083991</v>
      </c>
      <c r="C2223" t="s">
        <v>163</v>
      </c>
      <c r="D2223" t="s">
        <v>114</v>
      </c>
      <c r="E2223" s="4" t="str">
        <f>HYPERLINK("https://ibp.a2mac1.com/costing(costing:projects/details/9760/equipment/12211080)","DC machine - General")</f>
        <v>DC machine - General</v>
      </c>
      <c r="F2223" t="s">
        <v>2639</v>
      </c>
    </row>
    <row r="2224" spans="1:6" x14ac:dyDescent="0.15">
      <c r="A2224">
        <v>8412776</v>
      </c>
      <c r="B2224">
        <v>8412683</v>
      </c>
      <c r="C2224" t="s">
        <v>10</v>
      </c>
      <c r="D2224" t="s">
        <v>8</v>
      </c>
      <c r="E2224" s="4" t="str">
        <f>HYPERLINK("https://ibp.a2mac1.com/costing(costing:projects/details/9760/part/8412776)","Pad")</f>
        <v>Pad</v>
      </c>
      <c r="F2224" t="s">
        <v>2559</v>
      </c>
    </row>
    <row r="2225" spans="1:6" x14ac:dyDescent="0.15">
      <c r="A2225">
        <v>12083992</v>
      </c>
      <c r="B2225">
        <v>8412776</v>
      </c>
      <c r="C2225" t="s">
        <v>114</v>
      </c>
      <c r="D2225" t="s">
        <v>10</v>
      </c>
      <c r="E2225" s="4" t="str">
        <f>HYPERLINK("https://ibp.a2mac1.com/costing(costing:projects/details/9760/process/12083992)","Automated Process")</f>
        <v>Automated Process</v>
      </c>
      <c r="F2225" t="s">
        <v>2641</v>
      </c>
    </row>
    <row r="2226" spans="1:6" x14ac:dyDescent="0.15">
      <c r="A2226">
        <v>8752874</v>
      </c>
      <c r="B2226">
        <v>12083992</v>
      </c>
      <c r="C2226" t="s">
        <v>22</v>
      </c>
      <c r="D2226" t="s">
        <v>114</v>
      </c>
      <c r="E2226" s="4" t="str">
        <f>HYPERLINK("https://ibp.a2mac1.com/costing(costing:projects/details/9760/material/8752874)","PUR adjusted (part)")</f>
        <v>PUR adjusted (part)</v>
      </c>
      <c r="F2226" t="s">
        <v>2642</v>
      </c>
    </row>
    <row r="2227" spans="1:6" x14ac:dyDescent="0.15">
      <c r="A2227">
        <v>12211081</v>
      </c>
      <c r="B2227">
        <v>12083992</v>
      </c>
      <c r="C2227" t="s">
        <v>163</v>
      </c>
      <c r="D2227" t="s">
        <v>114</v>
      </c>
      <c r="E2227" s="4" t="str">
        <f>HYPERLINK("https://ibp.a2mac1.com/costing(costing:projects/details/9760/equipment/12211081)","DC machine - General")</f>
        <v>DC machine - General</v>
      </c>
      <c r="F2227" t="s">
        <v>2642</v>
      </c>
    </row>
    <row r="2228" spans="1:6" x14ac:dyDescent="0.15">
      <c r="A2228">
        <v>8412777</v>
      </c>
      <c r="B2228">
        <v>8412683</v>
      </c>
      <c r="C2228" t="s">
        <v>10</v>
      </c>
      <c r="D2228" t="s">
        <v>8</v>
      </c>
      <c r="E2228" s="4" t="str">
        <f>HYPERLINK("https://ibp.a2mac1.com/costing(costing:projects/details/9760/part/8412777)","Frame")</f>
        <v>Frame</v>
      </c>
      <c r="F2228" t="s">
        <v>2559</v>
      </c>
    </row>
    <row r="2229" spans="1:6" x14ac:dyDescent="0.15">
      <c r="A2229">
        <v>12083993</v>
      </c>
      <c r="B2229">
        <v>8412777</v>
      </c>
      <c r="C2229" t="s">
        <v>114</v>
      </c>
      <c r="D2229" t="s">
        <v>10</v>
      </c>
      <c r="E2229" s="4" t="str">
        <f>HYPERLINK("https://ibp.a2mac1.com/costing(costing:projects/details/9760/process/12083993)","Automated Process")</f>
        <v>Automated Process</v>
      </c>
      <c r="F2229" t="s">
        <v>2644</v>
      </c>
    </row>
    <row r="2230" spans="1:6" x14ac:dyDescent="0.15">
      <c r="A2230">
        <v>8752875</v>
      </c>
      <c r="B2230">
        <v>12083993</v>
      </c>
      <c r="C2230" t="s">
        <v>22</v>
      </c>
      <c r="D2230" t="s">
        <v>114</v>
      </c>
      <c r="E2230" s="4" t="str">
        <f>HYPERLINK("https://ibp.a2mac1.com/costing(costing:projects/details/9760/material/8752875)","Steel sheet (default) adjusted (part)")</f>
        <v>Steel sheet (default) adjusted (part)</v>
      </c>
      <c r="F2230" t="s">
        <v>2645</v>
      </c>
    </row>
    <row r="2231" spans="1:6" x14ac:dyDescent="0.15">
      <c r="A2231">
        <v>12211082</v>
      </c>
      <c r="B2231">
        <v>12083993</v>
      </c>
      <c r="C2231" t="s">
        <v>163</v>
      </c>
      <c r="D2231" t="s">
        <v>114</v>
      </c>
      <c r="E2231" s="4" t="str">
        <f>HYPERLINK("https://ibp.a2mac1.com/costing(costing:projects/details/9760/equipment/12211082)","DC machine - General")</f>
        <v>DC machine - General</v>
      </c>
      <c r="F2231" t="s">
        <v>2645</v>
      </c>
    </row>
    <row r="2232" spans="1:6" x14ac:dyDescent="0.15">
      <c r="A2232">
        <v>8412778</v>
      </c>
      <c r="B2232">
        <v>8412683</v>
      </c>
      <c r="C2232" t="s">
        <v>10</v>
      </c>
      <c r="D2232" t="s">
        <v>8</v>
      </c>
      <c r="E2232" s="4" t="str">
        <f>HYPERLINK("https://ibp.a2mac1.com/costing(costing:projects/details/9760/part/8412778)","Rear Panel")</f>
        <v>Rear Panel</v>
      </c>
      <c r="F2232" t="s">
        <v>2559</v>
      </c>
    </row>
    <row r="2233" spans="1:6" x14ac:dyDescent="0.15">
      <c r="A2233">
        <v>12083994</v>
      </c>
      <c r="B2233">
        <v>8412778</v>
      </c>
      <c r="C2233" t="s">
        <v>114</v>
      </c>
      <c r="D2233" t="s">
        <v>10</v>
      </c>
      <c r="E2233" s="4" t="str">
        <f>HYPERLINK("https://ibp.a2mac1.com/costing(costing:projects/details/9760/process/12083994)","Automated Process")</f>
        <v>Automated Process</v>
      </c>
      <c r="F2233" t="s">
        <v>2647</v>
      </c>
    </row>
    <row r="2234" spans="1:6" x14ac:dyDescent="0.15">
      <c r="A2234">
        <v>8752876</v>
      </c>
      <c r="B2234">
        <v>12083994</v>
      </c>
      <c r="C2234" t="s">
        <v>22</v>
      </c>
      <c r="D2234" t="s">
        <v>114</v>
      </c>
      <c r="E2234" s="4" t="str">
        <f>HYPERLINK("https://ibp.a2mac1.com/costing(costing:projects/details/9760/material/8752876)","PET adjusted (part)")</f>
        <v>PET adjusted (part)</v>
      </c>
      <c r="F2234" t="s">
        <v>2648</v>
      </c>
    </row>
    <row r="2235" spans="1:6" x14ac:dyDescent="0.15">
      <c r="A2235">
        <v>12211083</v>
      </c>
      <c r="B2235">
        <v>12083994</v>
      </c>
      <c r="C2235" t="s">
        <v>163</v>
      </c>
      <c r="D2235" t="s">
        <v>114</v>
      </c>
      <c r="E2235" s="4" t="str">
        <f>HYPERLINK("https://ibp.a2mac1.com/costing(costing:projects/details/9760/equipment/12211083)","DC machine - General")</f>
        <v>DC machine - General</v>
      </c>
      <c r="F2235" t="s">
        <v>2648</v>
      </c>
    </row>
    <row r="2236" spans="1:6" x14ac:dyDescent="0.15">
      <c r="A2236">
        <v>8412779</v>
      </c>
      <c r="B2236">
        <v>8412683</v>
      </c>
      <c r="C2236" t="s">
        <v>10</v>
      </c>
      <c r="D2236" t="s">
        <v>8</v>
      </c>
      <c r="E2236" s="4" t="str">
        <f>HYPERLINK("https://ibp.a2mac1.com/costing(costing:projects/details/9760/part/8412779)","2nd Pad")</f>
        <v>2nd Pad</v>
      </c>
      <c r="F2236" t="s">
        <v>2559</v>
      </c>
    </row>
    <row r="2237" spans="1:6" x14ac:dyDescent="0.15">
      <c r="A2237">
        <v>12083995</v>
      </c>
      <c r="B2237">
        <v>8412779</v>
      </c>
      <c r="C2237" t="s">
        <v>114</v>
      </c>
      <c r="D2237" t="s">
        <v>10</v>
      </c>
      <c r="E2237" s="4" t="str">
        <f>HYPERLINK("https://ibp.a2mac1.com/costing(costing:projects/details/9760/process/12083995)","Automated Process")</f>
        <v>Automated Process</v>
      </c>
      <c r="F2237" t="s">
        <v>2650</v>
      </c>
    </row>
    <row r="2238" spans="1:6" x14ac:dyDescent="0.15">
      <c r="A2238">
        <v>8752877</v>
      </c>
      <c r="B2238">
        <v>12083995</v>
      </c>
      <c r="C2238" t="s">
        <v>22</v>
      </c>
      <c r="D2238" t="s">
        <v>114</v>
      </c>
      <c r="E2238" s="4" t="str">
        <f>HYPERLINK("https://ibp.a2mac1.com/costing(costing:projects/details/9760/material/8752877)","PUR adjusted (part)")</f>
        <v>PUR adjusted (part)</v>
      </c>
      <c r="F2238" t="s">
        <v>2651</v>
      </c>
    </row>
    <row r="2239" spans="1:6" x14ac:dyDescent="0.15">
      <c r="A2239">
        <v>12211084</v>
      </c>
      <c r="B2239">
        <v>12083995</v>
      </c>
      <c r="C2239" t="s">
        <v>163</v>
      </c>
      <c r="D2239" t="s">
        <v>114</v>
      </c>
      <c r="E2239" s="4" t="str">
        <f>HYPERLINK("https://ibp.a2mac1.com/costing(costing:projects/details/9760/equipment/12211084)","DC machine - General")</f>
        <v>DC machine - General</v>
      </c>
      <c r="F2239" t="s">
        <v>2651</v>
      </c>
    </row>
    <row r="2240" spans="1:6" x14ac:dyDescent="0.15">
      <c r="A2240">
        <v>8412684</v>
      </c>
      <c r="B2240">
        <v>8412579</v>
      </c>
      <c r="C2240" t="s">
        <v>8</v>
      </c>
      <c r="D2240" t="s">
        <v>8</v>
      </c>
      <c r="E2240" s="4" t="str">
        <f>HYPERLINK("https://ibp.a2mac1.com/costing(costing:projects/details/9760/assembly/8412684)","Support System")</f>
        <v>Support System</v>
      </c>
      <c r="F2240" t="s">
        <v>2534</v>
      </c>
    </row>
    <row r="2241" spans="1:6" x14ac:dyDescent="0.15">
      <c r="A2241">
        <v>8412784</v>
      </c>
      <c r="B2241">
        <v>8412684</v>
      </c>
      <c r="C2241" t="s">
        <v>10</v>
      </c>
      <c r="D2241" t="s">
        <v>8</v>
      </c>
      <c r="E2241" s="4" t="str">
        <f>HYPERLINK("https://ibp.a2mac1.com/costing(costing:projects/details/9760/part/8412784)","Exterior Support")</f>
        <v>Exterior Support</v>
      </c>
      <c r="F2241" t="s">
        <v>2654</v>
      </c>
    </row>
    <row r="2242" spans="1:6" x14ac:dyDescent="0.15">
      <c r="A2242">
        <v>12083996</v>
      </c>
      <c r="B2242">
        <v>8412784</v>
      </c>
      <c r="C2242" t="s">
        <v>114</v>
      </c>
      <c r="D2242" t="s">
        <v>10</v>
      </c>
      <c r="E2242" s="4" t="str">
        <f>HYPERLINK("https://ibp.a2mac1.com/costing(costing:projects/details/9760/process/12083996)","Automated Process")</f>
        <v>Automated Process</v>
      </c>
      <c r="F2242" t="s">
        <v>2655</v>
      </c>
    </row>
    <row r="2243" spans="1:6" x14ac:dyDescent="0.15">
      <c r="A2243">
        <v>8752878</v>
      </c>
      <c r="B2243">
        <v>12083996</v>
      </c>
      <c r="C2243" t="s">
        <v>22</v>
      </c>
      <c r="D2243" t="s">
        <v>114</v>
      </c>
      <c r="E2243" s="4" t="str">
        <f>HYPERLINK("https://ibp.a2mac1.com/costing(costing:projects/details/9760/material/8752878)","Steel sheet (default) adjusted (part)")</f>
        <v>Steel sheet (default) adjusted (part)</v>
      </c>
      <c r="F2243" t="s">
        <v>2656</v>
      </c>
    </row>
    <row r="2244" spans="1:6" x14ac:dyDescent="0.15">
      <c r="A2244">
        <v>12211085</v>
      </c>
      <c r="B2244">
        <v>12083996</v>
      </c>
      <c r="C2244" t="s">
        <v>163</v>
      </c>
      <c r="D2244" t="s">
        <v>114</v>
      </c>
      <c r="E2244" s="4" t="str">
        <f>HYPERLINK("https://ibp.a2mac1.com/costing(costing:projects/details/9760/equipment/12211085)","DC machine - General")</f>
        <v>DC machine - General</v>
      </c>
      <c r="F2244" t="s">
        <v>2656</v>
      </c>
    </row>
    <row r="2245" spans="1:6" x14ac:dyDescent="0.15">
      <c r="A2245">
        <v>8412580</v>
      </c>
      <c r="B2245">
        <v>8412551</v>
      </c>
      <c r="C2245" t="s">
        <v>8</v>
      </c>
      <c r="D2245" t="s">
        <v>8</v>
      </c>
      <c r="E2245" s="4" t="str">
        <f>HYPERLINK("https://ibp.a2mac1.com/costing(costing:projects/details/9760/assembly/8412580)","Cushion")</f>
        <v>Cushion</v>
      </c>
      <c r="F2245" t="s">
        <v>2470</v>
      </c>
    </row>
    <row r="2246" spans="1:6" x14ac:dyDescent="0.15">
      <c r="A2246">
        <v>8412689</v>
      </c>
      <c r="B2246">
        <v>8412580</v>
      </c>
      <c r="C2246" t="s">
        <v>8</v>
      </c>
      <c r="D2246" t="s">
        <v>8</v>
      </c>
      <c r="E2246" s="4" t="str">
        <f>HYPERLINK("https://ibp.a2mac1.com/costing(costing:projects/details/9760/assembly/8412689)","Heating System")</f>
        <v>Heating System</v>
      </c>
      <c r="F2246" t="s">
        <v>2660</v>
      </c>
    </row>
    <row r="2247" spans="1:6" x14ac:dyDescent="0.15">
      <c r="A2247">
        <v>8412785</v>
      </c>
      <c r="B2247">
        <v>8412689</v>
      </c>
      <c r="C2247" t="s">
        <v>10</v>
      </c>
      <c r="D2247" t="s">
        <v>8</v>
      </c>
      <c r="E2247" s="4" t="str">
        <f>HYPERLINK("https://ibp.a2mac1.com/costing(costing:projects/details/9760/part/8412785)","Heating Pad Left")</f>
        <v>Heating Pad Left</v>
      </c>
      <c r="F2247" t="s">
        <v>2661</v>
      </c>
    </row>
    <row r="2248" spans="1:6" x14ac:dyDescent="0.15">
      <c r="A2248">
        <v>8412786</v>
      </c>
      <c r="B2248">
        <v>8412689</v>
      </c>
      <c r="C2248" t="s">
        <v>10</v>
      </c>
      <c r="D2248" t="s">
        <v>8</v>
      </c>
      <c r="E2248" s="4" t="str">
        <f>HYPERLINK("https://ibp.a2mac1.com/costing(costing:projects/details/9760/part/8412786)","Heating Pad Right")</f>
        <v>Heating Pad Right</v>
      </c>
      <c r="F2248" t="s">
        <v>2661</v>
      </c>
    </row>
    <row r="2249" spans="1:6" x14ac:dyDescent="0.15">
      <c r="A2249">
        <v>8412690</v>
      </c>
      <c r="B2249">
        <v>8412580</v>
      </c>
      <c r="C2249" t="s">
        <v>8</v>
      </c>
      <c r="D2249" t="s">
        <v>8</v>
      </c>
      <c r="E2249" s="4" t="str">
        <f>HYPERLINK("https://ibp.a2mac1.com/costing(costing:projects/details/9760/assembly/8412690)","Anti-Submarining System")</f>
        <v>Anti-Submarining System</v>
      </c>
      <c r="F2249" t="s">
        <v>2660</v>
      </c>
    </row>
    <row r="2250" spans="1:6" x14ac:dyDescent="0.15">
      <c r="A2250">
        <v>8412787</v>
      </c>
      <c r="B2250">
        <v>8412690</v>
      </c>
      <c r="C2250" t="s">
        <v>10</v>
      </c>
      <c r="D2250" t="s">
        <v>8</v>
      </c>
      <c r="E2250" s="4" t="str">
        <f>HYPERLINK("https://ibp.a2mac1.com/costing(costing:projects/details/9760/part/8412787)","Anti-Submarining")</f>
        <v>Anti-Submarining</v>
      </c>
      <c r="F2250" t="s">
        <v>2665</v>
      </c>
    </row>
    <row r="2251" spans="1:6" x14ac:dyDescent="0.15">
      <c r="A2251">
        <v>12083997</v>
      </c>
      <c r="B2251">
        <v>8412787</v>
      </c>
      <c r="C2251" t="s">
        <v>114</v>
      </c>
      <c r="D2251" t="s">
        <v>10</v>
      </c>
      <c r="E2251" s="4" t="str">
        <f>HYPERLINK("https://ibp.a2mac1.com/costing(costing:projects/details/9760/process/12083997)","Automated Process")</f>
        <v>Automated Process</v>
      </c>
      <c r="F2251" t="s">
        <v>2666</v>
      </c>
    </row>
    <row r="2252" spans="1:6" x14ac:dyDescent="0.15">
      <c r="A2252">
        <v>8752879</v>
      </c>
      <c r="B2252">
        <v>12083997</v>
      </c>
      <c r="C2252" t="s">
        <v>22</v>
      </c>
      <c r="D2252" t="s">
        <v>114</v>
      </c>
      <c r="E2252" s="4" t="str">
        <f>HYPERLINK("https://ibp.a2mac1.com/costing(costing:projects/details/9760/material/8752879)","EPP adjusted (part)")</f>
        <v>EPP adjusted (part)</v>
      </c>
      <c r="F2252" t="s">
        <v>2667</v>
      </c>
    </row>
    <row r="2253" spans="1:6" x14ac:dyDescent="0.15">
      <c r="A2253">
        <v>12211086</v>
      </c>
      <c r="B2253">
        <v>12083997</v>
      </c>
      <c r="C2253" t="s">
        <v>163</v>
      </c>
      <c r="D2253" t="s">
        <v>114</v>
      </c>
      <c r="E2253" s="4" t="str">
        <f>HYPERLINK("https://ibp.a2mac1.com/costing(costing:projects/details/9760/equipment/12211086)","DC machine - General")</f>
        <v>DC machine - General</v>
      </c>
      <c r="F2253" t="s">
        <v>2667</v>
      </c>
    </row>
    <row r="2254" spans="1:6" x14ac:dyDescent="0.15">
      <c r="A2254">
        <v>8412685</v>
      </c>
      <c r="B2254">
        <v>8412580</v>
      </c>
      <c r="C2254" t="s">
        <v>10</v>
      </c>
      <c r="D2254" t="s">
        <v>8</v>
      </c>
      <c r="E2254" s="4" t="str">
        <f>HYPERLINK("https://ibp.a2mac1.com/costing(costing:projects/details/9760/part/8412685)","Frame")</f>
        <v>Frame</v>
      </c>
      <c r="F2254" t="s">
        <v>2660</v>
      </c>
    </row>
    <row r="2255" spans="1:6" x14ac:dyDescent="0.15">
      <c r="A2255">
        <v>12083874</v>
      </c>
      <c r="B2255">
        <v>8412685</v>
      </c>
      <c r="C2255" t="s">
        <v>114</v>
      </c>
      <c r="D2255" t="s">
        <v>10</v>
      </c>
      <c r="E2255" s="4" t="str">
        <f>HYPERLINK("https://ibp.a2mac1.com/costing(costing:projects/details/9760/process/12083874)","Automated Process")</f>
        <v>Automated Process</v>
      </c>
      <c r="F2255" t="s">
        <v>2672</v>
      </c>
    </row>
    <row r="2256" spans="1:6" x14ac:dyDescent="0.15">
      <c r="A2256">
        <v>8752758</v>
      </c>
      <c r="B2256">
        <v>12083874</v>
      </c>
      <c r="C2256" t="s">
        <v>22</v>
      </c>
      <c r="D2256" t="s">
        <v>114</v>
      </c>
      <c r="E2256" s="4" t="str">
        <f>HYPERLINK("https://ibp.a2mac1.com/costing(costing:projects/details/9760/material/8752758)","Steel sheet (default) adjusted (part)")</f>
        <v>Steel sheet (default) adjusted (part)</v>
      </c>
      <c r="F2256" t="s">
        <v>2674</v>
      </c>
    </row>
    <row r="2257" spans="1:6" x14ac:dyDescent="0.15">
      <c r="A2257">
        <v>12210963</v>
      </c>
      <c r="B2257">
        <v>12083874</v>
      </c>
      <c r="C2257" t="s">
        <v>163</v>
      </c>
      <c r="D2257" t="s">
        <v>114</v>
      </c>
      <c r="E2257" s="4" t="str">
        <f>HYPERLINK("https://ibp.a2mac1.com/costing(costing:projects/details/9760/equipment/12210963)","DC machine - General")</f>
        <v>DC machine - General</v>
      </c>
      <c r="F2257" t="s">
        <v>2674</v>
      </c>
    </row>
    <row r="2258" spans="1:6" x14ac:dyDescent="0.15">
      <c r="A2258">
        <v>8412686</v>
      </c>
      <c r="B2258">
        <v>8412580</v>
      </c>
      <c r="C2258" t="s">
        <v>10</v>
      </c>
      <c r="D2258" t="s">
        <v>8</v>
      </c>
      <c r="E2258" s="4" t="str">
        <f>HYPERLINK("https://ibp.a2mac1.com/costing(costing:projects/details/9760/part/8412686)","Cover")</f>
        <v>Cover</v>
      </c>
      <c r="F2258" t="s">
        <v>2660</v>
      </c>
    </row>
    <row r="2259" spans="1:6" x14ac:dyDescent="0.15">
      <c r="A2259">
        <v>12083875</v>
      </c>
      <c r="B2259">
        <v>8412686</v>
      </c>
      <c r="C2259" t="s">
        <v>114</v>
      </c>
      <c r="D2259" t="s">
        <v>10</v>
      </c>
      <c r="E2259" s="4" t="str">
        <f>HYPERLINK("https://ibp.a2mac1.com/costing(costing:projects/details/9760/process/12083875)","Automated Process")</f>
        <v>Automated Process</v>
      </c>
      <c r="F2259" t="s">
        <v>2676</v>
      </c>
    </row>
    <row r="2260" spans="1:6" x14ac:dyDescent="0.15">
      <c r="A2260">
        <v>8752759</v>
      </c>
      <c r="B2260">
        <v>12083875</v>
      </c>
      <c r="C2260" t="s">
        <v>22</v>
      </c>
      <c r="D2260" t="s">
        <v>114</v>
      </c>
      <c r="E2260" s="4" t="str">
        <f>HYPERLINK("https://ibp.a2mac1.com/costing(costing:projects/details/9760/material/8752759)","Leather")</f>
        <v>Leather</v>
      </c>
      <c r="F2260" t="s">
        <v>2677</v>
      </c>
    </row>
    <row r="2261" spans="1:6" x14ac:dyDescent="0.15">
      <c r="A2261">
        <v>12210964</v>
      </c>
      <c r="B2261">
        <v>12083875</v>
      </c>
      <c r="C2261" t="s">
        <v>163</v>
      </c>
      <c r="D2261" t="s">
        <v>114</v>
      </c>
      <c r="E2261" s="4" t="str">
        <f>HYPERLINK("https://ibp.a2mac1.com/costing(costing:projects/details/9760/equipment/12210964)","DC machine - General")</f>
        <v>DC machine - General</v>
      </c>
      <c r="F2261" t="s">
        <v>2677</v>
      </c>
    </row>
    <row r="2262" spans="1:6" x14ac:dyDescent="0.15">
      <c r="A2262">
        <v>8412687</v>
      </c>
      <c r="B2262">
        <v>8412580</v>
      </c>
      <c r="C2262" t="s">
        <v>10</v>
      </c>
      <c r="D2262" t="s">
        <v>8</v>
      </c>
      <c r="E2262" s="4" t="str">
        <f>HYPERLINK("https://ibp.a2mac1.com/costing(costing:projects/details/9760/part/8412687)","Pad")</f>
        <v>Pad</v>
      </c>
      <c r="F2262" t="s">
        <v>2660</v>
      </c>
    </row>
    <row r="2263" spans="1:6" x14ac:dyDescent="0.15">
      <c r="A2263">
        <v>12083876</v>
      </c>
      <c r="B2263">
        <v>8412687</v>
      </c>
      <c r="C2263" t="s">
        <v>114</v>
      </c>
      <c r="D2263" t="s">
        <v>10</v>
      </c>
      <c r="E2263" s="4" t="str">
        <f>HYPERLINK("https://ibp.a2mac1.com/costing(costing:projects/details/9760/process/12083876)","Automated Process")</f>
        <v>Automated Process</v>
      </c>
      <c r="F2263" t="s">
        <v>2680</v>
      </c>
    </row>
    <row r="2264" spans="1:6" x14ac:dyDescent="0.15">
      <c r="A2264">
        <v>8752760</v>
      </c>
      <c r="B2264">
        <v>12083876</v>
      </c>
      <c r="C2264" t="s">
        <v>22</v>
      </c>
      <c r="D2264" t="s">
        <v>114</v>
      </c>
      <c r="E2264" s="4" t="str">
        <f>HYPERLINK("https://ibp.a2mac1.com/costing(costing:projects/details/9760/material/8752760)","PUR adjusted (part)")</f>
        <v>PUR adjusted (part)</v>
      </c>
      <c r="F2264" t="s">
        <v>2681</v>
      </c>
    </row>
    <row r="2265" spans="1:6" x14ac:dyDescent="0.15">
      <c r="A2265">
        <v>12210965</v>
      </c>
      <c r="B2265">
        <v>12083876</v>
      </c>
      <c r="C2265" t="s">
        <v>163</v>
      </c>
      <c r="D2265" t="s">
        <v>114</v>
      </c>
      <c r="E2265" s="4" t="str">
        <f>HYPERLINK("https://ibp.a2mac1.com/costing(costing:projects/details/9760/equipment/12210965)","DC machine - General")</f>
        <v>DC machine - General</v>
      </c>
      <c r="F2265" t="s">
        <v>2681</v>
      </c>
    </row>
    <row r="2266" spans="1:6" x14ac:dyDescent="0.15">
      <c r="A2266">
        <v>8412688</v>
      </c>
      <c r="B2266">
        <v>8412580</v>
      </c>
      <c r="C2266" t="s">
        <v>10</v>
      </c>
      <c r="D2266" t="s">
        <v>8</v>
      </c>
      <c r="E2266" s="4" t="str">
        <f>HYPERLINK("https://ibp.a2mac1.com/costing(costing:projects/details/9760/part/8412688)","Pad 2")</f>
        <v>Pad 2</v>
      </c>
      <c r="F2266" t="s">
        <v>2660</v>
      </c>
    </row>
    <row r="2267" spans="1:6" x14ac:dyDescent="0.15">
      <c r="A2267">
        <v>12083877</v>
      </c>
      <c r="B2267">
        <v>8412688</v>
      </c>
      <c r="C2267" t="s">
        <v>114</v>
      </c>
      <c r="D2267" t="s">
        <v>10</v>
      </c>
      <c r="E2267" s="4" t="str">
        <f>HYPERLINK("https://ibp.a2mac1.com/costing(costing:projects/details/9760/process/12083877)","Automated Process")</f>
        <v>Automated Process</v>
      </c>
      <c r="F2267" t="s">
        <v>2683</v>
      </c>
    </row>
    <row r="2268" spans="1:6" x14ac:dyDescent="0.15">
      <c r="A2268">
        <v>8752761</v>
      </c>
      <c r="B2268">
        <v>12083877</v>
      </c>
      <c r="C2268" t="s">
        <v>22</v>
      </c>
      <c r="D2268" t="s">
        <v>114</v>
      </c>
      <c r="E2268" s="4" t="str">
        <f>HYPERLINK("https://ibp.a2mac1.com/costing(costing:projects/details/9760/material/8752761)","PUR adjusted (part)")</f>
        <v>PUR adjusted (part)</v>
      </c>
      <c r="F2268" t="s">
        <v>2684</v>
      </c>
    </row>
    <row r="2269" spans="1:6" x14ac:dyDescent="0.15">
      <c r="A2269">
        <v>12210966</v>
      </c>
      <c r="B2269">
        <v>12083877</v>
      </c>
      <c r="C2269" t="s">
        <v>163</v>
      </c>
      <c r="D2269" t="s">
        <v>114</v>
      </c>
      <c r="E2269" s="4" t="str">
        <f>HYPERLINK("https://ibp.a2mac1.com/costing(costing:projects/details/9760/equipment/12210966)","DC machine - General")</f>
        <v>DC machine - General</v>
      </c>
      <c r="F2269" t="s">
        <v>2684</v>
      </c>
    </row>
    <row r="2270" spans="1:6" x14ac:dyDescent="0.15">
      <c r="A2270">
        <v>8412581</v>
      </c>
      <c r="B2270">
        <v>8412551</v>
      </c>
      <c r="C2270" t="s">
        <v>8</v>
      </c>
      <c r="D2270" t="s">
        <v>8</v>
      </c>
      <c r="E2270" s="4" t="str">
        <f>HYPERLINK("https://ibp.a2mac1.com/costing(costing:projects/details/9760/assembly/8412581)","Back")</f>
        <v>Back</v>
      </c>
      <c r="F2270" t="s">
        <v>2470</v>
      </c>
    </row>
    <row r="2271" spans="1:6" x14ac:dyDescent="0.15">
      <c r="A2271">
        <v>8412691</v>
      </c>
      <c r="B2271">
        <v>8412581</v>
      </c>
      <c r="C2271" t="s">
        <v>8</v>
      </c>
      <c r="D2271" t="s">
        <v>8</v>
      </c>
      <c r="E2271" s="4" t="str">
        <f>HYPERLINK("https://ibp.a2mac1.com/costing(costing:projects/details/9760/assembly/8412691)","Wiring Harness")</f>
        <v>Wiring Harness</v>
      </c>
      <c r="F2271" t="s">
        <v>2687</v>
      </c>
    </row>
    <row r="2272" spans="1:6" x14ac:dyDescent="0.15">
      <c r="A2272">
        <v>12083878</v>
      </c>
      <c r="B2272">
        <v>8412691</v>
      </c>
      <c r="C2272" t="s">
        <v>114</v>
      </c>
      <c r="D2272" t="s">
        <v>8</v>
      </c>
      <c r="E2272" s="4" t="str">
        <f>HYPERLINK("https://ibp.a2mac1.com/costing(costing:projects/details/9760/process/12083878)","Process")</f>
        <v>Process</v>
      </c>
      <c r="F2272" t="s">
        <v>2688</v>
      </c>
    </row>
    <row r="2273" spans="1:6" x14ac:dyDescent="0.15">
      <c r="A2273">
        <v>12210967</v>
      </c>
      <c r="B2273">
        <v>12083878</v>
      </c>
      <c r="C2273" t="s">
        <v>163</v>
      </c>
      <c r="D2273" t="s">
        <v>114</v>
      </c>
      <c r="E2273" s="4" t="str">
        <f>HYPERLINK("https://ibp.a2mac1.com/costing(costing:projects/details/9760/equipment/12210967)","Dummy Machine (Wireharness production line)")</f>
        <v>Dummy Machine (Wireharness production line)</v>
      </c>
      <c r="F2273" t="s">
        <v>2689</v>
      </c>
    </row>
    <row r="2274" spans="1:6" x14ac:dyDescent="0.15">
      <c r="A2274">
        <v>8752626</v>
      </c>
      <c r="B2274">
        <v>8412691</v>
      </c>
      <c r="C2274" t="s">
        <v>311</v>
      </c>
      <c r="D2274" t="s">
        <v>8</v>
      </c>
      <c r="E2274" s="4" t="str">
        <f>HYPERLINK("https://ibp.a2mac1.com/costing(costing:projects/details/9760/component/8752626)","Material")</f>
        <v>Material</v>
      </c>
      <c r="F2274" t="s">
        <v>2688</v>
      </c>
    </row>
    <row r="2275" spans="1:6" x14ac:dyDescent="0.15">
      <c r="A2275">
        <v>8752627</v>
      </c>
      <c r="B2275">
        <v>8412691</v>
      </c>
      <c r="C2275" t="s">
        <v>311</v>
      </c>
      <c r="D2275" t="s">
        <v>8</v>
      </c>
      <c r="E2275" s="4" t="str">
        <f>HYPERLINK("https://ibp.a2mac1.com/costing(costing:projects/details/9760/component/8752627)","Copper")</f>
        <v>Copper</v>
      </c>
      <c r="F2275" t="s">
        <v>2688</v>
      </c>
    </row>
    <row r="2276" spans="1:6" x14ac:dyDescent="0.15">
      <c r="A2276">
        <v>8412582</v>
      </c>
      <c r="B2276">
        <v>8412551</v>
      </c>
      <c r="C2276" t="s">
        <v>8</v>
      </c>
      <c r="D2276" t="s">
        <v>8</v>
      </c>
      <c r="E2276" s="4" t="str">
        <f>HYPERLINK("https://ibp.a2mac1.com/costing(costing:projects/details/9760/assembly/8412582)","Storage Under Cushion")</f>
        <v>Storage Under Cushion</v>
      </c>
      <c r="F2276" t="s">
        <v>2470</v>
      </c>
    </row>
    <row r="2277" spans="1:6" x14ac:dyDescent="0.15">
      <c r="A2277">
        <v>8412692</v>
      </c>
      <c r="B2277">
        <v>8412582</v>
      </c>
      <c r="C2277" t="s">
        <v>8</v>
      </c>
      <c r="D2277" t="s">
        <v>8</v>
      </c>
      <c r="E2277" s="4" t="str">
        <f>HYPERLINK("https://ibp.a2mac1.com/costing(costing:projects/details/9760/assembly/8412692)","Plastic Garnish")</f>
        <v>Plastic Garnish</v>
      </c>
      <c r="F2277" t="s">
        <v>2692</v>
      </c>
    </row>
    <row r="2278" spans="1:6" x14ac:dyDescent="0.15">
      <c r="A2278">
        <v>8412788</v>
      </c>
      <c r="B2278">
        <v>8412692</v>
      </c>
      <c r="C2278" t="s">
        <v>10</v>
      </c>
      <c r="D2278" t="s">
        <v>8</v>
      </c>
      <c r="E2278" s="4" t="str">
        <f>HYPERLINK("https://ibp.a2mac1.com/costing(costing:projects/details/9760/part/8412788)","Left")</f>
        <v>Left</v>
      </c>
      <c r="F2278" t="s">
        <v>2693</v>
      </c>
    </row>
    <row r="2279" spans="1:6" x14ac:dyDescent="0.15">
      <c r="A2279">
        <v>12083998</v>
      </c>
      <c r="B2279">
        <v>8412788</v>
      </c>
      <c r="C2279" t="s">
        <v>114</v>
      </c>
      <c r="D2279" t="s">
        <v>10</v>
      </c>
      <c r="E2279" s="4" t="str">
        <f>HYPERLINK("https://ibp.a2mac1.com/costing(costing:projects/details/9760/process/12083998)","Automated Process")</f>
        <v>Automated Process</v>
      </c>
      <c r="F2279" t="s">
        <v>2694</v>
      </c>
    </row>
    <row r="2280" spans="1:6" x14ac:dyDescent="0.15">
      <c r="A2280">
        <v>8752880</v>
      </c>
      <c r="B2280">
        <v>12083998</v>
      </c>
      <c r="C2280" t="s">
        <v>22</v>
      </c>
      <c r="D2280" t="s">
        <v>114</v>
      </c>
      <c r="E2280" s="4" t="str">
        <f>HYPERLINK("https://ibp.a2mac1.com/costing(costing:projects/details/9760/material/8752880)","PP adjusted (part)")</f>
        <v>PP adjusted (part)</v>
      </c>
      <c r="F2280" t="s">
        <v>2695</v>
      </c>
    </row>
    <row r="2281" spans="1:6" x14ac:dyDescent="0.15">
      <c r="A2281">
        <v>12211087</v>
      </c>
      <c r="B2281">
        <v>12083998</v>
      </c>
      <c r="C2281" t="s">
        <v>163</v>
      </c>
      <c r="D2281" t="s">
        <v>114</v>
      </c>
      <c r="E2281" s="4" t="str">
        <f>HYPERLINK("https://ibp.a2mac1.com/costing(costing:projects/details/9760/equipment/12211087)","DC machine - General")</f>
        <v>DC machine - General</v>
      </c>
      <c r="F2281" t="s">
        <v>2695</v>
      </c>
    </row>
    <row r="2282" spans="1:6" x14ac:dyDescent="0.15">
      <c r="A2282">
        <v>8412789</v>
      </c>
      <c r="B2282">
        <v>8412692</v>
      </c>
      <c r="C2282" t="s">
        <v>10</v>
      </c>
      <c r="D2282" t="s">
        <v>8</v>
      </c>
      <c r="E2282" s="4" t="str">
        <f>HYPERLINK("https://ibp.a2mac1.com/costing(costing:projects/details/9760/part/8412789)","Right")</f>
        <v>Right</v>
      </c>
      <c r="F2282" t="s">
        <v>2693</v>
      </c>
    </row>
    <row r="2283" spans="1:6" x14ac:dyDescent="0.15">
      <c r="A2283">
        <v>12083999</v>
      </c>
      <c r="B2283">
        <v>8412789</v>
      </c>
      <c r="C2283" t="s">
        <v>114</v>
      </c>
      <c r="D2283" t="s">
        <v>10</v>
      </c>
      <c r="E2283" s="4" t="str">
        <f>HYPERLINK("https://ibp.a2mac1.com/costing(costing:projects/details/9760/process/12083999)","Automated Process")</f>
        <v>Automated Process</v>
      </c>
      <c r="F2283" t="s">
        <v>2697</v>
      </c>
    </row>
    <row r="2284" spans="1:6" x14ac:dyDescent="0.15">
      <c r="A2284">
        <v>8752881</v>
      </c>
      <c r="B2284">
        <v>12083999</v>
      </c>
      <c r="C2284" t="s">
        <v>22</v>
      </c>
      <c r="D2284" t="s">
        <v>114</v>
      </c>
      <c r="E2284" s="4" t="str">
        <f>HYPERLINK("https://ibp.a2mac1.com/costing(costing:projects/details/9760/material/8752881)","PP adjusted (part)")</f>
        <v>PP adjusted (part)</v>
      </c>
      <c r="F2284" t="s">
        <v>2698</v>
      </c>
    </row>
    <row r="2285" spans="1:6" x14ac:dyDescent="0.15">
      <c r="A2285">
        <v>12211088</v>
      </c>
      <c r="B2285">
        <v>12083999</v>
      </c>
      <c r="C2285" t="s">
        <v>163</v>
      </c>
      <c r="D2285" t="s">
        <v>114</v>
      </c>
      <c r="E2285" s="4" t="str">
        <f>HYPERLINK("https://ibp.a2mac1.com/costing(costing:projects/details/9760/equipment/12211088)","DC machine - General")</f>
        <v>DC machine - General</v>
      </c>
      <c r="F2285" t="s">
        <v>2698</v>
      </c>
    </row>
    <row r="2286" spans="1:6" x14ac:dyDescent="0.15">
      <c r="A2286">
        <v>8412693</v>
      </c>
      <c r="B2286">
        <v>8412582</v>
      </c>
      <c r="C2286" t="s">
        <v>8</v>
      </c>
      <c r="D2286" t="s">
        <v>8</v>
      </c>
      <c r="E2286" s="4" t="str">
        <f>HYPERLINK("https://ibp.a2mac1.com/costing(costing:projects/details/9760/assembly/8412693)","Storage")</f>
        <v>Storage</v>
      </c>
      <c r="F2286" t="s">
        <v>2692</v>
      </c>
    </row>
    <row r="2287" spans="1:6" x14ac:dyDescent="0.15">
      <c r="A2287">
        <v>8412790</v>
      </c>
      <c r="B2287">
        <v>8412693</v>
      </c>
      <c r="C2287" t="s">
        <v>8</v>
      </c>
      <c r="D2287" t="s">
        <v>8</v>
      </c>
      <c r="E2287" s="4" t="str">
        <f>HYPERLINK("https://ibp.a2mac1.com/costing(costing:projects/details/9760/assembly/8412790)","Left")</f>
        <v>Left</v>
      </c>
      <c r="F2287" t="s">
        <v>2701</v>
      </c>
    </row>
    <row r="2288" spans="1:6" x14ac:dyDescent="0.15">
      <c r="A2288">
        <v>8412842</v>
      </c>
      <c r="B2288">
        <v>8412790</v>
      </c>
      <c r="C2288" t="s">
        <v>10</v>
      </c>
      <c r="D2288" t="s">
        <v>8</v>
      </c>
      <c r="E2288" s="4" t="str">
        <f>HYPERLINK("https://ibp.a2mac1.com/costing(costing:projects/details/9760/part/8412842)","Drawer")</f>
        <v>Drawer</v>
      </c>
      <c r="F2288" t="s">
        <v>2702</v>
      </c>
    </row>
    <row r="2289" spans="1:6" x14ac:dyDescent="0.15">
      <c r="A2289">
        <v>12084030</v>
      </c>
      <c r="B2289">
        <v>8412842</v>
      </c>
      <c r="C2289" t="s">
        <v>114</v>
      </c>
      <c r="D2289" t="s">
        <v>10</v>
      </c>
      <c r="E2289" s="4" t="str">
        <f>HYPERLINK("https://ibp.a2mac1.com/costing(costing:projects/details/9760/process/12084030)","Automated Process")</f>
        <v>Automated Process</v>
      </c>
      <c r="F2289" t="s">
        <v>2703</v>
      </c>
    </row>
    <row r="2290" spans="1:6" x14ac:dyDescent="0.15">
      <c r="A2290">
        <v>8752912</v>
      </c>
      <c r="B2290">
        <v>12084030</v>
      </c>
      <c r="C2290" t="s">
        <v>22</v>
      </c>
      <c r="D2290" t="s">
        <v>114</v>
      </c>
      <c r="E2290" s="4" t="str">
        <f>HYPERLINK("https://ibp.a2mac1.com/costing(costing:projects/details/9760/material/8752912)","PC-ABS adjusted (part)")</f>
        <v>PC-ABS adjusted (part)</v>
      </c>
      <c r="F2290" t="s">
        <v>2704</v>
      </c>
    </row>
    <row r="2291" spans="1:6" x14ac:dyDescent="0.15">
      <c r="A2291">
        <v>12211119</v>
      </c>
      <c r="B2291">
        <v>12084030</v>
      </c>
      <c r="C2291" t="s">
        <v>163</v>
      </c>
      <c r="D2291" t="s">
        <v>114</v>
      </c>
      <c r="E2291" s="4" t="str">
        <f>HYPERLINK("https://ibp.a2mac1.com/costing(costing:projects/details/9760/equipment/12211119)","DC machine - General")</f>
        <v>DC machine - General</v>
      </c>
      <c r="F2291" t="s">
        <v>2704</v>
      </c>
    </row>
    <row r="2292" spans="1:6" x14ac:dyDescent="0.15">
      <c r="A2292">
        <v>8412843</v>
      </c>
      <c r="B2292">
        <v>8412790</v>
      </c>
      <c r="C2292" t="s">
        <v>10</v>
      </c>
      <c r="D2292" t="s">
        <v>8</v>
      </c>
      <c r="E2292" s="4" t="str">
        <f>HYPERLINK("https://ibp.a2mac1.com/costing(costing:projects/details/9760/part/8412843)","Mounting Bracket")</f>
        <v>Mounting Bracket</v>
      </c>
      <c r="F2292" t="s">
        <v>2702</v>
      </c>
    </row>
    <row r="2293" spans="1:6" x14ac:dyDescent="0.15">
      <c r="A2293">
        <v>12084031</v>
      </c>
      <c r="B2293">
        <v>8412843</v>
      </c>
      <c r="C2293" t="s">
        <v>114</v>
      </c>
      <c r="D2293" t="s">
        <v>10</v>
      </c>
      <c r="E2293" s="4" t="str">
        <f>HYPERLINK("https://ibp.a2mac1.com/costing(costing:projects/details/9760/process/12084031)","Automated Process")</f>
        <v>Automated Process</v>
      </c>
      <c r="F2293" t="s">
        <v>2706</v>
      </c>
    </row>
    <row r="2294" spans="1:6" x14ac:dyDescent="0.15">
      <c r="A2294">
        <v>8752913</v>
      </c>
      <c r="B2294">
        <v>12084031</v>
      </c>
      <c r="C2294" t="s">
        <v>22</v>
      </c>
      <c r="D2294" t="s">
        <v>114</v>
      </c>
      <c r="E2294" s="4" t="str">
        <f>HYPERLINK("https://ibp.a2mac1.com/costing(costing:projects/details/9760/material/8752913)","Steel sheet (default) adjusted (part)")</f>
        <v>Steel sheet (default) adjusted (part)</v>
      </c>
      <c r="F2294" t="s">
        <v>2707</v>
      </c>
    </row>
    <row r="2295" spans="1:6" x14ac:dyDescent="0.15">
      <c r="A2295">
        <v>12211120</v>
      </c>
      <c r="B2295">
        <v>12084031</v>
      </c>
      <c r="C2295" t="s">
        <v>163</v>
      </c>
      <c r="D2295" t="s">
        <v>114</v>
      </c>
      <c r="E2295" s="4" t="str">
        <f>HYPERLINK("https://ibp.a2mac1.com/costing(costing:projects/details/9760/equipment/12211120)","DC machine - General")</f>
        <v>DC machine - General</v>
      </c>
      <c r="F2295" t="s">
        <v>2707</v>
      </c>
    </row>
    <row r="2296" spans="1:6" x14ac:dyDescent="0.15">
      <c r="A2296">
        <v>8412791</v>
      </c>
      <c r="B2296">
        <v>8412693</v>
      </c>
      <c r="C2296" t="s">
        <v>8</v>
      </c>
      <c r="D2296" t="s">
        <v>8</v>
      </c>
      <c r="E2296" s="4" t="str">
        <f>HYPERLINK("https://ibp.a2mac1.com/costing(costing:projects/details/9760/assembly/8412791)","Right")</f>
        <v>Right</v>
      </c>
      <c r="F2296" t="s">
        <v>2701</v>
      </c>
    </row>
    <row r="2297" spans="1:6" x14ac:dyDescent="0.15">
      <c r="A2297">
        <v>8412844</v>
      </c>
      <c r="B2297">
        <v>8412791</v>
      </c>
      <c r="C2297" t="s">
        <v>10</v>
      </c>
      <c r="D2297" t="s">
        <v>8</v>
      </c>
      <c r="E2297" s="4" t="str">
        <f>HYPERLINK("https://ibp.a2mac1.com/costing(costing:projects/details/9760/part/8412844)","Drawer")</f>
        <v>Drawer</v>
      </c>
      <c r="F2297" t="s">
        <v>2710</v>
      </c>
    </row>
    <row r="2298" spans="1:6" x14ac:dyDescent="0.15">
      <c r="A2298">
        <v>12084032</v>
      </c>
      <c r="B2298">
        <v>8412844</v>
      </c>
      <c r="C2298" t="s">
        <v>114</v>
      </c>
      <c r="D2298" t="s">
        <v>10</v>
      </c>
      <c r="E2298" s="4" t="str">
        <f>HYPERLINK("https://ibp.a2mac1.com/costing(costing:projects/details/9760/process/12084032)","Automated Process")</f>
        <v>Automated Process</v>
      </c>
      <c r="F2298" t="s">
        <v>2711</v>
      </c>
    </row>
    <row r="2299" spans="1:6" x14ac:dyDescent="0.15">
      <c r="A2299">
        <v>8752914</v>
      </c>
      <c r="B2299">
        <v>12084032</v>
      </c>
      <c r="C2299" t="s">
        <v>22</v>
      </c>
      <c r="D2299" t="s">
        <v>114</v>
      </c>
      <c r="E2299" s="4" t="str">
        <f>HYPERLINK("https://ibp.a2mac1.com/costing(costing:projects/details/9760/material/8752914)","PC-ABS adjusted (part)")</f>
        <v>PC-ABS adjusted (part)</v>
      </c>
      <c r="F2299" t="s">
        <v>2712</v>
      </c>
    </row>
    <row r="2300" spans="1:6" x14ac:dyDescent="0.15">
      <c r="A2300">
        <v>12211121</v>
      </c>
      <c r="B2300">
        <v>12084032</v>
      </c>
      <c r="C2300" t="s">
        <v>163</v>
      </c>
      <c r="D2300" t="s">
        <v>114</v>
      </c>
      <c r="E2300" s="4" t="str">
        <f>HYPERLINK("https://ibp.a2mac1.com/costing(costing:projects/details/9760/equipment/12211121)","DC machine - General")</f>
        <v>DC machine - General</v>
      </c>
      <c r="F2300" t="s">
        <v>2712</v>
      </c>
    </row>
    <row r="2301" spans="1:6" x14ac:dyDescent="0.15">
      <c r="A2301">
        <v>8412845</v>
      </c>
      <c r="B2301">
        <v>8412791</v>
      </c>
      <c r="C2301" t="s">
        <v>10</v>
      </c>
      <c r="D2301" t="s">
        <v>8</v>
      </c>
      <c r="E2301" s="4" t="str">
        <f>HYPERLINK("https://ibp.a2mac1.com/costing(costing:projects/details/9760/part/8412845)","Mounting Bracket")</f>
        <v>Mounting Bracket</v>
      </c>
      <c r="F2301" t="s">
        <v>2710</v>
      </c>
    </row>
    <row r="2302" spans="1:6" x14ac:dyDescent="0.15">
      <c r="A2302">
        <v>12084033</v>
      </c>
      <c r="B2302">
        <v>8412845</v>
      </c>
      <c r="C2302" t="s">
        <v>114</v>
      </c>
      <c r="D2302" t="s">
        <v>10</v>
      </c>
      <c r="E2302" s="4" t="str">
        <f>HYPERLINK("https://ibp.a2mac1.com/costing(costing:projects/details/9760/process/12084033)","Automated Process")</f>
        <v>Automated Process</v>
      </c>
      <c r="F2302" t="s">
        <v>2714</v>
      </c>
    </row>
    <row r="2303" spans="1:6" x14ac:dyDescent="0.15">
      <c r="A2303">
        <v>8752915</v>
      </c>
      <c r="B2303">
        <v>12084033</v>
      </c>
      <c r="C2303" t="s">
        <v>22</v>
      </c>
      <c r="D2303" t="s">
        <v>114</v>
      </c>
      <c r="E2303" s="4" t="str">
        <f>HYPERLINK("https://ibp.a2mac1.com/costing(costing:projects/details/9760/material/8752915)","Steel sheet (default) adjusted (part)")</f>
        <v>Steel sheet (default) adjusted (part)</v>
      </c>
      <c r="F2303" t="s">
        <v>2715</v>
      </c>
    </row>
    <row r="2304" spans="1:6" x14ac:dyDescent="0.15">
      <c r="A2304">
        <v>12211122</v>
      </c>
      <c r="B2304">
        <v>12084033</v>
      </c>
      <c r="C2304" t="s">
        <v>163</v>
      </c>
      <c r="D2304" t="s">
        <v>114</v>
      </c>
      <c r="E2304" s="4" t="str">
        <f>HYPERLINK("https://ibp.a2mac1.com/costing(costing:projects/details/9760/equipment/12211122)","DC machine - General")</f>
        <v>DC machine - General</v>
      </c>
      <c r="F2304" t="s">
        <v>2715</v>
      </c>
    </row>
    <row r="2305" spans="1:6" x14ac:dyDescent="0.15">
      <c r="A2305">
        <v>8412583</v>
      </c>
      <c r="B2305">
        <v>8412551</v>
      </c>
      <c r="C2305" t="s">
        <v>8</v>
      </c>
      <c r="D2305" t="s">
        <v>8</v>
      </c>
      <c r="E2305" s="4" t="str">
        <f>HYPERLINK("https://ibp.a2mac1.com/costing(costing:projects/details/9760/assembly/8412583)","Isofix Cover")</f>
        <v>Isofix Cover</v>
      </c>
      <c r="F2305" t="s">
        <v>2470</v>
      </c>
    </row>
    <row r="2306" spans="1:6" x14ac:dyDescent="0.15">
      <c r="A2306">
        <v>8412694</v>
      </c>
      <c r="B2306">
        <v>8412583</v>
      </c>
      <c r="C2306" t="s">
        <v>10</v>
      </c>
      <c r="D2306" t="s">
        <v>8</v>
      </c>
      <c r="E2306" s="4" t="str">
        <f>HYPERLINK("https://ibp.a2mac1.com/costing(costing:projects/details/9760/part/8412694)","Trim")</f>
        <v>Trim</v>
      </c>
      <c r="F2306" t="s">
        <v>2720</v>
      </c>
    </row>
    <row r="2307" spans="1:6" x14ac:dyDescent="0.15">
      <c r="A2307">
        <v>12083879</v>
      </c>
      <c r="B2307">
        <v>8412694</v>
      </c>
      <c r="C2307" t="s">
        <v>114</v>
      </c>
      <c r="D2307" t="s">
        <v>10</v>
      </c>
      <c r="E2307" s="4" t="str">
        <f>HYPERLINK("https://ibp.a2mac1.com/costing(costing:projects/details/9760/process/12083879)","Automated Process")</f>
        <v>Automated Process</v>
      </c>
      <c r="F2307" t="s">
        <v>2721</v>
      </c>
    </row>
    <row r="2308" spans="1:6" x14ac:dyDescent="0.15">
      <c r="A2308">
        <v>8752762</v>
      </c>
      <c r="B2308">
        <v>12083879</v>
      </c>
      <c r="C2308" t="s">
        <v>22</v>
      </c>
      <c r="D2308" t="s">
        <v>114</v>
      </c>
      <c r="E2308" s="4" t="str">
        <f>HYPERLINK("https://ibp.a2mac1.com/costing(costing:projects/details/9760/material/8752762)","PA adjusted (part)")</f>
        <v>PA adjusted (part)</v>
      </c>
      <c r="F2308" t="s">
        <v>2722</v>
      </c>
    </row>
    <row r="2309" spans="1:6" x14ac:dyDescent="0.15">
      <c r="A2309">
        <v>12210968</v>
      </c>
      <c r="B2309">
        <v>12083879</v>
      </c>
      <c r="C2309" t="s">
        <v>163</v>
      </c>
      <c r="D2309" t="s">
        <v>114</v>
      </c>
      <c r="E2309" s="4" t="str">
        <f>HYPERLINK("https://ibp.a2mac1.com/costing(costing:projects/details/9760/equipment/12210968)","DC machine - General")</f>
        <v>DC machine - General</v>
      </c>
      <c r="F2309" t="s">
        <v>2722</v>
      </c>
    </row>
    <row r="2310" spans="1:6" x14ac:dyDescent="0.15">
      <c r="A2310">
        <v>8412695</v>
      </c>
      <c r="B2310">
        <v>8412583</v>
      </c>
      <c r="C2310" t="s">
        <v>10</v>
      </c>
      <c r="D2310" t="s">
        <v>8</v>
      </c>
      <c r="E2310" s="4" t="str">
        <f>HYPERLINK("https://ibp.a2mac1.com/costing(costing:projects/details/9760/part/8412695)","Isofix Cover Support")</f>
        <v>Isofix Cover Support</v>
      </c>
      <c r="F2310" t="s">
        <v>2720</v>
      </c>
    </row>
    <row r="2311" spans="1:6" x14ac:dyDescent="0.15">
      <c r="A2311">
        <v>12083880</v>
      </c>
      <c r="B2311">
        <v>8412695</v>
      </c>
      <c r="C2311" t="s">
        <v>114</v>
      </c>
      <c r="D2311" t="s">
        <v>10</v>
      </c>
      <c r="E2311" s="4" t="str">
        <f>HYPERLINK("https://ibp.a2mac1.com/costing(costing:projects/details/9760/process/12083880)","Automated Process")</f>
        <v>Automated Process</v>
      </c>
      <c r="F2311" t="s">
        <v>2724</v>
      </c>
    </row>
    <row r="2312" spans="1:6" x14ac:dyDescent="0.15">
      <c r="A2312">
        <v>8752763</v>
      </c>
      <c r="B2312">
        <v>12083880</v>
      </c>
      <c r="C2312" t="s">
        <v>22</v>
      </c>
      <c r="D2312" t="s">
        <v>114</v>
      </c>
      <c r="E2312" s="4" t="str">
        <f>HYPERLINK("https://ibp.a2mac1.com/costing(costing:projects/details/9760/material/8752763)","PA6;PA66")</f>
        <v>PA6;PA66</v>
      </c>
      <c r="F2312" t="s">
        <v>2725</v>
      </c>
    </row>
    <row r="2313" spans="1:6" x14ac:dyDescent="0.15">
      <c r="A2313">
        <v>12210969</v>
      </c>
      <c r="B2313">
        <v>12083880</v>
      </c>
      <c r="C2313" t="s">
        <v>163</v>
      </c>
      <c r="D2313" t="s">
        <v>114</v>
      </c>
      <c r="E2313" s="4" t="str">
        <f>HYPERLINK("https://ibp.a2mac1.com/costing(costing:projects/details/9760/equipment/12210969)","DC machine - General")</f>
        <v>DC machine - General</v>
      </c>
      <c r="F2313" t="s">
        <v>2725</v>
      </c>
    </row>
    <row r="2314" spans="1:6" x14ac:dyDescent="0.15">
      <c r="A2314">
        <v>8412576</v>
      </c>
      <c r="B2314">
        <v>8412551</v>
      </c>
      <c r="C2314" t="s">
        <v>10</v>
      </c>
      <c r="D2314" t="s">
        <v>8</v>
      </c>
      <c r="E2314" s="4" t="str">
        <f>HYPERLINK("https://ibp.a2mac1.com/costing(costing:projects/details/9760/part/8412576)","Occupant Detection")</f>
        <v>Occupant Detection</v>
      </c>
      <c r="F2314" t="s">
        <v>2470</v>
      </c>
    </row>
    <row r="2315" spans="1:6" x14ac:dyDescent="0.15">
      <c r="A2315">
        <v>8412577</v>
      </c>
      <c r="B2315">
        <v>8412551</v>
      </c>
      <c r="C2315" t="s">
        <v>10</v>
      </c>
      <c r="D2315" t="s">
        <v>8</v>
      </c>
      <c r="E2315" s="4" t="str">
        <f>HYPERLINK("https://ibp.a2mac1.com/costing(costing:projects/details/9760/part/8412577)","Occupant Detection central")</f>
        <v>Occupant Detection central</v>
      </c>
      <c r="F2315" t="s">
        <v>2470</v>
      </c>
    </row>
    <row r="2316" spans="1:6" x14ac:dyDescent="0.15">
      <c r="A2316">
        <v>8412584</v>
      </c>
      <c r="B2316">
        <v>8412551</v>
      </c>
      <c r="C2316" t="s">
        <v>10</v>
      </c>
      <c r="D2316" t="s">
        <v>8</v>
      </c>
      <c r="E2316" s="4" t="str">
        <f>HYPERLINK("https://ibp.a2mac1.com/costing(costing:projects/details/9760/part/8412584)","Fasteners")</f>
        <v>Fasteners</v>
      </c>
      <c r="F2316" t="s">
        <v>2470</v>
      </c>
    </row>
    <row r="2317" spans="1:6" x14ac:dyDescent="0.15">
      <c r="A2317">
        <v>12083746</v>
      </c>
      <c r="B2317">
        <v>8412551</v>
      </c>
      <c r="C2317" t="s">
        <v>114</v>
      </c>
      <c r="D2317" t="s">
        <v>8</v>
      </c>
      <c r="E2317" s="4" t="str">
        <f>HYPERLINK("https://ibp.a2mac1.com/costing(costing:projects/details/9760/process/12083746)","Final Assembly")</f>
        <v>Final Assembly</v>
      </c>
      <c r="F2317" t="s">
        <v>2470</v>
      </c>
    </row>
    <row r="2318" spans="1:6" x14ac:dyDescent="0.15">
      <c r="A2318">
        <v>12210683</v>
      </c>
      <c r="B2318">
        <v>12083746</v>
      </c>
      <c r="C2318" t="s">
        <v>163</v>
      </c>
      <c r="D2318" t="s">
        <v>114</v>
      </c>
      <c r="E2318" s="4" t="str">
        <f>HYPERLINK("https://ibp.a2mac1.com/costing(costing:projects/details/9760/equipment/12210683)","DC machine - General")</f>
        <v>DC machine - General</v>
      </c>
      <c r="F2318" t="s">
        <v>2730</v>
      </c>
    </row>
    <row r="2319" spans="1:6" x14ac:dyDescent="0.15">
      <c r="A2319">
        <v>8412863</v>
      </c>
      <c r="B2319">
        <v>9760</v>
      </c>
      <c r="C2319" t="s">
        <v>8</v>
      </c>
      <c r="D2319" t="s">
        <v>6</v>
      </c>
      <c r="E2319" s="4" t="str">
        <f>HYPERLINK("https://ibp.a2mac1.com/costing(costing:projects/details/9760/assembly/8412863)","Engine")</f>
        <v>Engine</v>
      </c>
      <c r="F2319" t="s">
        <v>9</v>
      </c>
    </row>
    <row r="2320" spans="1:6" x14ac:dyDescent="0.15">
      <c r="A2320">
        <v>8412864</v>
      </c>
      <c r="B2320">
        <v>8412863</v>
      </c>
      <c r="C2320" t="s">
        <v>8</v>
      </c>
      <c r="D2320" t="s">
        <v>8</v>
      </c>
      <c r="E2320" s="4" t="str">
        <f>HYPERLINK("https://ibp.a2mac1.com/costing(costing:projects/details/9760/assembly/8412864)","Hybrid Electric System")</f>
        <v>Hybrid Electric System</v>
      </c>
      <c r="F2320" t="s">
        <v>2733</v>
      </c>
    </row>
    <row r="2321" spans="1:6" x14ac:dyDescent="0.15">
      <c r="A2321">
        <v>8412866</v>
      </c>
      <c r="B2321">
        <v>8412864</v>
      </c>
      <c r="C2321" t="s">
        <v>8</v>
      </c>
      <c r="D2321" t="s">
        <v>8</v>
      </c>
      <c r="E2321" s="4" t="str">
        <f>HYPERLINK("https://ibp.a2mac1.com/costing(costing:projects/details/9760/assembly/8412866)","Battery System")</f>
        <v>Battery System</v>
      </c>
      <c r="F2321" t="s">
        <v>2734</v>
      </c>
    </row>
    <row r="2322" spans="1:6" x14ac:dyDescent="0.15">
      <c r="A2322">
        <v>8412886</v>
      </c>
      <c r="B2322">
        <v>8412866</v>
      </c>
      <c r="C2322" t="s">
        <v>8</v>
      </c>
      <c r="D2322" t="s">
        <v>8</v>
      </c>
      <c r="E2322" s="4" t="str">
        <f>HYPERLINK("https://ibp.a2mac1.com/costing(costing:projects/details/9760/assembly/8412886)","Support Sytem")</f>
        <v>Support Sytem</v>
      </c>
      <c r="F2322" t="s">
        <v>2735</v>
      </c>
    </row>
    <row r="2323" spans="1:6" x14ac:dyDescent="0.15">
      <c r="A2323">
        <v>8412987</v>
      </c>
      <c r="B2323">
        <v>8412886</v>
      </c>
      <c r="C2323" t="s">
        <v>10</v>
      </c>
      <c r="D2323" t="s">
        <v>8</v>
      </c>
      <c r="E2323" s="4" t="str">
        <f>HYPERLINK("https://ibp.a2mac1.com/costing(costing:projects/details/9760/part/8412987)","Support 1")</f>
        <v>Support 1</v>
      </c>
      <c r="F2323" t="s">
        <v>2736</v>
      </c>
    </row>
    <row r="2324" spans="1:6" x14ac:dyDescent="0.15">
      <c r="A2324">
        <v>8412988</v>
      </c>
      <c r="B2324">
        <v>8412886</v>
      </c>
      <c r="C2324" t="s">
        <v>10</v>
      </c>
      <c r="D2324" t="s">
        <v>8</v>
      </c>
      <c r="E2324" s="4" t="str">
        <f>HYPERLINK("https://ibp.a2mac1.com/costing(costing:projects/details/9760/part/8412988)","Support 2")</f>
        <v>Support 2</v>
      </c>
      <c r="F2324" t="s">
        <v>2736</v>
      </c>
    </row>
    <row r="2325" spans="1:6" x14ac:dyDescent="0.15">
      <c r="A2325">
        <v>8412989</v>
      </c>
      <c r="B2325">
        <v>8412886</v>
      </c>
      <c r="C2325" t="s">
        <v>10</v>
      </c>
      <c r="D2325" t="s">
        <v>8</v>
      </c>
      <c r="E2325" s="4" t="str">
        <f>HYPERLINK("https://ibp.a2mac1.com/costing(costing:projects/details/9760/part/8412989)","Support 3")</f>
        <v>Support 3</v>
      </c>
      <c r="F2325" t="s">
        <v>2736</v>
      </c>
    </row>
    <row r="2326" spans="1:6" x14ac:dyDescent="0.15">
      <c r="A2326">
        <v>8412990</v>
      </c>
      <c r="B2326">
        <v>8412886</v>
      </c>
      <c r="C2326" t="s">
        <v>10</v>
      </c>
      <c r="D2326" t="s">
        <v>8</v>
      </c>
      <c r="E2326" s="4" t="str">
        <f>HYPERLINK("https://ibp.a2mac1.com/costing(costing:projects/details/9760/part/8412990)","Support 4")</f>
        <v>Support 4</v>
      </c>
      <c r="F2326" t="s">
        <v>2736</v>
      </c>
    </row>
    <row r="2327" spans="1:6" x14ac:dyDescent="0.15">
      <c r="A2327">
        <v>8752935</v>
      </c>
      <c r="B2327">
        <v>8412886</v>
      </c>
      <c r="C2327" t="s">
        <v>311</v>
      </c>
      <c r="D2327" t="s">
        <v>8</v>
      </c>
      <c r="E2327" s="4" t="str">
        <f>HYPERLINK("https://ibp.a2mac1.com/costing(costing:projects/details/9760/component/8752935)","Screw &gt; Hexagon screw with flange")</f>
        <v>Screw &gt; Hexagon screw with flange</v>
      </c>
      <c r="F2327" t="s">
        <v>2736</v>
      </c>
    </row>
    <row r="2328" spans="1:6" x14ac:dyDescent="0.15">
      <c r="A2328">
        <v>8752936</v>
      </c>
      <c r="B2328">
        <v>8412886</v>
      </c>
      <c r="C2328" t="s">
        <v>311</v>
      </c>
      <c r="D2328" t="s">
        <v>8</v>
      </c>
      <c r="E2328" s="4" t="str">
        <f>HYPERLINK("https://ibp.a2mac1.com/costing(costing:projects/details/9760/component/8752936)","Screw &gt; Hexagon screw with flange")</f>
        <v>Screw &gt; Hexagon screw with flange</v>
      </c>
      <c r="F2328" t="s">
        <v>2736</v>
      </c>
    </row>
    <row r="2329" spans="1:6" x14ac:dyDescent="0.15">
      <c r="A2329">
        <v>8752937</v>
      </c>
      <c r="B2329">
        <v>8412886</v>
      </c>
      <c r="C2329" t="s">
        <v>311</v>
      </c>
      <c r="D2329" t="s">
        <v>8</v>
      </c>
      <c r="E2329" s="4" t="str">
        <f>HYPERLINK("https://ibp.a2mac1.com/costing(costing:projects/details/9760/component/8752937)","Screw &gt; Hexagon screw with flange")</f>
        <v>Screw &gt; Hexagon screw with flange</v>
      </c>
      <c r="F2329" t="s">
        <v>2736</v>
      </c>
    </row>
    <row r="2330" spans="1:6" x14ac:dyDescent="0.15">
      <c r="A2330">
        <v>8752938</v>
      </c>
      <c r="B2330">
        <v>8412886</v>
      </c>
      <c r="C2330" t="s">
        <v>311</v>
      </c>
      <c r="D2330" t="s">
        <v>8</v>
      </c>
      <c r="E2330" s="4" t="str">
        <f>HYPERLINK("https://ibp.a2mac1.com/costing(costing:projects/details/9760/component/8752938)","Screw &gt; Hexagon screw with flange")</f>
        <v>Screw &gt; Hexagon screw with flange</v>
      </c>
      <c r="F2330" t="s">
        <v>2736</v>
      </c>
    </row>
    <row r="2331" spans="1:6" x14ac:dyDescent="0.15">
      <c r="A2331">
        <v>8412887</v>
      </c>
      <c r="B2331">
        <v>8412866</v>
      </c>
      <c r="C2331" t="s">
        <v>8</v>
      </c>
      <c r="D2331" t="s">
        <v>8</v>
      </c>
      <c r="E2331" s="4" t="str">
        <f>HYPERLINK("https://ibp.a2mac1.com/costing(costing:projects/details/9760/assembly/8412887)","Power Electronics Combination Module")</f>
        <v>Power Electronics Combination Module</v>
      </c>
      <c r="F2331" t="s">
        <v>2735</v>
      </c>
    </row>
    <row r="2332" spans="1:6" x14ac:dyDescent="0.15">
      <c r="A2332">
        <v>8412991</v>
      </c>
      <c r="B2332">
        <v>8412887</v>
      </c>
      <c r="C2332" t="s">
        <v>8</v>
      </c>
      <c r="D2332" t="s">
        <v>8</v>
      </c>
      <c r="E2332" s="4" t="str">
        <f>HYPERLINK("https://ibp.a2mac1.com/costing(costing:projects/details/9760/assembly/8412991)","Onboard Charger")</f>
        <v>Onboard Charger</v>
      </c>
      <c r="F2332" t="s">
        <v>2743</v>
      </c>
    </row>
    <row r="2333" spans="1:6" x14ac:dyDescent="0.15">
      <c r="A2333">
        <v>8413076</v>
      </c>
      <c r="B2333">
        <v>8412991</v>
      </c>
      <c r="C2333" t="s">
        <v>8</v>
      </c>
      <c r="D2333" t="s">
        <v>8</v>
      </c>
      <c r="E2333" s="4" t="str">
        <f>HYPERLINK("https://ibp.a2mac1.com/costing(costing:projects/details/9760/assembly/8413076)","Connectors &amp; Wire Harnesses")</f>
        <v>Connectors &amp; Wire Harnesses</v>
      </c>
      <c r="F2333" t="s">
        <v>2744</v>
      </c>
    </row>
    <row r="2334" spans="1:6" x14ac:dyDescent="0.15">
      <c r="A2334">
        <v>8413206</v>
      </c>
      <c r="B2334">
        <v>8413076</v>
      </c>
      <c r="C2334" t="s">
        <v>8</v>
      </c>
      <c r="D2334" t="s">
        <v>8</v>
      </c>
      <c r="E2334" s="4" t="str">
        <f>HYPERLINK("https://ibp.a2mac1.com/costing(costing:projects/details/9760/assembly/8413206)","Connectors")</f>
        <v>Connectors</v>
      </c>
      <c r="F2334" t="s">
        <v>2745</v>
      </c>
    </row>
    <row r="2335" spans="1:6" x14ac:dyDescent="0.15">
      <c r="A2335">
        <v>8413327</v>
      </c>
      <c r="B2335">
        <v>8413206</v>
      </c>
      <c r="C2335" t="s">
        <v>8</v>
      </c>
      <c r="D2335" t="s">
        <v>8</v>
      </c>
      <c r="E2335" s="4" t="str">
        <f>HYPERLINK("https://ibp.a2mac1.com/costing(costing:projects/details/9760/assembly/8413327)","HV Connectors")</f>
        <v>HV Connectors</v>
      </c>
      <c r="F2335" t="s">
        <v>2746</v>
      </c>
    </row>
    <row r="2336" spans="1:6" x14ac:dyDescent="0.15">
      <c r="A2336">
        <v>8413530</v>
      </c>
      <c r="B2336">
        <v>8413327</v>
      </c>
      <c r="C2336" t="s">
        <v>10</v>
      </c>
      <c r="D2336" t="s">
        <v>8</v>
      </c>
      <c r="E2336" s="4" t="str">
        <f>HYPERLINK("https://ibp.a2mac1.com/costing(costing:projects/details/9760/part/8413530)","HV Connector 1")</f>
        <v>HV Connector 1</v>
      </c>
      <c r="F2336" t="s">
        <v>2747</v>
      </c>
    </row>
    <row r="2337" spans="1:6" x14ac:dyDescent="0.15">
      <c r="A2337">
        <v>8413531</v>
      </c>
      <c r="B2337">
        <v>8413327</v>
      </c>
      <c r="C2337" t="s">
        <v>10</v>
      </c>
      <c r="D2337" t="s">
        <v>8</v>
      </c>
      <c r="E2337" s="4" t="str">
        <f>HYPERLINK("https://ibp.a2mac1.com/costing(costing:projects/details/9760/part/8413531)","HV Connector 2")</f>
        <v>HV Connector 2</v>
      </c>
      <c r="F2337" t="s">
        <v>2747</v>
      </c>
    </row>
    <row r="2338" spans="1:6" x14ac:dyDescent="0.15">
      <c r="A2338">
        <v>8413077</v>
      </c>
      <c r="B2338">
        <v>8412991</v>
      </c>
      <c r="C2338" t="s">
        <v>8</v>
      </c>
      <c r="D2338" t="s">
        <v>8</v>
      </c>
      <c r="E2338" s="4" t="str">
        <f>HYPERLINK("https://ibp.a2mac1.com/costing(costing:projects/details/9760/assembly/8413077)","Electrical Parts")</f>
        <v>Electrical Parts</v>
      </c>
      <c r="F2338" t="s">
        <v>2744</v>
      </c>
    </row>
    <row r="2339" spans="1:6" x14ac:dyDescent="0.15">
      <c r="A2339">
        <v>8413207</v>
      </c>
      <c r="B2339">
        <v>8413077</v>
      </c>
      <c r="C2339" t="s">
        <v>8</v>
      </c>
      <c r="D2339" t="s">
        <v>8</v>
      </c>
      <c r="E2339" s="4" t="str">
        <f>HYPERLINK("https://ibp.a2mac1.com/costing(costing:projects/details/9760/assembly/8413207)","Ferrites &amp; Cores")</f>
        <v>Ferrites &amp; Cores</v>
      </c>
      <c r="F2339" t="s">
        <v>2748</v>
      </c>
    </row>
    <row r="2340" spans="1:6" x14ac:dyDescent="0.15">
      <c r="A2340">
        <v>8413328</v>
      </c>
      <c r="B2340">
        <v>8413207</v>
      </c>
      <c r="C2340" t="s">
        <v>10</v>
      </c>
      <c r="D2340" t="s">
        <v>8</v>
      </c>
      <c r="E2340" s="4" t="str">
        <f>HYPERLINK("https://ibp.a2mac1.com/costing(costing:projects/details/9760/part/8413328)","Ferrite 1")</f>
        <v>Ferrite 1</v>
      </c>
      <c r="F2340" t="s">
        <v>2749</v>
      </c>
    </row>
    <row r="2341" spans="1:6" x14ac:dyDescent="0.15">
      <c r="A2341">
        <v>8413208</v>
      </c>
      <c r="B2341">
        <v>8413077</v>
      </c>
      <c r="C2341" t="s">
        <v>8</v>
      </c>
      <c r="D2341" t="s">
        <v>8</v>
      </c>
      <c r="E2341" s="4" t="str">
        <f>HYPERLINK("https://ibp.a2mac1.com/costing(costing:projects/details/9760/assembly/8413208)","Inductors")</f>
        <v>Inductors</v>
      </c>
      <c r="F2341" t="s">
        <v>2748</v>
      </c>
    </row>
    <row r="2342" spans="1:6" x14ac:dyDescent="0.15">
      <c r="A2342">
        <v>8413329</v>
      </c>
      <c r="B2342">
        <v>8413208</v>
      </c>
      <c r="C2342" t="s">
        <v>10</v>
      </c>
      <c r="D2342" t="s">
        <v>8</v>
      </c>
      <c r="E2342" s="4" t="str">
        <f>HYPERLINK("https://ibp.a2mac1.com/costing(costing:projects/details/9760/part/8413329)","Inductor 1")</f>
        <v>Inductor 1</v>
      </c>
      <c r="F2342" t="s">
        <v>2750</v>
      </c>
    </row>
    <row r="2343" spans="1:6" x14ac:dyDescent="0.15">
      <c r="A2343">
        <v>8413330</v>
      </c>
      <c r="B2343">
        <v>8413208</v>
      </c>
      <c r="C2343" t="s">
        <v>10</v>
      </c>
      <c r="D2343" t="s">
        <v>8</v>
      </c>
      <c r="E2343" s="4" t="str">
        <f>HYPERLINK("https://ibp.a2mac1.com/costing(costing:projects/details/9760/part/8413330)","Inductor 2")</f>
        <v>Inductor 2</v>
      </c>
      <c r="F2343" t="s">
        <v>2750</v>
      </c>
    </row>
    <row r="2344" spans="1:6" x14ac:dyDescent="0.15">
      <c r="A2344">
        <v>8413331</v>
      </c>
      <c r="B2344">
        <v>8413208</v>
      </c>
      <c r="C2344" t="s">
        <v>10</v>
      </c>
      <c r="D2344" t="s">
        <v>8</v>
      </c>
      <c r="E2344" s="4" t="str">
        <f>HYPERLINK("https://ibp.a2mac1.com/costing(costing:projects/details/9760/part/8413331)","Inductor 3")</f>
        <v>Inductor 3</v>
      </c>
      <c r="F2344" t="s">
        <v>2750</v>
      </c>
    </row>
    <row r="2345" spans="1:6" x14ac:dyDescent="0.15">
      <c r="A2345">
        <v>8413209</v>
      </c>
      <c r="B2345">
        <v>8413077</v>
      </c>
      <c r="C2345" t="s">
        <v>8</v>
      </c>
      <c r="D2345" t="s">
        <v>8</v>
      </c>
      <c r="E2345" s="4" t="str">
        <f>HYPERLINK("https://ibp.a2mac1.com/costing(costing:projects/details/9760/assembly/8413209)","Transformers")</f>
        <v>Transformers</v>
      </c>
      <c r="F2345" t="s">
        <v>2748</v>
      </c>
    </row>
    <row r="2346" spans="1:6" x14ac:dyDescent="0.15">
      <c r="A2346">
        <v>8413332</v>
      </c>
      <c r="B2346">
        <v>8413209</v>
      </c>
      <c r="C2346" t="s">
        <v>10</v>
      </c>
      <c r="D2346" t="s">
        <v>8</v>
      </c>
      <c r="E2346" s="4" t="str">
        <f>HYPERLINK("https://ibp.a2mac1.com/costing(costing:projects/details/9760/part/8413332)","Transformer 1")</f>
        <v>Transformer 1</v>
      </c>
      <c r="F2346" t="s">
        <v>2751</v>
      </c>
    </row>
    <row r="2347" spans="1:6" x14ac:dyDescent="0.15">
      <c r="A2347">
        <v>8413078</v>
      </c>
      <c r="B2347">
        <v>8412991</v>
      </c>
      <c r="C2347" t="s">
        <v>8</v>
      </c>
      <c r="D2347" t="s">
        <v>8</v>
      </c>
      <c r="E2347" s="4" t="str">
        <f>HYPERLINK("https://ibp.a2mac1.com/costing(costing:projects/details/9760/assembly/8413078)","Electronic Parts")</f>
        <v>Electronic Parts</v>
      </c>
      <c r="F2347" t="s">
        <v>2744</v>
      </c>
    </row>
    <row r="2348" spans="1:6" x14ac:dyDescent="0.15">
      <c r="A2348">
        <v>8413210</v>
      </c>
      <c r="B2348">
        <v>8413078</v>
      </c>
      <c r="C2348" t="s">
        <v>10</v>
      </c>
      <c r="D2348" t="s">
        <v>8</v>
      </c>
      <c r="E2348" s="4" t="str">
        <f>HYPERLINK("https://ibp.a2mac1.com/costing(costing:projects/details/9760/part/8413210)","PCB 1")</f>
        <v>PCB 1</v>
      </c>
      <c r="F2348" t="s">
        <v>2752</v>
      </c>
    </row>
    <row r="2349" spans="1:6" x14ac:dyDescent="0.15">
      <c r="A2349">
        <v>8413211</v>
      </c>
      <c r="B2349">
        <v>8413078</v>
      </c>
      <c r="C2349" t="s">
        <v>10</v>
      </c>
      <c r="D2349" t="s">
        <v>8</v>
      </c>
      <c r="E2349" s="4" t="str">
        <f>HYPERLINK("https://ibp.a2mac1.com/costing(costing:projects/details/9760/part/8413211)","PCB 2")</f>
        <v>PCB 2</v>
      </c>
      <c r="F2349" t="s">
        <v>2752</v>
      </c>
    </row>
    <row r="2350" spans="1:6" x14ac:dyDescent="0.15">
      <c r="A2350">
        <v>8413212</v>
      </c>
      <c r="B2350">
        <v>8413078</v>
      </c>
      <c r="C2350" t="s">
        <v>10</v>
      </c>
      <c r="D2350" t="s">
        <v>8</v>
      </c>
      <c r="E2350" s="4" t="str">
        <f>HYPERLINK("https://ibp.a2mac1.com/costing(costing:projects/details/9760/part/8413212)","PCB 3")</f>
        <v>PCB 3</v>
      </c>
      <c r="F2350" t="s">
        <v>2752</v>
      </c>
    </row>
    <row r="2351" spans="1:6" x14ac:dyDescent="0.15">
      <c r="A2351">
        <v>8413213</v>
      </c>
      <c r="B2351">
        <v>8413078</v>
      </c>
      <c r="C2351" t="s">
        <v>10</v>
      </c>
      <c r="D2351" t="s">
        <v>8</v>
      </c>
      <c r="E2351" s="4" t="str">
        <f>HYPERLINK("https://ibp.a2mac1.com/costing(costing:projects/details/9760/part/8413213)","PCB 4")</f>
        <v>PCB 4</v>
      </c>
      <c r="F2351" t="s">
        <v>2752</v>
      </c>
    </row>
    <row r="2352" spans="1:6" x14ac:dyDescent="0.15">
      <c r="A2352">
        <v>8413214</v>
      </c>
      <c r="B2352">
        <v>8413078</v>
      </c>
      <c r="C2352" t="s">
        <v>10</v>
      </c>
      <c r="D2352" t="s">
        <v>8</v>
      </c>
      <c r="E2352" s="4" t="str">
        <f>HYPERLINK("https://ibp.a2mac1.com/costing(costing:projects/details/9760/part/8413214)","PCB 5")</f>
        <v>PCB 5</v>
      </c>
      <c r="F2352" t="s">
        <v>2752</v>
      </c>
    </row>
    <row r="2353" spans="1:6" x14ac:dyDescent="0.15">
      <c r="A2353">
        <v>8413215</v>
      </c>
      <c r="B2353">
        <v>8413078</v>
      </c>
      <c r="C2353" t="s">
        <v>10</v>
      </c>
      <c r="D2353" t="s">
        <v>8</v>
      </c>
      <c r="E2353" s="4" t="str">
        <f>HYPERLINK("https://ibp.a2mac1.com/costing(costing:projects/details/9760/part/8413215)","PCB 6")</f>
        <v>PCB 6</v>
      </c>
      <c r="F2353" t="s">
        <v>2752</v>
      </c>
    </row>
    <row r="2354" spans="1:6" x14ac:dyDescent="0.15">
      <c r="A2354">
        <v>8413216</v>
      </c>
      <c r="B2354">
        <v>8413078</v>
      </c>
      <c r="C2354" t="s">
        <v>10</v>
      </c>
      <c r="D2354" t="s">
        <v>8</v>
      </c>
      <c r="E2354" s="4" t="str">
        <f>HYPERLINK("https://ibp.a2mac1.com/costing(costing:projects/details/9760/part/8413216)","PCB 7")</f>
        <v>PCB 7</v>
      </c>
      <c r="F2354" t="s">
        <v>2752</v>
      </c>
    </row>
    <row r="2355" spans="1:6" x14ac:dyDescent="0.15">
      <c r="A2355">
        <v>8413217</v>
      </c>
      <c r="B2355">
        <v>8413078</v>
      </c>
      <c r="C2355" t="s">
        <v>10</v>
      </c>
      <c r="D2355" t="s">
        <v>8</v>
      </c>
      <c r="E2355" s="4" t="str">
        <f>HYPERLINK("https://ibp.a2mac1.com/costing(costing:projects/details/9760/part/8413217)","PCB 8")</f>
        <v>PCB 8</v>
      </c>
      <c r="F2355" t="s">
        <v>2752</v>
      </c>
    </row>
    <row r="2356" spans="1:6" x14ac:dyDescent="0.15">
      <c r="A2356">
        <v>8413079</v>
      </c>
      <c r="B2356">
        <v>8412991</v>
      </c>
      <c r="C2356" t="s">
        <v>8</v>
      </c>
      <c r="D2356" t="s">
        <v>8</v>
      </c>
      <c r="E2356" s="4" t="str">
        <f>HYPERLINK("https://ibp.a2mac1.com/costing(costing:projects/details/9760/assembly/8413079)","Mechanical Parts")</f>
        <v>Mechanical Parts</v>
      </c>
      <c r="F2356" t="s">
        <v>2744</v>
      </c>
    </row>
    <row r="2357" spans="1:6" x14ac:dyDescent="0.15">
      <c r="A2357">
        <v>8413218</v>
      </c>
      <c r="B2357">
        <v>8413079</v>
      </c>
      <c r="C2357" t="s">
        <v>8</v>
      </c>
      <c r="D2357" t="s">
        <v>8</v>
      </c>
      <c r="E2357" s="4" t="str">
        <f>HYPERLINK("https://ibp.a2mac1.com/costing(costing:projects/details/9760/assembly/8413218)","Brackets")</f>
        <v>Brackets</v>
      </c>
      <c r="F2357" t="s">
        <v>2753</v>
      </c>
    </row>
    <row r="2358" spans="1:6" x14ac:dyDescent="0.15">
      <c r="A2358">
        <v>8413333</v>
      </c>
      <c r="B2358">
        <v>8413218</v>
      </c>
      <c r="C2358" t="s">
        <v>10</v>
      </c>
      <c r="D2358" t="s">
        <v>8</v>
      </c>
      <c r="E2358" s="4" t="str">
        <f>HYPERLINK("https://ibp.a2mac1.com/costing(costing:projects/details/9760/part/8413333)","Bracket 1")</f>
        <v>Bracket 1</v>
      </c>
      <c r="F2358" t="s">
        <v>2754</v>
      </c>
    </row>
    <row r="2359" spans="1:6" x14ac:dyDescent="0.15">
      <c r="A2359">
        <v>8413334</v>
      </c>
      <c r="B2359">
        <v>8413218</v>
      </c>
      <c r="C2359" t="s">
        <v>10</v>
      </c>
      <c r="D2359" t="s">
        <v>8</v>
      </c>
      <c r="E2359" s="4" t="str">
        <f>HYPERLINK("https://ibp.a2mac1.com/costing(costing:projects/details/9760/part/8413334)","Bracket 2")</f>
        <v>Bracket 2</v>
      </c>
      <c r="F2359" t="s">
        <v>2754</v>
      </c>
    </row>
    <row r="2360" spans="1:6" x14ac:dyDescent="0.15">
      <c r="A2360">
        <v>8413335</v>
      </c>
      <c r="B2360">
        <v>8413218</v>
      </c>
      <c r="C2360" t="s">
        <v>10</v>
      </c>
      <c r="D2360" t="s">
        <v>8</v>
      </c>
      <c r="E2360" s="4" t="str">
        <f>HYPERLINK("https://ibp.a2mac1.com/costing(costing:projects/details/9760/part/8413335)","Bracket 3")</f>
        <v>Bracket 3</v>
      </c>
      <c r="F2360" t="s">
        <v>2754</v>
      </c>
    </row>
    <row r="2361" spans="1:6" x14ac:dyDescent="0.15">
      <c r="A2361">
        <v>8413336</v>
      </c>
      <c r="B2361">
        <v>8413218</v>
      </c>
      <c r="C2361" t="s">
        <v>10</v>
      </c>
      <c r="D2361" t="s">
        <v>8</v>
      </c>
      <c r="E2361" s="4" t="str">
        <f>HYPERLINK("https://ibp.a2mac1.com/costing(costing:projects/details/9760/part/8413336)","Connector Bracket 1")</f>
        <v>Connector Bracket 1</v>
      </c>
      <c r="F2361" t="s">
        <v>2754</v>
      </c>
    </row>
    <row r="2362" spans="1:6" x14ac:dyDescent="0.15">
      <c r="A2362">
        <v>8413337</v>
      </c>
      <c r="B2362">
        <v>8413218</v>
      </c>
      <c r="C2362" t="s">
        <v>10</v>
      </c>
      <c r="D2362" t="s">
        <v>8</v>
      </c>
      <c r="E2362" s="4" t="str">
        <f>HYPERLINK("https://ibp.a2mac1.com/costing(costing:projects/details/9760/part/8413337)","PCB Bracket 1")</f>
        <v>PCB Bracket 1</v>
      </c>
      <c r="F2362" t="s">
        <v>2754</v>
      </c>
    </row>
    <row r="2363" spans="1:6" x14ac:dyDescent="0.15">
      <c r="A2363">
        <v>8413338</v>
      </c>
      <c r="B2363">
        <v>8413218</v>
      </c>
      <c r="C2363" t="s">
        <v>10</v>
      </c>
      <c r="D2363" t="s">
        <v>8</v>
      </c>
      <c r="E2363" s="4" t="str">
        <f>HYPERLINK("https://ibp.a2mac1.com/costing(costing:projects/details/9760/part/8413338)","Transistor (or diode) Bracket 1")</f>
        <v>Transistor (or diode) Bracket 1</v>
      </c>
      <c r="F2363" t="s">
        <v>2754</v>
      </c>
    </row>
    <row r="2364" spans="1:6" x14ac:dyDescent="0.15">
      <c r="A2364">
        <v>8413339</v>
      </c>
      <c r="B2364">
        <v>8413218</v>
      </c>
      <c r="C2364" t="s">
        <v>10</v>
      </c>
      <c r="D2364" t="s">
        <v>8</v>
      </c>
      <c r="E2364" s="4" t="str">
        <f>HYPERLINK("https://ibp.a2mac1.com/costing(costing:projects/details/9760/part/8413339)","Transistor (or diode) Bracket 2")</f>
        <v>Transistor (or diode) Bracket 2</v>
      </c>
      <c r="F2364" t="s">
        <v>2754</v>
      </c>
    </row>
    <row r="2365" spans="1:6" x14ac:dyDescent="0.15">
      <c r="A2365">
        <v>8413340</v>
      </c>
      <c r="B2365">
        <v>8413218</v>
      </c>
      <c r="C2365" t="s">
        <v>10</v>
      </c>
      <c r="D2365" t="s">
        <v>8</v>
      </c>
      <c r="E2365" s="4" t="str">
        <f>HYPERLINK("https://ibp.a2mac1.com/costing(costing:projects/details/9760/part/8413340)","Transistor (or diode) Bracket 3")</f>
        <v>Transistor (or diode) Bracket 3</v>
      </c>
      <c r="F2365" t="s">
        <v>2754</v>
      </c>
    </row>
    <row r="2366" spans="1:6" x14ac:dyDescent="0.15">
      <c r="A2366">
        <v>8413219</v>
      </c>
      <c r="B2366">
        <v>8413079</v>
      </c>
      <c r="C2366" t="s">
        <v>8</v>
      </c>
      <c r="D2366" t="s">
        <v>8</v>
      </c>
      <c r="E2366" s="4" t="str">
        <f>HYPERLINK("https://ibp.a2mac1.com/costing(costing:projects/details/9760/assembly/8413219)","Housing Parts")</f>
        <v>Housing Parts</v>
      </c>
      <c r="F2366" t="s">
        <v>2753</v>
      </c>
    </row>
    <row r="2367" spans="1:6" x14ac:dyDescent="0.15">
      <c r="A2367">
        <v>8413341</v>
      </c>
      <c r="B2367">
        <v>8413219</v>
      </c>
      <c r="C2367" t="s">
        <v>10</v>
      </c>
      <c r="D2367" t="s">
        <v>8</v>
      </c>
      <c r="E2367" s="4" t="str">
        <f>HYPERLINK("https://ibp.a2mac1.com/costing(costing:projects/details/9760/part/8413341)","Main Housing")</f>
        <v>Main Housing</v>
      </c>
      <c r="F2367" t="s">
        <v>2757</v>
      </c>
    </row>
    <row r="2368" spans="1:6" x14ac:dyDescent="0.15">
      <c r="A2368">
        <v>12084092</v>
      </c>
      <c r="B2368">
        <v>8413341</v>
      </c>
      <c r="C2368" t="s">
        <v>114</v>
      </c>
      <c r="D2368" t="s">
        <v>10</v>
      </c>
      <c r="E2368" s="4" t="str">
        <f>HYPERLINK("https://ibp.a2mac1.com/costing(costing:projects/details/9760/process/12084092)","Process")</f>
        <v>Process</v>
      </c>
      <c r="F2368" t="s">
        <v>2758</v>
      </c>
    </row>
    <row r="2369" spans="1:6" x14ac:dyDescent="0.15">
      <c r="A2369">
        <v>8753010</v>
      </c>
      <c r="B2369">
        <v>12084092</v>
      </c>
      <c r="C2369" t="s">
        <v>22</v>
      </c>
      <c r="D2369" t="s">
        <v>114</v>
      </c>
      <c r="E2369" s="4" t="str">
        <f>HYPERLINK("https://ibp.a2mac1.com/costing(costing:projects/details/9760/material/8753010)","EN AC-46100 / EN AC-AlSi11Cu2(Fe) / AA46100 / ADC12 (Ingot)")</f>
        <v>EN AC-46100 / EN AC-AlSi11Cu2(Fe) / AA46100 / ADC12 (Ingot)</v>
      </c>
      <c r="F2369" t="s">
        <v>2761</v>
      </c>
    </row>
    <row r="2370" spans="1:6" x14ac:dyDescent="0.15">
      <c r="A2370">
        <v>12211174</v>
      </c>
      <c r="B2370">
        <v>12084092</v>
      </c>
      <c r="C2370" t="s">
        <v>163</v>
      </c>
      <c r="D2370" t="s">
        <v>114</v>
      </c>
      <c r="E2370" s="4" t="str">
        <f>HYPERLINK("https://ibp.a2mac1.com/costing(costing:projects/details/9760/equipment/12211174)","General production process (0.5-10€)")</f>
        <v>General production process (0.5-10€)</v>
      </c>
      <c r="F2370" t="s">
        <v>2761</v>
      </c>
    </row>
    <row r="2371" spans="1:6" x14ac:dyDescent="0.15">
      <c r="A2371">
        <v>8413342</v>
      </c>
      <c r="B2371">
        <v>8413219</v>
      </c>
      <c r="C2371" t="s">
        <v>10</v>
      </c>
      <c r="D2371" t="s">
        <v>8</v>
      </c>
      <c r="E2371" s="4" t="str">
        <f>HYPERLINK("https://ibp.a2mac1.com/costing(costing:projects/details/9760/part/8413342)","Top Lid")</f>
        <v>Top Lid</v>
      </c>
      <c r="F2371" t="s">
        <v>2757</v>
      </c>
    </row>
    <row r="2372" spans="1:6" x14ac:dyDescent="0.15">
      <c r="A2372">
        <v>8413220</v>
      </c>
      <c r="B2372">
        <v>8413079</v>
      </c>
      <c r="C2372" t="s">
        <v>8</v>
      </c>
      <c r="D2372" t="s">
        <v>8</v>
      </c>
      <c r="E2372" s="4" t="str">
        <f>HYPERLINK("https://ibp.a2mac1.com/costing(costing:projects/details/9760/assembly/8413220)","Insulation Sheets")</f>
        <v>Insulation Sheets</v>
      </c>
      <c r="F2372" t="s">
        <v>2753</v>
      </c>
    </row>
    <row r="2373" spans="1:6" x14ac:dyDescent="0.15">
      <c r="A2373">
        <v>8413343</v>
      </c>
      <c r="B2373">
        <v>8413220</v>
      </c>
      <c r="C2373" t="s">
        <v>10</v>
      </c>
      <c r="D2373" t="s">
        <v>8</v>
      </c>
      <c r="E2373" s="4" t="str">
        <f>HYPERLINK("https://ibp.a2mac1.com/costing(costing:projects/details/9760/part/8413343)","Insulation Sheet 1")</f>
        <v>Insulation Sheet 1</v>
      </c>
      <c r="F2373" t="s">
        <v>2764</v>
      </c>
    </row>
    <row r="2374" spans="1:6" x14ac:dyDescent="0.15">
      <c r="A2374">
        <v>8413344</v>
      </c>
      <c r="B2374">
        <v>8413220</v>
      </c>
      <c r="C2374" t="s">
        <v>10</v>
      </c>
      <c r="D2374" t="s">
        <v>8</v>
      </c>
      <c r="E2374" s="4" t="str">
        <f>HYPERLINK("https://ibp.a2mac1.com/costing(costing:projects/details/9760/part/8413344)","Insulation Sheet 2")</f>
        <v>Insulation Sheet 2</v>
      </c>
      <c r="F2374" t="s">
        <v>2764</v>
      </c>
    </row>
    <row r="2375" spans="1:6" x14ac:dyDescent="0.15">
      <c r="A2375">
        <v>8413345</v>
      </c>
      <c r="B2375">
        <v>8413220</v>
      </c>
      <c r="C2375" t="s">
        <v>10</v>
      </c>
      <c r="D2375" t="s">
        <v>8</v>
      </c>
      <c r="E2375" s="4" t="str">
        <f>HYPERLINK("https://ibp.a2mac1.com/costing(costing:projects/details/9760/part/8413345)","Insulation Sheet 3")</f>
        <v>Insulation Sheet 3</v>
      </c>
      <c r="F2375" t="s">
        <v>2764</v>
      </c>
    </row>
    <row r="2376" spans="1:6" x14ac:dyDescent="0.15">
      <c r="A2376">
        <v>8413346</v>
      </c>
      <c r="B2376">
        <v>8413220</v>
      </c>
      <c r="C2376" t="s">
        <v>10</v>
      </c>
      <c r="D2376" t="s">
        <v>8</v>
      </c>
      <c r="E2376" s="4" t="str">
        <f>HYPERLINK("https://ibp.a2mac1.com/costing(costing:projects/details/9760/part/8413346)","Insulation Sheet 4")</f>
        <v>Insulation Sheet 4</v>
      </c>
      <c r="F2376" t="s">
        <v>2764</v>
      </c>
    </row>
    <row r="2377" spans="1:6" x14ac:dyDescent="0.15">
      <c r="A2377">
        <v>8413347</v>
      </c>
      <c r="B2377">
        <v>8413220</v>
      </c>
      <c r="C2377" t="s">
        <v>10</v>
      </c>
      <c r="D2377" t="s">
        <v>8</v>
      </c>
      <c r="E2377" s="4" t="str">
        <f>HYPERLINK("https://ibp.a2mac1.com/costing(costing:projects/details/9760/part/8413347)","Insulation Sheet 5")</f>
        <v>Insulation Sheet 5</v>
      </c>
      <c r="F2377" t="s">
        <v>2764</v>
      </c>
    </row>
    <row r="2378" spans="1:6" x14ac:dyDescent="0.15">
      <c r="A2378">
        <v>8413348</v>
      </c>
      <c r="B2378">
        <v>8413220</v>
      </c>
      <c r="C2378" t="s">
        <v>10</v>
      </c>
      <c r="D2378" t="s">
        <v>8</v>
      </c>
      <c r="E2378" s="4" t="str">
        <f>HYPERLINK("https://ibp.a2mac1.com/costing(costing:projects/details/9760/part/8413348)","Insulation Sheet 6")</f>
        <v>Insulation Sheet 6</v>
      </c>
      <c r="F2378" t="s">
        <v>2764</v>
      </c>
    </row>
    <row r="2379" spans="1:6" x14ac:dyDescent="0.15">
      <c r="A2379">
        <v>8413349</v>
      </c>
      <c r="B2379">
        <v>8413220</v>
      </c>
      <c r="C2379" t="s">
        <v>10</v>
      </c>
      <c r="D2379" t="s">
        <v>8</v>
      </c>
      <c r="E2379" s="4" t="str">
        <f>HYPERLINK("https://ibp.a2mac1.com/costing(costing:projects/details/9760/part/8413349)","Insulation Sheet 7")</f>
        <v>Insulation Sheet 7</v>
      </c>
      <c r="F2379" t="s">
        <v>2764</v>
      </c>
    </row>
    <row r="2380" spans="1:6" x14ac:dyDescent="0.15">
      <c r="A2380">
        <v>8413350</v>
      </c>
      <c r="B2380">
        <v>8413220</v>
      </c>
      <c r="C2380" t="s">
        <v>10</v>
      </c>
      <c r="D2380" t="s">
        <v>8</v>
      </c>
      <c r="E2380" s="4" t="str">
        <f>HYPERLINK("https://ibp.a2mac1.com/costing(costing:projects/details/9760/part/8413350)","Insulation Sheet 8")</f>
        <v>Insulation Sheet 8</v>
      </c>
      <c r="F2380" t="s">
        <v>2764</v>
      </c>
    </row>
    <row r="2381" spans="1:6" x14ac:dyDescent="0.15">
      <c r="A2381">
        <v>8413351</v>
      </c>
      <c r="B2381">
        <v>8413220</v>
      </c>
      <c r="C2381" t="s">
        <v>10</v>
      </c>
      <c r="D2381" t="s">
        <v>8</v>
      </c>
      <c r="E2381" s="4" t="str">
        <f>HYPERLINK("https://ibp.a2mac1.com/costing(costing:projects/details/9760/part/8413351)","Insulation Sheet 9")</f>
        <v>Insulation Sheet 9</v>
      </c>
      <c r="F2381" t="s">
        <v>2764</v>
      </c>
    </row>
    <row r="2382" spans="1:6" x14ac:dyDescent="0.15">
      <c r="A2382">
        <v>8413352</v>
      </c>
      <c r="B2382">
        <v>8413220</v>
      </c>
      <c r="C2382" t="s">
        <v>10</v>
      </c>
      <c r="D2382" t="s">
        <v>8</v>
      </c>
      <c r="E2382" s="4" t="str">
        <f>HYPERLINK("https://ibp.a2mac1.com/costing(costing:projects/details/9760/part/8413352)","Insulation Sheet 10")</f>
        <v>Insulation Sheet 10</v>
      </c>
      <c r="F2382" t="s">
        <v>2764</v>
      </c>
    </row>
    <row r="2383" spans="1:6" x14ac:dyDescent="0.15">
      <c r="A2383">
        <v>8413353</v>
      </c>
      <c r="B2383">
        <v>8413220</v>
      </c>
      <c r="C2383" t="s">
        <v>10</v>
      </c>
      <c r="D2383" t="s">
        <v>8</v>
      </c>
      <c r="E2383" s="4" t="str">
        <f>HYPERLINK("https://ibp.a2mac1.com/costing(costing:projects/details/9760/part/8413353)","Insulation Sheet 11")</f>
        <v>Insulation Sheet 11</v>
      </c>
      <c r="F2383" t="s">
        <v>2764</v>
      </c>
    </row>
    <row r="2384" spans="1:6" x14ac:dyDescent="0.15">
      <c r="A2384">
        <v>8413354</v>
      </c>
      <c r="B2384">
        <v>8413220</v>
      </c>
      <c r="C2384" t="s">
        <v>10</v>
      </c>
      <c r="D2384" t="s">
        <v>8</v>
      </c>
      <c r="E2384" s="4" t="str">
        <f>HYPERLINK("https://ibp.a2mac1.com/costing(costing:projects/details/9760/part/8413354)","Insulation Sheet 12")</f>
        <v>Insulation Sheet 12</v>
      </c>
      <c r="F2384" t="s">
        <v>2764</v>
      </c>
    </row>
    <row r="2385" spans="1:6" x14ac:dyDescent="0.15">
      <c r="A2385">
        <v>8413355</v>
      </c>
      <c r="B2385">
        <v>8413220</v>
      </c>
      <c r="C2385" t="s">
        <v>10</v>
      </c>
      <c r="D2385" t="s">
        <v>8</v>
      </c>
      <c r="E2385" s="4" t="str">
        <f>HYPERLINK("https://ibp.a2mac1.com/costing(costing:projects/details/9760/part/8413355)","Insulation Sheet 13")</f>
        <v>Insulation Sheet 13</v>
      </c>
      <c r="F2385" t="s">
        <v>2764</v>
      </c>
    </row>
    <row r="2386" spans="1:6" x14ac:dyDescent="0.15">
      <c r="A2386">
        <v>8413221</v>
      </c>
      <c r="B2386">
        <v>8413079</v>
      </c>
      <c r="C2386" t="s">
        <v>8</v>
      </c>
      <c r="D2386" t="s">
        <v>8</v>
      </c>
      <c r="E2386" s="4" t="str">
        <f>HYPERLINK("https://ibp.a2mac1.com/costing(costing:projects/details/9760/assembly/8413221)","Shields")</f>
        <v>Shields</v>
      </c>
      <c r="F2386" t="s">
        <v>2753</v>
      </c>
    </row>
    <row r="2387" spans="1:6" x14ac:dyDescent="0.15">
      <c r="A2387">
        <v>8413356</v>
      </c>
      <c r="B2387">
        <v>8413221</v>
      </c>
      <c r="C2387" t="s">
        <v>10</v>
      </c>
      <c r="D2387" t="s">
        <v>8</v>
      </c>
      <c r="E2387" s="4" t="str">
        <f>HYPERLINK("https://ibp.a2mac1.com/costing(costing:projects/details/9760/part/8413356)","PCB Shield 1")</f>
        <v>PCB Shield 1</v>
      </c>
      <c r="F2387" t="s">
        <v>2765</v>
      </c>
    </row>
    <row r="2388" spans="1:6" x14ac:dyDescent="0.15">
      <c r="A2388">
        <v>8413222</v>
      </c>
      <c r="B2388">
        <v>8413079</v>
      </c>
      <c r="C2388" t="s">
        <v>8</v>
      </c>
      <c r="D2388" t="s">
        <v>8</v>
      </c>
      <c r="E2388" s="4" t="str">
        <f>HYPERLINK("https://ibp.a2mac1.com/costing(costing:projects/details/9760/assembly/8413222)","Thermal Paste / Gap Pad")</f>
        <v>Thermal Paste / Gap Pad</v>
      </c>
      <c r="F2388" t="s">
        <v>2753</v>
      </c>
    </row>
    <row r="2389" spans="1:6" x14ac:dyDescent="0.15">
      <c r="A2389">
        <v>8413357</v>
      </c>
      <c r="B2389">
        <v>8413222</v>
      </c>
      <c r="C2389" t="s">
        <v>10</v>
      </c>
      <c r="D2389" t="s">
        <v>8</v>
      </c>
      <c r="E2389" s="4" t="str">
        <f>HYPERLINK("https://ibp.a2mac1.com/costing(costing:projects/details/9760/part/8413357)","Thermal Paste / Gap Pad 1")</f>
        <v>Thermal Paste / Gap Pad 1</v>
      </c>
      <c r="F2389" t="s">
        <v>2766</v>
      </c>
    </row>
    <row r="2390" spans="1:6" x14ac:dyDescent="0.15">
      <c r="A2390">
        <v>8413358</v>
      </c>
      <c r="B2390">
        <v>8413222</v>
      </c>
      <c r="C2390" t="s">
        <v>10</v>
      </c>
      <c r="D2390" t="s">
        <v>8</v>
      </c>
      <c r="E2390" s="4" t="str">
        <f>HYPERLINK("https://ibp.a2mac1.com/costing(costing:projects/details/9760/part/8413358)","Thermal Paste / Gap Pad 2")</f>
        <v>Thermal Paste / Gap Pad 2</v>
      </c>
      <c r="F2390" t="s">
        <v>2766</v>
      </c>
    </row>
    <row r="2391" spans="1:6" x14ac:dyDescent="0.15">
      <c r="A2391">
        <v>8413359</v>
      </c>
      <c r="B2391">
        <v>8413222</v>
      </c>
      <c r="C2391" t="s">
        <v>10</v>
      </c>
      <c r="D2391" t="s">
        <v>8</v>
      </c>
      <c r="E2391" s="4" t="str">
        <f>HYPERLINK("https://ibp.a2mac1.com/costing(costing:projects/details/9760/part/8413359)","Thermal Paste / Gap Pad 3")</f>
        <v>Thermal Paste / Gap Pad 3</v>
      </c>
      <c r="F2391" t="s">
        <v>2766</v>
      </c>
    </row>
    <row r="2392" spans="1:6" x14ac:dyDescent="0.15">
      <c r="A2392">
        <v>8413360</v>
      </c>
      <c r="B2392">
        <v>8413222</v>
      </c>
      <c r="C2392" t="s">
        <v>10</v>
      </c>
      <c r="D2392" t="s">
        <v>8</v>
      </c>
      <c r="E2392" s="4" t="str">
        <f>HYPERLINK("https://ibp.a2mac1.com/costing(costing:projects/details/9760/part/8413360)","Thermal Paste / Gap Pad 4")</f>
        <v>Thermal Paste / Gap Pad 4</v>
      </c>
      <c r="F2392" t="s">
        <v>2766</v>
      </c>
    </row>
    <row r="2393" spans="1:6" x14ac:dyDescent="0.15">
      <c r="A2393">
        <v>8413223</v>
      </c>
      <c r="B2393">
        <v>8413079</v>
      </c>
      <c r="C2393" t="s">
        <v>8</v>
      </c>
      <c r="D2393" t="s">
        <v>8</v>
      </c>
      <c r="E2393" s="4" t="str">
        <f>HYPERLINK("https://ibp.a2mac1.com/costing(costing:projects/details/9760/assembly/8413223)","Foam Pads")</f>
        <v>Foam Pads</v>
      </c>
      <c r="F2393" t="s">
        <v>2753</v>
      </c>
    </row>
    <row r="2394" spans="1:6" x14ac:dyDescent="0.15">
      <c r="A2394">
        <v>8413361</v>
      </c>
      <c r="B2394">
        <v>8413223</v>
      </c>
      <c r="C2394" t="s">
        <v>10</v>
      </c>
      <c r="D2394" t="s">
        <v>8</v>
      </c>
      <c r="E2394" s="4" t="str">
        <f>HYPERLINK("https://ibp.a2mac1.com/costing(costing:projects/details/9760/part/8413361)","Foam Pad 1")</f>
        <v>Foam Pad 1</v>
      </c>
      <c r="F2394" t="s">
        <v>2767</v>
      </c>
    </row>
    <row r="2395" spans="1:6" x14ac:dyDescent="0.15">
      <c r="A2395">
        <v>8413224</v>
      </c>
      <c r="B2395">
        <v>8413079</v>
      </c>
      <c r="C2395" t="s">
        <v>8</v>
      </c>
      <c r="D2395" t="s">
        <v>8</v>
      </c>
      <c r="E2395" s="4" t="str">
        <f>HYPERLINK("https://ibp.a2mac1.com/costing(costing:projects/details/9760/assembly/8413224)","Spacers")</f>
        <v>Spacers</v>
      </c>
      <c r="F2395" t="s">
        <v>2753</v>
      </c>
    </row>
    <row r="2396" spans="1:6" x14ac:dyDescent="0.15">
      <c r="A2396">
        <v>8413362</v>
      </c>
      <c r="B2396">
        <v>8413224</v>
      </c>
      <c r="C2396" t="s">
        <v>10</v>
      </c>
      <c r="D2396" t="s">
        <v>8</v>
      </c>
      <c r="E2396" s="4" t="str">
        <f>HYPERLINK("https://ibp.a2mac1.com/costing(costing:projects/details/9760/part/8413362)","Spacer 1")</f>
        <v>Spacer 1</v>
      </c>
      <c r="F2396" t="s">
        <v>2768</v>
      </c>
    </row>
    <row r="2397" spans="1:6" x14ac:dyDescent="0.15">
      <c r="A2397">
        <v>8413363</v>
      </c>
      <c r="B2397">
        <v>8413224</v>
      </c>
      <c r="C2397" t="s">
        <v>10</v>
      </c>
      <c r="D2397" t="s">
        <v>8</v>
      </c>
      <c r="E2397" s="4" t="str">
        <f>HYPERLINK("https://ibp.a2mac1.com/costing(costing:projects/details/9760/part/8413363)","Spacer 2")</f>
        <v>Spacer 2</v>
      </c>
      <c r="F2397" t="s">
        <v>2768</v>
      </c>
    </row>
    <row r="2398" spans="1:6" x14ac:dyDescent="0.15">
      <c r="A2398">
        <v>8412992</v>
      </c>
      <c r="B2398">
        <v>8412887</v>
      </c>
      <c r="C2398" t="s">
        <v>8</v>
      </c>
      <c r="D2398" t="s">
        <v>8</v>
      </c>
      <c r="E2398" s="4" t="str">
        <f>HYPERLINK("https://ibp.a2mac1.com/costing(costing:projects/details/9760/assembly/8412992)","DC-DC Converter")</f>
        <v>DC-DC Converter</v>
      </c>
      <c r="F2398" t="s">
        <v>2743</v>
      </c>
    </row>
    <row r="2399" spans="1:6" x14ac:dyDescent="0.15">
      <c r="A2399">
        <v>8413080</v>
      </c>
      <c r="B2399">
        <v>8412992</v>
      </c>
      <c r="C2399" t="s">
        <v>8</v>
      </c>
      <c r="D2399" t="s">
        <v>8</v>
      </c>
      <c r="E2399" s="4" t="str">
        <f>HYPERLINK("https://ibp.a2mac1.com/costing(costing:projects/details/9760/assembly/8413080)","Connectors &amp; Wire Harnesses")</f>
        <v>Connectors &amp; Wire Harnesses</v>
      </c>
      <c r="F2399" t="s">
        <v>2769</v>
      </c>
    </row>
    <row r="2400" spans="1:6" x14ac:dyDescent="0.15">
      <c r="A2400">
        <v>8413225</v>
      </c>
      <c r="B2400">
        <v>8413080</v>
      </c>
      <c r="C2400" t="s">
        <v>8</v>
      </c>
      <c r="D2400" t="s">
        <v>8</v>
      </c>
      <c r="E2400" s="4" t="str">
        <f>HYPERLINK("https://ibp.a2mac1.com/costing(costing:projects/details/9760/assembly/8413225)","Busbars")</f>
        <v>Busbars</v>
      </c>
      <c r="F2400" t="s">
        <v>2770</v>
      </c>
    </row>
    <row r="2401" spans="1:6" x14ac:dyDescent="0.15">
      <c r="A2401">
        <v>8413364</v>
      </c>
      <c r="B2401">
        <v>8413225</v>
      </c>
      <c r="C2401" t="s">
        <v>10</v>
      </c>
      <c r="D2401" t="s">
        <v>8</v>
      </c>
      <c r="E2401" s="4" t="str">
        <f>HYPERLINK("https://ibp.a2mac1.com/costing(costing:projects/details/9760/part/8413364)","Busbar 1")</f>
        <v>Busbar 1</v>
      </c>
      <c r="F2401" t="s">
        <v>2771</v>
      </c>
    </row>
    <row r="2402" spans="1:6" x14ac:dyDescent="0.15">
      <c r="A2402">
        <v>8413226</v>
      </c>
      <c r="B2402">
        <v>8413080</v>
      </c>
      <c r="C2402" t="s">
        <v>8</v>
      </c>
      <c r="D2402" t="s">
        <v>8</v>
      </c>
      <c r="E2402" s="4" t="str">
        <f>HYPERLINK("https://ibp.a2mac1.com/costing(costing:projects/details/9760/assembly/8413226)","Connectors")</f>
        <v>Connectors</v>
      </c>
      <c r="F2402" t="s">
        <v>2770</v>
      </c>
    </row>
    <row r="2403" spans="1:6" x14ac:dyDescent="0.15">
      <c r="A2403">
        <v>8413365</v>
      </c>
      <c r="B2403">
        <v>8413226</v>
      </c>
      <c r="C2403" t="s">
        <v>8</v>
      </c>
      <c r="D2403" t="s">
        <v>8</v>
      </c>
      <c r="E2403" s="4" t="str">
        <f>HYPERLINK("https://ibp.a2mac1.com/costing(costing:projects/details/9760/assembly/8413365)","12V Power Connectors")</f>
        <v>12V Power Connectors</v>
      </c>
      <c r="F2403" t="s">
        <v>2773</v>
      </c>
    </row>
    <row r="2404" spans="1:6" x14ac:dyDescent="0.15">
      <c r="A2404">
        <v>8413532</v>
      </c>
      <c r="B2404">
        <v>8413365</v>
      </c>
      <c r="C2404" t="s">
        <v>10</v>
      </c>
      <c r="D2404" t="s">
        <v>8</v>
      </c>
      <c r="E2404" s="4" t="str">
        <f>HYPERLINK("https://ibp.a2mac1.com/costing(costing:projects/details/9760/part/8413532)","12V Power Connector 1")</f>
        <v>12V Power Connector 1</v>
      </c>
      <c r="F2404" t="s">
        <v>2774</v>
      </c>
    </row>
    <row r="2405" spans="1:6" x14ac:dyDescent="0.15">
      <c r="A2405">
        <v>8413081</v>
      </c>
      <c r="B2405">
        <v>8412992</v>
      </c>
      <c r="C2405" t="s">
        <v>8</v>
      </c>
      <c r="D2405" t="s">
        <v>8</v>
      </c>
      <c r="E2405" s="4" t="str">
        <f>HYPERLINK("https://ibp.a2mac1.com/costing(costing:projects/details/9760/assembly/8413081)","Electrical Parts")</f>
        <v>Electrical Parts</v>
      </c>
      <c r="F2405" t="s">
        <v>2769</v>
      </c>
    </row>
    <row r="2406" spans="1:6" x14ac:dyDescent="0.15">
      <c r="A2406">
        <v>8413227</v>
      </c>
      <c r="B2406">
        <v>8413081</v>
      </c>
      <c r="C2406" t="s">
        <v>8</v>
      </c>
      <c r="D2406" t="s">
        <v>8</v>
      </c>
      <c r="E2406" s="4" t="str">
        <f>HYPERLINK("https://ibp.a2mac1.com/costing(costing:projects/details/9760/assembly/8413227)","Ferrites &amp; Cores")</f>
        <v>Ferrites &amp; Cores</v>
      </c>
      <c r="F2406" t="s">
        <v>2775</v>
      </c>
    </row>
    <row r="2407" spans="1:6" x14ac:dyDescent="0.15">
      <c r="A2407">
        <v>8413366</v>
      </c>
      <c r="B2407">
        <v>8413227</v>
      </c>
      <c r="C2407" t="s">
        <v>10</v>
      </c>
      <c r="D2407" t="s">
        <v>8</v>
      </c>
      <c r="E2407" s="4" t="str">
        <f>HYPERLINK("https://ibp.a2mac1.com/costing(costing:projects/details/9760/part/8413366)","Ferrite 1")</f>
        <v>Ferrite 1</v>
      </c>
      <c r="F2407" t="s">
        <v>2776</v>
      </c>
    </row>
    <row r="2408" spans="1:6" x14ac:dyDescent="0.15">
      <c r="A2408">
        <v>8413082</v>
      </c>
      <c r="B2408">
        <v>8412992</v>
      </c>
      <c r="C2408" t="s">
        <v>8</v>
      </c>
      <c r="D2408" t="s">
        <v>8</v>
      </c>
      <c r="E2408" s="4" t="str">
        <f>HYPERLINK("https://ibp.a2mac1.com/costing(costing:projects/details/9760/assembly/8413082)","Electronic Parts")</f>
        <v>Electronic Parts</v>
      </c>
      <c r="F2408" t="s">
        <v>2769</v>
      </c>
    </row>
    <row r="2409" spans="1:6" x14ac:dyDescent="0.15">
      <c r="A2409">
        <v>8413228</v>
      </c>
      <c r="B2409">
        <v>8413082</v>
      </c>
      <c r="C2409" t="s">
        <v>10</v>
      </c>
      <c r="D2409" t="s">
        <v>8</v>
      </c>
      <c r="E2409" s="4" t="str">
        <f>HYPERLINK("https://ibp.a2mac1.com/costing(costing:projects/details/9760/part/8413228)","PCB 1")</f>
        <v>PCB 1</v>
      </c>
      <c r="F2409" t="s">
        <v>2777</v>
      </c>
    </row>
    <row r="2410" spans="1:6" x14ac:dyDescent="0.15">
      <c r="A2410">
        <v>12084049</v>
      </c>
      <c r="B2410">
        <v>8412887</v>
      </c>
      <c r="C2410" t="s">
        <v>114</v>
      </c>
      <c r="D2410" t="s">
        <v>8</v>
      </c>
      <c r="E2410" s="4" t="str">
        <f>HYPERLINK("https://ibp.a2mac1.com/costing(costing:projects/details/9760/process/12084049)","Final Assy")</f>
        <v>Final Assy</v>
      </c>
      <c r="F2410" t="s">
        <v>2743</v>
      </c>
    </row>
    <row r="2411" spans="1:6" x14ac:dyDescent="0.15">
      <c r="A2411">
        <v>12211137</v>
      </c>
      <c r="B2411">
        <v>12084049</v>
      </c>
      <c r="C2411" t="s">
        <v>163</v>
      </c>
      <c r="D2411" t="s">
        <v>114</v>
      </c>
      <c r="E2411" s="4" t="str">
        <f>HYPERLINK("https://ibp.a2mac1.com/costing(costing:projects/details/9760/equipment/12211137)","General production process (&gt;10€)")</f>
        <v>General production process (&gt;10€)</v>
      </c>
      <c r="F2411" t="s">
        <v>2778</v>
      </c>
    </row>
    <row r="2412" spans="1:6" x14ac:dyDescent="0.15">
      <c r="A2412">
        <v>8412888</v>
      </c>
      <c r="B2412">
        <v>8412866</v>
      </c>
      <c r="C2412" t="s">
        <v>8</v>
      </c>
      <c r="D2412" t="s">
        <v>8</v>
      </c>
      <c r="E2412" s="4" t="str">
        <f>HYPERLINK("https://ibp.a2mac1.com/costing(costing:projects/details/9760/assembly/8412888)","HV Battery Pack")</f>
        <v>HV Battery Pack</v>
      </c>
      <c r="F2412" t="s">
        <v>2735</v>
      </c>
    </row>
    <row r="2413" spans="1:6" x14ac:dyDescent="0.15">
      <c r="A2413">
        <v>8412993</v>
      </c>
      <c r="B2413">
        <v>8412888</v>
      </c>
      <c r="C2413" t="s">
        <v>8</v>
      </c>
      <c r="D2413" t="s">
        <v>8</v>
      </c>
      <c r="E2413" s="4" t="str">
        <f>HYPERLINK("https://ibp.a2mac1.com/costing(costing:projects/details/9760/assembly/8412993)","Battery Cells")</f>
        <v>Battery Cells</v>
      </c>
      <c r="F2413" t="s">
        <v>2779</v>
      </c>
    </row>
    <row r="2414" spans="1:6" x14ac:dyDescent="0.15">
      <c r="A2414">
        <v>8413083</v>
      </c>
      <c r="B2414">
        <v>8412993</v>
      </c>
      <c r="C2414" t="s">
        <v>10</v>
      </c>
      <c r="D2414" t="s">
        <v>8</v>
      </c>
      <c r="E2414" s="4" t="str">
        <f>HYPERLINK("https://ibp.a2mac1.com/costing(costing:projects/details/9760/part/8413083)","Cell")</f>
        <v>Cell</v>
      </c>
      <c r="F2414" t="s">
        <v>2780</v>
      </c>
    </row>
    <row r="2415" spans="1:6" x14ac:dyDescent="0.15">
      <c r="A2415">
        <v>8412994</v>
      </c>
      <c r="B2415">
        <v>8412888</v>
      </c>
      <c r="C2415" t="s">
        <v>8</v>
      </c>
      <c r="D2415" t="s">
        <v>8</v>
      </c>
      <c r="E2415" s="4" t="str">
        <f>HYPERLINK("https://ibp.a2mac1.com/costing(costing:projects/details/9760/assembly/8412994)","Battery pack excluding cells")</f>
        <v>Battery pack excluding cells</v>
      </c>
      <c r="F2415" t="s">
        <v>2779</v>
      </c>
    </row>
    <row r="2416" spans="1:6" x14ac:dyDescent="0.15">
      <c r="A2416">
        <v>8413084</v>
      </c>
      <c r="B2416">
        <v>8412994</v>
      </c>
      <c r="C2416" t="s">
        <v>8</v>
      </c>
      <c r="D2416" t="s">
        <v>8</v>
      </c>
      <c r="E2416" s="4" t="str">
        <f>HYPERLINK("https://ibp.a2mac1.com/costing(costing:projects/details/9760/assembly/8413084)","Sub-Pack #1")</f>
        <v>Sub-Pack #1</v>
      </c>
      <c r="F2416" t="s">
        <v>2787</v>
      </c>
    </row>
    <row r="2417" spans="1:6" x14ac:dyDescent="0.15">
      <c r="A2417">
        <v>8413229</v>
      </c>
      <c r="B2417">
        <v>8413084</v>
      </c>
      <c r="C2417" t="s">
        <v>8</v>
      </c>
      <c r="D2417" t="s">
        <v>8</v>
      </c>
      <c r="E2417" s="4" t="str">
        <f>HYPERLINK("https://ibp.a2mac1.com/costing(costing:projects/details/9760/assembly/8413229)","Cell Module, Large")</f>
        <v>Cell Module, Large</v>
      </c>
      <c r="F2417" t="s">
        <v>2788</v>
      </c>
    </row>
    <row r="2418" spans="1:6" x14ac:dyDescent="0.15">
      <c r="A2418">
        <v>8413367</v>
      </c>
      <c r="B2418">
        <v>8413229</v>
      </c>
      <c r="C2418" t="s">
        <v>10</v>
      </c>
      <c r="D2418" t="s">
        <v>8</v>
      </c>
      <c r="E2418" s="4" t="str">
        <f>HYPERLINK("https://ibp.a2mac1.com/costing(costing:projects/details/9760/part/8413367)","Cell to Cell Interconnect")</f>
        <v>Cell to Cell Interconnect</v>
      </c>
      <c r="F2418" t="s">
        <v>2789</v>
      </c>
    </row>
    <row r="2419" spans="1:6" x14ac:dyDescent="0.15">
      <c r="A2419">
        <v>8413368</v>
      </c>
      <c r="B2419">
        <v>8413229</v>
      </c>
      <c r="C2419" t="s">
        <v>10</v>
      </c>
      <c r="D2419" t="s">
        <v>8</v>
      </c>
      <c r="E2419" s="4" t="str">
        <f>HYPERLINK("https://ibp.a2mac1.com/costing(costing:projects/details/9760/part/8413368)","Second Cell to Cell Interconnect")</f>
        <v>Second Cell to Cell Interconnect</v>
      </c>
      <c r="F2419" t="s">
        <v>2789</v>
      </c>
    </row>
    <row r="2420" spans="1:6" x14ac:dyDescent="0.15">
      <c r="A2420">
        <v>8413369</v>
      </c>
      <c r="B2420">
        <v>8413229</v>
      </c>
      <c r="C2420" t="s">
        <v>10</v>
      </c>
      <c r="D2420" t="s">
        <v>8</v>
      </c>
      <c r="E2420" s="4" t="str">
        <f>HYPERLINK("https://ibp.a2mac1.com/costing(costing:projects/details/9760/part/8413369)","Cell Separator")</f>
        <v>Cell Separator</v>
      </c>
      <c r="F2420" t="s">
        <v>2789</v>
      </c>
    </row>
    <row r="2421" spans="1:6" x14ac:dyDescent="0.15">
      <c r="A2421">
        <v>8413370</v>
      </c>
      <c r="B2421">
        <v>8413229</v>
      </c>
      <c r="C2421" t="s">
        <v>10</v>
      </c>
      <c r="D2421" t="s">
        <v>8</v>
      </c>
      <c r="E2421" s="4" t="str">
        <f>HYPERLINK("https://ibp.a2mac1.com/costing(costing:projects/details/9760/part/8413370)","Cell Module Enclosure")</f>
        <v>Cell Module Enclosure</v>
      </c>
      <c r="F2421" t="s">
        <v>2789</v>
      </c>
    </row>
    <row r="2422" spans="1:6" x14ac:dyDescent="0.15">
      <c r="A2422">
        <v>8413371</v>
      </c>
      <c r="B2422">
        <v>8413229</v>
      </c>
      <c r="C2422" t="s">
        <v>10</v>
      </c>
      <c r="D2422" t="s">
        <v>8</v>
      </c>
      <c r="E2422" s="4" t="str">
        <f>HYPERLINK("https://ibp.a2mac1.com/costing(costing:projects/details/9760/part/8413371)","Terminal 1")</f>
        <v>Terminal 1</v>
      </c>
      <c r="F2422" t="s">
        <v>2789</v>
      </c>
    </row>
    <row r="2423" spans="1:6" x14ac:dyDescent="0.15">
      <c r="A2423">
        <v>8413372</v>
      </c>
      <c r="B2423">
        <v>8413229</v>
      </c>
      <c r="C2423" t="s">
        <v>10</v>
      </c>
      <c r="D2423" t="s">
        <v>8</v>
      </c>
      <c r="E2423" s="4" t="str">
        <f>HYPERLINK("https://ibp.a2mac1.com/costing(costing:projects/details/9760/part/8413372)","Terminal 1 Support")</f>
        <v>Terminal 1 Support</v>
      </c>
      <c r="F2423" t="s">
        <v>2789</v>
      </c>
    </row>
    <row r="2424" spans="1:6" x14ac:dyDescent="0.15">
      <c r="A2424">
        <v>8413373</v>
      </c>
      <c r="B2424">
        <v>8413229</v>
      </c>
      <c r="C2424" t="s">
        <v>10</v>
      </c>
      <c r="D2424" t="s">
        <v>8</v>
      </c>
      <c r="E2424" s="4" t="str">
        <f>HYPERLINK("https://ibp.a2mac1.com/costing(costing:projects/details/9760/part/8413373)","Terminal Protection")</f>
        <v>Terminal Protection</v>
      </c>
      <c r="F2424" t="s">
        <v>2789</v>
      </c>
    </row>
    <row r="2425" spans="1:6" x14ac:dyDescent="0.15">
      <c r="A2425">
        <v>8413374</v>
      </c>
      <c r="B2425">
        <v>8413229</v>
      </c>
      <c r="C2425" t="s">
        <v>10</v>
      </c>
      <c r="D2425" t="s">
        <v>8</v>
      </c>
      <c r="E2425" s="4" t="str">
        <f>HYPERLINK("https://ibp.a2mac1.com/costing(costing:projects/details/9760/part/8413374)","Support")</f>
        <v>Support</v>
      </c>
      <c r="F2425" t="s">
        <v>2789</v>
      </c>
    </row>
    <row r="2426" spans="1:6" x14ac:dyDescent="0.15">
      <c r="A2426">
        <v>8413375</v>
      </c>
      <c r="B2426">
        <v>8413229</v>
      </c>
      <c r="C2426" t="s">
        <v>10</v>
      </c>
      <c r="D2426" t="s">
        <v>8</v>
      </c>
      <c r="E2426" s="4" t="str">
        <f>HYPERLINK("https://ibp.a2mac1.com/costing(costing:projects/details/9760/part/8413375)","Insulation Sheet 1")</f>
        <v>Insulation Sheet 1</v>
      </c>
      <c r="F2426" t="s">
        <v>2789</v>
      </c>
    </row>
    <row r="2427" spans="1:6" x14ac:dyDescent="0.15">
      <c r="A2427">
        <v>8413376</v>
      </c>
      <c r="B2427">
        <v>8413229</v>
      </c>
      <c r="C2427" t="s">
        <v>10</v>
      </c>
      <c r="D2427" t="s">
        <v>8</v>
      </c>
      <c r="E2427" s="4" t="str">
        <f>HYPERLINK("https://ibp.a2mac1.com/costing(costing:projects/details/9760/part/8413376)","Bracket 1")</f>
        <v>Bracket 1</v>
      </c>
      <c r="F2427" t="s">
        <v>2789</v>
      </c>
    </row>
    <row r="2428" spans="1:6" x14ac:dyDescent="0.15">
      <c r="A2428">
        <v>8413377</v>
      </c>
      <c r="B2428">
        <v>8413229</v>
      </c>
      <c r="C2428" t="s">
        <v>10</v>
      </c>
      <c r="D2428" t="s">
        <v>8</v>
      </c>
      <c r="E2428" s="4" t="str">
        <f>HYPERLINK("https://ibp.a2mac1.com/costing(costing:projects/details/9760/part/8413377)","Bracket 2")</f>
        <v>Bracket 2</v>
      </c>
      <c r="F2428" t="s">
        <v>2789</v>
      </c>
    </row>
    <row r="2429" spans="1:6" x14ac:dyDescent="0.15">
      <c r="A2429">
        <v>8413378</v>
      </c>
      <c r="B2429">
        <v>8413229</v>
      </c>
      <c r="C2429" t="s">
        <v>10</v>
      </c>
      <c r="D2429" t="s">
        <v>8</v>
      </c>
      <c r="E2429" s="4" t="str">
        <f>HYPERLINK("https://ibp.a2mac1.com/costing(costing:projects/details/9760/part/8413378)","Flex PCB 1")</f>
        <v>Flex PCB 1</v>
      </c>
      <c r="F2429" t="s">
        <v>2789</v>
      </c>
    </row>
    <row r="2430" spans="1:6" x14ac:dyDescent="0.15">
      <c r="A2430">
        <v>8413379</v>
      </c>
      <c r="B2430">
        <v>8413229</v>
      </c>
      <c r="C2430" t="s">
        <v>10</v>
      </c>
      <c r="D2430" t="s">
        <v>8</v>
      </c>
      <c r="E2430" s="4" t="str">
        <f>HYPERLINK("https://ibp.a2mac1.com/costing(costing:projects/details/9760/part/8413379)","Flex PCB 2")</f>
        <v>Flex PCB 2</v>
      </c>
      <c r="F2430" t="s">
        <v>2789</v>
      </c>
    </row>
    <row r="2431" spans="1:6" x14ac:dyDescent="0.15">
      <c r="A2431">
        <v>8413085</v>
      </c>
      <c r="B2431">
        <v>8412994</v>
      </c>
      <c r="C2431" t="s">
        <v>8</v>
      </c>
      <c r="D2431" t="s">
        <v>8</v>
      </c>
      <c r="E2431" s="4" t="str">
        <f>HYPERLINK("https://ibp.a2mac1.com/costing(costing:projects/details/9760/assembly/8413085)","Structural Components")</f>
        <v>Structural Components</v>
      </c>
      <c r="F2431" t="s">
        <v>2787</v>
      </c>
    </row>
    <row r="2432" spans="1:6" x14ac:dyDescent="0.15">
      <c r="A2432">
        <v>8413230</v>
      </c>
      <c r="B2432">
        <v>8413085</v>
      </c>
      <c r="C2432" t="s">
        <v>8</v>
      </c>
      <c r="D2432" t="s">
        <v>8</v>
      </c>
      <c r="E2432" s="4" t="str">
        <f>HYPERLINK("https://ibp.a2mac1.com/costing(costing:projects/details/9760/assembly/8413230)","Enclosures")</f>
        <v>Enclosures</v>
      </c>
      <c r="F2432" t="s">
        <v>2813</v>
      </c>
    </row>
    <row r="2433" spans="1:6" x14ac:dyDescent="0.15">
      <c r="A2433">
        <v>8413380</v>
      </c>
      <c r="B2433">
        <v>8413230</v>
      </c>
      <c r="C2433" t="s">
        <v>8</v>
      </c>
      <c r="D2433" t="s">
        <v>8</v>
      </c>
      <c r="E2433" s="4" t="str">
        <f>HYPERLINK("https://ibp.a2mac1.com/costing(costing:projects/details/9760/assembly/8413380)","Enclosure Bottom")</f>
        <v>Enclosure Bottom</v>
      </c>
      <c r="F2433" t="s">
        <v>2814</v>
      </c>
    </row>
    <row r="2434" spans="1:6" x14ac:dyDescent="0.15">
      <c r="A2434">
        <v>8413533</v>
      </c>
      <c r="B2434">
        <v>8413380</v>
      </c>
      <c r="C2434" t="s">
        <v>8</v>
      </c>
      <c r="D2434" t="s">
        <v>8</v>
      </c>
      <c r="E2434" s="4" t="str">
        <f>HYPERLINK("https://ibp.a2mac1.com/costing(costing:projects/details/9760/assembly/8413533)","Internal Assy")</f>
        <v>Internal Assy</v>
      </c>
      <c r="F2434" t="s">
        <v>2815</v>
      </c>
    </row>
    <row r="2435" spans="1:6" x14ac:dyDescent="0.15">
      <c r="A2435">
        <v>8413581</v>
      </c>
      <c r="B2435">
        <v>8413533</v>
      </c>
      <c r="C2435" t="s">
        <v>8</v>
      </c>
      <c r="D2435" t="s">
        <v>8</v>
      </c>
      <c r="E2435" s="4" t="str">
        <f>HYPERLINK("https://ibp.a2mac1.com/costing(costing:projects/details/9760/assembly/8413581)","Cross Members")</f>
        <v>Cross Members</v>
      </c>
      <c r="F2435" t="s">
        <v>2816</v>
      </c>
    </row>
    <row r="2436" spans="1:6" x14ac:dyDescent="0.15">
      <c r="A2436">
        <v>8413617</v>
      </c>
      <c r="B2436">
        <v>8413581</v>
      </c>
      <c r="C2436" t="s">
        <v>8</v>
      </c>
      <c r="D2436" t="s">
        <v>8</v>
      </c>
      <c r="E2436" s="4" t="str">
        <f>HYPERLINK("https://ibp.a2mac1.com/costing(costing:projects/details/9760/assembly/8413617)","Cross Member Assy 01")</f>
        <v>Cross Member Assy 01</v>
      </c>
      <c r="F2436" t="s">
        <v>2817</v>
      </c>
    </row>
    <row r="2437" spans="1:6" x14ac:dyDescent="0.15">
      <c r="A2437">
        <v>8413641</v>
      </c>
      <c r="B2437">
        <v>8413617</v>
      </c>
      <c r="C2437" t="s">
        <v>10</v>
      </c>
      <c r="D2437" t="s">
        <v>8</v>
      </c>
      <c r="E2437" s="4" t="str">
        <f>HYPERLINK("https://ibp.a2mac1.com/costing(costing:projects/details/9760/part/8413641)","Cross Member 01")</f>
        <v>Cross Member 01</v>
      </c>
      <c r="F2437" t="s">
        <v>2818</v>
      </c>
    </row>
    <row r="2438" spans="1:6" x14ac:dyDescent="0.15">
      <c r="A2438">
        <v>12084106</v>
      </c>
      <c r="B2438">
        <v>8413641</v>
      </c>
      <c r="C2438" t="s">
        <v>114</v>
      </c>
      <c r="D2438" t="s">
        <v>10</v>
      </c>
      <c r="E2438" s="4" t="str">
        <f>HYPERLINK("https://ibp.a2mac1.com/costing(costing:projects/details/9760/process/12084106)","Process")</f>
        <v>Process</v>
      </c>
      <c r="F2438" t="s">
        <v>2819</v>
      </c>
    </row>
    <row r="2439" spans="1:6" x14ac:dyDescent="0.15">
      <c r="A2439">
        <v>8753023</v>
      </c>
      <c r="B2439">
        <v>12084106</v>
      </c>
      <c r="C2439" t="s">
        <v>22</v>
      </c>
      <c r="D2439" t="s">
        <v>114</v>
      </c>
      <c r="E2439" s="4" t="str">
        <f>HYPERLINK("https://ibp.a2mac1.com/costing(costing:projects/details/9760/material/8753023)","Aluminum sheet (default, e.g. EN AW1050A)")</f>
        <v>Aluminum sheet (default, e.g. EN AW1050A)</v>
      </c>
      <c r="F2439" t="s">
        <v>2822</v>
      </c>
    </row>
    <row r="2440" spans="1:6" x14ac:dyDescent="0.15">
      <c r="A2440">
        <v>12211186</v>
      </c>
      <c r="B2440">
        <v>12084106</v>
      </c>
      <c r="C2440" t="s">
        <v>163</v>
      </c>
      <c r="D2440" t="s">
        <v>114</v>
      </c>
      <c r="E2440" s="4" t="str">
        <f>HYPERLINK("https://ibp.a2mac1.com/costing(costing:projects/details/9760/equipment/12211186)","General production process (&gt;10€)")</f>
        <v>General production process (&gt;10€)</v>
      </c>
      <c r="F2440" t="s">
        <v>2822</v>
      </c>
    </row>
    <row r="2441" spans="1:6" x14ac:dyDescent="0.15">
      <c r="A2441">
        <v>8413642</v>
      </c>
      <c r="B2441">
        <v>8413617</v>
      </c>
      <c r="C2441" t="s">
        <v>10</v>
      </c>
      <c r="D2441" t="s">
        <v>8</v>
      </c>
      <c r="E2441" s="4" t="str">
        <f>HYPERLINK("https://ibp.a2mac1.com/costing(costing:projects/details/9760/part/8413642)","Bracket 01")</f>
        <v>Bracket 01</v>
      </c>
      <c r="F2441" t="s">
        <v>2818</v>
      </c>
    </row>
    <row r="2442" spans="1:6" x14ac:dyDescent="0.15">
      <c r="A2442">
        <v>8413582</v>
      </c>
      <c r="B2442">
        <v>8413533</v>
      </c>
      <c r="C2442" t="s">
        <v>8</v>
      </c>
      <c r="D2442" t="s">
        <v>8</v>
      </c>
      <c r="E2442" s="4" t="str">
        <f>HYPERLINK("https://ibp.a2mac1.com/costing(costing:projects/details/9760/assembly/8413582)","Longitudinal Members")</f>
        <v>Longitudinal Members</v>
      </c>
      <c r="F2442" t="s">
        <v>2816</v>
      </c>
    </row>
    <row r="2443" spans="1:6" x14ac:dyDescent="0.15">
      <c r="A2443">
        <v>8413618</v>
      </c>
      <c r="B2443">
        <v>8413582</v>
      </c>
      <c r="C2443" t="s">
        <v>8</v>
      </c>
      <c r="D2443" t="s">
        <v>8</v>
      </c>
      <c r="E2443" s="4" t="str">
        <f>HYPERLINK("https://ibp.a2mac1.com/costing(costing:projects/details/9760/assembly/8413618)","Longitudinal Assy 01")</f>
        <v>Longitudinal Assy 01</v>
      </c>
      <c r="F2443" t="s">
        <v>2830</v>
      </c>
    </row>
    <row r="2444" spans="1:6" x14ac:dyDescent="0.15">
      <c r="A2444">
        <v>8413643</v>
      </c>
      <c r="B2444">
        <v>8413618</v>
      </c>
      <c r="C2444" t="s">
        <v>10</v>
      </c>
      <c r="D2444" t="s">
        <v>8</v>
      </c>
      <c r="E2444" s="4" t="str">
        <f>HYPERLINK("https://ibp.a2mac1.com/costing(costing:projects/details/9760/part/8413643)","Longitudinal Member 01")</f>
        <v>Longitudinal Member 01</v>
      </c>
      <c r="F2444" t="s">
        <v>2831</v>
      </c>
    </row>
    <row r="2445" spans="1:6" x14ac:dyDescent="0.15">
      <c r="A2445">
        <v>8413619</v>
      </c>
      <c r="B2445">
        <v>8413582</v>
      </c>
      <c r="C2445" t="s">
        <v>8</v>
      </c>
      <c r="D2445" t="s">
        <v>8</v>
      </c>
      <c r="E2445" s="4" t="str">
        <f>HYPERLINK("https://ibp.a2mac1.com/costing(costing:projects/details/9760/assembly/8413619)","Longitudinal Assy 02")</f>
        <v>Longitudinal Assy 02</v>
      </c>
      <c r="F2445" t="s">
        <v>2830</v>
      </c>
    </row>
    <row r="2446" spans="1:6" x14ac:dyDescent="0.15">
      <c r="A2446">
        <v>8413644</v>
      </c>
      <c r="B2446">
        <v>8413619</v>
      </c>
      <c r="C2446" t="s">
        <v>10</v>
      </c>
      <c r="D2446" t="s">
        <v>8</v>
      </c>
      <c r="E2446" s="4" t="str">
        <f>HYPERLINK("https://ibp.a2mac1.com/costing(costing:projects/details/9760/part/8413644)","Longitudinal Member 02")</f>
        <v>Longitudinal Member 02</v>
      </c>
      <c r="F2446" t="s">
        <v>2834</v>
      </c>
    </row>
    <row r="2447" spans="1:6" x14ac:dyDescent="0.15">
      <c r="A2447">
        <v>8413534</v>
      </c>
      <c r="B2447">
        <v>8413380</v>
      </c>
      <c r="C2447" t="s">
        <v>8</v>
      </c>
      <c r="D2447" t="s">
        <v>8</v>
      </c>
      <c r="E2447" s="4" t="str">
        <f>HYPERLINK("https://ibp.a2mac1.com/costing(costing:projects/details/9760/assembly/8413534)","Outer Structure")</f>
        <v>Outer Structure</v>
      </c>
      <c r="F2447" t="s">
        <v>2815</v>
      </c>
    </row>
    <row r="2448" spans="1:6" x14ac:dyDescent="0.15">
      <c r="A2448">
        <v>8413583</v>
      </c>
      <c r="B2448">
        <v>8413534</v>
      </c>
      <c r="C2448" t="s">
        <v>8</v>
      </c>
      <c r="D2448" t="s">
        <v>8</v>
      </c>
      <c r="E2448" s="4" t="str">
        <f>HYPERLINK("https://ibp.a2mac1.com/costing(costing:projects/details/9760/assembly/8413583)","Outer Front Assy")</f>
        <v>Outer Front Assy</v>
      </c>
      <c r="F2448" t="s">
        <v>2839</v>
      </c>
    </row>
    <row r="2449" spans="1:6" x14ac:dyDescent="0.15">
      <c r="A2449">
        <v>8413620</v>
      </c>
      <c r="B2449">
        <v>8413583</v>
      </c>
      <c r="C2449" t="s">
        <v>10</v>
      </c>
      <c r="D2449" t="s">
        <v>8</v>
      </c>
      <c r="E2449" s="4" t="str">
        <f>HYPERLINK("https://ibp.a2mac1.com/costing(costing:projects/details/9760/part/8413620)","Outer Front Member 01")</f>
        <v>Outer Front Member 01</v>
      </c>
      <c r="F2449" t="s">
        <v>2840</v>
      </c>
    </row>
    <row r="2450" spans="1:6" x14ac:dyDescent="0.15">
      <c r="A2450">
        <v>12084102</v>
      </c>
      <c r="B2450">
        <v>8413620</v>
      </c>
      <c r="C2450" t="s">
        <v>114</v>
      </c>
      <c r="D2450" t="s">
        <v>10</v>
      </c>
      <c r="E2450" s="4" t="str">
        <f>HYPERLINK("https://ibp.a2mac1.com/costing(costing:projects/details/9760/process/12084102)","Processs")</f>
        <v>Processs</v>
      </c>
      <c r="F2450" t="s">
        <v>2841</v>
      </c>
    </row>
    <row r="2451" spans="1:6" x14ac:dyDescent="0.15">
      <c r="A2451">
        <v>8753019</v>
      </c>
      <c r="B2451">
        <v>12084102</v>
      </c>
      <c r="C2451" t="s">
        <v>22</v>
      </c>
      <c r="D2451" t="s">
        <v>114</v>
      </c>
      <c r="E2451" s="4" t="str">
        <f>HYPERLINK("https://ibp.a2mac1.com/costing(costing:projects/details/9760/material/8753019)","Aluminum sheet (default, e.g. EN AW1050A)")</f>
        <v>Aluminum sheet (default, e.g. EN AW1050A)</v>
      </c>
      <c r="F2451" t="s">
        <v>2844</v>
      </c>
    </row>
    <row r="2452" spans="1:6" x14ac:dyDescent="0.15">
      <c r="A2452">
        <v>12211182</v>
      </c>
      <c r="B2452">
        <v>12084102</v>
      </c>
      <c r="C2452" t="s">
        <v>163</v>
      </c>
      <c r="D2452" t="s">
        <v>114</v>
      </c>
      <c r="E2452" s="4" t="str">
        <f>HYPERLINK("https://ibp.a2mac1.com/costing(costing:projects/details/9760/equipment/12211182)","General production process (&gt;10€)")</f>
        <v>General production process (&gt;10€)</v>
      </c>
      <c r="F2452" t="s">
        <v>2844</v>
      </c>
    </row>
    <row r="2453" spans="1:6" x14ac:dyDescent="0.15">
      <c r="A2453">
        <v>8413621</v>
      </c>
      <c r="B2453">
        <v>8413583</v>
      </c>
      <c r="C2453" t="s">
        <v>10</v>
      </c>
      <c r="D2453" t="s">
        <v>8</v>
      </c>
      <c r="E2453" s="4" t="str">
        <f>HYPERLINK("https://ibp.a2mac1.com/costing(costing:projects/details/9760/part/8413621)","Member 01 Fixing 01")</f>
        <v>Member 01 Fixing 01</v>
      </c>
      <c r="F2453" t="s">
        <v>2840</v>
      </c>
    </row>
    <row r="2454" spans="1:6" x14ac:dyDescent="0.15">
      <c r="A2454">
        <v>8413622</v>
      </c>
      <c r="B2454">
        <v>8413583</v>
      </c>
      <c r="C2454" t="s">
        <v>10</v>
      </c>
      <c r="D2454" t="s">
        <v>8</v>
      </c>
      <c r="E2454" s="4" t="str">
        <f>HYPERLINK("https://ibp.a2mac1.com/costing(costing:projects/details/9760/part/8413622)","Member 01 Fixing 02")</f>
        <v>Member 01 Fixing 02</v>
      </c>
      <c r="F2454" t="s">
        <v>2840</v>
      </c>
    </row>
    <row r="2455" spans="1:6" x14ac:dyDescent="0.15">
      <c r="A2455">
        <v>8413623</v>
      </c>
      <c r="B2455">
        <v>8413583</v>
      </c>
      <c r="C2455" t="s">
        <v>10</v>
      </c>
      <c r="D2455" t="s">
        <v>8</v>
      </c>
      <c r="E2455" s="4" t="str">
        <f>HYPERLINK("https://ibp.a2mac1.com/costing(costing:projects/details/9760/part/8413623)","Member 01 Closure 01")</f>
        <v>Member 01 Closure 01</v>
      </c>
      <c r="F2455" t="s">
        <v>2840</v>
      </c>
    </row>
    <row r="2456" spans="1:6" x14ac:dyDescent="0.15">
      <c r="A2456">
        <v>8413624</v>
      </c>
      <c r="B2456">
        <v>8413583</v>
      </c>
      <c r="C2456" t="s">
        <v>10</v>
      </c>
      <c r="D2456" t="s">
        <v>8</v>
      </c>
      <c r="E2456" s="4" t="str">
        <f>HYPERLINK("https://ibp.a2mac1.com/costing(costing:projects/details/9760/part/8413624)","Member 01 Closure 02")</f>
        <v>Member 01 Closure 02</v>
      </c>
      <c r="F2456" t="s">
        <v>2840</v>
      </c>
    </row>
    <row r="2457" spans="1:6" x14ac:dyDescent="0.15">
      <c r="A2457">
        <v>8413625</v>
      </c>
      <c r="B2457">
        <v>8413583</v>
      </c>
      <c r="C2457" t="s">
        <v>10</v>
      </c>
      <c r="D2457" t="s">
        <v>8</v>
      </c>
      <c r="E2457" s="4" t="str">
        <f>HYPERLINK("https://ibp.a2mac1.com/costing(costing:projects/details/9760/part/8413625)","Member 01 Closure 03")</f>
        <v>Member 01 Closure 03</v>
      </c>
      <c r="F2457" t="s">
        <v>2840</v>
      </c>
    </row>
    <row r="2458" spans="1:6" x14ac:dyDescent="0.15">
      <c r="A2458">
        <v>8413626</v>
      </c>
      <c r="B2458">
        <v>8413583</v>
      </c>
      <c r="C2458" t="s">
        <v>10</v>
      </c>
      <c r="D2458" t="s">
        <v>8</v>
      </c>
      <c r="E2458" s="4" t="str">
        <f>HYPERLINK("https://ibp.a2mac1.com/costing(costing:projects/details/9760/part/8413626)","Spacer 01")</f>
        <v>Spacer 01</v>
      </c>
      <c r="F2458" t="s">
        <v>2840</v>
      </c>
    </row>
    <row r="2459" spans="1:6" x14ac:dyDescent="0.15">
      <c r="A2459">
        <v>8413627</v>
      </c>
      <c r="B2459">
        <v>8413583</v>
      </c>
      <c r="C2459" t="s">
        <v>10</v>
      </c>
      <c r="D2459" t="s">
        <v>8</v>
      </c>
      <c r="E2459" s="4" t="str">
        <f>HYPERLINK("https://ibp.a2mac1.com/costing(costing:projects/details/9760/part/8413627)","Spacer 02")</f>
        <v>Spacer 02</v>
      </c>
      <c r="F2459" t="s">
        <v>2840</v>
      </c>
    </row>
    <row r="2460" spans="1:6" x14ac:dyDescent="0.15">
      <c r="A2460">
        <v>8413584</v>
      </c>
      <c r="B2460">
        <v>8413534</v>
      </c>
      <c r="C2460" t="s">
        <v>8</v>
      </c>
      <c r="D2460" t="s">
        <v>8</v>
      </c>
      <c r="E2460" s="4" t="str">
        <f>HYPERLINK("https://ibp.a2mac1.com/costing(costing:projects/details/9760/assembly/8413584)","Outer Side Member Assy")</f>
        <v>Outer Side Member Assy</v>
      </c>
      <c r="F2460" t="s">
        <v>2839</v>
      </c>
    </row>
    <row r="2461" spans="1:6" x14ac:dyDescent="0.15">
      <c r="A2461">
        <v>8413628</v>
      </c>
      <c r="B2461">
        <v>8413584</v>
      </c>
      <c r="C2461" t="s">
        <v>10</v>
      </c>
      <c r="D2461" t="s">
        <v>8</v>
      </c>
      <c r="E2461" s="4" t="str">
        <f>HYPERLINK("https://ibp.a2mac1.com/costing(costing:projects/details/9760/part/8413628)","Outer Side Member 01")</f>
        <v>Outer Side Member 01</v>
      </c>
      <c r="F2461" t="s">
        <v>2855</v>
      </c>
    </row>
    <row r="2462" spans="1:6" x14ac:dyDescent="0.15">
      <c r="A2462">
        <v>12084103</v>
      </c>
      <c r="B2462">
        <v>8413628</v>
      </c>
      <c r="C2462" t="s">
        <v>114</v>
      </c>
      <c r="D2462" t="s">
        <v>10</v>
      </c>
      <c r="E2462" s="4" t="str">
        <f>HYPERLINK("https://ibp.a2mac1.com/costing(costing:projects/details/9760/process/12084103)","Process")</f>
        <v>Process</v>
      </c>
      <c r="F2462" t="s">
        <v>2856</v>
      </c>
    </row>
    <row r="2463" spans="1:6" x14ac:dyDescent="0.15">
      <c r="A2463">
        <v>8753020</v>
      </c>
      <c r="B2463">
        <v>12084103</v>
      </c>
      <c r="C2463" t="s">
        <v>22</v>
      </c>
      <c r="D2463" t="s">
        <v>114</v>
      </c>
      <c r="E2463" s="4" t="str">
        <f>HYPERLINK("https://ibp.a2mac1.com/costing(costing:projects/details/9760/material/8753020)","Aluminum sheet (default, e.g. EN AW1050A)")</f>
        <v>Aluminum sheet (default, e.g. EN AW1050A)</v>
      </c>
      <c r="F2463" t="s">
        <v>2859</v>
      </c>
    </row>
    <row r="2464" spans="1:6" x14ac:dyDescent="0.15">
      <c r="A2464">
        <v>12211183</v>
      </c>
      <c r="B2464">
        <v>12084103</v>
      </c>
      <c r="C2464" t="s">
        <v>163</v>
      </c>
      <c r="D2464" t="s">
        <v>114</v>
      </c>
      <c r="E2464" s="4" t="str">
        <f>HYPERLINK("https://ibp.a2mac1.com/costing(costing:projects/details/9760/equipment/12211183)","General production process (&gt;10€)")</f>
        <v>General production process (&gt;10€)</v>
      </c>
      <c r="F2464" t="s">
        <v>2859</v>
      </c>
    </row>
    <row r="2465" spans="1:6" x14ac:dyDescent="0.15">
      <c r="A2465">
        <v>8413629</v>
      </c>
      <c r="B2465">
        <v>8413584</v>
      </c>
      <c r="C2465" t="s">
        <v>10</v>
      </c>
      <c r="D2465" t="s">
        <v>8</v>
      </c>
      <c r="E2465" s="4" t="str">
        <f>HYPERLINK("https://ibp.a2mac1.com/costing(costing:projects/details/9760/part/8413629)","Member 01 Fixing 01")</f>
        <v>Member 01 Fixing 01</v>
      </c>
      <c r="F2465" t="s">
        <v>2855</v>
      </c>
    </row>
    <row r="2466" spans="1:6" x14ac:dyDescent="0.15">
      <c r="A2466">
        <v>8413630</v>
      </c>
      <c r="B2466">
        <v>8413584</v>
      </c>
      <c r="C2466" t="s">
        <v>10</v>
      </c>
      <c r="D2466" t="s">
        <v>8</v>
      </c>
      <c r="E2466" s="4" t="str">
        <f>HYPERLINK("https://ibp.a2mac1.com/costing(costing:projects/details/9760/part/8413630)","Member 01 Fixing 02")</f>
        <v>Member 01 Fixing 02</v>
      </c>
      <c r="F2466" t="s">
        <v>2855</v>
      </c>
    </row>
    <row r="2467" spans="1:6" x14ac:dyDescent="0.15">
      <c r="A2467">
        <v>8413631</v>
      </c>
      <c r="B2467">
        <v>8413584</v>
      </c>
      <c r="C2467" t="s">
        <v>10</v>
      </c>
      <c r="D2467" t="s">
        <v>8</v>
      </c>
      <c r="E2467" s="4" t="str">
        <f>HYPERLINK("https://ibp.a2mac1.com/costing(costing:projects/details/9760/part/8413631)","Outer Side Member 02")</f>
        <v>Outer Side Member 02</v>
      </c>
      <c r="F2467" t="s">
        <v>2855</v>
      </c>
    </row>
    <row r="2468" spans="1:6" x14ac:dyDescent="0.15">
      <c r="A2468">
        <v>12084104</v>
      </c>
      <c r="B2468">
        <v>8413631</v>
      </c>
      <c r="C2468" t="s">
        <v>114</v>
      </c>
      <c r="D2468" t="s">
        <v>10</v>
      </c>
      <c r="E2468" s="4" t="str">
        <f>HYPERLINK("https://ibp.a2mac1.com/costing(costing:projects/details/9760/process/12084104)","Process")</f>
        <v>Process</v>
      </c>
      <c r="F2468" t="s">
        <v>2863</v>
      </c>
    </row>
    <row r="2469" spans="1:6" x14ac:dyDescent="0.15">
      <c r="A2469">
        <v>8753021</v>
      </c>
      <c r="B2469">
        <v>12084104</v>
      </c>
      <c r="C2469" t="s">
        <v>22</v>
      </c>
      <c r="D2469" t="s">
        <v>114</v>
      </c>
      <c r="E2469" s="4" t="str">
        <f>HYPERLINK("https://ibp.a2mac1.com/costing(costing:projects/details/9760/material/8753021)","Aluminum sheet (default, e.g. EN AW1050A)")</f>
        <v>Aluminum sheet (default, e.g. EN AW1050A)</v>
      </c>
      <c r="F2469" t="s">
        <v>2866</v>
      </c>
    </row>
    <row r="2470" spans="1:6" x14ac:dyDescent="0.15">
      <c r="A2470">
        <v>12211184</v>
      </c>
      <c r="B2470">
        <v>12084104</v>
      </c>
      <c r="C2470" t="s">
        <v>163</v>
      </c>
      <c r="D2470" t="s">
        <v>114</v>
      </c>
      <c r="E2470" s="4" t="str">
        <f>HYPERLINK("https://ibp.a2mac1.com/costing(costing:projects/details/9760/equipment/12211184)","General production process (&gt;10€)")</f>
        <v>General production process (&gt;10€)</v>
      </c>
      <c r="F2470" t="s">
        <v>2866</v>
      </c>
    </row>
    <row r="2471" spans="1:6" x14ac:dyDescent="0.15">
      <c r="A2471">
        <v>8413585</v>
      </c>
      <c r="B2471">
        <v>8413534</v>
      </c>
      <c r="C2471" t="s">
        <v>8</v>
      </c>
      <c r="D2471" t="s">
        <v>8</v>
      </c>
      <c r="E2471" s="4" t="str">
        <f>HYPERLINK("https://ibp.a2mac1.com/costing(costing:projects/details/9760/assembly/8413585)","Outer Rear Assy")</f>
        <v>Outer Rear Assy</v>
      </c>
      <c r="F2471" t="s">
        <v>2839</v>
      </c>
    </row>
    <row r="2472" spans="1:6" x14ac:dyDescent="0.15">
      <c r="A2472">
        <v>8413632</v>
      </c>
      <c r="B2472">
        <v>8413585</v>
      </c>
      <c r="C2472" t="s">
        <v>10</v>
      </c>
      <c r="D2472" t="s">
        <v>8</v>
      </c>
      <c r="E2472" s="4" t="str">
        <f>HYPERLINK("https://ibp.a2mac1.com/costing(costing:projects/details/9760/part/8413632)","Outer Rear Member 01")</f>
        <v>Outer Rear Member 01</v>
      </c>
      <c r="F2472" t="s">
        <v>2869</v>
      </c>
    </row>
    <row r="2473" spans="1:6" x14ac:dyDescent="0.15">
      <c r="A2473">
        <v>12084105</v>
      </c>
      <c r="B2473">
        <v>8413632</v>
      </c>
      <c r="C2473" t="s">
        <v>114</v>
      </c>
      <c r="D2473" t="s">
        <v>10</v>
      </c>
      <c r="E2473" s="4" t="str">
        <f>HYPERLINK("https://ibp.a2mac1.com/costing(costing:projects/details/9760/process/12084105)","Process")</f>
        <v>Process</v>
      </c>
      <c r="F2473" t="s">
        <v>2870</v>
      </c>
    </row>
    <row r="2474" spans="1:6" x14ac:dyDescent="0.15">
      <c r="A2474">
        <v>8753022</v>
      </c>
      <c r="B2474">
        <v>12084105</v>
      </c>
      <c r="C2474" t="s">
        <v>22</v>
      </c>
      <c r="D2474" t="s">
        <v>114</v>
      </c>
      <c r="E2474" s="4" t="str">
        <f>HYPERLINK("https://ibp.a2mac1.com/costing(costing:projects/details/9760/material/8753022)","Aluminum sheet (default, e.g. EN AW1050A)")</f>
        <v>Aluminum sheet (default, e.g. EN AW1050A)</v>
      </c>
      <c r="F2474" t="s">
        <v>2873</v>
      </c>
    </row>
    <row r="2475" spans="1:6" x14ac:dyDescent="0.15">
      <c r="A2475">
        <v>12211185</v>
      </c>
      <c r="B2475">
        <v>12084105</v>
      </c>
      <c r="C2475" t="s">
        <v>163</v>
      </c>
      <c r="D2475" t="s">
        <v>114</v>
      </c>
      <c r="E2475" s="4" t="str">
        <f>HYPERLINK("https://ibp.a2mac1.com/costing(costing:projects/details/9760/equipment/12211185)","General production process (&gt;10€)")</f>
        <v>General production process (&gt;10€)</v>
      </c>
      <c r="F2475" t="s">
        <v>2873</v>
      </c>
    </row>
    <row r="2476" spans="1:6" x14ac:dyDescent="0.15">
      <c r="A2476">
        <v>8413633</v>
      </c>
      <c r="B2476">
        <v>8413585</v>
      </c>
      <c r="C2476" t="s">
        <v>10</v>
      </c>
      <c r="D2476" t="s">
        <v>8</v>
      </c>
      <c r="E2476" s="4" t="str">
        <f>HYPERLINK("https://ibp.a2mac1.com/costing(costing:projects/details/9760/part/8413633)","Member 01 Fixing 01")</f>
        <v>Member 01 Fixing 01</v>
      </c>
      <c r="F2476" t="s">
        <v>2869</v>
      </c>
    </row>
    <row r="2477" spans="1:6" x14ac:dyDescent="0.15">
      <c r="A2477">
        <v>8413634</v>
      </c>
      <c r="B2477">
        <v>8413585</v>
      </c>
      <c r="C2477" t="s">
        <v>10</v>
      </c>
      <c r="D2477" t="s">
        <v>8</v>
      </c>
      <c r="E2477" s="4" t="str">
        <f>HYPERLINK("https://ibp.a2mac1.com/costing(costing:projects/details/9760/part/8413634)","Member 01 Fixing 02")</f>
        <v>Member 01 Fixing 02</v>
      </c>
      <c r="F2477" t="s">
        <v>2869</v>
      </c>
    </row>
    <row r="2478" spans="1:6" x14ac:dyDescent="0.15">
      <c r="A2478">
        <v>8413635</v>
      </c>
      <c r="B2478">
        <v>8413585</v>
      </c>
      <c r="C2478" t="s">
        <v>10</v>
      </c>
      <c r="D2478" t="s">
        <v>8</v>
      </c>
      <c r="E2478" s="4" t="str">
        <f>HYPERLINK("https://ibp.a2mac1.com/costing(costing:projects/details/9760/part/8413635)","Member 01 Fixing 03")</f>
        <v>Member 01 Fixing 03</v>
      </c>
      <c r="F2478" t="s">
        <v>2869</v>
      </c>
    </row>
    <row r="2479" spans="1:6" x14ac:dyDescent="0.15">
      <c r="A2479">
        <v>8413636</v>
      </c>
      <c r="B2479">
        <v>8413585</v>
      </c>
      <c r="C2479" t="s">
        <v>10</v>
      </c>
      <c r="D2479" t="s">
        <v>8</v>
      </c>
      <c r="E2479" s="4" t="str">
        <f>HYPERLINK("https://ibp.a2mac1.com/costing(costing:projects/details/9760/part/8413636)","Member 01 Fixing 04")</f>
        <v>Member 01 Fixing 04</v>
      </c>
      <c r="F2479" t="s">
        <v>2869</v>
      </c>
    </row>
    <row r="2480" spans="1:6" x14ac:dyDescent="0.15">
      <c r="A2480">
        <v>8413535</v>
      </c>
      <c r="B2480">
        <v>8413380</v>
      </c>
      <c r="C2480" t="s">
        <v>10</v>
      </c>
      <c r="D2480" t="s">
        <v>8</v>
      </c>
      <c r="E2480" s="4" t="str">
        <f>HYPERLINK("https://ibp.a2mac1.com/costing(costing:projects/details/9760/part/8413535)","Fasteners on Body")</f>
        <v>Fasteners on Body</v>
      </c>
      <c r="F2480" t="s">
        <v>2815</v>
      </c>
    </row>
    <row r="2481" spans="1:6" x14ac:dyDescent="0.15">
      <c r="A2481">
        <v>12084093</v>
      </c>
      <c r="B2481">
        <v>8413380</v>
      </c>
      <c r="C2481" t="s">
        <v>114</v>
      </c>
      <c r="D2481" t="s">
        <v>8</v>
      </c>
      <c r="E2481" s="4" t="str">
        <f>HYPERLINK("https://ibp.a2mac1.com/costing(costing:projects/details/9760/process/12084093)","Enclosure bottom assembly")</f>
        <v>Enclosure bottom assembly</v>
      </c>
      <c r="F2481" t="s">
        <v>2815</v>
      </c>
    </row>
    <row r="2482" spans="1:6" x14ac:dyDescent="0.15">
      <c r="A2482">
        <v>8413381</v>
      </c>
      <c r="B2482">
        <v>8413230</v>
      </c>
      <c r="C2482" t="s">
        <v>8</v>
      </c>
      <c r="D2482" t="s">
        <v>8</v>
      </c>
      <c r="E2482" s="4" t="str">
        <f>HYPERLINK("https://ibp.a2mac1.com/costing(costing:projects/details/9760/assembly/8413381)","Enclosure Top")</f>
        <v>Enclosure Top</v>
      </c>
      <c r="F2482" t="s">
        <v>2814</v>
      </c>
    </row>
    <row r="2483" spans="1:6" x14ac:dyDescent="0.15">
      <c r="A2483">
        <v>8413536</v>
      </c>
      <c r="B2483">
        <v>8413381</v>
      </c>
      <c r="C2483" t="s">
        <v>8</v>
      </c>
      <c r="D2483" t="s">
        <v>8</v>
      </c>
      <c r="E2483" s="4" t="str">
        <f>HYPERLINK("https://ibp.a2mac1.com/costing(costing:projects/details/9760/assembly/8413536)","Fixing Parts")</f>
        <v>Fixing Parts</v>
      </c>
      <c r="F2483" t="s">
        <v>2884</v>
      </c>
    </row>
    <row r="2484" spans="1:6" x14ac:dyDescent="0.15">
      <c r="A2484">
        <v>8413586</v>
      </c>
      <c r="B2484">
        <v>8413536</v>
      </c>
      <c r="C2484" t="s">
        <v>10</v>
      </c>
      <c r="D2484" t="s">
        <v>8</v>
      </c>
      <c r="E2484" s="4" t="str">
        <f>HYPERLINK("https://ibp.a2mac1.com/costing(costing:projects/details/9760/part/8413586)","Fixing Part 1")</f>
        <v>Fixing Part 1</v>
      </c>
      <c r="F2484" t="s">
        <v>2885</v>
      </c>
    </row>
    <row r="2485" spans="1:6" x14ac:dyDescent="0.15">
      <c r="A2485">
        <v>8413587</v>
      </c>
      <c r="B2485">
        <v>8413536</v>
      </c>
      <c r="C2485" t="s">
        <v>10</v>
      </c>
      <c r="D2485" t="s">
        <v>8</v>
      </c>
      <c r="E2485" s="4" t="str">
        <f>HYPERLINK("https://ibp.a2mac1.com/costing(costing:projects/details/9760/part/8413587)","Fixing Part 2")</f>
        <v>Fixing Part 2</v>
      </c>
      <c r="F2485" t="s">
        <v>2885</v>
      </c>
    </row>
    <row r="2486" spans="1:6" x14ac:dyDescent="0.15">
      <c r="A2486">
        <v>8413588</v>
      </c>
      <c r="B2486">
        <v>8413536</v>
      </c>
      <c r="C2486" t="s">
        <v>10</v>
      </c>
      <c r="D2486" t="s">
        <v>8</v>
      </c>
      <c r="E2486" s="4" t="str">
        <f>HYPERLINK("https://ibp.a2mac1.com/costing(costing:projects/details/9760/part/8413588)","Fixing Part 3")</f>
        <v>Fixing Part 3</v>
      </c>
      <c r="F2486" t="s">
        <v>2885</v>
      </c>
    </row>
    <row r="2487" spans="1:6" x14ac:dyDescent="0.15">
      <c r="A2487">
        <v>8413589</v>
      </c>
      <c r="B2487">
        <v>8413536</v>
      </c>
      <c r="C2487" t="s">
        <v>10</v>
      </c>
      <c r="D2487" t="s">
        <v>8</v>
      </c>
      <c r="E2487" s="4" t="str">
        <f>HYPERLINK("https://ibp.a2mac1.com/costing(costing:projects/details/9760/part/8413589)","Fixing Part 4")</f>
        <v>Fixing Part 4</v>
      </c>
      <c r="F2487" t="s">
        <v>2885</v>
      </c>
    </row>
    <row r="2488" spans="1:6" x14ac:dyDescent="0.15">
      <c r="A2488">
        <v>8413590</v>
      </c>
      <c r="B2488">
        <v>8413536</v>
      </c>
      <c r="C2488" t="s">
        <v>10</v>
      </c>
      <c r="D2488" t="s">
        <v>8</v>
      </c>
      <c r="E2488" s="4" t="str">
        <f>HYPERLINK("https://ibp.a2mac1.com/costing(costing:projects/details/9760/part/8413590)","Fixing Part 5")</f>
        <v>Fixing Part 5</v>
      </c>
      <c r="F2488" t="s">
        <v>2885</v>
      </c>
    </row>
    <row r="2489" spans="1:6" x14ac:dyDescent="0.15">
      <c r="A2489">
        <v>8413537</v>
      </c>
      <c r="B2489">
        <v>8413381</v>
      </c>
      <c r="C2489" t="s">
        <v>8</v>
      </c>
      <c r="D2489" t="s">
        <v>8</v>
      </c>
      <c r="E2489" s="4" t="str">
        <f>HYPERLINK("https://ibp.a2mac1.com/costing(costing:projects/details/9760/assembly/8413537)","Cross Members")</f>
        <v>Cross Members</v>
      </c>
      <c r="F2489" t="s">
        <v>2884</v>
      </c>
    </row>
    <row r="2490" spans="1:6" x14ac:dyDescent="0.15">
      <c r="A2490">
        <v>8413591</v>
      </c>
      <c r="B2490">
        <v>8413537</v>
      </c>
      <c r="C2490" t="s">
        <v>10</v>
      </c>
      <c r="D2490" t="s">
        <v>8</v>
      </c>
      <c r="E2490" s="4" t="str">
        <f>HYPERLINK("https://ibp.a2mac1.com/costing(costing:projects/details/9760/part/8413591)","Cross Member 1")</f>
        <v>Cross Member 1</v>
      </c>
      <c r="F2490" t="s">
        <v>2893</v>
      </c>
    </row>
    <row r="2491" spans="1:6" x14ac:dyDescent="0.15">
      <c r="A2491">
        <v>8413592</v>
      </c>
      <c r="B2491">
        <v>8413537</v>
      </c>
      <c r="C2491" t="s">
        <v>10</v>
      </c>
      <c r="D2491" t="s">
        <v>8</v>
      </c>
      <c r="E2491" s="4" t="str">
        <f>HYPERLINK("https://ibp.a2mac1.com/costing(costing:projects/details/9760/part/8413592)","Cross Member 2")</f>
        <v>Cross Member 2</v>
      </c>
      <c r="F2491" t="s">
        <v>2893</v>
      </c>
    </row>
    <row r="2492" spans="1:6" x14ac:dyDescent="0.15">
      <c r="A2492">
        <v>8413593</v>
      </c>
      <c r="B2492">
        <v>8413537</v>
      </c>
      <c r="C2492" t="s">
        <v>10</v>
      </c>
      <c r="D2492" t="s">
        <v>8</v>
      </c>
      <c r="E2492" s="4" t="str">
        <f>HYPERLINK("https://ibp.a2mac1.com/costing(costing:projects/details/9760/part/8413593)","Cross Member 3")</f>
        <v>Cross Member 3</v>
      </c>
      <c r="F2492" t="s">
        <v>2893</v>
      </c>
    </row>
    <row r="2493" spans="1:6" x14ac:dyDescent="0.15">
      <c r="A2493">
        <v>8413538</v>
      </c>
      <c r="B2493">
        <v>8413381</v>
      </c>
      <c r="C2493" t="s">
        <v>8</v>
      </c>
      <c r="D2493" t="s">
        <v>8</v>
      </c>
      <c r="E2493" s="4" t="str">
        <f>HYPERLINK("https://ibp.a2mac1.com/costing(costing:projects/details/9760/assembly/8413538)","Reinforcements")</f>
        <v>Reinforcements</v>
      </c>
      <c r="F2493" t="s">
        <v>2884</v>
      </c>
    </row>
    <row r="2494" spans="1:6" x14ac:dyDescent="0.15">
      <c r="A2494">
        <v>8413594</v>
      </c>
      <c r="B2494">
        <v>8413538</v>
      </c>
      <c r="C2494" t="s">
        <v>10</v>
      </c>
      <c r="D2494" t="s">
        <v>8</v>
      </c>
      <c r="E2494" s="4" t="str">
        <f>HYPERLINK("https://ibp.a2mac1.com/costing(costing:projects/details/9760/part/8413594)","Reinforcement 1")</f>
        <v>Reinforcement 1</v>
      </c>
      <c r="F2494" t="s">
        <v>2898</v>
      </c>
    </row>
    <row r="2495" spans="1:6" x14ac:dyDescent="0.15">
      <c r="A2495">
        <v>8413595</v>
      </c>
      <c r="B2495">
        <v>8413538</v>
      </c>
      <c r="C2495" t="s">
        <v>10</v>
      </c>
      <c r="D2495" t="s">
        <v>8</v>
      </c>
      <c r="E2495" s="4" t="str">
        <f>HYPERLINK("https://ibp.a2mac1.com/costing(costing:projects/details/9760/part/8413595)","Reinforcement 2")</f>
        <v>Reinforcement 2</v>
      </c>
      <c r="F2495" t="s">
        <v>2898</v>
      </c>
    </row>
    <row r="2496" spans="1:6" x14ac:dyDescent="0.15">
      <c r="A2496">
        <v>8413596</v>
      </c>
      <c r="B2496">
        <v>8413538</v>
      </c>
      <c r="C2496" t="s">
        <v>10</v>
      </c>
      <c r="D2496" t="s">
        <v>8</v>
      </c>
      <c r="E2496" s="4" t="str">
        <f>HYPERLINK("https://ibp.a2mac1.com/costing(costing:projects/details/9760/part/8413596)","Reinforcement 3")</f>
        <v>Reinforcement 3</v>
      </c>
      <c r="F2496" t="s">
        <v>2898</v>
      </c>
    </row>
    <row r="2497" spans="1:6" x14ac:dyDescent="0.15">
      <c r="A2497">
        <v>8413597</v>
      </c>
      <c r="B2497">
        <v>8413538</v>
      </c>
      <c r="C2497" t="s">
        <v>10</v>
      </c>
      <c r="D2497" t="s">
        <v>8</v>
      </c>
      <c r="E2497" s="4" t="str">
        <f>HYPERLINK("https://ibp.a2mac1.com/costing(costing:projects/details/9760/part/8413597)","Reinforcement 4")</f>
        <v>Reinforcement 4</v>
      </c>
      <c r="F2497" t="s">
        <v>2898</v>
      </c>
    </row>
    <row r="2498" spans="1:6" x14ac:dyDescent="0.15">
      <c r="A2498">
        <v>8413598</v>
      </c>
      <c r="B2498">
        <v>8413538</v>
      </c>
      <c r="C2498" t="s">
        <v>10</v>
      </c>
      <c r="D2498" t="s">
        <v>8</v>
      </c>
      <c r="E2498" s="4" t="str">
        <f>HYPERLINK("https://ibp.a2mac1.com/costing(costing:projects/details/9760/part/8413598)","Reinforcement 5")</f>
        <v>Reinforcement 5</v>
      </c>
      <c r="F2498" t="s">
        <v>2898</v>
      </c>
    </row>
    <row r="2499" spans="1:6" x14ac:dyDescent="0.15">
      <c r="A2499">
        <v>8413599</v>
      </c>
      <c r="B2499">
        <v>8413538</v>
      </c>
      <c r="C2499" t="s">
        <v>10</v>
      </c>
      <c r="D2499" t="s">
        <v>8</v>
      </c>
      <c r="E2499" s="4" t="str">
        <f>HYPERLINK("https://ibp.a2mac1.com/costing(costing:projects/details/9760/part/8413599)","Reinforcement 6")</f>
        <v>Reinforcement 6</v>
      </c>
      <c r="F2499" t="s">
        <v>2898</v>
      </c>
    </row>
    <row r="2500" spans="1:6" x14ac:dyDescent="0.15">
      <c r="A2500">
        <v>8413539</v>
      </c>
      <c r="B2500">
        <v>8413381</v>
      </c>
      <c r="C2500" t="s">
        <v>8</v>
      </c>
      <c r="D2500" t="s">
        <v>8</v>
      </c>
      <c r="E2500" s="4" t="str">
        <f>HYPERLINK("https://ibp.a2mac1.com/costing(costing:projects/details/9760/assembly/8413539)","Front Seats Support")</f>
        <v>Front Seats Support</v>
      </c>
      <c r="F2500" t="s">
        <v>2884</v>
      </c>
    </row>
    <row r="2501" spans="1:6" x14ac:dyDescent="0.15">
      <c r="A2501">
        <v>8413600</v>
      </c>
      <c r="B2501">
        <v>8413539</v>
      </c>
      <c r="C2501" t="s">
        <v>10</v>
      </c>
      <c r="D2501" t="s">
        <v>8</v>
      </c>
      <c r="E2501" s="4" t="str">
        <f>HYPERLINK("https://ibp.a2mac1.com/costing(costing:projects/details/9760/part/8413600)","Center Console Fixing")</f>
        <v>Center Console Fixing</v>
      </c>
      <c r="F2501" t="s">
        <v>2906</v>
      </c>
    </row>
    <row r="2502" spans="1:6" x14ac:dyDescent="0.15">
      <c r="A2502">
        <v>8413601</v>
      </c>
      <c r="B2502">
        <v>8413539</v>
      </c>
      <c r="C2502" t="s">
        <v>10</v>
      </c>
      <c r="D2502" t="s">
        <v>8</v>
      </c>
      <c r="E2502" s="4" t="str">
        <f>HYPERLINK("https://ibp.a2mac1.com/costing(costing:projects/details/9760/part/8413601)","Center Console Fixing 2")</f>
        <v>Center Console Fixing 2</v>
      </c>
      <c r="F2502" t="s">
        <v>2906</v>
      </c>
    </row>
    <row r="2503" spans="1:6" x14ac:dyDescent="0.15">
      <c r="A2503">
        <v>8413602</v>
      </c>
      <c r="B2503">
        <v>8413539</v>
      </c>
      <c r="C2503" t="s">
        <v>10</v>
      </c>
      <c r="D2503" t="s">
        <v>8</v>
      </c>
      <c r="E2503" s="4" t="str">
        <f>HYPERLINK("https://ibp.a2mac1.com/costing(costing:projects/details/9760/part/8413602)","Front Seats Cross Member 1")</f>
        <v>Front Seats Cross Member 1</v>
      </c>
      <c r="F2503" t="s">
        <v>2906</v>
      </c>
    </row>
    <row r="2504" spans="1:6" x14ac:dyDescent="0.15">
      <c r="A2504">
        <v>8413603</v>
      </c>
      <c r="B2504">
        <v>8413539</v>
      </c>
      <c r="C2504" t="s">
        <v>10</v>
      </c>
      <c r="D2504" t="s">
        <v>8</v>
      </c>
      <c r="E2504" s="4" t="str">
        <f>HYPERLINK("https://ibp.a2mac1.com/costing(costing:projects/details/9760/part/8413603)","Member 1 Front Seat Attachement 1")</f>
        <v>Member 1 Front Seat Attachement 1</v>
      </c>
      <c r="F2504" t="s">
        <v>2906</v>
      </c>
    </row>
    <row r="2505" spans="1:6" x14ac:dyDescent="0.15">
      <c r="A2505">
        <v>8413604</v>
      </c>
      <c r="B2505">
        <v>8413539</v>
      </c>
      <c r="C2505" t="s">
        <v>10</v>
      </c>
      <c r="D2505" t="s">
        <v>8</v>
      </c>
      <c r="E2505" s="4" t="str">
        <f>HYPERLINK("https://ibp.a2mac1.com/costing(costing:projects/details/9760/part/8413604)","Member 1 Front Seat Attachement 2")</f>
        <v>Member 1 Front Seat Attachement 2</v>
      </c>
      <c r="F2505" t="s">
        <v>2906</v>
      </c>
    </row>
    <row r="2506" spans="1:6" x14ac:dyDescent="0.15">
      <c r="A2506">
        <v>8413605</v>
      </c>
      <c r="B2506">
        <v>8413539</v>
      </c>
      <c r="C2506" t="s">
        <v>10</v>
      </c>
      <c r="D2506" t="s">
        <v>8</v>
      </c>
      <c r="E2506" s="4" t="str">
        <f>HYPERLINK("https://ibp.a2mac1.com/costing(costing:projects/details/9760/part/8413605)","Member 1 Front Seat Attachement 3")</f>
        <v>Member 1 Front Seat Attachement 3</v>
      </c>
      <c r="F2506" t="s">
        <v>2906</v>
      </c>
    </row>
    <row r="2507" spans="1:6" x14ac:dyDescent="0.15">
      <c r="A2507">
        <v>8413606</v>
      </c>
      <c r="B2507">
        <v>8413539</v>
      </c>
      <c r="C2507" t="s">
        <v>10</v>
      </c>
      <c r="D2507" t="s">
        <v>8</v>
      </c>
      <c r="E2507" s="4" t="str">
        <f>HYPERLINK("https://ibp.a2mac1.com/costing(costing:projects/details/9760/part/8413606)","Member 1 Fixing Part 1")</f>
        <v>Member 1 Fixing Part 1</v>
      </c>
      <c r="F2507" t="s">
        <v>2906</v>
      </c>
    </row>
    <row r="2508" spans="1:6" x14ac:dyDescent="0.15">
      <c r="A2508">
        <v>8413607</v>
      </c>
      <c r="B2508">
        <v>8413539</v>
      </c>
      <c r="C2508" t="s">
        <v>10</v>
      </c>
      <c r="D2508" t="s">
        <v>8</v>
      </c>
      <c r="E2508" s="4" t="str">
        <f>HYPERLINK("https://ibp.a2mac1.com/costing(costing:projects/details/9760/part/8413607)","Member 1 Fixing Part 2")</f>
        <v>Member 1 Fixing Part 2</v>
      </c>
      <c r="F2508" t="s">
        <v>2906</v>
      </c>
    </row>
    <row r="2509" spans="1:6" x14ac:dyDescent="0.15">
      <c r="A2509">
        <v>8413608</v>
      </c>
      <c r="B2509">
        <v>8413539</v>
      </c>
      <c r="C2509" t="s">
        <v>10</v>
      </c>
      <c r="D2509" t="s">
        <v>8</v>
      </c>
      <c r="E2509" s="4" t="str">
        <f>HYPERLINK("https://ibp.a2mac1.com/costing(costing:projects/details/9760/part/8413608)","Member 1 Fixing Part 3")</f>
        <v>Member 1 Fixing Part 3</v>
      </c>
      <c r="F2509" t="s">
        <v>2906</v>
      </c>
    </row>
    <row r="2510" spans="1:6" x14ac:dyDescent="0.15">
      <c r="A2510">
        <v>8413609</v>
      </c>
      <c r="B2510">
        <v>8413539</v>
      </c>
      <c r="C2510" t="s">
        <v>10</v>
      </c>
      <c r="D2510" t="s">
        <v>8</v>
      </c>
      <c r="E2510" s="4" t="str">
        <f>HYPERLINK("https://ibp.a2mac1.com/costing(costing:projects/details/9760/part/8413609)","Front Seats Rear Cross Member 1")</f>
        <v>Front Seats Rear Cross Member 1</v>
      </c>
      <c r="F2510" t="s">
        <v>2906</v>
      </c>
    </row>
    <row r="2511" spans="1:6" x14ac:dyDescent="0.15">
      <c r="A2511">
        <v>8413610</v>
      </c>
      <c r="B2511">
        <v>8413539</v>
      </c>
      <c r="C2511" t="s">
        <v>10</v>
      </c>
      <c r="D2511" t="s">
        <v>8</v>
      </c>
      <c r="E2511" s="4" t="str">
        <f>HYPERLINK("https://ibp.a2mac1.com/costing(costing:projects/details/9760/part/8413610)","Member 1 Front Seat Attachement 1")</f>
        <v>Member 1 Front Seat Attachement 1</v>
      </c>
      <c r="F2511" t="s">
        <v>2906</v>
      </c>
    </row>
    <row r="2512" spans="1:6" x14ac:dyDescent="0.15">
      <c r="A2512">
        <v>8413611</v>
      </c>
      <c r="B2512">
        <v>8413539</v>
      </c>
      <c r="C2512" t="s">
        <v>10</v>
      </c>
      <c r="D2512" t="s">
        <v>8</v>
      </c>
      <c r="E2512" s="4" t="str">
        <f>HYPERLINK("https://ibp.a2mac1.com/costing(costing:projects/details/9760/part/8413611)","Member 1 Fixing Part 1")</f>
        <v>Member 1 Fixing Part 1</v>
      </c>
      <c r="F2512" t="s">
        <v>2906</v>
      </c>
    </row>
    <row r="2513" spans="1:6" x14ac:dyDescent="0.15">
      <c r="A2513">
        <v>8413612</v>
      </c>
      <c r="B2513">
        <v>8413539</v>
      </c>
      <c r="C2513" t="s">
        <v>10</v>
      </c>
      <c r="D2513" t="s">
        <v>8</v>
      </c>
      <c r="E2513" s="4" t="str">
        <f>HYPERLINK("https://ibp.a2mac1.com/costing(costing:projects/details/9760/part/8413612)","Member 1 Fixing Part 2")</f>
        <v>Member 1 Fixing Part 2</v>
      </c>
      <c r="F2513" t="s">
        <v>2906</v>
      </c>
    </row>
    <row r="2514" spans="1:6" x14ac:dyDescent="0.15">
      <c r="A2514">
        <v>8413613</v>
      </c>
      <c r="B2514">
        <v>8413539</v>
      </c>
      <c r="C2514" t="s">
        <v>10</v>
      </c>
      <c r="D2514" t="s">
        <v>8</v>
      </c>
      <c r="E2514" s="4" t="str">
        <f>HYPERLINK("https://ibp.a2mac1.com/costing(costing:projects/details/9760/part/8413613)","Gussets")</f>
        <v>Gussets</v>
      </c>
      <c r="F2514" t="s">
        <v>2906</v>
      </c>
    </row>
    <row r="2515" spans="1:6" x14ac:dyDescent="0.15">
      <c r="A2515">
        <v>8413540</v>
      </c>
      <c r="B2515">
        <v>8413381</v>
      </c>
      <c r="C2515" t="s">
        <v>10</v>
      </c>
      <c r="D2515" t="s">
        <v>8</v>
      </c>
      <c r="E2515" s="4" t="str">
        <f>HYPERLINK("https://ibp.a2mac1.com/costing(costing:projects/details/9760/part/8413540)","Top Cover Reinforcement")</f>
        <v>Top Cover Reinforcement</v>
      </c>
      <c r="F2515" t="s">
        <v>2884</v>
      </c>
    </row>
    <row r="2516" spans="1:6" x14ac:dyDescent="0.15">
      <c r="A2516">
        <v>8413541</v>
      </c>
      <c r="B2516">
        <v>8413381</v>
      </c>
      <c r="C2516" t="s">
        <v>10</v>
      </c>
      <c r="D2516" t="s">
        <v>8</v>
      </c>
      <c r="E2516" s="4" t="str">
        <f>HYPERLINK("https://ibp.a2mac1.com/costing(costing:projects/details/9760/part/8413541)","Top Cover Reinforcement 2")</f>
        <v>Top Cover Reinforcement 2</v>
      </c>
      <c r="F2516" t="s">
        <v>2884</v>
      </c>
    </row>
    <row r="2517" spans="1:6" x14ac:dyDescent="0.15">
      <c r="A2517">
        <v>8413542</v>
      </c>
      <c r="B2517">
        <v>8413381</v>
      </c>
      <c r="C2517" t="s">
        <v>10</v>
      </c>
      <c r="D2517" t="s">
        <v>8</v>
      </c>
      <c r="E2517" s="4" t="str">
        <f>HYPERLINK("https://ibp.a2mac1.com/costing(costing:projects/details/9760/part/8413542)","Top Cover 2")</f>
        <v>Top Cover 2</v>
      </c>
      <c r="F2517" t="s">
        <v>2884</v>
      </c>
    </row>
    <row r="2518" spans="1:6" x14ac:dyDescent="0.15">
      <c r="A2518">
        <v>12084098</v>
      </c>
      <c r="B2518">
        <v>8413542</v>
      </c>
      <c r="C2518" t="s">
        <v>114</v>
      </c>
      <c r="D2518" t="s">
        <v>10</v>
      </c>
      <c r="E2518" s="4" t="str">
        <f>HYPERLINK("https://ibp.a2mac1.com/costing(costing:projects/details/9760/process/12084098)","Process")</f>
        <v>Process</v>
      </c>
      <c r="F2518" t="s">
        <v>2924</v>
      </c>
    </row>
    <row r="2519" spans="1:6" x14ac:dyDescent="0.15">
      <c r="A2519">
        <v>8753015</v>
      </c>
      <c r="B2519">
        <v>12084098</v>
      </c>
      <c r="C2519" t="s">
        <v>22</v>
      </c>
      <c r="D2519" t="s">
        <v>114</v>
      </c>
      <c r="E2519" s="4" t="str">
        <f>HYPERLINK("https://ibp.a2mac1.com/costing(costing:projects/details/9760/material/8753015)","Steel sheet (default)")</f>
        <v>Steel sheet (default)</v>
      </c>
      <c r="F2519" t="s">
        <v>2927</v>
      </c>
    </row>
    <row r="2520" spans="1:6" x14ac:dyDescent="0.15">
      <c r="A2520">
        <v>12211178</v>
      </c>
      <c r="B2520">
        <v>12084098</v>
      </c>
      <c r="C2520" t="s">
        <v>163</v>
      </c>
      <c r="D2520" t="s">
        <v>114</v>
      </c>
      <c r="E2520" s="4" t="str">
        <f>HYPERLINK("https://ibp.a2mac1.com/costing(costing:projects/details/9760/equipment/12211178)","General production process (&gt;10€)")</f>
        <v>General production process (&gt;10€)</v>
      </c>
      <c r="F2520" t="s">
        <v>2927</v>
      </c>
    </row>
    <row r="2521" spans="1:6" x14ac:dyDescent="0.15">
      <c r="A2521">
        <v>8413543</v>
      </c>
      <c r="B2521">
        <v>8413381</v>
      </c>
      <c r="C2521" t="s">
        <v>10</v>
      </c>
      <c r="D2521" t="s">
        <v>8</v>
      </c>
      <c r="E2521" s="4" t="str">
        <f>HYPERLINK("https://ibp.a2mac1.com/costing(costing:projects/details/9760/part/8413543)","Top Cover 3")</f>
        <v>Top Cover 3</v>
      </c>
      <c r="F2521" t="s">
        <v>2884</v>
      </c>
    </row>
    <row r="2522" spans="1:6" x14ac:dyDescent="0.15">
      <c r="A2522">
        <v>12084099</v>
      </c>
      <c r="B2522">
        <v>8413543</v>
      </c>
      <c r="C2522" t="s">
        <v>114</v>
      </c>
      <c r="D2522" t="s">
        <v>10</v>
      </c>
      <c r="E2522" s="4" t="str">
        <f>HYPERLINK("https://ibp.a2mac1.com/costing(costing:projects/details/9760/process/12084099)","Process")</f>
        <v>Process</v>
      </c>
      <c r="F2522" t="s">
        <v>2929</v>
      </c>
    </row>
    <row r="2523" spans="1:6" x14ac:dyDescent="0.15">
      <c r="A2523">
        <v>8753016</v>
      </c>
      <c r="B2523">
        <v>12084099</v>
      </c>
      <c r="C2523" t="s">
        <v>22</v>
      </c>
      <c r="D2523" t="s">
        <v>114</v>
      </c>
      <c r="E2523" s="4" t="str">
        <f>HYPERLINK("https://ibp.a2mac1.com/costing(costing:projects/details/9760/material/8753016)","Steel sheet (default)")</f>
        <v>Steel sheet (default)</v>
      </c>
      <c r="F2523" t="s">
        <v>2932</v>
      </c>
    </row>
    <row r="2524" spans="1:6" x14ac:dyDescent="0.15">
      <c r="A2524">
        <v>12211179</v>
      </c>
      <c r="B2524">
        <v>12084099</v>
      </c>
      <c r="C2524" t="s">
        <v>163</v>
      </c>
      <c r="D2524" t="s">
        <v>114</v>
      </c>
      <c r="E2524" s="4" t="str">
        <f>HYPERLINK("https://ibp.a2mac1.com/costing(costing:projects/details/9760/equipment/12211179)","General production process (&gt;10€)")</f>
        <v>General production process (&gt;10€)</v>
      </c>
      <c r="F2524" t="s">
        <v>2932</v>
      </c>
    </row>
    <row r="2525" spans="1:6" x14ac:dyDescent="0.15">
      <c r="A2525">
        <v>8413544</v>
      </c>
      <c r="B2525">
        <v>8413381</v>
      </c>
      <c r="C2525" t="s">
        <v>10</v>
      </c>
      <c r="D2525" t="s">
        <v>8</v>
      </c>
      <c r="E2525" s="4" t="str">
        <f>HYPERLINK("https://ibp.a2mac1.com/costing(costing:projects/details/9760/part/8413544)","Top Cover")</f>
        <v>Top Cover</v>
      </c>
      <c r="F2525" t="s">
        <v>2884</v>
      </c>
    </row>
    <row r="2526" spans="1:6" x14ac:dyDescent="0.15">
      <c r="A2526">
        <v>12084100</v>
      </c>
      <c r="B2526">
        <v>8413544</v>
      </c>
      <c r="C2526" t="s">
        <v>114</v>
      </c>
      <c r="D2526" t="s">
        <v>10</v>
      </c>
      <c r="E2526" s="4" t="str">
        <f>HYPERLINK("https://ibp.a2mac1.com/costing(costing:projects/details/9760/process/12084100)","Process")</f>
        <v>Process</v>
      </c>
      <c r="F2526" t="s">
        <v>2934</v>
      </c>
    </row>
    <row r="2527" spans="1:6" x14ac:dyDescent="0.15">
      <c r="A2527">
        <v>8753017</v>
      </c>
      <c r="B2527">
        <v>12084100</v>
      </c>
      <c r="C2527" t="s">
        <v>22</v>
      </c>
      <c r="D2527" t="s">
        <v>114</v>
      </c>
      <c r="E2527" s="4" t="str">
        <f>HYPERLINK("https://ibp.a2mac1.com/costing(costing:projects/details/9760/material/8753017)","Steel sheet (default)")</f>
        <v>Steel sheet (default)</v>
      </c>
      <c r="F2527" t="s">
        <v>2937</v>
      </c>
    </row>
    <row r="2528" spans="1:6" x14ac:dyDescent="0.15">
      <c r="A2528">
        <v>12211180</v>
      </c>
      <c r="B2528">
        <v>12084100</v>
      </c>
      <c r="C2528" t="s">
        <v>163</v>
      </c>
      <c r="D2528" t="s">
        <v>114</v>
      </c>
      <c r="E2528" s="4" t="str">
        <f>HYPERLINK("https://ibp.a2mac1.com/costing(costing:projects/details/9760/equipment/12211180)","General production process (&gt;10€)")</f>
        <v>General production process (&gt;10€)</v>
      </c>
      <c r="F2528" t="s">
        <v>2937</v>
      </c>
    </row>
    <row r="2529" spans="1:6" x14ac:dyDescent="0.15">
      <c r="A2529">
        <v>12084094</v>
      </c>
      <c r="B2529">
        <v>8413381</v>
      </c>
      <c r="C2529" t="s">
        <v>114</v>
      </c>
      <c r="D2529" t="s">
        <v>8</v>
      </c>
      <c r="E2529" s="4" t="str">
        <f>HYPERLINK("https://ibp.a2mac1.com/costing(costing:projects/details/9760/process/12084094)","Enclosure top assembly")</f>
        <v>Enclosure top assembly</v>
      </c>
      <c r="F2529" t="s">
        <v>2884</v>
      </c>
    </row>
    <row r="2530" spans="1:6" x14ac:dyDescent="0.15">
      <c r="A2530">
        <v>8413382</v>
      </c>
      <c r="B2530">
        <v>8413230</v>
      </c>
      <c r="C2530" t="s">
        <v>8</v>
      </c>
      <c r="D2530" t="s">
        <v>8</v>
      </c>
      <c r="E2530" s="4" t="str">
        <f>HYPERLINK("https://ibp.a2mac1.com/costing(costing:projects/details/9760/assembly/8413382)","Second Enclosure Top")</f>
        <v>Second Enclosure Top</v>
      </c>
      <c r="F2530" t="s">
        <v>2814</v>
      </c>
    </row>
    <row r="2531" spans="1:6" x14ac:dyDescent="0.15">
      <c r="A2531">
        <v>8413545</v>
      </c>
      <c r="B2531">
        <v>8413382</v>
      </c>
      <c r="C2531" t="s">
        <v>10</v>
      </c>
      <c r="D2531" t="s">
        <v>8</v>
      </c>
      <c r="E2531" s="4" t="str">
        <f>HYPERLINK("https://ibp.a2mac1.com/costing(costing:projects/details/9760/part/8413545)","Cover")</f>
        <v>Cover</v>
      </c>
      <c r="F2531" t="s">
        <v>2942</v>
      </c>
    </row>
    <row r="2532" spans="1:6" x14ac:dyDescent="0.15">
      <c r="A2532">
        <v>12084101</v>
      </c>
      <c r="B2532">
        <v>8413545</v>
      </c>
      <c r="C2532" t="s">
        <v>114</v>
      </c>
      <c r="D2532" t="s">
        <v>10</v>
      </c>
      <c r="E2532" s="4" t="str">
        <f>HYPERLINK("https://ibp.a2mac1.com/costing(costing:projects/details/9760/process/12084101)","Process")</f>
        <v>Process</v>
      </c>
      <c r="F2532" t="s">
        <v>2943</v>
      </c>
    </row>
    <row r="2533" spans="1:6" x14ac:dyDescent="0.15">
      <c r="A2533">
        <v>8753018</v>
      </c>
      <c r="B2533">
        <v>12084101</v>
      </c>
      <c r="C2533" t="s">
        <v>22</v>
      </c>
      <c r="D2533" t="s">
        <v>114</v>
      </c>
      <c r="E2533" s="4" t="str">
        <f>HYPERLINK("https://ibp.a2mac1.com/costing(costing:projects/details/9760/material/8753018)","Steel sheet (default)")</f>
        <v>Steel sheet (default)</v>
      </c>
      <c r="F2533" t="s">
        <v>2946</v>
      </c>
    </row>
    <row r="2534" spans="1:6" x14ac:dyDescent="0.15">
      <c r="A2534">
        <v>12211181</v>
      </c>
      <c r="B2534">
        <v>12084101</v>
      </c>
      <c r="C2534" t="s">
        <v>163</v>
      </c>
      <c r="D2534" t="s">
        <v>114</v>
      </c>
      <c r="E2534" s="4" t="str">
        <f>HYPERLINK("https://ibp.a2mac1.com/costing(costing:projects/details/9760/equipment/12211181)","General production process (&gt;10€)")</f>
        <v>General production process (&gt;10€)</v>
      </c>
      <c r="F2534" t="s">
        <v>2946</v>
      </c>
    </row>
    <row r="2535" spans="1:6" x14ac:dyDescent="0.15">
      <c r="A2535">
        <v>8413546</v>
      </c>
      <c r="B2535">
        <v>8413382</v>
      </c>
      <c r="C2535" t="s">
        <v>10</v>
      </c>
      <c r="D2535" t="s">
        <v>8</v>
      </c>
      <c r="E2535" s="4" t="str">
        <f>HYPERLINK("https://ibp.a2mac1.com/costing(costing:projects/details/9760/part/8413546)","Fixing Part")</f>
        <v>Fixing Part</v>
      </c>
      <c r="F2535" t="s">
        <v>2942</v>
      </c>
    </row>
    <row r="2536" spans="1:6" x14ac:dyDescent="0.15">
      <c r="A2536">
        <v>8413383</v>
      </c>
      <c r="B2536">
        <v>8413230</v>
      </c>
      <c r="C2536" t="s">
        <v>10</v>
      </c>
      <c r="D2536" t="s">
        <v>8</v>
      </c>
      <c r="E2536" s="4" t="str">
        <f>HYPERLINK("https://ibp.a2mac1.com/costing(costing:projects/details/9760/part/8413383)","Second Enclosure Bottom")</f>
        <v>Second Enclosure Bottom</v>
      </c>
      <c r="F2536" t="s">
        <v>2814</v>
      </c>
    </row>
    <row r="2537" spans="1:6" x14ac:dyDescent="0.15">
      <c r="A2537">
        <v>12084095</v>
      </c>
      <c r="B2537">
        <v>8413383</v>
      </c>
      <c r="C2537" t="s">
        <v>114</v>
      </c>
      <c r="D2537" t="s">
        <v>10</v>
      </c>
      <c r="E2537" s="4" t="str">
        <f>HYPERLINK("https://ibp.a2mac1.com/costing(costing:projects/details/9760/process/12084095)","Process")</f>
        <v>Process</v>
      </c>
      <c r="F2537" t="s">
        <v>2950</v>
      </c>
    </row>
    <row r="2538" spans="1:6" x14ac:dyDescent="0.15">
      <c r="A2538">
        <v>8753011</v>
      </c>
      <c r="B2538">
        <v>12084095</v>
      </c>
      <c r="C2538" t="s">
        <v>22</v>
      </c>
      <c r="D2538" t="s">
        <v>114</v>
      </c>
      <c r="E2538" s="4" t="str">
        <f>HYPERLINK("https://ibp.a2mac1.com/costing(costing:projects/details/9760/material/8753011)","Steel sheet (default)")</f>
        <v>Steel sheet (default)</v>
      </c>
      <c r="F2538" t="s">
        <v>2953</v>
      </c>
    </row>
    <row r="2539" spans="1:6" x14ac:dyDescent="0.15">
      <c r="A2539">
        <v>8753012</v>
      </c>
      <c r="B2539">
        <v>12084095</v>
      </c>
      <c r="C2539" t="s">
        <v>22</v>
      </c>
      <c r="D2539" t="s">
        <v>114</v>
      </c>
      <c r="E2539" s="4" t="str">
        <f>HYPERLINK("https://ibp.a2mac1.com/costing(costing:projects/details/9760/material/8753012)","PVC")</f>
        <v>PVC</v>
      </c>
      <c r="F2539" t="s">
        <v>2953</v>
      </c>
    </row>
    <row r="2540" spans="1:6" x14ac:dyDescent="0.15">
      <c r="A2540">
        <v>12211175</v>
      </c>
      <c r="B2540">
        <v>12084095</v>
      </c>
      <c r="C2540" t="s">
        <v>163</v>
      </c>
      <c r="D2540" t="s">
        <v>114</v>
      </c>
      <c r="E2540" s="4" t="str">
        <f>HYPERLINK("https://ibp.a2mac1.com/costing(costing:projects/details/9760/equipment/12211175)","General production process (&gt;10€)")</f>
        <v>General production process (&gt;10€)</v>
      </c>
      <c r="F2540" t="s">
        <v>2953</v>
      </c>
    </row>
    <row r="2541" spans="1:6" x14ac:dyDescent="0.15">
      <c r="A2541">
        <v>8413231</v>
      </c>
      <c r="B2541">
        <v>8413085</v>
      </c>
      <c r="C2541" t="s">
        <v>8</v>
      </c>
      <c r="D2541" t="s">
        <v>8</v>
      </c>
      <c r="E2541" s="4" t="str">
        <f>HYPERLINK("https://ibp.a2mac1.com/costing(costing:projects/details/9760/assembly/8413231)","Brackets")</f>
        <v>Brackets</v>
      </c>
      <c r="F2541" t="s">
        <v>2813</v>
      </c>
    </row>
    <row r="2542" spans="1:6" x14ac:dyDescent="0.15">
      <c r="A2542">
        <v>8413384</v>
      </c>
      <c r="B2542">
        <v>8413231</v>
      </c>
      <c r="C2542" t="s">
        <v>10</v>
      </c>
      <c r="D2542" t="s">
        <v>8</v>
      </c>
      <c r="E2542" s="4" t="str">
        <f>HYPERLINK("https://ibp.a2mac1.com/costing(costing:projects/details/9760/part/8413384)","Bracket 1")</f>
        <v>Bracket 1</v>
      </c>
      <c r="F2542" t="s">
        <v>2959</v>
      </c>
    </row>
    <row r="2543" spans="1:6" x14ac:dyDescent="0.15">
      <c r="A2543">
        <v>8413385</v>
      </c>
      <c r="B2543">
        <v>8413231</v>
      </c>
      <c r="C2543" t="s">
        <v>10</v>
      </c>
      <c r="D2543" t="s">
        <v>8</v>
      </c>
      <c r="E2543" s="4" t="str">
        <f>HYPERLINK("https://ibp.a2mac1.com/costing(costing:projects/details/9760/part/8413385)","Bracket 2")</f>
        <v>Bracket 2</v>
      </c>
      <c r="F2543" t="s">
        <v>2959</v>
      </c>
    </row>
    <row r="2544" spans="1:6" x14ac:dyDescent="0.15">
      <c r="A2544">
        <v>8413386</v>
      </c>
      <c r="B2544">
        <v>8413231</v>
      </c>
      <c r="C2544" t="s">
        <v>10</v>
      </c>
      <c r="D2544" t="s">
        <v>8</v>
      </c>
      <c r="E2544" s="4" t="str">
        <f>HYPERLINK("https://ibp.a2mac1.com/costing(costing:projects/details/9760/part/8413386)","Bracket 3")</f>
        <v>Bracket 3</v>
      </c>
      <c r="F2544" t="s">
        <v>2959</v>
      </c>
    </row>
    <row r="2545" spans="1:6" x14ac:dyDescent="0.15">
      <c r="A2545">
        <v>8413387</v>
      </c>
      <c r="B2545">
        <v>8413231</v>
      </c>
      <c r="C2545" t="s">
        <v>10</v>
      </c>
      <c r="D2545" t="s">
        <v>8</v>
      </c>
      <c r="E2545" s="4" t="str">
        <f>HYPERLINK("https://ibp.a2mac1.com/costing(costing:projects/details/9760/part/8413387)","Bracket 4")</f>
        <v>Bracket 4</v>
      </c>
      <c r="F2545" t="s">
        <v>2959</v>
      </c>
    </row>
    <row r="2546" spans="1:6" x14ac:dyDescent="0.15">
      <c r="A2546">
        <v>8413388</v>
      </c>
      <c r="B2546">
        <v>8413231</v>
      </c>
      <c r="C2546" t="s">
        <v>10</v>
      </c>
      <c r="D2546" t="s">
        <v>8</v>
      </c>
      <c r="E2546" s="4" t="str">
        <f>HYPERLINK("https://ibp.a2mac1.com/costing(costing:projects/details/9760/part/8413388)","Bracket 5")</f>
        <v>Bracket 5</v>
      </c>
      <c r="F2546" t="s">
        <v>2959</v>
      </c>
    </row>
    <row r="2547" spans="1:6" x14ac:dyDescent="0.15">
      <c r="A2547">
        <v>8413389</v>
      </c>
      <c r="B2547">
        <v>8413231</v>
      </c>
      <c r="C2547" t="s">
        <v>10</v>
      </c>
      <c r="D2547" t="s">
        <v>8</v>
      </c>
      <c r="E2547" s="4" t="str">
        <f>HYPERLINK("https://ibp.a2mac1.com/costing(costing:projects/details/9760/part/8413389)","Bracket 6")</f>
        <v>Bracket 6</v>
      </c>
      <c r="F2547" t="s">
        <v>2959</v>
      </c>
    </row>
    <row r="2548" spans="1:6" x14ac:dyDescent="0.15">
      <c r="A2548">
        <v>8413390</v>
      </c>
      <c r="B2548">
        <v>8413231</v>
      </c>
      <c r="C2548" t="s">
        <v>10</v>
      </c>
      <c r="D2548" t="s">
        <v>8</v>
      </c>
      <c r="E2548" s="4" t="str">
        <f>HYPERLINK("https://ibp.a2mac1.com/costing(costing:projects/details/9760/part/8413390)","Bracket 7")</f>
        <v>Bracket 7</v>
      </c>
      <c r="F2548" t="s">
        <v>2959</v>
      </c>
    </row>
    <row r="2549" spans="1:6" x14ac:dyDescent="0.15">
      <c r="A2549">
        <v>8413391</v>
      </c>
      <c r="B2549">
        <v>8413231</v>
      </c>
      <c r="C2549" t="s">
        <v>10</v>
      </c>
      <c r="D2549" t="s">
        <v>8</v>
      </c>
      <c r="E2549" s="4" t="str">
        <f>HYPERLINK("https://ibp.a2mac1.com/costing(costing:projects/details/9760/part/8413391)","Bracket 8")</f>
        <v>Bracket 8</v>
      </c>
      <c r="F2549" t="s">
        <v>2959</v>
      </c>
    </row>
    <row r="2550" spans="1:6" x14ac:dyDescent="0.15">
      <c r="A2550">
        <v>8413392</v>
      </c>
      <c r="B2550">
        <v>8413231</v>
      </c>
      <c r="C2550" t="s">
        <v>10</v>
      </c>
      <c r="D2550" t="s">
        <v>8</v>
      </c>
      <c r="E2550" s="4" t="str">
        <f>HYPERLINK("https://ibp.a2mac1.com/costing(costing:projects/details/9760/part/8413392)","Bracket 9")</f>
        <v>Bracket 9</v>
      </c>
      <c r="F2550" t="s">
        <v>2959</v>
      </c>
    </row>
    <row r="2551" spans="1:6" x14ac:dyDescent="0.15">
      <c r="A2551">
        <v>8413393</v>
      </c>
      <c r="B2551">
        <v>8413231</v>
      </c>
      <c r="C2551" t="s">
        <v>10</v>
      </c>
      <c r="D2551" t="s">
        <v>8</v>
      </c>
      <c r="E2551" s="4" t="str">
        <f>HYPERLINK("https://ibp.a2mac1.com/costing(costing:projects/details/9760/part/8413393)","Bracket 10")</f>
        <v>Bracket 10</v>
      </c>
      <c r="F2551" t="s">
        <v>2959</v>
      </c>
    </row>
    <row r="2552" spans="1:6" x14ac:dyDescent="0.15">
      <c r="A2552">
        <v>8413394</v>
      </c>
      <c r="B2552">
        <v>8413231</v>
      </c>
      <c r="C2552" t="s">
        <v>10</v>
      </c>
      <c r="D2552" t="s">
        <v>8</v>
      </c>
      <c r="E2552" s="4" t="str">
        <f>HYPERLINK("https://ibp.a2mac1.com/costing(costing:projects/details/9760/part/8413394)","Bracket 11")</f>
        <v>Bracket 11</v>
      </c>
      <c r="F2552" t="s">
        <v>2959</v>
      </c>
    </row>
    <row r="2553" spans="1:6" x14ac:dyDescent="0.15">
      <c r="A2553">
        <v>8413395</v>
      </c>
      <c r="B2553">
        <v>8413231</v>
      </c>
      <c r="C2553" t="s">
        <v>10</v>
      </c>
      <c r="D2553" t="s">
        <v>8</v>
      </c>
      <c r="E2553" s="4" t="str">
        <f>HYPERLINK("https://ibp.a2mac1.com/costing(costing:projects/details/9760/part/8413395)","Bracket 12")</f>
        <v>Bracket 12</v>
      </c>
      <c r="F2553" t="s">
        <v>2959</v>
      </c>
    </row>
    <row r="2554" spans="1:6" x14ac:dyDescent="0.15">
      <c r="A2554">
        <v>8413396</v>
      </c>
      <c r="B2554">
        <v>8413231</v>
      </c>
      <c r="C2554" t="s">
        <v>10</v>
      </c>
      <c r="D2554" t="s">
        <v>8</v>
      </c>
      <c r="E2554" s="4" t="str">
        <f>HYPERLINK("https://ibp.a2mac1.com/costing(costing:projects/details/9760/part/8413396)","Bracket 13")</f>
        <v>Bracket 13</v>
      </c>
      <c r="F2554" t="s">
        <v>2959</v>
      </c>
    </row>
    <row r="2555" spans="1:6" x14ac:dyDescent="0.15">
      <c r="A2555">
        <v>8413232</v>
      </c>
      <c r="B2555">
        <v>8413085</v>
      </c>
      <c r="C2555" t="s">
        <v>8</v>
      </c>
      <c r="D2555" t="s">
        <v>8</v>
      </c>
      <c r="E2555" s="4" t="str">
        <f>HYPERLINK("https://ibp.a2mac1.com/costing(costing:projects/details/9760/assembly/8413232)","Seal (on top cover)")</f>
        <v>Seal (on top cover)</v>
      </c>
      <c r="F2555" t="s">
        <v>2813</v>
      </c>
    </row>
    <row r="2556" spans="1:6" x14ac:dyDescent="0.15">
      <c r="A2556">
        <v>8413397</v>
      </c>
      <c r="B2556">
        <v>8413232</v>
      </c>
      <c r="C2556" t="s">
        <v>10</v>
      </c>
      <c r="D2556" t="s">
        <v>8</v>
      </c>
      <c r="E2556" s="4" t="str">
        <f>HYPERLINK("https://ibp.a2mac1.com/costing(costing:projects/details/9760/part/8413397)","Seal 1")</f>
        <v>Seal 1</v>
      </c>
      <c r="F2556" t="s">
        <v>2978</v>
      </c>
    </row>
    <row r="2557" spans="1:6" x14ac:dyDescent="0.15">
      <c r="A2557">
        <v>8413398</v>
      </c>
      <c r="B2557">
        <v>8413232</v>
      </c>
      <c r="C2557" t="s">
        <v>10</v>
      </c>
      <c r="D2557" t="s">
        <v>8</v>
      </c>
      <c r="E2557" s="4" t="str">
        <f>HYPERLINK("https://ibp.a2mac1.com/costing(costing:projects/details/9760/part/8413398)","Seal 2")</f>
        <v>Seal 2</v>
      </c>
      <c r="F2557" t="s">
        <v>2978</v>
      </c>
    </row>
    <row r="2558" spans="1:6" x14ac:dyDescent="0.15">
      <c r="A2558">
        <v>8413233</v>
      </c>
      <c r="B2558">
        <v>8413085</v>
      </c>
      <c r="C2558" t="s">
        <v>8</v>
      </c>
      <c r="D2558" t="s">
        <v>8</v>
      </c>
      <c r="E2558" s="4" t="str">
        <f>HYPERLINK("https://ibp.a2mac1.com/costing(costing:projects/details/9760/assembly/8413233)","Insulations")</f>
        <v>Insulations</v>
      </c>
      <c r="F2558" t="s">
        <v>2813</v>
      </c>
    </row>
    <row r="2559" spans="1:6" x14ac:dyDescent="0.15">
      <c r="A2559">
        <v>8413399</v>
      </c>
      <c r="B2559">
        <v>8413233</v>
      </c>
      <c r="C2559" t="s">
        <v>10</v>
      </c>
      <c r="D2559" t="s">
        <v>8</v>
      </c>
      <c r="E2559" s="4" t="str">
        <f>HYPERLINK("https://ibp.a2mac1.com/costing(costing:projects/details/9760/part/8413399)","Vibration Insulation")</f>
        <v>Vibration Insulation</v>
      </c>
      <c r="F2559" t="s">
        <v>2982</v>
      </c>
    </row>
    <row r="2560" spans="1:6" x14ac:dyDescent="0.15">
      <c r="A2560">
        <v>8413400</v>
      </c>
      <c r="B2560">
        <v>8413233</v>
      </c>
      <c r="C2560" t="s">
        <v>10</v>
      </c>
      <c r="D2560" t="s">
        <v>8</v>
      </c>
      <c r="E2560" s="4" t="str">
        <f>HYPERLINK("https://ibp.a2mac1.com/costing(costing:projects/details/9760/part/8413400)","Insulator")</f>
        <v>Insulator</v>
      </c>
      <c r="F2560" t="s">
        <v>2982</v>
      </c>
    </row>
    <row r="2561" spans="1:6" x14ac:dyDescent="0.15">
      <c r="A2561">
        <v>8413401</v>
      </c>
      <c r="B2561">
        <v>8413233</v>
      </c>
      <c r="C2561" t="s">
        <v>10</v>
      </c>
      <c r="D2561" t="s">
        <v>8</v>
      </c>
      <c r="E2561" s="4" t="str">
        <f>HYPERLINK("https://ibp.a2mac1.com/costing(costing:projects/details/9760/part/8413401)","Insulation Protection")</f>
        <v>Insulation Protection</v>
      </c>
      <c r="F2561" t="s">
        <v>2982</v>
      </c>
    </row>
    <row r="2562" spans="1:6" x14ac:dyDescent="0.15">
      <c r="A2562">
        <v>8413402</v>
      </c>
      <c r="B2562">
        <v>8413233</v>
      </c>
      <c r="C2562" t="s">
        <v>10</v>
      </c>
      <c r="D2562" t="s">
        <v>8</v>
      </c>
      <c r="E2562" s="4" t="str">
        <f>HYPERLINK("https://ibp.a2mac1.com/costing(costing:projects/details/9760/part/8413402)","Insulator/Shield, Lower")</f>
        <v>Insulator/Shield, Lower</v>
      </c>
      <c r="F2562" t="s">
        <v>2982</v>
      </c>
    </row>
    <row r="2563" spans="1:6" x14ac:dyDescent="0.15">
      <c r="A2563">
        <v>8413403</v>
      </c>
      <c r="B2563">
        <v>8413233</v>
      </c>
      <c r="C2563" t="s">
        <v>10</v>
      </c>
      <c r="D2563" t="s">
        <v>8</v>
      </c>
      <c r="E2563" s="4" t="str">
        <f>HYPERLINK("https://ibp.a2mac1.com/costing(costing:projects/details/9760/part/8413403)","Insulation 1")</f>
        <v>Insulation 1</v>
      </c>
      <c r="F2563" t="s">
        <v>2982</v>
      </c>
    </row>
    <row r="2564" spans="1:6" x14ac:dyDescent="0.15">
      <c r="A2564">
        <v>8413404</v>
      </c>
      <c r="B2564">
        <v>8413233</v>
      </c>
      <c r="C2564" t="s">
        <v>10</v>
      </c>
      <c r="D2564" t="s">
        <v>8</v>
      </c>
      <c r="E2564" s="4" t="str">
        <f>HYPERLINK("https://ibp.a2mac1.com/costing(costing:projects/details/9760/part/8413404)","Insulation 2")</f>
        <v>Insulation 2</v>
      </c>
      <c r="F2564" t="s">
        <v>2982</v>
      </c>
    </row>
    <row r="2565" spans="1:6" x14ac:dyDescent="0.15">
      <c r="A2565">
        <v>8413405</v>
      </c>
      <c r="B2565">
        <v>8413233</v>
      </c>
      <c r="C2565" t="s">
        <v>10</v>
      </c>
      <c r="D2565" t="s">
        <v>8</v>
      </c>
      <c r="E2565" s="4" t="str">
        <f>HYPERLINK("https://ibp.a2mac1.com/costing(costing:projects/details/9760/part/8413405)","Insulation 3")</f>
        <v>Insulation 3</v>
      </c>
      <c r="F2565" t="s">
        <v>2982</v>
      </c>
    </row>
    <row r="2566" spans="1:6" x14ac:dyDescent="0.15">
      <c r="A2566">
        <v>8413406</v>
      </c>
      <c r="B2566">
        <v>8413233</v>
      </c>
      <c r="C2566" t="s">
        <v>10</v>
      </c>
      <c r="D2566" t="s">
        <v>8</v>
      </c>
      <c r="E2566" s="4" t="str">
        <f>HYPERLINK("https://ibp.a2mac1.com/costing(costing:projects/details/9760/part/8413406)","Insulation 4")</f>
        <v>Insulation 4</v>
      </c>
      <c r="F2566" t="s">
        <v>2982</v>
      </c>
    </row>
    <row r="2567" spans="1:6" x14ac:dyDescent="0.15">
      <c r="A2567">
        <v>8413407</v>
      </c>
      <c r="B2567">
        <v>8413233</v>
      </c>
      <c r="C2567" t="s">
        <v>10</v>
      </c>
      <c r="D2567" t="s">
        <v>8</v>
      </c>
      <c r="E2567" s="4" t="str">
        <f>HYPERLINK("https://ibp.a2mac1.com/costing(costing:projects/details/9760/part/8413407)","Insulation 5")</f>
        <v>Insulation 5</v>
      </c>
      <c r="F2567" t="s">
        <v>2982</v>
      </c>
    </row>
    <row r="2568" spans="1:6" x14ac:dyDescent="0.15">
      <c r="A2568">
        <v>8413234</v>
      </c>
      <c r="B2568">
        <v>8413085</v>
      </c>
      <c r="C2568" t="s">
        <v>8</v>
      </c>
      <c r="D2568" t="s">
        <v>8</v>
      </c>
      <c r="E2568" s="4" t="str">
        <f>HYPERLINK("https://ibp.a2mac1.com/costing(costing:projects/details/9760/assembly/8413234)","Insulation Sheet")</f>
        <v>Insulation Sheet</v>
      </c>
      <c r="F2568" t="s">
        <v>2813</v>
      </c>
    </row>
    <row r="2569" spans="1:6" x14ac:dyDescent="0.15">
      <c r="A2569">
        <v>8413408</v>
      </c>
      <c r="B2569">
        <v>8413234</v>
      </c>
      <c r="C2569" t="s">
        <v>10</v>
      </c>
      <c r="D2569" t="s">
        <v>8</v>
      </c>
      <c r="E2569" s="4" t="str">
        <f>HYPERLINK("https://ibp.a2mac1.com/costing(costing:projects/details/9760/part/8413408)","Insulation Sheet 1")</f>
        <v>Insulation Sheet 1</v>
      </c>
      <c r="F2569" t="s">
        <v>2993</v>
      </c>
    </row>
    <row r="2570" spans="1:6" x14ac:dyDescent="0.15">
      <c r="A2570">
        <v>8413409</v>
      </c>
      <c r="B2570">
        <v>8413234</v>
      </c>
      <c r="C2570" t="s">
        <v>10</v>
      </c>
      <c r="D2570" t="s">
        <v>8</v>
      </c>
      <c r="E2570" s="4" t="str">
        <f>HYPERLINK("https://ibp.a2mac1.com/costing(costing:projects/details/9760/part/8413409)","Insulation Sheet 2")</f>
        <v>Insulation Sheet 2</v>
      </c>
      <c r="F2570" t="s">
        <v>2993</v>
      </c>
    </row>
    <row r="2571" spans="1:6" x14ac:dyDescent="0.15">
      <c r="A2571">
        <v>8413410</v>
      </c>
      <c r="B2571">
        <v>8413234</v>
      </c>
      <c r="C2571" t="s">
        <v>10</v>
      </c>
      <c r="D2571" t="s">
        <v>8</v>
      </c>
      <c r="E2571" s="4" t="str">
        <f>HYPERLINK("https://ibp.a2mac1.com/costing(costing:projects/details/9760/part/8413410)","Insulation Sheet 3")</f>
        <v>Insulation Sheet 3</v>
      </c>
      <c r="F2571" t="s">
        <v>2993</v>
      </c>
    </row>
    <row r="2572" spans="1:6" x14ac:dyDescent="0.15">
      <c r="A2572">
        <v>8413411</v>
      </c>
      <c r="B2572">
        <v>8413234</v>
      </c>
      <c r="C2572" t="s">
        <v>10</v>
      </c>
      <c r="D2572" t="s">
        <v>8</v>
      </c>
      <c r="E2572" s="4" t="str">
        <f>HYPERLINK("https://ibp.a2mac1.com/costing(costing:projects/details/9760/part/8413411)","Insulation Sheet 4")</f>
        <v>Insulation Sheet 4</v>
      </c>
      <c r="F2572" t="s">
        <v>2993</v>
      </c>
    </row>
    <row r="2573" spans="1:6" x14ac:dyDescent="0.15">
      <c r="A2573">
        <v>8413235</v>
      </c>
      <c r="B2573">
        <v>8413085</v>
      </c>
      <c r="C2573" t="s">
        <v>8</v>
      </c>
      <c r="D2573" t="s">
        <v>8</v>
      </c>
      <c r="E2573" s="4" t="str">
        <f>HYPERLINK("https://ibp.a2mac1.com/costing(costing:projects/details/9760/assembly/8413235)","Covers")</f>
        <v>Covers</v>
      </c>
      <c r="F2573" t="s">
        <v>2813</v>
      </c>
    </row>
    <row r="2574" spans="1:6" x14ac:dyDescent="0.15">
      <c r="A2574">
        <v>8413412</v>
      </c>
      <c r="B2574">
        <v>8413235</v>
      </c>
      <c r="C2574" t="s">
        <v>10</v>
      </c>
      <c r="D2574" t="s">
        <v>8</v>
      </c>
      <c r="E2574" s="4" t="str">
        <f>HYPERLINK("https://ibp.a2mac1.com/costing(costing:projects/details/9760/part/8413412)","Cover 1")</f>
        <v>Cover 1</v>
      </c>
      <c r="F2574" t="s">
        <v>2999</v>
      </c>
    </row>
    <row r="2575" spans="1:6" x14ac:dyDescent="0.15">
      <c r="A2575">
        <v>8413413</v>
      </c>
      <c r="B2575">
        <v>8413235</v>
      </c>
      <c r="C2575" t="s">
        <v>10</v>
      </c>
      <c r="D2575" t="s">
        <v>8</v>
      </c>
      <c r="E2575" s="4" t="str">
        <f>HYPERLINK("https://ibp.a2mac1.com/costing(costing:projects/details/9760/part/8413413)","Cover 2")</f>
        <v>Cover 2</v>
      </c>
      <c r="F2575" t="s">
        <v>2999</v>
      </c>
    </row>
    <row r="2576" spans="1:6" x14ac:dyDescent="0.15">
      <c r="A2576">
        <v>8413414</v>
      </c>
      <c r="B2576">
        <v>8413235</v>
      </c>
      <c r="C2576" t="s">
        <v>10</v>
      </c>
      <c r="D2576" t="s">
        <v>8</v>
      </c>
      <c r="E2576" s="4" t="str">
        <f>HYPERLINK("https://ibp.a2mac1.com/costing(costing:projects/details/9760/part/8413414)","Cover 3")</f>
        <v>Cover 3</v>
      </c>
      <c r="F2576" t="s">
        <v>2999</v>
      </c>
    </row>
    <row r="2577" spans="1:6" x14ac:dyDescent="0.15">
      <c r="A2577">
        <v>8413415</v>
      </c>
      <c r="B2577">
        <v>8413235</v>
      </c>
      <c r="C2577" t="s">
        <v>10</v>
      </c>
      <c r="D2577" t="s">
        <v>8</v>
      </c>
      <c r="E2577" s="4" t="str">
        <f>HYPERLINK("https://ibp.a2mac1.com/costing(costing:projects/details/9760/part/8413415)","Cover 4")</f>
        <v>Cover 4</v>
      </c>
      <c r="F2577" t="s">
        <v>2999</v>
      </c>
    </row>
    <row r="2578" spans="1:6" x14ac:dyDescent="0.15">
      <c r="A2578">
        <v>8413236</v>
      </c>
      <c r="B2578">
        <v>8413085</v>
      </c>
      <c r="C2578" t="s">
        <v>8</v>
      </c>
      <c r="D2578" t="s">
        <v>8</v>
      </c>
      <c r="E2578" s="4" t="str">
        <f>HYPERLINK("https://ibp.a2mac1.com/costing(costing:projects/details/9760/assembly/8413236)","Sealing")</f>
        <v>Sealing</v>
      </c>
      <c r="F2578" t="s">
        <v>2813</v>
      </c>
    </row>
    <row r="2579" spans="1:6" x14ac:dyDescent="0.15">
      <c r="A2579">
        <v>8413416</v>
      </c>
      <c r="B2579">
        <v>8413236</v>
      </c>
      <c r="C2579" t="s">
        <v>10</v>
      </c>
      <c r="D2579" t="s">
        <v>8</v>
      </c>
      <c r="E2579" s="4" t="str">
        <f>HYPERLINK("https://ibp.a2mac1.com/costing(costing:projects/details/9760/part/8413416)","Seal")</f>
        <v>Seal</v>
      </c>
      <c r="F2579" t="s">
        <v>3006</v>
      </c>
    </row>
    <row r="2580" spans="1:6" x14ac:dyDescent="0.15">
      <c r="A2580">
        <v>8413417</v>
      </c>
      <c r="B2580">
        <v>8413236</v>
      </c>
      <c r="C2580" t="s">
        <v>10</v>
      </c>
      <c r="D2580" t="s">
        <v>8</v>
      </c>
      <c r="E2580" s="4" t="str">
        <f>HYPERLINK("https://ibp.a2mac1.com/costing(costing:projects/details/9760/part/8413417)","Second Seal")</f>
        <v>Second Seal</v>
      </c>
      <c r="F2580" t="s">
        <v>3006</v>
      </c>
    </row>
    <row r="2581" spans="1:6" x14ac:dyDescent="0.15">
      <c r="A2581">
        <v>8413418</v>
      </c>
      <c r="B2581">
        <v>8413236</v>
      </c>
      <c r="C2581" t="s">
        <v>10</v>
      </c>
      <c r="D2581" t="s">
        <v>8</v>
      </c>
      <c r="E2581" s="4" t="str">
        <f>HYPERLINK("https://ibp.a2mac1.com/costing(costing:projects/details/9760/part/8413418)","Third Seal")</f>
        <v>Third Seal</v>
      </c>
      <c r="F2581" t="s">
        <v>3006</v>
      </c>
    </row>
    <row r="2582" spans="1:6" x14ac:dyDescent="0.15">
      <c r="A2582">
        <v>8413419</v>
      </c>
      <c r="B2582">
        <v>8413236</v>
      </c>
      <c r="C2582" t="s">
        <v>10</v>
      </c>
      <c r="D2582" t="s">
        <v>8</v>
      </c>
      <c r="E2582" s="4" t="str">
        <f>HYPERLINK("https://ibp.a2mac1.com/costing(costing:projects/details/9760/part/8413419)","Fourth Seal")</f>
        <v>Fourth Seal</v>
      </c>
      <c r="F2582" t="s">
        <v>3006</v>
      </c>
    </row>
    <row r="2583" spans="1:6" x14ac:dyDescent="0.15">
      <c r="A2583">
        <v>8413237</v>
      </c>
      <c r="B2583">
        <v>8413085</v>
      </c>
      <c r="C2583" t="s">
        <v>8</v>
      </c>
      <c r="D2583" t="s">
        <v>8</v>
      </c>
      <c r="E2583" s="4" t="str">
        <f>HYPERLINK("https://ibp.a2mac1.com/costing(costing:projects/details/9760/assembly/8413237)","Vent Valve protection")</f>
        <v>Vent Valve protection</v>
      </c>
      <c r="F2583" t="s">
        <v>2813</v>
      </c>
    </row>
    <row r="2584" spans="1:6" x14ac:dyDescent="0.15">
      <c r="A2584">
        <v>8413420</v>
      </c>
      <c r="B2584">
        <v>8413237</v>
      </c>
      <c r="C2584" t="s">
        <v>10</v>
      </c>
      <c r="D2584" t="s">
        <v>8</v>
      </c>
      <c r="E2584" s="4" t="str">
        <f>HYPERLINK("https://ibp.a2mac1.com/costing(costing:projects/details/9760/part/8413420)","Lower Protection")</f>
        <v>Lower Protection</v>
      </c>
      <c r="F2584" t="s">
        <v>3011</v>
      </c>
    </row>
    <row r="2585" spans="1:6" x14ac:dyDescent="0.15">
      <c r="A2585">
        <v>8413086</v>
      </c>
      <c r="B2585">
        <v>8412994</v>
      </c>
      <c r="C2585" t="s">
        <v>8</v>
      </c>
      <c r="D2585" t="s">
        <v>8</v>
      </c>
      <c r="E2585" s="4" t="str">
        <f>HYPERLINK("https://ibp.a2mac1.com/costing(costing:projects/details/9760/assembly/8413086)","Thermal Control System (air/liquid)")</f>
        <v>Thermal Control System (air/liquid)</v>
      </c>
      <c r="F2585" t="s">
        <v>2787</v>
      </c>
    </row>
    <row r="2586" spans="1:6" x14ac:dyDescent="0.15">
      <c r="A2586">
        <v>8413238</v>
      </c>
      <c r="B2586">
        <v>8413086</v>
      </c>
      <c r="C2586" t="s">
        <v>8</v>
      </c>
      <c r="D2586" t="s">
        <v>8</v>
      </c>
      <c r="E2586" s="4" t="str">
        <f>HYPERLINK("https://ibp.a2mac1.com/costing(costing:projects/details/9760/assembly/8413238)","Hose")</f>
        <v>Hose</v>
      </c>
      <c r="F2586" t="s">
        <v>3015</v>
      </c>
    </row>
    <row r="2587" spans="1:6" x14ac:dyDescent="0.15">
      <c r="A2587">
        <v>8413421</v>
      </c>
      <c r="B2587">
        <v>8413238</v>
      </c>
      <c r="C2587" t="s">
        <v>10</v>
      </c>
      <c r="D2587" t="s">
        <v>8</v>
      </c>
      <c r="E2587" s="4" t="str">
        <f>HYPERLINK("https://ibp.a2mac1.com/costing(costing:projects/details/9760/part/8413421)","Hose 1")</f>
        <v>Hose 1</v>
      </c>
      <c r="F2587" t="s">
        <v>3016</v>
      </c>
    </row>
    <row r="2588" spans="1:6" x14ac:dyDescent="0.15">
      <c r="A2588">
        <v>8413422</v>
      </c>
      <c r="B2588">
        <v>8413238</v>
      </c>
      <c r="C2588" t="s">
        <v>10</v>
      </c>
      <c r="D2588" t="s">
        <v>8</v>
      </c>
      <c r="E2588" s="4" t="str">
        <f>HYPERLINK("https://ibp.a2mac1.com/costing(costing:projects/details/9760/part/8413422)","Hose 2")</f>
        <v>Hose 2</v>
      </c>
      <c r="F2588" t="s">
        <v>3016</v>
      </c>
    </row>
    <row r="2589" spans="1:6" x14ac:dyDescent="0.15">
      <c r="A2589">
        <v>8413423</v>
      </c>
      <c r="B2589">
        <v>8413238</v>
      </c>
      <c r="C2589" t="s">
        <v>10</v>
      </c>
      <c r="D2589" t="s">
        <v>8</v>
      </c>
      <c r="E2589" s="4" t="str">
        <f>HYPERLINK("https://ibp.a2mac1.com/costing(costing:projects/details/9760/part/8413423)","Hose 3")</f>
        <v>Hose 3</v>
      </c>
      <c r="F2589" t="s">
        <v>3016</v>
      </c>
    </row>
    <row r="2590" spans="1:6" x14ac:dyDescent="0.15">
      <c r="A2590">
        <v>8413239</v>
      </c>
      <c r="B2590">
        <v>8413086</v>
      </c>
      <c r="C2590" t="s">
        <v>8</v>
      </c>
      <c r="D2590" t="s">
        <v>8</v>
      </c>
      <c r="E2590" s="4" t="str">
        <f>HYPERLINK("https://ibp.a2mac1.com/costing(costing:projects/details/9760/assembly/8413239)","Hose Connector")</f>
        <v>Hose Connector</v>
      </c>
      <c r="F2590" t="s">
        <v>3015</v>
      </c>
    </row>
    <row r="2591" spans="1:6" x14ac:dyDescent="0.15">
      <c r="A2591">
        <v>8413424</v>
      </c>
      <c r="B2591">
        <v>8413239</v>
      </c>
      <c r="C2591" t="s">
        <v>10</v>
      </c>
      <c r="D2591" t="s">
        <v>8</v>
      </c>
      <c r="E2591" s="4" t="str">
        <f>HYPERLINK("https://ibp.a2mac1.com/costing(costing:projects/details/9760/part/8413424)","Hose Connector 1")</f>
        <v>Hose Connector 1</v>
      </c>
      <c r="F2591" t="s">
        <v>3021</v>
      </c>
    </row>
    <row r="2592" spans="1:6" x14ac:dyDescent="0.15">
      <c r="A2592">
        <v>8413240</v>
      </c>
      <c r="B2592">
        <v>8413086</v>
      </c>
      <c r="C2592" t="s">
        <v>8</v>
      </c>
      <c r="D2592" t="s">
        <v>8</v>
      </c>
      <c r="E2592" s="4" t="str">
        <f>HYPERLINK("https://ibp.a2mac1.com/costing(costing:projects/details/9760/assembly/8413240)","Cooling Plate")</f>
        <v>Cooling Plate</v>
      </c>
      <c r="F2592" t="s">
        <v>3015</v>
      </c>
    </row>
    <row r="2593" spans="1:6" x14ac:dyDescent="0.15">
      <c r="A2593">
        <v>8413425</v>
      </c>
      <c r="B2593">
        <v>8413240</v>
      </c>
      <c r="C2593" t="s">
        <v>10</v>
      </c>
      <c r="D2593" t="s">
        <v>8</v>
      </c>
      <c r="E2593" s="4" t="str">
        <f>HYPERLINK("https://ibp.a2mac1.com/costing(costing:projects/details/9760/part/8413425)","Cooling Plate 1")</f>
        <v>Cooling Plate 1</v>
      </c>
      <c r="F2593" t="s">
        <v>3024</v>
      </c>
    </row>
    <row r="2594" spans="1:6" x14ac:dyDescent="0.15">
      <c r="A2594">
        <v>8413426</v>
      </c>
      <c r="B2594">
        <v>8413240</v>
      </c>
      <c r="C2594" t="s">
        <v>10</v>
      </c>
      <c r="D2594" t="s">
        <v>8</v>
      </c>
      <c r="E2594" s="4" t="str">
        <f>HYPERLINK("https://ibp.a2mac1.com/costing(costing:projects/details/9760/part/8413426)","Cooling Plate 2")</f>
        <v>Cooling Plate 2</v>
      </c>
      <c r="F2594" t="s">
        <v>3024</v>
      </c>
    </row>
    <row r="2595" spans="1:6" x14ac:dyDescent="0.15">
      <c r="A2595">
        <v>8413427</v>
      </c>
      <c r="B2595">
        <v>8413240</v>
      </c>
      <c r="C2595" t="s">
        <v>10</v>
      </c>
      <c r="D2595" t="s">
        <v>8</v>
      </c>
      <c r="E2595" s="4" t="str">
        <f>HYPERLINK("https://ibp.a2mac1.com/costing(costing:projects/details/9760/part/8413427)","Cooling Plate 3")</f>
        <v>Cooling Plate 3</v>
      </c>
      <c r="F2595" t="s">
        <v>3024</v>
      </c>
    </row>
    <row r="2596" spans="1:6" x14ac:dyDescent="0.15">
      <c r="A2596">
        <v>8413241</v>
      </c>
      <c r="B2596">
        <v>8413086</v>
      </c>
      <c r="C2596" t="s">
        <v>8</v>
      </c>
      <c r="D2596" t="s">
        <v>8</v>
      </c>
      <c r="E2596" s="4" t="str">
        <f>HYPERLINK("https://ibp.a2mac1.com/costing(costing:projects/details/9760/assembly/8413241)","Cooling Quick Disconnect")</f>
        <v>Cooling Quick Disconnect</v>
      </c>
      <c r="F2596" t="s">
        <v>3015</v>
      </c>
    </row>
    <row r="2597" spans="1:6" x14ac:dyDescent="0.15">
      <c r="A2597">
        <v>8413428</v>
      </c>
      <c r="B2597">
        <v>8413241</v>
      </c>
      <c r="C2597" t="s">
        <v>10</v>
      </c>
      <c r="D2597" t="s">
        <v>8</v>
      </c>
      <c r="E2597" s="4" t="str">
        <f>HYPERLINK("https://ibp.a2mac1.com/costing(costing:projects/details/9760/part/8413428)","Coolant Quick Disconnect")</f>
        <v>Coolant Quick Disconnect</v>
      </c>
      <c r="F2597" t="s">
        <v>3029</v>
      </c>
    </row>
    <row r="2598" spans="1:6" x14ac:dyDescent="0.15">
      <c r="A2598">
        <v>8413429</v>
      </c>
      <c r="B2598">
        <v>8413241</v>
      </c>
      <c r="C2598" t="s">
        <v>10</v>
      </c>
      <c r="D2598" t="s">
        <v>8</v>
      </c>
      <c r="E2598" s="4" t="str">
        <f>HYPERLINK("https://ibp.a2mac1.com/costing(costing:projects/details/9760/part/8413429)","Coolant Quick Disconnect 2")</f>
        <v>Coolant Quick Disconnect 2</v>
      </c>
      <c r="F2598" t="s">
        <v>3029</v>
      </c>
    </row>
    <row r="2599" spans="1:6" x14ac:dyDescent="0.15">
      <c r="A2599">
        <v>8413430</v>
      </c>
      <c r="B2599">
        <v>8413241</v>
      </c>
      <c r="C2599" t="s">
        <v>10</v>
      </c>
      <c r="D2599" t="s">
        <v>8</v>
      </c>
      <c r="E2599" s="4" t="str">
        <f>HYPERLINK("https://ibp.a2mac1.com/costing(costing:projects/details/9760/part/8413430)","Coolant Quick Disconnect 3")</f>
        <v>Coolant Quick Disconnect 3</v>
      </c>
      <c r="F2599" t="s">
        <v>3029</v>
      </c>
    </row>
    <row r="2600" spans="1:6" x14ac:dyDescent="0.15">
      <c r="A2600">
        <v>8413242</v>
      </c>
      <c r="B2600">
        <v>8413086</v>
      </c>
      <c r="C2600" t="s">
        <v>8</v>
      </c>
      <c r="D2600" t="s">
        <v>8</v>
      </c>
      <c r="E2600" s="4" t="str">
        <f>HYPERLINK("https://ibp.a2mac1.com/costing(costing:projects/details/9760/assembly/8413242)","Thermal Paste")</f>
        <v>Thermal Paste</v>
      </c>
      <c r="F2600" t="s">
        <v>3015</v>
      </c>
    </row>
    <row r="2601" spans="1:6" x14ac:dyDescent="0.15">
      <c r="A2601">
        <v>8413431</v>
      </c>
      <c r="B2601">
        <v>8413242</v>
      </c>
      <c r="C2601" t="s">
        <v>10</v>
      </c>
      <c r="D2601" t="s">
        <v>8</v>
      </c>
      <c r="E2601" s="4" t="str">
        <f>HYPERLINK("https://ibp.a2mac1.com/costing(costing:projects/details/9760/part/8413431)","Thermal Paste")</f>
        <v>Thermal Paste</v>
      </c>
      <c r="F2601" t="s">
        <v>3034</v>
      </c>
    </row>
    <row r="2602" spans="1:6" x14ac:dyDescent="0.15">
      <c r="A2602">
        <v>8413432</v>
      </c>
      <c r="B2602">
        <v>8413242</v>
      </c>
      <c r="C2602" t="s">
        <v>10</v>
      </c>
      <c r="D2602" t="s">
        <v>8</v>
      </c>
      <c r="E2602" s="4" t="str">
        <f>HYPERLINK("https://ibp.a2mac1.com/costing(costing:projects/details/9760/part/8413432)","Thermal Paste 2")</f>
        <v>Thermal Paste 2</v>
      </c>
      <c r="F2602" t="s">
        <v>3034</v>
      </c>
    </row>
    <row r="2603" spans="1:6" x14ac:dyDescent="0.15">
      <c r="A2603">
        <v>8413087</v>
      </c>
      <c r="B2603">
        <v>8412994</v>
      </c>
      <c r="C2603" t="s">
        <v>8</v>
      </c>
      <c r="D2603" t="s">
        <v>8</v>
      </c>
      <c r="E2603" s="4" t="str">
        <f>HYPERLINK("https://ibp.a2mac1.com/costing(costing:projects/details/9760/assembly/8413087)","Off-Gas Vent System")</f>
        <v>Off-Gas Vent System</v>
      </c>
      <c r="F2603" t="s">
        <v>2787</v>
      </c>
    </row>
    <row r="2604" spans="1:6" x14ac:dyDescent="0.15">
      <c r="A2604">
        <v>8413243</v>
      </c>
      <c r="B2604">
        <v>8413087</v>
      </c>
      <c r="C2604" t="s">
        <v>10</v>
      </c>
      <c r="D2604" t="s">
        <v>8</v>
      </c>
      <c r="E2604" s="4" t="str">
        <f>HYPERLINK("https://ibp.a2mac1.com/costing(costing:projects/details/9760/part/8413243)","Vent Valve")</f>
        <v>Vent Valve</v>
      </c>
      <c r="F2604" t="s">
        <v>3038</v>
      </c>
    </row>
    <row r="2605" spans="1:6" x14ac:dyDescent="0.15">
      <c r="A2605">
        <v>8413244</v>
      </c>
      <c r="B2605">
        <v>8413087</v>
      </c>
      <c r="C2605" t="s">
        <v>10</v>
      </c>
      <c r="D2605" t="s">
        <v>8</v>
      </c>
      <c r="E2605" s="4" t="str">
        <f>HYPERLINK("https://ibp.a2mac1.com/costing(costing:projects/details/9760/part/8413244)","Protection")</f>
        <v>Protection</v>
      </c>
      <c r="F2605" t="s">
        <v>3038</v>
      </c>
    </row>
    <row r="2606" spans="1:6" x14ac:dyDescent="0.15">
      <c r="A2606">
        <v>8413245</v>
      </c>
      <c r="B2606">
        <v>8413087</v>
      </c>
      <c r="C2606" t="s">
        <v>10</v>
      </c>
      <c r="D2606" t="s">
        <v>8</v>
      </c>
      <c r="E2606" s="4" t="str">
        <f>HYPERLINK("https://ibp.a2mac1.com/costing(costing:projects/details/9760/part/8413245)","Degassing Unit 1")</f>
        <v>Degassing Unit 1</v>
      </c>
      <c r="F2606" t="s">
        <v>3038</v>
      </c>
    </row>
    <row r="2607" spans="1:6" x14ac:dyDescent="0.15">
      <c r="A2607">
        <v>8413088</v>
      </c>
      <c r="B2607">
        <v>8412994</v>
      </c>
      <c r="C2607" t="s">
        <v>8</v>
      </c>
      <c r="D2607" t="s">
        <v>8</v>
      </c>
      <c r="E2607" s="4" t="str">
        <f>HYPERLINK("https://ibp.a2mac1.com/costing(costing:projects/details/9760/assembly/8413088)","Electrical Components")</f>
        <v>Electrical Components</v>
      </c>
      <c r="F2607" t="s">
        <v>2787</v>
      </c>
    </row>
    <row r="2608" spans="1:6" x14ac:dyDescent="0.15">
      <c r="A2608">
        <v>8413246</v>
      </c>
      <c r="B2608">
        <v>8413088</v>
      </c>
      <c r="C2608" t="s">
        <v>8</v>
      </c>
      <c r="D2608" t="s">
        <v>8</v>
      </c>
      <c r="E2608" s="4" t="str">
        <f>HYPERLINK("https://ibp.a2mac1.com/costing(costing:projects/details/9760/assembly/8413246)","BMS Master ECU")</f>
        <v>BMS Master ECU</v>
      </c>
      <c r="F2608" t="s">
        <v>3043</v>
      </c>
    </row>
    <row r="2609" spans="1:6" x14ac:dyDescent="0.15">
      <c r="A2609">
        <v>8413433</v>
      </c>
      <c r="B2609">
        <v>8413246</v>
      </c>
      <c r="C2609" t="s">
        <v>10</v>
      </c>
      <c r="D2609" t="s">
        <v>8</v>
      </c>
      <c r="E2609" s="4" t="str">
        <f>HYPERLINK("https://ibp.a2mac1.com/costing(costing:projects/details/9760/part/8413433)","PCB")</f>
        <v>PCB</v>
      </c>
      <c r="F2609" t="s">
        <v>3044</v>
      </c>
    </row>
    <row r="2610" spans="1:6" x14ac:dyDescent="0.15">
      <c r="A2610">
        <v>12084082</v>
      </c>
      <c r="B2610">
        <v>8413246</v>
      </c>
      <c r="C2610" t="s">
        <v>114</v>
      </c>
      <c r="D2610" t="s">
        <v>8</v>
      </c>
      <c r="E2610" s="4" t="str">
        <f>HYPERLINK("https://ibp.a2mac1.com/costing(costing:projects/details/9760/process/12084082)","Process")</f>
        <v>Process</v>
      </c>
      <c r="F2610" t="s">
        <v>3044</v>
      </c>
    </row>
    <row r="2611" spans="1:6" x14ac:dyDescent="0.15">
      <c r="A2611">
        <v>8752972</v>
      </c>
      <c r="B2611">
        <v>8413246</v>
      </c>
      <c r="C2611" t="s">
        <v>311</v>
      </c>
      <c r="D2611" t="s">
        <v>8</v>
      </c>
      <c r="E2611" s="4" t="str">
        <f>HYPERLINK("https://ibp.a2mac1.com/costing(costing:projects/details/9760/component/8752972)","Electronic Parts")</f>
        <v>Electronic Parts</v>
      </c>
      <c r="F2611" t="s">
        <v>3044</v>
      </c>
    </row>
    <row r="2612" spans="1:6" x14ac:dyDescent="0.15">
      <c r="A2612">
        <v>8752973</v>
      </c>
      <c r="B2612">
        <v>8413246</v>
      </c>
      <c r="C2612" t="s">
        <v>311</v>
      </c>
      <c r="D2612" t="s">
        <v>8</v>
      </c>
      <c r="E2612" s="4" t="str">
        <f>HYPERLINK("https://ibp.a2mac1.com/costing(costing:projects/details/9760/component/8752973)","Mechanical Parts")</f>
        <v>Mechanical Parts</v>
      </c>
      <c r="F2612" t="s">
        <v>3044</v>
      </c>
    </row>
    <row r="2613" spans="1:6" x14ac:dyDescent="0.15">
      <c r="A2613">
        <v>8413247</v>
      </c>
      <c r="B2613">
        <v>8413088</v>
      </c>
      <c r="C2613" t="s">
        <v>8</v>
      </c>
      <c r="D2613" t="s">
        <v>8</v>
      </c>
      <c r="E2613" s="4" t="str">
        <f>HYPERLINK("https://ibp.a2mac1.com/costing(costing:projects/details/9760/assembly/8413247)","Slave BMS ECU")</f>
        <v>Slave BMS ECU</v>
      </c>
      <c r="F2613" t="s">
        <v>3043</v>
      </c>
    </row>
    <row r="2614" spans="1:6" x14ac:dyDescent="0.15">
      <c r="A2614">
        <v>8413434</v>
      </c>
      <c r="B2614">
        <v>8413247</v>
      </c>
      <c r="C2614" t="s">
        <v>10</v>
      </c>
      <c r="D2614" t="s">
        <v>8</v>
      </c>
      <c r="E2614" s="4" t="str">
        <f>HYPERLINK("https://ibp.a2mac1.com/costing(costing:projects/details/9760/part/8413434)","PCB")</f>
        <v>PCB</v>
      </c>
      <c r="F2614" t="s">
        <v>3050</v>
      </c>
    </row>
    <row r="2615" spans="1:6" x14ac:dyDescent="0.15">
      <c r="A2615">
        <v>12084083</v>
      </c>
      <c r="B2615">
        <v>8413247</v>
      </c>
      <c r="C2615" t="s">
        <v>114</v>
      </c>
      <c r="D2615" t="s">
        <v>8</v>
      </c>
      <c r="E2615" s="4" t="str">
        <f>HYPERLINK("https://ibp.a2mac1.com/costing(costing:projects/details/9760/process/12084083)","Process")</f>
        <v>Process</v>
      </c>
      <c r="F2615" t="s">
        <v>3050</v>
      </c>
    </row>
    <row r="2616" spans="1:6" x14ac:dyDescent="0.15">
      <c r="A2616">
        <v>8752974</v>
      </c>
      <c r="B2616">
        <v>8413247</v>
      </c>
      <c r="C2616" t="s">
        <v>311</v>
      </c>
      <c r="D2616" t="s">
        <v>8</v>
      </c>
      <c r="E2616" s="4" t="str">
        <f>HYPERLINK("https://ibp.a2mac1.com/costing(costing:projects/details/9760/component/8752974)","Mechanical Parts")</f>
        <v>Mechanical Parts</v>
      </c>
      <c r="F2616" t="s">
        <v>3050</v>
      </c>
    </row>
    <row r="2617" spans="1:6" x14ac:dyDescent="0.15">
      <c r="A2617">
        <v>8752975</v>
      </c>
      <c r="B2617">
        <v>8413247</v>
      </c>
      <c r="C2617" t="s">
        <v>311</v>
      </c>
      <c r="D2617" t="s">
        <v>8</v>
      </c>
      <c r="E2617" s="4" t="str">
        <f>HYPERLINK("https://ibp.a2mac1.com/costing(costing:projects/details/9760/component/8752975)","Electronic Parts")</f>
        <v>Electronic Parts</v>
      </c>
      <c r="F2617" t="s">
        <v>3050</v>
      </c>
    </row>
    <row r="2618" spans="1:6" x14ac:dyDescent="0.15">
      <c r="A2618">
        <v>8413248</v>
      </c>
      <c r="B2618">
        <v>8413088</v>
      </c>
      <c r="C2618" t="s">
        <v>8</v>
      </c>
      <c r="D2618" t="s">
        <v>8</v>
      </c>
      <c r="E2618" s="4" t="str">
        <f>HYPERLINK("https://ibp.a2mac1.com/costing(costing:projects/details/9760/assembly/8413248)","HV Bus Bars")</f>
        <v>HV Bus Bars</v>
      </c>
      <c r="F2618" t="s">
        <v>3043</v>
      </c>
    </row>
    <row r="2619" spans="1:6" x14ac:dyDescent="0.15">
      <c r="A2619">
        <v>8413435</v>
      </c>
      <c r="B2619">
        <v>8413248</v>
      </c>
      <c r="C2619" t="s">
        <v>10</v>
      </c>
      <c r="D2619" t="s">
        <v>8</v>
      </c>
      <c r="E2619" s="4" t="str">
        <f>HYPERLINK("https://ibp.a2mac1.com/costing(costing:projects/details/9760/part/8413435)","Bus Bar 1")</f>
        <v>Bus Bar 1</v>
      </c>
      <c r="F2619" t="s">
        <v>3052</v>
      </c>
    </row>
    <row r="2620" spans="1:6" x14ac:dyDescent="0.15">
      <c r="A2620">
        <v>8413436</v>
      </c>
      <c r="B2620">
        <v>8413248</v>
      </c>
      <c r="C2620" t="s">
        <v>10</v>
      </c>
      <c r="D2620" t="s">
        <v>8</v>
      </c>
      <c r="E2620" s="4" t="str">
        <f>HYPERLINK("https://ibp.a2mac1.com/costing(costing:projects/details/9760/part/8413436)","Bus Bar 2")</f>
        <v>Bus Bar 2</v>
      </c>
      <c r="F2620" t="s">
        <v>3052</v>
      </c>
    </row>
    <row r="2621" spans="1:6" x14ac:dyDescent="0.15">
      <c r="A2621">
        <v>8413437</v>
      </c>
      <c r="B2621">
        <v>8413248</v>
      </c>
      <c r="C2621" t="s">
        <v>10</v>
      </c>
      <c r="D2621" t="s">
        <v>8</v>
      </c>
      <c r="E2621" s="4" t="str">
        <f>HYPERLINK("https://ibp.a2mac1.com/costing(costing:projects/details/9760/part/8413437)","Bus Bar 3")</f>
        <v>Bus Bar 3</v>
      </c>
      <c r="F2621" t="s">
        <v>3052</v>
      </c>
    </row>
    <row r="2622" spans="1:6" x14ac:dyDescent="0.15">
      <c r="A2622">
        <v>8413438</v>
      </c>
      <c r="B2622">
        <v>8413248</v>
      </c>
      <c r="C2622" t="s">
        <v>10</v>
      </c>
      <c r="D2622" t="s">
        <v>8</v>
      </c>
      <c r="E2622" s="4" t="str">
        <f>HYPERLINK("https://ibp.a2mac1.com/costing(costing:projects/details/9760/part/8413438)","Bus Bar 4")</f>
        <v>Bus Bar 4</v>
      </c>
      <c r="F2622" t="s">
        <v>3052</v>
      </c>
    </row>
    <row r="2623" spans="1:6" x14ac:dyDescent="0.15">
      <c r="A2623">
        <v>8413439</v>
      </c>
      <c r="B2623">
        <v>8413248</v>
      </c>
      <c r="C2623" t="s">
        <v>10</v>
      </c>
      <c r="D2623" t="s">
        <v>8</v>
      </c>
      <c r="E2623" s="4" t="str">
        <f>HYPERLINK("https://ibp.a2mac1.com/costing(costing:projects/details/9760/part/8413439)","Bus Bar 5")</f>
        <v>Bus Bar 5</v>
      </c>
      <c r="F2623" t="s">
        <v>3052</v>
      </c>
    </row>
    <row r="2624" spans="1:6" x14ac:dyDescent="0.15">
      <c r="A2624">
        <v>8413440</v>
      </c>
      <c r="B2624">
        <v>8413248</v>
      </c>
      <c r="C2624" t="s">
        <v>10</v>
      </c>
      <c r="D2624" t="s">
        <v>8</v>
      </c>
      <c r="E2624" s="4" t="str">
        <f>HYPERLINK("https://ibp.a2mac1.com/costing(costing:projects/details/9760/part/8413440)","Bus Bar 6")</f>
        <v>Bus Bar 6</v>
      </c>
      <c r="F2624" t="s">
        <v>3052</v>
      </c>
    </row>
    <row r="2625" spans="1:6" x14ac:dyDescent="0.15">
      <c r="A2625">
        <v>8413441</v>
      </c>
      <c r="B2625">
        <v>8413248</v>
      </c>
      <c r="C2625" t="s">
        <v>10</v>
      </c>
      <c r="D2625" t="s">
        <v>8</v>
      </c>
      <c r="E2625" s="4" t="str">
        <f>HYPERLINK("https://ibp.a2mac1.com/costing(costing:projects/details/9760/part/8413441)","Bus Bar 7")</f>
        <v>Bus Bar 7</v>
      </c>
      <c r="F2625" t="s">
        <v>3052</v>
      </c>
    </row>
    <row r="2626" spans="1:6" x14ac:dyDescent="0.15">
      <c r="A2626">
        <v>8413442</v>
      </c>
      <c r="B2626">
        <v>8413248</v>
      </c>
      <c r="C2626" t="s">
        <v>10</v>
      </c>
      <c r="D2626" t="s">
        <v>8</v>
      </c>
      <c r="E2626" s="4" t="str">
        <f>HYPERLINK("https://ibp.a2mac1.com/costing(costing:projects/details/9760/part/8413442)","Bus Bar 8")</f>
        <v>Bus Bar 8</v>
      </c>
      <c r="F2626" t="s">
        <v>3052</v>
      </c>
    </row>
    <row r="2627" spans="1:6" x14ac:dyDescent="0.15">
      <c r="A2627">
        <v>8413444</v>
      </c>
      <c r="B2627">
        <v>8413248</v>
      </c>
      <c r="C2627" t="s">
        <v>10</v>
      </c>
      <c r="D2627" t="s">
        <v>8</v>
      </c>
      <c r="E2627" s="4" t="str">
        <f>HYPERLINK("https://ibp.a2mac1.com/costing(costing:projects/details/9760/part/8413444)","Bus Bar 9")</f>
        <v>Bus Bar 9</v>
      </c>
      <c r="F2627" t="s">
        <v>3052</v>
      </c>
    </row>
    <row r="2628" spans="1:6" x14ac:dyDescent="0.15">
      <c r="A2628">
        <v>12084096</v>
      </c>
      <c r="B2628">
        <v>8413444</v>
      </c>
      <c r="C2628" t="s">
        <v>114</v>
      </c>
      <c r="D2628" t="s">
        <v>10</v>
      </c>
      <c r="E2628" s="4" t="str">
        <f>HYPERLINK("https://ibp.a2mac1.com/costing(costing:projects/details/9760/process/12084096)","Process")</f>
        <v>Process</v>
      </c>
      <c r="F2628" t="s">
        <v>3063</v>
      </c>
    </row>
    <row r="2629" spans="1:6" x14ac:dyDescent="0.15">
      <c r="A2629">
        <v>8753013</v>
      </c>
      <c r="B2629">
        <v>12084096</v>
      </c>
      <c r="C2629" t="s">
        <v>22</v>
      </c>
      <c r="D2629" t="s">
        <v>114</v>
      </c>
      <c r="E2629" s="4" t="str">
        <f>HYPERLINK("https://ibp.a2mac1.com/costing(costing:projects/details/9760/material/8753013)","Copper (default, e.g. CuZn30  / C26000)")</f>
        <v>Copper (default, e.g. CuZn30  / C26000)</v>
      </c>
      <c r="F2629" t="s">
        <v>3066</v>
      </c>
    </row>
    <row r="2630" spans="1:6" x14ac:dyDescent="0.15">
      <c r="A2630">
        <v>12211176</v>
      </c>
      <c r="B2630">
        <v>12084096</v>
      </c>
      <c r="C2630" t="s">
        <v>163</v>
      </c>
      <c r="D2630" t="s">
        <v>114</v>
      </c>
      <c r="E2630" s="4" t="str">
        <f>HYPERLINK("https://ibp.a2mac1.com/costing(costing:projects/details/9760/equipment/12211176)","General production process (&gt;10€)")</f>
        <v>General production process (&gt;10€)</v>
      </c>
      <c r="F2630" t="s">
        <v>3066</v>
      </c>
    </row>
    <row r="2631" spans="1:6" x14ac:dyDescent="0.15">
      <c r="A2631">
        <v>8413445</v>
      </c>
      <c r="B2631">
        <v>8413248</v>
      </c>
      <c r="C2631" t="s">
        <v>10</v>
      </c>
      <c r="D2631" t="s">
        <v>8</v>
      </c>
      <c r="E2631" s="4" t="str">
        <f>HYPERLINK("https://ibp.a2mac1.com/costing(costing:projects/details/9760/part/8413445)","Bus Bar Guards")</f>
        <v>Bus Bar Guards</v>
      </c>
      <c r="F2631" t="s">
        <v>3052</v>
      </c>
    </row>
    <row r="2632" spans="1:6" x14ac:dyDescent="0.15">
      <c r="A2632">
        <v>8413249</v>
      </c>
      <c r="B2632">
        <v>8413088</v>
      </c>
      <c r="C2632" t="s">
        <v>8</v>
      </c>
      <c r="D2632" t="s">
        <v>8</v>
      </c>
      <c r="E2632" s="4" t="str">
        <f>HYPERLINK("https://ibp.a2mac1.com/costing(costing:projects/details/9760/assembly/8413249)","Pressure Sensor")</f>
        <v>Pressure Sensor</v>
      </c>
      <c r="F2632" t="s">
        <v>3043</v>
      </c>
    </row>
    <row r="2633" spans="1:6" x14ac:dyDescent="0.15">
      <c r="A2633">
        <v>8413446</v>
      </c>
      <c r="B2633">
        <v>8413249</v>
      </c>
      <c r="C2633" t="s">
        <v>10</v>
      </c>
      <c r="D2633" t="s">
        <v>8</v>
      </c>
      <c r="E2633" s="4" t="str">
        <f>HYPERLINK("https://ibp.a2mac1.com/costing(costing:projects/details/9760/part/8413446)","PCB")</f>
        <v>PCB</v>
      </c>
      <c r="F2633" t="s">
        <v>3071</v>
      </c>
    </row>
    <row r="2634" spans="1:6" x14ac:dyDescent="0.15">
      <c r="A2634">
        <v>12084084</v>
      </c>
      <c r="B2634">
        <v>8413249</v>
      </c>
      <c r="C2634" t="s">
        <v>114</v>
      </c>
      <c r="D2634" t="s">
        <v>8</v>
      </c>
      <c r="E2634" s="4" t="str">
        <f>HYPERLINK("https://ibp.a2mac1.com/costing(costing:projects/details/9760/process/12084084)","Process")</f>
        <v>Process</v>
      </c>
      <c r="F2634" t="s">
        <v>3071</v>
      </c>
    </row>
    <row r="2635" spans="1:6" x14ac:dyDescent="0.15">
      <c r="A2635">
        <v>8752976</v>
      </c>
      <c r="B2635">
        <v>8413249</v>
      </c>
      <c r="C2635" t="s">
        <v>311</v>
      </c>
      <c r="D2635" t="s">
        <v>8</v>
      </c>
      <c r="E2635" s="4" t="str">
        <f>HYPERLINK("https://ibp.a2mac1.com/costing(costing:projects/details/9760/component/8752976)","Electronic Parts")</f>
        <v>Electronic Parts</v>
      </c>
      <c r="F2635" t="s">
        <v>3071</v>
      </c>
    </row>
    <row r="2636" spans="1:6" x14ac:dyDescent="0.15">
      <c r="A2636">
        <v>8752977</v>
      </c>
      <c r="B2636">
        <v>8413249</v>
      </c>
      <c r="C2636" t="s">
        <v>311</v>
      </c>
      <c r="D2636" t="s">
        <v>8</v>
      </c>
      <c r="E2636" s="4" t="str">
        <f>HYPERLINK("https://ibp.a2mac1.com/costing(costing:projects/details/9760/component/8752977)","Mechanical Parts")</f>
        <v>Mechanical Parts</v>
      </c>
      <c r="F2636" t="s">
        <v>3071</v>
      </c>
    </row>
    <row r="2637" spans="1:6" x14ac:dyDescent="0.15">
      <c r="A2637">
        <v>8413250</v>
      </c>
      <c r="B2637">
        <v>8413088</v>
      </c>
      <c r="C2637" t="s">
        <v>8</v>
      </c>
      <c r="D2637" t="s">
        <v>8</v>
      </c>
      <c r="E2637" s="4" t="str">
        <f>HYPERLINK("https://ibp.a2mac1.com/costing(costing:projects/details/9760/assembly/8413250)","Wire Harnesses")</f>
        <v>Wire Harnesses</v>
      </c>
      <c r="F2637" t="s">
        <v>3043</v>
      </c>
    </row>
    <row r="2638" spans="1:6" x14ac:dyDescent="0.15">
      <c r="A2638">
        <v>8413447</v>
      </c>
      <c r="B2638">
        <v>8413250</v>
      </c>
      <c r="C2638" t="s">
        <v>10</v>
      </c>
      <c r="D2638" t="s">
        <v>8</v>
      </c>
      <c r="E2638" s="4" t="str">
        <f>HYPERLINK("https://ibp.a2mac1.com/costing(costing:projects/details/9760/part/8413447)","Main Wire Harness")</f>
        <v>Main Wire Harness</v>
      </c>
      <c r="F2638" t="s">
        <v>3074</v>
      </c>
    </row>
    <row r="2639" spans="1:6" x14ac:dyDescent="0.15">
      <c r="A2639">
        <v>8413448</v>
      </c>
      <c r="B2639">
        <v>8413250</v>
      </c>
      <c r="C2639" t="s">
        <v>10</v>
      </c>
      <c r="D2639" t="s">
        <v>8</v>
      </c>
      <c r="E2639" s="4" t="str">
        <f>HYPERLINK("https://ibp.a2mac1.com/costing(costing:projects/details/9760/part/8413448)","Wire Harness 2")</f>
        <v>Wire Harness 2</v>
      </c>
      <c r="F2639" t="s">
        <v>3074</v>
      </c>
    </row>
    <row r="2640" spans="1:6" x14ac:dyDescent="0.15">
      <c r="A2640">
        <v>8413449</v>
      </c>
      <c r="B2640">
        <v>8413250</v>
      </c>
      <c r="C2640" t="s">
        <v>10</v>
      </c>
      <c r="D2640" t="s">
        <v>8</v>
      </c>
      <c r="E2640" s="4" t="str">
        <f>HYPERLINK("https://ibp.a2mac1.com/costing(costing:projects/details/9760/part/8413449)","Wire Harness 3")</f>
        <v>Wire Harness 3</v>
      </c>
      <c r="F2640" t="s">
        <v>3074</v>
      </c>
    </row>
    <row r="2641" spans="1:6" x14ac:dyDescent="0.15">
      <c r="A2641">
        <v>8413450</v>
      </c>
      <c r="B2641">
        <v>8413250</v>
      </c>
      <c r="C2641" t="s">
        <v>10</v>
      </c>
      <c r="D2641" t="s">
        <v>8</v>
      </c>
      <c r="E2641" s="4" t="str">
        <f>HYPERLINK("https://ibp.a2mac1.com/costing(costing:projects/details/9760/part/8413450)","Wire Harness 4")</f>
        <v>Wire Harness 4</v>
      </c>
      <c r="F2641" t="s">
        <v>3074</v>
      </c>
    </row>
    <row r="2642" spans="1:6" x14ac:dyDescent="0.15">
      <c r="A2642">
        <v>8413451</v>
      </c>
      <c r="B2642">
        <v>8413250</v>
      </c>
      <c r="C2642" t="s">
        <v>10</v>
      </c>
      <c r="D2642" t="s">
        <v>8</v>
      </c>
      <c r="E2642" s="4" t="str">
        <f>HYPERLINK("https://ibp.a2mac1.com/costing(costing:projects/details/9760/part/8413451)","Wire Harness 5")</f>
        <v>Wire Harness 5</v>
      </c>
      <c r="F2642" t="s">
        <v>3074</v>
      </c>
    </row>
    <row r="2643" spans="1:6" x14ac:dyDescent="0.15">
      <c r="A2643">
        <v>8413452</v>
      </c>
      <c r="B2643">
        <v>8413250</v>
      </c>
      <c r="C2643" t="s">
        <v>10</v>
      </c>
      <c r="D2643" t="s">
        <v>8</v>
      </c>
      <c r="E2643" s="4" t="str">
        <f>HYPERLINK("https://ibp.a2mac1.com/costing(costing:projects/details/9760/part/8413452)","Wire Harness 6")</f>
        <v>Wire Harness 6</v>
      </c>
      <c r="F2643" t="s">
        <v>3074</v>
      </c>
    </row>
    <row r="2644" spans="1:6" x14ac:dyDescent="0.15">
      <c r="A2644">
        <v>8413453</v>
      </c>
      <c r="B2644">
        <v>8413250</v>
      </c>
      <c r="C2644" t="s">
        <v>10</v>
      </c>
      <c r="D2644" t="s">
        <v>8</v>
      </c>
      <c r="E2644" s="4" t="str">
        <f>HYPERLINK("https://ibp.a2mac1.com/costing(costing:projects/details/9760/part/8413453)","Wire Harness 7")</f>
        <v>Wire Harness 7</v>
      </c>
      <c r="F2644" t="s">
        <v>3074</v>
      </c>
    </row>
    <row r="2645" spans="1:6" x14ac:dyDescent="0.15">
      <c r="A2645">
        <v>8413454</v>
      </c>
      <c r="B2645">
        <v>8413250</v>
      </c>
      <c r="C2645" t="s">
        <v>10</v>
      </c>
      <c r="D2645" t="s">
        <v>8</v>
      </c>
      <c r="E2645" s="4" t="str">
        <f>HYPERLINK("https://ibp.a2mac1.com/costing(costing:projects/details/9760/part/8413454)","Wire Harness 8")</f>
        <v>Wire Harness 8</v>
      </c>
      <c r="F2645" t="s">
        <v>3074</v>
      </c>
    </row>
    <row r="2646" spans="1:6" x14ac:dyDescent="0.15">
      <c r="A2646">
        <v>8413455</v>
      </c>
      <c r="B2646">
        <v>8413250</v>
      </c>
      <c r="C2646" t="s">
        <v>10</v>
      </c>
      <c r="D2646" t="s">
        <v>8</v>
      </c>
      <c r="E2646" s="4" t="str">
        <f>HYPERLINK("https://ibp.a2mac1.com/costing(costing:projects/details/9760/part/8413455)","Wire Harness 9")</f>
        <v>Wire Harness 9</v>
      </c>
      <c r="F2646" t="s">
        <v>3074</v>
      </c>
    </row>
    <row r="2647" spans="1:6" x14ac:dyDescent="0.15">
      <c r="A2647">
        <v>8413456</v>
      </c>
      <c r="B2647">
        <v>8413250</v>
      </c>
      <c r="C2647" t="s">
        <v>10</v>
      </c>
      <c r="D2647" t="s">
        <v>8</v>
      </c>
      <c r="E2647" s="4" t="str">
        <f>HYPERLINK("https://ibp.a2mac1.com/costing(costing:projects/details/9760/part/8413456)","Ground cable 1")</f>
        <v>Ground cable 1</v>
      </c>
      <c r="F2647" t="s">
        <v>3074</v>
      </c>
    </row>
    <row r="2648" spans="1:6" x14ac:dyDescent="0.15">
      <c r="A2648">
        <v>8413457</v>
      </c>
      <c r="B2648">
        <v>8413250</v>
      </c>
      <c r="C2648" t="s">
        <v>10</v>
      </c>
      <c r="D2648" t="s">
        <v>8</v>
      </c>
      <c r="E2648" s="4" t="str">
        <f>HYPERLINK("https://ibp.a2mac1.com/costing(costing:projects/details/9760/part/8413457)","HV cable 1")</f>
        <v>HV cable 1</v>
      </c>
      <c r="F2648" t="s">
        <v>3074</v>
      </c>
    </row>
    <row r="2649" spans="1:6" x14ac:dyDescent="0.15">
      <c r="A2649">
        <v>8413251</v>
      </c>
      <c r="B2649">
        <v>8413088</v>
      </c>
      <c r="C2649" t="s">
        <v>8</v>
      </c>
      <c r="D2649" t="s">
        <v>8</v>
      </c>
      <c r="E2649" s="4" t="str">
        <f>HYPERLINK("https://ibp.a2mac1.com/costing(costing:projects/details/9760/assembly/8413251)","Relay Box")</f>
        <v>Relay Box</v>
      </c>
      <c r="F2649" t="s">
        <v>3043</v>
      </c>
    </row>
    <row r="2650" spans="1:6" x14ac:dyDescent="0.15">
      <c r="A2650">
        <v>8413458</v>
      </c>
      <c r="B2650">
        <v>8413251</v>
      </c>
      <c r="C2650" t="s">
        <v>8</v>
      </c>
      <c r="D2650" t="s">
        <v>8</v>
      </c>
      <c r="E2650" s="4" t="str">
        <f>HYPERLINK("https://ibp.a2mac1.com/costing(costing:projects/details/9760/assembly/8413458)","Bus Bars")</f>
        <v>Bus Bars</v>
      </c>
      <c r="F2650" t="s">
        <v>3085</v>
      </c>
    </row>
    <row r="2651" spans="1:6" x14ac:dyDescent="0.15">
      <c r="A2651">
        <v>8413547</v>
      </c>
      <c r="B2651">
        <v>8413458</v>
      </c>
      <c r="C2651" t="s">
        <v>10</v>
      </c>
      <c r="D2651" t="s">
        <v>8</v>
      </c>
      <c r="E2651" s="4" t="str">
        <f>HYPERLINK("https://ibp.a2mac1.com/costing(costing:projects/details/9760/part/8413547)","Bus bar 1")</f>
        <v>Bus bar 1</v>
      </c>
      <c r="F2651" t="s">
        <v>3086</v>
      </c>
    </row>
    <row r="2652" spans="1:6" x14ac:dyDescent="0.15">
      <c r="A2652">
        <v>8413548</v>
      </c>
      <c r="B2652">
        <v>8413458</v>
      </c>
      <c r="C2652" t="s">
        <v>10</v>
      </c>
      <c r="D2652" t="s">
        <v>8</v>
      </c>
      <c r="E2652" s="4" t="str">
        <f>HYPERLINK("https://ibp.a2mac1.com/costing(costing:projects/details/9760/part/8413548)","Bus Bar 2")</f>
        <v>Bus Bar 2</v>
      </c>
      <c r="F2652" t="s">
        <v>3086</v>
      </c>
    </row>
    <row r="2653" spans="1:6" x14ac:dyDescent="0.15">
      <c r="A2653">
        <v>8413549</v>
      </c>
      <c r="B2653">
        <v>8413458</v>
      </c>
      <c r="C2653" t="s">
        <v>10</v>
      </c>
      <c r="D2653" t="s">
        <v>8</v>
      </c>
      <c r="E2653" s="4" t="str">
        <f>HYPERLINK("https://ibp.a2mac1.com/costing(costing:projects/details/9760/part/8413549)","Bus Bar 3")</f>
        <v>Bus Bar 3</v>
      </c>
      <c r="F2653" t="s">
        <v>3086</v>
      </c>
    </row>
    <row r="2654" spans="1:6" x14ac:dyDescent="0.15">
      <c r="A2654">
        <v>8413550</v>
      </c>
      <c r="B2654">
        <v>8413458</v>
      </c>
      <c r="C2654" t="s">
        <v>10</v>
      </c>
      <c r="D2654" t="s">
        <v>8</v>
      </c>
      <c r="E2654" s="4" t="str">
        <f>HYPERLINK("https://ibp.a2mac1.com/costing(costing:projects/details/9760/part/8413550)","Bus Bar 4")</f>
        <v>Bus Bar 4</v>
      </c>
      <c r="F2654" t="s">
        <v>3086</v>
      </c>
    </row>
    <row r="2655" spans="1:6" x14ac:dyDescent="0.15">
      <c r="A2655">
        <v>8413551</v>
      </c>
      <c r="B2655">
        <v>8413458</v>
      </c>
      <c r="C2655" t="s">
        <v>10</v>
      </c>
      <c r="D2655" t="s">
        <v>8</v>
      </c>
      <c r="E2655" s="4" t="str">
        <f>HYPERLINK("https://ibp.a2mac1.com/costing(costing:projects/details/9760/part/8413551)","Bus Bar 5")</f>
        <v>Bus Bar 5</v>
      </c>
      <c r="F2655" t="s">
        <v>3086</v>
      </c>
    </row>
    <row r="2656" spans="1:6" x14ac:dyDescent="0.15">
      <c r="A2656">
        <v>8413552</v>
      </c>
      <c r="B2656">
        <v>8413458</v>
      </c>
      <c r="C2656" t="s">
        <v>10</v>
      </c>
      <c r="D2656" t="s">
        <v>8</v>
      </c>
      <c r="E2656" s="4" t="str">
        <f>HYPERLINK("https://ibp.a2mac1.com/costing(costing:projects/details/9760/part/8413552)","Bus Bar 6")</f>
        <v>Bus Bar 6</v>
      </c>
      <c r="F2656" t="s">
        <v>3086</v>
      </c>
    </row>
    <row r="2657" spans="1:6" x14ac:dyDescent="0.15">
      <c r="A2657">
        <v>8413553</v>
      </c>
      <c r="B2657">
        <v>8413458</v>
      </c>
      <c r="C2657" t="s">
        <v>10</v>
      </c>
      <c r="D2657" t="s">
        <v>8</v>
      </c>
      <c r="E2657" s="4" t="str">
        <f>HYPERLINK("https://ibp.a2mac1.com/costing(costing:projects/details/9760/part/8413553)","Bus Bar 7")</f>
        <v>Bus Bar 7</v>
      </c>
      <c r="F2657" t="s">
        <v>3086</v>
      </c>
    </row>
    <row r="2658" spans="1:6" x14ac:dyDescent="0.15">
      <c r="A2658">
        <v>8413554</v>
      </c>
      <c r="B2658">
        <v>8413458</v>
      </c>
      <c r="C2658" t="s">
        <v>10</v>
      </c>
      <c r="D2658" t="s">
        <v>8</v>
      </c>
      <c r="E2658" s="4" t="str">
        <f>HYPERLINK("https://ibp.a2mac1.com/costing(costing:projects/details/9760/part/8413554)","Bus Bar 8")</f>
        <v>Bus Bar 8</v>
      </c>
      <c r="F2658" t="s">
        <v>3086</v>
      </c>
    </row>
    <row r="2659" spans="1:6" x14ac:dyDescent="0.15">
      <c r="A2659">
        <v>8413555</v>
      </c>
      <c r="B2659">
        <v>8413458</v>
      </c>
      <c r="C2659" t="s">
        <v>10</v>
      </c>
      <c r="D2659" t="s">
        <v>8</v>
      </c>
      <c r="E2659" s="4" t="str">
        <f>HYPERLINK("https://ibp.a2mac1.com/costing(costing:projects/details/9760/part/8413555)","Bus Bar 9")</f>
        <v>Bus Bar 9</v>
      </c>
      <c r="F2659" t="s">
        <v>3086</v>
      </c>
    </row>
    <row r="2660" spans="1:6" x14ac:dyDescent="0.15">
      <c r="A2660">
        <v>8413556</v>
      </c>
      <c r="B2660">
        <v>8413458</v>
      </c>
      <c r="C2660" t="s">
        <v>10</v>
      </c>
      <c r="D2660" t="s">
        <v>8</v>
      </c>
      <c r="E2660" s="4" t="str">
        <f>HYPERLINK("https://ibp.a2mac1.com/costing(costing:projects/details/9760/part/8413556)","Bus Bar 10")</f>
        <v>Bus Bar 10</v>
      </c>
      <c r="F2660" t="s">
        <v>3086</v>
      </c>
    </row>
    <row r="2661" spans="1:6" x14ac:dyDescent="0.15">
      <c r="A2661">
        <v>8413557</v>
      </c>
      <c r="B2661">
        <v>8413458</v>
      </c>
      <c r="C2661" t="s">
        <v>10</v>
      </c>
      <c r="D2661" t="s">
        <v>8</v>
      </c>
      <c r="E2661" s="4" t="str">
        <f>HYPERLINK("https://ibp.a2mac1.com/costing(costing:projects/details/9760/part/8413557)","Bus Bar 11")</f>
        <v>Bus Bar 11</v>
      </c>
      <c r="F2661" t="s">
        <v>3086</v>
      </c>
    </row>
    <row r="2662" spans="1:6" x14ac:dyDescent="0.15">
      <c r="A2662">
        <v>8413558</v>
      </c>
      <c r="B2662">
        <v>8413458</v>
      </c>
      <c r="C2662" t="s">
        <v>10</v>
      </c>
      <c r="D2662" t="s">
        <v>8</v>
      </c>
      <c r="E2662" s="4" t="str">
        <f>HYPERLINK("https://ibp.a2mac1.com/costing(costing:projects/details/9760/part/8413558)","Bus Bar 12")</f>
        <v>Bus Bar 12</v>
      </c>
      <c r="F2662" t="s">
        <v>3086</v>
      </c>
    </row>
    <row r="2663" spans="1:6" x14ac:dyDescent="0.15">
      <c r="A2663">
        <v>8413559</v>
      </c>
      <c r="B2663">
        <v>8413458</v>
      </c>
      <c r="C2663" t="s">
        <v>10</v>
      </c>
      <c r="D2663" t="s">
        <v>8</v>
      </c>
      <c r="E2663" s="4" t="str">
        <f>HYPERLINK("https://ibp.a2mac1.com/costing(costing:projects/details/9760/part/8413559)","Bus Bar 13")</f>
        <v>Bus Bar 13</v>
      </c>
      <c r="F2663" t="s">
        <v>3086</v>
      </c>
    </row>
    <row r="2664" spans="1:6" x14ac:dyDescent="0.15">
      <c r="A2664">
        <v>8413560</v>
      </c>
      <c r="B2664">
        <v>8413458</v>
      </c>
      <c r="C2664" t="s">
        <v>10</v>
      </c>
      <c r="D2664" t="s">
        <v>8</v>
      </c>
      <c r="E2664" s="4" t="str">
        <f>HYPERLINK("https://ibp.a2mac1.com/costing(costing:projects/details/9760/part/8413560)","Bus Bar 14")</f>
        <v>Bus Bar 14</v>
      </c>
      <c r="F2664" t="s">
        <v>3086</v>
      </c>
    </row>
    <row r="2665" spans="1:6" x14ac:dyDescent="0.15">
      <c r="A2665">
        <v>8413561</v>
      </c>
      <c r="B2665">
        <v>8413458</v>
      </c>
      <c r="C2665" t="s">
        <v>10</v>
      </c>
      <c r="D2665" t="s">
        <v>8</v>
      </c>
      <c r="E2665" s="4" t="str">
        <f>HYPERLINK("https://ibp.a2mac1.com/costing(costing:projects/details/9760/part/8413561)","Bus Bar 15")</f>
        <v>Bus Bar 15</v>
      </c>
      <c r="F2665" t="s">
        <v>3086</v>
      </c>
    </row>
    <row r="2666" spans="1:6" x14ac:dyDescent="0.15">
      <c r="A2666">
        <v>8413562</v>
      </c>
      <c r="B2666">
        <v>8413458</v>
      </c>
      <c r="C2666" t="s">
        <v>10</v>
      </c>
      <c r="D2666" t="s">
        <v>8</v>
      </c>
      <c r="E2666" s="4" t="str">
        <f>HYPERLINK("https://ibp.a2mac1.com/costing(costing:projects/details/9760/part/8413562)","Bus Bar 16")</f>
        <v>Bus Bar 16</v>
      </c>
      <c r="F2666" t="s">
        <v>3086</v>
      </c>
    </row>
    <row r="2667" spans="1:6" x14ac:dyDescent="0.15">
      <c r="A2667">
        <v>8413563</v>
      </c>
      <c r="B2667">
        <v>8413458</v>
      </c>
      <c r="C2667" t="s">
        <v>10</v>
      </c>
      <c r="D2667" t="s">
        <v>8</v>
      </c>
      <c r="E2667" s="4" t="str">
        <f>HYPERLINK("https://ibp.a2mac1.com/costing(costing:projects/details/9760/part/8413563)","Bus Bar 17")</f>
        <v>Bus Bar 17</v>
      </c>
      <c r="F2667" t="s">
        <v>3086</v>
      </c>
    </row>
    <row r="2668" spans="1:6" x14ac:dyDescent="0.15">
      <c r="A2668">
        <v>8413564</v>
      </c>
      <c r="B2668">
        <v>8413458</v>
      </c>
      <c r="C2668" t="s">
        <v>10</v>
      </c>
      <c r="D2668" t="s">
        <v>8</v>
      </c>
      <c r="E2668" s="4" t="str">
        <f>HYPERLINK("https://ibp.a2mac1.com/costing(costing:projects/details/9760/part/8413564)","Bus Bar 18")</f>
        <v>Bus Bar 18</v>
      </c>
      <c r="F2668" t="s">
        <v>3086</v>
      </c>
    </row>
    <row r="2669" spans="1:6" x14ac:dyDescent="0.15">
      <c r="A2669">
        <v>8413565</v>
      </c>
      <c r="B2669">
        <v>8413458</v>
      </c>
      <c r="C2669" t="s">
        <v>10</v>
      </c>
      <c r="D2669" t="s">
        <v>8</v>
      </c>
      <c r="E2669" s="4" t="str">
        <f>HYPERLINK("https://ibp.a2mac1.com/costing(costing:projects/details/9760/part/8413565)","Bus Bar Support")</f>
        <v>Bus Bar Support</v>
      </c>
      <c r="F2669" t="s">
        <v>3086</v>
      </c>
    </row>
    <row r="2670" spans="1:6" x14ac:dyDescent="0.15">
      <c r="A2670">
        <v>8413459</v>
      </c>
      <c r="B2670">
        <v>8413251</v>
      </c>
      <c r="C2670" t="s">
        <v>8</v>
      </c>
      <c r="D2670" t="s">
        <v>8</v>
      </c>
      <c r="E2670" s="4" t="str">
        <f>HYPERLINK("https://ibp.a2mac1.com/costing(costing:projects/details/9760/assembly/8413459)","Wire Harnesses")</f>
        <v>Wire Harnesses</v>
      </c>
      <c r="F2670" t="s">
        <v>3085</v>
      </c>
    </row>
    <row r="2671" spans="1:6" x14ac:dyDescent="0.15">
      <c r="A2671">
        <v>8413566</v>
      </c>
      <c r="B2671">
        <v>8413459</v>
      </c>
      <c r="C2671" t="s">
        <v>10</v>
      </c>
      <c r="D2671" t="s">
        <v>8</v>
      </c>
      <c r="E2671" s="4" t="str">
        <f>HYPERLINK("https://ibp.a2mac1.com/costing(costing:projects/details/9760/part/8413566)","Main Relay Box Harness")</f>
        <v>Main Relay Box Harness</v>
      </c>
      <c r="F2671" t="s">
        <v>3107</v>
      </c>
    </row>
    <row r="2672" spans="1:6" x14ac:dyDescent="0.15">
      <c r="A2672">
        <v>8413567</v>
      </c>
      <c r="B2672">
        <v>8413459</v>
      </c>
      <c r="C2672" t="s">
        <v>10</v>
      </c>
      <c r="D2672" t="s">
        <v>8</v>
      </c>
      <c r="E2672" s="4" t="str">
        <f>HYPERLINK("https://ibp.a2mac1.com/costing(costing:projects/details/9760/part/8413567)","2nd Relay Box Harness")</f>
        <v>2nd Relay Box Harness</v>
      </c>
      <c r="F2672" t="s">
        <v>3107</v>
      </c>
    </row>
    <row r="2673" spans="1:6" x14ac:dyDescent="0.15">
      <c r="A2673">
        <v>8413568</v>
      </c>
      <c r="B2673">
        <v>8413459</v>
      </c>
      <c r="C2673" t="s">
        <v>10</v>
      </c>
      <c r="D2673" t="s">
        <v>8</v>
      </c>
      <c r="E2673" s="4" t="str">
        <f>HYPERLINK("https://ibp.a2mac1.com/costing(costing:projects/details/9760/part/8413568)","3rd Relay Box Harness")</f>
        <v>3rd Relay Box Harness</v>
      </c>
      <c r="F2673" t="s">
        <v>3107</v>
      </c>
    </row>
    <row r="2674" spans="1:6" x14ac:dyDescent="0.15">
      <c r="A2674">
        <v>8413569</v>
      </c>
      <c r="B2674">
        <v>8413459</v>
      </c>
      <c r="C2674" t="s">
        <v>10</v>
      </c>
      <c r="D2674" t="s">
        <v>8</v>
      </c>
      <c r="E2674" s="4" t="str">
        <f>HYPERLINK("https://ibp.a2mac1.com/costing(costing:projects/details/9760/part/8413569)","4th Relay Box Harness")</f>
        <v>4th Relay Box Harness</v>
      </c>
      <c r="F2674" t="s">
        <v>3107</v>
      </c>
    </row>
    <row r="2675" spans="1:6" x14ac:dyDescent="0.15">
      <c r="A2675">
        <v>8413570</v>
      </c>
      <c r="B2675">
        <v>8413459</v>
      </c>
      <c r="C2675" t="s">
        <v>10</v>
      </c>
      <c r="D2675" t="s">
        <v>8</v>
      </c>
      <c r="E2675" s="4" t="str">
        <f>HYPERLINK("https://ibp.a2mac1.com/costing(costing:projects/details/9760/part/8413570)","5th Relay Box Harness")</f>
        <v>5th Relay Box Harness</v>
      </c>
      <c r="F2675" t="s">
        <v>3107</v>
      </c>
    </row>
    <row r="2676" spans="1:6" x14ac:dyDescent="0.15">
      <c r="A2676">
        <v>8413571</v>
      </c>
      <c r="B2676">
        <v>8413459</v>
      </c>
      <c r="C2676" t="s">
        <v>10</v>
      </c>
      <c r="D2676" t="s">
        <v>8</v>
      </c>
      <c r="E2676" s="4" t="str">
        <f>HYPERLINK("https://ibp.a2mac1.com/costing(costing:projects/details/9760/part/8413571)","6th Relay Box Harness")</f>
        <v>6th Relay Box Harness</v>
      </c>
      <c r="F2676" t="s">
        <v>3107</v>
      </c>
    </row>
    <row r="2677" spans="1:6" x14ac:dyDescent="0.15">
      <c r="A2677">
        <v>8413460</v>
      </c>
      <c r="B2677">
        <v>8413251</v>
      </c>
      <c r="C2677" t="s">
        <v>8</v>
      </c>
      <c r="D2677" t="s">
        <v>8</v>
      </c>
      <c r="E2677" s="4" t="str">
        <f>HYPERLINK("https://ibp.a2mac1.com/costing(costing:projects/details/9760/assembly/8413460)","Current Sensor")</f>
        <v>Current Sensor</v>
      </c>
      <c r="F2677" t="s">
        <v>3085</v>
      </c>
    </row>
    <row r="2678" spans="1:6" x14ac:dyDescent="0.15">
      <c r="A2678">
        <v>8413572</v>
      </c>
      <c r="B2678">
        <v>8413460</v>
      </c>
      <c r="C2678" t="s">
        <v>8</v>
      </c>
      <c r="D2678" t="s">
        <v>8</v>
      </c>
      <c r="E2678" s="4" t="str">
        <f>HYPERLINK("https://ibp.a2mac1.com/costing(costing:projects/details/9760/assembly/8413572)","PCB 1")</f>
        <v>PCB 1</v>
      </c>
      <c r="F2678" t="s">
        <v>3115</v>
      </c>
    </row>
    <row r="2679" spans="1:6" x14ac:dyDescent="0.15">
      <c r="A2679">
        <v>8413614</v>
      </c>
      <c r="B2679">
        <v>8413572</v>
      </c>
      <c r="C2679" t="s">
        <v>8</v>
      </c>
      <c r="D2679" t="s">
        <v>8</v>
      </c>
      <c r="E2679" s="4" t="str">
        <f>HYPERLINK("https://ibp.a2mac1.com/costing(costing:projects/details/9760/assembly/8413614)","Connector")</f>
        <v>Connector</v>
      </c>
      <c r="F2679" t="s">
        <v>3118</v>
      </c>
    </row>
    <row r="2680" spans="1:6" x14ac:dyDescent="0.15">
      <c r="A2680">
        <v>8413637</v>
      </c>
      <c r="B2680">
        <v>8413614</v>
      </c>
      <c r="C2680" t="s">
        <v>10</v>
      </c>
      <c r="D2680" t="s">
        <v>8</v>
      </c>
      <c r="E2680" s="4" t="str">
        <f>HYPERLINK("https://ibp.a2mac1.com/costing(costing:projects/details/9760/part/8413637)","Connector 1")</f>
        <v>Connector 1</v>
      </c>
      <c r="F2680" t="s">
        <v>3119</v>
      </c>
    </row>
    <row r="2681" spans="1:6" x14ac:dyDescent="0.15">
      <c r="A2681">
        <v>8413615</v>
      </c>
      <c r="B2681">
        <v>8413572</v>
      </c>
      <c r="C2681" t="s">
        <v>8</v>
      </c>
      <c r="D2681" t="s">
        <v>8</v>
      </c>
      <c r="E2681" s="4" t="str">
        <f>HYPERLINK("https://ibp.a2mac1.com/costing(costing:projects/details/9760/assembly/8413615)","Resistor")</f>
        <v>Resistor</v>
      </c>
      <c r="F2681" t="s">
        <v>3118</v>
      </c>
    </row>
    <row r="2682" spans="1:6" x14ac:dyDescent="0.15">
      <c r="A2682">
        <v>8413638</v>
      </c>
      <c r="B2682">
        <v>8413615</v>
      </c>
      <c r="C2682" t="s">
        <v>10</v>
      </c>
      <c r="D2682" t="s">
        <v>8</v>
      </c>
      <c r="E2682" s="4" t="str">
        <f>HYPERLINK("https://ibp.a2mac1.com/costing(costing:projects/details/9760/part/8413638)","Resistor 1")</f>
        <v>Resistor 1</v>
      </c>
      <c r="F2682" t="s">
        <v>3121</v>
      </c>
    </row>
    <row r="2683" spans="1:6" x14ac:dyDescent="0.15">
      <c r="A2683">
        <v>8413639</v>
      </c>
      <c r="B2683">
        <v>8413615</v>
      </c>
      <c r="C2683" t="s">
        <v>10</v>
      </c>
      <c r="D2683" t="s">
        <v>8</v>
      </c>
      <c r="E2683" s="4" t="str">
        <f>HYPERLINK("https://ibp.a2mac1.com/costing(costing:projects/details/9760/part/8413639)","Resistor 2")</f>
        <v>Resistor 2</v>
      </c>
      <c r="F2683" t="s">
        <v>3121</v>
      </c>
    </row>
    <row r="2684" spans="1:6" x14ac:dyDescent="0.15">
      <c r="A2684">
        <v>8413616</v>
      </c>
      <c r="B2684">
        <v>8413572</v>
      </c>
      <c r="C2684" t="s">
        <v>10</v>
      </c>
      <c r="D2684" t="s">
        <v>8</v>
      </c>
      <c r="E2684" s="4" t="str">
        <f>HYPERLINK("https://ibp.a2mac1.com/costing(costing:projects/details/9760/part/8413616)","PCB")</f>
        <v>PCB</v>
      </c>
      <c r="F2684" t="s">
        <v>3118</v>
      </c>
    </row>
    <row r="2685" spans="1:6" x14ac:dyDescent="0.15">
      <c r="A2685">
        <v>8413461</v>
      </c>
      <c r="B2685">
        <v>8413251</v>
      </c>
      <c r="C2685" t="s">
        <v>8</v>
      </c>
      <c r="D2685" t="s">
        <v>8</v>
      </c>
      <c r="E2685" s="4" t="str">
        <f>HYPERLINK("https://ibp.a2mac1.com/costing(costing:projects/details/9760/assembly/8413461)","P.S.S Switch")</f>
        <v>P.S.S Switch</v>
      </c>
      <c r="F2685" t="s">
        <v>3085</v>
      </c>
    </row>
    <row r="2686" spans="1:6" x14ac:dyDescent="0.15">
      <c r="A2686">
        <v>8413573</v>
      </c>
      <c r="B2686">
        <v>8413461</v>
      </c>
      <c r="C2686" t="s">
        <v>10</v>
      </c>
      <c r="D2686" t="s">
        <v>8</v>
      </c>
      <c r="E2686" s="4" t="str">
        <f>HYPERLINK("https://ibp.a2mac1.com/costing(costing:projects/details/9760/part/8413573)","Busbar")</f>
        <v>Busbar</v>
      </c>
      <c r="F2686" t="s">
        <v>3123</v>
      </c>
    </row>
    <row r="2687" spans="1:6" x14ac:dyDescent="0.15">
      <c r="A2687">
        <v>8413574</v>
      </c>
      <c r="B2687">
        <v>8413461</v>
      </c>
      <c r="C2687" t="s">
        <v>10</v>
      </c>
      <c r="D2687" t="s">
        <v>8</v>
      </c>
      <c r="E2687" s="4" t="str">
        <f>HYPERLINK("https://ibp.a2mac1.com/costing(costing:projects/details/9760/part/8413574)","Explosive Piston")</f>
        <v>Explosive Piston</v>
      </c>
      <c r="F2687" t="s">
        <v>3123</v>
      </c>
    </row>
    <row r="2688" spans="1:6" x14ac:dyDescent="0.15">
      <c r="A2688">
        <v>8413575</v>
      </c>
      <c r="B2688">
        <v>8413461</v>
      </c>
      <c r="C2688" t="s">
        <v>10</v>
      </c>
      <c r="D2688" t="s">
        <v>8</v>
      </c>
      <c r="E2688" s="4" t="str">
        <f>HYPERLINK("https://ibp.a2mac1.com/costing(costing:projects/details/9760/part/8413575)","Housing Bottom")</f>
        <v>Housing Bottom</v>
      </c>
      <c r="F2688" t="s">
        <v>3123</v>
      </c>
    </row>
    <row r="2689" spans="1:6" x14ac:dyDescent="0.15">
      <c r="A2689">
        <v>8413576</v>
      </c>
      <c r="B2689">
        <v>8413461</v>
      </c>
      <c r="C2689" t="s">
        <v>10</v>
      </c>
      <c r="D2689" t="s">
        <v>8</v>
      </c>
      <c r="E2689" s="4" t="str">
        <f>HYPERLINK("https://ibp.a2mac1.com/costing(costing:projects/details/9760/part/8413576)","Housing Top")</f>
        <v>Housing Top</v>
      </c>
      <c r="F2689" t="s">
        <v>3123</v>
      </c>
    </row>
    <row r="2690" spans="1:6" x14ac:dyDescent="0.15">
      <c r="A2690">
        <v>8413577</v>
      </c>
      <c r="B2690">
        <v>8413461</v>
      </c>
      <c r="C2690" t="s">
        <v>10</v>
      </c>
      <c r="D2690" t="s">
        <v>8</v>
      </c>
      <c r="E2690" s="4" t="str">
        <f>HYPERLINK("https://ibp.a2mac1.com/costing(costing:projects/details/9760/part/8413577)","Main Housing")</f>
        <v>Main Housing</v>
      </c>
      <c r="F2690" t="s">
        <v>3123</v>
      </c>
    </row>
    <row r="2691" spans="1:6" x14ac:dyDescent="0.15">
      <c r="A2691">
        <v>8413462</v>
      </c>
      <c r="B2691">
        <v>8413251</v>
      </c>
      <c r="C2691" t="s">
        <v>8</v>
      </c>
      <c r="D2691" t="s">
        <v>8</v>
      </c>
      <c r="E2691" s="4" t="str">
        <f>HYPERLINK("https://ibp.a2mac1.com/costing(costing:projects/details/9760/assembly/8413462)","Terminal Lids")</f>
        <v>Terminal Lids</v>
      </c>
      <c r="F2691" t="s">
        <v>3085</v>
      </c>
    </row>
    <row r="2692" spans="1:6" x14ac:dyDescent="0.15">
      <c r="A2692">
        <v>8413578</v>
      </c>
      <c r="B2692">
        <v>8413462</v>
      </c>
      <c r="C2692" t="s">
        <v>10</v>
      </c>
      <c r="D2692" t="s">
        <v>8</v>
      </c>
      <c r="E2692" s="4" t="str">
        <f>HYPERLINK("https://ibp.a2mac1.com/costing(costing:projects/details/9760/part/8413578)","Terminal Lid 1")</f>
        <v>Terminal Lid 1</v>
      </c>
      <c r="F2692" t="s">
        <v>3131</v>
      </c>
    </row>
    <row r="2693" spans="1:6" x14ac:dyDescent="0.15">
      <c r="A2693">
        <v>8413579</v>
      </c>
      <c r="B2693">
        <v>8413462</v>
      </c>
      <c r="C2693" t="s">
        <v>10</v>
      </c>
      <c r="D2693" t="s">
        <v>8</v>
      </c>
      <c r="E2693" s="4" t="str">
        <f>HYPERLINK("https://ibp.a2mac1.com/costing(costing:projects/details/9760/part/8413579)","Terminal Lid 2")</f>
        <v>Terminal Lid 2</v>
      </c>
      <c r="F2693" t="s">
        <v>3131</v>
      </c>
    </row>
    <row r="2694" spans="1:6" x14ac:dyDescent="0.15">
      <c r="A2694">
        <v>8413580</v>
      </c>
      <c r="B2694">
        <v>8413462</v>
      </c>
      <c r="C2694" t="s">
        <v>10</v>
      </c>
      <c r="D2694" t="s">
        <v>8</v>
      </c>
      <c r="E2694" s="4" t="str">
        <f>HYPERLINK("https://ibp.a2mac1.com/costing(costing:projects/details/9760/part/8413580)","Terminal Lid 3")</f>
        <v>Terminal Lid 3</v>
      </c>
      <c r="F2694" t="s">
        <v>3131</v>
      </c>
    </row>
    <row r="2695" spans="1:6" x14ac:dyDescent="0.15">
      <c r="A2695">
        <v>8413463</v>
      </c>
      <c r="B2695">
        <v>8413251</v>
      </c>
      <c r="C2695" t="s">
        <v>10</v>
      </c>
      <c r="D2695" t="s">
        <v>8</v>
      </c>
      <c r="E2695" s="4" t="str">
        <f>HYPERLINK("https://ibp.a2mac1.com/costing(costing:projects/details/9760/part/8413463)","Fuse")</f>
        <v>Fuse</v>
      </c>
      <c r="F2695" t="s">
        <v>3085</v>
      </c>
    </row>
    <row r="2696" spans="1:6" x14ac:dyDescent="0.15">
      <c r="A2696">
        <v>8413464</v>
      </c>
      <c r="B2696">
        <v>8413251</v>
      </c>
      <c r="C2696" t="s">
        <v>10</v>
      </c>
      <c r="D2696" t="s">
        <v>8</v>
      </c>
      <c r="E2696" s="4" t="str">
        <f>HYPERLINK("https://ibp.a2mac1.com/costing(costing:projects/details/9760/part/8413464)","Fuse 2")</f>
        <v>Fuse 2</v>
      </c>
      <c r="F2696" t="s">
        <v>3085</v>
      </c>
    </row>
    <row r="2697" spans="1:6" x14ac:dyDescent="0.15">
      <c r="A2697">
        <v>8413465</v>
      </c>
      <c r="B2697">
        <v>8413251</v>
      </c>
      <c r="C2697" t="s">
        <v>10</v>
      </c>
      <c r="D2697" t="s">
        <v>8</v>
      </c>
      <c r="E2697" s="4" t="str">
        <f>HYPERLINK("https://ibp.a2mac1.com/costing(costing:projects/details/9760/part/8413465)","Relay Housing")</f>
        <v>Relay Housing</v>
      </c>
      <c r="F2697" t="s">
        <v>3085</v>
      </c>
    </row>
    <row r="2698" spans="1:6" x14ac:dyDescent="0.15">
      <c r="A2698">
        <v>12084097</v>
      </c>
      <c r="B2698">
        <v>8413465</v>
      </c>
      <c r="C2698" t="s">
        <v>114</v>
      </c>
      <c r="D2698" t="s">
        <v>10</v>
      </c>
      <c r="E2698" s="4" t="str">
        <f>HYPERLINK("https://ibp.a2mac1.com/costing(costing:projects/details/9760/process/12084097)","Process")</f>
        <v>Process</v>
      </c>
      <c r="F2698" t="s">
        <v>3139</v>
      </c>
    </row>
    <row r="2699" spans="1:6" x14ac:dyDescent="0.15">
      <c r="A2699">
        <v>8753014</v>
      </c>
      <c r="B2699">
        <v>12084097</v>
      </c>
      <c r="C2699" t="s">
        <v>22</v>
      </c>
      <c r="D2699" t="s">
        <v>114</v>
      </c>
      <c r="E2699" s="4" t="str">
        <f>HYPERLINK("https://ibp.a2mac1.com/costing(costing:projects/details/9760/material/8753014)","PBT-GF50")</f>
        <v>PBT-GF50</v>
      </c>
      <c r="F2699" t="s">
        <v>3142</v>
      </c>
    </row>
    <row r="2700" spans="1:6" x14ac:dyDescent="0.15">
      <c r="A2700">
        <v>12211177</v>
      </c>
      <c r="B2700">
        <v>12084097</v>
      </c>
      <c r="C2700" t="s">
        <v>163</v>
      </c>
      <c r="D2700" t="s">
        <v>114</v>
      </c>
      <c r="E2700" s="4" t="str">
        <f>HYPERLINK("https://ibp.a2mac1.com/costing(costing:projects/details/9760/equipment/12211177)","General production process (&gt;10€)")</f>
        <v>General production process (&gt;10€)</v>
      </c>
      <c r="F2700" t="s">
        <v>3142</v>
      </c>
    </row>
    <row r="2701" spans="1:6" x14ac:dyDescent="0.15">
      <c r="A2701">
        <v>8413466</v>
      </c>
      <c r="B2701">
        <v>8413251</v>
      </c>
      <c r="C2701" t="s">
        <v>10</v>
      </c>
      <c r="D2701" t="s">
        <v>8</v>
      </c>
      <c r="E2701" s="4" t="str">
        <f>HYPERLINK("https://ibp.a2mac1.com/costing(costing:projects/details/9760/part/8413466)","Relay Box Cover")</f>
        <v>Relay Box Cover</v>
      </c>
      <c r="F2701" t="s">
        <v>3085</v>
      </c>
    </row>
    <row r="2702" spans="1:6" x14ac:dyDescent="0.15">
      <c r="A2702">
        <v>8413467</v>
      </c>
      <c r="B2702">
        <v>8413251</v>
      </c>
      <c r="C2702" t="s">
        <v>10</v>
      </c>
      <c r="D2702" t="s">
        <v>8</v>
      </c>
      <c r="E2702" s="4" t="str">
        <f>HYPERLINK("https://ibp.a2mac1.com/costing(costing:projects/details/9760/part/8413467)","Current Sensor 2")</f>
        <v>Current Sensor 2</v>
      </c>
      <c r="F2702" t="s">
        <v>3085</v>
      </c>
    </row>
    <row r="2703" spans="1:6" x14ac:dyDescent="0.15">
      <c r="A2703">
        <v>8413468</v>
      </c>
      <c r="B2703">
        <v>8413251</v>
      </c>
      <c r="C2703" t="s">
        <v>10</v>
      </c>
      <c r="D2703" t="s">
        <v>8</v>
      </c>
      <c r="E2703" s="4" t="str">
        <f>HYPERLINK("https://ibp.a2mac1.com/costing(costing:projects/details/9760/part/8413468)","DC-Charge Negative Relay")</f>
        <v>DC-Charge Negative Relay</v>
      </c>
      <c r="F2703" t="s">
        <v>3085</v>
      </c>
    </row>
    <row r="2704" spans="1:6" x14ac:dyDescent="0.15">
      <c r="A2704">
        <v>8413469</v>
      </c>
      <c r="B2704">
        <v>8413251</v>
      </c>
      <c r="C2704" t="s">
        <v>10</v>
      </c>
      <c r="D2704" t="s">
        <v>8</v>
      </c>
      <c r="E2704" s="4" t="str">
        <f>HYPERLINK("https://ibp.a2mac1.com/costing(costing:projects/details/9760/part/8413469)","DC-Charge Positive Relay")</f>
        <v>DC-Charge Positive Relay</v>
      </c>
      <c r="F2704" t="s">
        <v>3085</v>
      </c>
    </row>
    <row r="2705" spans="1:6" x14ac:dyDescent="0.15">
      <c r="A2705">
        <v>8413470</v>
      </c>
      <c r="B2705">
        <v>8413251</v>
      </c>
      <c r="C2705" t="s">
        <v>10</v>
      </c>
      <c r="D2705" t="s">
        <v>8</v>
      </c>
      <c r="E2705" s="4" t="str">
        <f>HYPERLINK("https://ibp.a2mac1.com/costing(costing:projects/details/9760/part/8413470)","Main Negative Relay")</f>
        <v>Main Negative Relay</v>
      </c>
      <c r="F2705" t="s">
        <v>3085</v>
      </c>
    </row>
    <row r="2706" spans="1:6" x14ac:dyDescent="0.15">
      <c r="A2706">
        <v>8413471</v>
      </c>
      <c r="B2706">
        <v>8413251</v>
      </c>
      <c r="C2706" t="s">
        <v>10</v>
      </c>
      <c r="D2706" t="s">
        <v>8</v>
      </c>
      <c r="E2706" s="4" t="str">
        <f>HYPERLINK("https://ibp.a2mac1.com/costing(costing:projects/details/9760/part/8413471)","Main Positive Relay")</f>
        <v>Main Positive Relay</v>
      </c>
      <c r="F2706" t="s">
        <v>3085</v>
      </c>
    </row>
    <row r="2707" spans="1:6" x14ac:dyDescent="0.15">
      <c r="A2707">
        <v>8413472</v>
      </c>
      <c r="B2707">
        <v>8413251</v>
      </c>
      <c r="C2707" t="s">
        <v>10</v>
      </c>
      <c r="D2707" t="s">
        <v>8</v>
      </c>
      <c r="E2707" s="4" t="str">
        <f>HYPERLINK("https://ibp.a2mac1.com/costing(costing:projects/details/9760/part/8413472)","Precharger Relay")</f>
        <v>Precharger Relay</v>
      </c>
      <c r="F2707" t="s">
        <v>3085</v>
      </c>
    </row>
    <row r="2708" spans="1:6" x14ac:dyDescent="0.15">
      <c r="A2708">
        <v>8413473</v>
      </c>
      <c r="B2708">
        <v>8413251</v>
      </c>
      <c r="C2708" t="s">
        <v>10</v>
      </c>
      <c r="D2708" t="s">
        <v>8</v>
      </c>
      <c r="E2708" s="4" t="str">
        <f>HYPERLINK("https://ibp.a2mac1.com/costing(costing:projects/details/9760/part/8413473)","Precharger Resistor")</f>
        <v>Precharger Resistor</v>
      </c>
      <c r="F2708" t="s">
        <v>3085</v>
      </c>
    </row>
    <row r="2709" spans="1:6" x14ac:dyDescent="0.15">
      <c r="A2709">
        <v>8413474</v>
      </c>
      <c r="B2709">
        <v>8413251</v>
      </c>
      <c r="C2709" t="s">
        <v>10</v>
      </c>
      <c r="D2709" t="s">
        <v>8</v>
      </c>
      <c r="E2709" s="4" t="str">
        <f>HYPERLINK("https://ibp.a2mac1.com/costing(costing:projects/details/9760/part/8413474)","Terminal Protection")</f>
        <v>Terminal Protection</v>
      </c>
      <c r="F2709" t="s">
        <v>3085</v>
      </c>
    </row>
    <row r="2710" spans="1:6" x14ac:dyDescent="0.15">
      <c r="A2710">
        <v>8413475</v>
      </c>
      <c r="B2710">
        <v>8413251</v>
      </c>
      <c r="C2710" t="s">
        <v>10</v>
      </c>
      <c r="D2710" t="s">
        <v>8</v>
      </c>
      <c r="E2710" s="4" t="str">
        <f>HYPERLINK("https://ibp.a2mac1.com/costing(costing:projects/details/9760/part/8413475)","Terminal Protection 2")</f>
        <v>Terminal Protection 2</v>
      </c>
      <c r="F2710" t="s">
        <v>3085</v>
      </c>
    </row>
    <row r="2711" spans="1:6" x14ac:dyDescent="0.15">
      <c r="A2711">
        <v>8413476</v>
      </c>
      <c r="B2711">
        <v>8413251</v>
      </c>
      <c r="C2711" t="s">
        <v>10</v>
      </c>
      <c r="D2711" t="s">
        <v>8</v>
      </c>
      <c r="E2711" s="4" t="str">
        <f>HYPERLINK("https://ibp.a2mac1.com/costing(costing:projects/details/9760/part/8413476)","Terminal Protection 3")</f>
        <v>Terminal Protection 3</v>
      </c>
      <c r="F2711" t="s">
        <v>3085</v>
      </c>
    </row>
    <row r="2712" spans="1:6" x14ac:dyDescent="0.15">
      <c r="A2712">
        <v>12084085</v>
      </c>
      <c r="B2712">
        <v>8413251</v>
      </c>
      <c r="C2712" t="s">
        <v>114</v>
      </c>
      <c r="D2712" t="s">
        <v>8</v>
      </c>
      <c r="E2712" s="4" t="str">
        <f>HYPERLINK("https://ibp.a2mac1.com/costing(costing:projects/details/9760/process/12084085)","Relay Box Assembly")</f>
        <v>Relay Box Assembly</v>
      </c>
      <c r="F2712" t="s">
        <v>3085</v>
      </c>
    </row>
    <row r="2713" spans="1:6" x14ac:dyDescent="0.15">
      <c r="A2713">
        <v>8413252</v>
      </c>
      <c r="B2713">
        <v>8413088</v>
      </c>
      <c r="C2713" t="s">
        <v>8</v>
      </c>
      <c r="D2713" t="s">
        <v>8</v>
      </c>
      <c r="E2713" s="4" t="str">
        <f>HYPERLINK("https://ibp.a2mac1.com/costing(costing:projects/details/9760/assembly/8413252)","Slave BMS ECU 2 Assembly")</f>
        <v>Slave BMS ECU 2 Assembly</v>
      </c>
      <c r="F2713" t="s">
        <v>3043</v>
      </c>
    </row>
    <row r="2714" spans="1:6" x14ac:dyDescent="0.15">
      <c r="A2714">
        <v>8413477</v>
      </c>
      <c r="B2714">
        <v>8413252</v>
      </c>
      <c r="C2714" t="s">
        <v>10</v>
      </c>
      <c r="D2714" t="s">
        <v>8</v>
      </c>
      <c r="E2714" s="4" t="str">
        <f>HYPERLINK("https://ibp.a2mac1.com/costing(costing:projects/details/9760/part/8413477)","PCB")</f>
        <v>PCB</v>
      </c>
      <c r="F2714" t="s">
        <v>3156</v>
      </c>
    </row>
    <row r="2715" spans="1:6" x14ac:dyDescent="0.15">
      <c r="A2715">
        <v>12084086</v>
      </c>
      <c r="B2715">
        <v>8413252</v>
      </c>
      <c r="C2715" t="s">
        <v>114</v>
      </c>
      <c r="D2715" t="s">
        <v>8</v>
      </c>
      <c r="E2715" s="4" t="str">
        <f>HYPERLINK("https://ibp.a2mac1.com/costing(costing:projects/details/9760/process/12084086)","Process")</f>
        <v>Process</v>
      </c>
      <c r="F2715" t="s">
        <v>3156</v>
      </c>
    </row>
    <row r="2716" spans="1:6" x14ac:dyDescent="0.15">
      <c r="A2716">
        <v>8752978</v>
      </c>
      <c r="B2716">
        <v>8413252</v>
      </c>
      <c r="C2716" t="s">
        <v>311</v>
      </c>
      <c r="D2716" t="s">
        <v>8</v>
      </c>
      <c r="E2716" s="4" t="str">
        <f>HYPERLINK("https://ibp.a2mac1.com/costing(costing:projects/details/9760/component/8752978)","Mechanical Parts")</f>
        <v>Mechanical Parts</v>
      </c>
      <c r="F2716" t="s">
        <v>3156</v>
      </c>
    </row>
    <row r="2717" spans="1:6" x14ac:dyDescent="0.15">
      <c r="A2717">
        <v>8752979</v>
      </c>
      <c r="B2717">
        <v>8413252</v>
      </c>
      <c r="C2717" t="s">
        <v>311</v>
      </c>
      <c r="D2717" t="s">
        <v>8</v>
      </c>
      <c r="E2717" s="4" t="str">
        <f>HYPERLINK("https://ibp.a2mac1.com/costing(costing:projects/details/9760/component/8752979)","Electronic Parts")</f>
        <v>Electronic Parts</v>
      </c>
      <c r="F2717" t="s">
        <v>3156</v>
      </c>
    </row>
    <row r="2718" spans="1:6" x14ac:dyDescent="0.15">
      <c r="A2718">
        <v>8413253</v>
      </c>
      <c r="B2718">
        <v>8413088</v>
      </c>
      <c r="C2718" t="s">
        <v>8</v>
      </c>
      <c r="D2718" t="s">
        <v>8</v>
      </c>
      <c r="E2718" s="4" t="str">
        <f>HYPERLINK("https://ibp.a2mac1.com/costing(costing:projects/details/9760/assembly/8413253)","Connectors")</f>
        <v>Connectors</v>
      </c>
      <c r="F2718" t="s">
        <v>3043</v>
      </c>
    </row>
    <row r="2719" spans="1:6" x14ac:dyDescent="0.15">
      <c r="A2719">
        <v>8413478</v>
      </c>
      <c r="B2719">
        <v>8413253</v>
      </c>
      <c r="C2719" t="s">
        <v>10</v>
      </c>
      <c r="D2719" t="s">
        <v>8</v>
      </c>
      <c r="E2719" s="4" t="str">
        <f>HYPERLINK("https://ibp.a2mac1.com/costing(costing:projects/details/9760/part/8413478)","HV Connector 1")</f>
        <v>HV Connector 1</v>
      </c>
      <c r="F2719" t="s">
        <v>3158</v>
      </c>
    </row>
    <row r="2720" spans="1:6" x14ac:dyDescent="0.15">
      <c r="A2720">
        <v>8413479</v>
      </c>
      <c r="B2720">
        <v>8413253</v>
      </c>
      <c r="C2720" t="s">
        <v>10</v>
      </c>
      <c r="D2720" t="s">
        <v>8</v>
      </c>
      <c r="E2720" s="4" t="str">
        <f>HYPERLINK("https://ibp.a2mac1.com/costing(costing:projects/details/9760/part/8413479)","HV Connector 2")</f>
        <v>HV Connector 2</v>
      </c>
      <c r="F2720" t="s">
        <v>3158</v>
      </c>
    </row>
    <row r="2721" spans="1:6" x14ac:dyDescent="0.15">
      <c r="A2721">
        <v>8413480</v>
      </c>
      <c r="B2721">
        <v>8413253</v>
      </c>
      <c r="C2721" t="s">
        <v>10</v>
      </c>
      <c r="D2721" t="s">
        <v>8</v>
      </c>
      <c r="E2721" s="4" t="str">
        <f>HYPERLINK("https://ibp.a2mac1.com/costing(costing:projects/details/9760/part/8413480)","HV Connector 3")</f>
        <v>HV Connector 3</v>
      </c>
      <c r="F2721" t="s">
        <v>3158</v>
      </c>
    </row>
    <row r="2722" spans="1:6" x14ac:dyDescent="0.15">
      <c r="A2722">
        <v>8413481</v>
      </c>
      <c r="B2722">
        <v>8413253</v>
      </c>
      <c r="C2722" t="s">
        <v>10</v>
      </c>
      <c r="D2722" t="s">
        <v>8</v>
      </c>
      <c r="E2722" s="4" t="str">
        <f>HYPERLINK("https://ibp.a2mac1.com/costing(costing:projects/details/9760/part/8413481)","HV Connector 4")</f>
        <v>HV Connector 4</v>
      </c>
      <c r="F2722" t="s">
        <v>3158</v>
      </c>
    </row>
    <row r="2723" spans="1:6" x14ac:dyDescent="0.15">
      <c r="A2723">
        <v>8413482</v>
      </c>
      <c r="B2723">
        <v>8413253</v>
      </c>
      <c r="C2723" t="s">
        <v>10</v>
      </c>
      <c r="D2723" t="s">
        <v>8</v>
      </c>
      <c r="E2723" s="4" t="str">
        <f>HYPERLINK("https://ibp.a2mac1.com/costing(costing:projects/details/9760/part/8413482)","HV Connector 5")</f>
        <v>HV Connector 5</v>
      </c>
      <c r="F2723" t="s">
        <v>3158</v>
      </c>
    </row>
    <row r="2724" spans="1:6" x14ac:dyDescent="0.15">
      <c r="A2724">
        <v>8413483</v>
      </c>
      <c r="B2724">
        <v>8413253</v>
      </c>
      <c r="C2724" t="s">
        <v>10</v>
      </c>
      <c r="D2724" t="s">
        <v>8</v>
      </c>
      <c r="E2724" s="4" t="str">
        <f>HYPERLINK("https://ibp.a2mac1.com/costing(costing:projects/details/9760/part/8413483)","Connector Support 1")</f>
        <v>Connector Support 1</v>
      </c>
      <c r="F2724" t="s">
        <v>3158</v>
      </c>
    </row>
    <row r="2725" spans="1:6" x14ac:dyDescent="0.15">
      <c r="A2725">
        <v>8413484</v>
      </c>
      <c r="B2725">
        <v>8413253</v>
      </c>
      <c r="C2725" t="s">
        <v>10</v>
      </c>
      <c r="D2725" t="s">
        <v>8</v>
      </c>
      <c r="E2725" s="4" t="str">
        <f>HYPERLINK("https://ibp.a2mac1.com/costing(costing:projects/details/9760/part/8413484)","12V Power Connector 1")</f>
        <v>12V Power Connector 1</v>
      </c>
      <c r="F2725" t="s">
        <v>3158</v>
      </c>
    </row>
    <row r="2726" spans="1:6" x14ac:dyDescent="0.15">
      <c r="A2726">
        <v>12084050</v>
      </c>
      <c r="B2726">
        <v>8412888</v>
      </c>
      <c r="C2726" t="s">
        <v>114</v>
      </c>
      <c r="D2726" t="s">
        <v>8</v>
      </c>
      <c r="E2726" s="4" t="str">
        <f>HYPERLINK("https://ibp.a2mac1.com/costing(costing:projects/details/9760/process/12084050)","Battery final assembly")</f>
        <v>Battery final assembly</v>
      </c>
      <c r="F2726" t="s">
        <v>2779</v>
      </c>
    </row>
    <row r="2727" spans="1:6" x14ac:dyDescent="0.15">
      <c r="A2727">
        <v>8412877</v>
      </c>
      <c r="B2727">
        <v>8412866</v>
      </c>
      <c r="C2727" t="s">
        <v>10</v>
      </c>
      <c r="D2727" t="s">
        <v>8</v>
      </c>
      <c r="E2727" s="4" t="str">
        <f>HYPERLINK("https://ibp.a2mac1.com/costing(costing:projects/details/9760/part/8412877)","Circuit Breaker")</f>
        <v>Circuit Breaker</v>
      </c>
      <c r="F2727" t="s">
        <v>2735</v>
      </c>
    </row>
    <row r="2728" spans="1:6" x14ac:dyDescent="0.15">
      <c r="A2728">
        <v>8412878</v>
      </c>
      <c r="B2728">
        <v>8412866</v>
      </c>
      <c r="C2728" t="s">
        <v>10</v>
      </c>
      <c r="D2728" t="s">
        <v>8</v>
      </c>
      <c r="E2728" s="4" t="str">
        <f>HYPERLINK("https://ibp.a2mac1.com/costing(costing:projects/details/9760/part/8412878)","Ground Cable   Ground")</f>
        <v>Ground Cable   Ground</v>
      </c>
      <c r="F2728" t="s">
        <v>2735</v>
      </c>
    </row>
    <row r="2729" spans="1:6" x14ac:dyDescent="0.15">
      <c r="A2729">
        <v>8412879</v>
      </c>
      <c r="B2729">
        <v>8412866</v>
      </c>
      <c r="C2729" t="s">
        <v>10</v>
      </c>
      <c r="D2729" t="s">
        <v>8</v>
      </c>
      <c r="E2729" s="4" t="str">
        <f>HYPERLINK("https://ibp.a2mac1.com/costing(costing:projects/details/9760/part/8412879)","Battery protection left side")</f>
        <v>Battery protection left side</v>
      </c>
      <c r="F2729" t="s">
        <v>2735</v>
      </c>
    </row>
    <row r="2730" spans="1:6" x14ac:dyDescent="0.15">
      <c r="A2730">
        <v>8412880</v>
      </c>
      <c r="B2730">
        <v>8412866</v>
      </c>
      <c r="C2730" t="s">
        <v>10</v>
      </c>
      <c r="D2730" t="s">
        <v>8</v>
      </c>
      <c r="E2730" s="4" t="str">
        <f>HYPERLINK("https://ibp.a2mac1.com/costing(costing:projects/details/9760/part/8412880)","Battery protection right side")</f>
        <v>Battery protection right side</v>
      </c>
      <c r="F2730" t="s">
        <v>2735</v>
      </c>
    </row>
    <row r="2731" spans="1:6" x14ac:dyDescent="0.15">
      <c r="A2731">
        <v>8412881</v>
      </c>
      <c r="B2731">
        <v>8412866</v>
      </c>
      <c r="C2731" t="s">
        <v>10</v>
      </c>
      <c r="D2731" t="s">
        <v>8</v>
      </c>
      <c r="E2731" s="4" t="str">
        <f>HYPERLINK("https://ibp.a2mac1.com/costing(costing:projects/details/9760/part/8412881)","Rear padding")</f>
        <v>Rear padding</v>
      </c>
      <c r="F2731" t="s">
        <v>2735</v>
      </c>
    </row>
    <row r="2732" spans="1:6" x14ac:dyDescent="0.15">
      <c r="A2732">
        <v>8412882</v>
      </c>
      <c r="B2732">
        <v>8412866</v>
      </c>
      <c r="C2732" t="s">
        <v>10</v>
      </c>
      <c r="D2732" t="s">
        <v>8</v>
      </c>
      <c r="E2732" s="4" t="str">
        <f>HYPERLINK("https://ibp.a2mac1.com/costing(costing:projects/details/9760/part/8412882)","Rear left padding")</f>
        <v>Rear left padding</v>
      </c>
      <c r="F2732" t="s">
        <v>2735</v>
      </c>
    </row>
    <row r="2733" spans="1:6" x14ac:dyDescent="0.15">
      <c r="A2733">
        <v>8412883</v>
      </c>
      <c r="B2733">
        <v>8412866</v>
      </c>
      <c r="C2733" t="s">
        <v>10</v>
      </c>
      <c r="D2733" t="s">
        <v>8</v>
      </c>
      <c r="E2733" s="4" t="str">
        <f>HYPERLINK("https://ibp.a2mac1.com/costing(costing:projects/details/9760/part/8412883)","Rear right padding")</f>
        <v>Rear right padding</v>
      </c>
      <c r="F2733" t="s">
        <v>2735</v>
      </c>
    </row>
    <row r="2734" spans="1:6" x14ac:dyDescent="0.15">
      <c r="A2734">
        <v>8412884</v>
      </c>
      <c r="B2734">
        <v>8412866</v>
      </c>
      <c r="C2734" t="s">
        <v>10</v>
      </c>
      <c r="D2734" t="s">
        <v>8</v>
      </c>
      <c r="E2734" s="4" t="str">
        <f>HYPERLINK("https://ibp.a2mac1.com/costing(costing:projects/details/9760/part/8412884)","Left Reinforcement")</f>
        <v>Left Reinforcement</v>
      </c>
      <c r="F2734" t="s">
        <v>2735</v>
      </c>
    </row>
    <row r="2735" spans="1:6" x14ac:dyDescent="0.15">
      <c r="A2735">
        <v>8412885</v>
      </c>
      <c r="B2735">
        <v>8412866</v>
      </c>
      <c r="C2735" t="s">
        <v>10</v>
      </c>
      <c r="D2735" t="s">
        <v>8</v>
      </c>
      <c r="E2735" s="4" t="str">
        <f>HYPERLINK("https://ibp.a2mac1.com/costing(costing:projects/details/9760/part/8412885)","Right Reinforcement")</f>
        <v>Right Reinforcement</v>
      </c>
      <c r="F2735" t="s">
        <v>2735</v>
      </c>
    </row>
    <row r="2736" spans="1:6" x14ac:dyDescent="0.15">
      <c r="A2736">
        <v>8752930</v>
      </c>
      <c r="B2736">
        <v>8412866</v>
      </c>
      <c r="C2736" t="s">
        <v>311</v>
      </c>
      <c r="D2736" t="s">
        <v>8</v>
      </c>
      <c r="E2736" s="4" t="str">
        <f>HYPERLINK("https://ibp.a2mac1.com/costing(costing:projects/details/9760/component/8752930)","Screw &gt; Hexagon screw with flange")</f>
        <v>Screw &gt; Hexagon screw with flange</v>
      </c>
      <c r="F2736" t="s">
        <v>2735</v>
      </c>
    </row>
    <row r="2737" spans="1:6" x14ac:dyDescent="0.15">
      <c r="A2737">
        <v>8752931</v>
      </c>
      <c r="B2737">
        <v>8412866</v>
      </c>
      <c r="C2737" t="s">
        <v>311</v>
      </c>
      <c r="D2737" t="s">
        <v>8</v>
      </c>
      <c r="E2737" s="4" t="str">
        <f>HYPERLINK("https://ibp.a2mac1.com/costing(costing:projects/details/9760/component/8752931)","Screw &gt; Hexagon screw with flange")</f>
        <v>Screw &gt; Hexagon screw with flange</v>
      </c>
      <c r="F2737" t="s">
        <v>2735</v>
      </c>
    </row>
    <row r="2738" spans="1:6" x14ac:dyDescent="0.15">
      <c r="A2738">
        <v>8752932</v>
      </c>
      <c r="B2738">
        <v>8412866</v>
      </c>
      <c r="C2738" t="s">
        <v>311</v>
      </c>
      <c r="D2738" t="s">
        <v>8</v>
      </c>
      <c r="E2738" s="4" t="str">
        <f>HYPERLINK("https://ibp.a2mac1.com/costing(costing:projects/details/9760/component/8752932)","Screw &gt; Hexagon screw with flange")</f>
        <v>Screw &gt; Hexagon screw with flange</v>
      </c>
      <c r="F2738" t="s">
        <v>2735</v>
      </c>
    </row>
    <row r="2739" spans="1:6" x14ac:dyDescent="0.15">
      <c r="A2739">
        <v>8752933</v>
      </c>
      <c r="B2739">
        <v>8412866</v>
      </c>
      <c r="C2739" t="s">
        <v>311</v>
      </c>
      <c r="D2739" t="s">
        <v>8</v>
      </c>
      <c r="E2739" s="4" t="str">
        <f>HYPERLINK("https://ibp.a2mac1.com/costing(costing:projects/details/9760/component/8752933)","Tube/cluster support &gt; Tube/cluster strap support in hole")</f>
        <v>Tube/cluster support &gt; Tube/cluster strap support in hole</v>
      </c>
      <c r="F2739" t="s">
        <v>2735</v>
      </c>
    </row>
    <row r="2740" spans="1:6" x14ac:dyDescent="0.15">
      <c r="A2740">
        <v>8752934</v>
      </c>
      <c r="B2740">
        <v>8412866</v>
      </c>
      <c r="C2740" t="s">
        <v>311</v>
      </c>
      <c r="D2740" t="s">
        <v>8</v>
      </c>
      <c r="E2740" s="4" t="str">
        <f>HYPERLINK("https://ibp.a2mac1.com/costing(costing:projects/details/9760/component/8752934)","Screw &gt; Hexagon screw with captive washer")</f>
        <v>Screw &gt; Hexagon screw with captive washer</v>
      </c>
      <c r="F2740" t="s">
        <v>2735</v>
      </c>
    </row>
    <row r="2741" spans="1:6" x14ac:dyDescent="0.15">
      <c r="A2741">
        <v>8412867</v>
      </c>
      <c r="B2741">
        <v>8412864</v>
      </c>
      <c r="C2741" t="s">
        <v>8</v>
      </c>
      <c r="D2741" t="s">
        <v>8</v>
      </c>
      <c r="E2741" s="4" t="str">
        <f>HYPERLINK("https://ibp.a2mac1.com/costing(costing:projects/details/9760/assembly/8412867)","Cables System")</f>
        <v>Cables System</v>
      </c>
      <c r="F2741" t="s">
        <v>2734</v>
      </c>
    </row>
    <row r="2742" spans="1:6" x14ac:dyDescent="0.15">
      <c r="A2742">
        <v>8412890</v>
      </c>
      <c r="B2742">
        <v>8412867</v>
      </c>
      <c r="C2742" t="s">
        <v>8</v>
      </c>
      <c r="D2742" t="s">
        <v>8</v>
      </c>
      <c r="E2742" s="4" t="str">
        <f>HYPERLINK("https://ibp.a2mac1.com/costing(costing:projects/details/9760/assembly/8412890)","Cable Battery/Junction Box (1)")</f>
        <v>Cable Battery/Junction Box (1)</v>
      </c>
      <c r="F2742" t="s">
        <v>3179</v>
      </c>
    </row>
    <row r="2743" spans="1:6" x14ac:dyDescent="0.15">
      <c r="A2743">
        <v>8412995</v>
      </c>
      <c r="B2743">
        <v>8412890</v>
      </c>
      <c r="C2743" t="s">
        <v>10</v>
      </c>
      <c r="D2743" t="s">
        <v>8</v>
      </c>
      <c r="E2743" s="4" t="str">
        <f>HYPERLINK("https://ibp.a2mac1.com/costing(costing:projects/details/9760/part/8412995)","Connectors")</f>
        <v>Connectors</v>
      </c>
      <c r="F2743" t="s">
        <v>3180</v>
      </c>
    </row>
    <row r="2744" spans="1:6" x14ac:dyDescent="0.15">
      <c r="A2744">
        <v>8412996</v>
      </c>
      <c r="B2744">
        <v>8412890</v>
      </c>
      <c r="C2744" t="s">
        <v>10</v>
      </c>
      <c r="D2744" t="s">
        <v>8</v>
      </c>
      <c r="E2744" s="4" t="str">
        <f>HYPERLINK("https://ibp.a2mac1.com/costing(costing:projects/details/9760/part/8412996)","HV Cable")</f>
        <v>HV Cable</v>
      </c>
      <c r="F2744" t="s">
        <v>3180</v>
      </c>
    </row>
    <row r="2745" spans="1:6" x14ac:dyDescent="0.15">
      <c r="A2745">
        <v>8412997</v>
      </c>
      <c r="B2745">
        <v>8412890</v>
      </c>
      <c r="C2745" t="s">
        <v>10</v>
      </c>
      <c r="D2745" t="s">
        <v>8</v>
      </c>
      <c r="E2745" s="4" t="str">
        <f>HYPERLINK("https://ibp.a2mac1.com/costing(costing:projects/details/9760/part/8412997)","Miscellaneuos")</f>
        <v>Miscellaneuos</v>
      </c>
      <c r="F2745" t="s">
        <v>3180</v>
      </c>
    </row>
    <row r="2746" spans="1:6" x14ac:dyDescent="0.15">
      <c r="A2746">
        <v>12084051</v>
      </c>
      <c r="B2746">
        <v>8412890</v>
      </c>
      <c r="C2746" t="s">
        <v>114</v>
      </c>
      <c r="D2746" t="s">
        <v>8</v>
      </c>
      <c r="E2746" s="4" t="str">
        <f>HYPERLINK("https://ibp.a2mac1.com/costing(costing:projects/details/9760/process/12084051)","Process")</f>
        <v>Process</v>
      </c>
      <c r="F2746" t="s">
        <v>3180</v>
      </c>
    </row>
    <row r="2747" spans="1:6" x14ac:dyDescent="0.15">
      <c r="A2747">
        <v>12211138</v>
      </c>
      <c r="B2747">
        <v>12084051</v>
      </c>
      <c r="C2747" t="s">
        <v>163</v>
      </c>
      <c r="D2747" t="s">
        <v>114</v>
      </c>
      <c r="E2747" s="4" t="str">
        <f>HYPERLINK("https://ibp.a2mac1.com/costing(costing:projects/details/9760/equipment/12211138)","Machine 1")</f>
        <v>Machine 1</v>
      </c>
      <c r="F2747" t="s">
        <v>3181</v>
      </c>
    </row>
    <row r="2748" spans="1:6" x14ac:dyDescent="0.15">
      <c r="A2748">
        <v>8412891</v>
      </c>
      <c r="B2748">
        <v>8412867</v>
      </c>
      <c r="C2748" t="s">
        <v>8</v>
      </c>
      <c r="D2748" t="s">
        <v>8</v>
      </c>
      <c r="E2748" s="4" t="str">
        <f>HYPERLINK("https://ibp.a2mac1.com/costing(costing:projects/details/9760/assembly/8412891)","Auxiliary Heating Cable")</f>
        <v>Auxiliary Heating Cable</v>
      </c>
      <c r="F2748" t="s">
        <v>3179</v>
      </c>
    </row>
    <row r="2749" spans="1:6" x14ac:dyDescent="0.15">
      <c r="A2749">
        <v>8412998</v>
      </c>
      <c r="B2749">
        <v>8412891</v>
      </c>
      <c r="C2749" t="s">
        <v>10</v>
      </c>
      <c r="D2749" t="s">
        <v>8</v>
      </c>
      <c r="E2749" s="4" t="str">
        <f>HYPERLINK("https://ibp.a2mac1.com/costing(costing:projects/details/9760/part/8412998)","Connectors")</f>
        <v>Connectors</v>
      </c>
      <c r="F2749" t="s">
        <v>3184</v>
      </c>
    </row>
    <row r="2750" spans="1:6" x14ac:dyDescent="0.15">
      <c r="A2750">
        <v>8412999</v>
      </c>
      <c r="B2750">
        <v>8412891</v>
      </c>
      <c r="C2750" t="s">
        <v>10</v>
      </c>
      <c r="D2750" t="s">
        <v>8</v>
      </c>
      <c r="E2750" s="4" t="str">
        <f>HYPERLINK("https://ibp.a2mac1.com/costing(costing:projects/details/9760/part/8412999)","HV Cable")</f>
        <v>HV Cable</v>
      </c>
      <c r="F2750" t="s">
        <v>3184</v>
      </c>
    </row>
    <row r="2751" spans="1:6" x14ac:dyDescent="0.15">
      <c r="A2751">
        <v>8413000</v>
      </c>
      <c r="B2751">
        <v>8412891</v>
      </c>
      <c r="C2751" t="s">
        <v>10</v>
      </c>
      <c r="D2751" t="s">
        <v>8</v>
      </c>
      <c r="E2751" s="4" t="str">
        <f>HYPERLINK("https://ibp.a2mac1.com/costing(costing:projects/details/9760/part/8413000)","Miscellaneuos")</f>
        <v>Miscellaneuos</v>
      </c>
      <c r="F2751" t="s">
        <v>3184</v>
      </c>
    </row>
    <row r="2752" spans="1:6" x14ac:dyDescent="0.15">
      <c r="A2752">
        <v>12084052</v>
      </c>
      <c r="B2752">
        <v>8412891</v>
      </c>
      <c r="C2752" t="s">
        <v>114</v>
      </c>
      <c r="D2752" t="s">
        <v>8</v>
      </c>
      <c r="E2752" s="4" t="str">
        <f>HYPERLINK("https://ibp.a2mac1.com/costing(costing:projects/details/9760/process/12084052)","Process")</f>
        <v>Process</v>
      </c>
      <c r="F2752" t="s">
        <v>3184</v>
      </c>
    </row>
    <row r="2753" spans="1:6" x14ac:dyDescent="0.15">
      <c r="A2753">
        <v>12211139</v>
      </c>
      <c r="B2753">
        <v>12084052</v>
      </c>
      <c r="C2753" t="s">
        <v>163</v>
      </c>
      <c r="D2753" t="s">
        <v>114</v>
      </c>
      <c r="E2753" s="4" t="str">
        <f>HYPERLINK("https://ibp.a2mac1.com/costing(costing:projects/details/9760/equipment/12211139)","Machine 1")</f>
        <v>Machine 1</v>
      </c>
      <c r="F2753" t="s">
        <v>3185</v>
      </c>
    </row>
    <row r="2754" spans="1:6" x14ac:dyDescent="0.15">
      <c r="A2754">
        <v>8412892</v>
      </c>
      <c r="B2754">
        <v>8412867</v>
      </c>
      <c r="C2754" t="s">
        <v>8</v>
      </c>
      <c r="D2754" t="s">
        <v>8</v>
      </c>
      <c r="E2754" s="4" t="str">
        <f>HYPERLINK("https://ibp.a2mac1.com/costing(costing:projects/details/9760/assembly/8412892)","Junction Box/ 2nd Power Inverter")</f>
        <v>Junction Box/ 2nd Power Inverter</v>
      </c>
      <c r="F2754" t="s">
        <v>3179</v>
      </c>
    </row>
    <row r="2755" spans="1:6" x14ac:dyDescent="0.15">
      <c r="A2755">
        <v>8413001</v>
      </c>
      <c r="B2755">
        <v>8412892</v>
      </c>
      <c r="C2755" t="s">
        <v>10</v>
      </c>
      <c r="D2755" t="s">
        <v>8</v>
      </c>
      <c r="E2755" s="4" t="str">
        <f>HYPERLINK("https://ibp.a2mac1.com/costing(costing:projects/details/9760/part/8413001)","Connectors")</f>
        <v>Connectors</v>
      </c>
      <c r="F2755" t="s">
        <v>3187</v>
      </c>
    </row>
    <row r="2756" spans="1:6" x14ac:dyDescent="0.15">
      <c r="A2756">
        <v>8413002</v>
      </c>
      <c r="B2756">
        <v>8412892</v>
      </c>
      <c r="C2756" t="s">
        <v>10</v>
      </c>
      <c r="D2756" t="s">
        <v>8</v>
      </c>
      <c r="E2756" s="4" t="str">
        <f>HYPERLINK("https://ibp.a2mac1.com/costing(costing:projects/details/9760/part/8413002)","HV Cable")</f>
        <v>HV Cable</v>
      </c>
      <c r="F2756" t="s">
        <v>3187</v>
      </c>
    </row>
    <row r="2757" spans="1:6" x14ac:dyDescent="0.15">
      <c r="A2757">
        <v>8413003</v>
      </c>
      <c r="B2757">
        <v>8412892</v>
      </c>
      <c r="C2757" t="s">
        <v>10</v>
      </c>
      <c r="D2757" t="s">
        <v>8</v>
      </c>
      <c r="E2757" s="4" t="str">
        <f>HYPERLINK("https://ibp.a2mac1.com/costing(costing:projects/details/9760/part/8413003)","Miscellaneuos")</f>
        <v>Miscellaneuos</v>
      </c>
      <c r="F2757" t="s">
        <v>3187</v>
      </c>
    </row>
    <row r="2758" spans="1:6" x14ac:dyDescent="0.15">
      <c r="A2758">
        <v>12084053</v>
      </c>
      <c r="B2758">
        <v>8412892</v>
      </c>
      <c r="C2758" t="s">
        <v>114</v>
      </c>
      <c r="D2758" t="s">
        <v>8</v>
      </c>
      <c r="E2758" s="4" t="str">
        <f>HYPERLINK("https://ibp.a2mac1.com/costing(costing:projects/details/9760/process/12084053)","Process")</f>
        <v>Process</v>
      </c>
      <c r="F2758" t="s">
        <v>3187</v>
      </c>
    </row>
    <row r="2759" spans="1:6" x14ac:dyDescent="0.15">
      <c r="A2759">
        <v>12211140</v>
      </c>
      <c r="B2759">
        <v>12084053</v>
      </c>
      <c r="C2759" t="s">
        <v>163</v>
      </c>
      <c r="D2759" t="s">
        <v>114</v>
      </c>
      <c r="E2759" s="4" t="str">
        <f>HYPERLINK("https://ibp.a2mac1.com/costing(costing:projects/details/9760/equipment/12211140)","Machine 1")</f>
        <v>Machine 1</v>
      </c>
      <c r="F2759" t="s">
        <v>3188</v>
      </c>
    </row>
    <row r="2760" spans="1:6" x14ac:dyDescent="0.15">
      <c r="A2760">
        <v>8412893</v>
      </c>
      <c r="B2760">
        <v>8412867</v>
      </c>
      <c r="C2760" t="s">
        <v>8</v>
      </c>
      <c r="D2760" t="s">
        <v>8</v>
      </c>
      <c r="E2760" s="4" t="str">
        <f>HYPERLINK("https://ibp.a2mac1.com/costing(costing:projects/details/9760/assembly/8412893)","HV Battery /2nd Power Inverter Cable")</f>
        <v>HV Battery /2nd Power Inverter Cable</v>
      </c>
      <c r="F2760" t="s">
        <v>3179</v>
      </c>
    </row>
    <row r="2761" spans="1:6" x14ac:dyDescent="0.15">
      <c r="A2761">
        <v>8413004</v>
      </c>
      <c r="B2761">
        <v>8412893</v>
      </c>
      <c r="C2761" t="s">
        <v>10</v>
      </c>
      <c r="D2761" t="s">
        <v>8</v>
      </c>
      <c r="E2761" s="4" t="str">
        <f>HYPERLINK("https://ibp.a2mac1.com/costing(costing:projects/details/9760/part/8413004)","Connectors")</f>
        <v>Connectors</v>
      </c>
      <c r="F2761" t="s">
        <v>3190</v>
      </c>
    </row>
    <row r="2762" spans="1:6" x14ac:dyDescent="0.15">
      <c r="A2762">
        <v>8413005</v>
      </c>
      <c r="B2762">
        <v>8412893</v>
      </c>
      <c r="C2762" t="s">
        <v>10</v>
      </c>
      <c r="D2762" t="s">
        <v>8</v>
      </c>
      <c r="E2762" s="4" t="str">
        <f>HYPERLINK("https://ibp.a2mac1.com/costing(costing:projects/details/9760/part/8413005)","HV Cable")</f>
        <v>HV Cable</v>
      </c>
      <c r="F2762" t="s">
        <v>3190</v>
      </c>
    </row>
    <row r="2763" spans="1:6" x14ac:dyDescent="0.15">
      <c r="A2763">
        <v>8413006</v>
      </c>
      <c r="B2763">
        <v>8412893</v>
      </c>
      <c r="C2763" t="s">
        <v>10</v>
      </c>
      <c r="D2763" t="s">
        <v>8</v>
      </c>
      <c r="E2763" s="4" t="str">
        <f>HYPERLINK("https://ibp.a2mac1.com/costing(costing:projects/details/9760/part/8413006)","Miscellaneuos")</f>
        <v>Miscellaneuos</v>
      </c>
      <c r="F2763" t="s">
        <v>3190</v>
      </c>
    </row>
    <row r="2764" spans="1:6" x14ac:dyDescent="0.15">
      <c r="A2764">
        <v>12084054</v>
      </c>
      <c r="B2764">
        <v>8412893</v>
      </c>
      <c r="C2764" t="s">
        <v>114</v>
      </c>
      <c r="D2764" t="s">
        <v>8</v>
      </c>
      <c r="E2764" s="4" t="str">
        <f>HYPERLINK("https://ibp.a2mac1.com/costing(costing:projects/details/9760/process/12084054)","Process")</f>
        <v>Process</v>
      </c>
      <c r="F2764" t="s">
        <v>3190</v>
      </c>
    </row>
    <row r="2765" spans="1:6" x14ac:dyDescent="0.15">
      <c r="A2765">
        <v>12211141</v>
      </c>
      <c r="B2765">
        <v>12084054</v>
      </c>
      <c r="C2765" t="s">
        <v>163</v>
      </c>
      <c r="D2765" t="s">
        <v>114</v>
      </c>
      <c r="E2765" s="4" t="str">
        <f>HYPERLINK("https://ibp.a2mac1.com/costing(costing:projects/details/9760/equipment/12211141)","Machine 1")</f>
        <v>Machine 1</v>
      </c>
      <c r="F2765" t="s">
        <v>3191</v>
      </c>
    </row>
    <row r="2766" spans="1:6" x14ac:dyDescent="0.15">
      <c r="A2766">
        <v>8412894</v>
      </c>
      <c r="B2766">
        <v>8412867</v>
      </c>
      <c r="C2766" t="s">
        <v>8</v>
      </c>
      <c r="D2766" t="s">
        <v>8</v>
      </c>
      <c r="E2766" s="4" t="str">
        <f>HYPERLINK("https://ibp.a2mac1.com/costing(costing:projects/details/9760/assembly/8412894)","HV Battery / Power Inverter Cable")</f>
        <v>HV Battery / Power Inverter Cable</v>
      </c>
      <c r="F2766" t="s">
        <v>3179</v>
      </c>
    </row>
    <row r="2767" spans="1:6" x14ac:dyDescent="0.15">
      <c r="A2767">
        <v>8413007</v>
      </c>
      <c r="B2767">
        <v>8412894</v>
      </c>
      <c r="C2767" t="s">
        <v>10</v>
      </c>
      <c r="D2767" t="s">
        <v>8</v>
      </c>
      <c r="E2767" s="4" t="str">
        <f>HYPERLINK("https://ibp.a2mac1.com/costing(costing:projects/details/9760/part/8413007)","Connectors")</f>
        <v>Connectors</v>
      </c>
      <c r="F2767" t="s">
        <v>3193</v>
      </c>
    </row>
    <row r="2768" spans="1:6" x14ac:dyDescent="0.15">
      <c r="A2768">
        <v>8413008</v>
      </c>
      <c r="B2768">
        <v>8412894</v>
      </c>
      <c r="C2768" t="s">
        <v>10</v>
      </c>
      <c r="D2768" t="s">
        <v>8</v>
      </c>
      <c r="E2768" s="4" t="str">
        <f>HYPERLINK("https://ibp.a2mac1.com/costing(costing:projects/details/9760/part/8413008)","HV Cable")</f>
        <v>HV Cable</v>
      </c>
      <c r="F2768" t="s">
        <v>3193</v>
      </c>
    </row>
    <row r="2769" spans="1:6" x14ac:dyDescent="0.15">
      <c r="A2769">
        <v>8413009</v>
      </c>
      <c r="B2769">
        <v>8412894</v>
      </c>
      <c r="C2769" t="s">
        <v>10</v>
      </c>
      <c r="D2769" t="s">
        <v>8</v>
      </c>
      <c r="E2769" s="4" t="str">
        <f>HYPERLINK("https://ibp.a2mac1.com/costing(costing:projects/details/9760/part/8413009)","Miscellaneuos")</f>
        <v>Miscellaneuos</v>
      </c>
      <c r="F2769" t="s">
        <v>3193</v>
      </c>
    </row>
    <row r="2770" spans="1:6" x14ac:dyDescent="0.15">
      <c r="A2770">
        <v>12084055</v>
      </c>
      <c r="B2770">
        <v>8412894</v>
      </c>
      <c r="C2770" t="s">
        <v>114</v>
      </c>
      <c r="D2770" t="s">
        <v>8</v>
      </c>
      <c r="E2770" s="4" t="str">
        <f>HYPERLINK("https://ibp.a2mac1.com/costing(costing:projects/details/9760/process/12084055)","Process")</f>
        <v>Process</v>
      </c>
      <c r="F2770" t="s">
        <v>3193</v>
      </c>
    </row>
    <row r="2771" spans="1:6" x14ac:dyDescent="0.15">
      <c r="A2771">
        <v>12211142</v>
      </c>
      <c r="B2771">
        <v>12084055</v>
      </c>
      <c r="C2771" t="s">
        <v>163</v>
      </c>
      <c r="D2771" t="s">
        <v>114</v>
      </c>
      <c r="E2771" s="4" t="str">
        <f>HYPERLINK("https://ibp.a2mac1.com/costing(costing:projects/details/9760/equipment/12211142)","Machine 1")</f>
        <v>Machine 1</v>
      </c>
      <c r="F2771" t="s">
        <v>3194</v>
      </c>
    </row>
    <row r="2772" spans="1:6" x14ac:dyDescent="0.15">
      <c r="A2772">
        <v>8412889</v>
      </c>
      <c r="B2772">
        <v>8412867</v>
      </c>
      <c r="C2772" t="s">
        <v>10</v>
      </c>
      <c r="D2772" t="s">
        <v>8</v>
      </c>
      <c r="E2772" s="4" t="str">
        <f>HYPERLINK("https://ibp.a2mac1.com/costing(costing:projects/details/9760/part/8412889)","HV Cables Support")</f>
        <v>HV Cables Support</v>
      </c>
      <c r="F2772" t="s">
        <v>3179</v>
      </c>
    </row>
    <row r="2773" spans="1:6" x14ac:dyDescent="0.15">
      <c r="A2773">
        <v>8412868</v>
      </c>
      <c r="B2773">
        <v>8412864</v>
      </c>
      <c r="C2773" t="s">
        <v>8</v>
      </c>
      <c r="D2773" t="s">
        <v>8</v>
      </c>
      <c r="E2773" s="4" t="str">
        <f>HYPERLINK("https://ibp.a2mac1.com/costing(costing:projects/details/9760/assembly/8412868)","Plug-In System")</f>
        <v>Plug-In System</v>
      </c>
      <c r="F2773" t="s">
        <v>2734</v>
      </c>
    </row>
    <row r="2774" spans="1:6" x14ac:dyDescent="0.15">
      <c r="A2774">
        <v>8412912</v>
      </c>
      <c r="B2774">
        <v>8412868</v>
      </c>
      <c r="C2774" t="s">
        <v>8</v>
      </c>
      <c r="D2774" t="s">
        <v>8</v>
      </c>
      <c r="E2774" s="4" t="str">
        <f>HYPERLINK("https://ibp.a2mac1.com/costing(costing:projects/details/9760/assembly/8412912)","Charging Inlet")</f>
        <v>Charging Inlet</v>
      </c>
      <c r="F2774" t="s">
        <v>3200</v>
      </c>
    </row>
    <row r="2775" spans="1:6" x14ac:dyDescent="0.15">
      <c r="A2775">
        <v>8413010</v>
      </c>
      <c r="B2775">
        <v>8412912</v>
      </c>
      <c r="C2775" t="s">
        <v>10</v>
      </c>
      <c r="D2775" t="s">
        <v>8</v>
      </c>
      <c r="E2775" s="4" t="str">
        <f>HYPERLINK("https://ibp.a2mac1.com/costing(costing:projects/details/9760/part/8413010)","Charging Port")</f>
        <v>Charging Port</v>
      </c>
      <c r="F2775" t="s">
        <v>3201</v>
      </c>
    </row>
    <row r="2776" spans="1:6" x14ac:dyDescent="0.15">
      <c r="A2776">
        <v>8413011</v>
      </c>
      <c r="B2776">
        <v>8412912</v>
      </c>
      <c r="C2776" t="s">
        <v>10</v>
      </c>
      <c r="D2776" t="s">
        <v>8</v>
      </c>
      <c r="E2776" s="4" t="str">
        <f>HYPERLINK("https://ibp.a2mac1.com/costing(costing:projects/details/9760/part/8413011)","Connectors")</f>
        <v>Connectors</v>
      </c>
      <c r="F2776" t="s">
        <v>3201</v>
      </c>
    </row>
    <row r="2777" spans="1:6" x14ac:dyDescent="0.15">
      <c r="A2777">
        <v>8413012</v>
      </c>
      <c r="B2777">
        <v>8412912</v>
      </c>
      <c r="C2777" t="s">
        <v>10</v>
      </c>
      <c r="D2777" t="s">
        <v>8</v>
      </c>
      <c r="E2777" s="4" t="str">
        <f>HYPERLINK("https://ibp.a2mac1.com/costing(costing:projects/details/9760/part/8413012)","HV Cable")</f>
        <v>HV Cable</v>
      </c>
      <c r="F2777" t="s">
        <v>3201</v>
      </c>
    </row>
    <row r="2778" spans="1:6" x14ac:dyDescent="0.15">
      <c r="A2778">
        <v>8413013</v>
      </c>
      <c r="B2778">
        <v>8412912</v>
      </c>
      <c r="C2778" t="s">
        <v>10</v>
      </c>
      <c r="D2778" t="s">
        <v>8</v>
      </c>
      <c r="E2778" s="4" t="str">
        <f>HYPERLINK("https://ibp.a2mac1.com/costing(costing:projects/details/9760/part/8413013)","Miscellaneuos")</f>
        <v>Miscellaneuos</v>
      </c>
      <c r="F2778" t="s">
        <v>3201</v>
      </c>
    </row>
    <row r="2779" spans="1:6" x14ac:dyDescent="0.15">
      <c r="A2779">
        <v>12084056</v>
      </c>
      <c r="B2779">
        <v>8412912</v>
      </c>
      <c r="C2779" t="s">
        <v>114</v>
      </c>
      <c r="D2779" t="s">
        <v>8</v>
      </c>
      <c r="E2779" s="4" t="str">
        <f>HYPERLINK("https://ibp.a2mac1.com/costing(costing:projects/details/9760/process/12084056)","Process")</f>
        <v>Process</v>
      </c>
      <c r="F2779" t="s">
        <v>3201</v>
      </c>
    </row>
    <row r="2780" spans="1:6" x14ac:dyDescent="0.15">
      <c r="A2780">
        <v>12211143</v>
      </c>
      <c r="B2780">
        <v>12084056</v>
      </c>
      <c r="C2780" t="s">
        <v>163</v>
      </c>
      <c r="D2780" t="s">
        <v>114</v>
      </c>
      <c r="E2780" s="4" t="str">
        <f>HYPERLINK("https://ibp.a2mac1.com/costing(costing:projects/details/9760/equipment/12211143)","Machine 1")</f>
        <v>Machine 1</v>
      </c>
      <c r="F2780" t="s">
        <v>3202</v>
      </c>
    </row>
    <row r="2781" spans="1:6" x14ac:dyDescent="0.15">
      <c r="A2781">
        <v>8412913</v>
      </c>
      <c r="B2781">
        <v>8412868</v>
      </c>
      <c r="C2781" t="s">
        <v>8</v>
      </c>
      <c r="D2781" t="s">
        <v>8</v>
      </c>
      <c r="E2781" s="4" t="str">
        <f>HYPERLINK("https://ibp.a2mac1.com/costing(costing:projects/details/9760/assembly/8412913)","Quick Charging Inlet")</f>
        <v>Quick Charging Inlet</v>
      </c>
      <c r="F2781" t="s">
        <v>3200</v>
      </c>
    </row>
    <row r="2782" spans="1:6" x14ac:dyDescent="0.15">
      <c r="A2782">
        <v>8413014</v>
      </c>
      <c r="B2782">
        <v>8412913</v>
      </c>
      <c r="C2782" t="s">
        <v>10</v>
      </c>
      <c r="D2782" t="s">
        <v>8</v>
      </c>
      <c r="E2782" s="4" t="str">
        <f>HYPERLINK("https://ibp.a2mac1.com/costing(costing:projects/details/9760/part/8413014)","Charging Port")</f>
        <v>Charging Port</v>
      </c>
      <c r="F2782" t="s">
        <v>3204</v>
      </c>
    </row>
    <row r="2783" spans="1:6" x14ac:dyDescent="0.15">
      <c r="A2783">
        <v>8413015</v>
      </c>
      <c r="B2783">
        <v>8412913</v>
      </c>
      <c r="C2783" t="s">
        <v>10</v>
      </c>
      <c r="D2783" t="s">
        <v>8</v>
      </c>
      <c r="E2783" s="4" t="str">
        <f>HYPERLINK("https://ibp.a2mac1.com/costing(costing:projects/details/9760/part/8413015)","Connectors")</f>
        <v>Connectors</v>
      </c>
      <c r="F2783" t="s">
        <v>3204</v>
      </c>
    </row>
    <row r="2784" spans="1:6" x14ac:dyDescent="0.15">
      <c r="A2784">
        <v>8413016</v>
      </c>
      <c r="B2784">
        <v>8412913</v>
      </c>
      <c r="C2784" t="s">
        <v>10</v>
      </c>
      <c r="D2784" t="s">
        <v>8</v>
      </c>
      <c r="E2784" s="4" t="str">
        <f>HYPERLINK("https://ibp.a2mac1.com/costing(costing:projects/details/9760/part/8413016)","HV Cable")</f>
        <v>HV Cable</v>
      </c>
      <c r="F2784" t="s">
        <v>3204</v>
      </c>
    </row>
    <row r="2785" spans="1:6" x14ac:dyDescent="0.15">
      <c r="A2785">
        <v>8413017</v>
      </c>
      <c r="B2785">
        <v>8412913</v>
      </c>
      <c r="C2785" t="s">
        <v>10</v>
      </c>
      <c r="D2785" t="s">
        <v>8</v>
      </c>
      <c r="E2785" s="4" t="str">
        <f>HYPERLINK("https://ibp.a2mac1.com/costing(costing:projects/details/9760/part/8413017)","Miscellaneuos")</f>
        <v>Miscellaneuos</v>
      </c>
      <c r="F2785" t="s">
        <v>3204</v>
      </c>
    </row>
    <row r="2786" spans="1:6" x14ac:dyDescent="0.15">
      <c r="A2786">
        <v>12084057</v>
      </c>
      <c r="B2786">
        <v>8412913</v>
      </c>
      <c r="C2786" t="s">
        <v>114</v>
      </c>
      <c r="D2786" t="s">
        <v>8</v>
      </c>
      <c r="E2786" s="4" t="str">
        <f>HYPERLINK("https://ibp.a2mac1.com/costing(costing:projects/details/9760/process/12084057)","Process")</f>
        <v>Process</v>
      </c>
      <c r="F2786" t="s">
        <v>3204</v>
      </c>
    </row>
    <row r="2787" spans="1:6" x14ac:dyDescent="0.15">
      <c r="A2787">
        <v>12211144</v>
      </c>
      <c r="B2787">
        <v>12084057</v>
      </c>
      <c r="C2787" t="s">
        <v>163</v>
      </c>
      <c r="D2787" t="s">
        <v>114</v>
      </c>
      <c r="E2787" s="4" t="str">
        <f>HYPERLINK("https://ibp.a2mac1.com/costing(costing:projects/details/9760/equipment/12211144)","Machine 1")</f>
        <v>Machine 1</v>
      </c>
      <c r="F2787" t="s">
        <v>3205</v>
      </c>
    </row>
    <row r="2788" spans="1:6" x14ac:dyDescent="0.15">
      <c r="A2788">
        <v>8412895</v>
      </c>
      <c r="B2788">
        <v>8412868</v>
      </c>
      <c r="C2788" t="s">
        <v>10</v>
      </c>
      <c r="D2788" t="s">
        <v>8</v>
      </c>
      <c r="E2788" s="4" t="str">
        <f>HYPERLINK("https://ibp.a2mac1.com/costing(costing:projects/details/9760/part/8412895)","Charging Inlet Support")</f>
        <v>Charging Inlet Support</v>
      </c>
      <c r="F2788" t="s">
        <v>3200</v>
      </c>
    </row>
    <row r="2789" spans="1:6" x14ac:dyDescent="0.15">
      <c r="A2789">
        <v>8412896</v>
      </c>
      <c r="B2789">
        <v>8412868</v>
      </c>
      <c r="C2789" t="s">
        <v>10</v>
      </c>
      <c r="D2789" t="s">
        <v>8</v>
      </c>
      <c r="E2789" s="4" t="str">
        <f>HYPERLINK("https://ibp.a2mac1.com/costing(costing:projects/details/9760/part/8412896)","Lid")</f>
        <v>Lid</v>
      </c>
      <c r="F2789" t="s">
        <v>3200</v>
      </c>
    </row>
    <row r="2790" spans="1:6" x14ac:dyDescent="0.15">
      <c r="A2790">
        <v>8412897</v>
      </c>
      <c r="B2790">
        <v>8412868</v>
      </c>
      <c r="C2790" t="s">
        <v>10</v>
      </c>
      <c r="D2790" t="s">
        <v>8</v>
      </c>
      <c r="E2790" s="4" t="str">
        <f>HYPERLINK("https://ibp.a2mac1.com/costing(costing:projects/details/9760/part/8412897)","Seal on Trap")</f>
        <v>Seal on Trap</v>
      </c>
      <c r="F2790" t="s">
        <v>3200</v>
      </c>
    </row>
    <row r="2791" spans="1:6" x14ac:dyDescent="0.15">
      <c r="A2791">
        <v>8412898</v>
      </c>
      <c r="B2791">
        <v>8412868</v>
      </c>
      <c r="C2791" t="s">
        <v>10</v>
      </c>
      <c r="D2791" t="s">
        <v>8</v>
      </c>
      <c r="E2791" s="4" t="str">
        <f>HYPERLINK("https://ibp.a2mac1.com/costing(costing:projects/details/9760/part/8412898)","Lid Support")</f>
        <v>Lid Support</v>
      </c>
      <c r="F2791" t="s">
        <v>3200</v>
      </c>
    </row>
    <row r="2792" spans="1:6" x14ac:dyDescent="0.15">
      <c r="A2792">
        <v>8412899</v>
      </c>
      <c r="B2792">
        <v>8412868</v>
      </c>
      <c r="C2792" t="s">
        <v>10</v>
      </c>
      <c r="D2792" t="s">
        <v>8</v>
      </c>
      <c r="E2792" s="4" t="str">
        <f>HYPERLINK("https://ibp.a2mac1.com/costing(costing:projects/details/9760/part/8412899)","Lid Trim")</f>
        <v>Lid Trim</v>
      </c>
      <c r="F2792" t="s">
        <v>3200</v>
      </c>
    </row>
    <row r="2793" spans="1:6" x14ac:dyDescent="0.15">
      <c r="A2793">
        <v>8412900</v>
      </c>
      <c r="B2793">
        <v>8412868</v>
      </c>
      <c r="C2793" t="s">
        <v>10</v>
      </c>
      <c r="D2793" t="s">
        <v>8</v>
      </c>
      <c r="E2793" s="4" t="str">
        <f>HYPERLINK("https://ibp.a2mac1.com/costing(costing:projects/details/9760/part/8412900)","Contactor")</f>
        <v>Contactor</v>
      </c>
      <c r="F2793" t="s">
        <v>3200</v>
      </c>
    </row>
    <row r="2794" spans="1:6" x14ac:dyDescent="0.15">
      <c r="A2794">
        <v>8412901</v>
      </c>
      <c r="B2794">
        <v>8412868</v>
      </c>
      <c r="C2794" t="s">
        <v>10</v>
      </c>
      <c r="D2794" t="s">
        <v>8</v>
      </c>
      <c r="E2794" s="4" t="str">
        <f>HYPERLINK("https://ibp.a2mac1.com/costing(costing:projects/details/9760/part/8412901)","Charging Plug Lock")</f>
        <v>Charging Plug Lock</v>
      </c>
      <c r="F2794" t="s">
        <v>3200</v>
      </c>
    </row>
    <row r="2795" spans="1:6" x14ac:dyDescent="0.15">
      <c r="A2795">
        <v>8412902</v>
      </c>
      <c r="B2795">
        <v>8412868</v>
      </c>
      <c r="C2795" t="s">
        <v>10</v>
      </c>
      <c r="D2795" t="s">
        <v>8</v>
      </c>
      <c r="E2795" s="4" t="str">
        <f>HYPERLINK("https://ibp.a2mac1.com/costing(costing:projects/details/9760/part/8412902)","Charging indicator")</f>
        <v>Charging indicator</v>
      </c>
      <c r="F2795" t="s">
        <v>3200</v>
      </c>
    </row>
    <row r="2796" spans="1:6" x14ac:dyDescent="0.15">
      <c r="A2796">
        <v>8412903</v>
      </c>
      <c r="B2796">
        <v>8412868</v>
      </c>
      <c r="C2796" t="s">
        <v>10</v>
      </c>
      <c r="D2796" t="s">
        <v>8</v>
      </c>
      <c r="E2796" s="4" t="str">
        <f>HYPERLINK("https://ibp.a2mac1.com/costing(costing:projects/details/9760/part/8412903)","Charging Plug 1 Cap")</f>
        <v>Charging Plug 1 Cap</v>
      </c>
      <c r="F2796" t="s">
        <v>3200</v>
      </c>
    </row>
    <row r="2797" spans="1:6" x14ac:dyDescent="0.15">
      <c r="A2797">
        <v>8412904</v>
      </c>
      <c r="B2797">
        <v>8412868</v>
      </c>
      <c r="C2797" t="s">
        <v>10</v>
      </c>
      <c r="D2797" t="s">
        <v>8</v>
      </c>
      <c r="E2797" s="4" t="str">
        <f>HYPERLINK("https://ibp.a2mac1.com/costing(costing:projects/details/9760/part/8412904)","Water hose evacuation")</f>
        <v>Water hose evacuation</v>
      </c>
      <c r="F2797" t="s">
        <v>3200</v>
      </c>
    </row>
    <row r="2798" spans="1:6" x14ac:dyDescent="0.15">
      <c r="A2798">
        <v>8412905</v>
      </c>
      <c r="B2798">
        <v>8412868</v>
      </c>
      <c r="C2798" t="s">
        <v>10</v>
      </c>
      <c r="D2798" t="s">
        <v>8</v>
      </c>
      <c r="E2798" s="4" t="str">
        <f>HYPERLINK("https://ibp.a2mac1.com/costing(costing:projects/details/9760/part/8412905)","Lid Actuator motor")</f>
        <v>Lid Actuator motor</v>
      </c>
      <c r="F2798" t="s">
        <v>3200</v>
      </c>
    </row>
    <row r="2799" spans="1:6" x14ac:dyDescent="0.15">
      <c r="A2799">
        <v>8412906</v>
      </c>
      <c r="B2799">
        <v>8412868</v>
      </c>
      <c r="C2799" t="s">
        <v>10</v>
      </c>
      <c r="D2799" t="s">
        <v>8</v>
      </c>
      <c r="E2799" s="4" t="str">
        <f>HYPERLINK("https://ibp.a2mac1.com/costing(costing:projects/details/9760/part/8412906)","Lid Actuator Mechanism")</f>
        <v>Lid Actuator Mechanism</v>
      </c>
      <c r="F2799" t="s">
        <v>3200</v>
      </c>
    </row>
    <row r="2800" spans="1:6" x14ac:dyDescent="0.15">
      <c r="A2800">
        <v>8412907</v>
      </c>
      <c r="B2800">
        <v>8412868</v>
      </c>
      <c r="C2800" t="s">
        <v>10</v>
      </c>
      <c r="D2800" t="s">
        <v>8</v>
      </c>
      <c r="E2800" s="4" t="str">
        <f>HYPERLINK("https://ibp.a2mac1.com/costing(costing:projects/details/9760/part/8412907)","Lid Actuator Mechanism 2")</f>
        <v>Lid Actuator Mechanism 2</v>
      </c>
      <c r="F2800" t="s">
        <v>3200</v>
      </c>
    </row>
    <row r="2801" spans="1:6" x14ac:dyDescent="0.15">
      <c r="A2801">
        <v>8412908</v>
      </c>
      <c r="B2801">
        <v>8412868</v>
      </c>
      <c r="C2801" t="s">
        <v>10</v>
      </c>
      <c r="D2801" t="s">
        <v>8</v>
      </c>
      <c r="E2801" s="4" t="str">
        <f>HYPERLINK("https://ibp.a2mac1.com/costing(costing:projects/details/9760/part/8412908)","Lid Actuator Mechanism Protection")</f>
        <v>Lid Actuator Mechanism Protection</v>
      </c>
      <c r="F2801" t="s">
        <v>3200</v>
      </c>
    </row>
    <row r="2802" spans="1:6" x14ac:dyDescent="0.15">
      <c r="A2802">
        <v>8412909</v>
      </c>
      <c r="B2802">
        <v>8412868</v>
      </c>
      <c r="C2802" t="s">
        <v>10</v>
      </c>
      <c r="D2802" t="s">
        <v>8</v>
      </c>
      <c r="E2802" s="4" t="str">
        <f>HYPERLINK("https://ibp.a2mac1.com/costing(costing:projects/details/9760/part/8412909)","Water Drainage")</f>
        <v>Water Drainage</v>
      </c>
      <c r="F2802" t="s">
        <v>3200</v>
      </c>
    </row>
    <row r="2803" spans="1:6" x14ac:dyDescent="0.15">
      <c r="A2803">
        <v>8412910</v>
      </c>
      <c r="B2803">
        <v>8412868</v>
      </c>
      <c r="C2803" t="s">
        <v>10</v>
      </c>
      <c r="D2803" t="s">
        <v>8</v>
      </c>
      <c r="E2803" s="4" t="str">
        <f>HYPERLINK("https://ibp.a2mac1.com/costing(costing:projects/details/9760/part/8412910)","Lid Actuator Protection")</f>
        <v>Lid Actuator Protection</v>
      </c>
      <c r="F2803" t="s">
        <v>3200</v>
      </c>
    </row>
    <row r="2804" spans="1:6" x14ac:dyDescent="0.15">
      <c r="A2804">
        <v>8412911</v>
      </c>
      <c r="B2804">
        <v>8412868</v>
      </c>
      <c r="C2804" t="s">
        <v>10</v>
      </c>
      <c r="D2804" t="s">
        <v>8</v>
      </c>
      <c r="E2804" s="4" t="str">
        <f>HYPERLINK("https://ibp.a2mac1.com/costing(costing:projects/details/9760/part/8412911)","Charging Plug Release Switch")</f>
        <v>Charging Plug Release Switch</v>
      </c>
      <c r="F2804" t="s">
        <v>3200</v>
      </c>
    </row>
    <row r="2805" spans="1:6" x14ac:dyDescent="0.15">
      <c r="A2805">
        <v>8412914</v>
      </c>
      <c r="B2805">
        <v>8412868</v>
      </c>
      <c r="C2805" t="s">
        <v>10</v>
      </c>
      <c r="D2805" t="s">
        <v>8</v>
      </c>
      <c r="E2805" s="4" t="str">
        <f>HYPERLINK("https://ibp.a2mac1.com/costing(costing:projects/details/9760/part/8412914)","Lid Actuator motor harness")</f>
        <v>Lid Actuator motor harness</v>
      </c>
      <c r="F2805" t="s">
        <v>3200</v>
      </c>
    </row>
    <row r="2806" spans="1:6" x14ac:dyDescent="0.15">
      <c r="A2806">
        <v>8412869</v>
      </c>
      <c r="B2806">
        <v>8412864</v>
      </c>
      <c r="C2806" t="s">
        <v>8</v>
      </c>
      <c r="D2806" t="s">
        <v>8</v>
      </c>
      <c r="E2806" s="4" t="str">
        <f>HYPERLINK("https://ibp.a2mac1.com/costing(costing:projects/details/9760/assembly/8412869)","Noise Insulation System")</f>
        <v>Noise Insulation System</v>
      </c>
      <c r="F2806" t="s">
        <v>2734</v>
      </c>
    </row>
    <row r="2807" spans="1:6" x14ac:dyDescent="0.15">
      <c r="A2807">
        <v>8412917</v>
      </c>
      <c r="B2807">
        <v>8412869</v>
      </c>
      <c r="C2807" t="s">
        <v>8</v>
      </c>
      <c r="D2807" t="s">
        <v>8</v>
      </c>
      <c r="E2807" s="4" t="str">
        <f>HYPERLINK("https://ibp.a2mac1.com/costing(costing:projects/details/9760/assembly/8412917)","On Front e-motor")</f>
        <v>On Front e-motor</v>
      </c>
      <c r="F2807" t="s">
        <v>3232</v>
      </c>
    </row>
    <row r="2808" spans="1:6" x14ac:dyDescent="0.15">
      <c r="A2808">
        <v>8413018</v>
      </c>
      <c r="B2808">
        <v>8412917</v>
      </c>
      <c r="C2808" t="s">
        <v>10</v>
      </c>
      <c r="D2808" t="s">
        <v>8</v>
      </c>
      <c r="E2808" s="4" t="str">
        <f>HYPERLINK("https://ibp.a2mac1.com/costing(costing:projects/details/9760/part/8413018)","Main sound insulation")</f>
        <v>Main sound insulation</v>
      </c>
      <c r="F2808" t="s">
        <v>3233</v>
      </c>
    </row>
    <row r="2809" spans="1:6" x14ac:dyDescent="0.15">
      <c r="A2809">
        <v>8413019</v>
      </c>
      <c r="B2809">
        <v>8412917</v>
      </c>
      <c r="C2809" t="s">
        <v>10</v>
      </c>
      <c r="D2809" t="s">
        <v>8</v>
      </c>
      <c r="E2809" s="4" t="str">
        <f>HYPERLINK("https://ibp.a2mac1.com/costing(costing:projects/details/9760/part/8413019)","2nd sound insulation")</f>
        <v>2nd sound insulation</v>
      </c>
      <c r="F2809" t="s">
        <v>3233</v>
      </c>
    </row>
    <row r="2810" spans="1:6" x14ac:dyDescent="0.15">
      <c r="A2810">
        <v>8412915</v>
      </c>
      <c r="B2810">
        <v>8412869</v>
      </c>
      <c r="C2810" t="s">
        <v>10</v>
      </c>
      <c r="D2810" t="s">
        <v>8</v>
      </c>
      <c r="E2810" s="4" t="str">
        <f>HYPERLINK("https://ibp.a2mac1.com/costing(costing:projects/details/9760/part/8412915)","Power Inverter Module/Converter Noise Insulation")</f>
        <v>Power Inverter Module/Converter Noise Insulation</v>
      </c>
      <c r="F2810" t="s">
        <v>3232</v>
      </c>
    </row>
    <row r="2811" spans="1:6" x14ac:dyDescent="0.15">
      <c r="A2811">
        <v>8412916</v>
      </c>
      <c r="B2811">
        <v>8412869</v>
      </c>
      <c r="C2811" t="s">
        <v>10</v>
      </c>
      <c r="D2811" t="s">
        <v>8</v>
      </c>
      <c r="E2811" s="4" t="str">
        <f>HYPERLINK("https://ibp.a2mac1.com/costing(costing:projects/details/9760/part/8412916)","2nd Power Inverter Module/Converter Noise Insulation")</f>
        <v>2nd Power Inverter Module/Converter Noise Insulation</v>
      </c>
      <c r="F2811" t="s">
        <v>3232</v>
      </c>
    </row>
    <row r="2812" spans="1:6" x14ac:dyDescent="0.15">
      <c r="A2812">
        <v>8412870</v>
      </c>
      <c r="B2812">
        <v>8412864</v>
      </c>
      <c r="C2812" t="s">
        <v>8</v>
      </c>
      <c r="D2812" t="s">
        <v>8</v>
      </c>
      <c r="E2812" s="4" t="str">
        <f>HYPERLINK("https://ibp.a2mac1.com/costing(costing:projects/details/9760/assembly/8412870)","Cooling system")</f>
        <v>Cooling system</v>
      </c>
      <c r="F2812" t="s">
        <v>2734</v>
      </c>
    </row>
    <row r="2813" spans="1:6" x14ac:dyDescent="0.15">
      <c r="A2813">
        <v>8412925</v>
      </c>
      <c r="B2813">
        <v>8412870</v>
      </c>
      <c r="C2813" t="s">
        <v>8</v>
      </c>
      <c r="D2813" t="s">
        <v>8</v>
      </c>
      <c r="E2813" s="4" t="str">
        <f>HYPERLINK("https://ibp.a2mac1.com/costing(costing:projects/details/9760/assembly/8412925)","Expansion Bottle System")</f>
        <v>Expansion Bottle System</v>
      </c>
      <c r="F2813" t="s">
        <v>3242</v>
      </c>
    </row>
    <row r="2814" spans="1:6" x14ac:dyDescent="0.15">
      <c r="A2814">
        <v>8413020</v>
      </c>
      <c r="B2814">
        <v>8412925</v>
      </c>
      <c r="C2814" t="s">
        <v>10</v>
      </c>
      <c r="D2814" t="s">
        <v>8</v>
      </c>
      <c r="E2814" s="4" t="str">
        <f>HYPERLINK("https://ibp.a2mac1.com/costing(costing:projects/details/9760/part/8413020)","Expansion Tank Cap")</f>
        <v>Expansion Tank Cap</v>
      </c>
      <c r="F2814" t="s">
        <v>3243</v>
      </c>
    </row>
    <row r="2815" spans="1:6" x14ac:dyDescent="0.15">
      <c r="A2815">
        <v>8413021</v>
      </c>
      <c r="B2815">
        <v>8412925</v>
      </c>
      <c r="C2815" t="s">
        <v>10</v>
      </c>
      <c r="D2815" t="s">
        <v>8</v>
      </c>
      <c r="E2815" s="4" t="str">
        <f>HYPERLINK("https://ibp.a2mac1.com/costing(costing:projects/details/9760/part/8413021)","Level Sensor")</f>
        <v>Level Sensor</v>
      </c>
      <c r="F2815" t="s">
        <v>3243</v>
      </c>
    </row>
    <row r="2816" spans="1:6" x14ac:dyDescent="0.15">
      <c r="A2816">
        <v>8412926</v>
      </c>
      <c r="B2816">
        <v>8412870</v>
      </c>
      <c r="C2816" t="s">
        <v>8</v>
      </c>
      <c r="D2816" t="s">
        <v>8</v>
      </c>
      <c r="E2816" s="4" t="str">
        <f>HYPERLINK("https://ibp.a2mac1.com/costing(costing:projects/details/9760/assembly/8412926)","Cooling System for Battery")</f>
        <v>Cooling System for Battery</v>
      </c>
      <c r="F2816" t="s">
        <v>3242</v>
      </c>
    </row>
    <row r="2817" spans="1:6" x14ac:dyDescent="0.15">
      <c r="A2817">
        <v>8413025</v>
      </c>
      <c r="B2817">
        <v>8412926</v>
      </c>
      <c r="C2817" t="s">
        <v>8</v>
      </c>
      <c r="D2817" t="s">
        <v>8</v>
      </c>
      <c r="E2817" s="4" t="str">
        <f>HYPERLINK("https://ibp.a2mac1.com/costing(costing:projects/details/9760/assembly/8413025)","Electric Pump")</f>
        <v>Electric Pump</v>
      </c>
      <c r="F2817" t="s">
        <v>3248</v>
      </c>
    </row>
    <row r="2818" spans="1:6" x14ac:dyDescent="0.15">
      <c r="A2818">
        <v>8413089</v>
      </c>
      <c r="B2818">
        <v>8413025</v>
      </c>
      <c r="C2818" t="s">
        <v>10</v>
      </c>
      <c r="D2818" t="s">
        <v>8</v>
      </c>
      <c r="E2818" s="4" t="str">
        <f>HYPERLINK("https://ibp.a2mac1.com/costing(costing:projects/details/9760/part/8413089)","Stator / Electric Motor")</f>
        <v>Stator / Electric Motor</v>
      </c>
      <c r="F2818" t="s">
        <v>3249</v>
      </c>
    </row>
    <row r="2819" spans="1:6" x14ac:dyDescent="0.15">
      <c r="A2819">
        <v>8413022</v>
      </c>
      <c r="B2819">
        <v>8412926</v>
      </c>
      <c r="C2819" t="s">
        <v>10</v>
      </c>
      <c r="D2819" t="s">
        <v>8</v>
      </c>
      <c r="E2819" s="4" t="str">
        <f>HYPERLINK("https://ibp.a2mac1.com/costing(costing:projects/details/9760/part/8413022)","Exchanger With Air Conditioning")</f>
        <v>Exchanger With Air Conditioning</v>
      </c>
      <c r="F2819" t="s">
        <v>3248</v>
      </c>
    </row>
    <row r="2820" spans="1:6" x14ac:dyDescent="0.15">
      <c r="A2820">
        <v>8413023</v>
      </c>
      <c r="B2820">
        <v>8412926</v>
      </c>
      <c r="C2820" t="s">
        <v>10</v>
      </c>
      <c r="D2820" t="s">
        <v>8</v>
      </c>
      <c r="E2820" s="4" t="str">
        <f>HYPERLINK("https://ibp.a2mac1.com/costing(costing:projects/details/9760/part/8413023)","IN pipe")</f>
        <v>IN pipe</v>
      </c>
      <c r="F2820" t="s">
        <v>3248</v>
      </c>
    </row>
    <row r="2821" spans="1:6" x14ac:dyDescent="0.15">
      <c r="A2821">
        <v>8413024</v>
      </c>
      <c r="B2821">
        <v>8412926</v>
      </c>
      <c r="C2821" t="s">
        <v>10</v>
      </c>
      <c r="D2821" t="s">
        <v>8</v>
      </c>
      <c r="E2821" s="4" t="str">
        <f>HYPERLINK("https://ibp.a2mac1.com/costing(costing:projects/details/9760/part/8413024)","Return pipe")</f>
        <v>Return pipe</v>
      </c>
      <c r="F2821" t="s">
        <v>3248</v>
      </c>
    </row>
    <row r="2822" spans="1:6" x14ac:dyDescent="0.15">
      <c r="A2822">
        <v>8412927</v>
      </c>
      <c r="B2822">
        <v>8412870</v>
      </c>
      <c r="C2822" t="s">
        <v>8</v>
      </c>
      <c r="D2822" t="s">
        <v>8</v>
      </c>
      <c r="E2822" s="4" t="str">
        <f>HYPERLINK("https://ibp.a2mac1.com/costing(costing:projects/details/9760/assembly/8412927)","Pipe System/Duct")</f>
        <v>Pipe System/Duct</v>
      </c>
      <c r="F2822" t="s">
        <v>3242</v>
      </c>
    </row>
    <row r="2823" spans="1:6" x14ac:dyDescent="0.15">
      <c r="A2823">
        <v>8413026</v>
      </c>
      <c r="B2823">
        <v>8412927</v>
      </c>
      <c r="C2823" t="s">
        <v>10</v>
      </c>
      <c r="D2823" t="s">
        <v>8</v>
      </c>
      <c r="E2823" s="4" t="str">
        <f>HYPERLINK("https://ibp.a2mac1.com/costing(costing:projects/details/9760/part/8413026)","Pipe Expansion Tank/Radiator")</f>
        <v>Pipe Expansion Tank/Radiator</v>
      </c>
      <c r="F2823" t="s">
        <v>3256</v>
      </c>
    </row>
    <row r="2824" spans="1:6" x14ac:dyDescent="0.15">
      <c r="A2824">
        <v>8413027</v>
      </c>
      <c r="B2824">
        <v>8412927</v>
      </c>
      <c r="C2824" t="s">
        <v>10</v>
      </c>
      <c r="D2824" t="s">
        <v>8</v>
      </c>
      <c r="E2824" s="4" t="str">
        <f>HYPERLINK("https://ibp.a2mac1.com/costing(costing:projects/details/9760/part/8413027)","Pipe auxiliary pump / converter")</f>
        <v>Pipe auxiliary pump / converter</v>
      </c>
      <c r="F2824" t="s">
        <v>3256</v>
      </c>
    </row>
    <row r="2825" spans="1:6" x14ac:dyDescent="0.15">
      <c r="A2825">
        <v>8413028</v>
      </c>
      <c r="B2825">
        <v>8412927</v>
      </c>
      <c r="C2825" t="s">
        <v>10</v>
      </c>
      <c r="D2825" t="s">
        <v>8</v>
      </c>
      <c r="E2825" s="4" t="str">
        <f>HYPERLINK("https://ibp.a2mac1.com/costing(costing:projects/details/9760/part/8413028)","Pipe Radiator/ Auxiliary Pump")</f>
        <v>Pipe Radiator/ Auxiliary Pump</v>
      </c>
      <c r="F2825" t="s">
        <v>3256</v>
      </c>
    </row>
    <row r="2826" spans="1:6" x14ac:dyDescent="0.15">
      <c r="A2826">
        <v>8413029</v>
      </c>
      <c r="B2826">
        <v>8412927</v>
      </c>
      <c r="C2826" t="s">
        <v>10</v>
      </c>
      <c r="D2826" t="s">
        <v>8</v>
      </c>
      <c r="E2826" s="4" t="str">
        <f>HYPERLINK("https://ibp.a2mac1.com/costing(costing:projects/details/9760/part/8413029)","Pump / Converter Pipe")</f>
        <v>Pump / Converter Pipe</v>
      </c>
      <c r="F2826" t="s">
        <v>3256</v>
      </c>
    </row>
    <row r="2827" spans="1:6" x14ac:dyDescent="0.15">
      <c r="A2827">
        <v>8413030</v>
      </c>
      <c r="B2827">
        <v>8412927</v>
      </c>
      <c r="C2827" t="s">
        <v>10</v>
      </c>
      <c r="D2827" t="s">
        <v>8</v>
      </c>
      <c r="E2827" s="4" t="str">
        <f>HYPERLINK("https://ibp.a2mac1.com/costing(costing:projects/details/9760/part/8413030)","2nd Inverter / Converter")</f>
        <v>2nd Inverter / Converter</v>
      </c>
      <c r="F2827" t="s">
        <v>3256</v>
      </c>
    </row>
    <row r="2828" spans="1:6" x14ac:dyDescent="0.15">
      <c r="A2828">
        <v>8413031</v>
      </c>
      <c r="B2828">
        <v>8412927</v>
      </c>
      <c r="C2828" t="s">
        <v>10</v>
      </c>
      <c r="D2828" t="s">
        <v>8</v>
      </c>
      <c r="E2828" s="4" t="str">
        <f>HYPERLINK("https://ibp.a2mac1.com/costing(costing:projects/details/9760/part/8413031)","DC-DC-Power Inverter Module Pipe")</f>
        <v>DC-DC-Power Inverter Module Pipe</v>
      </c>
      <c r="F2828" t="s">
        <v>3256</v>
      </c>
    </row>
    <row r="2829" spans="1:6" x14ac:dyDescent="0.15">
      <c r="A2829">
        <v>8413032</v>
      </c>
      <c r="B2829">
        <v>8412927</v>
      </c>
      <c r="C2829" t="s">
        <v>10</v>
      </c>
      <c r="D2829" t="s">
        <v>8</v>
      </c>
      <c r="E2829" s="4" t="str">
        <f>HYPERLINK("https://ibp.a2mac1.com/costing(costing:projects/details/9760/part/8413032)","AC Exchanger / Cooling Control Box Pipe")</f>
        <v>AC Exchanger / Cooling Control Box Pipe</v>
      </c>
      <c r="F2829" t="s">
        <v>3256</v>
      </c>
    </row>
    <row r="2830" spans="1:6" x14ac:dyDescent="0.15">
      <c r="A2830">
        <v>8413033</v>
      </c>
      <c r="B2830">
        <v>8412927</v>
      </c>
      <c r="C2830" t="s">
        <v>10</v>
      </c>
      <c r="D2830" t="s">
        <v>8</v>
      </c>
      <c r="E2830" s="4" t="str">
        <f>HYPERLINK("https://ibp.a2mac1.com/costing(costing:projects/details/9760/part/8413033)","Expansion Tank / AC Exchanger Pipe")</f>
        <v>Expansion Tank / AC Exchanger Pipe</v>
      </c>
      <c r="F2830" t="s">
        <v>3256</v>
      </c>
    </row>
    <row r="2831" spans="1:6" x14ac:dyDescent="0.15">
      <c r="A2831">
        <v>8413034</v>
      </c>
      <c r="B2831">
        <v>8412927</v>
      </c>
      <c r="C2831" t="s">
        <v>10</v>
      </c>
      <c r="D2831" t="s">
        <v>8</v>
      </c>
      <c r="E2831" s="4" t="str">
        <f>HYPERLINK("https://ibp.a2mac1.com/costing(costing:projects/details/9760/part/8413034)","Auxiliary pump / HV Charger Pipe")</f>
        <v>Auxiliary pump / HV Charger Pipe</v>
      </c>
      <c r="F2831" t="s">
        <v>3256</v>
      </c>
    </row>
    <row r="2832" spans="1:6" x14ac:dyDescent="0.15">
      <c r="A2832">
        <v>8413035</v>
      </c>
      <c r="B2832">
        <v>8412927</v>
      </c>
      <c r="C2832" t="s">
        <v>10</v>
      </c>
      <c r="D2832" t="s">
        <v>8</v>
      </c>
      <c r="E2832" s="4" t="str">
        <f>HYPERLINK("https://ibp.a2mac1.com/costing(costing:projects/details/9760/part/8413035)","IN Coupling Pipe HV Charger")</f>
        <v>IN Coupling Pipe HV Charger</v>
      </c>
      <c r="F2832" t="s">
        <v>3256</v>
      </c>
    </row>
    <row r="2833" spans="1:6" x14ac:dyDescent="0.15">
      <c r="A2833">
        <v>8413036</v>
      </c>
      <c r="B2833">
        <v>8412927</v>
      </c>
      <c r="C2833" t="s">
        <v>10</v>
      </c>
      <c r="D2833" t="s">
        <v>8</v>
      </c>
      <c r="E2833" s="4" t="str">
        <f>HYPERLINK("https://ibp.a2mac1.com/costing(costing:projects/details/9760/part/8413036)","Pipe AC Exchanger to Distributor")</f>
        <v>Pipe AC Exchanger to Distributor</v>
      </c>
      <c r="F2833" t="s">
        <v>3256</v>
      </c>
    </row>
    <row r="2834" spans="1:6" x14ac:dyDescent="0.15">
      <c r="A2834">
        <v>8413037</v>
      </c>
      <c r="B2834">
        <v>8412927</v>
      </c>
      <c r="C2834" t="s">
        <v>10</v>
      </c>
      <c r="D2834" t="s">
        <v>8</v>
      </c>
      <c r="E2834" s="4" t="str">
        <f>HYPERLINK("https://ibp.a2mac1.com/costing(costing:projects/details/9760/part/8413037)","Exchanger / Distributor Pipe")</f>
        <v>Exchanger / Distributor Pipe</v>
      </c>
      <c r="F2834" t="s">
        <v>3256</v>
      </c>
    </row>
    <row r="2835" spans="1:6" x14ac:dyDescent="0.15">
      <c r="A2835">
        <v>8413038</v>
      </c>
      <c r="B2835">
        <v>8412927</v>
      </c>
      <c r="C2835" t="s">
        <v>10</v>
      </c>
      <c r="D2835" t="s">
        <v>8</v>
      </c>
      <c r="E2835" s="4" t="str">
        <f>HYPERLINK("https://ibp.a2mac1.com/costing(costing:projects/details/9760/part/8413038)","Pipe Distributor / converter")</f>
        <v>Pipe Distributor / converter</v>
      </c>
      <c r="F2835" t="s">
        <v>3256</v>
      </c>
    </row>
    <row r="2836" spans="1:6" x14ac:dyDescent="0.15">
      <c r="A2836">
        <v>8413039</v>
      </c>
      <c r="B2836">
        <v>8412927</v>
      </c>
      <c r="C2836" t="s">
        <v>10</v>
      </c>
      <c r="D2836" t="s">
        <v>8</v>
      </c>
      <c r="E2836" s="4" t="str">
        <f>HYPERLINK("https://ibp.a2mac1.com/costing(costing:projects/details/9760/part/8413039)","Pipe auxiliary pump/electric motor Rear")</f>
        <v>Pipe auxiliary pump/electric motor Rear</v>
      </c>
      <c r="F2836" t="s">
        <v>3256</v>
      </c>
    </row>
    <row r="2837" spans="1:6" x14ac:dyDescent="0.15">
      <c r="A2837">
        <v>8412928</v>
      </c>
      <c r="B2837">
        <v>8412870</v>
      </c>
      <c r="C2837" t="s">
        <v>8</v>
      </c>
      <c r="D2837" t="s">
        <v>8</v>
      </c>
      <c r="E2837" s="4" t="str">
        <f>HYPERLINK("https://ibp.a2mac1.com/costing(costing:projects/details/9760/assembly/8412928)","Fan System")</f>
        <v>Fan System</v>
      </c>
      <c r="F2837" t="s">
        <v>3242</v>
      </c>
    </row>
    <row r="2838" spans="1:6" x14ac:dyDescent="0.15">
      <c r="A2838">
        <v>8413046</v>
      </c>
      <c r="B2838">
        <v>8412928</v>
      </c>
      <c r="C2838" t="s">
        <v>8</v>
      </c>
      <c r="D2838" t="s">
        <v>8</v>
      </c>
      <c r="E2838" s="4" t="str">
        <f>HYPERLINK("https://ibp.a2mac1.com/costing(costing:projects/details/9760/assembly/8413046)","Radiator Fan")</f>
        <v>Radiator Fan</v>
      </c>
      <c r="F2838" t="s">
        <v>3272</v>
      </c>
    </row>
    <row r="2839" spans="1:6" x14ac:dyDescent="0.15">
      <c r="A2839">
        <v>8413090</v>
      </c>
      <c r="B2839">
        <v>8413046</v>
      </c>
      <c r="C2839" t="s">
        <v>10</v>
      </c>
      <c r="D2839" t="s">
        <v>8</v>
      </c>
      <c r="E2839" s="4" t="str">
        <f>HYPERLINK("https://ibp.a2mac1.com/costing(costing:projects/details/9760/part/8413090)","Radiator Fan Left/Single")</f>
        <v>Radiator Fan Left/Single</v>
      </c>
      <c r="F2839" t="s">
        <v>3273</v>
      </c>
    </row>
    <row r="2840" spans="1:6" x14ac:dyDescent="0.15">
      <c r="A2840">
        <v>8413047</v>
      </c>
      <c r="B2840">
        <v>8412928</v>
      </c>
      <c r="C2840" t="s">
        <v>8</v>
      </c>
      <c r="D2840" t="s">
        <v>8</v>
      </c>
      <c r="E2840" s="4" t="str">
        <f>HYPERLINK("https://ibp.a2mac1.com/costing(costing:projects/details/9760/assembly/8413047)","Motor System")</f>
        <v>Motor System</v>
      </c>
      <c r="F2840" t="s">
        <v>3272</v>
      </c>
    </row>
    <row r="2841" spans="1:6" x14ac:dyDescent="0.15">
      <c r="A2841">
        <v>8413091</v>
      </c>
      <c r="B2841">
        <v>8413047</v>
      </c>
      <c r="C2841" t="s">
        <v>10</v>
      </c>
      <c r="D2841" t="s">
        <v>8</v>
      </c>
      <c r="E2841" s="4" t="str">
        <f>HYPERLINK("https://ibp.a2mac1.com/costing(costing:projects/details/9760/part/8413091)","Motor Left/Single")</f>
        <v>Motor Left/Single</v>
      </c>
      <c r="F2841" t="s">
        <v>3277</v>
      </c>
    </row>
    <row r="2842" spans="1:6" x14ac:dyDescent="0.15">
      <c r="A2842">
        <v>8413040</v>
      </c>
      <c r="B2842">
        <v>8412928</v>
      </c>
      <c r="C2842" t="s">
        <v>10</v>
      </c>
      <c r="D2842" t="s">
        <v>8</v>
      </c>
      <c r="E2842" s="4" t="str">
        <f>HYPERLINK("https://ibp.a2mac1.com/costing(costing:projects/details/9760/part/8413040)","Front cooling module")</f>
        <v>Front cooling module</v>
      </c>
      <c r="F2842" t="s">
        <v>3272</v>
      </c>
    </row>
    <row r="2843" spans="1:6" x14ac:dyDescent="0.15">
      <c r="A2843">
        <v>8413041</v>
      </c>
      <c r="B2843">
        <v>8412928</v>
      </c>
      <c r="C2843" t="s">
        <v>10</v>
      </c>
      <c r="D2843" t="s">
        <v>8</v>
      </c>
      <c r="E2843" s="4" t="str">
        <f>HYPERLINK("https://ibp.a2mac1.com/costing(costing:projects/details/9760/part/8413041)","Front Cooling Module Support")</f>
        <v>Front Cooling Module Support</v>
      </c>
      <c r="F2843" t="s">
        <v>3272</v>
      </c>
    </row>
    <row r="2844" spans="1:6" x14ac:dyDescent="0.15">
      <c r="A2844">
        <v>8413042</v>
      </c>
      <c r="B2844">
        <v>8412928</v>
      </c>
      <c r="C2844" t="s">
        <v>10</v>
      </c>
      <c r="D2844" t="s">
        <v>8</v>
      </c>
      <c r="E2844" s="4" t="str">
        <f>HYPERLINK("https://ibp.a2mac1.com/costing(costing:projects/details/9760/part/8413042)","Front Cooling Module Support 2")</f>
        <v>Front Cooling Module Support 2</v>
      </c>
      <c r="F2844" t="s">
        <v>3272</v>
      </c>
    </row>
    <row r="2845" spans="1:6" x14ac:dyDescent="0.15">
      <c r="A2845">
        <v>8413043</v>
      </c>
      <c r="B2845">
        <v>8412928</v>
      </c>
      <c r="C2845" t="s">
        <v>10</v>
      </c>
      <c r="D2845" t="s">
        <v>8</v>
      </c>
      <c r="E2845" s="4" t="str">
        <f>HYPERLINK("https://ibp.a2mac1.com/costing(costing:projects/details/9760/part/8413043)","Front Cooling Module Right Support")</f>
        <v>Front Cooling Module Right Support</v>
      </c>
      <c r="F2845" t="s">
        <v>3272</v>
      </c>
    </row>
    <row r="2846" spans="1:6" x14ac:dyDescent="0.15">
      <c r="A2846">
        <v>8413044</v>
      </c>
      <c r="B2846">
        <v>8412928</v>
      </c>
      <c r="C2846" t="s">
        <v>10</v>
      </c>
      <c r="D2846" t="s">
        <v>8</v>
      </c>
      <c r="E2846" s="4" t="str">
        <f>HYPERLINK("https://ibp.a2mac1.com/costing(costing:projects/details/9760/part/8413044)","Front Cooling Module Right Support 2")</f>
        <v>Front Cooling Module Right Support 2</v>
      </c>
      <c r="F2846" t="s">
        <v>3272</v>
      </c>
    </row>
    <row r="2847" spans="1:6" x14ac:dyDescent="0.15">
      <c r="A2847">
        <v>8413045</v>
      </c>
      <c r="B2847">
        <v>8412928</v>
      </c>
      <c r="C2847" t="s">
        <v>10</v>
      </c>
      <c r="D2847" t="s">
        <v>8</v>
      </c>
      <c r="E2847" s="4" t="str">
        <f>HYPERLINK("https://ibp.a2mac1.com/costing(costing:projects/details/9760/part/8413045)","Cooling Module Support Stopper")</f>
        <v>Cooling Module Support Stopper</v>
      </c>
      <c r="F2847" t="s">
        <v>3272</v>
      </c>
    </row>
    <row r="2848" spans="1:6" x14ac:dyDescent="0.15">
      <c r="A2848">
        <v>8412929</v>
      </c>
      <c r="B2848">
        <v>8412870</v>
      </c>
      <c r="C2848" t="s">
        <v>8</v>
      </c>
      <c r="D2848" t="s">
        <v>8</v>
      </c>
      <c r="E2848" s="4" t="str">
        <f>HYPERLINK("https://ibp.a2mac1.com/costing(costing:projects/details/9760/assembly/8412929)","Dynamic Flaps System")</f>
        <v>Dynamic Flaps System</v>
      </c>
      <c r="F2848" t="s">
        <v>3242</v>
      </c>
    </row>
    <row r="2849" spans="1:6" x14ac:dyDescent="0.15">
      <c r="A2849">
        <v>8413048</v>
      </c>
      <c r="B2849">
        <v>8412929</v>
      </c>
      <c r="C2849" t="s">
        <v>8</v>
      </c>
      <c r="D2849" t="s">
        <v>8</v>
      </c>
      <c r="E2849" s="4" t="str">
        <f>HYPERLINK("https://ibp.a2mac1.com/costing(costing:projects/details/9760/assembly/8413048)","Dynamics Flaps Upper / Single")</f>
        <v>Dynamics Flaps Upper / Single</v>
      </c>
      <c r="F2849" t="s">
        <v>3289</v>
      </c>
    </row>
    <row r="2850" spans="1:6" x14ac:dyDescent="0.15">
      <c r="A2850">
        <v>8413092</v>
      </c>
      <c r="B2850">
        <v>8413048</v>
      </c>
      <c r="C2850" t="s">
        <v>10</v>
      </c>
      <c r="D2850" t="s">
        <v>8</v>
      </c>
      <c r="E2850" s="4" t="str">
        <f>HYPERLINK("https://ibp.a2mac1.com/costing(costing:projects/details/9760/part/8413092)","Motor/Valve")</f>
        <v>Motor/Valve</v>
      </c>
      <c r="F2850" t="s">
        <v>3290</v>
      </c>
    </row>
    <row r="2851" spans="1:6" x14ac:dyDescent="0.15">
      <c r="A2851">
        <v>8413093</v>
      </c>
      <c r="B2851">
        <v>8413048</v>
      </c>
      <c r="C2851" t="s">
        <v>10</v>
      </c>
      <c r="D2851" t="s">
        <v>8</v>
      </c>
      <c r="E2851" s="4" t="str">
        <f>HYPERLINK("https://ibp.a2mac1.com/costing(costing:projects/details/9760/part/8413093)","Motor protection")</f>
        <v>Motor protection</v>
      </c>
      <c r="F2851" t="s">
        <v>3290</v>
      </c>
    </row>
    <row r="2852" spans="1:6" x14ac:dyDescent="0.15">
      <c r="A2852">
        <v>8413094</v>
      </c>
      <c r="B2852">
        <v>8413048</v>
      </c>
      <c r="C2852" t="s">
        <v>10</v>
      </c>
      <c r="D2852" t="s">
        <v>8</v>
      </c>
      <c r="E2852" s="4" t="str">
        <f>HYPERLINK("https://ibp.a2mac1.com/costing(costing:projects/details/9760/part/8413094)","Flaps Module")</f>
        <v>Flaps Module</v>
      </c>
      <c r="F2852" t="s">
        <v>3290</v>
      </c>
    </row>
    <row r="2853" spans="1:6" x14ac:dyDescent="0.15">
      <c r="A2853">
        <v>8413095</v>
      </c>
      <c r="B2853">
        <v>8413048</v>
      </c>
      <c r="C2853" t="s">
        <v>10</v>
      </c>
      <c r="D2853" t="s">
        <v>8</v>
      </c>
      <c r="E2853" s="4" t="str">
        <f>HYPERLINK("https://ibp.a2mac1.com/costing(costing:projects/details/9760/part/8413095)","Flaps Module Support")</f>
        <v>Flaps Module Support</v>
      </c>
      <c r="F2853" t="s">
        <v>3290</v>
      </c>
    </row>
    <row r="2854" spans="1:6" x14ac:dyDescent="0.15">
      <c r="A2854">
        <v>8413096</v>
      </c>
      <c r="B2854">
        <v>8413048</v>
      </c>
      <c r="C2854" t="s">
        <v>10</v>
      </c>
      <c r="D2854" t="s">
        <v>8</v>
      </c>
      <c r="E2854" s="4" t="str">
        <f>HYPERLINK("https://ibp.a2mac1.com/costing(costing:projects/details/9760/part/8413096)","Flaps Module Support 2")</f>
        <v>Flaps Module Support 2</v>
      </c>
      <c r="F2854" t="s">
        <v>3290</v>
      </c>
    </row>
    <row r="2855" spans="1:6" x14ac:dyDescent="0.15">
      <c r="A2855">
        <v>8413097</v>
      </c>
      <c r="B2855">
        <v>8413048</v>
      </c>
      <c r="C2855" t="s">
        <v>10</v>
      </c>
      <c r="D2855" t="s">
        <v>8</v>
      </c>
      <c r="E2855" s="4" t="str">
        <f>HYPERLINK("https://ibp.a2mac1.com/costing(costing:projects/details/9760/part/8413097)","Flaps")</f>
        <v>Flaps</v>
      </c>
      <c r="F2855" t="s">
        <v>3290</v>
      </c>
    </row>
    <row r="2856" spans="1:6" x14ac:dyDescent="0.15">
      <c r="A2856">
        <v>8413098</v>
      </c>
      <c r="B2856">
        <v>8413048</v>
      </c>
      <c r="C2856" t="s">
        <v>10</v>
      </c>
      <c r="D2856" t="s">
        <v>8</v>
      </c>
      <c r="E2856" s="4" t="str">
        <f>HYPERLINK("https://ibp.a2mac1.com/costing(costing:projects/details/9760/part/8413098)","2nd Flaps")</f>
        <v>2nd Flaps</v>
      </c>
      <c r="F2856" t="s">
        <v>3290</v>
      </c>
    </row>
    <row r="2857" spans="1:6" x14ac:dyDescent="0.15">
      <c r="A2857">
        <v>8413099</v>
      </c>
      <c r="B2857">
        <v>8413048</v>
      </c>
      <c r="C2857" t="s">
        <v>10</v>
      </c>
      <c r="D2857" t="s">
        <v>8</v>
      </c>
      <c r="E2857" s="4" t="str">
        <f>HYPERLINK("https://ibp.a2mac1.com/costing(costing:projects/details/9760/part/8413099)","Flaps Mechanism")</f>
        <v>Flaps Mechanism</v>
      </c>
      <c r="F2857" t="s">
        <v>3290</v>
      </c>
    </row>
    <row r="2858" spans="1:6" x14ac:dyDescent="0.15">
      <c r="A2858">
        <v>8413100</v>
      </c>
      <c r="B2858">
        <v>8413048</v>
      </c>
      <c r="C2858" t="s">
        <v>10</v>
      </c>
      <c r="D2858" t="s">
        <v>8</v>
      </c>
      <c r="E2858" s="4" t="str">
        <f>HYPERLINK("https://ibp.a2mac1.com/costing(costing:projects/details/9760/part/8413100)","Left")</f>
        <v>Left</v>
      </c>
      <c r="F2858" t="s">
        <v>3290</v>
      </c>
    </row>
    <row r="2859" spans="1:6" x14ac:dyDescent="0.15">
      <c r="A2859">
        <v>8413101</v>
      </c>
      <c r="B2859">
        <v>8413048</v>
      </c>
      <c r="C2859" t="s">
        <v>10</v>
      </c>
      <c r="D2859" t="s">
        <v>8</v>
      </c>
      <c r="E2859" s="4" t="str">
        <f>HYPERLINK("https://ibp.a2mac1.com/costing(costing:projects/details/9760/part/8413101)","2nd Right")</f>
        <v>2nd Right</v>
      </c>
      <c r="F2859" t="s">
        <v>3290</v>
      </c>
    </row>
    <row r="2860" spans="1:6" x14ac:dyDescent="0.15">
      <c r="A2860">
        <v>8413102</v>
      </c>
      <c r="B2860">
        <v>8413048</v>
      </c>
      <c r="C2860" t="s">
        <v>10</v>
      </c>
      <c r="D2860" t="s">
        <v>8</v>
      </c>
      <c r="E2860" s="4" t="str">
        <f>HYPERLINK("https://ibp.a2mac1.com/costing(costing:projects/details/9760/part/8413102)","Flaps Support")</f>
        <v>Flaps Support</v>
      </c>
      <c r="F2860" t="s">
        <v>3290</v>
      </c>
    </row>
    <row r="2861" spans="1:6" x14ac:dyDescent="0.15">
      <c r="A2861">
        <v>8413103</v>
      </c>
      <c r="B2861">
        <v>8413048</v>
      </c>
      <c r="C2861" t="s">
        <v>10</v>
      </c>
      <c r="D2861" t="s">
        <v>8</v>
      </c>
      <c r="E2861" s="4" t="str">
        <f>HYPERLINK("https://ibp.a2mac1.com/costing(costing:projects/details/9760/part/8413103)","2nd Flaps Support")</f>
        <v>2nd Flaps Support</v>
      </c>
      <c r="F2861" t="s">
        <v>3290</v>
      </c>
    </row>
    <row r="2862" spans="1:6" x14ac:dyDescent="0.15">
      <c r="A2862">
        <v>8412930</v>
      </c>
      <c r="B2862">
        <v>8412870</v>
      </c>
      <c r="C2862" t="s">
        <v>8</v>
      </c>
      <c r="D2862" t="s">
        <v>8</v>
      </c>
      <c r="E2862" s="4" t="str">
        <f>HYPERLINK("https://ibp.a2mac1.com/costing(costing:projects/details/9760/assembly/8412930)","Electric Pump")</f>
        <v>Electric Pump</v>
      </c>
      <c r="F2862" t="s">
        <v>3242</v>
      </c>
    </row>
    <row r="2863" spans="1:6" x14ac:dyDescent="0.15">
      <c r="A2863">
        <v>8413049</v>
      </c>
      <c r="B2863">
        <v>8412930</v>
      </c>
      <c r="C2863" t="s">
        <v>10</v>
      </c>
      <c r="D2863" t="s">
        <v>8</v>
      </c>
      <c r="E2863" s="4" t="str">
        <f>HYPERLINK("https://ibp.a2mac1.com/costing(costing:projects/details/9760/part/8413049)","Stator / Electric Motor")</f>
        <v>Stator / Electric Motor</v>
      </c>
      <c r="F2863" t="s">
        <v>3308</v>
      </c>
    </row>
    <row r="2864" spans="1:6" x14ac:dyDescent="0.15">
      <c r="A2864">
        <v>8412931</v>
      </c>
      <c r="B2864">
        <v>8412870</v>
      </c>
      <c r="C2864" t="s">
        <v>8</v>
      </c>
      <c r="D2864" t="s">
        <v>8</v>
      </c>
      <c r="E2864" s="4" t="str">
        <f>HYPERLINK("https://ibp.a2mac1.com/costing(costing:projects/details/9760/assembly/8412931)","Air Intake radiator")</f>
        <v>Air Intake radiator</v>
      </c>
      <c r="F2864" t="s">
        <v>3242</v>
      </c>
    </row>
    <row r="2865" spans="1:6" x14ac:dyDescent="0.15">
      <c r="A2865">
        <v>8413050</v>
      </c>
      <c r="B2865">
        <v>8412931</v>
      </c>
      <c r="C2865" t="s">
        <v>10</v>
      </c>
      <c r="D2865" t="s">
        <v>8</v>
      </c>
      <c r="E2865" s="4" t="str">
        <f>HYPERLINK("https://ibp.a2mac1.com/costing(costing:projects/details/9760/part/8413050)","Right")</f>
        <v>Right</v>
      </c>
      <c r="F2865" t="s">
        <v>3311</v>
      </c>
    </row>
    <row r="2866" spans="1:6" x14ac:dyDescent="0.15">
      <c r="A2866">
        <v>8413051</v>
      </c>
      <c r="B2866">
        <v>8412931</v>
      </c>
      <c r="C2866" t="s">
        <v>10</v>
      </c>
      <c r="D2866" t="s">
        <v>8</v>
      </c>
      <c r="E2866" s="4" t="str">
        <f>HYPERLINK("https://ibp.a2mac1.com/costing(costing:projects/details/9760/part/8413051)","Left")</f>
        <v>Left</v>
      </c>
      <c r="F2866" t="s">
        <v>3311</v>
      </c>
    </row>
    <row r="2867" spans="1:6" x14ac:dyDescent="0.15">
      <c r="A2867">
        <v>8413052</v>
      </c>
      <c r="B2867">
        <v>8412931</v>
      </c>
      <c r="C2867" t="s">
        <v>10</v>
      </c>
      <c r="D2867" t="s">
        <v>8</v>
      </c>
      <c r="E2867" s="4" t="str">
        <f>HYPERLINK("https://ibp.a2mac1.com/costing(costing:projects/details/9760/part/8413052)","Main/Single")</f>
        <v>Main/Single</v>
      </c>
      <c r="F2867" t="s">
        <v>3311</v>
      </c>
    </row>
    <row r="2868" spans="1:6" x14ac:dyDescent="0.15">
      <c r="A2868">
        <v>8412918</v>
      </c>
      <c r="B2868">
        <v>8412870</v>
      </c>
      <c r="C2868" t="s">
        <v>10</v>
      </c>
      <c r="D2868" t="s">
        <v>8</v>
      </c>
      <c r="E2868" s="4" t="str">
        <f>HYPERLINK("https://ibp.a2mac1.com/costing(costing:projects/details/9760/part/8412918)","Radiator for Hybrid /Electric system")</f>
        <v>Radiator for Hybrid /Electric system</v>
      </c>
      <c r="F2868" t="s">
        <v>3242</v>
      </c>
    </row>
    <row r="2869" spans="1:6" x14ac:dyDescent="0.15">
      <c r="A2869">
        <v>8412919</v>
      </c>
      <c r="B2869">
        <v>8412870</v>
      </c>
      <c r="C2869" t="s">
        <v>10</v>
      </c>
      <c r="D2869" t="s">
        <v>8</v>
      </c>
      <c r="E2869" s="4" t="str">
        <f>HYPERLINK("https://ibp.a2mac1.com/costing(costing:projects/details/9760/part/8412919)","Distributor")</f>
        <v>Distributor</v>
      </c>
      <c r="F2869" t="s">
        <v>3242</v>
      </c>
    </row>
    <row r="2870" spans="1:6" x14ac:dyDescent="0.15">
      <c r="A2870">
        <v>8412920</v>
      </c>
      <c r="B2870">
        <v>8412870</v>
      </c>
      <c r="C2870" t="s">
        <v>10</v>
      </c>
      <c r="D2870" t="s">
        <v>8</v>
      </c>
      <c r="E2870" s="4" t="str">
        <f>HYPERLINK("https://ibp.a2mac1.com/costing(costing:projects/details/9760/part/8412920)","2nd Distributor")</f>
        <v>2nd Distributor</v>
      </c>
      <c r="F2870" t="s">
        <v>3242</v>
      </c>
    </row>
    <row r="2871" spans="1:6" x14ac:dyDescent="0.15">
      <c r="A2871">
        <v>8412921</v>
      </c>
      <c r="B2871">
        <v>8412870</v>
      </c>
      <c r="C2871" t="s">
        <v>10</v>
      </c>
      <c r="D2871" t="s">
        <v>8</v>
      </c>
      <c r="E2871" s="4" t="str">
        <f>HYPERLINK("https://ibp.a2mac1.com/costing(costing:projects/details/9760/part/8412921)","Distributor Actuator")</f>
        <v>Distributor Actuator</v>
      </c>
      <c r="F2871" t="s">
        <v>3242</v>
      </c>
    </row>
    <row r="2872" spans="1:6" x14ac:dyDescent="0.15">
      <c r="A2872">
        <v>8412922</v>
      </c>
      <c r="B2872">
        <v>8412870</v>
      </c>
      <c r="C2872" t="s">
        <v>10</v>
      </c>
      <c r="D2872" t="s">
        <v>8</v>
      </c>
      <c r="E2872" s="4" t="str">
        <f>HYPERLINK("https://ibp.a2mac1.com/costing(costing:projects/details/9760/part/8412922)","Distributor Actuator 2")</f>
        <v>Distributor Actuator 2</v>
      </c>
      <c r="F2872" t="s">
        <v>3242</v>
      </c>
    </row>
    <row r="2873" spans="1:6" x14ac:dyDescent="0.15">
      <c r="A2873">
        <v>8412923</v>
      </c>
      <c r="B2873">
        <v>8412870</v>
      </c>
      <c r="C2873" t="s">
        <v>10</v>
      </c>
      <c r="D2873" t="s">
        <v>8</v>
      </c>
      <c r="E2873" s="4" t="str">
        <f>HYPERLINK("https://ibp.a2mac1.com/costing(costing:projects/details/9760/part/8412923)","Water Temperature Sensor")</f>
        <v>Water Temperature Sensor</v>
      </c>
      <c r="F2873" t="s">
        <v>3242</v>
      </c>
    </row>
    <row r="2874" spans="1:6" x14ac:dyDescent="0.15">
      <c r="A2874">
        <v>8412924</v>
      </c>
      <c r="B2874">
        <v>8412870</v>
      </c>
      <c r="C2874" t="s">
        <v>10</v>
      </c>
      <c r="D2874" t="s">
        <v>8</v>
      </c>
      <c r="E2874" s="4" t="str">
        <f>HYPERLINK("https://ibp.a2mac1.com/costing(costing:projects/details/9760/part/8412924)","Cooling Manifold")</f>
        <v>Cooling Manifold</v>
      </c>
      <c r="F2874" t="s">
        <v>3242</v>
      </c>
    </row>
    <row r="2875" spans="1:6" x14ac:dyDescent="0.15">
      <c r="A2875">
        <v>12084058</v>
      </c>
      <c r="B2875">
        <v>8412924</v>
      </c>
      <c r="C2875" t="s">
        <v>114</v>
      </c>
      <c r="D2875" t="s">
        <v>10</v>
      </c>
      <c r="E2875" s="4" t="str">
        <f>HYPERLINK("https://ibp.a2mac1.com/costing(costing:projects/details/9760/process/12084058)","Process")</f>
        <v>Process</v>
      </c>
      <c r="F2875" t="s">
        <v>3322</v>
      </c>
    </row>
    <row r="2876" spans="1:6" x14ac:dyDescent="0.15">
      <c r="A2876">
        <v>8752946</v>
      </c>
      <c r="B2876">
        <v>12084058</v>
      </c>
      <c r="C2876" t="s">
        <v>22</v>
      </c>
      <c r="D2876" t="s">
        <v>114</v>
      </c>
      <c r="E2876" s="4" t="str">
        <f>HYPERLINK("https://ibp.a2mac1.com/costing(costing:projects/details/9760/material/8752946)","PP-GF20")</f>
        <v>PP-GF20</v>
      </c>
      <c r="F2876" t="s">
        <v>3325</v>
      </c>
    </row>
    <row r="2877" spans="1:6" x14ac:dyDescent="0.15">
      <c r="A2877">
        <v>12211145</v>
      </c>
      <c r="B2877">
        <v>12084058</v>
      </c>
      <c r="C2877" t="s">
        <v>163</v>
      </c>
      <c r="D2877" t="s">
        <v>114</v>
      </c>
      <c r="E2877" s="4" t="str">
        <f>HYPERLINK("https://ibp.a2mac1.com/costing(costing:projects/details/9760/equipment/12211145)","General production process (&gt;10€)")</f>
        <v>General production process (&gt;10€)</v>
      </c>
      <c r="F2877" t="s">
        <v>3325</v>
      </c>
    </row>
    <row r="2878" spans="1:6" x14ac:dyDescent="0.15">
      <c r="A2878">
        <v>8412871</v>
      </c>
      <c r="B2878">
        <v>8412864</v>
      </c>
      <c r="C2878" t="s">
        <v>8</v>
      </c>
      <c r="D2878" t="s">
        <v>8</v>
      </c>
      <c r="E2878" s="4" t="str">
        <f>HYPERLINK("https://ibp.a2mac1.com/costing(costing:projects/details/9760/assembly/8412871)","e-Motor System")</f>
        <v>e-Motor System</v>
      </c>
      <c r="F2878" t="s">
        <v>2734</v>
      </c>
    </row>
    <row r="2879" spans="1:6" x14ac:dyDescent="0.15">
      <c r="A2879">
        <v>8412932</v>
      </c>
      <c r="B2879">
        <v>8412871</v>
      </c>
      <c r="C2879" t="s">
        <v>8</v>
      </c>
      <c r="D2879" t="s">
        <v>8</v>
      </c>
      <c r="E2879" s="4" t="str">
        <f>HYPERLINK("https://ibp.a2mac1.com/costing(costing:projects/details/9760/assembly/8412932)","Motor/Generator 1")</f>
        <v>Motor/Generator 1</v>
      </c>
      <c r="F2879" t="s">
        <v>3329</v>
      </c>
    </row>
    <row r="2880" spans="1:6" x14ac:dyDescent="0.15">
      <c r="A2880">
        <v>8413053</v>
      </c>
      <c r="B2880">
        <v>8412932</v>
      </c>
      <c r="C2880" t="s">
        <v>8</v>
      </c>
      <c r="D2880" t="s">
        <v>8</v>
      </c>
      <c r="E2880" s="4" t="str">
        <f>HYPERLINK("https://ibp.a2mac1.com/costing(costing:projects/details/9760/assembly/8413053)","Stator Assembly")</f>
        <v>Stator Assembly</v>
      </c>
      <c r="F2880" t="s">
        <v>3330</v>
      </c>
    </row>
    <row r="2881" spans="1:6" x14ac:dyDescent="0.15">
      <c r="A2881">
        <v>8413108</v>
      </c>
      <c r="B2881">
        <v>8413053</v>
      </c>
      <c r="C2881" t="s">
        <v>8</v>
      </c>
      <c r="D2881" t="s">
        <v>8</v>
      </c>
      <c r="E2881" s="4" t="str">
        <f>HYPERLINK("https://ibp.a2mac1.com/costing(costing:projects/details/9760/assembly/8413108)","Wire Winding")</f>
        <v>Wire Winding</v>
      </c>
      <c r="F2881" t="s">
        <v>3331</v>
      </c>
    </row>
    <row r="2882" spans="1:6" x14ac:dyDescent="0.15">
      <c r="A2882">
        <v>8413254</v>
      </c>
      <c r="B2882">
        <v>8413108</v>
      </c>
      <c r="C2882" t="s">
        <v>10</v>
      </c>
      <c r="D2882" t="s">
        <v>8</v>
      </c>
      <c r="E2882" s="4" t="str">
        <f>HYPERLINK("https://ibp.a2mac1.com/costing(costing:projects/details/9760/part/8413254)","Impregnation resin")</f>
        <v>Impregnation resin</v>
      </c>
      <c r="F2882" t="s">
        <v>3332</v>
      </c>
    </row>
    <row r="2883" spans="1:6" x14ac:dyDescent="0.15">
      <c r="A2883">
        <v>8413255</v>
      </c>
      <c r="B2883">
        <v>8413108</v>
      </c>
      <c r="C2883" t="s">
        <v>10</v>
      </c>
      <c r="D2883" t="s">
        <v>8</v>
      </c>
      <c r="E2883" s="4" t="str">
        <f>HYPERLINK("https://ibp.a2mac1.com/costing(costing:projects/details/9760/part/8413255)","Wire winding")</f>
        <v>Wire winding</v>
      </c>
      <c r="F2883" t="s">
        <v>3332</v>
      </c>
    </row>
    <row r="2884" spans="1:6" x14ac:dyDescent="0.15">
      <c r="A2884">
        <v>8413104</v>
      </c>
      <c r="B2884">
        <v>8413053</v>
      </c>
      <c r="C2884" t="s">
        <v>10</v>
      </c>
      <c r="D2884" t="s">
        <v>8</v>
      </c>
      <c r="E2884" s="4" t="str">
        <f>HYPERLINK("https://ibp.a2mac1.com/costing(costing:projects/details/9760/part/8413104)","Electrical Insulation 1")</f>
        <v>Electrical Insulation 1</v>
      </c>
      <c r="F2884" t="s">
        <v>3331</v>
      </c>
    </row>
    <row r="2885" spans="1:6" x14ac:dyDescent="0.15">
      <c r="A2885">
        <v>8413105</v>
      </c>
      <c r="B2885">
        <v>8413053</v>
      </c>
      <c r="C2885" t="s">
        <v>10</v>
      </c>
      <c r="D2885" t="s">
        <v>8</v>
      </c>
      <c r="E2885" s="4" t="str">
        <f>HYPERLINK("https://ibp.a2mac1.com/costing(costing:projects/details/9760/part/8413105)","Temperature Sensor")</f>
        <v>Temperature Sensor</v>
      </c>
      <c r="F2885" t="s">
        <v>3331</v>
      </c>
    </row>
    <row r="2886" spans="1:6" x14ac:dyDescent="0.15">
      <c r="A2886">
        <v>8413106</v>
      </c>
      <c r="B2886">
        <v>8413053</v>
      </c>
      <c r="C2886" t="s">
        <v>10</v>
      </c>
      <c r="D2886" t="s">
        <v>8</v>
      </c>
      <c r="E2886" s="4" t="str">
        <f>HYPERLINK("https://ibp.a2mac1.com/costing(costing:projects/details/9760/part/8413106)","Coupling Busbar 1")</f>
        <v>Coupling Busbar 1</v>
      </c>
      <c r="F2886" t="s">
        <v>3331</v>
      </c>
    </row>
    <row r="2887" spans="1:6" x14ac:dyDescent="0.15">
      <c r="A2887">
        <v>8413107</v>
      </c>
      <c r="B2887">
        <v>8413053</v>
      </c>
      <c r="C2887" t="s">
        <v>10</v>
      </c>
      <c r="D2887" t="s">
        <v>8</v>
      </c>
      <c r="E2887" s="4" t="str">
        <f>HYPERLINK("https://ibp.a2mac1.com/costing(costing:projects/details/9760/part/8413107)","Coupling Busbar 2")</f>
        <v>Coupling Busbar 2</v>
      </c>
      <c r="F2887" t="s">
        <v>3331</v>
      </c>
    </row>
    <row r="2888" spans="1:6" x14ac:dyDescent="0.15">
      <c r="A2888">
        <v>8413109</v>
      </c>
      <c r="B2888">
        <v>8413053</v>
      </c>
      <c r="C2888" t="s">
        <v>10</v>
      </c>
      <c r="D2888" t="s">
        <v>8</v>
      </c>
      <c r="E2888" s="4" t="str">
        <f>HYPERLINK("https://ibp.a2mac1.com/costing(costing:projects/details/9760/part/8413109)","Lamination")</f>
        <v>Lamination</v>
      </c>
      <c r="F2888" t="s">
        <v>3331</v>
      </c>
    </row>
    <row r="2889" spans="1:6" x14ac:dyDescent="0.15">
      <c r="A2889">
        <v>12084069</v>
      </c>
      <c r="B2889">
        <v>8413109</v>
      </c>
      <c r="C2889" t="s">
        <v>114</v>
      </c>
      <c r="D2889" t="s">
        <v>10</v>
      </c>
      <c r="E2889" s="4" t="str">
        <f>HYPERLINK("https://ibp.a2mac1.com/costing(costing:projects/details/9760/process/12084069)","Process")</f>
        <v>Process</v>
      </c>
      <c r="F2889" t="s">
        <v>3337</v>
      </c>
    </row>
    <row r="2890" spans="1:6" x14ac:dyDescent="0.15">
      <c r="A2890">
        <v>8752980</v>
      </c>
      <c r="B2890">
        <v>12084069</v>
      </c>
      <c r="C2890" t="s">
        <v>22</v>
      </c>
      <c r="D2890" t="s">
        <v>114</v>
      </c>
      <c r="E2890" s="4" t="str">
        <f>HYPERLINK("https://ibp.a2mac1.com/costing(costing:projects/details/9760/material/8752980)","NO-30 (Sheet/Coil)")</f>
        <v>NO-30 (Sheet/Coil)</v>
      </c>
      <c r="F2890" t="s">
        <v>3340</v>
      </c>
    </row>
    <row r="2891" spans="1:6" x14ac:dyDescent="0.15">
      <c r="A2891">
        <v>12211156</v>
      </c>
      <c r="B2891">
        <v>12084069</v>
      </c>
      <c r="C2891" t="s">
        <v>163</v>
      </c>
      <c r="D2891" t="s">
        <v>114</v>
      </c>
      <c r="E2891" s="4" t="str">
        <f>HYPERLINK("https://ibp.a2mac1.com/costing(costing:projects/details/9760/equipment/12211156)","General production process (0.5-10€)")</f>
        <v>General production process (0.5-10€)</v>
      </c>
      <c r="F2891" t="s">
        <v>3340</v>
      </c>
    </row>
    <row r="2892" spans="1:6" x14ac:dyDescent="0.15">
      <c r="A2892">
        <v>12084065</v>
      </c>
      <c r="B2892">
        <v>8413053</v>
      </c>
      <c r="C2892" t="s">
        <v>114</v>
      </c>
      <c r="D2892" t="s">
        <v>8</v>
      </c>
      <c r="E2892" s="4" t="str">
        <f>HYPERLINK("https://ibp.a2mac1.com/costing(costing:projects/details/9760/process/12084065)","Process")</f>
        <v>Process</v>
      </c>
      <c r="F2892" t="s">
        <v>3331</v>
      </c>
    </row>
    <row r="2893" spans="1:6" x14ac:dyDescent="0.15">
      <c r="A2893">
        <v>12211152</v>
      </c>
      <c r="B2893">
        <v>12084065</v>
      </c>
      <c r="C2893" t="s">
        <v>163</v>
      </c>
      <c r="D2893" t="s">
        <v>114</v>
      </c>
      <c r="E2893" s="4" t="str">
        <f>HYPERLINK("https://ibp.a2mac1.com/costing(costing:projects/details/9760/equipment/12211152)","General production process (0.5-10€)")</f>
        <v>General production process (0.5-10€)</v>
      </c>
      <c r="F2893" t="s">
        <v>3342</v>
      </c>
    </row>
    <row r="2894" spans="1:6" x14ac:dyDescent="0.15">
      <c r="A2894">
        <v>8413054</v>
      </c>
      <c r="B2894">
        <v>8412932</v>
      </c>
      <c r="C2894" t="s">
        <v>8</v>
      </c>
      <c r="D2894" t="s">
        <v>8</v>
      </c>
      <c r="E2894" s="4" t="str">
        <f>HYPERLINK("https://ibp.a2mac1.com/costing(costing:projects/details/9760/assembly/8413054)","Rotor Assembly")</f>
        <v>Rotor Assembly</v>
      </c>
      <c r="F2894" t="s">
        <v>3330</v>
      </c>
    </row>
    <row r="2895" spans="1:6" x14ac:dyDescent="0.15">
      <c r="A2895">
        <v>8413110</v>
      </c>
      <c r="B2895">
        <v>8413054</v>
      </c>
      <c r="C2895" t="s">
        <v>10</v>
      </c>
      <c r="D2895" t="s">
        <v>8</v>
      </c>
      <c r="E2895" s="4" t="str">
        <f>HYPERLINK("https://ibp.a2mac1.com/costing(costing:projects/details/9760/part/8413110)","End Cap 1")</f>
        <v>End Cap 1</v>
      </c>
      <c r="F2895" t="s">
        <v>3344</v>
      </c>
    </row>
    <row r="2896" spans="1:6" x14ac:dyDescent="0.15">
      <c r="A2896">
        <v>8413111</v>
      </c>
      <c r="B2896">
        <v>8413054</v>
      </c>
      <c r="C2896" t="s">
        <v>10</v>
      </c>
      <c r="D2896" t="s">
        <v>8</v>
      </c>
      <c r="E2896" s="4" t="str">
        <f>HYPERLINK("https://ibp.a2mac1.com/costing(costing:projects/details/9760/part/8413111)","End Cap 2")</f>
        <v>End Cap 2</v>
      </c>
      <c r="F2896" t="s">
        <v>3344</v>
      </c>
    </row>
    <row r="2897" spans="1:6" x14ac:dyDescent="0.15">
      <c r="A2897">
        <v>8413112</v>
      </c>
      <c r="B2897">
        <v>8413054</v>
      </c>
      <c r="C2897" t="s">
        <v>10</v>
      </c>
      <c r="D2897" t="s">
        <v>8</v>
      </c>
      <c r="E2897" s="4" t="str">
        <f>HYPERLINK("https://ibp.a2mac1.com/costing(costing:projects/details/9760/part/8413112)","Lamination 1")</f>
        <v>Lamination 1</v>
      </c>
      <c r="F2897" t="s">
        <v>3344</v>
      </c>
    </row>
    <row r="2898" spans="1:6" x14ac:dyDescent="0.15">
      <c r="A2898">
        <v>12084070</v>
      </c>
      <c r="B2898">
        <v>8413112</v>
      </c>
      <c r="C2898" t="s">
        <v>114</v>
      </c>
      <c r="D2898" t="s">
        <v>10</v>
      </c>
      <c r="E2898" s="4" t="str">
        <f>HYPERLINK("https://ibp.a2mac1.com/costing(costing:projects/details/9760/process/12084070)","Process")</f>
        <v>Process</v>
      </c>
      <c r="F2898" t="s">
        <v>3347</v>
      </c>
    </row>
    <row r="2899" spans="1:6" x14ac:dyDescent="0.15">
      <c r="A2899">
        <v>8752981</v>
      </c>
      <c r="B2899">
        <v>12084070</v>
      </c>
      <c r="C2899" t="s">
        <v>22</v>
      </c>
      <c r="D2899" t="s">
        <v>114</v>
      </c>
      <c r="E2899" s="4" t="str">
        <f>HYPERLINK("https://ibp.a2mac1.com/costing(costing:projects/details/9760/material/8752981)","NO-30 (Sheet/Coil)")</f>
        <v>NO-30 (Sheet/Coil)</v>
      </c>
      <c r="F2899" t="s">
        <v>3350</v>
      </c>
    </row>
    <row r="2900" spans="1:6" x14ac:dyDescent="0.15">
      <c r="A2900">
        <v>12211157</v>
      </c>
      <c r="B2900">
        <v>12084070</v>
      </c>
      <c r="C2900" t="s">
        <v>163</v>
      </c>
      <c r="D2900" t="s">
        <v>114</v>
      </c>
      <c r="E2900" s="4" t="str">
        <f>HYPERLINK("https://ibp.a2mac1.com/costing(costing:projects/details/9760/equipment/12211157)","General production process (0.5-10€)")</f>
        <v>General production process (0.5-10€)</v>
      </c>
      <c r="F2900" t="s">
        <v>3350</v>
      </c>
    </row>
    <row r="2901" spans="1:6" x14ac:dyDescent="0.15">
      <c r="A2901">
        <v>8413113</v>
      </c>
      <c r="B2901">
        <v>8413054</v>
      </c>
      <c r="C2901" t="s">
        <v>10</v>
      </c>
      <c r="D2901" t="s">
        <v>8</v>
      </c>
      <c r="E2901" s="4" t="str">
        <f>HYPERLINK("https://ibp.a2mac1.com/costing(costing:projects/details/9760/part/8413113)","Shaft")</f>
        <v>Shaft</v>
      </c>
      <c r="F2901" t="s">
        <v>3344</v>
      </c>
    </row>
    <row r="2902" spans="1:6" x14ac:dyDescent="0.15">
      <c r="A2902">
        <v>12084071</v>
      </c>
      <c r="B2902">
        <v>8413113</v>
      </c>
      <c r="C2902" t="s">
        <v>114</v>
      </c>
      <c r="D2902" t="s">
        <v>10</v>
      </c>
      <c r="E2902" s="4" t="str">
        <f>HYPERLINK("https://ibp.a2mac1.com/costing(costing:projects/details/9760/process/12084071)","Process")</f>
        <v>Process</v>
      </c>
      <c r="F2902" t="s">
        <v>3352</v>
      </c>
    </row>
    <row r="2903" spans="1:6" x14ac:dyDescent="0.15">
      <c r="A2903">
        <v>8752982</v>
      </c>
      <c r="B2903">
        <v>12084071</v>
      </c>
      <c r="C2903" t="s">
        <v>22</v>
      </c>
      <c r="D2903" t="s">
        <v>114</v>
      </c>
      <c r="E2903" s="4" t="str">
        <f>HYPERLINK("https://ibp.a2mac1.com/costing(costing:projects/details/9760/material/8752982)","16MnCrS5 / PS 59 / 16MnCrS5 / 1.7139 (Billet)")</f>
        <v>16MnCrS5 / PS 59 / 16MnCrS5 / 1.7139 (Billet)</v>
      </c>
      <c r="F2903" t="s">
        <v>3357</v>
      </c>
    </row>
    <row r="2904" spans="1:6" x14ac:dyDescent="0.15">
      <c r="A2904">
        <v>12211158</v>
      </c>
      <c r="B2904">
        <v>12084071</v>
      </c>
      <c r="C2904" t="s">
        <v>163</v>
      </c>
      <c r="D2904" t="s">
        <v>114</v>
      </c>
      <c r="E2904" s="4" t="str">
        <f>HYPERLINK("https://ibp.a2mac1.com/costing(costing:projects/details/9760/equipment/12211158)","General production process (0.5-10€)")</f>
        <v>General production process (0.5-10€)</v>
      </c>
      <c r="F2904" t="s">
        <v>3357</v>
      </c>
    </row>
    <row r="2905" spans="1:6" x14ac:dyDescent="0.15">
      <c r="A2905">
        <v>12084066</v>
      </c>
      <c r="B2905">
        <v>8413054</v>
      </c>
      <c r="C2905" t="s">
        <v>114</v>
      </c>
      <c r="D2905" t="s">
        <v>8</v>
      </c>
      <c r="E2905" s="4" t="str">
        <f>HYPERLINK("https://ibp.a2mac1.com/costing(costing:projects/details/9760/process/12084066)","Process")</f>
        <v>Process</v>
      </c>
      <c r="F2905" t="s">
        <v>3344</v>
      </c>
    </row>
    <row r="2906" spans="1:6" x14ac:dyDescent="0.15">
      <c r="A2906">
        <v>12211153</v>
      </c>
      <c r="B2906">
        <v>12084066</v>
      </c>
      <c r="C2906" t="s">
        <v>163</v>
      </c>
      <c r="D2906" t="s">
        <v>114</v>
      </c>
      <c r="E2906" s="4" t="str">
        <f>HYPERLINK("https://ibp.a2mac1.com/costing(costing:projects/details/9760/equipment/12211153)","General production process (0.5-10€)")</f>
        <v>General production process (0.5-10€)</v>
      </c>
      <c r="F2906" t="s">
        <v>3359</v>
      </c>
    </row>
    <row r="2907" spans="1:6" x14ac:dyDescent="0.15">
      <c r="A2907">
        <v>8413055</v>
      </c>
      <c r="B2907">
        <v>8412932</v>
      </c>
      <c r="C2907" t="s">
        <v>8</v>
      </c>
      <c r="D2907" t="s">
        <v>8</v>
      </c>
      <c r="E2907" s="4" t="str">
        <f>HYPERLINK("https://ibp.a2mac1.com/costing(costing:projects/details/9760/assembly/8413055)","Housings")</f>
        <v>Housings</v>
      </c>
      <c r="F2907" t="s">
        <v>3330</v>
      </c>
    </row>
    <row r="2908" spans="1:6" x14ac:dyDescent="0.15">
      <c r="A2908">
        <v>8413114</v>
      </c>
      <c r="B2908">
        <v>8413055</v>
      </c>
      <c r="C2908" t="s">
        <v>10</v>
      </c>
      <c r="D2908" t="s">
        <v>8</v>
      </c>
      <c r="E2908" s="4" t="str">
        <f>HYPERLINK("https://ibp.a2mac1.com/costing(costing:projects/details/9760/part/8413114)","Access Trap")</f>
        <v>Access Trap</v>
      </c>
      <c r="F2908" t="s">
        <v>3362</v>
      </c>
    </row>
    <row r="2909" spans="1:6" x14ac:dyDescent="0.15">
      <c r="A2909">
        <v>8413115</v>
      </c>
      <c r="B2909">
        <v>8413055</v>
      </c>
      <c r="C2909" t="s">
        <v>10</v>
      </c>
      <c r="D2909" t="s">
        <v>8</v>
      </c>
      <c r="E2909" s="4" t="str">
        <f>HYPERLINK("https://ibp.a2mac1.com/costing(costing:projects/details/9760/part/8413115)","Inner Wiring Cover")</f>
        <v>Inner Wiring Cover</v>
      </c>
      <c r="F2909" t="s">
        <v>3362</v>
      </c>
    </row>
    <row r="2910" spans="1:6" x14ac:dyDescent="0.15">
      <c r="A2910">
        <v>8413116</v>
      </c>
      <c r="B2910">
        <v>8413055</v>
      </c>
      <c r="C2910" t="s">
        <v>10</v>
      </c>
      <c r="D2910" t="s">
        <v>8</v>
      </c>
      <c r="E2910" s="4" t="str">
        <f>HYPERLINK("https://ibp.a2mac1.com/costing(costing:projects/details/9760/part/8413116)","Housing")</f>
        <v>Housing</v>
      </c>
      <c r="F2910" t="s">
        <v>3362</v>
      </c>
    </row>
    <row r="2911" spans="1:6" x14ac:dyDescent="0.15">
      <c r="A2911">
        <v>12084072</v>
      </c>
      <c r="B2911">
        <v>8413116</v>
      </c>
      <c r="C2911" t="s">
        <v>114</v>
      </c>
      <c r="D2911" t="s">
        <v>10</v>
      </c>
      <c r="E2911" s="4" t="str">
        <f>HYPERLINK("https://ibp.a2mac1.com/costing(costing:projects/details/9760/process/12084072)","Process")</f>
        <v>Process</v>
      </c>
      <c r="F2911" t="s">
        <v>3366</v>
      </c>
    </row>
    <row r="2912" spans="1:6" x14ac:dyDescent="0.15">
      <c r="A2912">
        <v>8752984</v>
      </c>
      <c r="B2912">
        <v>12084072</v>
      </c>
      <c r="C2912" t="s">
        <v>311</v>
      </c>
      <c r="D2912" t="s">
        <v>114</v>
      </c>
      <c r="E2912" s="4" t="str">
        <f>HYPERLINK("https://ibp.a2mac1.com/costing(costing:projects/details/9760/component/8752984)","Pressfit Pin")</f>
        <v>Pressfit Pin</v>
      </c>
      <c r="F2912" t="s">
        <v>3368</v>
      </c>
    </row>
    <row r="2913" spans="1:6" x14ac:dyDescent="0.15">
      <c r="A2913">
        <v>8752985</v>
      </c>
      <c r="B2913">
        <v>12084072</v>
      </c>
      <c r="C2913" t="s">
        <v>311</v>
      </c>
      <c r="D2913" t="s">
        <v>114</v>
      </c>
      <c r="E2913" s="4" t="str">
        <f>HYPERLINK("https://ibp.a2mac1.com/costing(costing:projects/details/9760/component/8752985)","Bowl Plug")</f>
        <v>Bowl Plug</v>
      </c>
      <c r="F2913" t="s">
        <v>3368</v>
      </c>
    </row>
    <row r="2914" spans="1:6" x14ac:dyDescent="0.15">
      <c r="A2914">
        <v>8752986</v>
      </c>
      <c r="B2914">
        <v>12084072</v>
      </c>
      <c r="C2914" t="s">
        <v>311</v>
      </c>
      <c r="D2914" t="s">
        <v>114</v>
      </c>
      <c r="E2914" s="4" t="str">
        <f>HYPERLINK("https://ibp.a2mac1.com/costing(costing:projects/details/9760/component/8752986)","Threaded plug")</f>
        <v>Threaded plug</v>
      </c>
      <c r="F2914" t="s">
        <v>3368</v>
      </c>
    </row>
    <row r="2915" spans="1:6" x14ac:dyDescent="0.15">
      <c r="A2915">
        <v>8752983</v>
      </c>
      <c r="B2915">
        <v>12084072</v>
      </c>
      <c r="C2915" t="s">
        <v>22</v>
      </c>
      <c r="D2915" t="s">
        <v>114</v>
      </c>
      <c r="E2915" s="4" t="str">
        <f>HYPERLINK("https://ibp.a2mac1.com/costing(costing:projects/details/9760/material/8752983)","EN AC-46000 / EN AC-AlSi9Cu3(Fe) / A380 / AA46000 / A13800 / BS 1490 LM24 / A-S9U3A-Y4 / ZL111 / 3.2163 (Ingot)")</f>
        <v>EN AC-46000 / EN AC-AlSi9Cu3(Fe) / A380 / AA46000 / A13800 / BS 1490 LM24 / A-S9U3A-Y4 / ZL111 / 3.2163 (Ingot)</v>
      </c>
      <c r="F2915" t="s">
        <v>3368</v>
      </c>
    </row>
    <row r="2916" spans="1:6" x14ac:dyDescent="0.15">
      <c r="A2916">
        <v>12211159</v>
      </c>
      <c r="B2916">
        <v>12084072</v>
      </c>
      <c r="C2916" t="s">
        <v>163</v>
      </c>
      <c r="D2916" t="s">
        <v>114</v>
      </c>
      <c r="E2916" s="4" t="str">
        <f>HYPERLINK("https://ibp.a2mac1.com/costing(costing:projects/details/9760/equipment/12211159)","General production process (0.5-10€)")</f>
        <v>General production process (0.5-10€)</v>
      </c>
      <c r="F2916" t="s">
        <v>3368</v>
      </c>
    </row>
    <row r="2917" spans="1:6" x14ac:dyDescent="0.15">
      <c r="A2917">
        <v>8413117</v>
      </c>
      <c r="B2917">
        <v>8413055</v>
      </c>
      <c r="C2917" t="s">
        <v>10</v>
      </c>
      <c r="D2917" t="s">
        <v>8</v>
      </c>
      <c r="E2917" s="4" t="str">
        <f>HYPERLINK("https://ibp.a2mac1.com/costing(costing:projects/details/9760/part/8413117)","Right Housing")</f>
        <v>Right Housing</v>
      </c>
      <c r="F2917" t="s">
        <v>3362</v>
      </c>
    </row>
    <row r="2918" spans="1:6" x14ac:dyDescent="0.15">
      <c r="A2918">
        <v>12084073</v>
      </c>
      <c r="B2918">
        <v>8413117</v>
      </c>
      <c r="C2918" t="s">
        <v>114</v>
      </c>
      <c r="D2918" t="s">
        <v>10</v>
      </c>
      <c r="E2918" s="4" t="str">
        <f>HYPERLINK("https://ibp.a2mac1.com/costing(costing:projects/details/9760/process/12084073)","Process")</f>
        <v>Process</v>
      </c>
      <c r="F2918" t="s">
        <v>3375</v>
      </c>
    </row>
    <row r="2919" spans="1:6" x14ac:dyDescent="0.15">
      <c r="A2919">
        <v>8752988</v>
      </c>
      <c r="B2919">
        <v>12084073</v>
      </c>
      <c r="C2919" t="s">
        <v>311</v>
      </c>
      <c r="D2919" t="s">
        <v>114</v>
      </c>
      <c r="E2919" s="4" t="str">
        <f>HYPERLINK("https://ibp.a2mac1.com/costing(costing:projects/details/9760/component/8752988)","Pressfit Pin")</f>
        <v>Pressfit Pin</v>
      </c>
      <c r="F2919" t="s">
        <v>3377</v>
      </c>
    </row>
    <row r="2920" spans="1:6" x14ac:dyDescent="0.15">
      <c r="A2920">
        <v>8752989</v>
      </c>
      <c r="B2920">
        <v>12084073</v>
      </c>
      <c r="C2920" t="s">
        <v>311</v>
      </c>
      <c r="D2920" t="s">
        <v>114</v>
      </c>
      <c r="E2920" s="4" t="str">
        <f>HYPERLINK("https://ibp.a2mac1.com/costing(costing:projects/details/9760/component/8752989)","Bowl Plug")</f>
        <v>Bowl Plug</v>
      </c>
      <c r="F2920" t="s">
        <v>3377</v>
      </c>
    </row>
    <row r="2921" spans="1:6" x14ac:dyDescent="0.15">
      <c r="A2921">
        <v>8752987</v>
      </c>
      <c r="B2921">
        <v>12084073</v>
      </c>
      <c r="C2921" t="s">
        <v>22</v>
      </c>
      <c r="D2921" t="s">
        <v>114</v>
      </c>
      <c r="E2921" s="4" t="str">
        <f>HYPERLINK("https://ibp.a2mac1.com/costing(costing:projects/details/9760/material/8752987)","EN AC-46000 / EN AC-AlSi9Cu3(Fe) / A380 / AA46000 / A13800 / BS 1490 LM24 / A-S9U3A-Y4 / ZL111 / 3.2163 (Ingot)")</f>
        <v>EN AC-46000 / EN AC-AlSi9Cu3(Fe) / A380 / AA46000 / A13800 / BS 1490 LM24 / A-S9U3A-Y4 / ZL111 / 3.2163 (Ingot)</v>
      </c>
      <c r="F2921" t="s">
        <v>3377</v>
      </c>
    </row>
    <row r="2922" spans="1:6" x14ac:dyDescent="0.15">
      <c r="A2922">
        <v>12211160</v>
      </c>
      <c r="B2922">
        <v>12084073</v>
      </c>
      <c r="C2922" t="s">
        <v>163</v>
      </c>
      <c r="D2922" t="s">
        <v>114</v>
      </c>
      <c r="E2922" s="4" t="str">
        <f>HYPERLINK("https://ibp.a2mac1.com/costing(costing:projects/details/9760/equipment/12211160)","General production process (0.5-10€)")</f>
        <v>General production process (0.5-10€)</v>
      </c>
      <c r="F2922" t="s">
        <v>3377</v>
      </c>
    </row>
    <row r="2923" spans="1:6" x14ac:dyDescent="0.15">
      <c r="A2923">
        <v>8413118</v>
      </c>
      <c r="B2923">
        <v>8413055</v>
      </c>
      <c r="C2923" t="s">
        <v>10</v>
      </c>
      <c r="D2923" t="s">
        <v>8</v>
      </c>
      <c r="E2923" s="4" t="str">
        <f>HYPERLINK("https://ibp.a2mac1.com/costing(costing:projects/details/9760/part/8413118)","Oil Filling Up Cap")</f>
        <v>Oil Filling Up Cap</v>
      </c>
      <c r="F2923" t="s">
        <v>3362</v>
      </c>
    </row>
    <row r="2924" spans="1:6" x14ac:dyDescent="0.15">
      <c r="A2924">
        <v>8752947</v>
      </c>
      <c r="B2924">
        <v>8413055</v>
      </c>
      <c r="C2924" t="s">
        <v>311</v>
      </c>
      <c r="D2924" t="s">
        <v>8</v>
      </c>
      <c r="E2924" s="4" t="str">
        <f>HYPERLINK("https://ibp.a2mac1.com/costing(costing:projects/details/9760/component/8752947)","Socket Screw M6x16")</f>
        <v>Socket Screw M6x16</v>
      </c>
      <c r="F2924" t="s">
        <v>3362</v>
      </c>
    </row>
    <row r="2925" spans="1:6" x14ac:dyDescent="0.15">
      <c r="A2925">
        <v>8752948</v>
      </c>
      <c r="B2925">
        <v>8413055</v>
      </c>
      <c r="C2925" t="s">
        <v>311</v>
      </c>
      <c r="D2925" t="s">
        <v>8</v>
      </c>
      <c r="E2925" s="4" t="str">
        <f>HYPERLINK("https://ibp.a2mac1.com/costing(costing:projects/details/9760/component/8752948)","Round head Screw M5x13")</f>
        <v>Round head Screw M5x13</v>
      </c>
      <c r="F2925" t="s">
        <v>3362</v>
      </c>
    </row>
    <row r="2926" spans="1:6" x14ac:dyDescent="0.15">
      <c r="A2926">
        <v>8752949</v>
      </c>
      <c r="B2926">
        <v>8413055</v>
      </c>
      <c r="C2926" t="s">
        <v>311</v>
      </c>
      <c r="D2926" t="s">
        <v>8</v>
      </c>
      <c r="E2926" s="4" t="str">
        <f>HYPERLINK("https://ibp.a2mac1.com/costing(costing:projects/details/9760/component/8752949)","Hex-head Bolt M8x40")</f>
        <v>Hex-head Bolt M8x40</v>
      </c>
      <c r="F2926" t="s">
        <v>3362</v>
      </c>
    </row>
    <row r="2927" spans="1:6" x14ac:dyDescent="0.15">
      <c r="A2927">
        <v>8413056</v>
      </c>
      <c r="B2927">
        <v>8412932</v>
      </c>
      <c r="C2927" t="s">
        <v>8</v>
      </c>
      <c r="D2927" t="s">
        <v>8</v>
      </c>
      <c r="E2927" s="4" t="str">
        <f>HYPERLINK("https://ibp.a2mac1.com/costing(costing:projects/details/9760/assembly/8413056)","Assembly parts")</f>
        <v>Assembly parts</v>
      </c>
      <c r="F2927" t="s">
        <v>3330</v>
      </c>
    </row>
    <row r="2928" spans="1:6" x14ac:dyDescent="0.15">
      <c r="A2928">
        <v>8413119</v>
      </c>
      <c r="B2928">
        <v>8413056</v>
      </c>
      <c r="C2928" t="s">
        <v>10</v>
      </c>
      <c r="D2928" t="s">
        <v>8</v>
      </c>
      <c r="E2928" s="4" t="str">
        <f>HYPERLINK("https://ibp.a2mac1.com/costing(costing:projects/details/9760/part/8413119)","Protection")</f>
        <v>Protection</v>
      </c>
      <c r="F2928" t="s">
        <v>3385</v>
      </c>
    </row>
    <row r="2929" spans="1:6" x14ac:dyDescent="0.15">
      <c r="A2929">
        <v>8413120</v>
      </c>
      <c r="B2929">
        <v>8413056</v>
      </c>
      <c r="C2929" t="s">
        <v>10</v>
      </c>
      <c r="D2929" t="s">
        <v>8</v>
      </c>
      <c r="E2929" s="4" t="str">
        <f>HYPERLINK("https://ibp.a2mac1.com/costing(costing:projects/details/9760/part/8413120)","Connection Support")</f>
        <v>Connection Support</v>
      </c>
      <c r="F2929" t="s">
        <v>3385</v>
      </c>
    </row>
    <row r="2930" spans="1:6" x14ac:dyDescent="0.15">
      <c r="A2930">
        <v>8413121</v>
      </c>
      <c r="B2930">
        <v>8413056</v>
      </c>
      <c r="C2930" t="s">
        <v>10</v>
      </c>
      <c r="D2930" t="s">
        <v>8</v>
      </c>
      <c r="E2930" s="4" t="str">
        <f>HYPERLINK("https://ibp.a2mac1.com/costing(costing:projects/details/9760/part/8413121)","PCB 1")</f>
        <v>PCB 1</v>
      </c>
      <c r="F2930" t="s">
        <v>3385</v>
      </c>
    </row>
    <row r="2931" spans="1:6" x14ac:dyDescent="0.15">
      <c r="A2931">
        <v>8413122</v>
      </c>
      <c r="B2931">
        <v>8413056</v>
      </c>
      <c r="C2931" t="s">
        <v>10</v>
      </c>
      <c r="D2931" t="s">
        <v>8</v>
      </c>
      <c r="E2931" s="4" t="str">
        <f>HYPERLINK("https://ibp.a2mac1.com/costing(costing:projects/details/9760/part/8413122)","Seal Side Rotor")</f>
        <v>Seal Side Rotor</v>
      </c>
      <c r="F2931" t="s">
        <v>3385</v>
      </c>
    </row>
    <row r="2932" spans="1:6" x14ac:dyDescent="0.15">
      <c r="A2932">
        <v>8413123</v>
      </c>
      <c r="B2932">
        <v>8413056</v>
      </c>
      <c r="C2932" t="s">
        <v>10</v>
      </c>
      <c r="D2932" t="s">
        <v>8</v>
      </c>
      <c r="E2932" s="4" t="str">
        <f>HYPERLINK("https://ibp.a2mac1.com/costing(costing:projects/details/9760/part/8413123)","HV Connector Plug")</f>
        <v>HV Connector Plug</v>
      </c>
      <c r="F2932" t="s">
        <v>3385</v>
      </c>
    </row>
    <row r="2933" spans="1:6" x14ac:dyDescent="0.15">
      <c r="A2933">
        <v>8413124</v>
      </c>
      <c r="B2933">
        <v>8413056</v>
      </c>
      <c r="C2933" t="s">
        <v>10</v>
      </c>
      <c r="D2933" t="s">
        <v>8</v>
      </c>
      <c r="E2933" s="4" t="str">
        <f>HYPERLINK("https://ibp.a2mac1.com/costing(costing:projects/details/9760/part/8413124)","Ground Cable")</f>
        <v>Ground Cable</v>
      </c>
      <c r="F2933" t="s">
        <v>3385</v>
      </c>
    </row>
    <row r="2934" spans="1:6" x14ac:dyDescent="0.15">
      <c r="A2934">
        <v>8413125</v>
      </c>
      <c r="B2934">
        <v>8413056</v>
      </c>
      <c r="C2934" t="s">
        <v>10</v>
      </c>
      <c r="D2934" t="s">
        <v>8</v>
      </c>
      <c r="E2934" s="4" t="str">
        <f>HYPERLINK("https://ibp.a2mac1.com/costing(costing:projects/details/9760/part/8413125)","Shim")</f>
        <v>Shim</v>
      </c>
      <c r="F2934" t="s">
        <v>3385</v>
      </c>
    </row>
    <row r="2935" spans="1:6" x14ac:dyDescent="0.15">
      <c r="A2935">
        <v>8413126</v>
      </c>
      <c r="B2935">
        <v>8413056</v>
      </c>
      <c r="C2935" t="s">
        <v>10</v>
      </c>
      <c r="D2935" t="s">
        <v>8</v>
      </c>
      <c r="E2935" s="4" t="str">
        <f>HYPERLINK("https://ibp.a2mac1.com/costing(costing:projects/details/9760/part/8413126)","Position Speed Target")</f>
        <v>Position Speed Target</v>
      </c>
      <c r="F2935" t="s">
        <v>3385</v>
      </c>
    </row>
    <row r="2936" spans="1:6" x14ac:dyDescent="0.15">
      <c r="A2936">
        <v>8413127</v>
      </c>
      <c r="B2936">
        <v>8413056</v>
      </c>
      <c r="C2936" t="s">
        <v>10</v>
      </c>
      <c r="D2936" t="s">
        <v>8</v>
      </c>
      <c r="E2936" s="4" t="str">
        <f>HYPERLINK("https://ibp.a2mac1.com/costing(costing:projects/details/9760/part/8413127)","Speed/Position Sensor")</f>
        <v>Speed/Position Sensor</v>
      </c>
      <c r="F2936" t="s">
        <v>3385</v>
      </c>
    </row>
    <row r="2937" spans="1:6" x14ac:dyDescent="0.15">
      <c r="A2937">
        <v>8413128</v>
      </c>
      <c r="B2937">
        <v>8413056</v>
      </c>
      <c r="C2937" t="s">
        <v>10</v>
      </c>
      <c r="D2937" t="s">
        <v>8</v>
      </c>
      <c r="E2937" s="4" t="str">
        <f>HYPERLINK("https://ibp.a2mac1.com/costing(costing:projects/details/9760/part/8413128)","Speed/Position Sensor Fastener Protection")</f>
        <v>Speed/Position Sensor Fastener Protection</v>
      </c>
      <c r="F2937" t="s">
        <v>3385</v>
      </c>
    </row>
    <row r="2938" spans="1:6" x14ac:dyDescent="0.15">
      <c r="A2938">
        <v>8413129</v>
      </c>
      <c r="B2938">
        <v>8413056</v>
      </c>
      <c r="C2938" t="s">
        <v>10</v>
      </c>
      <c r="D2938" t="s">
        <v>8</v>
      </c>
      <c r="E2938" s="4" t="str">
        <f>HYPERLINK("https://ibp.a2mac1.com/costing(costing:projects/details/9760/part/8413129)","Spring")</f>
        <v>Spring</v>
      </c>
      <c r="F2938" t="s">
        <v>3385</v>
      </c>
    </row>
    <row r="2939" spans="1:6" x14ac:dyDescent="0.15">
      <c r="A2939">
        <v>8413130</v>
      </c>
      <c r="B2939">
        <v>8413056</v>
      </c>
      <c r="C2939" t="s">
        <v>10</v>
      </c>
      <c r="D2939" t="s">
        <v>8</v>
      </c>
      <c r="E2939" s="4" t="str">
        <f>HYPERLINK("https://ibp.a2mac1.com/costing(costing:projects/details/9760/part/8413130)","Motor Shaft Grounding Brush")</f>
        <v>Motor Shaft Grounding Brush</v>
      </c>
      <c r="F2939" t="s">
        <v>3385</v>
      </c>
    </row>
    <row r="2940" spans="1:6" x14ac:dyDescent="0.15">
      <c r="A2940">
        <v>8413131</v>
      </c>
      <c r="B2940">
        <v>8413056</v>
      </c>
      <c r="C2940" t="s">
        <v>10</v>
      </c>
      <c r="D2940" t="s">
        <v>8</v>
      </c>
      <c r="E2940" s="4" t="str">
        <f>HYPERLINK("https://ibp.a2mac1.com/costing(costing:projects/details/9760/part/8413131)","Bearing on Magnet Wheel")</f>
        <v>Bearing on Magnet Wheel</v>
      </c>
      <c r="F2940" t="s">
        <v>3385</v>
      </c>
    </row>
    <row r="2941" spans="1:6" x14ac:dyDescent="0.15">
      <c r="A2941">
        <v>8413132</v>
      </c>
      <c r="B2941">
        <v>8413056</v>
      </c>
      <c r="C2941" t="s">
        <v>10</v>
      </c>
      <c r="D2941" t="s">
        <v>8</v>
      </c>
      <c r="E2941" s="4" t="str">
        <f>HYPERLINK("https://ibp.a2mac1.com/costing(costing:projects/details/9760/part/8413132)","Water/Oil Exchanger")</f>
        <v>Water/Oil Exchanger</v>
      </c>
      <c r="F2941" t="s">
        <v>3385</v>
      </c>
    </row>
    <row r="2942" spans="1:6" x14ac:dyDescent="0.15">
      <c r="A2942">
        <v>8413133</v>
      </c>
      <c r="B2942">
        <v>8413056</v>
      </c>
      <c r="C2942" t="s">
        <v>10</v>
      </c>
      <c r="D2942" t="s">
        <v>8</v>
      </c>
      <c r="E2942" s="4" t="str">
        <f>HYPERLINK("https://ibp.a2mac1.com/costing(costing:projects/details/9760/part/8413133)","degas valve")</f>
        <v>degas valve</v>
      </c>
      <c r="F2942" t="s">
        <v>3385</v>
      </c>
    </row>
    <row r="2943" spans="1:6" x14ac:dyDescent="0.15">
      <c r="A2943">
        <v>8752950</v>
      </c>
      <c r="B2943">
        <v>8413056</v>
      </c>
      <c r="C2943" t="s">
        <v>311</v>
      </c>
      <c r="D2943" t="s">
        <v>8</v>
      </c>
      <c r="E2943" s="4" t="str">
        <f>HYPERLINK("https://ibp.a2mac1.com/costing(costing:projects/details/9760/component/8752950)","Socket Screw M5x12")</f>
        <v>Socket Screw M5x12</v>
      </c>
      <c r="F2943" t="s">
        <v>3385</v>
      </c>
    </row>
    <row r="2944" spans="1:6" x14ac:dyDescent="0.15">
      <c r="A2944">
        <v>8752951</v>
      </c>
      <c r="B2944">
        <v>8413056</v>
      </c>
      <c r="C2944" t="s">
        <v>311</v>
      </c>
      <c r="D2944" t="s">
        <v>8</v>
      </c>
      <c r="E2944" s="4" t="str">
        <f>HYPERLINK("https://ibp.a2mac1.com/costing(costing:projects/details/9760/component/8752951)","Spacer / bushing / washer; steel; &lt;=1g")</f>
        <v>Spacer / bushing / washer; steel; &lt;=1g</v>
      </c>
      <c r="F2944" t="s">
        <v>3385</v>
      </c>
    </row>
    <row r="2945" spans="1:6" x14ac:dyDescent="0.15">
      <c r="A2945">
        <v>8752952</v>
      </c>
      <c r="B2945">
        <v>8413056</v>
      </c>
      <c r="C2945" t="s">
        <v>311</v>
      </c>
      <c r="D2945" t="s">
        <v>8</v>
      </c>
      <c r="E2945" s="4" t="str">
        <f>HYPERLINK("https://ibp.a2mac1.com/costing(costing:projects/details/9760/component/8752952)","Hex-head Bolt M8x16")</f>
        <v>Hex-head Bolt M8x16</v>
      </c>
      <c r="F2945" t="s">
        <v>3385</v>
      </c>
    </row>
    <row r="2946" spans="1:6" x14ac:dyDescent="0.15">
      <c r="A2946">
        <v>8752953</v>
      </c>
      <c r="B2946">
        <v>8413056</v>
      </c>
      <c r="C2946" t="s">
        <v>311</v>
      </c>
      <c r="D2946" t="s">
        <v>8</v>
      </c>
      <c r="E2946" s="4" t="str">
        <f>HYPERLINK("https://ibp.a2mac1.com/costing(costing:projects/details/9760/component/8752953)","Socket Screw M4x8")</f>
        <v>Socket Screw M4x8</v>
      </c>
      <c r="F2946" t="s">
        <v>3385</v>
      </c>
    </row>
    <row r="2947" spans="1:6" x14ac:dyDescent="0.15">
      <c r="A2947">
        <v>8752954</v>
      </c>
      <c r="B2947">
        <v>8413056</v>
      </c>
      <c r="C2947" t="s">
        <v>311</v>
      </c>
      <c r="D2947" t="s">
        <v>8</v>
      </c>
      <c r="E2947" s="4" t="str">
        <f>HYPERLINK("https://ibp.a2mac1.com/costing(costing:projects/details/9760/component/8752954)","Flange Nut M6")</f>
        <v>Flange Nut M6</v>
      </c>
      <c r="F2947" t="s">
        <v>3385</v>
      </c>
    </row>
    <row r="2948" spans="1:6" x14ac:dyDescent="0.15">
      <c r="A2948">
        <v>8752955</v>
      </c>
      <c r="B2948">
        <v>8413056</v>
      </c>
      <c r="C2948" t="s">
        <v>311</v>
      </c>
      <c r="D2948" t="s">
        <v>8</v>
      </c>
      <c r="E2948" s="4" t="str">
        <f>HYPERLINK("https://ibp.a2mac1.com/costing(costing:projects/details/9760/component/8752955)","Hex-head Bolt M6x20")</f>
        <v>Hex-head Bolt M6x20</v>
      </c>
      <c r="F2948" t="s">
        <v>3385</v>
      </c>
    </row>
    <row r="2949" spans="1:6" x14ac:dyDescent="0.15">
      <c r="A2949">
        <v>12084059</v>
      </c>
      <c r="B2949">
        <v>8412932</v>
      </c>
      <c r="C2949" t="s">
        <v>114</v>
      </c>
      <c r="D2949" t="s">
        <v>8</v>
      </c>
      <c r="E2949" s="4" t="str">
        <f>HYPERLINK("https://ibp.a2mac1.com/costing(costing:projects/details/9760/process/12084059)","Process")</f>
        <v>Process</v>
      </c>
      <c r="F2949" t="s">
        <v>3330</v>
      </c>
    </row>
    <row r="2950" spans="1:6" x14ac:dyDescent="0.15">
      <c r="A2950">
        <v>12211146</v>
      </c>
      <c r="B2950">
        <v>12084059</v>
      </c>
      <c r="C2950" t="s">
        <v>163</v>
      </c>
      <c r="D2950" t="s">
        <v>114</v>
      </c>
      <c r="E2950" s="4" t="str">
        <f>HYPERLINK("https://ibp.a2mac1.com/costing(costing:projects/details/9760/equipment/12211146)","General production process (0.5-10€)")</f>
        <v>General production process (0.5-10€)</v>
      </c>
      <c r="F2950" t="s">
        <v>3412</v>
      </c>
    </row>
    <row r="2951" spans="1:6" x14ac:dyDescent="0.15">
      <c r="A2951">
        <v>8412933</v>
      </c>
      <c r="B2951">
        <v>8412871</v>
      </c>
      <c r="C2951" t="s">
        <v>8</v>
      </c>
      <c r="D2951" t="s">
        <v>8</v>
      </c>
      <c r="E2951" s="4" t="str">
        <f>HYPERLINK("https://ibp.a2mac1.com/costing(costing:projects/details/9760/assembly/8412933)","Motor/Generator 2")</f>
        <v>Motor/Generator 2</v>
      </c>
      <c r="F2951" t="s">
        <v>3329</v>
      </c>
    </row>
    <row r="2952" spans="1:6" x14ac:dyDescent="0.15">
      <c r="A2952">
        <v>8413057</v>
      </c>
      <c r="B2952">
        <v>8412933</v>
      </c>
      <c r="C2952" t="s">
        <v>8</v>
      </c>
      <c r="D2952" t="s">
        <v>8</v>
      </c>
      <c r="E2952" s="4" t="str">
        <f>HYPERLINK("https://ibp.a2mac1.com/costing(costing:projects/details/9760/assembly/8413057)","Stator Assembly")</f>
        <v>Stator Assembly</v>
      </c>
      <c r="F2952" t="s">
        <v>3415</v>
      </c>
    </row>
    <row r="2953" spans="1:6" x14ac:dyDescent="0.15">
      <c r="A2953">
        <v>8413138</v>
      </c>
      <c r="B2953">
        <v>8413057</v>
      </c>
      <c r="C2953" t="s">
        <v>8</v>
      </c>
      <c r="D2953" t="s">
        <v>8</v>
      </c>
      <c r="E2953" s="4" t="str">
        <f>HYPERLINK("https://ibp.a2mac1.com/costing(costing:projects/details/9760/assembly/8413138)","Wire Winding")</f>
        <v>Wire Winding</v>
      </c>
      <c r="F2953" t="s">
        <v>3416</v>
      </c>
    </row>
    <row r="2954" spans="1:6" x14ac:dyDescent="0.15">
      <c r="A2954">
        <v>8413256</v>
      </c>
      <c r="B2954">
        <v>8413138</v>
      </c>
      <c r="C2954" t="s">
        <v>10</v>
      </c>
      <c r="D2954" t="s">
        <v>8</v>
      </c>
      <c r="E2954" s="4" t="str">
        <f>HYPERLINK("https://ibp.a2mac1.com/costing(costing:projects/details/9760/part/8413256)","Impregnation resin")</f>
        <v>Impregnation resin</v>
      </c>
      <c r="F2954" t="s">
        <v>3417</v>
      </c>
    </row>
    <row r="2955" spans="1:6" x14ac:dyDescent="0.15">
      <c r="A2955">
        <v>8413257</v>
      </c>
      <c r="B2955">
        <v>8413138</v>
      </c>
      <c r="C2955" t="s">
        <v>10</v>
      </c>
      <c r="D2955" t="s">
        <v>8</v>
      </c>
      <c r="E2955" s="4" t="str">
        <f>HYPERLINK("https://ibp.a2mac1.com/costing(costing:projects/details/9760/part/8413257)","Wire winding")</f>
        <v>Wire winding</v>
      </c>
      <c r="F2955" t="s">
        <v>3417</v>
      </c>
    </row>
    <row r="2956" spans="1:6" x14ac:dyDescent="0.15">
      <c r="A2956">
        <v>8413134</v>
      </c>
      <c r="B2956">
        <v>8413057</v>
      </c>
      <c r="C2956" t="s">
        <v>10</v>
      </c>
      <c r="D2956" t="s">
        <v>8</v>
      </c>
      <c r="E2956" s="4" t="str">
        <f>HYPERLINK("https://ibp.a2mac1.com/costing(costing:projects/details/9760/part/8413134)","Electrical Insulation")</f>
        <v>Electrical Insulation</v>
      </c>
      <c r="F2956" t="s">
        <v>3416</v>
      </c>
    </row>
    <row r="2957" spans="1:6" x14ac:dyDescent="0.15">
      <c r="A2957">
        <v>8413135</v>
      </c>
      <c r="B2957">
        <v>8413057</v>
      </c>
      <c r="C2957" t="s">
        <v>10</v>
      </c>
      <c r="D2957" t="s">
        <v>8</v>
      </c>
      <c r="E2957" s="4" t="str">
        <f>HYPERLINK("https://ibp.a2mac1.com/costing(costing:projects/details/9760/part/8413135)","Temperature Sensor")</f>
        <v>Temperature Sensor</v>
      </c>
      <c r="F2957" t="s">
        <v>3416</v>
      </c>
    </row>
    <row r="2958" spans="1:6" x14ac:dyDescent="0.15">
      <c r="A2958">
        <v>8413136</v>
      </c>
      <c r="B2958">
        <v>8413057</v>
      </c>
      <c r="C2958" t="s">
        <v>10</v>
      </c>
      <c r="D2958" t="s">
        <v>8</v>
      </c>
      <c r="E2958" s="4" t="str">
        <f>HYPERLINK("https://ibp.a2mac1.com/costing(costing:projects/details/9760/part/8413136)","Lamination")</f>
        <v>Lamination</v>
      </c>
      <c r="F2958" t="s">
        <v>3416</v>
      </c>
    </row>
    <row r="2959" spans="1:6" x14ac:dyDescent="0.15">
      <c r="A2959">
        <v>12084074</v>
      </c>
      <c r="B2959">
        <v>8413136</v>
      </c>
      <c r="C2959" t="s">
        <v>114</v>
      </c>
      <c r="D2959" t="s">
        <v>10</v>
      </c>
      <c r="E2959" s="4" t="str">
        <f>HYPERLINK("https://ibp.a2mac1.com/costing(costing:projects/details/9760/process/12084074)","Process")</f>
        <v>Process</v>
      </c>
      <c r="F2959" t="s">
        <v>3418</v>
      </c>
    </row>
    <row r="2960" spans="1:6" x14ac:dyDescent="0.15">
      <c r="A2960">
        <v>8752990</v>
      </c>
      <c r="B2960">
        <v>12084074</v>
      </c>
      <c r="C2960" t="s">
        <v>22</v>
      </c>
      <c r="D2960" t="s">
        <v>114</v>
      </c>
      <c r="E2960" s="4" t="str">
        <f>HYPERLINK("https://ibp.a2mac1.com/costing(costing:projects/details/9760/material/8752990)","NO-25 (Sheet/Coil)")</f>
        <v>NO-25 (Sheet/Coil)</v>
      </c>
      <c r="F2960" t="s">
        <v>3421</v>
      </c>
    </row>
    <row r="2961" spans="1:6" x14ac:dyDescent="0.15">
      <c r="A2961">
        <v>12211161</v>
      </c>
      <c r="B2961">
        <v>12084074</v>
      </c>
      <c r="C2961" t="s">
        <v>163</v>
      </c>
      <c r="D2961" t="s">
        <v>114</v>
      </c>
      <c r="E2961" s="4" t="str">
        <f>HYPERLINK("https://ibp.a2mac1.com/costing(costing:projects/details/9760/equipment/12211161)","General production process (0.5-10€)")</f>
        <v>General production process (0.5-10€)</v>
      </c>
      <c r="F2961" t="s">
        <v>3421</v>
      </c>
    </row>
    <row r="2962" spans="1:6" x14ac:dyDescent="0.15">
      <c r="A2962">
        <v>8413137</v>
      </c>
      <c r="B2962">
        <v>8413057</v>
      </c>
      <c r="C2962" t="s">
        <v>10</v>
      </c>
      <c r="D2962" t="s">
        <v>8</v>
      </c>
      <c r="E2962" s="4" t="str">
        <f>HYPERLINK("https://ibp.a2mac1.com/costing(costing:projects/details/9760/part/8413137)","Coupling Busbar 1")</f>
        <v>Coupling Busbar 1</v>
      </c>
      <c r="F2962" t="s">
        <v>3416</v>
      </c>
    </row>
    <row r="2963" spans="1:6" x14ac:dyDescent="0.15">
      <c r="A2963">
        <v>12084067</v>
      </c>
      <c r="B2963">
        <v>8413057</v>
      </c>
      <c r="C2963" t="s">
        <v>114</v>
      </c>
      <c r="D2963" t="s">
        <v>8</v>
      </c>
      <c r="E2963" s="4" t="str">
        <f>HYPERLINK("https://ibp.a2mac1.com/costing(costing:projects/details/9760/process/12084067)","Process")</f>
        <v>Process</v>
      </c>
      <c r="F2963" t="s">
        <v>3416</v>
      </c>
    </row>
    <row r="2964" spans="1:6" x14ac:dyDescent="0.15">
      <c r="A2964">
        <v>8752966</v>
      </c>
      <c r="B2964">
        <v>12084067</v>
      </c>
      <c r="C2964" t="s">
        <v>311</v>
      </c>
      <c r="D2964" t="s">
        <v>114</v>
      </c>
      <c r="E2964" s="4" t="str">
        <f>HYPERLINK("https://ibp.a2mac1.com/costing(costing:projects/details/9760/component/8752966)","Threaded plug")</f>
        <v>Threaded plug</v>
      </c>
      <c r="F2964" t="s">
        <v>3422</v>
      </c>
    </row>
    <row r="2965" spans="1:6" x14ac:dyDescent="0.15">
      <c r="A2965">
        <v>12211154</v>
      </c>
      <c r="B2965">
        <v>12084067</v>
      </c>
      <c r="C2965" t="s">
        <v>163</v>
      </c>
      <c r="D2965" t="s">
        <v>114</v>
      </c>
      <c r="E2965" s="4" t="str">
        <f>HYPERLINK("https://ibp.a2mac1.com/costing(costing:projects/details/9760/equipment/12211154)","General production process (0.5-10€)")</f>
        <v>General production process (0.5-10€)</v>
      </c>
      <c r="F2965" t="s">
        <v>3422</v>
      </c>
    </row>
    <row r="2966" spans="1:6" x14ac:dyDescent="0.15">
      <c r="A2966">
        <v>8413058</v>
      </c>
      <c r="B2966">
        <v>8412933</v>
      </c>
      <c r="C2966" t="s">
        <v>8</v>
      </c>
      <c r="D2966" t="s">
        <v>8</v>
      </c>
      <c r="E2966" s="4" t="str">
        <f>HYPERLINK("https://ibp.a2mac1.com/costing(costing:projects/details/9760/assembly/8413058)","Rotor Assembly")</f>
        <v>Rotor Assembly</v>
      </c>
      <c r="F2966" t="s">
        <v>3415</v>
      </c>
    </row>
    <row r="2967" spans="1:6" x14ac:dyDescent="0.15">
      <c r="A2967">
        <v>8413139</v>
      </c>
      <c r="B2967">
        <v>8413058</v>
      </c>
      <c r="C2967" t="s">
        <v>10</v>
      </c>
      <c r="D2967" t="s">
        <v>8</v>
      </c>
      <c r="E2967" s="4" t="str">
        <f>HYPERLINK("https://ibp.a2mac1.com/costing(costing:projects/details/9760/part/8413139)","End Cap 1")</f>
        <v>End Cap 1</v>
      </c>
      <c r="F2967" t="s">
        <v>3423</v>
      </c>
    </row>
    <row r="2968" spans="1:6" x14ac:dyDescent="0.15">
      <c r="A2968">
        <v>8413140</v>
      </c>
      <c r="B2968">
        <v>8413058</v>
      </c>
      <c r="C2968" t="s">
        <v>10</v>
      </c>
      <c r="D2968" t="s">
        <v>8</v>
      </c>
      <c r="E2968" s="4" t="str">
        <f>HYPERLINK("https://ibp.a2mac1.com/costing(costing:projects/details/9760/part/8413140)","End Cap 2")</f>
        <v>End Cap 2</v>
      </c>
      <c r="F2968" t="s">
        <v>3423</v>
      </c>
    </row>
    <row r="2969" spans="1:6" x14ac:dyDescent="0.15">
      <c r="A2969">
        <v>8413141</v>
      </c>
      <c r="B2969">
        <v>8413058</v>
      </c>
      <c r="C2969" t="s">
        <v>10</v>
      </c>
      <c r="D2969" t="s">
        <v>8</v>
      </c>
      <c r="E2969" s="4" t="str">
        <f>HYPERLINK("https://ibp.a2mac1.com/costing(costing:projects/details/9760/part/8413141)","Magnet 1")</f>
        <v>Magnet 1</v>
      </c>
      <c r="F2969" t="s">
        <v>3423</v>
      </c>
    </row>
    <row r="2970" spans="1:6" x14ac:dyDescent="0.15">
      <c r="A2970">
        <v>8413142</v>
      </c>
      <c r="B2970">
        <v>8413058</v>
      </c>
      <c r="C2970" t="s">
        <v>10</v>
      </c>
      <c r="D2970" t="s">
        <v>8</v>
      </c>
      <c r="E2970" s="4" t="str">
        <f>HYPERLINK("https://ibp.a2mac1.com/costing(costing:projects/details/9760/part/8413142)","Magnet 2")</f>
        <v>Magnet 2</v>
      </c>
      <c r="F2970" t="s">
        <v>3423</v>
      </c>
    </row>
    <row r="2971" spans="1:6" x14ac:dyDescent="0.15">
      <c r="A2971">
        <v>8413143</v>
      </c>
      <c r="B2971">
        <v>8413058</v>
      </c>
      <c r="C2971" t="s">
        <v>10</v>
      </c>
      <c r="D2971" t="s">
        <v>8</v>
      </c>
      <c r="E2971" s="4" t="str">
        <f>HYPERLINK("https://ibp.a2mac1.com/costing(costing:projects/details/9760/part/8413143)","Lamination 1")</f>
        <v>Lamination 1</v>
      </c>
      <c r="F2971" t="s">
        <v>3423</v>
      </c>
    </row>
    <row r="2972" spans="1:6" x14ac:dyDescent="0.15">
      <c r="A2972">
        <v>12084075</v>
      </c>
      <c r="B2972">
        <v>8413143</v>
      </c>
      <c r="C2972" t="s">
        <v>114</v>
      </c>
      <c r="D2972" t="s">
        <v>10</v>
      </c>
      <c r="E2972" s="4" t="str">
        <f>HYPERLINK("https://ibp.a2mac1.com/costing(costing:projects/details/9760/process/12084075)","Process")</f>
        <v>Process</v>
      </c>
      <c r="F2972" t="s">
        <v>3425</v>
      </c>
    </row>
    <row r="2973" spans="1:6" x14ac:dyDescent="0.15">
      <c r="A2973">
        <v>8752991</v>
      </c>
      <c r="B2973">
        <v>12084075</v>
      </c>
      <c r="C2973" t="s">
        <v>22</v>
      </c>
      <c r="D2973" t="s">
        <v>114</v>
      </c>
      <c r="E2973" s="4" t="str">
        <f>HYPERLINK("https://ibp.a2mac1.com/costing(costing:projects/details/9760/material/8752991)","NO-25 (Sheet/Coil)")</f>
        <v>NO-25 (Sheet/Coil)</v>
      </c>
      <c r="F2973" t="s">
        <v>3428</v>
      </c>
    </row>
    <row r="2974" spans="1:6" x14ac:dyDescent="0.15">
      <c r="A2974">
        <v>12211162</v>
      </c>
      <c r="B2974">
        <v>12084075</v>
      </c>
      <c r="C2974" t="s">
        <v>163</v>
      </c>
      <c r="D2974" t="s">
        <v>114</v>
      </c>
      <c r="E2974" s="4" t="str">
        <f>HYPERLINK("https://ibp.a2mac1.com/costing(costing:projects/details/9760/equipment/12211162)","General production process (0.5-10€)")</f>
        <v>General production process (0.5-10€)</v>
      </c>
      <c r="F2974" t="s">
        <v>3428</v>
      </c>
    </row>
    <row r="2975" spans="1:6" x14ac:dyDescent="0.15">
      <c r="A2975">
        <v>8413144</v>
      </c>
      <c r="B2975">
        <v>8413058</v>
      </c>
      <c r="C2975" t="s">
        <v>10</v>
      </c>
      <c r="D2975" t="s">
        <v>8</v>
      </c>
      <c r="E2975" s="4" t="str">
        <f>HYPERLINK("https://ibp.a2mac1.com/costing(costing:projects/details/9760/part/8413144)","Shaft")</f>
        <v>Shaft</v>
      </c>
      <c r="F2975" t="s">
        <v>3423</v>
      </c>
    </row>
    <row r="2976" spans="1:6" x14ac:dyDescent="0.15">
      <c r="A2976">
        <v>12084076</v>
      </c>
      <c r="B2976">
        <v>8413144</v>
      </c>
      <c r="C2976" t="s">
        <v>114</v>
      </c>
      <c r="D2976" t="s">
        <v>10</v>
      </c>
      <c r="E2976" s="4" t="str">
        <f>HYPERLINK("https://ibp.a2mac1.com/costing(costing:projects/details/9760/process/12084076)","Process")</f>
        <v>Process</v>
      </c>
      <c r="F2976" t="s">
        <v>3429</v>
      </c>
    </row>
    <row r="2977" spans="1:6" x14ac:dyDescent="0.15">
      <c r="A2977">
        <v>8752992</v>
      </c>
      <c r="B2977">
        <v>12084076</v>
      </c>
      <c r="C2977" t="s">
        <v>22</v>
      </c>
      <c r="D2977" t="s">
        <v>114</v>
      </c>
      <c r="E2977" s="4" t="str">
        <f>HYPERLINK("https://ibp.a2mac1.com/costing(costing:projects/details/9760/material/8752992)","16MnCrS5 / PS 59 / 16MnCrS5 / 1.7139 (Billet)")</f>
        <v>16MnCrS5 / PS 59 / 16MnCrS5 / 1.7139 (Billet)</v>
      </c>
      <c r="F2977" t="s">
        <v>3432</v>
      </c>
    </row>
    <row r="2978" spans="1:6" x14ac:dyDescent="0.15">
      <c r="A2978">
        <v>12211163</v>
      </c>
      <c r="B2978">
        <v>12084076</v>
      </c>
      <c r="C2978" t="s">
        <v>163</v>
      </c>
      <c r="D2978" t="s">
        <v>114</v>
      </c>
      <c r="E2978" s="4" t="str">
        <f>HYPERLINK("https://ibp.a2mac1.com/costing(costing:projects/details/9760/equipment/12211163)","General production process (0.5-10€)")</f>
        <v>General production process (0.5-10€)</v>
      </c>
      <c r="F2978" t="s">
        <v>3432</v>
      </c>
    </row>
    <row r="2979" spans="1:6" x14ac:dyDescent="0.15">
      <c r="A2979">
        <v>12084068</v>
      </c>
      <c r="B2979">
        <v>8413058</v>
      </c>
      <c r="C2979" t="s">
        <v>114</v>
      </c>
      <c r="D2979" t="s">
        <v>8</v>
      </c>
      <c r="E2979" s="4" t="str">
        <f>HYPERLINK("https://ibp.a2mac1.com/costing(costing:projects/details/9760/process/12084068)","Process")</f>
        <v>Process</v>
      </c>
      <c r="F2979" t="s">
        <v>3423</v>
      </c>
    </row>
    <row r="2980" spans="1:6" x14ac:dyDescent="0.15">
      <c r="A2980">
        <v>12211155</v>
      </c>
      <c r="B2980">
        <v>12084068</v>
      </c>
      <c r="C2980" t="s">
        <v>163</v>
      </c>
      <c r="D2980" t="s">
        <v>114</v>
      </c>
      <c r="E2980" s="4" t="str">
        <f>HYPERLINK("https://ibp.a2mac1.com/costing(costing:projects/details/9760/equipment/12211155)","General production process (0.5-10€)")</f>
        <v>General production process (0.5-10€)</v>
      </c>
      <c r="F2980" t="s">
        <v>3434</v>
      </c>
    </row>
    <row r="2981" spans="1:6" x14ac:dyDescent="0.15">
      <c r="A2981">
        <v>8413059</v>
      </c>
      <c r="B2981">
        <v>8412933</v>
      </c>
      <c r="C2981" t="s">
        <v>8</v>
      </c>
      <c r="D2981" t="s">
        <v>8</v>
      </c>
      <c r="E2981" s="4" t="str">
        <f>HYPERLINK("https://ibp.a2mac1.com/costing(costing:projects/details/9760/assembly/8413059)","Housings")</f>
        <v>Housings</v>
      </c>
      <c r="F2981" t="s">
        <v>3415</v>
      </c>
    </row>
    <row r="2982" spans="1:6" x14ac:dyDescent="0.15">
      <c r="A2982">
        <v>8413145</v>
      </c>
      <c r="B2982">
        <v>8413059</v>
      </c>
      <c r="C2982" t="s">
        <v>10</v>
      </c>
      <c r="D2982" t="s">
        <v>8</v>
      </c>
      <c r="E2982" s="4" t="str">
        <f>HYPERLINK("https://ibp.a2mac1.com/costing(costing:projects/details/9760/part/8413145)","Access Trap")</f>
        <v>Access Trap</v>
      </c>
      <c r="F2982" t="s">
        <v>3437</v>
      </c>
    </row>
    <row r="2983" spans="1:6" x14ac:dyDescent="0.15">
      <c r="A2983">
        <v>8413146</v>
      </c>
      <c r="B2983">
        <v>8413059</v>
      </c>
      <c r="C2983" t="s">
        <v>10</v>
      </c>
      <c r="D2983" t="s">
        <v>8</v>
      </c>
      <c r="E2983" s="4" t="str">
        <f>HYPERLINK("https://ibp.a2mac1.com/costing(costing:projects/details/9760/part/8413146)","Access Flap")</f>
        <v>Access Flap</v>
      </c>
      <c r="F2983" t="s">
        <v>3437</v>
      </c>
    </row>
    <row r="2984" spans="1:6" x14ac:dyDescent="0.15">
      <c r="A2984">
        <v>8413147</v>
      </c>
      <c r="B2984">
        <v>8413059</v>
      </c>
      <c r="C2984" t="s">
        <v>10</v>
      </c>
      <c r="D2984" t="s">
        <v>8</v>
      </c>
      <c r="E2984" s="4" t="str">
        <f>HYPERLINK("https://ibp.a2mac1.com/costing(costing:projects/details/9760/part/8413147)","Main Housing")</f>
        <v>Main Housing</v>
      </c>
      <c r="F2984" t="s">
        <v>3437</v>
      </c>
    </row>
    <row r="2985" spans="1:6" x14ac:dyDescent="0.15">
      <c r="A2985">
        <v>12084077</v>
      </c>
      <c r="B2985">
        <v>8413147</v>
      </c>
      <c r="C2985" t="s">
        <v>114</v>
      </c>
      <c r="D2985" t="s">
        <v>10</v>
      </c>
      <c r="E2985" s="4" t="str">
        <f>HYPERLINK("https://ibp.a2mac1.com/costing(costing:projects/details/9760/process/12084077)","Process")</f>
        <v>Process</v>
      </c>
      <c r="F2985" t="s">
        <v>3440</v>
      </c>
    </row>
    <row r="2986" spans="1:6" x14ac:dyDescent="0.15">
      <c r="A2986">
        <v>8752993</v>
      </c>
      <c r="B2986">
        <v>12084077</v>
      </c>
      <c r="C2986" t="s">
        <v>22</v>
      </c>
      <c r="D2986" t="s">
        <v>114</v>
      </c>
      <c r="E2986" s="4" t="str">
        <f>HYPERLINK("https://ibp.a2mac1.com/costing(costing:projects/details/9760/material/8752993)","Aluminum for casting (default, e.g. A380/ADC10/EN-AC46500)")</f>
        <v>Aluminum for casting (default, e.g. A380/ADC10/EN-AC46500)</v>
      </c>
      <c r="F2986" t="s">
        <v>3443</v>
      </c>
    </row>
    <row r="2987" spans="1:6" x14ac:dyDescent="0.15">
      <c r="A2987">
        <v>12211164</v>
      </c>
      <c r="B2987">
        <v>12084077</v>
      </c>
      <c r="C2987" t="s">
        <v>163</v>
      </c>
      <c r="D2987" t="s">
        <v>114</v>
      </c>
      <c r="E2987" s="4" t="str">
        <f>HYPERLINK("https://ibp.a2mac1.com/costing(costing:projects/details/9760/equipment/12211164)","General production process (0.5-10€)")</f>
        <v>General production process (0.5-10€)</v>
      </c>
      <c r="F2987" t="s">
        <v>3443</v>
      </c>
    </row>
    <row r="2988" spans="1:6" x14ac:dyDescent="0.15">
      <c r="A2988">
        <v>8413148</v>
      </c>
      <c r="B2988">
        <v>8413059</v>
      </c>
      <c r="C2988" t="s">
        <v>10</v>
      </c>
      <c r="D2988" t="s">
        <v>8</v>
      </c>
      <c r="E2988" s="4" t="str">
        <f>HYPERLINK("https://ibp.a2mac1.com/costing(costing:projects/details/9760/part/8413148)","Left Housing")</f>
        <v>Left Housing</v>
      </c>
      <c r="F2988" t="s">
        <v>3437</v>
      </c>
    </row>
    <row r="2989" spans="1:6" x14ac:dyDescent="0.15">
      <c r="A2989">
        <v>12084078</v>
      </c>
      <c r="B2989">
        <v>8413148</v>
      </c>
      <c r="C2989" t="s">
        <v>114</v>
      </c>
      <c r="D2989" t="s">
        <v>10</v>
      </c>
      <c r="E2989" s="4" t="str">
        <f>HYPERLINK("https://ibp.a2mac1.com/costing(costing:projects/details/9760/process/12084078)","Process")</f>
        <v>Process</v>
      </c>
      <c r="F2989" t="s">
        <v>3445</v>
      </c>
    </row>
    <row r="2990" spans="1:6" x14ac:dyDescent="0.15">
      <c r="A2990">
        <v>8752994</v>
      </c>
      <c r="B2990">
        <v>12084078</v>
      </c>
      <c r="C2990" t="s">
        <v>22</v>
      </c>
      <c r="D2990" t="s">
        <v>114</v>
      </c>
      <c r="E2990" s="4" t="str">
        <f>HYPERLINK("https://ibp.a2mac1.com/costing(costing:projects/details/9760/material/8752994)","Aluminum for casting (default, e.g. A380/ADC10/EN-AC46500)")</f>
        <v>Aluminum for casting (default, e.g. A380/ADC10/EN-AC46500)</v>
      </c>
      <c r="F2990" t="s">
        <v>3448</v>
      </c>
    </row>
    <row r="2991" spans="1:6" x14ac:dyDescent="0.15">
      <c r="A2991">
        <v>12211165</v>
      </c>
      <c r="B2991">
        <v>12084078</v>
      </c>
      <c r="C2991" t="s">
        <v>163</v>
      </c>
      <c r="D2991" t="s">
        <v>114</v>
      </c>
      <c r="E2991" s="4" t="str">
        <f>HYPERLINK("https://ibp.a2mac1.com/costing(costing:projects/details/9760/equipment/12211165)","General production process (0.5-10€)")</f>
        <v>General production process (0.5-10€)</v>
      </c>
      <c r="F2991" t="s">
        <v>3448</v>
      </c>
    </row>
    <row r="2992" spans="1:6" x14ac:dyDescent="0.15">
      <c r="A2992">
        <v>8752956</v>
      </c>
      <c r="B2992">
        <v>8413059</v>
      </c>
      <c r="C2992" t="s">
        <v>311</v>
      </c>
      <c r="D2992" t="s">
        <v>8</v>
      </c>
      <c r="E2992" s="4" t="str">
        <f>HYPERLINK("https://ibp.a2mac1.com/costing(costing:projects/details/9760/component/8752956)","Round head Screw M5x13")</f>
        <v>Round head Screw M5x13</v>
      </c>
      <c r="F2992" t="s">
        <v>3437</v>
      </c>
    </row>
    <row r="2993" spans="1:6" x14ac:dyDescent="0.15">
      <c r="A2993">
        <v>8752957</v>
      </c>
      <c r="B2993">
        <v>8413059</v>
      </c>
      <c r="C2993" t="s">
        <v>311</v>
      </c>
      <c r="D2993" t="s">
        <v>8</v>
      </c>
      <c r="E2993" s="4" t="str">
        <f>HYPERLINK("https://ibp.a2mac1.com/costing(costing:projects/details/9760/component/8752957)","Hex-head Bolt M8x40")</f>
        <v>Hex-head Bolt M8x40</v>
      </c>
      <c r="F2993" t="s">
        <v>3437</v>
      </c>
    </row>
    <row r="2994" spans="1:6" x14ac:dyDescent="0.15">
      <c r="A2994">
        <v>8413060</v>
      </c>
      <c r="B2994">
        <v>8412933</v>
      </c>
      <c r="C2994" t="s">
        <v>8</v>
      </c>
      <c r="D2994" t="s">
        <v>8</v>
      </c>
      <c r="E2994" s="4" t="str">
        <f>HYPERLINK("https://ibp.a2mac1.com/costing(costing:projects/details/9760/assembly/8413060)","Assembly parts")</f>
        <v>Assembly parts</v>
      </c>
      <c r="F2994" t="s">
        <v>3415</v>
      </c>
    </row>
    <row r="2995" spans="1:6" x14ac:dyDescent="0.15">
      <c r="A2995">
        <v>8413149</v>
      </c>
      <c r="B2995">
        <v>8413060</v>
      </c>
      <c r="C2995" t="s">
        <v>10</v>
      </c>
      <c r="D2995" t="s">
        <v>8</v>
      </c>
      <c r="E2995" s="4" t="str">
        <f>HYPERLINK("https://ibp.a2mac1.com/costing(costing:projects/details/9760/part/8413149)","PCB 1")</f>
        <v>PCB 1</v>
      </c>
      <c r="F2995" t="s">
        <v>3452</v>
      </c>
    </row>
    <row r="2996" spans="1:6" x14ac:dyDescent="0.15">
      <c r="A2996">
        <v>8413150</v>
      </c>
      <c r="B2996">
        <v>8413060</v>
      </c>
      <c r="C2996" t="s">
        <v>10</v>
      </c>
      <c r="D2996" t="s">
        <v>8</v>
      </c>
      <c r="E2996" s="4" t="str">
        <f>HYPERLINK("https://ibp.a2mac1.com/costing(costing:projects/details/9760/part/8413150)","Resolver")</f>
        <v>Resolver</v>
      </c>
      <c r="F2996" t="s">
        <v>3452</v>
      </c>
    </row>
    <row r="2997" spans="1:6" x14ac:dyDescent="0.15">
      <c r="A2997">
        <v>8413151</v>
      </c>
      <c r="B2997">
        <v>8413060</v>
      </c>
      <c r="C2997" t="s">
        <v>10</v>
      </c>
      <c r="D2997" t="s">
        <v>8</v>
      </c>
      <c r="E2997" s="4" t="str">
        <f>HYPERLINK("https://ibp.a2mac1.com/costing(costing:projects/details/9760/part/8413151)","Resolver Protection")</f>
        <v>Resolver Protection</v>
      </c>
      <c r="F2997" t="s">
        <v>3452</v>
      </c>
    </row>
    <row r="2998" spans="1:6" x14ac:dyDescent="0.15">
      <c r="A2998">
        <v>8413152</v>
      </c>
      <c r="B2998">
        <v>8413060</v>
      </c>
      <c r="C2998" t="s">
        <v>10</v>
      </c>
      <c r="D2998" t="s">
        <v>8</v>
      </c>
      <c r="E2998" s="4" t="str">
        <f>HYPERLINK("https://ibp.a2mac1.com/costing(costing:projects/details/9760/part/8413152)","Rotor Bearing")</f>
        <v>Rotor Bearing</v>
      </c>
      <c r="F2998" t="s">
        <v>3452</v>
      </c>
    </row>
    <row r="2999" spans="1:6" x14ac:dyDescent="0.15">
      <c r="A2999">
        <v>8413153</v>
      </c>
      <c r="B2999">
        <v>8413060</v>
      </c>
      <c r="C2999" t="s">
        <v>10</v>
      </c>
      <c r="D2999" t="s">
        <v>8</v>
      </c>
      <c r="E2999" s="4" t="str">
        <f>HYPERLINK("https://ibp.a2mac1.com/costing(costing:projects/details/9760/part/8413153)","Sensor Target")</f>
        <v>Sensor Target</v>
      </c>
      <c r="F2999" t="s">
        <v>3452</v>
      </c>
    </row>
    <row r="3000" spans="1:6" x14ac:dyDescent="0.15">
      <c r="A3000">
        <v>8413154</v>
      </c>
      <c r="B3000">
        <v>8413060</v>
      </c>
      <c r="C3000" t="s">
        <v>10</v>
      </c>
      <c r="D3000" t="s">
        <v>8</v>
      </c>
      <c r="E3000" s="4" t="str">
        <f>HYPERLINK("https://ibp.a2mac1.com/costing(costing:projects/details/9760/part/8413154)","Protection")</f>
        <v>Protection</v>
      </c>
      <c r="F3000" t="s">
        <v>3452</v>
      </c>
    </row>
    <row r="3001" spans="1:6" x14ac:dyDescent="0.15">
      <c r="A3001">
        <v>8413155</v>
      </c>
      <c r="B3001">
        <v>8413060</v>
      </c>
      <c r="C3001" t="s">
        <v>10</v>
      </c>
      <c r="D3001" t="s">
        <v>8</v>
      </c>
      <c r="E3001" s="4" t="str">
        <f>HYPERLINK("https://ibp.a2mac1.com/costing(costing:projects/details/9760/part/8413155)","Ground Cable")</f>
        <v>Ground Cable</v>
      </c>
      <c r="F3001" t="s">
        <v>3452</v>
      </c>
    </row>
    <row r="3002" spans="1:6" x14ac:dyDescent="0.15">
      <c r="A3002">
        <v>8413156</v>
      </c>
      <c r="B3002">
        <v>8413060</v>
      </c>
      <c r="C3002" t="s">
        <v>10</v>
      </c>
      <c r="D3002" t="s">
        <v>8</v>
      </c>
      <c r="E3002" s="4" t="str">
        <f>HYPERLINK("https://ibp.a2mac1.com/costing(costing:projects/details/9760/part/8413156)","HV Connector Plug")</f>
        <v>HV Connector Plug</v>
      </c>
      <c r="F3002" t="s">
        <v>3452</v>
      </c>
    </row>
    <row r="3003" spans="1:6" x14ac:dyDescent="0.15">
      <c r="A3003">
        <v>8413157</v>
      </c>
      <c r="B3003">
        <v>8413060</v>
      </c>
      <c r="C3003" t="s">
        <v>10</v>
      </c>
      <c r="D3003" t="s">
        <v>8</v>
      </c>
      <c r="E3003" s="4" t="str">
        <f>HYPERLINK("https://ibp.a2mac1.com/costing(costing:projects/details/9760/part/8413157)","2nd HV Connector Plug")</f>
        <v>2nd HV Connector Plug</v>
      </c>
      <c r="F3003" t="s">
        <v>3452</v>
      </c>
    </row>
    <row r="3004" spans="1:6" x14ac:dyDescent="0.15">
      <c r="A3004">
        <v>8413158</v>
      </c>
      <c r="B3004">
        <v>8413060</v>
      </c>
      <c r="C3004" t="s">
        <v>10</v>
      </c>
      <c r="D3004" t="s">
        <v>8</v>
      </c>
      <c r="E3004" s="4" t="str">
        <f>HYPERLINK("https://ibp.a2mac1.com/costing(costing:projects/details/9760/part/8413158)","Rotor Seal")</f>
        <v>Rotor Seal</v>
      </c>
      <c r="F3004" t="s">
        <v>3452</v>
      </c>
    </row>
    <row r="3005" spans="1:6" x14ac:dyDescent="0.15">
      <c r="A3005">
        <v>8413159</v>
      </c>
      <c r="B3005">
        <v>8413060</v>
      </c>
      <c r="C3005" t="s">
        <v>10</v>
      </c>
      <c r="D3005" t="s">
        <v>8</v>
      </c>
      <c r="E3005" s="4" t="str">
        <f>HYPERLINK("https://ibp.a2mac1.com/costing(costing:projects/details/9760/part/8413159)","Degassing Valve")</f>
        <v>Degassing Valve</v>
      </c>
      <c r="F3005" t="s">
        <v>3452</v>
      </c>
    </row>
    <row r="3006" spans="1:6" x14ac:dyDescent="0.15">
      <c r="A3006">
        <v>8413160</v>
      </c>
      <c r="B3006">
        <v>8413060</v>
      </c>
      <c r="C3006" t="s">
        <v>10</v>
      </c>
      <c r="D3006" t="s">
        <v>8</v>
      </c>
      <c r="E3006" s="4" t="str">
        <f>HYPERLINK("https://ibp.a2mac1.com/costing(costing:projects/details/9760/part/8413160)","Spring")</f>
        <v>Spring</v>
      </c>
      <c r="F3006" t="s">
        <v>3452</v>
      </c>
    </row>
    <row r="3007" spans="1:6" x14ac:dyDescent="0.15">
      <c r="A3007">
        <v>8413161</v>
      </c>
      <c r="B3007">
        <v>8413060</v>
      </c>
      <c r="C3007" t="s">
        <v>10</v>
      </c>
      <c r="D3007" t="s">
        <v>8</v>
      </c>
      <c r="E3007" s="4" t="str">
        <f>HYPERLINK("https://ibp.a2mac1.com/costing(costing:projects/details/9760/part/8413161)","Shim")</f>
        <v>Shim</v>
      </c>
      <c r="F3007" t="s">
        <v>3452</v>
      </c>
    </row>
    <row r="3008" spans="1:6" x14ac:dyDescent="0.15">
      <c r="A3008">
        <v>8413162</v>
      </c>
      <c r="B3008">
        <v>8413060</v>
      </c>
      <c r="C3008" t="s">
        <v>10</v>
      </c>
      <c r="D3008" t="s">
        <v>8</v>
      </c>
      <c r="E3008" s="4" t="str">
        <f>HYPERLINK("https://ibp.a2mac1.com/costing(costing:projects/details/9760/part/8413162)","Motor Shaft Grounding Brush")</f>
        <v>Motor Shaft Grounding Brush</v>
      </c>
      <c r="F3008" t="s">
        <v>3452</v>
      </c>
    </row>
    <row r="3009" spans="1:6" x14ac:dyDescent="0.15">
      <c r="A3009">
        <v>8413163</v>
      </c>
      <c r="B3009">
        <v>8413060</v>
      </c>
      <c r="C3009" t="s">
        <v>10</v>
      </c>
      <c r="D3009" t="s">
        <v>8</v>
      </c>
      <c r="E3009" s="4" t="str">
        <f>HYPERLINK("https://ibp.a2mac1.com/costing(costing:projects/details/9760/part/8413163)","Connection Support")</f>
        <v>Connection Support</v>
      </c>
      <c r="F3009" t="s">
        <v>3452</v>
      </c>
    </row>
    <row r="3010" spans="1:6" x14ac:dyDescent="0.15">
      <c r="A3010">
        <v>8413164</v>
      </c>
      <c r="B3010">
        <v>8413060</v>
      </c>
      <c r="C3010" t="s">
        <v>10</v>
      </c>
      <c r="D3010" t="s">
        <v>8</v>
      </c>
      <c r="E3010" s="4" t="str">
        <f>HYPERLINK("https://ibp.a2mac1.com/costing(costing:projects/details/9760/part/8413164)","Degassing Valve")</f>
        <v>Degassing Valve</v>
      </c>
      <c r="F3010" t="s">
        <v>3452</v>
      </c>
    </row>
    <row r="3011" spans="1:6" x14ac:dyDescent="0.15">
      <c r="A3011">
        <v>8413165</v>
      </c>
      <c r="B3011">
        <v>8413060</v>
      </c>
      <c r="C3011" t="s">
        <v>10</v>
      </c>
      <c r="D3011" t="s">
        <v>8</v>
      </c>
      <c r="E3011" s="4" t="str">
        <f>HYPERLINK("https://ibp.a2mac1.com/costing(costing:projects/details/9760/part/8413165)","Water/Oil Exchanger")</f>
        <v>Water/Oil Exchanger</v>
      </c>
      <c r="F3011" t="s">
        <v>3452</v>
      </c>
    </row>
    <row r="3012" spans="1:6" x14ac:dyDescent="0.15">
      <c r="A3012">
        <v>8752958</v>
      </c>
      <c r="B3012">
        <v>8413060</v>
      </c>
      <c r="C3012" t="s">
        <v>311</v>
      </c>
      <c r="D3012" t="s">
        <v>8</v>
      </c>
      <c r="E3012" s="4" t="str">
        <f>HYPERLINK("https://ibp.a2mac1.com/costing(costing:projects/details/9760/component/8752958)","Socket Screw M5x12")</f>
        <v>Socket Screw M5x12</v>
      </c>
      <c r="F3012" t="s">
        <v>3452</v>
      </c>
    </row>
    <row r="3013" spans="1:6" x14ac:dyDescent="0.15">
      <c r="A3013">
        <v>8752959</v>
      </c>
      <c r="B3013">
        <v>8413060</v>
      </c>
      <c r="C3013" t="s">
        <v>311</v>
      </c>
      <c r="D3013" t="s">
        <v>8</v>
      </c>
      <c r="E3013" s="4" t="str">
        <f>HYPERLINK("https://ibp.a2mac1.com/costing(costing:projects/details/9760/component/8752959)","Socket Screw M5x10")</f>
        <v>Socket Screw M5x10</v>
      </c>
      <c r="F3013" t="s">
        <v>3452</v>
      </c>
    </row>
    <row r="3014" spans="1:6" x14ac:dyDescent="0.15">
      <c r="A3014">
        <v>8752960</v>
      </c>
      <c r="B3014">
        <v>8413060</v>
      </c>
      <c r="C3014" t="s">
        <v>311</v>
      </c>
      <c r="D3014" t="s">
        <v>8</v>
      </c>
      <c r="E3014" s="4" t="str">
        <f>HYPERLINK("https://ibp.a2mac1.com/costing(costing:projects/details/9760/component/8752960)","Socket Screw M6x12")</f>
        <v>Socket Screw M6x12</v>
      </c>
      <c r="F3014" t="s">
        <v>3452</v>
      </c>
    </row>
    <row r="3015" spans="1:6" x14ac:dyDescent="0.15">
      <c r="A3015">
        <v>8752961</v>
      </c>
      <c r="B3015">
        <v>8413060</v>
      </c>
      <c r="C3015" t="s">
        <v>311</v>
      </c>
      <c r="D3015" t="s">
        <v>8</v>
      </c>
      <c r="E3015" s="4" t="str">
        <f>HYPERLINK("https://ibp.a2mac1.com/costing(costing:projects/details/9760/component/8752961)","Spacer / bushing / washer; steel; &lt;=1g")</f>
        <v>Spacer / bushing / washer; steel; &lt;=1g</v>
      </c>
      <c r="F3015" t="s">
        <v>3452</v>
      </c>
    </row>
    <row r="3016" spans="1:6" x14ac:dyDescent="0.15">
      <c r="A3016">
        <v>8752962</v>
      </c>
      <c r="B3016">
        <v>8413060</v>
      </c>
      <c r="C3016" t="s">
        <v>311</v>
      </c>
      <c r="D3016" t="s">
        <v>8</v>
      </c>
      <c r="E3016" s="4" t="str">
        <f>HYPERLINK("https://ibp.a2mac1.com/costing(costing:projects/details/9760/component/8752962)","Hex-head Bolt M8x16")</f>
        <v>Hex-head Bolt M8x16</v>
      </c>
      <c r="F3016" t="s">
        <v>3452</v>
      </c>
    </row>
    <row r="3017" spans="1:6" x14ac:dyDescent="0.15">
      <c r="A3017">
        <v>8752963</v>
      </c>
      <c r="B3017">
        <v>8413060</v>
      </c>
      <c r="C3017" t="s">
        <v>311</v>
      </c>
      <c r="D3017" t="s">
        <v>8</v>
      </c>
      <c r="E3017" s="4" t="str">
        <f>HYPERLINK("https://ibp.a2mac1.com/costing(costing:projects/details/9760/component/8752963)","Flange Nut M8")</f>
        <v>Flange Nut M8</v>
      </c>
      <c r="F3017" t="s">
        <v>3452</v>
      </c>
    </row>
    <row r="3018" spans="1:6" x14ac:dyDescent="0.15">
      <c r="A3018">
        <v>8752964</v>
      </c>
      <c r="B3018">
        <v>8413060</v>
      </c>
      <c r="C3018" t="s">
        <v>311</v>
      </c>
      <c r="D3018" t="s">
        <v>8</v>
      </c>
      <c r="E3018" s="4" t="str">
        <f>HYPERLINK("https://ibp.a2mac1.com/costing(costing:projects/details/9760/component/8752964)","Socket Screw M4x8")</f>
        <v>Socket Screw M4x8</v>
      </c>
      <c r="F3018" t="s">
        <v>3452</v>
      </c>
    </row>
    <row r="3019" spans="1:6" x14ac:dyDescent="0.15">
      <c r="A3019">
        <v>8752965</v>
      </c>
      <c r="B3019">
        <v>8413060</v>
      </c>
      <c r="C3019" t="s">
        <v>311</v>
      </c>
      <c r="D3019" t="s">
        <v>8</v>
      </c>
      <c r="E3019" s="4" t="str">
        <f>HYPERLINK("https://ibp.a2mac1.com/costing(costing:projects/details/9760/component/8752965)","Hex-head Bolt M6x20")</f>
        <v>Hex-head Bolt M6x20</v>
      </c>
      <c r="F3019" t="s">
        <v>3452</v>
      </c>
    </row>
    <row r="3020" spans="1:6" x14ac:dyDescent="0.15">
      <c r="A3020">
        <v>12084060</v>
      </c>
      <c r="B3020">
        <v>8412933</v>
      </c>
      <c r="C3020" t="s">
        <v>114</v>
      </c>
      <c r="D3020" t="s">
        <v>8</v>
      </c>
      <c r="E3020" s="4" t="str">
        <f>HYPERLINK("https://ibp.a2mac1.com/costing(costing:projects/details/9760/process/12084060)","Process")</f>
        <v>Process</v>
      </c>
      <c r="F3020" t="s">
        <v>3415</v>
      </c>
    </row>
    <row r="3021" spans="1:6" x14ac:dyDescent="0.15">
      <c r="A3021">
        <v>12211147</v>
      </c>
      <c r="B3021">
        <v>12084060</v>
      </c>
      <c r="C3021" t="s">
        <v>163</v>
      </c>
      <c r="D3021" t="s">
        <v>114</v>
      </c>
      <c r="E3021" s="4" t="str">
        <f>HYPERLINK("https://ibp.a2mac1.com/costing(costing:projects/details/9760/equipment/12211147)","General production process (0.5-10€)")</f>
        <v>General production process (0.5-10€)</v>
      </c>
      <c r="F3021" t="s">
        <v>3473</v>
      </c>
    </row>
    <row r="3022" spans="1:6" x14ac:dyDescent="0.15">
      <c r="A3022">
        <v>8412872</v>
      </c>
      <c r="B3022">
        <v>8412864</v>
      </c>
      <c r="C3022" t="s">
        <v>8</v>
      </c>
      <c r="D3022" t="s">
        <v>8</v>
      </c>
      <c r="E3022" s="4" t="str">
        <f>HYPERLINK("https://ibp.a2mac1.com/costing(costing:projects/details/9760/assembly/8412872)","Power Inverter Module/Converter Module")</f>
        <v>Power Inverter Module/Converter Module</v>
      </c>
      <c r="F3022" t="s">
        <v>2734</v>
      </c>
    </row>
    <row r="3023" spans="1:6" x14ac:dyDescent="0.15">
      <c r="A3023">
        <v>8412938</v>
      </c>
      <c r="B3023">
        <v>8412872</v>
      </c>
      <c r="C3023" t="s">
        <v>8</v>
      </c>
      <c r="D3023" t="s">
        <v>8</v>
      </c>
      <c r="E3023" s="4" t="str">
        <f>HYPERLINK("https://ibp.a2mac1.com/costing(costing:projects/details/9760/assembly/8412938)","AC DC Inverter")</f>
        <v>AC DC Inverter</v>
      </c>
      <c r="F3023" t="s">
        <v>3476</v>
      </c>
    </row>
    <row r="3024" spans="1:6" x14ac:dyDescent="0.15">
      <c r="A3024">
        <v>8413061</v>
      </c>
      <c r="B3024">
        <v>8412938</v>
      </c>
      <c r="C3024" t="s">
        <v>8</v>
      </c>
      <c r="D3024" t="s">
        <v>8</v>
      </c>
      <c r="E3024" s="4" t="str">
        <f>HYPERLINK("https://ibp.a2mac1.com/costing(costing:projects/details/9760/assembly/8413061)","Connectors &amp; Wire Harnesses")</f>
        <v>Connectors &amp; Wire Harnesses</v>
      </c>
      <c r="F3024" t="s">
        <v>3477</v>
      </c>
    </row>
    <row r="3025" spans="1:6" x14ac:dyDescent="0.15">
      <c r="A3025">
        <v>8413166</v>
      </c>
      <c r="B3025">
        <v>8413061</v>
      </c>
      <c r="C3025" t="s">
        <v>8</v>
      </c>
      <c r="D3025" t="s">
        <v>8</v>
      </c>
      <c r="E3025" s="4" t="str">
        <f>HYPERLINK("https://ibp.a2mac1.com/costing(costing:projects/details/9760/assembly/8413166)","Busbars")</f>
        <v>Busbars</v>
      </c>
      <c r="F3025" t="s">
        <v>3478</v>
      </c>
    </row>
    <row r="3026" spans="1:6" x14ac:dyDescent="0.15">
      <c r="A3026">
        <v>8413258</v>
      </c>
      <c r="B3026">
        <v>8413166</v>
      </c>
      <c r="C3026" t="s">
        <v>10</v>
      </c>
      <c r="D3026" t="s">
        <v>8</v>
      </c>
      <c r="E3026" s="4" t="str">
        <f>HYPERLINK("https://ibp.a2mac1.com/costing(costing:projects/details/9760/part/8413258)","Busbar 1")</f>
        <v>Busbar 1</v>
      </c>
      <c r="F3026" t="s">
        <v>3479</v>
      </c>
    </row>
    <row r="3027" spans="1:6" x14ac:dyDescent="0.15">
      <c r="A3027">
        <v>8413259</v>
      </c>
      <c r="B3027">
        <v>8413166</v>
      </c>
      <c r="C3027" t="s">
        <v>10</v>
      </c>
      <c r="D3027" t="s">
        <v>8</v>
      </c>
      <c r="E3027" s="4" t="str">
        <f>HYPERLINK("https://ibp.a2mac1.com/costing(costing:projects/details/9760/part/8413259)","Busbar Assembly 1")</f>
        <v>Busbar Assembly 1</v>
      </c>
      <c r="F3027" t="s">
        <v>3479</v>
      </c>
    </row>
    <row r="3028" spans="1:6" x14ac:dyDescent="0.15">
      <c r="A3028">
        <v>8413260</v>
      </c>
      <c r="B3028">
        <v>8413166</v>
      </c>
      <c r="C3028" t="s">
        <v>10</v>
      </c>
      <c r="D3028" t="s">
        <v>8</v>
      </c>
      <c r="E3028" s="4" t="str">
        <f>HYPERLINK("https://ibp.a2mac1.com/costing(costing:projects/details/9760/part/8413260)","Busbar Assembly 2")</f>
        <v>Busbar Assembly 2</v>
      </c>
      <c r="F3028" t="s">
        <v>3479</v>
      </c>
    </row>
    <row r="3029" spans="1:6" x14ac:dyDescent="0.15">
      <c r="A3029">
        <v>12084087</v>
      </c>
      <c r="B3029">
        <v>8413260</v>
      </c>
      <c r="C3029" t="s">
        <v>114</v>
      </c>
      <c r="D3029" t="s">
        <v>10</v>
      </c>
      <c r="E3029" s="4" t="str">
        <f>HYPERLINK("https://ibp.a2mac1.com/costing(costing:projects/details/9760/process/12084087)","Process")</f>
        <v>Process</v>
      </c>
      <c r="F3029" t="s">
        <v>3484</v>
      </c>
    </row>
    <row r="3030" spans="1:6" x14ac:dyDescent="0.15">
      <c r="A3030">
        <v>8753003</v>
      </c>
      <c r="B3030">
        <v>12084087</v>
      </c>
      <c r="C3030" t="s">
        <v>311</v>
      </c>
      <c r="D3030" t="s">
        <v>114</v>
      </c>
      <c r="E3030" s="4" t="str">
        <f>HYPERLINK("https://ibp.a2mac1.com/costing(costing:projects/details/9760/component/8753003)","Y2 Capacitor")</f>
        <v>Y2 Capacitor</v>
      </c>
      <c r="F3030" t="s">
        <v>3486</v>
      </c>
    </row>
    <row r="3031" spans="1:6" x14ac:dyDescent="0.15">
      <c r="A3031">
        <v>8753001</v>
      </c>
      <c r="B3031">
        <v>12084087</v>
      </c>
      <c r="C3031" t="s">
        <v>22</v>
      </c>
      <c r="D3031" t="s">
        <v>114</v>
      </c>
      <c r="E3031" s="4" t="str">
        <f>HYPERLINK("https://ibp.a2mac1.com/costing(costing:projects/details/9760/material/8753001)","PPS-GF40")</f>
        <v>PPS-GF40</v>
      </c>
      <c r="F3031" t="s">
        <v>3486</v>
      </c>
    </row>
    <row r="3032" spans="1:6" x14ac:dyDescent="0.15">
      <c r="A3032">
        <v>8753002</v>
      </c>
      <c r="B3032">
        <v>12084087</v>
      </c>
      <c r="C3032" t="s">
        <v>22</v>
      </c>
      <c r="D3032" t="s">
        <v>114</v>
      </c>
      <c r="E3032" s="4" t="str">
        <f>HYPERLINK("https://ibp.a2mac1.com/costing(costing:projects/details/9760/material/8753002)","Copper (default, e.g. CuZn30  / C26000)")</f>
        <v>Copper (default, e.g. CuZn30  / C26000)</v>
      </c>
      <c r="F3032" t="s">
        <v>3486</v>
      </c>
    </row>
    <row r="3033" spans="1:6" x14ac:dyDescent="0.15">
      <c r="A3033">
        <v>8753004</v>
      </c>
      <c r="B3033">
        <v>12084087</v>
      </c>
      <c r="C3033" t="s">
        <v>22</v>
      </c>
      <c r="D3033" t="s">
        <v>114</v>
      </c>
      <c r="E3033" s="4" t="str">
        <f>HYPERLINK("https://ibp.a2mac1.com/costing(costing:projects/details/9760/material/8753004)","Ferrit finished, Standard")</f>
        <v>Ferrit finished, Standard</v>
      </c>
      <c r="F3033" t="s">
        <v>3486</v>
      </c>
    </row>
    <row r="3034" spans="1:6" x14ac:dyDescent="0.15">
      <c r="A3034">
        <v>12211170</v>
      </c>
      <c r="B3034">
        <v>12084087</v>
      </c>
      <c r="C3034" t="s">
        <v>163</v>
      </c>
      <c r="D3034" t="s">
        <v>114</v>
      </c>
      <c r="E3034" s="4" t="str">
        <f>HYPERLINK("https://ibp.a2mac1.com/costing(costing:projects/details/9760/equipment/12211170)","General production process (0.5-10€)")</f>
        <v>General production process (0.5-10€)</v>
      </c>
      <c r="F3034" t="s">
        <v>3486</v>
      </c>
    </row>
    <row r="3035" spans="1:6" x14ac:dyDescent="0.15">
      <c r="A3035">
        <v>8413167</v>
      </c>
      <c r="B3035">
        <v>8413061</v>
      </c>
      <c r="C3035" t="s">
        <v>8</v>
      </c>
      <c r="D3035" t="s">
        <v>8</v>
      </c>
      <c r="E3035" s="4" t="str">
        <f>HYPERLINK("https://ibp.a2mac1.com/costing(costing:projects/details/9760/assembly/8413167)","Connectors")</f>
        <v>Connectors</v>
      </c>
      <c r="F3035" t="s">
        <v>3478</v>
      </c>
    </row>
    <row r="3036" spans="1:6" x14ac:dyDescent="0.15">
      <c r="A3036">
        <v>8413261</v>
      </c>
      <c r="B3036">
        <v>8413167</v>
      </c>
      <c r="C3036" t="s">
        <v>8</v>
      </c>
      <c r="D3036" t="s">
        <v>8</v>
      </c>
      <c r="E3036" s="4" t="str">
        <f>HYPERLINK("https://ibp.a2mac1.com/costing(costing:projects/details/9760/assembly/8413261)","HV Connectors")</f>
        <v>HV Connectors</v>
      </c>
      <c r="F3036" t="s">
        <v>3498</v>
      </c>
    </row>
    <row r="3037" spans="1:6" x14ac:dyDescent="0.15">
      <c r="A3037">
        <v>8752995</v>
      </c>
      <c r="B3037">
        <v>8413261</v>
      </c>
      <c r="C3037" t="s">
        <v>3513</v>
      </c>
      <c r="D3037" t="s">
        <v>8</v>
      </c>
      <c r="E3037" s="4" t="str">
        <f>HYPERLINK("https://ibp.a2mac1.com/costing(costing:projects/details/9760/electroniccomponent/8752995)","HV Connector 1")</f>
        <v>HV Connector 1</v>
      </c>
      <c r="F3037" t="s">
        <v>3514</v>
      </c>
    </row>
    <row r="3038" spans="1:6" x14ac:dyDescent="0.15">
      <c r="A3038">
        <v>8413168</v>
      </c>
      <c r="B3038">
        <v>8413061</v>
      </c>
      <c r="C3038" t="s">
        <v>8</v>
      </c>
      <c r="D3038" t="s">
        <v>8</v>
      </c>
      <c r="E3038" s="4" t="str">
        <f>HYPERLINK("https://ibp.a2mac1.com/costing(costing:projects/details/9760/assembly/8413168)","Wire Harnesses")</f>
        <v>Wire Harnesses</v>
      </c>
      <c r="F3038" t="s">
        <v>3478</v>
      </c>
    </row>
    <row r="3039" spans="1:6" x14ac:dyDescent="0.15">
      <c r="A3039">
        <v>8752967</v>
      </c>
      <c r="B3039">
        <v>8413168</v>
      </c>
      <c r="C3039" t="s">
        <v>3513</v>
      </c>
      <c r="D3039" t="s">
        <v>8</v>
      </c>
      <c r="E3039" s="4" t="str">
        <f>HYPERLINK("https://ibp.a2mac1.com/costing(costing:projects/details/9760/electroniccomponent/8752967)","Wire Harness 1")</f>
        <v>Wire Harness 1</v>
      </c>
      <c r="F3039" t="s">
        <v>3518</v>
      </c>
    </row>
    <row r="3040" spans="1:6" x14ac:dyDescent="0.15">
      <c r="A3040">
        <v>8752968</v>
      </c>
      <c r="B3040">
        <v>8413168</v>
      </c>
      <c r="C3040" t="s">
        <v>3513</v>
      </c>
      <c r="D3040" t="s">
        <v>8</v>
      </c>
      <c r="E3040" s="4" t="str">
        <f>HYPERLINK("https://ibp.a2mac1.com/costing(costing:projects/details/9760/electroniccomponent/8752968)","Wire Harness 2")</f>
        <v>Wire Harness 2</v>
      </c>
      <c r="F3040" t="s">
        <v>3518</v>
      </c>
    </row>
    <row r="3041" spans="1:6" x14ac:dyDescent="0.15">
      <c r="A3041">
        <v>8752969</v>
      </c>
      <c r="B3041">
        <v>8413168</v>
      </c>
      <c r="C3041" t="s">
        <v>3513</v>
      </c>
      <c r="D3041" t="s">
        <v>8</v>
      </c>
      <c r="E3041" s="4" t="str">
        <f>HYPERLINK("https://ibp.a2mac1.com/costing(costing:projects/details/9760/electroniccomponent/8752969)","Wire Harness 3")</f>
        <v>Wire Harness 3</v>
      </c>
      <c r="F3041" t="s">
        <v>3518</v>
      </c>
    </row>
    <row r="3042" spans="1:6" x14ac:dyDescent="0.15">
      <c r="A3042">
        <v>8413062</v>
      </c>
      <c r="B3042">
        <v>8412938</v>
      </c>
      <c r="C3042" t="s">
        <v>8</v>
      </c>
      <c r="D3042" t="s">
        <v>8</v>
      </c>
      <c r="E3042" s="4" t="str">
        <f>HYPERLINK("https://ibp.a2mac1.com/costing(costing:projects/details/9760/assembly/8413062)","Electrical Parts")</f>
        <v>Electrical Parts</v>
      </c>
      <c r="F3042" t="s">
        <v>3477</v>
      </c>
    </row>
    <row r="3043" spans="1:6" x14ac:dyDescent="0.15">
      <c r="A3043">
        <v>8413169</v>
      </c>
      <c r="B3043">
        <v>8413062</v>
      </c>
      <c r="C3043" t="s">
        <v>8</v>
      </c>
      <c r="D3043" t="s">
        <v>8</v>
      </c>
      <c r="E3043" s="4" t="str">
        <f>HYPERLINK("https://ibp.a2mac1.com/costing(costing:projects/details/9760/assembly/8413169)","Capacitors")</f>
        <v>Capacitors</v>
      </c>
      <c r="F3043" t="s">
        <v>3522</v>
      </c>
    </row>
    <row r="3044" spans="1:6" x14ac:dyDescent="0.15">
      <c r="A3044">
        <v>8413262</v>
      </c>
      <c r="B3044">
        <v>8413169</v>
      </c>
      <c r="C3044" t="s">
        <v>10</v>
      </c>
      <c r="D3044" t="s">
        <v>8</v>
      </c>
      <c r="E3044" s="4" t="str">
        <f>HYPERLINK("https://ibp.a2mac1.com/costing(costing:projects/details/9760/part/8413262)","DC-Link Capacitor 1")</f>
        <v>DC-Link Capacitor 1</v>
      </c>
      <c r="F3044" t="s">
        <v>3523</v>
      </c>
    </row>
    <row r="3045" spans="1:6" x14ac:dyDescent="0.15">
      <c r="A3045">
        <v>8413170</v>
      </c>
      <c r="B3045">
        <v>8413062</v>
      </c>
      <c r="C3045" t="s">
        <v>8</v>
      </c>
      <c r="D3045" t="s">
        <v>8</v>
      </c>
      <c r="E3045" s="4" t="str">
        <f>HYPERLINK("https://ibp.a2mac1.com/costing(costing:projects/details/9760/assembly/8413170)","Power Modules")</f>
        <v>Power Modules</v>
      </c>
      <c r="F3045" t="s">
        <v>3522</v>
      </c>
    </row>
    <row r="3046" spans="1:6" x14ac:dyDescent="0.15">
      <c r="A3046">
        <v>8413263</v>
      </c>
      <c r="B3046">
        <v>8413170</v>
      </c>
      <c r="C3046" t="s">
        <v>10</v>
      </c>
      <c r="D3046" t="s">
        <v>8</v>
      </c>
      <c r="E3046" s="4" t="str">
        <f>HYPERLINK("https://ibp.a2mac1.com/costing(costing:projects/details/9760/part/8413263)","Power Module 1")</f>
        <v>Power Module 1</v>
      </c>
      <c r="F3046" t="s">
        <v>3527</v>
      </c>
    </row>
    <row r="3047" spans="1:6" x14ac:dyDescent="0.15">
      <c r="A3047">
        <v>8413063</v>
      </c>
      <c r="B3047">
        <v>8412938</v>
      </c>
      <c r="C3047" t="s">
        <v>8</v>
      </c>
      <c r="D3047" t="s">
        <v>8</v>
      </c>
      <c r="E3047" s="4" t="str">
        <f>HYPERLINK("https://ibp.a2mac1.com/costing(costing:projects/details/9760/assembly/8413063)","Electronic Parts")</f>
        <v>Electronic Parts</v>
      </c>
      <c r="F3047" t="s">
        <v>3477</v>
      </c>
    </row>
    <row r="3048" spans="1:6" x14ac:dyDescent="0.15">
      <c r="A3048">
        <v>8413171</v>
      </c>
      <c r="B3048">
        <v>8413063</v>
      </c>
      <c r="C3048" t="s">
        <v>10</v>
      </c>
      <c r="D3048" t="s">
        <v>8</v>
      </c>
      <c r="E3048" s="4" t="str">
        <f>HYPERLINK("https://ibp.a2mac1.com/costing(costing:projects/details/9760/part/8413171)","PCB 1")</f>
        <v>PCB 1</v>
      </c>
      <c r="F3048" t="s">
        <v>3532</v>
      </c>
    </row>
    <row r="3049" spans="1:6" x14ac:dyDescent="0.15">
      <c r="A3049">
        <v>8413172</v>
      </c>
      <c r="B3049">
        <v>8413063</v>
      </c>
      <c r="C3049" t="s">
        <v>10</v>
      </c>
      <c r="D3049" t="s">
        <v>8</v>
      </c>
      <c r="E3049" s="4" t="str">
        <f>HYPERLINK("https://ibp.a2mac1.com/costing(costing:projects/details/9760/part/8413172)","PCB 2")</f>
        <v>PCB 2</v>
      </c>
      <c r="F3049" t="s">
        <v>3532</v>
      </c>
    </row>
    <row r="3050" spans="1:6" x14ac:dyDescent="0.15">
      <c r="A3050">
        <v>8413173</v>
      </c>
      <c r="B3050">
        <v>8413063</v>
      </c>
      <c r="C3050" t="s">
        <v>10</v>
      </c>
      <c r="D3050" t="s">
        <v>8</v>
      </c>
      <c r="E3050" s="4" t="str">
        <f>HYPERLINK("https://ibp.a2mac1.com/costing(costing:projects/details/9760/part/8413173)","PCB 3")</f>
        <v>PCB 3</v>
      </c>
      <c r="F3050" t="s">
        <v>3532</v>
      </c>
    </row>
    <row r="3051" spans="1:6" x14ac:dyDescent="0.15">
      <c r="A3051">
        <v>8413064</v>
      </c>
      <c r="B3051">
        <v>8412938</v>
      </c>
      <c r="C3051" t="s">
        <v>8</v>
      </c>
      <c r="D3051" t="s">
        <v>8</v>
      </c>
      <c r="E3051" s="4" t="str">
        <f>HYPERLINK("https://ibp.a2mac1.com/costing(costing:projects/details/9760/assembly/8413064)","Mechanical Parts")</f>
        <v>Mechanical Parts</v>
      </c>
      <c r="F3051" t="s">
        <v>3477</v>
      </c>
    </row>
    <row r="3052" spans="1:6" x14ac:dyDescent="0.15">
      <c r="A3052">
        <v>8413174</v>
      </c>
      <c r="B3052">
        <v>8413064</v>
      </c>
      <c r="C3052" t="s">
        <v>8</v>
      </c>
      <c r="D3052" t="s">
        <v>8</v>
      </c>
      <c r="E3052" s="4" t="str">
        <f>HYPERLINK("https://ibp.a2mac1.com/costing(costing:projects/details/9760/assembly/8413174)","Brackets")</f>
        <v>Brackets</v>
      </c>
      <c r="F3052" t="s">
        <v>3537</v>
      </c>
    </row>
    <row r="3053" spans="1:6" x14ac:dyDescent="0.15">
      <c r="A3053">
        <v>8413264</v>
      </c>
      <c r="B3053">
        <v>8413174</v>
      </c>
      <c r="C3053" t="s">
        <v>10</v>
      </c>
      <c r="D3053" t="s">
        <v>8</v>
      </c>
      <c r="E3053" s="4" t="str">
        <f>HYPERLINK("https://ibp.a2mac1.com/costing(costing:projects/details/9760/part/8413264)","Bracket 1")</f>
        <v>Bracket 1</v>
      </c>
      <c r="F3053" t="s">
        <v>3538</v>
      </c>
    </row>
    <row r="3054" spans="1:6" x14ac:dyDescent="0.15">
      <c r="A3054">
        <v>8413265</v>
      </c>
      <c r="B3054">
        <v>8413174</v>
      </c>
      <c r="C3054" t="s">
        <v>10</v>
      </c>
      <c r="D3054" t="s">
        <v>8</v>
      </c>
      <c r="E3054" s="4" t="str">
        <f>HYPERLINK("https://ibp.a2mac1.com/costing(costing:projects/details/9760/part/8413265)","Ferrite Bracket 1")</f>
        <v>Ferrite Bracket 1</v>
      </c>
      <c r="F3054" t="s">
        <v>3538</v>
      </c>
    </row>
    <row r="3055" spans="1:6" x14ac:dyDescent="0.15">
      <c r="A3055">
        <v>8413266</v>
      </c>
      <c r="B3055">
        <v>8413174</v>
      </c>
      <c r="C3055" t="s">
        <v>10</v>
      </c>
      <c r="D3055" t="s">
        <v>8</v>
      </c>
      <c r="E3055" s="4" t="str">
        <f>HYPERLINK("https://ibp.a2mac1.com/costing(costing:projects/details/9760/part/8413266)","Power Module Bracket 1")</f>
        <v>Power Module Bracket 1</v>
      </c>
      <c r="F3055" t="s">
        <v>3538</v>
      </c>
    </row>
    <row r="3056" spans="1:6" x14ac:dyDescent="0.15">
      <c r="A3056">
        <v>8413175</v>
      </c>
      <c r="B3056">
        <v>8413064</v>
      </c>
      <c r="C3056" t="s">
        <v>8</v>
      </c>
      <c r="D3056" t="s">
        <v>8</v>
      </c>
      <c r="E3056" s="4" t="str">
        <f>HYPERLINK("https://ibp.a2mac1.com/costing(costing:projects/details/9760/assembly/8413175)","Covers")</f>
        <v>Covers</v>
      </c>
      <c r="F3056" t="s">
        <v>3537</v>
      </c>
    </row>
    <row r="3057" spans="1:6" x14ac:dyDescent="0.15">
      <c r="A3057">
        <v>8413267</v>
      </c>
      <c r="B3057">
        <v>8413175</v>
      </c>
      <c r="C3057" t="s">
        <v>10</v>
      </c>
      <c r="D3057" t="s">
        <v>8</v>
      </c>
      <c r="E3057" s="4" t="str">
        <f>HYPERLINK("https://ibp.a2mac1.com/costing(costing:projects/details/9760/part/8413267)","PCB Cover 1")</f>
        <v>PCB Cover 1</v>
      </c>
      <c r="F3057" t="s">
        <v>3546</v>
      </c>
    </row>
    <row r="3058" spans="1:6" x14ac:dyDescent="0.15">
      <c r="A3058">
        <v>8413176</v>
      </c>
      <c r="B3058">
        <v>8413064</v>
      </c>
      <c r="C3058" t="s">
        <v>8</v>
      </c>
      <c r="D3058" t="s">
        <v>8</v>
      </c>
      <c r="E3058" s="4" t="str">
        <f>HYPERLINK("https://ibp.a2mac1.com/costing(costing:projects/details/9760/assembly/8413176)","Housing Parts")</f>
        <v>Housing Parts</v>
      </c>
      <c r="F3058" t="s">
        <v>3537</v>
      </c>
    </row>
    <row r="3059" spans="1:6" x14ac:dyDescent="0.15">
      <c r="A3059">
        <v>8413268</v>
      </c>
      <c r="B3059">
        <v>8413176</v>
      </c>
      <c r="C3059" t="s">
        <v>10</v>
      </c>
      <c r="D3059" t="s">
        <v>8</v>
      </c>
      <c r="E3059" s="4" t="str">
        <f>HYPERLINK("https://ibp.a2mac1.com/costing(costing:projects/details/9760/part/8413268)","Top Lid")</f>
        <v>Top Lid</v>
      </c>
      <c r="F3059" t="s">
        <v>3550</v>
      </c>
    </row>
    <row r="3060" spans="1:6" x14ac:dyDescent="0.15">
      <c r="A3060">
        <v>12084088</v>
      </c>
      <c r="B3060">
        <v>8413268</v>
      </c>
      <c r="C3060" t="s">
        <v>114</v>
      </c>
      <c r="D3060" t="s">
        <v>10</v>
      </c>
      <c r="E3060" s="4" t="str">
        <f>HYPERLINK("https://ibp.a2mac1.com/costing(costing:projects/details/9760/process/12084088)","Process")</f>
        <v>Process</v>
      </c>
      <c r="F3060" t="s">
        <v>3551</v>
      </c>
    </row>
    <row r="3061" spans="1:6" x14ac:dyDescent="0.15">
      <c r="A3061">
        <v>8753005</v>
      </c>
      <c r="B3061">
        <v>12084088</v>
      </c>
      <c r="C3061" t="s">
        <v>22</v>
      </c>
      <c r="D3061" t="s">
        <v>114</v>
      </c>
      <c r="E3061" s="4" t="str">
        <f>HYPERLINK("https://ibp.a2mac1.com/costing(costing:projects/details/9760/material/8753005)","Aluminum for casting (default, e.g. A380/ADC10/EN-AC46500)")</f>
        <v>Aluminum for casting (default, e.g. A380/ADC10/EN-AC46500)</v>
      </c>
      <c r="F3061" t="s">
        <v>3554</v>
      </c>
    </row>
    <row r="3062" spans="1:6" x14ac:dyDescent="0.15">
      <c r="A3062">
        <v>12211171</v>
      </c>
      <c r="B3062">
        <v>12084088</v>
      </c>
      <c r="C3062" t="s">
        <v>163</v>
      </c>
      <c r="D3062" t="s">
        <v>114</v>
      </c>
      <c r="E3062" s="4" t="str">
        <f>HYPERLINK("https://ibp.a2mac1.com/costing(costing:projects/details/9760/equipment/12211171)","General production process (0.5-10€)")</f>
        <v>General production process (0.5-10€)</v>
      </c>
      <c r="F3062" t="s">
        <v>3554</v>
      </c>
    </row>
    <row r="3063" spans="1:6" x14ac:dyDescent="0.15">
      <c r="A3063">
        <v>8413177</v>
      </c>
      <c r="B3063">
        <v>8413064</v>
      </c>
      <c r="C3063" t="s">
        <v>8</v>
      </c>
      <c r="D3063" t="s">
        <v>8</v>
      </c>
      <c r="E3063" s="4" t="str">
        <f>HYPERLINK("https://ibp.a2mac1.com/costing(costing:projects/details/9760/assembly/8413177)","Pressure Vents")</f>
        <v>Pressure Vents</v>
      </c>
      <c r="F3063" t="s">
        <v>3537</v>
      </c>
    </row>
    <row r="3064" spans="1:6" x14ac:dyDescent="0.15">
      <c r="A3064">
        <v>8413269</v>
      </c>
      <c r="B3064">
        <v>8413177</v>
      </c>
      <c r="C3064" t="s">
        <v>10</v>
      </c>
      <c r="D3064" t="s">
        <v>8</v>
      </c>
      <c r="E3064" s="4" t="str">
        <f>HYPERLINK("https://ibp.a2mac1.com/costing(costing:projects/details/9760/part/8413269)","Pressure Vent 1")</f>
        <v>Pressure Vent 1</v>
      </c>
      <c r="F3064" t="s">
        <v>3558</v>
      </c>
    </row>
    <row r="3065" spans="1:6" x14ac:dyDescent="0.15">
      <c r="A3065">
        <v>8413178</v>
      </c>
      <c r="B3065">
        <v>8413064</v>
      </c>
      <c r="C3065" t="s">
        <v>8</v>
      </c>
      <c r="D3065" t="s">
        <v>8</v>
      </c>
      <c r="E3065" s="4" t="str">
        <f>HYPERLINK("https://ibp.a2mac1.com/costing(costing:projects/details/9760/assembly/8413178)","Seals")</f>
        <v>Seals</v>
      </c>
      <c r="F3065" t="s">
        <v>3537</v>
      </c>
    </row>
    <row r="3066" spans="1:6" x14ac:dyDescent="0.15">
      <c r="A3066">
        <v>8413270</v>
      </c>
      <c r="B3066">
        <v>8413178</v>
      </c>
      <c r="C3066" t="s">
        <v>10</v>
      </c>
      <c r="D3066" t="s">
        <v>8</v>
      </c>
      <c r="E3066" s="4" t="str">
        <f>HYPERLINK("https://ibp.a2mac1.com/costing(costing:projects/details/9760/part/8413270)","Seal 1")</f>
        <v>Seal 1</v>
      </c>
      <c r="F3066" t="s">
        <v>3561</v>
      </c>
    </row>
    <row r="3067" spans="1:6" x14ac:dyDescent="0.15">
      <c r="A3067">
        <v>8413271</v>
      </c>
      <c r="B3067">
        <v>8413178</v>
      </c>
      <c r="C3067" t="s">
        <v>10</v>
      </c>
      <c r="D3067" t="s">
        <v>8</v>
      </c>
      <c r="E3067" s="4" t="str">
        <f>HYPERLINK("https://ibp.a2mac1.com/costing(costing:projects/details/9760/part/8413271)","Seal 2")</f>
        <v>Seal 2</v>
      </c>
      <c r="F3067" t="s">
        <v>3561</v>
      </c>
    </row>
    <row r="3068" spans="1:6" x14ac:dyDescent="0.15">
      <c r="A3068">
        <v>12084061</v>
      </c>
      <c r="B3068">
        <v>8412938</v>
      </c>
      <c r="C3068" t="s">
        <v>114</v>
      </c>
      <c r="D3068" t="s">
        <v>8</v>
      </c>
      <c r="E3068" s="4" t="str">
        <f>HYPERLINK("https://ibp.a2mac1.com/costing(costing:projects/details/9760/process/12084061)","Final Assembly")</f>
        <v>Final Assembly</v>
      </c>
      <c r="F3068" t="s">
        <v>3477</v>
      </c>
    </row>
    <row r="3069" spans="1:6" x14ac:dyDescent="0.15">
      <c r="A3069">
        <v>12211148</v>
      </c>
      <c r="B3069">
        <v>12084061</v>
      </c>
      <c r="C3069" t="s">
        <v>163</v>
      </c>
      <c r="D3069" t="s">
        <v>114</v>
      </c>
      <c r="E3069" s="4" t="str">
        <f>HYPERLINK("https://ibp.a2mac1.com/costing(costing:projects/details/9760/equipment/12211148)","General production process (&gt;10€)")</f>
        <v>General production process (&gt;10€)</v>
      </c>
      <c r="F3069" t="s">
        <v>3566</v>
      </c>
    </row>
    <row r="3070" spans="1:6" x14ac:dyDescent="0.15">
      <c r="A3070">
        <v>8412939</v>
      </c>
      <c r="B3070">
        <v>8412872</v>
      </c>
      <c r="C3070" t="s">
        <v>8</v>
      </c>
      <c r="D3070" t="s">
        <v>8</v>
      </c>
      <c r="E3070" s="4" t="str">
        <f>HYPERLINK("https://ibp.a2mac1.com/costing(costing:projects/details/9760/assembly/8412939)","Second AC DC Inverter")</f>
        <v>Second AC DC Inverter</v>
      </c>
      <c r="F3070" t="s">
        <v>3476</v>
      </c>
    </row>
    <row r="3071" spans="1:6" x14ac:dyDescent="0.15">
      <c r="A3071">
        <v>8413065</v>
      </c>
      <c r="B3071">
        <v>8412939</v>
      </c>
      <c r="C3071" t="s">
        <v>8</v>
      </c>
      <c r="D3071" t="s">
        <v>8</v>
      </c>
      <c r="E3071" s="4" t="str">
        <f>HYPERLINK("https://ibp.a2mac1.com/costing(costing:projects/details/9760/assembly/8413065)","Connectors &amp; Wire Harnesses")</f>
        <v>Connectors &amp; Wire Harnesses</v>
      </c>
      <c r="F3071" t="s">
        <v>3569</v>
      </c>
    </row>
    <row r="3072" spans="1:6" x14ac:dyDescent="0.15">
      <c r="A3072">
        <v>8413179</v>
      </c>
      <c r="B3072">
        <v>8413065</v>
      </c>
      <c r="C3072" t="s">
        <v>8</v>
      </c>
      <c r="D3072" t="s">
        <v>8</v>
      </c>
      <c r="E3072" s="4" t="str">
        <f>HYPERLINK("https://ibp.a2mac1.com/costing(costing:projects/details/9760/assembly/8413179)","Busbars")</f>
        <v>Busbars</v>
      </c>
      <c r="F3072" t="s">
        <v>3570</v>
      </c>
    </row>
    <row r="3073" spans="1:6" x14ac:dyDescent="0.15">
      <c r="A3073">
        <v>8413272</v>
      </c>
      <c r="B3073">
        <v>8413179</v>
      </c>
      <c r="C3073" t="s">
        <v>10</v>
      </c>
      <c r="D3073" t="s">
        <v>8</v>
      </c>
      <c r="E3073" s="4" t="str">
        <f>HYPERLINK("https://ibp.a2mac1.com/costing(costing:projects/details/9760/part/8413272)","Busbar 1")</f>
        <v>Busbar 1</v>
      </c>
      <c r="F3073" t="s">
        <v>3571</v>
      </c>
    </row>
    <row r="3074" spans="1:6" x14ac:dyDescent="0.15">
      <c r="A3074">
        <v>8413273</v>
      </c>
      <c r="B3074">
        <v>8413179</v>
      </c>
      <c r="C3074" t="s">
        <v>10</v>
      </c>
      <c r="D3074" t="s">
        <v>8</v>
      </c>
      <c r="E3074" s="4" t="str">
        <f>HYPERLINK("https://ibp.a2mac1.com/costing(costing:projects/details/9760/part/8413273)","Busbar Assembly 1")</f>
        <v>Busbar Assembly 1</v>
      </c>
      <c r="F3074" t="s">
        <v>3571</v>
      </c>
    </row>
    <row r="3075" spans="1:6" x14ac:dyDescent="0.15">
      <c r="A3075">
        <v>12084089</v>
      </c>
      <c r="B3075">
        <v>8413273</v>
      </c>
      <c r="C3075" t="s">
        <v>114</v>
      </c>
      <c r="D3075" t="s">
        <v>10</v>
      </c>
      <c r="E3075" s="4" t="str">
        <f>HYPERLINK("https://ibp.a2mac1.com/costing(costing:projects/details/9760/process/12084089)","Process")</f>
        <v>Process</v>
      </c>
      <c r="F3075" t="s">
        <v>3573</v>
      </c>
    </row>
    <row r="3076" spans="1:6" x14ac:dyDescent="0.15">
      <c r="A3076">
        <v>8753008</v>
      </c>
      <c r="B3076">
        <v>12084089</v>
      </c>
      <c r="C3076" t="s">
        <v>311</v>
      </c>
      <c r="D3076" t="s">
        <v>114</v>
      </c>
      <c r="E3076" s="4" t="str">
        <f>HYPERLINK("https://ibp.a2mac1.com/costing(costing:projects/details/9760/component/8753008)","Y2 Capacitor")</f>
        <v>Y2 Capacitor</v>
      </c>
      <c r="F3076" t="s">
        <v>3574</v>
      </c>
    </row>
    <row r="3077" spans="1:6" x14ac:dyDescent="0.15">
      <c r="A3077">
        <v>8753006</v>
      </c>
      <c r="B3077">
        <v>12084089</v>
      </c>
      <c r="C3077" t="s">
        <v>22</v>
      </c>
      <c r="D3077" t="s">
        <v>114</v>
      </c>
      <c r="E3077" s="4" t="str">
        <f>HYPERLINK("https://ibp.a2mac1.com/costing(costing:projects/details/9760/material/8753006)","PPS-GF40")</f>
        <v>PPS-GF40</v>
      </c>
      <c r="F3077" t="s">
        <v>3574</v>
      </c>
    </row>
    <row r="3078" spans="1:6" x14ac:dyDescent="0.15">
      <c r="A3078">
        <v>8753007</v>
      </c>
      <c r="B3078">
        <v>12084089</v>
      </c>
      <c r="C3078" t="s">
        <v>22</v>
      </c>
      <c r="D3078" t="s">
        <v>114</v>
      </c>
      <c r="E3078" s="4" t="str">
        <f>HYPERLINK("https://ibp.a2mac1.com/costing(costing:projects/details/9760/material/8753007)","Copper (default, e.g. CuZn30  / C26000)")</f>
        <v>Copper (default, e.g. CuZn30  / C26000)</v>
      </c>
      <c r="F3078" t="s">
        <v>3574</v>
      </c>
    </row>
    <row r="3079" spans="1:6" x14ac:dyDescent="0.15">
      <c r="A3079">
        <v>12211172</v>
      </c>
      <c r="B3079">
        <v>12084089</v>
      </c>
      <c r="C3079" t="s">
        <v>163</v>
      </c>
      <c r="D3079" t="s">
        <v>114</v>
      </c>
      <c r="E3079" s="4" t="str">
        <f>HYPERLINK("https://ibp.a2mac1.com/costing(costing:projects/details/9760/equipment/12211172)","General production process (0.5-10€)")</f>
        <v>General production process (0.5-10€)</v>
      </c>
      <c r="F3079" t="s">
        <v>3574</v>
      </c>
    </row>
    <row r="3080" spans="1:6" x14ac:dyDescent="0.15">
      <c r="A3080">
        <v>8413274</v>
      </c>
      <c r="B3080">
        <v>8413179</v>
      </c>
      <c r="C3080" t="s">
        <v>10</v>
      </c>
      <c r="D3080" t="s">
        <v>8</v>
      </c>
      <c r="E3080" s="4" t="str">
        <f>HYPERLINK("https://ibp.a2mac1.com/costing(costing:projects/details/9760/part/8413274)","Busbar Assembly 2")</f>
        <v>Busbar Assembly 2</v>
      </c>
      <c r="F3080" t="s">
        <v>3571</v>
      </c>
    </row>
    <row r="3081" spans="1:6" x14ac:dyDescent="0.15">
      <c r="A3081">
        <v>8413180</v>
      </c>
      <c r="B3081">
        <v>8413065</v>
      </c>
      <c r="C3081" t="s">
        <v>8</v>
      </c>
      <c r="D3081" t="s">
        <v>8</v>
      </c>
      <c r="E3081" s="4" t="str">
        <f>HYPERLINK("https://ibp.a2mac1.com/costing(costing:projects/details/9760/assembly/8413180)","Connectors")</f>
        <v>Connectors</v>
      </c>
      <c r="F3081" t="s">
        <v>3570</v>
      </c>
    </row>
    <row r="3082" spans="1:6" x14ac:dyDescent="0.15">
      <c r="A3082">
        <v>8413275</v>
      </c>
      <c r="B3082">
        <v>8413180</v>
      </c>
      <c r="C3082" t="s">
        <v>8</v>
      </c>
      <c r="D3082" t="s">
        <v>8</v>
      </c>
      <c r="E3082" s="4" t="str">
        <f>HYPERLINK("https://ibp.a2mac1.com/costing(costing:projects/details/9760/assembly/8413275)","Vehicle Connectors")</f>
        <v>Vehicle Connectors</v>
      </c>
      <c r="F3082" t="s">
        <v>3581</v>
      </c>
    </row>
    <row r="3083" spans="1:6" x14ac:dyDescent="0.15">
      <c r="A3083">
        <v>8752996</v>
      </c>
      <c r="B3083">
        <v>8413275</v>
      </c>
      <c r="C3083" t="s">
        <v>3513</v>
      </c>
      <c r="D3083" t="s">
        <v>8</v>
      </c>
      <c r="E3083" s="4" t="str">
        <f>HYPERLINK("https://ibp.a2mac1.com/costing(costing:projects/details/9760/electroniccomponent/8752996)","Vehicle Connector 1")</f>
        <v>Vehicle Connector 1</v>
      </c>
      <c r="F3083" t="s">
        <v>3583</v>
      </c>
    </row>
    <row r="3084" spans="1:6" x14ac:dyDescent="0.15">
      <c r="A3084">
        <v>8413181</v>
      </c>
      <c r="B3084">
        <v>8413065</v>
      </c>
      <c r="C3084" t="s">
        <v>8</v>
      </c>
      <c r="D3084" t="s">
        <v>8</v>
      </c>
      <c r="E3084" s="4" t="str">
        <f>HYPERLINK("https://ibp.a2mac1.com/costing(costing:projects/details/9760/assembly/8413181)","Wire Harnesses")</f>
        <v>Wire Harnesses</v>
      </c>
      <c r="F3084" t="s">
        <v>3570</v>
      </c>
    </row>
    <row r="3085" spans="1:6" x14ac:dyDescent="0.15">
      <c r="A3085">
        <v>8752970</v>
      </c>
      <c r="B3085">
        <v>8413181</v>
      </c>
      <c r="C3085" t="s">
        <v>3513</v>
      </c>
      <c r="D3085" t="s">
        <v>8</v>
      </c>
      <c r="E3085" s="4" t="str">
        <f>HYPERLINK("https://ibp.a2mac1.com/costing(costing:projects/details/9760/electroniccomponent/8752970)","Wire Harness 1")</f>
        <v>Wire Harness 1</v>
      </c>
      <c r="F3085" t="s">
        <v>3587</v>
      </c>
    </row>
    <row r="3086" spans="1:6" x14ac:dyDescent="0.15">
      <c r="A3086">
        <v>8752971</v>
      </c>
      <c r="B3086">
        <v>8413181</v>
      </c>
      <c r="C3086" t="s">
        <v>3513</v>
      </c>
      <c r="D3086" t="s">
        <v>8</v>
      </c>
      <c r="E3086" s="4" t="str">
        <f>HYPERLINK("https://ibp.a2mac1.com/costing(costing:projects/details/9760/electroniccomponent/8752971)","Wire Harness 2")</f>
        <v>Wire Harness 2</v>
      </c>
      <c r="F3086" t="s">
        <v>3587</v>
      </c>
    </row>
    <row r="3087" spans="1:6" x14ac:dyDescent="0.15">
      <c r="A3087">
        <v>8413066</v>
      </c>
      <c r="B3087">
        <v>8412939</v>
      </c>
      <c r="C3087" t="s">
        <v>8</v>
      </c>
      <c r="D3087" t="s">
        <v>8</v>
      </c>
      <c r="E3087" s="4" t="str">
        <f>HYPERLINK("https://ibp.a2mac1.com/costing(costing:projects/details/9760/assembly/8413066)","Electrical Parts")</f>
        <v>Electrical Parts</v>
      </c>
      <c r="F3087" t="s">
        <v>3569</v>
      </c>
    </row>
    <row r="3088" spans="1:6" x14ac:dyDescent="0.15">
      <c r="A3088">
        <v>8413182</v>
      </c>
      <c r="B3088">
        <v>8413066</v>
      </c>
      <c r="C3088" t="s">
        <v>8</v>
      </c>
      <c r="D3088" t="s">
        <v>8</v>
      </c>
      <c r="E3088" s="4" t="str">
        <f>HYPERLINK("https://ibp.a2mac1.com/costing(costing:projects/details/9760/assembly/8413182)","Capacitors")</f>
        <v>Capacitors</v>
      </c>
      <c r="F3088" t="s">
        <v>3591</v>
      </c>
    </row>
    <row r="3089" spans="1:6" x14ac:dyDescent="0.15">
      <c r="A3089">
        <v>8413276</v>
      </c>
      <c r="B3089">
        <v>8413182</v>
      </c>
      <c r="C3089" t="s">
        <v>10</v>
      </c>
      <c r="D3089" t="s">
        <v>8</v>
      </c>
      <c r="E3089" s="4" t="str">
        <f>HYPERLINK("https://ibp.a2mac1.com/costing(costing:projects/details/9760/part/8413276)","DC-Link Capacitor 1")</f>
        <v>DC-Link Capacitor 1</v>
      </c>
      <c r="F3089" t="s">
        <v>3592</v>
      </c>
    </row>
    <row r="3090" spans="1:6" x14ac:dyDescent="0.15">
      <c r="A3090">
        <v>8413183</v>
      </c>
      <c r="B3090">
        <v>8413066</v>
      </c>
      <c r="C3090" t="s">
        <v>8</v>
      </c>
      <c r="D3090" t="s">
        <v>8</v>
      </c>
      <c r="E3090" s="4" t="str">
        <f>HYPERLINK("https://ibp.a2mac1.com/costing(costing:projects/details/9760/assembly/8413183)","Ferrites &amp; Cores")</f>
        <v>Ferrites &amp; Cores</v>
      </c>
      <c r="F3090" t="s">
        <v>3591</v>
      </c>
    </row>
    <row r="3091" spans="1:6" x14ac:dyDescent="0.15">
      <c r="A3091">
        <v>8413277</v>
      </c>
      <c r="B3091">
        <v>8413183</v>
      </c>
      <c r="C3091" t="s">
        <v>10</v>
      </c>
      <c r="D3091" t="s">
        <v>8</v>
      </c>
      <c r="E3091" s="4" t="str">
        <f>HYPERLINK("https://ibp.a2mac1.com/costing(costing:projects/details/9760/part/8413277)","Ferrite 1")</f>
        <v>Ferrite 1</v>
      </c>
      <c r="F3091" t="s">
        <v>3595</v>
      </c>
    </row>
    <row r="3092" spans="1:6" x14ac:dyDescent="0.15">
      <c r="A3092">
        <v>8413278</v>
      </c>
      <c r="B3092">
        <v>8413183</v>
      </c>
      <c r="C3092" t="s">
        <v>10</v>
      </c>
      <c r="D3092" t="s">
        <v>8</v>
      </c>
      <c r="E3092" s="4" t="str">
        <f>HYPERLINK("https://ibp.a2mac1.com/costing(costing:projects/details/9760/part/8413278)","Ferrite 2")</f>
        <v>Ferrite 2</v>
      </c>
      <c r="F3092" t="s">
        <v>3595</v>
      </c>
    </row>
    <row r="3093" spans="1:6" x14ac:dyDescent="0.15">
      <c r="A3093">
        <v>8413184</v>
      </c>
      <c r="B3093">
        <v>8413066</v>
      </c>
      <c r="C3093" t="s">
        <v>8</v>
      </c>
      <c r="D3093" t="s">
        <v>8</v>
      </c>
      <c r="E3093" s="4" t="str">
        <f>HYPERLINK("https://ibp.a2mac1.com/costing(costing:projects/details/9760/assembly/8413184)","Power Modules")</f>
        <v>Power Modules</v>
      </c>
      <c r="F3093" t="s">
        <v>3591</v>
      </c>
    </row>
    <row r="3094" spans="1:6" x14ac:dyDescent="0.15">
      <c r="A3094">
        <v>8413279</v>
      </c>
      <c r="B3094">
        <v>8413184</v>
      </c>
      <c r="C3094" t="s">
        <v>10</v>
      </c>
      <c r="D3094" t="s">
        <v>8</v>
      </c>
      <c r="E3094" s="4" t="str">
        <f>HYPERLINK("https://ibp.a2mac1.com/costing(costing:projects/details/9760/part/8413279)","Power Module 1")</f>
        <v>Power Module 1</v>
      </c>
      <c r="F3094" t="s">
        <v>3599</v>
      </c>
    </row>
    <row r="3095" spans="1:6" x14ac:dyDescent="0.15">
      <c r="A3095">
        <v>8413067</v>
      </c>
      <c r="B3095">
        <v>8412939</v>
      </c>
      <c r="C3095" t="s">
        <v>8</v>
      </c>
      <c r="D3095" t="s">
        <v>8</v>
      </c>
      <c r="E3095" s="4" t="str">
        <f>HYPERLINK("https://ibp.a2mac1.com/costing(costing:projects/details/9760/assembly/8413067)","Electronic Parts")</f>
        <v>Electronic Parts</v>
      </c>
      <c r="F3095" t="s">
        <v>3569</v>
      </c>
    </row>
    <row r="3096" spans="1:6" x14ac:dyDescent="0.15">
      <c r="A3096">
        <v>8413185</v>
      </c>
      <c r="B3096">
        <v>8413067</v>
      </c>
      <c r="C3096" t="s">
        <v>10</v>
      </c>
      <c r="D3096" t="s">
        <v>8</v>
      </c>
      <c r="E3096" s="4" t="str">
        <f>HYPERLINK("https://ibp.a2mac1.com/costing(costing:projects/details/9760/part/8413185)","PCB 1")</f>
        <v>PCB 1</v>
      </c>
      <c r="F3096" t="s">
        <v>3603</v>
      </c>
    </row>
    <row r="3097" spans="1:6" x14ac:dyDescent="0.15">
      <c r="A3097">
        <v>8413186</v>
      </c>
      <c r="B3097">
        <v>8413067</v>
      </c>
      <c r="C3097" t="s">
        <v>10</v>
      </c>
      <c r="D3097" t="s">
        <v>8</v>
      </c>
      <c r="E3097" s="4" t="str">
        <f>HYPERLINK("https://ibp.a2mac1.com/costing(costing:projects/details/9760/part/8413186)","PCB 2")</f>
        <v>PCB 2</v>
      </c>
      <c r="F3097" t="s">
        <v>3603</v>
      </c>
    </row>
    <row r="3098" spans="1:6" x14ac:dyDescent="0.15">
      <c r="A3098">
        <v>8413187</v>
      </c>
      <c r="B3098">
        <v>8413067</v>
      </c>
      <c r="C3098" t="s">
        <v>10</v>
      </c>
      <c r="D3098" t="s">
        <v>8</v>
      </c>
      <c r="E3098" s="4" t="str">
        <f>HYPERLINK("https://ibp.a2mac1.com/costing(costing:projects/details/9760/part/8413187)","PCB 3")</f>
        <v>PCB 3</v>
      </c>
      <c r="F3098" t="s">
        <v>3603</v>
      </c>
    </row>
    <row r="3099" spans="1:6" x14ac:dyDescent="0.15">
      <c r="A3099">
        <v>8413068</v>
      </c>
      <c r="B3099">
        <v>8412939</v>
      </c>
      <c r="C3099" t="s">
        <v>8</v>
      </c>
      <c r="D3099" t="s">
        <v>8</v>
      </c>
      <c r="E3099" s="4" t="str">
        <f>HYPERLINK("https://ibp.a2mac1.com/costing(costing:projects/details/9760/assembly/8413068)","Mechanical Parts")</f>
        <v>Mechanical Parts</v>
      </c>
      <c r="F3099" t="s">
        <v>3569</v>
      </c>
    </row>
    <row r="3100" spans="1:6" x14ac:dyDescent="0.15">
      <c r="A3100">
        <v>8413188</v>
      </c>
      <c r="B3100">
        <v>8413068</v>
      </c>
      <c r="C3100" t="s">
        <v>8</v>
      </c>
      <c r="D3100" t="s">
        <v>8</v>
      </c>
      <c r="E3100" s="4" t="str">
        <f>HYPERLINK("https://ibp.a2mac1.com/costing(costing:projects/details/9760/assembly/8413188)","Brackets")</f>
        <v>Brackets</v>
      </c>
      <c r="F3100" t="s">
        <v>3608</v>
      </c>
    </row>
    <row r="3101" spans="1:6" x14ac:dyDescent="0.15">
      <c r="A3101">
        <v>8413280</v>
      </c>
      <c r="B3101">
        <v>8413188</v>
      </c>
      <c r="C3101" t="s">
        <v>10</v>
      </c>
      <c r="D3101" t="s">
        <v>8</v>
      </c>
      <c r="E3101" s="4" t="str">
        <f>HYPERLINK("https://ibp.a2mac1.com/costing(costing:projects/details/9760/part/8413280)","Bracket 1")</f>
        <v>Bracket 1</v>
      </c>
      <c r="F3101" t="s">
        <v>3609</v>
      </c>
    </row>
    <row r="3102" spans="1:6" x14ac:dyDescent="0.15">
      <c r="A3102">
        <v>8413281</v>
      </c>
      <c r="B3102">
        <v>8413188</v>
      </c>
      <c r="C3102" t="s">
        <v>10</v>
      </c>
      <c r="D3102" t="s">
        <v>8</v>
      </c>
      <c r="E3102" s="4" t="str">
        <f>HYPERLINK("https://ibp.a2mac1.com/costing(costing:projects/details/9760/part/8413281)","Ferrite Assembly Bracket 1")</f>
        <v>Ferrite Assembly Bracket 1</v>
      </c>
      <c r="F3102" t="s">
        <v>3609</v>
      </c>
    </row>
    <row r="3103" spans="1:6" x14ac:dyDescent="0.15">
      <c r="A3103">
        <v>8413282</v>
      </c>
      <c r="B3103">
        <v>8413188</v>
      </c>
      <c r="C3103" t="s">
        <v>10</v>
      </c>
      <c r="D3103" t="s">
        <v>8</v>
      </c>
      <c r="E3103" s="4" t="str">
        <f>HYPERLINK("https://ibp.a2mac1.com/costing(costing:projects/details/9760/part/8413282)","Power Module Bracket 1")</f>
        <v>Power Module Bracket 1</v>
      </c>
      <c r="F3103" t="s">
        <v>3609</v>
      </c>
    </row>
    <row r="3104" spans="1:6" x14ac:dyDescent="0.15">
      <c r="A3104">
        <v>8413189</v>
      </c>
      <c r="B3104">
        <v>8413068</v>
      </c>
      <c r="C3104" t="s">
        <v>8</v>
      </c>
      <c r="D3104" t="s">
        <v>8</v>
      </c>
      <c r="E3104" s="4" t="str">
        <f>HYPERLINK("https://ibp.a2mac1.com/costing(costing:projects/details/9760/assembly/8413189)","Covers")</f>
        <v>Covers</v>
      </c>
      <c r="F3104" t="s">
        <v>3608</v>
      </c>
    </row>
    <row r="3105" spans="1:6" x14ac:dyDescent="0.15">
      <c r="A3105">
        <v>8413283</v>
      </c>
      <c r="B3105">
        <v>8413189</v>
      </c>
      <c r="C3105" t="s">
        <v>10</v>
      </c>
      <c r="D3105" t="s">
        <v>8</v>
      </c>
      <c r="E3105" s="4" t="str">
        <f>HYPERLINK("https://ibp.a2mac1.com/costing(costing:projects/details/9760/part/8413283)","PCB Cover 1")</f>
        <v>PCB Cover 1</v>
      </c>
      <c r="F3105" t="s">
        <v>3614</v>
      </c>
    </row>
    <row r="3106" spans="1:6" x14ac:dyDescent="0.15">
      <c r="A3106">
        <v>8413190</v>
      </c>
      <c r="B3106">
        <v>8413068</v>
      </c>
      <c r="C3106" t="s">
        <v>8</v>
      </c>
      <c r="D3106" t="s">
        <v>8</v>
      </c>
      <c r="E3106" s="4" t="str">
        <f>HYPERLINK("https://ibp.a2mac1.com/costing(costing:projects/details/9760/assembly/8413190)","Housing Parts")</f>
        <v>Housing Parts</v>
      </c>
      <c r="F3106" t="s">
        <v>3608</v>
      </c>
    </row>
    <row r="3107" spans="1:6" x14ac:dyDescent="0.15">
      <c r="A3107">
        <v>8413284</v>
      </c>
      <c r="B3107">
        <v>8413190</v>
      </c>
      <c r="C3107" t="s">
        <v>10</v>
      </c>
      <c r="D3107" t="s">
        <v>8</v>
      </c>
      <c r="E3107" s="4" t="str">
        <f>HYPERLINK("https://ibp.a2mac1.com/costing(costing:projects/details/9760/part/8413284)","Top Lid")</f>
        <v>Top Lid</v>
      </c>
      <c r="F3107" t="s">
        <v>3617</v>
      </c>
    </row>
    <row r="3108" spans="1:6" x14ac:dyDescent="0.15">
      <c r="A3108">
        <v>8413191</v>
      </c>
      <c r="B3108">
        <v>8413068</v>
      </c>
      <c r="C3108" t="s">
        <v>8</v>
      </c>
      <c r="D3108" t="s">
        <v>8</v>
      </c>
      <c r="E3108" s="4" t="str">
        <f>HYPERLINK("https://ibp.a2mac1.com/costing(costing:projects/details/9760/assembly/8413191)","Seals")</f>
        <v>Seals</v>
      </c>
      <c r="F3108" t="s">
        <v>3608</v>
      </c>
    </row>
    <row r="3109" spans="1:6" x14ac:dyDescent="0.15">
      <c r="A3109">
        <v>8413285</v>
      </c>
      <c r="B3109">
        <v>8413191</v>
      </c>
      <c r="C3109" t="s">
        <v>10</v>
      </c>
      <c r="D3109" t="s">
        <v>8</v>
      </c>
      <c r="E3109" s="4" t="str">
        <f>HYPERLINK("https://ibp.a2mac1.com/costing(costing:projects/details/9760/part/8413285)","Seal 1")</f>
        <v>Seal 1</v>
      </c>
      <c r="F3109" t="s">
        <v>3621</v>
      </c>
    </row>
    <row r="3110" spans="1:6" x14ac:dyDescent="0.15">
      <c r="A3110">
        <v>8413286</v>
      </c>
      <c r="B3110">
        <v>8413191</v>
      </c>
      <c r="C3110" t="s">
        <v>10</v>
      </c>
      <c r="D3110" t="s">
        <v>8</v>
      </c>
      <c r="E3110" s="4" t="str">
        <f>HYPERLINK("https://ibp.a2mac1.com/costing(costing:projects/details/9760/part/8413286)","Seal 2")</f>
        <v>Seal 2</v>
      </c>
      <c r="F3110" t="s">
        <v>3621</v>
      </c>
    </row>
    <row r="3111" spans="1:6" x14ac:dyDescent="0.15">
      <c r="A3111">
        <v>12084062</v>
      </c>
      <c r="B3111">
        <v>8412939</v>
      </c>
      <c r="C3111" t="s">
        <v>114</v>
      </c>
      <c r="D3111" t="s">
        <v>8</v>
      </c>
      <c r="E3111" s="4" t="str">
        <f>HYPERLINK("https://ibp.a2mac1.com/costing(costing:projects/details/9760/process/12084062)","Final Assembly")</f>
        <v>Final Assembly</v>
      </c>
      <c r="F3111" t="s">
        <v>3569</v>
      </c>
    </row>
    <row r="3112" spans="1:6" x14ac:dyDescent="0.15">
      <c r="A3112">
        <v>12211149</v>
      </c>
      <c r="B3112">
        <v>12084062</v>
      </c>
      <c r="C3112" t="s">
        <v>163</v>
      </c>
      <c r="D3112" t="s">
        <v>114</v>
      </c>
      <c r="E3112" s="4" t="str">
        <f>HYPERLINK("https://ibp.a2mac1.com/costing(costing:projects/details/9760/equipment/12211149)","General production process (&gt;10€)")</f>
        <v>General production process (&gt;10€)</v>
      </c>
      <c r="F3112" t="s">
        <v>3627</v>
      </c>
    </row>
    <row r="3113" spans="1:6" x14ac:dyDescent="0.15">
      <c r="A3113">
        <v>8412934</v>
      </c>
      <c r="B3113">
        <v>8412872</v>
      </c>
      <c r="C3113" t="s">
        <v>10</v>
      </c>
      <c r="D3113" t="s">
        <v>8</v>
      </c>
      <c r="E3113" s="4" t="str">
        <f>HYPERLINK("https://ibp.a2mac1.com/costing(costing:projects/details/9760/part/8412934)","Ground Cable")</f>
        <v>Ground Cable</v>
      </c>
      <c r="F3113" t="s">
        <v>3476</v>
      </c>
    </row>
    <row r="3114" spans="1:6" x14ac:dyDescent="0.15">
      <c r="A3114">
        <v>8412935</v>
      </c>
      <c r="B3114">
        <v>8412872</v>
      </c>
      <c r="C3114" t="s">
        <v>10</v>
      </c>
      <c r="D3114" t="s">
        <v>8</v>
      </c>
      <c r="E3114" s="4" t="str">
        <f>HYPERLINK("https://ibp.a2mac1.com/costing(costing:projects/details/9760/part/8412935)","Ground Cable 2")</f>
        <v>Ground Cable 2</v>
      </c>
      <c r="F3114" t="s">
        <v>3476</v>
      </c>
    </row>
    <row r="3115" spans="1:6" x14ac:dyDescent="0.15">
      <c r="A3115">
        <v>8412936</v>
      </c>
      <c r="B3115">
        <v>8412872</v>
      </c>
      <c r="C3115" t="s">
        <v>10</v>
      </c>
      <c r="D3115" t="s">
        <v>8</v>
      </c>
      <c r="E3115" s="4" t="str">
        <f>HYPERLINK("https://ibp.a2mac1.com/costing(costing:projects/details/9760/part/8412936)","Water Input")</f>
        <v>Water Input</v>
      </c>
      <c r="F3115" t="s">
        <v>3476</v>
      </c>
    </row>
    <row r="3116" spans="1:6" x14ac:dyDescent="0.15">
      <c r="A3116">
        <v>8412937</v>
      </c>
      <c r="B3116">
        <v>8412872</v>
      </c>
      <c r="C3116" t="s">
        <v>10</v>
      </c>
      <c r="D3116" t="s">
        <v>8</v>
      </c>
      <c r="E3116" s="4" t="str">
        <f>HYPERLINK("https://ibp.a2mac1.com/costing(costing:projects/details/9760/part/8412937)","Water Input 2nd Power Inverter Module/Converter")</f>
        <v>Water Input 2nd Power Inverter Module/Converter</v>
      </c>
      <c r="F3116" t="s">
        <v>3476</v>
      </c>
    </row>
    <row r="3117" spans="1:6" x14ac:dyDescent="0.15">
      <c r="A3117">
        <v>8412873</v>
      </c>
      <c r="B3117">
        <v>8412864</v>
      </c>
      <c r="C3117" t="s">
        <v>8</v>
      </c>
      <c r="D3117" t="s">
        <v>8</v>
      </c>
      <c r="E3117" s="4" t="str">
        <f>HYPERLINK("https://ibp.a2mac1.com/costing(costing:projects/details/9760/assembly/8412873)","DC-DC converter/Junction Box system")</f>
        <v>DC-DC converter/Junction Box system</v>
      </c>
      <c r="F3117" t="s">
        <v>2734</v>
      </c>
    </row>
    <row r="3118" spans="1:6" x14ac:dyDescent="0.15">
      <c r="A3118">
        <v>8412940</v>
      </c>
      <c r="B3118">
        <v>8412873</v>
      </c>
      <c r="C3118" t="s">
        <v>8</v>
      </c>
      <c r="D3118" t="s">
        <v>8</v>
      </c>
      <c r="E3118" s="4" t="str">
        <f>HYPERLINK("https://ibp.a2mac1.com/costing(costing:projects/details/9760/assembly/8412940)","High Voltage Booster")</f>
        <v>High Voltage Booster</v>
      </c>
      <c r="F3118" t="s">
        <v>3635</v>
      </c>
    </row>
    <row r="3119" spans="1:6" x14ac:dyDescent="0.15">
      <c r="A3119">
        <v>8413069</v>
      </c>
      <c r="B3119">
        <v>8412940</v>
      </c>
      <c r="C3119" t="s">
        <v>8</v>
      </c>
      <c r="D3119" t="s">
        <v>8</v>
      </c>
      <c r="E3119" s="4" t="str">
        <f>HYPERLINK("https://ibp.a2mac1.com/costing(costing:projects/details/9760/assembly/8413069)","Connectors &amp; Wire Harnesses")</f>
        <v>Connectors &amp; Wire Harnesses</v>
      </c>
      <c r="F3119" t="s">
        <v>3636</v>
      </c>
    </row>
    <row r="3120" spans="1:6" x14ac:dyDescent="0.15">
      <c r="A3120">
        <v>8413192</v>
      </c>
      <c r="B3120">
        <v>8413069</v>
      </c>
      <c r="C3120" t="s">
        <v>8</v>
      </c>
      <c r="D3120" t="s">
        <v>8</v>
      </c>
      <c r="E3120" s="4" t="str">
        <f>HYPERLINK("https://ibp.a2mac1.com/costing(costing:projects/details/9760/assembly/8413192)","Busbars")</f>
        <v>Busbars</v>
      </c>
      <c r="F3120" t="s">
        <v>3637</v>
      </c>
    </row>
    <row r="3121" spans="1:6" x14ac:dyDescent="0.15">
      <c r="A3121">
        <v>8413287</v>
      </c>
      <c r="B3121">
        <v>8413192</v>
      </c>
      <c r="C3121" t="s">
        <v>10</v>
      </c>
      <c r="D3121" t="s">
        <v>8</v>
      </c>
      <c r="E3121" s="4" t="str">
        <f>HYPERLINK("https://ibp.a2mac1.com/costing(costing:projects/details/9760/part/8413287)","Busbar 1")</f>
        <v>Busbar 1</v>
      </c>
      <c r="F3121" t="s">
        <v>3638</v>
      </c>
    </row>
    <row r="3122" spans="1:6" x14ac:dyDescent="0.15">
      <c r="A3122">
        <v>8413288</v>
      </c>
      <c r="B3122">
        <v>8413192</v>
      </c>
      <c r="C3122" t="s">
        <v>10</v>
      </c>
      <c r="D3122" t="s">
        <v>8</v>
      </c>
      <c r="E3122" s="4" t="str">
        <f>HYPERLINK("https://ibp.a2mac1.com/costing(costing:projects/details/9760/part/8413288)","Busbar 2")</f>
        <v>Busbar 2</v>
      </c>
      <c r="F3122" t="s">
        <v>3638</v>
      </c>
    </row>
    <row r="3123" spans="1:6" x14ac:dyDescent="0.15">
      <c r="A3123">
        <v>8413289</v>
      </c>
      <c r="B3123">
        <v>8413192</v>
      </c>
      <c r="C3123" t="s">
        <v>10</v>
      </c>
      <c r="D3123" t="s">
        <v>8</v>
      </c>
      <c r="E3123" s="4" t="str">
        <f>HYPERLINK("https://ibp.a2mac1.com/costing(costing:projects/details/9760/part/8413289)","Busbar 3")</f>
        <v>Busbar 3</v>
      </c>
      <c r="F3123" t="s">
        <v>3638</v>
      </c>
    </row>
    <row r="3124" spans="1:6" x14ac:dyDescent="0.15">
      <c r="A3124">
        <v>8413290</v>
      </c>
      <c r="B3124">
        <v>8413192</v>
      </c>
      <c r="C3124" t="s">
        <v>10</v>
      </c>
      <c r="D3124" t="s">
        <v>8</v>
      </c>
      <c r="E3124" s="4" t="str">
        <f>HYPERLINK("https://ibp.a2mac1.com/costing(costing:projects/details/9760/part/8413290)","Busbar 4")</f>
        <v>Busbar 4</v>
      </c>
      <c r="F3124" t="s">
        <v>3638</v>
      </c>
    </row>
    <row r="3125" spans="1:6" x14ac:dyDescent="0.15">
      <c r="A3125">
        <v>8413291</v>
      </c>
      <c r="B3125">
        <v>8413192</v>
      </c>
      <c r="C3125" t="s">
        <v>10</v>
      </c>
      <c r="D3125" t="s">
        <v>8</v>
      </c>
      <c r="E3125" s="4" t="str">
        <f>HYPERLINK("https://ibp.a2mac1.com/costing(costing:projects/details/9760/part/8413291)","Busbar 5")</f>
        <v>Busbar 5</v>
      </c>
      <c r="F3125" t="s">
        <v>3638</v>
      </c>
    </row>
    <row r="3126" spans="1:6" x14ac:dyDescent="0.15">
      <c r="A3126">
        <v>8413292</v>
      </c>
      <c r="B3126">
        <v>8413192</v>
      </c>
      <c r="C3126" t="s">
        <v>10</v>
      </c>
      <c r="D3126" t="s">
        <v>8</v>
      </c>
      <c r="E3126" s="4" t="str">
        <f>HYPERLINK("https://ibp.a2mac1.com/costing(costing:projects/details/9760/part/8413292)","Busbar 6")</f>
        <v>Busbar 6</v>
      </c>
      <c r="F3126" t="s">
        <v>3638</v>
      </c>
    </row>
    <row r="3127" spans="1:6" x14ac:dyDescent="0.15">
      <c r="A3127">
        <v>8413293</v>
      </c>
      <c r="B3127">
        <v>8413192</v>
      </c>
      <c r="C3127" t="s">
        <v>10</v>
      </c>
      <c r="D3127" t="s">
        <v>8</v>
      </c>
      <c r="E3127" s="4" t="str">
        <f>HYPERLINK("https://ibp.a2mac1.com/costing(costing:projects/details/9760/part/8413293)","Busbar 7")</f>
        <v>Busbar 7</v>
      </c>
      <c r="F3127" t="s">
        <v>3638</v>
      </c>
    </row>
    <row r="3128" spans="1:6" x14ac:dyDescent="0.15">
      <c r="A3128">
        <v>8413294</v>
      </c>
      <c r="B3128">
        <v>8413192</v>
      </c>
      <c r="C3128" t="s">
        <v>10</v>
      </c>
      <c r="D3128" t="s">
        <v>8</v>
      </c>
      <c r="E3128" s="4" t="str">
        <f>HYPERLINK("https://ibp.a2mac1.com/costing(costing:projects/details/9760/part/8413294)","Busbar 8")</f>
        <v>Busbar 8</v>
      </c>
      <c r="F3128" t="s">
        <v>3638</v>
      </c>
    </row>
    <row r="3129" spans="1:6" x14ac:dyDescent="0.15">
      <c r="A3129">
        <v>8413295</v>
      </c>
      <c r="B3129">
        <v>8413192</v>
      </c>
      <c r="C3129" t="s">
        <v>10</v>
      </c>
      <c r="D3129" t="s">
        <v>8</v>
      </c>
      <c r="E3129" s="4" t="str">
        <f>HYPERLINK("https://ibp.a2mac1.com/costing(costing:projects/details/9760/part/8413295)","Busbar 9")</f>
        <v>Busbar 9</v>
      </c>
      <c r="F3129" t="s">
        <v>3638</v>
      </c>
    </row>
    <row r="3130" spans="1:6" x14ac:dyDescent="0.15">
      <c r="A3130">
        <v>8413296</v>
      </c>
      <c r="B3130">
        <v>8413192</v>
      </c>
      <c r="C3130" t="s">
        <v>10</v>
      </c>
      <c r="D3130" t="s">
        <v>8</v>
      </c>
      <c r="E3130" s="4" t="str">
        <f>HYPERLINK("https://ibp.a2mac1.com/costing(costing:projects/details/9760/part/8413296)","Busbar 10")</f>
        <v>Busbar 10</v>
      </c>
      <c r="F3130" t="s">
        <v>3638</v>
      </c>
    </row>
    <row r="3131" spans="1:6" x14ac:dyDescent="0.15">
      <c r="A3131">
        <v>8413297</v>
      </c>
      <c r="B3131">
        <v>8413192</v>
      </c>
      <c r="C3131" t="s">
        <v>10</v>
      </c>
      <c r="D3131" t="s">
        <v>8</v>
      </c>
      <c r="E3131" s="4" t="str">
        <f>HYPERLINK("https://ibp.a2mac1.com/costing(costing:projects/details/9760/part/8413297)","Busbar 11")</f>
        <v>Busbar 11</v>
      </c>
      <c r="F3131" t="s">
        <v>3638</v>
      </c>
    </row>
    <row r="3132" spans="1:6" x14ac:dyDescent="0.15">
      <c r="A3132">
        <v>8413298</v>
      </c>
      <c r="B3132">
        <v>8413192</v>
      </c>
      <c r="C3132" t="s">
        <v>10</v>
      </c>
      <c r="D3132" t="s">
        <v>8</v>
      </c>
      <c r="E3132" s="4" t="str">
        <f>HYPERLINK("https://ibp.a2mac1.com/costing(costing:projects/details/9760/part/8413298)","Busbar 12")</f>
        <v>Busbar 12</v>
      </c>
      <c r="F3132" t="s">
        <v>3638</v>
      </c>
    </row>
    <row r="3133" spans="1:6" x14ac:dyDescent="0.15">
      <c r="A3133">
        <v>8413299</v>
      </c>
      <c r="B3133">
        <v>8413192</v>
      </c>
      <c r="C3133" t="s">
        <v>10</v>
      </c>
      <c r="D3133" t="s">
        <v>8</v>
      </c>
      <c r="E3133" s="4" t="str">
        <f>HYPERLINK("https://ibp.a2mac1.com/costing(costing:projects/details/9760/part/8413299)","Busbar 13")</f>
        <v>Busbar 13</v>
      </c>
      <c r="F3133" t="s">
        <v>3638</v>
      </c>
    </row>
    <row r="3134" spans="1:6" x14ac:dyDescent="0.15">
      <c r="A3134">
        <v>8413300</v>
      </c>
      <c r="B3134">
        <v>8413192</v>
      </c>
      <c r="C3134" t="s">
        <v>10</v>
      </c>
      <c r="D3134" t="s">
        <v>8</v>
      </c>
      <c r="E3134" s="4" t="str">
        <f>HYPERLINK("https://ibp.a2mac1.com/costing(costing:projects/details/9760/part/8413300)","Busbar 14")</f>
        <v>Busbar 14</v>
      </c>
      <c r="F3134" t="s">
        <v>3638</v>
      </c>
    </row>
    <row r="3135" spans="1:6" x14ac:dyDescent="0.15">
      <c r="A3135">
        <v>8413301</v>
      </c>
      <c r="B3135">
        <v>8413192</v>
      </c>
      <c r="C3135" t="s">
        <v>10</v>
      </c>
      <c r="D3135" t="s">
        <v>8</v>
      </c>
      <c r="E3135" s="4" t="str">
        <f>HYPERLINK("https://ibp.a2mac1.com/costing(costing:projects/details/9760/part/8413301)","Busbar 15")</f>
        <v>Busbar 15</v>
      </c>
      <c r="F3135" t="s">
        <v>3638</v>
      </c>
    </row>
    <row r="3136" spans="1:6" x14ac:dyDescent="0.15">
      <c r="A3136">
        <v>8413302</v>
      </c>
      <c r="B3136">
        <v>8413192</v>
      </c>
      <c r="C3136" t="s">
        <v>10</v>
      </c>
      <c r="D3136" t="s">
        <v>8</v>
      </c>
      <c r="E3136" s="4" t="str">
        <f>HYPERLINK("https://ibp.a2mac1.com/costing(costing:projects/details/9760/part/8413302)","Busbar 16")</f>
        <v>Busbar 16</v>
      </c>
      <c r="F3136" t="s">
        <v>3638</v>
      </c>
    </row>
    <row r="3137" spans="1:6" x14ac:dyDescent="0.15">
      <c r="A3137">
        <v>8413303</v>
      </c>
      <c r="B3137">
        <v>8413192</v>
      </c>
      <c r="C3137" t="s">
        <v>10</v>
      </c>
      <c r="D3137" t="s">
        <v>8</v>
      </c>
      <c r="E3137" s="4" t="str">
        <f>HYPERLINK("https://ibp.a2mac1.com/costing(costing:projects/details/9760/part/8413303)","Busbar 17")</f>
        <v>Busbar 17</v>
      </c>
      <c r="F3137" t="s">
        <v>3638</v>
      </c>
    </row>
    <row r="3138" spans="1:6" x14ac:dyDescent="0.15">
      <c r="A3138">
        <v>8413304</v>
      </c>
      <c r="B3138">
        <v>8413192</v>
      </c>
      <c r="C3138" t="s">
        <v>10</v>
      </c>
      <c r="D3138" t="s">
        <v>8</v>
      </c>
      <c r="E3138" s="4" t="str">
        <f>HYPERLINK("https://ibp.a2mac1.com/costing(costing:projects/details/9760/part/8413304)","Busbar 18")</f>
        <v>Busbar 18</v>
      </c>
      <c r="F3138" t="s">
        <v>3638</v>
      </c>
    </row>
    <row r="3139" spans="1:6" x14ac:dyDescent="0.15">
      <c r="A3139">
        <v>8413305</v>
      </c>
      <c r="B3139">
        <v>8413192</v>
      </c>
      <c r="C3139" t="s">
        <v>10</v>
      </c>
      <c r="D3139" t="s">
        <v>8</v>
      </c>
      <c r="E3139" s="4" t="str">
        <f>HYPERLINK("https://ibp.a2mac1.com/costing(costing:projects/details/9760/part/8413305)","Busbar 19")</f>
        <v>Busbar 19</v>
      </c>
      <c r="F3139" t="s">
        <v>3638</v>
      </c>
    </row>
    <row r="3140" spans="1:6" x14ac:dyDescent="0.15">
      <c r="A3140">
        <v>8413306</v>
      </c>
      <c r="B3140">
        <v>8413192</v>
      </c>
      <c r="C3140" t="s">
        <v>10</v>
      </c>
      <c r="D3140" t="s">
        <v>8</v>
      </c>
      <c r="E3140" s="4" t="str">
        <f>HYPERLINK("https://ibp.a2mac1.com/costing(costing:projects/details/9760/part/8413306)","Busbar 20")</f>
        <v>Busbar 20</v>
      </c>
      <c r="F3140" t="s">
        <v>3638</v>
      </c>
    </row>
    <row r="3141" spans="1:6" x14ac:dyDescent="0.15">
      <c r="A3141">
        <v>8413193</v>
      </c>
      <c r="B3141">
        <v>8413069</v>
      </c>
      <c r="C3141" t="s">
        <v>8</v>
      </c>
      <c r="D3141" t="s">
        <v>8</v>
      </c>
      <c r="E3141" s="4" t="str">
        <f>HYPERLINK("https://ibp.a2mac1.com/costing(costing:projects/details/9760/assembly/8413193)","Connectors")</f>
        <v>Connectors</v>
      </c>
      <c r="F3141" t="s">
        <v>3637</v>
      </c>
    </row>
    <row r="3142" spans="1:6" x14ac:dyDescent="0.15">
      <c r="A3142">
        <v>8413307</v>
      </c>
      <c r="B3142">
        <v>8413193</v>
      </c>
      <c r="C3142" t="s">
        <v>8</v>
      </c>
      <c r="D3142" t="s">
        <v>8</v>
      </c>
      <c r="E3142" s="4" t="str">
        <f>HYPERLINK("https://ibp.a2mac1.com/costing(costing:projects/details/9760/assembly/8413307)","HV Connectors")</f>
        <v>HV Connectors</v>
      </c>
      <c r="F3142" t="s">
        <v>3639</v>
      </c>
    </row>
    <row r="3143" spans="1:6" x14ac:dyDescent="0.15">
      <c r="A3143">
        <v>8413485</v>
      </c>
      <c r="B3143">
        <v>8413307</v>
      </c>
      <c r="C3143" t="s">
        <v>10</v>
      </c>
      <c r="D3143" t="s">
        <v>8</v>
      </c>
      <c r="E3143" s="4" t="str">
        <f>HYPERLINK("https://ibp.a2mac1.com/costing(costing:projects/details/9760/part/8413485)","HV Connector 1")</f>
        <v>HV Connector 1</v>
      </c>
      <c r="F3143" t="s">
        <v>3640</v>
      </c>
    </row>
    <row r="3144" spans="1:6" x14ac:dyDescent="0.15">
      <c r="A3144">
        <v>8413486</v>
      </c>
      <c r="B3144">
        <v>8413307</v>
      </c>
      <c r="C3144" t="s">
        <v>10</v>
      </c>
      <c r="D3144" t="s">
        <v>8</v>
      </c>
      <c r="E3144" s="4" t="str">
        <f>HYPERLINK("https://ibp.a2mac1.com/costing(costing:projects/details/9760/part/8413486)","HV Connector 2")</f>
        <v>HV Connector 2</v>
      </c>
      <c r="F3144" t="s">
        <v>3640</v>
      </c>
    </row>
    <row r="3145" spans="1:6" x14ac:dyDescent="0.15">
      <c r="A3145">
        <v>8413487</v>
      </c>
      <c r="B3145">
        <v>8413307</v>
      </c>
      <c r="C3145" t="s">
        <v>10</v>
      </c>
      <c r="D3145" t="s">
        <v>8</v>
      </c>
      <c r="E3145" s="4" t="str">
        <f>HYPERLINK("https://ibp.a2mac1.com/costing(costing:projects/details/9760/part/8413487)","HV Connector 3")</f>
        <v>HV Connector 3</v>
      </c>
      <c r="F3145" t="s">
        <v>3640</v>
      </c>
    </row>
    <row r="3146" spans="1:6" x14ac:dyDescent="0.15">
      <c r="A3146">
        <v>8413194</v>
      </c>
      <c r="B3146">
        <v>8413069</v>
      </c>
      <c r="C3146" t="s">
        <v>8</v>
      </c>
      <c r="D3146" t="s">
        <v>8</v>
      </c>
      <c r="E3146" s="4" t="str">
        <f>HYPERLINK("https://ibp.a2mac1.com/costing(costing:projects/details/9760/assembly/8413194)","Wire Harnesses")</f>
        <v>Wire Harnesses</v>
      </c>
      <c r="F3146" t="s">
        <v>3637</v>
      </c>
    </row>
    <row r="3147" spans="1:6" x14ac:dyDescent="0.15">
      <c r="A3147">
        <v>8413308</v>
      </c>
      <c r="B3147">
        <v>8413194</v>
      </c>
      <c r="C3147" t="s">
        <v>10</v>
      </c>
      <c r="D3147" t="s">
        <v>8</v>
      </c>
      <c r="E3147" s="4" t="str">
        <f>HYPERLINK("https://ibp.a2mac1.com/costing(costing:projects/details/9760/part/8413308)","Wire Harness 1")</f>
        <v>Wire Harness 1</v>
      </c>
      <c r="F3147" t="s">
        <v>3641</v>
      </c>
    </row>
    <row r="3148" spans="1:6" x14ac:dyDescent="0.15">
      <c r="A3148">
        <v>8413309</v>
      </c>
      <c r="B3148">
        <v>8413194</v>
      </c>
      <c r="C3148" t="s">
        <v>10</v>
      </c>
      <c r="D3148" t="s">
        <v>8</v>
      </c>
      <c r="E3148" s="4" t="str">
        <f>HYPERLINK("https://ibp.a2mac1.com/costing(costing:projects/details/9760/part/8413309)","Wire Harness 2")</f>
        <v>Wire Harness 2</v>
      </c>
      <c r="F3148" t="s">
        <v>3641</v>
      </c>
    </row>
    <row r="3149" spans="1:6" x14ac:dyDescent="0.15">
      <c r="A3149">
        <v>8413070</v>
      </c>
      <c r="B3149">
        <v>8412940</v>
      </c>
      <c r="C3149" t="s">
        <v>8</v>
      </c>
      <c r="D3149" t="s">
        <v>8</v>
      </c>
      <c r="E3149" s="4" t="str">
        <f>HYPERLINK("https://ibp.a2mac1.com/costing(costing:projects/details/9760/assembly/8413070)","Electrical Parts")</f>
        <v>Electrical Parts</v>
      </c>
      <c r="F3149" t="s">
        <v>3636</v>
      </c>
    </row>
    <row r="3150" spans="1:6" x14ac:dyDescent="0.15">
      <c r="A3150">
        <v>8413195</v>
      </c>
      <c r="B3150">
        <v>8413070</v>
      </c>
      <c r="C3150" t="s">
        <v>8</v>
      </c>
      <c r="D3150" t="s">
        <v>8</v>
      </c>
      <c r="E3150" s="4" t="str">
        <f>HYPERLINK("https://ibp.a2mac1.com/costing(costing:projects/details/9760/assembly/8413195)","Ferrites &amp; Cores")</f>
        <v>Ferrites &amp; Cores</v>
      </c>
      <c r="F3150" t="s">
        <v>3642</v>
      </c>
    </row>
    <row r="3151" spans="1:6" x14ac:dyDescent="0.15">
      <c r="A3151">
        <v>8413310</v>
      </c>
      <c r="B3151">
        <v>8413195</v>
      </c>
      <c r="C3151" t="s">
        <v>10</v>
      </c>
      <c r="D3151" t="s">
        <v>8</v>
      </c>
      <c r="E3151" s="4" t="str">
        <f>HYPERLINK("https://ibp.a2mac1.com/costing(costing:projects/details/9760/part/8413310)","Ferrite 1")</f>
        <v>Ferrite 1</v>
      </c>
      <c r="F3151" t="s">
        <v>3643</v>
      </c>
    </row>
    <row r="3152" spans="1:6" x14ac:dyDescent="0.15">
      <c r="A3152">
        <v>8413196</v>
      </c>
      <c r="B3152">
        <v>8413070</v>
      </c>
      <c r="C3152" t="s">
        <v>8</v>
      </c>
      <c r="D3152" t="s">
        <v>8</v>
      </c>
      <c r="E3152" s="4" t="str">
        <f>HYPERLINK("https://ibp.a2mac1.com/costing(costing:projects/details/9760/assembly/8413196)","Inductors")</f>
        <v>Inductors</v>
      </c>
      <c r="F3152" t="s">
        <v>3642</v>
      </c>
    </row>
    <row r="3153" spans="1:6" x14ac:dyDescent="0.15">
      <c r="A3153">
        <v>8413311</v>
      </c>
      <c r="B3153">
        <v>8413196</v>
      </c>
      <c r="C3153" t="s">
        <v>10</v>
      </c>
      <c r="D3153" t="s">
        <v>8</v>
      </c>
      <c r="E3153" s="4" t="str">
        <f>HYPERLINK("https://ibp.a2mac1.com/costing(costing:projects/details/9760/part/8413311)","Inductor 1")</f>
        <v>Inductor 1</v>
      </c>
      <c r="F3153" t="s">
        <v>3645</v>
      </c>
    </row>
    <row r="3154" spans="1:6" x14ac:dyDescent="0.15">
      <c r="A3154">
        <v>8413197</v>
      </c>
      <c r="B3154">
        <v>8413070</v>
      </c>
      <c r="C3154" t="s">
        <v>8</v>
      </c>
      <c r="D3154" t="s">
        <v>8</v>
      </c>
      <c r="E3154" s="4" t="str">
        <f>HYPERLINK("https://ibp.a2mac1.com/costing(costing:projects/details/9760/assembly/8413197)","Relays")</f>
        <v>Relays</v>
      </c>
      <c r="F3154" t="s">
        <v>3642</v>
      </c>
    </row>
    <row r="3155" spans="1:6" x14ac:dyDescent="0.15">
      <c r="A3155">
        <v>8413312</v>
      </c>
      <c r="B3155">
        <v>8413197</v>
      </c>
      <c r="C3155" t="s">
        <v>10</v>
      </c>
      <c r="D3155" t="s">
        <v>8</v>
      </c>
      <c r="E3155" s="4" t="str">
        <f>HYPERLINK("https://ibp.a2mac1.com/costing(costing:projects/details/9760/part/8413312)","Relay 1")</f>
        <v>Relay 1</v>
      </c>
      <c r="F3155" t="s">
        <v>3646</v>
      </c>
    </row>
    <row r="3156" spans="1:6" x14ac:dyDescent="0.15">
      <c r="A3156">
        <v>8413313</v>
      </c>
      <c r="B3156">
        <v>8413197</v>
      </c>
      <c r="C3156" t="s">
        <v>10</v>
      </c>
      <c r="D3156" t="s">
        <v>8</v>
      </c>
      <c r="E3156" s="4" t="str">
        <f>HYPERLINK("https://ibp.a2mac1.com/costing(costing:projects/details/9760/part/8413313)","Negative Relay")</f>
        <v>Negative Relay</v>
      </c>
      <c r="F3156" t="s">
        <v>3646</v>
      </c>
    </row>
    <row r="3157" spans="1:6" x14ac:dyDescent="0.15">
      <c r="A3157">
        <v>8413314</v>
      </c>
      <c r="B3157">
        <v>8413197</v>
      </c>
      <c r="C3157" t="s">
        <v>10</v>
      </c>
      <c r="D3157" t="s">
        <v>8</v>
      </c>
      <c r="E3157" s="4" t="str">
        <f>HYPERLINK("https://ibp.a2mac1.com/costing(costing:projects/details/9760/part/8413314)","Positive Relay")</f>
        <v>Positive Relay</v>
      </c>
      <c r="F3157" t="s">
        <v>3646</v>
      </c>
    </row>
    <row r="3158" spans="1:6" x14ac:dyDescent="0.15">
      <c r="A3158">
        <v>8413071</v>
      </c>
      <c r="B3158">
        <v>8412940</v>
      </c>
      <c r="C3158" t="s">
        <v>8</v>
      </c>
      <c r="D3158" t="s">
        <v>8</v>
      </c>
      <c r="E3158" s="4" t="str">
        <f>HYPERLINK("https://ibp.a2mac1.com/costing(costing:projects/details/9760/assembly/8413071)","Electronic Parts")</f>
        <v>Electronic Parts</v>
      </c>
      <c r="F3158" t="s">
        <v>3636</v>
      </c>
    </row>
    <row r="3159" spans="1:6" x14ac:dyDescent="0.15">
      <c r="A3159">
        <v>8413198</v>
      </c>
      <c r="B3159">
        <v>8413071</v>
      </c>
      <c r="C3159" t="s">
        <v>10</v>
      </c>
      <c r="D3159" t="s">
        <v>8</v>
      </c>
      <c r="E3159" s="4" t="str">
        <f>HYPERLINK("https://ibp.a2mac1.com/costing(costing:projects/details/9760/part/8413198)","PCB 1")</f>
        <v>PCB 1</v>
      </c>
      <c r="F3159" t="s">
        <v>3647</v>
      </c>
    </row>
    <row r="3160" spans="1:6" x14ac:dyDescent="0.15">
      <c r="A3160">
        <v>8413199</v>
      </c>
      <c r="B3160">
        <v>8413071</v>
      </c>
      <c r="C3160" t="s">
        <v>10</v>
      </c>
      <c r="D3160" t="s">
        <v>8</v>
      </c>
      <c r="E3160" s="4" t="str">
        <f>HYPERLINK("https://ibp.a2mac1.com/costing(costing:projects/details/9760/part/8413199)","PCB 2")</f>
        <v>PCB 2</v>
      </c>
      <c r="F3160" t="s">
        <v>3647</v>
      </c>
    </row>
    <row r="3161" spans="1:6" x14ac:dyDescent="0.15">
      <c r="A3161">
        <v>8413072</v>
      </c>
      <c r="B3161">
        <v>8412940</v>
      </c>
      <c r="C3161" t="s">
        <v>8</v>
      </c>
      <c r="D3161" t="s">
        <v>8</v>
      </c>
      <c r="E3161" s="4" t="str">
        <f>HYPERLINK("https://ibp.a2mac1.com/costing(costing:projects/details/9760/assembly/8413072)","Mechanical Parts")</f>
        <v>Mechanical Parts</v>
      </c>
      <c r="F3161" t="s">
        <v>3636</v>
      </c>
    </row>
    <row r="3162" spans="1:6" x14ac:dyDescent="0.15">
      <c r="A3162">
        <v>8413200</v>
      </c>
      <c r="B3162">
        <v>8413072</v>
      </c>
      <c r="C3162" t="s">
        <v>8</v>
      </c>
      <c r="D3162" t="s">
        <v>8</v>
      </c>
      <c r="E3162" s="4" t="str">
        <f>HYPERLINK("https://ibp.a2mac1.com/costing(costing:projects/details/9760/assembly/8413200)","Brackets")</f>
        <v>Brackets</v>
      </c>
      <c r="F3162" t="s">
        <v>3648</v>
      </c>
    </row>
    <row r="3163" spans="1:6" x14ac:dyDescent="0.15">
      <c r="A3163">
        <v>8413315</v>
      </c>
      <c r="B3163">
        <v>8413200</v>
      </c>
      <c r="C3163" t="s">
        <v>10</v>
      </c>
      <c r="D3163" t="s">
        <v>8</v>
      </c>
      <c r="E3163" s="4" t="str">
        <f>HYPERLINK("https://ibp.a2mac1.com/costing(costing:projects/details/9760/part/8413315)","Busbar Bracket 1")</f>
        <v>Busbar Bracket 1</v>
      </c>
      <c r="F3163" t="s">
        <v>3649</v>
      </c>
    </row>
    <row r="3164" spans="1:6" x14ac:dyDescent="0.15">
      <c r="A3164">
        <v>8413316</v>
      </c>
      <c r="B3164">
        <v>8413200</v>
      </c>
      <c r="C3164" t="s">
        <v>10</v>
      </c>
      <c r="D3164" t="s">
        <v>8</v>
      </c>
      <c r="E3164" s="4" t="str">
        <f>HYPERLINK("https://ibp.a2mac1.com/costing(costing:projects/details/9760/part/8413316)","Busbar Bracket 2")</f>
        <v>Busbar Bracket 2</v>
      </c>
      <c r="F3164" t="s">
        <v>3649</v>
      </c>
    </row>
    <row r="3165" spans="1:6" x14ac:dyDescent="0.15">
      <c r="A3165">
        <v>8413317</v>
      </c>
      <c r="B3165">
        <v>8413200</v>
      </c>
      <c r="C3165" t="s">
        <v>10</v>
      </c>
      <c r="D3165" t="s">
        <v>8</v>
      </c>
      <c r="E3165" s="4" t="str">
        <f>HYPERLINK("https://ibp.a2mac1.com/costing(costing:projects/details/9760/part/8413317)","PCB Bracket 1")</f>
        <v>PCB Bracket 1</v>
      </c>
      <c r="F3165" t="s">
        <v>3649</v>
      </c>
    </row>
    <row r="3166" spans="1:6" x14ac:dyDescent="0.15">
      <c r="A3166">
        <v>8413201</v>
      </c>
      <c r="B3166">
        <v>8413072</v>
      </c>
      <c r="C3166" t="s">
        <v>8</v>
      </c>
      <c r="D3166" t="s">
        <v>8</v>
      </c>
      <c r="E3166" s="4" t="str">
        <f>HYPERLINK("https://ibp.a2mac1.com/costing(costing:projects/details/9760/assembly/8413201)","Housing Parts")</f>
        <v>Housing Parts</v>
      </c>
      <c r="F3166" t="s">
        <v>3648</v>
      </c>
    </row>
    <row r="3167" spans="1:6" x14ac:dyDescent="0.15">
      <c r="A3167">
        <v>8413318</v>
      </c>
      <c r="B3167">
        <v>8413201</v>
      </c>
      <c r="C3167" t="s">
        <v>10</v>
      </c>
      <c r="D3167" t="s">
        <v>8</v>
      </c>
      <c r="E3167" s="4" t="str">
        <f>HYPERLINK("https://ibp.a2mac1.com/costing(costing:projects/details/9760/part/8413318)","Main Housing")</f>
        <v>Main Housing</v>
      </c>
      <c r="F3167" t="s">
        <v>3651</v>
      </c>
    </row>
    <row r="3168" spans="1:6" x14ac:dyDescent="0.15">
      <c r="A3168">
        <v>12084090</v>
      </c>
      <c r="B3168">
        <v>8413318</v>
      </c>
      <c r="C3168" t="s">
        <v>114</v>
      </c>
      <c r="D3168" t="s">
        <v>10</v>
      </c>
      <c r="E3168" s="4" t="str">
        <f>HYPERLINK("https://ibp.a2mac1.com/costing(costing:projects/details/9760/process/12084090)","Process")</f>
        <v>Process</v>
      </c>
      <c r="F3168" t="s">
        <v>3652</v>
      </c>
    </row>
    <row r="3169" spans="1:6" x14ac:dyDescent="0.15">
      <c r="A3169">
        <v>8753009</v>
      </c>
      <c r="B3169">
        <v>12084090</v>
      </c>
      <c r="C3169" t="s">
        <v>22</v>
      </c>
      <c r="D3169" t="s">
        <v>114</v>
      </c>
      <c r="E3169" s="4" t="str">
        <f>HYPERLINK("https://ibp.a2mac1.com/costing(costing:projects/details/9760/material/8753009)","EN AC-46100 / EN AC-AlSi11Cu2(Fe) / AA46100 / ADC12 (Ingot)")</f>
        <v>EN AC-46100 / EN AC-AlSi11Cu2(Fe) / AA46100 / ADC12 (Ingot)</v>
      </c>
      <c r="F3169" t="s">
        <v>3655</v>
      </c>
    </row>
    <row r="3170" spans="1:6" x14ac:dyDescent="0.15">
      <c r="A3170">
        <v>12211173</v>
      </c>
      <c r="B3170">
        <v>12084090</v>
      </c>
      <c r="C3170" t="s">
        <v>163</v>
      </c>
      <c r="D3170" t="s">
        <v>114</v>
      </c>
      <c r="E3170" s="4" t="str">
        <f>HYPERLINK("https://ibp.a2mac1.com/costing(costing:projects/details/9760/equipment/12211173)","General production process (0.5-10€)")</f>
        <v>General production process (0.5-10€)</v>
      </c>
      <c r="F3170" t="s">
        <v>3655</v>
      </c>
    </row>
    <row r="3171" spans="1:6" x14ac:dyDescent="0.15">
      <c r="A3171">
        <v>8413319</v>
      </c>
      <c r="B3171">
        <v>8413201</v>
      </c>
      <c r="C3171" t="s">
        <v>10</v>
      </c>
      <c r="D3171" t="s">
        <v>8</v>
      </c>
      <c r="E3171" s="4" t="str">
        <f>HYPERLINK("https://ibp.a2mac1.com/costing(costing:projects/details/9760/part/8413319)","Top Lid")</f>
        <v>Top Lid</v>
      </c>
      <c r="F3171" t="s">
        <v>3651</v>
      </c>
    </row>
    <row r="3172" spans="1:6" x14ac:dyDescent="0.15">
      <c r="A3172">
        <v>8413320</v>
      </c>
      <c r="B3172">
        <v>8413201</v>
      </c>
      <c r="C3172" t="s">
        <v>10</v>
      </c>
      <c r="D3172" t="s">
        <v>8</v>
      </c>
      <c r="E3172" s="4" t="str">
        <f>HYPERLINK("https://ibp.a2mac1.com/costing(costing:projects/details/9760/part/8413320)","Top Cover")</f>
        <v>Top Cover</v>
      </c>
      <c r="F3172" t="s">
        <v>3651</v>
      </c>
    </row>
    <row r="3173" spans="1:6" x14ac:dyDescent="0.15">
      <c r="A3173">
        <v>8413202</v>
      </c>
      <c r="B3173">
        <v>8413072</v>
      </c>
      <c r="C3173" t="s">
        <v>8</v>
      </c>
      <c r="D3173" t="s">
        <v>8</v>
      </c>
      <c r="E3173" s="4" t="str">
        <f>HYPERLINK("https://ibp.a2mac1.com/costing(costing:projects/details/9760/assembly/8413202)","Pressure Vents")</f>
        <v>Pressure Vents</v>
      </c>
      <c r="F3173" t="s">
        <v>3648</v>
      </c>
    </row>
    <row r="3174" spans="1:6" x14ac:dyDescent="0.15">
      <c r="A3174">
        <v>8413321</v>
      </c>
      <c r="B3174">
        <v>8413202</v>
      </c>
      <c r="C3174" t="s">
        <v>10</v>
      </c>
      <c r="D3174" t="s">
        <v>8</v>
      </c>
      <c r="E3174" s="4" t="str">
        <f>HYPERLINK("https://ibp.a2mac1.com/costing(costing:projects/details/9760/part/8413321)","Pressure Vent 1")</f>
        <v>Pressure Vent 1</v>
      </c>
      <c r="F3174" t="s">
        <v>3657</v>
      </c>
    </row>
    <row r="3175" spans="1:6" x14ac:dyDescent="0.15">
      <c r="A3175">
        <v>8413203</v>
      </c>
      <c r="B3175">
        <v>8413072</v>
      </c>
      <c r="C3175" t="s">
        <v>8</v>
      </c>
      <c r="D3175" t="s">
        <v>8</v>
      </c>
      <c r="E3175" s="4" t="str">
        <f>HYPERLINK("https://ibp.a2mac1.com/costing(costing:projects/details/9760/assembly/8413203)","Seals")</f>
        <v>Seals</v>
      </c>
      <c r="F3175" t="s">
        <v>3648</v>
      </c>
    </row>
    <row r="3176" spans="1:6" x14ac:dyDescent="0.15">
      <c r="A3176">
        <v>8413322</v>
      </c>
      <c r="B3176">
        <v>8413203</v>
      </c>
      <c r="C3176" t="s">
        <v>10</v>
      </c>
      <c r="D3176" t="s">
        <v>8</v>
      </c>
      <c r="E3176" s="4" t="str">
        <f>HYPERLINK("https://ibp.a2mac1.com/costing(costing:projects/details/9760/part/8413322)","Seal 1")</f>
        <v>Seal 1</v>
      </c>
      <c r="F3176" t="s">
        <v>3658</v>
      </c>
    </row>
    <row r="3177" spans="1:6" x14ac:dyDescent="0.15">
      <c r="A3177">
        <v>8413204</v>
      </c>
      <c r="B3177">
        <v>8413072</v>
      </c>
      <c r="C3177" t="s">
        <v>8</v>
      </c>
      <c r="D3177" t="s">
        <v>8</v>
      </c>
      <c r="E3177" s="4" t="str">
        <f>HYPERLINK("https://ibp.a2mac1.com/costing(costing:projects/details/9760/assembly/8413204)","Shields")</f>
        <v>Shields</v>
      </c>
      <c r="F3177" t="s">
        <v>3648</v>
      </c>
    </row>
    <row r="3178" spans="1:6" x14ac:dyDescent="0.15">
      <c r="A3178">
        <v>8413323</v>
      </c>
      <c r="B3178">
        <v>8413204</v>
      </c>
      <c r="C3178" t="s">
        <v>10</v>
      </c>
      <c r="D3178" t="s">
        <v>8</v>
      </c>
      <c r="E3178" s="4" t="str">
        <f>HYPERLINK("https://ibp.a2mac1.com/costing(costing:projects/details/9760/part/8413323)","Shield 1")</f>
        <v>Shield 1</v>
      </c>
      <c r="F3178" t="s">
        <v>3659</v>
      </c>
    </row>
    <row r="3179" spans="1:6" x14ac:dyDescent="0.15">
      <c r="A3179">
        <v>8413324</v>
      </c>
      <c r="B3179">
        <v>8413204</v>
      </c>
      <c r="C3179" t="s">
        <v>10</v>
      </c>
      <c r="D3179" t="s">
        <v>8</v>
      </c>
      <c r="E3179" s="4" t="str">
        <f>HYPERLINK("https://ibp.a2mac1.com/costing(costing:projects/details/9760/part/8413324)","Shield 2")</f>
        <v>Shield 2</v>
      </c>
      <c r="F3179" t="s">
        <v>3659</v>
      </c>
    </row>
    <row r="3180" spans="1:6" x14ac:dyDescent="0.15">
      <c r="A3180">
        <v>8413325</v>
      </c>
      <c r="B3180">
        <v>8413204</v>
      </c>
      <c r="C3180" t="s">
        <v>10</v>
      </c>
      <c r="D3180" t="s">
        <v>8</v>
      </c>
      <c r="E3180" s="4" t="str">
        <f>HYPERLINK("https://ibp.a2mac1.com/costing(costing:projects/details/9760/part/8413325)","Shield 3")</f>
        <v>Shield 3</v>
      </c>
      <c r="F3180" t="s">
        <v>3659</v>
      </c>
    </row>
    <row r="3181" spans="1:6" x14ac:dyDescent="0.15">
      <c r="A3181">
        <v>8413205</v>
      </c>
      <c r="B3181">
        <v>8413072</v>
      </c>
      <c r="C3181" t="s">
        <v>8</v>
      </c>
      <c r="D3181" t="s">
        <v>8</v>
      </c>
      <c r="E3181" s="4" t="str">
        <f>HYPERLINK("https://ibp.a2mac1.com/costing(costing:projects/details/9760/assembly/8413205)","Thermal Paste/Gap Pads")</f>
        <v>Thermal Paste/Gap Pads</v>
      </c>
      <c r="F3181" t="s">
        <v>3648</v>
      </c>
    </row>
    <row r="3182" spans="1:6" x14ac:dyDescent="0.15">
      <c r="A3182">
        <v>8413326</v>
      </c>
      <c r="B3182">
        <v>8413205</v>
      </c>
      <c r="C3182" t="s">
        <v>10</v>
      </c>
      <c r="D3182" t="s">
        <v>8</v>
      </c>
      <c r="E3182" s="4" t="str">
        <f>HYPERLINK("https://ibp.a2mac1.com/costing(costing:projects/details/9760/part/8413326)","Thermal Paste/Gap Pad 1")</f>
        <v>Thermal Paste/Gap Pad 1</v>
      </c>
      <c r="F3182" t="s">
        <v>3661</v>
      </c>
    </row>
    <row r="3183" spans="1:6" x14ac:dyDescent="0.15">
      <c r="A3183">
        <v>12084063</v>
      </c>
      <c r="B3183">
        <v>8412940</v>
      </c>
      <c r="C3183" t="s">
        <v>114</v>
      </c>
      <c r="D3183" t="s">
        <v>8</v>
      </c>
      <c r="E3183" s="4" t="str">
        <f>HYPERLINK("https://ibp.a2mac1.com/costing(costing:projects/details/9760/process/12084063)","Final Assy")</f>
        <v>Final Assy</v>
      </c>
      <c r="F3183" t="s">
        <v>3636</v>
      </c>
    </row>
    <row r="3184" spans="1:6" x14ac:dyDescent="0.15">
      <c r="A3184">
        <v>12211150</v>
      </c>
      <c r="B3184">
        <v>12084063</v>
      </c>
      <c r="C3184" t="s">
        <v>163</v>
      </c>
      <c r="D3184" t="s">
        <v>114</v>
      </c>
      <c r="E3184" s="4" t="str">
        <f>HYPERLINK("https://ibp.a2mac1.com/costing(costing:projects/details/9760/equipment/12211150)","General production process (0.5-10€)")</f>
        <v>General production process (0.5-10€)</v>
      </c>
      <c r="F3184" t="s">
        <v>3662</v>
      </c>
    </row>
    <row r="3185" spans="1:6" x14ac:dyDescent="0.15">
      <c r="A3185">
        <v>8412941</v>
      </c>
      <c r="B3185">
        <v>8412873</v>
      </c>
      <c r="C3185" t="s">
        <v>8</v>
      </c>
      <c r="D3185" t="s">
        <v>8</v>
      </c>
      <c r="E3185" s="4" t="str">
        <f>HYPERLINK("https://ibp.a2mac1.com/costing(costing:projects/details/9760/assembly/8412941)","Cable 12v")</f>
        <v>Cable 12v</v>
      </c>
      <c r="F3185" t="s">
        <v>3635</v>
      </c>
    </row>
    <row r="3186" spans="1:6" x14ac:dyDescent="0.15">
      <c r="A3186">
        <v>8413073</v>
      </c>
      <c r="B3186">
        <v>8412941</v>
      </c>
      <c r="C3186" t="s">
        <v>10</v>
      </c>
      <c r="D3186" t="s">
        <v>8</v>
      </c>
      <c r="E3186" s="4" t="str">
        <f>HYPERLINK("https://ibp.a2mac1.com/costing(costing:projects/details/9760/part/8413073)","Connectors")</f>
        <v>Connectors</v>
      </c>
      <c r="F3186" t="s">
        <v>3664</v>
      </c>
    </row>
    <row r="3187" spans="1:6" x14ac:dyDescent="0.15">
      <c r="A3187">
        <v>8413074</v>
      </c>
      <c r="B3187">
        <v>8412941</v>
      </c>
      <c r="C3187" t="s">
        <v>10</v>
      </c>
      <c r="D3187" t="s">
        <v>8</v>
      </c>
      <c r="E3187" s="4" t="str">
        <f>HYPERLINK("https://ibp.a2mac1.com/costing(costing:projects/details/9760/part/8413074)","HV Cable")</f>
        <v>HV Cable</v>
      </c>
      <c r="F3187" t="s">
        <v>3664</v>
      </c>
    </row>
    <row r="3188" spans="1:6" x14ac:dyDescent="0.15">
      <c r="A3188">
        <v>8413075</v>
      </c>
      <c r="B3188">
        <v>8412941</v>
      </c>
      <c r="C3188" t="s">
        <v>10</v>
      </c>
      <c r="D3188" t="s">
        <v>8</v>
      </c>
      <c r="E3188" s="4" t="str">
        <f>HYPERLINK("https://ibp.a2mac1.com/costing(costing:projects/details/9760/part/8413075)","Miscellaneuos")</f>
        <v>Miscellaneuos</v>
      </c>
      <c r="F3188" t="s">
        <v>3664</v>
      </c>
    </row>
    <row r="3189" spans="1:6" x14ac:dyDescent="0.15">
      <c r="A3189">
        <v>12084064</v>
      </c>
      <c r="B3189">
        <v>8412941</v>
      </c>
      <c r="C3189" t="s">
        <v>114</v>
      </c>
      <c r="D3189" t="s">
        <v>8</v>
      </c>
      <c r="E3189" s="4" t="str">
        <f>HYPERLINK("https://ibp.a2mac1.com/costing(costing:projects/details/9760/process/12084064)","Process")</f>
        <v>Process</v>
      </c>
      <c r="F3189" t="s">
        <v>3664</v>
      </c>
    </row>
    <row r="3190" spans="1:6" x14ac:dyDescent="0.15">
      <c r="A3190">
        <v>12211151</v>
      </c>
      <c r="B3190">
        <v>12084064</v>
      </c>
      <c r="C3190" t="s">
        <v>163</v>
      </c>
      <c r="D3190" t="s">
        <v>114</v>
      </c>
      <c r="E3190" s="4" t="str">
        <f>HYPERLINK("https://ibp.a2mac1.com/costing(costing:projects/details/9760/equipment/12211151)","Machine 1")</f>
        <v>Machine 1</v>
      </c>
      <c r="F3190" t="s">
        <v>3665</v>
      </c>
    </row>
    <row r="3191" spans="1:6" x14ac:dyDescent="0.15">
      <c r="A3191">
        <v>8412874</v>
      </c>
      <c r="B3191">
        <v>8412864</v>
      </c>
      <c r="C3191" t="s">
        <v>8</v>
      </c>
      <c r="D3191" t="s">
        <v>8</v>
      </c>
      <c r="E3191" s="4" t="str">
        <f>HYPERLINK("https://ibp.a2mac1.com/costing(costing:projects/details/9760/assembly/8412874)","HV cable bracket system")</f>
        <v>HV cable bracket system</v>
      </c>
      <c r="F3191" t="s">
        <v>2734</v>
      </c>
    </row>
    <row r="3192" spans="1:6" x14ac:dyDescent="0.15">
      <c r="A3192">
        <v>8412942</v>
      </c>
      <c r="B3192">
        <v>8412874</v>
      </c>
      <c r="C3192" t="s">
        <v>10</v>
      </c>
      <c r="D3192" t="s">
        <v>8</v>
      </c>
      <c r="E3192" s="4" t="str">
        <f>HYPERLINK("https://ibp.a2mac1.com/costing(costing:projects/details/9760/part/8412942)","HV Cables Support")</f>
        <v>HV Cables Support</v>
      </c>
      <c r="F3192" t="s">
        <v>3668</v>
      </c>
    </row>
    <row r="3193" spans="1:6" x14ac:dyDescent="0.15">
      <c r="A3193">
        <v>8412943</v>
      </c>
      <c r="B3193">
        <v>8412874</v>
      </c>
      <c r="C3193" t="s">
        <v>10</v>
      </c>
      <c r="D3193" t="s">
        <v>8</v>
      </c>
      <c r="E3193" s="4" t="str">
        <f>HYPERLINK("https://ibp.a2mac1.com/costing(costing:projects/details/9760/part/8412943)","2nd HV Cables Support")</f>
        <v>2nd HV Cables Support</v>
      </c>
      <c r="F3193" t="s">
        <v>3668</v>
      </c>
    </row>
    <row r="3194" spans="1:6" x14ac:dyDescent="0.15">
      <c r="A3194">
        <v>8412944</v>
      </c>
      <c r="B3194">
        <v>8412874</v>
      </c>
      <c r="C3194" t="s">
        <v>10</v>
      </c>
      <c r="D3194" t="s">
        <v>8</v>
      </c>
      <c r="E3194" s="4" t="str">
        <f>HYPERLINK("https://ibp.a2mac1.com/costing(costing:projects/details/9760/part/8412944)","3rd HV Cables Support")</f>
        <v>3rd HV Cables Support</v>
      </c>
      <c r="F3194" t="s">
        <v>3668</v>
      </c>
    </row>
    <row r="3195" spans="1:6" x14ac:dyDescent="0.15">
      <c r="A3195">
        <v>8412945</v>
      </c>
      <c r="B3195">
        <v>8412874</v>
      </c>
      <c r="C3195" t="s">
        <v>10</v>
      </c>
      <c r="D3195" t="s">
        <v>8</v>
      </c>
      <c r="E3195" s="4" t="str">
        <f>HYPERLINK("https://ibp.a2mac1.com/costing(costing:projects/details/9760/part/8412945)","4th HV Cables Support")</f>
        <v>4th HV Cables Support</v>
      </c>
      <c r="F3195" t="s">
        <v>3668</v>
      </c>
    </row>
    <row r="3196" spans="1:6" x14ac:dyDescent="0.15">
      <c r="A3196">
        <v>8412946</v>
      </c>
      <c r="B3196">
        <v>8412874</v>
      </c>
      <c r="C3196" t="s">
        <v>10</v>
      </c>
      <c r="D3196" t="s">
        <v>8</v>
      </c>
      <c r="E3196" s="4" t="str">
        <f>HYPERLINK("https://ibp.a2mac1.com/costing(costing:projects/details/9760/part/8412946)","5th HV cable support")</f>
        <v>5th HV cable support</v>
      </c>
      <c r="F3196" t="s">
        <v>3668</v>
      </c>
    </row>
    <row r="3197" spans="1:6" x14ac:dyDescent="0.15">
      <c r="A3197">
        <v>8412947</v>
      </c>
      <c r="B3197">
        <v>8412874</v>
      </c>
      <c r="C3197" t="s">
        <v>10</v>
      </c>
      <c r="D3197" t="s">
        <v>8</v>
      </c>
      <c r="E3197" s="4" t="str">
        <f>HYPERLINK("https://ibp.a2mac1.com/costing(costing:projects/details/9760/part/8412947)","6th HV cable support")</f>
        <v>6th HV cable support</v>
      </c>
      <c r="F3197" t="s">
        <v>3668</v>
      </c>
    </row>
    <row r="3198" spans="1:6" x14ac:dyDescent="0.15">
      <c r="A3198">
        <v>8412948</v>
      </c>
      <c r="B3198">
        <v>8412874</v>
      </c>
      <c r="C3198" t="s">
        <v>10</v>
      </c>
      <c r="D3198" t="s">
        <v>8</v>
      </c>
      <c r="E3198" s="4" t="str">
        <f>HYPERLINK("https://ibp.a2mac1.com/costing(costing:projects/details/9760/part/8412948)","7th HV cable support")</f>
        <v>7th HV cable support</v>
      </c>
      <c r="F3198" t="s">
        <v>3668</v>
      </c>
    </row>
    <row r="3199" spans="1:6" x14ac:dyDescent="0.15">
      <c r="A3199">
        <v>8412949</v>
      </c>
      <c r="B3199">
        <v>8412874</v>
      </c>
      <c r="C3199" t="s">
        <v>10</v>
      </c>
      <c r="D3199" t="s">
        <v>8</v>
      </c>
      <c r="E3199" s="4" t="str">
        <f>HYPERLINK("https://ibp.a2mac1.com/costing(costing:projects/details/9760/part/8412949)","8th HV cable support")</f>
        <v>8th HV cable support</v>
      </c>
      <c r="F3199" t="s">
        <v>3668</v>
      </c>
    </row>
    <row r="3200" spans="1:6" x14ac:dyDescent="0.15">
      <c r="A3200">
        <v>8412950</v>
      </c>
      <c r="B3200">
        <v>8412874</v>
      </c>
      <c r="C3200" t="s">
        <v>10</v>
      </c>
      <c r="D3200" t="s">
        <v>8</v>
      </c>
      <c r="E3200" s="4" t="str">
        <f>HYPERLINK("https://ibp.a2mac1.com/costing(costing:projects/details/9760/part/8412950)","9th HV cable support")</f>
        <v>9th HV cable support</v>
      </c>
      <c r="F3200" t="s">
        <v>3668</v>
      </c>
    </row>
    <row r="3201" spans="1:6" x14ac:dyDescent="0.15">
      <c r="A3201">
        <v>8412951</v>
      </c>
      <c r="B3201">
        <v>8412874</v>
      </c>
      <c r="C3201" t="s">
        <v>10</v>
      </c>
      <c r="D3201" t="s">
        <v>8</v>
      </c>
      <c r="E3201" s="4" t="str">
        <f>HYPERLINK("https://ibp.a2mac1.com/costing(costing:projects/details/9760/part/8412951)","10th HV cable support")</f>
        <v>10th HV cable support</v>
      </c>
      <c r="F3201" t="s">
        <v>3668</v>
      </c>
    </row>
    <row r="3202" spans="1:6" x14ac:dyDescent="0.15">
      <c r="A3202">
        <v>8412952</v>
      </c>
      <c r="B3202">
        <v>8412874</v>
      </c>
      <c r="C3202" t="s">
        <v>10</v>
      </c>
      <c r="D3202" t="s">
        <v>8</v>
      </c>
      <c r="E3202" s="4" t="str">
        <f>HYPERLINK("https://ibp.a2mac1.com/costing(costing:projects/details/9760/part/8412952)","11th HV cable support")</f>
        <v>11th HV cable support</v>
      </c>
      <c r="F3202" t="s">
        <v>3668</v>
      </c>
    </row>
    <row r="3203" spans="1:6" x14ac:dyDescent="0.15">
      <c r="A3203">
        <v>8412953</v>
      </c>
      <c r="B3203">
        <v>8412874</v>
      </c>
      <c r="C3203" t="s">
        <v>10</v>
      </c>
      <c r="D3203" t="s">
        <v>8</v>
      </c>
      <c r="E3203" s="4" t="str">
        <f>HYPERLINK("https://ibp.a2mac1.com/costing(costing:projects/details/9760/part/8412953)","12th HV cable support")</f>
        <v>12th HV cable support</v>
      </c>
      <c r="F3203" t="s">
        <v>3668</v>
      </c>
    </row>
    <row r="3204" spans="1:6" x14ac:dyDescent="0.15">
      <c r="A3204">
        <v>8412954</v>
      </c>
      <c r="B3204">
        <v>8412874</v>
      </c>
      <c r="C3204" t="s">
        <v>10</v>
      </c>
      <c r="D3204" t="s">
        <v>8</v>
      </c>
      <c r="E3204" s="4" t="str">
        <f>HYPERLINK("https://ibp.a2mac1.com/costing(costing:projects/details/9760/part/8412954)","13th HV cable support")</f>
        <v>13th HV cable support</v>
      </c>
      <c r="F3204" t="s">
        <v>3668</v>
      </c>
    </row>
    <row r="3205" spans="1:6" x14ac:dyDescent="0.15">
      <c r="A3205">
        <v>8412955</v>
      </c>
      <c r="B3205">
        <v>8412874</v>
      </c>
      <c r="C3205" t="s">
        <v>10</v>
      </c>
      <c r="D3205" t="s">
        <v>8</v>
      </c>
      <c r="E3205" s="4" t="str">
        <f>HYPERLINK("https://ibp.a2mac1.com/costing(costing:projects/details/9760/part/8412955)","14th HV cable support")</f>
        <v>14th HV cable support</v>
      </c>
      <c r="F3205" t="s">
        <v>3668</v>
      </c>
    </row>
    <row r="3206" spans="1:6" x14ac:dyDescent="0.15">
      <c r="A3206">
        <v>8412956</v>
      </c>
      <c r="B3206">
        <v>8412874</v>
      </c>
      <c r="C3206" t="s">
        <v>10</v>
      </c>
      <c r="D3206" t="s">
        <v>8</v>
      </c>
      <c r="E3206" s="4" t="str">
        <f>HYPERLINK("https://ibp.a2mac1.com/costing(costing:projects/details/9760/part/8412956)","15th HV cable support")</f>
        <v>15th HV cable support</v>
      </c>
      <c r="F3206" t="s">
        <v>3668</v>
      </c>
    </row>
    <row r="3207" spans="1:6" x14ac:dyDescent="0.15">
      <c r="A3207">
        <v>8412957</v>
      </c>
      <c r="B3207">
        <v>8412874</v>
      </c>
      <c r="C3207" t="s">
        <v>10</v>
      </c>
      <c r="D3207" t="s">
        <v>8</v>
      </c>
      <c r="E3207" s="4" t="str">
        <f>HYPERLINK("https://ibp.a2mac1.com/costing(costing:projects/details/9760/part/8412957)","16th HV cable support")</f>
        <v>16th HV cable support</v>
      </c>
      <c r="F3207" t="s">
        <v>3668</v>
      </c>
    </row>
    <row r="3208" spans="1:6" x14ac:dyDescent="0.15">
      <c r="A3208">
        <v>8412958</v>
      </c>
      <c r="B3208">
        <v>8412874</v>
      </c>
      <c r="C3208" t="s">
        <v>10</v>
      </c>
      <c r="D3208" t="s">
        <v>8</v>
      </c>
      <c r="E3208" s="4" t="str">
        <f>HYPERLINK("https://ibp.a2mac1.com/costing(costing:projects/details/9760/part/8412958)","17th HV cable support")</f>
        <v>17th HV cable support</v>
      </c>
      <c r="F3208" t="s">
        <v>3668</v>
      </c>
    </row>
    <row r="3209" spans="1:6" x14ac:dyDescent="0.15">
      <c r="A3209">
        <v>8412959</v>
      </c>
      <c r="B3209">
        <v>8412874</v>
      </c>
      <c r="C3209" t="s">
        <v>10</v>
      </c>
      <c r="D3209" t="s">
        <v>8</v>
      </c>
      <c r="E3209" s="4" t="str">
        <f>HYPERLINK("https://ibp.a2mac1.com/costing(costing:projects/details/9760/part/8412959)","18th HV cable support")</f>
        <v>18th HV cable support</v>
      </c>
      <c r="F3209" t="s">
        <v>3668</v>
      </c>
    </row>
    <row r="3210" spans="1:6" x14ac:dyDescent="0.15">
      <c r="A3210">
        <v>8412960</v>
      </c>
      <c r="B3210">
        <v>8412874</v>
      </c>
      <c r="C3210" t="s">
        <v>10</v>
      </c>
      <c r="D3210" t="s">
        <v>8</v>
      </c>
      <c r="E3210" s="4" t="str">
        <f>HYPERLINK("https://ibp.a2mac1.com/costing(costing:projects/details/9760/part/8412960)","18th HV cable support")</f>
        <v>18th HV cable support</v>
      </c>
      <c r="F3210" t="s">
        <v>3668</v>
      </c>
    </row>
    <row r="3211" spans="1:6" x14ac:dyDescent="0.15">
      <c r="A3211">
        <v>8412961</v>
      </c>
      <c r="B3211">
        <v>8412874</v>
      </c>
      <c r="C3211" t="s">
        <v>10</v>
      </c>
      <c r="D3211" t="s">
        <v>8</v>
      </c>
      <c r="E3211" s="4" t="str">
        <f>HYPERLINK("https://ibp.a2mac1.com/costing(costing:projects/details/9760/part/8412961)","19th HV cable support")</f>
        <v>19th HV cable support</v>
      </c>
      <c r="F3211" t="s">
        <v>3668</v>
      </c>
    </row>
    <row r="3212" spans="1:6" x14ac:dyDescent="0.15">
      <c r="A3212">
        <v>8412875</v>
      </c>
      <c r="B3212">
        <v>8412864</v>
      </c>
      <c r="C3212" t="s">
        <v>8</v>
      </c>
      <c r="D3212" t="s">
        <v>8</v>
      </c>
      <c r="E3212" s="4" t="str">
        <f>HYPERLINK("https://ibp.a2mac1.com/costing(costing:projects/details/9760/assembly/8412875)","Cable Guide")</f>
        <v>Cable Guide</v>
      </c>
      <c r="F3212" t="s">
        <v>2734</v>
      </c>
    </row>
    <row r="3213" spans="1:6" x14ac:dyDescent="0.15">
      <c r="A3213">
        <v>8412962</v>
      </c>
      <c r="B3213">
        <v>8412875</v>
      </c>
      <c r="C3213" t="s">
        <v>10</v>
      </c>
      <c r="D3213" t="s">
        <v>8</v>
      </c>
      <c r="E3213" s="4" t="str">
        <f>HYPERLINK("https://ibp.a2mac1.com/costing(costing:projects/details/9760/part/8412962)","Guide on engine")</f>
        <v>Guide on engine</v>
      </c>
      <c r="F3213" t="s">
        <v>3693</v>
      </c>
    </row>
    <row r="3214" spans="1:6" x14ac:dyDescent="0.15">
      <c r="A3214">
        <v>8412963</v>
      </c>
      <c r="B3214">
        <v>8412875</v>
      </c>
      <c r="C3214" t="s">
        <v>10</v>
      </c>
      <c r="D3214" t="s">
        <v>8</v>
      </c>
      <c r="E3214" s="4" t="str">
        <f>HYPERLINK("https://ibp.a2mac1.com/costing(costing:projects/details/9760/part/8412963)","2nd guide on engine")</f>
        <v>2nd guide on engine</v>
      </c>
      <c r="F3214" t="s">
        <v>3693</v>
      </c>
    </row>
    <row r="3215" spans="1:6" x14ac:dyDescent="0.15">
      <c r="A3215">
        <v>8412964</v>
      </c>
      <c r="B3215">
        <v>8412875</v>
      </c>
      <c r="C3215" t="s">
        <v>10</v>
      </c>
      <c r="D3215" t="s">
        <v>8</v>
      </c>
      <c r="E3215" s="4" t="str">
        <f>HYPERLINK("https://ibp.a2mac1.com/costing(costing:projects/details/9760/part/8412964)","3rd Guide on Engine")</f>
        <v>3rd Guide on Engine</v>
      </c>
      <c r="F3215" t="s">
        <v>3693</v>
      </c>
    </row>
    <row r="3216" spans="1:6" x14ac:dyDescent="0.15">
      <c r="A3216">
        <v>8412965</v>
      </c>
      <c r="B3216">
        <v>8412875</v>
      </c>
      <c r="C3216" t="s">
        <v>10</v>
      </c>
      <c r="D3216" t="s">
        <v>8</v>
      </c>
      <c r="E3216" s="4" t="str">
        <f>HYPERLINK("https://ibp.a2mac1.com/costing(costing:projects/details/9760/part/8412965)","On Battery")</f>
        <v>On Battery</v>
      </c>
      <c r="F3216" t="s">
        <v>3693</v>
      </c>
    </row>
    <row r="3217" spans="1:6" x14ac:dyDescent="0.15">
      <c r="A3217">
        <v>8412966</v>
      </c>
      <c r="B3217">
        <v>8412875</v>
      </c>
      <c r="C3217" t="s">
        <v>10</v>
      </c>
      <c r="D3217" t="s">
        <v>8</v>
      </c>
      <c r="E3217" s="4" t="str">
        <f>HYPERLINK("https://ibp.a2mac1.com/costing(costing:projects/details/9760/part/8412966)","2nd On Battery")</f>
        <v>2nd On Battery</v>
      </c>
      <c r="F3217" t="s">
        <v>3693</v>
      </c>
    </row>
    <row r="3218" spans="1:6" x14ac:dyDescent="0.15">
      <c r="A3218">
        <v>8412967</v>
      </c>
      <c r="B3218">
        <v>8412875</v>
      </c>
      <c r="C3218" t="s">
        <v>10</v>
      </c>
      <c r="D3218" t="s">
        <v>8</v>
      </c>
      <c r="E3218" s="4" t="str">
        <f>HYPERLINK("https://ibp.a2mac1.com/costing(costing:projects/details/9760/part/8412967)","3rd On Battery")</f>
        <v>3rd On Battery</v>
      </c>
      <c r="F3218" t="s">
        <v>3693</v>
      </c>
    </row>
    <row r="3219" spans="1:6" x14ac:dyDescent="0.15">
      <c r="A3219">
        <v>8412968</v>
      </c>
      <c r="B3219">
        <v>8412875</v>
      </c>
      <c r="C3219" t="s">
        <v>10</v>
      </c>
      <c r="D3219" t="s">
        <v>8</v>
      </c>
      <c r="E3219" s="4" t="str">
        <f>HYPERLINK("https://ibp.a2mac1.com/costing(costing:projects/details/9760/part/8412968)","Guide on Front Axle")</f>
        <v>Guide on Front Axle</v>
      </c>
      <c r="F3219" t="s">
        <v>3693</v>
      </c>
    </row>
    <row r="3220" spans="1:6" x14ac:dyDescent="0.15">
      <c r="A3220">
        <v>8412865</v>
      </c>
      <c r="B3220">
        <v>8412863</v>
      </c>
      <c r="C3220" t="s">
        <v>8</v>
      </c>
      <c r="D3220" t="s">
        <v>8</v>
      </c>
      <c r="E3220" s="4" t="str">
        <f>HYPERLINK("https://ibp.a2mac1.com/costing(costing:projects/details/9760/assembly/8412865)","Engine mounts")</f>
        <v>Engine mounts</v>
      </c>
      <c r="F3220" t="s">
        <v>2733</v>
      </c>
    </row>
    <row r="3221" spans="1:6" x14ac:dyDescent="0.15">
      <c r="A3221">
        <v>8412876</v>
      </c>
      <c r="B3221">
        <v>8412865</v>
      </c>
      <c r="C3221" t="s">
        <v>8</v>
      </c>
      <c r="D3221" t="s">
        <v>8</v>
      </c>
      <c r="E3221" s="4" t="str">
        <f>HYPERLINK("https://ibp.a2mac1.com/costing(costing:projects/details/9760/assembly/8412876)","E-motor Support System")</f>
        <v>E-motor Support System</v>
      </c>
      <c r="F3221" t="s">
        <v>3703</v>
      </c>
    </row>
    <row r="3222" spans="1:6" x14ac:dyDescent="0.15">
      <c r="A3222">
        <v>8412969</v>
      </c>
      <c r="B3222">
        <v>8412876</v>
      </c>
      <c r="C3222" t="s">
        <v>10</v>
      </c>
      <c r="D3222" t="s">
        <v>8</v>
      </c>
      <c r="E3222" s="4" t="str">
        <f>HYPERLINK("https://ibp.a2mac1.com/costing(costing:projects/details/9760/part/8412969)","Support 1")</f>
        <v>Support 1</v>
      </c>
      <c r="F3222" t="s">
        <v>3704</v>
      </c>
    </row>
    <row r="3223" spans="1:6" x14ac:dyDescent="0.15">
      <c r="A3223">
        <v>8752939</v>
      </c>
      <c r="B3223">
        <v>8412969</v>
      </c>
      <c r="C3223" t="s">
        <v>311</v>
      </c>
      <c r="D3223" t="s">
        <v>10</v>
      </c>
      <c r="E3223" s="4" t="str">
        <f>HYPERLINK("https://ibp.a2mac1.com/costing(costing:projects/details/9760/component/8752939)","Hex-head Bolt M12x65")</f>
        <v>Hex-head Bolt M12x65</v>
      </c>
      <c r="F3223" t="s">
        <v>3708</v>
      </c>
    </row>
    <row r="3224" spans="1:6" x14ac:dyDescent="0.15">
      <c r="A3224">
        <v>8752940</v>
      </c>
      <c r="B3224">
        <v>8412969</v>
      </c>
      <c r="C3224" t="s">
        <v>311</v>
      </c>
      <c r="D3224" t="s">
        <v>10</v>
      </c>
      <c r="E3224" s="4" t="str">
        <f>HYPERLINK("https://ibp.a2mac1.com/costing(costing:projects/details/9760/component/8752940)","Hex-head Bolt M14x130")</f>
        <v>Hex-head Bolt M14x130</v>
      </c>
      <c r="F3224" t="s">
        <v>3708</v>
      </c>
    </row>
    <row r="3225" spans="1:6" x14ac:dyDescent="0.15">
      <c r="A3225">
        <v>8412970</v>
      </c>
      <c r="B3225">
        <v>8412876</v>
      </c>
      <c r="C3225" t="s">
        <v>10</v>
      </c>
      <c r="D3225" t="s">
        <v>8</v>
      </c>
      <c r="E3225" s="4" t="str">
        <f>HYPERLINK("https://ibp.a2mac1.com/costing(costing:projects/details/9760/part/8412970)","Support 2")</f>
        <v>Support 2</v>
      </c>
      <c r="F3225" t="s">
        <v>3704</v>
      </c>
    </row>
    <row r="3226" spans="1:6" x14ac:dyDescent="0.15">
      <c r="A3226">
        <v>8752941</v>
      </c>
      <c r="B3226">
        <v>8412970</v>
      </c>
      <c r="C3226" t="s">
        <v>311</v>
      </c>
      <c r="D3226" t="s">
        <v>10</v>
      </c>
      <c r="E3226" s="4" t="str">
        <f>HYPERLINK("https://ibp.a2mac1.com/costing(costing:projects/details/9760/component/8752941)","Hex-head Bolt M14x130")</f>
        <v>Hex-head Bolt M14x130</v>
      </c>
      <c r="F3226" t="s">
        <v>3710</v>
      </c>
    </row>
    <row r="3227" spans="1:6" x14ac:dyDescent="0.15">
      <c r="A3227">
        <v>8752942</v>
      </c>
      <c r="B3227">
        <v>8412970</v>
      </c>
      <c r="C3227" t="s">
        <v>311</v>
      </c>
      <c r="D3227" t="s">
        <v>10</v>
      </c>
      <c r="E3227" s="4" t="str">
        <f>HYPERLINK("https://ibp.a2mac1.com/costing(costing:projects/details/9760/component/8752942)","Hex-head Bolt M12x65")</f>
        <v>Hex-head Bolt M12x65</v>
      </c>
      <c r="F3227" t="s">
        <v>3710</v>
      </c>
    </row>
    <row r="3228" spans="1:6" x14ac:dyDescent="0.15">
      <c r="A3228">
        <v>8412971</v>
      </c>
      <c r="B3228">
        <v>8412876</v>
      </c>
      <c r="C3228" t="s">
        <v>10</v>
      </c>
      <c r="D3228" t="s">
        <v>8</v>
      </c>
      <c r="E3228" s="4" t="str">
        <f>HYPERLINK("https://ibp.a2mac1.com/costing(costing:projects/details/9760/part/8412971)","Support 3")</f>
        <v>Support 3</v>
      </c>
      <c r="F3228" t="s">
        <v>3704</v>
      </c>
    </row>
    <row r="3229" spans="1:6" x14ac:dyDescent="0.15">
      <c r="A3229">
        <v>8752943</v>
      </c>
      <c r="B3229">
        <v>8412971</v>
      </c>
      <c r="C3229" t="s">
        <v>311</v>
      </c>
      <c r="D3229" t="s">
        <v>10</v>
      </c>
      <c r="E3229" s="4" t="str">
        <f>HYPERLINK("https://ibp.a2mac1.com/costing(costing:projects/details/9760/component/8752943)","Hex-head Bolt M12x65")</f>
        <v>Hex-head Bolt M12x65</v>
      </c>
      <c r="F3229" t="s">
        <v>3712</v>
      </c>
    </row>
    <row r="3230" spans="1:6" x14ac:dyDescent="0.15">
      <c r="A3230">
        <v>8752944</v>
      </c>
      <c r="B3230">
        <v>8412971</v>
      </c>
      <c r="C3230" t="s">
        <v>311</v>
      </c>
      <c r="D3230" t="s">
        <v>10</v>
      </c>
      <c r="E3230" s="4" t="str">
        <f>HYPERLINK("https://ibp.a2mac1.com/costing(costing:projects/details/9760/component/8752944)","Hex-head Bolt M14x130")</f>
        <v>Hex-head Bolt M14x130</v>
      </c>
      <c r="F3230" t="s">
        <v>3712</v>
      </c>
    </row>
    <row r="3231" spans="1:6" x14ac:dyDescent="0.15">
      <c r="A3231">
        <v>8412972</v>
      </c>
      <c r="B3231">
        <v>8412876</v>
      </c>
      <c r="C3231" t="s">
        <v>10</v>
      </c>
      <c r="D3231" t="s">
        <v>8</v>
      </c>
      <c r="E3231" s="4" t="str">
        <f>HYPERLINK("https://ibp.a2mac1.com/costing(costing:projects/details/9760/part/8412972)","Reinforcement 1")</f>
        <v>Reinforcement 1</v>
      </c>
      <c r="F3231" t="s">
        <v>3704</v>
      </c>
    </row>
    <row r="3232" spans="1:6" x14ac:dyDescent="0.15">
      <c r="A3232">
        <v>8752945</v>
      </c>
      <c r="B3232">
        <v>8412972</v>
      </c>
      <c r="C3232" t="s">
        <v>311</v>
      </c>
      <c r="D3232" t="s">
        <v>10</v>
      </c>
      <c r="E3232" s="4" t="str">
        <f>HYPERLINK("https://ibp.a2mac1.com/costing(costing:projects/details/9760/component/8752945)","Hex-head Bolt M8x25")</f>
        <v>Hex-head Bolt M8x25</v>
      </c>
      <c r="F3232" t="s">
        <v>3716</v>
      </c>
    </row>
    <row r="3233" spans="1:6" x14ac:dyDescent="0.15">
      <c r="A3233">
        <v>8414732</v>
      </c>
      <c r="B3233">
        <v>9760</v>
      </c>
      <c r="C3233" t="s">
        <v>8</v>
      </c>
      <c r="D3233" t="s">
        <v>6</v>
      </c>
      <c r="E3233" s="4" t="str">
        <f>HYPERLINK("https://ibp.a2mac1.com/costing(costing:projects/details/9760/assembly/8414732)","Interior")</f>
        <v>Interior</v>
      </c>
      <c r="F3233" t="s">
        <v>9</v>
      </c>
    </row>
    <row r="3234" spans="1:6" x14ac:dyDescent="0.15">
      <c r="A3234">
        <v>8414733</v>
      </c>
      <c r="B3234">
        <v>8414732</v>
      </c>
      <c r="C3234" t="s">
        <v>8</v>
      </c>
      <c r="D3234" t="s">
        <v>8</v>
      </c>
      <c r="E3234" s="4" t="str">
        <f>HYPERLINK("https://ibp.a2mac1.com/costing(costing:projects/details/9760/assembly/8414733)","Instrument Panel")</f>
        <v>Instrument Panel</v>
      </c>
      <c r="F3234" t="s">
        <v>3720</v>
      </c>
    </row>
    <row r="3235" spans="1:6" x14ac:dyDescent="0.15">
      <c r="A3235">
        <v>8414738</v>
      </c>
      <c r="B3235">
        <v>8414733</v>
      </c>
      <c r="C3235" t="s">
        <v>8</v>
      </c>
      <c r="D3235" t="s">
        <v>8</v>
      </c>
      <c r="E3235" s="4" t="str">
        <f>HYPERLINK("https://ibp.a2mac1.com/costing(costing:projects/details/9760/assembly/8414738)","Cross Car Beam")</f>
        <v>Cross Car Beam</v>
      </c>
      <c r="F3235" t="s">
        <v>3721</v>
      </c>
    </row>
    <row r="3236" spans="1:6" x14ac:dyDescent="0.15">
      <c r="A3236">
        <v>8414797</v>
      </c>
      <c r="B3236">
        <v>8414738</v>
      </c>
      <c r="C3236" t="s">
        <v>8</v>
      </c>
      <c r="D3236" t="s">
        <v>8</v>
      </c>
      <c r="E3236" s="4" t="str">
        <f>HYPERLINK("https://ibp.a2mac1.com/costing(costing:projects/details/9760/assembly/8414797)","Support on Tunnel")</f>
        <v>Support on Tunnel</v>
      </c>
      <c r="F3236" t="s">
        <v>3722</v>
      </c>
    </row>
    <row r="3237" spans="1:6" x14ac:dyDescent="0.15">
      <c r="A3237">
        <v>8414952</v>
      </c>
      <c r="B3237">
        <v>8414797</v>
      </c>
      <c r="C3237" t="s">
        <v>10</v>
      </c>
      <c r="D3237" t="s">
        <v>8</v>
      </c>
      <c r="E3237" s="4" t="str">
        <f>HYPERLINK("https://ibp.a2mac1.com/costing(costing:projects/details/9760/part/8414952)","Left and right if similar")</f>
        <v>Left and right if similar</v>
      </c>
      <c r="F3237" t="s">
        <v>3723</v>
      </c>
    </row>
    <row r="3238" spans="1:6" x14ac:dyDescent="0.15">
      <c r="A3238">
        <v>12084693</v>
      </c>
      <c r="B3238">
        <v>8414952</v>
      </c>
      <c r="C3238" t="s">
        <v>114</v>
      </c>
      <c r="D3238" t="s">
        <v>10</v>
      </c>
      <c r="E3238" s="4" t="str">
        <f>HYPERLINK("https://ibp.a2mac1.com/costing(costing:projects/details/9760/process/12084693)","Automated Process")</f>
        <v>Automated Process</v>
      </c>
      <c r="F3238" t="s">
        <v>3724</v>
      </c>
    </row>
    <row r="3239" spans="1:6" x14ac:dyDescent="0.15">
      <c r="A3239">
        <v>8754061</v>
      </c>
      <c r="B3239">
        <v>12084693</v>
      </c>
      <c r="C3239" t="s">
        <v>22</v>
      </c>
      <c r="D3239" t="s">
        <v>114</v>
      </c>
      <c r="E3239" s="4" t="str">
        <f>HYPERLINK("https://ibp.a2mac1.com/costing(costing:projects/details/9760/material/8754061)","Magnesium for casting")</f>
        <v>Magnesium for casting</v>
      </c>
      <c r="F3239" t="s">
        <v>3727</v>
      </c>
    </row>
    <row r="3240" spans="1:6" x14ac:dyDescent="0.15">
      <c r="A3240">
        <v>12211791</v>
      </c>
      <c r="B3240">
        <v>12084693</v>
      </c>
      <c r="C3240" t="s">
        <v>163</v>
      </c>
      <c r="D3240" t="s">
        <v>114</v>
      </c>
      <c r="E3240" s="4" t="str">
        <f>HYPERLINK("https://ibp.a2mac1.com/costing(costing:projects/details/9760/equipment/12211791)","DC machine - General")</f>
        <v>DC machine - General</v>
      </c>
      <c r="F3240" t="s">
        <v>3727</v>
      </c>
    </row>
    <row r="3241" spans="1:6" x14ac:dyDescent="0.15">
      <c r="A3241">
        <v>8414953</v>
      </c>
      <c r="B3241">
        <v>8414797</v>
      </c>
      <c r="C3241" t="s">
        <v>10</v>
      </c>
      <c r="D3241" t="s">
        <v>8</v>
      </c>
      <c r="E3241" s="4" t="str">
        <f>HYPERLINK("https://ibp.a2mac1.com/costing(costing:projects/details/9760/part/8414953)","Central")</f>
        <v>Central</v>
      </c>
      <c r="F3241" t="s">
        <v>3723</v>
      </c>
    </row>
    <row r="3242" spans="1:6" x14ac:dyDescent="0.15">
      <c r="A3242">
        <v>12084694</v>
      </c>
      <c r="B3242">
        <v>8414953</v>
      </c>
      <c r="C3242" t="s">
        <v>114</v>
      </c>
      <c r="D3242" t="s">
        <v>10</v>
      </c>
      <c r="E3242" s="4" t="str">
        <f>HYPERLINK("https://ibp.a2mac1.com/costing(costing:projects/details/9760/process/12084694)","Automated Process")</f>
        <v>Automated Process</v>
      </c>
      <c r="F3242" t="s">
        <v>3731</v>
      </c>
    </row>
    <row r="3243" spans="1:6" x14ac:dyDescent="0.15">
      <c r="A3243">
        <v>8754062</v>
      </c>
      <c r="B3243">
        <v>12084694</v>
      </c>
      <c r="C3243" t="s">
        <v>22</v>
      </c>
      <c r="D3243" t="s">
        <v>114</v>
      </c>
      <c r="E3243" s="4" t="str">
        <f>HYPERLINK("https://ibp.a2mac1.com/costing(costing:projects/details/9760/material/8754062)","Steel sheet (default) adjusted (part)")</f>
        <v>Steel sheet (default) adjusted (part)</v>
      </c>
      <c r="F3243" t="s">
        <v>3732</v>
      </c>
    </row>
    <row r="3244" spans="1:6" x14ac:dyDescent="0.15">
      <c r="A3244">
        <v>12211792</v>
      </c>
      <c r="B3244">
        <v>12084694</v>
      </c>
      <c r="C3244" t="s">
        <v>163</v>
      </c>
      <c r="D3244" t="s">
        <v>114</v>
      </c>
      <c r="E3244" s="4" t="str">
        <f>HYPERLINK("https://ibp.a2mac1.com/costing(costing:projects/details/9760/equipment/12211792)","DC machine - General")</f>
        <v>DC machine - General</v>
      </c>
      <c r="F3244" t="s">
        <v>3732</v>
      </c>
    </row>
    <row r="3245" spans="1:6" x14ac:dyDescent="0.15">
      <c r="A3245">
        <v>8414795</v>
      </c>
      <c r="B3245">
        <v>8414738</v>
      </c>
      <c r="C3245" t="s">
        <v>10</v>
      </c>
      <c r="D3245" t="s">
        <v>8</v>
      </c>
      <c r="E3245" s="4" t="str">
        <f>HYPERLINK("https://ibp.a2mac1.com/costing(costing:projects/details/9760/part/8414795)","IP Reinforcement")</f>
        <v>IP Reinforcement</v>
      </c>
      <c r="F3245" t="s">
        <v>3722</v>
      </c>
    </row>
    <row r="3246" spans="1:6" x14ac:dyDescent="0.15">
      <c r="A3246">
        <v>12084592</v>
      </c>
      <c r="B3246">
        <v>8414795</v>
      </c>
      <c r="C3246" t="s">
        <v>114</v>
      </c>
      <c r="D3246" t="s">
        <v>10</v>
      </c>
      <c r="E3246" s="4" t="str">
        <f>HYPERLINK("https://ibp.a2mac1.com/costing(costing:projects/details/9760/process/12084592)","Automated Process")</f>
        <v>Automated Process</v>
      </c>
      <c r="F3246" t="s">
        <v>3735</v>
      </c>
    </row>
    <row r="3247" spans="1:6" x14ac:dyDescent="0.15">
      <c r="A3247">
        <v>8753894</v>
      </c>
      <c r="B3247">
        <v>12084592</v>
      </c>
      <c r="C3247" t="s">
        <v>22</v>
      </c>
      <c r="D3247" t="s">
        <v>114</v>
      </c>
      <c r="E3247" s="4" t="str">
        <f>HYPERLINK("https://ibp.a2mac1.com/costing(costing:projects/details/9760/material/8753894)","PA6-GF60 , Steel")</f>
        <v>PA6-GF60 , Steel</v>
      </c>
      <c r="F3247" t="s">
        <v>3736</v>
      </c>
    </row>
    <row r="3248" spans="1:6" x14ac:dyDescent="0.15">
      <c r="A3248">
        <v>12211690</v>
      </c>
      <c r="B3248">
        <v>12084592</v>
      </c>
      <c r="C3248" t="s">
        <v>163</v>
      </c>
      <c r="D3248" t="s">
        <v>114</v>
      </c>
      <c r="E3248" s="4" t="str">
        <f>HYPERLINK("https://ibp.a2mac1.com/costing(costing:projects/details/9760/equipment/12211690)","DC machine - General")</f>
        <v>DC machine - General</v>
      </c>
      <c r="F3248" t="s">
        <v>3736</v>
      </c>
    </row>
    <row r="3249" spans="1:6" x14ac:dyDescent="0.15">
      <c r="A3249">
        <v>8414796</v>
      </c>
      <c r="B3249">
        <v>8414738</v>
      </c>
      <c r="C3249" t="s">
        <v>10</v>
      </c>
      <c r="D3249" t="s">
        <v>8</v>
      </c>
      <c r="E3249" s="4" t="str">
        <f>HYPERLINK("https://ibp.a2mac1.com/costing(costing:projects/details/9760/part/8414796)","Reinforcement Driver")</f>
        <v>Reinforcement Driver</v>
      </c>
      <c r="F3249" t="s">
        <v>3722</v>
      </c>
    </row>
    <row r="3250" spans="1:6" x14ac:dyDescent="0.15">
      <c r="A3250">
        <v>12084593</v>
      </c>
      <c r="B3250">
        <v>8414796</v>
      </c>
      <c r="C3250" t="s">
        <v>114</v>
      </c>
      <c r="D3250" t="s">
        <v>10</v>
      </c>
      <c r="E3250" s="4" t="str">
        <f>HYPERLINK("https://ibp.a2mac1.com/costing(costing:projects/details/9760/process/12084593)","Automated Process")</f>
        <v>Automated Process</v>
      </c>
      <c r="F3250" t="s">
        <v>3739</v>
      </c>
    </row>
    <row r="3251" spans="1:6" x14ac:dyDescent="0.15">
      <c r="A3251">
        <v>8753895</v>
      </c>
      <c r="B3251">
        <v>12084593</v>
      </c>
      <c r="C3251" t="s">
        <v>22</v>
      </c>
      <c r="D3251" t="s">
        <v>114</v>
      </c>
      <c r="E3251" s="4" t="str">
        <f>HYPERLINK("https://ibp.a2mac1.com/costing(costing:projects/details/9760/material/8753895)","PLASTIC UNKNOWN")</f>
        <v>PLASTIC UNKNOWN</v>
      </c>
      <c r="F3251" t="s">
        <v>3742</v>
      </c>
    </row>
    <row r="3252" spans="1:6" x14ac:dyDescent="0.15">
      <c r="A3252">
        <v>12211691</v>
      </c>
      <c r="B3252">
        <v>12084593</v>
      </c>
      <c r="C3252" t="s">
        <v>163</v>
      </c>
      <c r="D3252" t="s">
        <v>114</v>
      </c>
      <c r="E3252" s="4" t="str">
        <f>HYPERLINK("https://ibp.a2mac1.com/costing(costing:projects/details/9760/equipment/12211691)","DC machine - General")</f>
        <v>DC machine - General</v>
      </c>
      <c r="F3252" t="s">
        <v>3742</v>
      </c>
    </row>
    <row r="3253" spans="1:6" x14ac:dyDescent="0.15">
      <c r="A3253">
        <v>8414739</v>
      </c>
      <c r="B3253">
        <v>8414733</v>
      </c>
      <c r="C3253" t="s">
        <v>8</v>
      </c>
      <c r="D3253" t="s">
        <v>8</v>
      </c>
      <c r="E3253" s="4" t="str">
        <f>HYPERLINK("https://ibp.a2mac1.com/costing(costing:projects/details/9760/assembly/8414739)","Dashboard Covers")</f>
        <v>Dashboard Covers</v>
      </c>
      <c r="F3253" t="s">
        <v>3721</v>
      </c>
    </row>
    <row r="3254" spans="1:6" x14ac:dyDescent="0.15">
      <c r="A3254">
        <v>8414803</v>
      </c>
      <c r="B3254">
        <v>8414739</v>
      </c>
      <c r="C3254" t="s">
        <v>8</v>
      </c>
      <c r="D3254" t="s">
        <v>8</v>
      </c>
      <c r="E3254" s="4" t="str">
        <f>HYPERLINK("https://ibp.a2mac1.com/costing(costing:projects/details/9760/assembly/8414803)","Driver Side Trim")</f>
        <v>Driver Side Trim</v>
      </c>
      <c r="F3254" t="s">
        <v>3745</v>
      </c>
    </row>
    <row r="3255" spans="1:6" x14ac:dyDescent="0.15">
      <c r="A3255">
        <v>8414954</v>
      </c>
      <c r="B3255">
        <v>8414803</v>
      </c>
      <c r="C3255" t="s">
        <v>10</v>
      </c>
      <c r="D3255" t="s">
        <v>8</v>
      </c>
      <c r="E3255" s="4" t="str">
        <f>HYPERLINK("https://ibp.a2mac1.com/costing(costing:projects/details/9760/part/8414954)","Foot Well Trim")</f>
        <v>Foot Well Trim</v>
      </c>
      <c r="F3255" t="s">
        <v>3746</v>
      </c>
    </row>
    <row r="3256" spans="1:6" x14ac:dyDescent="0.15">
      <c r="A3256">
        <v>12084695</v>
      </c>
      <c r="B3256">
        <v>8414954</v>
      </c>
      <c r="C3256" t="s">
        <v>114</v>
      </c>
      <c r="D3256" t="s">
        <v>10</v>
      </c>
      <c r="E3256" s="4" t="str">
        <f>HYPERLINK("https://ibp.a2mac1.com/costing(costing:projects/details/9760/process/12084695)","Automated Process")</f>
        <v>Automated Process</v>
      </c>
      <c r="F3256" t="s">
        <v>3747</v>
      </c>
    </row>
    <row r="3257" spans="1:6" x14ac:dyDescent="0.15">
      <c r="A3257">
        <v>8754063</v>
      </c>
      <c r="B3257">
        <v>12084695</v>
      </c>
      <c r="C3257" t="s">
        <v>22</v>
      </c>
      <c r="D3257" t="s">
        <v>114</v>
      </c>
      <c r="E3257" s="4" t="str">
        <f>HYPERLINK("https://ibp.a2mac1.com/costing(costing:projects/details/9760/material/8754063)","PP-EPDM-TD10 adjusted (part)")</f>
        <v>PP-EPDM-TD10 adjusted (part)</v>
      </c>
      <c r="F3257" t="s">
        <v>3748</v>
      </c>
    </row>
    <row r="3258" spans="1:6" x14ac:dyDescent="0.15">
      <c r="A3258">
        <v>12211793</v>
      </c>
      <c r="B3258">
        <v>12084695</v>
      </c>
      <c r="C3258" t="s">
        <v>163</v>
      </c>
      <c r="D3258" t="s">
        <v>114</v>
      </c>
      <c r="E3258" s="4" t="str">
        <f>HYPERLINK("https://ibp.a2mac1.com/costing(costing:projects/details/9760/equipment/12211793)","DC machine - General")</f>
        <v>DC machine - General</v>
      </c>
      <c r="F3258" t="s">
        <v>3748</v>
      </c>
    </row>
    <row r="3259" spans="1:6" x14ac:dyDescent="0.15">
      <c r="A3259">
        <v>8414804</v>
      </c>
      <c r="B3259">
        <v>8414739</v>
      </c>
      <c r="C3259" t="s">
        <v>8</v>
      </c>
      <c r="D3259" t="s">
        <v>8</v>
      </c>
      <c r="E3259" s="4" t="str">
        <f>HYPERLINK("https://ibp.a2mac1.com/costing(costing:projects/details/9760/assembly/8414804)","Passenger Side Trim")</f>
        <v>Passenger Side Trim</v>
      </c>
      <c r="F3259" t="s">
        <v>3745</v>
      </c>
    </row>
    <row r="3260" spans="1:6" x14ac:dyDescent="0.15">
      <c r="A3260">
        <v>8414955</v>
      </c>
      <c r="B3260">
        <v>8414804</v>
      </c>
      <c r="C3260" t="s">
        <v>10</v>
      </c>
      <c r="D3260" t="s">
        <v>8</v>
      </c>
      <c r="E3260" s="4" t="str">
        <f>HYPERLINK("https://ibp.a2mac1.com/costing(costing:projects/details/9760/part/8414955)","Lower Panel")</f>
        <v>Lower Panel</v>
      </c>
      <c r="F3260" t="s">
        <v>3751</v>
      </c>
    </row>
    <row r="3261" spans="1:6" x14ac:dyDescent="0.15">
      <c r="A3261">
        <v>12084696</v>
      </c>
      <c r="B3261">
        <v>8414955</v>
      </c>
      <c r="C3261" t="s">
        <v>114</v>
      </c>
      <c r="D3261" t="s">
        <v>10</v>
      </c>
      <c r="E3261" s="4" t="str">
        <f>HYPERLINK("https://ibp.a2mac1.com/costing(costing:projects/details/9760/process/12084696)","Automated Process")</f>
        <v>Automated Process</v>
      </c>
      <c r="F3261" t="s">
        <v>3752</v>
      </c>
    </row>
    <row r="3262" spans="1:6" x14ac:dyDescent="0.15">
      <c r="A3262">
        <v>8754064</v>
      </c>
      <c r="B3262">
        <v>12084696</v>
      </c>
      <c r="C3262" t="s">
        <v>22</v>
      </c>
      <c r="D3262" t="s">
        <v>114</v>
      </c>
      <c r="E3262" s="4" t="str">
        <f>HYPERLINK("https://ibp.a2mac1.com/costing(costing:projects/details/9760/material/8754064)","Leather;PP")</f>
        <v>Leather;PP</v>
      </c>
      <c r="F3262" t="s">
        <v>3753</v>
      </c>
    </row>
    <row r="3263" spans="1:6" x14ac:dyDescent="0.15">
      <c r="A3263">
        <v>12211794</v>
      </c>
      <c r="B3263">
        <v>12084696</v>
      </c>
      <c r="C3263" t="s">
        <v>163</v>
      </c>
      <c r="D3263" t="s">
        <v>114</v>
      </c>
      <c r="E3263" s="4" t="str">
        <f>HYPERLINK("https://ibp.a2mac1.com/costing(costing:projects/details/9760/equipment/12211794)","DC machine - General")</f>
        <v>DC machine - General</v>
      </c>
      <c r="F3263" t="s">
        <v>3753</v>
      </c>
    </row>
    <row r="3264" spans="1:6" x14ac:dyDescent="0.15">
      <c r="A3264">
        <v>8414956</v>
      </c>
      <c r="B3264">
        <v>8414804</v>
      </c>
      <c r="C3264" t="s">
        <v>10</v>
      </c>
      <c r="D3264" t="s">
        <v>8</v>
      </c>
      <c r="E3264" s="4" t="str">
        <f>HYPERLINK("https://ibp.a2mac1.com/costing(costing:projects/details/9760/part/8414956)","Foot Well Trim")</f>
        <v>Foot Well Trim</v>
      </c>
      <c r="F3264" t="s">
        <v>3751</v>
      </c>
    </row>
    <row r="3265" spans="1:6" x14ac:dyDescent="0.15">
      <c r="A3265">
        <v>12084697</v>
      </c>
      <c r="B3265">
        <v>8414956</v>
      </c>
      <c r="C3265" t="s">
        <v>114</v>
      </c>
      <c r="D3265" t="s">
        <v>10</v>
      </c>
      <c r="E3265" s="4" t="str">
        <f>HYPERLINK("https://ibp.a2mac1.com/costing(costing:projects/details/9760/process/12084697)","Automated Process")</f>
        <v>Automated Process</v>
      </c>
      <c r="F3265" t="s">
        <v>3757</v>
      </c>
    </row>
    <row r="3266" spans="1:6" x14ac:dyDescent="0.15">
      <c r="A3266">
        <v>8754065</v>
      </c>
      <c r="B3266">
        <v>12084697</v>
      </c>
      <c r="C3266" t="s">
        <v>22</v>
      </c>
      <c r="D3266" t="s">
        <v>114</v>
      </c>
      <c r="E3266" s="4" t="str">
        <f>HYPERLINK("https://ibp.a2mac1.com/costing(costing:projects/details/9760/material/8754065)","PP-EPDM-TD10 adjusted (part)")</f>
        <v>PP-EPDM-TD10 adjusted (part)</v>
      </c>
      <c r="F3266" t="s">
        <v>3758</v>
      </c>
    </row>
    <row r="3267" spans="1:6" x14ac:dyDescent="0.15">
      <c r="A3267">
        <v>12211795</v>
      </c>
      <c r="B3267">
        <v>12084697</v>
      </c>
      <c r="C3267" t="s">
        <v>163</v>
      </c>
      <c r="D3267" t="s">
        <v>114</v>
      </c>
      <c r="E3267" s="4" t="str">
        <f>HYPERLINK("https://ibp.a2mac1.com/costing(costing:projects/details/9760/equipment/12211795)","DC machine - General")</f>
        <v>DC machine - General</v>
      </c>
      <c r="F3267" t="s">
        <v>3758</v>
      </c>
    </row>
    <row r="3268" spans="1:6" x14ac:dyDescent="0.15">
      <c r="A3268">
        <v>8414805</v>
      </c>
      <c r="B3268">
        <v>8414739</v>
      </c>
      <c r="C3268" t="s">
        <v>8</v>
      </c>
      <c r="D3268" t="s">
        <v>8</v>
      </c>
      <c r="E3268" s="4" t="str">
        <f>HYPERLINK("https://ibp.a2mac1.com/costing(costing:projects/details/9760/assembly/8414805)","Central Trim")</f>
        <v>Central Trim</v>
      </c>
      <c r="F3268" t="s">
        <v>3745</v>
      </c>
    </row>
    <row r="3269" spans="1:6" x14ac:dyDescent="0.15">
      <c r="A3269">
        <v>8414957</v>
      </c>
      <c r="B3269">
        <v>8414805</v>
      </c>
      <c r="C3269" t="s">
        <v>10</v>
      </c>
      <c r="D3269" t="s">
        <v>8</v>
      </c>
      <c r="E3269" s="4" t="str">
        <f>HYPERLINK("https://ibp.a2mac1.com/costing(costing:projects/details/9760/part/8414957)","Upper Part")</f>
        <v>Upper Part</v>
      </c>
      <c r="F3269" t="s">
        <v>3761</v>
      </c>
    </row>
    <row r="3270" spans="1:6" x14ac:dyDescent="0.15">
      <c r="A3270">
        <v>12084698</v>
      </c>
      <c r="B3270">
        <v>8414957</v>
      </c>
      <c r="C3270" t="s">
        <v>114</v>
      </c>
      <c r="D3270" t="s">
        <v>10</v>
      </c>
      <c r="E3270" s="4" t="str">
        <f>HYPERLINK("https://ibp.a2mac1.com/costing(costing:projects/details/9760/process/12084698)","Automated Process")</f>
        <v>Automated Process</v>
      </c>
      <c r="F3270" t="s">
        <v>3762</v>
      </c>
    </row>
    <row r="3271" spans="1:6" x14ac:dyDescent="0.15">
      <c r="A3271">
        <v>8754066</v>
      </c>
      <c r="B3271">
        <v>12084698</v>
      </c>
      <c r="C3271" t="s">
        <v>22</v>
      </c>
      <c r="D3271" t="s">
        <v>114</v>
      </c>
      <c r="E3271" s="4" t="str">
        <f>HYPERLINK("https://ibp.a2mac1.com/costing(costing:projects/details/9760/material/8754066)","Leather;PP-T20")</f>
        <v>Leather;PP-T20</v>
      </c>
      <c r="F3271" t="s">
        <v>3763</v>
      </c>
    </row>
    <row r="3272" spans="1:6" x14ac:dyDescent="0.15">
      <c r="A3272">
        <v>12211796</v>
      </c>
      <c r="B3272">
        <v>12084698</v>
      </c>
      <c r="C3272" t="s">
        <v>163</v>
      </c>
      <c r="D3272" t="s">
        <v>114</v>
      </c>
      <c r="E3272" s="4" t="str">
        <f>HYPERLINK("https://ibp.a2mac1.com/costing(costing:projects/details/9760/equipment/12211796)","DC machine - General")</f>
        <v>DC machine - General</v>
      </c>
      <c r="F3272" t="s">
        <v>3763</v>
      </c>
    </row>
    <row r="3273" spans="1:6" x14ac:dyDescent="0.15">
      <c r="A3273">
        <v>8414958</v>
      </c>
      <c r="B3273">
        <v>8414805</v>
      </c>
      <c r="C3273" t="s">
        <v>10</v>
      </c>
      <c r="D3273" t="s">
        <v>8</v>
      </c>
      <c r="E3273" s="4" t="str">
        <f>HYPERLINK("https://ibp.a2mac1.com/costing(costing:projects/details/9760/part/8414958)","2nd Upper Part")</f>
        <v>2nd Upper Part</v>
      </c>
      <c r="F3273" t="s">
        <v>3761</v>
      </c>
    </row>
    <row r="3274" spans="1:6" x14ac:dyDescent="0.15">
      <c r="A3274">
        <v>12084699</v>
      </c>
      <c r="B3274">
        <v>8414958</v>
      </c>
      <c r="C3274" t="s">
        <v>114</v>
      </c>
      <c r="D3274" t="s">
        <v>10</v>
      </c>
      <c r="E3274" s="4" t="str">
        <f>HYPERLINK("https://ibp.a2mac1.com/costing(costing:projects/details/9760/process/12084699)","Automated Process")</f>
        <v>Automated Process</v>
      </c>
      <c r="F3274" t="s">
        <v>3765</v>
      </c>
    </row>
    <row r="3275" spans="1:6" x14ac:dyDescent="0.15">
      <c r="A3275">
        <v>8754067</v>
      </c>
      <c r="B3275">
        <v>12084699</v>
      </c>
      <c r="C3275" t="s">
        <v>22</v>
      </c>
      <c r="D3275" t="s">
        <v>114</v>
      </c>
      <c r="E3275" s="4" t="str">
        <f>HYPERLINK("https://ibp.a2mac1.com/costing(costing:projects/details/9760/material/8754067)","PP-LGF20 adjusted (part)")</f>
        <v>PP-LGF20 adjusted (part)</v>
      </c>
      <c r="F3275" t="s">
        <v>3766</v>
      </c>
    </row>
    <row r="3276" spans="1:6" x14ac:dyDescent="0.15">
      <c r="A3276">
        <v>12211797</v>
      </c>
      <c r="B3276">
        <v>12084699</v>
      </c>
      <c r="C3276" t="s">
        <v>163</v>
      </c>
      <c r="D3276" t="s">
        <v>114</v>
      </c>
      <c r="E3276" s="4" t="str">
        <f>HYPERLINK("https://ibp.a2mac1.com/costing(costing:projects/details/9760/equipment/12211797)","DC machine - General")</f>
        <v>DC machine - General</v>
      </c>
      <c r="F3276" t="s">
        <v>3766</v>
      </c>
    </row>
    <row r="3277" spans="1:6" x14ac:dyDescent="0.15">
      <c r="A3277">
        <v>8414959</v>
      </c>
      <c r="B3277">
        <v>8414805</v>
      </c>
      <c r="C3277" t="s">
        <v>10</v>
      </c>
      <c r="D3277" t="s">
        <v>8</v>
      </c>
      <c r="E3277" s="4" t="str">
        <f>HYPERLINK("https://ibp.a2mac1.com/costing(costing:projects/details/9760/part/8414959)","Lower part support")</f>
        <v>Lower part support</v>
      </c>
      <c r="F3277" t="s">
        <v>3761</v>
      </c>
    </row>
    <row r="3278" spans="1:6" x14ac:dyDescent="0.15">
      <c r="A3278">
        <v>12084700</v>
      </c>
      <c r="B3278">
        <v>8414959</v>
      </c>
      <c r="C3278" t="s">
        <v>114</v>
      </c>
      <c r="D3278" t="s">
        <v>10</v>
      </c>
      <c r="E3278" s="4" t="str">
        <f>HYPERLINK("https://ibp.a2mac1.com/costing(costing:projects/details/9760/process/12084700)","Automated Process")</f>
        <v>Automated Process</v>
      </c>
      <c r="F3278" t="s">
        <v>3768</v>
      </c>
    </row>
    <row r="3279" spans="1:6" x14ac:dyDescent="0.15">
      <c r="A3279">
        <v>8754068</v>
      </c>
      <c r="B3279">
        <v>12084700</v>
      </c>
      <c r="C3279" t="s">
        <v>22</v>
      </c>
      <c r="D3279" t="s">
        <v>114</v>
      </c>
      <c r="E3279" s="4" t="str">
        <f>HYPERLINK("https://ibp.a2mac1.com/costing(costing:projects/details/9760/material/8754068)","PP-EPDM-TD10 adjusted (part)")</f>
        <v>PP-EPDM-TD10 adjusted (part)</v>
      </c>
      <c r="F3279" t="s">
        <v>3769</v>
      </c>
    </row>
    <row r="3280" spans="1:6" x14ac:dyDescent="0.15">
      <c r="A3280">
        <v>12211798</v>
      </c>
      <c r="B3280">
        <v>12084700</v>
      </c>
      <c r="C3280" t="s">
        <v>163</v>
      </c>
      <c r="D3280" t="s">
        <v>114</v>
      </c>
      <c r="E3280" s="4" t="str">
        <f>HYPERLINK("https://ibp.a2mac1.com/costing(costing:projects/details/9760/equipment/12211798)","DC machine - General")</f>
        <v>DC machine - General</v>
      </c>
      <c r="F3280" t="s">
        <v>3769</v>
      </c>
    </row>
    <row r="3281" spans="1:6" x14ac:dyDescent="0.15">
      <c r="A3281">
        <v>8414798</v>
      </c>
      <c r="B3281">
        <v>8414739</v>
      </c>
      <c r="C3281" t="s">
        <v>10</v>
      </c>
      <c r="D3281" t="s">
        <v>8</v>
      </c>
      <c r="E3281" s="4" t="str">
        <f>HYPERLINK("https://ibp.a2mac1.com/costing(costing:projects/details/9760/part/8414798)","Garnish Left Side")</f>
        <v>Garnish Left Side</v>
      </c>
      <c r="F3281" t="s">
        <v>3745</v>
      </c>
    </row>
    <row r="3282" spans="1:6" x14ac:dyDescent="0.15">
      <c r="A3282">
        <v>12084594</v>
      </c>
      <c r="B3282">
        <v>8414798</v>
      </c>
      <c r="C3282" t="s">
        <v>114</v>
      </c>
      <c r="D3282" t="s">
        <v>10</v>
      </c>
      <c r="E3282" s="4" t="str">
        <f>HYPERLINK("https://ibp.a2mac1.com/costing(costing:projects/details/9760/process/12084594)","Automated Process")</f>
        <v>Automated Process</v>
      </c>
      <c r="F3282" t="s">
        <v>3772</v>
      </c>
    </row>
    <row r="3283" spans="1:6" x14ac:dyDescent="0.15">
      <c r="A3283">
        <v>8753896</v>
      </c>
      <c r="B3283">
        <v>12084594</v>
      </c>
      <c r="C3283" t="s">
        <v>22</v>
      </c>
      <c r="D3283" t="s">
        <v>114</v>
      </c>
      <c r="E3283" s="4" t="str">
        <f>HYPERLINK("https://ibp.a2mac1.com/costing(costing:projects/details/9760/material/8753896)","PP-EPDM-TD10 adjusted (part)")</f>
        <v>PP-EPDM-TD10 adjusted (part)</v>
      </c>
      <c r="F3283" t="s">
        <v>3773</v>
      </c>
    </row>
    <row r="3284" spans="1:6" x14ac:dyDescent="0.15">
      <c r="A3284">
        <v>12211692</v>
      </c>
      <c r="B3284">
        <v>12084594</v>
      </c>
      <c r="C3284" t="s">
        <v>163</v>
      </c>
      <c r="D3284" t="s">
        <v>114</v>
      </c>
      <c r="E3284" s="4" t="str">
        <f>HYPERLINK("https://ibp.a2mac1.com/costing(costing:projects/details/9760/equipment/12211692)","DC machine - General")</f>
        <v>DC machine - General</v>
      </c>
      <c r="F3284" t="s">
        <v>3773</v>
      </c>
    </row>
    <row r="3285" spans="1:6" x14ac:dyDescent="0.15">
      <c r="A3285">
        <v>8414799</v>
      </c>
      <c r="B3285">
        <v>8414739</v>
      </c>
      <c r="C3285" t="s">
        <v>10</v>
      </c>
      <c r="D3285" t="s">
        <v>8</v>
      </c>
      <c r="E3285" s="4" t="str">
        <f>HYPERLINK("https://ibp.a2mac1.com/costing(costing:projects/details/9760/part/8414799)","Garnish Right Side")</f>
        <v>Garnish Right Side</v>
      </c>
      <c r="F3285" t="s">
        <v>3745</v>
      </c>
    </row>
    <row r="3286" spans="1:6" x14ac:dyDescent="0.15">
      <c r="A3286">
        <v>12084595</v>
      </c>
      <c r="B3286">
        <v>8414799</v>
      </c>
      <c r="C3286" t="s">
        <v>114</v>
      </c>
      <c r="D3286" t="s">
        <v>10</v>
      </c>
      <c r="E3286" s="4" t="str">
        <f>HYPERLINK("https://ibp.a2mac1.com/costing(costing:projects/details/9760/process/12084595)","Automated Process")</f>
        <v>Automated Process</v>
      </c>
      <c r="F3286" t="s">
        <v>3775</v>
      </c>
    </row>
    <row r="3287" spans="1:6" x14ac:dyDescent="0.15">
      <c r="A3287">
        <v>8753897</v>
      </c>
      <c r="B3287">
        <v>12084595</v>
      </c>
      <c r="C3287" t="s">
        <v>22</v>
      </c>
      <c r="D3287" t="s">
        <v>114</v>
      </c>
      <c r="E3287" s="4" t="str">
        <f>HYPERLINK("https://ibp.a2mac1.com/costing(costing:projects/details/9760/material/8753897)","PP-EPDM-TD10 adjusted (part)")</f>
        <v>PP-EPDM-TD10 adjusted (part)</v>
      </c>
      <c r="F3287" t="s">
        <v>3776</v>
      </c>
    </row>
    <row r="3288" spans="1:6" x14ac:dyDescent="0.15">
      <c r="A3288">
        <v>12211693</v>
      </c>
      <c r="B3288">
        <v>12084595</v>
      </c>
      <c r="C3288" t="s">
        <v>163</v>
      </c>
      <c r="D3288" t="s">
        <v>114</v>
      </c>
      <c r="E3288" s="4" t="str">
        <f>HYPERLINK("https://ibp.a2mac1.com/costing(costing:projects/details/9760/equipment/12211693)","DC machine - General")</f>
        <v>DC machine - General</v>
      </c>
      <c r="F3288" t="s">
        <v>3776</v>
      </c>
    </row>
    <row r="3289" spans="1:6" x14ac:dyDescent="0.15">
      <c r="A3289">
        <v>8414800</v>
      </c>
      <c r="B3289">
        <v>8414739</v>
      </c>
      <c r="C3289" t="s">
        <v>10</v>
      </c>
      <c r="D3289" t="s">
        <v>8</v>
      </c>
      <c r="E3289" s="4" t="str">
        <f>HYPERLINK("https://ibp.a2mac1.com/costing(costing:projects/details/9760/part/8414800)","Upper Skin Support")</f>
        <v>Upper Skin Support</v>
      </c>
      <c r="F3289" t="s">
        <v>3745</v>
      </c>
    </row>
    <row r="3290" spans="1:6" x14ac:dyDescent="0.15">
      <c r="A3290">
        <v>12084596</v>
      </c>
      <c r="B3290">
        <v>8414800</v>
      </c>
      <c r="C3290" t="s">
        <v>114</v>
      </c>
      <c r="D3290" t="s">
        <v>10</v>
      </c>
      <c r="E3290" s="4" t="str">
        <f>HYPERLINK("https://ibp.a2mac1.com/costing(costing:projects/details/9760/process/12084596)","Automated Process")</f>
        <v>Automated Process</v>
      </c>
      <c r="F3290" t="s">
        <v>3778</v>
      </c>
    </row>
    <row r="3291" spans="1:6" x14ac:dyDescent="0.15">
      <c r="A3291">
        <v>8753898</v>
      </c>
      <c r="B3291">
        <v>12084596</v>
      </c>
      <c r="C3291" t="s">
        <v>22</v>
      </c>
      <c r="D3291" t="s">
        <v>114</v>
      </c>
      <c r="E3291" s="4" t="str">
        <f>HYPERLINK("https://ibp.a2mac1.com/costing(costing:projects/details/9760/material/8753898)","PP-EPDM-TD10 adjusted (part)")</f>
        <v>PP-EPDM-TD10 adjusted (part)</v>
      </c>
      <c r="F3291" t="s">
        <v>3779</v>
      </c>
    </row>
    <row r="3292" spans="1:6" x14ac:dyDescent="0.15">
      <c r="A3292">
        <v>12211694</v>
      </c>
      <c r="B3292">
        <v>12084596</v>
      </c>
      <c r="C3292" t="s">
        <v>163</v>
      </c>
      <c r="D3292" t="s">
        <v>114</v>
      </c>
      <c r="E3292" s="4" t="str">
        <f>HYPERLINK("https://ibp.a2mac1.com/costing(costing:projects/details/9760/equipment/12211694)","DC machine - General")</f>
        <v>DC machine - General</v>
      </c>
      <c r="F3292" t="s">
        <v>3779</v>
      </c>
    </row>
    <row r="3293" spans="1:6" x14ac:dyDescent="0.15">
      <c r="A3293">
        <v>8414801</v>
      </c>
      <c r="B3293">
        <v>8414739</v>
      </c>
      <c r="C3293" t="s">
        <v>10</v>
      </c>
      <c r="D3293" t="s">
        <v>8</v>
      </c>
      <c r="E3293" s="4" t="str">
        <f>HYPERLINK("https://ibp.a2mac1.com/costing(costing:projects/details/9760/part/8414801)","Cover Reinforcement")</f>
        <v>Cover Reinforcement</v>
      </c>
      <c r="F3293" t="s">
        <v>3745</v>
      </c>
    </row>
    <row r="3294" spans="1:6" x14ac:dyDescent="0.15">
      <c r="A3294">
        <v>12084597</v>
      </c>
      <c r="B3294">
        <v>8414801</v>
      </c>
      <c r="C3294" t="s">
        <v>114</v>
      </c>
      <c r="D3294" t="s">
        <v>10</v>
      </c>
      <c r="E3294" s="4" t="str">
        <f>HYPERLINK("https://ibp.a2mac1.com/costing(costing:projects/details/9760/process/12084597)","Automated Process")</f>
        <v>Automated Process</v>
      </c>
      <c r="F3294" t="s">
        <v>3781</v>
      </c>
    </row>
    <row r="3295" spans="1:6" x14ac:dyDescent="0.15">
      <c r="A3295">
        <v>8753899</v>
      </c>
      <c r="B3295">
        <v>12084597</v>
      </c>
      <c r="C3295" t="s">
        <v>22</v>
      </c>
      <c r="D3295" t="s">
        <v>114</v>
      </c>
      <c r="E3295" s="4" t="str">
        <f>HYPERLINK("https://ibp.a2mac1.com/costing(costing:projects/details/9760/material/8753899)","PP-EPDM-TD10 adjusted (part)")</f>
        <v>PP-EPDM-TD10 adjusted (part)</v>
      </c>
      <c r="F3295" t="s">
        <v>3782</v>
      </c>
    </row>
    <row r="3296" spans="1:6" x14ac:dyDescent="0.15">
      <c r="A3296">
        <v>12211695</v>
      </c>
      <c r="B3296">
        <v>12084597</v>
      </c>
      <c r="C3296" t="s">
        <v>163</v>
      </c>
      <c r="D3296" t="s">
        <v>114</v>
      </c>
      <c r="E3296" s="4" t="str">
        <f>HYPERLINK("https://ibp.a2mac1.com/costing(costing:projects/details/9760/equipment/12211695)","DC machine - General")</f>
        <v>DC machine - General</v>
      </c>
      <c r="F3296" t="s">
        <v>3782</v>
      </c>
    </row>
    <row r="3297" spans="1:6" x14ac:dyDescent="0.15">
      <c r="A3297">
        <v>8414802</v>
      </c>
      <c r="B3297">
        <v>8414739</v>
      </c>
      <c r="C3297" t="s">
        <v>10</v>
      </c>
      <c r="D3297" t="s">
        <v>8</v>
      </c>
      <c r="E3297" s="4" t="str">
        <f>HYPERLINK("https://ibp.a2mac1.com/costing(costing:projects/details/9760/part/8414802)","Cover Reinforcement 2")</f>
        <v>Cover Reinforcement 2</v>
      </c>
      <c r="F3297" t="s">
        <v>3745</v>
      </c>
    </row>
    <row r="3298" spans="1:6" x14ac:dyDescent="0.15">
      <c r="A3298">
        <v>12084598</v>
      </c>
      <c r="B3298">
        <v>8414802</v>
      </c>
      <c r="C3298" t="s">
        <v>114</v>
      </c>
      <c r="D3298" t="s">
        <v>10</v>
      </c>
      <c r="E3298" s="4" t="str">
        <f>HYPERLINK("https://ibp.a2mac1.com/costing(costing:projects/details/9760/process/12084598)","Automated Process")</f>
        <v>Automated Process</v>
      </c>
      <c r="F3298" t="s">
        <v>3784</v>
      </c>
    </row>
    <row r="3299" spans="1:6" x14ac:dyDescent="0.15">
      <c r="A3299">
        <v>8753900</v>
      </c>
      <c r="B3299">
        <v>12084598</v>
      </c>
      <c r="C3299" t="s">
        <v>22</v>
      </c>
      <c r="D3299" t="s">
        <v>114</v>
      </c>
      <c r="E3299" s="4" t="str">
        <f>HYPERLINK("https://ibp.a2mac1.com/costing(costing:projects/details/9760/material/8753900)","PP-EPDM-TD20 adjusted (part)")</f>
        <v>PP-EPDM-TD20 adjusted (part)</v>
      </c>
      <c r="F3299" t="s">
        <v>3785</v>
      </c>
    </row>
    <row r="3300" spans="1:6" x14ac:dyDescent="0.15">
      <c r="A3300">
        <v>12211696</v>
      </c>
      <c r="B3300">
        <v>12084598</v>
      </c>
      <c r="C3300" t="s">
        <v>163</v>
      </c>
      <c r="D3300" t="s">
        <v>114</v>
      </c>
      <c r="E3300" s="4" t="str">
        <f>HYPERLINK("https://ibp.a2mac1.com/costing(costing:projects/details/9760/equipment/12211696)","DC machine - General")</f>
        <v>DC machine - General</v>
      </c>
      <c r="F3300" t="s">
        <v>3785</v>
      </c>
    </row>
    <row r="3301" spans="1:6" x14ac:dyDescent="0.15">
      <c r="A3301">
        <v>8414740</v>
      </c>
      <c r="B3301">
        <v>8414733</v>
      </c>
      <c r="C3301" t="s">
        <v>8</v>
      </c>
      <c r="D3301" t="s">
        <v>8</v>
      </c>
      <c r="E3301" s="4" t="str">
        <f>HYPERLINK("https://ibp.a2mac1.com/costing(costing:projects/details/9760/assembly/8414740)","Air Vent")</f>
        <v>Air Vent</v>
      </c>
      <c r="F3301" t="s">
        <v>3721</v>
      </c>
    </row>
    <row r="3302" spans="1:6" x14ac:dyDescent="0.15">
      <c r="A3302">
        <v>8414806</v>
      </c>
      <c r="B3302">
        <v>8414740</v>
      </c>
      <c r="C3302" t="s">
        <v>8</v>
      </c>
      <c r="D3302" t="s">
        <v>8</v>
      </c>
      <c r="E3302" s="4" t="str">
        <f>HYPERLINK("https://ibp.a2mac1.com/costing(costing:projects/details/9760/assembly/8414806)","Left Air Vent")</f>
        <v>Left Air Vent</v>
      </c>
      <c r="F3302" t="s">
        <v>3788</v>
      </c>
    </row>
    <row r="3303" spans="1:6" x14ac:dyDescent="0.15">
      <c r="A3303">
        <v>8414963</v>
      </c>
      <c r="B3303">
        <v>8414806</v>
      </c>
      <c r="C3303" t="s">
        <v>8</v>
      </c>
      <c r="D3303" t="s">
        <v>8</v>
      </c>
      <c r="E3303" s="4" t="str">
        <f>HYPERLINK("https://ibp.a2mac1.com/costing(costing:projects/details/9760/assembly/8414963)","Oscillating Front System")</f>
        <v>Oscillating Front System</v>
      </c>
      <c r="F3303" t="s">
        <v>3789</v>
      </c>
    </row>
    <row r="3304" spans="1:6" x14ac:dyDescent="0.15">
      <c r="A3304">
        <v>8415077</v>
      </c>
      <c r="B3304">
        <v>8414963</v>
      </c>
      <c r="C3304" t="s">
        <v>10</v>
      </c>
      <c r="D3304" t="s">
        <v>8</v>
      </c>
      <c r="E3304" s="4" t="str">
        <f>HYPERLINK("https://ibp.a2mac1.com/costing(costing:projects/details/9760/part/8415077)","Motor")</f>
        <v>Motor</v>
      </c>
      <c r="F3304" t="s">
        <v>3790</v>
      </c>
    </row>
    <row r="3305" spans="1:6" x14ac:dyDescent="0.15">
      <c r="A3305">
        <v>8415078</v>
      </c>
      <c r="B3305">
        <v>8414963</v>
      </c>
      <c r="C3305" t="s">
        <v>10</v>
      </c>
      <c r="D3305" t="s">
        <v>8</v>
      </c>
      <c r="E3305" s="4" t="str">
        <f>HYPERLINK("https://ibp.a2mac1.com/costing(costing:projects/details/9760/part/8415078)","Motor Support")</f>
        <v>Motor Support</v>
      </c>
      <c r="F3305" t="s">
        <v>3790</v>
      </c>
    </row>
    <row r="3306" spans="1:6" x14ac:dyDescent="0.15">
      <c r="A3306">
        <v>12084797</v>
      </c>
      <c r="B3306">
        <v>8415078</v>
      </c>
      <c r="C3306" t="s">
        <v>114</v>
      </c>
      <c r="D3306" t="s">
        <v>10</v>
      </c>
      <c r="E3306" s="4" t="str">
        <f>HYPERLINK("https://ibp.a2mac1.com/costing(costing:projects/details/9760/process/12084797)","Automated Process")</f>
        <v>Automated Process</v>
      </c>
      <c r="F3306" t="s">
        <v>3792</v>
      </c>
    </row>
    <row r="3307" spans="1:6" x14ac:dyDescent="0.15">
      <c r="A3307">
        <v>8754179</v>
      </c>
      <c r="B3307">
        <v>12084797</v>
      </c>
      <c r="C3307" t="s">
        <v>22</v>
      </c>
      <c r="D3307" t="s">
        <v>114</v>
      </c>
      <c r="E3307" s="4" t="str">
        <f>HYPERLINK("https://ibp.a2mac1.com/costing(costing:projects/details/9760/material/8754179)","PC-ABS adjusted (part)")</f>
        <v>PC-ABS adjusted (part)</v>
      </c>
      <c r="F3307" t="s">
        <v>3793</v>
      </c>
    </row>
    <row r="3308" spans="1:6" x14ac:dyDescent="0.15">
      <c r="A3308">
        <v>12211918</v>
      </c>
      <c r="B3308">
        <v>12084797</v>
      </c>
      <c r="C3308" t="s">
        <v>163</v>
      </c>
      <c r="D3308" t="s">
        <v>114</v>
      </c>
      <c r="E3308" s="4" t="str">
        <f>HYPERLINK("https://ibp.a2mac1.com/costing(costing:projects/details/9760/equipment/12211918)","DC machine - General")</f>
        <v>DC machine - General</v>
      </c>
      <c r="F3308" t="s">
        <v>3793</v>
      </c>
    </row>
    <row r="3309" spans="1:6" x14ac:dyDescent="0.15">
      <c r="A3309">
        <v>8415079</v>
      </c>
      <c r="B3309">
        <v>8414963</v>
      </c>
      <c r="C3309" t="s">
        <v>10</v>
      </c>
      <c r="D3309" t="s">
        <v>8</v>
      </c>
      <c r="E3309" s="4" t="str">
        <f>HYPERLINK("https://ibp.a2mac1.com/costing(costing:projects/details/9760/part/8415079)","Mechanism")</f>
        <v>Mechanism</v>
      </c>
      <c r="F3309" t="s">
        <v>3790</v>
      </c>
    </row>
    <row r="3310" spans="1:6" x14ac:dyDescent="0.15">
      <c r="A3310">
        <v>8415080</v>
      </c>
      <c r="B3310">
        <v>8414963</v>
      </c>
      <c r="C3310" t="s">
        <v>10</v>
      </c>
      <c r="D3310" t="s">
        <v>8</v>
      </c>
      <c r="E3310" s="4" t="str">
        <f>HYPERLINK("https://ibp.a2mac1.com/costing(costing:projects/details/9760/part/8415080)","2nd Mechanism")</f>
        <v>2nd Mechanism</v>
      </c>
      <c r="F3310" t="s">
        <v>3790</v>
      </c>
    </row>
    <row r="3311" spans="1:6" x14ac:dyDescent="0.15">
      <c r="A3311">
        <v>8414960</v>
      </c>
      <c r="B3311">
        <v>8414806</v>
      </c>
      <c r="C3311" t="s">
        <v>10</v>
      </c>
      <c r="D3311" t="s">
        <v>8</v>
      </c>
      <c r="E3311" s="4" t="str">
        <f>HYPERLINK("https://ibp.a2mac1.com/costing(costing:projects/details/9760/part/8414960)","Air Vent")</f>
        <v>Air Vent</v>
      </c>
      <c r="F3311" t="s">
        <v>3789</v>
      </c>
    </row>
    <row r="3312" spans="1:6" x14ac:dyDescent="0.15">
      <c r="A3312">
        <v>12084701</v>
      </c>
      <c r="B3312">
        <v>8414960</v>
      </c>
      <c r="C3312" t="s">
        <v>114</v>
      </c>
      <c r="D3312" t="s">
        <v>10</v>
      </c>
      <c r="E3312" s="4" t="str">
        <f>HYPERLINK("https://ibp.a2mac1.com/costing(costing:projects/details/9760/process/12084701)","Automated Process")</f>
        <v>Automated Process</v>
      </c>
      <c r="F3312" t="s">
        <v>3799</v>
      </c>
    </row>
    <row r="3313" spans="1:6" x14ac:dyDescent="0.15">
      <c r="A3313">
        <v>8754069</v>
      </c>
      <c r="B3313">
        <v>12084701</v>
      </c>
      <c r="C3313" t="s">
        <v>22</v>
      </c>
      <c r="D3313" t="s">
        <v>114</v>
      </c>
      <c r="E3313" s="4" t="str">
        <f>HYPERLINK("https://ibp.a2mac1.com/costing(costing:projects/details/9760/material/8754069)","PC-ABS adjusted (part)")</f>
        <v>PC-ABS adjusted (part)</v>
      </c>
      <c r="F3313" t="s">
        <v>3800</v>
      </c>
    </row>
    <row r="3314" spans="1:6" x14ac:dyDescent="0.15">
      <c r="A3314">
        <v>12211799</v>
      </c>
      <c r="B3314">
        <v>12084701</v>
      </c>
      <c r="C3314" t="s">
        <v>163</v>
      </c>
      <c r="D3314" t="s">
        <v>114</v>
      </c>
      <c r="E3314" s="4" t="str">
        <f>HYPERLINK("https://ibp.a2mac1.com/costing(costing:projects/details/9760/equipment/12211799)","DC machine - General")</f>
        <v>DC machine - General</v>
      </c>
      <c r="F3314" t="s">
        <v>3800</v>
      </c>
    </row>
    <row r="3315" spans="1:6" x14ac:dyDescent="0.15">
      <c r="A3315">
        <v>8414961</v>
      </c>
      <c r="B3315">
        <v>8414806</v>
      </c>
      <c r="C3315" t="s">
        <v>10</v>
      </c>
      <c r="D3315" t="s">
        <v>8</v>
      </c>
      <c r="E3315" s="4" t="str">
        <f>HYPERLINK("https://ibp.a2mac1.com/costing(costing:projects/details/9760/part/8414961)","2nd Air Vent")</f>
        <v>2nd Air Vent</v>
      </c>
      <c r="F3315" t="s">
        <v>3789</v>
      </c>
    </row>
    <row r="3316" spans="1:6" x14ac:dyDescent="0.15">
      <c r="A3316">
        <v>12084702</v>
      </c>
      <c r="B3316">
        <v>8414961</v>
      </c>
      <c r="C3316" t="s">
        <v>114</v>
      </c>
      <c r="D3316" t="s">
        <v>10</v>
      </c>
      <c r="E3316" s="4" t="str">
        <f>HYPERLINK("https://ibp.a2mac1.com/costing(costing:projects/details/9760/process/12084702)","Automated Process")</f>
        <v>Automated Process</v>
      </c>
      <c r="F3316" t="s">
        <v>3802</v>
      </c>
    </row>
    <row r="3317" spans="1:6" x14ac:dyDescent="0.15">
      <c r="A3317">
        <v>8754070</v>
      </c>
      <c r="B3317">
        <v>12084702</v>
      </c>
      <c r="C3317" t="s">
        <v>22</v>
      </c>
      <c r="D3317" t="s">
        <v>114</v>
      </c>
      <c r="E3317" s="4" t="str">
        <f>HYPERLINK("https://ibp.a2mac1.com/costing(costing:projects/details/9760/material/8754070)","PC-ABS adjusted (part)")</f>
        <v>PC-ABS adjusted (part)</v>
      </c>
      <c r="F3317" t="s">
        <v>3803</v>
      </c>
    </row>
    <row r="3318" spans="1:6" x14ac:dyDescent="0.15">
      <c r="A3318">
        <v>12211800</v>
      </c>
      <c r="B3318">
        <v>12084702</v>
      </c>
      <c r="C3318" t="s">
        <v>163</v>
      </c>
      <c r="D3318" t="s">
        <v>114</v>
      </c>
      <c r="E3318" s="4" t="str">
        <f>HYPERLINK("https://ibp.a2mac1.com/costing(costing:projects/details/9760/equipment/12211800)","DC machine - General")</f>
        <v>DC machine - General</v>
      </c>
      <c r="F3318" t="s">
        <v>3803</v>
      </c>
    </row>
    <row r="3319" spans="1:6" x14ac:dyDescent="0.15">
      <c r="A3319">
        <v>8414962</v>
      </c>
      <c r="B3319">
        <v>8414806</v>
      </c>
      <c r="C3319" t="s">
        <v>10</v>
      </c>
      <c r="D3319" t="s">
        <v>8</v>
      </c>
      <c r="E3319" s="4" t="str">
        <f>HYPERLINK("https://ibp.a2mac1.com/costing(costing:projects/details/9760/part/8414962)","Support")</f>
        <v>Support</v>
      </c>
      <c r="F3319" t="s">
        <v>3789</v>
      </c>
    </row>
    <row r="3320" spans="1:6" x14ac:dyDescent="0.15">
      <c r="A3320">
        <v>12084703</v>
      </c>
      <c r="B3320">
        <v>8414962</v>
      </c>
      <c r="C3320" t="s">
        <v>114</v>
      </c>
      <c r="D3320" t="s">
        <v>10</v>
      </c>
      <c r="E3320" s="4" t="str">
        <f>HYPERLINK("https://ibp.a2mac1.com/costing(costing:projects/details/9760/process/12084703)","Automated Process")</f>
        <v>Automated Process</v>
      </c>
      <c r="F3320" t="s">
        <v>3805</v>
      </c>
    </row>
    <row r="3321" spans="1:6" x14ac:dyDescent="0.15">
      <c r="A3321">
        <v>8754071</v>
      </c>
      <c r="B3321">
        <v>12084703</v>
      </c>
      <c r="C3321" t="s">
        <v>22</v>
      </c>
      <c r="D3321" t="s">
        <v>114</v>
      </c>
      <c r="E3321" s="4" t="str">
        <f>HYPERLINK("https://ibp.a2mac1.com/costing(costing:projects/details/9760/material/8754071)","PP adjusted (part)")</f>
        <v>PP adjusted (part)</v>
      </c>
      <c r="F3321" t="s">
        <v>3806</v>
      </c>
    </row>
    <row r="3322" spans="1:6" x14ac:dyDescent="0.15">
      <c r="A3322">
        <v>12211801</v>
      </c>
      <c r="B3322">
        <v>12084703</v>
      </c>
      <c r="C3322" t="s">
        <v>163</v>
      </c>
      <c r="D3322" t="s">
        <v>114</v>
      </c>
      <c r="E3322" s="4" t="str">
        <f>HYPERLINK("https://ibp.a2mac1.com/costing(costing:projects/details/9760/equipment/12211801)","DC machine - General")</f>
        <v>DC machine - General</v>
      </c>
      <c r="F3322" t="s">
        <v>3806</v>
      </c>
    </row>
    <row r="3323" spans="1:6" x14ac:dyDescent="0.15">
      <c r="A3323">
        <v>8414807</v>
      </c>
      <c r="B3323">
        <v>8414740</v>
      </c>
      <c r="C3323" t="s">
        <v>8</v>
      </c>
      <c r="D3323" t="s">
        <v>8</v>
      </c>
      <c r="E3323" s="4" t="str">
        <f>HYPERLINK("https://ibp.a2mac1.com/costing(costing:projects/details/9760/assembly/8414807)","Center Air Vent")</f>
        <v>Center Air Vent</v>
      </c>
      <c r="F3323" t="s">
        <v>3788</v>
      </c>
    </row>
    <row r="3324" spans="1:6" x14ac:dyDescent="0.15">
      <c r="A3324">
        <v>8414967</v>
      </c>
      <c r="B3324">
        <v>8414807</v>
      </c>
      <c r="C3324" t="s">
        <v>8</v>
      </c>
      <c r="D3324" t="s">
        <v>8</v>
      </c>
      <c r="E3324" s="4" t="str">
        <f>HYPERLINK("https://ibp.a2mac1.com/costing(costing:projects/details/9760/assembly/8414967)","Oscillating Front System")</f>
        <v>Oscillating Front System</v>
      </c>
      <c r="F3324" t="s">
        <v>3809</v>
      </c>
    </row>
    <row r="3325" spans="1:6" x14ac:dyDescent="0.15">
      <c r="A3325">
        <v>8415081</v>
      </c>
      <c r="B3325">
        <v>8414967</v>
      </c>
      <c r="C3325" t="s">
        <v>10</v>
      </c>
      <c r="D3325" t="s">
        <v>8</v>
      </c>
      <c r="E3325" s="4" t="str">
        <f>HYPERLINK("https://ibp.a2mac1.com/costing(costing:projects/details/9760/part/8415081)","Motor")</f>
        <v>Motor</v>
      </c>
      <c r="F3325" t="s">
        <v>3810</v>
      </c>
    </row>
    <row r="3326" spans="1:6" x14ac:dyDescent="0.15">
      <c r="A3326">
        <v>8415082</v>
      </c>
      <c r="B3326">
        <v>8414967</v>
      </c>
      <c r="C3326" t="s">
        <v>10</v>
      </c>
      <c r="D3326" t="s">
        <v>8</v>
      </c>
      <c r="E3326" s="4" t="str">
        <f>HYPERLINK("https://ibp.a2mac1.com/costing(costing:projects/details/9760/part/8415082)","Mechanism")</f>
        <v>Mechanism</v>
      </c>
      <c r="F3326" t="s">
        <v>3810</v>
      </c>
    </row>
    <row r="3327" spans="1:6" x14ac:dyDescent="0.15">
      <c r="A3327">
        <v>8415083</v>
      </c>
      <c r="B3327">
        <v>8414967</v>
      </c>
      <c r="C3327" t="s">
        <v>10</v>
      </c>
      <c r="D3327" t="s">
        <v>8</v>
      </c>
      <c r="E3327" s="4" t="str">
        <f>HYPERLINK("https://ibp.a2mac1.com/costing(costing:projects/details/9760/part/8415083)","2nd Mechanism")</f>
        <v>2nd Mechanism</v>
      </c>
      <c r="F3327" t="s">
        <v>3810</v>
      </c>
    </row>
    <row r="3328" spans="1:6" x14ac:dyDescent="0.15">
      <c r="A3328">
        <v>8414964</v>
      </c>
      <c r="B3328">
        <v>8414807</v>
      </c>
      <c r="C3328" t="s">
        <v>10</v>
      </c>
      <c r="D3328" t="s">
        <v>8</v>
      </c>
      <c r="E3328" s="4" t="str">
        <f>HYPERLINK("https://ibp.a2mac1.com/costing(costing:projects/details/9760/part/8414964)","Left Side and Right if Similar")</f>
        <v>Left Side and Right if Similar</v>
      </c>
      <c r="F3328" t="s">
        <v>3809</v>
      </c>
    </row>
    <row r="3329" spans="1:6" x14ac:dyDescent="0.15">
      <c r="A3329">
        <v>12084704</v>
      </c>
      <c r="B3329">
        <v>8414964</v>
      </c>
      <c r="C3329" t="s">
        <v>114</v>
      </c>
      <c r="D3329" t="s">
        <v>10</v>
      </c>
      <c r="E3329" s="4" t="str">
        <f>HYPERLINK("https://ibp.a2mac1.com/costing(costing:projects/details/9760/process/12084704)","Automated Process")</f>
        <v>Automated Process</v>
      </c>
      <c r="F3329" t="s">
        <v>3815</v>
      </c>
    </row>
    <row r="3330" spans="1:6" x14ac:dyDescent="0.15">
      <c r="A3330">
        <v>8754072</v>
      </c>
      <c r="B3330">
        <v>12084704</v>
      </c>
      <c r="C3330" t="s">
        <v>22</v>
      </c>
      <c r="D3330" t="s">
        <v>114</v>
      </c>
      <c r="E3330" s="4" t="str">
        <f>HYPERLINK("https://ibp.a2mac1.com/costing(costing:projects/details/9760/material/8754072)","PC-ABS adjusted (part)")</f>
        <v>PC-ABS adjusted (part)</v>
      </c>
      <c r="F3330" t="s">
        <v>3816</v>
      </c>
    </row>
    <row r="3331" spans="1:6" x14ac:dyDescent="0.15">
      <c r="A3331">
        <v>12211802</v>
      </c>
      <c r="B3331">
        <v>12084704</v>
      </c>
      <c r="C3331" t="s">
        <v>163</v>
      </c>
      <c r="D3331" t="s">
        <v>114</v>
      </c>
      <c r="E3331" s="4" t="str">
        <f>HYPERLINK("https://ibp.a2mac1.com/costing(costing:projects/details/9760/equipment/12211802)","DC machine - General")</f>
        <v>DC machine - General</v>
      </c>
      <c r="F3331" t="s">
        <v>3816</v>
      </c>
    </row>
    <row r="3332" spans="1:6" x14ac:dyDescent="0.15">
      <c r="A3332">
        <v>8414965</v>
      </c>
      <c r="B3332">
        <v>8414807</v>
      </c>
      <c r="C3332" t="s">
        <v>10</v>
      </c>
      <c r="D3332" t="s">
        <v>8</v>
      </c>
      <c r="E3332" s="4" t="str">
        <f>HYPERLINK("https://ibp.a2mac1.com/costing(costing:projects/details/9760/part/8414965)","Center Bezel")</f>
        <v>Center Bezel</v>
      </c>
      <c r="F3332" t="s">
        <v>3809</v>
      </c>
    </row>
    <row r="3333" spans="1:6" x14ac:dyDescent="0.15">
      <c r="A3333">
        <v>12084705</v>
      </c>
      <c r="B3333">
        <v>8414965</v>
      </c>
      <c r="C3333" t="s">
        <v>114</v>
      </c>
      <c r="D3333" t="s">
        <v>10</v>
      </c>
      <c r="E3333" s="4" t="str">
        <f>HYPERLINK("https://ibp.a2mac1.com/costing(costing:projects/details/9760/process/12084705)","Automated Process")</f>
        <v>Automated Process</v>
      </c>
      <c r="F3333" t="s">
        <v>3818</v>
      </c>
    </row>
    <row r="3334" spans="1:6" x14ac:dyDescent="0.15">
      <c r="A3334">
        <v>8754073</v>
      </c>
      <c r="B3334">
        <v>12084705</v>
      </c>
      <c r="C3334" t="s">
        <v>22</v>
      </c>
      <c r="D3334" t="s">
        <v>114</v>
      </c>
      <c r="E3334" s="4" t="str">
        <f>HYPERLINK("https://ibp.a2mac1.com/costing(costing:projects/details/9760/material/8754073)","PC-ABS adjusted (part)")</f>
        <v>PC-ABS adjusted (part)</v>
      </c>
      <c r="F3334" t="s">
        <v>3819</v>
      </c>
    </row>
    <row r="3335" spans="1:6" x14ac:dyDescent="0.15">
      <c r="A3335">
        <v>12211803</v>
      </c>
      <c r="B3335">
        <v>12084705</v>
      </c>
      <c r="C3335" t="s">
        <v>163</v>
      </c>
      <c r="D3335" t="s">
        <v>114</v>
      </c>
      <c r="E3335" s="4" t="str">
        <f>HYPERLINK("https://ibp.a2mac1.com/costing(costing:projects/details/9760/equipment/12211803)","DC machine - General")</f>
        <v>DC machine - General</v>
      </c>
      <c r="F3335" t="s">
        <v>3819</v>
      </c>
    </row>
    <row r="3336" spans="1:6" x14ac:dyDescent="0.15">
      <c r="A3336">
        <v>8414966</v>
      </c>
      <c r="B3336">
        <v>8414807</v>
      </c>
      <c r="C3336" t="s">
        <v>10</v>
      </c>
      <c r="D3336" t="s">
        <v>8</v>
      </c>
      <c r="E3336" s="4" t="str">
        <f>HYPERLINK("https://ibp.a2mac1.com/costing(costing:projects/details/9760/part/8414966)","Pipe")</f>
        <v>Pipe</v>
      </c>
      <c r="F3336" t="s">
        <v>3809</v>
      </c>
    </row>
    <row r="3337" spans="1:6" x14ac:dyDescent="0.15">
      <c r="A3337">
        <v>12084706</v>
      </c>
      <c r="B3337">
        <v>8414966</v>
      </c>
      <c r="C3337" t="s">
        <v>114</v>
      </c>
      <c r="D3337" t="s">
        <v>10</v>
      </c>
      <c r="E3337" s="4" t="str">
        <f>HYPERLINK("https://ibp.a2mac1.com/costing(costing:projects/details/9760/process/12084706)","Automated Process")</f>
        <v>Automated Process</v>
      </c>
      <c r="F3337" t="s">
        <v>3821</v>
      </c>
    </row>
    <row r="3338" spans="1:6" x14ac:dyDescent="0.15">
      <c r="A3338">
        <v>8754074</v>
      </c>
      <c r="B3338">
        <v>12084706</v>
      </c>
      <c r="C3338" t="s">
        <v>22</v>
      </c>
      <c r="D3338" t="s">
        <v>114</v>
      </c>
      <c r="E3338" s="4" t="str">
        <f>HYPERLINK("https://ibp.a2mac1.com/costing(costing:projects/details/9760/material/8754074)","PC-ABS adjusted (part)")</f>
        <v>PC-ABS adjusted (part)</v>
      </c>
      <c r="F3338" t="s">
        <v>3822</v>
      </c>
    </row>
    <row r="3339" spans="1:6" x14ac:dyDescent="0.15">
      <c r="A3339">
        <v>12211804</v>
      </c>
      <c r="B3339">
        <v>12084706</v>
      </c>
      <c r="C3339" t="s">
        <v>163</v>
      </c>
      <c r="D3339" t="s">
        <v>114</v>
      </c>
      <c r="E3339" s="4" t="str">
        <f>HYPERLINK("https://ibp.a2mac1.com/costing(costing:projects/details/9760/equipment/12211804)","DC machine - General")</f>
        <v>DC machine - General</v>
      </c>
      <c r="F3339" t="s">
        <v>3822</v>
      </c>
    </row>
    <row r="3340" spans="1:6" x14ac:dyDescent="0.15">
      <c r="A3340">
        <v>8414808</v>
      </c>
      <c r="B3340">
        <v>8414740</v>
      </c>
      <c r="C3340" t="s">
        <v>8</v>
      </c>
      <c r="D3340" t="s">
        <v>8</v>
      </c>
      <c r="E3340" s="4" t="str">
        <f>HYPERLINK("https://ibp.a2mac1.com/costing(costing:projects/details/9760/assembly/8414808)","Right Air Vent")</f>
        <v>Right Air Vent</v>
      </c>
      <c r="F3340" t="s">
        <v>3788</v>
      </c>
    </row>
    <row r="3341" spans="1:6" x14ac:dyDescent="0.15">
      <c r="A3341">
        <v>8414973</v>
      </c>
      <c r="B3341">
        <v>8414808</v>
      </c>
      <c r="C3341" t="s">
        <v>8</v>
      </c>
      <c r="D3341" t="s">
        <v>8</v>
      </c>
      <c r="E3341" s="4" t="str">
        <f>HYPERLINK("https://ibp.a2mac1.com/costing(costing:projects/details/9760/assembly/8414973)","Oscillating Front System")</f>
        <v>Oscillating Front System</v>
      </c>
      <c r="F3341" t="s">
        <v>3825</v>
      </c>
    </row>
    <row r="3342" spans="1:6" x14ac:dyDescent="0.15">
      <c r="A3342">
        <v>8415088</v>
      </c>
      <c r="B3342">
        <v>8414973</v>
      </c>
      <c r="C3342" t="s">
        <v>8</v>
      </c>
      <c r="D3342" t="s">
        <v>8</v>
      </c>
      <c r="E3342" s="4" t="str">
        <f>HYPERLINK("https://ibp.a2mac1.com/costing(costing:projects/details/9760/assembly/8415088)","Motor Harness")</f>
        <v>Motor Harness</v>
      </c>
      <c r="F3342" t="s">
        <v>3826</v>
      </c>
    </row>
    <row r="3343" spans="1:6" x14ac:dyDescent="0.15">
      <c r="A3343">
        <v>12084799</v>
      </c>
      <c r="B3343">
        <v>8415088</v>
      </c>
      <c r="C3343" t="s">
        <v>114</v>
      </c>
      <c r="D3343" t="s">
        <v>8</v>
      </c>
      <c r="E3343" s="4" t="str">
        <f>HYPERLINK("https://ibp.a2mac1.com/costing(costing:projects/details/9760/process/12084799)","Process")</f>
        <v>Process</v>
      </c>
      <c r="F3343" t="s">
        <v>3827</v>
      </c>
    </row>
    <row r="3344" spans="1:6" x14ac:dyDescent="0.15">
      <c r="A3344">
        <v>12211920</v>
      </c>
      <c r="B3344">
        <v>12084799</v>
      </c>
      <c r="C3344" t="s">
        <v>163</v>
      </c>
      <c r="D3344" t="s">
        <v>114</v>
      </c>
      <c r="E3344" s="4" t="str">
        <f>HYPERLINK("https://ibp.a2mac1.com/costing(costing:projects/details/9760/equipment/12211920)","Dummy Machine (Wireharness production line)")</f>
        <v>Dummy Machine (Wireharness production line)</v>
      </c>
      <c r="F3344" t="s">
        <v>3828</v>
      </c>
    </row>
    <row r="3345" spans="1:6" x14ac:dyDescent="0.15">
      <c r="A3345">
        <v>8754080</v>
      </c>
      <c r="B3345">
        <v>8415088</v>
      </c>
      <c r="C3345" t="s">
        <v>311</v>
      </c>
      <c r="D3345" t="s">
        <v>8</v>
      </c>
      <c r="E3345" s="4" t="str">
        <f>HYPERLINK("https://ibp.a2mac1.com/costing(costing:projects/details/9760/component/8754080)","Copper")</f>
        <v>Copper</v>
      </c>
      <c r="F3345" t="s">
        <v>3827</v>
      </c>
    </row>
    <row r="3346" spans="1:6" x14ac:dyDescent="0.15">
      <c r="A3346">
        <v>8754081</v>
      </c>
      <c r="B3346">
        <v>8415088</v>
      </c>
      <c r="C3346" t="s">
        <v>311</v>
      </c>
      <c r="D3346" t="s">
        <v>8</v>
      </c>
      <c r="E3346" s="4" t="str">
        <f>HYPERLINK("https://ibp.a2mac1.com/costing(costing:projects/details/9760/component/8754081)","Material")</f>
        <v>Material</v>
      </c>
      <c r="F3346" t="s">
        <v>3827</v>
      </c>
    </row>
    <row r="3347" spans="1:6" x14ac:dyDescent="0.15">
      <c r="A3347">
        <v>8415084</v>
      </c>
      <c r="B3347">
        <v>8414973</v>
      </c>
      <c r="C3347" t="s">
        <v>10</v>
      </c>
      <c r="D3347" t="s">
        <v>8</v>
      </c>
      <c r="E3347" s="4" t="str">
        <f>HYPERLINK("https://ibp.a2mac1.com/costing(costing:projects/details/9760/part/8415084)","Motor")</f>
        <v>Motor</v>
      </c>
      <c r="F3347" t="s">
        <v>3826</v>
      </c>
    </row>
    <row r="3348" spans="1:6" x14ac:dyDescent="0.15">
      <c r="A3348">
        <v>8415085</v>
      </c>
      <c r="B3348">
        <v>8414973</v>
      </c>
      <c r="C3348" t="s">
        <v>10</v>
      </c>
      <c r="D3348" t="s">
        <v>8</v>
      </c>
      <c r="E3348" s="4" t="str">
        <f>HYPERLINK("https://ibp.a2mac1.com/costing(costing:projects/details/9760/part/8415085)","Motor Support")</f>
        <v>Motor Support</v>
      </c>
      <c r="F3348" t="s">
        <v>3826</v>
      </c>
    </row>
    <row r="3349" spans="1:6" x14ac:dyDescent="0.15">
      <c r="A3349">
        <v>12084798</v>
      </c>
      <c r="B3349">
        <v>8415085</v>
      </c>
      <c r="C3349" t="s">
        <v>114</v>
      </c>
      <c r="D3349" t="s">
        <v>10</v>
      </c>
      <c r="E3349" s="4" t="str">
        <f>HYPERLINK("https://ibp.a2mac1.com/costing(costing:projects/details/9760/process/12084798)","Automated Process")</f>
        <v>Automated Process</v>
      </c>
      <c r="F3349" t="s">
        <v>3832</v>
      </c>
    </row>
    <row r="3350" spans="1:6" x14ac:dyDescent="0.15">
      <c r="A3350">
        <v>8754180</v>
      </c>
      <c r="B3350">
        <v>12084798</v>
      </c>
      <c r="C3350" t="s">
        <v>22</v>
      </c>
      <c r="D3350" t="s">
        <v>114</v>
      </c>
      <c r="E3350" s="4" t="str">
        <f>HYPERLINK("https://ibp.a2mac1.com/costing(costing:projects/details/9760/material/8754180)","PLASTIC UNKNOWN")</f>
        <v>PLASTIC UNKNOWN</v>
      </c>
      <c r="F3350" t="s">
        <v>3835</v>
      </c>
    </row>
    <row r="3351" spans="1:6" x14ac:dyDescent="0.15">
      <c r="A3351">
        <v>12211919</v>
      </c>
      <c r="B3351">
        <v>12084798</v>
      </c>
      <c r="C3351" t="s">
        <v>163</v>
      </c>
      <c r="D3351" t="s">
        <v>114</v>
      </c>
      <c r="E3351" s="4" t="str">
        <f>HYPERLINK("https://ibp.a2mac1.com/costing(costing:projects/details/9760/equipment/12211919)","DC machine - General")</f>
        <v>DC machine - General</v>
      </c>
      <c r="F3351" t="s">
        <v>3835</v>
      </c>
    </row>
    <row r="3352" spans="1:6" x14ac:dyDescent="0.15">
      <c r="A3352">
        <v>8415086</v>
      </c>
      <c r="B3352">
        <v>8414973</v>
      </c>
      <c r="C3352" t="s">
        <v>10</v>
      </c>
      <c r="D3352" t="s">
        <v>8</v>
      </c>
      <c r="E3352" s="4" t="str">
        <f>HYPERLINK("https://ibp.a2mac1.com/costing(costing:projects/details/9760/part/8415086)","Mechanism")</f>
        <v>Mechanism</v>
      </c>
      <c r="F3352" t="s">
        <v>3826</v>
      </c>
    </row>
    <row r="3353" spans="1:6" x14ac:dyDescent="0.15">
      <c r="A3353">
        <v>8415087</v>
      </c>
      <c r="B3353">
        <v>8414973</v>
      </c>
      <c r="C3353" t="s">
        <v>10</v>
      </c>
      <c r="D3353" t="s">
        <v>8</v>
      </c>
      <c r="E3353" s="4" t="str">
        <f>HYPERLINK("https://ibp.a2mac1.com/costing(costing:projects/details/9760/part/8415087)","2nd Mechanism")</f>
        <v>2nd Mechanism</v>
      </c>
      <c r="F3353" t="s">
        <v>3826</v>
      </c>
    </row>
    <row r="3354" spans="1:6" x14ac:dyDescent="0.15">
      <c r="A3354">
        <v>8414968</v>
      </c>
      <c r="B3354">
        <v>8414808</v>
      </c>
      <c r="C3354" t="s">
        <v>10</v>
      </c>
      <c r="D3354" t="s">
        <v>8</v>
      </c>
      <c r="E3354" s="4" t="str">
        <f>HYPERLINK("https://ibp.a2mac1.com/costing(costing:projects/details/9760/part/8414968)","Air Vent")</f>
        <v>Air Vent</v>
      </c>
      <c r="F3354" t="s">
        <v>3825</v>
      </c>
    </row>
    <row r="3355" spans="1:6" x14ac:dyDescent="0.15">
      <c r="A3355">
        <v>12084707</v>
      </c>
      <c r="B3355">
        <v>8414968</v>
      </c>
      <c r="C3355" t="s">
        <v>114</v>
      </c>
      <c r="D3355" t="s">
        <v>10</v>
      </c>
      <c r="E3355" s="4" t="str">
        <f>HYPERLINK("https://ibp.a2mac1.com/costing(costing:projects/details/9760/process/12084707)","Automated Process")</f>
        <v>Automated Process</v>
      </c>
      <c r="F3355" t="s">
        <v>3841</v>
      </c>
    </row>
    <row r="3356" spans="1:6" x14ac:dyDescent="0.15">
      <c r="A3356">
        <v>8754075</v>
      </c>
      <c r="B3356">
        <v>12084707</v>
      </c>
      <c r="C3356" t="s">
        <v>22</v>
      </c>
      <c r="D3356" t="s">
        <v>114</v>
      </c>
      <c r="E3356" s="4" t="str">
        <f>HYPERLINK("https://ibp.a2mac1.com/costing(costing:projects/details/9760/material/8754075)","PLASTIC UNKNOWN")</f>
        <v>PLASTIC UNKNOWN</v>
      </c>
      <c r="F3356" t="s">
        <v>3842</v>
      </c>
    </row>
    <row r="3357" spans="1:6" x14ac:dyDescent="0.15">
      <c r="A3357">
        <v>12211805</v>
      </c>
      <c r="B3357">
        <v>12084707</v>
      </c>
      <c r="C3357" t="s">
        <v>163</v>
      </c>
      <c r="D3357" t="s">
        <v>114</v>
      </c>
      <c r="E3357" s="4" t="str">
        <f>HYPERLINK("https://ibp.a2mac1.com/costing(costing:projects/details/9760/equipment/12211805)","DC machine - General")</f>
        <v>DC machine - General</v>
      </c>
      <c r="F3357" t="s">
        <v>3842</v>
      </c>
    </row>
    <row r="3358" spans="1:6" x14ac:dyDescent="0.15">
      <c r="A3358">
        <v>8414969</v>
      </c>
      <c r="B3358">
        <v>8414808</v>
      </c>
      <c r="C3358" t="s">
        <v>10</v>
      </c>
      <c r="D3358" t="s">
        <v>8</v>
      </c>
      <c r="E3358" s="4" t="str">
        <f>HYPERLINK("https://ibp.a2mac1.com/costing(costing:projects/details/9760/part/8414969)","Bezel")</f>
        <v>Bezel</v>
      </c>
      <c r="F3358" t="s">
        <v>3825</v>
      </c>
    </row>
    <row r="3359" spans="1:6" x14ac:dyDescent="0.15">
      <c r="A3359">
        <v>12084708</v>
      </c>
      <c r="B3359">
        <v>8414969</v>
      </c>
      <c r="C3359" t="s">
        <v>114</v>
      </c>
      <c r="D3359" t="s">
        <v>10</v>
      </c>
      <c r="E3359" s="4" t="str">
        <f>HYPERLINK("https://ibp.a2mac1.com/costing(costing:projects/details/9760/process/12084708)","Automated Process")</f>
        <v>Automated Process</v>
      </c>
      <c r="F3359" t="s">
        <v>3844</v>
      </c>
    </row>
    <row r="3360" spans="1:6" x14ac:dyDescent="0.15">
      <c r="A3360">
        <v>8754076</v>
      </c>
      <c r="B3360">
        <v>12084708</v>
      </c>
      <c r="C3360" t="s">
        <v>22</v>
      </c>
      <c r="D3360" t="s">
        <v>114</v>
      </c>
      <c r="E3360" s="4" t="str">
        <f>HYPERLINK("https://ibp.a2mac1.com/costing(costing:projects/details/9760/material/8754076)","PC-ABS adjusted (part)")</f>
        <v>PC-ABS adjusted (part)</v>
      </c>
      <c r="F3360" t="s">
        <v>3845</v>
      </c>
    </row>
    <row r="3361" spans="1:6" x14ac:dyDescent="0.15">
      <c r="A3361">
        <v>12211806</v>
      </c>
      <c r="B3361">
        <v>12084708</v>
      </c>
      <c r="C3361" t="s">
        <v>163</v>
      </c>
      <c r="D3361" t="s">
        <v>114</v>
      </c>
      <c r="E3361" s="4" t="str">
        <f>HYPERLINK("https://ibp.a2mac1.com/costing(costing:projects/details/9760/equipment/12211806)","DC machine - General")</f>
        <v>DC machine - General</v>
      </c>
      <c r="F3361" t="s">
        <v>3845</v>
      </c>
    </row>
    <row r="3362" spans="1:6" x14ac:dyDescent="0.15">
      <c r="A3362">
        <v>8414970</v>
      </c>
      <c r="B3362">
        <v>8414808</v>
      </c>
      <c r="C3362" t="s">
        <v>10</v>
      </c>
      <c r="D3362" t="s">
        <v>8</v>
      </c>
      <c r="E3362" s="4" t="str">
        <f>HYPERLINK("https://ibp.a2mac1.com/costing(costing:projects/details/9760/part/8414970)","2nd Bezel")</f>
        <v>2nd Bezel</v>
      </c>
      <c r="F3362" t="s">
        <v>3825</v>
      </c>
    </row>
    <row r="3363" spans="1:6" x14ac:dyDescent="0.15">
      <c r="A3363">
        <v>12084709</v>
      </c>
      <c r="B3363">
        <v>8414970</v>
      </c>
      <c r="C3363" t="s">
        <v>114</v>
      </c>
      <c r="D3363" t="s">
        <v>10</v>
      </c>
      <c r="E3363" s="4" t="str">
        <f>HYPERLINK("https://ibp.a2mac1.com/costing(costing:projects/details/9760/process/12084709)","Automated Process")</f>
        <v>Automated Process</v>
      </c>
      <c r="F3363" t="s">
        <v>3847</v>
      </c>
    </row>
    <row r="3364" spans="1:6" x14ac:dyDescent="0.15">
      <c r="A3364">
        <v>8754077</v>
      </c>
      <c r="B3364">
        <v>12084709</v>
      </c>
      <c r="C3364" t="s">
        <v>22</v>
      </c>
      <c r="D3364" t="s">
        <v>114</v>
      </c>
      <c r="E3364" s="4" t="str">
        <f>HYPERLINK("https://ibp.a2mac1.com/costing(costing:projects/details/9760/material/8754077)","PC-ABS adjusted (part)")</f>
        <v>PC-ABS adjusted (part)</v>
      </c>
      <c r="F3364" t="s">
        <v>3848</v>
      </c>
    </row>
    <row r="3365" spans="1:6" x14ac:dyDescent="0.15">
      <c r="A3365">
        <v>12211807</v>
      </c>
      <c r="B3365">
        <v>12084709</v>
      </c>
      <c r="C3365" t="s">
        <v>163</v>
      </c>
      <c r="D3365" t="s">
        <v>114</v>
      </c>
      <c r="E3365" s="4" t="str">
        <f>HYPERLINK("https://ibp.a2mac1.com/costing(costing:projects/details/9760/equipment/12211807)","DC machine - General")</f>
        <v>DC machine - General</v>
      </c>
      <c r="F3365" t="s">
        <v>3848</v>
      </c>
    </row>
    <row r="3366" spans="1:6" x14ac:dyDescent="0.15">
      <c r="A3366">
        <v>8414971</v>
      </c>
      <c r="B3366">
        <v>8414808</v>
      </c>
      <c r="C3366" t="s">
        <v>10</v>
      </c>
      <c r="D3366" t="s">
        <v>8</v>
      </c>
      <c r="E3366" s="4" t="str">
        <f>HYPERLINK("https://ibp.a2mac1.com/costing(costing:projects/details/9760/part/8414971)","Support")</f>
        <v>Support</v>
      </c>
      <c r="F3366" t="s">
        <v>3825</v>
      </c>
    </row>
    <row r="3367" spans="1:6" x14ac:dyDescent="0.15">
      <c r="A3367">
        <v>12084710</v>
      </c>
      <c r="B3367">
        <v>8414971</v>
      </c>
      <c r="C3367" t="s">
        <v>114</v>
      </c>
      <c r="D3367" t="s">
        <v>10</v>
      </c>
      <c r="E3367" s="4" t="str">
        <f>HYPERLINK("https://ibp.a2mac1.com/costing(costing:projects/details/9760/process/12084710)","Automated Process")</f>
        <v>Automated Process</v>
      </c>
      <c r="F3367" t="s">
        <v>3850</v>
      </c>
    </row>
    <row r="3368" spans="1:6" x14ac:dyDescent="0.15">
      <c r="A3368">
        <v>8754078</v>
      </c>
      <c r="B3368">
        <v>12084710</v>
      </c>
      <c r="C3368" t="s">
        <v>22</v>
      </c>
      <c r="D3368" t="s">
        <v>114</v>
      </c>
      <c r="E3368" s="4" t="str">
        <f>HYPERLINK("https://ibp.a2mac1.com/costing(costing:projects/details/9760/material/8754078)","PP-TD10 adjusted (part)")</f>
        <v>PP-TD10 adjusted (part)</v>
      </c>
      <c r="F3368" t="s">
        <v>3851</v>
      </c>
    </row>
    <row r="3369" spans="1:6" x14ac:dyDescent="0.15">
      <c r="A3369">
        <v>12211808</v>
      </c>
      <c r="B3369">
        <v>12084710</v>
      </c>
      <c r="C3369" t="s">
        <v>163</v>
      </c>
      <c r="D3369" t="s">
        <v>114</v>
      </c>
      <c r="E3369" s="4" t="str">
        <f>HYPERLINK("https://ibp.a2mac1.com/costing(costing:projects/details/9760/equipment/12211808)","DC machine - General")</f>
        <v>DC machine - General</v>
      </c>
      <c r="F3369" t="s">
        <v>3851</v>
      </c>
    </row>
    <row r="3370" spans="1:6" x14ac:dyDescent="0.15">
      <c r="A3370">
        <v>8414972</v>
      </c>
      <c r="B3370">
        <v>8414808</v>
      </c>
      <c r="C3370" t="s">
        <v>10</v>
      </c>
      <c r="D3370" t="s">
        <v>8</v>
      </c>
      <c r="E3370" s="4" t="str">
        <f>HYPERLINK("https://ibp.a2mac1.com/costing(costing:projects/details/9760/part/8414972)","2nd Air Vent")</f>
        <v>2nd Air Vent</v>
      </c>
      <c r="F3370" t="s">
        <v>3825</v>
      </c>
    </row>
    <row r="3371" spans="1:6" x14ac:dyDescent="0.15">
      <c r="A3371">
        <v>12084711</v>
      </c>
      <c r="B3371">
        <v>8414972</v>
      </c>
      <c r="C3371" t="s">
        <v>114</v>
      </c>
      <c r="D3371" t="s">
        <v>10</v>
      </c>
      <c r="E3371" s="4" t="str">
        <f>HYPERLINK("https://ibp.a2mac1.com/costing(costing:projects/details/9760/process/12084711)","Automated Process")</f>
        <v>Automated Process</v>
      </c>
      <c r="F3371" t="s">
        <v>3853</v>
      </c>
    </row>
    <row r="3372" spans="1:6" x14ac:dyDescent="0.15">
      <c r="A3372">
        <v>8754079</v>
      </c>
      <c r="B3372">
        <v>12084711</v>
      </c>
      <c r="C3372" t="s">
        <v>22</v>
      </c>
      <c r="D3372" t="s">
        <v>114</v>
      </c>
      <c r="E3372" s="4" t="str">
        <f>HYPERLINK("https://ibp.a2mac1.com/costing(costing:projects/details/9760/material/8754079)","PC-ABS adjusted (part)")</f>
        <v>PC-ABS adjusted (part)</v>
      </c>
      <c r="F3372" t="s">
        <v>3854</v>
      </c>
    </row>
    <row r="3373" spans="1:6" x14ac:dyDescent="0.15">
      <c r="A3373">
        <v>12211809</v>
      </c>
      <c r="B3373">
        <v>12084711</v>
      </c>
      <c r="C3373" t="s">
        <v>163</v>
      </c>
      <c r="D3373" t="s">
        <v>114</v>
      </c>
      <c r="E3373" s="4" t="str">
        <f>HYPERLINK("https://ibp.a2mac1.com/costing(costing:projects/details/9760/equipment/12211809)","DC machine - General")</f>
        <v>DC machine - General</v>
      </c>
      <c r="F3373" t="s">
        <v>3854</v>
      </c>
    </row>
    <row r="3374" spans="1:6" x14ac:dyDescent="0.15">
      <c r="A3374">
        <v>8414741</v>
      </c>
      <c r="B3374">
        <v>8414733</v>
      </c>
      <c r="C3374" t="s">
        <v>8</v>
      </c>
      <c r="D3374" t="s">
        <v>8</v>
      </c>
      <c r="E3374" s="4" t="str">
        <f>HYPERLINK("https://ibp.a2mac1.com/costing(costing:projects/details/9760/assembly/8414741)","Speakers System")</f>
        <v>Speakers System</v>
      </c>
      <c r="F3374" t="s">
        <v>3721</v>
      </c>
    </row>
    <row r="3375" spans="1:6" x14ac:dyDescent="0.15">
      <c r="A3375">
        <v>8414813</v>
      </c>
      <c r="B3375">
        <v>8414741</v>
      </c>
      <c r="C3375" t="s">
        <v>8</v>
      </c>
      <c r="D3375" t="s">
        <v>8</v>
      </c>
      <c r="E3375" s="4" t="str">
        <f>HYPERLINK("https://ibp.a2mac1.com/costing(costing:projects/details/9760/assembly/8414813)","Speaker Grille")</f>
        <v>Speaker Grille</v>
      </c>
      <c r="F3375" t="s">
        <v>3858</v>
      </c>
    </row>
    <row r="3376" spans="1:6" x14ac:dyDescent="0.15">
      <c r="A3376">
        <v>8414974</v>
      </c>
      <c r="B3376">
        <v>8414813</v>
      </c>
      <c r="C3376" t="s">
        <v>10</v>
      </c>
      <c r="D3376" t="s">
        <v>8</v>
      </c>
      <c r="E3376" s="4" t="str">
        <f>HYPERLINK("https://ibp.a2mac1.com/costing(costing:projects/details/9760/part/8414974)","Left Grille and Right if Similar")</f>
        <v>Left Grille and Right if Similar</v>
      </c>
      <c r="F3376" t="s">
        <v>3859</v>
      </c>
    </row>
    <row r="3377" spans="1:6" x14ac:dyDescent="0.15">
      <c r="A3377">
        <v>12084712</v>
      </c>
      <c r="B3377">
        <v>8414974</v>
      </c>
      <c r="C3377" t="s">
        <v>114</v>
      </c>
      <c r="D3377" t="s">
        <v>10</v>
      </c>
      <c r="E3377" s="4" t="str">
        <f>HYPERLINK("https://ibp.a2mac1.com/costing(costing:projects/details/9760/process/12084712)","Automated Process")</f>
        <v>Automated Process</v>
      </c>
      <c r="F3377" t="s">
        <v>3860</v>
      </c>
    </row>
    <row r="3378" spans="1:6" x14ac:dyDescent="0.15">
      <c r="A3378">
        <v>8754082</v>
      </c>
      <c r="B3378">
        <v>12084712</v>
      </c>
      <c r="C3378" t="s">
        <v>22</v>
      </c>
      <c r="D3378" t="s">
        <v>114</v>
      </c>
      <c r="E3378" s="4" t="str">
        <f>HYPERLINK("https://ibp.a2mac1.com/costing(costing:projects/details/9760/material/8754082)","PC-ABS adjusted (part)")</f>
        <v>PC-ABS adjusted (part)</v>
      </c>
      <c r="F3378" t="s">
        <v>3861</v>
      </c>
    </row>
    <row r="3379" spans="1:6" x14ac:dyDescent="0.15">
      <c r="A3379">
        <v>12211810</v>
      </c>
      <c r="B3379">
        <v>12084712</v>
      </c>
      <c r="C3379" t="s">
        <v>163</v>
      </c>
      <c r="D3379" t="s">
        <v>114</v>
      </c>
      <c r="E3379" s="4" t="str">
        <f>HYPERLINK("https://ibp.a2mac1.com/costing(costing:projects/details/9760/equipment/12211810)","DC machine - General")</f>
        <v>DC machine - General</v>
      </c>
      <c r="F3379" t="s">
        <v>3861</v>
      </c>
    </row>
    <row r="3380" spans="1:6" x14ac:dyDescent="0.15">
      <c r="A3380">
        <v>8414975</v>
      </c>
      <c r="B3380">
        <v>8414813</v>
      </c>
      <c r="C3380" t="s">
        <v>10</v>
      </c>
      <c r="D3380" t="s">
        <v>8</v>
      </c>
      <c r="E3380" s="4" t="str">
        <f>HYPERLINK("https://ibp.a2mac1.com/costing(costing:projects/details/9760/part/8414975)","Center Grille")</f>
        <v>Center Grille</v>
      </c>
      <c r="F3380" t="s">
        <v>3859</v>
      </c>
    </row>
    <row r="3381" spans="1:6" x14ac:dyDescent="0.15">
      <c r="A3381">
        <v>12084713</v>
      </c>
      <c r="B3381">
        <v>8414975</v>
      </c>
      <c r="C3381" t="s">
        <v>114</v>
      </c>
      <c r="D3381" t="s">
        <v>10</v>
      </c>
      <c r="E3381" s="4" t="str">
        <f>HYPERLINK("https://ibp.a2mac1.com/costing(costing:projects/details/9760/process/12084713)","Automated Process")</f>
        <v>Automated Process</v>
      </c>
      <c r="F3381" t="s">
        <v>3863</v>
      </c>
    </row>
    <row r="3382" spans="1:6" x14ac:dyDescent="0.15">
      <c r="A3382">
        <v>8754083</v>
      </c>
      <c r="B3382">
        <v>12084713</v>
      </c>
      <c r="C3382" t="s">
        <v>22</v>
      </c>
      <c r="D3382" t="s">
        <v>114</v>
      </c>
      <c r="E3382" s="4" t="str">
        <f>HYPERLINK("https://ibp.a2mac1.com/costing(costing:projects/details/9760/material/8754083)","PC-ABS adjusted (part)")</f>
        <v>PC-ABS adjusted (part)</v>
      </c>
      <c r="F3382" t="s">
        <v>3864</v>
      </c>
    </row>
    <row r="3383" spans="1:6" x14ac:dyDescent="0.15">
      <c r="A3383">
        <v>12211811</v>
      </c>
      <c r="B3383">
        <v>12084713</v>
      </c>
      <c r="C3383" t="s">
        <v>163</v>
      </c>
      <c r="D3383" t="s">
        <v>114</v>
      </c>
      <c r="E3383" s="4" t="str">
        <f>HYPERLINK("https://ibp.a2mac1.com/costing(costing:projects/details/9760/equipment/12211811)","DC machine - General")</f>
        <v>DC machine - General</v>
      </c>
      <c r="F3383" t="s">
        <v>3864</v>
      </c>
    </row>
    <row r="3384" spans="1:6" x14ac:dyDescent="0.15">
      <c r="A3384">
        <v>8414809</v>
      </c>
      <c r="B3384">
        <v>8414741</v>
      </c>
      <c r="C3384" t="s">
        <v>10</v>
      </c>
      <c r="D3384" t="s">
        <v>8</v>
      </c>
      <c r="E3384" s="4" t="str">
        <f>HYPERLINK("https://ibp.a2mac1.com/costing(costing:projects/details/9760/part/8414809)","Speaker")</f>
        <v>Speaker</v>
      </c>
      <c r="F3384" t="s">
        <v>3858</v>
      </c>
    </row>
    <row r="3385" spans="1:6" x14ac:dyDescent="0.15">
      <c r="A3385">
        <v>8414810</v>
      </c>
      <c r="B3385">
        <v>8414741</v>
      </c>
      <c r="C3385" t="s">
        <v>10</v>
      </c>
      <c r="D3385" t="s">
        <v>8</v>
      </c>
      <c r="E3385" s="4" t="str">
        <f>HYPERLINK("https://ibp.a2mac1.com/costing(costing:projects/details/9760/part/8414810)","Center Speaker")</f>
        <v>Center Speaker</v>
      </c>
      <c r="F3385" t="s">
        <v>3858</v>
      </c>
    </row>
    <row r="3386" spans="1:6" x14ac:dyDescent="0.15">
      <c r="A3386">
        <v>8414811</v>
      </c>
      <c r="B3386">
        <v>8414741</v>
      </c>
      <c r="C3386" t="s">
        <v>10</v>
      </c>
      <c r="D3386" t="s">
        <v>8</v>
      </c>
      <c r="E3386" s="4" t="str">
        <f>HYPERLINK("https://ibp.a2mac1.com/costing(costing:projects/details/9760/part/8414811)","Side Tweeter")</f>
        <v>Side Tweeter</v>
      </c>
      <c r="F3386" t="s">
        <v>3858</v>
      </c>
    </row>
    <row r="3387" spans="1:6" x14ac:dyDescent="0.15">
      <c r="A3387">
        <v>8414812</v>
      </c>
      <c r="B3387">
        <v>8414741</v>
      </c>
      <c r="C3387" t="s">
        <v>10</v>
      </c>
      <c r="D3387" t="s">
        <v>8</v>
      </c>
      <c r="E3387" s="4" t="str">
        <f>HYPERLINK("https://ibp.a2mac1.com/costing(costing:projects/details/9760/part/8414812)","Center Tweeter")</f>
        <v>Center Tweeter</v>
      </c>
      <c r="F3387" t="s">
        <v>3858</v>
      </c>
    </row>
    <row r="3388" spans="1:6" x14ac:dyDescent="0.15">
      <c r="A3388">
        <v>8414742</v>
      </c>
      <c r="B3388">
        <v>8414733</v>
      </c>
      <c r="C3388" t="s">
        <v>8</v>
      </c>
      <c r="D3388" t="s">
        <v>8</v>
      </c>
      <c r="E3388" s="4" t="str">
        <f>HYPERLINK("https://ibp.a2mac1.com/costing(costing:projects/details/9760/assembly/8414742)","Lighting System Under Dashboard")</f>
        <v>Lighting System Under Dashboard</v>
      </c>
      <c r="F3388" t="s">
        <v>3721</v>
      </c>
    </row>
    <row r="3389" spans="1:6" x14ac:dyDescent="0.15">
      <c r="A3389">
        <v>8414814</v>
      </c>
      <c r="B3389">
        <v>8414742</v>
      </c>
      <c r="C3389" t="s">
        <v>10</v>
      </c>
      <c r="D3389" t="s">
        <v>8</v>
      </c>
      <c r="E3389" s="4" t="str">
        <f>HYPERLINK("https://ibp.a2mac1.com/costing(costing:projects/details/9760/part/8414814)","Light")</f>
        <v>Light</v>
      </c>
      <c r="F3389" t="s">
        <v>3873</v>
      </c>
    </row>
    <row r="3390" spans="1:6" x14ac:dyDescent="0.15">
      <c r="A3390">
        <v>8414744</v>
      </c>
      <c r="B3390">
        <v>8414733</v>
      </c>
      <c r="C3390" t="s">
        <v>8</v>
      </c>
      <c r="D3390" t="s">
        <v>8</v>
      </c>
      <c r="E3390" s="4" t="str">
        <f>HYPERLINK("https://ibp.a2mac1.com/costing(costing:projects/details/9760/assembly/8414744)","Instrumentation")</f>
        <v>Instrumentation</v>
      </c>
      <c r="F3390" t="s">
        <v>3721</v>
      </c>
    </row>
    <row r="3391" spans="1:6" x14ac:dyDescent="0.15">
      <c r="A3391">
        <v>8414817</v>
      </c>
      <c r="B3391">
        <v>8414744</v>
      </c>
      <c r="C3391" t="s">
        <v>8</v>
      </c>
      <c r="D3391" t="s">
        <v>8</v>
      </c>
      <c r="E3391" s="4" t="str">
        <f>HYPERLINK("https://ibp.a2mac1.com/costing(costing:projects/details/9760/assembly/8414817)","Cluster system")</f>
        <v>Cluster system</v>
      </c>
      <c r="F3391" t="s">
        <v>3877</v>
      </c>
    </row>
    <row r="3392" spans="1:6" x14ac:dyDescent="0.15">
      <c r="A3392">
        <v>8414976</v>
      </c>
      <c r="B3392">
        <v>8414817</v>
      </c>
      <c r="C3392" t="s">
        <v>8</v>
      </c>
      <c r="D3392" t="s">
        <v>8</v>
      </c>
      <c r="E3392" s="4" t="str">
        <f>HYPERLINK("https://ibp.a2mac1.com/costing(costing:projects/details/9760/assembly/8414976)","Cluster")</f>
        <v>Cluster</v>
      </c>
      <c r="F3392" t="s">
        <v>3878</v>
      </c>
    </row>
    <row r="3393" spans="1:6" x14ac:dyDescent="0.15">
      <c r="A3393">
        <v>12084714</v>
      </c>
      <c r="B3393">
        <v>8414976</v>
      </c>
      <c r="C3393" t="s">
        <v>114</v>
      </c>
      <c r="D3393" t="s">
        <v>8</v>
      </c>
      <c r="E3393" s="4" t="str">
        <f>HYPERLINK("https://ibp.a2mac1.com/costing(costing:projects/details/9760/process/12084714)","Process")</f>
        <v>Process</v>
      </c>
      <c r="F3393" t="s">
        <v>3879</v>
      </c>
    </row>
    <row r="3394" spans="1:6" x14ac:dyDescent="0.15">
      <c r="A3394">
        <v>12211812</v>
      </c>
      <c r="B3394">
        <v>12084714</v>
      </c>
      <c r="C3394" t="s">
        <v>163</v>
      </c>
      <c r="D3394" t="s">
        <v>114</v>
      </c>
      <c r="E3394" s="4" t="str">
        <f>HYPERLINK("https://ibp.a2mac1.com/costing(costing:projects/details/9760/equipment/12211812)","Dummy Machine (PCBA+Final Assembly Line)")</f>
        <v>Dummy Machine (PCBA+Final Assembly Line)</v>
      </c>
      <c r="F3394" t="s">
        <v>3880</v>
      </c>
    </row>
    <row r="3395" spans="1:6" x14ac:dyDescent="0.15">
      <c r="A3395">
        <v>8753903</v>
      </c>
      <c r="B3395">
        <v>8414976</v>
      </c>
      <c r="C3395" t="s">
        <v>311</v>
      </c>
      <c r="D3395" t="s">
        <v>8</v>
      </c>
      <c r="E3395" s="4" t="str">
        <f>HYPERLINK("https://ibp.a2mac1.com/costing(costing:projects/details/9760/component/8753903)","Mechanics")</f>
        <v>Mechanics</v>
      </c>
      <c r="F3395" t="s">
        <v>3879</v>
      </c>
    </row>
    <row r="3396" spans="1:6" x14ac:dyDescent="0.15">
      <c r="A3396">
        <v>8753904</v>
      </c>
      <c r="B3396">
        <v>8414976</v>
      </c>
      <c r="C3396" t="s">
        <v>311</v>
      </c>
      <c r="D3396" t="s">
        <v>8</v>
      </c>
      <c r="E3396" s="4" t="str">
        <f>HYPERLINK("https://ibp.a2mac1.com/costing(costing:projects/details/9760/component/8753904)","Electronics")</f>
        <v>Electronics</v>
      </c>
      <c r="F3396" t="s">
        <v>3879</v>
      </c>
    </row>
    <row r="3397" spans="1:6" x14ac:dyDescent="0.15">
      <c r="A3397">
        <v>8414979</v>
      </c>
      <c r="B3397">
        <v>8414817</v>
      </c>
      <c r="C3397" t="s">
        <v>8</v>
      </c>
      <c r="D3397" t="s">
        <v>8</v>
      </c>
      <c r="E3397" s="4" t="str">
        <f>HYPERLINK("https://ibp.a2mac1.com/costing(costing:projects/details/9760/assembly/8414979)","Cluster Rotation Motor")</f>
        <v>Cluster Rotation Motor</v>
      </c>
      <c r="F3397" t="s">
        <v>3878</v>
      </c>
    </row>
    <row r="3398" spans="1:6" x14ac:dyDescent="0.15">
      <c r="A3398">
        <v>12084717</v>
      </c>
      <c r="B3398">
        <v>8414979</v>
      </c>
      <c r="C3398" t="s">
        <v>114</v>
      </c>
      <c r="D3398" t="s">
        <v>8</v>
      </c>
      <c r="E3398" s="4" t="str">
        <f>HYPERLINK("https://ibp.a2mac1.com/costing(costing:projects/details/9760/process/12084717)","Process")</f>
        <v>Process</v>
      </c>
      <c r="F3398" t="s">
        <v>3884</v>
      </c>
    </row>
    <row r="3399" spans="1:6" x14ac:dyDescent="0.15">
      <c r="A3399">
        <v>12211815</v>
      </c>
      <c r="B3399">
        <v>12084717</v>
      </c>
      <c r="C3399" t="s">
        <v>163</v>
      </c>
      <c r="D3399" t="s">
        <v>114</v>
      </c>
      <c r="E3399" s="4" t="str">
        <f>HYPERLINK("https://ibp.a2mac1.com/costing(costing:projects/details/9760/equipment/12211815)","Dummy Machine (PCBA+Final Assembly Line)")</f>
        <v>Dummy Machine (PCBA+Final Assembly Line)</v>
      </c>
      <c r="F3399" t="s">
        <v>3885</v>
      </c>
    </row>
    <row r="3400" spans="1:6" x14ac:dyDescent="0.15">
      <c r="A3400">
        <v>8753905</v>
      </c>
      <c r="B3400">
        <v>8414979</v>
      </c>
      <c r="C3400" t="s">
        <v>311</v>
      </c>
      <c r="D3400" t="s">
        <v>8</v>
      </c>
      <c r="E3400" s="4" t="str">
        <f>HYPERLINK("https://ibp.a2mac1.com/costing(costing:projects/details/9760/component/8753905)","Electronics")</f>
        <v>Electronics</v>
      </c>
      <c r="F3400" t="s">
        <v>3884</v>
      </c>
    </row>
    <row r="3401" spans="1:6" x14ac:dyDescent="0.15">
      <c r="A3401">
        <v>8753906</v>
      </c>
      <c r="B3401">
        <v>8414979</v>
      </c>
      <c r="C3401" t="s">
        <v>311</v>
      </c>
      <c r="D3401" t="s">
        <v>8</v>
      </c>
      <c r="E3401" s="4" t="str">
        <f>HYPERLINK("https://ibp.a2mac1.com/costing(costing:projects/details/9760/component/8753906)","Mechanics")</f>
        <v>Mechanics</v>
      </c>
      <c r="F3401" t="s">
        <v>3884</v>
      </c>
    </row>
    <row r="3402" spans="1:6" x14ac:dyDescent="0.15">
      <c r="A3402">
        <v>8414980</v>
      </c>
      <c r="B3402">
        <v>8414817</v>
      </c>
      <c r="C3402" t="s">
        <v>8</v>
      </c>
      <c r="D3402" t="s">
        <v>8</v>
      </c>
      <c r="E3402" s="4" t="str">
        <f>HYPERLINK("https://ibp.a2mac1.com/costing(costing:projects/details/9760/assembly/8414980)","Bezels System")</f>
        <v>Bezels System</v>
      </c>
      <c r="F3402" t="s">
        <v>3878</v>
      </c>
    </row>
    <row r="3403" spans="1:6" x14ac:dyDescent="0.15">
      <c r="A3403">
        <v>8415089</v>
      </c>
      <c r="B3403">
        <v>8414980</v>
      </c>
      <c r="C3403" t="s">
        <v>10</v>
      </c>
      <c r="D3403" t="s">
        <v>8</v>
      </c>
      <c r="E3403" s="4" t="str">
        <f>HYPERLINK("https://ibp.a2mac1.com/costing(costing:projects/details/9760/part/8415089)","Bezel of 2nd Display")</f>
        <v>Bezel of 2nd Display</v>
      </c>
      <c r="F3403" t="s">
        <v>3888</v>
      </c>
    </row>
    <row r="3404" spans="1:6" x14ac:dyDescent="0.15">
      <c r="A3404">
        <v>12084800</v>
      </c>
      <c r="B3404">
        <v>8415089</v>
      </c>
      <c r="C3404" t="s">
        <v>114</v>
      </c>
      <c r="D3404" t="s">
        <v>10</v>
      </c>
      <c r="E3404" s="4" t="str">
        <f>HYPERLINK("https://ibp.a2mac1.com/costing(costing:projects/details/9760/process/12084800)","Automated Process")</f>
        <v>Automated Process</v>
      </c>
      <c r="F3404" t="s">
        <v>3889</v>
      </c>
    </row>
    <row r="3405" spans="1:6" x14ac:dyDescent="0.15">
      <c r="A3405">
        <v>8754181</v>
      </c>
      <c r="B3405">
        <v>12084800</v>
      </c>
      <c r="C3405" t="s">
        <v>22</v>
      </c>
      <c r="D3405" t="s">
        <v>114</v>
      </c>
      <c r="E3405" s="4" t="str">
        <f>HYPERLINK("https://ibp.a2mac1.com/costing(costing:projects/details/9760/material/8754181)","PC-ABS adjusted (part)")</f>
        <v>PC-ABS adjusted (part)</v>
      </c>
      <c r="F3405" t="s">
        <v>3890</v>
      </c>
    </row>
    <row r="3406" spans="1:6" x14ac:dyDescent="0.15">
      <c r="A3406">
        <v>12211921</v>
      </c>
      <c r="B3406">
        <v>12084800</v>
      </c>
      <c r="C3406" t="s">
        <v>163</v>
      </c>
      <c r="D3406" t="s">
        <v>114</v>
      </c>
      <c r="E3406" s="4" t="str">
        <f>HYPERLINK("https://ibp.a2mac1.com/costing(costing:projects/details/9760/equipment/12211921)","DC machine - General")</f>
        <v>DC machine - General</v>
      </c>
      <c r="F3406" t="s">
        <v>3890</v>
      </c>
    </row>
    <row r="3407" spans="1:6" x14ac:dyDescent="0.15">
      <c r="A3407">
        <v>8415090</v>
      </c>
      <c r="B3407">
        <v>8414980</v>
      </c>
      <c r="C3407" t="s">
        <v>10</v>
      </c>
      <c r="D3407" t="s">
        <v>8</v>
      </c>
      <c r="E3407" s="4" t="str">
        <f>HYPERLINK("https://ibp.a2mac1.com/costing(costing:projects/details/9760/part/8415090)","2nd Bezel of 2nd Display")</f>
        <v>2nd Bezel of 2nd Display</v>
      </c>
      <c r="F3407" t="s">
        <v>3888</v>
      </c>
    </row>
    <row r="3408" spans="1:6" x14ac:dyDescent="0.15">
      <c r="A3408">
        <v>12084801</v>
      </c>
      <c r="B3408">
        <v>8415090</v>
      </c>
      <c r="C3408" t="s">
        <v>114</v>
      </c>
      <c r="D3408" t="s">
        <v>10</v>
      </c>
      <c r="E3408" s="4" t="str">
        <f>HYPERLINK("https://ibp.a2mac1.com/costing(costing:projects/details/9760/process/12084801)","Automated Process")</f>
        <v>Automated Process</v>
      </c>
      <c r="F3408" t="s">
        <v>3892</v>
      </c>
    </row>
    <row r="3409" spans="1:6" x14ac:dyDescent="0.15">
      <c r="A3409">
        <v>8754182</v>
      </c>
      <c r="B3409">
        <v>12084801</v>
      </c>
      <c r="C3409" t="s">
        <v>22</v>
      </c>
      <c r="D3409" t="s">
        <v>114</v>
      </c>
      <c r="E3409" s="4" t="str">
        <f>HYPERLINK("https://ibp.a2mac1.com/costing(costing:projects/details/9760/material/8754182)","PC-ABS adjusted (part)")</f>
        <v>PC-ABS adjusted (part)</v>
      </c>
      <c r="F3409" t="s">
        <v>3893</v>
      </c>
    </row>
    <row r="3410" spans="1:6" x14ac:dyDescent="0.15">
      <c r="A3410">
        <v>12211922</v>
      </c>
      <c r="B3410">
        <v>12084801</v>
      </c>
      <c r="C3410" t="s">
        <v>163</v>
      </c>
      <c r="D3410" t="s">
        <v>114</v>
      </c>
      <c r="E3410" s="4" t="str">
        <f>HYPERLINK("https://ibp.a2mac1.com/costing(costing:projects/details/9760/equipment/12211922)","DC machine - General")</f>
        <v>DC machine - General</v>
      </c>
      <c r="F3410" t="s">
        <v>3893</v>
      </c>
    </row>
    <row r="3411" spans="1:6" x14ac:dyDescent="0.15">
      <c r="A3411">
        <v>8414977</v>
      </c>
      <c r="B3411">
        <v>8414817</v>
      </c>
      <c r="C3411" t="s">
        <v>10</v>
      </c>
      <c r="D3411" t="s">
        <v>8</v>
      </c>
      <c r="E3411" s="4" t="str">
        <f>HYPERLINK("https://ibp.a2mac1.com/costing(costing:projects/details/9760/part/8414977)","Support")</f>
        <v>Support</v>
      </c>
      <c r="F3411" t="s">
        <v>3878</v>
      </c>
    </row>
    <row r="3412" spans="1:6" x14ac:dyDescent="0.15">
      <c r="A3412">
        <v>12084715</v>
      </c>
      <c r="B3412">
        <v>8414977</v>
      </c>
      <c r="C3412" t="s">
        <v>114</v>
      </c>
      <c r="D3412" t="s">
        <v>10</v>
      </c>
      <c r="E3412" s="4" t="str">
        <f>HYPERLINK("https://ibp.a2mac1.com/costing(costing:projects/details/9760/process/12084715)","Automated Process")</f>
        <v>Automated Process</v>
      </c>
      <c r="F3412" t="s">
        <v>3896</v>
      </c>
    </row>
    <row r="3413" spans="1:6" x14ac:dyDescent="0.15">
      <c r="A3413">
        <v>8754084</v>
      </c>
      <c r="B3413">
        <v>12084715</v>
      </c>
      <c r="C3413" t="s">
        <v>22</v>
      </c>
      <c r="D3413" t="s">
        <v>114</v>
      </c>
      <c r="E3413" s="4" t="str">
        <f>HYPERLINK("https://ibp.a2mac1.com/costing(costing:projects/details/9760/material/8754084)","POM")</f>
        <v>POM</v>
      </c>
      <c r="F3413" t="s">
        <v>3899</v>
      </c>
    </row>
    <row r="3414" spans="1:6" x14ac:dyDescent="0.15">
      <c r="A3414">
        <v>12211813</v>
      </c>
      <c r="B3414">
        <v>12084715</v>
      </c>
      <c r="C3414" t="s">
        <v>163</v>
      </c>
      <c r="D3414" t="s">
        <v>114</v>
      </c>
      <c r="E3414" s="4" t="str">
        <f>HYPERLINK("https://ibp.a2mac1.com/costing(costing:projects/details/9760/equipment/12211813)","DC machine - General")</f>
        <v>DC machine - General</v>
      </c>
      <c r="F3414" t="s">
        <v>3899</v>
      </c>
    </row>
    <row r="3415" spans="1:6" x14ac:dyDescent="0.15">
      <c r="A3415">
        <v>8414978</v>
      </c>
      <c r="B3415">
        <v>8414817</v>
      </c>
      <c r="C3415" t="s">
        <v>10</v>
      </c>
      <c r="D3415" t="s">
        <v>8</v>
      </c>
      <c r="E3415" s="4" t="str">
        <f>HYPERLINK("https://ibp.a2mac1.com/costing(costing:projects/details/9760/part/8414978)","Display Support")</f>
        <v>Display Support</v>
      </c>
      <c r="F3415" t="s">
        <v>3878</v>
      </c>
    </row>
    <row r="3416" spans="1:6" x14ac:dyDescent="0.15">
      <c r="A3416">
        <v>12084716</v>
      </c>
      <c r="B3416">
        <v>8414978</v>
      </c>
      <c r="C3416" t="s">
        <v>114</v>
      </c>
      <c r="D3416" t="s">
        <v>10</v>
      </c>
      <c r="E3416" s="4" t="str">
        <f>HYPERLINK("https://ibp.a2mac1.com/costing(costing:projects/details/9760/process/12084716)","Automated Process")</f>
        <v>Automated Process</v>
      </c>
      <c r="F3416" t="s">
        <v>3901</v>
      </c>
    </row>
    <row r="3417" spans="1:6" x14ac:dyDescent="0.15">
      <c r="A3417">
        <v>8754085</v>
      </c>
      <c r="B3417">
        <v>12084716</v>
      </c>
      <c r="C3417" t="s">
        <v>22</v>
      </c>
      <c r="D3417" t="s">
        <v>114</v>
      </c>
      <c r="E3417" s="4" t="str">
        <f>HYPERLINK("https://ibp.a2mac1.com/costing(costing:projects/details/9760/material/8754085)","Steel sheet (default) adjusted (part)")</f>
        <v>Steel sheet (default) adjusted (part)</v>
      </c>
      <c r="F3417" t="s">
        <v>3902</v>
      </c>
    </row>
    <row r="3418" spans="1:6" x14ac:dyDescent="0.15">
      <c r="A3418">
        <v>12211814</v>
      </c>
      <c r="B3418">
        <v>12084716</v>
      </c>
      <c r="C3418" t="s">
        <v>163</v>
      </c>
      <c r="D3418" t="s">
        <v>114</v>
      </c>
      <c r="E3418" s="4" t="str">
        <f>HYPERLINK("https://ibp.a2mac1.com/costing(costing:projects/details/9760/equipment/12211814)","DC machine - General")</f>
        <v>DC machine - General</v>
      </c>
      <c r="F3418" t="s">
        <v>3902</v>
      </c>
    </row>
    <row r="3419" spans="1:6" x14ac:dyDescent="0.15">
      <c r="A3419">
        <v>8414818</v>
      </c>
      <c r="B3419">
        <v>8414744</v>
      </c>
      <c r="C3419" t="s">
        <v>8</v>
      </c>
      <c r="D3419" t="s">
        <v>8</v>
      </c>
      <c r="E3419" s="4" t="str">
        <f>HYPERLINK("https://ibp.a2mac1.com/costing(costing:projects/details/9760/assembly/8414818)","LCD Screen System")</f>
        <v>LCD Screen System</v>
      </c>
      <c r="F3419" t="s">
        <v>3877</v>
      </c>
    </row>
    <row r="3420" spans="1:6" x14ac:dyDescent="0.15">
      <c r="A3420">
        <v>8414981</v>
      </c>
      <c r="B3420">
        <v>8414818</v>
      </c>
      <c r="C3420" t="s">
        <v>8</v>
      </c>
      <c r="D3420" t="s">
        <v>8</v>
      </c>
      <c r="E3420" s="4" t="str">
        <f>HYPERLINK("https://ibp.a2mac1.com/costing(costing:projects/details/9760/assembly/8414981)","Screen")</f>
        <v>Screen</v>
      </c>
      <c r="F3420" t="s">
        <v>3905</v>
      </c>
    </row>
    <row r="3421" spans="1:6" x14ac:dyDescent="0.15">
      <c r="A3421">
        <v>12084718</v>
      </c>
      <c r="B3421">
        <v>8414981</v>
      </c>
      <c r="C3421" t="s">
        <v>114</v>
      </c>
      <c r="D3421" t="s">
        <v>8</v>
      </c>
      <c r="E3421" s="4" t="str">
        <f>HYPERLINK("https://ibp.a2mac1.com/costing(costing:projects/details/9760/process/12084718)","Process")</f>
        <v>Process</v>
      </c>
      <c r="F3421" t="s">
        <v>3906</v>
      </c>
    </row>
    <row r="3422" spans="1:6" x14ac:dyDescent="0.15">
      <c r="A3422">
        <v>12211816</v>
      </c>
      <c r="B3422">
        <v>12084718</v>
      </c>
      <c r="C3422" t="s">
        <v>163</v>
      </c>
      <c r="D3422" t="s">
        <v>114</v>
      </c>
      <c r="E3422" s="4" t="str">
        <f>HYPERLINK("https://ibp.a2mac1.com/costing(costing:projects/details/9760/equipment/12211816)","Dummy Machine (PCBA+Final Assembly Line)")</f>
        <v>Dummy Machine (PCBA+Final Assembly Line)</v>
      </c>
      <c r="F3422" t="s">
        <v>3907</v>
      </c>
    </row>
    <row r="3423" spans="1:6" x14ac:dyDescent="0.15">
      <c r="A3423">
        <v>8753907</v>
      </c>
      <c r="B3423">
        <v>8414981</v>
      </c>
      <c r="C3423" t="s">
        <v>311</v>
      </c>
      <c r="D3423" t="s">
        <v>8</v>
      </c>
      <c r="E3423" s="4" t="str">
        <f>HYPERLINK("https://ibp.a2mac1.com/costing(costing:projects/details/9760/component/8753907)","Electronics")</f>
        <v>Electronics</v>
      </c>
      <c r="F3423" t="s">
        <v>3906</v>
      </c>
    </row>
    <row r="3424" spans="1:6" x14ac:dyDescent="0.15">
      <c r="A3424">
        <v>8753908</v>
      </c>
      <c r="B3424">
        <v>8414981</v>
      </c>
      <c r="C3424" t="s">
        <v>311</v>
      </c>
      <c r="D3424" t="s">
        <v>8</v>
      </c>
      <c r="E3424" s="4" t="str">
        <f>HYPERLINK("https://ibp.a2mac1.com/costing(costing:projects/details/9760/component/8753908)","Mechanics")</f>
        <v>Mechanics</v>
      </c>
      <c r="F3424" t="s">
        <v>3906</v>
      </c>
    </row>
    <row r="3425" spans="1:6" x14ac:dyDescent="0.15">
      <c r="A3425">
        <v>8414982</v>
      </c>
      <c r="B3425">
        <v>8414818</v>
      </c>
      <c r="C3425" t="s">
        <v>10</v>
      </c>
      <c r="D3425" t="s">
        <v>8</v>
      </c>
      <c r="E3425" s="4" t="str">
        <f>HYPERLINK("https://ibp.a2mac1.com/costing(costing:projects/details/9760/part/8414982)","LCD Screen Bezel")</f>
        <v>LCD Screen Bezel</v>
      </c>
      <c r="F3425" t="s">
        <v>3905</v>
      </c>
    </row>
    <row r="3426" spans="1:6" x14ac:dyDescent="0.15">
      <c r="A3426">
        <v>12084719</v>
      </c>
      <c r="B3426">
        <v>8414982</v>
      </c>
      <c r="C3426" t="s">
        <v>114</v>
      </c>
      <c r="D3426" t="s">
        <v>10</v>
      </c>
      <c r="E3426" s="4" t="str">
        <f>HYPERLINK("https://ibp.a2mac1.com/costing(costing:projects/details/9760/process/12084719)","Automated Process")</f>
        <v>Automated Process</v>
      </c>
      <c r="F3426" t="s">
        <v>3911</v>
      </c>
    </row>
    <row r="3427" spans="1:6" x14ac:dyDescent="0.15">
      <c r="A3427">
        <v>8754086</v>
      </c>
      <c r="B3427">
        <v>12084719</v>
      </c>
      <c r="C3427" t="s">
        <v>22</v>
      </c>
      <c r="D3427" t="s">
        <v>114</v>
      </c>
      <c r="E3427" s="4" t="str">
        <f>HYPERLINK("https://ibp.a2mac1.com/costing(costing:projects/details/9760/material/8754086)","PP-EPDM-TD10 adjusted (part)")</f>
        <v>PP-EPDM-TD10 adjusted (part)</v>
      </c>
      <c r="F3427" t="s">
        <v>3912</v>
      </c>
    </row>
    <row r="3428" spans="1:6" x14ac:dyDescent="0.15">
      <c r="A3428">
        <v>12211817</v>
      </c>
      <c r="B3428">
        <v>12084719</v>
      </c>
      <c r="C3428" t="s">
        <v>163</v>
      </c>
      <c r="D3428" t="s">
        <v>114</v>
      </c>
      <c r="E3428" s="4" t="str">
        <f>HYPERLINK("https://ibp.a2mac1.com/costing(costing:projects/details/9760/equipment/12211817)","DC machine - General")</f>
        <v>DC machine - General</v>
      </c>
      <c r="F3428" t="s">
        <v>3912</v>
      </c>
    </row>
    <row r="3429" spans="1:6" x14ac:dyDescent="0.15">
      <c r="A3429">
        <v>8414983</v>
      </c>
      <c r="B3429">
        <v>8414818</v>
      </c>
      <c r="C3429" t="s">
        <v>10</v>
      </c>
      <c r="D3429" t="s">
        <v>8</v>
      </c>
      <c r="E3429" s="4" t="str">
        <f>HYPERLINK("https://ibp.a2mac1.com/costing(costing:projects/details/9760/part/8414983)","LCD Support")</f>
        <v>LCD Support</v>
      </c>
      <c r="F3429" t="s">
        <v>3905</v>
      </c>
    </row>
    <row r="3430" spans="1:6" x14ac:dyDescent="0.15">
      <c r="A3430">
        <v>12084720</v>
      </c>
      <c r="B3430">
        <v>8414983</v>
      </c>
      <c r="C3430" t="s">
        <v>114</v>
      </c>
      <c r="D3430" t="s">
        <v>10</v>
      </c>
      <c r="E3430" s="4" t="str">
        <f>HYPERLINK("https://ibp.a2mac1.com/costing(costing:projects/details/9760/process/12084720)","Automated Process")</f>
        <v>Automated Process</v>
      </c>
      <c r="F3430" t="s">
        <v>3914</v>
      </c>
    </row>
    <row r="3431" spans="1:6" x14ac:dyDescent="0.15">
      <c r="A3431">
        <v>8754087</v>
      </c>
      <c r="B3431">
        <v>12084720</v>
      </c>
      <c r="C3431" t="s">
        <v>22</v>
      </c>
      <c r="D3431" t="s">
        <v>114</v>
      </c>
      <c r="E3431" s="4" t="str">
        <f>HYPERLINK("https://ibp.a2mac1.com/costing(costing:projects/details/9760/material/8754087)","Steel sheet (default) adjusted (part)")</f>
        <v>Steel sheet (default) adjusted (part)</v>
      </c>
      <c r="F3431" t="s">
        <v>3915</v>
      </c>
    </row>
    <row r="3432" spans="1:6" x14ac:dyDescent="0.15">
      <c r="A3432">
        <v>12211818</v>
      </c>
      <c r="B3432">
        <v>12084720</v>
      </c>
      <c r="C3432" t="s">
        <v>163</v>
      </c>
      <c r="D3432" t="s">
        <v>114</v>
      </c>
      <c r="E3432" s="4" t="str">
        <f>HYPERLINK("https://ibp.a2mac1.com/costing(costing:projects/details/9760/equipment/12211818)","DC machine - General")</f>
        <v>DC machine - General</v>
      </c>
      <c r="F3432" t="s">
        <v>3915</v>
      </c>
    </row>
    <row r="3433" spans="1:6" x14ac:dyDescent="0.15">
      <c r="A3433">
        <v>8414984</v>
      </c>
      <c r="B3433">
        <v>8414818</v>
      </c>
      <c r="C3433" t="s">
        <v>10</v>
      </c>
      <c r="D3433" t="s">
        <v>8</v>
      </c>
      <c r="E3433" s="4" t="str">
        <f>HYPERLINK("https://ibp.a2mac1.com/costing(costing:projects/details/9760/part/8414984)","2nd LCD Support")</f>
        <v>2nd LCD Support</v>
      </c>
      <c r="F3433" t="s">
        <v>3905</v>
      </c>
    </row>
    <row r="3434" spans="1:6" x14ac:dyDescent="0.15">
      <c r="A3434">
        <v>12084721</v>
      </c>
      <c r="B3434">
        <v>8414984</v>
      </c>
      <c r="C3434" t="s">
        <v>114</v>
      </c>
      <c r="D3434" t="s">
        <v>10</v>
      </c>
      <c r="E3434" s="4" t="str">
        <f>HYPERLINK("https://ibp.a2mac1.com/costing(costing:projects/details/9760/process/12084721)","Automated Process")</f>
        <v>Automated Process</v>
      </c>
      <c r="F3434" t="s">
        <v>3917</v>
      </c>
    </row>
    <row r="3435" spans="1:6" x14ac:dyDescent="0.15">
      <c r="A3435">
        <v>8754088</v>
      </c>
      <c r="B3435">
        <v>12084721</v>
      </c>
      <c r="C3435" t="s">
        <v>22</v>
      </c>
      <c r="D3435" t="s">
        <v>114</v>
      </c>
      <c r="E3435" s="4" t="str">
        <f>HYPERLINK("https://ibp.a2mac1.com/costing(costing:projects/details/9760/material/8754088)","Steel sheet (default) adjusted (part)")</f>
        <v>Steel sheet (default) adjusted (part)</v>
      </c>
      <c r="F3435" t="s">
        <v>3918</v>
      </c>
    </row>
    <row r="3436" spans="1:6" x14ac:dyDescent="0.15">
      <c r="A3436">
        <v>12211819</v>
      </c>
      <c r="B3436">
        <v>12084721</v>
      </c>
      <c r="C3436" t="s">
        <v>163</v>
      </c>
      <c r="D3436" t="s">
        <v>114</v>
      </c>
      <c r="E3436" s="4" t="str">
        <f>HYPERLINK("https://ibp.a2mac1.com/costing(costing:projects/details/9760/equipment/12211819)","DC machine - General")</f>
        <v>DC machine - General</v>
      </c>
      <c r="F3436" t="s">
        <v>3918</v>
      </c>
    </row>
    <row r="3437" spans="1:6" x14ac:dyDescent="0.15">
      <c r="A3437">
        <v>8414985</v>
      </c>
      <c r="B3437">
        <v>8414818</v>
      </c>
      <c r="C3437" t="s">
        <v>10</v>
      </c>
      <c r="D3437" t="s">
        <v>8</v>
      </c>
      <c r="E3437" s="4" t="str">
        <f>HYPERLINK("https://ibp.a2mac1.com/costing(costing:projects/details/9760/part/8414985)","Screen Support Trim")</f>
        <v>Screen Support Trim</v>
      </c>
      <c r="F3437" t="s">
        <v>3905</v>
      </c>
    </row>
    <row r="3438" spans="1:6" x14ac:dyDescent="0.15">
      <c r="A3438">
        <v>12084722</v>
      </c>
      <c r="B3438">
        <v>8414985</v>
      </c>
      <c r="C3438" t="s">
        <v>114</v>
      </c>
      <c r="D3438" t="s">
        <v>10</v>
      </c>
      <c r="E3438" s="4" t="str">
        <f>HYPERLINK("https://ibp.a2mac1.com/costing(costing:projects/details/9760/process/12084722)","Automated Process")</f>
        <v>Automated Process</v>
      </c>
      <c r="F3438" t="s">
        <v>3920</v>
      </c>
    </row>
    <row r="3439" spans="1:6" x14ac:dyDescent="0.15">
      <c r="A3439">
        <v>8754089</v>
      </c>
      <c r="B3439">
        <v>12084722</v>
      </c>
      <c r="C3439" t="s">
        <v>22</v>
      </c>
      <c r="D3439" t="s">
        <v>114</v>
      </c>
      <c r="E3439" s="4" t="str">
        <f>HYPERLINK("https://ibp.a2mac1.com/costing(costing:projects/details/9760/material/8754089)","PC-ABS adjusted (part)")</f>
        <v>PC-ABS adjusted (part)</v>
      </c>
      <c r="F3439" t="s">
        <v>3921</v>
      </c>
    </row>
    <row r="3440" spans="1:6" x14ac:dyDescent="0.15">
      <c r="A3440">
        <v>12211820</v>
      </c>
      <c r="B3440">
        <v>12084722</v>
      </c>
      <c r="C3440" t="s">
        <v>163</v>
      </c>
      <c r="D3440" t="s">
        <v>114</v>
      </c>
      <c r="E3440" s="4" t="str">
        <f>HYPERLINK("https://ibp.a2mac1.com/costing(costing:projects/details/9760/equipment/12211820)","DC machine - General")</f>
        <v>DC machine - General</v>
      </c>
      <c r="F3440" t="s">
        <v>3921</v>
      </c>
    </row>
    <row r="3441" spans="1:6" x14ac:dyDescent="0.15">
      <c r="A3441">
        <v>8414986</v>
      </c>
      <c r="B3441">
        <v>8414818</v>
      </c>
      <c r="C3441" t="s">
        <v>10</v>
      </c>
      <c r="D3441" t="s">
        <v>8</v>
      </c>
      <c r="E3441" s="4" t="str">
        <f>HYPERLINK("https://ibp.a2mac1.com/costing(costing:projects/details/9760/part/8414986)","2nd Screen Support trim")</f>
        <v>2nd Screen Support trim</v>
      </c>
      <c r="F3441" t="s">
        <v>3905</v>
      </c>
    </row>
    <row r="3442" spans="1:6" x14ac:dyDescent="0.15">
      <c r="A3442">
        <v>12084723</v>
      </c>
      <c r="B3442">
        <v>8414986</v>
      </c>
      <c r="C3442" t="s">
        <v>114</v>
      </c>
      <c r="D3442" t="s">
        <v>10</v>
      </c>
      <c r="E3442" s="4" t="str">
        <f>HYPERLINK("https://ibp.a2mac1.com/costing(costing:projects/details/9760/process/12084723)","Automated Process")</f>
        <v>Automated Process</v>
      </c>
      <c r="F3442" t="s">
        <v>3923</v>
      </c>
    </row>
    <row r="3443" spans="1:6" x14ac:dyDescent="0.15">
      <c r="A3443">
        <v>8754090</v>
      </c>
      <c r="B3443">
        <v>12084723</v>
      </c>
      <c r="C3443" t="s">
        <v>22</v>
      </c>
      <c r="D3443" t="s">
        <v>114</v>
      </c>
      <c r="E3443" s="4" t="str">
        <f>HYPERLINK("https://ibp.a2mac1.com/costing(costing:projects/details/9760/material/8754090)","PP-EPDM-TD10 adjusted (part)")</f>
        <v>PP-EPDM-TD10 adjusted (part)</v>
      </c>
      <c r="F3443" t="s">
        <v>3924</v>
      </c>
    </row>
    <row r="3444" spans="1:6" x14ac:dyDescent="0.15">
      <c r="A3444">
        <v>12211821</v>
      </c>
      <c r="B3444">
        <v>12084723</v>
      </c>
      <c r="C3444" t="s">
        <v>163</v>
      </c>
      <c r="D3444" t="s">
        <v>114</v>
      </c>
      <c r="E3444" s="4" t="str">
        <f>HYPERLINK("https://ibp.a2mac1.com/costing(costing:projects/details/9760/equipment/12211821)","DC machine - General")</f>
        <v>DC machine - General</v>
      </c>
      <c r="F3444" t="s">
        <v>3924</v>
      </c>
    </row>
    <row r="3445" spans="1:6" x14ac:dyDescent="0.15">
      <c r="A3445">
        <v>8414819</v>
      </c>
      <c r="B3445">
        <v>8414744</v>
      </c>
      <c r="C3445" t="s">
        <v>8</v>
      </c>
      <c r="D3445" t="s">
        <v>8</v>
      </c>
      <c r="E3445" s="4" t="str">
        <f>HYPERLINK("https://ibp.a2mac1.com/costing(costing:projects/details/9760/assembly/8414819)","Heating System")</f>
        <v>Heating System</v>
      </c>
      <c r="F3445" t="s">
        <v>3877</v>
      </c>
    </row>
    <row r="3446" spans="1:6" x14ac:dyDescent="0.15">
      <c r="A3446">
        <v>8414987</v>
      </c>
      <c r="B3446">
        <v>8414819</v>
      </c>
      <c r="C3446" t="s">
        <v>8</v>
      </c>
      <c r="D3446" t="s">
        <v>8</v>
      </c>
      <c r="E3446" s="4" t="str">
        <f>HYPERLINK("https://ibp.a2mac1.com/costing(costing:projects/details/9760/assembly/8414987)","Heating Control")</f>
        <v>Heating Control</v>
      </c>
      <c r="F3446" t="s">
        <v>3927</v>
      </c>
    </row>
    <row r="3447" spans="1:6" x14ac:dyDescent="0.15">
      <c r="A3447">
        <v>12084724</v>
      </c>
      <c r="B3447">
        <v>8414987</v>
      </c>
      <c r="C3447" t="s">
        <v>114</v>
      </c>
      <c r="D3447" t="s">
        <v>8</v>
      </c>
      <c r="E3447" s="4" t="str">
        <f>HYPERLINK("https://ibp.a2mac1.com/costing(costing:projects/details/9760/process/12084724)","Process")</f>
        <v>Process</v>
      </c>
      <c r="F3447" t="s">
        <v>3928</v>
      </c>
    </row>
    <row r="3448" spans="1:6" x14ac:dyDescent="0.15">
      <c r="A3448">
        <v>12211822</v>
      </c>
      <c r="B3448">
        <v>12084724</v>
      </c>
      <c r="C3448" t="s">
        <v>163</v>
      </c>
      <c r="D3448" t="s">
        <v>114</v>
      </c>
      <c r="E3448" s="4" t="str">
        <f>HYPERLINK("https://ibp.a2mac1.com/costing(costing:projects/details/9760/equipment/12211822)","Dummy Machine (PCBA+Final Assembly Line)")</f>
        <v>Dummy Machine (PCBA+Final Assembly Line)</v>
      </c>
      <c r="F3448" t="s">
        <v>3929</v>
      </c>
    </row>
    <row r="3449" spans="1:6" x14ac:dyDescent="0.15">
      <c r="A3449">
        <v>8753909</v>
      </c>
      <c r="B3449">
        <v>8414987</v>
      </c>
      <c r="C3449" t="s">
        <v>311</v>
      </c>
      <c r="D3449" t="s">
        <v>8</v>
      </c>
      <c r="E3449" s="4" t="str">
        <f>HYPERLINK("https://ibp.a2mac1.com/costing(costing:projects/details/9760/component/8753909)","Mechanics")</f>
        <v>Mechanics</v>
      </c>
      <c r="F3449" t="s">
        <v>3928</v>
      </c>
    </row>
    <row r="3450" spans="1:6" x14ac:dyDescent="0.15">
      <c r="A3450">
        <v>8753910</v>
      </c>
      <c r="B3450">
        <v>8414987</v>
      </c>
      <c r="C3450" t="s">
        <v>311</v>
      </c>
      <c r="D3450" t="s">
        <v>8</v>
      </c>
      <c r="E3450" s="4" t="str">
        <f>HYPERLINK("https://ibp.a2mac1.com/costing(costing:projects/details/9760/component/8753910)","Electronics")</f>
        <v>Electronics</v>
      </c>
      <c r="F3450" t="s">
        <v>3928</v>
      </c>
    </row>
    <row r="3451" spans="1:6" x14ac:dyDescent="0.15">
      <c r="A3451">
        <v>8414820</v>
      </c>
      <c r="B3451">
        <v>8414744</v>
      </c>
      <c r="C3451" t="s">
        <v>8</v>
      </c>
      <c r="D3451" t="s">
        <v>8</v>
      </c>
      <c r="E3451" s="4" t="str">
        <f>HYPERLINK("https://ibp.a2mac1.com/costing(costing:projects/details/9760/assembly/8414820)","Clock System")</f>
        <v>Clock System</v>
      </c>
      <c r="F3451" t="s">
        <v>3877</v>
      </c>
    </row>
    <row r="3452" spans="1:6" x14ac:dyDescent="0.15">
      <c r="A3452">
        <v>8414988</v>
      </c>
      <c r="B3452">
        <v>8414820</v>
      </c>
      <c r="C3452" t="s">
        <v>8</v>
      </c>
      <c r="D3452" t="s">
        <v>8</v>
      </c>
      <c r="E3452" s="4" t="str">
        <f>HYPERLINK("https://ibp.a2mac1.com/costing(costing:projects/details/9760/assembly/8414988)","Clock")</f>
        <v>Clock</v>
      </c>
      <c r="F3452" t="s">
        <v>3932</v>
      </c>
    </row>
    <row r="3453" spans="1:6" x14ac:dyDescent="0.15">
      <c r="A3453">
        <v>12084725</v>
      </c>
      <c r="B3453">
        <v>8414988</v>
      </c>
      <c r="C3453" t="s">
        <v>114</v>
      </c>
      <c r="D3453" t="s">
        <v>8</v>
      </c>
      <c r="E3453" s="4" t="str">
        <f>HYPERLINK("https://ibp.a2mac1.com/costing(costing:projects/details/9760/process/12084725)","Process")</f>
        <v>Process</v>
      </c>
      <c r="F3453" t="s">
        <v>3933</v>
      </c>
    </row>
    <row r="3454" spans="1:6" x14ac:dyDescent="0.15">
      <c r="A3454">
        <v>12211823</v>
      </c>
      <c r="B3454">
        <v>12084725</v>
      </c>
      <c r="C3454" t="s">
        <v>163</v>
      </c>
      <c r="D3454" t="s">
        <v>114</v>
      </c>
      <c r="E3454" s="4" t="str">
        <f>HYPERLINK("https://ibp.a2mac1.com/costing(costing:projects/details/9760/equipment/12211823)","Dummy Machine (PCBA+Final Assembly Line)")</f>
        <v>Dummy Machine (PCBA+Final Assembly Line)</v>
      </c>
      <c r="F3454" t="s">
        <v>3934</v>
      </c>
    </row>
    <row r="3455" spans="1:6" x14ac:dyDescent="0.15">
      <c r="A3455">
        <v>8753911</v>
      </c>
      <c r="B3455">
        <v>8414988</v>
      </c>
      <c r="C3455" t="s">
        <v>311</v>
      </c>
      <c r="D3455" t="s">
        <v>8</v>
      </c>
      <c r="E3455" s="4" t="str">
        <f>HYPERLINK("https://ibp.a2mac1.com/costing(costing:projects/details/9760/component/8753911)","Electronics")</f>
        <v>Electronics</v>
      </c>
      <c r="F3455" t="s">
        <v>3933</v>
      </c>
    </row>
    <row r="3456" spans="1:6" x14ac:dyDescent="0.15">
      <c r="A3456">
        <v>8753912</v>
      </c>
      <c r="B3456">
        <v>8414988</v>
      </c>
      <c r="C3456" t="s">
        <v>311</v>
      </c>
      <c r="D3456" t="s">
        <v>8</v>
      </c>
      <c r="E3456" s="4" t="str">
        <f>HYPERLINK("https://ibp.a2mac1.com/costing(costing:projects/details/9760/component/8753912)","Mechanics")</f>
        <v>Mechanics</v>
      </c>
      <c r="F3456" t="s">
        <v>3933</v>
      </c>
    </row>
    <row r="3457" spans="1:6" x14ac:dyDescent="0.15">
      <c r="A3457">
        <v>8414821</v>
      </c>
      <c r="B3457">
        <v>8414744</v>
      </c>
      <c r="C3457" t="s">
        <v>8</v>
      </c>
      <c r="D3457" t="s">
        <v>8</v>
      </c>
      <c r="E3457" s="4" t="str">
        <f>HYPERLINK("https://ibp.a2mac1.com/costing(costing:projects/details/9760/assembly/8414821)","Column Switch System")</f>
        <v>Column Switch System</v>
      </c>
      <c r="F3457" t="s">
        <v>3877</v>
      </c>
    </row>
    <row r="3458" spans="1:6" x14ac:dyDescent="0.15">
      <c r="A3458">
        <v>8414989</v>
      </c>
      <c r="B3458">
        <v>8414821</v>
      </c>
      <c r="C3458" t="s">
        <v>8</v>
      </c>
      <c r="D3458" t="s">
        <v>8</v>
      </c>
      <c r="E3458" s="4" t="str">
        <f>HYPERLINK("https://ibp.a2mac1.com/costing(costing:projects/details/9760/assembly/8414989)","Combination Switch Double")</f>
        <v>Combination Switch Double</v>
      </c>
      <c r="F3458" t="s">
        <v>3937</v>
      </c>
    </row>
    <row r="3459" spans="1:6" x14ac:dyDescent="0.15">
      <c r="A3459">
        <v>12084726</v>
      </c>
      <c r="B3459">
        <v>8414989</v>
      </c>
      <c r="C3459" t="s">
        <v>114</v>
      </c>
      <c r="D3459" t="s">
        <v>8</v>
      </c>
      <c r="E3459" s="4" t="str">
        <f>HYPERLINK("https://ibp.a2mac1.com/costing(costing:projects/details/9760/process/12084726)","Process")</f>
        <v>Process</v>
      </c>
      <c r="F3459" t="s">
        <v>3938</v>
      </c>
    </row>
    <row r="3460" spans="1:6" x14ac:dyDescent="0.15">
      <c r="A3460">
        <v>12211824</v>
      </c>
      <c r="B3460">
        <v>12084726</v>
      </c>
      <c r="C3460" t="s">
        <v>163</v>
      </c>
      <c r="D3460" t="s">
        <v>114</v>
      </c>
      <c r="E3460" s="4" t="str">
        <f>HYPERLINK("https://ibp.a2mac1.com/costing(costing:projects/details/9760/equipment/12211824)","Dummy Machine (PCBA+Final Assembly Line)")</f>
        <v>Dummy Machine (PCBA+Final Assembly Line)</v>
      </c>
      <c r="F3460" t="s">
        <v>3939</v>
      </c>
    </row>
    <row r="3461" spans="1:6" x14ac:dyDescent="0.15">
      <c r="A3461">
        <v>8753913</v>
      </c>
      <c r="B3461">
        <v>8414989</v>
      </c>
      <c r="C3461" t="s">
        <v>311</v>
      </c>
      <c r="D3461" t="s">
        <v>8</v>
      </c>
      <c r="E3461" s="4" t="str">
        <f>HYPERLINK("https://ibp.a2mac1.com/costing(costing:projects/details/9760/component/8753913)","Electronics")</f>
        <v>Electronics</v>
      </c>
      <c r="F3461" t="s">
        <v>3938</v>
      </c>
    </row>
    <row r="3462" spans="1:6" x14ac:dyDescent="0.15">
      <c r="A3462">
        <v>8753914</v>
      </c>
      <c r="B3462">
        <v>8414989</v>
      </c>
      <c r="C3462" t="s">
        <v>311</v>
      </c>
      <c r="D3462" t="s">
        <v>8</v>
      </c>
      <c r="E3462" s="4" t="str">
        <f>HYPERLINK("https://ibp.a2mac1.com/costing(costing:projects/details/9760/component/8753914)","Mechanics")</f>
        <v>Mechanics</v>
      </c>
      <c r="F3462" t="s">
        <v>3938</v>
      </c>
    </row>
    <row r="3463" spans="1:6" x14ac:dyDescent="0.15">
      <c r="A3463">
        <v>8414822</v>
      </c>
      <c r="B3463">
        <v>8414744</v>
      </c>
      <c r="C3463" t="s">
        <v>8</v>
      </c>
      <c r="D3463" t="s">
        <v>8</v>
      </c>
      <c r="E3463" s="4" t="str">
        <f>HYPERLINK("https://ibp.a2mac1.com/costing(costing:projects/details/9760/assembly/8414822)","Ambiance Light System")</f>
        <v>Ambiance Light System</v>
      </c>
      <c r="F3463" t="s">
        <v>3877</v>
      </c>
    </row>
    <row r="3464" spans="1:6" x14ac:dyDescent="0.15">
      <c r="A3464">
        <v>8414990</v>
      </c>
      <c r="B3464">
        <v>8414822</v>
      </c>
      <c r="C3464" t="s">
        <v>10</v>
      </c>
      <c r="D3464" t="s">
        <v>8</v>
      </c>
      <c r="E3464" s="4" t="str">
        <f>HYPERLINK("https://ibp.a2mac1.com/costing(costing:projects/details/9760/part/8414990)","Upper Left Lighting")</f>
        <v>Upper Left Lighting</v>
      </c>
      <c r="F3464" t="s">
        <v>3942</v>
      </c>
    </row>
    <row r="3465" spans="1:6" x14ac:dyDescent="0.15">
      <c r="A3465">
        <v>8414991</v>
      </c>
      <c r="B3465">
        <v>8414822</v>
      </c>
      <c r="C3465" t="s">
        <v>10</v>
      </c>
      <c r="D3465" t="s">
        <v>8</v>
      </c>
      <c r="E3465" s="4" t="str">
        <f>HYPERLINK("https://ibp.a2mac1.com/costing(costing:projects/details/9760/part/8414991)","Upper Right Light")</f>
        <v>Upper Right Light</v>
      </c>
      <c r="F3465" t="s">
        <v>3942</v>
      </c>
    </row>
    <row r="3466" spans="1:6" x14ac:dyDescent="0.15">
      <c r="A3466">
        <v>8414823</v>
      </c>
      <c r="B3466">
        <v>8414744</v>
      </c>
      <c r="C3466" t="s">
        <v>8</v>
      </c>
      <c r="D3466" t="s">
        <v>8</v>
      </c>
      <c r="E3466" s="4" t="str">
        <f>HYPERLINK("https://ibp.a2mac1.com/costing(costing:projects/details/9760/assembly/8414823)","Head-Up Display System")</f>
        <v>Head-Up Display System</v>
      </c>
      <c r="F3466" t="s">
        <v>3877</v>
      </c>
    </row>
    <row r="3467" spans="1:6" x14ac:dyDescent="0.15">
      <c r="A3467">
        <v>8414992</v>
      </c>
      <c r="B3467">
        <v>8414823</v>
      </c>
      <c r="C3467" t="s">
        <v>8</v>
      </c>
      <c r="D3467" t="s">
        <v>8</v>
      </c>
      <c r="E3467" s="4" t="str">
        <f>HYPERLINK("https://ibp.a2mac1.com/costing(costing:projects/details/9760/assembly/8414992)","Head-Up Display")</f>
        <v>Head-Up Display</v>
      </c>
      <c r="F3467" t="s">
        <v>3947</v>
      </c>
    </row>
    <row r="3468" spans="1:6" x14ac:dyDescent="0.15">
      <c r="A3468">
        <v>12084727</v>
      </c>
      <c r="B3468">
        <v>8414992</v>
      </c>
      <c r="C3468" t="s">
        <v>114</v>
      </c>
      <c r="D3468" t="s">
        <v>8</v>
      </c>
      <c r="E3468" s="4" t="str">
        <f>HYPERLINK("https://ibp.a2mac1.com/costing(costing:projects/details/9760/process/12084727)","Process")</f>
        <v>Process</v>
      </c>
      <c r="F3468" t="s">
        <v>3948</v>
      </c>
    </row>
    <row r="3469" spans="1:6" x14ac:dyDescent="0.15">
      <c r="A3469">
        <v>12211825</v>
      </c>
      <c r="B3469">
        <v>12084727</v>
      </c>
      <c r="C3469" t="s">
        <v>163</v>
      </c>
      <c r="D3469" t="s">
        <v>114</v>
      </c>
      <c r="E3469" s="4" t="str">
        <f>HYPERLINK("https://ibp.a2mac1.com/costing(costing:projects/details/9760/equipment/12211825)","Dummy Machine (PCBA+Final Assembly Line)")</f>
        <v>Dummy Machine (PCBA+Final Assembly Line)</v>
      </c>
      <c r="F3469" t="s">
        <v>3949</v>
      </c>
    </row>
    <row r="3470" spans="1:6" x14ac:dyDescent="0.15">
      <c r="A3470">
        <v>8753915</v>
      </c>
      <c r="B3470">
        <v>8414992</v>
      </c>
      <c r="C3470" t="s">
        <v>311</v>
      </c>
      <c r="D3470" t="s">
        <v>8</v>
      </c>
      <c r="E3470" s="4" t="str">
        <f>HYPERLINK("https://ibp.a2mac1.com/costing(costing:projects/details/9760/component/8753915)","Electronics")</f>
        <v>Electronics</v>
      </c>
      <c r="F3470" t="s">
        <v>3948</v>
      </c>
    </row>
    <row r="3471" spans="1:6" x14ac:dyDescent="0.15">
      <c r="A3471">
        <v>8753916</v>
      </c>
      <c r="B3471">
        <v>8414992</v>
      </c>
      <c r="C3471" t="s">
        <v>311</v>
      </c>
      <c r="D3471" t="s">
        <v>8</v>
      </c>
      <c r="E3471" s="4" t="str">
        <f>HYPERLINK("https://ibp.a2mac1.com/costing(costing:projects/details/9760/component/8753916)","Mechanics")</f>
        <v>Mechanics</v>
      </c>
      <c r="F3471" t="s">
        <v>3948</v>
      </c>
    </row>
    <row r="3472" spans="1:6" x14ac:dyDescent="0.15">
      <c r="A3472">
        <v>8414993</v>
      </c>
      <c r="B3472">
        <v>8414823</v>
      </c>
      <c r="C3472" t="s">
        <v>10</v>
      </c>
      <c r="D3472" t="s">
        <v>8</v>
      </c>
      <c r="E3472" s="4" t="str">
        <f>HYPERLINK("https://ibp.a2mac1.com/costing(costing:projects/details/9760/part/8414993)","Cover")</f>
        <v>Cover</v>
      </c>
      <c r="F3472" t="s">
        <v>3947</v>
      </c>
    </row>
    <row r="3473" spans="1:6" x14ac:dyDescent="0.15">
      <c r="A3473">
        <v>8414824</v>
      </c>
      <c r="B3473">
        <v>8414744</v>
      </c>
      <c r="C3473" t="s">
        <v>8</v>
      </c>
      <c r="D3473" t="s">
        <v>8</v>
      </c>
      <c r="E3473" s="4" t="str">
        <f>HYPERLINK("https://ibp.a2mac1.com/costing(costing:projects/details/9760/assembly/8414824)","Sport Mode Switch Dynamic Drive")</f>
        <v>Sport Mode Switch Dynamic Drive</v>
      </c>
      <c r="F3473" t="s">
        <v>3877</v>
      </c>
    </row>
    <row r="3474" spans="1:6" x14ac:dyDescent="0.15">
      <c r="A3474">
        <v>8414994</v>
      </c>
      <c r="B3474">
        <v>8414824</v>
      </c>
      <c r="C3474" t="s">
        <v>10</v>
      </c>
      <c r="D3474" t="s">
        <v>8</v>
      </c>
      <c r="E3474" s="4" t="str">
        <f>HYPERLINK("https://ibp.a2mac1.com/costing(costing:projects/details/9760/part/8414994)","Sport Mode Switch Dynamic Drive")</f>
        <v>Sport Mode Switch Dynamic Drive</v>
      </c>
      <c r="F3474" t="s">
        <v>3954</v>
      </c>
    </row>
    <row r="3475" spans="1:6" x14ac:dyDescent="0.15">
      <c r="A3475">
        <v>8414815</v>
      </c>
      <c r="B3475">
        <v>8414744</v>
      </c>
      <c r="C3475" t="s">
        <v>10</v>
      </c>
      <c r="D3475" t="s">
        <v>8</v>
      </c>
      <c r="E3475" s="4" t="str">
        <f>HYPERLINK("https://ibp.a2mac1.com/costing(costing:projects/details/9760/part/8414815)","Air Freshener Flagrance Support")</f>
        <v>Air Freshener Flagrance Support</v>
      </c>
      <c r="F3475" t="s">
        <v>3877</v>
      </c>
    </row>
    <row r="3476" spans="1:6" x14ac:dyDescent="0.15">
      <c r="A3476">
        <v>12084599</v>
      </c>
      <c r="B3476">
        <v>8414815</v>
      </c>
      <c r="C3476" t="s">
        <v>114</v>
      </c>
      <c r="D3476" t="s">
        <v>10</v>
      </c>
      <c r="E3476" s="4" t="str">
        <f>HYPERLINK("https://ibp.a2mac1.com/costing(costing:projects/details/9760/process/12084599)","Automated Process")</f>
        <v>Automated Process</v>
      </c>
      <c r="F3476" t="s">
        <v>3957</v>
      </c>
    </row>
    <row r="3477" spans="1:6" x14ac:dyDescent="0.15">
      <c r="A3477">
        <v>8753901</v>
      </c>
      <c r="B3477">
        <v>12084599</v>
      </c>
      <c r="C3477" t="s">
        <v>22</v>
      </c>
      <c r="D3477" t="s">
        <v>114</v>
      </c>
      <c r="E3477" s="4" t="str">
        <f>HYPERLINK("https://ibp.a2mac1.com/costing(costing:projects/details/9760/material/8753901)","PC-ABS adjusted (part)")</f>
        <v>PC-ABS adjusted (part)</v>
      </c>
      <c r="F3477" t="s">
        <v>3958</v>
      </c>
    </row>
    <row r="3478" spans="1:6" x14ac:dyDescent="0.15">
      <c r="A3478">
        <v>12211697</v>
      </c>
      <c r="B3478">
        <v>12084599</v>
      </c>
      <c r="C3478" t="s">
        <v>163</v>
      </c>
      <c r="D3478" t="s">
        <v>114</v>
      </c>
      <c r="E3478" s="4" t="str">
        <f>HYPERLINK("https://ibp.a2mac1.com/costing(costing:projects/details/9760/equipment/12211697)","DC machine - General")</f>
        <v>DC machine - General</v>
      </c>
      <c r="F3478" t="s">
        <v>3958</v>
      </c>
    </row>
    <row r="3479" spans="1:6" x14ac:dyDescent="0.15">
      <c r="A3479">
        <v>8414816</v>
      </c>
      <c r="B3479">
        <v>8414744</v>
      </c>
      <c r="C3479" t="s">
        <v>10</v>
      </c>
      <c r="D3479" t="s">
        <v>8</v>
      </c>
      <c r="E3479" s="4" t="str">
        <f>HYPERLINK("https://ibp.a2mac1.com/costing(costing:projects/details/9760/part/8414816)","Air Freshener Fragrance Trim")</f>
        <v>Air Freshener Fragrance Trim</v>
      </c>
      <c r="F3479" t="s">
        <v>3877</v>
      </c>
    </row>
    <row r="3480" spans="1:6" x14ac:dyDescent="0.15">
      <c r="A3480">
        <v>12084600</v>
      </c>
      <c r="B3480">
        <v>8414816</v>
      </c>
      <c r="C3480" t="s">
        <v>114</v>
      </c>
      <c r="D3480" t="s">
        <v>10</v>
      </c>
      <c r="E3480" s="4" t="str">
        <f>HYPERLINK("https://ibp.a2mac1.com/costing(costing:projects/details/9760/process/12084600)","Automated Process")</f>
        <v>Automated Process</v>
      </c>
      <c r="F3480" t="s">
        <v>3960</v>
      </c>
    </row>
    <row r="3481" spans="1:6" x14ac:dyDescent="0.15">
      <c r="A3481">
        <v>8753902</v>
      </c>
      <c r="B3481">
        <v>12084600</v>
      </c>
      <c r="C3481" t="s">
        <v>22</v>
      </c>
      <c r="D3481" t="s">
        <v>114</v>
      </c>
      <c r="E3481" s="4" t="str">
        <f>HYPERLINK("https://ibp.a2mac1.com/costing(costing:projects/details/9760/material/8753902)","PC-ABS adjusted (part)")</f>
        <v>PC-ABS adjusted (part)</v>
      </c>
      <c r="F3481" t="s">
        <v>3961</v>
      </c>
    </row>
    <row r="3482" spans="1:6" x14ac:dyDescent="0.15">
      <c r="A3482">
        <v>12211698</v>
      </c>
      <c r="B3482">
        <v>12084600</v>
      </c>
      <c r="C3482" t="s">
        <v>163</v>
      </c>
      <c r="D3482" t="s">
        <v>114</v>
      </c>
      <c r="E3482" s="4" t="str">
        <f>HYPERLINK("https://ibp.a2mac1.com/costing(costing:projects/details/9760/equipment/12211698)","DC machine - General")</f>
        <v>DC machine - General</v>
      </c>
      <c r="F3482" t="s">
        <v>3961</v>
      </c>
    </row>
    <row r="3483" spans="1:6" x14ac:dyDescent="0.15">
      <c r="A3483">
        <v>8414745</v>
      </c>
      <c r="B3483">
        <v>8414733</v>
      </c>
      <c r="C3483" t="s">
        <v>8</v>
      </c>
      <c r="D3483" t="s">
        <v>8</v>
      </c>
      <c r="E3483" s="4" t="str">
        <f>HYPERLINK("https://ibp.a2mac1.com/costing(costing:projects/details/9760/assembly/8414745)","Bezels System")</f>
        <v>Bezels System</v>
      </c>
      <c r="F3483" t="s">
        <v>3721</v>
      </c>
    </row>
    <row r="3484" spans="1:6" x14ac:dyDescent="0.15">
      <c r="A3484">
        <v>8414827</v>
      </c>
      <c r="B3484">
        <v>8414745</v>
      </c>
      <c r="C3484" t="s">
        <v>8</v>
      </c>
      <c r="D3484" t="s">
        <v>8</v>
      </c>
      <c r="E3484" s="4" t="str">
        <f>HYPERLINK("https://ibp.a2mac1.com/costing(costing:projects/details/9760/assembly/8414827)","Bezels Driver Side")</f>
        <v>Bezels Driver Side</v>
      </c>
      <c r="F3484" t="s">
        <v>3964</v>
      </c>
    </row>
    <row r="3485" spans="1:6" x14ac:dyDescent="0.15">
      <c r="A3485">
        <v>8414995</v>
      </c>
      <c r="B3485">
        <v>8414827</v>
      </c>
      <c r="C3485" t="s">
        <v>10</v>
      </c>
      <c r="D3485" t="s">
        <v>8</v>
      </c>
      <c r="E3485" s="4" t="str">
        <f>HYPERLINK("https://ibp.a2mac1.com/costing(costing:projects/details/9760/part/8414995)","Left Bezel")</f>
        <v>Left Bezel</v>
      </c>
      <c r="F3485" t="s">
        <v>3965</v>
      </c>
    </row>
    <row r="3486" spans="1:6" x14ac:dyDescent="0.15">
      <c r="A3486">
        <v>12084728</v>
      </c>
      <c r="B3486">
        <v>8414995</v>
      </c>
      <c r="C3486" t="s">
        <v>114</v>
      </c>
      <c r="D3486" t="s">
        <v>10</v>
      </c>
      <c r="E3486" s="4" t="str">
        <f>HYPERLINK("https://ibp.a2mac1.com/costing(costing:projects/details/9760/process/12084728)","Automated Process")</f>
        <v>Automated Process</v>
      </c>
      <c r="F3486" t="s">
        <v>3966</v>
      </c>
    </row>
    <row r="3487" spans="1:6" x14ac:dyDescent="0.15">
      <c r="A3487">
        <v>8754091</v>
      </c>
      <c r="B3487">
        <v>12084728</v>
      </c>
      <c r="C3487" t="s">
        <v>22</v>
      </c>
      <c r="D3487" t="s">
        <v>114</v>
      </c>
      <c r="E3487" s="4" t="str">
        <f>HYPERLINK("https://ibp.a2mac1.com/costing(costing:projects/details/9760/material/8754091)","PC-ABS;leather")</f>
        <v>PC-ABS;leather</v>
      </c>
      <c r="F3487" t="s">
        <v>3967</v>
      </c>
    </row>
    <row r="3488" spans="1:6" x14ac:dyDescent="0.15">
      <c r="A3488">
        <v>12211826</v>
      </c>
      <c r="B3488">
        <v>12084728</v>
      </c>
      <c r="C3488" t="s">
        <v>163</v>
      </c>
      <c r="D3488" t="s">
        <v>114</v>
      </c>
      <c r="E3488" s="4" t="str">
        <f>HYPERLINK("https://ibp.a2mac1.com/costing(costing:projects/details/9760/equipment/12211826)","DC machine - General")</f>
        <v>DC machine - General</v>
      </c>
      <c r="F3488" t="s">
        <v>3967</v>
      </c>
    </row>
    <row r="3489" spans="1:6" x14ac:dyDescent="0.15">
      <c r="A3489">
        <v>8414996</v>
      </c>
      <c r="B3489">
        <v>8414827</v>
      </c>
      <c r="C3489" t="s">
        <v>10</v>
      </c>
      <c r="D3489" t="s">
        <v>8</v>
      </c>
      <c r="E3489" s="4" t="str">
        <f>HYPERLINK("https://ibp.a2mac1.com/costing(costing:projects/details/9760/part/8414996)","2nd Left Bezel")</f>
        <v>2nd Left Bezel</v>
      </c>
      <c r="F3489" t="s">
        <v>3965</v>
      </c>
    </row>
    <row r="3490" spans="1:6" x14ac:dyDescent="0.15">
      <c r="A3490">
        <v>12084729</v>
      </c>
      <c r="B3490">
        <v>8414996</v>
      </c>
      <c r="C3490" t="s">
        <v>114</v>
      </c>
      <c r="D3490" t="s">
        <v>10</v>
      </c>
      <c r="E3490" s="4" t="str">
        <f>HYPERLINK("https://ibp.a2mac1.com/costing(costing:projects/details/9760/process/12084729)","Automated Process")</f>
        <v>Automated Process</v>
      </c>
      <c r="F3490" t="s">
        <v>3970</v>
      </c>
    </row>
    <row r="3491" spans="1:6" x14ac:dyDescent="0.15">
      <c r="A3491">
        <v>8754092</v>
      </c>
      <c r="B3491">
        <v>12084729</v>
      </c>
      <c r="C3491" t="s">
        <v>22</v>
      </c>
      <c r="D3491" t="s">
        <v>114</v>
      </c>
      <c r="E3491" s="4" t="str">
        <f>HYPERLINK("https://ibp.a2mac1.com/costing(costing:projects/details/9760/material/8754092)","PC-ABS adjusted (part)")</f>
        <v>PC-ABS adjusted (part)</v>
      </c>
      <c r="F3491" t="s">
        <v>3971</v>
      </c>
    </row>
    <row r="3492" spans="1:6" x14ac:dyDescent="0.15">
      <c r="A3492">
        <v>12211827</v>
      </c>
      <c r="B3492">
        <v>12084729</v>
      </c>
      <c r="C3492" t="s">
        <v>163</v>
      </c>
      <c r="D3492" t="s">
        <v>114</v>
      </c>
      <c r="E3492" s="4" t="str">
        <f>HYPERLINK("https://ibp.a2mac1.com/costing(costing:projects/details/9760/equipment/12211827)","DC machine - General")</f>
        <v>DC machine - General</v>
      </c>
      <c r="F3492" t="s">
        <v>3971</v>
      </c>
    </row>
    <row r="3493" spans="1:6" x14ac:dyDescent="0.15">
      <c r="A3493">
        <v>8414997</v>
      </c>
      <c r="B3493">
        <v>8414827</v>
      </c>
      <c r="C3493" t="s">
        <v>10</v>
      </c>
      <c r="D3493" t="s">
        <v>8</v>
      </c>
      <c r="E3493" s="4" t="str">
        <f>HYPERLINK("https://ibp.a2mac1.com/costing(costing:projects/details/9760/part/8414997)","3rd Left Bezel")</f>
        <v>3rd Left Bezel</v>
      </c>
      <c r="F3493" t="s">
        <v>3965</v>
      </c>
    </row>
    <row r="3494" spans="1:6" x14ac:dyDescent="0.15">
      <c r="A3494">
        <v>12084730</v>
      </c>
      <c r="B3494">
        <v>8414997</v>
      </c>
      <c r="C3494" t="s">
        <v>114</v>
      </c>
      <c r="D3494" t="s">
        <v>10</v>
      </c>
      <c r="E3494" s="4" t="str">
        <f>HYPERLINK("https://ibp.a2mac1.com/costing(costing:projects/details/9760/process/12084730)","Automated Process")</f>
        <v>Automated Process</v>
      </c>
      <c r="F3494" t="s">
        <v>3973</v>
      </c>
    </row>
    <row r="3495" spans="1:6" x14ac:dyDescent="0.15">
      <c r="A3495">
        <v>8754093</v>
      </c>
      <c r="B3495">
        <v>12084730</v>
      </c>
      <c r="C3495" t="s">
        <v>22</v>
      </c>
      <c r="D3495" t="s">
        <v>114</v>
      </c>
      <c r="E3495" s="4" t="str">
        <f>HYPERLINK("https://ibp.a2mac1.com/costing(costing:projects/details/9760/material/8754093)","PC-ABS adjusted (part)")</f>
        <v>PC-ABS adjusted (part)</v>
      </c>
      <c r="F3495" t="s">
        <v>3974</v>
      </c>
    </row>
    <row r="3496" spans="1:6" x14ac:dyDescent="0.15">
      <c r="A3496">
        <v>12211828</v>
      </c>
      <c r="B3496">
        <v>12084730</v>
      </c>
      <c r="C3496" t="s">
        <v>163</v>
      </c>
      <c r="D3496" t="s">
        <v>114</v>
      </c>
      <c r="E3496" s="4" t="str">
        <f>HYPERLINK("https://ibp.a2mac1.com/costing(costing:projects/details/9760/equipment/12211828)","DC machine - General")</f>
        <v>DC machine - General</v>
      </c>
      <c r="F3496" t="s">
        <v>3974</v>
      </c>
    </row>
    <row r="3497" spans="1:6" x14ac:dyDescent="0.15">
      <c r="A3497">
        <v>8414998</v>
      </c>
      <c r="B3497">
        <v>8414827</v>
      </c>
      <c r="C3497" t="s">
        <v>10</v>
      </c>
      <c r="D3497" t="s">
        <v>8</v>
      </c>
      <c r="E3497" s="4" t="str">
        <f>HYPERLINK("https://ibp.a2mac1.com/costing(costing:projects/details/9760/part/8414998)","4th Left Bezel")</f>
        <v>4th Left Bezel</v>
      </c>
      <c r="F3497" t="s">
        <v>3965</v>
      </c>
    </row>
    <row r="3498" spans="1:6" x14ac:dyDescent="0.15">
      <c r="A3498">
        <v>12084731</v>
      </c>
      <c r="B3498">
        <v>8414998</v>
      </c>
      <c r="C3498" t="s">
        <v>114</v>
      </c>
      <c r="D3498" t="s">
        <v>10</v>
      </c>
      <c r="E3498" s="4" t="str">
        <f>HYPERLINK("https://ibp.a2mac1.com/costing(costing:projects/details/9760/process/12084731)","Automated Process")</f>
        <v>Automated Process</v>
      </c>
      <c r="F3498" t="s">
        <v>3976</v>
      </c>
    </row>
    <row r="3499" spans="1:6" x14ac:dyDescent="0.15">
      <c r="A3499">
        <v>8754094</v>
      </c>
      <c r="B3499">
        <v>12084731</v>
      </c>
      <c r="C3499" t="s">
        <v>22</v>
      </c>
      <c r="D3499" t="s">
        <v>114</v>
      </c>
      <c r="E3499" s="4" t="str">
        <f>HYPERLINK("https://ibp.a2mac1.com/costing(costing:projects/details/9760/material/8754094)","PC-ABS adjusted (part)")</f>
        <v>PC-ABS adjusted (part)</v>
      </c>
      <c r="F3499" t="s">
        <v>3977</v>
      </c>
    </row>
    <row r="3500" spans="1:6" x14ac:dyDescent="0.15">
      <c r="A3500">
        <v>12211829</v>
      </c>
      <c r="B3500">
        <v>12084731</v>
      </c>
      <c r="C3500" t="s">
        <v>163</v>
      </c>
      <c r="D3500" t="s">
        <v>114</v>
      </c>
      <c r="E3500" s="4" t="str">
        <f>HYPERLINK("https://ibp.a2mac1.com/costing(costing:projects/details/9760/equipment/12211829)","DC machine - General")</f>
        <v>DC machine - General</v>
      </c>
      <c r="F3500" t="s">
        <v>3977</v>
      </c>
    </row>
    <row r="3501" spans="1:6" x14ac:dyDescent="0.15">
      <c r="A3501">
        <v>8414999</v>
      </c>
      <c r="B3501">
        <v>8414827</v>
      </c>
      <c r="C3501" t="s">
        <v>10</v>
      </c>
      <c r="D3501" t="s">
        <v>8</v>
      </c>
      <c r="E3501" s="4" t="str">
        <f>HYPERLINK("https://ibp.a2mac1.com/costing(costing:projects/details/9760/part/8414999)","Right Bezel")</f>
        <v>Right Bezel</v>
      </c>
      <c r="F3501" t="s">
        <v>3965</v>
      </c>
    </row>
    <row r="3502" spans="1:6" x14ac:dyDescent="0.15">
      <c r="A3502">
        <v>12084732</v>
      </c>
      <c r="B3502">
        <v>8414999</v>
      </c>
      <c r="C3502" t="s">
        <v>114</v>
      </c>
      <c r="D3502" t="s">
        <v>10</v>
      </c>
      <c r="E3502" s="4" t="str">
        <f>HYPERLINK("https://ibp.a2mac1.com/costing(costing:projects/details/9760/process/12084732)","Automated Process")</f>
        <v>Automated Process</v>
      </c>
      <c r="F3502" t="s">
        <v>3979</v>
      </c>
    </row>
    <row r="3503" spans="1:6" x14ac:dyDescent="0.15">
      <c r="A3503">
        <v>8754095</v>
      </c>
      <c r="B3503">
        <v>12084732</v>
      </c>
      <c r="C3503" t="s">
        <v>22</v>
      </c>
      <c r="D3503" t="s">
        <v>114</v>
      </c>
      <c r="E3503" s="4" t="str">
        <f>HYPERLINK("https://ibp.a2mac1.com/costing(costing:projects/details/9760/material/8754095)","Leather;PC-ABS")</f>
        <v>Leather;PC-ABS</v>
      </c>
      <c r="F3503" t="s">
        <v>3980</v>
      </c>
    </row>
    <row r="3504" spans="1:6" x14ac:dyDescent="0.15">
      <c r="A3504">
        <v>12211830</v>
      </c>
      <c r="B3504">
        <v>12084732</v>
      </c>
      <c r="C3504" t="s">
        <v>163</v>
      </c>
      <c r="D3504" t="s">
        <v>114</v>
      </c>
      <c r="E3504" s="4" t="str">
        <f>HYPERLINK("https://ibp.a2mac1.com/costing(costing:projects/details/9760/equipment/12211830)","DC machine - General")</f>
        <v>DC machine - General</v>
      </c>
      <c r="F3504" t="s">
        <v>3980</v>
      </c>
    </row>
    <row r="3505" spans="1:6" x14ac:dyDescent="0.15">
      <c r="A3505">
        <v>8415000</v>
      </c>
      <c r="B3505">
        <v>8414827</v>
      </c>
      <c r="C3505" t="s">
        <v>10</v>
      </c>
      <c r="D3505" t="s">
        <v>8</v>
      </c>
      <c r="E3505" s="4" t="str">
        <f>HYPERLINK("https://ibp.a2mac1.com/costing(costing:projects/details/9760/part/8415000)","2nd Right Bezel")</f>
        <v>2nd Right Bezel</v>
      </c>
      <c r="F3505" t="s">
        <v>3965</v>
      </c>
    </row>
    <row r="3506" spans="1:6" x14ac:dyDescent="0.15">
      <c r="A3506">
        <v>12084733</v>
      </c>
      <c r="B3506">
        <v>8415000</v>
      </c>
      <c r="C3506" t="s">
        <v>114</v>
      </c>
      <c r="D3506" t="s">
        <v>10</v>
      </c>
      <c r="E3506" s="4" t="str">
        <f>HYPERLINK("https://ibp.a2mac1.com/costing(costing:projects/details/9760/process/12084733)","Automated Process")</f>
        <v>Automated Process</v>
      </c>
      <c r="F3506" t="s">
        <v>3983</v>
      </c>
    </row>
    <row r="3507" spans="1:6" x14ac:dyDescent="0.15">
      <c r="A3507">
        <v>8754096</v>
      </c>
      <c r="B3507">
        <v>12084733</v>
      </c>
      <c r="C3507" t="s">
        <v>22</v>
      </c>
      <c r="D3507" t="s">
        <v>114</v>
      </c>
      <c r="E3507" s="4" t="str">
        <f>HYPERLINK("https://ibp.a2mac1.com/costing(costing:projects/details/9760/material/8754096)","PC-ABS adjusted (part)")</f>
        <v>PC-ABS adjusted (part)</v>
      </c>
      <c r="F3507" t="s">
        <v>3984</v>
      </c>
    </row>
    <row r="3508" spans="1:6" x14ac:dyDescent="0.15">
      <c r="A3508">
        <v>12211831</v>
      </c>
      <c r="B3508">
        <v>12084733</v>
      </c>
      <c r="C3508" t="s">
        <v>163</v>
      </c>
      <c r="D3508" t="s">
        <v>114</v>
      </c>
      <c r="E3508" s="4" t="str">
        <f>HYPERLINK("https://ibp.a2mac1.com/costing(costing:projects/details/9760/equipment/12211831)","DC machine - General")</f>
        <v>DC machine - General</v>
      </c>
      <c r="F3508" t="s">
        <v>3984</v>
      </c>
    </row>
    <row r="3509" spans="1:6" x14ac:dyDescent="0.15">
      <c r="A3509">
        <v>8414828</v>
      </c>
      <c r="B3509">
        <v>8414745</v>
      </c>
      <c r="C3509" t="s">
        <v>8</v>
      </c>
      <c r="D3509" t="s">
        <v>8</v>
      </c>
      <c r="E3509" s="4" t="str">
        <f>HYPERLINK("https://ibp.a2mac1.com/costing(costing:projects/details/9760/assembly/8414828)","Bezels Passenger Side")</f>
        <v>Bezels Passenger Side</v>
      </c>
      <c r="F3509" t="s">
        <v>3964</v>
      </c>
    </row>
    <row r="3510" spans="1:6" x14ac:dyDescent="0.15">
      <c r="A3510">
        <v>8415001</v>
      </c>
      <c r="B3510">
        <v>8414828</v>
      </c>
      <c r="C3510" t="s">
        <v>10</v>
      </c>
      <c r="D3510" t="s">
        <v>8</v>
      </c>
      <c r="E3510" s="4" t="str">
        <f>HYPERLINK("https://ibp.a2mac1.com/costing(costing:projects/details/9760/part/8415001)","Bezel")</f>
        <v>Bezel</v>
      </c>
      <c r="F3510" t="s">
        <v>3987</v>
      </c>
    </row>
    <row r="3511" spans="1:6" x14ac:dyDescent="0.15">
      <c r="A3511">
        <v>12084734</v>
      </c>
      <c r="B3511">
        <v>8415001</v>
      </c>
      <c r="C3511" t="s">
        <v>114</v>
      </c>
      <c r="D3511" t="s">
        <v>10</v>
      </c>
      <c r="E3511" s="4" t="str">
        <f>HYPERLINK("https://ibp.a2mac1.com/costing(costing:projects/details/9760/process/12084734)","Automated Process")</f>
        <v>Automated Process</v>
      </c>
      <c r="F3511" t="s">
        <v>3988</v>
      </c>
    </row>
    <row r="3512" spans="1:6" x14ac:dyDescent="0.15">
      <c r="A3512">
        <v>8754097</v>
      </c>
      <c r="B3512">
        <v>12084734</v>
      </c>
      <c r="C3512" t="s">
        <v>22</v>
      </c>
      <c r="D3512" t="s">
        <v>114</v>
      </c>
      <c r="E3512" s="4" t="str">
        <f>HYPERLINK("https://ibp.a2mac1.com/costing(costing:projects/details/9760/material/8754097)","Leather;PC-ABS")</f>
        <v>Leather;PC-ABS</v>
      </c>
      <c r="F3512" t="s">
        <v>3989</v>
      </c>
    </row>
    <row r="3513" spans="1:6" x14ac:dyDescent="0.15">
      <c r="A3513">
        <v>12211832</v>
      </c>
      <c r="B3513">
        <v>12084734</v>
      </c>
      <c r="C3513" t="s">
        <v>163</v>
      </c>
      <c r="D3513" t="s">
        <v>114</v>
      </c>
      <c r="E3513" s="4" t="str">
        <f>HYPERLINK("https://ibp.a2mac1.com/costing(costing:projects/details/9760/equipment/12211832)","DC machine - General")</f>
        <v>DC machine - General</v>
      </c>
      <c r="F3513" t="s">
        <v>3989</v>
      </c>
    </row>
    <row r="3514" spans="1:6" x14ac:dyDescent="0.15">
      <c r="A3514">
        <v>8415002</v>
      </c>
      <c r="B3514">
        <v>8414828</v>
      </c>
      <c r="C3514" t="s">
        <v>10</v>
      </c>
      <c r="D3514" t="s">
        <v>8</v>
      </c>
      <c r="E3514" s="4" t="str">
        <f>HYPERLINK("https://ibp.a2mac1.com/costing(costing:projects/details/9760/part/8415002)","2nd Bezel")</f>
        <v>2nd Bezel</v>
      </c>
      <c r="F3514" t="s">
        <v>3987</v>
      </c>
    </row>
    <row r="3515" spans="1:6" x14ac:dyDescent="0.15">
      <c r="A3515">
        <v>12084735</v>
      </c>
      <c r="B3515">
        <v>8415002</v>
      </c>
      <c r="C3515" t="s">
        <v>114</v>
      </c>
      <c r="D3515" t="s">
        <v>10</v>
      </c>
      <c r="E3515" s="4" t="str">
        <f>HYPERLINK("https://ibp.a2mac1.com/costing(costing:projects/details/9760/process/12084735)","Automated Process")</f>
        <v>Automated Process</v>
      </c>
      <c r="F3515" t="s">
        <v>3991</v>
      </c>
    </row>
    <row r="3516" spans="1:6" x14ac:dyDescent="0.15">
      <c r="A3516">
        <v>8754098</v>
      </c>
      <c r="B3516">
        <v>12084735</v>
      </c>
      <c r="C3516" t="s">
        <v>22</v>
      </c>
      <c r="D3516" t="s">
        <v>114</v>
      </c>
      <c r="E3516" s="4" t="str">
        <f>HYPERLINK("https://ibp.a2mac1.com/costing(costing:projects/details/9760/material/8754098)","PC-ABS adjusted (part)")</f>
        <v>PC-ABS adjusted (part)</v>
      </c>
      <c r="F3516" t="s">
        <v>3992</v>
      </c>
    </row>
    <row r="3517" spans="1:6" x14ac:dyDescent="0.15">
      <c r="A3517">
        <v>12211833</v>
      </c>
      <c r="B3517">
        <v>12084735</v>
      </c>
      <c r="C3517" t="s">
        <v>163</v>
      </c>
      <c r="D3517" t="s">
        <v>114</v>
      </c>
      <c r="E3517" s="4" t="str">
        <f>HYPERLINK("https://ibp.a2mac1.com/costing(costing:projects/details/9760/equipment/12211833)","DC machine - General")</f>
        <v>DC machine - General</v>
      </c>
      <c r="F3517" t="s">
        <v>3992</v>
      </c>
    </row>
    <row r="3518" spans="1:6" x14ac:dyDescent="0.15">
      <c r="A3518">
        <v>8414825</v>
      </c>
      <c r="B3518">
        <v>8414745</v>
      </c>
      <c r="C3518" t="s">
        <v>10</v>
      </c>
      <c r="D3518" t="s">
        <v>8</v>
      </c>
      <c r="E3518" s="4" t="str">
        <f>HYPERLINK("https://ibp.a2mac1.com/costing(costing:projects/details/9760/part/8414825)","Upper Trim")</f>
        <v>Upper Trim</v>
      </c>
      <c r="F3518" t="s">
        <v>3964</v>
      </c>
    </row>
    <row r="3519" spans="1:6" x14ac:dyDescent="0.15">
      <c r="A3519">
        <v>12084601</v>
      </c>
      <c r="B3519">
        <v>8414825</v>
      </c>
      <c r="C3519" t="s">
        <v>114</v>
      </c>
      <c r="D3519" t="s">
        <v>10</v>
      </c>
      <c r="E3519" s="4" t="str">
        <f>HYPERLINK("https://ibp.a2mac1.com/costing(costing:projects/details/9760/process/12084601)","Automated Process")</f>
        <v>Automated Process</v>
      </c>
      <c r="F3519" t="s">
        <v>3995</v>
      </c>
    </row>
    <row r="3520" spans="1:6" x14ac:dyDescent="0.15">
      <c r="A3520">
        <v>8753917</v>
      </c>
      <c r="B3520">
        <v>12084601</v>
      </c>
      <c r="C3520" t="s">
        <v>22</v>
      </c>
      <c r="D3520" t="s">
        <v>114</v>
      </c>
      <c r="E3520" s="4" t="str">
        <f>HYPERLINK("https://ibp.a2mac1.com/costing(costing:projects/details/9760/material/8753917)","Leather;Plastic unknown")</f>
        <v>Leather;Plastic unknown</v>
      </c>
      <c r="F3520" t="s">
        <v>3996</v>
      </c>
    </row>
    <row r="3521" spans="1:6" x14ac:dyDescent="0.15">
      <c r="A3521">
        <v>12211699</v>
      </c>
      <c r="B3521">
        <v>12084601</v>
      </c>
      <c r="C3521" t="s">
        <v>163</v>
      </c>
      <c r="D3521" t="s">
        <v>114</v>
      </c>
      <c r="E3521" s="4" t="str">
        <f>HYPERLINK("https://ibp.a2mac1.com/costing(costing:projects/details/9760/equipment/12211699)","DC machine - General")</f>
        <v>DC machine - General</v>
      </c>
      <c r="F3521" t="s">
        <v>3996</v>
      </c>
    </row>
    <row r="3522" spans="1:6" x14ac:dyDescent="0.15">
      <c r="A3522">
        <v>8414826</v>
      </c>
      <c r="B3522">
        <v>8414745</v>
      </c>
      <c r="C3522" t="s">
        <v>10</v>
      </c>
      <c r="D3522" t="s">
        <v>8</v>
      </c>
      <c r="E3522" s="4" t="str">
        <f>HYPERLINK("https://ibp.a2mac1.com/costing(costing:projects/details/9760/part/8414826)","2nd Upper Trim")</f>
        <v>2nd Upper Trim</v>
      </c>
      <c r="F3522" t="s">
        <v>3964</v>
      </c>
    </row>
    <row r="3523" spans="1:6" x14ac:dyDescent="0.15">
      <c r="A3523">
        <v>12084602</v>
      </c>
      <c r="B3523">
        <v>8414826</v>
      </c>
      <c r="C3523" t="s">
        <v>114</v>
      </c>
      <c r="D3523" t="s">
        <v>10</v>
      </c>
      <c r="E3523" s="4" t="str">
        <f>HYPERLINK("https://ibp.a2mac1.com/costing(costing:projects/details/9760/process/12084602)","Automated Process")</f>
        <v>Automated Process</v>
      </c>
      <c r="F3523" t="s">
        <v>3999</v>
      </c>
    </row>
    <row r="3524" spans="1:6" x14ac:dyDescent="0.15">
      <c r="A3524">
        <v>8753918</v>
      </c>
      <c r="B3524">
        <v>12084602</v>
      </c>
      <c r="C3524" t="s">
        <v>22</v>
      </c>
      <c r="D3524" t="s">
        <v>114</v>
      </c>
      <c r="E3524" s="4" t="str">
        <f>HYPERLINK("https://ibp.a2mac1.com/costing(costing:projects/details/9760/material/8753918)","Leather;Plastic unknown")</f>
        <v>Leather;Plastic unknown</v>
      </c>
      <c r="F3524" t="s">
        <v>4000</v>
      </c>
    </row>
    <row r="3525" spans="1:6" x14ac:dyDescent="0.15">
      <c r="A3525">
        <v>12211700</v>
      </c>
      <c r="B3525">
        <v>12084602</v>
      </c>
      <c r="C3525" t="s">
        <v>163</v>
      </c>
      <c r="D3525" t="s">
        <v>114</v>
      </c>
      <c r="E3525" s="4" t="str">
        <f>HYPERLINK("https://ibp.a2mac1.com/costing(costing:projects/details/9760/equipment/12211700)","DC machine - General")</f>
        <v>DC machine - General</v>
      </c>
      <c r="F3525" t="s">
        <v>4000</v>
      </c>
    </row>
    <row r="3526" spans="1:6" x14ac:dyDescent="0.15">
      <c r="A3526">
        <v>8414746</v>
      </c>
      <c r="B3526">
        <v>8414733</v>
      </c>
      <c r="C3526" t="s">
        <v>8</v>
      </c>
      <c r="D3526" t="s">
        <v>8</v>
      </c>
      <c r="E3526" s="4" t="str">
        <f>HYPERLINK("https://ibp.a2mac1.com/costing(costing:projects/details/9760/assembly/8414746)","Storage Compartments")</f>
        <v>Storage Compartments</v>
      </c>
      <c r="F3526" t="s">
        <v>3721</v>
      </c>
    </row>
    <row r="3527" spans="1:6" x14ac:dyDescent="0.15">
      <c r="A3527">
        <v>8414829</v>
      </c>
      <c r="B3527">
        <v>8414746</v>
      </c>
      <c r="C3527" t="s">
        <v>8</v>
      </c>
      <c r="D3527" t="s">
        <v>8</v>
      </c>
      <c r="E3527" s="4" t="str">
        <f>HYPERLINK("https://ibp.a2mac1.com/costing(costing:projects/details/9760/assembly/8414829)","Glove Box System")</f>
        <v>Glove Box System</v>
      </c>
      <c r="F3527" t="s">
        <v>4003</v>
      </c>
    </row>
    <row r="3528" spans="1:6" x14ac:dyDescent="0.15">
      <c r="A3528">
        <v>8415009</v>
      </c>
      <c r="B3528">
        <v>8414829</v>
      </c>
      <c r="C3528" t="s">
        <v>8</v>
      </c>
      <c r="D3528" t="s">
        <v>8</v>
      </c>
      <c r="E3528" s="4" t="str">
        <f>HYPERLINK("https://ibp.a2mac1.com/costing(costing:projects/details/9760/assembly/8415009)","Opening System")</f>
        <v>Opening System</v>
      </c>
      <c r="F3528" t="s">
        <v>4004</v>
      </c>
    </row>
    <row r="3529" spans="1:6" x14ac:dyDescent="0.15">
      <c r="A3529">
        <v>8415091</v>
      </c>
      <c r="B3529">
        <v>8415009</v>
      </c>
      <c r="C3529" t="s">
        <v>10</v>
      </c>
      <c r="D3529" t="s">
        <v>8</v>
      </c>
      <c r="E3529" s="4" t="str">
        <f>HYPERLINK("https://ibp.a2mac1.com/costing(costing:projects/details/9760/part/8415091)","Control")</f>
        <v>Control</v>
      </c>
      <c r="F3529" t="s">
        <v>4005</v>
      </c>
    </row>
    <row r="3530" spans="1:6" x14ac:dyDescent="0.15">
      <c r="A3530">
        <v>12084802</v>
      </c>
      <c r="B3530">
        <v>8415091</v>
      </c>
      <c r="C3530" t="s">
        <v>114</v>
      </c>
      <c r="D3530" t="s">
        <v>10</v>
      </c>
      <c r="E3530" s="4" t="str">
        <f>HYPERLINK("https://ibp.a2mac1.com/costing(costing:projects/details/9760/process/12084802)","Automated Process")</f>
        <v>Automated Process</v>
      </c>
      <c r="F3530" t="s">
        <v>4006</v>
      </c>
    </row>
    <row r="3531" spans="1:6" x14ac:dyDescent="0.15">
      <c r="A3531">
        <v>8754183</v>
      </c>
      <c r="B3531">
        <v>12084802</v>
      </c>
      <c r="C3531" t="s">
        <v>22</v>
      </c>
      <c r="D3531" t="s">
        <v>114</v>
      </c>
      <c r="E3531" s="4" t="str">
        <f>HYPERLINK("https://ibp.a2mac1.com/costing(costing:projects/details/9760/material/8754183)","PC-ABS adjusted (part)")</f>
        <v>PC-ABS adjusted (part)</v>
      </c>
      <c r="F3531" t="s">
        <v>4007</v>
      </c>
    </row>
    <row r="3532" spans="1:6" x14ac:dyDescent="0.15">
      <c r="A3532">
        <v>12211923</v>
      </c>
      <c r="B3532">
        <v>12084802</v>
      </c>
      <c r="C3532" t="s">
        <v>163</v>
      </c>
      <c r="D3532" t="s">
        <v>114</v>
      </c>
      <c r="E3532" s="4" t="str">
        <f>HYPERLINK("https://ibp.a2mac1.com/costing(costing:projects/details/9760/equipment/12211923)","DC machine - General")</f>
        <v>DC machine - General</v>
      </c>
      <c r="F3532" t="s">
        <v>4007</v>
      </c>
    </row>
    <row r="3533" spans="1:6" x14ac:dyDescent="0.15">
      <c r="A3533">
        <v>8415092</v>
      </c>
      <c r="B3533">
        <v>8415009</v>
      </c>
      <c r="C3533" t="s">
        <v>10</v>
      </c>
      <c r="D3533" t="s">
        <v>8</v>
      </c>
      <c r="E3533" s="4" t="str">
        <f>HYPERLINK("https://ibp.a2mac1.com/costing(costing:projects/details/9760/part/8415092)","Control Support")</f>
        <v>Control Support</v>
      </c>
      <c r="F3533" t="s">
        <v>4005</v>
      </c>
    </row>
    <row r="3534" spans="1:6" x14ac:dyDescent="0.15">
      <c r="A3534">
        <v>12084803</v>
      </c>
      <c r="B3534">
        <v>8415092</v>
      </c>
      <c r="C3534" t="s">
        <v>114</v>
      </c>
      <c r="D3534" t="s">
        <v>10</v>
      </c>
      <c r="E3534" s="4" t="str">
        <f>HYPERLINK("https://ibp.a2mac1.com/costing(costing:projects/details/9760/process/12084803)","Automated Process")</f>
        <v>Automated Process</v>
      </c>
      <c r="F3534" t="s">
        <v>4009</v>
      </c>
    </row>
    <row r="3535" spans="1:6" x14ac:dyDescent="0.15">
      <c r="A3535">
        <v>8754184</v>
      </c>
      <c r="B3535">
        <v>12084803</v>
      </c>
      <c r="C3535" t="s">
        <v>22</v>
      </c>
      <c r="D3535" t="s">
        <v>114</v>
      </c>
      <c r="E3535" s="4" t="str">
        <f>HYPERLINK("https://ibp.a2mac1.com/costing(costing:projects/details/9760/material/8754184)","PLASTIC UNKNOWN")</f>
        <v>PLASTIC UNKNOWN</v>
      </c>
      <c r="F3535" t="s">
        <v>4012</v>
      </c>
    </row>
    <row r="3536" spans="1:6" x14ac:dyDescent="0.15">
      <c r="A3536">
        <v>12211924</v>
      </c>
      <c r="B3536">
        <v>12084803</v>
      </c>
      <c r="C3536" t="s">
        <v>163</v>
      </c>
      <c r="D3536" t="s">
        <v>114</v>
      </c>
      <c r="E3536" s="4" t="str">
        <f>HYPERLINK("https://ibp.a2mac1.com/costing(costing:projects/details/9760/equipment/12211924)","DC machine - General")</f>
        <v>DC machine - General</v>
      </c>
      <c r="F3536" t="s">
        <v>4012</v>
      </c>
    </row>
    <row r="3537" spans="1:6" x14ac:dyDescent="0.15">
      <c r="A3537">
        <v>8415093</v>
      </c>
      <c r="B3537">
        <v>8415009</v>
      </c>
      <c r="C3537" t="s">
        <v>10</v>
      </c>
      <c r="D3537" t="s">
        <v>8</v>
      </c>
      <c r="E3537" s="4" t="str">
        <f>HYPERLINK("https://ibp.a2mac1.com/costing(costing:projects/details/9760/part/8415093)","Latch Anchor")</f>
        <v>Latch Anchor</v>
      </c>
      <c r="F3537" t="s">
        <v>4005</v>
      </c>
    </row>
    <row r="3538" spans="1:6" x14ac:dyDescent="0.15">
      <c r="A3538">
        <v>12084804</v>
      </c>
      <c r="B3538">
        <v>8415093</v>
      </c>
      <c r="C3538" t="s">
        <v>114</v>
      </c>
      <c r="D3538" t="s">
        <v>10</v>
      </c>
      <c r="E3538" s="4" t="str">
        <f>HYPERLINK("https://ibp.a2mac1.com/costing(costing:projects/details/9760/process/12084804)","Automated Process")</f>
        <v>Automated Process</v>
      </c>
      <c r="F3538" t="s">
        <v>4014</v>
      </c>
    </row>
    <row r="3539" spans="1:6" x14ac:dyDescent="0.15">
      <c r="A3539">
        <v>8754185</v>
      </c>
      <c r="B3539">
        <v>12084804</v>
      </c>
      <c r="C3539" t="s">
        <v>22</v>
      </c>
      <c r="D3539" t="s">
        <v>114</v>
      </c>
      <c r="E3539" s="4" t="str">
        <f>HYPERLINK("https://ibp.a2mac1.com/costing(costing:projects/details/9760/material/8754185)","POM adjusted (part)")</f>
        <v>POM adjusted (part)</v>
      </c>
      <c r="F3539" t="s">
        <v>4015</v>
      </c>
    </row>
    <row r="3540" spans="1:6" x14ac:dyDescent="0.15">
      <c r="A3540">
        <v>12211925</v>
      </c>
      <c r="B3540">
        <v>12084804</v>
      </c>
      <c r="C3540" t="s">
        <v>163</v>
      </c>
      <c r="D3540" t="s">
        <v>114</v>
      </c>
      <c r="E3540" s="4" t="str">
        <f>HYPERLINK("https://ibp.a2mac1.com/costing(costing:projects/details/9760/equipment/12211925)","DC machine - General")</f>
        <v>DC machine - General</v>
      </c>
      <c r="F3540" t="s">
        <v>4015</v>
      </c>
    </row>
    <row r="3541" spans="1:6" x14ac:dyDescent="0.15">
      <c r="A3541">
        <v>8415094</v>
      </c>
      <c r="B3541">
        <v>8415009</v>
      </c>
      <c r="C3541" t="s">
        <v>10</v>
      </c>
      <c r="D3541" t="s">
        <v>8</v>
      </c>
      <c r="E3541" s="4" t="str">
        <f>HYPERLINK("https://ibp.a2mac1.com/costing(costing:projects/details/9760/part/8415094)","2nd Anchor Right")</f>
        <v>2nd Anchor Right</v>
      </c>
      <c r="F3541" t="s">
        <v>4005</v>
      </c>
    </row>
    <row r="3542" spans="1:6" x14ac:dyDescent="0.15">
      <c r="A3542">
        <v>12084805</v>
      </c>
      <c r="B3542">
        <v>8415094</v>
      </c>
      <c r="C3542" t="s">
        <v>114</v>
      </c>
      <c r="D3542" t="s">
        <v>10</v>
      </c>
      <c r="E3542" s="4" t="str">
        <f>HYPERLINK("https://ibp.a2mac1.com/costing(costing:projects/details/9760/process/12084805)","Automated Process")</f>
        <v>Automated Process</v>
      </c>
      <c r="F3542" t="s">
        <v>4017</v>
      </c>
    </row>
    <row r="3543" spans="1:6" x14ac:dyDescent="0.15">
      <c r="A3543">
        <v>8754186</v>
      </c>
      <c r="B3543">
        <v>12084805</v>
      </c>
      <c r="C3543" t="s">
        <v>22</v>
      </c>
      <c r="D3543" t="s">
        <v>114</v>
      </c>
      <c r="E3543" s="4" t="str">
        <f>HYPERLINK("https://ibp.a2mac1.com/costing(costing:projects/details/9760/material/8754186)","POM adjusted (part)")</f>
        <v>POM adjusted (part)</v>
      </c>
      <c r="F3543" t="s">
        <v>4018</v>
      </c>
    </row>
    <row r="3544" spans="1:6" x14ac:dyDescent="0.15">
      <c r="A3544">
        <v>12211926</v>
      </c>
      <c r="B3544">
        <v>12084805</v>
      </c>
      <c r="C3544" t="s">
        <v>163</v>
      </c>
      <c r="D3544" t="s">
        <v>114</v>
      </c>
      <c r="E3544" s="4" t="str">
        <f>HYPERLINK("https://ibp.a2mac1.com/costing(costing:projects/details/9760/equipment/12211926)","DC machine - General")</f>
        <v>DC machine - General</v>
      </c>
      <c r="F3544" t="s">
        <v>4018</v>
      </c>
    </row>
    <row r="3545" spans="1:6" x14ac:dyDescent="0.15">
      <c r="A3545">
        <v>8415095</v>
      </c>
      <c r="B3545">
        <v>8415009</v>
      </c>
      <c r="C3545" t="s">
        <v>10</v>
      </c>
      <c r="D3545" t="s">
        <v>8</v>
      </c>
      <c r="E3545" s="4" t="str">
        <f>HYPERLINK("https://ibp.a2mac1.com/costing(costing:projects/details/9760/part/8415095)","Retarder Strut")</f>
        <v>Retarder Strut</v>
      </c>
      <c r="F3545" t="s">
        <v>4005</v>
      </c>
    </row>
    <row r="3546" spans="1:6" x14ac:dyDescent="0.15">
      <c r="A3546">
        <v>8415096</v>
      </c>
      <c r="B3546">
        <v>8415009</v>
      </c>
      <c r="C3546" t="s">
        <v>10</v>
      </c>
      <c r="D3546" t="s">
        <v>8</v>
      </c>
      <c r="E3546" s="4" t="str">
        <f>HYPERLINK("https://ibp.a2mac1.com/costing(costing:projects/details/9760/part/8415096)","Mechanism")</f>
        <v>Mechanism</v>
      </c>
      <c r="F3546" t="s">
        <v>4005</v>
      </c>
    </row>
    <row r="3547" spans="1:6" x14ac:dyDescent="0.15">
      <c r="A3547">
        <v>12084806</v>
      </c>
      <c r="B3547">
        <v>8415096</v>
      </c>
      <c r="C3547" t="s">
        <v>114</v>
      </c>
      <c r="D3547" t="s">
        <v>10</v>
      </c>
      <c r="E3547" s="4" t="str">
        <f>HYPERLINK("https://ibp.a2mac1.com/costing(costing:projects/details/9760/process/12084806)","Automated Process")</f>
        <v>Automated Process</v>
      </c>
      <c r="F3547" t="s">
        <v>4022</v>
      </c>
    </row>
    <row r="3548" spans="1:6" x14ac:dyDescent="0.15">
      <c r="A3548">
        <v>8754187</v>
      </c>
      <c r="B3548">
        <v>12084806</v>
      </c>
      <c r="C3548" t="s">
        <v>22</v>
      </c>
      <c r="D3548" t="s">
        <v>114</v>
      </c>
      <c r="E3548" s="4" t="str">
        <f>HYPERLINK("https://ibp.a2mac1.com/costing(costing:projects/details/9760/material/8754187)","PC-ABS adjusted (part)")</f>
        <v>PC-ABS adjusted (part)</v>
      </c>
      <c r="F3548" t="s">
        <v>4023</v>
      </c>
    </row>
    <row r="3549" spans="1:6" x14ac:dyDescent="0.15">
      <c r="A3549">
        <v>12211927</v>
      </c>
      <c r="B3549">
        <v>12084806</v>
      </c>
      <c r="C3549" t="s">
        <v>163</v>
      </c>
      <c r="D3549" t="s">
        <v>114</v>
      </c>
      <c r="E3549" s="4" t="str">
        <f>HYPERLINK("https://ibp.a2mac1.com/costing(costing:projects/details/9760/equipment/12211927)","DC machine - General")</f>
        <v>DC machine - General</v>
      </c>
      <c r="F3549" t="s">
        <v>4023</v>
      </c>
    </row>
    <row r="3550" spans="1:6" x14ac:dyDescent="0.15">
      <c r="A3550">
        <v>8415097</v>
      </c>
      <c r="B3550">
        <v>8415009</v>
      </c>
      <c r="C3550" t="s">
        <v>10</v>
      </c>
      <c r="D3550" t="s">
        <v>8</v>
      </c>
      <c r="E3550" s="4" t="str">
        <f>HYPERLINK("https://ibp.a2mac1.com/costing(costing:projects/details/9760/part/8415097)","2nd Mechanism")</f>
        <v>2nd Mechanism</v>
      </c>
      <c r="F3550" t="s">
        <v>4005</v>
      </c>
    </row>
    <row r="3551" spans="1:6" x14ac:dyDescent="0.15">
      <c r="A3551">
        <v>12084807</v>
      </c>
      <c r="B3551">
        <v>8415097</v>
      </c>
      <c r="C3551" t="s">
        <v>114</v>
      </c>
      <c r="D3551" t="s">
        <v>10</v>
      </c>
      <c r="E3551" s="4" t="str">
        <f>HYPERLINK("https://ibp.a2mac1.com/costing(costing:projects/details/9760/process/12084807)","Automated Process")</f>
        <v>Automated Process</v>
      </c>
      <c r="F3551" t="s">
        <v>4025</v>
      </c>
    </row>
    <row r="3552" spans="1:6" x14ac:dyDescent="0.15">
      <c r="A3552">
        <v>8754188</v>
      </c>
      <c r="B3552">
        <v>12084807</v>
      </c>
      <c r="C3552" t="s">
        <v>22</v>
      </c>
      <c r="D3552" t="s">
        <v>114</v>
      </c>
      <c r="E3552" s="4" t="str">
        <f>HYPERLINK("https://ibp.a2mac1.com/costing(costing:projects/details/9760/material/8754188)","PC-ABS adjusted (part)")</f>
        <v>PC-ABS adjusted (part)</v>
      </c>
      <c r="F3552" t="s">
        <v>4026</v>
      </c>
    </row>
    <row r="3553" spans="1:6" x14ac:dyDescent="0.15">
      <c r="A3553">
        <v>12211928</v>
      </c>
      <c r="B3553">
        <v>12084807</v>
      </c>
      <c r="C3553" t="s">
        <v>163</v>
      </c>
      <c r="D3553" t="s">
        <v>114</v>
      </c>
      <c r="E3553" s="4" t="str">
        <f>HYPERLINK("https://ibp.a2mac1.com/costing(costing:projects/details/9760/equipment/12211928)","DC machine - General")</f>
        <v>DC machine - General</v>
      </c>
      <c r="F3553" t="s">
        <v>4026</v>
      </c>
    </row>
    <row r="3554" spans="1:6" x14ac:dyDescent="0.15">
      <c r="A3554">
        <v>8415098</v>
      </c>
      <c r="B3554">
        <v>8415009</v>
      </c>
      <c r="C3554" t="s">
        <v>10</v>
      </c>
      <c r="D3554" t="s">
        <v>8</v>
      </c>
      <c r="E3554" s="4" t="str">
        <f>HYPERLINK("https://ibp.a2mac1.com/costing(costing:projects/details/9760/part/8415098)","3rd Mechanism")</f>
        <v>3rd Mechanism</v>
      </c>
      <c r="F3554" t="s">
        <v>4005</v>
      </c>
    </row>
    <row r="3555" spans="1:6" x14ac:dyDescent="0.15">
      <c r="A3555">
        <v>12084808</v>
      </c>
      <c r="B3555">
        <v>8415098</v>
      </c>
      <c r="C3555" t="s">
        <v>114</v>
      </c>
      <c r="D3555" t="s">
        <v>10</v>
      </c>
      <c r="E3555" s="4" t="str">
        <f>HYPERLINK("https://ibp.a2mac1.com/costing(costing:projects/details/9760/process/12084808)","Automated Process")</f>
        <v>Automated Process</v>
      </c>
      <c r="F3555" t="s">
        <v>4028</v>
      </c>
    </row>
    <row r="3556" spans="1:6" x14ac:dyDescent="0.15">
      <c r="A3556">
        <v>8754189</v>
      </c>
      <c r="B3556">
        <v>12084808</v>
      </c>
      <c r="C3556" t="s">
        <v>22</v>
      </c>
      <c r="D3556" t="s">
        <v>114</v>
      </c>
      <c r="E3556" s="4" t="str">
        <f>HYPERLINK("https://ibp.a2mac1.com/costing(costing:projects/details/9760/material/8754189)","PA6-GF20 adjusted (part)")</f>
        <v>PA6-GF20 adjusted (part)</v>
      </c>
      <c r="F3556" t="s">
        <v>4029</v>
      </c>
    </row>
    <row r="3557" spans="1:6" x14ac:dyDescent="0.15">
      <c r="A3557">
        <v>12211929</v>
      </c>
      <c r="B3557">
        <v>12084808</v>
      </c>
      <c r="C3557" t="s">
        <v>163</v>
      </c>
      <c r="D3557" t="s">
        <v>114</v>
      </c>
      <c r="E3557" s="4" t="str">
        <f>HYPERLINK("https://ibp.a2mac1.com/costing(costing:projects/details/9760/equipment/12211929)","DC machine - General")</f>
        <v>DC machine - General</v>
      </c>
      <c r="F3557" t="s">
        <v>4029</v>
      </c>
    </row>
    <row r="3558" spans="1:6" x14ac:dyDescent="0.15">
      <c r="A3558">
        <v>8415099</v>
      </c>
      <c r="B3558">
        <v>8415009</v>
      </c>
      <c r="C3558" t="s">
        <v>10</v>
      </c>
      <c r="D3558" t="s">
        <v>8</v>
      </c>
      <c r="E3558" s="4" t="str">
        <f>HYPERLINK("https://ibp.a2mac1.com/costing(costing:projects/details/9760/part/8415099)","Closing Stopper")</f>
        <v>Closing Stopper</v>
      </c>
      <c r="F3558" t="s">
        <v>4005</v>
      </c>
    </row>
    <row r="3559" spans="1:6" x14ac:dyDescent="0.15">
      <c r="A3559">
        <v>8415003</v>
      </c>
      <c r="B3559">
        <v>8414829</v>
      </c>
      <c r="C3559" t="s">
        <v>10</v>
      </c>
      <c r="D3559" t="s">
        <v>8</v>
      </c>
      <c r="E3559" s="4" t="str">
        <f>HYPERLINK("https://ibp.a2mac1.com/costing(costing:projects/details/9760/part/8415003)","Box")</f>
        <v>Box</v>
      </c>
      <c r="F3559" t="s">
        <v>4004</v>
      </c>
    </row>
    <row r="3560" spans="1:6" x14ac:dyDescent="0.15">
      <c r="A3560">
        <v>12084736</v>
      </c>
      <c r="B3560">
        <v>8415003</v>
      </c>
      <c r="C3560" t="s">
        <v>114</v>
      </c>
      <c r="D3560" t="s">
        <v>10</v>
      </c>
      <c r="E3560" s="4" t="str">
        <f>HYPERLINK("https://ibp.a2mac1.com/costing(costing:projects/details/9760/process/12084736)","Automated Process")</f>
        <v>Automated Process</v>
      </c>
      <c r="F3560" t="s">
        <v>4034</v>
      </c>
    </row>
    <row r="3561" spans="1:6" x14ac:dyDescent="0.15">
      <c r="A3561">
        <v>8754099</v>
      </c>
      <c r="B3561">
        <v>12084736</v>
      </c>
      <c r="C3561" t="s">
        <v>22</v>
      </c>
      <c r="D3561" t="s">
        <v>114</v>
      </c>
      <c r="E3561" s="4" t="str">
        <f>HYPERLINK("https://ibp.a2mac1.com/costing(costing:projects/details/9760/material/8754099)","PP-EPDM-TD20 adjusted (part)")</f>
        <v>PP-EPDM-TD20 adjusted (part)</v>
      </c>
      <c r="F3561" t="s">
        <v>4035</v>
      </c>
    </row>
    <row r="3562" spans="1:6" x14ac:dyDescent="0.15">
      <c r="A3562">
        <v>12211834</v>
      </c>
      <c r="B3562">
        <v>12084736</v>
      </c>
      <c r="C3562" t="s">
        <v>163</v>
      </c>
      <c r="D3562" t="s">
        <v>114</v>
      </c>
      <c r="E3562" s="4" t="str">
        <f>HYPERLINK("https://ibp.a2mac1.com/costing(costing:projects/details/9760/equipment/12211834)","DC machine - General")</f>
        <v>DC machine - General</v>
      </c>
      <c r="F3562" t="s">
        <v>4035</v>
      </c>
    </row>
    <row r="3563" spans="1:6" x14ac:dyDescent="0.15">
      <c r="A3563">
        <v>8415004</v>
      </c>
      <c r="B3563">
        <v>8414829</v>
      </c>
      <c r="C3563" t="s">
        <v>10</v>
      </c>
      <c r="D3563" t="s">
        <v>8</v>
      </c>
      <c r="E3563" s="4" t="str">
        <f>HYPERLINK("https://ibp.a2mac1.com/costing(costing:projects/details/9760/part/8415004)","Cover")</f>
        <v>Cover</v>
      </c>
      <c r="F3563" t="s">
        <v>4004</v>
      </c>
    </row>
    <row r="3564" spans="1:6" x14ac:dyDescent="0.15">
      <c r="A3564">
        <v>12084737</v>
      </c>
      <c r="B3564">
        <v>8415004</v>
      </c>
      <c r="C3564" t="s">
        <v>114</v>
      </c>
      <c r="D3564" t="s">
        <v>10</v>
      </c>
      <c r="E3564" s="4" t="str">
        <f>HYPERLINK("https://ibp.a2mac1.com/costing(costing:projects/details/9760/process/12084737)","Automated Process")</f>
        <v>Automated Process</v>
      </c>
      <c r="F3564" t="s">
        <v>4037</v>
      </c>
    </row>
    <row r="3565" spans="1:6" x14ac:dyDescent="0.15">
      <c r="A3565">
        <v>8754100</v>
      </c>
      <c r="B3565">
        <v>12084737</v>
      </c>
      <c r="C3565" t="s">
        <v>22</v>
      </c>
      <c r="D3565" t="s">
        <v>114</v>
      </c>
      <c r="E3565" s="4" t="str">
        <f>HYPERLINK("https://ibp.a2mac1.com/costing(costing:projects/details/9760/material/8754100)","PP-EPDM-TD20 adjusted (part)")</f>
        <v>PP-EPDM-TD20 adjusted (part)</v>
      </c>
      <c r="F3565" t="s">
        <v>4038</v>
      </c>
    </row>
    <row r="3566" spans="1:6" x14ac:dyDescent="0.15">
      <c r="A3566">
        <v>12211835</v>
      </c>
      <c r="B3566">
        <v>12084737</v>
      </c>
      <c r="C3566" t="s">
        <v>163</v>
      </c>
      <c r="D3566" t="s">
        <v>114</v>
      </c>
      <c r="E3566" s="4" t="str">
        <f>HYPERLINK("https://ibp.a2mac1.com/costing(costing:projects/details/9760/equipment/12211835)","DC machine - General")</f>
        <v>DC machine - General</v>
      </c>
      <c r="F3566" t="s">
        <v>4038</v>
      </c>
    </row>
    <row r="3567" spans="1:6" x14ac:dyDescent="0.15">
      <c r="A3567">
        <v>8415005</v>
      </c>
      <c r="B3567">
        <v>8414829</v>
      </c>
      <c r="C3567" t="s">
        <v>10</v>
      </c>
      <c r="D3567" t="s">
        <v>8</v>
      </c>
      <c r="E3567" s="4" t="str">
        <f>HYPERLINK("https://ibp.a2mac1.com/costing(costing:projects/details/9760/part/8415005)","Cover Bezel")</f>
        <v>Cover Bezel</v>
      </c>
      <c r="F3567" t="s">
        <v>4004</v>
      </c>
    </row>
    <row r="3568" spans="1:6" x14ac:dyDescent="0.15">
      <c r="A3568">
        <v>12084738</v>
      </c>
      <c r="B3568">
        <v>8415005</v>
      </c>
      <c r="C3568" t="s">
        <v>114</v>
      </c>
      <c r="D3568" t="s">
        <v>10</v>
      </c>
      <c r="E3568" s="4" t="str">
        <f>HYPERLINK("https://ibp.a2mac1.com/costing(costing:projects/details/9760/process/12084738)","Automated Process")</f>
        <v>Automated Process</v>
      </c>
      <c r="F3568" t="s">
        <v>4040</v>
      </c>
    </row>
    <row r="3569" spans="1:6" x14ac:dyDescent="0.15">
      <c r="A3569">
        <v>8754101</v>
      </c>
      <c r="B3569">
        <v>12084738</v>
      </c>
      <c r="C3569" t="s">
        <v>22</v>
      </c>
      <c r="D3569" t="s">
        <v>114</v>
      </c>
      <c r="E3569" s="4" t="str">
        <f>HYPERLINK("https://ibp.a2mac1.com/costing(costing:projects/details/9760/material/8754101)","Leather;PP-EPDM-TD20")</f>
        <v>Leather;PP-EPDM-TD20</v>
      </c>
      <c r="F3569" t="s">
        <v>4041</v>
      </c>
    </row>
    <row r="3570" spans="1:6" x14ac:dyDescent="0.15">
      <c r="A3570">
        <v>12211836</v>
      </c>
      <c r="B3570">
        <v>12084738</v>
      </c>
      <c r="C3570" t="s">
        <v>163</v>
      </c>
      <c r="D3570" t="s">
        <v>114</v>
      </c>
      <c r="E3570" s="4" t="str">
        <f>HYPERLINK("https://ibp.a2mac1.com/costing(costing:projects/details/9760/equipment/12211836)","DC machine - General")</f>
        <v>DC machine - General</v>
      </c>
      <c r="F3570" t="s">
        <v>4041</v>
      </c>
    </row>
    <row r="3571" spans="1:6" x14ac:dyDescent="0.15">
      <c r="A3571">
        <v>8415006</v>
      </c>
      <c r="B3571">
        <v>8414829</v>
      </c>
      <c r="C3571" t="s">
        <v>10</v>
      </c>
      <c r="D3571" t="s">
        <v>8</v>
      </c>
      <c r="E3571" s="4" t="str">
        <f>HYPERLINK("https://ibp.a2mac1.com/costing(costing:projects/details/9760/part/8415006)","Glovebox Support")</f>
        <v>Glovebox Support</v>
      </c>
      <c r="F3571" t="s">
        <v>4004</v>
      </c>
    </row>
    <row r="3572" spans="1:6" x14ac:dyDescent="0.15">
      <c r="A3572">
        <v>12084739</v>
      </c>
      <c r="B3572">
        <v>8415006</v>
      </c>
      <c r="C3572" t="s">
        <v>114</v>
      </c>
      <c r="D3572" t="s">
        <v>10</v>
      </c>
      <c r="E3572" s="4" t="str">
        <f>HYPERLINK("https://ibp.a2mac1.com/costing(costing:projects/details/9760/process/12084739)","Automated Process")</f>
        <v>Automated Process</v>
      </c>
      <c r="F3572" t="s">
        <v>4043</v>
      </c>
    </row>
    <row r="3573" spans="1:6" x14ac:dyDescent="0.15">
      <c r="A3573">
        <v>8754102</v>
      </c>
      <c r="B3573">
        <v>12084739</v>
      </c>
      <c r="C3573" t="s">
        <v>22</v>
      </c>
      <c r="D3573" t="s">
        <v>114</v>
      </c>
      <c r="E3573" s="4" t="str">
        <f>HYPERLINK("https://ibp.a2mac1.com/costing(costing:projects/details/9760/material/8754102)","PP-GF30 adjusted (part)")</f>
        <v>PP-GF30 adjusted (part)</v>
      </c>
      <c r="F3573" t="s">
        <v>4044</v>
      </c>
    </row>
    <row r="3574" spans="1:6" x14ac:dyDescent="0.15">
      <c r="A3574">
        <v>12211837</v>
      </c>
      <c r="B3574">
        <v>12084739</v>
      </c>
      <c r="C3574" t="s">
        <v>163</v>
      </c>
      <c r="D3574" t="s">
        <v>114</v>
      </c>
      <c r="E3574" s="4" t="str">
        <f>HYPERLINK("https://ibp.a2mac1.com/costing(costing:projects/details/9760/equipment/12211837)","DC machine - General")</f>
        <v>DC machine - General</v>
      </c>
      <c r="F3574" t="s">
        <v>4044</v>
      </c>
    </row>
    <row r="3575" spans="1:6" x14ac:dyDescent="0.15">
      <c r="A3575">
        <v>8415007</v>
      </c>
      <c r="B3575">
        <v>8414829</v>
      </c>
      <c r="C3575" t="s">
        <v>10</v>
      </c>
      <c r="D3575" t="s">
        <v>8</v>
      </c>
      <c r="E3575" s="4" t="str">
        <f>HYPERLINK("https://ibp.a2mac1.com/costing(costing:projects/details/9760/part/8415007)","Glove Box Light")</f>
        <v>Glove Box Light</v>
      </c>
      <c r="F3575" t="s">
        <v>4004</v>
      </c>
    </row>
    <row r="3576" spans="1:6" x14ac:dyDescent="0.15">
      <c r="A3576">
        <v>8415008</v>
      </c>
      <c r="B3576">
        <v>8414829</v>
      </c>
      <c r="C3576" t="s">
        <v>10</v>
      </c>
      <c r="D3576" t="s">
        <v>8</v>
      </c>
      <c r="E3576" s="4" t="str">
        <f>HYPERLINK("https://ibp.a2mac1.com/costing(costing:projects/details/9760/part/8415008)","Sound Insulation")</f>
        <v>Sound Insulation</v>
      </c>
      <c r="F3576" t="s">
        <v>4004</v>
      </c>
    </row>
    <row r="3577" spans="1:6" x14ac:dyDescent="0.15">
      <c r="A3577">
        <v>12084740</v>
      </c>
      <c r="B3577">
        <v>8415008</v>
      </c>
      <c r="C3577" t="s">
        <v>114</v>
      </c>
      <c r="D3577" t="s">
        <v>10</v>
      </c>
      <c r="E3577" s="4" t="str">
        <f>HYPERLINK("https://ibp.a2mac1.com/costing(costing:projects/details/9760/process/12084740)","Automated Process")</f>
        <v>Automated Process</v>
      </c>
      <c r="F3577" t="s">
        <v>4048</v>
      </c>
    </row>
    <row r="3578" spans="1:6" x14ac:dyDescent="0.15">
      <c r="A3578">
        <v>8754103</v>
      </c>
      <c r="B3578">
        <v>12084740</v>
      </c>
      <c r="C3578" t="s">
        <v>22</v>
      </c>
      <c r="D3578" t="s">
        <v>114</v>
      </c>
      <c r="E3578" s="4" t="str">
        <f>HYPERLINK("https://ibp.a2mac1.com/costing(costing:projects/details/9760/material/8754103)","PP-PET adjusted (part)")</f>
        <v>PP-PET adjusted (part)</v>
      </c>
      <c r="F3578" t="s">
        <v>4049</v>
      </c>
    </row>
    <row r="3579" spans="1:6" x14ac:dyDescent="0.15">
      <c r="A3579">
        <v>12211838</v>
      </c>
      <c r="B3579">
        <v>12084740</v>
      </c>
      <c r="C3579" t="s">
        <v>163</v>
      </c>
      <c r="D3579" t="s">
        <v>114</v>
      </c>
      <c r="E3579" s="4" t="str">
        <f>HYPERLINK("https://ibp.a2mac1.com/costing(costing:projects/details/9760/equipment/12211838)","DC machine - General")</f>
        <v>DC machine - General</v>
      </c>
      <c r="F3579" t="s">
        <v>4049</v>
      </c>
    </row>
    <row r="3580" spans="1:6" x14ac:dyDescent="0.15">
      <c r="A3580">
        <v>8414830</v>
      </c>
      <c r="B3580">
        <v>8414746</v>
      </c>
      <c r="C3580" t="s">
        <v>8</v>
      </c>
      <c r="D3580" t="s">
        <v>8</v>
      </c>
      <c r="E3580" s="4" t="str">
        <f>HYPERLINK("https://ibp.a2mac1.com/costing(costing:projects/details/9760/assembly/8414830)","Driver Side")</f>
        <v>Driver Side</v>
      </c>
      <c r="F3580" t="s">
        <v>4003</v>
      </c>
    </row>
    <row r="3581" spans="1:6" x14ac:dyDescent="0.15">
      <c r="A3581">
        <v>8415010</v>
      </c>
      <c r="B3581">
        <v>8414830</v>
      </c>
      <c r="C3581" t="s">
        <v>8</v>
      </c>
      <c r="D3581" t="s">
        <v>8</v>
      </c>
      <c r="E3581" s="4" t="str">
        <f>HYPERLINK("https://ibp.a2mac1.com/costing(costing:projects/details/9760/assembly/8415010)","Tilting Storage Box System")</f>
        <v>Tilting Storage Box System</v>
      </c>
      <c r="F3581" t="s">
        <v>4053</v>
      </c>
    </row>
    <row r="3582" spans="1:6" x14ac:dyDescent="0.15">
      <c r="A3582">
        <v>8415100</v>
      </c>
      <c r="B3582">
        <v>8415010</v>
      </c>
      <c r="C3582" t="s">
        <v>10</v>
      </c>
      <c r="D3582" t="s">
        <v>8</v>
      </c>
      <c r="E3582" s="4" t="str">
        <f>HYPERLINK("https://ibp.a2mac1.com/costing(costing:projects/details/9760/part/8415100)","Tilting Storage Box")</f>
        <v>Tilting Storage Box</v>
      </c>
      <c r="F3582" t="s">
        <v>4054</v>
      </c>
    </row>
    <row r="3583" spans="1:6" x14ac:dyDescent="0.15">
      <c r="A3583">
        <v>12084809</v>
      </c>
      <c r="B3583">
        <v>8415100</v>
      </c>
      <c r="C3583" t="s">
        <v>114</v>
      </c>
      <c r="D3583" t="s">
        <v>10</v>
      </c>
      <c r="E3583" s="4" t="str">
        <f>HYPERLINK("https://ibp.a2mac1.com/costing(costing:projects/details/9760/process/12084809)","Automated Process")</f>
        <v>Automated Process</v>
      </c>
      <c r="F3583" t="s">
        <v>4055</v>
      </c>
    </row>
    <row r="3584" spans="1:6" x14ac:dyDescent="0.15">
      <c r="A3584">
        <v>8754190</v>
      </c>
      <c r="B3584">
        <v>12084809</v>
      </c>
      <c r="C3584" t="s">
        <v>22</v>
      </c>
      <c r="D3584" t="s">
        <v>114</v>
      </c>
      <c r="E3584" s="4" t="str">
        <f>HYPERLINK("https://ibp.a2mac1.com/costing(costing:projects/details/9760/material/8754190)","PC-ABS adjusted (part)")</f>
        <v>PC-ABS adjusted (part)</v>
      </c>
      <c r="F3584" t="s">
        <v>4056</v>
      </c>
    </row>
    <row r="3585" spans="1:6" x14ac:dyDescent="0.15">
      <c r="A3585">
        <v>12211930</v>
      </c>
      <c r="B3585">
        <v>12084809</v>
      </c>
      <c r="C3585" t="s">
        <v>163</v>
      </c>
      <c r="D3585" t="s">
        <v>114</v>
      </c>
      <c r="E3585" s="4" t="str">
        <f>HYPERLINK("https://ibp.a2mac1.com/costing(costing:projects/details/9760/equipment/12211930)","DC machine - General")</f>
        <v>DC machine - General</v>
      </c>
      <c r="F3585" t="s">
        <v>4056</v>
      </c>
    </row>
    <row r="3586" spans="1:6" x14ac:dyDescent="0.15">
      <c r="A3586">
        <v>8415101</v>
      </c>
      <c r="B3586">
        <v>8415010</v>
      </c>
      <c r="C3586" t="s">
        <v>10</v>
      </c>
      <c r="D3586" t="s">
        <v>8</v>
      </c>
      <c r="E3586" s="4" t="str">
        <f>HYPERLINK("https://ibp.a2mac1.com/costing(costing:projects/details/9760/part/8415101)","Cover")</f>
        <v>Cover</v>
      </c>
      <c r="F3586" t="s">
        <v>4054</v>
      </c>
    </row>
    <row r="3587" spans="1:6" x14ac:dyDescent="0.15">
      <c r="A3587">
        <v>12084810</v>
      </c>
      <c r="B3587">
        <v>8415101</v>
      </c>
      <c r="C3587" t="s">
        <v>114</v>
      </c>
      <c r="D3587" t="s">
        <v>10</v>
      </c>
      <c r="E3587" s="4" t="str">
        <f>HYPERLINK("https://ibp.a2mac1.com/costing(costing:projects/details/9760/process/12084810)","Automated Process")</f>
        <v>Automated Process</v>
      </c>
      <c r="F3587" t="s">
        <v>4058</v>
      </c>
    </row>
    <row r="3588" spans="1:6" x14ac:dyDescent="0.15">
      <c r="A3588">
        <v>8754191</v>
      </c>
      <c r="B3588">
        <v>12084810</v>
      </c>
      <c r="C3588" t="s">
        <v>22</v>
      </c>
      <c r="D3588" t="s">
        <v>114</v>
      </c>
      <c r="E3588" s="4" t="str">
        <f>HYPERLINK("https://ibp.a2mac1.com/costing(costing:projects/details/9760/material/8754191)","PC-ABS;Leather")</f>
        <v>PC-ABS;Leather</v>
      </c>
      <c r="F3588" t="s">
        <v>4059</v>
      </c>
    </row>
    <row r="3589" spans="1:6" x14ac:dyDescent="0.15">
      <c r="A3589">
        <v>12211931</v>
      </c>
      <c r="B3589">
        <v>12084810</v>
      </c>
      <c r="C3589" t="s">
        <v>163</v>
      </c>
      <c r="D3589" t="s">
        <v>114</v>
      </c>
      <c r="E3589" s="4" t="str">
        <f>HYPERLINK("https://ibp.a2mac1.com/costing(costing:projects/details/9760/equipment/12211931)","DC machine - General")</f>
        <v>DC machine - General</v>
      </c>
      <c r="F3589" t="s">
        <v>4059</v>
      </c>
    </row>
    <row r="3590" spans="1:6" x14ac:dyDescent="0.15">
      <c r="A3590">
        <v>8415102</v>
      </c>
      <c r="B3590">
        <v>8415010</v>
      </c>
      <c r="C3590" t="s">
        <v>10</v>
      </c>
      <c r="D3590" t="s">
        <v>8</v>
      </c>
      <c r="E3590" s="4" t="str">
        <f>HYPERLINK("https://ibp.a2mac1.com/costing(costing:projects/details/9760/part/8415102)","Support")</f>
        <v>Support</v>
      </c>
      <c r="F3590" t="s">
        <v>4054</v>
      </c>
    </row>
    <row r="3591" spans="1:6" x14ac:dyDescent="0.15">
      <c r="A3591">
        <v>12084811</v>
      </c>
      <c r="B3591">
        <v>8415102</v>
      </c>
      <c r="C3591" t="s">
        <v>114</v>
      </c>
      <c r="D3591" t="s">
        <v>10</v>
      </c>
      <c r="E3591" s="4" t="str">
        <f>HYPERLINK("https://ibp.a2mac1.com/costing(costing:projects/details/9760/process/12084811)","Automated Process")</f>
        <v>Automated Process</v>
      </c>
      <c r="F3591" t="s">
        <v>4061</v>
      </c>
    </row>
    <row r="3592" spans="1:6" x14ac:dyDescent="0.15">
      <c r="A3592">
        <v>8754192</v>
      </c>
      <c r="B3592">
        <v>12084811</v>
      </c>
      <c r="C3592" t="s">
        <v>22</v>
      </c>
      <c r="D3592" t="s">
        <v>114</v>
      </c>
      <c r="E3592" s="4" t="str">
        <f>HYPERLINK("https://ibp.a2mac1.com/costing(costing:projects/details/9760/material/8754192)","PC-ABS adjusted (part)")</f>
        <v>PC-ABS adjusted (part)</v>
      </c>
      <c r="F3592" t="s">
        <v>4062</v>
      </c>
    </row>
    <row r="3593" spans="1:6" x14ac:dyDescent="0.15">
      <c r="A3593">
        <v>12211932</v>
      </c>
      <c r="B3593">
        <v>12084811</v>
      </c>
      <c r="C3593" t="s">
        <v>163</v>
      </c>
      <c r="D3593" t="s">
        <v>114</v>
      </c>
      <c r="E3593" s="4" t="str">
        <f>HYPERLINK("https://ibp.a2mac1.com/costing(costing:projects/details/9760/equipment/12211932)","DC machine - General")</f>
        <v>DC machine - General</v>
      </c>
      <c r="F3593" t="s">
        <v>4062</v>
      </c>
    </row>
    <row r="3594" spans="1:6" x14ac:dyDescent="0.15">
      <c r="A3594">
        <v>8415103</v>
      </c>
      <c r="B3594">
        <v>8415010</v>
      </c>
      <c r="C3594" t="s">
        <v>10</v>
      </c>
      <c r="D3594" t="s">
        <v>8</v>
      </c>
      <c r="E3594" s="4" t="str">
        <f>HYPERLINK("https://ibp.a2mac1.com/costing(costing:projects/details/9760/part/8415103)","Latch Anchor")</f>
        <v>Latch Anchor</v>
      </c>
      <c r="F3594" t="s">
        <v>4054</v>
      </c>
    </row>
    <row r="3595" spans="1:6" x14ac:dyDescent="0.15">
      <c r="A3595">
        <v>8415104</v>
      </c>
      <c r="B3595">
        <v>8415010</v>
      </c>
      <c r="C3595" t="s">
        <v>10</v>
      </c>
      <c r="D3595" t="s">
        <v>8</v>
      </c>
      <c r="E3595" s="4" t="str">
        <f>HYPERLINK("https://ibp.a2mac1.com/costing(costing:projects/details/9760/part/8415104)","Retarder Mechanism")</f>
        <v>Retarder Mechanism</v>
      </c>
      <c r="F3595" t="s">
        <v>4054</v>
      </c>
    </row>
    <row r="3596" spans="1:6" x14ac:dyDescent="0.15">
      <c r="A3596">
        <v>8414737</v>
      </c>
      <c r="B3596">
        <v>8414733</v>
      </c>
      <c r="C3596" t="s">
        <v>10</v>
      </c>
      <c r="D3596" t="s">
        <v>8</v>
      </c>
      <c r="E3596" s="4" t="str">
        <f>HYPERLINK("https://ibp.a2mac1.com/costing(costing:projects/details/9760/part/8414737)","Dashboard")</f>
        <v>Dashboard</v>
      </c>
      <c r="F3596" t="s">
        <v>3721</v>
      </c>
    </row>
    <row r="3597" spans="1:6" x14ac:dyDescent="0.15">
      <c r="A3597">
        <v>12084573</v>
      </c>
      <c r="B3597">
        <v>8414737</v>
      </c>
      <c r="C3597" t="s">
        <v>114</v>
      </c>
      <c r="D3597" t="s">
        <v>10</v>
      </c>
      <c r="E3597" s="4" t="str">
        <f>HYPERLINK("https://ibp.a2mac1.com/costing(costing:projects/details/9760/process/12084573)","Automated Process")</f>
        <v>Automated Process</v>
      </c>
      <c r="F3597" t="s">
        <v>4070</v>
      </c>
    </row>
    <row r="3598" spans="1:6" x14ac:dyDescent="0.15">
      <c r="A3598">
        <v>8753845</v>
      </c>
      <c r="B3598">
        <v>12084573</v>
      </c>
      <c r="C3598" t="s">
        <v>22</v>
      </c>
      <c r="D3598" t="s">
        <v>114</v>
      </c>
      <c r="E3598" s="4" t="str">
        <f>HYPERLINK("https://ibp.a2mac1.com/costing(costing:projects/details/9760/material/8753845)","PP-LGF20 adjusted (part)")</f>
        <v>PP-LGF20 adjusted (part)</v>
      </c>
      <c r="F3598" t="s">
        <v>4071</v>
      </c>
    </row>
    <row r="3599" spans="1:6" x14ac:dyDescent="0.15">
      <c r="A3599">
        <v>12211671</v>
      </c>
      <c r="B3599">
        <v>12084573</v>
      </c>
      <c r="C3599" t="s">
        <v>163</v>
      </c>
      <c r="D3599" t="s">
        <v>114</v>
      </c>
      <c r="E3599" s="4" t="str">
        <f>HYPERLINK("https://ibp.a2mac1.com/costing(costing:projects/details/9760/equipment/12211671)","DC machine - General")</f>
        <v>DC machine - General</v>
      </c>
      <c r="F3599" t="s">
        <v>4071</v>
      </c>
    </row>
    <row r="3600" spans="1:6" x14ac:dyDescent="0.15">
      <c r="A3600">
        <v>8414743</v>
      </c>
      <c r="B3600">
        <v>8414733</v>
      </c>
      <c r="C3600" t="s">
        <v>10</v>
      </c>
      <c r="D3600" t="s">
        <v>8</v>
      </c>
      <c r="E3600" s="4" t="str">
        <f>HYPERLINK("https://ibp.a2mac1.com/costing(costing:projects/details/9760/part/8414743)","Fasteners")</f>
        <v>Fasteners</v>
      </c>
      <c r="F3600" t="s">
        <v>3721</v>
      </c>
    </row>
    <row r="3601" spans="1:6" x14ac:dyDescent="0.15">
      <c r="A3601">
        <v>8414734</v>
      </c>
      <c r="B3601">
        <v>8414732</v>
      </c>
      <c r="C3601" t="s">
        <v>8</v>
      </c>
      <c r="D3601" t="s">
        <v>8</v>
      </c>
      <c r="E3601" s="4" t="str">
        <f>HYPERLINK("https://ibp.a2mac1.com/costing(costing:projects/details/9760/assembly/8414734)","Noise Insulation")</f>
        <v>Noise Insulation</v>
      </c>
      <c r="F3601" t="s">
        <v>3720</v>
      </c>
    </row>
    <row r="3602" spans="1:6" x14ac:dyDescent="0.15">
      <c r="A3602">
        <v>8414761</v>
      </c>
      <c r="B3602">
        <v>8414734</v>
      </c>
      <c r="C3602" t="s">
        <v>8</v>
      </c>
      <c r="D3602" t="s">
        <v>8</v>
      </c>
      <c r="E3602" s="4" t="str">
        <f>HYPERLINK("https://ibp.a2mac1.com/costing(costing:projects/details/9760/assembly/8414761)","Trunk Area Sound Insulation System")</f>
        <v>Trunk Area Sound Insulation System</v>
      </c>
      <c r="F3602" t="s">
        <v>4074</v>
      </c>
    </row>
    <row r="3603" spans="1:6" x14ac:dyDescent="0.15">
      <c r="A3603">
        <v>8414831</v>
      </c>
      <c r="B3603">
        <v>8414761</v>
      </c>
      <c r="C3603" t="s">
        <v>10</v>
      </c>
      <c r="D3603" t="s">
        <v>8</v>
      </c>
      <c r="E3603" s="4" t="str">
        <f>HYPERLINK("https://ibp.a2mac1.com/costing(costing:projects/details/9760/part/8414831)","On Left Wheel Arch")</f>
        <v>On Left Wheel Arch</v>
      </c>
      <c r="F3603" t="s">
        <v>4075</v>
      </c>
    </row>
    <row r="3604" spans="1:6" x14ac:dyDescent="0.15">
      <c r="A3604">
        <v>12084603</v>
      </c>
      <c r="B3604">
        <v>8414831</v>
      </c>
      <c r="C3604" t="s">
        <v>114</v>
      </c>
      <c r="D3604" t="s">
        <v>10</v>
      </c>
      <c r="E3604" s="4" t="str">
        <f>HYPERLINK("https://ibp.a2mac1.com/costing(costing:projects/details/9760/process/12084603)","Process")</f>
        <v>Process</v>
      </c>
      <c r="F3604" t="s">
        <v>4076</v>
      </c>
    </row>
    <row r="3605" spans="1:6" x14ac:dyDescent="0.15">
      <c r="A3605">
        <v>8753919</v>
      </c>
      <c r="B3605">
        <v>12084603</v>
      </c>
      <c r="C3605" t="s">
        <v>22</v>
      </c>
      <c r="D3605" t="s">
        <v>114</v>
      </c>
      <c r="E3605" s="4" t="str">
        <f>HYPERLINK("https://ibp.a2mac1.com/costing(costing:projects/details/9760/material/8753919)","&gt;EVA;PU;EPP&lt;")</f>
        <v>&gt;EVA;PU;EPP&lt;</v>
      </c>
      <c r="F3605" t="s">
        <v>4077</v>
      </c>
    </row>
    <row r="3606" spans="1:6" x14ac:dyDescent="0.15">
      <c r="A3606">
        <v>12211701</v>
      </c>
      <c r="B3606">
        <v>12084603</v>
      </c>
      <c r="C3606" t="s">
        <v>163</v>
      </c>
      <c r="D3606" t="s">
        <v>114</v>
      </c>
      <c r="E3606" s="4" t="str">
        <f>HYPERLINK("https://ibp.a2mac1.com/costing(costing:projects/details/9760/equipment/12211701)","DC machine - General")</f>
        <v>DC machine - General</v>
      </c>
      <c r="F3606" t="s">
        <v>4077</v>
      </c>
    </row>
    <row r="3607" spans="1:6" x14ac:dyDescent="0.15">
      <c r="A3607">
        <v>8414832</v>
      </c>
      <c r="B3607">
        <v>8414761</v>
      </c>
      <c r="C3607" t="s">
        <v>10</v>
      </c>
      <c r="D3607" t="s">
        <v>8</v>
      </c>
      <c r="E3607" s="4" t="str">
        <f>HYPERLINK("https://ibp.a2mac1.com/costing(costing:projects/details/9760/part/8414832)","On Right Wheel Arch")</f>
        <v>On Right Wheel Arch</v>
      </c>
      <c r="F3607" t="s">
        <v>4075</v>
      </c>
    </row>
    <row r="3608" spans="1:6" x14ac:dyDescent="0.15">
      <c r="A3608">
        <v>12084604</v>
      </c>
      <c r="B3608">
        <v>8414832</v>
      </c>
      <c r="C3608" t="s">
        <v>114</v>
      </c>
      <c r="D3608" t="s">
        <v>10</v>
      </c>
      <c r="E3608" s="4" t="str">
        <f>HYPERLINK("https://ibp.a2mac1.com/costing(costing:projects/details/9760/process/12084604)","Process")</f>
        <v>Process</v>
      </c>
      <c r="F3608" t="s">
        <v>4081</v>
      </c>
    </row>
    <row r="3609" spans="1:6" x14ac:dyDescent="0.15">
      <c r="A3609">
        <v>8753920</v>
      </c>
      <c r="B3609">
        <v>12084604</v>
      </c>
      <c r="C3609" t="s">
        <v>22</v>
      </c>
      <c r="D3609" t="s">
        <v>114</v>
      </c>
      <c r="E3609" s="4" t="str">
        <f>HYPERLINK("https://ibp.a2mac1.com/costing(costing:projects/details/9760/material/8753920)","&gt;EVA;PU;EPP&lt;")</f>
        <v>&gt;EVA;PU;EPP&lt;</v>
      </c>
      <c r="F3609" t="s">
        <v>4082</v>
      </c>
    </row>
    <row r="3610" spans="1:6" x14ac:dyDescent="0.15">
      <c r="A3610">
        <v>12211702</v>
      </c>
      <c r="B3610">
        <v>12084604</v>
      </c>
      <c r="C3610" t="s">
        <v>163</v>
      </c>
      <c r="D3610" t="s">
        <v>114</v>
      </c>
      <c r="E3610" s="4" t="str">
        <f>HYPERLINK("https://ibp.a2mac1.com/costing(costing:projects/details/9760/equipment/12211702)","DC machine - General")</f>
        <v>DC machine - General</v>
      </c>
      <c r="F3610" t="s">
        <v>4082</v>
      </c>
    </row>
    <row r="3611" spans="1:6" x14ac:dyDescent="0.15">
      <c r="A3611">
        <v>8414833</v>
      </c>
      <c r="B3611">
        <v>8414761</v>
      </c>
      <c r="C3611" t="s">
        <v>10</v>
      </c>
      <c r="D3611" t="s">
        <v>8</v>
      </c>
      <c r="E3611" s="4" t="str">
        <f>HYPERLINK("https://ibp.a2mac1.com/costing(costing:projects/details/9760/part/8414833)","2nd on Left Wheel Arch")</f>
        <v>2nd on Left Wheel Arch</v>
      </c>
      <c r="F3611" t="s">
        <v>4075</v>
      </c>
    </row>
    <row r="3612" spans="1:6" x14ac:dyDescent="0.15">
      <c r="A3612">
        <v>12084605</v>
      </c>
      <c r="B3612">
        <v>8414833</v>
      </c>
      <c r="C3612" t="s">
        <v>114</v>
      </c>
      <c r="D3612" t="s">
        <v>10</v>
      </c>
      <c r="E3612" s="4" t="str">
        <f>HYPERLINK("https://ibp.a2mac1.com/costing(costing:projects/details/9760/process/12084605)","Process")</f>
        <v>Process</v>
      </c>
      <c r="F3612" t="s">
        <v>4084</v>
      </c>
    </row>
    <row r="3613" spans="1:6" x14ac:dyDescent="0.15">
      <c r="A3613">
        <v>8753921</v>
      </c>
      <c r="B3613">
        <v>12084605</v>
      </c>
      <c r="C3613" t="s">
        <v>22</v>
      </c>
      <c r="D3613" t="s">
        <v>114</v>
      </c>
      <c r="E3613" s="4" t="str">
        <f>HYPERLINK("https://ibp.a2mac1.com/costing(costing:projects/details/9760/material/8753921)","PUR")</f>
        <v>PUR</v>
      </c>
      <c r="F3613" t="s">
        <v>4087</v>
      </c>
    </row>
    <row r="3614" spans="1:6" x14ac:dyDescent="0.15">
      <c r="A3614">
        <v>12211703</v>
      </c>
      <c r="B3614">
        <v>12084605</v>
      </c>
      <c r="C3614" t="s">
        <v>163</v>
      </c>
      <c r="D3614" t="s">
        <v>114</v>
      </c>
      <c r="E3614" s="4" t="str">
        <f>HYPERLINK("https://ibp.a2mac1.com/costing(costing:projects/details/9760/equipment/12211703)","DC machine - General")</f>
        <v>DC machine - General</v>
      </c>
      <c r="F3614" t="s">
        <v>4087</v>
      </c>
    </row>
    <row r="3615" spans="1:6" x14ac:dyDescent="0.15">
      <c r="A3615">
        <v>8414834</v>
      </c>
      <c r="B3615">
        <v>8414761</v>
      </c>
      <c r="C3615" t="s">
        <v>10</v>
      </c>
      <c r="D3615" t="s">
        <v>8</v>
      </c>
      <c r="E3615" s="4" t="str">
        <f>HYPERLINK("https://ibp.a2mac1.com/costing(costing:projects/details/9760/part/8414834)","2nd on Right Wheel Arch")</f>
        <v>2nd on Right Wheel Arch</v>
      </c>
      <c r="F3615" t="s">
        <v>4075</v>
      </c>
    </row>
    <row r="3616" spans="1:6" x14ac:dyDescent="0.15">
      <c r="A3616">
        <v>12084606</v>
      </c>
      <c r="B3616">
        <v>8414834</v>
      </c>
      <c r="C3616" t="s">
        <v>114</v>
      </c>
      <c r="D3616" t="s">
        <v>10</v>
      </c>
      <c r="E3616" s="4" t="str">
        <f>HYPERLINK("https://ibp.a2mac1.com/costing(costing:projects/details/9760/process/12084606)","Process")</f>
        <v>Process</v>
      </c>
      <c r="F3616" t="s">
        <v>4090</v>
      </c>
    </row>
    <row r="3617" spans="1:6" x14ac:dyDescent="0.15">
      <c r="A3617">
        <v>8753922</v>
      </c>
      <c r="B3617">
        <v>12084606</v>
      </c>
      <c r="C3617" t="s">
        <v>22</v>
      </c>
      <c r="D3617" t="s">
        <v>114</v>
      </c>
      <c r="E3617" s="4" t="str">
        <f>HYPERLINK("https://ibp.a2mac1.com/costing(costing:projects/details/9760/material/8753922)","PUR")</f>
        <v>PUR</v>
      </c>
      <c r="F3617" t="s">
        <v>4093</v>
      </c>
    </row>
    <row r="3618" spans="1:6" x14ac:dyDescent="0.15">
      <c r="A3618">
        <v>12211704</v>
      </c>
      <c r="B3618">
        <v>12084606</v>
      </c>
      <c r="C3618" t="s">
        <v>163</v>
      </c>
      <c r="D3618" t="s">
        <v>114</v>
      </c>
      <c r="E3618" s="4" t="str">
        <f>HYPERLINK("https://ibp.a2mac1.com/costing(costing:projects/details/9760/equipment/12211704)","DC machine - General")</f>
        <v>DC machine - General</v>
      </c>
      <c r="F3618" t="s">
        <v>4093</v>
      </c>
    </row>
    <row r="3619" spans="1:6" x14ac:dyDescent="0.15">
      <c r="A3619">
        <v>8414835</v>
      </c>
      <c r="B3619">
        <v>8414761</v>
      </c>
      <c r="C3619" t="s">
        <v>10</v>
      </c>
      <c r="D3619" t="s">
        <v>8</v>
      </c>
      <c r="E3619" s="4" t="str">
        <f>HYPERLINK("https://ibp.a2mac1.com/costing(costing:projects/details/9760/part/8414835)","On Left Fender and Right if Similar")</f>
        <v>On Left Fender and Right if Similar</v>
      </c>
      <c r="F3619" t="s">
        <v>4075</v>
      </c>
    </row>
    <row r="3620" spans="1:6" x14ac:dyDescent="0.15">
      <c r="A3620">
        <v>12084607</v>
      </c>
      <c r="B3620">
        <v>8414835</v>
      </c>
      <c r="C3620" t="s">
        <v>114</v>
      </c>
      <c r="D3620" t="s">
        <v>10</v>
      </c>
      <c r="E3620" s="4" t="str">
        <f>HYPERLINK("https://ibp.a2mac1.com/costing(costing:projects/details/9760/process/12084607)","Process")</f>
        <v>Process</v>
      </c>
      <c r="F3620" t="s">
        <v>4095</v>
      </c>
    </row>
    <row r="3621" spans="1:6" x14ac:dyDescent="0.15">
      <c r="A3621">
        <v>8753923</v>
      </c>
      <c r="B3621">
        <v>12084607</v>
      </c>
      <c r="C3621" t="s">
        <v>22</v>
      </c>
      <c r="D3621" t="s">
        <v>114</v>
      </c>
      <c r="E3621" s="4" t="str">
        <f>HYPERLINK("https://ibp.a2mac1.com/costing(costing:projects/details/9760/material/8753923)","PUR")</f>
        <v>PUR</v>
      </c>
      <c r="F3621" t="s">
        <v>4098</v>
      </c>
    </row>
    <row r="3622" spans="1:6" x14ac:dyDescent="0.15">
      <c r="A3622">
        <v>12211705</v>
      </c>
      <c r="B3622">
        <v>12084607</v>
      </c>
      <c r="C3622" t="s">
        <v>163</v>
      </c>
      <c r="D3622" t="s">
        <v>114</v>
      </c>
      <c r="E3622" s="4" t="str">
        <f>HYPERLINK("https://ibp.a2mac1.com/costing(costing:projects/details/9760/equipment/12211705)","DC machine - General")</f>
        <v>DC machine - General</v>
      </c>
      <c r="F3622" t="s">
        <v>4098</v>
      </c>
    </row>
    <row r="3623" spans="1:6" x14ac:dyDescent="0.15">
      <c r="A3623">
        <v>8414836</v>
      </c>
      <c r="B3623">
        <v>8414761</v>
      </c>
      <c r="C3623" t="s">
        <v>10</v>
      </c>
      <c r="D3623" t="s">
        <v>8</v>
      </c>
      <c r="E3623" s="4" t="str">
        <f>HYPERLINK("https://ibp.a2mac1.com/costing(costing:projects/details/9760/part/8414836)","On Right Fender")</f>
        <v>On Right Fender</v>
      </c>
      <c r="F3623" t="s">
        <v>4075</v>
      </c>
    </row>
    <row r="3624" spans="1:6" x14ac:dyDescent="0.15">
      <c r="A3624">
        <v>12084608</v>
      </c>
      <c r="B3624">
        <v>8414836</v>
      </c>
      <c r="C3624" t="s">
        <v>114</v>
      </c>
      <c r="D3624" t="s">
        <v>10</v>
      </c>
      <c r="E3624" s="4" t="str">
        <f>HYPERLINK("https://ibp.a2mac1.com/costing(costing:projects/details/9760/process/12084608)","Process")</f>
        <v>Process</v>
      </c>
      <c r="F3624" t="s">
        <v>4100</v>
      </c>
    </row>
    <row r="3625" spans="1:6" x14ac:dyDescent="0.15">
      <c r="A3625">
        <v>8753924</v>
      </c>
      <c r="B3625">
        <v>12084608</v>
      </c>
      <c r="C3625" t="s">
        <v>22</v>
      </c>
      <c r="D3625" t="s">
        <v>114</v>
      </c>
      <c r="E3625" s="4" t="str">
        <f>HYPERLINK("https://ibp.a2mac1.com/costing(costing:projects/details/9760/material/8753924)","PUR")</f>
        <v>PUR</v>
      </c>
      <c r="F3625" t="s">
        <v>4103</v>
      </c>
    </row>
    <row r="3626" spans="1:6" x14ac:dyDescent="0.15">
      <c r="A3626">
        <v>12211706</v>
      </c>
      <c r="B3626">
        <v>12084608</v>
      </c>
      <c r="C3626" t="s">
        <v>163</v>
      </c>
      <c r="D3626" t="s">
        <v>114</v>
      </c>
      <c r="E3626" s="4" t="str">
        <f>HYPERLINK("https://ibp.a2mac1.com/costing(costing:projects/details/9760/equipment/12211706)","DC machine - General")</f>
        <v>DC machine - General</v>
      </c>
      <c r="F3626" t="s">
        <v>4103</v>
      </c>
    </row>
    <row r="3627" spans="1:6" x14ac:dyDescent="0.15">
      <c r="A3627">
        <v>8414837</v>
      </c>
      <c r="B3627">
        <v>8414761</v>
      </c>
      <c r="C3627" t="s">
        <v>10</v>
      </c>
      <c r="D3627" t="s">
        <v>8</v>
      </c>
      <c r="E3627" s="4" t="str">
        <f>HYPERLINK("https://ibp.a2mac1.com/costing(costing:projects/details/9760/part/8414837)","Left Floor Insulation")</f>
        <v>Left Floor Insulation</v>
      </c>
      <c r="F3627" t="s">
        <v>4075</v>
      </c>
    </row>
    <row r="3628" spans="1:6" x14ac:dyDescent="0.15">
      <c r="A3628">
        <v>12084609</v>
      </c>
      <c r="B3628">
        <v>8414837</v>
      </c>
      <c r="C3628" t="s">
        <v>114</v>
      </c>
      <c r="D3628" t="s">
        <v>10</v>
      </c>
      <c r="E3628" s="4" t="str">
        <f>HYPERLINK("https://ibp.a2mac1.com/costing(costing:projects/details/9760/process/12084609)","Process")</f>
        <v>Process</v>
      </c>
      <c r="F3628" t="s">
        <v>4105</v>
      </c>
    </row>
    <row r="3629" spans="1:6" x14ac:dyDescent="0.15">
      <c r="A3629">
        <v>8753925</v>
      </c>
      <c r="B3629">
        <v>12084609</v>
      </c>
      <c r="C3629" t="s">
        <v>22</v>
      </c>
      <c r="D3629" t="s">
        <v>114</v>
      </c>
      <c r="E3629" s="4" t="str">
        <f>HYPERLINK("https://ibp.a2mac1.com/costing(costing:projects/details/9760/material/8753925)","PP-PET adjusted (part)")</f>
        <v>PP-PET adjusted (part)</v>
      </c>
      <c r="F3629" t="s">
        <v>4106</v>
      </c>
    </row>
    <row r="3630" spans="1:6" x14ac:dyDescent="0.15">
      <c r="A3630">
        <v>12211707</v>
      </c>
      <c r="B3630">
        <v>12084609</v>
      </c>
      <c r="C3630" t="s">
        <v>163</v>
      </c>
      <c r="D3630" t="s">
        <v>114</v>
      </c>
      <c r="E3630" s="4" t="str">
        <f>HYPERLINK("https://ibp.a2mac1.com/costing(costing:projects/details/9760/equipment/12211707)","DC machine - General")</f>
        <v>DC machine - General</v>
      </c>
      <c r="F3630" t="s">
        <v>4106</v>
      </c>
    </row>
    <row r="3631" spans="1:6" x14ac:dyDescent="0.15">
      <c r="A3631">
        <v>8414838</v>
      </c>
      <c r="B3631">
        <v>8414761</v>
      </c>
      <c r="C3631" t="s">
        <v>10</v>
      </c>
      <c r="D3631" t="s">
        <v>8</v>
      </c>
      <c r="E3631" s="4" t="str">
        <f>HYPERLINK("https://ibp.a2mac1.com/costing(costing:projects/details/9760/part/8414838)","Right Floor Insulation")</f>
        <v>Right Floor Insulation</v>
      </c>
      <c r="F3631" t="s">
        <v>4075</v>
      </c>
    </row>
    <row r="3632" spans="1:6" x14ac:dyDescent="0.15">
      <c r="A3632">
        <v>12084610</v>
      </c>
      <c r="B3632">
        <v>8414838</v>
      </c>
      <c r="C3632" t="s">
        <v>114</v>
      </c>
      <c r="D3632" t="s">
        <v>10</v>
      </c>
      <c r="E3632" s="4" t="str">
        <f>HYPERLINK("https://ibp.a2mac1.com/costing(costing:projects/details/9760/process/12084610)","Process")</f>
        <v>Process</v>
      </c>
      <c r="F3632" t="s">
        <v>4108</v>
      </c>
    </row>
    <row r="3633" spans="1:6" x14ac:dyDescent="0.15">
      <c r="A3633">
        <v>8753926</v>
      </c>
      <c r="B3633">
        <v>12084610</v>
      </c>
      <c r="C3633" t="s">
        <v>22</v>
      </c>
      <c r="D3633" t="s">
        <v>114</v>
      </c>
      <c r="E3633" s="4" t="str">
        <f>HYPERLINK("https://ibp.a2mac1.com/costing(costing:projects/details/9760/material/8753926)","PP-PET adjusted (part)")</f>
        <v>PP-PET adjusted (part)</v>
      </c>
      <c r="F3633" t="s">
        <v>4109</v>
      </c>
    </row>
    <row r="3634" spans="1:6" x14ac:dyDescent="0.15">
      <c r="A3634">
        <v>12211708</v>
      </c>
      <c r="B3634">
        <v>12084610</v>
      </c>
      <c r="C3634" t="s">
        <v>163</v>
      </c>
      <c r="D3634" t="s">
        <v>114</v>
      </c>
      <c r="E3634" s="4" t="str">
        <f>HYPERLINK("https://ibp.a2mac1.com/costing(costing:projects/details/9760/equipment/12211708)","DC machine - General")</f>
        <v>DC machine - General</v>
      </c>
      <c r="F3634" t="s">
        <v>4109</v>
      </c>
    </row>
    <row r="3635" spans="1:6" x14ac:dyDescent="0.15">
      <c r="A3635">
        <v>8414839</v>
      </c>
      <c r="B3635">
        <v>8414761</v>
      </c>
      <c r="C3635" t="s">
        <v>10</v>
      </c>
      <c r="D3635" t="s">
        <v>8</v>
      </c>
      <c r="E3635" s="4" t="str">
        <f>HYPERLINK("https://ibp.a2mac1.com/costing(costing:projects/details/9760/part/8414839)","Insulation Between Interior and Trunk")</f>
        <v>Insulation Between Interior and Trunk</v>
      </c>
      <c r="F3635" t="s">
        <v>4075</v>
      </c>
    </row>
    <row r="3636" spans="1:6" x14ac:dyDescent="0.15">
      <c r="A3636">
        <v>12084611</v>
      </c>
      <c r="B3636">
        <v>8414839</v>
      </c>
      <c r="C3636" t="s">
        <v>114</v>
      </c>
      <c r="D3636" t="s">
        <v>10</v>
      </c>
      <c r="E3636" s="4" t="str">
        <f>HYPERLINK("https://ibp.a2mac1.com/costing(costing:projects/details/9760/process/12084611)","Process")</f>
        <v>Process</v>
      </c>
      <c r="F3636" t="s">
        <v>4111</v>
      </c>
    </row>
    <row r="3637" spans="1:6" x14ac:dyDescent="0.15">
      <c r="A3637">
        <v>8753927</v>
      </c>
      <c r="B3637">
        <v>12084611</v>
      </c>
      <c r="C3637" t="s">
        <v>22</v>
      </c>
      <c r="D3637" t="s">
        <v>114</v>
      </c>
      <c r="E3637" s="4" t="str">
        <f>HYPERLINK("https://ibp.a2mac1.com/costing(costing:projects/details/9760/material/8753927)","PUR")</f>
        <v>PUR</v>
      </c>
      <c r="F3637" t="s">
        <v>4114</v>
      </c>
    </row>
    <row r="3638" spans="1:6" x14ac:dyDescent="0.15">
      <c r="A3638">
        <v>12211709</v>
      </c>
      <c r="B3638">
        <v>12084611</v>
      </c>
      <c r="C3638" t="s">
        <v>163</v>
      </c>
      <c r="D3638" t="s">
        <v>114</v>
      </c>
      <c r="E3638" s="4" t="str">
        <f>HYPERLINK("https://ibp.a2mac1.com/costing(costing:projects/details/9760/equipment/12211709)","DC machine - General")</f>
        <v>DC machine - General</v>
      </c>
      <c r="F3638" t="s">
        <v>4114</v>
      </c>
    </row>
    <row r="3639" spans="1:6" x14ac:dyDescent="0.15">
      <c r="A3639">
        <v>8414840</v>
      </c>
      <c r="B3639">
        <v>8414761</v>
      </c>
      <c r="C3639" t="s">
        <v>10</v>
      </c>
      <c r="D3639" t="s">
        <v>8</v>
      </c>
      <c r="E3639" s="4" t="str">
        <f>HYPERLINK("https://ibp.a2mac1.com/costing(costing:projects/details/9760/part/8414840)","Insulation Between Interior and Trunk 2")</f>
        <v>Insulation Between Interior and Trunk 2</v>
      </c>
      <c r="F3639" t="s">
        <v>4075</v>
      </c>
    </row>
    <row r="3640" spans="1:6" x14ac:dyDescent="0.15">
      <c r="A3640">
        <v>12084612</v>
      </c>
      <c r="B3640">
        <v>8414840</v>
      </c>
      <c r="C3640" t="s">
        <v>114</v>
      </c>
      <c r="D3640" t="s">
        <v>10</v>
      </c>
      <c r="E3640" s="4" t="str">
        <f>HYPERLINK("https://ibp.a2mac1.com/costing(costing:projects/details/9760/process/12084612)","Process")</f>
        <v>Process</v>
      </c>
      <c r="F3640" t="s">
        <v>4116</v>
      </c>
    </row>
    <row r="3641" spans="1:6" x14ac:dyDescent="0.15">
      <c r="A3641">
        <v>8753928</v>
      </c>
      <c r="B3641">
        <v>12084612</v>
      </c>
      <c r="C3641" t="s">
        <v>22</v>
      </c>
      <c r="D3641" t="s">
        <v>114</v>
      </c>
      <c r="E3641" s="4" t="str">
        <f>HYPERLINK("https://ibp.a2mac1.com/costing(costing:projects/details/9760/material/8753928)","PUR")</f>
        <v>PUR</v>
      </c>
      <c r="F3641" t="s">
        <v>4119</v>
      </c>
    </row>
    <row r="3642" spans="1:6" x14ac:dyDescent="0.15">
      <c r="A3642">
        <v>12211710</v>
      </c>
      <c r="B3642">
        <v>12084612</v>
      </c>
      <c r="C3642" t="s">
        <v>163</v>
      </c>
      <c r="D3642" t="s">
        <v>114</v>
      </c>
      <c r="E3642" s="4" t="str">
        <f>HYPERLINK("https://ibp.a2mac1.com/costing(costing:projects/details/9760/equipment/12211710)","DC machine - General")</f>
        <v>DC machine - General</v>
      </c>
      <c r="F3642" t="s">
        <v>4119</v>
      </c>
    </row>
    <row r="3643" spans="1:6" x14ac:dyDescent="0.15">
      <c r="A3643">
        <v>8753801</v>
      </c>
      <c r="B3643">
        <v>8414761</v>
      </c>
      <c r="C3643" t="s">
        <v>311</v>
      </c>
      <c r="D3643" t="s">
        <v>8</v>
      </c>
      <c r="E3643" s="4" t="str">
        <f>HYPERLINK("https://ibp.a2mac1.com/costing(costing:projects/details/9760/component/8753801)","Panel holder &gt; Clips on stud")</f>
        <v>Panel holder &gt; Clips on stud</v>
      </c>
      <c r="F3643" t="s">
        <v>4075</v>
      </c>
    </row>
    <row r="3644" spans="1:6" x14ac:dyDescent="0.15">
      <c r="A3644">
        <v>8753802</v>
      </c>
      <c r="B3644">
        <v>8414761</v>
      </c>
      <c r="C3644" t="s">
        <v>311</v>
      </c>
      <c r="D3644" t="s">
        <v>8</v>
      </c>
      <c r="E3644" s="4" t="str">
        <f>HYPERLINK("https://ibp.a2mac1.com/costing(costing:projects/details/9760/component/8753802)","Panel holder &gt; Clips on stud")</f>
        <v>Panel holder &gt; Clips on stud</v>
      </c>
      <c r="F3644" t="s">
        <v>4075</v>
      </c>
    </row>
    <row r="3645" spans="1:6" x14ac:dyDescent="0.15">
      <c r="A3645">
        <v>8414762</v>
      </c>
      <c r="B3645">
        <v>8414734</v>
      </c>
      <c r="C3645" t="s">
        <v>8</v>
      </c>
      <c r="D3645" t="s">
        <v>8</v>
      </c>
      <c r="E3645" s="4" t="str">
        <f>HYPERLINK("https://ibp.a2mac1.com/costing(costing:projects/details/9760/assembly/8414762)","Sound Insulation on Inner Panels")</f>
        <v>Sound Insulation on Inner Panels</v>
      </c>
      <c r="F3645" t="s">
        <v>4074</v>
      </c>
    </row>
    <row r="3646" spans="1:6" x14ac:dyDescent="0.15">
      <c r="A3646">
        <v>8414841</v>
      </c>
      <c r="B3646">
        <v>8414762</v>
      </c>
      <c r="C3646" t="s">
        <v>10</v>
      </c>
      <c r="D3646" t="s">
        <v>8</v>
      </c>
      <c r="E3646" s="4" t="str">
        <f>HYPERLINK("https://ibp.a2mac1.com/costing(costing:projects/details/9760/part/8414841)","On A Pillar Lower Panel")</f>
        <v>On A Pillar Lower Panel</v>
      </c>
      <c r="F3646" t="s">
        <v>4122</v>
      </c>
    </row>
    <row r="3647" spans="1:6" x14ac:dyDescent="0.15">
      <c r="A3647">
        <v>12084613</v>
      </c>
      <c r="B3647">
        <v>8414841</v>
      </c>
      <c r="C3647" t="s">
        <v>114</v>
      </c>
      <c r="D3647" t="s">
        <v>10</v>
      </c>
      <c r="E3647" s="4" t="str">
        <f>HYPERLINK("https://ibp.a2mac1.com/costing(costing:projects/details/9760/process/12084613)","Process")</f>
        <v>Process</v>
      </c>
      <c r="F3647" t="s">
        <v>4123</v>
      </c>
    </row>
    <row r="3648" spans="1:6" x14ac:dyDescent="0.15">
      <c r="A3648">
        <v>8753929</v>
      </c>
      <c r="B3648">
        <v>12084613</v>
      </c>
      <c r="C3648" t="s">
        <v>22</v>
      </c>
      <c r="D3648" t="s">
        <v>114</v>
      </c>
      <c r="E3648" s="4" t="str">
        <f>HYPERLINK("https://ibp.a2mac1.com/costing(costing:projects/details/9760/material/8753929)","PP-PET adjusted (part)")</f>
        <v>PP-PET adjusted (part)</v>
      </c>
      <c r="F3648" t="s">
        <v>4124</v>
      </c>
    </row>
    <row r="3649" spans="1:6" x14ac:dyDescent="0.15">
      <c r="A3649">
        <v>12211711</v>
      </c>
      <c r="B3649">
        <v>12084613</v>
      </c>
      <c r="C3649" t="s">
        <v>163</v>
      </c>
      <c r="D3649" t="s">
        <v>114</v>
      </c>
      <c r="E3649" s="4" t="str">
        <f>HYPERLINK("https://ibp.a2mac1.com/costing(costing:projects/details/9760/equipment/12211711)","DC machine - General")</f>
        <v>DC machine - General</v>
      </c>
      <c r="F3649" t="s">
        <v>4124</v>
      </c>
    </row>
    <row r="3650" spans="1:6" x14ac:dyDescent="0.15">
      <c r="A3650">
        <v>8414842</v>
      </c>
      <c r="B3650">
        <v>8414762</v>
      </c>
      <c r="C3650" t="s">
        <v>10</v>
      </c>
      <c r="D3650" t="s">
        <v>8</v>
      </c>
      <c r="E3650" s="4" t="str">
        <f>HYPERLINK("https://ibp.a2mac1.com/costing(costing:projects/details/9760/part/8414842)","On B Pillar Lower Panel")</f>
        <v>On B Pillar Lower Panel</v>
      </c>
      <c r="F3650" t="s">
        <v>4122</v>
      </c>
    </row>
    <row r="3651" spans="1:6" x14ac:dyDescent="0.15">
      <c r="A3651">
        <v>12084614</v>
      </c>
      <c r="B3651">
        <v>8414842</v>
      </c>
      <c r="C3651" t="s">
        <v>114</v>
      </c>
      <c r="D3651" t="s">
        <v>10</v>
      </c>
      <c r="E3651" s="4" t="str">
        <f>HYPERLINK("https://ibp.a2mac1.com/costing(costing:projects/details/9760/process/12084614)","Process")</f>
        <v>Process</v>
      </c>
      <c r="F3651" t="s">
        <v>4126</v>
      </c>
    </row>
    <row r="3652" spans="1:6" x14ac:dyDescent="0.15">
      <c r="A3652">
        <v>8753930</v>
      </c>
      <c r="B3652">
        <v>12084614</v>
      </c>
      <c r="C3652" t="s">
        <v>22</v>
      </c>
      <c r="D3652" t="s">
        <v>114</v>
      </c>
      <c r="E3652" s="4" t="str">
        <f>HYPERLINK("https://ibp.a2mac1.com/costing(costing:projects/details/9760/material/8753930)","PP-PET adjusted (part)")</f>
        <v>PP-PET adjusted (part)</v>
      </c>
      <c r="F3652" t="s">
        <v>4127</v>
      </c>
    </row>
    <row r="3653" spans="1:6" x14ac:dyDescent="0.15">
      <c r="A3653">
        <v>12211712</v>
      </c>
      <c r="B3653">
        <v>12084614</v>
      </c>
      <c r="C3653" t="s">
        <v>163</v>
      </c>
      <c r="D3653" t="s">
        <v>114</v>
      </c>
      <c r="E3653" s="4" t="str">
        <f>HYPERLINK("https://ibp.a2mac1.com/costing(costing:projects/details/9760/equipment/12211712)","DC machine - General")</f>
        <v>DC machine - General</v>
      </c>
      <c r="F3653" t="s">
        <v>4127</v>
      </c>
    </row>
    <row r="3654" spans="1:6" x14ac:dyDescent="0.15">
      <c r="A3654">
        <v>8414843</v>
      </c>
      <c r="B3654">
        <v>8414762</v>
      </c>
      <c r="C3654" t="s">
        <v>10</v>
      </c>
      <c r="D3654" t="s">
        <v>8</v>
      </c>
      <c r="E3654" s="4" t="str">
        <f>HYPERLINK("https://ibp.a2mac1.com/costing(costing:projects/details/9760/part/8414843)","On Lower C Pillar Panel")</f>
        <v>On Lower C Pillar Panel</v>
      </c>
      <c r="F3654" t="s">
        <v>4122</v>
      </c>
    </row>
    <row r="3655" spans="1:6" x14ac:dyDescent="0.15">
      <c r="A3655">
        <v>12084615</v>
      </c>
      <c r="B3655">
        <v>8414843</v>
      </c>
      <c r="C3655" t="s">
        <v>114</v>
      </c>
      <c r="D3655" t="s">
        <v>10</v>
      </c>
      <c r="E3655" s="4" t="str">
        <f>HYPERLINK("https://ibp.a2mac1.com/costing(costing:projects/details/9760/process/12084615)","Process")</f>
        <v>Process</v>
      </c>
      <c r="F3655" t="s">
        <v>4129</v>
      </c>
    </row>
    <row r="3656" spans="1:6" x14ac:dyDescent="0.15">
      <c r="A3656">
        <v>8753931</v>
      </c>
      <c r="B3656">
        <v>12084615</v>
      </c>
      <c r="C3656" t="s">
        <v>22</v>
      </c>
      <c r="D3656" t="s">
        <v>114</v>
      </c>
      <c r="E3656" s="4" t="str">
        <f>HYPERLINK("https://ibp.a2mac1.com/costing(costing:projects/details/9760/material/8753931)","PP-PET adjusted (part)")</f>
        <v>PP-PET adjusted (part)</v>
      </c>
      <c r="F3656" t="s">
        <v>4130</v>
      </c>
    </row>
    <row r="3657" spans="1:6" x14ac:dyDescent="0.15">
      <c r="A3657">
        <v>12211713</v>
      </c>
      <c r="B3657">
        <v>12084615</v>
      </c>
      <c r="C3657" t="s">
        <v>163</v>
      </c>
      <c r="D3657" t="s">
        <v>114</v>
      </c>
      <c r="E3657" s="4" t="str">
        <f>HYPERLINK("https://ibp.a2mac1.com/costing(costing:projects/details/9760/equipment/12211713)","DC machine - General")</f>
        <v>DC machine - General</v>
      </c>
      <c r="F3657" t="s">
        <v>4130</v>
      </c>
    </row>
    <row r="3658" spans="1:6" x14ac:dyDescent="0.15">
      <c r="A3658">
        <v>8414844</v>
      </c>
      <c r="B3658">
        <v>8414762</v>
      </c>
      <c r="C3658" t="s">
        <v>10</v>
      </c>
      <c r="D3658" t="s">
        <v>8</v>
      </c>
      <c r="E3658" s="4" t="str">
        <f>HYPERLINK("https://ibp.a2mac1.com/costing(costing:projects/details/9760/part/8414844)","On C Pillar Upper Panel")</f>
        <v>On C Pillar Upper Panel</v>
      </c>
      <c r="F3658" t="s">
        <v>4122</v>
      </c>
    </row>
    <row r="3659" spans="1:6" x14ac:dyDescent="0.15">
      <c r="A3659">
        <v>12084616</v>
      </c>
      <c r="B3659">
        <v>8414844</v>
      </c>
      <c r="C3659" t="s">
        <v>114</v>
      </c>
      <c r="D3659" t="s">
        <v>10</v>
      </c>
      <c r="E3659" s="4" t="str">
        <f>HYPERLINK("https://ibp.a2mac1.com/costing(costing:projects/details/9760/process/12084616)","Process")</f>
        <v>Process</v>
      </c>
      <c r="F3659" t="s">
        <v>4132</v>
      </c>
    </row>
    <row r="3660" spans="1:6" x14ac:dyDescent="0.15">
      <c r="A3660">
        <v>8753932</v>
      </c>
      <c r="B3660">
        <v>12084616</v>
      </c>
      <c r="C3660" t="s">
        <v>22</v>
      </c>
      <c r="D3660" t="s">
        <v>114</v>
      </c>
      <c r="E3660" s="4" t="str">
        <f>HYPERLINK("https://ibp.a2mac1.com/costing(costing:projects/details/9760/material/8753932)","PP-PET adjusted (part)")</f>
        <v>PP-PET adjusted (part)</v>
      </c>
      <c r="F3660" t="s">
        <v>4133</v>
      </c>
    </row>
    <row r="3661" spans="1:6" x14ac:dyDescent="0.15">
      <c r="A3661">
        <v>12211714</v>
      </c>
      <c r="B3661">
        <v>12084616</v>
      </c>
      <c r="C3661" t="s">
        <v>163</v>
      </c>
      <c r="D3661" t="s">
        <v>114</v>
      </c>
      <c r="E3661" s="4" t="str">
        <f>HYPERLINK("https://ibp.a2mac1.com/costing(costing:projects/details/9760/equipment/12211714)","DC machine - General")</f>
        <v>DC machine - General</v>
      </c>
      <c r="F3661" t="s">
        <v>4133</v>
      </c>
    </row>
    <row r="3662" spans="1:6" x14ac:dyDescent="0.15">
      <c r="A3662">
        <v>8414845</v>
      </c>
      <c r="B3662">
        <v>8414762</v>
      </c>
      <c r="C3662" t="s">
        <v>10</v>
      </c>
      <c r="D3662" t="s">
        <v>8</v>
      </c>
      <c r="E3662" s="4" t="str">
        <f>HYPERLINK("https://ibp.a2mac1.com/costing(costing:projects/details/9760/part/8414845)","Insulation on Rear Quarter Glass Panel")</f>
        <v>Insulation on Rear Quarter Glass Panel</v>
      </c>
      <c r="F3662" t="s">
        <v>4122</v>
      </c>
    </row>
    <row r="3663" spans="1:6" x14ac:dyDescent="0.15">
      <c r="A3663">
        <v>12084617</v>
      </c>
      <c r="B3663">
        <v>8414845</v>
      </c>
      <c r="C3663" t="s">
        <v>114</v>
      </c>
      <c r="D3663" t="s">
        <v>10</v>
      </c>
      <c r="E3663" s="4" t="str">
        <f>HYPERLINK("https://ibp.a2mac1.com/costing(costing:projects/details/9760/process/12084617)","Process")</f>
        <v>Process</v>
      </c>
      <c r="F3663" t="s">
        <v>4135</v>
      </c>
    </row>
    <row r="3664" spans="1:6" x14ac:dyDescent="0.15">
      <c r="A3664">
        <v>8753933</v>
      </c>
      <c r="B3664">
        <v>12084617</v>
      </c>
      <c r="C3664" t="s">
        <v>22</v>
      </c>
      <c r="D3664" t="s">
        <v>114</v>
      </c>
      <c r="E3664" s="4" t="str">
        <f>HYPERLINK("https://ibp.a2mac1.com/costing(costing:projects/details/9760/material/8753933)","PP-PET adjusted (part)")</f>
        <v>PP-PET adjusted (part)</v>
      </c>
      <c r="F3664" t="s">
        <v>4136</v>
      </c>
    </row>
    <row r="3665" spans="1:6" x14ac:dyDescent="0.15">
      <c r="A3665">
        <v>12211715</v>
      </c>
      <c r="B3665">
        <v>12084617</v>
      </c>
      <c r="C3665" t="s">
        <v>163</v>
      </c>
      <c r="D3665" t="s">
        <v>114</v>
      </c>
      <c r="E3665" s="4" t="str">
        <f>HYPERLINK("https://ibp.a2mac1.com/costing(costing:projects/details/9760/equipment/12211715)","DC machine - General")</f>
        <v>DC machine - General</v>
      </c>
      <c r="F3665" t="s">
        <v>4136</v>
      </c>
    </row>
    <row r="3666" spans="1:6" x14ac:dyDescent="0.15">
      <c r="A3666">
        <v>8414846</v>
      </c>
      <c r="B3666">
        <v>8414762</v>
      </c>
      <c r="C3666" t="s">
        <v>10</v>
      </c>
      <c r="D3666" t="s">
        <v>8</v>
      </c>
      <c r="E3666" s="4" t="str">
        <f>HYPERLINK("https://ibp.a2mac1.com/costing(costing:projects/details/9760/part/8414846)","2nd Insulation on Rear Quarter Glass Panel")</f>
        <v>2nd Insulation on Rear Quarter Glass Panel</v>
      </c>
      <c r="F3666" t="s">
        <v>4122</v>
      </c>
    </row>
    <row r="3667" spans="1:6" x14ac:dyDescent="0.15">
      <c r="A3667">
        <v>12084618</v>
      </c>
      <c r="B3667">
        <v>8414846</v>
      </c>
      <c r="C3667" t="s">
        <v>114</v>
      </c>
      <c r="D3667" t="s">
        <v>10</v>
      </c>
      <c r="E3667" s="4" t="str">
        <f>HYPERLINK("https://ibp.a2mac1.com/costing(costing:projects/details/9760/process/12084618)","Process")</f>
        <v>Process</v>
      </c>
      <c r="F3667" t="s">
        <v>4138</v>
      </c>
    </row>
    <row r="3668" spans="1:6" x14ac:dyDescent="0.15">
      <c r="A3668">
        <v>8753934</v>
      </c>
      <c r="B3668">
        <v>12084618</v>
      </c>
      <c r="C3668" t="s">
        <v>22</v>
      </c>
      <c r="D3668" t="s">
        <v>114</v>
      </c>
      <c r="E3668" s="4" t="str">
        <f>HYPERLINK("https://ibp.a2mac1.com/costing(costing:projects/details/9760/material/8753934)","PP-PET adjusted (part)")</f>
        <v>PP-PET adjusted (part)</v>
      </c>
      <c r="F3668" t="s">
        <v>4139</v>
      </c>
    </row>
    <row r="3669" spans="1:6" x14ac:dyDescent="0.15">
      <c r="A3669">
        <v>12211716</v>
      </c>
      <c r="B3669">
        <v>12084618</v>
      </c>
      <c r="C3669" t="s">
        <v>163</v>
      </c>
      <c r="D3669" t="s">
        <v>114</v>
      </c>
      <c r="E3669" s="4" t="str">
        <f>HYPERLINK("https://ibp.a2mac1.com/costing(costing:projects/details/9760/equipment/12211716)","DC machine - General")</f>
        <v>DC machine - General</v>
      </c>
      <c r="F3669" t="s">
        <v>4139</v>
      </c>
    </row>
    <row r="3670" spans="1:6" x14ac:dyDescent="0.15">
      <c r="A3670">
        <v>8414847</v>
      </c>
      <c r="B3670">
        <v>8414762</v>
      </c>
      <c r="C3670" t="s">
        <v>10</v>
      </c>
      <c r="D3670" t="s">
        <v>8</v>
      </c>
      <c r="E3670" s="4" t="str">
        <f>HYPERLINK("https://ibp.a2mac1.com/costing(costing:projects/details/9760/part/8414847)","On Side Lower Trunk Panel Insulation")</f>
        <v>On Side Lower Trunk Panel Insulation</v>
      </c>
      <c r="F3670" t="s">
        <v>4122</v>
      </c>
    </row>
    <row r="3671" spans="1:6" x14ac:dyDescent="0.15">
      <c r="A3671">
        <v>12084619</v>
      </c>
      <c r="B3671">
        <v>8414847</v>
      </c>
      <c r="C3671" t="s">
        <v>114</v>
      </c>
      <c r="D3671" t="s">
        <v>10</v>
      </c>
      <c r="E3671" s="4" t="str">
        <f>HYPERLINK("https://ibp.a2mac1.com/costing(costing:projects/details/9760/process/12084619)","Process")</f>
        <v>Process</v>
      </c>
      <c r="F3671" t="s">
        <v>4141</v>
      </c>
    </row>
    <row r="3672" spans="1:6" x14ac:dyDescent="0.15">
      <c r="A3672">
        <v>8753935</v>
      </c>
      <c r="B3672">
        <v>12084619</v>
      </c>
      <c r="C3672" t="s">
        <v>22</v>
      </c>
      <c r="D3672" t="s">
        <v>114</v>
      </c>
      <c r="E3672" s="4" t="str">
        <f>HYPERLINK("https://ibp.a2mac1.com/costing(costing:projects/details/9760/material/8753935)","PP-PET adjusted (part)")</f>
        <v>PP-PET adjusted (part)</v>
      </c>
      <c r="F3672" t="s">
        <v>4142</v>
      </c>
    </row>
    <row r="3673" spans="1:6" x14ac:dyDescent="0.15">
      <c r="A3673">
        <v>12211717</v>
      </c>
      <c r="B3673">
        <v>12084619</v>
      </c>
      <c r="C3673" t="s">
        <v>163</v>
      </c>
      <c r="D3673" t="s">
        <v>114</v>
      </c>
      <c r="E3673" s="4" t="str">
        <f>HYPERLINK("https://ibp.a2mac1.com/costing(costing:projects/details/9760/equipment/12211717)","DC machine - General")</f>
        <v>DC machine - General</v>
      </c>
      <c r="F3673" t="s">
        <v>4142</v>
      </c>
    </row>
    <row r="3674" spans="1:6" x14ac:dyDescent="0.15">
      <c r="A3674">
        <v>8414848</v>
      </c>
      <c r="B3674">
        <v>8414762</v>
      </c>
      <c r="C3674" t="s">
        <v>10</v>
      </c>
      <c r="D3674" t="s">
        <v>8</v>
      </c>
      <c r="E3674" s="4" t="str">
        <f>HYPERLINK("https://ibp.a2mac1.com/costing(costing:projects/details/9760/part/8414848)","2nd on Side Lower Trunk Panel Insulation")</f>
        <v>2nd on Side Lower Trunk Panel Insulation</v>
      </c>
      <c r="F3674" t="s">
        <v>4122</v>
      </c>
    </row>
    <row r="3675" spans="1:6" x14ac:dyDescent="0.15">
      <c r="A3675">
        <v>12084620</v>
      </c>
      <c r="B3675">
        <v>8414848</v>
      </c>
      <c r="C3675" t="s">
        <v>114</v>
      </c>
      <c r="D3675" t="s">
        <v>10</v>
      </c>
      <c r="E3675" s="4" t="str">
        <f>HYPERLINK("https://ibp.a2mac1.com/costing(costing:projects/details/9760/process/12084620)","Process")</f>
        <v>Process</v>
      </c>
      <c r="F3675" t="s">
        <v>4144</v>
      </c>
    </row>
    <row r="3676" spans="1:6" x14ac:dyDescent="0.15">
      <c r="A3676">
        <v>8753936</v>
      </c>
      <c r="B3676">
        <v>12084620</v>
      </c>
      <c r="C3676" t="s">
        <v>22</v>
      </c>
      <c r="D3676" t="s">
        <v>114</v>
      </c>
      <c r="E3676" s="4" t="str">
        <f>HYPERLINK("https://ibp.a2mac1.com/costing(costing:projects/details/9760/material/8753936)","PP-PET adjusted (part)")</f>
        <v>PP-PET adjusted (part)</v>
      </c>
      <c r="F3676" t="s">
        <v>4145</v>
      </c>
    </row>
    <row r="3677" spans="1:6" x14ac:dyDescent="0.15">
      <c r="A3677">
        <v>12211718</v>
      </c>
      <c r="B3677">
        <v>12084620</v>
      </c>
      <c r="C3677" t="s">
        <v>163</v>
      </c>
      <c r="D3677" t="s">
        <v>114</v>
      </c>
      <c r="E3677" s="4" t="str">
        <f>HYPERLINK("https://ibp.a2mac1.com/costing(costing:projects/details/9760/equipment/12211718)","DC machine - General")</f>
        <v>DC machine - General</v>
      </c>
      <c r="F3677" t="s">
        <v>4145</v>
      </c>
    </row>
    <row r="3678" spans="1:6" x14ac:dyDescent="0.15">
      <c r="A3678">
        <v>8414849</v>
      </c>
      <c r="B3678">
        <v>8414762</v>
      </c>
      <c r="C3678" t="s">
        <v>10</v>
      </c>
      <c r="D3678" t="s">
        <v>8</v>
      </c>
      <c r="E3678" s="4" t="str">
        <f>HYPERLINK("https://ibp.a2mac1.com/costing(costing:projects/details/9760/part/8414849)","3rd on Side Lower Trunk Panel Insulation")</f>
        <v>3rd on Side Lower Trunk Panel Insulation</v>
      </c>
      <c r="F3678" t="s">
        <v>4122</v>
      </c>
    </row>
    <row r="3679" spans="1:6" x14ac:dyDescent="0.15">
      <c r="A3679">
        <v>12084621</v>
      </c>
      <c r="B3679">
        <v>8414849</v>
      </c>
      <c r="C3679" t="s">
        <v>114</v>
      </c>
      <c r="D3679" t="s">
        <v>10</v>
      </c>
      <c r="E3679" s="4" t="str">
        <f>HYPERLINK("https://ibp.a2mac1.com/costing(costing:projects/details/9760/process/12084621)","Process")</f>
        <v>Process</v>
      </c>
      <c r="F3679" t="s">
        <v>4147</v>
      </c>
    </row>
    <row r="3680" spans="1:6" x14ac:dyDescent="0.15">
      <c r="A3680">
        <v>8753937</v>
      </c>
      <c r="B3680">
        <v>12084621</v>
      </c>
      <c r="C3680" t="s">
        <v>22</v>
      </c>
      <c r="D3680" t="s">
        <v>114</v>
      </c>
      <c r="E3680" s="4" t="str">
        <f>HYPERLINK("https://ibp.a2mac1.com/costing(costing:projects/details/9760/material/8753937)","PP-PET adjusted (part)")</f>
        <v>PP-PET adjusted (part)</v>
      </c>
      <c r="F3680" t="s">
        <v>4148</v>
      </c>
    </row>
    <row r="3681" spans="1:6" x14ac:dyDescent="0.15">
      <c r="A3681">
        <v>12211719</v>
      </c>
      <c r="B3681">
        <v>12084621</v>
      </c>
      <c r="C3681" t="s">
        <v>163</v>
      </c>
      <c r="D3681" t="s">
        <v>114</v>
      </c>
      <c r="E3681" s="4" t="str">
        <f>HYPERLINK("https://ibp.a2mac1.com/costing(costing:projects/details/9760/equipment/12211719)","DC machine - General")</f>
        <v>DC machine - General</v>
      </c>
      <c r="F3681" t="s">
        <v>4148</v>
      </c>
    </row>
    <row r="3682" spans="1:6" x14ac:dyDescent="0.15">
      <c r="A3682">
        <v>8414850</v>
      </c>
      <c r="B3682">
        <v>8414762</v>
      </c>
      <c r="C3682" t="s">
        <v>10</v>
      </c>
      <c r="D3682" t="s">
        <v>8</v>
      </c>
      <c r="E3682" s="4" t="str">
        <f>HYPERLINK("https://ibp.a2mac1.com/costing(costing:projects/details/9760/part/8414850)","4th on Side Lower Trunk Panel Insulation")</f>
        <v>4th on Side Lower Trunk Panel Insulation</v>
      </c>
      <c r="F3682" t="s">
        <v>4122</v>
      </c>
    </row>
    <row r="3683" spans="1:6" x14ac:dyDescent="0.15">
      <c r="A3683">
        <v>12084622</v>
      </c>
      <c r="B3683">
        <v>8414850</v>
      </c>
      <c r="C3683" t="s">
        <v>114</v>
      </c>
      <c r="D3683" t="s">
        <v>10</v>
      </c>
      <c r="E3683" s="4" t="str">
        <f>HYPERLINK("https://ibp.a2mac1.com/costing(costing:projects/details/9760/process/12084622)","Process")</f>
        <v>Process</v>
      </c>
      <c r="F3683" t="s">
        <v>4150</v>
      </c>
    </row>
    <row r="3684" spans="1:6" x14ac:dyDescent="0.15">
      <c r="A3684">
        <v>8753938</v>
      </c>
      <c r="B3684">
        <v>12084622</v>
      </c>
      <c r="C3684" t="s">
        <v>22</v>
      </c>
      <c r="D3684" t="s">
        <v>114</v>
      </c>
      <c r="E3684" s="4" t="str">
        <f>HYPERLINK("https://ibp.a2mac1.com/costing(costing:projects/details/9760/material/8753938)","PP-PET adjusted (part)")</f>
        <v>PP-PET adjusted (part)</v>
      </c>
      <c r="F3684" t="s">
        <v>4151</v>
      </c>
    </row>
    <row r="3685" spans="1:6" x14ac:dyDescent="0.15">
      <c r="A3685">
        <v>12211720</v>
      </c>
      <c r="B3685">
        <v>12084622</v>
      </c>
      <c r="C3685" t="s">
        <v>163</v>
      </c>
      <c r="D3685" t="s">
        <v>114</v>
      </c>
      <c r="E3685" s="4" t="str">
        <f>HYPERLINK("https://ibp.a2mac1.com/costing(costing:projects/details/9760/equipment/12211720)","DC machine - General")</f>
        <v>DC machine - General</v>
      </c>
      <c r="F3685" t="s">
        <v>4151</v>
      </c>
    </row>
    <row r="3686" spans="1:6" x14ac:dyDescent="0.15">
      <c r="A3686">
        <v>8414763</v>
      </c>
      <c r="B3686">
        <v>8414734</v>
      </c>
      <c r="C3686" t="s">
        <v>8</v>
      </c>
      <c r="D3686" t="s">
        <v>8</v>
      </c>
      <c r="E3686" s="4" t="str">
        <f>HYPERLINK("https://ibp.a2mac1.com/costing(costing:projects/details/9760/assembly/8414763)","Instrument Panel Insulation System")</f>
        <v>Instrument Panel Insulation System</v>
      </c>
      <c r="F3686" t="s">
        <v>4074</v>
      </c>
    </row>
    <row r="3687" spans="1:6" x14ac:dyDescent="0.15">
      <c r="A3687">
        <v>8414854</v>
      </c>
      <c r="B3687">
        <v>8414763</v>
      </c>
      <c r="C3687" t="s">
        <v>8</v>
      </c>
      <c r="D3687" t="s">
        <v>8</v>
      </c>
      <c r="E3687" s="4" t="str">
        <f>HYPERLINK("https://ibp.a2mac1.com/costing(costing:projects/details/9760/assembly/8414854)","Driver Side")</f>
        <v>Driver Side</v>
      </c>
      <c r="F3687" t="s">
        <v>4154</v>
      </c>
    </row>
    <row r="3688" spans="1:6" x14ac:dyDescent="0.15">
      <c r="A3688">
        <v>8415011</v>
      </c>
      <c r="B3688">
        <v>8414854</v>
      </c>
      <c r="C3688" t="s">
        <v>10</v>
      </c>
      <c r="D3688" t="s">
        <v>8</v>
      </c>
      <c r="E3688" s="4" t="str">
        <f>HYPERLINK("https://ibp.a2mac1.com/costing(costing:projects/details/9760/part/8415011)","Foot Well Trim Sound Insulation")</f>
        <v>Foot Well Trim Sound Insulation</v>
      </c>
      <c r="F3688" t="s">
        <v>4155</v>
      </c>
    </row>
    <row r="3689" spans="1:6" x14ac:dyDescent="0.15">
      <c r="A3689">
        <v>12084741</v>
      </c>
      <c r="B3689">
        <v>8415011</v>
      </c>
      <c r="C3689" t="s">
        <v>114</v>
      </c>
      <c r="D3689" t="s">
        <v>10</v>
      </c>
      <c r="E3689" s="4" t="str">
        <f>HYPERLINK("https://ibp.a2mac1.com/costing(costing:projects/details/9760/process/12084741)","Process")</f>
        <v>Process</v>
      </c>
      <c r="F3689" t="s">
        <v>4156</v>
      </c>
    </row>
    <row r="3690" spans="1:6" x14ac:dyDescent="0.15">
      <c r="A3690">
        <v>8754104</v>
      </c>
      <c r="B3690">
        <v>12084741</v>
      </c>
      <c r="C3690" t="s">
        <v>22</v>
      </c>
      <c r="D3690" t="s">
        <v>114</v>
      </c>
      <c r="E3690" s="4" t="str">
        <f>HYPERLINK("https://ibp.a2mac1.com/costing(costing:projects/details/9760/material/8754104)","PP-PET adjusted (part)")</f>
        <v>PP-PET adjusted (part)</v>
      </c>
      <c r="F3690" t="s">
        <v>4157</v>
      </c>
    </row>
    <row r="3691" spans="1:6" x14ac:dyDescent="0.15">
      <c r="A3691">
        <v>12211839</v>
      </c>
      <c r="B3691">
        <v>12084741</v>
      </c>
      <c r="C3691" t="s">
        <v>163</v>
      </c>
      <c r="D3691" t="s">
        <v>114</v>
      </c>
      <c r="E3691" s="4" t="str">
        <f>HYPERLINK("https://ibp.a2mac1.com/costing(costing:projects/details/9760/equipment/12211839)","DC machine - General")</f>
        <v>DC machine - General</v>
      </c>
      <c r="F3691" t="s">
        <v>4157</v>
      </c>
    </row>
    <row r="3692" spans="1:6" x14ac:dyDescent="0.15">
      <c r="A3692">
        <v>8414851</v>
      </c>
      <c r="B3692">
        <v>8414763</v>
      </c>
      <c r="C3692" t="s">
        <v>10</v>
      </c>
      <c r="D3692" t="s">
        <v>8</v>
      </c>
      <c r="E3692" s="4" t="str">
        <f>HYPERLINK("https://ibp.a2mac1.com/costing(costing:projects/details/9760/part/8414851)","Center Side Identical")</f>
        <v>Center Side Identical</v>
      </c>
      <c r="F3692" t="s">
        <v>4154</v>
      </c>
    </row>
    <row r="3693" spans="1:6" x14ac:dyDescent="0.15">
      <c r="A3693">
        <v>12084623</v>
      </c>
      <c r="B3693">
        <v>8414851</v>
      </c>
      <c r="C3693" t="s">
        <v>114</v>
      </c>
      <c r="D3693" t="s">
        <v>10</v>
      </c>
      <c r="E3693" s="4" t="str">
        <f>HYPERLINK("https://ibp.a2mac1.com/costing(costing:projects/details/9760/process/12084623)","Process")</f>
        <v>Process</v>
      </c>
      <c r="F3693" t="s">
        <v>4160</v>
      </c>
    </row>
    <row r="3694" spans="1:6" x14ac:dyDescent="0.15">
      <c r="A3694">
        <v>8753939</v>
      </c>
      <c r="B3694">
        <v>12084623</v>
      </c>
      <c r="C3694" t="s">
        <v>22</v>
      </c>
      <c r="D3694" t="s">
        <v>114</v>
      </c>
      <c r="E3694" s="4" t="str">
        <f>HYPERLINK("https://ibp.a2mac1.com/costing(costing:projects/details/9760/material/8753939)","PP-PET adjusted (part)")</f>
        <v>PP-PET adjusted (part)</v>
      </c>
      <c r="F3694" t="s">
        <v>4161</v>
      </c>
    </row>
    <row r="3695" spans="1:6" x14ac:dyDescent="0.15">
      <c r="A3695">
        <v>12211721</v>
      </c>
      <c r="B3695">
        <v>12084623</v>
      </c>
      <c r="C3695" t="s">
        <v>163</v>
      </c>
      <c r="D3695" t="s">
        <v>114</v>
      </c>
      <c r="E3695" s="4" t="str">
        <f>HYPERLINK("https://ibp.a2mac1.com/costing(costing:projects/details/9760/equipment/12211721)","DC machine - General")</f>
        <v>DC machine - General</v>
      </c>
      <c r="F3695" t="s">
        <v>4161</v>
      </c>
    </row>
    <row r="3696" spans="1:6" x14ac:dyDescent="0.15">
      <c r="A3696">
        <v>8414852</v>
      </c>
      <c r="B3696">
        <v>8414763</v>
      </c>
      <c r="C3696" t="s">
        <v>10</v>
      </c>
      <c r="D3696" t="s">
        <v>8</v>
      </c>
      <c r="E3696" s="4" t="str">
        <f>HYPERLINK("https://ibp.a2mac1.com/costing(costing:projects/details/9760/part/8414852)","Heating Ducts Insulation")</f>
        <v>Heating Ducts Insulation</v>
      </c>
      <c r="F3696" t="s">
        <v>4154</v>
      </c>
    </row>
    <row r="3697" spans="1:6" x14ac:dyDescent="0.15">
      <c r="A3697">
        <v>12084624</v>
      </c>
      <c r="B3697">
        <v>8414852</v>
      </c>
      <c r="C3697" t="s">
        <v>114</v>
      </c>
      <c r="D3697" t="s">
        <v>10</v>
      </c>
      <c r="E3697" s="4" t="str">
        <f>HYPERLINK("https://ibp.a2mac1.com/costing(costing:projects/details/9760/process/12084624)","Process")</f>
        <v>Process</v>
      </c>
      <c r="F3697" t="s">
        <v>4163</v>
      </c>
    </row>
    <row r="3698" spans="1:6" x14ac:dyDescent="0.15">
      <c r="A3698">
        <v>8753940</v>
      </c>
      <c r="B3698">
        <v>12084624</v>
      </c>
      <c r="C3698" t="s">
        <v>22</v>
      </c>
      <c r="D3698" t="s">
        <v>114</v>
      </c>
      <c r="E3698" s="4" t="str">
        <f>HYPERLINK("https://ibp.a2mac1.com/costing(costing:projects/details/9760/material/8753940)","PP-PET adjusted (part)")</f>
        <v>PP-PET adjusted (part)</v>
      </c>
      <c r="F3698" t="s">
        <v>4164</v>
      </c>
    </row>
    <row r="3699" spans="1:6" x14ac:dyDescent="0.15">
      <c r="A3699">
        <v>12211722</v>
      </c>
      <c r="B3699">
        <v>12084624</v>
      </c>
      <c r="C3699" t="s">
        <v>163</v>
      </c>
      <c r="D3699" t="s">
        <v>114</v>
      </c>
      <c r="E3699" s="4" t="str">
        <f>HYPERLINK("https://ibp.a2mac1.com/costing(costing:projects/details/9760/equipment/12211722)","DC machine - General")</f>
        <v>DC machine - General</v>
      </c>
      <c r="F3699" t="s">
        <v>4164</v>
      </c>
    </row>
    <row r="3700" spans="1:6" x14ac:dyDescent="0.15">
      <c r="A3700">
        <v>8414853</v>
      </c>
      <c r="B3700">
        <v>8414763</v>
      </c>
      <c r="C3700" t="s">
        <v>10</v>
      </c>
      <c r="D3700" t="s">
        <v>8</v>
      </c>
      <c r="E3700" s="4" t="str">
        <f>HYPERLINK("https://ibp.a2mac1.com/costing(costing:projects/details/9760/part/8414853)","2nd Heating Ducts Insulation")</f>
        <v>2nd Heating Ducts Insulation</v>
      </c>
      <c r="F3700" t="s">
        <v>4154</v>
      </c>
    </row>
    <row r="3701" spans="1:6" x14ac:dyDescent="0.15">
      <c r="A3701">
        <v>12084625</v>
      </c>
      <c r="B3701">
        <v>8414853</v>
      </c>
      <c r="C3701" t="s">
        <v>114</v>
      </c>
      <c r="D3701" t="s">
        <v>10</v>
      </c>
      <c r="E3701" s="4" t="str">
        <f>HYPERLINK("https://ibp.a2mac1.com/costing(costing:projects/details/9760/process/12084625)","Process")</f>
        <v>Process</v>
      </c>
      <c r="F3701" t="s">
        <v>4166</v>
      </c>
    </row>
    <row r="3702" spans="1:6" x14ac:dyDescent="0.15">
      <c r="A3702">
        <v>8753941</v>
      </c>
      <c r="B3702">
        <v>12084625</v>
      </c>
      <c r="C3702" t="s">
        <v>22</v>
      </c>
      <c r="D3702" t="s">
        <v>114</v>
      </c>
      <c r="E3702" s="4" t="str">
        <f>HYPERLINK("https://ibp.a2mac1.com/costing(costing:projects/details/9760/material/8753941)","PP-PET adjusted (part)")</f>
        <v>PP-PET adjusted (part)</v>
      </c>
      <c r="F3702" t="s">
        <v>4167</v>
      </c>
    </row>
    <row r="3703" spans="1:6" x14ac:dyDescent="0.15">
      <c r="A3703">
        <v>12211723</v>
      </c>
      <c r="B3703">
        <v>12084625</v>
      </c>
      <c r="C3703" t="s">
        <v>163</v>
      </c>
      <c r="D3703" t="s">
        <v>114</v>
      </c>
      <c r="E3703" s="4" t="str">
        <f>HYPERLINK("https://ibp.a2mac1.com/costing(costing:projects/details/9760/equipment/12211723)","DC machine - General")</f>
        <v>DC machine - General</v>
      </c>
      <c r="F3703" t="s">
        <v>4167</v>
      </c>
    </row>
    <row r="3704" spans="1:6" x14ac:dyDescent="0.15">
      <c r="A3704">
        <v>8414764</v>
      </c>
      <c r="B3704">
        <v>8414734</v>
      </c>
      <c r="C3704" t="s">
        <v>8</v>
      </c>
      <c r="D3704" t="s">
        <v>8</v>
      </c>
      <c r="E3704" s="4" t="str">
        <f>HYPERLINK("https://ibp.a2mac1.com/costing(costing:projects/details/9760/assembly/8414764)","Roof sound insulation")</f>
        <v>Roof sound insulation</v>
      </c>
      <c r="F3704" t="s">
        <v>4074</v>
      </c>
    </row>
    <row r="3705" spans="1:6" x14ac:dyDescent="0.15">
      <c r="A3705">
        <v>8414855</v>
      </c>
      <c r="B3705">
        <v>8414764</v>
      </c>
      <c r="C3705" t="s">
        <v>10</v>
      </c>
      <c r="D3705" t="s">
        <v>8</v>
      </c>
      <c r="E3705" s="4" t="str">
        <f>HYPERLINK("https://ibp.a2mac1.com/costing(costing:projects/details/9760/part/8414855)","Rear Sound Insulation Under Roof")</f>
        <v>Rear Sound Insulation Under Roof</v>
      </c>
      <c r="F3705" t="s">
        <v>4170</v>
      </c>
    </row>
    <row r="3706" spans="1:6" x14ac:dyDescent="0.15">
      <c r="A3706">
        <v>12084626</v>
      </c>
      <c r="B3706">
        <v>8414855</v>
      </c>
      <c r="C3706" t="s">
        <v>114</v>
      </c>
      <c r="D3706" t="s">
        <v>10</v>
      </c>
      <c r="E3706" s="4" t="str">
        <f>HYPERLINK("https://ibp.a2mac1.com/costing(costing:projects/details/9760/process/12084626)","Process")</f>
        <v>Process</v>
      </c>
      <c r="F3706" t="s">
        <v>4171</v>
      </c>
    </row>
    <row r="3707" spans="1:6" x14ac:dyDescent="0.15">
      <c r="A3707">
        <v>8753942</v>
      </c>
      <c r="B3707">
        <v>12084626</v>
      </c>
      <c r="C3707" t="s">
        <v>22</v>
      </c>
      <c r="D3707" t="s">
        <v>114</v>
      </c>
      <c r="E3707" s="4" t="str">
        <f>HYPERLINK("https://ibp.a2mac1.com/costing(costing:projects/details/9760/material/8753942)","PP-PET adjusted (part)")</f>
        <v>PP-PET adjusted (part)</v>
      </c>
      <c r="F3707" t="s">
        <v>4172</v>
      </c>
    </row>
    <row r="3708" spans="1:6" x14ac:dyDescent="0.15">
      <c r="A3708">
        <v>12211724</v>
      </c>
      <c r="B3708">
        <v>12084626</v>
      </c>
      <c r="C3708" t="s">
        <v>163</v>
      </c>
      <c r="D3708" t="s">
        <v>114</v>
      </c>
      <c r="E3708" s="4" t="str">
        <f>HYPERLINK("https://ibp.a2mac1.com/costing(costing:projects/details/9760/equipment/12211724)","DC machine - General")</f>
        <v>DC machine - General</v>
      </c>
      <c r="F3708" t="s">
        <v>4172</v>
      </c>
    </row>
    <row r="3709" spans="1:6" x14ac:dyDescent="0.15">
      <c r="A3709">
        <v>8414856</v>
      </c>
      <c r="B3709">
        <v>8414764</v>
      </c>
      <c r="C3709" t="s">
        <v>10</v>
      </c>
      <c r="D3709" t="s">
        <v>8</v>
      </c>
      <c r="E3709" s="4" t="str">
        <f>HYPERLINK("https://ibp.a2mac1.com/costing(costing:projects/details/9760/part/8414856)","Rear Sound Insulation Under Roof 2")</f>
        <v>Rear Sound Insulation Under Roof 2</v>
      </c>
      <c r="F3709" t="s">
        <v>4170</v>
      </c>
    </row>
    <row r="3710" spans="1:6" x14ac:dyDescent="0.15">
      <c r="A3710">
        <v>12084627</v>
      </c>
      <c r="B3710">
        <v>8414856</v>
      </c>
      <c r="C3710" t="s">
        <v>114</v>
      </c>
      <c r="D3710" t="s">
        <v>10</v>
      </c>
      <c r="E3710" s="4" t="str">
        <f>HYPERLINK("https://ibp.a2mac1.com/costing(costing:projects/details/9760/process/12084627)","Process")</f>
        <v>Process</v>
      </c>
      <c r="F3710" t="s">
        <v>4174</v>
      </c>
    </row>
    <row r="3711" spans="1:6" x14ac:dyDescent="0.15">
      <c r="A3711">
        <v>8753943</v>
      </c>
      <c r="B3711">
        <v>12084627</v>
      </c>
      <c r="C3711" t="s">
        <v>22</v>
      </c>
      <c r="D3711" t="s">
        <v>114</v>
      </c>
      <c r="E3711" s="4" t="str">
        <f>HYPERLINK("https://ibp.a2mac1.com/costing(costing:projects/details/9760/material/8753943)","PP-PET adjusted (part)")</f>
        <v>PP-PET adjusted (part)</v>
      </c>
      <c r="F3711" t="s">
        <v>4175</v>
      </c>
    </row>
    <row r="3712" spans="1:6" x14ac:dyDescent="0.15">
      <c r="A3712">
        <v>12211725</v>
      </c>
      <c r="B3712">
        <v>12084627</v>
      </c>
      <c r="C3712" t="s">
        <v>163</v>
      </c>
      <c r="D3712" t="s">
        <v>114</v>
      </c>
      <c r="E3712" s="4" t="str">
        <f>HYPERLINK("https://ibp.a2mac1.com/costing(costing:projects/details/9760/equipment/12211725)","DC machine - General")</f>
        <v>DC machine - General</v>
      </c>
      <c r="F3712" t="s">
        <v>4175</v>
      </c>
    </row>
    <row r="3713" spans="1:6" x14ac:dyDescent="0.15">
      <c r="A3713">
        <v>8414765</v>
      </c>
      <c r="B3713">
        <v>8414734</v>
      </c>
      <c r="C3713" t="s">
        <v>8</v>
      </c>
      <c r="D3713" t="s">
        <v>8</v>
      </c>
      <c r="E3713" s="4" t="str">
        <f>HYPERLINK("https://ibp.a2mac1.com/costing(costing:projects/details/9760/assembly/8414765)","Noise Insulation on Center Console System")</f>
        <v>Noise Insulation on Center Console System</v>
      </c>
      <c r="F3713" t="s">
        <v>4074</v>
      </c>
    </row>
    <row r="3714" spans="1:6" x14ac:dyDescent="0.15">
      <c r="A3714">
        <v>8414857</v>
      </c>
      <c r="B3714">
        <v>8414765</v>
      </c>
      <c r="C3714" t="s">
        <v>10</v>
      </c>
      <c r="D3714" t="s">
        <v>8</v>
      </c>
      <c r="E3714" s="4" t="str">
        <f>HYPERLINK("https://ibp.a2mac1.com/costing(costing:projects/details/9760/part/8414857)","Noise Insulation on Center Console")</f>
        <v>Noise Insulation on Center Console</v>
      </c>
      <c r="F3714" t="s">
        <v>4178</v>
      </c>
    </row>
    <row r="3715" spans="1:6" x14ac:dyDescent="0.15">
      <c r="A3715">
        <v>12084628</v>
      </c>
      <c r="B3715">
        <v>8414857</v>
      </c>
      <c r="C3715" t="s">
        <v>114</v>
      </c>
      <c r="D3715" t="s">
        <v>10</v>
      </c>
      <c r="E3715" s="4" t="str">
        <f>HYPERLINK("https://ibp.a2mac1.com/costing(costing:projects/details/9760/process/12084628)","Process")</f>
        <v>Process</v>
      </c>
      <c r="F3715" t="s">
        <v>4179</v>
      </c>
    </row>
    <row r="3716" spans="1:6" x14ac:dyDescent="0.15">
      <c r="A3716">
        <v>8753944</v>
      </c>
      <c r="B3716">
        <v>12084628</v>
      </c>
      <c r="C3716" t="s">
        <v>22</v>
      </c>
      <c r="D3716" t="s">
        <v>114</v>
      </c>
      <c r="E3716" s="4" t="str">
        <f>HYPERLINK("https://ibp.a2mac1.com/costing(costing:projects/details/9760/material/8753944)","PP-PET adjusted (part)")</f>
        <v>PP-PET adjusted (part)</v>
      </c>
      <c r="F3716" t="s">
        <v>4180</v>
      </c>
    </row>
    <row r="3717" spans="1:6" x14ac:dyDescent="0.15">
      <c r="A3717">
        <v>12211726</v>
      </c>
      <c r="B3717">
        <v>12084628</v>
      </c>
      <c r="C3717" t="s">
        <v>163</v>
      </c>
      <c r="D3717" t="s">
        <v>114</v>
      </c>
      <c r="E3717" s="4" t="str">
        <f>HYPERLINK("https://ibp.a2mac1.com/costing(costing:projects/details/9760/equipment/12211726)","DC machine - General")</f>
        <v>DC machine - General</v>
      </c>
      <c r="F3717" t="s">
        <v>4180</v>
      </c>
    </row>
    <row r="3718" spans="1:6" x14ac:dyDescent="0.15">
      <c r="A3718">
        <v>8414858</v>
      </c>
      <c r="B3718">
        <v>8414765</v>
      </c>
      <c r="C3718" t="s">
        <v>10</v>
      </c>
      <c r="D3718" t="s">
        <v>8</v>
      </c>
      <c r="E3718" s="4" t="str">
        <f>HYPERLINK("https://ibp.a2mac1.com/costing(costing:projects/details/9760/part/8414858)","2nd Noise Insulation on Center Console")</f>
        <v>2nd Noise Insulation on Center Console</v>
      </c>
      <c r="F3718" t="s">
        <v>4178</v>
      </c>
    </row>
    <row r="3719" spans="1:6" x14ac:dyDescent="0.15">
      <c r="A3719">
        <v>12084629</v>
      </c>
      <c r="B3719">
        <v>8414858</v>
      </c>
      <c r="C3719" t="s">
        <v>114</v>
      </c>
      <c r="D3719" t="s">
        <v>10</v>
      </c>
      <c r="E3719" s="4" t="str">
        <f>HYPERLINK("https://ibp.a2mac1.com/costing(costing:projects/details/9760/process/12084629)","Process")</f>
        <v>Process</v>
      </c>
      <c r="F3719" t="s">
        <v>4182</v>
      </c>
    </row>
    <row r="3720" spans="1:6" x14ac:dyDescent="0.15">
      <c r="A3720">
        <v>8753945</v>
      </c>
      <c r="B3720">
        <v>12084629</v>
      </c>
      <c r="C3720" t="s">
        <v>22</v>
      </c>
      <c r="D3720" t="s">
        <v>114</v>
      </c>
      <c r="E3720" s="4" t="str">
        <f>HYPERLINK("https://ibp.a2mac1.com/costing(costing:projects/details/9760/material/8753945)","PP-PET adjusted (part)")</f>
        <v>PP-PET adjusted (part)</v>
      </c>
      <c r="F3720" t="s">
        <v>4183</v>
      </c>
    </row>
    <row r="3721" spans="1:6" x14ac:dyDescent="0.15">
      <c r="A3721">
        <v>12211727</v>
      </c>
      <c r="B3721">
        <v>12084629</v>
      </c>
      <c r="C3721" t="s">
        <v>163</v>
      </c>
      <c r="D3721" t="s">
        <v>114</v>
      </c>
      <c r="E3721" s="4" t="str">
        <f>HYPERLINK("https://ibp.a2mac1.com/costing(costing:projects/details/9760/equipment/12211727)","DC machine - General")</f>
        <v>DC machine - General</v>
      </c>
      <c r="F3721" t="s">
        <v>4183</v>
      </c>
    </row>
    <row r="3722" spans="1:6" x14ac:dyDescent="0.15">
      <c r="A3722">
        <v>8414747</v>
      </c>
      <c r="B3722">
        <v>8414734</v>
      </c>
      <c r="C3722" t="s">
        <v>10</v>
      </c>
      <c r="D3722" t="s">
        <v>8</v>
      </c>
      <c r="E3722" s="4" t="str">
        <f>HYPERLINK("https://ibp.a2mac1.com/costing(costing:projects/details/9760/part/8414747)","Sound Insulation Engine Side Single Main")</f>
        <v>Sound Insulation Engine Side Single Main</v>
      </c>
      <c r="F3722" t="s">
        <v>4074</v>
      </c>
    </row>
    <row r="3723" spans="1:6" x14ac:dyDescent="0.15">
      <c r="A3723">
        <v>12084574</v>
      </c>
      <c r="B3723">
        <v>8414747</v>
      </c>
      <c r="C3723" t="s">
        <v>114</v>
      </c>
      <c r="D3723" t="s">
        <v>10</v>
      </c>
      <c r="E3723" s="4" t="str">
        <f>HYPERLINK("https://ibp.a2mac1.com/costing(costing:projects/details/9760/process/12084574)","Process")</f>
        <v>Process</v>
      </c>
      <c r="F3723" t="s">
        <v>4186</v>
      </c>
    </row>
    <row r="3724" spans="1:6" x14ac:dyDescent="0.15">
      <c r="A3724">
        <v>8753846</v>
      </c>
      <c r="B3724">
        <v>12084574</v>
      </c>
      <c r="C3724" t="s">
        <v>22</v>
      </c>
      <c r="D3724" t="s">
        <v>114</v>
      </c>
      <c r="E3724" s="4" t="str">
        <f>HYPERLINK("https://ibp.a2mac1.com/costing(costing:projects/details/9760/material/8753846)","&gt;PET;PUR&lt;")</f>
        <v>&gt;PET;PUR&lt;</v>
      </c>
      <c r="F3724" t="s">
        <v>4187</v>
      </c>
    </row>
    <row r="3725" spans="1:6" x14ac:dyDescent="0.15">
      <c r="A3725">
        <v>12211672</v>
      </c>
      <c r="B3725">
        <v>12084574</v>
      </c>
      <c r="C3725" t="s">
        <v>163</v>
      </c>
      <c r="D3725" t="s">
        <v>114</v>
      </c>
      <c r="E3725" s="4" t="str">
        <f>HYPERLINK("https://ibp.a2mac1.com/costing(costing:projects/details/9760/equipment/12211672)","DC machine - General")</f>
        <v>DC machine - General</v>
      </c>
      <c r="F3725" t="s">
        <v>4187</v>
      </c>
    </row>
    <row r="3726" spans="1:6" x14ac:dyDescent="0.15">
      <c r="A3726">
        <v>8753798</v>
      </c>
      <c r="B3726">
        <v>8414747</v>
      </c>
      <c r="C3726" t="s">
        <v>311</v>
      </c>
      <c r="D3726" t="s">
        <v>10</v>
      </c>
      <c r="E3726" s="4" t="str">
        <f>HYPERLINK("https://ibp.a2mac1.com/costing(costing:projects/details/9760/component/8753798)","Panel holder &gt; Clips on stud")</f>
        <v>Panel holder &gt; Clips on stud</v>
      </c>
      <c r="F3726" t="s">
        <v>4186</v>
      </c>
    </row>
    <row r="3727" spans="1:6" x14ac:dyDescent="0.15">
      <c r="A3727">
        <v>8414748</v>
      </c>
      <c r="B3727">
        <v>8414734</v>
      </c>
      <c r="C3727" t="s">
        <v>10</v>
      </c>
      <c r="D3727" t="s">
        <v>8</v>
      </c>
      <c r="E3727" s="4" t="str">
        <f>HYPERLINK("https://ibp.a2mac1.com/costing(costing:projects/details/9760/part/8414748)","Sound Insulation Cabin Side")</f>
        <v>Sound Insulation Cabin Side</v>
      </c>
      <c r="F3727" t="s">
        <v>4074</v>
      </c>
    </row>
    <row r="3728" spans="1:6" x14ac:dyDescent="0.15">
      <c r="A3728">
        <v>12084575</v>
      </c>
      <c r="B3728">
        <v>8414748</v>
      </c>
      <c r="C3728" t="s">
        <v>114</v>
      </c>
      <c r="D3728" t="s">
        <v>10</v>
      </c>
      <c r="E3728" s="4" t="str">
        <f>HYPERLINK("https://ibp.a2mac1.com/costing(costing:projects/details/9760/process/12084575)","Process")</f>
        <v>Process</v>
      </c>
      <c r="F3728" t="s">
        <v>4191</v>
      </c>
    </row>
    <row r="3729" spans="1:6" x14ac:dyDescent="0.15">
      <c r="A3729">
        <v>8753847</v>
      </c>
      <c r="B3729">
        <v>12084575</v>
      </c>
      <c r="C3729" t="s">
        <v>22</v>
      </c>
      <c r="D3729" t="s">
        <v>114</v>
      </c>
      <c r="E3729" s="4" t="str">
        <f>HYPERLINK("https://ibp.a2mac1.com/costing(costing:projects/details/9760/material/8753847)","&gt;PET&lt;")</f>
        <v>&gt;PET&lt;</v>
      </c>
      <c r="F3729" t="s">
        <v>4192</v>
      </c>
    </row>
    <row r="3730" spans="1:6" x14ac:dyDescent="0.15">
      <c r="A3730">
        <v>12211673</v>
      </c>
      <c r="B3730">
        <v>12084575</v>
      </c>
      <c r="C3730" t="s">
        <v>163</v>
      </c>
      <c r="D3730" t="s">
        <v>114</v>
      </c>
      <c r="E3730" s="4" t="str">
        <f>HYPERLINK("https://ibp.a2mac1.com/costing(costing:projects/details/9760/equipment/12211673)","DC machine - General")</f>
        <v>DC machine - General</v>
      </c>
      <c r="F3730" t="s">
        <v>4192</v>
      </c>
    </row>
    <row r="3731" spans="1:6" x14ac:dyDescent="0.15">
      <c r="A3731">
        <v>8753799</v>
      </c>
      <c r="B3731">
        <v>8414748</v>
      </c>
      <c r="C3731" t="s">
        <v>311</v>
      </c>
      <c r="D3731" t="s">
        <v>10</v>
      </c>
      <c r="E3731" s="4" t="str">
        <f>HYPERLINK("https://ibp.a2mac1.com/costing(costing:projects/details/9760/component/8753799)","Washer &gt; Lock interior washer")</f>
        <v>Washer &gt; Lock interior washer</v>
      </c>
      <c r="F3731" t="s">
        <v>4191</v>
      </c>
    </row>
    <row r="3732" spans="1:6" x14ac:dyDescent="0.15">
      <c r="A3732">
        <v>8414749</v>
      </c>
      <c r="B3732">
        <v>8414734</v>
      </c>
      <c r="C3732" t="s">
        <v>10</v>
      </c>
      <c r="D3732" t="s">
        <v>8</v>
      </c>
      <c r="E3732" s="4" t="str">
        <f>HYPERLINK("https://ibp.a2mac1.com/costing(costing:projects/details/9760/part/8414749)","2nd Sound Insulation Cabin Side")</f>
        <v>2nd Sound Insulation Cabin Side</v>
      </c>
      <c r="F3732" t="s">
        <v>4074</v>
      </c>
    </row>
    <row r="3733" spans="1:6" x14ac:dyDescent="0.15">
      <c r="A3733">
        <v>12084576</v>
      </c>
      <c r="B3733">
        <v>8414749</v>
      </c>
      <c r="C3733" t="s">
        <v>114</v>
      </c>
      <c r="D3733" t="s">
        <v>10</v>
      </c>
      <c r="E3733" s="4" t="str">
        <f>HYPERLINK("https://ibp.a2mac1.com/costing(costing:projects/details/9760/process/12084576)","Process")</f>
        <v>Process</v>
      </c>
      <c r="F3733" t="s">
        <v>4194</v>
      </c>
    </row>
    <row r="3734" spans="1:6" x14ac:dyDescent="0.15">
      <c r="A3734">
        <v>8753848</v>
      </c>
      <c r="B3734">
        <v>12084576</v>
      </c>
      <c r="C3734" t="s">
        <v>22</v>
      </c>
      <c r="D3734" t="s">
        <v>114</v>
      </c>
      <c r="E3734" s="4" t="str">
        <f>HYPERLINK("https://ibp.a2mac1.com/costing(costing:projects/details/9760/material/8753848)","PP-PET adjusted (part)")</f>
        <v>PP-PET adjusted (part)</v>
      </c>
      <c r="F3734" t="s">
        <v>4195</v>
      </c>
    </row>
    <row r="3735" spans="1:6" x14ac:dyDescent="0.15">
      <c r="A3735">
        <v>12211674</v>
      </c>
      <c r="B3735">
        <v>12084576</v>
      </c>
      <c r="C3735" t="s">
        <v>163</v>
      </c>
      <c r="D3735" t="s">
        <v>114</v>
      </c>
      <c r="E3735" s="4" t="str">
        <f>HYPERLINK("https://ibp.a2mac1.com/costing(costing:projects/details/9760/equipment/12211674)","DC machine - General")</f>
        <v>DC machine - General</v>
      </c>
      <c r="F3735" t="s">
        <v>4195</v>
      </c>
    </row>
    <row r="3736" spans="1:6" x14ac:dyDescent="0.15">
      <c r="A3736">
        <v>8414750</v>
      </c>
      <c r="B3736">
        <v>8414734</v>
      </c>
      <c r="C3736" t="s">
        <v>10</v>
      </c>
      <c r="D3736" t="s">
        <v>8</v>
      </c>
      <c r="E3736" s="4" t="str">
        <f>HYPERLINK("https://ibp.a2mac1.com/costing(costing:projects/details/9760/part/8414750)","3rd Sound Insulation Cabin Side")</f>
        <v>3rd Sound Insulation Cabin Side</v>
      </c>
      <c r="F3736" t="s">
        <v>4074</v>
      </c>
    </row>
    <row r="3737" spans="1:6" x14ac:dyDescent="0.15">
      <c r="A3737">
        <v>12084577</v>
      </c>
      <c r="B3737">
        <v>8414750</v>
      </c>
      <c r="C3737" t="s">
        <v>114</v>
      </c>
      <c r="D3737" t="s">
        <v>10</v>
      </c>
      <c r="E3737" s="4" t="str">
        <f>HYPERLINK("https://ibp.a2mac1.com/costing(costing:projects/details/9760/process/12084577)","Process")</f>
        <v>Process</v>
      </c>
      <c r="F3737" t="s">
        <v>4197</v>
      </c>
    </row>
    <row r="3738" spans="1:6" x14ac:dyDescent="0.15">
      <c r="A3738">
        <v>8753849</v>
      </c>
      <c r="B3738">
        <v>12084577</v>
      </c>
      <c r="C3738" t="s">
        <v>22</v>
      </c>
      <c r="D3738" t="s">
        <v>114</v>
      </c>
      <c r="E3738" s="4" t="str">
        <f>HYPERLINK("https://ibp.a2mac1.com/costing(costing:projects/details/9760/material/8753849)","PP-PET adjusted (part)")</f>
        <v>PP-PET adjusted (part)</v>
      </c>
      <c r="F3738" t="s">
        <v>4198</v>
      </c>
    </row>
    <row r="3739" spans="1:6" x14ac:dyDescent="0.15">
      <c r="A3739">
        <v>12211675</v>
      </c>
      <c r="B3739">
        <v>12084577</v>
      </c>
      <c r="C3739" t="s">
        <v>163</v>
      </c>
      <c r="D3739" t="s">
        <v>114</v>
      </c>
      <c r="E3739" s="4" t="str">
        <f>HYPERLINK("https://ibp.a2mac1.com/costing(costing:projects/details/9760/equipment/12211675)","DC machine - General")</f>
        <v>DC machine - General</v>
      </c>
      <c r="F3739" t="s">
        <v>4198</v>
      </c>
    </row>
    <row r="3740" spans="1:6" x14ac:dyDescent="0.15">
      <c r="A3740">
        <v>8414751</v>
      </c>
      <c r="B3740">
        <v>8414734</v>
      </c>
      <c r="C3740" t="s">
        <v>10</v>
      </c>
      <c r="D3740" t="s">
        <v>8</v>
      </c>
      <c r="E3740" s="4" t="str">
        <f>HYPERLINK("https://ibp.a2mac1.com/costing(costing:projects/details/9760/part/8414751)","Left Sound Insulation Cabin Side")</f>
        <v>Left Sound Insulation Cabin Side</v>
      </c>
      <c r="F3740" t="s">
        <v>4074</v>
      </c>
    </row>
    <row r="3741" spans="1:6" x14ac:dyDescent="0.15">
      <c r="A3741">
        <v>12084578</v>
      </c>
      <c r="B3741">
        <v>8414751</v>
      </c>
      <c r="C3741" t="s">
        <v>114</v>
      </c>
      <c r="D3741" t="s">
        <v>10</v>
      </c>
      <c r="E3741" s="4" t="str">
        <f>HYPERLINK("https://ibp.a2mac1.com/costing(costing:projects/details/9760/process/12084578)","Process")</f>
        <v>Process</v>
      </c>
      <c r="F3741" t="s">
        <v>4200</v>
      </c>
    </row>
    <row r="3742" spans="1:6" x14ac:dyDescent="0.15">
      <c r="A3742">
        <v>8753850</v>
      </c>
      <c r="B3742">
        <v>12084578</v>
      </c>
      <c r="C3742" t="s">
        <v>22</v>
      </c>
      <c r="D3742" t="s">
        <v>114</v>
      </c>
      <c r="E3742" s="4" t="str">
        <f>HYPERLINK("https://ibp.a2mac1.com/costing(costing:projects/details/9760/material/8753850)","PP-PET adjusted (part)")</f>
        <v>PP-PET adjusted (part)</v>
      </c>
      <c r="F3742" t="s">
        <v>4201</v>
      </c>
    </row>
    <row r="3743" spans="1:6" x14ac:dyDescent="0.15">
      <c r="A3743">
        <v>12211676</v>
      </c>
      <c r="B3743">
        <v>12084578</v>
      </c>
      <c r="C3743" t="s">
        <v>163</v>
      </c>
      <c r="D3743" t="s">
        <v>114</v>
      </c>
      <c r="E3743" s="4" t="str">
        <f>HYPERLINK("https://ibp.a2mac1.com/costing(costing:projects/details/9760/equipment/12211676)","DC machine - General")</f>
        <v>DC machine - General</v>
      </c>
      <c r="F3743" t="s">
        <v>4201</v>
      </c>
    </row>
    <row r="3744" spans="1:6" x14ac:dyDescent="0.15">
      <c r="A3744">
        <v>8414752</v>
      </c>
      <c r="B3744">
        <v>8414734</v>
      </c>
      <c r="C3744" t="s">
        <v>10</v>
      </c>
      <c r="D3744" t="s">
        <v>8</v>
      </c>
      <c r="E3744" s="4" t="str">
        <f>HYPERLINK("https://ibp.a2mac1.com/costing(costing:projects/details/9760/part/8414752)","Secondary Left Sound Insulation Cabin Side")</f>
        <v>Secondary Left Sound Insulation Cabin Side</v>
      </c>
      <c r="F3744" t="s">
        <v>4074</v>
      </c>
    </row>
    <row r="3745" spans="1:6" x14ac:dyDescent="0.15">
      <c r="A3745">
        <v>12084579</v>
      </c>
      <c r="B3745">
        <v>8414752</v>
      </c>
      <c r="C3745" t="s">
        <v>114</v>
      </c>
      <c r="D3745" t="s">
        <v>10</v>
      </c>
      <c r="E3745" s="4" t="str">
        <f>HYPERLINK("https://ibp.a2mac1.com/costing(costing:projects/details/9760/process/12084579)","Process")</f>
        <v>Process</v>
      </c>
      <c r="F3745" t="s">
        <v>4203</v>
      </c>
    </row>
    <row r="3746" spans="1:6" x14ac:dyDescent="0.15">
      <c r="A3746">
        <v>8753851</v>
      </c>
      <c r="B3746">
        <v>12084579</v>
      </c>
      <c r="C3746" t="s">
        <v>22</v>
      </c>
      <c r="D3746" t="s">
        <v>114</v>
      </c>
      <c r="E3746" s="4" t="str">
        <f>HYPERLINK("https://ibp.a2mac1.com/costing(costing:projects/details/9760/material/8753851)","PP-PET adjusted (part)")</f>
        <v>PP-PET adjusted (part)</v>
      </c>
      <c r="F3746" t="s">
        <v>4204</v>
      </c>
    </row>
    <row r="3747" spans="1:6" x14ac:dyDescent="0.15">
      <c r="A3747">
        <v>12211677</v>
      </c>
      <c r="B3747">
        <v>12084579</v>
      </c>
      <c r="C3747" t="s">
        <v>163</v>
      </c>
      <c r="D3747" t="s">
        <v>114</v>
      </c>
      <c r="E3747" s="4" t="str">
        <f>HYPERLINK("https://ibp.a2mac1.com/costing(costing:projects/details/9760/equipment/12211677)","DC machine - General")</f>
        <v>DC machine - General</v>
      </c>
      <c r="F3747" t="s">
        <v>4204</v>
      </c>
    </row>
    <row r="3748" spans="1:6" x14ac:dyDescent="0.15">
      <c r="A3748">
        <v>8414753</v>
      </c>
      <c r="B3748">
        <v>8414734</v>
      </c>
      <c r="C3748" t="s">
        <v>10</v>
      </c>
      <c r="D3748" t="s">
        <v>8</v>
      </c>
      <c r="E3748" s="4" t="str">
        <f>HYPERLINK("https://ibp.a2mac1.com/costing(costing:projects/details/9760/part/8414753)","Right Sound Insulation Cabin Side")</f>
        <v>Right Sound Insulation Cabin Side</v>
      </c>
      <c r="F3748" t="s">
        <v>4074</v>
      </c>
    </row>
    <row r="3749" spans="1:6" x14ac:dyDescent="0.15">
      <c r="A3749">
        <v>8414754</v>
      </c>
      <c r="B3749">
        <v>8414734</v>
      </c>
      <c r="C3749" t="s">
        <v>10</v>
      </c>
      <c r="D3749" t="s">
        <v>8</v>
      </c>
      <c r="E3749" s="4" t="str">
        <f>HYPERLINK("https://ibp.a2mac1.com/costing(costing:projects/details/9760/part/8414754)","Secondary Right Sound Insulation Cabin Side")</f>
        <v>Secondary Right Sound Insulation Cabin Side</v>
      </c>
      <c r="F3749" t="s">
        <v>4074</v>
      </c>
    </row>
    <row r="3750" spans="1:6" x14ac:dyDescent="0.15">
      <c r="A3750">
        <v>8414755</v>
      </c>
      <c r="B3750">
        <v>8414734</v>
      </c>
      <c r="C3750" t="s">
        <v>10</v>
      </c>
      <c r="D3750" t="s">
        <v>8</v>
      </c>
      <c r="E3750" s="4" t="str">
        <f>HYPERLINK("https://ibp.a2mac1.com/costing(costing:projects/details/9760/part/8414755)","Upper Sound Insulation Cabin Side")</f>
        <v>Upper Sound Insulation Cabin Side</v>
      </c>
      <c r="F3750" t="s">
        <v>4074</v>
      </c>
    </row>
    <row r="3751" spans="1:6" x14ac:dyDescent="0.15">
      <c r="A3751">
        <v>12084580</v>
      </c>
      <c r="B3751">
        <v>8414755</v>
      </c>
      <c r="C3751" t="s">
        <v>114</v>
      </c>
      <c r="D3751" t="s">
        <v>10</v>
      </c>
      <c r="E3751" s="4" t="str">
        <f>HYPERLINK("https://ibp.a2mac1.com/costing(costing:projects/details/9760/process/12084580)","Process")</f>
        <v>Process</v>
      </c>
      <c r="F3751" t="s">
        <v>4209</v>
      </c>
    </row>
    <row r="3752" spans="1:6" x14ac:dyDescent="0.15">
      <c r="A3752">
        <v>8753852</v>
      </c>
      <c r="B3752">
        <v>12084580</v>
      </c>
      <c r="C3752" t="s">
        <v>22</v>
      </c>
      <c r="D3752" t="s">
        <v>114</v>
      </c>
      <c r="E3752" s="4" t="str">
        <f>HYPERLINK("https://ibp.a2mac1.com/costing(costing:projects/details/9760/material/8753852)","PP-PET adjusted (part)")</f>
        <v>PP-PET adjusted (part)</v>
      </c>
      <c r="F3752" t="s">
        <v>4210</v>
      </c>
    </row>
    <row r="3753" spans="1:6" x14ac:dyDescent="0.15">
      <c r="A3753">
        <v>12211678</v>
      </c>
      <c r="B3753">
        <v>12084580</v>
      </c>
      <c r="C3753" t="s">
        <v>163</v>
      </c>
      <c r="D3753" t="s">
        <v>114</v>
      </c>
      <c r="E3753" s="4" t="str">
        <f>HYPERLINK("https://ibp.a2mac1.com/costing(costing:projects/details/9760/equipment/12211678)","DC machine - General")</f>
        <v>DC machine - General</v>
      </c>
      <c r="F3753" t="s">
        <v>4210</v>
      </c>
    </row>
    <row r="3754" spans="1:6" x14ac:dyDescent="0.15">
      <c r="A3754">
        <v>8414756</v>
      </c>
      <c r="B3754">
        <v>8414734</v>
      </c>
      <c r="C3754" t="s">
        <v>10</v>
      </c>
      <c r="D3754" t="s">
        <v>8</v>
      </c>
      <c r="E3754" s="4" t="str">
        <f>HYPERLINK("https://ibp.a2mac1.com/costing(costing:projects/details/9760/part/8414756)","Lower Sound Insulation Cabin Side")</f>
        <v>Lower Sound Insulation Cabin Side</v>
      </c>
      <c r="F3754" t="s">
        <v>4074</v>
      </c>
    </row>
    <row r="3755" spans="1:6" x14ac:dyDescent="0.15">
      <c r="A3755">
        <v>12084581</v>
      </c>
      <c r="B3755">
        <v>8414756</v>
      </c>
      <c r="C3755" t="s">
        <v>114</v>
      </c>
      <c r="D3755" t="s">
        <v>10</v>
      </c>
      <c r="E3755" s="4" t="str">
        <f>HYPERLINK("https://ibp.a2mac1.com/costing(costing:projects/details/9760/process/12084581)","Process")</f>
        <v>Process</v>
      </c>
      <c r="F3755" t="s">
        <v>4212</v>
      </c>
    </row>
    <row r="3756" spans="1:6" x14ac:dyDescent="0.15">
      <c r="A3756">
        <v>8753853</v>
      </c>
      <c r="B3756">
        <v>12084581</v>
      </c>
      <c r="C3756" t="s">
        <v>22</v>
      </c>
      <c r="D3756" t="s">
        <v>114</v>
      </c>
      <c r="E3756" s="4" t="str">
        <f>HYPERLINK("https://ibp.a2mac1.com/costing(costing:projects/details/9760/material/8753853)","PP-PET adjusted (part)")</f>
        <v>PP-PET adjusted (part)</v>
      </c>
      <c r="F3756" t="s">
        <v>4213</v>
      </c>
    </row>
    <row r="3757" spans="1:6" x14ac:dyDescent="0.15">
      <c r="A3757">
        <v>12211679</v>
      </c>
      <c r="B3757">
        <v>12084581</v>
      </c>
      <c r="C3757" t="s">
        <v>163</v>
      </c>
      <c r="D3757" t="s">
        <v>114</v>
      </c>
      <c r="E3757" s="4" t="str">
        <f>HYPERLINK("https://ibp.a2mac1.com/costing(costing:projects/details/9760/equipment/12211679)","DC machine - General")</f>
        <v>DC machine - General</v>
      </c>
      <c r="F3757" t="s">
        <v>4213</v>
      </c>
    </row>
    <row r="3758" spans="1:6" x14ac:dyDescent="0.15">
      <c r="A3758">
        <v>8414757</v>
      </c>
      <c r="B3758">
        <v>8414734</v>
      </c>
      <c r="C3758" t="s">
        <v>10</v>
      </c>
      <c r="D3758" t="s">
        <v>8</v>
      </c>
      <c r="E3758" s="4" t="str">
        <f>HYPERLINK("https://ibp.a2mac1.com/costing(costing:projects/details/9760/part/8414757)","Rear Parcel Shelf Sound Insulation")</f>
        <v>Rear Parcel Shelf Sound Insulation</v>
      </c>
      <c r="F3758" t="s">
        <v>4074</v>
      </c>
    </row>
    <row r="3759" spans="1:6" x14ac:dyDescent="0.15">
      <c r="A3759">
        <v>12084582</v>
      </c>
      <c r="B3759">
        <v>8414757</v>
      </c>
      <c r="C3759" t="s">
        <v>114</v>
      </c>
      <c r="D3759" t="s">
        <v>10</v>
      </c>
      <c r="E3759" s="4" t="str">
        <f>HYPERLINK("https://ibp.a2mac1.com/costing(costing:projects/details/9760/process/12084582)","Process")</f>
        <v>Process</v>
      </c>
      <c r="F3759" t="s">
        <v>4215</v>
      </c>
    </row>
    <row r="3760" spans="1:6" x14ac:dyDescent="0.15">
      <c r="A3760">
        <v>8753854</v>
      </c>
      <c r="B3760">
        <v>12084582</v>
      </c>
      <c r="C3760" t="s">
        <v>22</v>
      </c>
      <c r="D3760" t="s">
        <v>114</v>
      </c>
      <c r="E3760" s="4" t="str">
        <f>HYPERLINK("https://ibp.a2mac1.com/costing(costing:projects/details/9760/material/8753854)","PP-PET adjusted (part)")</f>
        <v>PP-PET adjusted (part)</v>
      </c>
      <c r="F3760" t="s">
        <v>4216</v>
      </c>
    </row>
    <row r="3761" spans="1:6" x14ac:dyDescent="0.15">
      <c r="A3761">
        <v>12211680</v>
      </c>
      <c r="B3761">
        <v>12084582</v>
      </c>
      <c r="C3761" t="s">
        <v>163</v>
      </c>
      <c r="D3761" t="s">
        <v>114</v>
      </c>
      <c r="E3761" s="4" t="str">
        <f>HYPERLINK("https://ibp.a2mac1.com/costing(costing:projects/details/9760/equipment/12211680)","DC machine - General")</f>
        <v>DC machine - General</v>
      </c>
      <c r="F3761" t="s">
        <v>4216</v>
      </c>
    </row>
    <row r="3762" spans="1:6" x14ac:dyDescent="0.15">
      <c r="A3762">
        <v>8414758</v>
      </c>
      <c r="B3762">
        <v>8414734</v>
      </c>
      <c r="C3762" t="s">
        <v>10</v>
      </c>
      <c r="D3762" t="s">
        <v>8</v>
      </c>
      <c r="E3762" s="4" t="str">
        <f>HYPERLINK("https://ibp.a2mac1.com/costing(costing:projects/details/9760/part/8414758)","Insulation Under Body   on Aerodynamics Screens")</f>
        <v>Insulation Under Body   on Aerodynamics Screens</v>
      </c>
      <c r="F3762" t="s">
        <v>4074</v>
      </c>
    </row>
    <row r="3763" spans="1:6" x14ac:dyDescent="0.15">
      <c r="A3763">
        <v>12084583</v>
      </c>
      <c r="B3763">
        <v>8414758</v>
      </c>
      <c r="C3763" t="s">
        <v>114</v>
      </c>
      <c r="D3763" t="s">
        <v>10</v>
      </c>
      <c r="E3763" s="4" t="str">
        <f>HYPERLINK("https://ibp.a2mac1.com/costing(costing:projects/details/9760/process/12084583)","Process")</f>
        <v>Process</v>
      </c>
      <c r="F3763" t="s">
        <v>4218</v>
      </c>
    </row>
    <row r="3764" spans="1:6" x14ac:dyDescent="0.15">
      <c r="A3764">
        <v>8753855</v>
      </c>
      <c r="B3764">
        <v>12084583</v>
      </c>
      <c r="C3764" t="s">
        <v>22</v>
      </c>
      <c r="D3764" t="s">
        <v>114</v>
      </c>
      <c r="E3764" s="4" t="str">
        <f>HYPERLINK("https://ibp.a2mac1.com/costing(costing:projects/details/9760/material/8753855)","&gt;PET;PUR&lt;")</f>
        <v>&gt;PET;PUR&lt;</v>
      </c>
      <c r="F3764" t="s">
        <v>4219</v>
      </c>
    </row>
    <row r="3765" spans="1:6" x14ac:dyDescent="0.15">
      <c r="A3765">
        <v>12211681</v>
      </c>
      <c r="B3765">
        <v>12084583</v>
      </c>
      <c r="C3765" t="s">
        <v>163</v>
      </c>
      <c r="D3765" t="s">
        <v>114</v>
      </c>
      <c r="E3765" s="4" t="str">
        <f>HYPERLINK("https://ibp.a2mac1.com/costing(costing:projects/details/9760/equipment/12211681)","DC machine - General")</f>
        <v>DC machine - General</v>
      </c>
      <c r="F3765" t="s">
        <v>4219</v>
      </c>
    </row>
    <row r="3766" spans="1:6" x14ac:dyDescent="0.15">
      <c r="A3766">
        <v>8753800</v>
      </c>
      <c r="B3766">
        <v>8414758</v>
      </c>
      <c r="C3766" t="s">
        <v>311</v>
      </c>
      <c r="D3766" t="s">
        <v>10</v>
      </c>
      <c r="E3766" s="4" t="str">
        <f>HYPERLINK("https://ibp.a2mac1.com/costing(costing:projects/details/9760/component/8753800)","Washer &gt; Lock interior washer")</f>
        <v>Washer &gt; Lock interior washer</v>
      </c>
      <c r="F3766" t="s">
        <v>4218</v>
      </c>
    </row>
    <row r="3767" spans="1:6" x14ac:dyDescent="0.15">
      <c r="A3767">
        <v>8414759</v>
      </c>
      <c r="B3767">
        <v>8414734</v>
      </c>
      <c r="C3767" t="s">
        <v>10</v>
      </c>
      <c r="D3767" t="s">
        <v>8</v>
      </c>
      <c r="E3767" s="4" t="str">
        <f>HYPERLINK("https://ibp.a2mac1.com/costing(costing:projects/details/9760/part/8414759)","Insulation on Decompression Vent Deflector")</f>
        <v>Insulation on Decompression Vent Deflector</v>
      </c>
      <c r="F3767" t="s">
        <v>4074</v>
      </c>
    </row>
    <row r="3768" spans="1:6" x14ac:dyDescent="0.15">
      <c r="A3768">
        <v>12084584</v>
      </c>
      <c r="B3768">
        <v>8414759</v>
      </c>
      <c r="C3768" t="s">
        <v>114</v>
      </c>
      <c r="D3768" t="s">
        <v>10</v>
      </c>
      <c r="E3768" s="4" t="str">
        <f>HYPERLINK("https://ibp.a2mac1.com/costing(costing:projects/details/9760/process/12084584)","Process")</f>
        <v>Process</v>
      </c>
      <c r="F3768" t="s">
        <v>4222</v>
      </c>
    </row>
    <row r="3769" spans="1:6" x14ac:dyDescent="0.15">
      <c r="A3769">
        <v>8753856</v>
      </c>
      <c r="B3769">
        <v>12084584</v>
      </c>
      <c r="C3769" t="s">
        <v>22</v>
      </c>
      <c r="D3769" t="s">
        <v>114</v>
      </c>
      <c r="E3769" s="4" t="str">
        <f>HYPERLINK("https://ibp.a2mac1.com/costing(costing:projects/details/9760/material/8753856)","PP-PET adjusted (part)")</f>
        <v>PP-PET adjusted (part)</v>
      </c>
      <c r="F3769" t="s">
        <v>4223</v>
      </c>
    </row>
    <row r="3770" spans="1:6" x14ac:dyDescent="0.15">
      <c r="A3770">
        <v>12211682</v>
      </c>
      <c r="B3770">
        <v>12084584</v>
      </c>
      <c r="C3770" t="s">
        <v>163</v>
      </c>
      <c r="D3770" t="s">
        <v>114</v>
      </c>
      <c r="E3770" s="4" t="str">
        <f>HYPERLINK("https://ibp.a2mac1.com/costing(costing:projects/details/9760/equipment/12211682)","DC machine - General")</f>
        <v>DC machine - General</v>
      </c>
      <c r="F3770" t="s">
        <v>4223</v>
      </c>
    </row>
    <row r="3771" spans="1:6" x14ac:dyDescent="0.15">
      <c r="A3771">
        <v>8414760</v>
      </c>
      <c r="B3771">
        <v>8414734</v>
      </c>
      <c r="C3771" t="s">
        <v>10</v>
      </c>
      <c r="D3771" t="s">
        <v>8</v>
      </c>
      <c r="E3771" s="4" t="str">
        <f>HYPERLINK("https://ibp.a2mac1.com/costing(costing:projects/details/9760/part/8414760)","2nd Insulation on Decompression Vent Deflector")</f>
        <v>2nd Insulation on Decompression Vent Deflector</v>
      </c>
      <c r="F3771" t="s">
        <v>4074</v>
      </c>
    </row>
    <row r="3772" spans="1:6" x14ac:dyDescent="0.15">
      <c r="A3772">
        <v>12084585</v>
      </c>
      <c r="B3772">
        <v>8414760</v>
      </c>
      <c r="C3772" t="s">
        <v>114</v>
      </c>
      <c r="D3772" t="s">
        <v>10</v>
      </c>
      <c r="E3772" s="4" t="str">
        <f>HYPERLINK("https://ibp.a2mac1.com/costing(costing:projects/details/9760/process/12084585)","Process")</f>
        <v>Process</v>
      </c>
      <c r="F3772" t="s">
        <v>4225</v>
      </c>
    </row>
    <row r="3773" spans="1:6" x14ac:dyDescent="0.15">
      <c r="A3773">
        <v>8753857</v>
      </c>
      <c r="B3773">
        <v>12084585</v>
      </c>
      <c r="C3773" t="s">
        <v>22</v>
      </c>
      <c r="D3773" t="s">
        <v>114</v>
      </c>
      <c r="E3773" s="4" t="str">
        <f>HYPERLINK("https://ibp.a2mac1.com/costing(costing:projects/details/9760/material/8753857)","PP-PET adjusted (part)")</f>
        <v>PP-PET adjusted (part)</v>
      </c>
      <c r="F3773" t="s">
        <v>4226</v>
      </c>
    </row>
    <row r="3774" spans="1:6" x14ac:dyDescent="0.15">
      <c r="A3774">
        <v>12211683</v>
      </c>
      <c r="B3774">
        <v>12084585</v>
      </c>
      <c r="C3774" t="s">
        <v>163</v>
      </c>
      <c r="D3774" t="s">
        <v>114</v>
      </c>
      <c r="E3774" s="4" t="str">
        <f>HYPERLINK("https://ibp.a2mac1.com/costing(costing:projects/details/9760/equipment/12211683)","DC machine - General")</f>
        <v>DC machine - General</v>
      </c>
      <c r="F3774" t="s">
        <v>4226</v>
      </c>
    </row>
    <row r="3775" spans="1:6" x14ac:dyDescent="0.15">
      <c r="A3775">
        <v>8414735</v>
      </c>
      <c r="B3775">
        <v>8414732</v>
      </c>
      <c r="C3775" t="s">
        <v>8</v>
      </c>
      <c r="D3775" t="s">
        <v>8</v>
      </c>
      <c r="E3775" s="4" t="str">
        <f>HYPERLINK("https://ibp.a2mac1.com/costing(costing:projects/details/9760/assembly/8414735)","Center Console")</f>
        <v>Center Console</v>
      </c>
      <c r="F3775" t="s">
        <v>3720</v>
      </c>
    </row>
    <row r="3776" spans="1:6" x14ac:dyDescent="0.15">
      <c r="A3776">
        <v>8414772</v>
      </c>
      <c r="B3776">
        <v>8414735</v>
      </c>
      <c r="C3776" t="s">
        <v>8</v>
      </c>
      <c r="D3776" t="s">
        <v>8</v>
      </c>
      <c r="E3776" s="4" t="str">
        <f>HYPERLINK("https://ibp.a2mac1.com/costing(costing:projects/details/9760/assembly/8414772)","Center Console")</f>
        <v>Center Console</v>
      </c>
      <c r="F3776" t="s">
        <v>4229</v>
      </c>
    </row>
    <row r="3777" spans="1:6" x14ac:dyDescent="0.15">
      <c r="A3777">
        <v>8414859</v>
      </c>
      <c r="B3777">
        <v>8414772</v>
      </c>
      <c r="C3777" t="s">
        <v>10</v>
      </c>
      <c r="D3777" t="s">
        <v>8</v>
      </c>
      <c r="E3777" s="4" t="str">
        <f>HYPERLINK("https://ibp.a2mac1.com/costing(costing:projects/details/9760/part/8414859)","Console Main Part Single")</f>
        <v>Console Main Part Single</v>
      </c>
      <c r="F3777" t="s">
        <v>4230</v>
      </c>
    </row>
    <row r="3778" spans="1:6" x14ac:dyDescent="0.15">
      <c r="A3778">
        <v>12084630</v>
      </c>
      <c r="B3778">
        <v>8414859</v>
      </c>
      <c r="C3778" t="s">
        <v>114</v>
      </c>
      <c r="D3778" t="s">
        <v>10</v>
      </c>
      <c r="E3778" s="4" t="str">
        <f>HYPERLINK("https://ibp.a2mac1.com/costing(costing:projects/details/9760/process/12084630)","Automated Process")</f>
        <v>Automated Process</v>
      </c>
      <c r="F3778" t="s">
        <v>4231</v>
      </c>
    </row>
    <row r="3779" spans="1:6" x14ac:dyDescent="0.15">
      <c r="A3779">
        <v>8753946</v>
      </c>
      <c r="B3779">
        <v>12084630</v>
      </c>
      <c r="C3779" t="s">
        <v>22</v>
      </c>
      <c r="D3779" t="s">
        <v>114</v>
      </c>
      <c r="E3779" s="4" t="str">
        <f>HYPERLINK("https://ibp.a2mac1.com/costing(costing:projects/details/9760/material/8753946)","PP")</f>
        <v>PP</v>
      </c>
      <c r="F3779" t="s">
        <v>4234</v>
      </c>
    </row>
    <row r="3780" spans="1:6" x14ac:dyDescent="0.15">
      <c r="A3780">
        <v>12211728</v>
      </c>
      <c r="B3780">
        <v>12084630</v>
      </c>
      <c r="C3780" t="s">
        <v>163</v>
      </c>
      <c r="D3780" t="s">
        <v>114</v>
      </c>
      <c r="E3780" s="4" t="str">
        <f>HYPERLINK("https://ibp.a2mac1.com/costing(costing:projects/details/9760/equipment/12211728)","DC machine - General")</f>
        <v>DC machine - General</v>
      </c>
      <c r="F3780" t="s">
        <v>4234</v>
      </c>
    </row>
    <row r="3781" spans="1:6" x14ac:dyDescent="0.15">
      <c r="A3781">
        <v>8414860</v>
      </c>
      <c r="B3781">
        <v>8414772</v>
      </c>
      <c r="C3781" t="s">
        <v>10</v>
      </c>
      <c r="D3781" t="s">
        <v>8</v>
      </c>
      <c r="E3781" s="4" t="str">
        <f>HYPERLINK("https://ibp.a2mac1.com/costing(costing:projects/details/9760/part/8414860)","Upper Trim")</f>
        <v>Upper Trim</v>
      </c>
      <c r="F3781" t="s">
        <v>4230</v>
      </c>
    </row>
    <row r="3782" spans="1:6" x14ac:dyDescent="0.15">
      <c r="A3782">
        <v>12084631</v>
      </c>
      <c r="B3782">
        <v>8414860</v>
      </c>
      <c r="C3782" t="s">
        <v>114</v>
      </c>
      <c r="D3782" t="s">
        <v>10</v>
      </c>
      <c r="E3782" s="4" t="str">
        <f>HYPERLINK("https://ibp.a2mac1.com/costing(costing:projects/details/9760/process/12084631)","Automated Process")</f>
        <v>Automated Process</v>
      </c>
      <c r="F3782" t="s">
        <v>4237</v>
      </c>
    </row>
    <row r="3783" spans="1:6" x14ac:dyDescent="0.15">
      <c r="A3783">
        <v>8753947</v>
      </c>
      <c r="B3783">
        <v>12084631</v>
      </c>
      <c r="C3783" t="s">
        <v>22</v>
      </c>
      <c r="D3783" t="s">
        <v>114</v>
      </c>
      <c r="E3783" s="4" t="str">
        <f>HYPERLINK("https://ibp.a2mac1.com/costing(costing:projects/details/9760/material/8753947)","PC-ABS")</f>
        <v>PC-ABS</v>
      </c>
      <c r="F3783" t="s">
        <v>4240</v>
      </c>
    </row>
    <row r="3784" spans="1:6" x14ac:dyDescent="0.15">
      <c r="A3784">
        <v>12211729</v>
      </c>
      <c r="B3784">
        <v>12084631</v>
      </c>
      <c r="C3784" t="s">
        <v>163</v>
      </c>
      <c r="D3784" t="s">
        <v>114</v>
      </c>
      <c r="E3784" s="4" t="str">
        <f>HYPERLINK("https://ibp.a2mac1.com/costing(costing:projects/details/9760/equipment/12211729)","DC machine - General")</f>
        <v>DC machine - General</v>
      </c>
      <c r="F3784" t="s">
        <v>4240</v>
      </c>
    </row>
    <row r="3785" spans="1:6" x14ac:dyDescent="0.15">
      <c r="A3785">
        <v>8414861</v>
      </c>
      <c r="B3785">
        <v>8414772</v>
      </c>
      <c r="C3785" t="s">
        <v>10</v>
      </c>
      <c r="D3785" t="s">
        <v>8</v>
      </c>
      <c r="E3785" s="4" t="str">
        <f>HYPERLINK("https://ibp.a2mac1.com/costing(costing:projects/details/9760/part/8414861)","Trim Bezel")</f>
        <v>Trim Bezel</v>
      </c>
      <c r="F3785" t="s">
        <v>4230</v>
      </c>
    </row>
    <row r="3786" spans="1:6" x14ac:dyDescent="0.15">
      <c r="A3786">
        <v>12084632</v>
      </c>
      <c r="B3786">
        <v>8414861</v>
      </c>
      <c r="C3786" t="s">
        <v>114</v>
      </c>
      <c r="D3786" t="s">
        <v>10</v>
      </c>
      <c r="E3786" s="4" t="str">
        <f>HYPERLINK("https://ibp.a2mac1.com/costing(costing:projects/details/9760/process/12084632)","Automated Process")</f>
        <v>Automated Process</v>
      </c>
      <c r="F3786" t="s">
        <v>4242</v>
      </c>
    </row>
    <row r="3787" spans="1:6" x14ac:dyDescent="0.15">
      <c r="A3787">
        <v>8753948</v>
      </c>
      <c r="B3787">
        <v>12084632</v>
      </c>
      <c r="C3787" t="s">
        <v>22</v>
      </c>
      <c r="D3787" t="s">
        <v>114</v>
      </c>
      <c r="E3787" s="4" t="str">
        <f>HYPERLINK("https://ibp.a2mac1.com/costing(costing:projects/details/9760/material/8753948)","PC-ABS")</f>
        <v>PC-ABS</v>
      </c>
      <c r="F3787" t="s">
        <v>4245</v>
      </c>
    </row>
    <row r="3788" spans="1:6" x14ac:dyDescent="0.15">
      <c r="A3788">
        <v>12211730</v>
      </c>
      <c r="B3788">
        <v>12084632</v>
      </c>
      <c r="C3788" t="s">
        <v>163</v>
      </c>
      <c r="D3788" t="s">
        <v>114</v>
      </c>
      <c r="E3788" s="4" t="str">
        <f>HYPERLINK("https://ibp.a2mac1.com/costing(costing:projects/details/9760/equipment/12211730)","DC machine - General")</f>
        <v>DC machine - General</v>
      </c>
      <c r="F3788" t="s">
        <v>4245</v>
      </c>
    </row>
    <row r="3789" spans="1:6" x14ac:dyDescent="0.15">
      <c r="A3789">
        <v>8414862</v>
      </c>
      <c r="B3789">
        <v>8414772</v>
      </c>
      <c r="C3789" t="s">
        <v>10</v>
      </c>
      <c r="D3789" t="s">
        <v>8</v>
      </c>
      <c r="E3789" s="4" t="str">
        <f>HYPERLINK("https://ibp.a2mac1.com/costing(costing:projects/details/9760/part/8414862)","Upper Part")</f>
        <v>Upper Part</v>
      </c>
      <c r="F3789" t="s">
        <v>4230</v>
      </c>
    </row>
    <row r="3790" spans="1:6" x14ac:dyDescent="0.15">
      <c r="A3790">
        <v>12084633</v>
      </c>
      <c r="B3790">
        <v>8414862</v>
      </c>
      <c r="C3790" t="s">
        <v>114</v>
      </c>
      <c r="D3790" t="s">
        <v>10</v>
      </c>
      <c r="E3790" s="4" t="str">
        <f>HYPERLINK("https://ibp.a2mac1.com/costing(costing:projects/details/9760/process/12084633)","Automated Process")</f>
        <v>Automated Process</v>
      </c>
      <c r="F3790" t="s">
        <v>4248</v>
      </c>
    </row>
    <row r="3791" spans="1:6" x14ac:dyDescent="0.15">
      <c r="A3791">
        <v>8753949</v>
      </c>
      <c r="B3791">
        <v>12084633</v>
      </c>
      <c r="C3791" t="s">
        <v>22</v>
      </c>
      <c r="D3791" t="s">
        <v>114</v>
      </c>
      <c r="E3791" s="4" t="str">
        <f>HYPERLINK("https://ibp.a2mac1.com/costing(costing:projects/details/9760/material/8753949)","PVC + Fabric backing 3mm PU foam")</f>
        <v>PVC + Fabric backing 3mm PU foam</v>
      </c>
      <c r="F3791" t="s">
        <v>4251</v>
      </c>
    </row>
    <row r="3792" spans="1:6" x14ac:dyDescent="0.15">
      <c r="A3792">
        <v>8753950</v>
      </c>
      <c r="B3792">
        <v>12084633</v>
      </c>
      <c r="C3792" t="s">
        <v>22</v>
      </c>
      <c r="D3792" t="s">
        <v>114</v>
      </c>
      <c r="E3792" s="4" t="str">
        <f>HYPERLINK("https://ibp.a2mac1.com/costing(costing:projects/details/9760/material/8753950)","PC-ABS")</f>
        <v>PC-ABS</v>
      </c>
      <c r="F3792" t="s">
        <v>4251</v>
      </c>
    </row>
    <row r="3793" spans="1:6" x14ac:dyDescent="0.15">
      <c r="A3793">
        <v>12211731</v>
      </c>
      <c r="B3793">
        <v>12084633</v>
      </c>
      <c r="C3793" t="s">
        <v>163</v>
      </c>
      <c r="D3793" t="s">
        <v>114</v>
      </c>
      <c r="E3793" s="4" t="str">
        <f>HYPERLINK("https://ibp.a2mac1.com/costing(costing:projects/details/9760/equipment/12211731)","DC machine - General")</f>
        <v>DC machine - General</v>
      </c>
      <c r="F3793" t="s">
        <v>4251</v>
      </c>
    </row>
    <row r="3794" spans="1:6" x14ac:dyDescent="0.15">
      <c r="A3794">
        <v>8414863</v>
      </c>
      <c r="B3794">
        <v>8414772</v>
      </c>
      <c r="C3794" t="s">
        <v>10</v>
      </c>
      <c r="D3794" t="s">
        <v>8</v>
      </c>
      <c r="E3794" s="4" t="str">
        <f>HYPERLINK("https://ibp.a2mac1.com/costing(costing:projects/details/9760/part/8414863)","Frame")</f>
        <v>Frame</v>
      </c>
      <c r="F3794" t="s">
        <v>4230</v>
      </c>
    </row>
    <row r="3795" spans="1:6" x14ac:dyDescent="0.15">
      <c r="A3795">
        <v>12084634</v>
      </c>
      <c r="B3795">
        <v>8414863</v>
      </c>
      <c r="C3795" t="s">
        <v>114</v>
      </c>
      <c r="D3795" t="s">
        <v>10</v>
      </c>
      <c r="E3795" s="4" t="str">
        <f>HYPERLINK("https://ibp.a2mac1.com/costing(costing:projects/details/9760/process/12084634)","Automated Process")</f>
        <v>Automated Process</v>
      </c>
      <c r="F3795" t="s">
        <v>4256</v>
      </c>
    </row>
    <row r="3796" spans="1:6" x14ac:dyDescent="0.15">
      <c r="A3796">
        <v>8753951</v>
      </c>
      <c r="B3796">
        <v>12084634</v>
      </c>
      <c r="C3796" t="s">
        <v>22</v>
      </c>
      <c r="D3796" t="s">
        <v>114</v>
      </c>
      <c r="E3796" s="4" t="str">
        <f>HYPERLINK("https://ibp.a2mac1.com/costing(costing:projects/details/9760/material/8753951)","PP")</f>
        <v>PP</v>
      </c>
      <c r="F3796" t="s">
        <v>4259</v>
      </c>
    </row>
    <row r="3797" spans="1:6" x14ac:dyDescent="0.15">
      <c r="A3797">
        <v>12211732</v>
      </c>
      <c r="B3797">
        <v>12084634</v>
      </c>
      <c r="C3797" t="s">
        <v>163</v>
      </c>
      <c r="D3797" t="s">
        <v>114</v>
      </c>
      <c r="E3797" s="4" t="str">
        <f>HYPERLINK("https://ibp.a2mac1.com/costing(costing:projects/details/9760/equipment/12211732)","DC machine - General")</f>
        <v>DC machine - General</v>
      </c>
      <c r="F3797" t="s">
        <v>4259</v>
      </c>
    </row>
    <row r="3798" spans="1:6" x14ac:dyDescent="0.15">
      <c r="A3798">
        <v>8753803</v>
      </c>
      <c r="B3798">
        <v>8414772</v>
      </c>
      <c r="C3798" t="s">
        <v>311</v>
      </c>
      <c r="D3798" t="s">
        <v>8</v>
      </c>
      <c r="E3798" s="4" t="str">
        <f>HYPERLINK("https://ibp.a2mac1.com/costing(costing:projects/details/9760/component/8753803)","Screw &gt; Hexagon screw with captive washer")</f>
        <v>Screw &gt; Hexagon screw with captive washer</v>
      </c>
      <c r="F3798" t="s">
        <v>4230</v>
      </c>
    </row>
    <row r="3799" spans="1:6" x14ac:dyDescent="0.15">
      <c r="A3799">
        <v>8753804</v>
      </c>
      <c r="B3799">
        <v>8414772</v>
      </c>
      <c r="C3799" t="s">
        <v>311</v>
      </c>
      <c r="D3799" t="s">
        <v>8</v>
      </c>
      <c r="E3799" s="4" t="str">
        <f>HYPERLINK("https://ibp.a2mac1.com/costing(costing:projects/details/9760/component/8753804)","Panel holder &gt; Clips in rectangular hole")</f>
        <v>Panel holder &gt; Clips in rectangular hole</v>
      </c>
      <c r="F3799" t="s">
        <v>4230</v>
      </c>
    </row>
    <row r="3800" spans="1:6" x14ac:dyDescent="0.15">
      <c r="A3800">
        <v>8753805</v>
      </c>
      <c r="B3800">
        <v>8414772</v>
      </c>
      <c r="C3800" t="s">
        <v>311</v>
      </c>
      <c r="D3800" t="s">
        <v>8</v>
      </c>
      <c r="E3800" s="4" t="str">
        <f>HYPERLINK("https://ibp.a2mac1.com/costing(costing:projects/details/9760/component/8753805)","Panel holder &gt; Clips in rectangular hole")</f>
        <v>Panel holder &gt; Clips in rectangular hole</v>
      </c>
      <c r="F3800" t="s">
        <v>4230</v>
      </c>
    </row>
    <row r="3801" spans="1:6" x14ac:dyDescent="0.15">
      <c r="A3801">
        <v>8753806</v>
      </c>
      <c r="B3801">
        <v>8414772</v>
      </c>
      <c r="C3801" t="s">
        <v>311</v>
      </c>
      <c r="D3801" t="s">
        <v>8</v>
      </c>
      <c r="E3801" s="4" t="str">
        <f>HYPERLINK("https://ibp.a2mac1.com/costing(costing:projects/details/9760/component/8753806)","Screw &gt; Torx socket head cap screw with flange")</f>
        <v>Screw &gt; Torx socket head cap screw with flange</v>
      </c>
      <c r="F3801" t="s">
        <v>4230</v>
      </c>
    </row>
    <row r="3802" spans="1:6" x14ac:dyDescent="0.15">
      <c r="A3802">
        <v>8414773</v>
      </c>
      <c r="B3802">
        <v>8414735</v>
      </c>
      <c r="C3802" t="s">
        <v>8</v>
      </c>
      <c r="D3802" t="s">
        <v>8</v>
      </c>
      <c r="E3802" s="4" t="str">
        <f>HYPERLINK("https://ibp.a2mac1.com/costing(costing:projects/details/9760/assembly/8414773)","Side Covers")</f>
        <v>Side Covers</v>
      </c>
      <c r="F3802" t="s">
        <v>4229</v>
      </c>
    </row>
    <row r="3803" spans="1:6" x14ac:dyDescent="0.15">
      <c r="A3803">
        <v>8414864</v>
      </c>
      <c r="B3803">
        <v>8414773</v>
      </c>
      <c r="C3803" t="s">
        <v>8</v>
      </c>
      <c r="D3803" t="s">
        <v>8</v>
      </c>
      <c r="E3803" s="4" t="str">
        <f>HYPERLINK("https://ibp.a2mac1.com/costing(costing:projects/details/9760/assembly/8414864)","Left Side")</f>
        <v>Left Side</v>
      </c>
      <c r="F3803" t="s">
        <v>4262</v>
      </c>
    </row>
    <row r="3804" spans="1:6" x14ac:dyDescent="0.15">
      <c r="A3804">
        <v>8415012</v>
      </c>
      <c r="B3804">
        <v>8414864</v>
      </c>
      <c r="C3804" t="s">
        <v>10</v>
      </c>
      <c r="D3804" t="s">
        <v>8</v>
      </c>
      <c r="E3804" s="4" t="str">
        <f>HYPERLINK("https://ibp.a2mac1.com/costing(costing:projects/details/9760/part/8415012)","Upper")</f>
        <v>Upper</v>
      </c>
      <c r="F3804" t="s">
        <v>4263</v>
      </c>
    </row>
    <row r="3805" spans="1:6" x14ac:dyDescent="0.15">
      <c r="A3805">
        <v>12084742</v>
      </c>
      <c r="B3805">
        <v>8415012</v>
      </c>
      <c r="C3805" t="s">
        <v>114</v>
      </c>
      <c r="D3805" t="s">
        <v>10</v>
      </c>
      <c r="E3805" s="4" t="str">
        <f>HYPERLINK("https://ibp.a2mac1.com/costing(costing:projects/details/9760/process/12084742)","Automated Process")</f>
        <v>Automated Process</v>
      </c>
      <c r="F3805" t="s">
        <v>4264</v>
      </c>
    </row>
    <row r="3806" spans="1:6" x14ac:dyDescent="0.15">
      <c r="A3806">
        <v>8754105</v>
      </c>
      <c r="B3806">
        <v>12084742</v>
      </c>
      <c r="C3806" t="s">
        <v>22</v>
      </c>
      <c r="D3806" t="s">
        <v>114</v>
      </c>
      <c r="E3806" s="4" t="str">
        <f>HYPERLINK("https://ibp.a2mac1.com/costing(costing:projects/details/9760/material/8754105)","PVC + Fabric backing 3mm PU foam")</f>
        <v>PVC + Fabric backing 3mm PU foam</v>
      </c>
      <c r="F3806" t="s">
        <v>4267</v>
      </c>
    </row>
    <row r="3807" spans="1:6" x14ac:dyDescent="0.15">
      <c r="A3807">
        <v>8754106</v>
      </c>
      <c r="B3807">
        <v>12084742</v>
      </c>
      <c r="C3807" t="s">
        <v>22</v>
      </c>
      <c r="D3807" t="s">
        <v>114</v>
      </c>
      <c r="E3807" s="4" t="str">
        <f>HYPERLINK("https://ibp.a2mac1.com/costing(costing:projects/details/9760/material/8754106)","PC-ABS")</f>
        <v>PC-ABS</v>
      </c>
      <c r="F3807" t="s">
        <v>4267</v>
      </c>
    </row>
    <row r="3808" spans="1:6" x14ac:dyDescent="0.15">
      <c r="A3808">
        <v>12211840</v>
      </c>
      <c r="B3808">
        <v>12084742</v>
      </c>
      <c r="C3808" t="s">
        <v>163</v>
      </c>
      <c r="D3808" t="s">
        <v>114</v>
      </c>
      <c r="E3808" s="4" t="str">
        <f>HYPERLINK("https://ibp.a2mac1.com/costing(costing:projects/details/9760/equipment/12211840)","DC machine - General")</f>
        <v>DC machine - General</v>
      </c>
      <c r="F3808" t="s">
        <v>4267</v>
      </c>
    </row>
    <row r="3809" spans="1:6" x14ac:dyDescent="0.15">
      <c r="A3809">
        <v>8415013</v>
      </c>
      <c r="B3809">
        <v>8414864</v>
      </c>
      <c r="C3809" t="s">
        <v>10</v>
      </c>
      <c r="D3809" t="s">
        <v>8</v>
      </c>
      <c r="E3809" s="4" t="str">
        <f>HYPERLINK("https://ibp.a2mac1.com/costing(costing:projects/details/9760/part/8415013)","Front Part")</f>
        <v>Front Part</v>
      </c>
      <c r="F3809" t="s">
        <v>4263</v>
      </c>
    </row>
    <row r="3810" spans="1:6" x14ac:dyDescent="0.15">
      <c r="A3810">
        <v>12084743</v>
      </c>
      <c r="B3810">
        <v>8415013</v>
      </c>
      <c r="C3810" t="s">
        <v>114</v>
      </c>
      <c r="D3810" t="s">
        <v>10</v>
      </c>
      <c r="E3810" s="4" t="str">
        <f>HYPERLINK("https://ibp.a2mac1.com/costing(costing:projects/details/9760/process/12084743)","Automated Process")</f>
        <v>Automated Process</v>
      </c>
      <c r="F3810" t="s">
        <v>4271</v>
      </c>
    </row>
    <row r="3811" spans="1:6" x14ac:dyDescent="0.15">
      <c r="A3811">
        <v>8754107</v>
      </c>
      <c r="B3811">
        <v>12084743</v>
      </c>
      <c r="C3811" t="s">
        <v>22</v>
      </c>
      <c r="D3811" t="s">
        <v>114</v>
      </c>
      <c r="E3811" s="4" t="str">
        <f>HYPERLINK("https://ibp.a2mac1.com/costing(costing:projects/details/9760/material/8754107)","PP-EPDM")</f>
        <v>PP-EPDM</v>
      </c>
      <c r="F3811" t="s">
        <v>4274</v>
      </c>
    </row>
    <row r="3812" spans="1:6" x14ac:dyDescent="0.15">
      <c r="A3812">
        <v>12211841</v>
      </c>
      <c r="B3812">
        <v>12084743</v>
      </c>
      <c r="C3812" t="s">
        <v>163</v>
      </c>
      <c r="D3812" t="s">
        <v>114</v>
      </c>
      <c r="E3812" s="4" t="str">
        <f>HYPERLINK("https://ibp.a2mac1.com/costing(costing:projects/details/9760/equipment/12211841)","DC machine - General")</f>
        <v>DC machine - General</v>
      </c>
      <c r="F3812" t="s">
        <v>4274</v>
      </c>
    </row>
    <row r="3813" spans="1:6" x14ac:dyDescent="0.15">
      <c r="A3813">
        <v>8415014</v>
      </c>
      <c r="B3813">
        <v>8414864</v>
      </c>
      <c r="C3813" t="s">
        <v>10</v>
      </c>
      <c r="D3813" t="s">
        <v>8</v>
      </c>
      <c r="E3813" s="4" t="str">
        <f>HYPERLINK("https://ibp.a2mac1.com/costing(costing:projects/details/9760/part/8415014)","Rear Part")</f>
        <v>Rear Part</v>
      </c>
      <c r="F3813" t="s">
        <v>4263</v>
      </c>
    </row>
    <row r="3814" spans="1:6" x14ac:dyDescent="0.15">
      <c r="A3814">
        <v>12084744</v>
      </c>
      <c r="B3814">
        <v>8415014</v>
      </c>
      <c r="C3814" t="s">
        <v>114</v>
      </c>
      <c r="D3814" t="s">
        <v>10</v>
      </c>
      <c r="E3814" s="4" t="str">
        <f>HYPERLINK("https://ibp.a2mac1.com/costing(costing:projects/details/9760/process/12084744)","Automated Process")</f>
        <v>Automated Process</v>
      </c>
      <c r="F3814" t="s">
        <v>4276</v>
      </c>
    </row>
    <row r="3815" spans="1:6" x14ac:dyDescent="0.15">
      <c r="A3815">
        <v>8754108</v>
      </c>
      <c r="B3815">
        <v>12084744</v>
      </c>
      <c r="C3815" t="s">
        <v>22</v>
      </c>
      <c r="D3815" t="s">
        <v>114</v>
      </c>
      <c r="E3815" s="4" t="str">
        <f>HYPERLINK("https://ibp.a2mac1.com/costing(costing:projects/details/9760/material/8754108)","PP-EPDM")</f>
        <v>PP-EPDM</v>
      </c>
      <c r="F3815" t="s">
        <v>4279</v>
      </c>
    </row>
    <row r="3816" spans="1:6" x14ac:dyDescent="0.15">
      <c r="A3816">
        <v>12211842</v>
      </c>
      <c r="B3816">
        <v>12084744</v>
      </c>
      <c r="C3816" t="s">
        <v>163</v>
      </c>
      <c r="D3816" t="s">
        <v>114</v>
      </c>
      <c r="E3816" s="4" t="str">
        <f>HYPERLINK("https://ibp.a2mac1.com/costing(costing:projects/details/9760/equipment/12211842)","DC machine - General")</f>
        <v>DC machine - General</v>
      </c>
      <c r="F3816" t="s">
        <v>4279</v>
      </c>
    </row>
    <row r="3817" spans="1:6" x14ac:dyDescent="0.15">
      <c r="A3817">
        <v>8753866</v>
      </c>
      <c r="B3817">
        <v>8414864</v>
      </c>
      <c r="C3817" t="s">
        <v>311</v>
      </c>
      <c r="D3817" t="s">
        <v>8</v>
      </c>
      <c r="E3817" s="4" t="str">
        <f>HYPERLINK("https://ibp.a2mac1.com/costing(costing:projects/details/9760/component/8753866)","Screw &gt; Torx socket head cap screw with flange")</f>
        <v>Screw &gt; Torx socket head cap screw with flange</v>
      </c>
      <c r="F3817" t="s">
        <v>4263</v>
      </c>
    </row>
    <row r="3818" spans="1:6" x14ac:dyDescent="0.15">
      <c r="A3818">
        <v>8753867</v>
      </c>
      <c r="B3818">
        <v>8414864</v>
      </c>
      <c r="C3818" t="s">
        <v>311</v>
      </c>
      <c r="D3818" t="s">
        <v>8</v>
      </c>
      <c r="E3818" s="4" t="str">
        <f>HYPERLINK("https://ibp.a2mac1.com/costing(costing:projects/details/9760/component/8753867)","Panel holder &gt; Clips in rectangular hole")</f>
        <v>Panel holder &gt; Clips in rectangular hole</v>
      </c>
      <c r="F3818" t="s">
        <v>4263</v>
      </c>
    </row>
    <row r="3819" spans="1:6" x14ac:dyDescent="0.15">
      <c r="A3819">
        <v>8753868</v>
      </c>
      <c r="B3819">
        <v>8414864</v>
      </c>
      <c r="C3819" t="s">
        <v>311</v>
      </c>
      <c r="D3819" t="s">
        <v>8</v>
      </c>
      <c r="E3819" s="4" t="str">
        <f>HYPERLINK("https://ibp.a2mac1.com/costing(costing:projects/details/9760/component/8753868)","Panel holder &gt; Clips in rectangular hole")</f>
        <v>Panel holder &gt; Clips in rectangular hole</v>
      </c>
      <c r="F3819" t="s">
        <v>4263</v>
      </c>
    </row>
    <row r="3820" spans="1:6" x14ac:dyDescent="0.15">
      <c r="A3820">
        <v>8414865</v>
      </c>
      <c r="B3820">
        <v>8414773</v>
      </c>
      <c r="C3820" t="s">
        <v>8</v>
      </c>
      <c r="D3820" t="s">
        <v>8</v>
      </c>
      <c r="E3820" s="4" t="str">
        <f>HYPERLINK("https://ibp.a2mac1.com/costing(costing:projects/details/9760/assembly/8414865)","Right Side")</f>
        <v>Right Side</v>
      </c>
      <c r="F3820" t="s">
        <v>4262</v>
      </c>
    </row>
    <row r="3821" spans="1:6" x14ac:dyDescent="0.15">
      <c r="A3821">
        <v>8415015</v>
      </c>
      <c r="B3821">
        <v>8414865</v>
      </c>
      <c r="C3821" t="s">
        <v>10</v>
      </c>
      <c r="D3821" t="s">
        <v>8</v>
      </c>
      <c r="E3821" s="4" t="str">
        <f>HYPERLINK("https://ibp.a2mac1.com/costing(costing:projects/details/9760/part/8415015)","Upper")</f>
        <v>Upper</v>
      </c>
      <c r="F3821" t="s">
        <v>4282</v>
      </c>
    </row>
    <row r="3822" spans="1:6" x14ac:dyDescent="0.15">
      <c r="A3822">
        <v>12084745</v>
      </c>
      <c r="B3822">
        <v>8415015</v>
      </c>
      <c r="C3822" t="s">
        <v>114</v>
      </c>
      <c r="D3822" t="s">
        <v>10</v>
      </c>
      <c r="E3822" s="4" t="str">
        <f>HYPERLINK("https://ibp.a2mac1.com/costing(costing:projects/details/9760/process/12084745)","Automated Process")</f>
        <v>Automated Process</v>
      </c>
      <c r="F3822" t="s">
        <v>4283</v>
      </c>
    </row>
    <row r="3823" spans="1:6" x14ac:dyDescent="0.15">
      <c r="A3823">
        <v>8754109</v>
      </c>
      <c r="B3823">
        <v>12084745</v>
      </c>
      <c r="C3823" t="s">
        <v>22</v>
      </c>
      <c r="D3823" t="s">
        <v>114</v>
      </c>
      <c r="E3823" s="4" t="str">
        <f>HYPERLINK("https://ibp.a2mac1.com/costing(costing:projects/details/9760/material/8754109)","PVC + Fabric backing 3mm PU foam")</f>
        <v>PVC + Fabric backing 3mm PU foam</v>
      </c>
      <c r="F3823" t="s">
        <v>4284</v>
      </c>
    </row>
    <row r="3824" spans="1:6" x14ac:dyDescent="0.15">
      <c r="A3824">
        <v>8754110</v>
      </c>
      <c r="B3824">
        <v>12084745</v>
      </c>
      <c r="C3824" t="s">
        <v>22</v>
      </c>
      <c r="D3824" t="s">
        <v>114</v>
      </c>
      <c r="E3824" s="4" t="str">
        <f>HYPERLINK("https://ibp.a2mac1.com/costing(costing:projects/details/9760/material/8754110)","PC-ABS")</f>
        <v>PC-ABS</v>
      </c>
      <c r="F3824" t="s">
        <v>4284</v>
      </c>
    </row>
    <row r="3825" spans="1:6" x14ac:dyDescent="0.15">
      <c r="A3825">
        <v>12211843</v>
      </c>
      <c r="B3825">
        <v>12084745</v>
      </c>
      <c r="C3825" t="s">
        <v>163</v>
      </c>
      <c r="D3825" t="s">
        <v>114</v>
      </c>
      <c r="E3825" s="4" t="str">
        <f>HYPERLINK("https://ibp.a2mac1.com/costing(costing:projects/details/9760/equipment/12211843)","DC machine - General")</f>
        <v>DC machine - General</v>
      </c>
      <c r="F3825" t="s">
        <v>4284</v>
      </c>
    </row>
    <row r="3826" spans="1:6" x14ac:dyDescent="0.15">
      <c r="A3826">
        <v>8415016</v>
      </c>
      <c r="B3826">
        <v>8414865</v>
      </c>
      <c r="C3826" t="s">
        <v>10</v>
      </c>
      <c r="D3826" t="s">
        <v>8</v>
      </c>
      <c r="E3826" s="4" t="str">
        <f>HYPERLINK("https://ibp.a2mac1.com/costing(costing:projects/details/9760/part/8415016)","Front Part")</f>
        <v>Front Part</v>
      </c>
      <c r="F3826" t="s">
        <v>4282</v>
      </c>
    </row>
    <row r="3827" spans="1:6" x14ac:dyDescent="0.15">
      <c r="A3827">
        <v>12084746</v>
      </c>
      <c r="B3827">
        <v>8415016</v>
      </c>
      <c r="C3827" t="s">
        <v>114</v>
      </c>
      <c r="D3827" t="s">
        <v>10</v>
      </c>
      <c r="E3827" s="4" t="str">
        <f>HYPERLINK("https://ibp.a2mac1.com/costing(costing:projects/details/9760/process/12084746)","Automated Process")</f>
        <v>Automated Process</v>
      </c>
      <c r="F3827" t="s">
        <v>4286</v>
      </c>
    </row>
    <row r="3828" spans="1:6" x14ac:dyDescent="0.15">
      <c r="A3828">
        <v>8754111</v>
      </c>
      <c r="B3828">
        <v>12084746</v>
      </c>
      <c r="C3828" t="s">
        <v>22</v>
      </c>
      <c r="D3828" t="s">
        <v>114</v>
      </c>
      <c r="E3828" s="4" t="str">
        <f>HYPERLINK("https://ibp.a2mac1.com/costing(costing:projects/details/9760/material/8754111)","PP-EPDM")</f>
        <v>PP-EPDM</v>
      </c>
      <c r="F3828" t="s">
        <v>4287</v>
      </c>
    </row>
    <row r="3829" spans="1:6" x14ac:dyDescent="0.15">
      <c r="A3829">
        <v>12211844</v>
      </c>
      <c r="B3829">
        <v>12084746</v>
      </c>
      <c r="C3829" t="s">
        <v>163</v>
      </c>
      <c r="D3829" t="s">
        <v>114</v>
      </c>
      <c r="E3829" s="4" t="str">
        <f>HYPERLINK("https://ibp.a2mac1.com/costing(costing:projects/details/9760/equipment/12211844)","DC machine - General")</f>
        <v>DC machine - General</v>
      </c>
      <c r="F3829" t="s">
        <v>4287</v>
      </c>
    </row>
    <row r="3830" spans="1:6" x14ac:dyDescent="0.15">
      <c r="A3830">
        <v>8415017</v>
      </c>
      <c r="B3830">
        <v>8414865</v>
      </c>
      <c r="C3830" t="s">
        <v>10</v>
      </c>
      <c r="D3830" t="s">
        <v>8</v>
      </c>
      <c r="E3830" s="4" t="str">
        <f>HYPERLINK("https://ibp.a2mac1.com/costing(costing:projects/details/9760/part/8415017)","Rear Part")</f>
        <v>Rear Part</v>
      </c>
      <c r="F3830" t="s">
        <v>4282</v>
      </c>
    </row>
    <row r="3831" spans="1:6" x14ac:dyDescent="0.15">
      <c r="A3831">
        <v>12084747</v>
      </c>
      <c r="B3831">
        <v>8415017</v>
      </c>
      <c r="C3831" t="s">
        <v>114</v>
      </c>
      <c r="D3831" t="s">
        <v>10</v>
      </c>
      <c r="E3831" s="4" t="str">
        <f>HYPERLINK("https://ibp.a2mac1.com/costing(costing:projects/details/9760/process/12084747)","Automated Process")</f>
        <v>Automated Process</v>
      </c>
      <c r="F3831" t="s">
        <v>4289</v>
      </c>
    </row>
    <row r="3832" spans="1:6" x14ac:dyDescent="0.15">
      <c r="A3832">
        <v>8754112</v>
      </c>
      <c r="B3832">
        <v>12084747</v>
      </c>
      <c r="C3832" t="s">
        <v>22</v>
      </c>
      <c r="D3832" t="s">
        <v>114</v>
      </c>
      <c r="E3832" s="4" t="str">
        <f>HYPERLINK("https://ibp.a2mac1.com/costing(costing:projects/details/9760/material/8754112)","PP-EPDM")</f>
        <v>PP-EPDM</v>
      </c>
      <c r="F3832" t="s">
        <v>4290</v>
      </c>
    </row>
    <row r="3833" spans="1:6" x14ac:dyDescent="0.15">
      <c r="A3833">
        <v>12211845</v>
      </c>
      <c r="B3833">
        <v>12084747</v>
      </c>
      <c r="C3833" t="s">
        <v>163</v>
      </c>
      <c r="D3833" t="s">
        <v>114</v>
      </c>
      <c r="E3833" s="4" t="str">
        <f>HYPERLINK("https://ibp.a2mac1.com/costing(costing:projects/details/9760/equipment/12211845)","DC machine - General")</f>
        <v>DC machine - General</v>
      </c>
      <c r="F3833" t="s">
        <v>4290</v>
      </c>
    </row>
    <row r="3834" spans="1:6" x14ac:dyDescent="0.15">
      <c r="A3834">
        <v>8753869</v>
      </c>
      <c r="B3834">
        <v>8414865</v>
      </c>
      <c r="C3834" t="s">
        <v>311</v>
      </c>
      <c r="D3834" t="s">
        <v>8</v>
      </c>
      <c r="E3834" s="4" t="str">
        <f>HYPERLINK("https://ibp.a2mac1.com/costing(costing:projects/details/9760/component/8753869)","Panel holder &gt; Clips in rectangular hole")</f>
        <v>Panel holder &gt; Clips in rectangular hole</v>
      </c>
      <c r="F3834" t="s">
        <v>4282</v>
      </c>
    </row>
    <row r="3835" spans="1:6" x14ac:dyDescent="0.15">
      <c r="A3835">
        <v>8753870</v>
      </c>
      <c r="B3835">
        <v>8414865</v>
      </c>
      <c r="C3835" t="s">
        <v>311</v>
      </c>
      <c r="D3835" t="s">
        <v>8</v>
      </c>
      <c r="E3835" s="4" t="str">
        <f>HYPERLINK("https://ibp.a2mac1.com/costing(costing:projects/details/9760/component/8753870)","Panel holder &gt; Clips in rectangular hole")</f>
        <v>Panel holder &gt; Clips in rectangular hole</v>
      </c>
      <c r="F3835" t="s">
        <v>4282</v>
      </c>
    </row>
    <row r="3836" spans="1:6" x14ac:dyDescent="0.15">
      <c r="A3836">
        <v>8753871</v>
      </c>
      <c r="B3836">
        <v>8414865</v>
      </c>
      <c r="C3836" t="s">
        <v>311</v>
      </c>
      <c r="D3836" t="s">
        <v>8</v>
      </c>
      <c r="E3836" s="4" t="str">
        <f>HYPERLINK("https://ibp.a2mac1.com/costing(costing:projects/details/9760/component/8753871)","Panel holder &gt; Clips in rectangular hole")</f>
        <v>Panel holder &gt; Clips in rectangular hole</v>
      </c>
      <c r="F3836" t="s">
        <v>4282</v>
      </c>
    </row>
    <row r="3837" spans="1:6" x14ac:dyDescent="0.15">
      <c r="A3837">
        <v>8414774</v>
      </c>
      <c r="B3837">
        <v>8414735</v>
      </c>
      <c r="C3837" t="s">
        <v>8</v>
      </c>
      <c r="D3837" t="s">
        <v>8</v>
      </c>
      <c r="E3837" s="4" t="str">
        <f>HYPERLINK("https://ibp.a2mac1.com/costing(costing:projects/details/9760/assembly/8414774)","Mounting Bracket")</f>
        <v>Mounting Bracket</v>
      </c>
      <c r="F3837" t="s">
        <v>4229</v>
      </c>
    </row>
    <row r="3838" spans="1:6" x14ac:dyDescent="0.15">
      <c r="A3838">
        <v>8414866</v>
      </c>
      <c r="B3838">
        <v>8414774</v>
      </c>
      <c r="C3838" t="s">
        <v>10</v>
      </c>
      <c r="D3838" t="s">
        <v>8</v>
      </c>
      <c r="E3838" s="4" t="str">
        <f>HYPERLINK("https://ibp.a2mac1.com/costing(costing:projects/details/9760/part/8414866)","Rear Single Left")</f>
        <v>Rear Single Left</v>
      </c>
      <c r="F3838" t="s">
        <v>4294</v>
      </c>
    </row>
    <row r="3839" spans="1:6" x14ac:dyDescent="0.15">
      <c r="A3839">
        <v>12084635</v>
      </c>
      <c r="B3839">
        <v>8414866</v>
      </c>
      <c r="C3839" t="s">
        <v>114</v>
      </c>
      <c r="D3839" t="s">
        <v>10</v>
      </c>
      <c r="E3839" s="4" t="str">
        <f>HYPERLINK("https://ibp.a2mac1.com/costing(costing:projects/details/9760/process/12084635)","Automated Process")</f>
        <v>Automated Process</v>
      </c>
      <c r="F3839" t="s">
        <v>4295</v>
      </c>
    </row>
    <row r="3840" spans="1:6" x14ac:dyDescent="0.15">
      <c r="A3840">
        <v>8753952</v>
      </c>
      <c r="B3840">
        <v>12084635</v>
      </c>
      <c r="C3840" t="s">
        <v>22</v>
      </c>
      <c r="D3840" t="s">
        <v>114</v>
      </c>
      <c r="E3840" s="4" t="str">
        <f>HYPERLINK("https://ibp.a2mac1.com/costing(costing:projects/details/9760/material/8753952)","PA66")</f>
        <v>PA66</v>
      </c>
      <c r="F3840" t="s">
        <v>4298</v>
      </c>
    </row>
    <row r="3841" spans="1:6" x14ac:dyDescent="0.15">
      <c r="A3841">
        <v>12211733</v>
      </c>
      <c r="B3841">
        <v>12084635</v>
      </c>
      <c r="C3841" t="s">
        <v>163</v>
      </c>
      <c r="D3841" t="s">
        <v>114</v>
      </c>
      <c r="E3841" s="4" t="str">
        <f>HYPERLINK("https://ibp.a2mac1.com/costing(costing:projects/details/9760/equipment/12211733)","DC machine - General")</f>
        <v>DC machine - General</v>
      </c>
      <c r="F3841" t="s">
        <v>4298</v>
      </c>
    </row>
    <row r="3842" spans="1:6" x14ac:dyDescent="0.15">
      <c r="A3842">
        <v>8753807</v>
      </c>
      <c r="B3842">
        <v>8414774</v>
      </c>
      <c r="C3842" t="s">
        <v>311</v>
      </c>
      <c r="D3842" t="s">
        <v>8</v>
      </c>
      <c r="E3842" s="4" t="str">
        <f>HYPERLINK("https://ibp.a2mac1.com/costing(costing:projects/details/9760/component/8753807)","Nut &gt; Hexagonal nut with captive washer")</f>
        <v>Nut &gt; Hexagonal nut with captive washer</v>
      </c>
      <c r="F3842" t="s">
        <v>4294</v>
      </c>
    </row>
    <row r="3843" spans="1:6" x14ac:dyDescent="0.15">
      <c r="A3843">
        <v>8414775</v>
      </c>
      <c r="B3843">
        <v>8414735</v>
      </c>
      <c r="C3843" t="s">
        <v>8</v>
      </c>
      <c r="D3843" t="s">
        <v>8</v>
      </c>
      <c r="E3843" s="4" t="str">
        <f>HYPERLINK("https://ibp.a2mac1.com/costing(costing:projects/details/9760/assembly/8414775)","Instrumentation")</f>
        <v>Instrumentation</v>
      </c>
      <c r="F3843" t="s">
        <v>4229</v>
      </c>
    </row>
    <row r="3844" spans="1:6" x14ac:dyDescent="0.15">
      <c r="A3844">
        <v>8414867</v>
      </c>
      <c r="B3844">
        <v>8414775</v>
      </c>
      <c r="C3844" t="s">
        <v>10</v>
      </c>
      <c r="D3844" t="s">
        <v>8</v>
      </c>
      <c r="E3844" s="4" t="str">
        <f>HYPERLINK("https://ibp.a2mac1.com/costing(costing:projects/details/9760/part/8414867)","Multifunction Switch")</f>
        <v>Multifunction Switch</v>
      </c>
      <c r="F3844" t="s">
        <v>4301</v>
      </c>
    </row>
    <row r="3845" spans="1:6" x14ac:dyDescent="0.15">
      <c r="A3845">
        <v>8414868</v>
      </c>
      <c r="B3845">
        <v>8414775</v>
      </c>
      <c r="C3845" t="s">
        <v>10</v>
      </c>
      <c r="D3845" t="s">
        <v>8</v>
      </c>
      <c r="E3845" s="4" t="str">
        <f>HYPERLINK("https://ibp.a2mac1.com/costing(costing:projects/details/9760/part/8414868)","Multifunction Switch Trim")</f>
        <v>Multifunction Switch Trim</v>
      </c>
      <c r="F3845" t="s">
        <v>4301</v>
      </c>
    </row>
    <row r="3846" spans="1:6" x14ac:dyDescent="0.15">
      <c r="A3846">
        <v>8753808</v>
      </c>
      <c r="B3846">
        <v>8414775</v>
      </c>
      <c r="C3846" t="s">
        <v>311</v>
      </c>
      <c r="D3846" t="s">
        <v>8</v>
      </c>
      <c r="E3846" s="4" t="str">
        <f>HYPERLINK("https://ibp.a2mac1.com/costing(costing:projects/details/9760/component/8753808)","Round head Screw M4x12")</f>
        <v>Round head Screw M4x12</v>
      </c>
      <c r="F3846" t="s">
        <v>4301</v>
      </c>
    </row>
    <row r="3847" spans="1:6" x14ac:dyDescent="0.15">
      <c r="A3847">
        <v>8414776</v>
      </c>
      <c r="B3847">
        <v>8414735</v>
      </c>
      <c r="C3847" t="s">
        <v>8</v>
      </c>
      <c r="D3847" t="s">
        <v>8</v>
      </c>
      <c r="E3847" s="4" t="str">
        <f>HYPERLINK("https://ibp.a2mac1.com/costing(costing:projects/details/9760/assembly/8414776)","Front Storage")</f>
        <v>Front Storage</v>
      </c>
      <c r="F3847" t="s">
        <v>4229</v>
      </c>
    </row>
    <row r="3848" spans="1:6" x14ac:dyDescent="0.15">
      <c r="A3848">
        <v>8414869</v>
      </c>
      <c r="B3848">
        <v>8414776</v>
      </c>
      <c r="C3848" t="s">
        <v>10</v>
      </c>
      <c r="D3848" t="s">
        <v>8</v>
      </c>
      <c r="E3848" s="4" t="str">
        <f>HYPERLINK("https://ibp.a2mac1.com/costing(costing:projects/details/9760/part/8414869)","Storage Box")</f>
        <v>Storage Box</v>
      </c>
      <c r="F3848" t="s">
        <v>4306</v>
      </c>
    </row>
    <row r="3849" spans="1:6" x14ac:dyDescent="0.15">
      <c r="A3849">
        <v>12084636</v>
      </c>
      <c r="B3849">
        <v>8414869</v>
      </c>
      <c r="C3849" t="s">
        <v>114</v>
      </c>
      <c r="D3849" t="s">
        <v>10</v>
      </c>
      <c r="E3849" s="4" t="str">
        <f>HYPERLINK("https://ibp.a2mac1.com/costing(costing:projects/details/9760/process/12084636)","Automated Process")</f>
        <v>Automated Process</v>
      </c>
      <c r="F3849" t="s">
        <v>4307</v>
      </c>
    </row>
    <row r="3850" spans="1:6" x14ac:dyDescent="0.15">
      <c r="A3850">
        <v>8753953</v>
      </c>
      <c r="B3850">
        <v>12084636</v>
      </c>
      <c r="C3850" t="s">
        <v>22</v>
      </c>
      <c r="D3850" t="s">
        <v>114</v>
      </c>
      <c r="E3850" s="4" t="str">
        <f>HYPERLINK("https://ibp.a2mac1.com/costing(costing:projects/details/9760/material/8753953)","PP-EPDM")</f>
        <v>PP-EPDM</v>
      </c>
      <c r="F3850" t="s">
        <v>4310</v>
      </c>
    </row>
    <row r="3851" spans="1:6" x14ac:dyDescent="0.15">
      <c r="A3851">
        <v>12211734</v>
      </c>
      <c r="B3851">
        <v>12084636</v>
      </c>
      <c r="C3851" t="s">
        <v>163</v>
      </c>
      <c r="D3851" t="s">
        <v>114</v>
      </c>
      <c r="E3851" s="4" t="str">
        <f>HYPERLINK("https://ibp.a2mac1.com/costing(costing:projects/details/9760/equipment/12211734)","DC machine - General")</f>
        <v>DC machine - General</v>
      </c>
      <c r="F3851" t="s">
        <v>4310</v>
      </c>
    </row>
    <row r="3852" spans="1:6" x14ac:dyDescent="0.15">
      <c r="A3852">
        <v>8414870</v>
      </c>
      <c r="B3852">
        <v>8414776</v>
      </c>
      <c r="C3852" t="s">
        <v>10</v>
      </c>
      <c r="D3852" t="s">
        <v>8</v>
      </c>
      <c r="E3852" s="4" t="str">
        <f>HYPERLINK("https://ibp.a2mac1.com/costing(costing:projects/details/9760/part/8414870)","Bottom of Compartment")</f>
        <v>Bottom of Compartment</v>
      </c>
      <c r="F3852" t="s">
        <v>4306</v>
      </c>
    </row>
    <row r="3853" spans="1:6" x14ac:dyDescent="0.15">
      <c r="A3853">
        <v>12084637</v>
      </c>
      <c r="B3853">
        <v>8414870</v>
      </c>
      <c r="C3853" t="s">
        <v>114</v>
      </c>
      <c r="D3853" t="s">
        <v>10</v>
      </c>
      <c r="E3853" s="4" t="str">
        <f>HYPERLINK("https://ibp.a2mac1.com/costing(costing:projects/details/9760/process/12084637)","Automated Process")</f>
        <v>Automated Process</v>
      </c>
      <c r="F3853" t="s">
        <v>4312</v>
      </c>
    </row>
    <row r="3854" spans="1:6" x14ac:dyDescent="0.15">
      <c r="A3854">
        <v>8753954</v>
      </c>
      <c r="B3854">
        <v>12084637</v>
      </c>
      <c r="C3854" t="s">
        <v>22</v>
      </c>
      <c r="D3854" t="s">
        <v>114</v>
      </c>
      <c r="E3854" s="4" t="str">
        <f>HYPERLINK("https://ibp.a2mac1.com/costing(costing:projects/details/9760/material/8753954)","TPE")</f>
        <v>TPE</v>
      </c>
      <c r="F3854" t="s">
        <v>4315</v>
      </c>
    </row>
    <row r="3855" spans="1:6" x14ac:dyDescent="0.15">
      <c r="A3855">
        <v>12211735</v>
      </c>
      <c r="B3855">
        <v>12084637</v>
      </c>
      <c r="C3855" t="s">
        <v>163</v>
      </c>
      <c r="D3855" t="s">
        <v>114</v>
      </c>
      <c r="E3855" s="4" t="str">
        <f>HYPERLINK("https://ibp.a2mac1.com/costing(costing:projects/details/9760/equipment/12211735)","DC machine - General")</f>
        <v>DC machine - General</v>
      </c>
      <c r="F3855" t="s">
        <v>4315</v>
      </c>
    </row>
    <row r="3856" spans="1:6" x14ac:dyDescent="0.15">
      <c r="A3856">
        <v>8753809</v>
      </c>
      <c r="B3856">
        <v>8414776</v>
      </c>
      <c r="C3856" t="s">
        <v>311</v>
      </c>
      <c r="D3856" t="s">
        <v>8</v>
      </c>
      <c r="E3856" s="4" t="str">
        <f>HYPERLINK("https://ibp.a2mac1.com/costing(costing:projects/details/9760/component/8753809)","Screw &gt; Torx socket head cap screw with flange")</f>
        <v>Screw &gt; Torx socket head cap screw with flange</v>
      </c>
      <c r="F3856" t="s">
        <v>4306</v>
      </c>
    </row>
    <row r="3857" spans="1:6" x14ac:dyDescent="0.15">
      <c r="A3857">
        <v>8414777</v>
      </c>
      <c r="B3857">
        <v>8414735</v>
      </c>
      <c r="C3857" t="s">
        <v>8</v>
      </c>
      <c r="D3857" t="s">
        <v>8</v>
      </c>
      <c r="E3857" s="4" t="str">
        <f>HYPERLINK("https://ibp.a2mac1.com/costing(costing:projects/details/9760/assembly/8414777)","Center Storage")</f>
        <v>Center Storage</v>
      </c>
      <c r="F3857" t="s">
        <v>4229</v>
      </c>
    </row>
    <row r="3858" spans="1:6" x14ac:dyDescent="0.15">
      <c r="A3858">
        <v>8414871</v>
      </c>
      <c r="B3858">
        <v>8414777</v>
      </c>
      <c r="C3858" t="s">
        <v>10</v>
      </c>
      <c r="D3858" t="s">
        <v>8</v>
      </c>
      <c r="E3858" s="4" t="str">
        <f>HYPERLINK("https://ibp.a2mac1.com/costing(costing:projects/details/9760/part/8414871)","Tray")</f>
        <v>Tray</v>
      </c>
      <c r="F3858" t="s">
        <v>4318</v>
      </c>
    </row>
    <row r="3859" spans="1:6" x14ac:dyDescent="0.15">
      <c r="A3859">
        <v>12084638</v>
      </c>
      <c r="B3859">
        <v>8414871</v>
      </c>
      <c r="C3859" t="s">
        <v>114</v>
      </c>
      <c r="D3859" t="s">
        <v>10</v>
      </c>
      <c r="E3859" s="4" t="str">
        <f>HYPERLINK("https://ibp.a2mac1.com/costing(costing:projects/details/9760/process/12084638)","Automated Process")</f>
        <v>Automated Process</v>
      </c>
      <c r="F3859" t="s">
        <v>4319</v>
      </c>
    </row>
    <row r="3860" spans="1:6" x14ac:dyDescent="0.15">
      <c r="A3860">
        <v>8753955</v>
      </c>
      <c r="B3860">
        <v>12084638</v>
      </c>
      <c r="C3860" t="s">
        <v>22</v>
      </c>
      <c r="D3860" t="s">
        <v>114</v>
      </c>
      <c r="E3860" s="4" t="str">
        <f>HYPERLINK("https://ibp.a2mac1.com/costing(costing:projects/details/9760/material/8753955)","PP-EPDM")</f>
        <v>PP-EPDM</v>
      </c>
      <c r="F3860" t="s">
        <v>4322</v>
      </c>
    </row>
    <row r="3861" spans="1:6" x14ac:dyDescent="0.15">
      <c r="A3861">
        <v>12211736</v>
      </c>
      <c r="B3861">
        <v>12084638</v>
      </c>
      <c r="C3861" t="s">
        <v>163</v>
      </c>
      <c r="D3861" t="s">
        <v>114</v>
      </c>
      <c r="E3861" s="4" t="str">
        <f>HYPERLINK("https://ibp.a2mac1.com/costing(costing:projects/details/9760/equipment/12211736)","DC machine - General")</f>
        <v>DC machine - General</v>
      </c>
      <c r="F3861" t="s">
        <v>4322</v>
      </c>
    </row>
    <row r="3862" spans="1:6" x14ac:dyDescent="0.15">
      <c r="A3862">
        <v>8414872</v>
      </c>
      <c r="B3862">
        <v>8414777</v>
      </c>
      <c r="C3862" t="s">
        <v>10</v>
      </c>
      <c r="D3862" t="s">
        <v>8</v>
      </c>
      <c r="E3862" s="4" t="str">
        <f>HYPERLINK("https://ibp.a2mac1.com/costing(costing:projects/details/9760/part/8414872)","Bottom of Compartment")</f>
        <v>Bottom of Compartment</v>
      </c>
      <c r="F3862" t="s">
        <v>4318</v>
      </c>
    </row>
    <row r="3863" spans="1:6" x14ac:dyDescent="0.15">
      <c r="A3863">
        <v>12084639</v>
      </c>
      <c r="B3863">
        <v>8414872</v>
      </c>
      <c r="C3863" t="s">
        <v>114</v>
      </c>
      <c r="D3863" t="s">
        <v>10</v>
      </c>
      <c r="E3863" s="4" t="str">
        <f>HYPERLINK("https://ibp.a2mac1.com/costing(costing:projects/details/9760/process/12084639)","Automated Process")</f>
        <v>Automated Process</v>
      </c>
      <c r="F3863" t="s">
        <v>4324</v>
      </c>
    </row>
    <row r="3864" spans="1:6" x14ac:dyDescent="0.15">
      <c r="A3864">
        <v>8753956</v>
      </c>
      <c r="B3864">
        <v>12084639</v>
      </c>
      <c r="C3864" t="s">
        <v>22</v>
      </c>
      <c r="D3864" t="s">
        <v>114</v>
      </c>
      <c r="E3864" s="4" t="str">
        <f>HYPERLINK("https://ibp.a2mac1.com/costing(costing:projects/details/9760/material/8753956)","TPE")</f>
        <v>TPE</v>
      </c>
      <c r="F3864" t="s">
        <v>4327</v>
      </c>
    </row>
    <row r="3865" spans="1:6" x14ac:dyDescent="0.15">
      <c r="A3865">
        <v>12211737</v>
      </c>
      <c r="B3865">
        <v>12084639</v>
      </c>
      <c r="C3865" t="s">
        <v>163</v>
      </c>
      <c r="D3865" t="s">
        <v>114</v>
      </c>
      <c r="E3865" s="4" t="str">
        <f>HYPERLINK("https://ibp.a2mac1.com/costing(costing:projects/details/9760/equipment/12211737)","DC machine - General")</f>
        <v>DC machine - General</v>
      </c>
      <c r="F3865" t="s">
        <v>4327</v>
      </c>
    </row>
    <row r="3866" spans="1:6" x14ac:dyDescent="0.15">
      <c r="A3866">
        <v>8753810</v>
      </c>
      <c r="B3866">
        <v>8414777</v>
      </c>
      <c r="C3866" t="s">
        <v>311</v>
      </c>
      <c r="D3866" t="s">
        <v>8</v>
      </c>
      <c r="E3866" s="4" t="str">
        <f>HYPERLINK("https://ibp.a2mac1.com/costing(costing:projects/details/9760/component/8753810)","Screw &gt; Torx socket head cap screw with flange")</f>
        <v>Screw &gt; Torx socket head cap screw with flange</v>
      </c>
      <c r="F3866" t="s">
        <v>4318</v>
      </c>
    </row>
    <row r="3867" spans="1:6" x14ac:dyDescent="0.15">
      <c r="A3867">
        <v>8414778</v>
      </c>
      <c r="B3867">
        <v>8414735</v>
      </c>
      <c r="C3867" t="s">
        <v>8</v>
      </c>
      <c r="D3867" t="s">
        <v>8</v>
      </c>
      <c r="E3867" s="4" t="str">
        <f>HYPERLINK("https://ibp.a2mac1.com/costing(costing:projects/details/9760/assembly/8414778)","Rear Storage Compartment Armrest")</f>
        <v>Rear Storage Compartment Armrest</v>
      </c>
      <c r="F3867" t="s">
        <v>4229</v>
      </c>
    </row>
    <row r="3868" spans="1:6" x14ac:dyDescent="0.15">
      <c r="A3868">
        <v>8414873</v>
      </c>
      <c r="B3868">
        <v>8414778</v>
      </c>
      <c r="C3868" t="s">
        <v>10</v>
      </c>
      <c r="D3868" t="s">
        <v>8</v>
      </c>
      <c r="E3868" s="4" t="str">
        <f>HYPERLINK("https://ibp.a2mac1.com/costing(costing:projects/details/9760/part/8414873)","Lid Armrest")</f>
        <v>Lid Armrest</v>
      </c>
      <c r="F3868" t="s">
        <v>4330</v>
      </c>
    </row>
    <row r="3869" spans="1:6" x14ac:dyDescent="0.15">
      <c r="A3869">
        <v>12084640</v>
      </c>
      <c r="B3869">
        <v>8414873</v>
      </c>
      <c r="C3869" t="s">
        <v>114</v>
      </c>
      <c r="D3869" t="s">
        <v>10</v>
      </c>
      <c r="E3869" s="4" t="str">
        <f>HYPERLINK("https://ibp.a2mac1.com/costing(costing:projects/details/9760/process/12084640)","Automated Process")</f>
        <v>Automated Process</v>
      </c>
      <c r="F3869" t="s">
        <v>4331</v>
      </c>
    </row>
    <row r="3870" spans="1:6" x14ac:dyDescent="0.15">
      <c r="A3870">
        <v>8753957</v>
      </c>
      <c r="B3870">
        <v>12084640</v>
      </c>
      <c r="C3870" t="s">
        <v>22</v>
      </c>
      <c r="D3870" t="s">
        <v>114</v>
      </c>
      <c r="E3870" s="4" t="str">
        <f>HYPERLINK("https://ibp.a2mac1.com/costing(costing:projects/details/9760/material/8753957)","PC-ABS")</f>
        <v>PC-ABS</v>
      </c>
      <c r="F3870" t="s">
        <v>4334</v>
      </c>
    </row>
    <row r="3871" spans="1:6" x14ac:dyDescent="0.15">
      <c r="A3871">
        <v>8753958</v>
      </c>
      <c r="B3871">
        <v>12084640</v>
      </c>
      <c r="C3871" t="s">
        <v>22</v>
      </c>
      <c r="D3871" t="s">
        <v>114</v>
      </c>
      <c r="E3871" s="4" t="str">
        <f>HYPERLINK("https://ibp.a2mac1.com/costing(costing:projects/details/9760/material/8753958)","PVC + Fabric backing 3mm PU foam")</f>
        <v>PVC + Fabric backing 3mm PU foam</v>
      </c>
      <c r="F3871" t="s">
        <v>4334</v>
      </c>
    </row>
    <row r="3872" spans="1:6" x14ac:dyDescent="0.15">
      <c r="A3872">
        <v>12211738</v>
      </c>
      <c r="B3872">
        <v>12084640</v>
      </c>
      <c r="C3872" t="s">
        <v>163</v>
      </c>
      <c r="D3872" t="s">
        <v>114</v>
      </c>
      <c r="E3872" s="4" t="str">
        <f>HYPERLINK("https://ibp.a2mac1.com/costing(costing:projects/details/9760/equipment/12211738)","DC machine - General")</f>
        <v>DC machine - General</v>
      </c>
      <c r="F3872" t="s">
        <v>4334</v>
      </c>
    </row>
    <row r="3873" spans="1:6" x14ac:dyDescent="0.15">
      <c r="A3873">
        <v>8414874</v>
      </c>
      <c r="B3873">
        <v>8414778</v>
      </c>
      <c r="C3873" t="s">
        <v>10</v>
      </c>
      <c r="D3873" t="s">
        <v>8</v>
      </c>
      <c r="E3873" s="4" t="str">
        <f>HYPERLINK("https://ibp.a2mac1.com/costing(costing:projects/details/9760/part/8414874)","Lid Armrest Support")</f>
        <v>Lid Armrest Support</v>
      </c>
      <c r="F3873" t="s">
        <v>4330</v>
      </c>
    </row>
    <row r="3874" spans="1:6" x14ac:dyDescent="0.15">
      <c r="A3874">
        <v>12084641</v>
      </c>
      <c r="B3874">
        <v>8414874</v>
      </c>
      <c r="C3874" t="s">
        <v>114</v>
      </c>
      <c r="D3874" t="s">
        <v>10</v>
      </c>
      <c r="E3874" s="4" t="str">
        <f>HYPERLINK("https://ibp.a2mac1.com/costing(costing:projects/details/9760/process/12084641)","Automated Process")</f>
        <v>Automated Process</v>
      </c>
      <c r="F3874" t="s">
        <v>4336</v>
      </c>
    </row>
    <row r="3875" spans="1:6" x14ac:dyDescent="0.15">
      <c r="A3875">
        <v>8753959</v>
      </c>
      <c r="B3875">
        <v>12084641</v>
      </c>
      <c r="C3875" t="s">
        <v>22</v>
      </c>
      <c r="D3875" t="s">
        <v>114</v>
      </c>
      <c r="E3875" s="4" t="str">
        <f>HYPERLINK("https://ibp.a2mac1.com/costing(costing:projects/details/9760/material/8753959)","PC-ABS")</f>
        <v>PC-ABS</v>
      </c>
      <c r="F3875" t="s">
        <v>4339</v>
      </c>
    </row>
    <row r="3876" spans="1:6" x14ac:dyDescent="0.15">
      <c r="A3876">
        <v>12211739</v>
      </c>
      <c r="B3876">
        <v>12084641</v>
      </c>
      <c r="C3876" t="s">
        <v>163</v>
      </c>
      <c r="D3876" t="s">
        <v>114</v>
      </c>
      <c r="E3876" s="4" t="str">
        <f>HYPERLINK("https://ibp.a2mac1.com/costing(costing:projects/details/9760/equipment/12211739)","DC machine - General")</f>
        <v>DC machine - General</v>
      </c>
      <c r="F3876" t="s">
        <v>4339</v>
      </c>
    </row>
    <row r="3877" spans="1:6" x14ac:dyDescent="0.15">
      <c r="A3877">
        <v>8414875</v>
      </c>
      <c r="B3877">
        <v>8414778</v>
      </c>
      <c r="C3877" t="s">
        <v>10</v>
      </c>
      <c r="D3877" t="s">
        <v>8</v>
      </c>
      <c r="E3877" s="4" t="str">
        <f>HYPERLINK("https://ibp.a2mac1.com/costing(costing:projects/details/9760/part/8414875)","2nd Cover Right Side")</f>
        <v>2nd Cover Right Side</v>
      </c>
      <c r="F3877" t="s">
        <v>4330</v>
      </c>
    </row>
    <row r="3878" spans="1:6" x14ac:dyDescent="0.15">
      <c r="A3878">
        <v>12084642</v>
      </c>
      <c r="B3878">
        <v>8414875</v>
      </c>
      <c r="C3878" t="s">
        <v>114</v>
      </c>
      <c r="D3878" t="s">
        <v>10</v>
      </c>
      <c r="E3878" s="4" t="str">
        <f>HYPERLINK("https://ibp.a2mac1.com/costing(costing:projects/details/9760/process/12084642)","Automated Process")</f>
        <v>Automated Process</v>
      </c>
      <c r="F3878" t="s">
        <v>4341</v>
      </c>
    </row>
    <row r="3879" spans="1:6" x14ac:dyDescent="0.15">
      <c r="A3879">
        <v>8753960</v>
      </c>
      <c r="B3879">
        <v>12084642</v>
      </c>
      <c r="C3879" t="s">
        <v>22</v>
      </c>
      <c r="D3879" t="s">
        <v>114</v>
      </c>
      <c r="E3879" s="4" t="str">
        <f>HYPERLINK("https://ibp.a2mac1.com/costing(costing:projects/details/9760/material/8753960)","PVC + Fabric backing 3mm PU foam")</f>
        <v>PVC + Fabric backing 3mm PU foam</v>
      </c>
      <c r="F3879" t="s">
        <v>4342</v>
      </c>
    </row>
    <row r="3880" spans="1:6" x14ac:dyDescent="0.15">
      <c r="A3880">
        <v>8753961</v>
      </c>
      <c r="B3880">
        <v>12084642</v>
      </c>
      <c r="C3880" t="s">
        <v>22</v>
      </c>
      <c r="D3880" t="s">
        <v>114</v>
      </c>
      <c r="E3880" s="4" t="str">
        <f>HYPERLINK("https://ibp.a2mac1.com/costing(costing:projects/details/9760/material/8753961)","PC-ABS")</f>
        <v>PC-ABS</v>
      </c>
      <c r="F3880" t="s">
        <v>4342</v>
      </c>
    </row>
    <row r="3881" spans="1:6" x14ac:dyDescent="0.15">
      <c r="A3881">
        <v>12211740</v>
      </c>
      <c r="B3881">
        <v>12084642</v>
      </c>
      <c r="C3881" t="s">
        <v>163</v>
      </c>
      <c r="D3881" t="s">
        <v>114</v>
      </c>
      <c r="E3881" s="4" t="str">
        <f>HYPERLINK("https://ibp.a2mac1.com/costing(costing:projects/details/9760/equipment/12211740)","DC machine - General")</f>
        <v>DC machine - General</v>
      </c>
      <c r="F3881" t="s">
        <v>4342</v>
      </c>
    </row>
    <row r="3882" spans="1:6" x14ac:dyDescent="0.15">
      <c r="A3882">
        <v>8414876</v>
      </c>
      <c r="B3882">
        <v>8414778</v>
      </c>
      <c r="C3882" t="s">
        <v>10</v>
      </c>
      <c r="D3882" t="s">
        <v>8</v>
      </c>
      <c r="E3882" s="4" t="str">
        <f>HYPERLINK("https://ibp.a2mac1.com/costing(costing:projects/details/9760/part/8414876)","Mat")</f>
        <v>Mat</v>
      </c>
      <c r="F3882" t="s">
        <v>4330</v>
      </c>
    </row>
    <row r="3883" spans="1:6" x14ac:dyDescent="0.15">
      <c r="A3883">
        <v>12084643</v>
      </c>
      <c r="B3883">
        <v>8414876</v>
      </c>
      <c r="C3883" t="s">
        <v>114</v>
      </c>
      <c r="D3883" t="s">
        <v>10</v>
      </c>
      <c r="E3883" s="4" t="str">
        <f>HYPERLINK("https://ibp.a2mac1.com/costing(costing:projects/details/9760/process/12084643)","Automated Process")</f>
        <v>Automated Process</v>
      </c>
      <c r="F3883" t="s">
        <v>4346</v>
      </c>
    </row>
    <row r="3884" spans="1:6" x14ac:dyDescent="0.15">
      <c r="A3884">
        <v>8753962</v>
      </c>
      <c r="B3884">
        <v>12084643</v>
      </c>
      <c r="C3884" t="s">
        <v>22</v>
      </c>
      <c r="D3884" t="s">
        <v>114</v>
      </c>
      <c r="E3884" s="4" t="str">
        <f>HYPERLINK("https://ibp.a2mac1.com/costing(costing:projects/details/9760/material/8753962)","TPE")</f>
        <v>TPE</v>
      </c>
      <c r="F3884" t="s">
        <v>4349</v>
      </c>
    </row>
    <row r="3885" spans="1:6" x14ac:dyDescent="0.15">
      <c r="A3885">
        <v>12211741</v>
      </c>
      <c r="B3885">
        <v>12084643</v>
      </c>
      <c r="C3885" t="s">
        <v>163</v>
      </c>
      <c r="D3885" t="s">
        <v>114</v>
      </c>
      <c r="E3885" s="4" t="str">
        <f>HYPERLINK("https://ibp.a2mac1.com/costing(costing:projects/details/9760/equipment/12211741)","DC machine - General")</f>
        <v>DC machine - General</v>
      </c>
      <c r="F3885" t="s">
        <v>4349</v>
      </c>
    </row>
    <row r="3886" spans="1:6" x14ac:dyDescent="0.15">
      <c r="A3886">
        <v>8414877</v>
      </c>
      <c r="B3886">
        <v>8414778</v>
      </c>
      <c r="C3886" t="s">
        <v>10</v>
      </c>
      <c r="D3886" t="s">
        <v>8</v>
      </c>
      <c r="E3886" s="4" t="str">
        <f>HYPERLINK("https://ibp.a2mac1.com/costing(costing:projects/details/9760/part/8414877)","Panel Under Armrest")</f>
        <v>Panel Under Armrest</v>
      </c>
      <c r="F3886" t="s">
        <v>4330</v>
      </c>
    </row>
    <row r="3887" spans="1:6" x14ac:dyDescent="0.15">
      <c r="A3887">
        <v>12084644</v>
      </c>
      <c r="B3887">
        <v>8414877</v>
      </c>
      <c r="C3887" t="s">
        <v>114</v>
      </c>
      <c r="D3887" t="s">
        <v>10</v>
      </c>
      <c r="E3887" s="4" t="str">
        <f>HYPERLINK("https://ibp.a2mac1.com/costing(costing:projects/details/9760/process/12084644)","Automated Process")</f>
        <v>Automated Process</v>
      </c>
      <c r="F3887" t="s">
        <v>4351</v>
      </c>
    </row>
    <row r="3888" spans="1:6" x14ac:dyDescent="0.15">
      <c r="A3888">
        <v>8753963</v>
      </c>
      <c r="B3888">
        <v>12084644</v>
      </c>
      <c r="C3888" t="s">
        <v>22</v>
      </c>
      <c r="D3888" t="s">
        <v>114</v>
      </c>
      <c r="E3888" s="4" t="str">
        <f>HYPERLINK("https://ibp.a2mac1.com/costing(costing:projects/details/9760/material/8753963)","PC-ABS")</f>
        <v>PC-ABS</v>
      </c>
      <c r="F3888" t="s">
        <v>4354</v>
      </c>
    </row>
    <row r="3889" spans="1:6" x14ac:dyDescent="0.15">
      <c r="A3889">
        <v>12211742</v>
      </c>
      <c r="B3889">
        <v>12084644</v>
      </c>
      <c r="C3889" t="s">
        <v>163</v>
      </c>
      <c r="D3889" t="s">
        <v>114</v>
      </c>
      <c r="E3889" s="4" t="str">
        <f>HYPERLINK("https://ibp.a2mac1.com/costing(costing:projects/details/9760/equipment/12211742)","DC machine - General")</f>
        <v>DC machine - General</v>
      </c>
      <c r="F3889" t="s">
        <v>4354</v>
      </c>
    </row>
    <row r="3890" spans="1:6" x14ac:dyDescent="0.15">
      <c r="A3890">
        <v>8414878</v>
      </c>
      <c r="B3890">
        <v>8414778</v>
      </c>
      <c r="C3890" t="s">
        <v>10</v>
      </c>
      <c r="D3890" t="s">
        <v>8</v>
      </c>
      <c r="E3890" s="4" t="str">
        <f>HYPERLINK("https://ibp.a2mac1.com/costing(costing:projects/details/9760/part/8414878)","2nd Panel Under Armrest")</f>
        <v>2nd Panel Under Armrest</v>
      </c>
      <c r="F3890" t="s">
        <v>4330</v>
      </c>
    </row>
    <row r="3891" spans="1:6" x14ac:dyDescent="0.15">
      <c r="A3891">
        <v>12084645</v>
      </c>
      <c r="B3891">
        <v>8414878</v>
      </c>
      <c r="C3891" t="s">
        <v>114</v>
      </c>
      <c r="D3891" t="s">
        <v>10</v>
      </c>
      <c r="E3891" s="4" t="str">
        <f>HYPERLINK("https://ibp.a2mac1.com/costing(costing:projects/details/9760/process/12084645)","Automated Process")</f>
        <v>Automated Process</v>
      </c>
      <c r="F3891" t="s">
        <v>4356</v>
      </c>
    </row>
    <row r="3892" spans="1:6" x14ac:dyDescent="0.15">
      <c r="A3892">
        <v>8753964</v>
      </c>
      <c r="B3892">
        <v>12084645</v>
      </c>
      <c r="C3892" t="s">
        <v>22</v>
      </c>
      <c r="D3892" t="s">
        <v>114</v>
      </c>
      <c r="E3892" s="4" t="str">
        <f>HYPERLINK("https://ibp.a2mac1.com/costing(costing:projects/details/9760/material/8753964)","PC-ABS")</f>
        <v>PC-ABS</v>
      </c>
      <c r="F3892" t="s">
        <v>4359</v>
      </c>
    </row>
    <row r="3893" spans="1:6" x14ac:dyDescent="0.15">
      <c r="A3893">
        <v>12211743</v>
      </c>
      <c r="B3893">
        <v>12084645</v>
      </c>
      <c r="C3893" t="s">
        <v>163</v>
      </c>
      <c r="D3893" t="s">
        <v>114</v>
      </c>
      <c r="E3893" s="4" t="str">
        <f>HYPERLINK("https://ibp.a2mac1.com/costing(costing:projects/details/9760/equipment/12211743)","DC machine - General")</f>
        <v>DC machine - General</v>
      </c>
      <c r="F3893" t="s">
        <v>4359</v>
      </c>
    </row>
    <row r="3894" spans="1:6" x14ac:dyDescent="0.15">
      <c r="A3894">
        <v>8414879</v>
      </c>
      <c r="B3894">
        <v>8414778</v>
      </c>
      <c r="C3894" t="s">
        <v>10</v>
      </c>
      <c r="D3894" t="s">
        <v>8</v>
      </c>
      <c r="E3894" s="4" t="str">
        <f>HYPERLINK("https://ibp.a2mac1.com/costing(costing:projects/details/9760/part/8414879)","Support")</f>
        <v>Support</v>
      </c>
      <c r="F3894" t="s">
        <v>4330</v>
      </c>
    </row>
    <row r="3895" spans="1:6" x14ac:dyDescent="0.15">
      <c r="A3895">
        <v>12084646</v>
      </c>
      <c r="B3895">
        <v>8414879</v>
      </c>
      <c r="C3895" t="s">
        <v>114</v>
      </c>
      <c r="D3895" t="s">
        <v>10</v>
      </c>
      <c r="E3895" s="4" t="str">
        <f>HYPERLINK("https://ibp.a2mac1.com/costing(costing:projects/details/9760/process/12084646)","Automated Process")</f>
        <v>Automated Process</v>
      </c>
      <c r="F3895" t="s">
        <v>4361</v>
      </c>
    </row>
    <row r="3896" spans="1:6" x14ac:dyDescent="0.15">
      <c r="A3896">
        <v>8753965</v>
      </c>
      <c r="B3896">
        <v>12084646</v>
      </c>
      <c r="C3896" t="s">
        <v>22</v>
      </c>
      <c r="D3896" t="s">
        <v>114</v>
      </c>
      <c r="E3896" s="4" t="str">
        <f>HYPERLINK("https://ibp.a2mac1.com/costing(costing:projects/details/9760/material/8753965)","PC-ABS")</f>
        <v>PC-ABS</v>
      </c>
      <c r="F3896" t="s">
        <v>4364</v>
      </c>
    </row>
    <row r="3897" spans="1:6" x14ac:dyDescent="0.15">
      <c r="A3897">
        <v>12211744</v>
      </c>
      <c r="B3897">
        <v>12084646</v>
      </c>
      <c r="C3897" t="s">
        <v>163</v>
      </c>
      <c r="D3897" t="s">
        <v>114</v>
      </c>
      <c r="E3897" s="4" t="str">
        <f>HYPERLINK("https://ibp.a2mac1.com/costing(costing:projects/details/9760/equipment/12211744)","DC machine - General")</f>
        <v>DC machine - General</v>
      </c>
      <c r="F3897" t="s">
        <v>4364</v>
      </c>
    </row>
    <row r="3898" spans="1:6" x14ac:dyDescent="0.15">
      <c r="A3898">
        <v>8414880</v>
      </c>
      <c r="B3898">
        <v>8414778</v>
      </c>
      <c r="C3898" t="s">
        <v>10</v>
      </c>
      <c r="D3898" t="s">
        <v>8</v>
      </c>
      <c r="E3898" s="4" t="str">
        <f>HYPERLINK("https://ibp.a2mac1.com/costing(costing:projects/details/9760/part/8414880)","Lock")</f>
        <v>Lock</v>
      </c>
      <c r="F3898" t="s">
        <v>4330</v>
      </c>
    </row>
    <row r="3899" spans="1:6" x14ac:dyDescent="0.15">
      <c r="A3899">
        <v>12084647</v>
      </c>
      <c r="B3899">
        <v>8414880</v>
      </c>
      <c r="C3899" t="s">
        <v>114</v>
      </c>
      <c r="D3899" t="s">
        <v>10</v>
      </c>
      <c r="E3899" s="4" t="str">
        <f>HYPERLINK("https://ibp.a2mac1.com/costing(costing:projects/details/9760/process/12084647)","Automated Process")</f>
        <v>Automated Process</v>
      </c>
      <c r="F3899" t="s">
        <v>4366</v>
      </c>
    </row>
    <row r="3900" spans="1:6" x14ac:dyDescent="0.15">
      <c r="A3900">
        <v>8753966</v>
      </c>
      <c r="B3900">
        <v>12084647</v>
      </c>
      <c r="C3900" t="s">
        <v>22</v>
      </c>
      <c r="D3900" t="s">
        <v>114</v>
      </c>
      <c r="E3900" s="4" t="str">
        <f>HYPERLINK("https://ibp.a2mac1.com/costing(costing:projects/details/9760/material/8753966)","PC-ABS")</f>
        <v>PC-ABS</v>
      </c>
      <c r="F3900" t="s">
        <v>4369</v>
      </c>
    </row>
    <row r="3901" spans="1:6" x14ac:dyDescent="0.15">
      <c r="A3901">
        <v>12211745</v>
      </c>
      <c r="B3901">
        <v>12084647</v>
      </c>
      <c r="C3901" t="s">
        <v>163</v>
      </c>
      <c r="D3901" t="s">
        <v>114</v>
      </c>
      <c r="E3901" s="4" t="str">
        <f>HYPERLINK("https://ibp.a2mac1.com/costing(costing:projects/details/9760/equipment/12211745)","DC machine - General")</f>
        <v>DC machine - General</v>
      </c>
      <c r="F3901" t="s">
        <v>4369</v>
      </c>
    </row>
    <row r="3902" spans="1:6" x14ac:dyDescent="0.15">
      <c r="A3902">
        <v>8414881</v>
      </c>
      <c r="B3902">
        <v>8414778</v>
      </c>
      <c r="C3902" t="s">
        <v>10</v>
      </c>
      <c r="D3902" t="s">
        <v>8</v>
      </c>
      <c r="E3902" s="4" t="str">
        <f>HYPERLINK("https://ibp.a2mac1.com/costing(costing:projects/details/9760/part/8414881)","Opening lock")</f>
        <v>Opening lock</v>
      </c>
      <c r="F3902" t="s">
        <v>4330</v>
      </c>
    </row>
    <row r="3903" spans="1:6" x14ac:dyDescent="0.15">
      <c r="A3903">
        <v>12084648</v>
      </c>
      <c r="B3903">
        <v>8414881</v>
      </c>
      <c r="C3903" t="s">
        <v>114</v>
      </c>
      <c r="D3903" t="s">
        <v>10</v>
      </c>
      <c r="E3903" s="4" t="str">
        <f>HYPERLINK("https://ibp.a2mac1.com/costing(costing:projects/details/9760/process/12084648)","Automated Process")</f>
        <v>Automated Process</v>
      </c>
      <c r="F3903" t="s">
        <v>4371</v>
      </c>
    </row>
    <row r="3904" spans="1:6" x14ac:dyDescent="0.15">
      <c r="A3904">
        <v>8753967</v>
      </c>
      <c r="B3904">
        <v>12084648</v>
      </c>
      <c r="C3904" t="s">
        <v>22</v>
      </c>
      <c r="D3904" t="s">
        <v>114</v>
      </c>
      <c r="E3904" s="4" t="str">
        <f>HYPERLINK("https://ibp.a2mac1.com/costing(costing:projects/details/9760/material/8753967)","POM")</f>
        <v>POM</v>
      </c>
      <c r="F3904" t="s">
        <v>4374</v>
      </c>
    </row>
    <row r="3905" spans="1:6" x14ac:dyDescent="0.15">
      <c r="A3905">
        <v>12211746</v>
      </c>
      <c r="B3905">
        <v>12084648</v>
      </c>
      <c r="C3905" t="s">
        <v>163</v>
      </c>
      <c r="D3905" t="s">
        <v>114</v>
      </c>
      <c r="E3905" s="4" t="str">
        <f>HYPERLINK("https://ibp.a2mac1.com/costing(costing:projects/details/9760/equipment/12211746)","DC machine - General")</f>
        <v>DC machine - General</v>
      </c>
      <c r="F3905" t="s">
        <v>4374</v>
      </c>
    </row>
    <row r="3906" spans="1:6" x14ac:dyDescent="0.15">
      <c r="A3906">
        <v>8414882</v>
      </c>
      <c r="B3906">
        <v>8414778</v>
      </c>
      <c r="C3906" t="s">
        <v>10</v>
      </c>
      <c r="D3906" t="s">
        <v>8</v>
      </c>
      <c r="E3906" s="4" t="str">
        <f>HYPERLINK("https://ibp.a2mac1.com/costing(costing:projects/details/9760/part/8414882)","Stopper")</f>
        <v>Stopper</v>
      </c>
      <c r="F3906" t="s">
        <v>4330</v>
      </c>
    </row>
    <row r="3907" spans="1:6" x14ac:dyDescent="0.15">
      <c r="A3907">
        <v>12084649</v>
      </c>
      <c r="B3907">
        <v>8414882</v>
      </c>
      <c r="C3907" t="s">
        <v>114</v>
      </c>
      <c r="D3907" t="s">
        <v>10</v>
      </c>
      <c r="E3907" s="4" t="str">
        <f>HYPERLINK("https://ibp.a2mac1.com/costing(costing:projects/details/9760/process/12084649)","Automated Process")</f>
        <v>Automated Process</v>
      </c>
      <c r="F3907" t="s">
        <v>4376</v>
      </c>
    </row>
    <row r="3908" spans="1:6" x14ac:dyDescent="0.15">
      <c r="A3908">
        <v>8753968</v>
      </c>
      <c r="B3908">
        <v>12084649</v>
      </c>
      <c r="C3908" t="s">
        <v>22</v>
      </c>
      <c r="D3908" t="s">
        <v>114</v>
      </c>
      <c r="E3908" s="4" t="str">
        <f>HYPERLINK("https://ibp.a2mac1.com/costing(costing:projects/details/9760/material/8753968)","EPDM")</f>
        <v>EPDM</v>
      </c>
      <c r="F3908" t="s">
        <v>4379</v>
      </c>
    </row>
    <row r="3909" spans="1:6" x14ac:dyDescent="0.15">
      <c r="A3909">
        <v>12211747</v>
      </c>
      <c r="B3909">
        <v>12084649</v>
      </c>
      <c r="C3909" t="s">
        <v>163</v>
      </c>
      <c r="D3909" t="s">
        <v>114</v>
      </c>
      <c r="E3909" s="4" t="str">
        <f>HYPERLINK("https://ibp.a2mac1.com/costing(costing:projects/details/9760/equipment/12211747)","DC machine - General")</f>
        <v>DC machine - General</v>
      </c>
      <c r="F3909" t="s">
        <v>4379</v>
      </c>
    </row>
    <row r="3910" spans="1:6" x14ac:dyDescent="0.15">
      <c r="A3910">
        <v>8414883</v>
      </c>
      <c r="B3910">
        <v>8414778</v>
      </c>
      <c r="C3910" t="s">
        <v>10</v>
      </c>
      <c r="D3910" t="s">
        <v>8</v>
      </c>
      <c r="E3910" s="4" t="str">
        <f>HYPERLINK("https://ibp.a2mac1.com/costing(costing:projects/details/9760/part/8414883)","Lid Seal")</f>
        <v>Lid Seal</v>
      </c>
      <c r="F3910" t="s">
        <v>4330</v>
      </c>
    </row>
    <row r="3911" spans="1:6" x14ac:dyDescent="0.15">
      <c r="A3911">
        <v>12084650</v>
      </c>
      <c r="B3911">
        <v>8414883</v>
      </c>
      <c r="C3911" t="s">
        <v>114</v>
      </c>
      <c r="D3911" t="s">
        <v>10</v>
      </c>
      <c r="E3911" s="4" t="str">
        <f>HYPERLINK("https://ibp.a2mac1.com/costing(costing:projects/details/9760/process/12084650)","Automated Process")</f>
        <v>Automated Process</v>
      </c>
      <c r="F3911" t="s">
        <v>4381</v>
      </c>
    </row>
    <row r="3912" spans="1:6" x14ac:dyDescent="0.15">
      <c r="A3912">
        <v>8753969</v>
      </c>
      <c r="B3912">
        <v>12084650</v>
      </c>
      <c r="C3912" t="s">
        <v>22</v>
      </c>
      <c r="D3912" t="s">
        <v>114</v>
      </c>
      <c r="E3912" s="4" t="str">
        <f>HYPERLINK("https://ibp.a2mac1.com/costing(costing:projects/details/9760/material/8753969)","PLASTIC UNKNOWN")</f>
        <v>PLASTIC UNKNOWN</v>
      </c>
      <c r="F3912" t="s">
        <v>4384</v>
      </c>
    </row>
    <row r="3913" spans="1:6" x14ac:dyDescent="0.15">
      <c r="A3913">
        <v>12211748</v>
      </c>
      <c r="B3913">
        <v>12084650</v>
      </c>
      <c r="C3913" t="s">
        <v>163</v>
      </c>
      <c r="D3913" t="s">
        <v>114</v>
      </c>
      <c r="E3913" s="4" t="str">
        <f>HYPERLINK("https://ibp.a2mac1.com/costing(costing:projects/details/9760/equipment/12211748)","DC machine - General")</f>
        <v>DC machine - General</v>
      </c>
      <c r="F3913" t="s">
        <v>4384</v>
      </c>
    </row>
    <row r="3914" spans="1:6" x14ac:dyDescent="0.15">
      <c r="A3914">
        <v>8753811</v>
      </c>
      <c r="B3914">
        <v>8414778</v>
      </c>
      <c r="C3914" t="s">
        <v>311</v>
      </c>
      <c r="D3914" t="s">
        <v>8</v>
      </c>
      <c r="E3914" s="4" t="str">
        <f>HYPERLINK("https://ibp.a2mac1.com/costing(costing:projects/details/9760/component/8753811)","Other fastener &gt; Attachment")</f>
        <v>Other fastener &gt; Attachment</v>
      </c>
      <c r="F3914" t="s">
        <v>4330</v>
      </c>
    </row>
    <row r="3915" spans="1:6" x14ac:dyDescent="0.15">
      <c r="A3915">
        <v>8753812</v>
      </c>
      <c r="B3915">
        <v>8414778</v>
      </c>
      <c r="C3915" t="s">
        <v>311</v>
      </c>
      <c r="D3915" t="s">
        <v>8</v>
      </c>
      <c r="E3915" s="4" t="str">
        <f>HYPERLINK("https://ibp.a2mac1.com/costing(costing:projects/details/9760/component/8753812)","Nut &gt; Pinching nut for metal sheet screw")</f>
        <v>Nut &gt; Pinching nut for metal sheet screw</v>
      </c>
      <c r="F3915" t="s">
        <v>4330</v>
      </c>
    </row>
    <row r="3916" spans="1:6" x14ac:dyDescent="0.15">
      <c r="A3916">
        <v>8753813</v>
      </c>
      <c r="B3916">
        <v>8414778</v>
      </c>
      <c r="C3916" t="s">
        <v>311</v>
      </c>
      <c r="D3916" t="s">
        <v>8</v>
      </c>
      <c r="E3916" s="4" t="str">
        <f>HYPERLINK("https://ibp.a2mac1.com/costing(costing:projects/details/9760/component/8753813)","Pin clip &gt; Dowel pin")</f>
        <v>Pin clip &gt; Dowel pin</v>
      </c>
      <c r="F3916" t="s">
        <v>4330</v>
      </c>
    </row>
    <row r="3917" spans="1:6" x14ac:dyDescent="0.15">
      <c r="A3917">
        <v>8753814</v>
      </c>
      <c r="B3917">
        <v>8414778</v>
      </c>
      <c r="C3917" t="s">
        <v>311</v>
      </c>
      <c r="D3917" t="s">
        <v>8</v>
      </c>
      <c r="E3917" s="4" t="str">
        <f>HYPERLINK("https://ibp.a2mac1.com/costing(costing:projects/details/9760/component/8753814)","Nut &gt; Pinching nut for metal sheet screw")</f>
        <v>Nut &gt; Pinching nut for metal sheet screw</v>
      </c>
      <c r="F3917" t="s">
        <v>4330</v>
      </c>
    </row>
    <row r="3918" spans="1:6" x14ac:dyDescent="0.15">
      <c r="A3918">
        <v>8753815</v>
      </c>
      <c r="B3918">
        <v>8414778</v>
      </c>
      <c r="C3918" t="s">
        <v>311</v>
      </c>
      <c r="D3918" t="s">
        <v>8</v>
      </c>
      <c r="E3918" s="4" t="str">
        <f>HYPERLINK("https://ibp.a2mac1.com/costing(costing:projects/details/9760/component/8753815)","Screw &gt; Torx socket head cap screw with flange")</f>
        <v>Screw &gt; Torx socket head cap screw with flange</v>
      </c>
      <c r="F3918" t="s">
        <v>4330</v>
      </c>
    </row>
    <row r="3919" spans="1:6" x14ac:dyDescent="0.15">
      <c r="A3919">
        <v>8414779</v>
      </c>
      <c r="B3919">
        <v>8414735</v>
      </c>
      <c r="C3919" t="s">
        <v>8</v>
      </c>
      <c r="D3919" t="s">
        <v>8</v>
      </c>
      <c r="E3919" s="4" t="str">
        <f>HYPERLINK("https://ibp.a2mac1.com/costing(costing:projects/details/9760/assembly/8414779)","2nd Row Storage")</f>
        <v>2nd Row Storage</v>
      </c>
      <c r="F3919" t="s">
        <v>4229</v>
      </c>
    </row>
    <row r="3920" spans="1:6" x14ac:dyDescent="0.15">
      <c r="A3920">
        <v>8414884</v>
      </c>
      <c r="B3920">
        <v>8414779</v>
      </c>
      <c r="C3920" t="s">
        <v>10</v>
      </c>
      <c r="D3920" t="s">
        <v>8</v>
      </c>
      <c r="E3920" s="4" t="str">
        <f>HYPERLINK("https://ibp.a2mac1.com/costing(costing:projects/details/9760/part/8414884)","Compartment")</f>
        <v>Compartment</v>
      </c>
      <c r="F3920" t="s">
        <v>4387</v>
      </c>
    </row>
    <row r="3921" spans="1:6" x14ac:dyDescent="0.15">
      <c r="A3921">
        <v>12084651</v>
      </c>
      <c r="B3921">
        <v>8414884</v>
      </c>
      <c r="C3921" t="s">
        <v>114</v>
      </c>
      <c r="D3921" t="s">
        <v>10</v>
      </c>
      <c r="E3921" s="4" t="str">
        <f>HYPERLINK("https://ibp.a2mac1.com/costing(costing:projects/details/9760/process/12084651)","Automated Process")</f>
        <v>Automated Process</v>
      </c>
      <c r="F3921" t="s">
        <v>4388</v>
      </c>
    </row>
    <row r="3922" spans="1:6" x14ac:dyDescent="0.15">
      <c r="A3922">
        <v>8753970</v>
      </c>
      <c r="B3922">
        <v>12084651</v>
      </c>
      <c r="C3922" t="s">
        <v>22</v>
      </c>
      <c r="D3922" t="s">
        <v>114</v>
      </c>
      <c r="E3922" s="4" t="str">
        <f>HYPERLINK("https://ibp.a2mac1.com/costing(costing:projects/details/9760/material/8753970)","PC-ABS")</f>
        <v>PC-ABS</v>
      </c>
      <c r="F3922" t="s">
        <v>4391</v>
      </c>
    </row>
    <row r="3923" spans="1:6" x14ac:dyDescent="0.15">
      <c r="A3923">
        <v>12211749</v>
      </c>
      <c r="B3923">
        <v>12084651</v>
      </c>
      <c r="C3923" t="s">
        <v>163</v>
      </c>
      <c r="D3923" t="s">
        <v>114</v>
      </c>
      <c r="E3923" s="4" t="str">
        <f>HYPERLINK("https://ibp.a2mac1.com/costing(costing:projects/details/9760/equipment/12211749)","DC machine - General")</f>
        <v>DC machine - General</v>
      </c>
      <c r="F3923" t="s">
        <v>4391</v>
      </c>
    </row>
    <row r="3924" spans="1:6" x14ac:dyDescent="0.15">
      <c r="A3924">
        <v>8414885</v>
      </c>
      <c r="B3924">
        <v>8414779</v>
      </c>
      <c r="C3924" t="s">
        <v>10</v>
      </c>
      <c r="D3924" t="s">
        <v>8</v>
      </c>
      <c r="E3924" s="4" t="str">
        <f>HYPERLINK("https://ibp.a2mac1.com/costing(costing:projects/details/9760/part/8414885)","Cover")</f>
        <v>Cover</v>
      </c>
      <c r="F3924" t="s">
        <v>4387</v>
      </c>
    </row>
    <row r="3925" spans="1:6" x14ac:dyDescent="0.15">
      <c r="A3925">
        <v>12084652</v>
      </c>
      <c r="B3925">
        <v>8414885</v>
      </c>
      <c r="C3925" t="s">
        <v>114</v>
      </c>
      <c r="D3925" t="s">
        <v>10</v>
      </c>
      <c r="E3925" s="4" t="str">
        <f>HYPERLINK("https://ibp.a2mac1.com/costing(costing:projects/details/9760/process/12084652)","Automated Process")</f>
        <v>Automated Process</v>
      </c>
      <c r="F3925" t="s">
        <v>4393</v>
      </c>
    </row>
    <row r="3926" spans="1:6" x14ac:dyDescent="0.15">
      <c r="A3926">
        <v>8753971</v>
      </c>
      <c r="B3926">
        <v>12084652</v>
      </c>
      <c r="C3926" t="s">
        <v>22</v>
      </c>
      <c r="D3926" t="s">
        <v>114</v>
      </c>
      <c r="E3926" s="4" t="str">
        <f>HYPERLINK("https://ibp.a2mac1.com/costing(costing:projects/details/9760/material/8753971)","PC-ABS")</f>
        <v>PC-ABS</v>
      </c>
      <c r="F3926" t="s">
        <v>4396</v>
      </c>
    </row>
    <row r="3927" spans="1:6" x14ac:dyDescent="0.15">
      <c r="A3927">
        <v>8753972</v>
      </c>
      <c r="B3927">
        <v>12084652</v>
      </c>
      <c r="C3927" t="s">
        <v>22</v>
      </c>
      <c r="D3927" t="s">
        <v>114</v>
      </c>
      <c r="E3927" s="4" t="str">
        <f>HYPERLINK("https://ibp.a2mac1.com/costing(costing:projects/details/9760/material/8753972)","PVC + Fabric backing 3mm PU foam")</f>
        <v>PVC + Fabric backing 3mm PU foam</v>
      </c>
      <c r="F3927" t="s">
        <v>4396</v>
      </c>
    </row>
    <row r="3928" spans="1:6" x14ac:dyDescent="0.15">
      <c r="A3928">
        <v>12211750</v>
      </c>
      <c r="B3928">
        <v>12084652</v>
      </c>
      <c r="C3928" t="s">
        <v>163</v>
      </c>
      <c r="D3928" t="s">
        <v>114</v>
      </c>
      <c r="E3928" s="4" t="str">
        <f>HYPERLINK("https://ibp.a2mac1.com/costing(costing:projects/details/9760/equipment/12211750)","DC machine - General")</f>
        <v>DC machine - General</v>
      </c>
      <c r="F3928" t="s">
        <v>4396</v>
      </c>
    </row>
    <row r="3929" spans="1:6" x14ac:dyDescent="0.15">
      <c r="A3929">
        <v>8414886</v>
      </c>
      <c r="B3929">
        <v>8414779</v>
      </c>
      <c r="C3929" t="s">
        <v>10</v>
      </c>
      <c r="D3929" t="s">
        <v>8</v>
      </c>
      <c r="E3929" s="4" t="str">
        <f>HYPERLINK("https://ibp.a2mac1.com/costing(costing:projects/details/9760/part/8414886)","Bottom of Compartment")</f>
        <v>Bottom of Compartment</v>
      </c>
      <c r="F3929" t="s">
        <v>4387</v>
      </c>
    </row>
    <row r="3930" spans="1:6" x14ac:dyDescent="0.15">
      <c r="A3930">
        <v>12084653</v>
      </c>
      <c r="B3930">
        <v>8414886</v>
      </c>
      <c r="C3930" t="s">
        <v>114</v>
      </c>
      <c r="D3930" t="s">
        <v>10</v>
      </c>
      <c r="E3930" s="4" t="str">
        <f>HYPERLINK("https://ibp.a2mac1.com/costing(costing:projects/details/9760/process/12084653)","Automated Process")</f>
        <v>Automated Process</v>
      </c>
      <c r="F3930" t="s">
        <v>4400</v>
      </c>
    </row>
    <row r="3931" spans="1:6" x14ac:dyDescent="0.15">
      <c r="A3931">
        <v>8753973</v>
      </c>
      <c r="B3931">
        <v>12084653</v>
      </c>
      <c r="C3931" t="s">
        <v>22</v>
      </c>
      <c r="D3931" t="s">
        <v>114</v>
      </c>
      <c r="E3931" s="4" t="str">
        <f>HYPERLINK("https://ibp.a2mac1.com/costing(costing:projects/details/9760/material/8753973)","PC-ABS")</f>
        <v>PC-ABS</v>
      </c>
      <c r="F3931" t="s">
        <v>4402</v>
      </c>
    </row>
    <row r="3932" spans="1:6" x14ac:dyDescent="0.15">
      <c r="A3932">
        <v>12211751</v>
      </c>
      <c r="B3932">
        <v>12084653</v>
      </c>
      <c r="C3932" t="s">
        <v>163</v>
      </c>
      <c r="D3932" t="s">
        <v>114</v>
      </c>
      <c r="E3932" s="4" t="str">
        <f>HYPERLINK("https://ibp.a2mac1.com/costing(costing:projects/details/9760/equipment/12211751)","DC machine - General")</f>
        <v>DC machine - General</v>
      </c>
      <c r="F3932" t="s">
        <v>4402</v>
      </c>
    </row>
    <row r="3933" spans="1:6" x14ac:dyDescent="0.15">
      <c r="A3933">
        <v>8753816</v>
      </c>
      <c r="B3933">
        <v>8414779</v>
      </c>
      <c r="C3933" t="s">
        <v>311</v>
      </c>
      <c r="D3933" t="s">
        <v>8</v>
      </c>
      <c r="E3933" s="4" t="str">
        <f>HYPERLINK("https://ibp.a2mac1.com/costing(costing:projects/details/9760/component/8753816)","Screw &gt; Torx socket head cap screw with flange")</f>
        <v>Screw &gt; Torx socket head cap screw with flange</v>
      </c>
      <c r="F3933" t="s">
        <v>4387</v>
      </c>
    </row>
    <row r="3934" spans="1:6" x14ac:dyDescent="0.15">
      <c r="A3934">
        <v>8753817</v>
      </c>
      <c r="B3934">
        <v>8414779</v>
      </c>
      <c r="C3934" t="s">
        <v>311</v>
      </c>
      <c r="D3934" t="s">
        <v>8</v>
      </c>
      <c r="E3934" s="4" t="str">
        <f>HYPERLINK("https://ibp.a2mac1.com/costing(costing:projects/details/9760/component/8753817)","Screw &gt; Various shape screw with flange")</f>
        <v>Screw &gt; Various shape screw with flange</v>
      </c>
      <c r="F3934" t="s">
        <v>4387</v>
      </c>
    </row>
    <row r="3935" spans="1:6" x14ac:dyDescent="0.15">
      <c r="A3935">
        <v>8414780</v>
      </c>
      <c r="B3935">
        <v>8414735</v>
      </c>
      <c r="C3935" t="s">
        <v>8</v>
      </c>
      <c r="D3935" t="s">
        <v>8</v>
      </c>
      <c r="E3935" s="4" t="str">
        <f>HYPERLINK("https://ibp.a2mac1.com/costing(costing:projects/details/9760/assembly/8414780)","Lower storage")</f>
        <v>Lower storage</v>
      </c>
      <c r="F3935" t="s">
        <v>4229</v>
      </c>
    </row>
    <row r="3936" spans="1:6" x14ac:dyDescent="0.15">
      <c r="A3936">
        <v>8414887</v>
      </c>
      <c r="B3936">
        <v>8414780</v>
      </c>
      <c r="C3936" t="s">
        <v>10</v>
      </c>
      <c r="D3936" t="s">
        <v>8</v>
      </c>
      <c r="E3936" s="4" t="str">
        <f>HYPERLINK("https://ibp.a2mac1.com/costing(costing:projects/details/9760/part/8414887)","Storage Box")</f>
        <v>Storage Box</v>
      </c>
      <c r="F3936" t="s">
        <v>4405</v>
      </c>
    </row>
    <row r="3937" spans="1:6" x14ac:dyDescent="0.15">
      <c r="A3937">
        <v>12084654</v>
      </c>
      <c r="B3937">
        <v>8414887</v>
      </c>
      <c r="C3937" t="s">
        <v>114</v>
      </c>
      <c r="D3937" t="s">
        <v>10</v>
      </c>
      <c r="E3937" s="4" t="str">
        <f>HYPERLINK("https://ibp.a2mac1.com/costing(costing:projects/details/9760/process/12084654)","Automated Process")</f>
        <v>Automated Process</v>
      </c>
      <c r="F3937" t="s">
        <v>4406</v>
      </c>
    </row>
    <row r="3938" spans="1:6" x14ac:dyDescent="0.15">
      <c r="A3938">
        <v>8753974</v>
      </c>
      <c r="B3938">
        <v>12084654</v>
      </c>
      <c r="C3938" t="s">
        <v>22</v>
      </c>
      <c r="D3938" t="s">
        <v>114</v>
      </c>
      <c r="E3938" s="4" t="str">
        <f>HYPERLINK("https://ibp.a2mac1.com/costing(costing:projects/details/9760/material/8753974)","PP-EPDM")</f>
        <v>PP-EPDM</v>
      </c>
      <c r="F3938" t="s">
        <v>4409</v>
      </c>
    </row>
    <row r="3939" spans="1:6" x14ac:dyDescent="0.15">
      <c r="A3939">
        <v>12211752</v>
      </c>
      <c r="B3939">
        <v>12084654</v>
      </c>
      <c r="C3939" t="s">
        <v>163</v>
      </c>
      <c r="D3939" t="s">
        <v>114</v>
      </c>
      <c r="E3939" s="4" t="str">
        <f>HYPERLINK("https://ibp.a2mac1.com/costing(costing:projects/details/9760/equipment/12211752)","DC machine - General")</f>
        <v>DC machine - General</v>
      </c>
      <c r="F3939" t="s">
        <v>4409</v>
      </c>
    </row>
    <row r="3940" spans="1:6" x14ac:dyDescent="0.15">
      <c r="A3940">
        <v>8414888</v>
      </c>
      <c r="B3940">
        <v>8414780</v>
      </c>
      <c r="C3940" t="s">
        <v>10</v>
      </c>
      <c r="D3940" t="s">
        <v>8</v>
      </c>
      <c r="E3940" s="4" t="str">
        <f>HYPERLINK("https://ibp.a2mac1.com/costing(costing:projects/details/9760/part/8414888)","Bottom of Compartment")</f>
        <v>Bottom of Compartment</v>
      </c>
      <c r="F3940" t="s">
        <v>4405</v>
      </c>
    </row>
    <row r="3941" spans="1:6" x14ac:dyDescent="0.15">
      <c r="A3941">
        <v>12084655</v>
      </c>
      <c r="B3941">
        <v>8414888</v>
      </c>
      <c r="C3941" t="s">
        <v>114</v>
      </c>
      <c r="D3941" t="s">
        <v>10</v>
      </c>
      <c r="E3941" s="4" t="str">
        <f>HYPERLINK("https://ibp.a2mac1.com/costing(costing:projects/details/9760/process/12084655)","Automated Process")</f>
        <v>Automated Process</v>
      </c>
      <c r="F3941" t="s">
        <v>4411</v>
      </c>
    </row>
    <row r="3942" spans="1:6" x14ac:dyDescent="0.15">
      <c r="A3942">
        <v>8753975</v>
      </c>
      <c r="B3942">
        <v>12084655</v>
      </c>
      <c r="C3942" t="s">
        <v>22</v>
      </c>
      <c r="D3942" t="s">
        <v>114</v>
      </c>
      <c r="E3942" s="4" t="str">
        <f>HYPERLINK("https://ibp.a2mac1.com/costing(costing:projects/details/9760/material/8753975)","TPE")</f>
        <v>TPE</v>
      </c>
      <c r="F3942" t="s">
        <v>4414</v>
      </c>
    </row>
    <row r="3943" spans="1:6" x14ac:dyDescent="0.15">
      <c r="A3943">
        <v>12211753</v>
      </c>
      <c r="B3943">
        <v>12084655</v>
      </c>
      <c r="C3943" t="s">
        <v>163</v>
      </c>
      <c r="D3943" t="s">
        <v>114</v>
      </c>
      <c r="E3943" s="4" t="str">
        <f>HYPERLINK("https://ibp.a2mac1.com/costing(costing:projects/details/9760/equipment/12211753)","DC machine - General")</f>
        <v>DC machine - General</v>
      </c>
      <c r="F3943" t="s">
        <v>4414</v>
      </c>
    </row>
    <row r="3944" spans="1:6" x14ac:dyDescent="0.15">
      <c r="A3944">
        <v>8414889</v>
      </c>
      <c r="B3944">
        <v>8414780</v>
      </c>
      <c r="C3944" t="s">
        <v>10</v>
      </c>
      <c r="D3944" t="s">
        <v>8</v>
      </c>
      <c r="E3944" s="4" t="str">
        <f>HYPERLINK("https://ibp.a2mac1.com/costing(costing:projects/details/9760/part/8414889)","Light")</f>
        <v>Light</v>
      </c>
      <c r="F3944" t="s">
        <v>4405</v>
      </c>
    </row>
    <row r="3945" spans="1:6" x14ac:dyDescent="0.15">
      <c r="A3945">
        <v>8414890</v>
      </c>
      <c r="B3945">
        <v>8414780</v>
      </c>
      <c r="C3945" t="s">
        <v>10</v>
      </c>
      <c r="D3945" t="s">
        <v>8</v>
      </c>
      <c r="E3945" s="4" t="str">
        <f>HYPERLINK("https://ibp.a2mac1.com/costing(costing:projects/details/9760/part/8414890)","Upper Trim")</f>
        <v>Upper Trim</v>
      </c>
      <c r="F3945" t="s">
        <v>4405</v>
      </c>
    </row>
    <row r="3946" spans="1:6" x14ac:dyDescent="0.15">
      <c r="A3946">
        <v>12084656</v>
      </c>
      <c r="B3946">
        <v>8414890</v>
      </c>
      <c r="C3946" t="s">
        <v>114</v>
      </c>
      <c r="D3946" t="s">
        <v>10</v>
      </c>
      <c r="E3946" s="4" t="str">
        <f>HYPERLINK("https://ibp.a2mac1.com/costing(costing:projects/details/9760/process/12084656)","Automated Process")</f>
        <v>Automated Process</v>
      </c>
      <c r="F3946" t="s">
        <v>4417</v>
      </c>
    </row>
    <row r="3947" spans="1:6" x14ac:dyDescent="0.15">
      <c r="A3947">
        <v>8753976</v>
      </c>
      <c r="B3947">
        <v>12084656</v>
      </c>
      <c r="C3947" t="s">
        <v>22</v>
      </c>
      <c r="D3947" t="s">
        <v>114</v>
      </c>
      <c r="E3947" s="4" t="str">
        <f>HYPERLINK("https://ibp.a2mac1.com/costing(costing:projects/details/9760/material/8753976)","PP-EPDM")</f>
        <v>PP-EPDM</v>
      </c>
      <c r="F3947" t="s">
        <v>4420</v>
      </c>
    </row>
    <row r="3948" spans="1:6" x14ac:dyDescent="0.15">
      <c r="A3948">
        <v>12211754</v>
      </c>
      <c r="B3948">
        <v>12084656</v>
      </c>
      <c r="C3948" t="s">
        <v>163</v>
      </c>
      <c r="D3948" t="s">
        <v>114</v>
      </c>
      <c r="E3948" s="4" t="str">
        <f>HYPERLINK("https://ibp.a2mac1.com/costing(costing:projects/details/9760/equipment/12211754)","DC machine - General")</f>
        <v>DC machine - General</v>
      </c>
      <c r="F3948" t="s">
        <v>4420</v>
      </c>
    </row>
    <row r="3949" spans="1:6" x14ac:dyDescent="0.15">
      <c r="A3949">
        <v>8753818</v>
      </c>
      <c r="B3949">
        <v>8414780</v>
      </c>
      <c r="C3949" t="s">
        <v>311</v>
      </c>
      <c r="D3949" t="s">
        <v>8</v>
      </c>
      <c r="E3949" s="4" t="str">
        <f>HYPERLINK("https://ibp.a2mac1.com/costing(costing:projects/details/9760/component/8753818)","Panel holder &gt; Clips in rectangular hole")</f>
        <v>Panel holder &gt; Clips in rectangular hole</v>
      </c>
      <c r="F3949" t="s">
        <v>4405</v>
      </c>
    </row>
    <row r="3950" spans="1:6" x14ac:dyDescent="0.15">
      <c r="A3950">
        <v>8753819</v>
      </c>
      <c r="B3950">
        <v>8414780</v>
      </c>
      <c r="C3950" t="s">
        <v>311</v>
      </c>
      <c r="D3950" t="s">
        <v>8</v>
      </c>
      <c r="E3950" s="4" t="str">
        <f>HYPERLINK("https://ibp.a2mac1.com/costing(costing:projects/details/9760/component/8753819)","Screw &gt; Torx socket head cap screw with flange")</f>
        <v>Screw &gt; Torx socket head cap screw with flange</v>
      </c>
      <c r="F3950" t="s">
        <v>4405</v>
      </c>
    </row>
    <row r="3951" spans="1:6" x14ac:dyDescent="0.15">
      <c r="A3951">
        <v>8414781</v>
      </c>
      <c r="B3951">
        <v>8414735</v>
      </c>
      <c r="C3951" t="s">
        <v>8</v>
      </c>
      <c r="D3951" t="s">
        <v>8</v>
      </c>
      <c r="E3951" s="4" t="str">
        <f>HYPERLINK("https://ibp.a2mac1.com/costing(costing:projects/details/9760/assembly/8414781)","Air Vent System")</f>
        <v>Air Vent System</v>
      </c>
      <c r="F3951" t="s">
        <v>4229</v>
      </c>
    </row>
    <row r="3952" spans="1:6" x14ac:dyDescent="0.15">
      <c r="A3952">
        <v>8414891</v>
      </c>
      <c r="B3952">
        <v>8414781</v>
      </c>
      <c r="C3952" t="s">
        <v>10</v>
      </c>
      <c r="D3952" t="s">
        <v>8</v>
      </c>
      <c r="E3952" s="4" t="str">
        <f>HYPERLINK("https://ibp.a2mac1.com/costing(costing:projects/details/9760/part/8414891)","Air Vent")</f>
        <v>Air Vent</v>
      </c>
      <c r="F3952" t="s">
        <v>4423</v>
      </c>
    </row>
    <row r="3953" spans="1:6" x14ac:dyDescent="0.15">
      <c r="A3953">
        <v>12084657</v>
      </c>
      <c r="B3953">
        <v>8414891</v>
      </c>
      <c r="C3953" t="s">
        <v>114</v>
      </c>
      <c r="D3953" t="s">
        <v>10</v>
      </c>
      <c r="E3953" s="4" t="str">
        <f>HYPERLINK("https://ibp.a2mac1.com/costing(costing:projects/details/9760/process/12084657)","Automated Process")</f>
        <v>Automated Process</v>
      </c>
      <c r="F3953" t="s">
        <v>4424</v>
      </c>
    </row>
    <row r="3954" spans="1:6" x14ac:dyDescent="0.15">
      <c r="A3954">
        <v>8753977</v>
      </c>
      <c r="B3954">
        <v>12084657</v>
      </c>
      <c r="C3954" t="s">
        <v>22</v>
      </c>
      <c r="D3954" t="s">
        <v>114</v>
      </c>
      <c r="E3954" s="4" t="str">
        <f>HYPERLINK("https://ibp.a2mac1.com/costing(costing:projects/details/9760/material/8753977)","PC-ABS")</f>
        <v>PC-ABS</v>
      </c>
      <c r="F3954" t="s">
        <v>4427</v>
      </c>
    </row>
    <row r="3955" spans="1:6" x14ac:dyDescent="0.15">
      <c r="A3955">
        <v>12211755</v>
      </c>
      <c r="B3955">
        <v>12084657</v>
      </c>
      <c r="C3955" t="s">
        <v>163</v>
      </c>
      <c r="D3955" t="s">
        <v>114</v>
      </c>
      <c r="E3955" s="4" t="str">
        <f>HYPERLINK("https://ibp.a2mac1.com/costing(costing:projects/details/9760/equipment/12211755)","DC machine - General")</f>
        <v>DC machine - General</v>
      </c>
      <c r="F3955" t="s">
        <v>4427</v>
      </c>
    </row>
    <row r="3956" spans="1:6" x14ac:dyDescent="0.15">
      <c r="A3956">
        <v>8414892</v>
      </c>
      <c r="B3956">
        <v>8414781</v>
      </c>
      <c r="C3956" t="s">
        <v>10</v>
      </c>
      <c r="D3956" t="s">
        <v>8</v>
      </c>
      <c r="E3956" s="4" t="str">
        <f>HYPERLINK("https://ibp.a2mac1.com/costing(costing:projects/details/9760/part/8414892)","Air Vent Trim")</f>
        <v>Air Vent Trim</v>
      </c>
      <c r="F3956" t="s">
        <v>4423</v>
      </c>
    </row>
    <row r="3957" spans="1:6" x14ac:dyDescent="0.15">
      <c r="A3957">
        <v>12084658</v>
      </c>
      <c r="B3957">
        <v>8414892</v>
      </c>
      <c r="C3957" t="s">
        <v>114</v>
      </c>
      <c r="D3957" t="s">
        <v>10</v>
      </c>
      <c r="E3957" s="4" t="str">
        <f>HYPERLINK("https://ibp.a2mac1.com/costing(costing:projects/details/9760/process/12084658)","Automated Process")</f>
        <v>Automated Process</v>
      </c>
      <c r="F3957" t="s">
        <v>4430</v>
      </c>
    </row>
    <row r="3958" spans="1:6" x14ac:dyDescent="0.15">
      <c r="A3958">
        <v>8753978</v>
      </c>
      <c r="B3958">
        <v>12084658</v>
      </c>
      <c r="C3958" t="s">
        <v>22</v>
      </c>
      <c r="D3958" t="s">
        <v>114</v>
      </c>
      <c r="E3958" s="4" t="str">
        <f>HYPERLINK("https://ibp.a2mac1.com/costing(costing:projects/details/9760/material/8753978)","PLASTIC UNKNOWN")</f>
        <v>PLASTIC UNKNOWN</v>
      </c>
      <c r="F3958" t="s">
        <v>4433</v>
      </c>
    </row>
    <row r="3959" spans="1:6" x14ac:dyDescent="0.15">
      <c r="A3959">
        <v>8753979</v>
      </c>
      <c r="B3959">
        <v>12084658</v>
      </c>
      <c r="C3959" t="s">
        <v>22</v>
      </c>
      <c r="D3959" t="s">
        <v>114</v>
      </c>
      <c r="E3959" s="4" t="str">
        <f>HYPERLINK("https://ibp.a2mac1.com/costing(costing:projects/details/9760/material/8753979)","PVC + Fabric backing 3mm PU foam")</f>
        <v>PVC + Fabric backing 3mm PU foam</v>
      </c>
      <c r="F3959" t="s">
        <v>4433</v>
      </c>
    </row>
    <row r="3960" spans="1:6" x14ac:dyDescent="0.15">
      <c r="A3960">
        <v>12211756</v>
      </c>
      <c r="B3960">
        <v>12084658</v>
      </c>
      <c r="C3960" t="s">
        <v>163</v>
      </c>
      <c r="D3960" t="s">
        <v>114</v>
      </c>
      <c r="E3960" s="4" t="str">
        <f>HYPERLINK("https://ibp.a2mac1.com/costing(costing:projects/details/9760/equipment/12211756)","DC machine - General")</f>
        <v>DC machine - General</v>
      </c>
      <c r="F3960" t="s">
        <v>4433</v>
      </c>
    </row>
    <row r="3961" spans="1:6" x14ac:dyDescent="0.15">
      <c r="A3961">
        <v>8414893</v>
      </c>
      <c r="B3961">
        <v>8414781</v>
      </c>
      <c r="C3961" t="s">
        <v>10</v>
      </c>
      <c r="D3961" t="s">
        <v>8</v>
      </c>
      <c r="E3961" s="4" t="str">
        <f>HYPERLINK("https://ibp.a2mac1.com/costing(costing:projects/details/9760/part/8414893)","2nd Air Vent Trim")</f>
        <v>2nd Air Vent Trim</v>
      </c>
      <c r="F3961" t="s">
        <v>4423</v>
      </c>
    </row>
    <row r="3962" spans="1:6" x14ac:dyDescent="0.15">
      <c r="A3962">
        <v>12084659</v>
      </c>
      <c r="B3962">
        <v>8414893</v>
      </c>
      <c r="C3962" t="s">
        <v>114</v>
      </c>
      <c r="D3962" t="s">
        <v>10</v>
      </c>
      <c r="E3962" s="4" t="str">
        <f>HYPERLINK("https://ibp.a2mac1.com/costing(costing:projects/details/9760/process/12084659)","Automated Process")</f>
        <v>Automated Process</v>
      </c>
      <c r="F3962" t="s">
        <v>4437</v>
      </c>
    </row>
    <row r="3963" spans="1:6" x14ac:dyDescent="0.15">
      <c r="A3963">
        <v>8753980</v>
      </c>
      <c r="B3963">
        <v>12084659</v>
      </c>
      <c r="C3963" t="s">
        <v>22</v>
      </c>
      <c r="D3963" t="s">
        <v>114</v>
      </c>
      <c r="E3963" s="4" t="str">
        <f>HYPERLINK("https://ibp.a2mac1.com/costing(costing:projects/details/9760/material/8753980)","PC-ABS")</f>
        <v>PC-ABS</v>
      </c>
      <c r="F3963" t="s">
        <v>4438</v>
      </c>
    </row>
    <row r="3964" spans="1:6" x14ac:dyDescent="0.15">
      <c r="A3964">
        <v>12211757</v>
      </c>
      <c r="B3964">
        <v>12084659</v>
      </c>
      <c r="C3964" t="s">
        <v>163</v>
      </c>
      <c r="D3964" t="s">
        <v>114</v>
      </c>
      <c r="E3964" s="4" t="str">
        <f>HYPERLINK("https://ibp.a2mac1.com/costing(costing:projects/details/9760/equipment/12211757)","DC machine - General")</f>
        <v>DC machine - General</v>
      </c>
      <c r="F3964" t="s">
        <v>4438</v>
      </c>
    </row>
    <row r="3965" spans="1:6" x14ac:dyDescent="0.15">
      <c r="A3965">
        <v>8753820</v>
      </c>
      <c r="B3965">
        <v>8414781</v>
      </c>
      <c r="C3965" t="s">
        <v>311</v>
      </c>
      <c r="D3965" t="s">
        <v>8</v>
      </c>
      <c r="E3965" s="4" t="str">
        <f>HYPERLINK("https://ibp.a2mac1.com/costing(costing:projects/details/9760/component/8753820)","Screw &gt; Torx socket head cap screw with flange")</f>
        <v>Screw &gt; Torx socket head cap screw with flange</v>
      </c>
      <c r="F3965" t="s">
        <v>4423</v>
      </c>
    </row>
    <row r="3966" spans="1:6" x14ac:dyDescent="0.15">
      <c r="A3966">
        <v>8753821</v>
      </c>
      <c r="B3966">
        <v>8414781</v>
      </c>
      <c r="C3966" t="s">
        <v>311</v>
      </c>
      <c r="D3966" t="s">
        <v>8</v>
      </c>
      <c r="E3966" s="4" t="str">
        <f>HYPERLINK("https://ibp.a2mac1.com/costing(costing:projects/details/9760/component/8753821)","Screw &gt; Torx socket head cap screw with flange")</f>
        <v>Screw &gt; Torx socket head cap screw with flange</v>
      </c>
      <c r="F3966" t="s">
        <v>4423</v>
      </c>
    </row>
    <row r="3967" spans="1:6" x14ac:dyDescent="0.15">
      <c r="A3967">
        <v>8414782</v>
      </c>
      <c r="B3967">
        <v>8414735</v>
      </c>
      <c r="C3967" t="s">
        <v>8</v>
      </c>
      <c r="D3967" t="s">
        <v>8</v>
      </c>
      <c r="E3967" s="4" t="str">
        <f>HYPERLINK("https://ibp.a2mac1.com/costing(costing:projects/details/9760/assembly/8414782)","Cup Holder")</f>
        <v>Cup Holder</v>
      </c>
      <c r="F3967" t="s">
        <v>4229</v>
      </c>
    </row>
    <row r="3968" spans="1:6" x14ac:dyDescent="0.15">
      <c r="A3968">
        <v>8414894</v>
      </c>
      <c r="B3968">
        <v>8414782</v>
      </c>
      <c r="C3968" t="s">
        <v>8</v>
      </c>
      <c r="D3968" t="s">
        <v>8</v>
      </c>
      <c r="E3968" s="4" t="str">
        <f>HYPERLINK("https://ibp.a2mac1.com/costing(costing:projects/details/9760/assembly/8414894)","Front Cup Holder")</f>
        <v>Front Cup Holder</v>
      </c>
      <c r="F3968" t="s">
        <v>4441</v>
      </c>
    </row>
    <row r="3969" spans="1:6" x14ac:dyDescent="0.15">
      <c r="A3969">
        <v>8415018</v>
      </c>
      <c r="B3969">
        <v>8414894</v>
      </c>
      <c r="C3969" t="s">
        <v>10</v>
      </c>
      <c r="D3969" t="s">
        <v>8</v>
      </c>
      <c r="E3969" s="4" t="str">
        <f>HYPERLINK("https://ibp.a2mac1.com/costing(costing:projects/details/9760/part/8415018)","Cup Holder")</f>
        <v>Cup Holder</v>
      </c>
      <c r="F3969" t="s">
        <v>4442</v>
      </c>
    </row>
    <row r="3970" spans="1:6" x14ac:dyDescent="0.15">
      <c r="A3970">
        <v>12084748</v>
      </c>
      <c r="B3970">
        <v>8415018</v>
      </c>
      <c r="C3970" t="s">
        <v>114</v>
      </c>
      <c r="D3970" t="s">
        <v>10</v>
      </c>
      <c r="E3970" s="4" t="str">
        <f>HYPERLINK("https://ibp.a2mac1.com/costing(costing:projects/details/9760/process/12084748)","Automated Process")</f>
        <v>Automated Process</v>
      </c>
      <c r="F3970" t="s">
        <v>4443</v>
      </c>
    </row>
    <row r="3971" spans="1:6" x14ac:dyDescent="0.15">
      <c r="A3971">
        <v>8754113</v>
      </c>
      <c r="B3971">
        <v>12084748</v>
      </c>
      <c r="C3971" t="s">
        <v>22</v>
      </c>
      <c r="D3971" t="s">
        <v>114</v>
      </c>
      <c r="E3971" s="4" t="str">
        <f>HYPERLINK("https://ibp.a2mac1.com/costing(costing:projects/details/9760/material/8754113)","PC-ABS")</f>
        <v>PC-ABS</v>
      </c>
      <c r="F3971" t="s">
        <v>4446</v>
      </c>
    </row>
    <row r="3972" spans="1:6" x14ac:dyDescent="0.15">
      <c r="A3972">
        <v>8754114</v>
      </c>
      <c r="B3972">
        <v>12084748</v>
      </c>
      <c r="C3972" t="s">
        <v>22</v>
      </c>
      <c r="D3972" t="s">
        <v>114</v>
      </c>
      <c r="E3972" s="4" t="str">
        <f>HYPERLINK("https://ibp.a2mac1.com/costing(costing:projects/details/9760/material/8754114)","TPU")</f>
        <v>TPU</v>
      </c>
      <c r="F3972" t="s">
        <v>4446</v>
      </c>
    </row>
    <row r="3973" spans="1:6" x14ac:dyDescent="0.15">
      <c r="A3973">
        <v>12211846</v>
      </c>
      <c r="B3973">
        <v>12084748</v>
      </c>
      <c r="C3973" t="s">
        <v>163</v>
      </c>
      <c r="D3973" t="s">
        <v>114</v>
      </c>
      <c r="E3973" s="4" t="str">
        <f>HYPERLINK("https://ibp.a2mac1.com/costing(costing:projects/details/9760/equipment/12211846)","DC machine - General")</f>
        <v>DC machine - General</v>
      </c>
      <c r="F3973" t="s">
        <v>4446</v>
      </c>
    </row>
    <row r="3974" spans="1:6" x14ac:dyDescent="0.15">
      <c r="A3974">
        <v>8415019</v>
      </c>
      <c r="B3974">
        <v>8414894</v>
      </c>
      <c r="C3974" t="s">
        <v>10</v>
      </c>
      <c r="D3974" t="s">
        <v>8</v>
      </c>
      <c r="E3974" s="4" t="str">
        <f>HYPERLINK("https://ibp.a2mac1.com/costing(costing:projects/details/9760/part/8415019)","Bottom of Compartment")</f>
        <v>Bottom of Compartment</v>
      </c>
      <c r="F3974" t="s">
        <v>4442</v>
      </c>
    </row>
    <row r="3975" spans="1:6" x14ac:dyDescent="0.15">
      <c r="A3975">
        <v>12084749</v>
      </c>
      <c r="B3975">
        <v>8415019</v>
      </c>
      <c r="C3975" t="s">
        <v>114</v>
      </c>
      <c r="D3975" t="s">
        <v>10</v>
      </c>
      <c r="E3975" s="4" t="str">
        <f>HYPERLINK("https://ibp.a2mac1.com/costing(costing:projects/details/9760/process/12084749)","Automated Process")</f>
        <v>Automated Process</v>
      </c>
      <c r="F3975" t="s">
        <v>4448</v>
      </c>
    </row>
    <row r="3976" spans="1:6" x14ac:dyDescent="0.15">
      <c r="A3976">
        <v>8754115</v>
      </c>
      <c r="B3976">
        <v>12084749</v>
      </c>
      <c r="C3976" t="s">
        <v>22</v>
      </c>
      <c r="D3976" t="s">
        <v>114</v>
      </c>
      <c r="E3976" s="4" t="str">
        <f>HYPERLINK("https://ibp.a2mac1.com/costing(costing:projects/details/9760/material/8754115)","TPE")</f>
        <v>TPE</v>
      </c>
      <c r="F3976" t="s">
        <v>4451</v>
      </c>
    </row>
    <row r="3977" spans="1:6" x14ac:dyDescent="0.15">
      <c r="A3977">
        <v>12211847</v>
      </c>
      <c r="B3977">
        <v>12084749</v>
      </c>
      <c r="C3977" t="s">
        <v>163</v>
      </c>
      <c r="D3977" t="s">
        <v>114</v>
      </c>
      <c r="E3977" s="4" t="str">
        <f>HYPERLINK("https://ibp.a2mac1.com/costing(costing:projects/details/9760/equipment/12211847)","DC machine - General")</f>
        <v>DC machine - General</v>
      </c>
      <c r="F3977" t="s">
        <v>4451</v>
      </c>
    </row>
    <row r="3978" spans="1:6" x14ac:dyDescent="0.15">
      <c r="A3978">
        <v>8415020</v>
      </c>
      <c r="B3978">
        <v>8414894</v>
      </c>
      <c r="C3978" t="s">
        <v>10</v>
      </c>
      <c r="D3978" t="s">
        <v>8</v>
      </c>
      <c r="E3978" s="4" t="str">
        <f>HYPERLINK("https://ibp.a2mac1.com/costing(costing:projects/details/9760/part/8415020)","Bezel")</f>
        <v>Bezel</v>
      </c>
      <c r="F3978" t="s">
        <v>4442</v>
      </c>
    </row>
    <row r="3979" spans="1:6" x14ac:dyDescent="0.15">
      <c r="A3979">
        <v>12084750</v>
      </c>
      <c r="B3979">
        <v>8415020</v>
      </c>
      <c r="C3979" t="s">
        <v>114</v>
      </c>
      <c r="D3979" t="s">
        <v>10</v>
      </c>
      <c r="E3979" s="4" t="str">
        <f>HYPERLINK("https://ibp.a2mac1.com/costing(costing:projects/details/9760/process/12084750)","Automated Process")</f>
        <v>Automated Process</v>
      </c>
      <c r="F3979" t="s">
        <v>4453</v>
      </c>
    </row>
    <row r="3980" spans="1:6" x14ac:dyDescent="0.15">
      <c r="A3980">
        <v>8754116</v>
      </c>
      <c r="B3980">
        <v>12084750</v>
      </c>
      <c r="C3980" t="s">
        <v>22</v>
      </c>
      <c r="D3980" t="s">
        <v>114</v>
      </c>
      <c r="E3980" s="4" t="str">
        <f>HYPERLINK("https://ibp.a2mac1.com/costing(costing:projects/details/9760/material/8754116)","PC-ABS")</f>
        <v>PC-ABS</v>
      </c>
      <c r="F3980" t="s">
        <v>4456</v>
      </c>
    </row>
    <row r="3981" spans="1:6" x14ac:dyDescent="0.15">
      <c r="A3981">
        <v>12211848</v>
      </c>
      <c r="B3981">
        <v>12084750</v>
      </c>
      <c r="C3981" t="s">
        <v>163</v>
      </c>
      <c r="D3981" t="s">
        <v>114</v>
      </c>
      <c r="E3981" s="4" t="str">
        <f>HYPERLINK("https://ibp.a2mac1.com/costing(costing:projects/details/9760/equipment/12211848)","DC machine - General")</f>
        <v>DC machine - General</v>
      </c>
      <c r="F3981" t="s">
        <v>4456</v>
      </c>
    </row>
    <row r="3982" spans="1:6" x14ac:dyDescent="0.15">
      <c r="A3982">
        <v>8753872</v>
      </c>
      <c r="B3982">
        <v>8414894</v>
      </c>
      <c r="C3982" t="s">
        <v>311</v>
      </c>
      <c r="D3982" t="s">
        <v>8</v>
      </c>
      <c r="E3982" s="4" t="str">
        <f>HYPERLINK("https://ibp.a2mac1.com/costing(costing:projects/details/9760/component/8753872)","Screw &gt; Torx socket head cap screw with flange")</f>
        <v>Screw &gt; Torx socket head cap screw with flange</v>
      </c>
      <c r="F3982" t="s">
        <v>4442</v>
      </c>
    </row>
    <row r="3983" spans="1:6" x14ac:dyDescent="0.15">
      <c r="A3983">
        <v>8753873</v>
      </c>
      <c r="B3983">
        <v>8414894</v>
      </c>
      <c r="C3983" t="s">
        <v>311</v>
      </c>
      <c r="D3983" t="s">
        <v>8</v>
      </c>
      <c r="E3983" s="4" t="str">
        <f>HYPERLINK("https://ibp.a2mac1.com/costing(costing:projects/details/9760/component/8753873)","Panel holder &gt; Clips in rectangular hole")</f>
        <v>Panel holder &gt; Clips in rectangular hole</v>
      </c>
      <c r="F3983" t="s">
        <v>4442</v>
      </c>
    </row>
    <row r="3984" spans="1:6" x14ac:dyDescent="0.15">
      <c r="A3984">
        <v>8414783</v>
      </c>
      <c r="B3984">
        <v>8414735</v>
      </c>
      <c r="C3984" t="s">
        <v>8</v>
      </c>
      <c r="D3984" t="s">
        <v>8</v>
      </c>
      <c r="E3984" s="4" t="str">
        <f>HYPERLINK("https://ibp.a2mac1.com/costing(costing:projects/details/9760/assembly/8414783)","Ambience light system")</f>
        <v>Ambience light system</v>
      </c>
      <c r="F3984" t="s">
        <v>4229</v>
      </c>
    </row>
    <row r="3985" spans="1:6" x14ac:dyDescent="0.15">
      <c r="A3985">
        <v>8414895</v>
      </c>
      <c r="B3985">
        <v>8414783</v>
      </c>
      <c r="C3985" t="s">
        <v>10</v>
      </c>
      <c r="D3985" t="s">
        <v>8</v>
      </c>
      <c r="E3985" s="4" t="str">
        <f>HYPERLINK("https://ibp.a2mac1.com/costing(costing:projects/details/9760/part/8414895)","Ambience Light")</f>
        <v>Ambience Light</v>
      </c>
      <c r="F3985" t="s">
        <v>4460</v>
      </c>
    </row>
    <row r="3986" spans="1:6" x14ac:dyDescent="0.15">
      <c r="A3986">
        <v>8414896</v>
      </c>
      <c r="B3986">
        <v>8414783</v>
      </c>
      <c r="C3986" t="s">
        <v>10</v>
      </c>
      <c r="D3986" t="s">
        <v>8</v>
      </c>
      <c r="E3986" s="4" t="str">
        <f>HYPERLINK("https://ibp.a2mac1.com/costing(costing:projects/details/9760/part/8414896)","Light Diffuser")</f>
        <v>Light Diffuser</v>
      </c>
      <c r="F3986" t="s">
        <v>4460</v>
      </c>
    </row>
    <row r="3987" spans="1:6" x14ac:dyDescent="0.15">
      <c r="A3987">
        <v>8414897</v>
      </c>
      <c r="B3987">
        <v>8414783</v>
      </c>
      <c r="C3987" t="s">
        <v>10</v>
      </c>
      <c r="D3987" t="s">
        <v>8</v>
      </c>
      <c r="E3987" s="4" t="str">
        <f>HYPERLINK("https://ibp.a2mac1.com/costing(costing:projects/details/9760/part/8414897)","Diffuser support")</f>
        <v>Diffuser support</v>
      </c>
      <c r="F3987" t="s">
        <v>4460</v>
      </c>
    </row>
    <row r="3988" spans="1:6" x14ac:dyDescent="0.15">
      <c r="A3988">
        <v>8753822</v>
      </c>
      <c r="B3988">
        <v>8414783</v>
      </c>
      <c r="C3988" t="s">
        <v>311</v>
      </c>
      <c r="D3988" t="s">
        <v>8</v>
      </c>
      <c r="E3988" s="4" t="str">
        <f>HYPERLINK("https://ibp.a2mac1.com/costing(costing:projects/details/9760/component/8753822)","Round head Screw M4x12")</f>
        <v>Round head Screw M4x12</v>
      </c>
      <c r="F3988" t="s">
        <v>4460</v>
      </c>
    </row>
    <row r="3989" spans="1:6" x14ac:dyDescent="0.15">
      <c r="A3989">
        <v>8414784</v>
      </c>
      <c r="B3989">
        <v>8414735</v>
      </c>
      <c r="C3989" t="s">
        <v>8</v>
      </c>
      <c r="D3989" t="s">
        <v>8</v>
      </c>
      <c r="E3989" s="4" t="str">
        <f>HYPERLINK("https://ibp.a2mac1.com/costing(costing:projects/details/9760/assembly/8414784)","Refrigerated Compartment")</f>
        <v>Refrigerated Compartment</v>
      </c>
      <c r="F3989" t="s">
        <v>4229</v>
      </c>
    </row>
    <row r="3990" spans="1:6" x14ac:dyDescent="0.15">
      <c r="A3990">
        <v>8414917</v>
      </c>
      <c r="B3990">
        <v>8414784</v>
      </c>
      <c r="C3990" t="s">
        <v>8</v>
      </c>
      <c r="D3990" t="s">
        <v>8</v>
      </c>
      <c r="E3990" s="4" t="str">
        <f>HYPERLINK("https://ibp.a2mac1.com/costing(costing:projects/details/9760/assembly/8414917)","Main Housing")</f>
        <v>Main Housing</v>
      </c>
      <c r="F3990" t="s">
        <v>4466</v>
      </c>
    </row>
    <row r="3991" spans="1:6" x14ac:dyDescent="0.15">
      <c r="A3991">
        <v>12084675</v>
      </c>
      <c r="B3991">
        <v>8414917</v>
      </c>
      <c r="C3991" t="s">
        <v>114</v>
      </c>
      <c r="D3991" t="s">
        <v>8</v>
      </c>
      <c r="E3991" s="4" t="str">
        <f>HYPERLINK("https://ibp.a2mac1.com/costing(costing:projects/details/9760/process/12084675)","Process")</f>
        <v>Process</v>
      </c>
      <c r="F3991" t="s">
        <v>4467</v>
      </c>
    </row>
    <row r="3992" spans="1:6" x14ac:dyDescent="0.15">
      <c r="A3992">
        <v>12211773</v>
      </c>
      <c r="B3992">
        <v>12084675</v>
      </c>
      <c r="C3992" t="s">
        <v>163</v>
      </c>
      <c r="D3992" t="s">
        <v>114</v>
      </c>
      <c r="E3992" s="4" t="str">
        <f>HYPERLINK("https://ibp.a2mac1.com/costing(costing:projects/details/9760/equipment/12211773)","Dummy Machine (PCBA+Final Assembly Line)")</f>
        <v>Dummy Machine (PCBA+Final Assembly Line)</v>
      </c>
      <c r="F3992" t="s">
        <v>4468</v>
      </c>
    </row>
    <row r="3993" spans="1:6" x14ac:dyDescent="0.15">
      <c r="A3993">
        <v>8753874</v>
      </c>
      <c r="B3993">
        <v>8414917</v>
      </c>
      <c r="C3993" t="s">
        <v>311</v>
      </c>
      <c r="D3993" t="s">
        <v>8</v>
      </c>
      <c r="E3993" s="4" t="str">
        <f>HYPERLINK("https://ibp.a2mac1.com/costing(costing:projects/details/9760/component/8753874)","Electronics")</f>
        <v>Electronics</v>
      </c>
      <c r="F3993" t="s">
        <v>4467</v>
      </c>
    </row>
    <row r="3994" spans="1:6" x14ac:dyDescent="0.15">
      <c r="A3994">
        <v>8753875</v>
      </c>
      <c r="B3994">
        <v>8414917</v>
      </c>
      <c r="C3994" t="s">
        <v>311</v>
      </c>
      <c r="D3994" t="s">
        <v>8</v>
      </c>
      <c r="E3994" s="4" t="str">
        <f>HYPERLINK("https://ibp.a2mac1.com/costing(costing:projects/details/9760/component/8753875)","Mechanics")</f>
        <v>Mechanics</v>
      </c>
      <c r="F3994" t="s">
        <v>4467</v>
      </c>
    </row>
    <row r="3995" spans="1:6" x14ac:dyDescent="0.15">
      <c r="A3995">
        <v>8414898</v>
      </c>
      <c r="B3995">
        <v>8414784</v>
      </c>
      <c r="C3995" t="s">
        <v>10</v>
      </c>
      <c r="D3995" t="s">
        <v>8</v>
      </c>
      <c r="E3995" s="4" t="str">
        <f>HYPERLINK("https://ibp.a2mac1.com/costing(costing:projects/details/9760/part/8414898)","Refrigeration Unit")</f>
        <v>Refrigeration Unit</v>
      </c>
      <c r="F3995" t="s">
        <v>4466</v>
      </c>
    </row>
    <row r="3996" spans="1:6" x14ac:dyDescent="0.15">
      <c r="A3996">
        <v>8414899</v>
      </c>
      <c r="B3996">
        <v>8414784</v>
      </c>
      <c r="C3996" t="s">
        <v>10</v>
      </c>
      <c r="D3996" t="s">
        <v>8</v>
      </c>
      <c r="E3996" s="4" t="str">
        <f>HYPERLINK("https://ibp.a2mac1.com/costing(costing:projects/details/9760/part/8414899)","Switch")</f>
        <v>Switch</v>
      </c>
      <c r="F3996" t="s">
        <v>4466</v>
      </c>
    </row>
    <row r="3997" spans="1:6" x14ac:dyDescent="0.15">
      <c r="A3997">
        <v>8414900</v>
      </c>
      <c r="B3997">
        <v>8414784</v>
      </c>
      <c r="C3997" t="s">
        <v>10</v>
      </c>
      <c r="D3997" t="s">
        <v>8</v>
      </c>
      <c r="E3997" s="4" t="str">
        <f>HYPERLINK("https://ibp.a2mac1.com/costing(costing:projects/details/9760/part/8414900)","Compartment Lid")</f>
        <v>Compartment Lid</v>
      </c>
      <c r="F3997" t="s">
        <v>4466</v>
      </c>
    </row>
    <row r="3998" spans="1:6" x14ac:dyDescent="0.15">
      <c r="A3998">
        <v>12084660</v>
      </c>
      <c r="B3998">
        <v>8414900</v>
      </c>
      <c r="C3998" t="s">
        <v>114</v>
      </c>
      <c r="D3998" t="s">
        <v>10</v>
      </c>
      <c r="E3998" s="4" t="str">
        <f>HYPERLINK("https://ibp.a2mac1.com/costing(costing:projects/details/9760/process/12084660)","Automated Process")</f>
        <v>Automated Process</v>
      </c>
      <c r="F3998" t="s">
        <v>4474</v>
      </c>
    </row>
    <row r="3999" spans="1:6" x14ac:dyDescent="0.15">
      <c r="A3999">
        <v>8753981</v>
      </c>
      <c r="B3999">
        <v>12084660</v>
      </c>
      <c r="C3999" t="s">
        <v>22</v>
      </c>
      <c r="D3999" t="s">
        <v>114</v>
      </c>
      <c r="E3999" s="4" t="str">
        <f>HYPERLINK("https://ibp.a2mac1.com/costing(costing:projects/details/9760/material/8753981)","PC-ABS")</f>
        <v>PC-ABS</v>
      </c>
      <c r="F3999" t="s">
        <v>4477</v>
      </c>
    </row>
    <row r="4000" spans="1:6" x14ac:dyDescent="0.15">
      <c r="A4000">
        <v>12211758</v>
      </c>
      <c r="B4000">
        <v>12084660</v>
      </c>
      <c r="C4000" t="s">
        <v>163</v>
      </c>
      <c r="D4000" t="s">
        <v>114</v>
      </c>
      <c r="E4000" s="4" t="str">
        <f>HYPERLINK("https://ibp.a2mac1.com/costing(costing:projects/details/9760/equipment/12211758)","DC machine - General")</f>
        <v>DC machine - General</v>
      </c>
      <c r="F4000" t="s">
        <v>4477</v>
      </c>
    </row>
    <row r="4001" spans="1:6" x14ac:dyDescent="0.15">
      <c r="A4001">
        <v>8414901</v>
      </c>
      <c r="B4001">
        <v>8414784</v>
      </c>
      <c r="C4001" t="s">
        <v>10</v>
      </c>
      <c r="D4001" t="s">
        <v>8</v>
      </c>
      <c r="E4001" s="4" t="str">
        <f>HYPERLINK("https://ibp.a2mac1.com/costing(costing:projects/details/9760/part/8414901)","Compartment Lid Trim")</f>
        <v>Compartment Lid Trim</v>
      </c>
      <c r="F4001" t="s">
        <v>4466</v>
      </c>
    </row>
    <row r="4002" spans="1:6" x14ac:dyDescent="0.15">
      <c r="A4002">
        <v>12084661</v>
      </c>
      <c r="B4002">
        <v>8414901</v>
      </c>
      <c r="C4002" t="s">
        <v>114</v>
      </c>
      <c r="D4002" t="s">
        <v>10</v>
      </c>
      <c r="E4002" s="4" t="str">
        <f>HYPERLINK("https://ibp.a2mac1.com/costing(costing:projects/details/9760/process/12084661)","Automated Process")</f>
        <v>Automated Process</v>
      </c>
      <c r="F4002" t="s">
        <v>4479</v>
      </c>
    </row>
    <row r="4003" spans="1:6" x14ac:dyDescent="0.15">
      <c r="A4003">
        <v>8753982</v>
      </c>
      <c r="B4003">
        <v>12084661</v>
      </c>
      <c r="C4003" t="s">
        <v>22</v>
      </c>
      <c r="D4003" t="s">
        <v>114</v>
      </c>
      <c r="E4003" s="4" t="str">
        <f>HYPERLINK("https://ibp.a2mac1.com/costing(costing:projects/details/9760/material/8753982)","Leather, standard")</f>
        <v>Leather, standard</v>
      </c>
      <c r="F4003" t="s">
        <v>4482</v>
      </c>
    </row>
    <row r="4004" spans="1:6" x14ac:dyDescent="0.15">
      <c r="A4004">
        <v>8753983</v>
      </c>
      <c r="B4004">
        <v>12084661</v>
      </c>
      <c r="C4004" t="s">
        <v>22</v>
      </c>
      <c r="D4004" t="s">
        <v>114</v>
      </c>
      <c r="E4004" s="4" t="str">
        <f>HYPERLINK("https://ibp.a2mac1.com/costing(costing:projects/details/9760/material/8753983)","PC-ABS")</f>
        <v>PC-ABS</v>
      </c>
      <c r="F4004" t="s">
        <v>4482</v>
      </c>
    </row>
    <row r="4005" spans="1:6" x14ac:dyDescent="0.15">
      <c r="A4005">
        <v>12211759</v>
      </c>
      <c r="B4005">
        <v>12084661</v>
      </c>
      <c r="C4005" t="s">
        <v>163</v>
      </c>
      <c r="D4005" t="s">
        <v>114</v>
      </c>
      <c r="E4005" s="4" t="str">
        <f>HYPERLINK("https://ibp.a2mac1.com/costing(costing:projects/details/9760/equipment/12211759)","DC machine - General")</f>
        <v>DC machine - General</v>
      </c>
      <c r="F4005" t="s">
        <v>4482</v>
      </c>
    </row>
    <row r="4006" spans="1:6" x14ac:dyDescent="0.15">
      <c r="A4006">
        <v>8414902</v>
      </c>
      <c r="B4006">
        <v>8414784</v>
      </c>
      <c r="C4006" t="s">
        <v>10</v>
      </c>
      <c r="D4006" t="s">
        <v>8</v>
      </c>
      <c r="E4006" s="4" t="str">
        <f>HYPERLINK("https://ibp.a2mac1.com/costing(costing:projects/details/9760/part/8414902)","Lid Lock")</f>
        <v>Lid Lock</v>
      </c>
      <c r="F4006" t="s">
        <v>4466</v>
      </c>
    </row>
    <row r="4007" spans="1:6" x14ac:dyDescent="0.15">
      <c r="A4007">
        <v>12084662</v>
      </c>
      <c r="B4007">
        <v>8414902</v>
      </c>
      <c r="C4007" t="s">
        <v>114</v>
      </c>
      <c r="D4007" t="s">
        <v>10</v>
      </c>
      <c r="E4007" s="4" t="str">
        <f>HYPERLINK("https://ibp.a2mac1.com/costing(costing:projects/details/9760/process/12084662)","Automated Process")</f>
        <v>Automated Process</v>
      </c>
      <c r="F4007" t="s">
        <v>4485</v>
      </c>
    </row>
    <row r="4008" spans="1:6" x14ac:dyDescent="0.15">
      <c r="A4008">
        <v>8753984</v>
      </c>
      <c r="B4008">
        <v>12084662</v>
      </c>
      <c r="C4008" t="s">
        <v>22</v>
      </c>
      <c r="D4008" t="s">
        <v>114</v>
      </c>
      <c r="E4008" s="4" t="str">
        <f>HYPERLINK("https://ibp.a2mac1.com/costing(costing:projects/details/9760/material/8753984)","POM")</f>
        <v>POM</v>
      </c>
      <c r="F4008" t="s">
        <v>4488</v>
      </c>
    </row>
    <row r="4009" spans="1:6" x14ac:dyDescent="0.15">
      <c r="A4009">
        <v>12211760</v>
      </c>
      <c r="B4009">
        <v>12084662</v>
      </c>
      <c r="C4009" t="s">
        <v>163</v>
      </c>
      <c r="D4009" t="s">
        <v>114</v>
      </c>
      <c r="E4009" s="4" t="str">
        <f>HYPERLINK("https://ibp.a2mac1.com/costing(costing:projects/details/9760/equipment/12211760)","DC machine - General")</f>
        <v>DC machine - General</v>
      </c>
      <c r="F4009" t="s">
        <v>4488</v>
      </c>
    </row>
    <row r="4010" spans="1:6" x14ac:dyDescent="0.15">
      <c r="A4010">
        <v>8414903</v>
      </c>
      <c r="B4010">
        <v>8414784</v>
      </c>
      <c r="C4010" t="s">
        <v>10</v>
      </c>
      <c r="D4010" t="s">
        <v>8</v>
      </c>
      <c r="E4010" s="4" t="str">
        <f>HYPERLINK("https://ibp.a2mac1.com/costing(costing:projects/details/9760/part/8414903)","Cooling Fan")</f>
        <v>Cooling Fan</v>
      </c>
      <c r="F4010" t="s">
        <v>4466</v>
      </c>
    </row>
    <row r="4011" spans="1:6" x14ac:dyDescent="0.15">
      <c r="A4011">
        <v>8414904</v>
      </c>
      <c r="B4011">
        <v>8414784</v>
      </c>
      <c r="C4011" t="s">
        <v>10</v>
      </c>
      <c r="D4011" t="s">
        <v>8</v>
      </c>
      <c r="E4011" s="4" t="str">
        <f>HYPERLINK("https://ibp.a2mac1.com/costing(costing:projects/details/9760/part/8414904)","Heat Sink")</f>
        <v>Heat Sink</v>
      </c>
      <c r="F4011" t="s">
        <v>4466</v>
      </c>
    </row>
    <row r="4012" spans="1:6" x14ac:dyDescent="0.15">
      <c r="A4012">
        <v>12084663</v>
      </c>
      <c r="B4012">
        <v>8414904</v>
      </c>
      <c r="C4012" t="s">
        <v>114</v>
      </c>
      <c r="D4012" t="s">
        <v>10</v>
      </c>
      <c r="E4012" s="4" t="str">
        <f>HYPERLINK("https://ibp.a2mac1.com/costing(costing:projects/details/9760/process/12084663)","Automated Process")</f>
        <v>Automated Process</v>
      </c>
      <c r="F4012" t="s">
        <v>4492</v>
      </c>
    </row>
    <row r="4013" spans="1:6" x14ac:dyDescent="0.15">
      <c r="A4013">
        <v>8753985</v>
      </c>
      <c r="B4013">
        <v>12084663</v>
      </c>
      <c r="C4013" t="s">
        <v>22</v>
      </c>
      <c r="D4013" t="s">
        <v>114</v>
      </c>
      <c r="E4013" s="4" t="str">
        <f>HYPERLINK("https://ibp.a2mac1.com/costing(costing:projects/details/9760/material/8753985)","Aluminum sheet (default, e.g. EN AW1050A)")</f>
        <v>Aluminum sheet (default, e.g. EN AW1050A)</v>
      </c>
      <c r="F4013" t="s">
        <v>4494</v>
      </c>
    </row>
    <row r="4014" spans="1:6" x14ac:dyDescent="0.15">
      <c r="A4014">
        <v>12211761</v>
      </c>
      <c r="B4014">
        <v>12084663</v>
      </c>
      <c r="C4014" t="s">
        <v>163</v>
      </c>
      <c r="D4014" t="s">
        <v>114</v>
      </c>
      <c r="E4014" s="4" t="str">
        <f>HYPERLINK("https://ibp.a2mac1.com/costing(costing:projects/details/9760/equipment/12211761)","DC machine - General")</f>
        <v>DC machine - General</v>
      </c>
      <c r="F4014" t="s">
        <v>4494</v>
      </c>
    </row>
    <row r="4015" spans="1:6" x14ac:dyDescent="0.15">
      <c r="A4015">
        <v>8414905</v>
      </c>
      <c r="B4015">
        <v>8414784</v>
      </c>
      <c r="C4015" t="s">
        <v>10</v>
      </c>
      <c r="D4015" t="s">
        <v>8</v>
      </c>
      <c r="E4015" s="4" t="str">
        <f>HYPERLINK("https://ibp.a2mac1.com/costing(costing:projects/details/9760/part/8414905)","Heat Sink Protection")</f>
        <v>Heat Sink Protection</v>
      </c>
      <c r="F4015" t="s">
        <v>4466</v>
      </c>
    </row>
    <row r="4016" spans="1:6" x14ac:dyDescent="0.15">
      <c r="A4016">
        <v>12084664</v>
      </c>
      <c r="B4016">
        <v>8414905</v>
      </c>
      <c r="C4016" t="s">
        <v>114</v>
      </c>
      <c r="D4016" t="s">
        <v>10</v>
      </c>
      <c r="E4016" s="4" t="str">
        <f>HYPERLINK("https://ibp.a2mac1.com/costing(costing:projects/details/9760/process/12084664)","Automated Process")</f>
        <v>Automated Process</v>
      </c>
      <c r="F4016" t="s">
        <v>4497</v>
      </c>
    </row>
    <row r="4017" spans="1:6" x14ac:dyDescent="0.15">
      <c r="A4017">
        <v>8753986</v>
      </c>
      <c r="B4017">
        <v>12084664</v>
      </c>
      <c r="C4017" t="s">
        <v>22</v>
      </c>
      <c r="D4017" t="s">
        <v>114</v>
      </c>
      <c r="E4017" s="4" t="str">
        <f>HYPERLINK("https://ibp.a2mac1.com/costing(costing:projects/details/9760/material/8753986)","PC-ABS")</f>
        <v>PC-ABS</v>
      </c>
      <c r="F4017" t="s">
        <v>4500</v>
      </c>
    </row>
    <row r="4018" spans="1:6" x14ac:dyDescent="0.15">
      <c r="A4018">
        <v>12211762</v>
      </c>
      <c r="B4018">
        <v>12084664</v>
      </c>
      <c r="C4018" t="s">
        <v>163</v>
      </c>
      <c r="D4018" t="s">
        <v>114</v>
      </c>
      <c r="E4018" s="4" t="str">
        <f>HYPERLINK("https://ibp.a2mac1.com/costing(costing:projects/details/9760/equipment/12211762)","DC machine - General")</f>
        <v>DC machine - General</v>
      </c>
      <c r="F4018" t="s">
        <v>4500</v>
      </c>
    </row>
    <row r="4019" spans="1:6" x14ac:dyDescent="0.15">
      <c r="A4019">
        <v>8414906</v>
      </c>
      <c r="B4019">
        <v>8414784</v>
      </c>
      <c r="C4019" t="s">
        <v>10</v>
      </c>
      <c r="D4019" t="s">
        <v>8</v>
      </c>
      <c r="E4019" s="4" t="str">
        <f>HYPERLINK("https://ibp.a2mac1.com/costing(costing:projects/details/9760/part/8414906)","Storage Box Mat")</f>
        <v>Storage Box Mat</v>
      </c>
      <c r="F4019" t="s">
        <v>4466</v>
      </c>
    </row>
    <row r="4020" spans="1:6" x14ac:dyDescent="0.15">
      <c r="A4020">
        <v>12084665</v>
      </c>
      <c r="B4020">
        <v>8414906</v>
      </c>
      <c r="C4020" t="s">
        <v>114</v>
      </c>
      <c r="D4020" t="s">
        <v>10</v>
      </c>
      <c r="E4020" s="4" t="str">
        <f>HYPERLINK("https://ibp.a2mac1.com/costing(costing:projects/details/9760/process/12084665)","Automated Process")</f>
        <v>Automated Process</v>
      </c>
      <c r="F4020" t="s">
        <v>4502</v>
      </c>
    </row>
    <row r="4021" spans="1:6" x14ac:dyDescent="0.15">
      <c r="A4021">
        <v>8753987</v>
      </c>
      <c r="B4021">
        <v>12084665</v>
      </c>
      <c r="C4021" t="s">
        <v>22</v>
      </c>
      <c r="D4021" t="s">
        <v>114</v>
      </c>
      <c r="E4021" s="4" t="str">
        <f>HYPERLINK("https://ibp.a2mac1.com/costing(costing:projects/details/9760/material/8753987)","PLASTIC UNKNOWN")</f>
        <v>PLASTIC UNKNOWN</v>
      </c>
      <c r="F4021" t="s">
        <v>4503</v>
      </c>
    </row>
    <row r="4022" spans="1:6" x14ac:dyDescent="0.15">
      <c r="A4022">
        <v>12211763</v>
      </c>
      <c r="B4022">
        <v>12084665</v>
      </c>
      <c r="C4022" t="s">
        <v>163</v>
      </c>
      <c r="D4022" t="s">
        <v>114</v>
      </c>
      <c r="E4022" s="4" t="str">
        <f>HYPERLINK("https://ibp.a2mac1.com/costing(costing:projects/details/9760/equipment/12211763)","DC machine - General")</f>
        <v>DC machine - General</v>
      </c>
      <c r="F4022" t="s">
        <v>4503</v>
      </c>
    </row>
    <row r="4023" spans="1:6" x14ac:dyDescent="0.15">
      <c r="A4023">
        <v>8414907</v>
      </c>
      <c r="B4023">
        <v>8414784</v>
      </c>
      <c r="C4023" t="s">
        <v>10</v>
      </c>
      <c r="D4023" t="s">
        <v>8</v>
      </c>
      <c r="E4023" s="4" t="str">
        <f>HYPERLINK("https://ibp.a2mac1.com/costing(costing:projects/details/9760/part/8414907)","Rail")</f>
        <v>Rail</v>
      </c>
      <c r="F4023" t="s">
        <v>4466</v>
      </c>
    </row>
    <row r="4024" spans="1:6" x14ac:dyDescent="0.15">
      <c r="A4024">
        <v>12084666</v>
      </c>
      <c r="B4024">
        <v>8414907</v>
      </c>
      <c r="C4024" t="s">
        <v>114</v>
      </c>
      <c r="D4024" t="s">
        <v>10</v>
      </c>
      <c r="E4024" s="4" t="str">
        <f>HYPERLINK("https://ibp.a2mac1.com/costing(costing:projects/details/9760/process/12084666)","Automated Process")</f>
        <v>Automated Process</v>
      </c>
      <c r="F4024" t="s">
        <v>4505</v>
      </c>
    </row>
    <row r="4025" spans="1:6" x14ac:dyDescent="0.15">
      <c r="A4025">
        <v>8753988</v>
      </c>
      <c r="B4025">
        <v>12084666</v>
      </c>
      <c r="C4025" t="s">
        <v>22</v>
      </c>
      <c r="D4025" t="s">
        <v>114</v>
      </c>
      <c r="E4025" s="4" t="str">
        <f>HYPERLINK("https://ibp.a2mac1.com/costing(costing:projects/details/9760/material/8753988)","Steel sheet (default)")</f>
        <v>Steel sheet (default)</v>
      </c>
      <c r="F4025" t="s">
        <v>4508</v>
      </c>
    </row>
    <row r="4026" spans="1:6" x14ac:dyDescent="0.15">
      <c r="A4026">
        <v>12211764</v>
      </c>
      <c r="B4026">
        <v>12084666</v>
      </c>
      <c r="C4026" t="s">
        <v>163</v>
      </c>
      <c r="D4026" t="s">
        <v>114</v>
      </c>
      <c r="E4026" s="4" t="str">
        <f>HYPERLINK("https://ibp.a2mac1.com/costing(costing:projects/details/9760/equipment/12211764)","DC machine - General")</f>
        <v>DC machine - General</v>
      </c>
      <c r="F4026" t="s">
        <v>4508</v>
      </c>
    </row>
    <row r="4027" spans="1:6" x14ac:dyDescent="0.15">
      <c r="A4027">
        <v>8414908</v>
      </c>
      <c r="B4027">
        <v>8414784</v>
      </c>
      <c r="C4027" t="s">
        <v>10</v>
      </c>
      <c r="D4027" t="s">
        <v>8</v>
      </c>
      <c r="E4027" s="4" t="str">
        <f>HYPERLINK("https://ibp.a2mac1.com/costing(costing:projects/details/9760/part/8414908)","Rail Support")</f>
        <v>Rail Support</v>
      </c>
      <c r="F4027" t="s">
        <v>4466</v>
      </c>
    </row>
    <row r="4028" spans="1:6" x14ac:dyDescent="0.15">
      <c r="A4028">
        <v>12084667</v>
      </c>
      <c r="B4028">
        <v>8414908</v>
      </c>
      <c r="C4028" t="s">
        <v>114</v>
      </c>
      <c r="D4028" t="s">
        <v>10</v>
      </c>
      <c r="E4028" s="4" t="str">
        <f>HYPERLINK("https://ibp.a2mac1.com/costing(costing:projects/details/9760/process/12084667)","Automated Process")</f>
        <v>Automated Process</v>
      </c>
      <c r="F4028" t="s">
        <v>4510</v>
      </c>
    </row>
    <row r="4029" spans="1:6" x14ac:dyDescent="0.15">
      <c r="A4029">
        <v>8753989</v>
      </c>
      <c r="B4029">
        <v>12084667</v>
      </c>
      <c r="C4029" t="s">
        <v>22</v>
      </c>
      <c r="D4029" t="s">
        <v>114</v>
      </c>
      <c r="E4029" s="4" t="str">
        <f>HYPERLINK("https://ibp.a2mac1.com/costing(costing:projects/details/9760/material/8753989)","PC-ABS")</f>
        <v>PC-ABS</v>
      </c>
      <c r="F4029" t="s">
        <v>4513</v>
      </c>
    </row>
    <row r="4030" spans="1:6" x14ac:dyDescent="0.15">
      <c r="A4030">
        <v>12211765</v>
      </c>
      <c r="B4030">
        <v>12084667</v>
      </c>
      <c r="C4030" t="s">
        <v>163</v>
      </c>
      <c r="D4030" t="s">
        <v>114</v>
      </c>
      <c r="E4030" s="4" t="str">
        <f>HYPERLINK("https://ibp.a2mac1.com/costing(costing:projects/details/9760/equipment/12211765)","DC machine - General")</f>
        <v>DC machine - General</v>
      </c>
      <c r="F4030" t="s">
        <v>4513</v>
      </c>
    </row>
    <row r="4031" spans="1:6" x14ac:dyDescent="0.15">
      <c r="A4031">
        <v>8414909</v>
      </c>
      <c r="B4031">
        <v>8414784</v>
      </c>
      <c r="C4031" t="s">
        <v>10</v>
      </c>
      <c r="D4031" t="s">
        <v>8</v>
      </c>
      <c r="E4031" s="4" t="str">
        <f>HYPERLINK("https://ibp.a2mac1.com/costing(costing:projects/details/9760/part/8414909)","Compartment")</f>
        <v>Compartment</v>
      </c>
      <c r="F4031" t="s">
        <v>4466</v>
      </c>
    </row>
    <row r="4032" spans="1:6" x14ac:dyDescent="0.15">
      <c r="A4032">
        <v>12084668</v>
      </c>
      <c r="B4032">
        <v>8414909</v>
      </c>
      <c r="C4032" t="s">
        <v>114</v>
      </c>
      <c r="D4032" t="s">
        <v>10</v>
      </c>
      <c r="E4032" s="4" t="str">
        <f>HYPERLINK("https://ibp.a2mac1.com/costing(costing:projects/details/9760/process/12084668)","Automated Process")</f>
        <v>Automated Process</v>
      </c>
      <c r="F4032" t="s">
        <v>4515</v>
      </c>
    </row>
    <row r="4033" spans="1:6" x14ac:dyDescent="0.15">
      <c r="A4033">
        <v>8753990</v>
      </c>
      <c r="B4033">
        <v>12084668</v>
      </c>
      <c r="C4033" t="s">
        <v>22</v>
      </c>
      <c r="D4033" t="s">
        <v>114</v>
      </c>
      <c r="E4033" s="4" t="str">
        <f>HYPERLINK("https://ibp.a2mac1.com/costing(costing:projects/details/9760/material/8753990)","PC-ABS")</f>
        <v>PC-ABS</v>
      </c>
      <c r="F4033" t="s">
        <v>4518</v>
      </c>
    </row>
    <row r="4034" spans="1:6" x14ac:dyDescent="0.15">
      <c r="A4034">
        <v>12211766</v>
      </c>
      <c r="B4034">
        <v>12084668</v>
      </c>
      <c r="C4034" t="s">
        <v>163</v>
      </c>
      <c r="D4034" t="s">
        <v>114</v>
      </c>
      <c r="E4034" s="4" t="str">
        <f>HYPERLINK("https://ibp.a2mac1.com/costing(costing:projects/details/9760/equipment/12211766)","DC machine - General")</f>
        <v>DC machine - General</v>
      </c>
      <c r="F4034" t="s">
        <v>4518</v>
      </c>
    </row>
    <row r="4035" spans="1:6" x14ac:dyDescent="0.15">
      <c r="A4035">
        <v>8414910</v>
      </c>
      <c r="B4035">
        <v>8414784</v>
      </c>
      <c r="C4035" t="s">
        <v>10</v>
      </c>
      <c r="D4035" t="s">
        <v>8</v>
      </c>
      <c r="E4035" s="4" t="str">
        <f>HYPERLINK("https://ibp.a2mac1.com/costing(costing:projects/details/9760/part/8414910)","Lid Insulation")</f>
        <v>Lid Insulation</v>
      </c>
      <c r="F4035" t="s">
        <v>4466</v>
      </c>
    </row>
    <row r="4036" spans="1:6" x14ac:dyDescent="0.15">
      <c r="A4036">
        <v>12084669</v>
      </c>
      <c r="B4036">
        <v>8414910</v>
      </c>
      <c r="C4036" t="s">
        <v>114</v>
      </c>
      <c r="D4036" t="s">
        <v>10</v>
      </c>
      <c r="E4036" s="4" t="str">
        <f>HYPERLINK("https://ibp.a2mac1.com/costing(costing:projects/details/9760/process/12084669)","Automated Process")</f>
        <v>Automated Process</v>
      </c>
      <c r="F4036" t="s">
        <v>4520</v>
      </c>
    </row>
    <row r="4037" spans="1:6" x14ac:dyDescent="0.15">
      <c r="A4037">
        <v>8753991</v>
      </c>
      <c r="B4037">
        <v>12084669</v>
      </c>
      <c r="C4037" t="s">
        <v>22</v>
      </c>
      <c r="D4037" t="s">
        <v>114</v>
      </c>
      <c r="E4037" s="4" t="str">
        <f>HYPERLINK("https://ibp.a2mac1.com/costing(costing:projects/details/9760/material/8753991)","EPP")</f>
        <v>EPP</v>
      </c>
      <c r="F4037" t="s">
        <v>4521</v>
      </c>
    </row>
    <row r="4038" spans="1:6" x14ac:dyDescent="0.15">
      <c r="A4038">
        <v>12211767</v>
      </c>
      <c r="B4038">
        <v>12084669</v>
      </c>
      <c r="C4038" t="s">
        <v>163</v>
      </c>
      <c r="D4038" t="s">
        <v>114</v>
      </c>
      <c r="E4038" s="4" t="str">
        <f>HYPERLINK("https://ibp.a2mac1.com/costing(costing:projects/details/9760/equipment/12211767)","DC machine - General")</f>
        <v>DC machine - General</v>
      </c>
      <c r="F4038" t="s">
        <v>4521</v>
      </c>
    </row>
    <row r="4039" spans="1:6" x14ac:dyDescent="0.15">
      <c r="A4039">
        <v>8414911</v>
      </c>
      <c r="B4039">
        <v>8414784</v>
      </c>
      <c r="C4039" t="s">
        <v>10</v>
      </c>
      <c r="D4039" t="s">
        <v>8</v>
      </c>
      <c r="E4039" s="4" t="str">
        <f>HYPERLINK("https://ibp.a2mac1.com/costing(costing:projects/details/9760/part/8414911)","Lid Seal")</f>
        <v>Lid Seal</v>
      </c>
      <c r="F4039" t="s">
        <v>4466</v>
      </c>
    </row>
    <row r="4040" spans="1:6" x14ac:dyDescent="0.15">
      <c r="A4040">
        <v>12084670</v>
      </c>
      <c r="B4040">
        <v>8414911</v>
      </c>
      <c r="C4040" t="s">
        <v>114</v>
      </c>
      <c r="D4040" t="s">
        <v>10</v>
      </c>
      <c r="E4040" s="4" t="str">
        <f>HYPERLINK("https://ibp.a2mac1.com/costing(costing:projects/details/9760/process/12084670)","Automated Process")</f>
        <v>Automated Process</v>
      </c>
      <c r="F4040" t="s">
        <v>4524</v>
      </c>
    </row>
    <row r="4041" spans="1:6" x14ac:dyDescent="0.15">
      <c r="A4041">
        <v>8753992</v>
      </c>
      <c r="B4041">
        <v>12084670</v>
      </c>
      <c r="C4041" t="s">
        <v>22</v>
      </c>
      <c r="D4041" t="s">
        <v>114</v>
      </c>
      <c r="E4041" s="4" t="str">
        <f>HYPERLINK("https://ibp.a2mac1.com/costing(costing:projects/details/9760/material/8753992)","Si")</f>
        <v>Si</v>
      </c>
      <c r="F4041" t="s">
        <v>4525</v>
      </c>
    </row>
    <row r="4042" spans="1:6" x14ac:dyDescent="0.15">
      <c r="A4042">
        <v>12211768</v>
      </c>
      <c r="B4042">
        <v>12084670</v>
      </c>
      <c r="C4042" t="s">
        <v>163</v>
      </c>
      <c r="D4042" t="s">
        <v>114</v>
      </c>
      <c r="E4042" s="4" t="str">
        <f>HYPERLINK("https://ibp.a2mac1.com/costing(costing:projects/details/9760/equipment/12211768)","DC machine - General")</f>
        <v>DC machine - General</v>
      </c>
      <c r="F4042" t="s">
        <v>4525</v>
      </c>
    </row>
    <row r="4043" spans="1:6" x14ac:dyDescent="0.15">
      <c r="A4043">
        <v>8414912</v>
      </c>
      <c r="B4043">
        <v>8414784</v>
      </c>
      <c r="C4043" t="s">
        <v>10</v>
      </c>
      <c r="D4043" t="s">
        <v>8</v>
      </c>
      <c r="E4043" s="4" t="str">
        <f>HYPERLINK("https://ibp.a2mac1.com/costing(costing:projects/details/9760/part/8414912)","Ventilation Grille")</f>
        <v>Ventilation Grille</v>
      </c>
      <c r="F4043" t="s">
        <v>4466</v>
      </c>
    </row>
    <row r="4044" spans="1:6" x14ac:dyDescent="0.15">
      <c r="A4044">
        <v>12084671</v>
      </c>
      <c r="B4044">
        <v>8414912</v>
      </c>
      <c r="C4044" t="s">
        <v>114</v>
      </c>
      <c r="D4044" t="s">
        <v>10</v>
      </c>
      <c r="E4044" s="4" t="str">
        <f>HYPERLINK("https://ibp.a2mac1.com/costing(costing:projects/details/9760/process/12084671)","Automated Process")</f>
        <v>Automated Process</v>
      </c>
      <c r="F4044" t="s">
        <v>4529</v>
      </c>
    </row>
    <row r="4045" spans="1:6" x14ac:dyDescent="0.15">
      <c r="A4045">
        <v>8753993</v>
      </c>
      <c r="B4045">
        <v>12084671</v>
      </c>
      <c r="C4045" t="s">
        <v>22</v>
      </c>
      <c r="D4045" t="s">
        <v>114</v>
      </c>
      <c r="E4045" s="4" t="str">
        <f>HYPERLINK("https://ibp.a2mac1.com/costing(costing:projects/details/9760/material/8753993)","PC-ABS")</f>
        <v>PC-ABS</v>
      </c>
      <c r="F4045" t="s">
        <v>4530</v>
      </c>
    </row>
    <row r="4046" spans="1:6" x14ac:dyDescent="0.15">
      <c r="A4046">
        <v>12211769</v>
      </c>
      <c r="B4046">
        <v>12084671</v>
      </c>
      <c r="C4046" t="s">
        <v>163</v>
      </c>
      <c r="D4046" t="s">
        <v>114</v>
      </c>
      <c r="E4046" s="4" t="str">
        <f>HYPERLINK("https://ibp.a2mac1.com/costing(costing:projects/details/9760/equipment/12211769)","DC machine - General")</f>
        <v>DC machine - General</v>
      </c>
      <c r="F4046" t="s">
        <v>4530</v>
      </c>
    </row>
    <row r="4047" spans="1:6" x14ac:dyDescent="0.15">
      <c r="A4047">
        <v>8414913</v>
      </c>
      <c r="B4047">
        <v>8414784</v>
      </c>
      <c r="C4047" t="s">
        <v>10</v>
      </c>
      <c r="D4047" t="s">
        <v>8</v>
      </c>
      <c r="E4047" s="4" t="str">
        <f>HYPERLINK("https://ibp.a2mac1.com/costing(costing:projects/details/9760/part/8414913)","Ventilation Grille 2")</f>
        <v>Ventilation Grille 2</v>
      </c>
      <c r="F4047" t="s">
        <v>4466</v>
      </c>
    </row>
    <row r="4048" spans="1:6" x14ac:dyDescent="0.15">
      <c r="A4048">
        <v>12084672</v>
      </c>
      <c r="B4048">
        <v>8414913</v>
      </c>
      <c r="C4048" t="s">
        <v>114</v>
      </c>
      <c r="D4048" t="s">
        <v>10</v>
      </c>
      <c r="E4048" s="4" t="str">
        <f>HYPERLINK("https://ibp.a2mac1.com/costing(costing:projects/details/9760/process/12084672)","Automated Process")</f>
        <v>Automated Process</v>
      </c>
      <c r="F4048" t="s">
        <v>4532</v>
      </c>
    </row>
    <row r="4049" spans="1:6" x14ac:dyDescent="0.15">
      <c r="A4049">
        <v>8753994</v>
      </c>
      <c r="B4049">
        <v>12084672</v>
      </c>
      <c r="C4049" t="s">
        <v>22</v>
      </c>
      <c r="D4049" t="s">
        <v>114</v>
      </c>
      <c r="E4049" s="4" t="str">
        <f>HYPERLINK("https://ibp.a2mac1.com/costing(costing:projects/details/9760/material/8753994)","PLASTIC UNKNOWN")</f>
        <v>PLASTIC UNKNOWN</v>
      </c>
      <c r="F4049" t="s">
        <v>4534</v>
      </c>
    </row>
    <row r="4050" spans="1:6" x14ac:dyDescent="0.15">
      <c r="A4050">
        <v>12211770</v>
      </c>
      <c r="B4050">
        <v>12084672</v>
      </c>
      <c r="C4050" t="s">
        <v>163</v>
      </c>
      <c r="D4050" t="s">
        <v>114</v>
      </c>
      <c r="E4050" s="4" t="str">
        <f>HYPERLINK("https://ibp.a2mac1.com/costing(costing:projects/details/9760/equipment/12211770)","DC machine - General")</f>
        <v>DC machine - General</v>
      </c>
      <c r="F4050" t="s">
        <v>4534</v>
      </c>
    </row>
    <row r="4051" spans="1:6" x14ac:dyDescent="0.15">
      <c r="A4051">
        <v>8414914</v>
      </c>
      <c r="B4051">
        <v>8414784</v>
      </c>
      <c r="C4051" t="s">
        <v>10</v>
      </c>
      <c r="D4051" t="s">
        <v>8</v>
      </c>
      <c r="E4051" s="4" t="str">
        <f>HYPERLINK("https://ibp.a2mac1.com/costing(costing:projects/details/9760/part/8414914)","Duct")</f>
        <v>Duct</v>
      </c>
      <c r="F4051" t="s">
        <v>4466</v>
      </c>
    </row>
    <row r="4052" spans="1:6" x14ac:dyDescent="0.15">
      <c r="A4052">
        <v>12084673</v>
      </c>
      <c r="B4052">
        <v>8414914</v>
      </c>
      <c r="C4052" t="s">
        <v>114</v>
      </c>
      <c r="D4052" t="s">
        <v>10</v>
      </c>
      <c r="E4052" s="4" t="str">
        <f>HYPERLINK("https://ibp.a2mac1.com/costing(costing:projects/details/9760/process/12084673)","Automated Process")</f>
        <v>Automated Process</v>
      </c>
      <c r="F4052" t="s">
        <v>4536</v>
      </c>
    </row>
    <row r="4053" spans="1:6" x14ac:dyDescent="0.15">
      <c r="A4053">
        <v>8753995</v>
      </c>
      <c r="B4053">
        <v>12084673</v>
      </c>
      <c r="C4053" t="s">
        <v>22</v>
      </c>
      <c r="D4053" t="s">
        <v>114</v>
      </c>
      <c r="E4053" s="4" t="str">
        <f>HYPERLINK("https://ibp.a2mac1.com/costing(costing:projects/details/9760/material/8753995)","HDPE")</f>
        <v>HDPE</v>
      </c>
      <c r="F4053" t="s">
        <v>4537</v>
      </c>
    </row>
    <row r="4054" spans="1:6" x14ac:dyDescent="0.15">
      <c r="A4054">
        <v>12211771</v>
      </c>
      <c r="B4054">
        <v>12084673</v>
      </c>
      <c r="C4054" t="s">
        <v>163</v>
      </c>
      <c r="D4054" t="s">
        <v>114</v>
      </c>
      <c r="E4054" s="4" t="str">
        <f>HYPERLINK("https://ibp.a2mac1.com/costing(costing:projects/details/9760/equipment/12211771)","DC machine - General")</f>
        <v>DC machine - General</v>
      </c>
      <c r="F4054" t="s">
        <v>4537</v>
      </c>
    </row>
    <row r="4055" spans="1:6" x14ac:dyDescent="0.15">
      <c r="A4055">
        <v>8414915</v>
      </c>
      <c r="B4055">
        <v>8414784</v>
      </c>
      <c r="C4055" t="s">
        <v>10</v>
      </c>
      <c r="D4055" t="s">
        <v>8</v>
      </c>
      <c r="E4055" s="4" t="str">
        <f>HYPERLINK("https://ibp.a2mac1.com/costing(costing:projects/details/9760/part/8414915)","Duct 2")</f>
        <v>Duct 2</v>
      </c>
      <c r="F4055" t="s">
        <v>4466</v>
      </c>
    </row>
    <row r="4056" spans="1:6" x14ac:dyDescent="0.15">
      <c r="A4056">
        <v>12084674</v>
      </c>
      <c r="B4056">
        <v>8414915</v>
      </c>
      <c r="C4056" t="s">
        <v>114</v>
      </c>
      <c r="D4056" t="s">
        <v>10</v>
      </c>
      <c r="E4056" s="4" t="str">
        <f>HYPERLINK("https://ibp.a2mac1.com/costing(costing:projects/details/9760/process/12084674)","Automated Process")</f>
        <v>Automated Process</v>
      </c>
      <c r="F4056" t="s">
        <v>4540</v>
      </c>
    </row>
    <row r="4057" spans="1:6" x14ac:dyDescent="0.15">
      <c r="A4057">
        <v>8753996</v>
      </c>
      <c r="B4057">
        <v>12084674</v>
      </c>
      <c r="C4057" t="s">
        <v>22</v>
      </c>
      <c r="D4057" t="s">
        <v>114</v>
      </c>
      <c r="E4057" s="4" t="str">
        <f>HYPERLINK("https://ibp.a2mac1.com/costing(costing:projects/details/9760/material/8753996)","PE")</f>
        <v>PE</v>
      </c>
      <c r="F4057" t="s">
        <v>4543</v>
      </c>
    </row>
    <row r="4058" spans="1:6" x14ac:dyDescent="0.15">
      <c r="A4058">
        <v>12211772</v>
      </c>
      <c r="B4058">
        <v>12084674</v>
      </c>
      <c r="C4058" t="s">
        <v>163</v>
      </c>
      <c r="D4058" t="s">
        <v>114</v>
      </c>
      <c r="E4058" s="4" t="str">
        <f>HYPERLINK("https://ibp.a2mac1.com/costing(costing:projects/details/9760/equipment/12211772)","DC machine - General")</f>
        <v>DC machine - General</v>
      </c>
      <c r="F4058" t="s">
        <v>4543</v>
      </c>
    </row>
    <row r="4059" spans="1:6" x14ac:dyDescent="0.15">
      <c r="A4059">
        <v>8414916</v>
      </c>
      <c r="B4059">
        <v>8414784</v>
      </c>
      <c r="C4059" t="s">
        <v>10</v>
      </c>
      <c r="D4059" t="s">
        <v>8</v>
      </c>
      <c r="E4059" s="4" t="str">
        <f>HYPERLINK("https://ibp.a2mac1.com/costing(costing:projects/details/9760/part/8414916)","Cooling Fan 2")</f>
        <v>Cooling Fan 2</v>
      </c>
      <c r="F4059" t="s">
        <v>4466</v>
      </c>
    </row>
    <row r="4060" spans="1:6" x14ac:dyDescent="0.15">
      <c r="A4060">
        <v>8414918</v>
      </c>
      <c r="B4060">
        <v>8414784</v>
      </c>
      <c r="C4060" t="s">
        <v>10</v>
      </c>
      <c r="D4060" t="s">
        <v>8</v>
      </c>
      <c r="E4060" s="4" t="str">
        <f>HYPERLINK("https://ibp.a2mac1.com/costing(costing:projects/details/9760/part/8414918)","Sliding Stopper")</f>
        <v>Sliding Stopper</v>
      </c>
      <c r="F4060" t="s">
        <v>4466</v>
      </c>
    </row>
    <row r="4061" spans="1:6" x14ac:dyDescent="0.15">
      <c r="A4061">
        <v>12084676</v>
      </c>
      <c r="B4061">
        <v>8414918</v>
      </c>
      <c r="C4061" t="s">
        <v>114</v>
      </c>
      <c r="D4061" t="s">
        <v>10</v>
      </c>
      <c r="E4061" s="4" t="str">
        <f>HYPERLINK("https://ibp.a2mac1.com/costing(costing:projects/details/9760/process/12084676)","Automated Process")</f>
        <v>Automated Process</v>
      </c>
      <c r="F4061" t="s">
        <v>4547</v>
      </c>
    </row>
    <row r="4062" spans="1:6" x14ac:dyDescent="0.15">
      <c r="A4062">
        <v>8753997</v>
      </c>
      <c r="B4062">
        <v>12084676</v>
      </c>
      <c r="C4062" t="s">
        <v>22</v>
      </c>
      <c r="D4062" t="s">
        <v>114</v>
      </c>
      <c r="E4062" s="4" t="str">
        <f>HYPERLINK("https://ibp.a2mac1.com/costing(costing:projects/details/9760/material/8753997)","PLASTIC UNKNOWN")</f>
        <v>PLASTIC UNKNOWN</v>
      </c>
      <c r="F4062" t="s">
        <v>4548</v>
      </c>
    </row>
    <row r="4063" spans="1:6" x14ac:dyDescent="0.15">
      <c r="A4063">
        <v>12211774</v>
      </c>
      <c r="B4063">
        <v>12084676</v>
      </c>
      <c r="C4063" t="s">
        <v>163</v>
      </c>
      <c r="D4063" t="s">
        <v>114</v>
      </c>
      <c r="E4063" s="4" t="str">
        <f>HYPERLINK("https://ibp.a2mac1.com/costing(costing:projects/details/9760/equipment/12211774)","DC machine - General")</f>
        <v>DC machine - General</v>
      </c>
      <c r="F4063" t="s">
        <v>4548</v>
      </c>
    </row>
    <row r="4064" spans="1:6" x14ac:dyDescent="0.15">
      <c r="A4064">
        <v>8414919</v>
      </c>
      <c r="B4064">
        <v>8414784</v>
      </c>
      <c r="C4064" t="s">
        <v>10</v>
      </c>
      <c r="D4064" t="s">
        <v>8</v>
      </c>
      <c r="E4064" s="4" t="str">
        <f>HYPERLINK("https://ibp.a2mac1.com/costing(costing:projects/details/9760/part/8414919)","Retarder")</f>
        <v>Retarder</v>
      </c>
      <c r="F4064" t="s">
        <v>4466</v>
      </c>
    </row>
    <row r="4065" spans="1:6" x14ac:dyDescent="0.15">
      <c r="A4065">
        <v>12084677</v>
      </c>
      <c r="B4065">
        <v>8414919</v>
      </c>
      <c r="C4065" t="s">
        <v>114</v>
      </c>
      <c r="D4065" t="s">
        <v>10</v>
      </c>
      <c r="E4065" s="4" t="str">
        <f>HYPERLINK("https://ibp.a2mac1.com/costing(costing:projects/details/9760/process/12084677)","Automated Process")</f>
        <v>Automated Process</v>
      </c>
      <c r="F4065" t="s">
        <v>4550</v>
      </c>
    </row>
    <row r="4066" spans="1:6" x14ac:dyDescent="0.15">
      <c r="A4066">
        <v>8753998</v>
      </c>
      <c r="B4066">
        <v>12084677</v>
      </c>
      <c r="C4066" t="s">
        <v>22</v>
      </c>
      <c r="D4066" t="s">
        <v>114</v>
      </c>
      <c r="E4066" s="4" t="str">
        <f>HYPERLINK("https://ibp.a2mac1.com/costing(costing:projects/details/9760/material/8753998)","PLASTIC UNKNOWN")</f>
        <v>PLASTIC UNKNOWN</v>
      </c>
      <c r="F4066" t="s">
        <v>4551</v>
      </c>
    </row>
    <row r="4067" spans="1:6" x14ac:dyDescent="0.15">
      <c r="A4067">
        <v>12211775</v>
      </c>
      <c r="B4067">
        <v>12084677</v>
      </c>
      <c r="C4067" t="s">
        <v>163</v>
      </c>
      <c r="D4067" t="s">
        <v>114</v>
      </c>
      <c r="E4067" s="4" t="str">
        <f>HYPERLINK("https://ibp.a2mac1.com/costing(costing:projects/details/9760/equipment/12211775)","DC machine - General")</f>
        <v>DC machine - General</v>
      </c>
      <c r="F4067" t="s">
        <v>4551</v>
      </c>
    </row>
    <row r="4068" spans="1:6" x14ac:dyDescent="0.15">
      <c r="A4068">
        <v>8414920</v>
      </c>
      <c r="B4068">
        <v>8414784</v>
      </c>
      <c r="C4068" t="s">
        <v>10</v>
      </c>
      <c r="D4068" t="s">
        <v>8</v>
      </c>
      <c r="E4068" s="4" t="str">
        <f>HYPERLINK("https://ibp.a2mac1.com/costing(costing:projects/details/9760/part/8414920)","Retarder Support")</f>
        <v>Retarder Support</v>
      </c>
      <c r="F4068" t="s">
        <v>4466</v>
      </c>
    </row>
    <row r="4069" spans="1:6" x14ac:dyDescent="0.15">
      <c r="A4069">
        <v>12084678</v>
      </c>
      <c r="B4069">
        <v>8414920</v>
      </c>
      <c r="C4069" t="s">
        <v>114</v>
      </c>
      <c r="D4069" t="s">
        <v>10</v>
      </c>
      <c r="E4069" s="4" t="str">
        <f>HYPERLINK("https://ibp.a2mac1.com/costing(costing:projects/details/9760/process/12084678)","Automated Process")</f>
        <v>Automated Process</v>
      </c>
      <c r="F4069" t="s">
        <v>4553</v>
      </c>
    </row>
    <row r="4070" spans="1:6" x14ac:dyDescent="0.15">
      <c r="A4070">
        <v>8753999</v>
      </c>
      <c r="B4070">
        <v>12084678</v>
      </c>
      <c r="C4070" t="s">
        <v>22</v>
      </c>
      <c r="D4070" t="s">
        <v>114</v>
      </c>
      <c r="E4070" s="4" t="str">
        <f>HYPERLINK("https://ibp.a2mac1.com/costing(costing:projects/details/9760/material/8753999)","POM")</f>
        <v>POM</v>
      </c>
      <c r="F4070" t="s">
        <v>4556</v>
      </c>
    </row>
    <row r="4071" spans="1:6" x14ac:dyDescent="0.15">
      <c r="A4071">
        <v>12211776</v>
      </c>
      <c r="B4071">
        <v>12084678</v>
      </c>
      <c r="C4071" t="s">
        <v>163</v>
      </c>
      <c r="D4071" t="s">
        <v>114</v>
      </c>
      <c r="E4071" s="4" t="str">
        <f>HYPERLINK("https://ibp.a2mac1.com/costing(costing:projects/details/9760/equipment/12211776)","DC machine - General")</f>
        <v>DC machine - General</v>
      </c>
      <c r="F4071" t="s">
        <v>4556</v>
      </c>
    </row>
    <row r="4072" spans="1:6" x14ac:dyDescent="0.15">
      <c r="A4072">
        <v>8414921</v>
      </c>
      <c r="B4072">
        <v>8414784</v>
      </c>
      <c r="C4072" t="s">
        <v>10</v>
      </c>
      <c r="D4072" t="s">
        <v>8</v>
      </c>
      <c r="E4072" s="4" t="str">
        <f>HYPERLINK("https://ibp.a2mac1.com/costing(costing:projects/details/9760/part/8414921)","Return Spring Support")</f>
        <v>Return Spring Support</v>
      </c>
      <c r="F4072" t="s">
        <v>4466</v>
      </c>
    </row>
    <row r="4073" spans="1:6" x14ac:dyDescent="0.15">
      <c r="A4073">
        <v>12084679</v>
      </c>
      <c r="B4073">
        <v>8414921</v>
      </c>
      <c r="C4073" t="s">
        <v>114</v>
      </c>
      <c r="D4073" t="s">
        <v>10</v>
      </c>
      <c r="E4073" s="4" t="str">
        <f>HYPERLINK("https://ibp.a2mac1.com/costing(costing:projects/details/9760/process/12084679)","Automated Process")</f>
        <v>Automated Process</v>
      </c>
      <c r="F4073" t="s">
        <v>4558</v>
      </c>
    </row>
    <row r="4074" spans="1:6" x14ac:dyDescent="0.15">
      <c r="A4074">
        <v>8754000</v>
      </c>
      <c r="B4074">
        <v>12084679</v>
      </c>
      <c r="C4074" t="s">
        <v>22</v>
      </c>
      <c r="D4074" t="s">
        <v>114</v>
      </c>
      <c r="E4074" s="4" t="str">
        <f>HYPERLINK("https://ibp.a2mac1.com/costing(costing:projects/details/9760/material/8754000)","PC-ABS")</f>
        <v>PC-ABS</v>
      </c>
      <c r="F4074" t="s">
        <v>4561</v>
      </c>
    </row>
    <row r="4075" spans="1:6" x14ac:dyDescent="0.15">
      <c r="A4075">
        <v>12211777</v>
      </c>
      <c r="B4075">
        <v>12084679</v>
      </c>
      <c r="C4075" t="s">
        <v>163</v>
      </c>
      <c r="D4075" t="s">
        <v>114</v>
      </c>
      <c r="E4075" s="4" t="str">
        <f>HYPERLINK("https://ibp.a2mac1.com/costing(costing:projects/details/9760/equipment/12211777)","DC machine - General")</f>
        <v>DC machine - General</v>
      </c>
      <c r="F4075" t="s">
        <v>4561</v>
      </c>
    </row>
    <row r="4076" spans="1:6" x14ac:dyDescent="0.15">
      <c r="A4076">
        <v>8414922</v>
      </c>
      <c r="B4076">
        <v>8414784</v>
      </c>
      <c r="C4076" t="s">
        <v>10</v>
      </c>
      <c r="D4076" t="s">
        <v>8</v>
      </c>
      <c r="E4076" s="4" t="str">
        <f>HYPERLINK("https://ibp.a2mac1.com/costing(costing:projects/details/9760/part/8414922)","Return Spring")</f>
        <v>Return Spring</v>
      </c>
      <c r="F4076" t="s">
        <v>4466</v>
      </c>
    </row>
    <row r="4077" spans="1:6" x14ac:dyDescent="0.15">
      <c r="A4077">
        <v>12084680</v>
      </c>
      <c r="B4077">
        <v>8414922</v>
      </c>
      <c r="C4077" t="s">
        <v>114</v>
      </c>
      <c r="D4077" t="s">
        <v>10</v>
      </c>
      <c r="E4077" s="4" t="str">
        <f>HYPERLINK("https://ibp.a2mac1.com/costing(costing:projects/details/9760/process/12084680)","Automated Process")</f>
        <v>Automated Process</v>
      </c>
      <c r="F4077" t="s">
        <v>4563</v>
      </c>
    </row>
    <row r="4078" spans="1:6" x14ac:dyDescent="0.15">
      <c r="A4078">
        <v>8754001</v>
      </c>
      <c r="B4078">
        <v>12084680</v>
      </c>
      <c r="C4078" t="s">
        <v>22</v>
      </c>
      <c r="D4078" t="s">
        <v>114</v>
      </c>
      <c r="E4078" s="4" t="str">
        <f>HYPERLINK("https://ibp.a2mac1.com/costing(costing:projects/details/9760/material/8754001)","PLASTIC UNKNOWN")</f>
        <v>PLASTIC UNKNOWN</v>
      </c>
      <c r="F4078" t="s">
        <v>4566</v>
      </c>
    </row>
    <row r="4079" spans="1:6" x14ac:dyDescent="0.15">
      <c r="A4079">
        <v>8754002</v>
      </c>
      <c r="B4079">
        <v>12084680</v>
      </c>
      <c r="C4079" t="s">
        <v>22</v>
      </c>
      <c r="D4079" t="s">
        <v>114</v>
      </c>
      <c r="E4079" s="4" t="str">
        <f>HYPERLINK("https://ibp.a2mac1.com/costing(costing:projects/details/9760/material/8754002)","Steel sheet (default)")</f>
        <v>Steel sheet (default)</v>
      </c>
      <c r="F4079" t="s">
        <v>4566</v>
      </c>
    </row>
    <row r="4080" spans="1:6" x14ac:dyDescent="0.15">
      <c r="A4080">
        <v>12211778</v>
      </c>
      <c r="B4080">
        <v>12084680</v>
      </c>
      <c r="C4080" t="s">
        <v>163</v>
      </c>
      <c r="D4080" t="s">
        <v>114</v>
      </c>
      <c r="E4080" s="4" t="str">
        <f>HYPERLINK("https://ibp.a2mac1.com/costing(costing:projects/details/9760/equipment/12211778)","DC machine - General")</f>
        <v>DC machine - General</v>
      </c>
      <c r="F4080" t="s">
        <v>4566</v>
      </c>
    </row>
    <row r="4081" spans="1:6" x14ac:dyDescent="0.15">
      <c r="A4081">
        <v>8414923</v>
      </c>
      <c r="B4081">
        <v>8414784</v>
      </c>
      <c r="C4081" t="s">
        <v>10</v>
      </c>
      <c r="D4081" t="s">
        <v>8</v>
      </c>
      <c r="E4081" s="4" t="str">
        <f>HYPERLINK("https://ibp.a2mac1.com/costing(costing:projects/details/9760/part/8414923)","Heat Sink 2")</f>
        <v>Heat Sink 2</v>
      </c>
      <c r="F4081" t="s">
        <v>4466</v>
      </c>
    </row>
    <row r="4082" spans="1:6" x14ac:dyDescent="0.15">
      <c r="A4082">
        <v>12084681</v>
      </c>
      <c r="B4082">
        <v>8414923</v>
      </c>
      <c r="C4082" t="s">
        <v>114</v>
      </c>
      <c r="D4082" t="s">
        <v>10</v>
      </c>
      <c r="E4082" s="4" t="str">
        <f>HYPERLINK("https://ibp.a2mac1.com/costing(costing:projects/details/9760/process/12084681)","Automated Process")</f>
        <v>Automated Process</v>
      </c>
      <c r="F4082" t="s">
        <v>4569</v>
      </c>
    </row>
    <row r="4083" spans="1:6" x14ac:dyDescent="0.15">
      <c r="A4083">
        <v>8754003</v>
      </c>
      <c r="B4083">
        <v>12084681</v>
      </c>
      <c r="C4083" t="s">
        <v>22</v>
      </c>
      <c r="D4083" t="s">
        <v>114</v>
      </c>
      <c r="E4083" s="4" t="str">
        <f>HYPERLINK("https://ibp.a2mac1.com/costing(costing:projects/details/9760/material/8754003)","Aluminum sheet (default, e.g. EN AW1050A)")</f>
        <v>Aluminum sheet (default, e.g. EN AW1050A)</v>
      </c>
      <c r="F4083" t="s">
        <v>4572</v>
      </c>
    </row>
    <row r="4084" spans="1:6" x14ac:dyDescent="0.15">
      <c r="A4084">
        <v>12211779</v>
      </c>
      <c r="B4084">
        <v>12084681</v>
      </c>
      <c r="C4084" t="s">
        <v>163</v>
      </c>
      <c r="D4084" t="s">
        <v>114</v>
      </c>
      <c r="E4084" s="4" t="str">
        <f>HYPERLINK("https://ibp.a2mac1.com/costing(costing:projects/details/9760/equipment/12211779)","DC machine - General")</f>
        <v>DC machine - General</v>
      </c>
      <c r="F4084" t="s">
        <v>4572</v>
      </c>
    </row>
    <row r="4085" spans="1:6" x14ac:dyDescent="0.15">
      <c r="A4085">
        <v>8414924</v>
      </c>
      <c r="B4085">
        <v>8414784</v>
      </c>
      <c r="C4085" t="s">
        <v>10</v>
      </c>
      <c r="D4085" t="s">
        <v>8</v>
      </c>
      <c r="E4085" s="4" t="str">
        <f>HYPERLINK("https://ibp.a2mac1.com/costing(costing:projects/details/9760/part/8414924)","Temperature Sensor")</f>
        <v>Temperature Sensor</v>
      </c>
      <c r="F4085" t="s">
        <v>4466</v>
      </c>
    </row>
    <row r="4086" spans="1:6" x14ac:dyDescent="0.15">
      <c r="A4086">
        <v>8753823</v>
      </c>
      <c r="B4086">
        <v>8414784</v>
      </c>
      <c r="C4086" t="s">
        <v>311</v>
      </c>
      <c r="D4086" t="s">
        <v>8</v>
      </c>
      <c r="E4086" s="4" t="str">
        <f>HYPERLINK("https://ibp.a2mac1.com/costing(costing:projects/details/9760/component/8753823)","Screw &gt; Torx socket head cap screw with flange")</f>
        <v>Screw &gt; Torx socket head cap screw with flange</v>
      </c>
      <c r="F4086" t="s">
        <v>4466</v>
      </c>
    </row>
    <row r="4087" spans="1:6" x14ac:dyDescent="0.15">
      <c r="A4087">
        <v>8753824</v>
      </c>
      <c r="B4087">
        <v>8414784</v>
      </c>
      <c r="C4087" t="s">
        <v>311</v>
      </c>
      <c r="D4087" t="s">
        <v>8</v>
      </c>
      <c r="E4087" s="4" t="str">
        <f>HYPERLINK("https://ibp.a2mac1.com/costing(costing:projects/details/9760/component/8753824)","Screw &gt; Cross recessed screw")</f>
        <v>Screw &gt; Cross recessed screw</v>
      </c>
      <c r="F4087" t="s">
        <v>4466</v>
      </c>
    </row>
    <row r="4088" spans="1:6" x14ac:dyDescent="0.15">
      <c r="A4088">
        <v>8753825</v>
      </c>
      <c r="B4088">
        <v>8414784</v>
      </c>
      <c r="C4088" t="s">
        <v>311</v>
      </c>
      <c r="D4088" t="s">
        <v>8</v>
      </c>
      <c r="E4088" s="4" t="str">
        <f>HYPERLINK("https://ibp.a2mac1.com/costing(costing:projects/details/9760/component/8753825)","Pin clip &gt; Dowel pin")</f>
        <v>Pin clip &gt; Dowel pin</v>
      </c>
      <c r="F4088" t="s">
        <v>4466</v>
      </c>
    </row>
    <row r="4089" spans="1:6" x14ac:dyDescent="0.15">
      <c r="A4089">
        <v>8753826</v>
      </c>
      <c r="B4089">
        <v>8414784</v>
      </c>
      <c r="C4089" t="s">
        <v>311</v>
      </c>
      <c r="D4089" t="s">
        <v>8</v>
      </c>
      <c r="E4089" s="4" t="str">
        <f>HYPERLINK("https://ibp.a2mac1.com/costing(costing:projects/details/9760/component/8753826)","Screw &gt; Cross recessed screw")</f>
        <v>Screw &gt; Cross recessed screw</v>
      </c>
      <c r="F4089" t="s">
        <v>4466</v>
      </c>
    </row>
    <row r="4090" spans="1:6" x14ac:dyDescent="0.15">
      <c r="A4090">
        <v>8753827</v>
      </c>
      <c r="B4090">
        <v>8414784</v>
      </c>
      <c r="C4090" t="s">
        <v>311</v>
      </c>
      <c r="D4090" t="s">
        <v>8</v>
      </c>
      <c r="E4090" s="4" t="str">
        <f>HYPERLINK("https://ibp.a2mac1.com/costing(costing:projects/details/9760/component/8753827)","Other fastener &gt; Attachment")</f>
        <v>Other fastener &gt; Attachment</v>
      </c>
      <c r="F4090" t="s">
        <v>4466</v>
      </c>
    </row>
    <row r="4091" spans="1:6" x14ac:dyDescent="0.15">
      <c r="A4091">
        <v>8753828</v>
      </c>
      <c r="B4091">
        <v>8414784</v>
      </c>
      <c r="C4091" t="s">
        <v>311</v>
      </c>
      <c r="D4091" t="s">
        <v>8</v>
      </c>
      <c r="E4091" s="4" t="str">
        <f>HYPERLINK("https://ibp.a2mac1.com/costing(costing:projects/details/9760/component/8753828)","Screw &gt; Torx socket head cap screw with flange")</f>
        <v>Screw &gt; Torx socket head cap screw with flange</v>
      </c>
      <c r="F4091" t="s">
        <v>4466</v>
      </c>
    </row>
    <row r="4092" spans="1:6" x14ac:dyDescent="0.15">
      <c r="A4092">
        <v>8753829</v>
      </c>
      <c r="B4092">
        <v>8414784</v>
      </c>
      <c r="C4092" t="s">
        <v>311</v>
      </c>
      <c r="D4092" t="s">
        <v>8</v>
      </c>
      <c r="E4092" s="4" t="str">
        <f>HYPERLINK("https://ibp.a2mac1.com/costing(costing:projects/details/9760/component/8753829)","Screw &gt; Various shape screw with flange")</f>
        <v>Screw &gt; Various shape screw with flange</v>
      </c>
      <c r="F4092" t="s">
        <v>4466</v>
      </c>
    </row>
    <row r="4093" spans="1:6" x14ac:dyDescent="0.15">
      <c r="A4093">
        <v>8753830</v>
      </c>
      <c r="B4093">
        <v>8414784</v>
      </c>
      <c r="C4093" t="s">
        <v>311</v>
      </c>
      <c r="D4093" t="s">
        <v>8</v>
      </c>
      <c r="E4093" s="4" t="str">
        <f>HYPERLINK("https://ibp.a2mac1.com/costing(costing:projects/details/9760/component/8753830)","Nut &gt; Pinching nut for metal sheet screw")</f>
        <v>Nut &gt; Pinching nut for metal sheet screw</v>
      </c>
      <c r="F4093" t="s">
        <v>4466</v>
      </c>
    </row>
    <row r="4094" spans="1:6" x14ac:dyDescent="0.15">
      <c r="A4094">
        <v>8753831</v>
      </c>
      <c r="B4094">
        <v>8414784</v>
      </c>
      <c r="C4094" t="s">
        <v>311</v>
      </c>
      <c r="D4094" t="s">
        <v>8</v>
      </c>
      <c r="E4094" s="4" t="str">
        <f>HYPERLINK("https://ibp.a2mac1.com/costing(costing:projects/details/9760/component/8753831)","Screw &gt; Torx socket head cap screw with flange")</f>
        <v>Screw &gt; Torx socket head cap screw with flange</v>
      </c>
      <c r="F4094" t="s">
        <v>4466</v>
      </c>
    </row>
    <row r="4095" spans="1:6" x14ac:dyDescent="0.15">
      <c r="A4095">
        <v>8753832</v>
      </c>
      <c r="B4095">
        <v>8414784</v>
      </c>
      <c r="C4095" t="s">
        <v>311</v>
      </c>
      <c r="D4095" t="s">
        <v>8</v>
      </c>
      <c r="E4095" s="4" t="str">
        <f>HYPERLINK("https://ibp.a2mac1.com/costing(costing:projects/details/9760/component/8753832)","Screw &gt; Torx socket head cap screw with flange")</f>
        <v>Screw &gt; Torx socket head cap screw with flange</v>
      </c>
      <c r="F4095" t="s">
        <v>4466</v>
      </c>
    </row>
    <row r="4096" spans="1:6" x14ac:dyDescent="0.15">
      <c r="A4096">
        <v>8753833</v>
      </c>
      <c r="B4096">
        <v>8414784</v>
      </c>
      <c r="C4096" t="s">
        <v>311</v>
      </c>
      <c r="D4096" t="s">
        <v>8</v>
      </c>
      <c r="E4096" s="4" t="str">
        <f>HYPERLINK("https://ibp.a2mac1.com/costing(costing:projects/details/9760/component/8753833)","Nut &gt; Pinching nut for metal sheet screw")</f>
        <v>Nut &gt; Pinching nut for metal sheet screw</v>
      </c>
      <c r="F4096" t="s">
        <v>4466</v>
      </c>
    </row>
    <row r="4097" spans="1:6" x14ac:dyDescent="0.15">
      <c r="A4097">
        <v>8753834</v>
      </c>
      <c r="B4097">
        <v>8414784</v>
      </c>
      <c r="C4097" t="s">
        <v>311</v>
      </c>
      <c r="D4097" t="s">
        <v>8</v>
      </c>
      <c r="E4097" s="4" t="str">
        <f>HYPERLINK("https://ibp.a2mac1.com/costing(costing:projects/details/9760/component/8753834)","Screw &gt; Hexagon screw with flange")</f>
        <v>Screw &gt; Hexagon screw with flange</v>
      </c>
      <c r="F4097" t="s">
        <v>4466</v>
      </c>
    </row>
    <row r="4098" spans="1:6" x14ac:dyDescent="0.15">
      <c r="A4098">
        <v>8753835</v>
      </c>
      <c r="B4098">
        <v>8414784</v>
      </c>
      <c r="C4098" t="s">
        <v>311</v>
      </c>
      <c r="D4098" t="s">
        <v>8</v>
      </c>
      <c r="E4098" s="4" t="str">
        <f>HYPERLINK("https://ibp.a2mac1.com/costing(costing:projects/details/9760/component/8753835)","Screw &gt; Torx socket head cap screw with flange")</f>
        <v>Screw &gt; Torx socket head cap screw with flange</v>
      </c>
      <c r="F4098" t="s">
        <v>4466</v>
      </c>
    </row>
    <row r="4099" spans="1:6" x14ac:dyDescent="0.15">
      <c r="A4099">
        <v>8753836</v>
      </c>
      <c r="B4099">
        <v>8414784</v>
      </c>
      <c r="C4099" t="s">
        <v>311</v>
      </c>
      <c r="D4099" t="s">
        <v>8</v>
      </c>
      <c r="E4099" s="4" t="str">
        <f>HYPERLINK("https://ibp.a2mac1.com/costing(costing:projects/details/9760/component/8753836)","Screw &gt; Torx socket head cap screw with flange")</f>
        <v>Screw &gt; Torx socket head cap screw with flange</v>
      </c>
      <c r="F4099" t="s">
        <v>4466</v>
      </c>
    </row>
    <row r="4100" spans="1:6" x14ac:dyDescent="0.15">
      <c r="A4100">
        <v>8753837</v>
      </c>
      <c r="B4100">
        <v>8414784</v>
      </c>
      <c r="C4100" t="s">
        <v>311</v>
      </c>
      <c r="D4100" t="s">
        <v>8</v>
      </c>
      <c r="E4100" s="4" t="str">
        <f>HYPERLINK("https://ibp.a2mac1.com/costing(costing:projects/details/9760/component/8753837)","Screw &gt; Cross recessed screw")</f>
        <v>Screw &gt; Cross recessed screw</v>
      </c>
      <c r="F4100" t="s">
        <v>4466</v>
      </c>
    </row>
    <row r="4101" spans="1:6" x14ac:dyDescent="0.15">
      <c r="A4101">
        <v>8753838</v>
      </c>
      <c r="B4101">
        <v>8414784</v>
      </c>
      <c r="C4101" t="s">
        <v>311</v>
      </c>
      <c r="D4101" t="s">
        <v>8</v>
      </c>
      <c r="E4101" s="4" t="str">
        <f>HYPERLINK("https://ibp.a2mac1.com/costing(costing:projects/details/9760/component/8753838)","Screw &gt; Torx socket head cap screw with flange")</f>
        <v>Screw &gt; Torx socket head cap screw with flange</v>
      </c>
      <c r="F4101" t="s">
        <v>4466</v>
      </c>
    </row>
    <row r="4102" spans="1:6" x14ac:dyDescent="0.15">
      <c r="A4102">
        <v>8753839</v>
      </c>
      <c r="B4102">
        <v>8414784</v>
      </c>
      <c r="C4102" t="s">
        <v>311</v>
      </c>
      <c r="D4102" t="s">
        <v>8</v>
      </c>
      <c r="E4102" s="4" t="str">
        <f>HYPERLINK("https://ibp.a2mac1.com/costing(costing:projects/details/9760/component/8753839)","Screw &gt; Cross recessed screw with captive washer")</f>
        <v>Screw &gt; Cross recessed screw with captive washer</v>
      </c>
      <c r="F4102" t="s">
        <v>4466</v>
      </c>
    </row>
    <row r="4103" spans="1:6" x14ac:dyDescent="0.15">
      <c r="A4103">
        <v>8414766</v>
      </c>
      <c r="B4103">
        <v>8414735</v>
      </c>
      <c r="C4103" t="s">
        <v>10</v>
      </c>
      <c r="D4103" t="s">
        <v>8</v>
      </c>
      <c r="E4103" s="4" t="str">
        <f>HYPERLINK("https://ibp.a2mac1.com/costing(costing:projects/details/9760/part/8414766)","Rear Cover")</f>
        <v>Rear Cover</v>
      </c>
      <c r="F4103" t="s">
        <v>4229</v>
      </c>
    </row>
    <row r="4104" spans="1:6" x14ac:dyDescent="0.15">
      <c r="A4104">
        <v>12084586</v>
      </c>
      <c r="B4104">
        <v>8414766</v>
      </c>
      <c r="C4104" t="s">
        <v>114</v>
      </c>
      <c r="D4104" t="s">
        <v>10</v>
      </c>
      <c r="E4104" s="4" t="str">
        <f>HYPERLINK("https://ibp.a2mac1.com/costing(costing:projects/details/9760/process/12084586)","Automated Process")</f>
        <v>Automated Process</v>
      </c>
      <c r="F4104" t="s">
        <v>4578</v>
      </c>
    </row>
    <row r="4105" spans="1:6" x14ac:dyDescent="0.15">
      <c r="A4105">
        <v>8753858</v>
      </c>
      <c r="B4105">
        <v>12084586</v>
      </c>
      <c r="C4105" t="s">
        <v>22</v>
      </c>
      <c r="D4105" t="s">
        <v>114</v>
      </c>
      <c r="E4105" s="4" t="str">
        <f>HYPERLINK("https://ibp.a2mac1.com/costing(costing:projects/details/9760/material/8753858)","Leather, standard")</f>
        <v>Leather, standard</v>
      </c>
      <c r="F4105" t="s">
        <v>4581</v>
      </c>
    </row>
    <row r="4106" spans="1:6" x14ac:dyDescent="0.15">
      <c r="A4106">
        <v>8753859</v>
      </c>
      <c r="B4106">
        <v>12084586</v>
      </c>
      <c r="C4106" t="s">
        <v>22</v>
      </c>
      <c r="D4106" t="s">
        <v>114</v>
      </c>
      <c r="E4106" s="4" t="str">
        <f>HYPERLINK("https://ibp.a2mac1.com/costing(costing:projects/details/9760/material/8753859)","PC-ABS")</f>
        <v>PC-ABS</v>
      </c>
      <c r="F4106" t="s">
        <v>4581</v>
      </c>
    </row>
    <row r="4107" spans="1:6" x14ac:dyDescent="0.15">
      <c r="A4107">
        <v>12211684</v>
      </c>
      <c r="B4107">
        <v>12084586</v>
      </c>
      <c r="C4107" t="s">
        <v>163</v>
      </c>
      <c r="D4107" t="s">
        <v>114</v>
      </c>
      <c r="E4107" s="4" t="str">
        <f>HYPERLINK("https://ibp.a2mac1.com/costing(costing:projects/details/9760/equipment/12211684)","DC machine - General")</f>
        <v>DC machine - General</v>
      </c>
      <c r="F4107" t="s">
        <v>4581</v>
      </c>
    </row>
    <row r="4108" spans="1:6" x14ac:dyDescent="0.15">
      <c r="A4108">
        <v>8414767</v>
      </c>
      <c r="B4108">
        <v>8414735</v>
      </c>
      <c r="C4108" t="s">
        <v>10</v>
      </c>
      <c r="D4108" t="s">
        <v>8</v>
      </c>
      <c r="E4108" s="4" t="str">
        <f>HYPERLINK("https://ibp.a2mac1.com/costing(costing:projects/details/9760/part/8414767)","Rear Bezel")</f>
        <v>Rear Bezel</v>
      </c>
      <c r="F4108" t="s">
        <v>4229</v>
      </c>
    </row>
    <row r="4109" spans="1:6" x14ac:dyDescent="0.15">
      <c r="A4109">
        <v>12084587</v>
      </c>
      <c r="B4109">
        <v>8414767</v>
      </c>
      <c r="C4109" t="s">
        <v>114</v>
      </c>
      <c r="D4109" t="s">
        <v>10</v>
      </c>
      <c r="E4109" s="4" t="str">
        <f>HYPERLINK("https://ibp.a2mac1.com/costing(costing:projects/details/9760/process/12084587)","Automated Process")</f>
        <v>Automated Process</v>
      </c>
      <c r="F4109" t="s">
        <v>4584</v>
      </c>
    </row>
    <row r="4110" spans="1:6" x14ac:dyDescent="0.15">
      <c r="A4110">
        <v>8753860</v>
      </c>
      <c r="B4110">
        <v>12084587</v>
      </c>
      <c r="C4110" t="s">
        <v>22</v>
      </c>
      <c r="D4110" t="s">
        <v>114</v>
      </c>
      <c r="E4110" s="4" t="str">
        <f>HYPERLINK("https://ibp.a2mac1.com/costing(costing:projects/details/9760/material/8753860)","PVC + Fabric backing 3mm PU foam")</f>
        <v>PVC + Fabric backing 3mm PU foam</v>
      </c>
      <c r="F4110" t="s">
        <v>4587</v>
      </c>
    </row>
    <row r="4111" spans="1:6" x14ac:dyDescent="0.15">
      <c r="A4111">
        <v>8753861</v>
      </c>
      <c r="B4111">
        <v>12084587</v>
      </c>
      <c r="C4111" t="s">
        <v>22</v>
      </c>
      <c r="D4111" t="s">
        <v>114</v>
      </c>
      <c r="E4111" s="4" t="str">
        <f>HYPERLINK("https://ibp.a2mac1.com/costing(costing:projects/details/9760/material/8753861)","PC-ABS")</f>
        <v>PC-ABS</v>
      </c>
      <c r="F4111" t="s">
        <v>4587</v>
      </c>
    </row>
    <row r="4112" spans="1:6" x14ac:dyDescent="0.15">
      <c r="A4112">
        <v>12211685</v>
      </c>
      <c r="B4112">
        <v>12084587</v>
      </c>
      <c r="C4112" t="s">
        <v>163</v>
      </c>
      <c r="D4112" t="s">
        <v>114</v>
      </c>
      <c r="E4112" s="4" t="str">
        <f>HYPERLINK("https://ibp.a2mac1.com/costing(costing:projects/details/9760/equipment/12211685)","DC machine - General")</f>
        <v>DC machine - General</v>
      </c>
      <c r="F4112" t="s">
        <v>4587</v>
      </c>
    </row>
    <row r="4113" spans="1:6" x14ac:dyDescent="0.15">
      <c r="A4113">
        <v>8414768</v>
      </c>
      <c r="B4113">
        <v>8414735</v>
      </c>
      <c r="C4113" t="s">
        <v>10</v>
      </c>
      <c r="D4113" t="s">
        <v>8</v>
      </c>
      <c r="E4113" s="4" t="str">
        <f>HYPERLINK("https://ibp.a2mac1.com/costing(costing:projects/details/9760/part/8414768)","Dummy Plate")</f>
        <v>Dummy Plate</v>
      </c>
      <c r="F4113" t="s">
        <v>4229</v>
      </c>
    </row>
    <row r="4114" spans="1:6" x14ac:dyDescent="0.15">
      <c r="A4114">
        <v>12084588</v>
      </c>
      <c r="B4114">
        <v>8414768</v>
      </c>
      <c r="C4114" t="s">
        <v>114</v>
      </c>
      <c r="D4114" t="s">
        <v>10</v>
      </c>
      <c r="E4114" s="4" t="str">
        <f>HYPERLINK("https://ibp.a2mac1.com/costing(costing:projects/details/9760/process/12084588)","Automated Process")</f>
        <v>Automated Process</v>
      </c>
      <c r="F4114" t="s">
        <v>4591</v>
      </c>
    </row>
    <row r="4115" spans="1:6" x14ac:dyDescent="0.15">
      <c r="A4115">
        <v>8753862</v>
      </c>
      <c r="B4115">
        <v>12084588</v>
      </c>
      <c r="C4115" t="s">
        <v>22</v>
      </c>
      <c r="D4115" t="s">
        <v>114</v>
      </c>
      <c r="E4115" s="4" t="str">
        <f>HYPERLINK("https://ibp.a2mac1.com/costing(costing:projects/details/9760/material/8753862)","PC-ABS")</f>
        <v>PC-ABS</v>
      </c>
      <c r="F4115" t="s">
        <v>4594</v>
      </c>
    </row>
    <row r="4116" spans="1:6" x14ac:dyDescent="0.15">
      <c r="A4116">
        <v>12211686</v>
      </c>
      <c r="B4116">
        <v>12084588</v>
      </c>
      <c r="C4116" t="s">
        <v>163</v>
      </c>
      <c r="D4116" t="s">
        <v>114</v>
      </c>
      <c r="E4116" s="4" t="str">
        <f>HYPERLINK("https://ibp.a2mac1.com/costing(costing:projects/details/9760/equipment/12211686)","DC machine - General")</f>
        <v>DC machine - General</v>
      </c>
      <c r="F4116" t="s">
        <v>4594</v>
      </c>
    </row>
    <row r="4117" spans="1:6" x14ac:dyDescent="0.15">
      <c r="A4117">
        <v>8414769</v>
      </c>
      <c r="B4117">
        <v>8414735</v>
      </c>
      <c r="C4117" t="s">
        <v>10</v>
      </c>
      <c r="D4117" t="s">
        <v>8</v>
      </c>
      <c r="E4117" s="4" t="str">
        <f>HYPERLINK("https://ibp.a2mac1.com/costing(costing:projects/details/9760/part/8414769)","Fasteners Cover")</f>
        <v>Fasteners Cover</v>
      </c>
      <c r="F4117" t="s">
        <v>4229</v>
      </c>
    </row>
    <row r="4118" spans="1:6" x14ac:dyDescent="0.15">
      <c r="A4118">
        <v>12084589</v>
      </c>
      <c r="B4118">
        <v>8414769</v>
      </c>
      <c r="C4118" t="s">
        <v>114</v>
      </c>
      <c r="D4118" t="s">
        <v>10</v>
      </c>
      <c r="E4118" s="4" t="str">
        <f>HYPERLINK("https://ibp.a2mac1.com/costing(costing:projects/details/9760/process/12084589)","Automated Process")</f>
        <v>Automated Process</v>
      </c>
      <c r="F4118" t="s">
        <v>4596</v>
      </c>
    </row>
    <row r="4119" spans="1:6" x14ac:dyDescent="0.15">
      <c r="A4119">
        <v>8753863</v>
      </c>
      <c r="B4119">
        <v>12084589</v>
      </c>
      <c r="C4119" t="s">
        <v>22</v>
      </c>
      <c r="D4119" t="s">
        <v>114</v>
      </c>
      <c r="E4119" s="4" t="str">
        <f>HYPERLINK("https://ibp.a2mac1.com/costing(costing:projects/details/9760/material/8753863)","PP-EPDM")</f>
        <v>PP-EPDM</v>
      </c>
      <c r="F4119" t="s">
        <v>4597</v>
      </c>
    </row>
    <row r="4120" spans="1:6" x14ac:dyDescent="0.15">
      <c r="A4120">
        <v>12211687</v>
      </c>
      <c r="B4120">
        <v>12084589</v>
      </c>
      <c r="C4120" t="s">
        <v>163</v>
      </c>
      <c r="D4120" t="s">
        <v>114</v>
      </c>
      <c r="E4120" s="4" t="str">
        <f>HYPERLINK("https://ibp.a2mac1.com/costing(costing:projects/details/9760/equipment/12211687)","DC machine - General")</f>
        <v>DC machine - General</v>
      </c>
      <c r="F4120" t="s">
        <v>4597</v>
      </c>
    </row>
    <row r="4121" spans="1:6" x14ac:dyDescent="0.15">
      <c r="A4121">
        <v>8414770</v>
      </c>
      <c r="B4121">
        <v>8414735</v>
      </c>
      <c r="C4121" t="s">
        <v>10</v>
      </c>
      <c r="D4121" t="s">
        <v>8</v>
      </c>
      <c r="E4121" s="4" t="str">
        <f>HYPERLINK("https://ibp.a2mac1.com/costing(costing:projects/details/9760/part/8414770)","Fasteners Cover 2")</f>
        <v>Fasteners Cover 2</v>
      </c>
      <c r="F4121" t="s">
        <v>4229</v>
      </c>
    </row>
    <row r="4122" spans="1:6" x14ac:dyDescent="0.15">
      <c r="A4122">
        <v>12084590</v>
      </c>
      <c r="B4122">
        <v>8414770</v>
      </c>
      <c r="C4122" t="s">
        <v>114</v>
      </c>
      <c r="D4122" t="s">
        <v>10</v>
      </c>
      <c r="E4122" s="4" t="str">
        <f>HYPERLINK("https://ibp.a2mac1.com/costing(costing:projects/details/9760/process/12084590)","Automated Process")</f>
        <v>Automated Process</v>
      </c>
      <c r="F4122" t="s">
        <v>4599</v>
      </c>
    </row>
    <row r="4123" spans="1:6" x14ac:dyDescent="0.15">
      <c r="A4123">
        <v>8753864</v>
      </c>
      <c r="B4123">
        <v>12084590</v>
      </c>
      <c r="C4123" t="s">
        <v>22</v>
      </c>
      <c r="D4123" t="s">
        <v>114</v>
      </c>
      <c r="E4123" s="4" t="str">
        <f>HYPERLINK("https://ibp.a2mac1.com/costing(costing:projects/details/9760/material/8753864)","PP-EPDM")</f>
        <v>PP-EPDM</v>
      </c>
      <c r="F4123" t="s">
        <v>4600</v>
      </c>
    </row>
    <row r="4124" spans="1:6" x14ac:dyDescent="0.15">
      <c r="A4124">
        <v>12211688</v>
      </c>
      <c r="B4124">
        <v>12084590</v>
      </c>
      <c r="C4124" t="s">
        <v>163</v>
      </c>
      <c r="D4124" t="s">
        <v>114</v>
      </c>
      <c r="E4124" s="4" t="str">
        <f>HYPERLINK("https://ibp.a2mac1.com/costing(costing:projects/details/9760/equipment/12211688)","DC machine - General")</f>
        <v>DC machine - General</v>
      </c>
      <c r="F4124" t="s">
        <v>4600</v>
      </c>
    </row>
    <row r="4125" spans="1:6" x14ac:dyDescent="0.15">
      <c r="A4125">
        <v>8414771</v>
      </c>
      <c r="B4125">
        <v>8414735</v>
      </c>
      <c r="C4125" t="s">
        <v>10</v>
      </c>
      <c r="D4125" t="s">
        <v>8</v>
      </c>
      <c r="E4125" s="4" t="str">
        <f>HYPERLINK("https://ibp.a2mac1.com/costing(costing:projects/details/9760/part/8414771)","Bag Hook")</f>
        <v>Bag Hook</v>
      </c>
      <c r="F4125" t="s">
        <v>4229</v>
      </c>
    </row>
    <row r="4126" spans="1:6" x14ac:dyDescent="0.15">
      <c r="A4126">
        <v>12084591</v>
      </c>
      <c r="B4126">
        <v>8414771</v>
      </c>
      <c r="C4126" t="s">
        <v>114</v>
      </c>
      <c r="D4126" t="s">
        <v>10</v>
      </c>
      <c r="E4126" s="4" t="str">
        <f>HYPERLINK("https://ibp.a2mac1.com/costing(costing:projects/details/9760/process/12084591)","Automated Process")</f>
        <v>Automated Process</v>
      </c>
      <c r="F4126" t="s">
        <v>4602</v>
      </c>
    </row>
    <row r="4127" spans="1:6" x14ac:dyDescent="0.15">
      <c r="A4127">
        <v>8753865</v>
      </c>
      <c r="B4127">
        <v>12084591</v>
      </c>
      <c r="C4127" t="s">
        <v>22</v>
      </c>
      <c r="D4127" t="s">
        <v>114</v>
      </c>
      <c r="E4127" s="4" t="str">
        <f>HYPERLINK("https://ibp.a2mac1.com/costing(costing:projects/details/9760/material/8753865)","POM")</f>
        <v>POM</v>
      </c>
      <c r="F4127" t="s">
        <v>4604</v>
      </c>
    </row>
    <row r="4128" spans="1:6" x14ac:dyDescent="0.15">
      <c r="A4128">
        <v>12211689</v>
      </c>
      <c r="B4128">
        <v>12084591</v>
      </c>
      <c r="C4128" t="s">
        <v>163</v>
      </c>
      <c r="D4128" t="s">
        <v>114</v>
      </c>
      <c r="E4128" s="4" t="str">
        <f>HYPERLINK("https://ibp.a2mac1.com/costing(costing:projects/details/9760/equipment/12211689)","DC machine - General")</f>
        <v>DC machine - General</v>
      </c>
      <c r="F4128" t="s">
        <v>4604</v>
      </c>
    </row>
    <row r="4129" spans="1:6" x14ac:dyDescent="0.15">
      <c r="A4129">
        <v>8753795</v>
      </c>
      <c r="B4129">
        <v>8414735</v>
      </c>
      <c r="C4129" t="s">
        <v>311</v>
      </c>
      <c r="D4129" t="s">
        <v>8</v>
      </c>
      <c r="E4129" s="4" t="str">
        <f>HYPERLINK("https://ibp.a2mac1.com/costing(costing:projects/details/9760/component/8753795)","Screw &gt; Torx socket head cap screw with flange")</f>
        <v>Screw &gt; Torx socket head cap screw with flange</v>
      </c>
      <c r="F4129" t="s">
        <v>4229</v>
      </c>
    </row>
    <row r="4130" spans="1:6" x14ac:dyDescent="0.15">
      <c r="A4130">
        <v>8753796</v>
      </c>
      <c r="B4130">
        <v>8414735</v>
      </c>
      <c r="C4130" t="s">
        <v>311</v>
      </c>
      <c r="D4130" t="s">
        <v>8</v>
      </c>
      <c r="E4130" s="4" t="str">
        <f>HYPERLINK("https://ibp.a2mac1.com/costing(costing:projects/details/9760/component/8753796)","Panel holder &gt; Clips in rectangular hole")</f>
        <v>Panel holder &gt; Clips in rectangular hole</v>
      </c>
      <c r="F4130" t="s">
        <v>4229</v>
      </c>
    </row>
    <row r="4131" spans="1:6" x14ac:dyDescent="0.15">
      <c r="A4131">
        <v>8753797</v>
      </c>
      <c r="B4131">
        <v>8414735</v>
      </c>
      <c r="C4131" t="s">
        <v>311</v>
      </c>
      <c r="D4131" t="s">
        <v>8</v>
      </c>
      <c r="E4131" s="4" t="str">
        <f>HYPERLINK("https://ibp.a2mac1.com/costing(costing:projects/details/9760/component/8753797)","Nut &gt; Pinching nut for metal sheet screw")</f>
        <v>Nut &gt; Pinching nut for metal sheet screw</v>
      </c>
      <c r="F4131" t="s">
        <v>4229</v>
      </c>
    </row>
    <row r="4132" spans="1:6" x14ac:dyDescent="0.15">
      <c r="A4132">
        <v>8414736</v>
      </c>
      <c r="B4132">
        <v>8414732</v>
      </c>
      <c r="C4132" t="s">
        <v>8</v>
      </c>
      <c r="D4132" t="s">
        <v>8</v>
      </c>
      <c r="E4132" s="4" t="str">
        <f>HYPERLINK("https://ibp.a2mac1.com/costing(costing:projects/details/9760/assembly/8414736)","Trims Parts")</f>
        <v>Trims Parts</v>
      </c>
      <c r="F4132" t="s">
        <v>3720</v>
      </c>
    </row>
    <row r="4133" spans="1:6" x14ac:dyDescent="0.15">
      <c r="A4133">
        <v>8414785</v>
      </c>
      <c r="B4133">
        <v>8414736</v>
      </c>
      <c r="C4133" t="s">
        <v>8</v>
      </c>
      <c r="D4133" t="s">
        <v>8</v>
      </c>
      <c r="E4133" s="4" t="str">
        <f>HYPERLINK("https://ibp.a2mac1.com/costing(costing:projects/details/9760/assembly/8414785)","Headliner Filler")</f>
        <v>Headliner Filler</v>
      </c>
      <c r="F4133" t="s">
        <v>4607</v>
      </c>
    </row>
    <row r="4134" spans="1:6" x14ac:dyDescent="0.15">
      <c r="A4134">
        <v>8414925</v>
      </c>
      <c r="B4134">
        <v>8414785</v>
      </c>
      <c r="C4134" t="s">
        <v>10</v>
      </c>
      <c r="D4134" t="s">
        <v>8</v>
      </c>
      <c r="E4134" s="4" t="str">
        <f>HYPERLINK("https://ibp.a2mac1.com/costing(costing:projects/details/9760/part/8414925)","Headliner Filler")</f>
        <v>Headliner Filler</v>
      </c>
      <c r="F4134" t="s">
        <v>4608</v>
      </c>
    </row>
    <row r="4135" spans="1:6" x14ac:dyDescent="0.15">
      <c r="A4135">
        <v>12084682</v>
      </c>
      <c r="B4135">
        <v>8414925</v>
      </c>
      <c r="C4135" t="s">
        <v>114</v>
      </c>
      <c r="D4135" t="s">
        <v>10</v>
      </c>
      <c r="E4135" s="4" t="str">
        <f>HYPERLINK("https://ibp.a2mac1.com/costing(costing:projects/details/9760/process/12084682)","Process")</f>
        <v>Process</v>
      </c>
      <c r="F4135" t="s">
        <v>4609</v>
      </c>
    </row>
    <row r="4136" spans="1:6" x14ac:dyDescent="0.15">
      <c r="A4136">
        <v>8754004</v>
      </c>
      <c r="B4136">
        <v>12084682</v>
      </c>
      <c r="C4136" t="s">
        <v>22</v>
      </c>
      <c r="D4136" t="s">
        <v>114</v>
      </c>
      <c r="E4136" s="4" t="str">
        <f>HYPERLINK("https://ibp.a2mac1.com/costing(costing:projects/details/9760/material/8754004)","Several Material")</f>
        <v>Several Material</v>
      </c>
      <c r="F4136" t="s">
        <v>4611</v>
      </c>
    </row>
    <row r="4137" spans="1:6" x14ac:dyDescent="0.15">
      <c r="A4137">
        <v>12211780</v>
      </c>
      <c r="B4137">
        <v>12084682</v>
      </c>
      <c r="C4137" t="s">
        <v>163</v>
      </c>
      <c r="D4137" t="s">
        <v>114</v>
      </c>
      <c r="E4137" s="4" t="str">
        <f>HYPERLINK("https://ibp.a2mac1.com/costing(costing:projects/details/9760/equipment/12211780)","DC machine - General")</f>
        <v>DC machine - General</v>
      </c>
      <c r="F4137" t="s">
        <v>4611</v>
      </c>
    </row>
    <row r="4138" spans="1:6" x14ac:dyDescent="0.15">
      <c r="A4138">
        <v>8753876</v>
      </c>
      <c r="B4138">
        <v>8414925</v>
      </c>
      <c r="C4138" t="s">
        <v>311</v>
      </c>
      <c r="D4138" t="s">
        <v>10</v>
      </c>
      <c r="E4138" s="4" t="str">
        <f>HYPERLINK("https://ibp.a2mac1.com/costing(costing:projects/details/9760/component/8753876)","Panel holder &gt; Clips in round hole")</f>
        <v>Panel holder &gt; Clips in round hole</v>
      </c>
      <c r="F4138" t="s">
        <v>4609</v>
      </c>
    </row>
    <row r="4139" spans="1:6" x14ac:dyDescent="0.15">
      <c r="A4139">
        <v>8753877</v>
      </c>
      <c r="B4139">
        <v>8414925</v>
      </c>
      <c r="C4139" t="s">
        <v>311</v>
      </c>
      <c r="D4139" t="s">
        <v>10</v>
      </c>
      <c r="E4139" s="4" t="str">
        <f>HYPERLINK("https://ibp.a2mac1.com/costing(costing:projects/details/9760/component/8753877)","Other Fastener &gt; Attachment")</f>
        <v>Other Fastener &gt; Attachment</v>
      </c>
      <c r="F4139" t="s">
        <v>4609</v>
      </c>
    </row>
    <row r="4140" spans="1:6" x14ac:dyDescent="0.15">
      <c r="A4140">
        <v>8414786</v>
      </c>
      <c r="B4140">
        <v>8414736</v>
      </c>
      <c r="C4140" t="s">
        <v>8</v>
      </c>
      <c r="D4140" t="s">
        <v>8</v>
      </c>
      <c r="E4140" s="4" t="str">
        <f>HYPERLINK("https://ibp.a2mac1.com/costing(costing:projects/details/9760/assembly/8414786)","Roof Elements")</f>
        <v>Roof Elements</v>
      </c>
      <c r="F4140" t="s">
        <v>4607</v>
      </c>
    </row>
    <row r="4141" spans="1:6" x14ac:dyDescent="0.15">
      <c r="A4141">
        <v>8414928</v>
      </c>
      <c r="B4141">
        <v>8414786</v>
      </c>
      <c r="C4141" t="s">
        <v>8</v>
      </c>
      <c r="D4141" t="s">
        <v>8</v>
      </c>
      <c r="E4141" s="4" t="str">
        <f>HYPERLINK("https://ibp.a2mac1.com/costing(costing:projects/details/9760/assembly/8414928)","Sun Visors")</f>
        <v>Sun Visors</v>
      </c>
      <c r="F4141" t="s">
        <v>4615</v>
      </c>
    </row>
    <row r="4142" spans="1:6" x14ac:dyDescent="0.15">
      <c r="A4142">
        <v>8415021</v>
      </c>
      <c r="B4142">
        <v>8414928</v>
      </c>
      <c r="C4142" t="s">
        <v>10</v>
      </c>
      <c r="D4142" t="s">
        <v>8</v>
      </c>
      <c r="E4142" s="4" t="str">
        <f>HYPERLINK("https://ibp.a2mac1.com/costing(costing:projects/details/9760/part/8415021)","Driver Side")</f>
        <v>Driver Side</v>
      </c>
      <c r="F4142" t="s">
        <v>4616</v>
      </c>
    </row>
    <row r="4143" spans="1:6" x14ac:dyDescent="0.15">
      <c r="A4143">
        <v>12084751</v>
      </c>
      <c r="B4143">
        <v>8415021</v>
      </c>
      <c r="C4143" t="s">
        <v>114</v>
      </c>
      <c r="D4143" t="s">
        <v>10</v>
      </c>
      <c r="E4143" s="4" t="str">
        <f>HYPERLINK("https://ibp.a2mac1.com/costing(costing:projects/details/9760/process/12084751)","Process")</f>
        <v>Process</v>
      </c>
      <c r="F4143" t="s">
        <v>4617</v>
      </c>
    </row>
    <row r="4144" spans="1:6" x14ac:dyDescent="0.15">
      <c r="A4144">
        <v>8754117</v>
      </c>
      <c r="B4144">
        <v>12084751</v>
      </c>
      <c r="C4144" t="s">
        <v>22</v>
      </c>
      <c r="D4144" t="s">
        <v>114</v>
      </c>
      <c r="E4144" s="4" t="str">
        <f>HYPERLINK("https://ibp.a2mac1.com/costing(costing:projects/details/9760/material/8754117)","Several Material")</f>
        <v>Several Material</v>
      </c>
      <c r="F4144" t="s">
        <v>4619</v>
      </c>
    </row>
    <row r="4145" spans="1:6" x14ac:dyDescent="0.15">
      <c r="A4145">
        <v>12211849</v>
      </c>
      <c r="B4145">
        <v>12084751</v>
      </c>
      <c r="C4145" t="s">
        <v>163</v>
      </c>
      <c r="D4145" t="s">
        <v>114</v>
      </c>
      <c r="E4145" s="4" t="str">
        <f>HYPERLINK("https://ibp.a2mac1.com/costing(costing:projects/details/9760/equipment/12211849)","DC machine - General")</f>
        <v>DC machine - General</v>
      </c>
      <c r="F4145" t="s">
        <v>4619</v>
      </c>
    </row>
    <row r="4146" spans="1:6" x14ac:dyDescent="0.15">
      <c r="A4146">
        <v>8415022</v>
      </c>
      <c r="B4146">
        <v>8414928</v>
      </c>
      <c r="C4146" t="s">
        <v>10</v>
      </c>
      <c r="D4146" t="s">
        <v>8</v>
      </c>
      <c r="E4146" s="4" t="str">
        <f>HYPERLINK("https://ibp.a2mac1.com/costing(costing:projects/details/9760/part/8415022)","Passenger Side")</f>
        <v>Passenger Side</v>
      </c>
      <c r="F4146" t="s">
        <v>4616</v>
      </c>
    </row>
    <row r="4147" spans="1:6" x14ac:dyDescent="0.15">
      <c r="A4147">
        <v>12084752</v>
      </c>
      <c r="B4147">
        <v>8415022</v>
      </c>
      <c r="C4147" t="s">
        <v>114</v>
      </c>
      <c r="D4147" t="s">
        <v>10</v>
      </c>
      <c r="E4147" s="4" t="str">
        <f>HYPERLINK("https://ibp.a2mac1.com/costing(costing:projects/details/9760/process/12084752)","Process")</f>
        <v>Process</v>
      </c>
      <c r="F4147" t="s">
        <v>4623</v>
      </c>
    </row>
    <row r="4148" spans="1:6" x14ac:dyDescent="0.15">
      <c r="A4148">
        <v>8754118</v>
      </c>
      <c r="B4148">
        <v>12084752</v>
      </c>
      <c r="C4148" t="s">
        <v>22</v>
      </c>
      <c r="D4148" t="s">
        <v>114</v>
      </c>
      <c r="E4148" s="4" t="str">
        <f>HYPERLINK("https://ibp.a2mac1.com/costing(costing:projects/details/9760/material/8754118)","Several Material")</f>
        <v>Several Material</v>
      </c>
      <c r="F4148" t="s">
        <v>4624</v>
      </c>
    </row>
    <row r="4149" spans="1:6" x14ac:dyDescent="0.15">
      <c r="A4149">
        <v>12211850</v>
      </c>
      <c r="B4149">
        <v>12084752</v>
      </c>
      <c r="C4149" t="s">
        <v>163</v>
      </c>
      <c r="D4149" t="s">
        <v>114</v>
      </c>
      <c r="E4149" s="4" t="str">
        <f>HYPERLINK("https://ibp.a2mac1.com/costing(costing:projects/details/9760/equipment/12211850)","DC machine - General")</f>
        <v>DC machine - General</v>
      </c>
      <c r="F4149" t="s">
        <v>4624</v>
      </c>
    </row>
    <row r="4150" spans="1:6" x14ac:dyDescent="0.15">
      <c r="A4150">
        <v>8753879</v>
      </c>
      <c r="B4150">
        <v>8414928</v>
      </c>
      <c r="C4150" t="s">
        <v>311</v>
      </c>
      <c r="D4150" t="s">
        <v>8</v>
      </c>
      <c r="E4150" s="4" t="str">
        <f>HYPERLINK("https://ibp.a2mac1.com/costing(costing:projects/details/9760/component/8753879)","Screw &gt; Torx socket head cap screw")</f>
        <v>Screw &gt; Torx socket head cap screw</v>
      </c>
      <c r="F4150" t="s">
        <v>4616</v>
      </c>
    </row>
    <row r="4151" spans="1:6" x14ac:dyDescent="0.15">
      <c r="A4151">
        <v>8753880</v>
      </c>
      <c r="B4151">
        <v>8414928</v>
      </c>
      <c r="C4151" t="s">
        <v>311</v>
      </c>
      <c r="D4151" t="s">
        <v>8</v>
      </c>
      <c r="E4151" s="4" t="str">
        <f>HYPERLINK("https://ibp.a2mac1.com/costing(costing:projects/details/9760/component/8753880)","Screw &gt; Hexagon socket head cap screw")</f>
        <v>Screw &gt; Hexagon socket head cap screw</v>
      </c>
      <c r="F4151" t="s">
        <v>4616</v>
      </c>
    </row>
    <row r="4152" spans="1:6" x14ac:dyDescent="0.15">
      <c r="A4152">
        <v>8414929</v>
      </c>
      <c r="B4152">
        <v>8414786</v>
      </c>
      <c r="C4152" t="s">
        <v>8</v>
      </c>
      <c r="D4152" t="s">
        <v>8</v>
      </c>
      <c r="E4152" s="4" t="str">
        <f>HYPERLINK("https://ibp.a2mac1.com/costing(costing:projects/details/9760/assembly/8414929)","Side Upper Handle")</f>
        <v>Side Upper Handle</v>
      </c>
      <c r="F4152" t="s">
        <v>4615</v>
      </c>
    </row>
    <row r="4153" spans="1:6" x14ac:dyDescent="0.15">
      <c r="A4153">
        <v>8415023</v>
      </c>
      <c r="B4153">
        <v>8414929</v>
      </c>
      <c r="C4153" t="s">
        <v>10</v>
      </c>
      <c r="D4153" t="s">
        <v>8</v>
      </c>
      <c r="E4153" s="4" t="str">
        <f>HYPERLINK("https://ibp.a2mac1.com/costing(costing:projects/details/9760/part/8415023)","Front")</f>
        <v>Front</v>
      </c>
      <c r="F4153" t="s">
        <v>4628</v>
      </c>
    </row>
    <row r="4154" spans="1:6" x14ac:dyDescent="0.15">
      <c r="A4154">
        <v>12084753</v>
      </c>
      <c r="B4154">
        <v>8415023</v>
      </c>
      <c r="C4154" t="s">
        <v>114</v>
      </c>
      <c r="D4154" t="s">
        <v>10</v>
      </c>
      <c r="E4154" s="4" t="str">
        <f>HYPERLINK("https://ibp.a2mac1.com/costing(costing:projects/details/9760/process/12084753)","Process")</f>
        <v>Process</v>
      </c>
      <c r="F4154" t="s">
        <v>4629</v>
      </c>
    </row>
    <row r="4155" spans="1:6" x14ac:dyDescent="0.15">
      <c r="A4155">
        <v>8754119</v>
      </c>
      <c r="B4155">
        <v>12084753</v>
      </c>
      <c r="C4155" t="s">
        <v>22</v>
      </c>
      <c r="D4155" t="s">
        <v>114</v>
      </c>
      <c r="E4155" s="4" t="str">
        <f>HYPERLINK("https://ibp.a2mac1.com/costing(costing:projects/details/9760/material/8754119)","Leather, standard")</f>
        <v>Leather, standard</v>
      </c>
      <c r="F4155" t="s">
        <v>4630</v>
      </c>
    </row>
    <row r="4156" spans="1:6" x14ac:dyDescent="0.15">
      <c r="A4156">
        <v>12211851</v>
      </c>
      <c r="B4156">
        <v>12084753</v>
      </c>
      <c r="C4156" t="s">
        <v>163</v>
      </c>
      <c r="D4156" t="s">
        <v>114</v>
      </c>
      <c r="E4156" s="4" t="str">
        <f>HYPERLINK("https://ibp.a2mac1.com/costing(costing:projects/details/9760/equipment/12211851)","DC machine - General")</f>
        <v>DC machine - General</v>
      </c>
      <c r="F4156" t="s">
        <v>4630</v>
      </c>
    </row>
    <row r="4157" spans="1:6" x14ac:dyDescent="0.15">
      <c r="A4157">
        <v>8754006</v>
      </c>
      <c r="B4157">
        <v>8415023</v>
      </c>
      <c r="C4157" t="s">
        <v>311</v>
      </c>
      <c r="D4157" t="s">
        <v>10</v>
      </c>
      <c r="E4157" s="4" t="str">
        <f>HYPERLINK("https://ibp.a2mac1.com/costing(costing:projects/details/9760/component/8754006)","Screw &gt; Torx socket head cap screw")</f>
        <v>Screw &gt; Torx socket head cap screw</v>
      </c>
      <c r="F4157" t="s">
        <v>4629</v>
      </c>
    </row>
    <row r="4158" spans="1:6" x14ac:dyDescent="0.15">
      <c r="A4158">
        <v>8754007</v>
      </c>
      <c r="B4158">
        <v>8415023</v>
      </c>
      <c r="C4158" t="s">
        <v>311</v>
      </c>
      <c r="D4158" t="s">
        <v>10</v>
      </c>
      <c r="E4158" s="4" t="str">
        <f>HYPERLINK("https://ibp.a2mac1.com/costing(costing:projects/details/9760/component/8754007)","Other Plastics")</f>
        <v>Other Plastics</v>
      </c>
      <c r="F4158" t="s">
        <v>4629</v>
      </c>
    </row>
    <row r="4159" spans="1:6" x14ac:dyDescent="0.15">
      <c r="A4159">
        <v>8754008</v>
      </c>
      <c r="B4159">
        <v>8415023</v>
      </c>
      <c r="C4159" t="s">
        <v>311</v>
      </c>
      <c r="D4159" t="s">
        <v>10</v>
      </c>
      <c r="E4159" s="4" t="str">
        <f>HYPERLINK("https://ibp.a2mac1.com/costing(costing:projects/details/9760/component/8754008)","Washer &gt; Lock interior washer")</f>
        <v>Washer &gt; Lock interior washer</v>
      </c>
      <c r="F4159" t="s">
        <v>4629</v>
      </c>
    </row>
    <row r="4160" spans="1:6" x14ac:dyDescent="0.15">
      <c r="A4160">
        <v>8415024</v>
      </c>
      <c r="B4160">
        <v>8414929</v>
      </c>
      <c r="C4160" t="s">
        <v>10</v>
      </c>
      <c r="D4160" t="s">
        <v>8</v>
      </c>
      <c r="E4160" s="4" t="str">
        <f>HYPERLINK("https://ibp.a2mac1.com/costing(costing:projects/details/9760/part/8415024)","Rear")</f>
        <v>Rear</v>
      </c>
      <c r="F4160" t="s">
        <v>4628</v>
      </c>
    </row>
    <row r="4161" spans="1:6" x14ac:dyDescent="0.15">
      <c r="A4161">
        <v>12084754</v>
      </c>
      <c r="B4161">
        <v>8415024</v>
      </c>
      <c r="C4161" t="s">
        <v>114</v>
      </c>
      <c r="D4161" t="s">
        <v>10</v>
      </c>
      <c r="E4161" s="4" t="str">
        <f>HYPERLINK("https://ibp.a2mac1.com/costing(costing:projects/details/9760/process/12084754)","Process")</f>
        <v>Process</v>
      </c>
      <c r="F4161" t="s">
        <v>4632</v>
      </c>
    </row>
    <row r="4162" spans="1:6" x14ac:dyDescent="0.15">
      <c r="A4162">
        <v>8754120</v>
      </c>
      <c r="B4162">
        <v>12084754</v>
      </c>
      <c r="C4162" t="s">
        <v>22</v>
      </c>
      <c r="D4162" t="s">
        <v>114</v>
      </c>
      <c r="E4162" s="4" t="str">
        <f>HYPERLINK("https://ibp.a2mac1.com/costing(costing:projects/details/9760/material/8754120)","Leather, standard")</f>
        <v>Leather, standard</v>
      </c>
      <c r="F4162" t="s">
        <v>4633</v>
      </c>
    </row>
    <row r="4163" spans="1:6" x14ac:dyDescent="0.15">
      <c r="A4163">
        <v>12211852</v>
      </c>
      <c r="B4163">
        <v>12084754</v>
      </c>
      <c r="C4163" t="s">
        <v>163</v>
      </c>
      <c r="D4163" t="s">
        <v>114</v>
      </c>
      <c r="E4163" s="4" t="str">
        <f>HYPERLINK("https://ibp.a2mac1.com/costing(costing:projects/details/9760/equipment/12211852)","DC machine - General")</f>
        <v>DC machine - General</v>
      </c>
      <c r="F4163" t="s">
        <v>4633</v>
      </c>
    </row>
    <row r="4164" spans="1:6" x14ac:dyDescent="0.15">
      <c r="A4164">
        <v>8754009</v>
      </c>
      <c r="B4164">
        <v>8415024</v>
      </c>
      <c r="C4164" t="s">
        <v>311</v>
      </c>
      <c r="D4164" t="s">
        <v>10</v>
      </c>
      <c r="E4164" s="4" t="str">
        <f>HYPERLINK("https://ibp.a2mac1.com/costing(costing:projects/details/9760/component/8754009)","Screw &gt; Torx socket head cap screw")</f>
        <v>Screw &gt; Torx socket head cap screw</v>
      </c>
      <c r="F4164" t="s">
        <v>4632</v>
      </c>
    </row>
    <row r="4165" spans="1:6" x14ac:dyDescent="0.15">
      <c r="A4165">
        <v>8754010</v>
      </c>
      <c r="B4165">
        <v>8415024</v>
      </c>
      <c r="C4165" t="s">
        <v>311</v>
      </c>
      <c r="D4165" t="s">
        <v>10</v>
      </c>
      <c r="E4165" s="4" t="str">
        <f>HYPERLINK("https://ibp.a2mac1.com/costing(costing:projects/details/9760/component/8754010)","Washer &gt; Lock interior washer")</f>
        <v>Washer &gt; Lock interior washer</v>
      </c>
      <c r="F4165" t="s">
        <v>4632</v>
      </c>
    </row>
    <row r="4166" spans="1:6" x14ac:dyDescent="0.15">
      <c r="A4166">
        <v>8754011</v>
      </c>
      <c r="B4166">
        <v>8415024</v>
      </c>
      <c r="C4166" t="s">
        <v>311</v>
      </c>
      <c r="D4166" t="s">
        <v>10</v>
      </c>
      <c r="E4166" s="4" t="str">
        <f>HYPERLINK("https://ibp.a2mac1.com/costing(costing:projects/details/9760/component/8754011)","Other Plastics")</f>
        <v>Other Plastics</v>
      </c>
      <c r="F4166" t="s">
        <v>4632</v>
      </c>
    </row>
    <row r="4167" spans="1:6" x14ac:dyDescent="0.15">
      <c r="A4167">
        <v>8415025</v>
      </c>
      <c r="B4167">
        <v>8414929</v>
      </c>
      <c r="C4167" t="s">
        <v>10</v>
      </c>
      <c r="D4167" t="s">
        <v>8</v>
      </c>
      <c r="E4167" s="4" t="str">
        <f>HYPERLINK("https://ibp.a2mac1.com/costing(costing:projects/details/9760/part/8415025)","Front Support")</f>
        <v>Front Support</v>
      </c>
      <c r="F4167" t="s">
        <v>4628</v>
      </c>
    </row>
    <row r="4168" spans="1:6" x14ac:dyDescent="0.15">
      <c r="A4168">
        <v>12084755</v>
      </c>
      <c r="B4168">
        <v>8415025</v>
      </c>
      <c r="C4168" t="s">
        <v>114</v>
      </c>
      <c r="D4168" t="s">
        <v>10</v>
      </c>
      <c r="E4168" s="4" t="str">
        <f>HYPERLINK("https://ibp.a2mac1.com/costing(costing:projects/details/9760/process/12084755)","Process")</f>
        <v>Process</v>
      </c>
      <c r="F4168" t="s">
        <v>4635</v>
      </c>
    </row>
    <row r="4169" spans="1:6" x14ac:dyDescent="0.15">
      <c r="A4169">
        <v>8754121</v>
      </c>
      <c r="B4169">
        <v>12084755</v>
      </c>
      <c r="C4169" t="s">
        <v>22</v>
      </c>
      <c r="D4169" t="s">
        <v>114</v>
      </c>
      <c r="E4169" s="4" t="str">
        <f>HYPERLINK("https://ibp.a2mac1.com/costing(costing:projects/details/9760/material/8754121)","PLASTIC UNKNOWN")</f>
        <v>PLASTIC UNKNOWN</v>
      </c>
      <c r="F4169" t="s">
        <v>4638</v>
      </c>
    </row>
    <row r="4170" spans="1:6" x14ac:dyDescent="0.15">
      <c r="A4170">
        <v>12211853</v>
      </c>
      <c r="B4170">
        <v>12084755</v>
      </c>
      <c r="C4170" t="s">
        <v>163</v>
      </c>
      <c r="D4170" t="s">
        <v>114</v>
      </c>
      <c r="E4170" s="4" t="str">
        <f>HYPERLINK("https://ibp.a2mac1.com/costing(costing:projects/details/9760/equipment/12211853)","DC machine - General")</f>
        <v>DC machine - General</v>
      </c>
      <c r="F4170" t="s">
        <v>4638</v>
      </c>
    </row>
    <row r="4171" spans="1:6" x14ac:dyDescent="0.15">
      <c r="A4171">
        <v>8754012</v>
      </c>
      <c r="B4171">
        <v>8415025</v>
      </c>
      <c r="C4171" t="s">
        <v>311</v>
      </c>
      <c r="D4171" t="s">
        <v>10</v>
      </c>
      <c r="E4171" s="4" t="str">
        <f>HYPERLINK("https://ibp.a2mac1.com/costing(costing:projects/details/9760/component/8754012)","Screw &gt; Hexagon screw with flange")</f>
        <v>Screw &gt; Hexagon screw with flange</v>
      </c>
      <c r="F4171" t="s">
        <v>4635</v>
      </c>
    </row>
    <row r="4172" spans="1:6" x14ac:dyDescent="0.15">
      <c r="A4172">
        <v>8754013</v>
      </c>
      <c r="B4172">
        <v>8415025</v>
      </c>
      <c r="C4172" t="s">
        <v>311</v>
      </c>
      <c r="D4172" t="s">
        <v>10</v>
      </c>
      <c r="E4172" s="4" t="str">
        <f>HYPERLINK("https://ibp.a2mac1.com/costing(costing:projects/details/9760/component/8754013)","Insert Stud")</f>
        <v>Insert Stud</v>
      </c>
      <c r="F4172" t="s">
        <v>4635</v>
      </c>
    </row>
    <row r="4173" spans="1:6" x14ac:dyDescent="0.15">
      <c r="A4173">
        <v>8415026</v>
      </c>
      <c r="B4173">
        <v>8414929</v>
      </c>
      <c r="C4173" t="s">
        <v>10</v>
      </c>
      <c r="D4173" t="s">
        <v>8</v>
      </c>
      <c r="E4173" s="4" t="str">
        <f>HYPERLINK("https://ibp.a2mac1.com/costing(costing:projects/details/9760/part/8415026)","Rear Support")</f>
        <v>Rear Support</v>
      </c>
      <c r="F4173" t="s">
        <v>4628</v>
      </c>
    </row>
    <row r="4174" spans="1:6" x14ac:dyDescent="0.15">
      <c r="A4174">
        <v>12084756</v>
      </c>
      <c r="B4174">
        <v>8415026</v>
      </c>
      <c r="C4174" t="s">
        <v>114</v>
      </c>
      <c r="D4174" t="s">
        <v>10</v>
      </c>
      <c r="E4174" s="4" t="str">
        <f>HYPERLINK("https://ibp.a2mac1.com/costing(costing:projects/details/9760/process/12084756)","Process")</f>
        <v>Process</v>
      </c>
      <c r="F4174" t="s">
        <v>4640</v>
      </c>
    </row>
    <row r="4175" spans="1:6" x14ac:dyDescent="0.15">
      <c r="A4175">
        <v>8754122</v>
      </c>
      <c r="B4175">
        <v>12084756</v>
      </c>
      <c r="C4175" t="s">
        <v>22</v>
      </c>
      <c r="D4175" t="s">
        <v>114</v>
      </c>
      <c r="E4175" s="4" t="str">
        <f>HYPERLINK("https://ibp.a2mac1.com/costing(costing:projects/details/9760/material/8754122)","PLASTIC UNKNOWN")</f>
        <v>PLASTIC UNKNOWN</v>
      </c>
      <c r="F4175" t="s">
        <v>4641</v>
      </c>
    </row>
    <row r="4176" spans="1:6" x14ac:dyDescent="0.15">
      <c r="A4176">
        <v>12211854</v>
      </c>
      <c r="B4176">
        <v>12084756</v>
      </c>
      <c r="C4176" t="s">
        <v>163</v>
      </c>
      <c r="D4176" t="s">
        <v>114</v>
      </c>
      <c r="E4176" s="4" t="str">
        <f>HYPERLINK("https://ibp.a2mac1.com/costing(costing:projects/details/9760/equipment/12211854)","DC machine - General")</f>
        <v>DC machine - General</v>
      </c>
      <c r="F4176" t="s">
        <v>4641</v>
      </c>
    </row>
    <row r="4177" spans="1:6" x14ac:dyDescent="0.15">
      <c r="A4177">
        <v>8754014</v>
      </c>
      <c r="B4177">
        <v>8415026</v>
      </c>
      <c r="C4177" t="s">
        <v>311</v>
      </c>
      <c r="D4177" t="s">
        <v>10</v>
      </c>
      <c r="E4177" s="4" t="str">
        <f>HYPERLINK("https://ibp.a2mac1.com/costing(costing:projects/details/9760/component/8754014)","Screw &gt; Hexagon screw with flange")</f>
        <v>Screw &gt; Hexagon screw with flange</v>
      </c>
      <c r="F4177" t="s">
        <v>4640</v>
      </c>
    </row>
    <row r="4178" spans="1:6" x14ac:dyDescent="0.15">
      <c r="A4178">
        <v>8754015</v>
      </c>
      <c r="B4178">
        <v>8415026</v>
      </c>
      <c r="C4178" t="s">
        <v>311</v>
      </c>
      <c r="D4178" t="s">
        <v>10</v>
      </c>
      <c r="E4178" s="4" t="str">
        <f>HYPERLINK("https://ibp.a2mac1.com/costing(costing:projects/details/9760/component/8754015)","Insert Stud")</f>
        <v>Insert Stud</v>
      </c>
      <c r="F4178" t="s">
        <v>4640</v>
      </c>
    </row>
    <row r="4179" spans="1:6" x14ac:dyDescent="0.15">
      <c r="A4179">
        <v>8414930</v>
      </c>
      <c r="B4179">
        <v>8414786</v>
      </c>
      <c r="C4179" t="s">
        <v>8</v>
      </c>
      <c r="D4179" t="s">
        <v>8</v>
      </c>
      <c r="E4179" s="4" t="str">
        <f>HYPERLINK("https://ibp.a2mac1.com/costing(costing:projects/details/9760/assembly/8414930)","Reading Light")</f>
        <v>Reading Light</v>
      </c>
      <c r="F4179" t="s">
        <v>4615</v>
      </c>
    </row>
    <row r="4180" spans="1:6" x14ac:dyDescent="0.15">
      <c r="A4180">
        <v>8415027</v>
      </c>
      <c r="B4180">
        <v>8414930</v>
      </c>
      <c r="C4180" t="s">
        <v>8</v>
      </c>
      <c r="D4180" t="s">
        <v>8</v>
      </c>
      <c r="E4180" s="4" t="str">
        <f>HYPERLINK("https://ibp.a2mac1.com/costing(costing:projects/details/9760/assembly/8415027)","Front")</f>
        <v>Front</v>
      </c>
      <c r="F4180" t="s">
        <v>4644</v>
      </c>
    </row>
    <row r="4181" spans="1:6" x14ac:dyDescent="0.15">
      <c r="A4181">
        <v>12084757</v>
      </c>
      <c r="B4181">
        <v>8415027</v>
      </c>
      <c r="C4181" t="s">
        <v>114</v>
      </c>
      <c r="D4181" t="s">
        <v>8</v>
      </c>
      <c r="E4181" s="4" t="str">
        <f>HYPERLINK("https://ibp.a2mac1.com/costing(costing:projects/details/9760/process/12084757)","Process")</f>
        <v>Process</v>
      </c>
      <c r="F4181" t="s">
        <v>4645</v>
      </c>
    </row>
    <row r="4182" spans="1:6" x14ac:dyDescent="0.15">
      <c r="A4182">
        <v>12211855</v>
      </c>
      <c r="B4182">
        <v>12084757</v>
      </c>
      <c r="C4182" t="s">
        <v>163</v>
      </c>
      <c r="D4182" t="s">
        <v>114</v>
      </c>
      <c r="E4182" s="4" t="str">
        <f>HYPERLINK("https://ibp.a2mac1.com/costing(costing:projects/details/9760/equipment/12211855)","Dummy Machine (PCBA+Final Assembly Line)")</f>
        <v>Dummy Machine (PCBA+Final Assembly Line)</v>
      </c>
      <c r="F4182" t="s">
        <v>4646</v>
      </c>
    </row>
    <row r="4183" spans="1:6" x14ac:dyDescent="0.15">
      <c r="A4183">
        <v>8754016</v>
      </c>
      <c r="B4183">
        <v>8415027</v>
      </c>
      <c r="C4183" t="s">
        <v>311</v>
      </c>
      <c r="D4183" t="s">
        <v>8</v>
      </c>
      <c r="E4183" s="4" t="str">
        <f>HYPERLINK("https://ibp.a2mac1.com/costing(costing:projects/details/9760/component/8754016)","Electronics")</f>
        <v>Electronics</v>
      </c>
      <c r="F4183" t="s">
        <v>4645</v>
      </c>
    </row>
    <row r="4184" spans="1:6" x14ac:dyDescent="0.15">
      <c r="A4184">
        <v>8754017</v>
      </c>
      <c r="B4184">
        <v>8415027</v>
      </c>
      <c r="C4184" t="s">
        <v>311</v>
      </c>
      <c r="D4184" t="s">
        <v>8</v>
      </c>
      <c r="E4184" s="4" t="str">
        <f>HYPERLINK("https://ibp.a2mac1.com/costing(costing:projects/details/9760/component/8754017)","Mechanics")</f>
        <v>Mechanics</v>
      </c>
      <c r="F4184" t="s">
        <v>4645</v>
      </c>
    </row>
    <row r="4185" spans="1:6" x14ac:dyDescent="0.15">
      <c r="A4185">
        <v>8415028</v>
      </c>
      <c r="B4185">
        <v>8414930</v>
      </c>
      <c r="C4185" t="s">
        <v>10</v>
      </c>
      <c r="D4185" t="s">
        <v>8</v>
      </c>
      <c r="E4185" s="4" t="str">
        <f>HYPERLINK("https://ibp.a2mac1.com/costing(costing:projects/details/9760/part/8415028)","Rear Reading Light 2nd Row")</f>
        <v>Rear Reading Light 2nd Row</v>
      </c>
      <c r="F4185" t="s">
        <v>4644</v>
      </c>
    </row>
    <row r="4186" spans="1:6" x14ac:dyDescent="0.15">
      <c r="A4186">
        <v>8753881</v>
      </c>
      <c r="B4186">
        <v>8414930</v>
      </c>
      <c r="C4186" t="s">
        <v>311</v>
      </c>
      <c r="D4186" t="s">
        <v>8</v>
      </c>
      <c r="E4186" s="4" t="str">
        <f>HYPERLINK("https://ibp.a2mac1.com/costing(costing:projects/details/9760/component/8753881)","Panel holder &gt; Clips in rectangular hole")</f>
        <v>Panel holder &gt; Clips in rectangular hole</v>
      </c>
      <c r="F4186" t="s">
        <v>4644</v>
      </c>
    </row>
    <row r="4187" spans="1:6" x14ac:dyDescent="0.15">
      <c r="A4187">
        <v>8414926</v>
      </c>
      <c r="B4187">
        <v>8414786</v>
      </c>
      <c r="C4187" t="s">
        <v>10</v>
      </c>
      <c r="D4187" t="s">
        <v>8</v>
      </c>
      <c r="E4187" s="4" t="str">
        <f>HYPERLINK("https://ibp.a2mac1.com/costing(costing:projects/details/9760/part/8414926)","Hanger Support")</f>
        <v>Hanger Support</v>
      </c>
      <c r="F4187" t="s">
        <v>4615</v>
      </c>
    </row>
    <row r="4188" spans="1:6" x14ac:dyDescent="0.15">
      <c r="A4188">
        <v>12084683</v>
      </c>
      <c r="B4188">
        <v>8414926</v>
      </c>
      <c r="C4188" t="s">
        <v>114</v>
      </c>
      <c r="D4188" t="s">
        <v>10</v>
      </c>
      <c r="E4188" s="4" t="str">
        <f>HYPERLINK("https://ibp.a2mac1.com/costing(costing:projects/details/9760/process/12084683)","Process")</f>
        <v>Process</v>
      </c>
      <c r="F4188" t="s">
        <v>4650</v>
      </c>
    </row>
    <row r="4189" spans="1:6" x14ac:dyDescent="0.15">
      <c r="A4189">
        <v>8754005</v>
      </c>
      <c r="B4189">
        <v>12084683</v>
      </c>
      <c r="C4189" t="s">
        <v>22</v>
      </c>
      <c r="D4189" t="s">
        <v>114</v>
      </c>
      <c r="E4189" s="4" t="str">
        <f>HYPERLINK("https://ibp.a2mac1.com/costing(costing:projects/details/9760/material/8754005)","PC-ABS + Paint")</f>
        <v>PC-ABS + Paint</v>
      </c>
      <c r="F4189" t="s">
        <v>4651</v>
      </c>
    </row>
    <row r="4190" spans="1:6" x14ac:dyDescent="0.15">
      <c r="A4190">
        <v>12211781</v>
      </c>
      <c r="B4190">
        <v>12084683</v>
      </c>
      <c r="C4190" t="s">
        <v>163</v>
      </c>
      <c r="D4190" t="s">
        <v>114</v>
      </c>
      <c r="E4190" s="4" t="str">
        <f>HYPERLINK("https://ibp.a2mac1.com/costing(costing:projects/details/9760/equipment/12211781)","DC machine - General")</f>
        <v>DC machine - General</v>
      </c>
      <c r="F4190" t="s">
        <v>4651</v>
      </c>
    </row>
    <row r="4191" spans="1:6" x14ac:dyDescent="0.15">
      <c r="A4191">
        <v>8753878</v>
      </c>
      <c r="B4191">
        <v>8414926</v>
      </c>
      <c r="C4191" t="s">
        <v>311</v>
      </c>
      <c r="D4191" t="s">
        <v>10</v>
      </c>
      <c r="E4191" s="4" t="str">
        <f>HYPERLINK("https://ibp.a2mac1.com/costing(costing:projects/details/9760/component/8753878)","Screw &gt; Torx socket head cap screw")</f>
        <v>Screw &gt; Torx socket head cap screw</v>
      </c>
      <c r="F4191" t="s">
        <v>4650</v>
      </c>
    </row>
    <row r="4192" spans="1:6" x14ac:dyDescent="0.15">
      <c r="A4192">
        <v>8414927</v>
      </c>
      <c r="B4192">
        <v>8414786</v>
      </c>
      <c r="C4192" t="s">
        <v>10</v>
      </c>
      <c r="D4192" t="s">
        <v>8</v>
      </c>
      <c r="E4192" s="4" t="str">
        <f>HYPERLINK("https://ibp.a2mac1.com/costing(costing:projects/details/9760/part/8414927)","Outside Privacy Protection Indicator Light")</f>
        <v>Outside Privacy Protection Indicator Light</v>
      </c>
      <c r="F4192" t="s">
        <v>4615</v>
      </c>
    </row>
    <row r="4193" spans="1:6" x14ac:dyDescent="0.15">
      <c r="A4193">
        <v>8414787</v>
      </c>
      <c r="B4193">
        <v>8414736</v>
      </c>
      <c r="C4193" t="s">
        <v>8</v>
      </c>
      <c r="D4193" t="s">
        <v>8</v>
      </c>
      <c r="E4193" s="4" t="str">
        <f>HYPERLINK("https://ibp.a2mac1.com/costing(costing:projects/details/9760/assembly/8414787)","Panels")</f>
        <v>Panels</v>
      </c>
      <c r="F4193" t="s">
        <v>4607</v>
      </c>
    </row>
    <row r="4194" spans="1:6" x14ac:dyDescent="0.15">
      <c r="A4194">
        <v>8414931</v>
      </c>
      <c r="B4194">
        <v>8414787</v>
      </c>
      <c r="C4194" t="s">
        <v>8</v>
      </c>
      <c r="D4194" t="s">
        <v>8</v>
      </c>
      <c r="E4194" s="4" t="str">
        <f>HYPERLINK("https://ibp.a2mac1.com/costing(costing:projects/details/9760/assembly/8414931)","Left Side")</f>
        <v>Left Side</v>
      </c>
      <c r="F4194" t="s">
        <v>4656</v>
      </c>
    </row>
    <row r="4195" spans="1:6" x14ac:dyDescent="0.15">
      <c r="A4195">
        <v>8415040</v>
      </c>
      <c r="B4195">
        <v>8414931</v>
      </c>
      <c r="C4195" t="s">
        <v>8</v>
      </c>
      <c r="D4195" t="s">
        <v>8</v>
      </c>
      <c r="E4195" s="4" t="str">
        <f>HYPERLINK("https://ibp.a2mac1.com/costing(costing:projects/details/9760/assembly/8415040)","Door Step Inner Panel")</f>
        <v>Door Step Inner Panel</v>
      </c>
      <c r="F4195" t="s">
        <v>4657</v>
      </c>
    </row>
    <row r="4196" spans="1:6" x14ac:dyDescent="0.15">
      <c r="A4196">
        <v>8415105</v>
      </c>
      <c r="B4196">
        <v>8415040</v>
      </c>
      <c r="C4196" t="s">
        <v>10</v>
      </c>
      <c r="D4196" t="s">
        <v>8</v>
      </c>
      <c r="E4196" s="4" t="str">
        <f>HYPERLINK("https://ibp.a2mac1.com/costing(costing:projects/details/9760/part/8415105)","Rear")</f>
        <v>Rear</v>
      </c>
      <c r="F4196" t="s">
        <v>4658</v>
      </c>
    </row>
    <row r="4197" spans="1:6" x14ac:dyDescent="0.15">
      <c r="A4197">
        <v>12084812</v>
      </c>
      <c r="B4197">
        <v>8415105</v>
      </c>
      <c r="C4197" t="s">
        <v>114</v>
      </c>
      <c r="D4197" t="s">
        <v>10</v>
      </c>
      <c r="E4197" s="4" t="str">
        <f>HYPERLINK("https://ibp.a2mac1.com/costing(costing:projects/details/9760/process/12084812)","Process")</f>
        <v>Process</v>
      </c>
      <c r="F4197" t="s">
        <v>4659</v>
      </c>
    </row>
    <row r="4198" spans="1:6" x14ac:dyDescent="0.15">
      <c r="A4198">
        <v>8754203</v>
      </c>
      <c r="B4198">
        <v>12084812</v>
      </c>
      <c r="C4198" t="s">
        <v>22</v>
      </c>
      <c r="D4198" t="s">
        <v>114</v>
      </c>
      <c r="E4198" s="4" t="str">
        <f>HYPERLINK("https://ibp.a2mac1.com/costing(costing:projects/details/9760/material/8754203)","PP-EPDM")</f>
        <v>PP-EPDM</v>
      </c>
      <c r="F4198" t="s">
        <v>4662</v>
      </c>
    </row>
    <row r="4199" spans="1:6" x14ac:dyDescent="0.15">
      <c r="A4199">
        <v>12211933</v>
      </c>
      <c r="B4199">
        <v>12084812</v>
      </c>
      <c r="C4199" t="s">
        <v>163</v>
      </c>
      <c r="D4199" t="s">
        <v>114</v>
      </c>
      <c r="E4199" s="4" t="str">
        <f>HYPERLINK("https://ibp.a2mac1.com/costing(costing:projects/details/9760/equipment/12211933)","DC machine - General")</f>
        <v>DC machine - General</v>
      </c>
      <c r="F4199" t="s">
        <v>4662</v>
      </c>
    </row>
    <row r="4200" spans="1:6" x14ac:dyDescent="0.15">
      <c r="A4200">
        <v>8754133</v>
      </c>
      <c r="B4200">
        <v>8415105</v>
      </c>
      <c r="C4200" t="s">
        <v>311</v>
      </c>
      <c r="D4200" t="s">
        <v>10</v>
      </c>
      <c r="E4200" s="4" t="str">
        <f>HYPERLINK("https://ibp.a2mac1.com/costing(costing:projects/details/9760/component/8754133)","Panel holder &gt; Clips in rectangular hole")</f>
        <v>Panel holder &gt; Clips in rectangular hole</v>
      </c>
      <c r="F4200" t="s">
        <v>4659</v>
      </c>
    </row>
    <row r="4201" spans="1:6" x14ac:dyDescent="0.15">
      <c r="A4201">
        <v>8754134</v>
      </c>
      <c r="B4201">
        <v>8415105</v>
      </c>
      <c r="C4201" t="s">
        <v>311</v>
      </c>
      <c r="D4201" t="s">
        <v>10</v>
      </c>
      <c r="E4201" s="4" t="str">
        <f>HYPERLINK("https://ibp.a2mac1.com/costing(costing:projects/details/9760/component/8754134)","Panel holder &gt; Clips in rectangular hole")</f>
        <v>Panel holder &gt; Clips in rectangular hole</v>
      </c>
      <c r="F4201" t="s">
        <v>4659</v>
      </c>
    </row>
    <row r="4202" spans="1:6" x14ac:dyDescent="0.15">
      <c r="A4202">
        <v>8754135</v>
      </c>
      <c r="B4202">
        <v>8415105</v>
      </c>
      <c r="C4202" t="s">
        <v>311</v>
      </c>
      <c r="D4202" t="s">
        <v>10</v>
      </c>
      <c r="E4202" s="4" t="str">
        <f>HYPERLINK("https://ibp.a2mac1.com/costing(costing:projects/details/9760/component/8754135)","Panel holder &gt; Clips in rectangular hole")</f>
        <v>Panel holder &gt; Clips in rectangular hole</v>
      </c>
      <c r="F4202" t="s">
        <v>4659</v>
      </c>
    </row>
    <row r="4203" spans="1:6" x14ac:dyDescent="0.15">
      <c r="A4203">
        <v>8415029</v>
      </c>
      <c r="B4203">
        <v>8414931</v>
      </c>
      <c r="C4203" t="s">
        <v>10</v>
      </c>
      <c r="D4203" t="s">
        <v>8</v>
      </c>
      <c r="E4203" s="4" t="str">
        <f>HYPERLINK("https://ibp.a2mac1.com/costing(costing:projects/details/9760/part/8415029)","A Pillar Upper Panel")</f>
        <v>A Pillar Upper Panel</v>
      </c>
      <c r="F4203" t="s">
        <v>4657</v>
      </c>
    </row>
    <row r="4204" spans="1:6" x14ac:dyDescent="0.15">
      <c r="A4204">
        <v>12084758</v>
      </c>
      <c r="B4204">
        <v>8415029</v>
      </c>
      <c r="C4204" t="s">
        <v>114</v>
      </c>
      <c r="D4204" t="s">
        <v>10</v>
      </c>
      <c r="E4204" s="4" t="str">
        <f>HYPERLINK("https://ibp.a2mac1.com/costing(costing:projects/details/9760/process/12084758)","Process")</f>
        <v>Process</v>
      </c>
      <c r="F4204" t="s">
        <v>4665</v>
      </c>
    </row>
    <row r="4205" spans="1:6" x14ac:dyDescent="0.15">
      <c r="A4205">
        <v>8754123</v>
      </c>
      <c r="B4205">
        <v>12084758</v>
      </c>
      <c r="C4205" t="s">
        <v>22</v>
      </c>
      <c r="D4205" t="s">
        <v>114</v>
      </c>
      <c r="E4205" s="4" t="str">
        <f>HYPERLINK("https://ibp.a2mac1.com/costing(costing:projects/details/9760/material/8754123)","PC-ABS+artificial Suede+foam")</f>
        <v>PC-ABS+artificial Suede+foam</v>
      </c>
      <c r="F4205" t="s">
        <v>4666</v>
      </c>
    </row>
    <row r="4206" spans="1:6" x14ac:dyDescent="0.15">
      <c r="A4206">
        <v>12211856</v>
      </c>
      <c r="B4206">
        <v>12084758</v>
      </c>
      <c r="C4206" t="s">
        <v>163</v>
      </c>
      <c r="D4206" t="s">
        <v>114</v>
      </c>
      <c r="E4206" s="4" t="str">
        <f>HYPERLINK("https://ibp.a2mac1.com/costing(costing:projects/details/9760/equipment/12211856)","Equipment")</f>
        <v>Equipment</v>
      </c>
      <c r="F4206" t="s">
        <v>4666</v>
      </c>
    </row>
    <row r="4207" spans="1:6" x14ac:dyDescent="0.15">
      <c r="A4207">
        <v>8754018</v>
      </c>
      <c r="B4207">
        <v>8415029</v>
      </c>
      <c r="C4207" t="s">
        <v>311</v>
      </c>
      <c r="D4207" t="s">
        <v>10</v>
      </c>
      <c r="E4207" s="4" t="str">
        <f>HYPERLINK("https://ibp.a2mac1.com/costing(costing:projects/details/9760/component/8754018)","Other fastener &gt; Attachment")</f>
        <v>Other fastener &gt; Attachment</v>
      </c>
      <c r="F4207" t="s">
        <v>4665</v>
      </c>
    </row>
    <row r="4208" spans="1:6" x14ac:dyDescent="0.15">
      <c r="A4208">
        <v>8754019</v>
      </c>
      <c r="B4208">
        <v>8415029</v>
      </c>
      <c r="C4208" t="s">
        <v>311</v>
      </c>
      <c r="D4208" t="s">
        <v>10</v>
      </c>
      <c r="E4208" s="4" t="str">
        <f>HYPERLINK("https://ibp.a2mac1.com/costing(costing:projects/details/9760/component/8754019)","Panel holder &gt; Clips in rectangular hole")</f>
        <v>Panel holder &gt; Clips in rectangular hole</v>
      </c>
      <c r="F4208" t="s">
        <v>4665</v>
      </c>
    </row>
    <row r="4209" spans="1:6" x14ac:dyDescent="0.15">
      <c r="A4209">
        <v>8415030</v>
      </c>
      <c r="B4209">
        <v>8414931</v>
      </c>
      <c r="C4209" t="s">
        <v>10</v>
      </c>
      <c r="D4209" t="s">
        <v>8</v>
      </c>
      <c r="E4209" s="4" t="str">
        <f>HYPERLINK("https://ibp.a2mac1.com/costing(costing:projects/details/9760/part/8415030)","A Pillar Lower Panel")</f>
        <v>A Pillar Lower Panel</v>
      </c>
      <c r="F4209" t="s">
        <v>4657</v>
      </c>
    </row>
    <row r="4210" spans="1:6" x14ac:dyDescent="0.15">
      <c r="A4210">
        <v>12084759</v>
      </c>
      <c r="B4210">
        <v>8415030</v>
      </c>
      <c r="C4210" t="s">
        <v>114</v>
      </c>
      <c r="D4210" t="s">
        <v>10</v>
      </c>
      <c r="E4210" s="4" t="str">
        <f>HYPERLINK("https://ibp.a2mac1.com/costing(costing:projects/details/9760/process/12084759)","Process")</f>
        <v>Process</v>
      </c>
      <c r="F4210" t="s">
        <v>4670</v>
      </c>
    </row>
    <row r="4211" spans="1:6" x14ac:dyDescent="0.15">
      <c r="A4211">
        <v>8754124</v>
      </c>
      <c r="B4211">
        <v>12084759</v>
      </c>
      <c r="C4211" t="s">
        <v>22</v>
      </c>
      <c r="D4211" t="s">
        <v>114</v>
      </c>
      <c r="E4211" s="4" t="str">
        <f>HYPERLINK("https://ibp.a2mac1.com/costing(costing:projects/details/9760/material/8754124)","PP-EPDM")</f>
        <v>PP-EPDM</v>
      </c>
      <c r="F4211" t="s">
        <v>4673</v>
      </c>
    </row>
    <row r="4212" spans="1:6" x14ac:dyDescent="0.15">
      <c r="A4212">
        <v>12211857</v>
      </c>
      <c r="B4212">
        <v>12084759</v>
      </c>
      <c r="C4212" t="s">
        <v>163</v>
      </c>
      <c r="D4212" t="s">
        <v>114</v>
      </c>
      <c r="E4212" s="4" t="str">
        <f>HYPERLINK("https://ibp.a2mac1.com/costing(costing:projects/details/9760/equipment/12211857)","DC machine - General")</f>
        <v>DC machine - General</v>
      </c>
      <c r="F4212" t="s">
        <v>4673</v>
      </c>
    </row>
    <row r="4213" spans="1:6" x14ac:dyDescent="0.15">
      <c r="A4213">
        <v>8754020</v>
      </c>
      <c r="B4213">
        <v>8415030</v>
      </c>
      <c r="C4213" t="s">
        <v>311</v>
      </c>
      <c r="D4213" t="s">
        <v>10</v>
      </c>
      <c r="E4213" s="4" t="str">
        <f>HYPERLINK("https://ibp.a2mac1.com/costing(costing:projects/details/9760/component/8754020)","Panel holder &gt; Clips in rectangular hole")</f>
        <v>Panel holder &gt; Clips in rectangular hole</v>
      </c>
      <c r="F4213" t="s">
        <v>4670</v>
      </c>
    </row>
    <row r="4214" spans="1:6" x14ac:dyDescent="0.15">
      <c r="A4214">
        <v>8754021</v>
      </c>
      <c r="B4214">
        <v>8415030</v>
      </c>
      <c r="C4214" t="s">
        <v>311</v>
      </c>
      <c r="D4214" t="s">
        <v>10</v>
      </c>
      <c r="E4214" s="4" t="str">
        <f>HYPERLINK("https://ibp.a2mac1.com/costing(costing:projects/details/9760/component/8754021)","Rivet &gt; Push in Rivet")</f>
        <v>Rivet &gt; Push in Rivet</v>
      </c>
      <c r="F4214" t="s">
        <v>4670</v>
      </c>
    </row>
    <row r="4215" spans="1:6" x14ac:dyDescent="0.15">
      <c r="A4215">
        <v>8415031</v>
      </c>
      <c r="B4215">
        <v>8414931</v>
      </c>
      <c r="C4215" t="s">
        <v>10</v>
      </c>
      <c r="D4215" t="s">
        <v>8</v>
      </c>
      <c r="E4215" s="4" t="str">
        <f>HYPERLINK("https://ibp.a2mac1.com/costing(costing:projects/details/9760/part/8415031)","B Pillar Central Panel")</f>
        <v>B Pillar Central Panel</v>
      </c>
      <c r="F4215" t="s">
        <v>4657</v>
      </c>
    </row>
    <row r="4216" spans="1:6" x14ac:dyDescent="0.15">
      <c r="A4216">
        <v>12084760</v>
      </c>
      <c r="B4216">
        <v>8415031</v>
      </c>
      <c r="C4216" t="s">
        <v>114</v>
      </c>
      <c r="D4216" t="s">
        <v>10</v>
      </c>
      <c r="E4216" s="4" t="str">
        <f>HYPERLINK("https://ibp.a2mac1.com/costing(costing:projects/details/9760/process/12084760)","Process")</f>
        <v>Process</v>
      </c>
      <c r="F4216" t="s">
        <v>4675</v>
      </c>
    </row>
    <row r="4217" spans="1:6" x14ac:dyDescent="0.15">
      <c r="A4217">
        <v>8754125</v>
      </c>
      <c r="B4217">
        <v>12084760</v>
      </c>
      <c r="C4217" t="s">
        <v>22</v>
      </c>
      <c r="D4217" t="s">
        <v>114</v>
      </c>
      <c r="E4217" s="4" t="str">
        <f>HYPERLINK("https://ibp.a2mac1.com/costing(costing:projects/details/9760/material/8754125)","ABS+artificial Suede+foam")</f>
        <v>ABS+artificial Suede+foam</v>
      </c>
      <c r="F4217" t="s">
        <v>4676</v>
      </c>
    </row>
    <row r="4218" spans="1:6" x14ac:dyDescent="0.15">
      <c r="A4218">
        <v>12211858</v>
      </c>
      <c r="B4218">
        <v>12084760</v>
      </c>
      <c r="C4218" t="s">
        <v>163</v>
      </c>
      <c r="D4218" t="s">
        <v>114</v>
      </c>
      <c r="E4218" s="4" t="str">
        <f>HYPERLINK("https://ibp.a2mac1.com/costing(costing:projects/details/9760/equipment/12211858)","Equipment")</f>
        <v>Equipment</v>
      </c>
      <c r="F4218" t="s">
        <v>4676</v>
      </c>
    </row>
    <row r="4219" spans="1:6" x14ac:dyDescent="0.15">
      <c r="A4219">
        <v>8415032</v>
      </c>
      <c r="B4219">
        <v>8414931</v>
      </c>
      <c r="C4219" t="s">
        <v>10</v>
      </c>
      <c r="D4219" t="s">
        <v>8</v>
      </c>
      <c r="E4219" s="4" t="str">
        <f>HYPERLINK("https://ibp.a2mac1.com/costing(costing:projects/details/9760/part/8415032)","B Pillar Lower Panel")</f>
        <v>B Pillar Lower Panel</v>
      </c>
      <c r="F4219" t="s">
        <v>4657</v>
      </c>
    </row>
    <row r="4220" spans="1:6" x14ac:dyDescent="0.15">
      <c r="A4220">
        <v>12084761</v>
      </c>
      <c r="B4220">
        <v>8415032</v>
      </c>
      <c r="C4220" t="s">
        <v>114</v>
      </c>
      <c r="D4220" t="s">
        <v>10</v>
      </c>
      <c r="E4220" s="4" t="str">
        <f>HYPERLINK("https://ibp.a2mac1.com/costing(costing:projects/details/9760/process/12084761)","Process")</f>
        <v>Process</v>
      </c>
      <c r="F4220" t="s">
        <v>4679</v>
      </c>
    </row>
    <row r="4221" spans="1:6" x14ac:dyDescent="0.15">
      <c r="A4221">
        <v>8754126</v>
      </c>
      <c r="B4221">
        <v>12084761</v>
      </c>
      <c r="C4221" t="s">
        <v>22</v>
      </c>
      <c r="D4221" t="s">
        <v>114</v>
      </c>
      <c r="E4221" s="4" t="str">
        <f>HYPERLINK("https://ibp.a2mac1.com/costing(costing:projects/details/9760/material/8754126)","PP-EPDM")</f>
        <v>PP-EPDM</v>
      </c>
      <c r="F4221" t="s">
        <v>4682</v>
      </c>
    </row>
    <row r="4222" spans="1:6" x14ac:dyDescent="0.15">
      <c r="A4222">
        <v>12211859</v>
      </c>
      <c r="B4222">
        <v>12084761</v>
      </c>
      <c r="C4222" t="s">
        <v>163</v>
      </c>
      <c r="D4222" t="s">
        <v>114</v>
      </c>
      <c r="E4222" s="4" t="str">
        <f>HYPERLINK("https://ibp.a2mac1.com/costing(costing:projects/details/9760/equipment/12211859)","DC machine - General")</f>
        <v>DC machine - General</v>
      </c>
      <c r="F4222" t="s">
        <v>4682</v>
      </c>
    </row>
    <row r="4223" spans="1:6" x14ac:dyDescent="0.15">
      <c r="A4223">
        <v>8754022</v>
      </c>
      <c r="B4223">
        <v>8415032</v>
      </c>
      <c r="C4223" t="s">
        <v>311</v>
      </c>
      <c r="D4223" t="s">
        <v>10</v>
      </c>
      <c r="E4223" s="4" t="str">
        <f>HYPERLINK("https://ibp.a2mac1.com/costing(costing:projects/details/9760/component/8754022)","Panel holder &gt; Clips in rectangular hole")</f>
        <v>Panel holder &gt; Clips in rectangular hole</v>
      </c>
      <c r="F4223" t="s">
        <v>4679</v>
      </c>
    </row>
    <row r="4224" spans="1:6" x14ac:dyDescent="0.15">
      <c r="A4224">
        <v>8415033</v>
      </c>
      <c r="B4224">
        <v>8414931</v>
      </c>
      <c r="C4224" t="s">
        <v>10</v>
      </c>
      <c r="D4224" t="s">
        <v>8</v>
      </c>
      <c r="E4224" s="4" t="str">
        <f>HYPERLINK("https://ibp.a2mac1.com/costing(costing:projects/details/9760/part/8415033)","C Pillar Upper Panel")</f>
        <v>C Pillar Upper Panel</v>
      </c>
      <c r="F4224" t="s">
        <v>4657</v>
      </c>
    </row>
    <row r="4225" spans="1:6" x14ac:dyDescent="0.15">
      <c r="A4225">
        <v>12084762</v>
      </c>
      <c r="B4225">
        <v>8415033</v>
      </c>
      <c r="C4225" t="s">
        <v>114</v>
      </c>
      <c r="D4225" t="s">
        <v>10</v>
      </c>
      <c r="E4225" s="4" t="str">
        <f>HYPERLINK("https://ibp.a2mac1.com/costing(costing:projects/details/9760/process/12084762)","Process")</f>
        <v>Process</v>
      </c>
      <c r="F4225" t="s">
        <v>4684</v>
      </c>
    </row>
    <row r="4226" spans="1:6" x14ac:dyDescent="0.15">
      <c r="A4226">
        <v>8754127</v>
      </c>
      <c r="B4226">
        <v>12084762</v>
      </c>
      <c r="C4226" t="s">
        <v>22</v>
      </c>
      <c r="D4226" t="s">
        <v>114</v>
      </c>
      <c r="E4226" s="4" t="str">
        <f>HYPERLINK("https://ibp.a2mac1.com/costing(costing:projects/details/9760/material/8754127)","ABS+artificial Suede+foam")</f>
        <v>ABS+artificial Suede+foam</v>
      </c>
      <c r="F4226" t="s">
        <v>4685</v>
      </c>
    </row>
    <row r="4227" spans="1:6" x14ac:dyDescent="0.15">
      <c r="A4227">
        <v>12211860</v>
      </c>
      <c r="B4227">
        <v>12084762</v>
      </c>
      <c r="C4227" t="s">
        <v>163</v>
      </c>
      <c r="D4227" t="s">
        <v>114</v>
      </c>
      <c r="E4227" s="4" t="str">
        <f>HYPERLINK("https://ibp.a2mac1.com/costing(costing:projects/details/9760/equipment/12211860)","Equipment")</f>
        <v>Equipment</v>
      </c>
      <c r="F4227" t="s">
        <v>4685</v>
      </c>
    </row>
    <row r="4228" spans="1:6" x14ac:dyDescent="0.15">
      <c r="A4228">
        <v>8754023</v>
      </c>
      <c r="B4228">
        <v>8415033</v>
      </c>
      <c r="C4228" t="s">
        <v>311</v>
      </c>
      <c r="D4228" t="s">
        <v>10</v>
      </c>
      <c r="E4228" s="4" t="str">
        <f>HYPERLINK("https://ibp.a2mac1.com/costing(costing:projects/details/9760/component/8754023)","Panel holder &gt; Clips in rectangular hole")</f>
        <v>Panel holder &gt; Clips in rectangular hole</v>
      </c>
      <c r="F4228" t="s">
        <v>4684</v>
      </c>
    </row>
    <row r="4229" spans="1:6" x14ac:dyDescent="0.15">
      <c r="A4229">
        <v>8415034</v>
      </c>
      <c r="B4229">
        <v>8414931</v>
      </c>
      <c r="C4229" t="s">
        <v>10</v>
      </c>
      <c r="D4229" t="s">
        <v>8</v>
      </c>
      <c r="E4229" s="4" t="str">
        <f>HYPERLINK("https://ibp.a2mac1.com/costing(costing:projects/details/9760/part/8415034)","C Pillar Central Panel")</f>
        <v>C Pillar Central Panel</v>
      </c>
      <c r="F4229" t="s">
        <v>4657</v>
      </c>
    </row>
    <row r="4230" spans="1:6" x14ac:dyDescent="0.15">
      <c r="A4230">
        <v>12084763</v>
      </c>
      <c r="B4230">
        <v>8415034</v>
      </c>
      <c r="C4230" t="s">
        <v>114</v>
      </c>
      <c r="D4230" t="s">
        <v>10</v>
      </c>
      <c r="E4230" s="4" t="str">
        <f>HYPERLINK("https://ibp.a2mac1.com/costing(costing:projects/details/9760/process/12084763)","Process")</f>
        <v>Process</v>
      </c>
      <c r="F4230" t="s">
        <v>4687</v>
      </c>
    </row>
    <row r="4231" spans="1:6" x14ac:dyDescent="0.15">
      <c r="A4231">
        <v>8754128</v>
      </c>
      <c r="B4231">
        <v>12084763</v>
      </c>
      <c r="C4231" t="s">
        <v>22</v>
      </c>
      <c r="D4231" t="s">
        <v>114</v>
      </c>
      <c r="E4231" s="4" t="str">
        <f>HYPERLINK("https://ibp.a2mac1.com/costing(costing:projects/details/9760/material/8754128)","ABS+artificial Suede+foam")</f>
        <v>ABS+artificial Suede+foam</v>
      </c>
      <c r="F4231" t="s">
        <v>4688</v>
      </c>
    </row>
    <row r="4232" spans="1:6" x14ac:dyDescent="0.15">
      <c r="A4232">
        <v>12211861</v>
      </c>
      <c r="B4232">
        <v>12084763</v>
      </c>
      <c r="C4232" t="s">
        <v>163</v>
      </c>
      <c r="D4232" t="s">
        <v>114</v>
      </c>
      <c r="E4232" s="4" t="str">
        <f>HYPERLINK("https://ibp.a2mac1.com/costing(costing:projects/details/9760/equipment/12211861)","Equipment")</f>
        <v>Equipment</v>
      </c>
      <c r="F4232" t="s">
        <v>4688</v>
      </c>
    </row>
    <row r="4233" spans="1:6" x14ac:dyDescent="0.15">
      <c r="A4233">
        <v>8415035</v>
      </c>
      <c r="B4233">
        <v>8414931</v>
      </c>
      <c r="C4233" t="s">
        <v>10</v>
      </c>
      <c r="D4233" t="s">
        <v>8</v>
      </c>
      <c r="E4233" s="4" t="str">
        <f>HYPERLINK("https://ibp.a2mac1.com/costing(costing:projects/details/9760/part/8415035)","C Pillar Lower Panel")</f>
        <v>C Pillar Lower Panel</v>
      </c>
      <c r="F4233" t="s">
        <v>4657</v>
      </c>
    </row>
    <row r="4234" spans="1:6" x14ac:dyDescent="0.15">
      <c r="A4234">
        <v>12084764</v>
      </c>
      <c r="B4234">
        <v>8415035</v>
      </c>
      <c r="C4234" t="s">
        <v>114</v>
      </c>
      <c r="D4234" t="s">
        <v>10</v>
      </c>
      <c r="E4234" s="4" t="str">
        <f>HYPERLINK("https://ibp.a2mac1.com/costing(costing:projects/details/9760/process/12084764)","Process")</f>
        <v>Process</v>
      </c>
      <c r="F4234" t="s">
        <v>4690</v>
      </c>
    </row>
    <row r="4235" spans="1:6" x14ac:dyDescent="0.15">
      <c r="A4235">
        <v>8754129</v>
      </c>
      <c r="B4235">
        <v>12084764</v>
      </c>
      <c r="C4235" t="s">
        <v>22</v>
      </c>
      <c r="D4235" t="s">
        <v>114</v>
      </c>
      <c r="E4235" s="4" t="str">
        <f>HYPERLINK("https://ibp.a2mac1.com/costing(costing:projects/details/9760/material/8754129)","ABS")</f>
        <v>ABS</v>
      </c>
      <c r="F4235" t="s">
        <v>4691</v>
      </c>
    </row>
    <row r="4236" spans="1:6" x14ac:dyDescent="0.15">
      <c r="A4236">
        <v>12211862</v>
      </c>
      <c r="B4236">
        <v>12084764</v>
      </c>
      <c r="C4236" t="s">
        <v>163</v>
      </c>
      <c r="D4236" t="s">
        <v>114</v>
      </c>
      <c r="E4236" s="4" t="str">
        <f>HYPERLINK("https://ibp.a2mac1.com/costing(costing:projects/details/9760/equipment/12211862)","DC machine - General")</f>
        <v>DC machine - General</v>
      </c>
      <c r="F4236" t="s">
        <v>4691</v>
      </c>
    </row>
    <row r="4237" spans="1:6" x14ac:dyDescent="0.15">
      <c r="A4237">
        <v>8754024</v>
      </c>
      <c r="B4237">
        <v>8415035</v>
      </c>
      <c r="C4237" t="s">
        <v>311</v>
      </c>
      <c r="D4237" t="s">
        <v>10</v>
      </c>
      <c r="E4237" s="4" t="str">
        <f>HYPERLINK("https://ibp.a2mac1.com/costing(costing:projects/details/9760/component/8754024)","Panel holder &gt; Clips in rectangular hole")</f>
        <v>Panel holder &gt; Clips in rectangular hole</v>
      </c>
      <c r="F4237" t="s">
        <v>4690</v>
      </c>
    </row>
    <row r="4238" spans="1:6" x14ac:dyDescent="0.15">
      <c r="A4238">
        <v>8415036</v>
      </c>
      <c r="B4238">
        <v>8414931</v>
      </c>
      <c r="C4238" t="s">
        <v>10</v>
      </c>
      <c r="D4238" t="s">
        <v>8</v>
      </c>
      <c r="E4238" s="4" t="str">
        <f>HYPERLINK("https://ibp.a2mac1.com/costing(costing:projects/details/9760/part/8415036)","Rear Quarter Panel")</f>
        <v>Rear Quarter Panel</v>
      </c>
      <c r="F4238" t="s">
        <v>4657</v>
      </c>
    </row>
    <row r="4239" spans="1:6" x14ac:dyDescent="0.15">
      <c r="A4239">
        <v>12084765</v>
      </c>
      <c r="B4239">
        <v>8415036</v>
      </c>
      <c r="C4239" t="s">
        <v>114</v>
      </c>
      <c r="D4239" t="s">
        <v>10</v>
      </c>
      <c r="E4239" s="4" t="str">
        <f>HYPERLINK("https://ibp.a2mac1.com/costing(costing:projects/details/9760/process/12084765)","Process")</f>
        <v>Process</v>
      </c>
      <c r="F4239" t="s">
        <v>4694</v>
      </c>
    </row>
    <row r="4240" spans="1:6" x14ac:dyDescent="0.15">
      <c r="A4240">
        <v>8754130</v>
      </c>
      <c r="B4240">
        <v>12084765</v>
      </c>
      <c r="C4240" t="s">
        <v>22</v>
      </c>
      <c r="D4240" t="s">
        <v>114</v>
      </c>
      <c r="E4240" s="4" t="str">
        <f>HYPERLINK("https://ibp.a2mac1.com/costing(costing:projects/details/9760/material/8754130)","PP-EPDM")</f>
        <v>PP-EPDM</v>
      </c>
      <c r="F4240" t="s">
        <v>4697</v>
      </c>
    </row>
    <row r="4241" spans="1:6" x14ac:dyDescent="0.15">
      <c r="A4241">
        <v>12211863</v>
      </c>
      <c r="B4241">
        <v>12084765</v>
      </c>
      <c r="C4241" t="s">
        <v>163</v>
      </c>
      <c r="D4241" t="s">
        <v>114</v>
      </c>
      <c r="E4241" s="4" t="str">
        <f>HYPERLINK("https://ibp.a2mac1.com/costing(costing:projects/details/9760/equipment/12211863)","DC machine - General")</f>
        <v>DC machine - General</v>
      </c>
      <c r="F4241" t="s">
        <v>4697</v>
      </c>
    </row>
    <row r="4242" spans="1:6" x14ac:dyDescent="0.15">
      <c r="A4242">
        <v>8754025</v>
      </c>
      <c r="B4242">
        <v>8415036</v>
      </c>
      <c r="C4242" t="s">
        <v>311</v>
      </c>
      <c r="D4242" t="s">
        <v>10</v>
      </c>
      <c r="E4242" s="4" t="str">
        <f>HYPERLINK("https://ibp.a2mac1.com/costing(costing:projects/details/9760/component/8754025)","Panel holder &gt; Clips in rectangular hole")</f>
        <v>Panel holder &gt; Clips in rectangular hole</v>
      </c>
      <c r="F4242" t="s">
        <v>4694</v>
      </c>
    </row>
    <row r="4243" spans="1:6" x14ac:dyDescent="0.15">
      <c r="A4243">
        <v>8415037</v>
      </c>
      <c r="B4243">
        <v>8414931</v>
      </c>
      <c r="C4243" t="s">
        <v>10</v>
      </c>
      <c r="D4243" t="s">
        <v>8</v>
      </c>
      <c r="E4243" s="4" t="str">
        <f>HYPERLINK("https://ibp.a2mac1.com/costing(costing:projects/details/9760/part/8415037)","C Pillar Panel Support")</f>
        <v>C Pillar Panel Support</v>
      </c>
      <c r="F4243" t="s">
        <v>4657</v>
      </c>
    </row>
    <row r="4244" spans="1:6" x14ac:dyDescent="0.15">
      <c r="A4244">
        <v>12084766</v>
      </c>
      <c r="B4244">
        <v>8415037</v>
      </c>
      <c r="C4244" t="s">
        <v>114</v>
      </c>
      <c r="D4244" t="s">
        <v>10</v>
      </c>
      <c r="E4244" s="4" t="str">
        <f>HYPERLINK("https://ibp.a2mac1.com/costing(costing:projects/details/9760/process/12084766)","Process")</f>
        <v>Process</v>
      </c>
      <c r="F4244" t="s">
        <v>4699</v>
      </c>
    </row>
    <row r="4245" spans="1:6" x14ac:dyDescent="0.15">
      <c r="A4245">
        <v>8754131</v>
      </c>
      <c r="B4245">
        <v>12084766</v>
      </c>
      <c r="C4245" t="s">
        <v>22</v>
      </c>
      <c r="D4245" t="s">
        <v>114</v>
      </c>
      <c r="E4245" s="4" t="str">
        <f>HYPERLINK("https://ibp.a2mac1.com/costing(costing:projects/details/9760/material/8754131)","PP-EPDM")</f>
        <v>PP-EPDM</v>
      </c>
      <c r="F4245" t="s">
        <v>4702</v>
      </c>
    </row>
    <row r="4246" spans="1:6" x14ac:dyDescent="0.15">
      <c r="A4246">
        <v>12211864</v>
      </c>
      <c r="B4246">
        <v>12084766</v>
      </c>
      <c r="C4246" t="s">
        <v>163</v>
      </c>
      <c r="D4246" t="s">
        <v>114</v>
      </c>
      <c r="E4246" s="4" t="str">
        <f>HYPERLINK("https://ibp.a2mac1.com/costing(costing:projects/details/9760/equipment/12211864)","DC machine - General")</f>
        <v>DC machine - General</v>
      </c>
      <c r="F4246" t="s">
        <v>4702</v>
      </c>
    </row>
    <row r="4247" spans="1:6" x14ac:dyDescent="0.15">
      <c r="A4247">
        <v>8754026</v>
      </c>
      <c r="B4247">
        <v>8415037</v>
      </c>
      <c r="C4247" t="s">
        <v>311</v>
      </c>
      <c r="D4247" t="s">
        <v>10</v>
      </c>
      <c r="E4247" s="4" t="str">
        <f>HYPERLINK("https://ibp.a2mac1.com/costing(costing:projects/details/9760/component/8754026)","Panel holder &gt; Clips in round hole")</f>
        <v>Panel holder &gt; Clips in round hole</v>
      </c>
      <c r="F4247" t="s">
        <v>4699</v>
      </c>
    </row>
    <row r="4248" spans="1:6" x14ac:dyDescent="0.15">
      <c r="A4248">
        <v>8415038</v>
      </c>
      <c r="B4248">
        <v>8414931</v>
      </c>
      <c r="C4248" t="s">
        <v>10</v>
      </c>
      <c r="D4248" t="s">
        <v>8</v>
      </c>
      <c r="E4248" s="4" t="str">
        <f>HYPERLINK("https://ibp.a2mac1.com/costing(costing:projects/details/9760/part/8415038)","2nd C Pillar Panel Support")</f>
        <v>2nd C Pillar Panel Support</v>
      </c>
      <c r="F4248" t="s">
        <v>4657</v>
      </c>
    </row>
    <row r="4249" spans="1:6" x14ac:dyDescent="0.15">
      <c r="A4249">
        <v>8415039</v>
      </c>
      <c r="B4249">
        <v>8414931</v>
      </c>
      <c r="C4249" t="s">
        <v>10</v>
      </c>
      <c r="D4249" t="s">
        <v>8</v>
      </c>
      <c r="E4249" s="4" t="str">
        <f>HYPERLINK("https://ibp.a2mac1.com/costing(costing:projects/details/9760/part/8415039)","Second Rear Quarter Panel")</f>
        <v>Second Rear Quarter Panel</v>
      </c>
      <c r="F4249" t="s">
        <v>4657</v>
      </c>
    </row>
    <row r="4250" spans="1:6" x14ac:dyDescent="0.15">
      <c r="A4250">
        <v>12084767</v>
      </c>
      <c r="B4250">
        <v>8415039</v>
      </c>
      <c r="C4250" t="s">
        <v>114</v>
      </c>
      <c r="D4250" t="s">
        <v>10</v>
      </c>
      <c r="E4250" s="4" t="str">
        <f>HYPERLINK("https://ibp.a2mac1.com/costing(costing:projects/details/9760/process/12084767)","Process")</f>
        <v>Process</v>
      </c>
      <c r="F4250" t="s">
        <v>4706</v>
      </c>
    </row>
    <row r="4251" spans="1:6" x14ac:dyDescent="0.15">
      <c r="A4251">
        <v>8754132</v>
      </c>
      <c r="B4251">
        <v>12084767</v>
      </c>
      <c r="C4251" t="s">
        <v>22</v>
      </c>
      <c r="D4251" t="s">
        <v>114</v>
      </c>
      <c r="E4251" s="4" t="str">
        <f>HYPERLINK("https://ibp.a2mac1.com/costing(costing:projects/details/9760/material/8754132)","PC-ABS+artificial Suede+foam")</f>
        <v>PC-ABS+artificial Suede+foam</v>
      </c>
      <c r="F4251" t="s">
        <v>4707</v>
      </c>
    </row>
    <row r="4252" spans="1:6" x14ac:dyDescent="0.15">
      <c r="A4252">
        <v>12211865</v>
      </c>
      <c r="B4252">
        <v>12084767</v>
      </c>
      <c r="C4252" t="s">
        <v>163</v>
      </c>
      <c r="D4252" t="s">
        <v>114</v>
      </c>
      <c r="E4252" s="4" t="str">
        <f>HYPERLINK("https://ibp.a2mac1.com/costing(costing:projects/details/9760/equipment/12211865)","DC machine - General")</f>
        <v>DC machine - General</v>
      </c>
      <c r="F4252" t="s">
        <v>4707</v>
      </c>
    </row>
    <row r="4253" spans="1:6" x14ac:dyDescent="0.15">
      <c r="A4253">
        <v>8754027</v>
      </c>
      <c r="B4253">
        <v>8415039</v>
      </c>
      <c r="C4253" t="s">
        <v>311</v>
      </c>
      <c r="D4253" t="s">
        <v>10</v>
      </c>
      <c r="E4253" s="4" t="str">
        <f>HYPERLINK("https://ibp.a2mac1.com/costing(costing:projects/details/9760/component/8754027)","Screw &gt; Torx socket head cap screw")</f>
        <v>Screw &gt; Torx socket head cap screw</v>
      </c>
      <c r="F4253" t="s">
        <v>4706</v>
      </c>
    </row>
    <row r="4254" spans="1:6" x14ac:dyDescent="0.15">
      <c r="A4254">
        <v>8754028</v>
      </c>
      <c r="B4254">
        <v>8415039</v>
      </c>
      <c r="C4254" t="s">
        <v>311</v>
      </c>
      <c r="D4254" t="s">
        <v>10</v>
      </c>
      <c r="E4254" s="4" t="str">
        <f>HYPERLINK("https://ibp.a2mac1.com/costing(costing:projects/details/9760/component/8754028)","Nut &gt; Clipping nut for soft materials screw")</f>
        <v>Nut &gt; Clipping nut for soft materials screw</v>
      </c>
      <c r="F4254" t="s">
        <v>4706</v>
      </c>
    </row>
    <row r="4255" spans="1:6" x14ac:dyDescent="0.15">
      <c r="A4255">
        <v>8415041</v>
      </c>
      <c r="B4255">
        <v>8414931</v>
      </c>
      <c r="C4255" t="s">
        <v>10</v>
      </c>
      <c r="D4255" t="s">
        <v>8</v>
      </c>
      <c r="E4255" s="4" t="str">
        <f>HYPERLINK("https://ibp.a2mac1.com/costing(costing:projects/details/9760/part/8415041)","B Pillar Upper Panel")</f>
        <v>B Pillar Upper Panel</v>
      </c>
      <c r="F4255" t="s">
        <v>4657</v>
      </c>
    </row>
    <row r="4256" spans="1:6" x14ac:dyDescent="0.15">
      <c r="A4256">
        <v>12084768</v>
      </c>
      <c r="B4256">
        <v>8415041</v>
      </c>
      <c r="C4256" t="s">
        <v>114</v>
      </c>
      <c r="D4256" t="s">
        <v>10</v>
      </c>
      <c r="E4256" s="4" t="str">
        <f>HYPERLINK("https://ibp.a2mac1.com/costing(costing:projects/details/9760/process/12084768)","Process")</f>
        <v>Process</v>
      </c>
      <c r="F4256" t="s">
        <v>4709</v>
      </c>
    </row>
    <row r="4257" spans="1:6" x14ac:dyDescent="0.15">
      <c r="A4257">
        <v>8754136</v>
      </c>
      <c r="B4257">
        <v>12084768</v>
      </c>
      <c r="C4257" t="s">
        <v>22</v>
      </c>
      <c r="D4257" t="s">
        <v>114</v>
      </c>
      <c r="E4257" s="4" t="str">
        <f>HYPERLINK("https://ibp.a2mac1.com/costing(costing:projects/details/9760/material/8754136)","PP EPDM+artificial Suede+foam")</f>
        <v>PP EPDM+artificial Suede+foam</v>
      </c>
      <c r="F4257" t="s">
        <v>4710</v>
      </c>
    </row>
    <row r="4258" spans="1:6" x14ac:dyDescent="0.15">
      <c r="A4258">
        <v>12211866</v>
      </c>
      <c r="B4258">
        <v>12084768</v>
      </c>
      <c r="C4258" t="s">
        <v>163</v>
      </c>
      <c r="D4258" t="s">
        <v>114</v>
      </c>
      <c r="E4258" s="4" t="str">
        <f>HYPERLINK("https://ibp.a2mac1.com/costing(costing:projects/details/9760/equipment/12211866)","Equipment")</f>
        <v>Equipment</v>
      </c>
      <c r="F4258" t="s">
        <v>4710</v>
      </c>
    </row>
    <row r="4259" spans="1:6" x14ac:dyDescent="0.15">
      <c r="A4259">
        <v>8754029</v>
      </c>
      <c r="B4259">
        <v>8415041</v>
      </c>
      <c r="C4259" t="s">
        <v>311</v>
      </c>
      <c r="D4259" t="s">
        <v>10</v>
      </c>
      <c r="E4259" s="4" t="str">
        <f>HYPERLINK("https://ibp.a2mac1.com/costing(costing:projects/details/9760/component/8754029)","Screw &gt; Cross recessed screw")</f>
        <v>Screw &gt; Cross recessed screw</v>
      </c>
      <c r="F4259" t="s">
        <v>4709</v>
      </c>
    </row>
    <row r="4260" spans="1:6" x14ac:dyDescent="0.15">
      <c r="A4260">
        <v>8754030</v>
      </c>
      <c r="B4260">
        <v>8415041</v>
      </c>
      <c r="C4260" t="s">
        <v>311</v>
      </c>
      <c r="D4260" t="s">
        <v>10</v>
      </c>
      <c r="E4260" s="4" t="str">
        <f>HYPERLINK("https://ibp.a2mac1.com/costing(costing:projects/details/9760/component/8754030)","Nut &gt; Clipping nut for soft materials screw")</f>
        <v>Nut &gt; Clipping nut for soft materials screw</v>
      </c>
      <c r="F4260" t="s">
        <v>4709</v>
      </c>
    </row>
    <row r="4261" spans="1:6" x14ac:dyDescent="0.15">
      <c r="A4261">
        <v>8754031</v>
      </c>
      <c r="B4261">
        <v>8415041</v>
      </c>
      <c r="C4261" t="s">
        <v>311</v>
      </c>
      <c r="D4261" t="s">
        <v>10</v>
      </c>
      <c r="E4261" s="4" t="str">
        <f>HYPERLINK("https://ibp.a2mac1.com/costing(costing:projects/details/9760/component/8754031)","Other fastener &gt; Attachment")</f>
        <v>Other fastener &gt; Attachment</v>
      </c>
      <c r="F4261" t="s">
        <v>4709</v>
      </c>
    </row>
    <row r="4262" spans="1:6" x14ac:dyDescent="0.15">
      <c r="A4262">
        <v>8754032</v>
      </c>
      <c r="B4262">
        <v>8415041</v>
      </c>
      <c r="C4262" t="s">
        <v>311</v>
      </c>
      <c r="D4262" t="s">
        <v>10</v>
      </c>
      <c r="E4262" s="4" t="str">
        <f>HYPERLINK("https://ibp.a2mac1.com/costing(costing:projects/details/9760/component/8754032)","Panel holder &gt; Clips in rectangular hole")</f>
        <v>Panel holder &gt; Clips in rectangular hole</v>
      </c>
      <c r="F4262" t="s">
        <v>4709</v>
      </c>
    </row>
    <row r="4263" spans="1:6" x14ac:dyDescent="0.15">
      <c r="A4263">
        <v>8754033</v>
      </c>
      <c r="B4263">
        <v>8415041</v>
      </c>
      <c r="C4263" t="s">
        <v>311</v>
      </c>
      <c r="D4263" t="s">
        <v>10</v>
      </c>
      <c r="E4263" s="4" t="str">
        <f>HYPERLINK("https://ibp.a2mac1.com/costing(costing:projects/details/9760/component/8754033)","Plug")</f>
        <v>Plug</v>
      </c>
      <c r="F4263" t="s">
        <v>4709</v>
      </c>
    </row>
    <row r="4264" spans="1:6" x14ac:dyDescent="0.15">
      <c r="A4264">
        <v>8753882</v>
      </c>
      <c r="B4264">
        <v>8414931</v>
      </c>
      <c r="C4264" t="s">
        <v>311</v>
      </c>
      <c r="D4264" t="s">
        <v>8</v>
      </c>
      <c r="E4264" s="4" t="str">
        <f>HYPERLINK("https://ibp.a2mac1.com/costing(costing:projects/details/9760/component/8753882)","Screw &gt; Hexagon screw with flange")</f>
        <v>Screw &gt; Hexagon screw with flange</v>
      </c>
      <c r="F4264" t="s">
        <v>4657</v>
      </c>
    </row>
    <row r="4265" spans="1:6" x14ac:dyDescent="0.15">
      <c r="A4265">
        <v>8414932</v>
      </c>
      <c r="B4265">
        <v>8414787</v>
      </c>
      <c r="C4265" t="s">
        <v>8</v>
      </c>
      <c r="D4265" t="s">
        <v>8</v>
      </c>
      <c r="E4265" s="4" t="str">
        <f>HYPERLINK("https://ibp.a2mac1.com/costing(costing:projects/details/9760/assembly/8414932)","Trunk")</f>
        <v>Trunk</v>
      </c>
      <c r="F4265" t="s">
        <v>4656</v>
      </c>
    </row>
    <row r="4266" spans="1:6" x14ac:dyDescent="0.15">
      <c r="A4266">
        <v>8415044</v>
      </c>
      <c r="B4266">
        <v>8414932</v>
      </c>
      <c r="C4266" t="s">
        <v>8</v>
      </c>
      <c r="D4266" t="s">
        <v>8</v>
      </c>
      <c r="E4266" s="4" t="str">
        <f>HYPERLINK("https://ibp.a2mac1.com/costing(costing:projects/details/9760/assembly/8415044)","Left Side Compartments")</f>
        <v>Left Side Compartments</v>
      </c>
      <c r="F4266" t="s">
        <v>4713</v>
      </c>
    </row>
    <row r="4267" spans="1:6" x14ac:dyDescent="0.15">
      <c r="A4267">
        <v>8415106</v>
      </c>
      <c r="B4267">
        <v>8415044</v>
      </c>
      <c r="C4267" t="s">
        <v>10</v>
      </c>
      <c r="D4267" t="s">
        <v>8</v>
      </c>
      <c r="E4267" s="4" t="str">
        <f>HYPERLINK("https://ibp.a2mac1.com/costing(costing:projects/details/9760/part/8415106)","Lower")</f>
        <v>Lower</v>
      </c>
      <c r="F4267" t="s">
        <v>4714</v>
      </c>
    </row>
    <row r="4268" spans="1:6" x14ac:dyDescent="0.15">
      <c r="A4268">
        <v>12084835</v>
      </c>
      <c r="B4268">
        <v>8415106</v>
      </c>
      <c r="C4268" t="s">
        <v>114</v>
      </c>
      <c r="D4268" t="s">
        <v>10</v>
      </c>
      <c r="E4268" s="4" t="str">
        <f>HYPERLINK("https://ibp.a2mac1.com/costing(costing:projects/details/9760/process/12084835)","Process")</f>
        <v>Process</v>
      </c>
      <c r="F4268" t="s">
        <v>4715</v>
      </c>
    </row>
    <row r="4269" spans="1:6" x14ac:dyDescent="0.15">
      <c r="A4269">
        <v>8754204</v>
      </c>
      <c r="B4269">
        <v>12084835</v>
      </c>
      <c r="C4269" t="s">
        <v>22</v>
      </c>
      <c r="D4269" t="s">
        <v>114</v>
      </c>
      <c r="E4269" s="4" t="str">
        <f>HYPERLINK("https://ibp.a2mac1.com/costing(costing:projects/details/9760/material/8754204)","PET adjusted (part)")</f>
        <v>PET adjusted (part)</v>
      </c>
      <c r="F4269" t="s">
        <v>4716</v>
      </c>
    </row>
    <row r="4270" spans="1:6" x14ac:dyDescent="0.15">
      <c r="A4270">
        <v>12211934</v>
      </c>
      <c r="B4270">
        <v>12084835</v>
      </c>
      <c r="C4270" t="s">
        <v>163</v>
      </c>
      <c r="D4270" t="s">
        <v>114</v>
      </c>
      <c r="E4270" s="4" t="str">
        <f>HYPERLINK("https://ibp.a2mac1.com/costing(costing:projects/details/9760/equipment/12211934)","DC machine - General")</f>
        <v>DC machine - General</v>
      </c>
      <c r="F4270" t="s">
        <v>4716</v>
      </c>
    </row>
    <row r="4271" spans="1:6" x14ac:dyDescent="0.15">
      <c r="A4271">
        <v>8754139</v>
      </c>
      <c r="B4271">
        <v>8415106</v>
      </c>
      <c r="C4271" t="s">
        <v>311</v>
      </c>
      <c r="D4271" t="s">
        <v>10</v>
      </c>
      <c r="E4271" s="4" t="str">
        <f>HYPERLINK("https://ibp.a2mac1.com/costing(costing:projects/details/9760/component/8754139)","Panel holder &gt; Clips on stud")</f>
        <v>Panel holder &gt; Clips on stud</v>
      </c>
      <c r="F4271" t="s">
        <v>4715</v>
      </c>
    </row>
    <row r="4272" spans="1:6" x14ac:dyDescent="0.15">
      <c r="A4272">
        <v>8754140</v>
      </c>
      <c r="B4272">
        <v>8415106</v>
      </c>
      <c r="C4272" t="s">
        <v>311</v>
      </c>
      <c r="D4272" t="s">
        <v>10</v>
      </c>
      <c r="E4272" s="4" t="str">
        <f>HYPERLINK("https://ibp.a2mac1.com/costing(costing:projects/details/9760/component/8754140)","EPP Foam")</f>
        <v>EPP Foam</v>
      </c>
      <c r="F4272" t="s">
        <v>4715</v>
      </c>
    </row>
    <row r="4273" spans="1:6" x14ac:dyDescent="0.15">
      <c r="A4273">
        <v>8754141</v>
      </c>
      <c r="B4273">
        <v>8415106</v>
      </c>
      <c r="C4273" t="s">
        <v>311</v>
      </c>
      <c r="D4273" t="s">
        <v>10</v>
      </c>
      <c r="E4273" s="4" t="str">
        <f>HYPERLINK("https://ibp.a2mac1.com/costing(costing:projects/details/9760/component/8754141)","PU Foam")</f>
        <v>PU Foam</v>
      </c>
      <c r="F4273" t="s">
        <v>4715</v>
      </c>
    </row>
    <row r="4274" spans="1:6" x14ac:dyDescent="0.15">
      <c r="A4274">
        <v>8754142</v>
      </c>
      <c r="B4274">
        <v>8415106</v>
      </c>
      <c r="C4274" t="s">
        <v>311</v>
      </c>
      <c r="D4274" t="s">
        <v>10</v>
      </c>
      <c r="E4274" s="4" t="str">
        <f>HYPERLINK("https://ibp.a2mac1.com/costing(costing:projects/details/9760/component/8754142)","Plastic Fixings")</f>
        <v>Plastic Fixings</v>
      </c>
      <c r="F4274" t="s">
        <v>4715</v>
      </c>
    </row>
    <row r="4275" spans="1:6" x14ac:dyDescent="0.15">
      <c r="A4275">
        <v>8754143</v>
      </c>
      <c r="B4275">
        <v>8415106</v>
      </c>
      <c r="C4275" t="s">
        <v>311</v>
      </c>
      <c r="D4275" t="s">
        <v>10</v>
      </c>
      <c r="E4275" s="4" t="str">
        <f>HYPERLINK("https://ibp.a2mac1.com/costing(costing:projects/details/9760/component/8754143)","Panel holder &gt; Clips in round hole")</f>
        <v>Panel holder &gt; Clips in round hole</v>
      </c>
      <c r="F4275" t="s">
        <v>4715</v>
      </c>
    </row>
    <row r="4276" spans="1:6" x14ac:dyDescent="0.15">
      <c r="A4276">
        <v>8415107</v>
      </c>
      <c r="B4276">
        <v>8415044</v>
      </c>
      <c r="C4276" t="s">
        <v>10</v>
      </c>
      <c r="D4276" t="s">
        <v>8</v>
      </c>
      <c r="E4276" s="4" t="str">
        <f>HYPERLINK("https://ibp.a2mac1.com/costing(costing:projects/details/9760/part/8415107)","Access Panel no storage")</f>
        <v>Access Panel no storage</v>
      </c>
      <c r="F4276" t="s">
        <v>4714</v>
      </c>
    </row>
    <row r="4277" spans="1:6" x14ac:dyDescent="0.15">
      <c r="A4277">
        <v>12084836</v>
      </c>
      <c r="B4277">
        <v>8415107</v>
      </c>
      <c r="C4277" t="s">
        <v>114</v>
      </c>
      <c r="D4277" t="s">
        <v>10</v>
      </c>
      <c r="E4277" s="4" t="str">
        <f>HYPERLINK("https://ibp.a2mac1.com/costing(costing:projects/details/9760/process/12084836)","Process")</f>
        <v>Process</v>
      </c>
      <c r="F4277" t="s">
        <v>4719</v>
      </c>
    </row>
    <row r="4278" spans="1:6" x14ac:dyDescent="0.15">
      <c r="A4278">
        <v>8754205</v>
      </c>
      <c r="B4278">
        <v>12084836</v>
      </c>
      <c r="C4278" t="s">
        <v>22</v>
      </c>
      <c r="D4278" t="s">
        <v>114</v>
      </c>
      <c r="E4278" s="4" t="str">
        <f>HYPERLINK("https://ibp.a2mac1.com/costing(costing:projects/details/9760/material/8754205)","PET adjusted (part)")</f>
        <v>PET adjusted (part)</v>
      </c>
      <c r="F4278" t="s">
        <v>4720</v>
      </c>
    </row>
    <row r="4279" spans="1:6" x14ac:dyDescent="0.15">
      <c r="A4279">
        <v>12211935</v>
      </c>
      <c r="B4279">
        <v>12084836</v>
      </c>
      <c r="C4279" t="s">
        <v>163</v>
      </c>
      <c r="D4279" t="s">
        <v>114</v>
      </c>
      <c r="E4279" s="4" t="str">
        <f>HYPERLINK("https://ibp.a2mac1.com/costing(costing:projects/details/9760/equipment/12211935)","DC machine - General")</f>
        <v>DC machine - General</v>
      </c>
      <c r="F4279" t="s">
        <v>4720</v>
      </c>
    </row>
    <row r="4280" spans="1:6" x14ac:dyDescent="0.15">
      <c r="A4280">
        <v>8415045</v>
      </c>
      <c r="B4280">
        <v>8414932</v>
      </c>
      <c r="C4280" t="s">
        <v>8</v>
      </c>
      <c r="D4280" t="s">
        <v>8</v>
      </c>
      <c r="E4280" s="4" t="str">
        <f>HYPERLINK("https://ibp.a2mac1.com/costing(costing:projects/details/9760/assembly/8415045)","Right Side Compartments")</f>
        <v>Right Side Compartments</v>
      </c>
      <c r="F4280" t="s">
        <v>4713</v>
      </c>
    </row>
    <row r="4281" spans="1:6" x14ac:dyDescent="0.15">
      <c r="A4281">
        <v>8415109</v>
      </c>
      <c r="B4281">
        <v>8415045</v>
      </c>
      <c r="C4281" t="s">
        <v>8</v>
      </c>
      <c r="D4281" t="s">
        <v>8</v>
      </c>
      <c r="E4281" s="4" t="str">
        <f>HYPERLINK("https://ibp.a2mac1.com/costing(costing:projects/details/9760/assembly/8415109)","Storage")</f>
        <v>Storage</v>
      </c>
      <c r="F4281" t="s">
        <v>4724</v>
      </c>
    </row>
    <row r="4282" spans="1:6" x14ac:dyDescent="0.15">
      <c r="A4282">
        <v>8415324</v>
      </c>
      <c r="B4282">
        <v>8415109</v>
      </c>
      <c r="C4282" t="s">
        <v>10</v>
      </c>
      <c r="D4282" t="s">
        <v>8</v>
      </c>
      <c r="E4282" s="4" t="str">
        <f>HYPERLINK("https://ibp.a2mac1.com/costing(costing:projects/details/9760/part/8415324)","Net")</f>
        <v>Net</v>
      </c>
      <c r="F4282" t="s">
        <v>4725</v>
      </c>
    </row>
    <row r="4283" spans="1:6" x14ac:dyDescent="0.15">
      <c r="A4283">
        <v>8754149</v>
      </c>
      <c r="B4283">
        <v>8415109</v>
      </c>
      <c r="C4283" t="s">
        <v>311</v>
      </c>
      <c r="D4283" t="s">
        <v>8</v>
      </c>
      <c r="E4283" s="4" t="str">
        <f>HYPERLINK("https://ibp.a2mac1.com/costing(costing:projects/details/9760/component/8754149)","Tube/cluster support &gt; Tube/cluster clipped support in hole")</f>
        <v>Tube/cluster support &gt; Tube/cluster clipped support in hole</v>
      </c>
      <c r="F4283" t="s">
        <v>4725</v>
      </c>
    </row>
    <row r="4284" spans="1:6" x14ac:dyDescent="0.15">
      <c r="A4284">
        <v>8754150</v>
      </c>
      <c r="B4284">
        <v>8415109</v>
      </c>
      <c r="C4284" t="s">
        <v>311</v>
      </c>
      <c r="D4284" t="s">
        <v>8</v>
      </c>
      <c r="E4284" s="4" t="str">
        <f>HYPERLINK("https://ibp.a2mac1.com/costing(costing:projects/details/9760/component/8754150)","Rivet &gt; Push-in rivet")</f>
        <v>Rivet &gt; Push-in rivet</v>
      </c>
      <c r="F4284" t="s">
        <v>4725</v>
      </c>
    </row>
    <row r="4285" spans="1:6" x14ac:dyDescent="0.15">
      <c r="A4285">
        <v>8415108</v>
      </c>
      <c r="B4285">
        <v>8415045</v>
      </c>
      <c r="C4285" t="s">
        <v>10</v>
      </c>
      <c r="D4285" t="s">
        <v>8</v>
      </c>
      <c r="E4285" s="4" t="str">
        <f>HYPERLINK("https://ibp.a2mac1.com/costing(costing:projects/details/9760/part/8415108)","Lower")</f>
        <v>Lower</v>
      </c>
      <c r="F4285" t="s">
        <v>4724</v>
      </c>
    </row>
    <row r="4286" spans="1:6" x14ac:dyDescent="0.15">
      <c r="A4286">
        <v>12084837</v>
      </c>
      <c r="B4286">
        <v>8415108</v>
      </c>
      <c r="C4286" t="s">
        <v>114</v>
      </c>
      <c r="D4286" t="s">
        <v>10</v>
      </c>
      <c r="E4286" s="4" t="str">
        <f>HYPERLINK("https://ibp.a2mac1.com/costing(costing:projects/details/9760/process/12084837)","Process")</f>
        <v>Process</v>
      </c>
      <c r="F4286" t="s">
        <v>4729</v>
      </c>
    </row>
    <row r="4287" spans="1:6" x14ac:dyDescent="0.15">
      <c r="A4287">
        <v>8754206</v>
      </c>
      <c r="B4287">
        <v>12084837</v>
      </c>
      <c r="C4287" t="s">
        <v>22</v>
      </c>
      <c r="D4287" t="s">
        <v>114</v>
      </c>
      <c r="E4287" s="4" t="str">
        <f>HYPERLINK("https://ibp.a2mac1.com/costing(costing:projects/details/9760/material/8754206)","PET adjusted (part)")</f>
        <v>PET adjusted (part)</v>
      </c>
      <c r="F4287" t="s">
        <v>4730</v>
      </c>
    </row>
    <row r="4288" spans="1:6" x14ac:dyDescent="0.15">
      <c r="A4288">
        <v>12211936</v>
      </c>
      <c r="B4288">
        <v>12084837</v>
      </c>
      <c r="C4288" t="s">
        <v>163</v>
      </c>
      <c r="D4288" t="s">
        <v>114</v>
      </c>
      <c r="E4288" s="4" t="str">
        <f>HYPERLINK("https://ibp.a2mac1.com/costing(costing:projects/details/9760/equipment/12211936)","DC machine - General")</f>
        <v>DC machine - General</v>
      </c>
      <c r="F4288" t="s">
        <v>4730</v>
      </c>
    </row>
    <row r="4289" spans="1:6" x14ac:dyDescent="0.15">
      <c r="A4289">
        <v>8754144</v>
      </c>
      <c r="B4289">
        <v>8415108</v>
      </c>
      <c r="C4289" t="s">
        <v>311</v>
      </c>
      <c r="D4289" t="s">
        <v>10</v>
      </c>
      <c r="E4289" s="4" t="str">
        <f>HYPERLINK("https://ibp.a2mac1.com/costing(costing:projects/details/9760/component/8754144)","Panel holder &gt; Clips in round hole")</f>
        <v>Panel holder &gt; Clips in round hole</v>
      </c>
      <c r="F4289" t="s">
        <v>4729</v>
      </c>
    </row>
    <row r="4290" spans="1:6" x14ac:dyDescent="0.15">
      <c r="A4290">
        <v>8754145</v>
      </c>
      <c r="B4290">
        <v>8415108</v>
      </c>
      <c r="C4290" t="s">
        <v>311</v>
      </c>
      <c r="D4290" t="s">
        <v>10</v>
      </c>
      <c r="E4290" s="4" t="str">
        <f>HYPERLINK("https://ibp.a2mac1.com/costing(costing:projects/details/9760/component/8754145)","Panel holder &gt; Clips on stud")</f>
        <v>Panel holder &gt; Clips on stud</v>
      </c>
      <c r="F4290" t="s">
        <v>4729</v>
      </c>
    </row>
    <row r="4291" spans="1:6" x14ac:dyDescent="0.15">
      <c r="A4291">
        <v>8754146</v>
      </c>
      <c r="B4291">
        <v>8415108</v>
      </c>
      <c r="C4291" t="s">
        <v>311</v>
      </c>
      <c r="D4291" t="s">
        <v>10</v>
      </c>
      <c r="E4291" s="4" t="str">
        <f>HYPERLINK("https://ibp.a2mac1.com/costing(costing:projects/details/9760/component/8754146)","EPP Foam")</f>
        <v>EPP Foam</v>
      </c>
      <c r="F4291" t="s">
        <v>4729</v>
      </c>
    </row>
    <row r="4292" spans="1:6" x14ac:dyDescent="0.15">
      <c r="A4292">
        <v>8754147</v>
      </c>
      <c r="B4292">
        <v>8415108</v>
      </c>
      <c r="C4292" t="s">
        <v>311</v>
      </c>
      <c r="D4292" t="s">
        <v>10</v>
      </c>
      <c r="E4292" s="4" t="str">
        <f>HYPERLINK("https://ibp.a2mac1.com/costing(costing:projects/details/9760/component/8754147)","PU Foam")</f>
        <v>PU Foam</v>
      </c>
      <c r="F4292" t="s">
        <v>4729</v>
      </c>
    </row>
    <row r="4293" spans="1:6" x14ac:dyDescent="0.15">
      <c r="A4293">
        <v>8754148</v>
      </c>
      <c r="B4293">
        <v>8415108</v>
      </c>
      <c r="C4293" t="s">
        <v>311</v>
      </c>
      <c r="D4293" t="s">
        <v>10</v>
      </c>
      <c r="E4293" s="4" t="str">
        <f>HYPERLINK("https://ibp.a2mac1.com/costing(costing:projects/details/9760/component/8754148)","Plastic Fixings")</f>
        <v>Plastic Fixings</v>
      </c>
      <c r="F4293" t="s">
        <v>4729</v>
      </c>
    </row>
    <row r="4294" spans="1:6" x14ac:dyDescent="0.15">
      <c r="A4294">
        <v>8415042</v>
      </c>
      <c r="B4294">
        <v>8414932</v>
      </c>
      <c r="C4294" t="s">
        <v>10</v>
      </c>
      <c r="D4294" t="s">
        <v>8</v>
      </c>
      <c r="E4294" s="4" t="str">
        <f>HYPERLINK("https://ibp.a2mac1.com/costing(costing:projects/details/9760/part/8415042)","Sill Panel")</f>
        <v>Sill Panel</v>
      </c>
      <c r="F4294" t="s">
        <v>4713</v>
      </c>
    </row>
    <row r="4295" spans="1:6" x14ac:dyDescent="0.15">
      <c r="A4295">
        <v>12084769</v>
      </c>
      <c r="B4295">
        <v>8415042</v>
      </c>
      <c r="C4295" t="s">
        <v>114</v>
      </c>
      <c r="D4295" t="s">
        <v>10</v>
      </c>
      <c r="E4295" s="4" t="str">
        <f>HYPERLINK("https://ibp.a2mac1.com/costing(costing:projects/details/9760/process/12084769)","Process")</f>
        <v>Process</v>
      </c>
      <c r="F4295" t="s">
        <v>4733</v>
      </c>
    </row>
    <row r="4296" spans="1:6" x14ac:dyDescent="0.15">
      <c r="A4296">
        <v>8754137</v>
      </c>
      <c r="B4296">
        <v>12084769</v>
      </c>
      <c r="C4296" t="s">
        <v>22</v>
      </c>
      <c r="D4296" t="s">
        <v>114</v>
      </c>
      <c r="E4296" s="4" t="str">
        <f>HYPERLINK("https://ibp.a2mac1.com/costing(costing:projects/details/9760/material/8754137)","PP-EPDM")</f>
        <v>PP-EPDM</v>
      </c>
      <c r="F4296" t="s">
        <v>4736</v>
      </c>
    </row>
    <row r="4297" spans="1:6" x14ac:dyDescent="0.15">
      <c r="A4297">
        <v>12211870</v>
      </c>
      <c r="B4297">
        <v>12084769</v>
      </c>
      <c r="C4297" t="s">
        <v>163</v>
      </c>
      <c r="D4297" t="s">
        <v>114</v>
      </c>
      <c r="E4297" s="4" t="str">
        <f>HYPERLINK("https://ibp.a2mac1.com/costing(costing:projects/details/9760/equipment/12211870)","DC machine - General")</f>
        <v>DC machine - General</v>
      </c>
      <c r="F4297" t="s">
        <v>4736</v>
      </c>
    </row>
    <row r="4298" spans="1:6" x14ac:dyDescent="0.15">
      <c r="A4298">
        <v>8415043</v>
      </c>
      <c r="B4298">
        <v>8414932</v>
      </c>
      <c r="C4298" t="s">
        <v>10</v>
      </c>
      <c r="D4298" t="s">
        <v>8</v>
      </c>
      <c r="E4298" s="4" t="str">
        <f>HYPERLINK("https://ibp.a2mac1.com/costing(costing:projects/details/9760/part/8415043)","Trunk Hinges Trims")</f>
        <v>Trunk Hinges Trims</v>
      </c>
      <c r="F4298" t="s">
        <v>4713</v>
      </c>
    </row>
    <row r="4299" spans="1:6" x14ac:dyDescent="0.15">
      <c r="A4299">
        <v>12084770</v>
      </c>
      <c r="B4299">
        <v>8415043</v>
      </c>
      <c r="C4299" t="s">
        <v>114</v>
      </c>
      <c r="D4299" t="s">
        <v>10</v>
      </c>
      <c r="E4299" s="4" t="str">
        <f>HYPERLINK("https://ibp.a2mac1.com/costing(costing:projects/details/9760/process/12084770)","Process")</f>
        <v>Process</v>
      </c>
      <c r="F4299" t="s">
        <v>4738</v>
      </c>
    </row>
    <row r="4300" spans="1:6" x14ac:dyDescent="0.15">
      <c r="A4300">
        <v>8754138</v>
      </c>
      <c r="B4300">
        <v>12084770</v>
      </c>
      <c r="C4300" t="s">
        <v>22</v>
      </c>
      <c r="D4300" t="s">
        <v>114</v>
      </c>
      <c r="E4300" s="4" t="str">
        <f>HYPERLINK("https://ibp.a2mac1.com/costing(costing:projects/details/9760/material/8754138)","PP")</f>
        <v>PP</v>
      </c>
      <c r="F4300" t="s">
        <v>4741</v>
      </c>
    </row>
    <row r="4301" spans="1:6" x14ac:dyDescent="0.15">
      <c r="A4301">
        <v>12211871</v>
      </c>
      <c r="B4301">
        <v>12084770</v>
      </c>
      <c r="C4301" t="s">
        <v>163</v>
      </c>
      <c r="D4301" t="s">
        <v>114</v>
      </c>
      <c r="E4301" s="4" t="str">
        <f>HYPERLINK("https://ibp.a2mac1.com/costing(costing:projects/details/9760/equipment/12211871)","DC machine - General")</f>
        <v>DC machine - General</v>
      </c>
      <c r="F4301" t="s">
        <v>4741</v>
      </c>
    </row>
    <row r="4302" spans="1:6" x14ac:dyDescent="0.15">
      <c r="A4302">
        <v>8753883</v>
      </c>
      <c r="B4302">
        <v>8414932</v>
      </c>
      <c r="C4302" t="s">
        <v>311</v>
      </c>
      <c r="D4302" t="s">
        <v>8</v>
      </c>
      <c r="E4302" s="4" t="str">
        <f>HYPERLINK("https://ibp.a2mac1.com/costing(costing:projects/details/9760/component/8753883)","Panel holder &gt; Clips in round hole")</f>
        <v>Panel holder &gt; Clips in round hole</v>
      </c>
      <c r="F4302" t="s">
        <v>4713</v>
      </c>
    </row>
    <row r="4303" spans="1:6" x14ac:dyDescent="0.15">
      <c r="A4303">
        <v>8414933</v>
      </c>
      <c r="B4303">
        <v>8414787</v>
      </c>
      <c r="C4303" t="s">
        <v>8</v>
      </c>
      <c r="D4303" t="s">
        <v>8</v>
      </c>
      <c r="E4303" s="4" t="str">
        <f>HYPERLINK("https://ibp.a2mac1.com/costing(costing:projects/details/9760/assembly/8414933)","Right Side")</f>
        <v>Right Side</v>
      </c>
      <c r="F4303" t="s">
        <v>4656</v>
      </c>
    </row>
    <row r="4304" spans="1:6" x14ac:dyDescent="0.15">
      <c r="A4304">
        <v>8415056</v>
      </c>
      <c r="B4304">
        <v>8414933</v>
      </c>
      <c r="C4304" t="s">
        <v>8</v>
      </c>
      <c r="D4304" t="s">
        <v>8</v>
      </c>
      <c r="E4304" s="4" t="str">
        <f>HYPERLINK("https://ibp.a2mac1.com/costing(costing:projects/details/9760/assembly/8415056)","Door Step Inner Panel")</f>
        <v>Door Step Inner Panel</v>
      </c>
      <c r="F4304" t="s">
        <v>4744</v>
      </c>
    </row>
    <row r="4305" spans="1:6" x14ac:dyDescent="0.15">
      <c r="A4305">
        <v>8415110</v>
      </c>
      <c r="B4305">
        <v>8415056</v>
      </c>
      <c r="C4305" t="s">
        <v>10</v>
      </c>
      <c r="D4305" t="s">
        <v>8</v>
      </c>
      <c r="E4305" s="4" t="str">
        <f>HYPERLINK("https://ibp.a2mac1.com/costing(costing:projects/details/9760/part/8415110)","Rear")</f>
        <v>Rear</v>
      </c>
      <c r="F4305" t="s">
        <v>4745</v>
      </c>
    </row>
    <row r="4306" spans="1:6" x14ac:dyDescent="0.15">
      <c r="A4306">
        <v>12084838</v>
      </c>
      <c r="B4306">
        <v>8415110</v>
      </c>
      <c r="C4306" t="s">
        <v>114</v>
      </c>
      <c r="D4306" t="s">
        <v>10</v>
      </c>
      <c r="E4306" s="4" t="str">
        <f>HYPERLINK("https://ibp.a2mac1.com/costing(costing:projects/details/9760/process/12084838)","Process")</f>
        <v>Process</v>
      </c>
      <c r="F4306" t="s">
        <v>4746</v>
      </c>
    </row>
    <row r="4307" spans="1:6" x14ac:dyDescent="0.15">
      <c r="A4307">
        <v>8754207</v>
      </c>
      <c r="B4307">
        <v>12084838</v>
      </c>
      <c r="C4307" t="s">
        <v>22</v>
      </c>
      <c r="D4307" t="s">
        <v>114</v>
      </c>
      <c r="E4307" s="4" t="str">
        <f>HYPERLINK("https://ibp.a2mac1.com/costing(costing:projects/details/9760/material/8754207)","PP-EPDM")</f>
        <v>PP-EPDM</v>
      </c>
      <c r="F4307" t="s">
        <v>4747</v>
      </c>
    </row>
    <row r="4308" spans="1:6" x14ac:dyDescent="0.15">
      <c r="A4308">
        <v>12211937</v>
      </c>
      <c r="B4308">
        <v>12084838</v>
      </c>
      <c r="C4308" t="s">
        <v>163</v>
      </c>
      <c r="D4308" t="s">
        <v>114</v>
      </c>
      <c r="E4308" s="4" t="str">
        <f>HYPERLINK("https://ibp.a2mac1.com/costing(costing:projects/details/9760/equipment/12211937)","DC machine - General")</f>
        <v>DC machine - General</v>
      </c>
      <c r="F4308" t="s">
        <v>4747</v>
      </c>
    </row>
    <row r="4309" spans="1:6" x14ac:dyDescent="0.15">
      <c r="A4309">
        <v>8754161</v>
      </c>
      <c r="B4309">
        <v>8415110</v>
      </c>
      <c r="C4309" t="s">
        <v>311</v>
      </c>
      <c r="D4309" t="s">
        <v>10</v>
      </c>
      <c r="E4309" s="4" t="str">
        <f>HYPERLINK("https://ibp.a2mac1.com/costing(costing:projects/details/9760/component/8754161)","Panel holder &gt; Clips in rectangular hole")</f>
        <v>Panel holder &gt; Clips in rectangular hole</v>
      </c>
      <c r="F4309" t="s">
        <v>4746</v>
      </c>
    </row>
    <row r="4310" spans="1:6" x14ac:dyDescent="0.15">
      <c r="A4310">
        <v>8754162</v>
      </c>
      <c r="B4310">
        <v>8415110</v>
      </c>
      <c r="C4310" t="s">
        <v>311</v>
      </c>
      <c r="D4310" t="s">
        <v>10</v>
      </c>
      <c r="E4310" s="4" t="str">
        <f>HYPERLINK("https://ibp.a2mac1.com/costing(costing:projects/details/9760/component/8754162)","Panel holder &gt; Clips in rectangular hole")</f>
        <v>Panel holder &gt; Clips in rectangular hole</v>
      </c>
      <c r="F4310" t="s">
        <v>4746</v>
      </c>
    </row>
    <row r="4311" spans="1:6" x14ac:dyDescent="0.15">
      <c r="A4311">
        <v>8754163</v>
      </c>
      <c r="B4311">
        <v>8415110</v>
      </c>
      <c r="C4311" t="s">
        <v>311</v>
      </c>
      <c r="D4311" t="s">
        <v>10</v>
      </c>
      <c r="E4311" s="4" t="str">
        <f>HYPERLINK("https://ibp.a2mac1.com/costing(costing:projects/details/9760/component/8754163)","Panel holder &gt; Clips in rectangular hole")</f>
        <v>Panel holder &gt; Clips in rectangular hole</v>
      </c>
      <c r="F4311" t="s">
        <v>4746</v>
      </c>
    </row>
    <row r="4312" spans="1:6" x14ac:dyDescent="0.15">
      <c r="A4312">
        <v>8415046</v>
      </c>
      <c r="B4312">
        <v>8414933</v>
      </c>
      <c r="C4312" t="s">
        <v>10</v>
      </c>
      <c r="D4312" t="s">
        <v>8</v>
      </c>
      <c r="E4312" s="4" t="str">
        <f>HYPERLINK("https://ibp.a2mac1.com/costing(costing:projects/details/9760/part/8415046)","A Pillar Upper Panel")</f>
        <v>A Pillar Upper Panel</v>
      </c>
      <c r="F4312" t="s">
        <v>4744</v>
      </c>
    </row>
    <row r="4313" spans="1:6" x14ac:dyDescent="0.15">
      <c r="A4313">
        <v>12084771</v>
      </c>
      <c r="B4313">
        <v>8415046</v>
      </c>
      <c r="C4313" t="s">
        <v>114</v>
      </c>
      <c r="D4313" t="s">
        <v>10</v>
      </c>
      <c r="E4313" s="4" t="str">
        <f>HYPERLINK("https://ibp.a2mac1.com/costing(costing:projects/details/9760/process/12084771)","Process")</f>
        <v>Process</v>
      </c>
      <c r="F4313" t="s">
        <v>4750</v>
      </c>
    </row>
    <row r="4314" spans="1:6" x14ac:dyDescent="0.15">
      <c r="A4314">
        <v>8754151</v>
      </c>
      <c r="B4314">
        <v>12084771</v>
      </c>
      <c r="C4314" t="s">
        <v>22</v>
      </c>
      <c r="D4314" t="s">
        <v>114</v>
      </c>
      <c r="E4314" s="4" t="str">
        <f>HYPERLINK("https://ibp.a2mac1.com/costing(costing:projects/details/9760/material/8754151)","PC-ABS+artificial Suede+foam")</f>
        <v>PC-ABS+artificial Suede+foam</v>
      </c>
      <c r="F4314" t="s">
        <v>4751</v>
      </c>
    </row>
    <row r="4315" spans="1:6" x14ac:dyDescent="0.15">
      <c r="A4315">
        <v>12211872</v>
      </c>
      <c r="B4315">
        <v>12084771</v>
      </c>
      <c r="C4315" t="s">
        <v>163</v>
      </c>
      <c r="D4315" t="s">
        <v>114</v>
      </c>
      <c r="E4315" s="4" t="str">
        <f>HYPERLINK("https://ibp.a2mac1.com/costing(costing:projects/details/9760/equipment/12211872)","Equipment")</f>
        <v>Equipment</v>
      </c>
      <c r="F4315" t="s">
        <v>4751</v>
      </c>
    </row>
    <row r="4316" spans="1:6" x14ac:dyDescent="0.15">
      <c r="A4316">
        <v>8754034</v>
      </c>
      <c r="B4316">
        <v>8415046</v>
      </c>
      <c r="C4316" t="s">
        <v>311</v>
      </c>
      <c r="D4316" t="s">
        <v>10</v>
      </c>
      <c r="E4316" s="4" t="str">
        <f>HYPERLINK("https://ibp.a2mac1.com/costing(costing:projects/details/9760/component/8754034)","Other fastener &gt; Attachment")</f>
        <v>Other fastener &gt; Attachment</v>
      </c>
      <c r="F4316" t="s">
        <v>4750</v>
      </c>
    </row>
    <row r="4317" spans="1:6" x14ac:dyDescent="0.15">
      <c r="A4317">
        <v>8754035</v>
      </c>
      <c r="B4317">
        <v>8415046</v>
      </c>
      <c r="C4317" t="s">
        <v>311</v>
      </c>
      <c r="D4317" t="s">
        <v>10</v>
      </c>
      <c r="E4317" s="4" t="str">
        <f>HYPERLINK("https://ibp.a2mac1.com/costing(costing:projects/details/9760/component/8754035)","Panel holder &gt; Clips in rectangular hole")</f>
        <v>Panel holder &gt; Clips in rectangular hole</v>
      </c>
      <c r="F4317" t="s">
        <v>4750</v>
      </c>
    </row>
    <row r="4318" spans="1:6" x14ac:dyDescent="0.15">
      <c r="A4318">
        <v>8415047</v>
      </c>
      <c r="B4318">
        <v>8414933</v>
      </c>
      <c r="C4318" t="s">
        <v>10</v>
      </c>
      <c r="D4318" t="s">
        <v>8</v>
      </c>
      <c r="E4318" s="4" t="str">
        <f>HYPERLINK("https://ibp.a2mac1.com/costing(costing:projects/details/9760/part/8415047)","A Pillar Lower Panel")</f>
        <v>A Pillar Lower Panel</v>
      </c>
      <c r="F4318" t="s">
        <v>4744</v>
      </c>
    </row>
    <row r="4319" spans="1:6" x14ac:dyDescent="0.15">
      <c r="A4319">
        <v>12084772</v>
      </c>
      <c r="B4319">
        <v>8415047</v>
      </c>
      <c r="C4319" t="s">
        <v>114</v>
      </c>
      <c r="D4319" t="s">
        <v>10</v>
      </c>
      <c r="E4319" s="4" t="str">
        <f>HYPERLINK("https://ibp.a2mac1.com/costing(costing:projects/details/9760/process/12084772)","Process")</f>
        <v>Process</v>
      </c>
      <c r="F4319" t="s">
        <v>4753</v>
      </c>
    </row>
    <row r="4320" spans="1:6" x14ac:dyDescent="0.15">
      <c r="A4320">
        <v>8754152</v>
      </c>
      <c r="B4320">
        <v>12084772</v>
      </c>
      <c r="C4320" t="s">
        <v>22</v>
      </c>
      <c r="D4320" t="s">
        <v>114</v>
      </c>
      <c r="E4320" s="4" t="str">
        <f>HYPERLINK("https://ibp.a2mac1.com/costing(costing:projects/details/9760/material/8754152)","PP-EPDM")</f>
        <v>PP-EPDM</v>
      </c>
      <c r="F4320" t="s">
        <v>4754</v>
      </c>
    </row>
    <row r="4321" spans="1:6" x14ac:dyDescent="0.15">
      <c r="A4321">
        <v>12211873</v>
      </c>
      <c r="B4321">
        <v>12084772</v>
      </c>
      <c r="C4321" t="s">
        <v>163</v>
      </c>
      <c r="D4321" t="s">
        <v>114</v>
      </c>
      <c r="E4321" s="4" t="str">
        <f>HYPERLINK("https://ibp.a2mac1.com/costing(costing:projects/details/9760/equipment/12211873)","DC machine - General")</f>
        <v>DC machine - General</v>
      </c>
      <c r="F4321" t="s">
        <v>4754</v>
      </c>
    </row>
    <row r="4322" spans="1:6" x14ac:dyDescent="0.15">
      <c r="A4322">
        <v>8754036</v>
      </c>
      <c r="B4322">
        <v>8415047</v>
      </c>
      <c r="C4322" t="s">
        <v>311</v>
      </c>
      <c r="D4322" t="s">
        <v>10</v>
      </c>
      <c r="E4322" s="4" t="str">
        <f>HYPERLINK("https://ibp.a2mac1.com/costing(costing:projects/details/9760/component/8754036)","Panel holder &gt; Clips in rectangular hole")</f>
        <v>Panel holder &gt; Clips in rectangular hole</v>
      </c>
      <c r="F4322" t="s">
        <v>4753</v>
      </c>
    </row>
    <row r="4323" spans="1:6" x14ac:dyDescent="0.15">
      <c r="A4323">
        <v>8754037</v>
      </c>
      <c r="B4323">
        <v>8415047</v>
      </c>
      <c r="C4323" t="s">
        <v>311</v>
      </c>
      <c r="D4323" t="s">
        <v>10</v>
      </c>
      <c r="E4323" s="4" t="str">
        <f>HYPERLINK("https://ibp.a2mac1.com/costing(costing:projects/details/9760/component/8754037)","Rivet &gt; Push in Rivet")</f>
        <v>Rivet &gt; Push in Rivet</v>
      </c>
      <c r="F4323" t="s">
        <v>4753</v>
      </c>
    </row>
    <row r="4324" spans="1:6" x14ac:dyDescent="0.15">
      <c r="A4324">
        <v>8415048</v>
      </c>
      <c r="B4324">
        <v>8414933</v>
      </c>
      <c r="C4324" t="s">
        <v>10</v>
      </c>
      <c r="D4324" t="s">
        <v>8</v>
      </c>
      <c r="E4324" s="4" t="str">
        <f>HYPERLINK("https://ibp.a2mac1.com/costing(costing:projects/details/9760/part/8415048)","B Pillar Central Panel")</f>
        <v>B Pillar Central Panel</v>
      </c>
      <c r="F4324" t="s">
        <v>4744</v>
      </c>
    </row>
    <row r="4325" spans="1:6" x14ac:dyDescent="0.15">
      <c r="A4325">
        <v>12084773</v>
      </c>
      <c r="B4325">
        <v>8415048</v>
      </c>
      <c r="C4325" t="s">
        <v>114</v>
      </c>
      <c r="D4325" t="s">
        <v>10</v>
      </c>
      <c r="E4325" s="4" t="str">
        <f>HYPERLINK("https://ibp.a2mac1.com/costing(costing:projects/details/9760/process/12084773)","Process")</f>
        <v>Process</v>
      </c>
      <c r="F4325" t="s">
        <v>4756</v>
      </c>
    </row>
    <row r="4326" spans="1:6" x14ac:dyDescent="0.15">
      <c r="A4326">
        <v>8754153</v>
      </c>
      <c r="B4326">
        <v>12084773</v>
      </c>
      <c r="C4326" t="s">
        <v>22</v>
      </c>
      <c r="D4326" t="s">
        <v>114</v>
      </c>
      <c r="E4326" s="4" t="str">
        <f>HYPERLINK("https://ibp.a2mac1.com/costing(costing:projects/details/9760/material/8754153)","ABS+artificial Suede+foam")</f>
        <v>ABS+artificial Suede+foam</v>
      </c>
      <c r="F4326" t="s">
        <v>4757</v>
      </c>
    </row>
    <row r="4327" spans="1:6" x14ac:dyDescent="0.15">
      <c r="A4327">
        <v>12211874</v>
      </c>
      <c r="B4327">
        <v>12084773</v>
      </c>
      <c r="C4327" t="s">
        <v>163</v>
      </c>
      <c r="D4327" t="s">
        <v>114</v>
      </c>
      <c r="E4327" s="4" t="str">
        <f>HYPERLINK("https://ibp.a2mac1.com/costing(costing:projects/details/9760/equipment/12211874)","Equipment")</f>
        <v>Equipment</v>
      </c>
      <c r="F4327" t="s">
        <v>4757</v>
      </c>
    </row>
    <row r="4328" spans="1:6" x14ac:dyDescent="0.15">
      <c r="A4328">
        <v>8415049</v>
      </c>
      <c r="B4328">
        <v>8414933</v>
      </c>
      <c r="C4328" t="s">
        <v>10</v>
      </c>
      <c r="D4328" t="s">
        <v>8</v>
      </c>
      <c r="E4328" s="4" t="str">
        <f>HYPERLINK("https://ibp.a2mac1.com/costing(costing:projects/details/9760/part/8415049)","B Pillar Lower Panel")</f>
        <v>B Pillar Lower Panel</v>
      </c>
      <c r="F4328" t="s">
        <v>4744</v>
      </c>
    </row>
    <row r="4329" spans="1:6" x14ac:dyDescent="0.15">
      <c r="A4329">
        <v>12084774</v>
      </c>
      <c r="B4329">
        <v>8415049</v>
      </c>
      <c r="C4329" t="s">
        <v>114</v>
      </c>
      <c r="D4329" t="s">
        <v>10</v>
      </c>
      <c r="E4329" s="4" t="str">
        <f>HYPERLINK("https://ibp.a2mac1.com/costing(costing:projects/details/9760/process/12084774)","Process")</f>
        <v>Process</v>
      </c>
      <c r="F4329" t="s">
        <v>4759</v>
      </c>
    </row>
    <row r="4330" spans="1:6" x14ac:dyDescent="0.15">
      <c r="A4330">
        <v>8754154</v>
      </c>
      <c r="B4330">
        <v>12084774</v>
      </c>
      <c r="C4330" t="s">
        <v>22</v>
      </c>
      <c r="D4330" t="s">
        <v>114</v>
      </c>
      <c r="E4330" s="4" t="str">
        <f>HYPERLINK("https://ibp.a2mac1.com/costing(costing:projects/details/9760/material/8754154)","PP-EPDM")</f>
        <v>PP-EPDM</v>
      </c>
      <c r="F4330" t="s">
        <v>4760</v>
      </c>
    </row>
    <row r="4331" spans="1:6" x14ac:dyDescent="0.15">
      <c r="A4331">
        <v>12211875</v>
      </c>
      <c r="B4331">
        <v>12084774</v>
      </c>
      <c r="C4331" t="s">
        <v>163</v>
      </c>
      <c r="D4331" t="s">
        <v>114</v>
      </c>
      <c r="E4331" s="4" t="str">
        <f>HYPERLINK("https://ibp.a2mac1.com/costing(costing:projects/details/9760/equipment/12211875)","DC machine - General")</f>
        <v>DC machine - General</v>
      </c>
      <c r="F4331" t="s">
        <v>4760</v>
      </c>
    </row>
    <row r="4332" spans="1:6" x14ac:dyDescent="0.15">
      <c r="A4332">
        <v>8754038</v>
      </c>
      <c r="B4332">
        <v>8415049</v>
      </c>
      <c r="C4332" t="s">
        <v>311</v>
      </c>
      <c r="D4332" t="s">
        <v>10</v>
      </c>
      <c r="E4332" s="4" t="str">
        <f>HYPERLINK("https://ibp.a2mac1.com/costing(costing:projects/details/9760/component/8754038)","Panel holder &gt; Clips in rectangular hole")</f>
        <v>Panel holder &gt; Clips in rectangular hole</v>
      </c>
      <c r="F4332" t="s">
        <v>4759</v>
      </c>
    </row>
    <row r="4333" spans="1:6" x14ac:dyDescent="0.15">
      <c r="A4333">
        <v>8415050</v>
      </c>
      <c r="B4333">
        <v>8414933</v>
      </c>
      <c r="C4333" t="s">
        <v>10</v>
      </c>
      <c r="D4333" t="s">
        <v>8</v>
      </c>
      <c r="E4333" s="4" t="str">
        <f>HYPERLINK("https://ibp.a2mac1.com/costing(costing:projects/details/9760/part/8415050)","C Pillar Upper Panel")</f>
        <v>C Pillar Upper Panel</v>
      </c>
      <c r="F4333" t="s">
        <v>4744</v>
      </c>
    </row>
    <row r="4334" spans="1:6" x14ac:dyDescent="0.15">
      <c r="A4334">
        <v>12084775</v>
      </c>
      <c r="B4334">
        <v>8415050</v>
      </c>
      <c r="C4334" t="s">
        <v>114</v>
      </c>
      <c r="D4334" t="s">
        <v>10</v>
      </c>
      <c r="E4334" s="4" t="str">
        <f>HYPERLINK("https://ibp.a2mac1.com/costing(costing:projects/details/9760/process/12084775)","Process")</f>
        <v>Process</v>
      </c>
      <c r="F4334" t="s">
        <v>4762</v>
      </c>
    </row>
    <row r="4335" spans="1:6" x14ac:dyDescent="0.15">
      <c r="A4335">
        <v>8754155</v>
      </c>
      <c r="B4335">
        <v>12084775</v>
      </c>
      <c r="C4335" t="s">
        <v>22</v>
      </c>
      <c r="D4335" t="s">
        <v>114</v>
      </c>
      <c r="E4335" s="4" t="str">
        <f>HYPERLINK("https://ibp.a2mac1.com/costing(costing:projects/details/9760/material/8754155)","ABS+artificial Suede+foam")</f>
        <v>ABS+artificial Suede+foam</v>
      </c>
      <c r="F4335" t="s">
        <v>4763</v>
      </c>
    </row>
    <row r="4336" spans="1:6" x14ac:dyDescent="0.15">
      <c r="A4336">
        <v>12211876</v>
      </c>
      <c r="B4336">
        <v>12084775</v>
      </c>
      <c r="C4336" t="s">
        <v>163</v>
      </c>
      <c r="D4336" t="s">
        <v>114</v>
      </c>
      <c r="E4336" s="4" t="str">
        <f>HYPERLINK("https://ibp.a2mac1.com/costing(costing:projects/details/9760/equipment/12211876)","Equipment")</f>
        <v>Equipment</v>
      </c>
      <c r="F4336" t="s">
        <v>4763</v>
      </c>
    </row>
    <row r="4337" spans="1:6" x14ac:dyDescent="0.15">
      <c r="A4337">
        <v>8754039</v>
      </c>
      <c r="B4337">
        <v>8415050</v>
      </c>
      <c r="C4337" t="s">
        <v>311</v>
      </c>
      <c r="D4337" t="s">
        <v>10</v>
      </c>
      <c r="E4337" s="4" t="str">
        <f>HYPERLINK("https://ibp.a2mac1.com/costing(costing:projects/details/9760/component/8754039)","Panel holder &gt; Clips in rectangular hole")</f>
        <v>Panel holder &gt; Clips in rectangular hole</v>
      </c>
      <c r="F4337" t="s">
        <v>4762</v>
      </c>
    </row>
    <row r="4338" spans="1:6" x14ac:dyDescent="0.15">
      <c r="A4338">
        <v>8415051</v>
      </c>
      <c r="B4338">
        <v>8414933</v>
      </c>
      <c r="C4338" t="s">
        <v>10</v>
      </c>
      <c r="D4338" t="s">
        <v>8</v>
      </c>
      <c r="E4338" s="4" t="str">
        <f>HYPERLINK("https://ibp.a2mac1.com/costing(costing:projects/details/9760/part/8415051)","C Pillar Central Panel")</f>
        <v>C Pillar Central Panel</v>
      </c>
      <c r="F4338" t="s">
        <v>4744</v>
      </c>
    </row>
    <row r="4339" spans="1:6" x14ac:dyDescent="0.15">
      <c r="A4339">
        <v>12084776</v>
      </c>
      <c r="B4339">
        <v>8415051</v>
      </c>
      <c r="C4339" t="s">
        <v>114</v>
      </c>
      <c r="D4339" t="s">
        <v>10</v>
      </c>
      <c r="E4339" s="4" t="str">
        <f>HYPERLINK("https://ibp.a2mac1.com/costing(costing:projects/details/9760/process/12084776)","Process")</f>
        <v>Process</v>
      </c>
      <c r="F4339" t="s">
        <v>4765</v>
      </c>
    </row>
    <row r="4340" spans="1:6" x14ac:dyDescent="0.15">
      <c r="A4340">
        <v>8754156</v>
      </c>
      <c r="B4340">
        <v>12084776</v>
      </c>
      <c r="C4340" t="s">
        <v>22</v>
      </c>
      <c r="D4340" t="s">
        <v>114</v>
      </c>
      <c r="E4340" s="4" t="str">
        <f>HYPERLINK("https://ibp.a2mac1.com/costing(costing:projects/details/9760/material/8754156)","ABS+artificial Suede+foam")</f>
        <v>ABS+artificial Suede+foam</v>
      </c>
      <c r="F4340" t="s">
        <v>4766</v>
      </c>
    </row>
    <row r="4341" spans="1:6" x14ac:dyDescent="0.15">
      <c r="A4341">
        <v>12211877</v>
      </c>
      <c r="B4341">
        <v>12084776</v>
      </c>
      <c r="C4341" t="s">
        <v>163</v>
      </c>
      <c r="D4341" t="s">
        <v>114</v>
      </c>
      <c r="E4341" s="4" t="str">
        <f>HYPERLINK("https://ibp.a2mac1.com/costing(costing:projects/details/9760/equipment/12211877)","Equipment")</f>
        <v>Equipment</v>
      </c>
      <c r="F4341" t="s">
        <v>4766</v>
      </c>
    </row>
    <row r="4342" spans="1:6" x14ac:dyDescent="0.15">
      <c r="A4342">
        <v>8415052</v>
      </c>
      <c r="B4342">
        <v>8414933</v>
      </c>
      <c r="C4342" t="s">
        <v>10</v>
      </c>
      <c r="D4342" t="s">
        <v>8</v>
      </c>
      <c r="E4342" s="4" t="str">
        <f>HYPERLINK("https://ibp.a2mac1.com/costing(costing:projects/details/9760/part/8415052)","C Pillar Lower Panel")</f>
        <v>C Pillar Lower Panel</v>
      </c>
      <c r="F4342" t="s">
        <v>4744</v>
      </c>
    </row>
    <row r="4343" spans="1:6" x14ac:dyDescent="0.15">
      <c r="A4343">
        <v>12084777</v>
      </c>
      <c r="B4343">
        <v>8415052</v>
      </c>
      <c r="C4343" t="s">
        <v>114</v>
      </c>
      <c r="D4343" t="s">
        <v>10</v>
      </c>
      <c r="E4343" s="4" t="str">
        <f>HYPERLINK("https://ibp.a2mac1.com/costing(costing:projects/details/9760/process/12084777)","Process")</f>
        <v>Process</v>
      </c>
      <c r="F4343" t="s">
        <v>4768</v>
      </c>
    </row>
    <row r="4344" spans="1:6" x14ac:dyDescent="0.15">
      <c r="A4344">
        <v>8754157</v>
      </c>
      <c r="B4344">
        <v>12084777</v>
      </c>
      <c r="C4344" t="s">
        <v>22</v>
      </c>
      <c r="D4344" t="s">
        <v>114</v>
      </c>
      <c r="E4344" s="4" t="str">
        <f>HYPERLINK("https://ibp.a2mac1.com/costing(costing:projects/details/9760/material/8754157)","ABS")</f>
        <v>ABS</v>
      </c>
      <c r="F4344" t="s">
        <v>4769</v>
      </c>
    </row>
    <row r="4345" spans="1:6" x14ac:dyDescent="0.15">
      <c r="A4345">
        <v>12211878</v>
      </c>
      <c r="B4345">
        <v>12084777</v>
      </c>
      <c r="C4345" t="s">
        <v>163</v>
      </c>
      <c r="D4345" t="s">
        <v>114</v>
      </c>
      <c r="E4345" s="4" t="str">
        <f>HYPERLINK("https://ibp.a2mac1.com/costing(costing:projects/details/9760/equipment/12211878)","DC machine - General")</f>
        <v>DC machine - General</v>
      </c>
      <c r="F4345" t="s">
        <v>4769</v>
      </c>
    </row>
    <row r="4346" spans="1:6" x14ac:dyDescent="0.15">
      <c r="A4346">
        <v>8754040</v>
      </c>
      <c r="B4346">
        <v>8415052</v>
      </c>
      <c r="C4346" t="s">
        <v>311</v>
      </c>
      <c r="D4346" t="s">
        <v>10</v>
      </c>
      <c r="E4346" s="4" t="str">
        <f>HYPERLINK("https://ibp.a2mac1.com/costing(costing:projects/details/9760/component/8754040)","Panel holder &gt; Clips in rectangular hole")</f>
        <v>Panel holder &gt; Clips in rectangular hole</v>
      </c>
      <c r="F4346" t="s">
        <v>4768</v>
      </c>
    </row>
    <row r="4347" spans="1:6" x14ac:dyDescent="0.15">
      <c r="A4347">
        <v>8415053</v>
      </c>
      <c r="B4347">
        <v>8414933</v>
      </c>
      <c r="C4347" t="s">
        <v>10</v>
      </c>
      <c r="D4347" t="s">
        <v>8</v>
      </c>
      <c r="E4347" s="4" t="str">
        <f>HYPERLINK("https://ibp.a2mac1.com/costing(costing:projects/details/9760/part/8415053)","Rear Quarter Panel")</f>
        <v>Rear Quarter Panel</v>
      </c>
      <c r="F4347" t="s">
        <v>4744</v>
      </c>
    </row>
    <row r="4348" spans="1:6" x14ac:dyDescent="0.15">
      <c r="A4348">
        <v>12084778</v>
      </c>
      <c r="B4348">
        <v>8415053</v>
      </c>
      <c r="C4348" t="s">
        <v>114</v>
      </c>
      <c r="D4348" t="s">
        <v>10</v>
      </c>
      <c r="E4348" s="4" t="str">
        <f>HYPERLINK("https://ibp.a2mac1.com/costing(costing:projects/details/9760/process/12084778)","Process")</f>
        <v>Process</v>
      </c>
      <c r="F4348" t="s">
        <v>4771</v>
      </c>
    </row>
    <row r="4349" spans="1:6" x14ac:dyDescent="0.15">
      <c r="A4349">
        <v>8754158</v>
      </c>
      <c r="B4349">
        <v>12084778</v>
      </c>
      <c r="C4349" t="s">
        <v>22</v>
      </c>
      <c r="D4349" t="s">
        <v>114</v>
      </c>
      <c r="E4349" s="4" t="str">
        <f>HYPERLINK("https://ibp.a2mac1.com/costing(costing:projects/details/9760/material/8754158)","PP-EPDM")</f>
        <v>PP-EPDM</v>
      </c>
      <c r="F4349" t="s">
        <v>4772</v>
      </c>
    </row>
    <row r="4350" spans="1:6" x14ac:dyDescent="0.15">
      <c r="A4350">
        <v>12211879</v>
      </c>
      <c r="B4350">
        <v>12084778</v>
      </c>
      <c r="C4350" t="s">
        <v>163</v>
      </c>
      <c r="D4350" t="s">
        <v>114</v>
      </c>
      <c r="E4350" s="4" t="str">
        <f>HYPERLINK("https://ibp.a2mac1.com/costing(costing:projects/details/9760/equipment/12211879)","DC machine - General")</f>
        <v>DC machine - General</v>
      </c>
      <c r="F4350" t="s">
        <v>4772</v>
      </c>
    </row>
    <row r="4351" spans="1:6" x14ac:dyDescent="0.15">
      <c r="A4351">
        <v>8754041</v>
      </c>
      <c r="B4351">
        <v>8415053</v>
      </c>
      <c r="C4351" t="s">
        <v>311</v>
      </c>
      <c r="D4351" t="s">
        <v>10</v>
      </c>
      <c r="E4351" s="4" t="str">
        <f>HYPERLINK("https://ibp.a2mac1.com/costing(costing:projects/details/9760/component/8754041)","Panel holder &gt; Clips in rectangular hole")</f>
        <v>Panel holder &gt; Clips in rectangular hole</v>
      </c>
      <c r="F4351" t="s">
        <v>4771</v>
      </c>
    </row>
    <row r="4352" spans="1:6" x14ac:dyDescent="0.15">
      <c r="A4352">
        <v>8415054</v>
      </c>
      <c r="B4352">
        <v>8414933</v>
      </c>
      <c r="C4352" t="s">
        <v>10</v>
      </c>
      <c r="D4352" t="s">
        <v>8</v>
      </c>
      <c r="E4352" s="4" t="str">
        <f>HYPERLINK("https://ibp.a2mac1.com/costing(costing:projects/details/9760/part/8415054)","C Pillar Panel Support")</f>
        <v>C Pillar Panel Support</v>
      </c>
      <c r="F4352" t="s">
        <v>4744</v>
      </c>
    </row>
    <row r="4353" spans="1:6" x14ac:dyDescent="0.15">
      <c r="A4353">
        <v>12084779</v>
      </c>
      <c r="B4353">
        <v>8415054</v>
      </c>
      <c r="C4353" t="s">
        <v>114</v>
      </c>
      <c r="D4353" t="s">
        <v>10</v>
      </c>
      <c r="E4353" s="4" t="str">
        <f>HYPERLINK("https://ibp.a2mac1.com/costing(costing:projects/details/9760/process/12084779)","Process")</f>
        <v>Process</v>
      </c>
      <c r="F4353" t="s">
        <v>4774</v>
      </c>
    </row>
    <row r="4354" spans="1:6" x14ac:dyDescent="0.15">
      <c r="A4354">
        <v>8754159</v>
      </c>
      <c r="B4354">
        <v>12084779</v>
      </c>
      <c r="C4354" t="s">
        <v>22</v>
      </c>
      <c r="D4354" t="s">
        <v>114</v>
      </c>
      <c r="E4354" s="4" t="str">
        <f>HYPERLINK("https://ibp.a2mac1.com/costing(costing:projects/details/9760/material/8754159)","PP-EPDM")</f>
        <v>PP-EPDM</v>
      </c>
      <c r="F4354" t="s">
        <v>4775</v>
      </c>
    </row>
    <row r="4355" spans="1:6" x14ac:dyDescent="0.15">
      <c r="A4355">
        <v>12211880</v>
      </c>
      <c r="B4355">
        <v>12084779</v>
      </c>
      <c r="C4355" t="s">
        <v>163</v>
      </c>
      <c r="D4355" t="s">
        <v>114</v>
      </c>
      <c r="E4355" s="4" t="str">
        <f>HYPERLINK("https://ibp.a2mac1.com/costing(costing:projects/details/9760/equipment/12211880)","DC machine - General")</f>
        <v>DC machine - General</v>
      </c>
      <c r="F4355" t="s">
        <v>4775</v>
      </c>
    </row>
    <row r="4356" spans="1:6" x14ac:dyDescent="0.15">
      <c r="A4356">
        <v>8754042</v>
      </c>
      <c r="B4356">
        <v>8415054</v>
      </c>
      <c r="C4356" t="s">
        <v>311</v>
      </c>
      <c r="D4356" t="s">
        <v>10</v>
      </c>
      <c r="E4356" s="4" t="str">
        <f>HYPERLINK("https://ibp.a2mac1.com/costing(costing:projects/details/9760/component/8754042)","Panel holder &gt; Clips in round hole")</f>
        <v>Panel holder &gt; Clips in round hole</v>
      </c>
      <c r="F4356" t="s">
        <v>4774</v>
      </c>
    </row>
    <row r="4357" spans="1:6" x14ac:dyDescent="0.15">
      <c r="A4357">
        <v>8415055</v>
      </c>
      <c r="B4357">
        <v>8414933</v>
      </c>
      <c r="C4357" t="s">
        <v>10</v>
      </c>
      <c r="D4357" t="s">
        <v>8</v>
      </c>
      <c r="E4357" s="4" t="str">
        <f>HYPERLINK("https://ibp.a2mac1.com/costing(costing:projects/details/9760/part/8415055)","Second Rear Quarter Panel")</f>
        <v>Second Rear Quarter Panel</v>
      </c>
      <c r="F4357" t="s">
        <v>4744</v>
      </c>
    </row>
    <row r="4358" spans="1:6" x14ac:dyDescent="0.15">
      <c r="A4358">
        <v>12084780</v>
      </c>
      <c r="B4358">
        <v>8415055</v>
      </c>
      <c r="C4358" t="s">
        <v>114</v>
      </c>
      <c r="D4358" t="s">
        <v>10</v>
      </c>
      <c r="E4358" s="4" t="str">
        <f>HYPERLINK("https://ibp.a2mac1.com/costing(costing:projects/details/9760/process/12084780)","Process")</f>
        <v>Process</v>
      </c>
      <c r="F4358" t="s">
        <v>4777</v>
      </c>
    </row>
    <row r="4359" spans="1:6" x14ac:dyDescent="0.15">
      <c r="A4359">
        <v>8754160</v>
      </c>
      <c r="B4359">
        <v>12084780</v>
      </c>
      <c r="C4359" t="s">
        <v>22</v>
      </c>
      <c r="D4359" t="s">
        <v>114</v>
      </c>
      <c r="E4359" s="4" t="str">
        <f>HYPERLINK("https://ibp.a2mac1.com/costing(costing:projects/details/9760/material/8754160)","PC-ABS+artificial Suede+foam")</f>
        <v>PC-ABS+artificial Suede+foam</v>
      </c>
      <c r="F4359" t="s">
        <v>4778</v>
      </c>
    </row>
    <row r="4360" spans="1:6" x14ac:dyDescent="0.15">
      <c r="A4360">
        <v>12211881</v>
      </c>
      <c r="B4360">
        <v>12084780</v>
      </c>
      <c r="C4360" t="s">
        <v>163</v>
      </c>
      <c r="D4360" t="s">
        <v>114</v>
      </c>
      <c r="E4360" s="4" t="str">
        <f>HYPERLINK("https://ibp.a2mac1.com/costing(costing:projects/details/9760/equipment/12211881)","DC machine - General")</f>
        <v>DC machine - General</v>
      </c>
      <c r="F4360" t="s">
        <v>4778</v>
      </c>
    </row>
    <row r="4361" spans="1:6" x14ac:dyDescent="0.15">
      <c r="A4361">
        <v>8754043</v>
      </c>
      <c r="B4361">
        <v>8415055</v>
      </c>
      <c r="C4361" t="s">
        <v>311</v>
      </c>
      <c r="D4361" t="s">
        <v>10</v>
      </c>
      <c r="E4361" s="4" t="str">
        <f>HYPERLINK("https://ibp.a2mac1.com/costing(costing:projects/details/9760/component/8754043)","Screw &gt; Torx socket head cap screw")</f>
        <v>Screw &gt; Torx socket head cap screw</v>
      </c>
      <c r="F4361" t="s">
        <v>4777</v>
      </c>
    </row>
    <row r="4362" spans="1:6" x14ac:dyDescent="0.15">
      <c r="A4362">
        <v>8754044</v>
      </c>
      <c r="B4362">
        <v>8415055</v>
      </c>
      <c r="C4362" t="s">
        <v>311</v>
      </c>
      <c r="D4362" t="s">
        <v>10</v>
      </c>
      <c r="E4362" s="4" t="str">
        <f>HYPERLINK("https://ibp.a2mac1.com/costing(costing:projects/details/9760/component/8754044)","Nut &gt; Clipping nut for soft materials screw")</f>
        <v>Nut &gt; Clipping nut for soft materials screw</v>
      </c>
      <c r="F4362" t="s">
        <v>4777</v>
      </c>
    </row>
    <row r="4363" spans="1:6" x14ac:dyDescent="0.15">
      <c r="A4363">
        <v>8415057</v>
      </c>
      <c r="B4363">
        <v>8414933</v>
      </c>
      <c r="C4363" t="s">
        <v>10</v>
      </c>
      <c r="D4363" t="s">
        <v>8</v>
      </c>
      <c r="E4363" s="4" t="str">
        <f>HYPERLINK("https://ibp.a2mac1.com/costing(costing:projects/details/9760/part/8415057)","B Pillar Upper Panel")</f>
        <v>B Pillar Upper Panel</v>
      </c>
      <c r="F4363" t="s">
        <v>4744</v>
      </c>
    </row>
    <row r="4364" spans="1:6" x14ac:dyDescent="0.15">
      <c r="A4364">
        <v>12084781</v>
      </c>
      <c r="B4364">
        <v>8415057</v>
      </c>
      <c r="C4364" t="s">
        <v>114</v>
      </c>
      <c r="D4364" t="s">
        <v>10</v>
      </c>
      <c r="E4364" s="4" t="str">
        <f>HYPERLINK("https://ibp.a2mac1.com/costing(costing:projects/details/9760/process/12084781)","Process")</f>
        <v>Process</v>
      </c>
      <c r="F4364" t="s">
        <v>4780</v>
      </c>
    </row>
    <row r="4365" spans="1:6" x14ac:dyDescent="0.15">
      <c r="A4365">
        <v>8754164</v>
      </c>
      <c r="B4365">
        <v>12084781</v>
      </c>
      <c r="C4365" t="s">
        <v>22</v>
      </c>
      <c r="D4365" t="s">
        <v>114</v>
      </c>
      <c r="E4365" s="4" t="str">
        <f>HYPERLINK("https://ibp.a2mac1.com/costing(costing:projects/details/9760/material/8754164)","PP EPDM+artificial Suede+foam")</f>
        <v>PP EPDM+artificial Suede+foam</v>
      </c>
      <c r="F4365" t="s">
        <v>4781</v>
      </c>
    </row>
    <row r="4366" spans="1:6" x14ac:dyDescent="0.15">
      <c r="A4366">
        <v>12211882</v>
      </c>
      <c r="B4366">
        <v>12084781</v>
      </c>
      <c r="C4366" t="s">
        <v>163</v>
      </c>
      <c r="D4366" t="s">
        <v>114</v>
      </c>
      <c r="E4366" s="4" t="str">
        <f>HYPERLINK("https://ibp.a2mac1.com/costing(costing:projects/details/9760/equipment/12211882)","Equipment")</f>
        <v>Equipment</v>
      </c>
      <c r="F4366" t="s">
        <v>4781</v>
      </c>
    </row>
    <row r="4367" spans="1:6" x14ac:dyDescent="0.15">
      <c r="A4367">
        <v>8754045</v>
      </c>
      <c r="B4367">
        <v>8415057</v>
      </c>
      <c r="C4367" t="s">
        <v>311</v>
      </c>
      <c r="D4367" t="s">
        <v>10</v>
      </c>
      <c r="E4367" s="4" t="str">
        <f>HYPERLINK("https://ibp.a2mac1.com/costing(costing:projects/details/9760/component/8754045)","Screw &gt; Cross recessed screw")</f>
        <v>Screw &gt; Cross recessed screw</v>
      </c>
      <c r="F4367" t="s">
        <v>4780</v>
      </c>
    </row>
    <row r="4368" spans="1:6" x14ac:dyDescent="0.15">
      <c r="A4368">
        <v>8754046</v>
      </c>
      <c r="B4368">
        <v>8415057</v>
      </c>
      <c r="C4368" t="s">
        <v>311</v>
      </c>
      <c r="D4368" t="s">
        <v>10</v>
      </c>
      <c r="E4368" s="4" t="str">
        <f>HYPERLINK("https://ibp.a2mac1.com/costing(costing:projects/details/9760/component/8754046)","Nut &gt; Clipping nut for soft materials screw")</f>
        <v>Nut &gt; Clipping nut for soft materials screw</v>
      </c>
      <c r="F4368" t="s">
        <v>4780</v>
      </c>
    </row>
    <row r="4369" spans="1:6" x14ac:dyDescent="0.15">
      <c r="A4369">
        <v>8754047</v>
      </c>
      <c r="B4369">
        <v>8415057</v>
      </c>
      <c r="C4369" t="s">
        <v>311</v>
      </c>
      <c r="D4369" t="s">
        <v>10</v>
      </c>
      <c r="E4369" s="4" t="str">
        <f>HYPERLINK("https://ibp.a2mac1.com/costing(costing:projects/details/9760/component/8754047)","Other fastener &gt; Attachment")</f>
        <v>Other fastener &gt; Attachment</v>
      </c>
      <c r="F4369" t="s">
        <v>4780</v>
      </c>
    </row>
    <row r="4370" spans="1:6" x14ac:dyDescent="0.15">
      <c r="A4370">
        <v>8754048</v>
      </c>
      <c r="B4370">
        <v>8415057</v>
      </c>
      <c r="C4370" t="s">
        <v>311</v>
      </c>
      <c r="D4370" t="s">
        <v>10</v>
      </c>
      <c r="E4370" s="4" t="str">
        <f>HYPERLINK("https://ibp.a2mac1.com/costing(costing:projects/details/9760/component/8754048)","Panel holder &gt; Clips in rectangular hole")</f>
        <v>Panel holder &gt; Clips in rectangular hole</v>
      </c>
      <c r="F4370" t="s">
        <v>4780</v>
      </c>
    </row>
    <row r="4371" spans="1:6" x14ac:dyDescent="0.15">
      <c r="A4371">
        <v>8754049</v>
      </c>
      <c r="B4371">
        <v>8415057</v>
      </c>
      <c r="C4371" t="s">
        <v>311</v>
      </c>
      <c r="D4371" t="s">
        <v>10</v>
      </c>
      <c r="E4371" s="4" t="str">
        <f>HYPERLINK("https://ibp.a2mac1.com/costing(costing:projects/details/9760/component/8754049)","Plug")</f>
        <v>Plug</v>
      </c>
      <c r="F4371" t="s">
        <v>4780</v>
      </c>
    </row>
    <row r="4372" spans="1:6" x14ac:dyDescent="0.15">
      <c r="A4372">
        <v>8753884</v>
      </c>
      <c r="B4372">
        <v>8414933</v>
      </c>
      <c r="C4372" t="s">
        <v>311</v>
      </c>
      <c r="D4372" t="s">
        <v>8</v>
      </c>
      <c r="E4372" s="4" t="str">
        <f>HYPERLINK("https://ibp.a2mac1.com/costing(costing:projects/details/9760/component/8753884)","Screw &gt; Hexagon screw with flange")</f>
        <v>Screw &gt; Hexagon screw with flange</v>
      </c>
      <c r="F4372" t="s">
        <v>4744</v>
      </c>
    </row>
    <row r="4373" spans="1:6" x14ac:dyDescent="0.15">
      <c r="A4373">
        <v>8414788</v>
      </c>
      <c r="B4373">
        <v>8414736</v>
      </c>
      <c r="C4373" t="s">
        <v>8</v>
      </c>
      <c r="D4373" t="s">
        <v>8</v>
      </c>
      <c r="E4373" s="4" t="str">
        <f>HYPERLINK("https://ibp.a2mac1.com/costing(costing:projects/details/9760/assembly/8414788)","Mirror System")</f>
        <v>Mirror System</v>
      </c>
      <c r="F4373" t="s">
        <v>4607</v>
      </c>
    </row>
    <row r="4374" spans="1:6" x14ac:dyDescent="0.15">
      <c r="A4374">
        <v>8414934</v>
      </c>
      <c r="B4374">
        <v>8414788</v>
      </c>
      <c r="C4374" t="s">
        <v>10</v>
      </c>
      <c r="D4374" t="s">
        <v>8</v>
      </c>
      <c r="E4374" s="4" t="str">
        <f>HYPERLINK("https://ibp.a2mac1.com/costing(costing:projects/details/9760/part/8414934)","Rear View Mirror")</f>
        <v>Rear View Mirror</v>
      </c>
      <c r="F4374" t="s">
        <v>4785</v>
      </c>
    </row>
    <row r="4375" spans="1:6" x14ac:dyDescent="0.15">
      <c r="A4375">
        <v>8414935</v>
      </c>
      <c r="B4375">
        <v>8414788</v>
      </c>
      <c r="C4375" t="s">
        <v>10</v>
      </c>
      <c r="D4375" t="s">
        <v>8</v>
      </c>
      <c r="E4375" s="4" t="str">
        <f>HYPERLINK("https://ibp.a2mac1.com/costing(costing:projects/details/9760/part/8414935)","Stand")</f>
        <v>Stand</v>
      </c>
      <c r="F4375" t="s">
        <v>4785</v>
      </c>
    </row>
    <row r="4376" spans="1:6" x14ac:dyDescent="0.15">
      <c r="A4376">
        <v>8414936</v>
      </c>
      <c r="B4376">
        <v>8414788</v>
      </c>
      <c r="C4376" t="s">
        <v>10</v>
      </c>
      <c r="D4376" t="s">
        <v>8</v>
      </c>
      <c r="E4376" s="4" t="str">
        <f>HYPERLINK("https://ibp.a2mac1.com/costing(costing:projects/details/9760/part/8414936)","Trim")</f>
        <v>Trim</v>
      </c>
      <c r="F4376" t="s">
        <v>4785</v>
      </c>
    </row>
    <row r="4377" spans="1:6" x14ac:dyDescent="0.15">
      <c r="A4377">
        <v>12084684</v>
      </c>
      <c r="B4377">
        <v>8414936</v>
      </c>
      <c r="C4377" t="s">
        <v>114</v>
      </c>
      <c r="D4377" t="s">
        <v>10</v>
      </c>
      <c r="E4377" s="4" t="str">
        <f>HYPERLINK("https://ibp.a2mac1.com/costing(costing:projects/details/9760/process/12084684)","Process")</f>
        <v>Process</v>
      </c>
      <c r="F4377" t="s">
        <v>4791</v>
      </c>
    </row>
    <row r="4378" spans="1:6" x14ac:dyDescent="0.15">
      <c r="A4378">
        <v>8754050</v>
      </c>
      <c r="B4378">
        <v>12084684</v>
      </c>
      <c r="C4378" t="s">
        <v>22</v>
      </c>
      <c r="D4378" t="s">
        <v>114</v>
      </c>
      <c r="E4378" s="4" t="str">
        <f>HYPERLINK("https://ibp.a2mac1.com/costing(costing:projects/details/9760/material/8754050)","PC-ABS")</f>
        <v>PC-ABS</v>
      </c>
      <c r="F4378" t="s">
        <v>4794</v>
      </c>
    </row>
    <row r="4379" spans="1:6" x14ac:dyDescent="0.15">
      <c r="A4379">
        <v>12211782</v>
      </c>
      <c r="B4379">
        <v>12084684</v>
      </c>
      <c r="C4379" t="s">
        <v>163</v>
      </c>
      <c r="D4379" t="s">
        <v>114</v>
      </c>
      <c r="E4379" s="4" t="str">
        <f>HYPERLINK("https://ibp.a2mac1.com/costing(costing:projects/details/9760/equipment/12211782)","DC machine - General")</f>
        <v>DC machine - General</v>
      </c>
      <c r="F4379" t="s">
        <v>4794</v>
      </c>
    </row>
    <row r="4380" spans="1:6" x14ac:dyDescent="0.15">
      <c r="A4380">
        <v>8414937</v>
      </c>
      <c r="B4380">
        <v>8414788</v>
      </c>
      <c r="C4380" t="s">
        <v>10</v>
      </c>
      <c r="D4380" t="s">
        <v>8</v>
      </c>
      <c r="E4380" s="4" t="str">
        <f>HYPERLINK("https://ibp.a2mac1.com/costing(costing:projects/details/9760/part/8414937)","Stand Support")</f>
        <v>Stand Support</v>
      </c>
      <c r="F4380" t="s">
        <v>4785</v>
      </c>
    </row>
    <row r="4381" spans="1:6" x14ac:dyDescent="0.15">
      <c r="A4381">
        <v>8414938</v>
      </c>
      <c r="B4381">
        <v>8414788</v>
      </c>
      <c r="C4381" t="s">
        <v>10</v>
      </c>
      <c r="D4381" t="s">
        <v>8</v>
      </c>
      <c r="E4381" s="4" t="str">
        <f>HYPERLINK("https://ibp.a2mac1.com/costing(costing:projects/details/9760/part/8414938)","2nd Trim")</f>
        <v>2nd Trim</v>
      </c>
      <c r="F4381" t="s">
        <v>4785</v>
      </c>
    </row>
    <row r="4382" spans="1:6" x14ac:dyDescent="0.15">
      <c r="A4382">
        <v>12084685</v>
      </c>
      <c r="B4382">
        <v>8414938</v>
      </c>
      <c r="C4382" t="s">
        <v>114</v>
      </c>
      <c r="D4382" t="s">
        <v>10</v>
      </c>
      <c r="E4382" s="4" t="str">
        <f>HYPERLINK("https://ibp.a2mac1.com/costing(costing:projects/details/9760/process/12084685)","Process")</f>
        <v>Process</v>
      </c>
      <c r="F4382" t="s">
        <v>4797</v>
      </c>
    </row>
    <row r="4383" spans="1:6" x14ac:dyDescent="0.15">
      <c r="A4383">
        <v>8754051</v>
      </c>
      <c r="B4383">
        <v>12084685</v>
      </c>
      <c r="C4383" t="s">
        <v>22</v>
      </c>
      <c r="D4383" t="s">
        <v>114</v>
      </c>
      <c r="E4383" s="4" t="str">
        <f>HYPERLINK("https://ibp.a2mac1.com/costing(costing:projects/details/9760/material/8754051)","PC-ABS")</f>
        <v>PC-ABS</v>
      </c>
      <c r="F4383" t="s">
        <v>4798</v>
      </c>
    </row>
    <row r="4384" spans="1:6" x14ac:dyDescent="0.15">
      <c r="A4384">
        <v>12211783</v>
      </c>
      <c r="B4384">
        <v>12084685</v>
      </c>
      <c r="C4384" t="s">
        <v>163</v>
      </c>
      <c r="D4384" t="s">
        <v>114</v>
      </c>
      <c r="E4384" s="4" t="str">
        <f>HYPERLINK("https://ibp.a2mac1.com/costing(costing:projects/details/9760/equipment/12211783)","DC machine - General")</f>
        <v>DC machine - General</v>
      </c>
      <c r="F4384" t="s">
        <v>4798</v>
      </c>
    </row>
    <row r="4385" spans="1:6" x14ac:dyDescent="0.15">
      <c r="A4385">
        <v>8414939</v>
      </c>
      <c r="B4385">
        <v>8414788</v>
      </c>
      <c r="C4385" t="s">
        <v>10</v>
      </c>
      <c r="D4385" t="s">
        <v>8</v>
      </c>
      <c r="E4385" s="4" t="str">
        <f>HYPERLINK("https://ibp.a2mac1.com/costing(costing:projects/details/9760/part/8414939)","Multifunction Support")</f>
        <v>Multifunction Support</v>
      </c>
      <c r="F4385" t="s">
        <v>4785</v>
      </c>
    </row>
    <row r="4386" spans="1:6" x14ac:dyDescent="0.15">
      <c r="A4386">
        <v>12084686</v>
      </c>
      <c r="B4386">
        <v>8414939</v>
      </c>
      <c r="C4386" t="s">
        <v>114</v>
      </c>
      <c r="D4386" t="s">
        <v>10</v>
      </c>
      <c r="E4386" s="4" t="str">
        <f>HYPERLINK("https://ibp.a2mac1.com/costing(costing:projects/details/9760/process/12084686)","Process")</f>
        <v>Process</v>
      </c>
      <c r="F4386" t="s">
        <v>4800</v>
      </c>
    </row>
    <row r="4387" spans="1:6" x14ac:dyDescent="0.15">
      <c r="A4387">
        <v>8754052</v>
      </c>
      <c r="B4387">
        <v>12084686</v>
      </c>
      <c r="C4387" t="s">
        <v>22</v>
      </c>
      <c r="D4387" t="s">
        <v>114</v>
      </c>
      <c r="E4387" s="4" t="str">
        <f>HYPERLINK("https://ibp.a2mac1.com/costing(costing:projects/details/9760/material/8754052)","Steel sheet (default)")</f>
        <v>Steel sheet (default)</v>
      </c>
      <c r="F4387" t="s">
        <v>4803</v>
      </c>
    </row>
    <row r="4388" spans="1:6" x14ac:dyDescent="0.15">
      <c r="A4388">
        <v>12211784</v>
      </c>
      <c r="B4388">
        <v>12084686</v>
      </c>
      <c r="C4388" t="s">
        <v>163</v>
      </c>
      <c r="D4388" t="s">
        <v>114</v>
      </c>
      <c r="E4388" s="4" t="str">
        <f>HYPERLINK("https://ibp.a2mac1.com/costing(costing:projects/details/9760/equipment/12211784)","DC machine - General")</f>
        <v>DC machine - General</v>
      </c>
      <c r="F4388" t="s">
        <v>4803</v>
      </c>
    </row>
    <row r="4389" spans="1:6" x14ac:dyDescent="0.15">
      <c r="A4389">
        <v>8753840</v>
      </c>
      <c r="B4389">
        <v>8414788</v>
      </c>
      <c r="C4389" t="s">
        <v>311</v>
      </c>
      <c r="D4389" t="s">
        <v>8</v>
      </c>
      <c r="E4389" s="4" t="str">
        <f>HYPERLINK("https://ibp.a2mac1.com/costing(costing:projects/details/9760/component/8753840)","Screw &gt; Cross recessed screw")</f>
        <v>Screw &gt; Cross recessed screw</v>
      </c>
      <c r="F4389" t="s">
        <v>4785</v>
      </c>
    </row>
    <row r="4390" spans="1:6" x14ac:dyDescent="0.15">
      <c r="A4390">
        <v>8753841</v>
      </c>
      <c r="B4390">
        <v>8414788</v>
      </c>
      <c r="C4390" t="s">
        <v>311</v>
      </c>
      <c r="D4390" t="s">
        <v>8</v>
      </c>
      <c r="E4390" s="4" t="str">
        <f>HYPERLINK("https://ibp.a2mac1.com/costing(costing:projects/details/9760/component/8753841)","Screw &gt; Hexagon socket head cap screw with flange")</f>
        <v>Screw &gt; Hexagon socket head cap screw with flange</v>
      </c>
      <c r="F4390" t="s">
        <v>4785</v>
      </c>
    </row>
    <row r="4391" spans="1:6" x14ac:dyDescent="0.15">
      <c r="A4391">
        <v>8753842</v>
      </c>
      <c r="B4391">
        <v>8414788</v>
      </c>
      <c r="C4391" t="s">
        <v>311</v>
      </c>
      <c r="D4391" t="s">
        <v>8</v>
      </c>
      <c r="E4391" s="4" t="str">
        <f>HYPERLINK("https://ibp.a2mac1.com/costing(costing:projects/details/9760/component/8753842)","Panel holder &gt; Clips in rectangular hole")</f>
        <v>Panel holder &gt; Clips in rectangular hole</v>
      </c>
      <c r="F4391" t="s">
        <v>4785</v>
      </c>
    </row>
    <row r="4392" spans="1:6" x14ac:dyDescent="0.15">
      <c r="A4392">
        <v>8753843</v>
      </c>
      <c r="B4392">
        <v>8414788</v>
      </c>
      <c r="C4392" t="s">
        <v>311</v>
      </c>
      <c r="D4392" t="s">
        <v>8</v>
      </c>
      <c r="E4392" s="4" t="str">
        <f>HYPERLINK("https://ibp.a2mac1.com/costing(costing:projects/details/9760/component/8753843)","Other fastener &gt; Attachment")</f>
        <v>Other fastener &gt; Attachment</v>
      </c>
      <c r="F4392" t="s">
        <v>4785</v>
      </c>
    </row>
    <row r="4393" spans="1:6" x14ac:dyDescent="0.15">
      <c r="A4393">
        <v>8414789</v>
      </c>
      <c r="B4393">
        <v>8414736</v>
      </c>
      <c r="C4393" t="s">
        <v>8</v>
      </c>
      <c r="D4393" t="s">
        <v>8</v>
      </c>
      <c r="E4393" s="4" t="str">
        <f>HYPERLINK("https://ibp.a2mac1.com/costing(costing:projects/details/9760/assembly/8414789)","Parcel Tray System")</f>
        <v>Parcel Tray System</v>
      </c>
      <c r="F4393" t="s">
        <v>4607</v>
      </c>
    </row>
    <row r="4394" spans="1:6" x14ac:dyDescent="0.15">
      <c r="A4394">
        <v>8414940</v>
      </c>
      <c r="B4394">
        <v>8414789</v>
      </c>
      <c r="C4394" t="s">
        <v>10</v>
      </c>
      <c r="D4394" t="s">
        <v>8</v>
      </c>
      <c r="E4394" s="4" t="str">
        <f>HYPERLINK("https://ibp.a2mac1.com/costing(costing:projects/details/9760/part/8414940)","Parcel Tray")</f>
        <v>Parcel Tray</v>
      </c>
      <c r="F4394" t="s">
        <v>4806</v>
      </c>
    </row>
    <row r="4395" spans="1:6" x14ac:dyDescent="0.15">
      <c r="A4395">
        <v>12084687</v>
      </c>
      <c r="B4395">
        <v>8414940</v>
      </c>
      <c r="C4395" t="s">
        <v>114</v>
      </c>
      <c r="D4395" t="s">
        <v>10</v>
      </c>
      <c r="E4395" s="4" t="str">
        <f>HYPERLINK("https://ibp.a2mac1.com/costing(costing:projects/details/9760/process/12084687)","Process")</f>
        <v>Process</v>
      </c>
      <c r="F4395" t="s">
        <v>4807</v>
      </c>
    </row>
    <row r="4396" spans="1:6" x14ac:dyDescent="0.15">
      <c r="A4396">
        <v>8754053</v>
      </c>
      <c r="B4396">
        <v>12084687</v>
      </c>
      <c r="C4396" t="s">
        <v>22</v>
      </c>
      <c r="D4396" t="s">
        <v>114</v>
      </c>
      <c r="E4396" s="4" t="str">
        <f>HYPERLINK("https://ibp.a2mac1.com/costing(costing:projects/details/9760/material/8754053)","PLASTIC UNKNOWN")</f>
        <v>PLASTIC UNKNOWN</v>
      </c>
      <c r="F4396" t="s">
        <v>4808</v>
      </c>
    </row>
    <row r="4397" spans="1:6" x14ac:dyDescent="0.15">
      <c r="A4397">
        <v>12211785</v>
      </c>
      <c r="B4397">
        <v>12084687</v>
      </c>
      <c r="C4397" t="s">
        <v>163</v>
      </c>
      <c r="D4397" t="s">
        <v>114</v>
      </c>
      <c r="E4397" s="4" t="str">
        <f>HYPERLINK("https://ibp.a2mac1.com/costing(costing:projects/details/9760/equipment/12211785)","DC machine - General")</f>
        <v>DC machine - General</v>
      </c>
      <c r="F4397" t="s">
        <v>4808</v>
      </c>
    </row>
    <row r="4398" spans="1:6" x14ac:dyDescent="0.15">
      <c r="A4398">
        <v>8753844</v>
      </c>
      <c r="B4398">
        <v>8414789</v>
      </c>
      <c r="C4398" t="s">
        <v>311</v>
      </c>
      <c r="D4398" t="s">
        <v>8</v>
      </c>
      <c r="E4398" s="4" t="str">
        <f>HYPERLINK("https://ibp.a2mac1.com/costing(costing:projects/details/9760/component/8753844)","Panel holder &gt; Clips on stud")</f>
        <v>Panel holder &gt; Clips on stud</v>
      </c>
      <c r="F4398" t="s">
        <v>4806</v>
      </c>
    </row>
    <row r="4399" spans="1:6" x14ac:dyDescent="0.15">
      <c r="A4399">
        <v>8414790</v>
      </c>
      <c r="B4399">
        <v>8414736</v>
      </c>
      <c r="C4399" t="s">
        <v>8</v>
      </c>
      <c r="D4399" t="s">
        <v>8</v>
      </c>
      <c r="E4399" s="4" t="str">
        <f>HYPERLINK("https://ibp.a2mac1.com/costing(costing:projects/details/9760/assembly/8414790)","Storage")</f>
        <v>Storage</v>
      </c>
      <c r="F4399" t="s">
        <v>4607</v>
      </c>
    </row>
    <row r="4400" spans="1:6" x14ac:dyDescent="0.15">
      <c r="A4400">
        <v>8414944</v>
      </c>
      <c r="B4400">
        <v>8414790</v>
      </c>
      <c r="C4400" t="s">
        <v>8</v>
      </c>
      <c r="D4400" t="s">
        <v>8</v>
      </c>
      <c r="E4400" s="4" t="str">
        <f>HYPERLINK("https://ibp.a2mac1.com/costing(costing:projects/details/9760/assembly/8414944)","Front Trunk System")</f>
        <v>Front Trunk System</v>
      </c>
      <c r="F4400" t="s">
        <v>4812</v>
      </c>
    </row>
    <row r="4401" spans="1:6" x14ac:dyDescent="0.15">
      <c r="A4401">
        <v>8415058</v>
      </c>
      <c r="B4401">
        <v>8414944</v>
      </c>
      <c r="C4401" t="s">
        <v>10</v>
      </c>
      <c r="D4401" t="s">
        <v>8</v>
      </c>
      <c r="E4401" s="4" t="str">
        <f>HYPERLINK("https://ibp.a2mac1.com/costing(costing:projects/details/9760/part/8415058)","Front Trunk Box")</f>
        <v>Front Trunk Box</v>
      </c>
      <c r="F4401" t="s">
        <v>4813</v>
      </c>
    </row>
    <row r="4402" spans="1:6" x14ac:dyDescent="0.15">
      <c r="A4402">
        <v>12084782</v>
      </c>
      <c r="B4402">
        <v>8415058</v>
      </c>
      <c r="C4402" t="s">
        <v>114</v>
      </c>
      <c r="D4402" t="s">
        <v>10</v>
      </c>
      <c r="E4402" s="4" t="str">
        <f>HYPERLINK("https://ibp.a2mac1.com/costing(costing:projects/details/9760/process/12084782)","Process")</f>
        <v>Process</v>
      </c>
      <c r="F4402" t="s">
        <v>4814</v>
      </c>
    </row>
    <row r="4403" spans="1:6" x14ac:dyDescent="0.15">
      <c r="A4403">
        <v>8754165</v>
      </c>
      <c r="B4403">
        <v>12084782</v>
      </c>
      <c r="C4403" t="s">
        <v>22</v>
      </c>
      <c r="D4403" t="s">
        <v>114</v>
      </c>
      <c r="E4403" s="4" t="str">
        <f>HYPERLINK("https://ibp.a2mac1.com/costing(costing:projects/details/9760/material/8754165)","PP-EPDM")</f>
        <v>PP-EPDM</v>
      </c>
      <c r="F4403" t="s">
        <v>4817</v>
      </c>
    </row>
    <row r="4404" spans="1:6" x14ac:dyDescent="0.15">
      <c r="A4404">
        <v>12211883</v>
      </c>
      <c r="B4404">
        <v>12084782</v>
      </c>
      <c r="C4404" t="s">
        <v>163</v>
      </c>
      <c r="D4404" t="s">
        <v>114</v>
      </c>
      <c r="E4404" s="4" t="str">
        <f>HYPERLINK("https://ibp.a2mac1.com/costing(costing:projects/details/9760/equipment/12211883)","DC machine - General")</f>
        <v>DC machine - General</v>
      </c>
      <c r="F4404" t="s">
        <v>4817</v>
      </c>
    </row>
    <row r="4405" spans="1:6" x14ac:dyDescent="0.15">
      <c r="A4405">
        <v>8415059</v>
      </c>
      <c r="B4405">
        <v>8414944</v>
      </c>
      <c r="C4405" t="s">
        <v>10</v>
      </c>
      <c r="D4405" t="s">
        <v>8</v>
      </c>
      <c r="E4405" s="4" t="str">
        <f>HYPERLINK("https://ibp.a2mac1.com/costing(costing:projects/details/9760/part/8415059)","Fastener Cover")</f>
        <v>Fastener Cover</v>
      </c>
      <c r="F4405" t="s">
        <v>4813</v>
      </c>
    </row>
    <row r="4406" spans="1:6" x14ac:dyDescent="0.15">
      <c r="A4406">
        <v>12084783</v>
      </c>
      <c r="B4406">
        <v>8415059</v>
      </c>
      <c r="C4406" t="s">
        <v>114</v>
      </c>
      <c r="D4406" t="s">
        <v>10</v>
      </c>
      <c r="E4406" s="4" t="str">
        <f>HYPERLINK("https://ibp.a2mac1.com/costing(costing:projects/details/9760/process/12084783)","Process")</f>
        <v>Process</v>
      </c>
      <c r="F4406" t="s">
        <v>4819</v>
      </c>
    </row>
    <row r="4407" spans="1:6" x14ac:dyDescent="0.15">
      <c r="A4407">
        <v>8754166</v>
      </c>
      <c r="B4407">
        <v>12084783</v>
      </c>
      <c r="C4407" t="s">
        <v>22</v>
      </c>
      <c r="D4407" t="s">
        <v>114</v>
      </c>
      <c r="E4407" s="4" t="str">
        <f>HYPERLINK("https://ibp.a2mac1.com/costing(costing:projects/details/9760/material/8754166)","TPE")</f>
        <v>TPE</v>
      </c>
      <c r="F4407" t="s">
        <v>4820</v>
      </c>
    </row>
    <row r="4408" spans="1:6" x14ac:dyDescent="0.15">
      <c r="A4408">
        <v>12211884</v>
      </c>
      <c r="B4408">
        <v>12084783</v>
      </c>
      <c r="C4408" t="s">
        <v>163</v>
      </c>
      <c r="D4408" t="s">
        <v>114</v>
      </c>
      <c r="E4408" s="4" t="str">
        <f>HYPERLINK("https://ibp.a2mac1.com/costing(costing:projects/details/9760/equipment/12211884)","DC machine - General")</f>
        <v>DC machine - General</v>
      </c>
      <c r="F4408" t="s">
        <v>4820</v>
      </c>
    </row>
    <row r="4409" spans="1:6" x14ac:dyDescent="0.15">
      <c r="A4409">
        <v>8415060</v>
      </c>
      <c r="B4409">
        <v>8414944</v>
      </c>
      <c r="C4409" t="s">
        <v>10</v>
      </c>
      <c r="D4409" t="s">
        <v>8</v>
      </c>
      <c r="E4409" s="4" t="str">
        <f>HYPERLINK("https://ibp.a2mac1.com/costing(costing:projects/details/9760/part/8415060)","Front Trunk Lid Seal")</f>
        <v>Front Trunk Lid Seal</v>
      </c>
      <c r="F4409" t="s">
        <v>4813</v>
      </c>
    </row>
    <row r="4410" spans="1:6" x14ac:dyDescent="0.15">
      <c r="A4410">
        <v>12084784</v>
      </c>
      <c r="B4410">
        <v>8415060</v>
      </c>
      <c r="C4410" t="s">
        <v>114</v>
      </c>
      <c r="D4410" t="s">
        <v>10</v>
      </c>
      <c r="E4410" s="4" t="str">
        <f>HYPERLINK("https://ibp.a2mac1.com/costing(costing:projects/details/9760/process/12084784)","Process")</f>
        <v>Process</v>
      </c>
      <c r="F4410" t="s">
        <v>4822</v>
      </c>
    </row>
    <row r="4411" spans="1:6" x14ac:dyDescent="0.15">
      <c r="A4411">
        <v>8754167</v>
      </c>
      <c r="B4411">
        <v>12084784</v>
      </c>
      <c r="C4411" t="s">
        <v>22</v>
      </c>
      <c r="D4411" t="s">
        <v>114</v>
      </c>
      <c r="E4411" s="4" t="str">
        <f>HYPERLINK("https://ibp.a2mac1.com/costing(costing:projects/details/9760/material/8754167)","Steel sheet (default)")</f>
        <v>Steel sheet (default)</v>
      </c>
      <c r="F4411" t="s">
        <v>4825</v>
      </c>
    </row>
    <row r="4412" spans="1:6" x14ac:dyDescent="0.15">
      <c r="A4412">
        <v>8754168</v>
      </c>
      <c r="B4412">
        <v>12084784</v>
      </c>
      <c r="C4412" t="s">
        <v>22</v>
      </c>
      <c r="D4412" t="s">
        <v>114</v>
      </c>
      <c r="E4412" s="4" t="str">
        <f>HYPERLINK("https://ibp.a2mac1.com/costing(costing:projects/details/9760/material/8754168)","EPDM")</f>
        <v>EPDM</v>
      </c>
      <c r="F4412" t="s">
        <v>4825</v>
      </c>
    </row>
    <row r="4413" spans="1:6" x14ac:dyDescent="0.15">
      <c r="A4413">
        <v>12211885</v>
      </c>
      <c r="B4413">
        <v>12084784</v>
      </c>
      <c r="C4413" t="s">
        <v>163</v>
      </c>
      <c r="D4413" t="s">
        <v>114</v>
      </c>
      <c r="E4413" s="4" t="str">
        <f>HYPERLINK("https://ibp.a2mac1.com/costing(costing:projects/details/9760/equipment/12211885)","Equipment (Stamping)")</f>
        <v>Equipment (Stamping)</v>
      </c>
      <c r="F4413" t="s">
        <v>4825</v>
      </c>
    </row>
    <row r="4414" spans="1:6" x14ac:dyDescent="0.15">
      <c r="A4414">
        <v>12211886</v>
      </c>
      <c r="B4414">
        <v>12084784</v>
      </c>
      <c r="C4414" t="s">
        <v>163</v>
      </c>
      <c r="D4414" t="s">
        <v>114</v>
      </c>
      <c r="E4414" s="4" t="str">
        <f>HYPERLINK("https://ibp.a2mac1.com/costing(costing:projects/details/9760/equipment/12211886)","Equipment (Injection Molding)")</f>
        <v>Equipment (Injection Molding)</v>
      </c>
      <c r="F4414" t="s">
        <v>4825</v>
      </c>
    </row>
    <row r="4415" spans="1:6" x14ac:dyDescent="0.15">
      <c r="A4415">
        <v>12084691</v>
      </c>
      <c r="B4415">
        <v>8414944</v>
      </c>
      <c r="C4415" t="s">
        <v>114</v>
      </c>
      <c r="D4415" t="s">
        <v>8</v>
      </c>
      <c r="E4415" s="4" t="str">
        <f>HYPERLINK("https://ibp.a2mac1.com/costing(costing:projects/details/9760/process/12084691)","Assembly")</f>
        <v>Assembly</v>
      </c>
      <c r="F4415" t="s">
        <v>4813</v>
      </c>
    </row>
    <row r="4416" spans="1:6" x14ac:dyDescent="0.15">
      <c r="A4416">
        <v>12211789</v>
      </c>
      <c r="B4416">
        <v>12084691</v>
      </c>
      <c r="C4416" t="s">
        <v>163</v>
      </c>
      <c r="D4416" t="s">
        <v>114</v>
      </c>
      <c r="E4416" s="4" t="str">
        <f>HYPERLINK("https://ibp.a2mac1.com/costing(costing:projects/details/9760/equipment/12211789)","DC machine - General")</f>
        <v>DC machine - General</v>
      </c>
      <c r="F4416" t="s">
        <v>4830</v>
      </c>
    </row>
    <row r="4417" spans="1:6" x14ac:dyDescent="0.15">
      <c r="A4417">
        <v>8753889</v>
      </c>
      <c r="B4417">
        <v>8414944</v>
      </c>
      <c r="C4417" t="s">
        <v>311</v>
      </c>
      <c r="D4417" t="s">
        <v>8</v>
      </c>
      <c r="E4417" s="4" t="str">
        <f>HYPERLINK("https://ibp.a2mac1.com/costing(costing:projects/details/9760/component/8753889)","Screw &gt; Various shape screw with captive washer")</f>
        <v>Screw &gt; Various shape screw with captive washer</v>
      </c>
      <c r="F4417" t="s">
        <v>4813</v>
      </c>
    </row>
    <row r="4418" spans="1:6" x14ac:dyDescent="0.15">
      <c r="A4418">
        <v>8753890</v>
      </c>
      <c r="B4418">
        <v>8414944</v>
      </c>
      <c r="C4418" t="s">
        <v>311</v>
      </c>
      <c r="D4418" t="s">
        <v>8</v>
      </c>
      <c r="E4418" s="4" t="str">
        <f>HYPERLINK("https://ibp.a2mac1.com/costing(costing:projects/details/9760/component/8753890)","Rivet &gt; Push in Rivet")</f>
        <v>Rivet &gt; Push in Rivet</v>
      </c>
      <c r="F4418" t="s">
        <v>4813</v>
      </c>
    </row>
    <row r="4419" spans="1:6" x14ac:dyDescent="0.15">
      <c r="A4419">
        <v>8753891</v>
      </c>
      <c r="B4419">
        <v>8414944</v>
      </c>
      <c r="C4419" t="s">
        <v>311</v>
      </c>
      <c r="D4419" t="s">
        <v>8</v>
      </c>
      <c r="E4419" s="4" t="str">
        <f>HYPERLINK("https://ibp.a2mac1.com/costing(costing:projects/details/9760/component/8753891)","Rivet &gt; Head Rivet")</f>
        <v>Rivet &gt; Head Rivet</v>
      </c>
      <c r="F4419" t="s">
        <v>4813</v>
      </c>
    </row>
    <row r="4420" spans="1:6" x14ac:dyDescent="0.15">
      <c r="A4420">
        <v>8414941</v>
      </c>
      <c r="B4420">
        <v>8414790</v>
      </c>
      <c r="C4420" t="s">
        <v>10</v>
      </c>
      <c r="D4420" t="s">
        <v>8</v>
      </c>
      <c r="E4420" s="4" t="str">
        <f>HYPERLINK("https://ibp.a2mac1.com/costing(costing:projects/details/9760/part/8414941)","Trunk Storage Box Right Support")</f>
        <v>Trunk Storage Box Right Support</v>
      </c>
      <c r="F4420" t="s">
        <v>4812</v>
      </c>
    </row>
    <row r="4421" spans="1:6" x14ac:dyDescent="0.15">
      <c r="A4421">
        <v>12084688</v>
      </c>
      <c r="B4421">
        <v>8414941</v>
      </c>
      <c r="C4421" t="s">
        <v>114</v>
      </c>
      <c r="D4421" t="s">
        <v>10</v>
      </c>
      <c r="E4421" s="4" t="str">
        <f>HYPERLINK("https://ibp.a2mac1.com/costing(costing:projects/details/9760/process/12084688)","Process")</f>
        <v>Process</v>
      </c>
      <c r="F4421" t="s">
        <v>4832</v>
      </c>
    </row>
    <row r="4422" spans="1:6" x14ac:dyDescent="0.15">
      <c r="A4422">
        <v>8754054</v>
      </c>
      <c r="B4422">
        <v>12084688</v>
      </c>
      <c r="C4422" t="s">
        <v>22</v>
      </c>
      <c r="D4422" t="s">
        <v>114</v>
      </c>
      <c r="E4422" s="4" t="str">
        <f>HYPERLINK("https://ibp.a2mac1.com/costing(costing:projects/details/9760/material/8754054)","PA6")</f>
        <v>PA6</v>
      </c>
      <c r="F4422" t="s">
        <v>4835</v>
      </c>
    </row>
    <row r="4423" spans="1:6" x14ac:dyDescent="0.15">
      <c r="A4423">
        <v>12211786</v>
      </c>
      <c r="B4423">
        <v>12084688</v>
      </c>
      <c r="C4423" t="s">
        <v>163</v>
      </c>
      <c r="D4423" t="s">
        <v>114</v>
      </c>
      <c r="E4423" s="4" t="str">
        <f>HYPERLINK("https://ibp.a2mac1.com/costing(costing:projects/details/9760/equipment/12211786)","DC machine - General")</f>
        <v>DC machine - General</v>
      </c>
      <c r="F4423" t="s">
        <v>4835</v>
      </c>
    </row>
    <row r="4424" spans="1:6" x14ac:dyDescent="0.15">
      <c r="A4424">
        <v>8753885</v>
      </c>
      <c r="B4424">
        <v>8414941</v>
      </c>
      <c r="C4424" t="s">
        <v>311</v>
      </c>
      <c r="D4424" t="s">
        <v>10</v>
      </c>
      <c r="E4424" s="4" t="str">
        <f>HYPERLINK("https://ibp.a2mac1.com/costing(costing:projects/details/9760/component/8753885)","Panel holder &gt; Clips in round hole")</f>
        <v>Panel holder &gt; Clips in round hole</v>
      </c>
      <c r="F4424" t="s">
        <v>4832</v>
      </c>
    </row>
    <row r="4425" spans="1:6" x14ac:dyDescent="0.15">
      <c r="A4425">
        <v>8753886</v>
      </c>
      <c r="B4425">
        <v>8414941</v>
      </c>
      <c r="C4425" t="s">
        <v>311</v>
      </c>
      <c r="D4425" t="s">
        <v>10</v>
      </c>
      <c r="E4425" s="4" t="str">
        <f>HYPERLINK("https://ibp.a2mac1.com/costing(costing:projects/details/9760/component/8753886)","Screw &gt; Hexagon screw with captive washer")</f>
        <v>Screw &gt; Hexagon screw with captive washer</v>
      </c>
      <c r="F4425" t="s">
        <v>4832</v>
      </c>
    </row>
    <row r="4426" spans="1:6" x14ac:dyDescent="0.15">
      <c r="A4426">
        <v>8414942</v>
      </c>
      <c r="B4426">
        <v>8414790</v>
      </c>
      <c r="C4426" t="s">
        <v>10</v>
      </c>
      <c r="D4426" t="s">
        <v>8</v>
      </c>
      <c r="E4426" s="4" t="str">
        <f>HYPERLINK("https://ibp.a2mac1.com/costing(costing:projects/details/9760/part/8414942)","Trunk Storage Box Left Support")</f>
        <v>Trunk Storage Box Left Support</v>
      </c>
      <c r="F4426" t="s">
        <v>4812</v>
      </c>
    </row>
    <row r="4427" spans="1:6" x14ac:dyDescent="0.15">
      <c r="A4427">
        <v>12084689</v>
      </c>
      <c r="B4427">
        <v>8414942</v>
      </c>
      <c r="C4427" t="s">
        <v>114</v>
      </c>
      <c r="D4427" t="s">
        <v>10</v>
      </c>
      <c r="E4427" s="4" t="str">
        <f>HYPERLINK("https://ibp.a2mac1.com/costing(costing:projects/details/9760/process/12084689)","Process")</f>
        <v>Process</v>
      </c>
      <c r="F4427" t="s">
        <v>4837</v>
      </c>
    </row>
    <row r="4428" spans="1:6" x14ac:dyDescent="0.15">
      <c r="A4428">
        <v>8754055</v>
      </c>
      <c r="B4428">
        <v>12084689</v>
      </c>
      <c r="C4428" t="s">
        <v>22</v>
      </c>
      <c r="D4428" t="s">
        <v>114</v>
      </c>
      <c r="E4428" s="4" t="str">
        <f>HYPERLINK("https://ibp.a2mac1.com/costing(costing:projects/details/9760/material/8754055)","PA6")</f>
        <v>PA6</v>
      </c>
      <c r="F4428" t="s">
        <v>4840</v>
      </c>
    </row>
    <row r="4429" spans="1:6" x14ac:dyDescent="0.15">
      <c r="A4429">
        <v>12211787</v>
      </c>
      <c r="B4429">
        <v>12084689</v>
      </c>
      <c r="C4429" t="s">
        <v>163</v>
      </c>
      <c r="D4429" t="s">
        <v>114</v>
      </c>
      <c r="E4429" s="4" t="str">
        <f>HYPERLINK("https://ibp.a2mac1.com/costing(costing:projects/details/9760/equipment/12211787)","DC machine - General")</f>
        <v>DC machine - General</v>
      </c>
      <c r="F4429" t="s">
        <v>4840</v>
      </c>
    </row>
    <row r="4430" spans="1:6" x14ac:dyDescent="0.15">
      <c r="A4430">
        <v>8753887</v>
      </c>
      <c r="B4430">
        <v>8414942</v>
      </c>
      <c r="C4430" t="s">
        <v>311</v>
      </c>
      <c r="D4430" t="s">
        <v>10</v>
      </c>
      <c r="E4430" s="4" t="str">
        <f>HYPERLINK("https://ibp.a2mac1.com/costing(costing:projects/details/9760/component/8753887)","Panel holder &gt; Clips in round hole")</f>
        <v>Panel holder &gt; Clips in round hole</v>
      </c>
      <c r="F4430" t="s">
        <v>4837</v>
      </c>
    </row>
    <row r="4431" spans="1:6" x14ac:dyDescent="0.15">
      <c r="A4431">
        <v>8753888</v>
      </c>
      <c r="B4431">
        <v>8414942</v>
      </c>
      <c r="C4431" t="s">
        <v>311</v>
      </c>
      <c r="D4431" t="s">
        <v>10</v>
      </c>
      <c r="E4431" s="4" t="str">
        <f>HYPERLINK("https://ibp.a2mac1.com/costing(costing:projects/details/9760/component/8753888)","Screw &gt; Hexagon screw with captive washer")</f>
        <v>Screw &gt; Hexagon screw with captive washer</v>
      </c>
      <c r="F4431" t="s">
        <v>4837</v>
      </c>
    </row>
    <row r="4432" spans="1:6" x14ac:dyDescent="0.15">
      <c r="A4432">
        <v>8414943</v>
      </c>
      <c r="B4432">
        <v>8414790</v>
      </c>
      <c r="C4432" t="s">
        <v>10</v>
      </c>
      <c r="D4432" t="s">
        <v>8</v>
      </c>
      <c r="E4432" s="4" t="str">
        <f>HYPERLINK("https://ibp.a2mac1.com/costing(costing:projects/details/9760/part/8414943)","Trunk Storage Box Front Support")</f>
        <v>Trunk Storage Box Front Support</v>
      </c>
      <c r="F4432" t="s">
        <v>4812</v>
      </c>
    </row>
    <row r="4433" spans="1:6" x14ac:dyDescent="0.15">
      <c r="A4433">
        <v>12084690</v>
      </c>
      <c r="B4433">
        <v>8414943</v>
      </c>
      <c r="C4433" t="s">
        <v>114</v>
      </c>
      <c r="D4433" t="s">
        <v>10</v>
      </c>
      <c r="E4433" s="4" t="str">
        <f>HYPERLINK("https://ibp.a2mac1.com/costing(costing:projects/details/9760/process/12084690)","Process")</f>
        <v>Process</v>
      </c>
      <c r="F4433" t="s">
        <v>4842</v>
      </c>
    </row>
    <row r="4434" spans="1:6" x14ac:dyDescent="0.15">
      <c r="A4434">
        <v>8754056</v>
      </c>
      <c r="B4434">
        <v>12084690</v>
      </c>
      <c r="C4434" t="s">
        <v>22</v>
      </c>
      <c r="D4434" t="s">
        <v>114</v>
      </c>
      <c r="E4434" s="4" t="str">
        <f>HYPERLINK("https://ibp.a2mac1.com/costing(costing:projects/details/9760/material/8754056)","PP-GF20")</f>
        <v>PP-GF20</v>
      </c>
      <c r="F4434" t="s">
        <v>4845</v>
      </c>
    </row>
    <row r="4435" spans="1:6" x14ac:dyDescent="0.15">
      <c r="A4435">
        <v>12211788</v>
      </c>
      <c r="B4435">
        <v>12084690</v>
      </c>
      <c r="C4435" t="s">
        <v>163</v>
      </c>
      <c r="D4435" t="s">
        <v>114</v>
      </c>
      <c r="E4435" s="4" t="str">
        <f>HYPERLINK("https://ibp.a2mac1.com/costing(costing:projects/details/9760/equipment/12211788)","DC machine - General")</f>
        <v>DC machine - General</v>
      </c>
      <c r="F4435" t="s">
        <v>4845</v>
      </c>
    </row>
    <row r="4436" spans="1:6" x14ac:dyDescent="0.15">
      <c r="A4436">
        <v>8414791</v>
      </c>
      <c r="B4436">
        <v>8414736</v>
      </c>
      <c r="C4436" t="s">
        <v>8</v>
      </c>
      <c r="D4436" t="s">
        <v>8</v>
      </c>
      <c r="E4436" s="4" t="str">
        <f>HYPERLINK("https://ibp.a2mac1.com/costing(costing:projects/details/9760/assembly/8414791)","Floor Carpeting")</f>
        <v>Floor Carpeting</v>
      </c>
      <c r="F4436" t="s">
        <v>4607</v>
      </c>
    </row>
    <row r="4437" spans="1:6" x14ac:dyDescent="0.15">
      <c r="A4437">
        <v>8414945</v>
      </c>
      <c r="B4437">
        <v>8414791</v>
      </c>
      <c r="C4437" t="s">
        <v>8</v>
      </c>
      <c r="D4437" t="s">
        <v>8</v>
      </c>
      <c r="E4437" s="4" t="str">
        <f>HYPERLINK("https://ibp.a2mac1.com/costing(costing:projects/details/9760/assembly/8414945)","Interior")</f>
        <v>Interior</v>
      </c>
      <c r="F4437" t="s">
        <v>4848</v>
      </c>
    </row>
    <row r="4438" spans="1:6" x14ac:dyDescent="0.15">
      <c r="A4438">
        <v>8415065</v>
      </c>
      <c r="B4438">
        <v>8414945</v>
      </c>
      <c r="C4438" t="s">
        <v>8</v>
      </c>
      <c r="D4438" t="s">
        <v>8</v>
      </c>
      <c r="E4438" s="4" t="str">
        <f>HYPERLINK("https://ibp.a2mac1.com/costing(costing:projects/details/9760/assembly/8415065)","Floor Mats")</f>
        <v>Floor Mats</v>
      </c>
      <c r="F4438" t="s">
        <v>4849</v>
      </c>
    </row>
    <row r="4439" spans="1:6" x14ac:dyDescent="0.15">
      <c r="A4439">
        <v>8415111</v>
      </c>
      <c r="B4439">
        <v>8415065</v>
      </c>
      <c r="C4439" t="s">
        <v>10</v>
      </c>
      <c r="D4439" t="s">
        <v>8</v>
      </c>
      <c r="E4439" s="4" t="str">
        <f>HYPERLINK("https://ibp.a2mac1.com/costing(costing:projects/details/9760/part/8415111)","Driver")</f>
        <v>Driver</v>
      </c>
      <c r="F4439" t="s">
        <v>4850</v>
      </c>
    </row>
    <row r="4440" spans="1:6" x14ac:dyDescent="0.15">
      <c r="A4440">
        <v>12084839</v>
      </c>
      <c r="B4440">
        <v>8415111</v>
      </c>
      <c r="C4440" t="s">
        <v>114</v>
      </c>
      <c r="D4440" t="s">
        <v>10</v>
      </c>
      <c r="E4440" s="4" t="str">
        <f>HYPERLINK("https://ibp.a2mac1.com/costing(costing:projects/details/9760/process/12084839)","Process")</f>
        <v>Process</v>
      </c>
      <c r="F4440" t="s">
        <v>4851</v>
      </c>
    </row>
    <row r="4441" spans="1:6" x14ac:dyDescent="0.15">
      <c r="A4441">
        <v>8754208</v>
      </c>
      <c r="B4441">
        <v>12084839</v>
      </c>
      <c r="C4441" t="s">
        <v>22</v>
      </c>
      <c r="D4441" t="s">
        <v>114</v>
      </c>
      <c r="E4441" s="4" t="str">
        <f>HYPERLINK("https://ibp.a2mac1.com/costing(costing:projects/details/9760/material/8754208)","&gt;PP;PET&lt;")</f>
        <v>&gt;PP;PET&lt;</v>
      </c>
      <c r="F4441" t="s">
        <v>4852</v>
      </c>
    </row>
    <row r="4442" spans="1:6" x14ac:dyDescent="0.15">
      <c r="A4442">
        <v>12211938</v>
      </c>
      <c r="B4442">
        <v>12084839</v>
      </c>
      <c r="C4442" t="s">
        <v>163</v>
      </c>
      <c r="D4442" t="s">
        <v>114</v>
      </c>
      <c r="E4442" s="4" t="str">
        <f>HYPERLINK("https://ibp.a2mac1.com/costing(costing:projects/details/9760/equipment/12211938)","DC machine - General")</f>
        <v>DC machine - General</v>
      </c>
      <c r="F4442" t="s">
        <v>4852</v>
      </c>
    </row>
    <row r="4443" spans="1:6" x14ac:dyDescent="0.15">
      <c r="A4443">
        <v>8415112</v>
      </c>
      <c r="B4443">
        <v>8415065</v>
      </c>
      <c r="C4443" t="s">
        <v>10</v>
      </c>
      <c r="D4443" t="s">
        <v>8</v>
      </c>
      <c r="E4443" s="4" t="str">
        <f>HYPERLINK("https://ibp.a2mac1.com/costing(costing:projects/details/9760/part/8415112)","Passenger")</f>
        <v>Passenger</v>
      </c>
      <c r="F4443" t="s">
        <v>4850</v>
      </c>
    </row>
    <row r="4444" spans="1:6" x14ac:dyDescent="0.15">
      <c r="A4444">
        <v>12084840</v>
      </c>
      <c r="B4444">
        <v>8415112</v>
      </c>
      <c r="C4444" t="s">
        <v>114</v>
      </c>
      <c r="D4444" t="s">
        <v>10</v>
      </c>
      <c r="E4444" s="4" t="str">
        <f>HYPERLINK("https://ibp.a2mac1.com/costing(costing:projects/details/9760/process/12084840)","Process")</f>
        <v>Process</v>
      </c>
      <c r="F4444" t="s">
        <v>4856</v>
      </c>
    </row>
    <row r="4445" spans="1:6" x14ac:dyDescent="0.15">
      <c r="A4445">
        <v>8754209</v>
      </c>
      <c r="B4445">
        <v>12084840</v>
      </c>
      <c r="C4445" t="s">
        <v>22</v>
      </c>
      <c r="D4445" t="s">
        <v>114</v>
      </c>
      <c r="E4445" s="4" t="str">
        <f>HYPERLINK("https://ibp.a2mac1.com/costing(costing:projects/details/9760/material/8754209)","&gt;PP;PET&lt;")</f>
        <v>&gt;PP;PET&lt;</v>
      </c>
      <c r="F4445" t="s">
        <v>4857</v>
      </c>
    </row>
    <row r="4446" spans="1:6" x14ac:dyDescent="0.15">
      <c r="A4446">
        <v>12211939</v>
      </c>
      <c r="B4446">
        <v>12084840</v>
      </c>
      <c r="C4446" t="s">
        <v>163</v>
      </c>
      <c r="D4446" t="s">
        <v>114</v>
      </c>
      <c r="E4446" s="4" t="str">
        <f>HYPERLINK("https://ibp.a2mac1.com/costing(costing:projects/details/9760/equipment/12211939)","DC machine - General")</f>
        <v>DC machine - General</v>
      </c>
      <c r="F4446" t="s">
        <v>4857</v>
      </c>
    </row>
    <row r="4447" spans="1:6" x14ac:dyDescent="0.15">
      <c r="A4447">
        <v>8415113</v>
      </c>
      <c r="B4447">
        <v>8415065</v>
      </c>
      <c r="C4447" t="s">
        <v>10</v>
      </c>
      <c r="D4447" t="s">
        <v>8</v>
      </c>
      <c r="E4447" s="4" t="str">
        <f>HYPERLINK("https://ibp.a2mac1.com/costing(costing:projects/details/9760/part/8415113)","Rear Complete")</f>
        <v>Rear Complete</v>
      </c>
      <c r="F4447" t="s">
        <v>4850</v>
      </c>
    </row>
    <row r="4448" spans="1:6" x14ac:dyDescent="0.15">
      <c r="A4448">
        <v>12084841</v>
      </c>
      <c r="B4448">
        <v>8415113</v>
      </c>
      <c r="C4448" t="s">
        <v>114</v>
      </c>
      <c r="D4448" t="s">
        <v>10</v>
      </c>
      <c r="E4448" s="4" t="str">
        <f>HYPERLINK("https://ibp.a2mac1.com/costing(costing:projects/details/9760/process/12084841)","Process")</f>
        <v>Process</v>
      </c>
      <c r="F4448" t="s">
        <v>4859</v>
      </c>
    </row>
    <row r="4449" spans="1:6" x14ac:dyDescent="0.15">
      <c r="A4449">
        <v>8754210</v>
      </c>
      <c r="B4449">
        <v>12084841</v>
      </c>
      <c r="C4449" t="s">
        <v>22</v>
      </c>
      <c r="D4449" t="s">
        <v>114</v>
      </c>
      <c r="E4449" s="4" t="str">
        <f>HYPERLINK("https://ibp.a2mac1.com/costing(costing:projects/details/9760/material/8754210)","&gt;PP;PET&lt;")</f>
        <v>&gt;PP;PET&lt;</v>
      </c>
      <c r="F4449" t="s">
        <v>4860</v>
      </c>
    </row>
    <row r="4450" spans="1:6" x14ac:dyDescent="0.15">
      <c r="A4450">
        <v>12211940</v>
      </c>
      <c r="B4450">
        <v>12084841</v>
      </c>
      <c r="C4450" t="s">
        <v>163</v>
      </c>
      <c r="D4450" t="s">
        <v>114</v>
      </c>
      <c r="E4450" s="4" t="str">
        <f>HYPERLINK("https://ibp.a2mac1.com/costing(costing:projects/details/9760/equipment/12211940)","DC machine - General")</f>
        <v>DC machine - General</v>
      </c>
      <c r="F4450" t="s">
        <v>4860</v>
      </c>
    </row>
    <row r="4451" spans="1:6" x14ac:dyDescent="0.15">
      <c r="A4451">
        <v>8415061</v>
      </c>
      <c r="B4451">
        <v>8414945</v>
      </c>
      <c r="C4451" t="s">
        <v>10</v>
      </c>
      <c r="D4451" t="s">
        <v>8</v>
      </c>
      <c r="E4451" s="4" t="str">
        <f>HYPERLINK("https://ibp.a2mac1.com/costing(costing:projects/details/9760/part/8415061)","Complete Carpet")</f>
        <v>Complete Carpet</v>
      </c>
      <c r="F4451" t="s">
        <v>4849</v>
      </c>
    </row>
    <row r="4452" spans="1:6" x14ac:dyDescent="0.15">
      <c r="A4452">
        <v>12084785</v>
      </c>
      <c r="B4452">
        <v>8415061</v>
      </c>
      <c r="C4452" t="s">
        <v>114</v>
      </c>
      <c r="D4452" t="s">
        <v>10</v>
      </c>
      <c r="E4452" s="4" t="str">
        <f>HYPERLINK("https://ibp.a2mac1.com/costing(costing:projects/details/9760/process/12084785)","Process")</f>
        <v>Process</v>
      </c>
      <c r="F4452" t="s">
        <v>4863</v>
      </c>
    </row>
    <row r="4453" spans="1:6" x14ac:dyDescent="0.15">
      <c r="A4453">
        <v>8754169</v>
      </c>
      <c r="B4453">
        <v>12084785</v>
      </c>
      <c r="C4453" t="s">
        <v>22</v>
      </c>
      <c r="D4453" t="s">
        <v>114</v>
      </c>
      <c r="E4453" s="4" t="str">
        <f>HYPERLINK("https://ibp.a2mac1.com/costing(costing:projects/details/9760/material/8754169)","&gt;PET;PUR;EPP&lt;")</f>
        <v>&gt;PET;PUR;EPP&lt;</v>
      </c>
      <c r="F4453" t="s">
        <v>4864</v>
      </c>
    </row>
    <row r="4454" spans="1:6" x14ac:dyDescent="0.15">
      <c r="A4454">
        <v>12211887</v>
      </c>
      <c r="B4454">
        <v>12084785</v>
      </c>
      <c r="C4454" t="s">
        <v>163</v>
      </c>
      <c r="D4454" t="s">
        <v>114</v>
      </c>
      <c r="E4454" s="4" t="str">
        <f>HYPERLINK("https://ibp.a2mac1.com/costing(costing:projects/details/9760/equipment/12211887)","DC machine - General")</f>
        <v>DC machine - General</v>
      </c>
      <c r="F4454" t="s">
        <v>4864</v>
      </c>
    </row>
    <row r="4455" spans="1:6" x14ac:dyDescent="0.15">
      <c r="A4455">
        <v>8754057</v>
      </c>
      <c r="B4455">
        <v>8415061</v>
      </c>
      <c r="C4455" t="s">
        <v>311</v>
      </c>
      <c r="D4455" t="s">
        <v>10</v>
      </c>
      <c r="E4455" s="4" t="str">
        <f>HYPERLINK("https://ibp.a2mac1.com/costing(costing:projects/details/9760/component/8754057)","Panel holder &gt; Clips on stud")</f>
        <v>Panel holder &gt; Clips on stud</v>
      </c>
      <c r="F4455" t="s">
        <v>4863</v>
      </c>
    </row>
    <row r="4456" spans="1:6" x14ac:dyDescent="0.15">
      <c r="A4456">
        <v>8415062</v>
      </c>
      <c r="B4456">
        <v>8414945</v>
      </c>
      <c r="C4456" t="s">
        <v>10</v>
      </c>
      <c r="D4456" t="s">
        <v>8</v>
      </c>
      <c r="E4456" s="4" t="str">
        <f>HYPERLINK("https://ibp.a2mac1.com/costing(costing:projects/details/9760/part/8415062)","Rear")</f>
        <v>Rear</v>
      </c>
      <c r="F4456" t="s">
        <v>4849</v>
      </c>
    </row>
    <row r="4457" spans="1:6" x14ac:dyDescent="0.15">
      <c r="A4457">
        <v>12084786</v>
      </c>
      <c r="B4457">
        <v>8415062</v>
      </c>
      <c r="C4457" t="s">
        <v>114</v>
      </c>
      <c r="D4457" t="s">
        <v>10</v>
      </c>
      <c r="E4457" s="4" t="str">
        <f>HYPERLINK("https://ibp.a2mac1.com/costing(costing:projects/details/9760/process/12084786)","Process")</f>
        <v>Process</v>
      </c>
      <c r="F4457" t="s">
        <v>4868</v>
      </c>
    </row>
    <row r="4458" spans="1:6" x14ac:dyDescent="0.15">
      <c r="A4458">
        <v>8754170</v>
      </c>
      <c r="B4458">
        <v>12084786</v>
      </c>
      <c r="C4458" t="s">
        <v>22</v>
      </c>
      <c r="D4458" t="s">
        <v>114</v>
      </c>
      <c r="E4458" s="4" t="str">
        <f>HYPERLINK("https://ibp.a2mac1.com/costing(costing:projects/details/9760/material/8754170)","PET adjusted (part)")</f>
        <v>PET adjusted (part)</v>
      </c>
      <c r="F4458" t="s">
        <v>4869</v>
      </c>
    </row>
    <row r="4459" spans="1:6" x14ac:dyDescent="0.15">
      <c r="A4459">
        <v>12211888</v>
      </c>
      <c r="B4459">
        <v>12084786</v>
      </c>
      <c r="C4459" t="s">
        <v>163</v>
      </c>
      <c r="D4459" t="s">
        <v>114</v>
      </c>
      <c r="E4459" s="4" t="str">
        <f>HYPERLINK("https://ibp.a2mac1.com/costing(costing:projects/details/9760/equipment/12211888)","DC machine - General")</f>
        <v>DC machine - General</v>
      </c>
      <c r="F4459" t="s">
        <v>4869</v>
      </c>
    </row>
    <row r="4460" spans="1:6" x14ac:dyDescent="0.15">
      <c r="A4460">
        <v>8415063</v>
      </c>
      <c r="B4460">
        <v>8414945</v>
      </c>
      <c r="C4460" t="s">
        <v>10</v>
      </c>
      <c r="D4460" t="s">
        <v>8</v>
      </c>
      <c r="E4460" s="4" t="str">
        <f>HYPERLINK("https://ibp.a2mac1.com/costing(costing:projects/details/9760/part/8415063)","Foot Rest")</f>
        <v>Foot Rest</v>
      </c>
      <c r="F4460" t="s">
        <v>4849</v>
      </c>
    </row>
    <row r="4461" spans="1:6" x14ac:dyDescent="0.15">
      <c r="A4461">
        <v>12084787</v>
      </c>
      <c r="B4461">
        <v>8415063</v>
      </c>
      <c r="C4461" t="s">
        <v>114</v>
      </c>
      <c r="D4461" t="s">
        <v>10</v>
      </c>
      <c r="E4461" s="4" t="str">
        <f>HYPERLINK("https://ibp.a2mac1.com/costing(costing:projects/details/9760/process/12084787)","Process")</f>
        <v>Process</v>
      </c>
      <c r="F4461" t="s">
        <v>4872</v>
      </c>
    </row>
    <row r="4462" spans="1:6" x14ac:dyDescent="0.15">
      <c r="A4462">
        <v>8754171</v>
      </c>
      <c r="B4462">
        <v>12084787</v>
      </c>
      <c r="C4462" t="s">
        <v>22</v>
      </c>
      <c r="D4462" t="s">
        <v>114</v>
      </c>
      <c r="E4462" s="4" t="str">
        <f>HYPERLINK("https://ibp.a2mac1.com/costing(costing:projects/details/9760/material/8754171)","PP")</f>
        <v>PP</v>
      </c>
      <c r="F4462" t="s">
        <v>4875</v>
      </c>
    </row>
    <row r="4463" spans="1:6" x14ac:dyDescent="0.15">
      <c r="A4463">
        <v>12211889</v>
      </c>
      <c r="B4463">
        <v>12084787</v>
      </c>
      <c r="C4463" t="s">
        <v>163</v>
      </c>
      <c r="D4463" t="s">
        <v>114</v>
      </c>
      <c r="E4463" s="4" t="str">
        <f>HYPERLINK("https://ibp.a2mac1.com/costing(costing:projects/details/9760/equipment/12211889)","DC machine - General")</f>
        <v>DC machine - General</v>
      </c>
      <c r="F4463" t="s">
        <v>4875</v>
      </c>
    </row>
    <row r="4464" spans="1:6" x14ac:dyDescent="0.15">
      <c r="A4464">
        <v>8754058</v>
      </c>
      <c r="B4464">
        <v>8415063</v>
      </c>
      <c r="C4464" t="s">
        <v>311</v>
      </c>
      <c r="D4464" t="s">
        <v>10</v>
      </c>
      <c r="E4464" s="4" t="str">
        <f>HYPERLINK("https://ibp.a2mac1.com/costing(costing:projects/details/9760/component/8754058)","Washer &gt; Lock interior washer")</f>
        <v>Washer &gt; Lock interior washer</v>
      </c>
      <c r="F4464" t="s">
        <v>4872</v>
      </c>
    </row>
    <row r="4465" spans="1:6" x14ac:dyDescent="0.15">
      <c r="A4465">
        <v>8415064</v>
      </c>
      <c r="B4465">
        <v>8414945</v>
      </c>
      <c r="C4465" t="s">
        <v>10</v>
      </c>
      <c r="D4465" t="s">
        <v>8</v>
      </c>
      <c r="E4465" s="4" t="str">
        <f>HYPERLINK("https://ibp.a2mac1.com/costing(costing:projects/details/9760/part/8415064)","Foot Rest Support")</f>
        <v>Foot Rest Support</v>
      </c>
      <c r="F4465" t="s">
        <v>4849</v>
      </c>
    </row>
    <row r="4466" spans="1:6" x14ac:dyDescent="0.15">
      <c r="A4466">
        <v>12084788</v>
      </c>
      <c r="B4466">
        <v>8415064</v>
      </c>
      <c r="C4466" t="s">
        <v>114</v>
      </c>
      <c r="D4466" t="s">
        <v>10</v>
      </c>
      <c r="E4466" s="4" t="str">
        <f>HYPERLINK("https://ibp.a2mac1.com/costing(costing:projects/details/9760/process/12084788)","Process")</f>
        <v>Process</v>
      </c>
      <c r="F4466" t="s">
        <v>4877</v>
      </c>
    </row>
    <row r="4467" spans="1:6" x14ac:dyDescent="0.15">
      <c r="A4467">
        <v>8754172</v>
      </c>
      <c r="B4467">
        <v>12084788</v>
      </c>
      <c r="C4467" t="s">
        <v>22</v>
      </c>
      <c r="D4467" t="s">
        <v>114</v>
      </c>
      <c r="E4467" s="4" t="str">
        <f>HYPERLINK("https://ibp.a2mac1.com/costing(costing:projects/details/9760/material/8754172)","EPP")</f>
        <v>EPP</v>
      </c>
      <c r="F4467" t="s">
        <v>4880</v>
      </c>
    </row>
    <row r="4468" spans="1:6" x14ac:dyDescent="0.15">
      <c r="A4468">
        <v>12211890</v>
      </c>
      <c r="B4468">
        <v>12084788</v>
      </c>
      <c r="C4468" t="s">
        <v>163</v>
      </c>
      <c r="D4468" t="s">
        <v>114</v>
      </c>
      <c r="E4468" s="4" t="str">
        <f>HYPERLINK("https://ibp.a2mac1.com/costing(costing:projects/details/9760/equipment/12211890)","DC machine - General")</f>
        <v>DC machine - General</v>
      </c>
      <c r="F4468" t="s">
        <v>4880</v>
      </c>
    </row>
    <row r="4469" spans="1:6" x14ac:dyDescent="0.15">
      <c r="A4469">
        <v>8414946</v>
      </c>
      <c r="B4469">
        <v>8414791</v>
      </c>
      <c r="C4469" t="s">
        <v>8</v>
      </c>
      <c r="D4469" t="s">
        <v>8</v>
      </c>
      <c r="E4469" s="4" t="str">
        <f>HYPERLINK("https://ibp.a2mac1.com/costing(costing:projects/details/9760/assembly/8414946)","Trunk")</f>
        <v>Trunk</v>
      </c>
      <c r="F4469" t="s">
        <v>4848</v>
      </c>
    </row>
    <row r="4470" spans="1:6" x14ac:dyDescent="0.15">
      <c r="A4470">
        <v>8415067</v>
      </c>
      <c r="B4470">
        <v>8414946</v>
      </c>
      <c r="C4470" t="s">
        <v>8</v>
      </c>
      <c r="D4470" t="s">
        <v>8</v>
      </c>
      <c r="E4470" s="4" t="str">
        <f>HYPERLINK("https://ibp.a2mac1.com/costing(costing:projects/details/9760/assembly/8415067)","Removable Floor System")</f>
        <v>Removable Floor System</v>
      </c>
      <c r="F4470" t="s">
        <v>4883</v>
      </c>
    </row>
    <row r="4471" spans="1:6" x14ac:dyDescent="0.15">
      <c r="A4471">
        <v>8415116</v>
      </c>
      <c r="B4471">
        <v>8415067</v>
      </c>
      <c r="C4471" t="s">
        <v>8</v>
      </c>
      <c r="D4471" t="s">
        <v>8</v>
      </c>
      <c r="E4471" s="4" t="str">
        <f>HYPERLINK("https://ibp.a2mac1.com/costing(costing:projects/details/9760/assembly/8415116)","Front")</f>
        <v>Front</v>
      </c>
      <c r="F4471" t="s">
        <v>4884</v>
      </c>
    </row>
    <row r="4472" spans="1:6" x14ac:dyDescent="0.15">
      <c r="A4472">
        <v>8415325</v>
      </c>
      <c r="B4472">
        <v>8415116</v>
      </c>
      <c r="C4472" t="s">
        <v>10</v>
      </c>
      <c r="D4472" t="s">
        <v>8</v>
      </c>
      <c r="E4472" s="4" t="str">
        <f>HYPERLINK("https://ibp.a2mac1.com/costing(costing:projects/details/9760/part/8415325)","Cover")</f>
        <v>Cover</v>
      </c>
      <c r="F4472" t="s">
        <v>4885</v>
      </c>
    </row>
    <row r="4473" spans="1:6" x14ac:dyDescent="0.15">
      <c r="A4473">
        <v>12084862</v>
      </c>
      <c r="B4473">
        <v>8415325</v>
      </c>
      <c r="C4473" t="s">
        <v>114</v>
      </c>
      <c r="D4473" t="s">
        <v>10</v>
      </c>
      <c r="E4473" s="4" t="str">
        <f>HYPERLINK("https://ibp.a2mac1.com/costing(costing:projects/details/9760/process/12084862)","Process")</f>
        <v>Process</v>
      </c>
      <c r="F4473" t="s">
        <v>4886</v>
      </c>
    </row>
    <row r="4474" spans="1:6" x14ac:dyDescent="0.15">
      <c r="A4474">
        <v>8754213</v>
      </c>
      <c r="B4474">
        <v>12084862</v>
      </c>
      <c r="C4474" t="s">
        <v>22</v>
      </c>
      <c r="D4474" t="s">
        <v>114</v>
      </c>
      <c r="E4474" s="4" t="str">
        <f>HYPERLINK("https://ibp.a2mac1.com/costing(costing:projects/details/9760/material/8754213)","Several Material")</f>
        <v>Several Material</v>
      </c>
      <c r="F4474" t="s">
        <v>4887</v>
      </c>
    </row>
    <row r="4475" spans="1:6" x14ac:dyDescent="0.15">
      <c r="A4475">
        <v>12211943</v>
      </c>
      <c r="B4475">
        <v>12084862</v>
      </c>
      <c r="C4475" t="s">
        <v>163</v>
      </c>
      <c r="D4475" t="s">
        <v>114</v>
      </c>
      <c r="E4475" s="4" t="str">
        <f>HYPERLINK("https://ibp.a2mac1.com/costing(costing:projects/details/9760/equipment/12211943)","DC machine - General")</f>
        <v>DC machine - General</v>
      </c>
      <c r="F4475" t="s">
        <v>4887</v>
      </c>
    </row>
    <row r="4476" spans="1:6" x14ac:dyDescent="0.15">
      <c r="A4476">
        <v>8415114</v>
      </c>
      <c r="B4476">
        <v>8415067</v>
      </c>
      <c r="C4476" t="s">
        <v>10</v>
      </c>
      <c r="D4476" t="s">
        <v>8</v>
      </c>
      <c r="E4476" s="4" t="str">
        <f>HYPERLINK("https://ibp.a2mac1.com/costing(costing:projects/details/9760/part/8415114)","Main Floor")</f>
        <v>Main Floor</v>
      </c>
      <c r="F4476" t="s">
        <v>4884</v>
      </c>
    </row>
    <row r="4477" spans="1:6" x14ac:dyDescent="0.15">
      <c r="A4477">
        <v>12084842</v>
      </c>
      <c r="B4477">
        <v>8415114</v>
      </c>
      <c r="C4477" t="s">
        <v>114</v>
      </c>
      <c r="D4477" t="s">
        <v>10</v>
      </c>
      <c r="E4477" s="4" t="str">
        <f>HYPERLINK("https://ibp.a2mac1.com/costing(costing:projects/details/9760/process/12084842)","Process")</f>
        <v>Process</v>
      </c>
      <c r="F4477" t="s">
        <v>4892</v>
      </c>
    </row>
    <row r="4478" spans="1:6" x14ac:dyDescent="0.15">
      <c r="A4478">
        <v>8754211</v>
      </c>
      <c r="B4478">
        <v>12084842</v>
      </c>
      <c r="C4478" t="s">
        <v>22</v>
      </c>
      <c r="D4478" t="s">
        <v>114</v>
      </c>
      <c r="E4478" s="4" t="str">
        <f>HYPERLINK("https://ibp.a2mac1.com/costing(costing:projects/details/9760/material/8754211)","Several Material")</f>
        <v>Several Material</v>
      </c>
      <c r="F4478" t="s">
        <v>4894</v>
      </c>
    </row>
    <row r="4479" spans="1:6" x14ac:dyDescent="0.15">
      <c r="A4479">
        <v>12211941</v>
      </c>
      <c r="B4479">
        <v>12084842</v>
      </c>
      <c r="C4479" t="s">
        <v>163</v>
      </c>
      <c r="D4479" t="s">
        <v>114</v>
      </c>
      <c r="E4479" s="4" t="str">
        <f>HYPERLINK("https://ibp.a2mac1.com/costing(costing:projects/details/9760/equipment/12211941)","DC machine - General")</f>
        <v>DC machine - General</v>
      </c>
      <c r="F4479" t="s">
        <v>4894</v>
      </c>
    </row>
    <row r="4480" spans="1:6" x14ac:dyDescent="0.15">
      <c r="A4480">
        <v>8415115</v>
      </c>
      <c r="B4480">
        <v>8415067</v>
      </c>
      <c r="C4480" t="s">
        <v>10</v>
      </c>
      <c r="D4480" t="s">
        <v>8</v>
      </c>
      <c r="E4480" s="4" t="str">
        <f>HYPERLINK("https://ibp.a2mac1.com/costing(costing:projects/details/9760/part/8415115)","Open Lid Holder")</f>
        <v>Open Lid Holder</v>
      </c>
      <c r="F4480" t="s">
        <v>4884</v>
      </c>
    </row>
    <row r="4481" spans="1:6" x14ac:dyDescent="0.15">
      <c r="A4481">
        <v>12084843</v>
      </c>
      <c r="B4481">
        <v>8415115</v>
      </c>
      <c r="C4481" t="s">
        <v>114</v>
      </c>
      <c r="D4481" t="s">
        <v>10</v>
      </c>
      <c r="E4481" s="4" t="str">
        <f>HYPERLINK("https://ibp.a2mac1.com/costing(costing:projects/details/9760/process/12084843)","Process")</f>
        <v>Process</v>
      </c>
      <c r="F4481" t="s">
        <v>4897</v>
      </c>
    </row>
    <row r="4482" spans="1:6" x14ac:dyDescent="0.15">
      <c r="A4482">
        <v>8754212</v>
      </c>
      <c r="B4482">
        <v>12084843</v>
      </c>
      <c r="C4482" t="s">
        <v>22</v>
      </c>
      <c r="D4482" t="s">
        <v>114</v>
      </c>
      <c r="E4482" s="4" t="str">
        <f>HYPERLINK("https://ibp.a2mac1.com/costing(costing:projects/details/9760/material/8754212)","POM")</f>
        <v>POM</v>
      </c>
      <c r="F4482" t="s">
        <v>4901</v>
      </c>
    </row>
    <row r="4483" spans="1:6" x14ac:dyDescent="0.15">
      <c r="A4483">
        <v>12211942</v>
      </c>
      <c r="B4483">
        <v>12084843</v>
      </c>
      <c r="C4483" t="s">
        <v>163</v>
      </c>
      <c r="D4483" t="s">
        <v>114</v>
      </c>
      <c r="E4483" s="4" t="str">
        <f>HYPERLINK("https://ibp.a2mac1.com/costing(costing:projects/details/9760/equipment/12211942)","DC machine - General")</f>
        <v>DC machine - General</v>
      </c>
      <c r="F4483" t="s">
        <v>4901</v>
      </c>
    </row>
    <row r="4484" spans="1:6" x14ac:dyDescent="0.15">
      <c r="A4484">
        <v>8754174</v>
      </c>
      <c r="B4484">
        <v>8415115</v>
      </c>
      <c r="C4484" t="s">
        <v>311</v>
      </c>
      <c r="D4484" t="s">
        <v>10</v>
      </c>
      <c r="E4484" s="4" t="str">
        <f>HYPERLINK("https://ibp.a2mac1.com/costing(costing:projects/details/9760/component/8754174)","Panel holder &gt; Clips in rectangular hole")</f>
        <v>Panel holder &gt; Clips in rectangular hole</v>
      </c>
      <c r="F4484" t="s">
        <v>4897</v>
      </c>
    </row>
    <row r="4485" spans="1:6" x14ac:dyDescent="0.15">
      <c r="A4485">
        <v>8415066</v>
      </c>
      <c r="B4485">
        <v>8414946</v>
      </c>
      <c r="C4485" t="s">
        <v>10</v>
      </c>
      <c r="D4485" t="s">
        <v>8</v>
      </c>
      <c r="E4485" s="4" t="str">
        <f>HYPERLINK("https://ibp.a2mac1.com/costing(costing:projects/details/9760/part/8415066)","Trunk Cup Carpet")</f>
        <v>Trunk Cup Carpet</v>
      </c>
      <c r="F4485" t="s">
        <v>4883</v>
      </c>
    </row>
    <row r="4486" spans="1:6" x14ac:dyDescent="0.15">
      <c r="A4486">
        <v>12084789</v>
      </c>
      <c r="B4486">
        <v>8415066</v>
      </c>
      <c r="C4486" t="s">
        <v>114</v>
      </c>
      <c r="D4486" t="s">
        <v>10</v>
      </c>
      <c r="E4486" s="4" t="str">
        <f>HYPERLINK("https://ibp.a2mac1.com/costing(costing:projects/details/9760/process/12084789)","Process")</f>
        <v>Process</v>
      </c>
      <c r="F4486" t="s">
        <v>4904</v>
      </c>
    </row>
    <row r="4487" spans="1:6" x14ac:dyDescent="0.15">
      <c r="A4487">
        <v>8754173</v>
      </c>
      <c r="B4487">
        <v>12084789</v>
      </c>
      <c r="C4487" t="s">
        <v>22</v>
      </c>
      <c r="D4487" t="s">
        <v>114</v>
      </c>
      <c r="E4487" s="4" t="str">
        <f>HYPERLINK("https://ibp.a2mac1.com/costing(costing:projects/details/9760/material/8754173)","&gt;PE;PET&lt;EPP")</f>
        <v>&gt;PE;PET&lt;EPP</v>
      </c>
      <c r="F4487" t="s">
        <v>4905</v>
      </c>
    </row>
    <row r="4488" spans="1:6" x14ac:dyDescent="0.15">
      <c r="A4488">
        <v>12211891</v>
      </c>
      <c r="B4488">
        <v>12084789</v>
      </c>
      <c r="C4488" t="s">
        <v>163</v>
      </c>
      <c r="D4488" t="s">
        <v>114</v>
      </c>
      <c r="E4488" s="4" t="str">
        <f>HYPERLINK("https://ibp.a2mac1.com/costing(costing:projects/details/9760/equipment/12211891)","DC machine - General")</f>
        <v>DC machine - General</v>
      </c>
      <c r="F4488" t="s">
        <v>4905</v>
      </c>
    </row>
    <row r="4489" spans="1:6" x14ac:dyDescent="0.15">
      <c r="A4489">
        <v>8414792</v>
      </c>
      <c r="B4489">
        <v>8414736</v>
      </c>
      <c r="C4489" t="s">
        <v>8</v>
      </c>
      <c r="D4489" t="s">
        <v>8</v>
      </c>
      <c r="E4489" s="4" t="str">
        <f>HYPERLINK("https://ibp.a2mac1.com/costing(costing:projects/details/9760/assembly/8414792)","Speakers System")</f>
        <v>Speakers System</v>
      </c>
      <c r="F4489" t="s">
        <v>4607</v>
      </c>
    </row>
    <row r="4490" spans="1:6" x14ac:dyDescent="0.15">
      <c r="A4490">
        <v>8414947</v>
      </c>
      <c r="B4490">
        <v>8414792</v>
      </c>
      <c r="C4490" t="s">
        <v>8</v>
      </c>
      <c r="D4490" t="s">
        <v>8</v>
      </c>
      <c r="E4490" s="4" t="str">
        <f>HYPERLINK("https://ibp.a2mac1.com/costing(costing:projects/details/9760/assembly/8414947)","Front Speaker System")</f>
        <v>Front Speaker System</v>
      </c>
      <c r="F4490" t="s">
        <v>4911</v>
      </c>
    </row>
    <row r="4491" spans="1:6" x14ac:dyDescent="0.15">
      <c r="A4491">
        <v>8415068</v>
      </c>
      <c r="B4491">
        <v>8414947</v>
      </c>
      <c r="C4491" t="s">
        <v>10</v>
      </c>
      <c r="D4491" t="s">
        <v>8</v>
      </c>
      <c r="E4491" s="4" t="str">
        <f>HYPERLINK("https://ibp.a2mac1.com/costing(costing:projects/details/9760/part/8415068)","Front Speaker")</f>
        <v>Front Speaker</v>
      </c>
      <c r="F4491" t="s">
        <v>4912</v>
      </c>
    </row>
    <row r="4492" spans="1:6" x14ac:dyDescent="0.15">
      <c r="A4492">
        <v>8415069</v>
      </c>
      <c r="B4492">
        <v>8414947</v>
      </c>
      <c r="C4492" t="s">
        <v>10</v>
      </c>
      <c r="D4492" t="s">
        <v>8</v>
      </c>
      <c r="E4492" s="4" t="str">
        <f>HYPERLINK("https://ibp.a2mac1.com/costing(costing:projects/details/9760/part/8415069)","Front Speaker Grille")</f>
        <v>Front Speaker Grille</v>
      </c>
      <c r="F4492" t="s">
        <v>4912</v>
      </c>
    </row>
    <row r="4493" spans="1:6" x14ac:dyDescent="0.15">
      <c r="A4493">
        <v>12084790</v>
      </c>
      <c r="B4493">
        <v>8415069</v>
      </c>
      <c r="C4493" t="s">
        <v>114</v>
      </c>
      <c r="D4493" t="s">
        <v>10</v>
      </c>
      <c r="E4493" s="4" t="str">
        <f>HYPERLINK("https://ibp.a2mac1.com/costing(costing:projects/details/9760/process/12084790)","Process")</f>
        <v>Process</v>
      </c>
      <c r="F4493" t="s">
        <v>4914</v>
      </c>
    </row>
    <row r="4494" spans="1:6" x14ac:dyDescent="0.15">
      <c r="A4494">
        <v>8754175</v>
      </c>
      <c r="B4494">
        <v>12084790</v>
      </c>
      <c r="C4494" t="s">
        <v>22</v>
      </c>
      <c r="D4494" t="s">
        <v>114</v>
      </c>
      <c r="E4494" s="4" t="str">
        <f>HYPERLINK("https://ibp.a2mac1.com/costing(costing:projects/details/9760/material/8754175)","PP")</f>
        <v>PP</v>
      </c>
      <c r="F4494" t="s">
        <v>4915</v>
      </c>
    </row>
    <row r="4495" spans="1:6" x14ac:dyDescent="0.15">
      <c r="A4495">
        <v>12211892</v>
      </c>
      <c r="B4495">
        <v>12084790</v>
      </c>
      <c r="C4495" t="s">
        <v>163</v>
      </c>
      <c r="D4495" t="s">
        <v>114</v>
      </c>
      <c r="E4495" s="4" t="str">
        <f>HYPERLINK("https://ibp.a2mac1.com/costing(costing:projects/details/9760/equipment/12211892)","DC machine - General")</f>
        <v>DC machine - General</v>
      </c>
      <c r="F4495" t="s">
        <v>4915</v>
      </c>
    </row>
    <row r="4496" spans="1:6" x14ac:dyDescent="0.15">
      <c r="A4496">
        <v>8414948</v>
      </c>
      <c r="B4496">
        <v>8414792</v>
      </c>
      <c r="C4496" t="s">
        <v>8</v>
      </c>
      <c r="D4496" t="s">
        <v>8</v>
      </c>
      <c r="E4496" s="4" t="str">
        <f>HYPERLINK("https://ibp.a2mac1.com/costing(costing:projects/details/9760/assembly/8414948)","Rear Speaker System")</f>
        <v>Rear Speaker System</v>
      </c>
      <c r="F4496" t="s">
        <v>4911</v>
      </c>
    </row>
    <row r="4497" spans="1:6" x14ac:dyDescent="0.15">
      <c r="A4497">
        <v>8415070</v>
      </c>
      <c r="B4497">
        <v>8414948</v>
      </c>
      <c r="C4497" t="s">
        <v>10</v>
      </c>
      <c r="D4497" t="s">
        <v>8</v>
      </c>
      <c r="E4497" s="4" t="str">
        <f>HYPERLINK("https://ibp.a2mac1.com/costing(costing:projects/details/9760/part/8415070)","Speaker")</f>
        <v>Speaker</v>
      </c>
      <c r="F4497" t="s">
        <v>4918</v>
      </c>
    </row>
    <row r="4498" spans="1:6" x14ac:dyDescent="0.15">
      <c r="A4498">
        <v>8415071</v>
      </c>
      <c r="B4498">
        <v>8414948</v>
      </c>
      <c r="C4498" t="s">
        <v>10</v>
      </c>
      <c r="D4498" t="s">
        <v>8</v>
      </c>
      <c r="E4498" s="4" t="str">
        <f>HYPERLINK("https://ibp.a2mac1.com/costing(costing:projects/details/9760/part/8415071)","Rear Speaker Grille")</f>
        <v>Rear Speaker Grille</v>
      </c>
      <c r="F4498" t="s">
        <v>4918</v>
      </c>
    </row>
    <row r="4499" spans="1:6" x14ac:dyDescent="0.15">
      <c r="A4499">
        <v>12084791</v>
      </c>
      <c r="B4499">
        <v>8415071</v>
      </c>
      <c r="C4499" t="s">
        <v>114</v>
      </c>
      <c r="D4499" t="s">
        <v>10</v>
      </c>
      <c r="E4499" s="4" t="str">
        <f>HYPERLINK("https://ibp.a2mac1.com/costing(costing:projects/details/9760/process/12084791)","Process")</f>
        <v>Process</v>
      </c>
      <c r="F4499" t="s">
        <v>4920</v>
      </c>
    </row>
    <row r="4500" spans="1:6" x14ac:dyDescent="0.15">
      <c r="A4500">
        <v>8754176</v>
      </c>
      <c r="B4500">
        <v>12084791</v>
      </c>
      <c r="C4500" t="s">
        <v>22</v>
      </c>
      <c r="D4500" t="s">
        <v>114</v>
      </c>
      <c r="E4500" s="4" t="str">
        <f>HYPERLINK("https://ibp.a2mac1.com/costing(costing:projects/details/9760/material/8754176)","PP")</f>
        <v>PP</v>
      </c>
      <c r="F4500" t="s">
        <v>4923</v>
      </c>
    </row>
    <row r="4501" spans="1:6" x14ac:dyDescent="0.15">
      <c r="A4501">
        <v>12211893</v>
      </c>
      <c r="B4501">
        <v>12084791</v>
      </c>
      <c r="C4501" t="s">
        <v>163</v>
      </c>
      <c r="D4501" t="s">
        <v>114</v>
      </c>
      <c r="E4501" s="4" t="str">
        <f>HYPERLINK("https://ibp.a2mac1.com/costing(costing:projects/details/9760/equipment/12211893)","DC machine - General")</f>
        <v>DC machine - General</v>
      </c>
      <c r="F4501" t="s">
        <v>4923</v>
      </c>
    </row>
    <row r="4502" spans="1:6" x14ac:dyDescent="0.15">
      <c r="A4502">
        <v>8753892</v>
      </c>
      <c r="B4502">
        <v>8414948</v>
      </c>
      <c r="C4502" t="s">
        <v>311</v>
      </c>
      <c r="D4502" t="s">
        <v>8</v>
      </c>
      <c r="E4502" s="4" t="str">
        <f>HYPERLINK("https://ibp.a2mac1.com/costing(costing:projects/details/9760/component/8753892)","Screw &gt; Torx socket head cap screw")</f>
        <v>Screw &gt; Torx socket head cap screw</v>
      </c>
      <c r="F4502" t="s">
        <v>4918</v>
      </c>
    </row>
    <row r="4503" spans="1:6" x14ac:dyDescent="0.15">
      <c r="A4503">
        <v>8414949</v>
      </c>
      <c r="B4503">
        <v>8414792</v>
      </c>
      <c r="C4503" t="s">
        <v>8</v>
      </c>
      <c r="D4503" t="s">
        <v>8</v>
      </c>
      <c r="E4503" s="4" t="str">
        <f>HYPERLINK("https://ibp.a2mac1.com/costing(costing:projects/details/9760/assembly/8414949)","Tweeter System")</f>
        <v>Tweeter System</v>
      </c>
      <c r="F4503" t="s">
        <v>4911</v>
      </c>
    </row>
    <row r="4504" spans="1:6" x14ac:dyDescent="0.15">
      <c r="A4504">
        <v>8415072</v>
      </c>
      <c r="B4504">
        <v>8414949</v>
      </c>
      <c r="C4504" t="s">
        <v>10</v>
      </c>
      <c r="D4504" t="s">
        <v>8</v>
      </c>
      <c r="E4504" s="4" t="str">
        <f>HYPERLINK("https://ibp.a2mac1.com/costing(costing:projects/details/9760/part/8415072)","Rear Tweeter")</f>
        <v>Rear Tweeter</v>
      </c>
      <c r="F4504" t="s">
        <v>4926</v>
      </c>
    </row>
    <row r="4505" spans="1:6" x14ac:dyDescent="0.15">
      <c r="A4505">
        <v>8415073</v>
      </c>
      <c r="B4505">
        <v>8414949</v>
      </c>
      <c r="C4505" t="s">
        <v>10</v>
      </c>
      <c r="D4505" t="s">
        <v>8</v>
      </c>
      <c r="E4505" s="4" t="str">
        <f>HYPERLINK("https://ibp.a2mac1.com/costing(costing:projects/details/9760/part/8415073)","Tweeter on B pillar")</f>
        <v>Tweeter on B pillar</v>
      </c>
      <c r="F4505" t="s">
        <v>4926</v>
      </c>
    </row>
    <row r="4506" spans="1:6" x14ac:dyDescent="0.15">
      <c r="A4506">
        <v>8415074</v>
      </c>
      <c r="B4506">
        <v>8414949</v>
      </c>
      <c r="C4506" t="s">
        <v>10</v>
      </c>
      <c r="D4506" t="s">
        <v>8</v>
      </c>
      <c r="E4506" s="4" t="str">
        <f>HYPERLINK("https://ibp.a2mac1.com/costing(costing:projects/details/9760/part/8415074)","Tweeter Grille on B pillar")</f>
        <v>Tweeter Grille on B pillar</v>
      </c>
      <c r="F4506" t="s">
        <v>4926</v>
      </c>
    </row>
    <row r="4507" spans="1:6" x14ac:dyDescent="0.15">
      <c r="A4507">
        <v>12084792</v>
      </c>
      <c r="B4507">
        <v>8415074</v>
      </c>
      <c r="C4507" t="s">
        <v>114</v>
      </c>
      <c r="D4507" t="s">
        <v>10</v>
      </c>
      <c r="E4507" s="4" t="str">
        <f>HYPERLINK("https://ibp.a2mac1.com/costing(costing:projects/details/9760/process/12084792)","Process")</f>
        <v>Process</v>
      </c>
      <c r="F4507" t="s">
        <v>4929</v>
      </c>
    </row>
    <row r="4508" spans="1:6" x14ac:dyDescent="0.15">
      <c r="A4508">
        <v>8754177</v>
      </c>
      <c r="B4508">
        <v>12084792</v>
      </c>
      <c r="C4508" t="s">
        <v>22</v>
      </c>
      <c r="D4508" t="s">
        <v>114</v>
      </c>
      <c r="E4508" s="4" t="str">
        <f>HYPERLINK("https://ibp.a2mac1.com/costing(costing:projects/details/9760/material/8754177)","PP-EPDM")</f>
        <v>PP-EPDM</v>
      </c>
      <c r="F4508" t="s">
        <v>4930</v>
      </c>
    </row>
    <row r="4509" spans="1:6" x14ac:dyDescent="0.15">
      <c r="A4509">
        <v>12211894</v>
      </c>
      <c r="B4509">
        <v>12084792</v>
      </c>
      <c r="C4509" t="s">
        <v>163</v>
      </c>
      <c r="D4509" t="s">
        <v>114</v>
      </c>
      <c r="E4509" s="4" t="str">
        <f>HYPERLINK("https://ibp.a2mac1.com/costing(costing:projects/details/9760/equipment/12211894)","DC machine - General")</f>
        <v>DC machine - General</v>
      </c>
      <c r="F4509" t="s">
        <v>4930</v>
      </c>
    </row>
    <row r="4510" spans="1:6" x14ac:dyDescent="0.15">
      <c r="A4510">
        <v>8415075</v>
      </c>
      <c r="B4510">
        <v>8414949</v>
      </c>
      <c r="C4510" t="s">
        <v>10</v>
      </c>
      <c r="D4510" t="s">
        <v>8</v>
      </c>
      <c r="E4510" s="4" t="str">
        <f>HYPERLINK("https://ibp.a2mac1.com/costing(costing:projects/details/9760/part/8415075)","Rear Tweeter Grille")</f>
        <v>Rear Tweeter Grille</v>
      </c>
      <c r="F4510" t="s">
        <v>4926</v>
      </c>
    </row>
    <row r="4511" spans="1:6" x14ac:dyDescent="0.15">
      <c r="A4511">
        <v>12084793</v>
      </c>
      <c r="B4511">
        <v>8415075</v>
      </c>
      <c r="C4511" t="s">
        <v>114</v>
      </c>
      <c r="D4511" t="s">
        <v>10</v>
      </c>
      <c r="E4511" s="4" t="str">
        <f>HYPERLINK("https://ibp.a2mac1.com/costing(costing:projects/details/9760/process/12084793)","Automated Process")</f>
        <v>Automated Process</v>
      </c>
      <c r="F4511" t="s">
        <v>4932</v>
      </c>
    </row>
    <row r="4512" spans="1:6" x14ac:dyDescent="0.15">
      <c r="A4512">
        <v>8754178</v>
      </c>
      <c r="B4512">
        <v>12084793</v>
      </c>
      <c r="C4512" t="s">
        <v>22</v>
      </c>
      <c r="D4512" t="s">
        <v>114</v>
      </c>
      <c r="E4512" s="4" t="str">
        <f>HYPERLINK("https://ibp.a2mac1.com/costing(costing:projects/details/9760/material/8754178)","PP-EPDM")</f>
        <v>PP-EPDM</v>
      </c>
      <c r="F4512" t="s">
        <v>4935</v>
      </c>
    </row>
    <row r="4513" spans="1:6" x14ac:dyDescent="0.15">
      <c r="A4513">
        <v>12211895</v>
      </c>
      <c r="B4513">
        <v>12084793</v>
      </c>
      <c r="C4513" t="s">
        <v>163</v>
      </c>
      <c r="D4513" t="s">
        <v>114</v>
      </c>
      <c r="E4513" s="4" t="str">
        <f>HYPERLINK("https://ibp.a2mac1.com/costing(costing:projects/details/9760/equipment/12211895)","DC machine - General")</f>
        <v>DC machine - General</v>
      </c>
      <c r="F4513" t="s">
        <v>4935</v>
      </c>
    </row>
    <row r="4514" spans="1:6" x14ac:dyDescent="0.15">
      <c r="A4514">
        <v>8415076</v>
      </c>
      <c r="B4514">
        <v>8414949</v>
      </c>
      <c r="C4514" t="s">
        <v>10</v>
      </c>
      <c r="D4514" t="s">
        <v>8</v>
      </c>
      <c r="E4514" s="4" t="str">
        <f>HYPERLINK("https://ibp.a2mac1.com/costing(costing:projects/details/9760/part/8415076)","2nd Rear Tweeter")</f>
        <v>2nd Rear Tweeter</v>
      </c>
      <c r="F4514" t="s">
        <v>4926</v>
      </c>
    </row>
    <row r="4515" spans="1:6" x14ac:dyDescent="0.15">
      <c r="A4515">
        <v>8753893</v>
      </c>
      <c r="B4515">
        <v>8414949</v>
      </c>
      <c r="C4515" t="s">
        <v>311</v>
      </c>
      <c r="D4515" t="s">
        <v>8</v>
      </c>
      <c r="E4515" s="4" t="str">
        <f>HYPERLINK("https://ibp.a2mac1.com/costing(costing:projects/details/9760/component/8753893)","Screw &gt; Cross recessed screw")</f>
        <v>Screw &gt; Cross recessed screw</v>
      </c>
      <c r="F4515" t="s">
        <v>4926</v>
      </c>
    </row>
    <row r="4516" spans="1:6" x14ac:dyDescent="0.15">
      <c r="A4516">
        <v>8414793</v>
      </c>
      <c r="B4516">
        <v>8414736</v>
      </c>
      <c r="C4516" t="s">
        <v>8</v>
      </c>
      <c r="D4516" t="s">
        <v>8</v>
      </c>
      <c r="E4516" s="4" t="str">
        <f>HYPERLINK("https://ibp.a2mac1.com/costing(costing:projects/details/9760/assembly/8414793)","Tie Bracket System")</f>
        <v>Tie Bracket System</v>
      </c>
      <c r="F4516" t="s">
        <v>4607</v>
      </c>
    </row>
    <row r="4517" spans="1:6" x14ac:dyDescent="0.15">
      <c r="A4517">
        <v>8414950</v>
      </c>
      <c r="B4517">
        <v>8414793</v>
      </c>
      <c r="C4517" t="s">
        <v>10</v>
      </c>
      <c r="D4517" t="s">
        <v>8</v>
      </c>
      <c r="E4517" s="4" t="str">
        <f>HYPERLINK("https://ibp.a2mac1.com/costing(costing:projects/details/9760/part/8414950)","Tie Bracket")</f>
        <v>Tie Bracket</v>
      </c>
      <c r="F4517" t="s">
        <v>4940</v>
      </c>
    </row>
    <row r="4518" spans="1:6" x14ac:dyDescent="0.15">
      <c r="A4518">
        <v>12084692</v>
      </c>
      <c r="B4518">
        <v>8414950</v>
      </c>
      <c r="C4518" t="s">
        <v>114</v>
      </c>
      <c r="D4518" t="s">
        <v>10</v>
      </c>
      <c r="E4518" s="4" t="str">
        <f>HYPERLINK("https://ibp.a2mac1.com/costing(costing:projects/details/9760/process/12084692)","Process")</f>
        <v>Process</v>
      </c>
      <c r="F4518" t="s">
        <v>4941</v>
      </c>
    </row>
    <row r="4519" spans="1:6" x14ac:dyDescent="0.15">
      <c r="A4519">
        <v>8754059</v>
      </c>
      <c r="B4519">
        <v>12084692</v>
      </c>
      <c r="C4519" t="s">
        <v>22</v>
      </c>
      <c r="D4519" t="s">
        <v>114</v>
      </c>
      <c r="E4519" s="4" t="str">
        <f>HYPERLINK("https://ibp.a2mac1.com/costing(costing:projects/details/9760/material/8754059)","POM")</f>
        <v>POM</v>
      </c>
      <c r="F4519" t="s">
        <v>4944</v>
      </c>
    </row>
    <row r="4520" spans="1:6" x14ac:dyDescent="0.15">
      <c r="A4520">
        <v>12211790</v>
      </c>
      <c r="B4520">
        <v>12084692</v>
      </c>
      <c r="C4520" t="s">
        <v>163</v>
      </c>
      <c r="D4520" t="s">
        <v>114</v>
      </c>
      <c r="E4520" s="4" t="str">
        <f>HYPERLINK("https://ibp.a2mac1.com/costing(costing:projects/details/9760/equipment/12211790)","DC machine - General")</f>
        <v>DC machine - General</v>
      </c>
      <c r="F4520" t="s">
        <v>4944</v>
      </c>
    </row>
    <row r="4521" spans="1:6" x14ac:dyDescent="0.15">
      <c r="A4521">
        <v>8414794</v>
      </c>
      <c r="B4521">
        <v>8414736</v>
      </c>
      <c r="C4521" t="s">
        <v>8</v>
      </c>
      <c r="D4521" t="s">
        <v>8</v>
      </c>
      <c r="E4521" s="4" t="str">
        <f>HYPERLINK("https://ibp.a2mac1.com/costing(costing:projects/details/9760/assembly/8414794)","Interior Lighting System")</f>
        <v>Interior Lighting System</v>
      </c>
      <c r="F4521" t="s">
        <v>4607</v>
      </c>
    </row>
    <row r="4522" spans="1:6" x14ac:dyDescent="0.15">
      <c r="A4522">
        <v>8414951</v>
      </c>
      <c r="B4522">
        <v>8414794</v>
      </c>
      <c r="C4522" t="s">
        <v>10</v>
      </c>
      <c r="D4522" t="s">
        <v>8</v>
      </c>
      <c r="E4522" s="4" t="str">
        <f>HYPERLINK("https://ibp.a2mac1.com/costing(costing:projects/details/9760/part/8414951)","Trunk Light")</f>
        <v>Trunk Light</v>
      </c>
      <c r="F4522" t="s">
        <v>4947</v>
      </c>
    </row>
    <row r="4523" spans="1:6" x14ac:dyDescent="0.15">
      <c r="A4523">
        <v>8415575</v>
      </c>
      <c r="B4523">
        <v>9760</v>
      </c>
      <c r="C4523" t="s">
        <v>8</v>
      </c>
      <c r="D4523" t="s">
        <v>6</v>
      </c>
      <c r="E4523" s="4" t="str">
        <f>HYPERLINK("https://ibp.a2mac1.com/costing(costing:projects/details/9760/assembly/8415575)","Body")</f>
        <v>Body</v>
      </c>
      <c r="F4523" t="s">
        <v>9</v>
      </c>
    </row>
    <row r="4524" spans="1:6" x14ac:dyDescent="0.15">
      <c r="A4524">
        <v>8415576</v>
      </c>
      <c r="B4524">
        <v>8415575</v>
      </c>
      <c r="C4524" t="s">
        <v>8</v>
      </c>
      <c r="D4524" t="s">
        <v>8</v>
      </c>
      <c r="E4524" s="4" t="str">
        <f>HYPERLINK("https://ibp.a2mac1.com/costing(costing:projects/details/9760/assembly/8415576)","Closures")</f>
        <v>Closures</v>
      </c>
      <c r="F4524" t="s">
        <v>4952</v>
      </c>
    </row>
    <row r="4525" spans="1:6" x14ac:dyDescent="0.15">
      <c r="A4525">
        <v>8415582</v>
      </c>
      <c r="B4525">
        <v>8415576</v>
      </c>
      <c r="C4525" t="s">
        <v>8</v>
      </c>
      <c r="D4525" t="s">
        <v>8</v>
      </c>
      <c r="E4525" s="4" t="str">
        <f>HYPERLINK("https://ibp.a2mac1.com/costing(costing:projects/details/9760/assembly/8415582)","Driver Door")</f>
        <v>Driver Door</v>
      </c>
      <c r="F4525" t="s">
        <v>4953</v>
      </c>
    </row>
    <row r="4526" spans="1:6" x14ac:dyDescent="0.15">
      <c r="A4526">
        <v>8415618</v>
      </c>
      <c r="B4526">
        <v>8415582</v>
      </c>
      <c r="C4526" t="s">
        <v>8</v>
      </c>
      <c r="D4526" t="s">
        <v>8</v>
      </c>
      <c r="E4526" s="4" t="str">
        <f>HYPERLINK("https://ibp.a2mac1.com/costing(costing:projects/details/9760/assembly/8415618)","Driver Door")</f>
        <v>Driver Door</v>
      </c>
      <c r="F4526" t="s">
        <v>4954</v>
      </c>
    </row>
    <row r="4527" spans="1:6" x14ac:dyDescent="0.15">
      <c r="A4527">
        <v>8415806</v>
      </c>
      <c r="B4527">
        <v>8415618</v>
      </c>
      <c r="C4527" t="s">
        <v>8</v>
      </c>
      <c r="D4527" t="s">
        <v>8</v>
      </c>
      <c r="E4527" s="4" t="str">
        <f>HYPERLINK("https://ibp.a2mac1.com/costing(costing:projects/details/9760/assembly/8415806)","Outer panel")</f>
        <v>Outer panel</v>
      </c>
      <c r="F4527" t="s">
        <v>4955</v>
      </c>
    </row>
    <row r="4528" spans="1:6" x14ac:dyDescent="0.15">
      <c r="A4528">
        <v>8416159</v>
      </c>
      <c r="B4528">
        <v>8415806</v>
      </c>
      <c r="C4528" t="s">
        <v>8</v>
      </c>
      <c r="D4528" t="s">
        <v>8</v>
      </c>
      <c r="E4528" s="4" t="str">
        <f>HYPERLINK("https://ibp.a2mac1.com/costing(costing:projects/details/9760/assembly/8416159)","Panel")</f>
        <v>Panel</v>
      </c>
      <c r="F4528" t="s">
        <v>4956</v>
      </c>
    </row>
    <row r="4529" spans="1:6" x14ac:dyDescent="0.15">
      <c r="A4529">
        <v>8416476</v>
      </c>
      <c r="B4529">
        <v>8416159</v>
      </c>
      <c r="C4529" t="s">
        <v>10</v>
      </c>
      <c r="D4529" t="s">
        <v>8</v>
      </c>
      <c r="E4529" s="4" t="str">
        <f>HYPERLINK("https://ibp.a2mac1.com/costing(costing:projects/details/9760/part/8416476)","Closures&gt;Front door&gt;Outer panel&gt;Panel&gt;Part 01 (single/main)")</f>
        <v>Closures&gt;Front door&gt;Outer panel&gt;Panel&gt;Part 01 (single/main)</v>
      </c>
      <c r="F4529" t="s">
        <v>4957</v>
      </c>
    </row>
    <row r="4530" spans="1:6" x14ac:dyDescent="0.15">
      <c r="A4530">
        <v>12085963</v>
      </c>
      <c r="B4530">
        <v>8416476</v>
      </c>
      <c r="C4530" t="s">
        <v>114</v>
      </c>
      <c r="D4530" t="s">
        <v>10</v>
      </c>
      <c r="E4530" s="4" t="str">
        <f>HYPERLINK("https://ibp.a2mac1.com/costing(costing:projects/details/9760/process/12085963)","MANUFACTURING  PROCESS")</f>
        <v>MANUFACTURING  PROCESS</v>
      </c>
      <c r="F4530" t="s">
        <v>4958</v>
      </c>
    </row>
    <row r="4531" spans="1:6" x14ac:dyDescent="0.15">
      <c r="A4531">
        <v>8755577</v>
      </c>
      <c r="B4531">
        <v>12085963</v>
      </c>
      <c r="C4531" t="s">
        <v>22</v>
      </c>
      <c r="D4531" t="s">
        <v>114</v>
      </c>
      <c r="E4531" s="4" t="str">
        <f>HYPERLINK("https://ibp.a2mac1.com/costing(costing:projects/details/9760/material/8755577)","Standard Structural Steel sheet")</f>
        <v>Standard Structural Steel sheet</v>
      </c>
      <c r="F4531" t="s">
        <v>4961</v>
      </c>
    </row>
    <row r="4532" spans="1:6" x14ac:dyDescent="0.15">
      <c r="A4532">
        <v>12213121</v>
      </c>
      <c r="B4532">
        <v>12085963</v>
      </c>
      <c r="C4532" t="s">
        <v>163</v>
      </c>
      <c r="D4532" t="s">
        <v>114</v>
      </c>
      <c r="E4532" s="4" t="str">
        <f>HYPERLINK("https://ibp.a2mac1.com/costing(costing:projects/details/9760/equipment/12213121)","Manufacturing Equipment")</f>
        <v>Manufacturing Equipment</v>
      </c>
      <c r="F4532" t="s">
        <v>4961</v>
      </c>
    </row>
    <row r="4533" spans="1:6" x14ac:dyDescent="0.15">
      <c r="A4533">
        <v>8415807</v>
      </c>
      <c r="B4533">
        <v>8415618</v>
      </c>
      <c r="C4533" t="s">
        <v>8</v>
      </c>
      <c r="D4533" t="s">
        <v>8</v>
      </c>
      <c r="E4533" s="4" t="str">
        <f>HYPERLINK("https://ibp.a2mac1.com/costing(costing:projects/details/9760/assembly/8415807)","Top roll assy")</f>
        <v>Top roll assy</v>
      </c>
      <c r="F4533" t="s">
        <v>4955</v>
      </c>
    </row>
    <row r="4534" spans="1:6" x14ac:dyDescent="0.15">
      <c r="A4534">
        <v>8416160</v>
      </c>
      <c r="B4534">
        <v>8415807</v>
      </c>
      <c r="C4534" t="s">
        <v>8</v>
      </c>
      <c r="D4534" t="s">
        <v>8</v>
      </c>
      <c r="E4534" s="4" t="str">
        <f>HYPERLINK("https://ibp.a2mac1.com/costing(costing:projects/details/9760/assembly/8416160)","Cross member 01 (outer)")</f>
        <v>Cross member 01 (outer)</v>
      </c>
      <c r="F4534" t="s">
        <v>4967</v>
      </c>
    </row>
    <row r="4535" spans="1:6" x14ac:dyDescent="0.15">
      <c r="A4535">
        <v>8416477</v>
      </c>
      <c r="B4535">
        <v>8416160</v>
      </c>
      <c r="C4535" t="s">
        <v>8</v>
      </c>
      <c r="D4535" t="s">
        <v>8</v>
      </c>
      <c r="E4535" s="4" t="str">
        <f>HYPERLINK("https://ibp.a2mac1.com/costing(costing:projects/details/9760/assembly/8416477)","Cross member")</f>
        <v>Cross member</v>
      </c>
      <c r="F4535" t="s">
        <v>4968</v>
      </c>
    </row>
    <row r="4536" spans="1:6" x14ac:dyDescent="0.15">
      <c r="A4536">
        <v>8416824</v>
      </c>
      <c r="B4536">
        <v>8416477</v>
      </c>
      <c r="C4536" t="s">
        <v>10</v>
      </c>
      <c r="D4536" t="s">
        <v>8</v>
      </c>
      <c r="E4536" s="4" t="str">
        <f>HYPERLINK("https://ibp.a2mac1.com/costing(costing:projects/details/9760/part/8416824)","Closures&gt;Front door&gt;Top roll assy&gt;Cross member 01 (outer)&gt;Cross member&gt;Part 01 (single/main)")</f>
        <v>Closures&gt;Front door&gt;Top roll assy&gt;Cross member 01 (outer)&gt;Cross member&gt;Part 01 (single/main)</v>
      </c>
      <c r="F4536" t="s">
        <v>4969</v>
      </c>
    </row>
    <row r="4537" spans="1:6" x14ac:dyDescent="0.15">
      <c r="A4537">
        <v>12086161</v>
      </c>
      <c r="B4537">
        <v>8416824</v>
      </c>
      <c r="C4537" t="s">
        <v>114</v>
      </c>
      <c r="D4537" t="s">
        <v>10</v>
      </c>
      <c r="E4537" s="4" t="str">
        <f>HYPERLINK("https://ibp.a2mac1.com/costing(costing:projects/details/9760/process/12086161)","MANUFACTURING  PROCESS")</f>
        <v>MANUFACTURING  PROCESS</v>
      </c>
      <c r="F4537" t="s">
        <v>4970</v>
      </c>
    </row>
    <row r="4538" spans="1:6" x14ac:dyDescent="0.15">
      <c r="A4538">
        <v>8755747</v>
      </c>
      <c r="B4538">
        <v>12086161</v>
      </c>
      <c r="C4538" t="s">
        <v>22</v>
      </c>
      <c r="D4538" t="s">
        <v>114</v>
      </c>
      <c r="E4538" s="4" t="str">
        <f>HYPERLINK("https://ibp.a2mac1.com/costing(costing:projects/details/9760/material/8755747)","Standard Structural Steel sheet")</f>
        <v>Standard Structural Steel sheet</v>
      </c>
      <c r="F4538" t="s">
        <v>4973</v>
      </c>
    </row>
    <row r="4539" spans="1:6" x14ac:dyDescent="0.15">
      <c r="A4539">
        <v>12213294</v>
      </c>
      <c r="B4539">
        <v>12086161</v>
      </c>
      <c r="C4539" t="s">
        <v>163</v>
      </c>
      <c r="D4539" t="s">
        <v>114</v>
      </c>
      <c r="E4539" s="4" t="str">
        <f>HYPERLINK("https://ibp.a2mac1.com/costing(costing:projects/details/9760/equipment/12213294)","Manufacturing Equipment")</f>
        <v>Manufacturing Equipment</v>
      </c>
      <c r="F4539" t="s">
        <v>4973</v>
      </c>
    </row>
    <row r="4540" spans="1:6" x14ac:dyDescent="0.15">
      <c r="A4540">
        <v>8416520</v>
      </c>
      <c r="B4540">
        <v>8416160</v>
      </c>
      <c r="C4540" t="s">
        <v>8</v>
      </c>
      <c r="D4540" t="s">
        <v>8</v>
      </c>
      <c r="E4540" s="4" t="str">
        <f>HYPERLINK("https://ibp.a2mac1.com/costing(costing:projects/details/9760/assembly/8416520)","Fixing parts")</f>
        <v>Fixing parts</v>
      </c>
      <c r="F4540" t="s">
        <v>4968</v>
      </c>
    </row>
    <row r="4541" spans="1:6" x14ac:dyDescent="0.15">
      <c r="A4541">
        <v>8416825</v>
      </c>
      <c r="B4541">
        <v>8416520</v>
      </c>
      <c r="C4541" t="s">
        <v>10</v>
      </c>
      <c r="D4541" t="s">
        <v>8</v>
      </c>
      <c r="E4541" s="4" t="str">
        <f>HYPERLINK("https://ibp.a2mac1.com/costing(costing:projects/details/9760/part/8416825)","Closures&gt;Front door&gt;Top roll assy&gt;Cross member 01 (outer)&gt;Fixing parts&gt;Part 01 (single/main)")</f>
        <v>Closures&gt;Front door&gt;Top roll assy&gt;Cross member 01 (outer)&gt;Fixing parts&gt;Part 01 (single/main)</v>
      </c>
      <c r="F4541" t="s">
        <v>4975</v>
      </c>
    </row>
    <row r="4542" spans="1:6" x14ac:dyDescent="0.15">
      <c r="A4542">
        <v>12086162</v>
      </c>
      <c r="B4542">
        <v>8416825</v>
      </c>
      <c r="C4542" t="s">
        <v>114</v>
      </c>
      <c r="D4542" t="s">
        <v>10</v>
      </c>
      <c r="E4542" s="4" t="str">
        <f>HYPERLINK("https://ibp.a2mac1.com/costing(costing:projects/details/9760/process/12086162)","MANUFACTURING  PROCESS")</f>
        <v>MANUFACTURING  PROCESS</v>
      </c>
      <c r="F4542" t="s">
        <v>4976</v>
      </c>
    </row>
    <row r="4543" spans="1:6" x14ac:dyDescent="0.15">
      <c r="A4543">
        <v>8755748</v>
      </c>
      <c r="B4543">
        <v>12086162</v>
      </c>
      <c r="C4543" t="s">
        <v>22</v>
      </c>
      <c r="D4543" t="s">
        <v>114</v>
      </c>
      <c r="E4543" s="4" t="str">
        <f>HYPERLINK("https://ibp.a2mac1.com/costing(costing:projects/details/9760/material/8755748)","Standard Structural Steel sheet")</f>
        <v>Standard Structural Steel sheet</v>
      </c>
      <c r="F4543" t="s">
        <v>4978</v>
      </c>
    </row>
    <row r="4544" spans="1:6" x14ac:dyDescent="0.15">
      <c r="A4544">
        <v>12213295</v>
      </c>
      <c r="B4544">
        <v>12086162</v>
      </c>
      <c r="C4544" t="s">
        <v>163</v>
      </c>
      <c r="D4544" t="s">
        <v>114</v>
      </c>
      <c r="E4544" s="4" t="str">
        <f>HYPERLINK("https://ibp.a2mac1.com/costing(costing:projects/details/9760/equipment/12213295)","Manufacturing Equipment")</f>
        <v>Manufacturing Equipment</v>
      </c>
      <c r="F4544" t="s">
        <v>4978</v>
      </c>
    </row>
    <row r="4545" spans="1:6" x14ac:dyDescent="0.15">
      <c r="A4545">
        <v>8416161</v>
      </c>
      <c r="B4545">
        <v>8415807</v>
      </c>
      <c r="C4545" t="s">
        <v>8</v>
      </c>
      <c r="D4545" t="s">
        <v>8</v>
      </c>
      <c r="E4545" s="4" t="str">
        <f>HYPERLINK("https://ibp.a2mac1.com/costing(costing:projects/details/9760/assembly/8416161)","Cross member 02 (inner)")</f>
        <v>Cross member 02 (inner)</v>
      </c>
      <c r="F4545" t="s">
        <v>4967</v>
      </c>
    </row>
    <row r="4546" spans="1:6" x14ac:dyDescent="0.15">
      <c r="A4546">
        <v>8416521</v>
      </c>
      <c r="B4546">
        <v>8416161</v>
      </c>
      <c r="C4546" t="s">
        <v>8</v>
      </c>
      <c r="D4546" t="s">
        <v>8</v>
      </c>
      <c r="E4546" s="4" t="str">
        <f>HYPERLINK("https://ibp.a2mac1.com/costing(costing:projects/details/9760/assembly/8416521)","Cross member")</f>
        <v>Cross member</v>
      </c>
      <c r="F4546" t="s">
        <v>4981</v>
      </c>
    </row>
    <row r="4547" spans="1:6" x14ac:dyDescent="0.15">
      <c r="A4547">
        <v>8416826</v>
      </c>
      <c r="B4547">
        <v>8416521</v>
      </c>
      <c r="C4547" t="s">
        <v>10</v>
      </c>
      <c r="D4547" t="s">
        <v>8</v>
      </c>
      <c r="E4547" s="4" t="str">
        <f>HYPERLINK("https://ibp.a2mac1.com/costing(costing:projects/details/9760/part/8416826)","Closures&gt;Front door&gt;Top roll assy&gt;Cross member 02 (inner)&gt;Cross member&gt;Part 01 (single/main)")</f>
        <v>Closures&gt;Front door&gt;Top roll assy&gt;Cross member 02 (inner)&gt;Cross member&gt;Part 01 (single/main)</v>
      </c>
      <c r="F4547" t="s">
        <v>4982</v>
      </c>
    </row>
    <row r="4548" spans="1:6" x14ac:dyDescent="0.15">
      <c r="A4548">
        <v>12086163</v>
      </c>
      <c r="B4548">
        <v>8416826</v>
      </c>
      <c r="C4548" t="s">
        <v>114</v>
      </c>
      <c r="D4548" t="s">
        <v>10</v>
      </c>
      <c r="E4548" s="4" t="str">
        <f>HYPERLINK("https://ibp.a2mac1.com/costing(costing:projects/details/9760/process/12086163)","MANUFACTURING  PROCESS")</f>
        <v>MANUFACTURING  PROCESS</v>
      </c>
      <c r="F4548" t="s">
        <v>4983</v>
      </c>
    </row>
    <row r="4549" spans="1:6" x14ac:dyDescent="0.15">
      <c r="A4549">
        <v>8755749</v>
      </c>
      <c r="B4549">
        <v>12086163</v>
      </c>
      <c r="C4549" t="s">
        <v>22</v>
      </c>
      <c r="D4549" t="s">
        <v>114</v>
      </c>
      <c r="E4549" s="4" t="str">
        <f>HYPERLINK("https://ibp.a2mac1.com/costing(costing:projects/details/9760/material/8755749)","Standard Structural Steel sheet")</f>
        <v>Standard Structural Steel sheet</v>
      </c>
      <c r="F4549" t="s">
        <v>4986</v>
      </c>
    </row>
    <row r="4550" spans="1:6" x14ac:dyDescent="0.15">
      <c r="A4550">
        <v>12213296</v>
      </c>
      <c r="B4550">
        <v>12086163</v>
      </c>
      <c r="C4550" t="s">
        <v>163</v>
      </c>
      <c r="D4550" t="s">
        <v>114</v>
      </c>
      <c r="E4550" s="4" t="str">
        <f>HYPERLINK("https://ibp.a2mac1.com/costing(costing:projects/details/9760/equipment/12213296)","Manufacturing Equipment")</f>
        <v>Manufacturing Equipment</v>
      </c>
      <c r="F4550" t="s">
        <v>4986</v>
      </c>
    </row>
    <row r="4551" spans="1:6" x14ac:dyDescent="0.15">
      <c r="A4551">
        <v>8416522</v>
      </c>
      <c r="B4551">
        <v>8416161</v>
      </c>
      <c r="C4551" t="s">
        <v>8</v>
      </c>
      <c r="D4551" t="s">
        <v>8</v>
      </c>
      <c r="E4551" s="4" t="str">
        <f>HYPERLINK("https://ibp.a2mac1.com/costing(costing:projects/details/9760/assembly/8416522)","Brackets")</f>
        <v>Brackets</v>
      </c>
      <c r="F4551" t="s">
        <v>4981</v>
      </c>
    </row>
    <row r="4552" spans="1:6" x14ac:dyDescent="0.15">
      <c r="A4552">
        <v>8416827</v>
      </c>
      <c r="B4552">
        <v>8416522</v>
      </c>
      <c r="C4552" t="s">
        <v>10</v>
      </c>
      <c r="D4552" t="s">
        <v>8</v>
      </c>
      <c r="E4552" s="4" t="str">
        <f>HYPERLINK("https://ibp.a2mac1.com/costing(costing:projects/details/9760/part/8416827)","Closures&gt;Front door&gt;Top roll assy&gt;Cross member 02 (inner)&gt;Brackets&gt;Part 01 (single/main)")</f>
        <v>Closures&gt;Front door&gt;Top roll assy&gt;Cross member 02 (inner)&gt;Brackets&gt;Part 01 (single/main)</v>
      </c>
      <c r="F4552" t="s">
        <v>4988</v>
      </c>
    </row>
    <row r="4553" spans="1:6" x14ac:dyDescent="0.15">
      <c r="A4553">
        <v>12086164</v>
      </c>
      <c r="B4553">
        <v>8416827</v>
      </c>
      <c r="C4553" t="s">
        <v>114</v>
      </c>
      <c r="D4553" t="s">
        <v>10</v>
      </c>
      <c r="E4553" s="4" t="str">
        <f>HYPERLINK("https://ibp.a2mac1.com/costing(costing:projects/details/9760/process/12086164)","MANUFACTURING  PROCESS")</f>
        <v>MANUFACTURING  PROCESS</v>
      </c>
      <c r="F4553" t="s">
        <v>4989</v>
      </c>
    </row>
    <row r="4554" spans="1:6" x14ac:dyDescent="0.15">
      <c r="A4554">
        <v>8755750</v>
      </c>
      <c r="B4554">
        <v>12086164</v>
      </c>
      <c r="C4554" t="s">
        <v>22</v>
      </c>
      <c r="D4554" t="s">
        <v>114</v>
      </c>
      <c r="E4554" s="4" t="str">
        <f>HYPERLINK("https://ibp.a2mac1.com/costing(costing:projects/details/9760/material/8755750)","Standard Structural Steel sheet")</f>
        <v>Standard Structural Steel sheet</v>
      </c>
      <c r="F4554" t="s">
        <v>4992</v>
      </c>
    </row>
    <row r="4555" spans="1:6" x14ac:dyDescent="0.15">
      <c r="A4555">
        <v>12213297</v>
      </c>
      <c r="B4555">
        <v>12086164</v>
      </c>
      <c r="C4555" t="s">
        <v>163</v>
      </c>
      <c r="D4555" t="s">
        <v>114</v>
      </c>
      <c r="E4555" s="4" t="str">
        <f>HYPERLINK("https://ibp.a2mac1.com/costing(costing:projects/details/9760/equipment/12213297)","Manufacturing Equipment")</f>
        <v>Manufacturing Equipment</v>
      </c>
      <c r="F4555" t="s">
        <v>4992</v>
      </c>
    </row>
    <row r="4556" spans="1:6" x14ac:dyDescent="0.15">
      <c r="A4556">
        <v>8415808</v>
      </c>
      <c r="B4556">
        <v>8415618</v>
      </c>
      <c r="C4556" t="s">
        <v>8</v>
      </c>
      <c r="D4556" t="s">
        <v>8</v>
      </c>
      <c r="E4556" s="4" t="str">
        <f>HYPERLINK("https://ibp.a2mac1.com/costing(costing:projects/details/9760/assembly/8415808)","Window frame assy")</f>
        <v>Window frame assy</v>
      </c>
      <c r="F4556" t="s">
        <v>4955</v>
      </c>
    </row>
    <row r="4557" spans="1:6" x14ac:dyDescent="0.15">
      <c r="A4557">
        <v>8416162</v>
      </c>
      <c r="B4557">
        <v>8415808</v>
      </c>
      <c r="C4557" t="s">
        <v>8</v>
      </c>
      <c r="D4557" t="s">
        <v>8</v>
      </c>
      <c r="E4557" s="4" t="str">
        <f>HYPERLINK("https://ibp.a2mac1.com/costing(costing:projects/details/9760/assembly/8416162)","Reinforcements")</f>
        <v>Reinforcements</v>
      </c>
      <c r="F4557" t="s">
        <v>4996</v>
      </c>
    </row>
    <row r="4558" spans="1:6" x14ac:dyDescent="0.15">
      <c r="A4558">
        <v>8416523</v>
      </c>
      <c r="B4558">
        <v>8416162</v>
      </c>
      <c r="C4558" t="s">
        <v>10</v>
      </c>
      <c r="D4558" t="s">
        <v>8</v>
      </c>
      <c r="E4558" s="4" t="str">
        <f>HYPERLINK("https://ibp.a2mac1.com/costing(costing:projects/details/9760/part/8416523)","Closures&gt;Front door&gt;Window frame assy&gt;Reinforcements&gt;Part 01 (single/main)")</f>
        <v>Closures&gt;Front door&gt;Window frame assy&gt;Reinforcements&gt;Part 01 (single/main)</v>
      </c>
      <c r="F4558" t="s">
        <v>4997</v>
      </c>
    </row>
    <row r="4559" spans="1:6" x14ac:dyDescent="0.15">
      <c r="A4559">
        <v>12085964</v>
      </c>
      <c r="B4559">
        <v>8416523</v>
      </c>
      <c r="C4559" t="s">
        <v>114</v>
      </c>
      <c r="D4559" t="s">
        <v>10</v>
      </c>
      <c r="E4559" s="4" t="str">
        <f>HYPERLINK("https://ibp.a2mac1.com/costing(costing:projects/details/9760/process/12085964)","MANUFACTURING  PROCESS")</f>
        <v>MANUFACTURING  PROCESS</v>
      </c>
      <c r="F4559" t="s">
        <v>4998</v>
      </c>
    </row>
    <row r="4560" spans="1:6" x14ac:dyDescent="0.15">
      <c r="A4560">
        <v>8755578</v>
      </c>
      <c r="B4560">
        <v>12085964</v>
      </c>
      <c r="C4560" t="s">
        <v>22</v>
      </c>
      <c r="D4560" t="s">
        <v>114</v>
      </c>
      <c r="E4560" s="4" t="str">
        <f>HYPERLINK("https://ibp.a2mac1.com/costing(costing:projects/details/9760/material/8755578)","Standard Structural Steel sheet")</f>
        <v>Standard Structural Steel sheet</v>
      </c>
      <c r="F4560" t="s">
        <v>5001</v>
      </c>
    </row>
    <row r="4561" spans="1:6" x14ac:dyDescent="0.15">
      <c r="A4561">
        <v>12213122</v>
      </c>
      <c r="B4561">
        <v>12085964</v>
      </c>
      <c r="C4561" t="s">
        <v>163</v>
      </c>
      <c r="D4561" t="s">
        <v>114</v>
      </c>
      <c r="E4561" s="4" t="str">
        <f>HYPERLINK("https://ibp.a2mac1.com/costing(costing:projects/details/9760/equipment/12213122)","Manufacturing Equipment")</f>
        <v>Manufacturing Equipment</v>
      </c>
      <c r="F4561" t="s">
        <v>5001</v>
      </c>
    </row>
    <row r="4562" spans="1:6" x14ac:dyDescent="0.15">
      <c r="A4562">
        <v>8416163</v>
      </c>
      <c r="B4562">
        <v>8415808</v>
      </c>
      <c r="C4562" t="s">
        <v>8</v>
      </c>
      <c r="D4562" t="s">
        <v>8</v>
      </c>
      <c r="E4562" s="4" t="str">
        <f>HYPERLINK("https://ibp.a2mac1.com/costing(costing:projects/details/9760/assembly/8416163)","Glass slides")</f>
        <v>Glass slides</v>
      </c>
      <c r="F4562" t="s">
        <v>4996</v>
      </c>
    </row>
    <row r="4563" spans="1:6" x14ac:dyDescent="0.15">
      <c r="A4563">
        <v>8416524</v>
      </c>
      <c r="B4563">
        <v>8416163</v>
      </c>
      <c r="C4563" t="s">
        <v>8</v>
      </c>
      <c r="D4563" t="s">
        <v>8</v>
      </c>
      <c r="E4563" s="4" t="str">
        <f>HYPERLINK("https://ibp.a2mac1.com/costing(costing:projects/details/9760/assembly/8416524)","Front")</f>
        <v>Front</v>
      </c>
      <c r="F4563" t="s">
        <v>5003</v>
      </c>
    </row>
    <row r="4564" spans="1:6" x14ac:dyDescent="0.15">
      <c r="A4564">
        <v>8416828</v>
      </c>
      <c r="B4564">
        <v>8416524</v>
      </c>
      <c r="C4564" t="s">
        <v>8</v>
      </c>
      <c r="D4564" t="s">
        <v>8</v>
      </c>
      <c r="E4564" s="4" t="str">
        <f>HYPERLINK("https://ibp.a2mac1.com/costing(costing:projects/details/9760/assembly/8416828)","slide")</f>
        <v>slide</v>
      </c>
      <c r="F4564" t="s">
        <v>5004</v>
      </c>
    </row>
    <row r="4565" spans="1:6" x14ac:dyDescent="0.15">
      <c r="A4565">
        <v>8417262</v>
      </c>
      <c r="B4565">
        <v>8416828</v>
      </c>
      <c r="C4565" t="s">
        <v>10</v>
      </c>
      <c r="D4565" t="s">
        <v>8</v>
      </c>
      <c r="E4565" s="4" t="str">
        <f>HYPERLINK("https://ibp.a2mac1.com/costing(costing:projects/details/9760/part/8417262)","Closures&gt;Front door&gt;Window frame assy&gt;Glass slides&gt;Front&gt;slide&gt;Part 01 (single/main)")</f>
        <v>Closures&gt;Front door&gt;Window frame assy&gt;Glass slides&gt;Front&gt;slide&gt;Part 01 (single/main)</v>
      </c>
      <c r="F4565" t="s">
        <v>5005</v>
      </c>
    </row>
    <row r="4566" spans="1:6" x14ac:dyDescent="0.15">
      <c r="A4566">
        <v>12086440</v>
      </c>
      <c r="B4566">
        <v>8417262</v>
      </c>
      <c r="C4566" t="s">
        <v>114</v>
      </c>
      <c r="D4566" t="s">
        <v>10</v>
      </c>
      <c r="E4566" s="4" t="str">
        <f>HYPERLINK("https://ibp.a2mac1.com/costing(costing:projects/details/9760/process/12086440)","MANUFACTURING  PROCESS")</f>
        <v>MANUFACTURING  PROCESS</v>
      </c>
      <c r="F4566" t="s">
        <v>5006</v>
      </c>
    </row>
    <row r="4567" spans="1:6" x14ac:dyDescent="0.15">
      <c r="A4567">
        <v>8756043</v>
      </c>
      <c r="B4567">
        <v>12086440</v>
      </c>
      <c r="C4567" t="s">
        <v>22</v>
      </c>
      <c r="D4567" t="s">
        <v>114</v>
      </c>
      <c r="E4567" s="4" t="str">
        <f>HYPERLINK("https://ibp.a2mac1.com/costing(costing:projects/details/9760/material/8756043)","Standard Structural Steel sheet")</f>
        <v>Standard Structural Steel sheet</v>
      </c>
      <c r="F4567" t="s">
        <v>5007</v>
      </c>
    </row>
    <row r="4568" spans="1:6" x14ac:dyDescent="0.15">
      <c r="A4568">
        <v>12213585</v>
      </c>
      <c r="B4568">
        <v>12086440</v>
      </c>
      <c r="C4568" t="s">
        <v>163</v>
      </c>
      <c r="D4568" t="s">
        <v>114</v>
      </c>
      <c r="E4568" s="4" t="str">
        <f>HYPERLINK("https://ibp.a2mac1.com/costing(costing:projects/details/9760/equipment/12213585)","Manufacturing Equipment")</f>
        <v>Manufacturing Equipment</v>
      </c>
      <c r="F4568" t="s">
        <v>5007</v>
      </c>
    </row>
    <row r="4569" spans="1:6" x14ac:dyDescent="0.15">
      <c r="A4569">
        <v>8416829</v>
      </c>
      <c r="B4569">
        <v>8416524</v>
      </c>
      <c r="C4569" t="s">
        <v>8</v>
      </c>
      <c r="D4569" t="s">
        <v>8</v>
      </c>
      <c r="E4569" s="4" t="str">
        <f>HYPERLINK("https://ibp.a2mac1.com/costing(costing:projects/details/9760/assembly/8416829)","Fixing parts")</f>
        <v>Fixing parts</v>
      </c>
      <c r="F4569" t="s">
        <v>5004</v>
      </c>
    </row>
    <row r="4570" spans="1:6" x14ac:dyDescent="0.15">
      <c r="A4570">
        <v>8417263</v>
      </c>
      <c r="B4570">
        <v>8416829</v>
      </c>
      <c r="C4570" t="s">
        <v>10</v>
      </c>
      <c r="D4570" t="s">
        <v>8</v>
      </c>
      <c r="E4570" s="4" t="str">
        <f>HYPERLINK("https://ibp.a2mac1.com/costing(costing:projects/details/9760/part/8417263)","Closures&gt;Front door&gt;Window frame assy&gt;Glass slides&gt;Front&gt;Fixing parts&gt;Part 01 (single/main)")</f>
        <v>Closures&gt;Front door&gt;Window frame assy&gt;Glass slides&gt;Front&gt;Fixing parts&gt;Part 01 (single/main)</v>
      </c>
      <c r="F4570" t="s">
        <v>5010</v>
      </c>
    </row>
    <row r="4571" spans="1:6" x14ac:dyDescent="0.15">
      <c r="A4571">
        <v>12086441</v>
      </c>
      <c r="B4571">
        <v>8417263</v>
      </c>
      <c r="C4571" t="s">
        <v>114</v>
      </c>
      <c r="D4571" t="s">
        <v>10</v>
      </c>
      <c r="E4571" s="4" t="str">
        <f>HYPERLINK("https://ibp.a2mac1.com/costing(costing:projects/details/9760/process/12086441)","MANUFACTURING  PROCESS")</f>
        <v>MANUFACTURING  PROCESS</v>
      </c>
      <c r="F4571" t="s">
        <v>5011</v>
      </c>
    </row>
    <row r="4572" spans="1:6" x14ac:dyDescent="0.15">
      <c r="A4572">
        <v>8756044</v>
      </c>
      <c r="B4572">
        <v>12086441</v>
      </c>
      <c r="C4572" t="s">
        <v>22</v>
      </c>
      <c r="D4572" t="s">
        <v>114</v>
      </c>
      <c r="E4572" s="4" t="str">
        <f>HYPERLINK("https://ibp.a2mac1.com/costing(costing:projects/details/9760/material/8756044)","Standard Structural Steel sheet")</f>
        <v>Standard Structural Steel sheet</v>
      </c>
      <c r="F4572" t="s">
        <v>5013</v>
      </c>
    </row>
    <row r="4573" spans="1:6" x14ac:dyDescent="0.15">
      <c r="A4573">
        <v>12213586</v>
      </c>
      <c r="B4573">
        <v>12086441</v>
      </c>
      <c r="C4573" t="s">
        <v>163</v>
      </c>
      <c r="D4573" t="s">
        <v>114</v>
      </c>
      <c r="E4573" s="4" t="str">
        <f>HYPERLINK("https://ibp.a2mac1.com/costing(costing:projects/details/9760/equipment/12213586)","Manufacturing Equipment")</f>
        <v>Manufacturing Equipment</v>
      </c>
      <c r="F4573" t="s">
        <v>5013</v>
      </c>
    </row>
    <row r="4574" spans="1:6" x14ac:dyDescent="0.15">
      <c r="A4574">
        <v>8415809</v>
      </c>
      <c r="B4574">
        <v>8415618</v>
      </c>
      <c r="C4574" t="s">
        <v>8</v>
      </c>
      <c r="D4574" t="s">
        <v>8</v>
      </c>
      <c r="E4574" s="4" t="str">
        <f>HYPERLINK("https://ibp.a2mac1.com/costing(costing:projects/details/9760/assembly/8415809)","Anti-intrusion beam")</f>
        <v>Anti-intrusion beam</v>
      </c>
      <c r="F4574" t="s">
        <v>4955</v>
      </c>
    </row>
    <row r="4575" spans="1:6" x14ac:dyDescent="0.15">
      <c r="A4575">
        <v>8416164</v>
      </c>
      <c r="B4575">
        <v>8415809</v>
      </c>
      <c r="C4575" t="s">
        <v>8</v>
      </c>
      <c r="D4575" t="s">
        <v>8</v>
      </c>
      <c r="E4575" s="4" t="str">
        <f>HYPERLINK("https://ibp.a2mac1.com/costing(costing:projects/details/9760/assembly/8416164)","Beam 01 (single/upper)")</f>
        <v>Beam 01 (single/upper)</v>
      </c>
      <c r="F4575" t="s">
        <v>5018</v>
      </c>
    </row>
    <row r="4576" spans="1:6" x14ac:dyDescent="0.15">
      <c r="A4576">
        <v>8416525</v>
      </c>
      <c r="B4576">
        <v>8416164</v>
      </c>
      <c r="C4576" t="s">
        <v>8</v>
      </c>
      <c r="D4576" t="s">
        <v>8</v>
      </c>
      <c r="E4576" s="4" t="str">
        <f>HYPERLINK("https://ibp.a2mac1.com/costing(costing:projects/details/9760/assembly/8416525)","Beam")</f>
        <v>Beam</v>
      </c>
      <c r="F4576" t="s">
        <v>5019</v>
      </c>
    </row>
    <row r="4577" spans="1:6" x14ac:dyDescent="0.15">
      <c r="A4577">
        <v>8416830</v>
      </c>
      <c r="B4577">
        <v>8416525</v>
      </c>
      <c r="C4577" t="s">
        <v>10</v>
      </c>
      <c r="D4577" t="s">
        <v>8</v>
      </c>
      <c r="E4577" s="4" t="str">
        <f>HYPERLINK("https://ibp.a2mac1.com/costing(costing:projects/details/9760/part/8416830)","Closures&gt;Front door&gt;Anti-intrusion beam&gt;Beam 01 (single/upper)&gt;Beam&gt;Part 01 (single/main)")</f>
        <v>Closures&gt;Front door&gt;Anti-intrusion beam&gt;Beam 01 (single/upper)&gt;Beam&gt;Part 01 (single/main)</v>
      </c>
      <c r="F4577" t="s">
        <v>5020</v>
      </c>
    </row>
    <row r="4578" spans="1:6" x14ac:dyDescent="0.15">
      <c r="A4578">
        <v>12086165</v>
      </c>
      <c r="B4578">
        <v>8416830</v>
      </c>
      <c r="C4578" t="s">
        <v>114</v>
      </c>
      <c r="D4578" t="s">
        <v>10</v>
      </c>
      <c r="E4578" s="4" t="str">
        <f>HYPERLINK("https://ibp.a2mac1.com/costing(costing:projects/details/9760/process/12086165)","MANUFACTURING  PROCESS")</f>
        <v>MANUFACTURING  PROCESS</v>
      </c>
      <c r="F4578" t="s">
        <v>5021</v>
      </c>
    </row>
    <row r="4579" spans="1:6" x14ac:dyDescent="0.15">
      <c r="A4579">
        <v>8755751</v>
      </c>
      <c r="B4579">
        <v>12086165</v>
      </c>
      <c r="C4579" t="s">
        <v>22</v>
      </c>
      <c r="D4579" t="s">
        <v>114</v>
      </c>
      <c r="E4579" s="4" t="str">
        <f>HYPERLINK("https://ibp.a2mac1.com/costing(costing:projects/details/9760/material/8755751)","Standard Structural Steel sheet")</f>
        <v>Standard Structural Steel sheet</v>
      </c>
      <c r="F4579" t="s">
        <v>5024</v>
      </c>
    </row>
    <row r="4580" spans="1:6" x14ac:dyDescent="0.15">
      <c r="A4580">
        <v>12213298</v>
      </c>
      <c r="B4580">
        <v>12086165</v>
      </c>
      <c r="C4580" t="s">
        <v>163</v>
      </c>
      <c r="D4580" t="s">
        <v>114</v>
      </c>
      <c r="E4580" s="4" t="str">
        <f>HYPERLINK("https://ibp.a2mac1.com/costing(costing:projects/details/9760/equipment/12213298)","Manufacturing Equipment")</f>
        <v>Manufacturing Equipment</v>
      </c>
      <c r="F4580" t="s">
        <v>5024</v>
      </c>
    </row>
    <row r="4581" spans="1:6" x14ac:dyDescent="0.15">
      <c r="A4581">
        <v>8415810</v>
      </c>
      <c r="B4581">
        <v>8415618</v>
      </c>
      <c r="C4581" t="s">
        <v>8</v>
      </c>
      <c r="D4581" t="s">
        <v>8</v>
      </c>
      <c r="E4581" s="4" t="str">
        <f>HYPERLINK("https://ibp.a2mac1.com/costing(costing:projects/details/9760/assembly/8415810)","Housing assy")</f>
        <v>Housing assy</v>
      </c>
      <c r="F4581" t="s">
        <v>4955</v>
      </c>
    </row>
    <row r="4582" spans="1:6" x14ac:dyDescent="0.15">
      <c r="A4582">
        <v>8416165</v>
      </c>
      <c r="B4582">
        <v>8415810</v>
      </c>
      <c r="C4582" t="s">
        <v>8</v>
      </c>
      <c r="D4582" t="s">
        <v>8</v>
      </c>
      <c r="E4582" s="4" t="str">
        <f>HYPERLINK("https://ibp.a2mac1.com/costing(costing:projects/details/9760/assembly/8416165)","Housing")</f>
        <v>Housing</v>
      </c>
      <c r="F4582" t="s">
        <v>5028</v>
      </c>
    </row>
    <row r="4583" spans="1:6" x14ac:dyDescent="0.15">
      <c r="A4583">
        <v>8416526</v>
      </c>
      <c r="B4583">
        <v>8416165</v>
      </c>
      <c r="C4583" t="s">
        <v>10</v>
      </c>
      <c r="D4583" t="s">
        <v>8</v>
      </c>
      <c r="E4583" s="4" t="str">
        <f>HYPERLINK("https://ibp.a2mac1.com/costing(costing:projects/details/9760/part/8416526)","Closures&gt;Front door&gt;Housing assy&gt;Housing&gt;Part 01 (single/front)")</f>
        <v>Closures&gt;Front door&gt;Housing assy&gt;Housing&gt;Part 01 (single/front)</v>
      </c>
      <c r="F4583" t="s">
        <v>5029</v>
      </c>
    </row>
    <row r="4584" spans="1:6" x14ac:dyDescent="0.15">
      <c r="A4584">
        <v>12085965</v>
      </c>
      <c r="B4584">
        <v>8416526</v>
      </c>
      <c r="C4584" t="s">
        <v>114</v>
      </c>
      <c r="D4584" t="s">
        <v>10</v>
      </c>
      <c r="E4584" s="4" t="str">
        <f>HYPERLINK("https://ibp.a2mac1.com/costing(costing:projects/details/9760/process/12085965)","MANUFACTURING  PROCESS")</f>
        <v>MANUFACTURING  PROCESS</v>
      </c>
      <c r="F4584" t="s">
        <v>5030</v>
      </c>
    </row>
    <row r="4585" spans="1:6" x14ac:dyDescent="0.15">
      <c r="A4585">
        <v>8755579</v>
      </c>
      <c r="B4585">
        <v>12085965</v>
      </c>
      <c r="C4585" t="s">
        <v>22</v>
      </c>
      <c r="D4585" t="s">
        <v>114</v>
      </c>
      <c r="E4585" s="4" t="str">
        <f>HYPERLINK("https://ibp.a2mac1.com/costing(costing:projects/details/9760/material/8755579)","Standard Structural Steel sheet")</f>
        <v>Standard Structural Steel sheet</v>
      </c>
      <c r="F4585" t="s">
        <v>5034</v>
      </c>
    </row>
    <row r="4586" spans="1:6" x14ac:dyDescent="0.15">
      <c r="A4586">
        <v>12213123</v>
      </c>
      <c r="B4586">
        <v>12085965</v>
      </c>
      <c r="C4586" t="s">
        <v>163</v>
      </c>
      <c r="D4586" t="s">
        <v>114</v>
      </c>
      <c r="E4586" s="4" t="str">
        <f>HYPERLINK("https://ibp.a2mac1.com/costing(costing:projects/details/9760/equipment/12213123)","Manufacturing Equipment")</f>
        <v>Manufacturing Equipment</v>
      </c>
      <c r="F4586" t="s">
        <v>5034</v>
      </c>
    </row>
    <row r="4587" spans="1:6" x14ac:dyDescent="0.15">
      <c r="A4587">
        <v>8416166</v>
      </c>
      <c r="B4587">
        <v>8415810</v>
      </c>
      <c r="C4587" t="s">
        <v>8</v>
      </c>
      <c r="D4587" t="s">
        <v>8</v>
      </c>
      <c r="E4587" s="4" t="str">
        <f>HYPERLINK("https://ibp.a2mac1.com/costing(costing:projects/details/9760/assembly/8416166)","Reinforcements")</f>
        <v>Reinforcements</v>
      </c>
      <c r="F4587" t="s">
        <v>5028</v>
      </c>
    </row>
    <row r="4588" spans="1:6" x14ac:dyDescent="0.15">
      <c r="A4588">
        <v>8416527</v>
      </c>
      <c r="B4588">
        <v>8416166</v>
      </c>
      <c r="C4588" t="s">
        <v>10</v>
      </c>
      <c r="D4588" t="s">
        <v>8</v>
      </c>
      <c r="E4588" s="4" t="str">
        <f>HYPERLINK("https://ibp.a2mac1.com/costing(costing:projects/details/9760/part/8416527)","Closures&gt;Front door&gt;Housing assy&gt;Reinforcements&gt;Part 01 (single/main)")</f>
        <v>Closures&gt;Front door&gt;Housing assy&gt;Reinforcements&gt;Part 01 (single/main)</v>
      </c>
      <c r="F4588" t="s">
        <v>5037</v>
      </c>
    </row>
    <row r="4589" spans="1:6" x14ac:dyDescent="0.15">
      <c r="A4589">
        <v>12085966</v>
      </c>
      <c r="B4589">
        <v>8416527</v>
      </c>
      <c r="C4589" t="s">
        <v>114</v>
      </c>
      <c r="D4589" t="s">
        <v>10</v>
      </c>
      <c r="E4589" s="4" t="str">
        <f>HYPERLINK("https://ibp.a2mac1.com/costing(costing:projects/details/9760/process/12085966)","MANUFACTURING  PROCESS")</f>
        <v>MANUFACTURING  PROCESS</v>
      </c>
      <c r="F4589" t="s">
        <v>5038</v>
      </c>
    </row>
    <row r="4590" spans="1:6" x14ac:dyDescent="0.15">
      <c r="A4590">
        <v>8755580</v>
      </c>
      <c r="B4590">
        <v>12085966</v>
      </c>
      <c r="C4590" t="s">
        <v>22</v>
      </c>
      <c r="D4590" t="s">
        <v>114</v>
      </c>
      <c r="E4590" s="4" t="str">
        <f>HYPERLINK("https://ibp.a2mac1.com/costing(costing:projects/details/9760/material/8755580)","Standard Structural Steel sheet")</f>
        <v>Standard Structural Steel sheet</v>
      </c>
      <c r="F4590" t="s">
        <v>5041</v>
      </c>
    </row>
    <row r="4591" spans="1:6" x14ac:dyDescent="0.15">
      <c r="A4591">
        <v>12213124</v>
      </c>
      <c r="B4591">
        <v>12085966</v>
      </c>
      <c r="C4591" t="s">
        <v>163</v>
      </c>
      <c r="D4591" t="s">
        <v>114</v>
      </c>
      <c r="E4591" s="4" t="str">
        <f>HYPERLINK("https://ibp.a2mac1.com/costing(costing:projects/details/9760/equipment/12213124)","Manufacturing Equipment")</f>
        <v>Manufacturing Equipment</v>
      </c>
      <c r="F4591" t="s">
        <v>5041</v>
      </c>
    </row>
    <row r="4592" spans="1:6" x14ac:dyDescent="0.15">
      <c r="A4592">
        <v>8416528</v>
      </c>
      <c r="B4592">
        <v>8416166</v>
      </c>
      <c r="C4592" t="s">
        <v>10</v>
      </c>
      <c r="D4592" t="s">
        <v>8</v>
      </c>
      <c r="E4592" s="4" t="str">
        <f>HYPERLINK("https://ibp.a2mac1.com/costing(costing:projects/details/9760/part/8416528)","Closures&gt;Front door&gt;Housing assy&gt;Reinforcements&gt;Part 02")</f>
        <v>Closures&gt;Front door&gt;Housing assy&gt;Reinforcements&gt;Part 02</v>
      </c>
      <c r="F4592" t="s">
        <v>5037</v>
      </c>
    </row>
    <row r="4593" spans="1:6" x14ac:dyDescent="0.15">
      <c r="A4593">
        <v>12085967</v>
      </c>
      <c r="B4593">
        <v>8416528</v>
      </c>
      <c r="C4593" t="s">
        <v>114</v>
      </c>
      <c r="D4593" t="s">
        <v>10</v>
      </c>
      <c r="E4593" s="4" t="str">
        <f>HYPERLINK("https://ibp.a2mac1.com/costing(costing:projects/details/9760/process/12085967)","MANUFACTURING  PROCESS")</f>
        <v>MANUFACTURING  PROCESS</v>
      </c>
      <c r="F4593" t="s">
        <v>5042</v>
      </c>
    </row>
    <row r="4594" spans="1:6" x14ac:dyDescent="0.15">
      <c r="A4594">
        <v>8755581</v>
      </c>
      <c r="B4594">
        <v>12085967</v>
      </c>
      <c r="C4594" t="s">
        <v>22</v>
      </c>
      <c r="D4594" t="s">
        <v>114</v>
      </c>
      <c r="E4594" s="4" t="str">
        <f>HYPERLINK("https://ibp.a2mac1.com/costing(costing:projects/details/9760/material/8755581)","Standard Structural Steel sheet")</f>
        <v>Standard Structural Steel sheet</v>
      </c>
      <c r="F4594" t="s">
        <v>5044</v>
      </c>
    </row>
    <row r="4595" spans="1:6" x14ac:dyDescent="0.15">
      <c r="A4595">
        <v>12213125</v>
      </c>
      <c r="B4595">
        <v>12085967</v>
      </c>
      <c r="C4595" t="s">
        <v>163</v>
      </c>
      <c r="D4595" t="s">
        <v>114</v>
      </c>
      <c r="E4595" s="4" t="str">
        <f>HYPERLINK("https://ibp.a2mac1.com/costing(costing:projects/details/9760/equipment/12213125)","Manufacturing Equipment")</f>
        <v>Manufacturing Equipment</v>
      </c>
      <c r="F4595" t="s">
        <v>5044</v>
      </c>
    </row>
    <row r="4596" spans="1:6" x14ac:dyDescent="0.15">
      <c r="A4596">
        <v>8416529</v>
      </c>
      <c r="B4596">
        <v>8416166</v>
      </c>
      <c r="C4596" t="s">
        <v>10</v>
      </c>
      <c r="D4596" t="s">
        <v>8</v>
      </c>
      <c r="E4596" s="4" t="str">
        <f>HYPERLINK("https://ibp.a2mac1.com/costing(costing:projects/details/9760/part/8416529)","Closures&gt;Front door&gt;Housing assy&gt;Reinforcements&gt;Part 03")</f>
        <v>Closures&gt;Front door&gt;Housing assy&gt;Reinforcements&gt;Part 03</v>
      </c>
      <c r="F4596" t="s">
        <v>5037</v>
      </c>
    </row>
    <row r="4597" spans="1:6" x14ac:dyDescent="0.15">
      <c r="A4597">
        <v>12085968</v>
      </c>
      <c r="B4597">
        <v>8416529</v>
      </c>
      <c r="C4597" t="s">
        <v>114</v>
      </c>
      <c r="D4597" t="s">
        <v>10</v>
      </c>
      <c r="E4597" s="4" t="str">
        <f>HYPERLINK("https://ibp.a2mac1.com/costing(costing:projects/details/9760/process/12085968)","MANUFACTURING  PROCESS")</f>
        <v>MANUFACTURING  PROCESS</v>
      </c>
      <c r="F4597" t="s">
        <v>5045</v>
      </c>
    </row>
    <row r="4598" spans="1:6" x14ac:dyDescent="0.15">
      <c r="A4598">
        <v>8755582</v>
      </c>
      <c r="B4598">
        <v>12085968</v>
      </c>
      <c r="C4598" t="s">
        <v>22</v>
      </c>
      <c r="D4598" t="s">
        <v>114</v>
      </c>
      <c r="E4598" s="4" t="str">
        <f>HYPERLINK("https://ibp.a2mac1.com/costing(costing:projects/details/9760/material/8755582)","Standard Structural Steel sheet")</f>
        <v>Standard Structural Steel sheet</v>
      </c>
      <c r="F4598" t="s">
        <v>5047</v>
      </c>
    </row>
    <row r="4599" spans="1:6" x14ac:dyDescent="0.15">
      <c r="A4599">
        <v>12213126</v>
      </c>
      <c r="B4599">
        <v>12085968</v>
      </c>
      <c r="C4599" t="s">
        <v>163</v>
      </c>
      <c r="D4599" t="s">
        <v>114</v>
      </c>
      <c r="E4599" s="4" t="str">
        <f>HYPERLINK("https://ibp.a2mac1.com/costing(costing:projects/details/9760/equipment/12213126)","Manufacturing Equipment")</f>
        <v>Manufacturing Equipment</v>
      </c>
      <c r="F4599" t="s">
        <v>5047</v>
      </c>
    </row>
    <row r="4600" spans="1:6" x14ac:dyDescent="0.15">
      <c r="A4600">
        <v>8416530</v>
      </c>
      <c r="B4600">
        <v>8416166</v>
      </c>
      <c r="C4600" t="s">
        <v>10</v>
      </c>
      <c r="D4600" t="s">
        <v>8</v>
      </c>
      <c r="E4600" s="4" t="str">
        <f>HYPERLINK("https://ibp.a2mac1.com/costing(costing:projects/details/9760/part/8416530)","Closures&gt;Front door&gt;Housing assy&gt;Reinforcements&gt;Part 04")</f>
        <v>Closures&gt;Front door&gt;Housing assy&gt;Reinforcements&gt;Part 04</v>
      </c>
      <c r="F4600" t="s">
        <v>5037</v>
      </c>
    </row>
    <row r="4601" spans="1:6" x14ac:dyDescent="0.15">
      <c r="A4601">
        <v>12085969</v>
      </c>
      <c r="B4601">
        <v>8416530</v>
      </c>
      <c r="C4601" t="s">
        <v>114</v>
      </c>
      <c r="D4601" t="s">
        <v>10</v>
      </c>
      <c r="E4601" s="4" t="str">
        <f>HYPERLINK("https://ibp.a2mac1.com/costing(costing:projects/details/9760/process/12085969)","MANUFACTURING  PROCESS")</f>
        <v>MANUFACTURING  PROCESS</v>
      </c>
      <c r="F4601" t="s">
        <v>5048</v>
      </c>
    </row>
    <row r="4602" spans="1:6" x14ac:dyDescent="0.15">
      <c r="A4602">
        <v>8755583</v>
      </c>
      <c r="B4602">
        <v>12085969</v>
      </c>
      <c r="C4602" t="s">
        <v>22</v>
      </c>
      <c r="D4602" t="s">
        <v>114</v>
      </c>
      <c r="E4602" s="4" t="str">
        <f>HYPERLINK("https://ibp.a2mac1.com/costing(costing:projects/details/9760/material/8755583)","Standard Structural Steel sheet")</f>
        <v>Standard Structural Steel sheet</v>
      </c>
      <c r="F4602" t="s">
        <v>5051</v>
      </c>
    </row>
    <row r="4603" spans="1:6" x14ac:dyDescent="0.15">
      <c r="A4603">
        <v>12213127</v>
      </c>
      <c r="B4603">
        <v>12085969</v>
      </c>
      <c r="C4603" t="s">
        <v>163</v>
      </c>
      <c r="D4603" t="s">
        <v>114</v>
      </c>
      <c r="E4603" s="4" t="str">
        <f>HYPERLINK("https://ibp.a2mac1.com/costing(costing:projects/details/9760/equipment/12213127)","Manufacturing Equipment")</f>
        <v>Manufacturing Equipment</v>
      </c>
      <c r="F4603" t="s">
        <v>5051</v>
      </c>
    </row>
    <row r="4604" spans="1:6" x14ac:dyDescent="0.15">
      <c r="A4604">
        <v>8416531</v>
      </c>
      <c r="B4604">
        <v>8416166</v>
      </c>
      <c r="C4604" t="s">
        <v>10</v>
      </c>
      <c r="D4604" t="s">
        <v>8</v>
      </c>
      <c r="E4604" s="4" t="str">
        <f>HYPERLINK("https://ibp.a2mac1.com/costing(costing:projects/details/9760/part/8416531)","Closures&gt;Front door&gt;Housing assy&gt;Reinforcements&gt;Part 05")</f>
        <v>Closures&gt;Front door&gt;Housing assy&gt;Reinforcements&gt;Part 05</v>
      </c>
      <c r="F4604" t="s">
        <v>5037</v>
      </c>
    </row>
    <row r="4605" spans="1:6" x14ac:dyDescent="0.15">
      <c r="A4605">
        <v>12085970</v>
      </c>
      <c r="B4605">
        <v>8416531</v>
      </c>
      <c r="C4605" t="s">
        <v>114</v>
      </c>
      <c r="D4605" t="s">
        <v>10</v>
      </c>
      <c r="E4605" s="4" t="str">
        <f>HYPERLINK("https://ibp.a2mac1.com/costing(costing:projects/details/9760/process/12085970)","MANUFACTURING  PROCESS")</f>
        <v>MANUFACTURING  PROCESS</v>
      </c>
      <c r="F4605" t="s">
        <v>5052</v>
      </c>
    </row>
    <row r="4606" spans="1:6" x14ac:dyDescent="0.15">
      <c r="A4606">
        <v>8755584</v>
      </c>
      <c r="B4606">
        <v>12085970</v>
      </c>
      <c r="C4606" t="s">
        <v>22</v>
      </c>
      <c r="D4606" t="s">
        <v>114</v>
      </c>
      <c r="E4606" s="4" t="str">
        <f>HYPERLINK("https://ibp.a2mac1.com/costing(costing:projects/details/9760/material/8755584)","Standard Structural Steel sheet")</f>
        <v>Standard Structural Steel sheet</v>
      </c>
      <c r="F4606" t="s">
        <v>5055</v>
      </c>
    </row>
    <row r="4607" spans="1:6" x14ac:dyDescent="0.15">
      <c r="A4607">
        <v>12213128</v>
      </c>
      <c r="B4607">
        <v>12085970</v>
      </c>
      <c r="C4607" t="s">
        <v>163</v>
      </c>
      <c r="D4607" t="s">
        <v>114</v>
      </c>
      <c r="E4607" s="4" t="str">
        <f>HYPERLINK("https://ibp.a2mac1.com/costing(costing:projects/details/9760/equipment/12213128)","Manufacturing Equipment")</f>
        <v>Manufacturing Equipment</v>
      </c>
      <c r="F4607" t="s">
        <v>5055</v>
      </c>
    </row>
    <row r="4608" spans="1:6" x14ac:dyDescent="0.15">
      <c r="A4608">
        <v>8416167</v>
      </c>
      <c r="B4608">
        <v>8415810</v>
      </c>
      <c r="C4608" t="s">
        <v>8</v>
      </c>
      <c r="D4608" t="s">
        <v>8</v>
      </c>
      <c r="E4608" s="4" t="str">
        <f>HYPERLINK("https://ibp.a2mac1.com/costing(costing:projects/details/9760/assembly/8416167)","Fixing parts")</f>
        <v>Fixing parts</v>
      </c>
      <c r="F4608" t="s">
        <v>5028</v>
      </c>
    </row>
    <row r="4609" spans="1:6" x14ac:dyDescent="0.15">
      <c r="A4609">
        <v>8416532</v>
      </c>
      <c r="B4609">
        <v>8416167</v>
      </c>
      <c r="C4609" t="s">
        <v>8</v>
      </c>
      <c r="D4609" t="s">
        <v>8</v>
      </c>
      <c r="E4609" s="4" t="str">
        <f>HYPERLINK("https://ibp.a2mac1.com/costing(costing:projects/details/9760/assembly/8416532)","Front")</f>
        <v>Front</v>
      </c>
      <c r="F4609" t="s">
        <v>5057</v>
      </c>
    </row>
    <row r="4610" spans="1:6" x14ac:dyDescent="0.15">
      <c r="A4610">
        <v>8416831</v>
      </c>
      <c r="B4610">
        <v>8416532</v>
      </c>
      <c r="C4610" t="s">
        <v>10</v>
      </c>
      <c r="D4610" t="s">
        <v>8</v>
      </c>
      <c r="E4610" s="4" t="str">
        <f>HYPERLINK("https://ibp.a2mac1.com/costing(costing:projects/details/9760/part/8416831)","Closures&gt;Front door&gt;Housing assy&gt;Fixing parts&gt;Front&gt;Part 01 (single/main)")</f>
        <v>Closures&gt;Front door&gt;Housing assy&gt;Fixing parts&gt;Front&gt;Part 01 (single/main)</v>
      </c>
      <c r="F4610" t="s">
        <v>5058</v>
      </c>
    </row>
    <row r="4611" spans="1:6" x14ac:dyDescent="0.15">
      <c r="A4611">
        <v>12086166</v>
      </c>
      <c r="B4611">
        <v>8416831</v>
      </c>
      <c r="C4611" t="s">
        <v>114</v>
      </c>
      <c r="D4611" t="s">
        <v>10</v>
      </c>
      <c r="E4611" s="4" t="str">
        <f>HYPERLINK("https://ibp.a2mac1.com/costing(costing:projects/details/9760/process/12086166)","MANUFACTURING  PROCESS")</f>
        <v>MANUFACTURING  PROCESS</v>
      </c>
      <c r="F4611" t="s">
        <v>5059</v>
      </c>
    </row>
    <row r="4612" spans="1:6" x14ac:dyDescent="0.15">
      <c r="A4612">
        <v>8755752</v>
      </c>
      <c r="B4612">
        <v>12086166</v>
      </c>
      <c r="C4612" t="s">
        <v>22</v>
      </c>
      <c r="D4612" t="s">
        <v>114</v>
      </c>
      <c r="E4612" s="4" t="str">
        <f>HYPERLINK("https://ibp.a2mac1.com/costing(costing:projects/details/9760/material/8755752)","Standard Structural Steel sheet")</f>
        <v>Standard Structural Steel sheet</v>
      </c>
      <c r="F4612" t="s">
        <v>5062</v>
      </c>
    </row>
    <row r="4613" spans="1:6" x14ac:dyDescent="0.15">
      <c r="A4613">
        <v>12213299</v>
      </c>
      <c r="B4613">
        <v>12086166</v>
      </c>
      <c r="C4613" t="s">
        <v>163</v>
      </c>
      <c r="D4613" t="s">
        <v>114</v>
      </c>
      <c r="E4613" s="4" t="str">
        <f>HYPERLINK("https://ibp.a2mac1.com/costing(costing:projects/details/9760/equipment/12213299)","Manufacturing Equipment")</f>
        <v>Manufacturing Equipment</v>
      </c>
      <c r="F4613" t="s">
        <v>5062</v>
      </c>
    </row>
    <row r="4614" spans="1:6" x14ac:dyDescent="0.15">
      <c r="A4614">
        <v>8416832</v>
      </c>
      <c r="B4614">
        <v>8416532</v>
      </c>
      <c r="C4614" t="s">
        <v>10</v>
      </c>
      <c r="D4614" t="s">
        <v>8</v>
      </c>
      <c r="E4614" s="4" t="str">
        <f>HYPERLINK("https://ibp.a2mac1.com/costing(costing:projects/details/9760/part/8416832)","Closures&gt;Front door&gt;Housing assy&gt;Fixing parts&gt;Front&gt;Part 02")</f>
        <v>Closures&gt;Front door&gt;Housing assy&gt;Fixing parts&gt;Front&gt;Part 02</v>
      </c>
      <c r="F4614" t="s">
        <v>5058</v>
      </c>
    </row>
    <row r="4615" spans="1:6" x14ac:dyDescent="0.15">
      <c r="A4615">
        <v>12086167</v>
      </c>
      <c r="B4615">
        <v>8416832</v>
      </c>
      <c r="C4615" t="s">
        <v>114</v>
      </c>
      <c r="D4615" t="s">
        <v>10</v>
      </c>
      <c r="E4615" s="4" t="str">
        <f>HYPERLINK("https://ibp.a2mac1.com/costing(costing:projects/details/9760/process/12086167)","MANUFACTURING  PROCESS")</f>
        <v>MANUFACTURING  PROCESS</v>
      </c>
      <c r="F4615" t="s">
        <v>5063</v>
      </c>
    </row>
    <row r="4616" spans="1:6" x14ac:dyDescent="0.15">
      <c r="A4616">
        <v>8755753</v>
      </c>
      <c r="B4616">
        <v>12086167</v>
      </c>
      <c r="C4616" t="s">
        <v>22</v>
      </c>
      <c r="D4616" t="s">
        <v>114</v>
      </c>
      <c r="E4616" s="4" t="str">
        <f>HYPERLINK("https://ibp.a2mac1.com/costing(costing:projects/details/9760/material/8755753)","Standard Structural Steel sheet")</f>
        <v>Standard Structural Steel sheet</v>
      </c>
      <c r="F4616" t="s">
        <v>5064</v>
      </c>
    </row>
    <row r="4617" spans="1:6" x14ac:dyDescent="0.15">
      <c r="A4617">
        <v>12213300</v>
      </c>
      <c r="B4617">
        <v>12086167</v>
      </c>
      <c r="C4617" t="s">
        <v>163</v>
      </c>
      <c r="D4617" t="s">
        <v>114</v>
      </c>
      <c r="E4617" s="4" t="str">
        <f>HYPERLINK("https://ibp.a2mac1.com/costing(costing:projects/details/9760/equipment/12213300)","Manufacturing Equipment")</f>
        <v>Manufacturing Equipment</v>
      </c>
      <c r="F4617" t="s">
        <v>5064</v>
      </c>
    </row>
    <row r="4618" spans="1:6" x14ac:dyDescent="0.15">
      <c r="A4618">
        <v>12085085</v>
      </c>
      <c r="B4618">
        <v>8415618</v>
      </c>
      <c r="C4618" t="s">
        <v>114</v>
      </c>
      <c r="D4618" t="s">
        <v>8</v>
      </c>
      <c r="E4618" s="4" t="str">
        <f>HYPERLINK("https://ibp.a2mac1.com/costing(costing:projects/details/9760/process/12085085)","Assembly")</f>
        <v>Assembly</v>
      </c>
      <c r="F4618" t="s">
        <v>4955</v>
      </c>
    </row>
    <row r="4619" spans="1:6" x14ac:dyDescent="0.15">
      <c r="A4619">
        <v>12212176</v>
      </c>
      <c r="B4619">
        <v>12085085</v>
      </c>
      <c r="C4619" t="s">
        <v>163</v>
      </c>
      <c r="D4619" t="s">
        <v>114</v>
      </c>
      <c r="E4619" s="4" t="str">
        <f>HYPERLINK("https://ibp.a2mac1.com/costing(costing:projects/details/9760/equipment/12212176)","Assembly Station ")</f>
        <v xml:space="preserve">Assembly Station </v>
      </c>
      <c r="F4619" t="s">
        <v>5069</v>
      </c>
    </row>
    <row r="4620" spans="1:6" x14ac:dyDescent="0.15">
      <c r="A4620">
        <v>8415622</v>
      </c>
      <c r="B4620">
        <v>8415582</v>
      </c>
      <c r="C4620" t="s">
        <v>8</v>
      </c>
      <c r="D4620" t="s">
        <v>8</v>
      </c>
      <c r="E4620" s="4" t="str">
        <f>HYPERLINK("https://ibp.a2mac1.com/costing(costing:projects/details/9760/assembly/8415622)","Door Panel")</f>
        <v>Door Panel</v>
      </c>
      <c r="F4620" t="s">
        <v>4954</v>
      </c>
    </row>
    <row r="4621" spans="1:6" x14ac:dyDescent="0.15">
      <c r="A4621">
        <v>8415823</v>
      </c>
      <c r="B4621">
        <v>8415622</v>
      </c>
      <c r="C4621" t="s">
        <v>8</v>
      </c>
      <c r="D4621" t="s">
        <v>8</v>
      </c>
      <c r="E4621" s="4" t="str">
        <f>HYPERLINK("https://ibp.a2mac1.com/costing(costing:projects/details/9760/assembly/8415823)","Door handle")</f>
        <v>Door handle</v>
      </c>
      <c r="F4621" t="s">
        <v>5071</v>
      </c>
    </row>
    <row r="4622" spans="1:6" x14ac:dyDescent="0.15">
      <c r="A4622">
        <v>8416168</v>
      </c>
      <c r="B4622">
        <v>8415823</v>
      </c>
      <c r="C4622" t="s">
        <v>10</v>
      </c>
      <c r="D4622" t="s">
        <v>8</v>
      </c>
      <c r="E4622" s="4" t="str">
        <f>HYPERLINK("https://ibp.a2mac1.com/costing(costing:projects/details/9760/part/8416168)","Handle")</f>
        <v>Handle</v>
      </c>
      <c r="F4622" t="s">
        <v>5072</v>
      </c>
    </row>
    <row r="4623" spans="1:6" x14ac:dyDescent="0.15">
      <c r="A4623">
        <v>12085465</v>
      </c>
      <c r="B4623">
        <v>8416168</v>
      </c>
      <c r="C4623" t="s">
        <v>114</v>
      </c>
      <c r="D4623" t="s">
        <v>10</v>
      </c>
      <c r="E4623" s="4" t="str">
        <f>HYPERLINK("https://ibp.a2mac1.com/costing(costing:projects/details/9760/process/12085465)","Automated Process")</f>
        <v>Automated Process</v>
      </c>
      <c r="F4623" t="s">
        <v>5073</v>
      </c>
    </row>
    <row r="4624" spans="1:6" x14ac:dyDescent="0.15">
      <c r="A4624">
        <v>8755173</v>
      </c>
      <c r="B4624">
        <v>12085465</v>
      </c>
      <c r="C4624" t="s">
        <v>22</v>
      </c>
      <c r="D4624" t="s">
        <v>114</v>
      </c>
      <c r="E4624" s="4" t="str">
        <f>HYPERLINK("https://ibp.a2mac1.com/costing(costing:projects/details/9760/material/8755173)","PC-ABS")</f>
        <v>PC-ABS</v>
      </c>
      <c r="F4624" t="s">
        <v>5076</v>
      </c>
    </row>
    <row r="4625" spans="1:6" x14ac:dyDescent="0.15">
      <c r="A4625">
        <v>12212625</v>
      </c>
      <c r="B4625">
        <v>12085465</v>
      </c>
      <c r="C4625" t="s">
        <v>163</v>
      </c>
      <c r="D4625" t="s">
        <v>114</v>
      </c>
      <c r="E4625" s="4" t="str">
        <f>HYPERLINK("https://ibp.a2mac1.com/costing(costing:projects/details/9760/equipment/12212625)","DC machine - General")</f>
        <v>DC machine - General</v>
      </c>
      <c r="F4625" t="s">
        <v>5076</v>
      </c>
    </row>
    <row r="4626" spans="1:6" x14ac:dyDescent="0.15">
      <c r="A4626">
        <v>8416169</v>
      </c>
      <c r="B4626">
        <v>8415823</v>
      </c>
      <c r="C4626" t="s">
        <v>10</v>
      </c>
      <c r="D4626" t="s">
        <v>8</v>
      </c>
      <c r="E4626" s="4" t="str">
        <f>HYPERLINK("https://ibp.a2mac1.com/costing(costing:projects/details/9760/part/8416169)","Trim")</f>
        <v>Trim</v>
      </c>
      <c r="F4626" t="s">
        <v>5072</v>
      </c>
    </row>
    <row r="4627" spans="1:6" x14ac:dyDescent="0.15">
      <c r="A4627">
        <v>12085466</v>
      </c>
      <c r="B4627">
        <v>8416169</v>
      </c>
      <c r="C4627" t="s">
        <v>114</v>
      </c>
      <c r="D4627" t="s">
        <v>10</v>
      </c>
      <c r="E4627" s="4" t="str">
        <f>HYPERLINK("https://ibp.a2mac1.com/costing(costing:projects/details/9760/process/12085466)","Automated Process")</f>
        <v>Automated Process</v>
      </c>
      <c r="F4627" t="s">
        <v>5079</v>
      </c>
    </row>
    <row r="4628" spans="1:6" x14ac:dyDescent="0.15">
      <c r="A4628">
        <v>8755174</v>
      </c>
      <c r="B4628">
        <v>12085466</v>
      </c>
      <c r="C4628" t="s">
        <v>22</v>
      </c>
      <c r="D4628" t="s">
        <v>114</v>
      </c>
      <c r="E4628" s="4" t="str">
        <f>HYPERLINK("https://ibp.a2mac1.com/costing(costing:projects/details/9760/material/8755174)","PVC + Fabric backing 3mm PU foam")</f>
        <v>PVC + Fabric backing 3mm PU foam</v>
      </c>
      <c r="F4628" t="s">
        <v>5081</v>
      </c>
    </row>
    <row r="4629" spans="1:6" x14ac:dyDescent="0.15">
      <c r="A4629">
        <v>8755175</v>
      </c>
      <c r="B4629">
        <v>12085466</v>
      </c>
      <c r="C4629" t="s">
        <v>22</v>
      </c>
      <c r="D4629" t="s">
        <v>114</v>
      </c>
      <c r="E4629" s="4" t="str">
        <f>HYPERLINK("https://ibp.a2mac1.com/costing(costing:projects/details/9760/material/8755175)","PC-ABS")</f>
        <v>PC-ABS</v>
      </c>
      <c r="F4629" t="s">
        <v>5081</v>
      </c>
    </row>
    <row r="4630" spans="1:6" x14ac:dyDescent="0.15">
      <c r="A4630">
        <v>12212626</v>
      </c>
      <c r="B4630">
        <v>12085466</v>
      </c>
      <c r="C4630" t="s">
        <v>163</v>
      </c>
      <c r="D4630" t="s">
        <v>114</v>
      </c>
      <c r="E4630" s="4" t="str">
        <f>HYPERLINK("https://ibp.a2mac1.com/costing(costing:projects/details/9760/equipment/12212626)","DC machine - General")</f>
        <v>DC machine - General</v>
      </c>
      <c r="F4630" t="s">
        <v>5081</v>
      </c>
    </row>
    <row r="4631" spans="1:6" x14ac:dyDescent="0.15">
      <c r="A4631">
        <v>8416170</v>
      </c>
      <c r="B4631">
        <v>8415823</v>
      </c>
      <c r="C4631" t="s">
        <v>10</v>
      </c>
      <c r="D4631" t="s">
        <v>8</v>
      </c>
      <c r="E4631" s="4" t="str">
        <f>HYPERLINK("https://ibp.a2mac1.com/costing(costing:projects/details/9760/part/8416170)","Handle Support")</f>
        <v>Handle Support</v>
      </c>
      <c r="F4631" t="s">
        <v>5072</v>
      </c>
    </row>
    <row r="4632" spans="1:6" x14ac:dyDescent="0.15">
      <c r="A4632">
        <v>12085467</v>
      </c>
      <c r="B4632">
        <v>8416170</v>
      </c>
      <c r="C4632" t="s">
        <v>114</v>
      </c>
      <c r="D4632" t="s">
        <v>10</v>
      </c>
      <c r="E4632" s="4" t="str">
        <f>HYPERLINK("https://ibp.a2mac1.com/costing(costing:projects/details/9760/process/12085467)","Automated Process")</f>
        <v>Automated Process</v>
      </c>
      <c r="F4632" t="s">
        <v>5086</v>
      </c>
    </row>
    <row r="4633" spans="1:6" x14ac:dyDescent="0.15">
      <c r="A4633">
        <v>8755176</v>
      </c>
      <c r="B4633">
        <v>12085467</v>
      </c>
      <c r="C4633" t="s">
        <v>22</v>
      </c>
      <c r="D4633" t="s">
        <v>114</v>
      </c>
      <c r="E4633" s="4" t="str">
        <f>HYPERLINK("https://ibp.a2mac1.com/costing(costing:projects/details/9760/material/8755176)","PA")</f>
        <v>PA</v>
      </c>
      <c r="F4633" t="s">
        <v>5089</v>
      </c>
    </row>
    <row r="4634" spans="1:6" x14ac:dyDescent="0.15">
      <c r="A4634">
        <v>12212627</v>
      </c>
      <c r="B4634">
        <v>12085467</v>
      </c>
      <c r="C4634" t="s">
        <v>163</v>
      </c>
      <c r="D4634" t="s">
        <v>114</v>
      </c>
      <c r="E4634" s="4" t="str">
        <f>HYPERLINK("https://ibp.a2mac1.com/costing(costing:projects/details/9760/equipment/12212627)","DC machine - General")</f>
        <v>DC machine - General</v>
      </c>
      <c r="F4634" t="s">
        <v>5089</v>
      </c>
    </row>
    <row r="4635" spans="1:6" x14ac:dyDescent="0.15">
      <c r="A4635">
        <v>8754512</v>
      </c>
      <c r="B4635">
        <v>8415823</v>
      </c>
      <c r="C4635" t="s">
        <v>311</v>
      </c>
      <c r="D4635" t="s">
        <v>8</v>
      </c>
      <c r="E4635" s="4" t="str">
        <f>HYPERLINK("https://ibp.a2mac1.com/costing(costing:projects/details/9760/component/8754512)","Screw &gt; Torx socket head cap screw with flange")</f>
        <v>Screw &gt; Torx socket head cap screw with flange</v>
      </c>
      <c r="F4635" t="s">
        <v>5072</v>
      </c>
    </row>
    <row r="4636" spans="1:6" x14ac:dyDescent="0.15">
      <c r="A4636">
        <v>8754513</v>
      </c>
      <c r="B4636">
        <v>8415823</v>
      </c>
      <c r="C4636" t="s">
        <v>311</v>
      </c>
      <c r="D4636" t="s">
        <v>8</v>
      </c>
      <c r="E4636" s="4" t="str">
        <f>HYPERLINK("https://ibp.a2mac1.com/costing(costing:projects/details/9760/component/8754513)","Panel holder &gt; Clips in rectangular hole")</f>
        <v>Panel holder &gt; Clips in rectangular hole</v>
      </c>
      <c r="F4636" t="s">
        <v>5072</v>
      </c>
    </row>
    <row r="4637" spans="1:6" x14ac:dyDescent="0.15">
      <c r="A4637">
        <v>8754514</v>
      </c>
      <c r="B4637">
        <v>8415823</v>
      </c>
      <c r="C4637" t="s">
        <v>311</v>
      </c>
      <c r="D4637" t="s">
        <v>8</v>
      </c>
      <c r="E4637" s="4" t="str">
        <f>HYPERLINK("https://ibp.a2mac1.com/costing(costing:projects/details/9760/component/8754514)","Screw &gt; Cross recessed screw with flange")</f>
        <v>Screw &gt; Cross recessed screw with flange</v>
      </c>
      <c r="F4637" t="s">
        <v>5072</v>
      </c>
    </row>
    <row r="4638" spans="1:6" x14ac:dyDescent="0.15">
      <c r="A4638">
        <v>8415824</v>
      </c>
      <c r="B4638">
        <v>8415622</v>
      </c>
      <c r="C4638" t="s">
        <v>8</v>
      </c>
      <c r="D4638" t="s">
        <v>8</v>
      </c>
      <c r="E4638" s="4" t="str">
        <f>HYPERLINK("https://ibp.a2mac1.com/costing(costing:projects/details/9760/assembly/8415824)","Speaker Grill System")</f>
        <v>Speaker Grill System</v>
      </c>
      <c r="F4638" t="s">
        <v>5071</v>
      </c>
    </row>
    <row r="4639" spans="1:6" x14ac:dyDescent="0.15">
      <c r="A4639">
        <v>8416171</v>
      </c>
      <c r="B4639">
        <v>8415824</v>
      </c>
      <c r="C4639" t="s">
        <v>10</v>
      </c>
      <c r="D4639" t="s">
        <v>8</v>
      </c>
      <c r="E4639" s="4" t="str">
        <f>HYPERLINK("https://ibp.a2mac1.com/costing(costing:projects/details/9760/part/8416171)","Speaker Grille")</f>
        <v>Speaker Grille</v>
      </c>
      <c r="F4639" t="s">
        <v>5092</v>
      </c>
    </row>
    <row r="4640" spans="1:6" x14ac:dyDescent="0.15">
      <c r="A4640">
        <v>12085468</v>
      </c>
      <c r="B4640">
        <v>8416171</v>
      </c>
      <c r="C4640" t="s">
        <v>114</v>
      </c>
      <c r="D4640" t="s">
        <v>10</v>
      </c>
      <c r="E4640" s="4" t="str">
        <f>HYPERLINK("https://ibp.a2mac1.com/costing(costing:projects/details/9760/process/12085468)","Automated Process")</f>
        <v>Automated Process</v>
      </c>
      <c r="F4640" t="s">
        <v>5093</v>
      </c>
    </row>
    <row r="4641" spans="1:6" x14ac:dyDescent="0.15">
      <c r="A4641">
        <v>8755177</v>
      </c>
      <c r="B4641">
        <v>12085468</v>
      </c>
      <c r="C4641" t="s">
        <v>22</v>
      </c>
      <c r="D4641" t="s">
        <v>114</v>
      </c>
      <c r="E4641" s="4" t="str">
        <f>HYPERLINK("https://ibp.a2mac1.com/costing(costing:projects/details/9760/material/8755177)","PP-EPDM")</f>
        <v>PP-EPDM</v>
      </c>
      <c r="F4641" t="s">
        <v>5096</v>
      </c>
    </row>
    <row r="4642" spans="1:6" x14ac:dyDescent="0.15">
      <c r="A4642">
        <v>12212628</v>
      </c>
      <c r="B4642">
        <v>12085468</v>
      </c>
      <c r="C4642" t="s">
        <v>163</v>
      </c>
      <c r="D4642" t="s">
        <v>114</v>
      </c>
      <c r="E4642" s="4" t="str">
        <f>HYPERLINK("https://ibp.a2mac1.com/costing(costing:projects/details/9760/equipment/12212628)","DC machine - General")</f>
        <v>DC machine - General</v>
      </c>
      <c r="F4642" t="s">
        <v>5096</v>
      </c>
    </row>
    <row r="4643" spans="1:6" x14ac:dyDescent="0.15">
      <c r="A4643">
        <v>8416172</v>
      </c>
      <c r="B4643">
        <v>8415824</v>
      </c>
      <c r="C4643" t="s">
        <v>10</v>
      </c>
      <c r="D4643" t="s">
        <v>8</v>
      </c>
      <c r="E4643" s="4" t="str">
        <f>HYPERLINK("https://ibp.a2mac1.com/costing(costing:projects/details/9760/part/8416172)","Speaker Bezel")</f>
        <v>Speaker Bezel</v>
      </c>
      <c r="F4643" t="s">
        <v>5092</v>
      </c>
    </row>
    <row r="4644" spans="1:6" x14ac:dyDescent="0.15">
      <c r="A4644">
        <v>12085469</v>
      </c>
      <c r="B4644">
        <v>8416172</v>
      </c>
      <c r="C4644" t="s">
        <v>114</v>
      </c>
      <c r="D4644" t="s">
        <v>10</v>
      </c>
      <c r="E4644" s="4" t="str">
        <f>HYPERLINK("https://ibp.a2mac1.com/costing(costing:projects/details/9760/process/12085469)","Automated Process")</f>
        <v>Automated Process</v>
      </c>
      <c r="F4644" t="s">
        <v>5098</v>
      </c>
    </row>
    <row r="4645" spans="1:6" x14ac:dyDescent="0.15">
      <c r="A4645">
        <v>8755178</v>
      </c>
      <c r="B4645">
        <v>12085469</v>
      </c>
      <c r="C4645" t="s">
        <v>22</v>
      </c>
      <c r="D4645" t="s">
        <v>114</v>
      </c>
      <c r="E4645" s="4" t="str">
        <f>HYPERLINK("https://ibp.a2mac1.com/costing(costing:projects/details/9760/material/8755178)","PP")</f>
        <v>PP</v>
      </c>
      <c r="F4645" t="s">
        <v>5101</v>
      </c>
    </row>
    <row r="4646" spans="1:6" x14ac:dyDescent="0.15">
      <c r="A4646">
        <v>12212629</v>
      </c>
      <c r="B4646">
        <v>12085469</v>
      </c>
      <c r="C4646" t="s">
        <v>163</v>
      </c>
      <c r="D4646" t="s">
        <v>114</v>
      </c>
      <c r="E4646" s="4" t="str">
        <f>HYPERLINK("https://ibp.a2mac1.com/costing(costing:projects/details/9760/equipment/12212629)","DC machine - General")</f>
        <v>DC machine - General</v>
      </c>
      <c r="F4646" t="s">
        <v>5101</v>
      </c>
    </row>
    <row r="4647" spans="1:6" x14ac:dyDescent="0.15">
      <c r="A4647">
        <v>8416173</v>
      </c>
      <c r="B4647">
        <v>8415824</v>
      </c>
      <c r="C4647" t="s">
        <v>10</v>
      </c>
      <c r="D4647" t="s">
        <v>8</v>
      </c>
      <c r="E4647" s="4" t="str">
        <f>HYPERLINK("https://ibp.a2mac1.com/costing(costing:projects/details/9760/part/8416173)","Speaker Badge")</f>
        <v>Speaker Badge</v>
      </c>
      <c r="F4647" t="s">
        <v>5092</v>
      </c>
    </row>
    <row r="4648" spans="1:6" x14ac:dyDescent="0.15">
      <c r="A4648">
        <v>12085470</v>
      </c>
      <c r="B4648">
        <v>8416173</v>
      </c>
      <c r="C4648" t="s">
        <v>114</v>
      </c>
      <c r="D4648" t="s">
        <v>10</v>
      </c>
      <c r="E4648" s="4" t="str">
        <f>HYPERLINK("https://ibp.a2mac1.com/costing(costing:projects/details/9760/process/12085470)","Automated Process")</f>
        <v>Automated Process</v>
      </c>
      <c r="F4648" t="s">
        <v>5103</v>
      </c>
    </row>
    <row r="4649" spans="1:6" x14ac:dyDescent="0.15">
      <c r="A4649">
        <v>8755179</v>
      </c>
      <c r="B4649">
        <v>12085470</v>
      </c>
      <c r="C4649" t="s">
        <v>22</v>
      </c>
      <c r="D4649" t="s">
        <v>114</v>
      </c>
      <c r="E4649" s="4" t="str">
        <f>HYPERLINK("https://ibp.a2mac1.com/costing(costing:projects/details/9760/material/8755179)","Aluminum sheet body (default, e.g. EN-AW6063)")</f>
        <v>Aluminum sheet body (default, e.g. EN-AW6063)</v>
      </c>
      <c r="F4649" t="s">
        <v>5105</v>
      </c>
    </row>
    <row r="4650" spans="1:6" x14ac:dyDescent="0.15">
      <c r="A4650">
        <v>12212630</v>
      </c>
      <c r="B4650">
        <v>12085470</v>
      </c>
      <c r="C4650" t="s">
        <v>163</v>
      </c>
      <c r="D4650" t="s">
        <v>114</v>
      </c>
      <c r="E4650" s="4" t="str">
        <f>HYPERLINK("https://ibp.a2mac1.com/costing(costing:projects/details/9760/equipment/12212630)","DC machine - General")</f>
        <v>DC machine - General</v>
      </c>
      <c r="F4650" t="s">
        <v>5105</v>
      </c>
    </row>
    <row r="4651" spans="1:6" x14ac:dyDescent="0.15">
      <c r="A4651">
        <v>8416174</v>
      </c>
      <c r="B4651">
        <v>8415824</v>
      </c>
      <c r="C4651" t="s">
        <v>10</v>
      </c>
      <c r="D4651" t="s">
        <v>8</v>
      </c>
      <c r="E4651" s="4" t="str">
        <f>HYPERLINK("https://ibp.a2mac1.com/costing(costing:projects/details/9760/part/8416174)","Medium Grilles")</f>
        <v>Medium Grilles</v>
      </c>
      <c r="F4651" t="s">
        <v>5092</v>
      </c>
    </row>
    <row r="4652" spans="1:6" x14ac:dyDescent="0.15">
      <c r="A4652">
        <v>12085471</v>
      </c>
      <c r="B4652">
        <v>8416174</v>
      </c>
      <c r="C4652" t="s">
        <v>114</v>
      </c>
      <c r="D4652" t="s">
        <v>10</v>
      </c>
      <c r="E4652" s="4" t="str">
        <f>HYPERLINK("https://ibp.a2mac1.com/costing(costing:projects/details/9760/process/12085471)","Automated Process")</f>
        <v>Automated Process</v>
      </c>
      <c r="F4652" t="s">
        <v>5108</v>
      </c>
    </row>
    <row r="4653" spans="1:6" x14ac:dyDescent="0.15">
      <c r="A4653">
        <v>8755180</v>
      </c>
      <c r="B4653">
        <v>12085471</v>
      </c>
      <c r="C4653" t="s">
        <v>22</v>
      </c>
      <c r="D4653" t="s">
        <v>114</v>
      </c>
      <c r="E4653" s="4" t="str">
        <f>HYPERLINK("https://ibp.a2mac1.com/costing(costing:projects/details/9760/material/8755180)","Aluminum sheet body (default, e.g. EN-AW6063)")</f>
        <v>Aluminum sheet body (default, e.g. EN-AW6063)</v>
      </c>
      <c r="F4653" t="s">
        <v>5110</v>
      </c>
    </row>
    <row r="4654" spans="1:6" x14ac:dyDescent="0.15">
      <c r="A4654">
        <v>12212631</v>
      </c>
      <c r="B4654">
        <v>12085471</v>
      </c>
      <c r="C4654" t="s">
        <v>163</v>
      </c>
      <c r="D4654" t="s">
        <v>114</v>
      </c>
      <c r="E4654" s="4" t="str">
        <f>HYPERLINK("https://ibp.a2mac1.com/costing(costing:projects/details/9760/equipment/12212631)","DC machine - General")</f>
        <v>DC machine - General</v>
      </c>
      <c r="F4654" t="s">
        <v>5110</v>
      </c>
    </row>
    <row r="4655" spans="1:6" x14ac:dyDescent="0.15">
      <c r="A4655">
        <v>8416175</v>
      </c>
      <c r="B4655">
        <v>8415824</v>
      </c>
      <c r="C4655" t="s">
        <v>10</v>
      </c>
      <c r="D4655" t="s">
        <v>8</v>
      </c>
      <c r="E4655" s="4" t="str">
        <f>HYPERLINK("https://ibp.a2mac1.com/costing(costing:projects/details/9760/part/8416175)","Medium Grilles Support")</f>
        <v>Medium Grilles Support</v>
      </c>
      <c r="F4655" t="s">
        <v>5092</v>
      </c>
    </row>
    <row r="4656" spans="1:6" x14ac:dyDescent="0.15">
      <c r="A4656">
        <v>12085472</v>
      </c>
      <c r="B4656">
        <v>8416175</v>
      </c>
      <c r="C4656" t="s">
        <v>114</v>
      </c>
      <c r="D4656" t="s">
        <v>10</v>
      </c>
      <c r="E4656" s="4" t="str">
        <f>HYPERLINK("https://ibp.a2mac1.com/costing(costing:projects/details/9760/process/12085472)","Automated Process")</f>
        <v>Automated Process</v>
      </c>
      <c r="F4656" t="s">
        <v>5113</v>
      </c>
    </row>
    <row r="4657" spans="1:6" x14ac:dyDescent="0.15">
      <c r="A4657">
        <v>8755181</v>
      </c>
      <c r="B4657">
        <v>12085472</v>
      </c>
      <c r="C4657" t="s">
        <v>22</v>
      </c>
      <c r="D4657" t="s">
        <v>114</v>
      </c>
      <c r="E4657" s="4" t="str">
        <f>HYPERLINK("https://ibp.a2mac1.com/costing(costing:projects/details/9760/material/8755181)","PC-ABS")</f>
        <v>PC-ABS</v>
      </c>
      <c r="F4657" t="s">
        <v>5116</v>
      </c>
    </row>
    <row r="4658" spans="1:6" x14ac:dyDescent="0.15">
      <c r="A4658">
        <v>12212632</v>
      </c>
      <c r="B4658">
        <v>12085472</v>
      </c>
      <c r="C4658" t="s">
        <v>163</v>
      </c>
      <c r="D4658" t="s">
        <v>114</v>
      </c>
      <c r="E4658" s="4" t="str">
        <f>HYPERLINK("https://ibp.a2mac1.com/costing(costing:projects/details/9760/equipment/12212632)","DC machine - General")</f>
        <v>DC machine - General</v>
      </c>
      <c r="F4658" t="s">
        <v>5116</v>
      </c>
    </row>
    <row r="4659" spans="1:6" x14ac:dyDescent="0.15">
      <c r="A4659">
        <v>8415811</v>
      </c>
      <c r="B4659">
        <v>8415622</v>
      </c>
      <c r="C4659" t="s">
        <v>10</v>
      </c>
      <c r="D4659" t="s">
        <v>8</v>
      </c>
      <c r="E4659" s="4" t="str">
        <f>HYPERLINK("https://ibp.a2mac1.com/costing(costing:projects/details/9760/part/8415811)","Panel carrier")</f>
        <v>Panel carrier</v>
      </c>
      <c r="F4659" t="s">
        <v>5071</v>
      </c>
    </row>
    <row r="4660" spans="1:6" x14ac:dyDescent="0.15">
      <c r="A4660">
        <v>12085190</v>
      </c>
      <c r="B4660">
        <v>8415811</v>
      </c>
      <c r="C4660" t="s">
        <v>114</v>
      </c>
      <c r="D4660" t="s">
        <v>10</v>
      </c>
      <c r="E4660" s="4" t="str">
        <f>HYPERLINK("https://ibp.a2mac1.com/costing(costing:projects/details/9760/process/12085190)","Automated Process")</f>
        <v>Automated Process</v>
      </c>
      <c r="F4660" t="s">
        <v>5119</v>
      </c>
    </row>
    <row r="4661" spans="1:6" x14ac:dyDescent="0.15">
      <c r="A4661">
        <v>8754766</v>
      </c>
      <c r="B4661">
        <v>12085190</v>
      </c>
      <c r="C4661" t="s">
        <v>22</v>
      </c>
      <c r="D4661" t="s">
        <v>114</v>
      </c>
      <c r="E4661" s="4" t="str">
        <f>HYPERLINK("https://ibp.a2mac1.com/costing(costing:projects/details/9760/material/8754766)","PP-EPDM")</f>
        <v>PP-EPDM</v>
      </c>
      <c r="F4661" t="s">
        <v>5122</v>
      </c>
    </row>
    <row r="4662" spans="1:6" x14ac:dyDescent="0.15">
      <c r="A4662">
        <v>12212285</v>
      </c>
      <c r="B4662">
        <v>12085190</v>
      </c>
      <c r="C4662" t="s">
        <v>163</v>
      </c>
      <c r="D4662" t="s">
        <v>114</v>
      </c>
      <c r="E4662" s="4" t="str">
        <f>HYPERLINK("https://ibp.a2mac1.com/costing(costing:projects/details/9760/equipment/12212285)","DC machine - General")</f>
        <v>DC machine - General</v>
      </c>
      <c r="F4662" t="s">
        <v>5122</v>
      </c>
    </row>
    <row r="4663" spans="1:6" x14ac:dyDescent="0.15">
      <c r="A4663">
        <v>8415812</v>
      </c>
      <c r="B4663">
        <v>8415622</v>
      </c>
      <c r="C4663" t="s">
        <v>10</v>
      </c>
      <c r="D4663" t="s">
        <v>8</v>
      </c>
      <c r="E4663" s="4" t="str">
        <f>HYPERLINK("https://ibp.a2mac1.com/costing(costing:projects/details/9760/part/8415812)","Insert")</f>
        <v>Insert</v>
      </c>
      <c r="F4663" t="s">
        <v>5071</v>
      </c>
    </row>
    <row r="4664" spans="1:6" x14ac:dyDescent="0.15">
      <c r="A4664">
        <v>12085191</v>
      </c>
      <c r="B4664">
        <v>8415812</v>
      </c>
      <c r="C4664" t="s">
        <v>114</v>
      </c>
      <c r="D4664" t="s">
        <v>10</v>
      </c>
      <c r="E4664" s="4" t="str">
        <f>HYPERLINK("https://ibp.a2mac1.com/costing(costing:projects/details/9760/process/12085191)","Automated Process")</f>
        <v>Automated Process</v>
      </c>
      <c r="F4664" t="s">
        <v>5125</v>
      </c>
    </row>
    <row r="4665" spans="1:6" x14ac:dyDescent="0.15">
      <c r="A4665">
        <v>8754767</v>
      </c>
      <c r="B4665">
        <v>12085191</v>
      </c>
      <c r="C4665" t="s">
        <v>22</v>
      </c>
      <c r="D4665" t="s">
        <v>114</v>
      </c>
      <c r="E4665" s="4" t="str">
        <f>HYPERLINK("https://ibp.a2mac1.com/costing(costing:projects/details/9760/material/8754767)","PC-ABS")</f>
        <v>PC-ABS</v>
      </c>
      <c r="F4665" t="s">
        <v>5126</v>
      </c>
    </row>
    <row r="4666" spans="1:6" x14ac:dyDescent="0.15">
      <c r="A4666">
        <v>8754768</v>
      </c>
      <c r="B4666">
        <v>12085191</v>
      </c>
      <c r="C4666" t="s">
        <v>22</v>
      </c>
      <c r="D4666" t="s">
        <v>114</v>
      </c>
      <c r="E4666" s="4" t="str">
        <f>HYPERLINK("https://ibp.a2mac1.com/costing(costing:projects/details/9760/material/8754768)","PVC + Fabric backing 3mm PU foam")</f>
        <v>PVC + Fabric backing 3mm PU foam</v>
      </c>
      <c r="F4666" t="s">
        <v>5126</v>
      </c>
    </row>
    <row r="4667" spans="1:6" x14ac:dyDescent="0.15">
      <c r="A4667">
        <v>12212286</v>
      </c>
      <c r="B4667">
        <v>12085191</v>
      </c>
      <c r="C4667" t="s">
        <v>163</v>
      </c>
      <c r="D4667" t="s">
        <v>114</v>
      </c>
      <c r="E4667" s="4" t="str">
        <f>HYPERLINK("https://ibp.a2mac1.com/costing(costing:projects/details/9760/equipment/12212286)","DC machine - General")</f>
        <v>DC machine - General</v>
      </c>
      <c r="F4667" t="s">
        <v>5126</v>
      </c>
    </row>
    <row r="4668" spans="1:6" x14ac:dyDescent="0.15">
      <c r="A4668">
        <v>8415813</v>
      </c>
      <c r="B4668">
        <v>8415622</v>
      </c>
      <c r="C4668" t="s">
        <v>10</v>
      </c>
      <c r="D4668" t="s">
        <v>8</v>
      </c>
      <c r="E4668" s="4" t="str">
        <f>HYPERLINK("https://ibp.a2mac1.com/costing(costing:projects/details/9760/part/8415813)","Armrest")</f>
        <v>Armrest</v>
      </c>
      <c r="F4668" t="s">
        <v>5071</v>
      </c>
    </row>
    <row r="4669" spans="1:6" x14ac:dyDescent="0.15">
      <c r="A4669">
        <v>12085192</v>
      </c>
      <c r="B4669">
        <v>8415813</v>
      </c>
      <c r="C4669" t="s">
        <v>114</v>
      </c>
      <c r="D4669" t="s">
        <v>10</v>
      </c>
      <c r="E4669" s="4" t="str">
        <f>HYPERLINK("https://ibp.a2mac1.com/costing(costing:projects/details/9760/process/12085192)","Automated Process")</f>
        <v>Automated Process</v>
      </c>
      <c r="F4669" t="s">
        <v>5130</v>
      </c>
    </row>
    <row r="4670" spans="1:6" x14ac:dyDescent="0.15">
      <c r="A4670">
        <v>8754769</v>
      </c>
      <c r="B4670">
        <v>12085192</v>
      </c>
      <c r="C4670" t="s">
        <v>22</v>
      </c>
      <c r="D4670" t="s">
        <v>114</v>
      </c>
      <c r="E4670" s="4" t="str">
        <f>HYPERLINK("https://ibp.a2mac1.com/costing(costing:projects/details/9760/material/8754769)","PP-EPDM")</f>
        <v>PP-EPDM</v>
      </c>
      <c r="F4670" t="s">
        <v>5133</v>
      </c>
    </row>
    <row r="4671" spans="1:6" x14ac:dyDescent="0.15">
      <c r="A4671">
        <v>8754770</v>
      </c>
      <c r="B4671">
        <v>12085192</v>
      </c>
      <c r="C4671" t="s">
        <v>22</v>
      </c>
      <c r="D4671" t="s">
        <v>114</v>
      </c>
      <c r="E4671" s="4" t="str">
        <f>HYPERLINK("https://ibp.a2mac1.com/costing(costing:projects/details/9760/material/8754770)","PVC + Fabric backing 3mm PU foam")</f>
        <v>PVC + Fabric backing 3mm PU foam</v>
      </c>
      <c r="F4671" t="s">
        <v>5133</v>
      </c>
    </row>
    <row r="4672" spans="1:6" x14ac:dyDescent="0.15">
      <c r="A4672">
        <v>12212287</v>
      </c>
      <c r="B4672">
        <v>12085192</v>
      </c>
      <c r="C4672" t="s">
        <v>163</v>
      </c>
      <c r="D4672" t="s">
        <v>114</v>
      </c>
      <c r="E4672" s="4" t="str">
        <f>HYPERLINK("https://ibp.a2mac1.com/costing(costing:projects/details/9760/equipment/12212287)","DC machine - General")</f>
        <v>DC machine - General</v>
      </c>
      <c r="F4672" t="s">
        <v>5133</v>
      </c>
    </row>
    <row r="4673" spans="1:6" x14ac:dyDescent="0.15">
      <c r="A4673">
        <v>8415814</v>
      </c>
      <c r="B4673">
        <v>8415622</v>
      </c>
      <c r="C4673" t="s">
        <v>10</v>
      </c>
      <c r="D4673" t="s">
        <v>8</v>
      </c>
      <c r="E4673" s="4" t="str">
        <f>HYPERLINK("https://ibp.a2mac1.com/costing(costing:projects/details/9760/part/8415814)","Trim")</f>
        <v>Trim</v>
      </c>
      <c r="F4673" t="s">
        <v>5071</v>
      </c>
    </row>
    <row r="4674" spans="1:6" x14ac:dyDescent="0.15">
      <c r="A4674">
        <v>12085193</v>
      </c>
      <c r="B4674">
        <v>8415814</v>
      </c>
      <c r="C4674" t="s">
        <v>114</v>
      </c>
      <c r="D4674" t="s">
        <v>10</v>
      </c>
      <c r="E4674" s="4" t="str">
        <f>HYPERLINK("https://ibp.a2mac1.com/costing(costing:projects/details/9760/process/12085193)","Automated Process")</f>
        <v>Automated Process</v>
      </c>
      <c r="F4674" t="s">
        <v>5138</v>
      </c>
    </row>
    <row r="4675" spans="1:6" x14ac:dyDescent="0.15">
      <c r="A4675">
        <v>8754771</v>
      </c>
      <c r="B4675">
        <v>12085193</v>
      </c>
      <c r="C4675" t="s">
        <v>22</v>
      </c>
      <c r="D4675" t="s">
        <v>114</v>
      </c>
      <c r="E4675" s="4" t="str">
        <f>HYPERLINK("https://ibp.a2mac1.com/costing(costing:projects/details/9760/material/8754771)","ABS-PC")</f>
        <v>ABS-PC</v>
      </c>
      <c r="F4675" t="s">
        <v>5142</v>
      </c>
    </row>
    <row r="4676" spans="1:6" x14ac:dyDescent="0.15">
      <c r="A4676">
        <v>12212288</v>
      </c>
      <c r="B4676">
        <v>12085193</v>
      </c>
      <c r="C4676" t="s">
        <v>163</v>
      </c>
      <c r="D4676" t="s">
        <v>114</v>
      </c>
      <c r="E4676" s="4" t="str">
        <f>HYPERLINK("https://ibp.a2mac1.com/costing(costing:projects/details/9760/equipment/12212288)","DC machine - General")</f>
        <v>DC machine - General</v>
      </c>
      <c r="F4676" t="s">
        <v>5142</v>
      </c>
    </row>
    <row r="4677" spans="1:6" x14ac:dyDescent="0.15">
      <c r="A4677">
        <v>8415815</v>
      </c>
      <c r="B4677">
        <v>8415622</v>
      </c>
      <c r="C4677" t="s">
        <v>10</v>
      </c>
      <c r="D4677" t="s">
        <v>8</v>
      </c>
      <c r="E4677" s="4" t="str">
        <f>HYPERLINK("https://ibp.a2mac1.com/costing(costing:projects/details/9760/part/8415815)","Upper Band")</f>
        <v>Upper Band</v>
      </c>
      <c r="F4677" t="s">
        <v>5071</v>
      </c>
    </row>
    <row r="4678" spans="1:6" x14ac:dyDescent="0.15">
      <c r="A4678">
        <v>12085194</v>
      </c>
      <c r="B4678">
        <v>8415815</v>
      </c>
      <c r="C4678" t="s">
        <v>114</v>
      </c>
      <c r="D4678" t="s">
        <v>10</v>
      </c>
      <c r="E4678" s="4" t="str">
        <f>HYPERLINK("https://ibp.a2mac1.com/costing(costing:projects/details/9760/process/12085194)","Automated Process")</f>
        <v>Automated Process</v>
      </c>
      <c r="F4678" t="s">
        <v>5144</v>
      </c>
    </row>
    <row r="4679" spans="1:6" x14ac:dyDescent="0.15">
      <c r="A4679">
        <v>8754772</v>
      </c>
      <c r="B4679">
        <v>12085194</v>
      </c>
      <c r="C4679" t="s">
        <v>22</v>
      </c>
      <c r="D4679" t="s">
        <v>114</v>
      </c>
      <c r="E4679" s="4" t="str">
        <f>HYPERLINK("https://ibp.a2mac1.com/costing(costing:projects/details/9760/material/8754772)","PP-EPDM")</f>
        <v>PP-EPDM</v>
      </c>
      <c r="F4679" t="s">
        <v>5145</v>
      </c>
    </row>
    <row r="4680" spans="1:6" x14ac:dyDescent="0.15">
      <c r="A4680">
        <v>8754773</v>
      </c>
      <c r="B4680">
        <v>12085194</v>
      </c>
      <c r="C4680" t="s">
        <v>22</v>
      </c>
      <c r="D4680" t="s">
        <v>114</v>
      </c>
      <c r="E4680" s="4" t="str">
        <f>HYPERLINK("https://ibp.a2mac1.com/costing(costing:projects/details/9760/material/8754773)","PVC + Fabric backing 3mm PU foam")</f>
        <v>PVC + Fabric backing 3mm PU foam</v>
      </c>
      <c r="F4680" t="s">
        <v>5145</v>
      </c>
    </row>
    <row r="4681" spans="1:6" x14ac:dyDescent="0.15">
      <c r="A4681">
        <v>12212289</v>
      </c>
      <c r="B4681">
        <v>12085194</v>
      </c>
      <c r="C4681" t="s">
        <v>163</v>
      </c>
      <c r="D4681" t="s">
        <v>114</v>
      </c>
      <c r="E4681" s="4" t="str">
        <f>HYPERLINK("https://ibp.a2mac1.com/costing(costing:projects/details/9760/equipment/12212289)","DC machine - General")</f>
        <v>DC machine - General</v>
      </c>
      <c r="F4681" t="s">
        <v>5145</v>
      </c>
    </row>
    <row r="4682" spans="1:6" x14ac:dyDescent="0.15">
      <c r="A4682">
        <v>8415816</v>
      </c>
      <c r="B4682">
        <v>8415622</v>
      </c>
      <c r="C4682" t="s">
        <v>10</v>
      </c>
      <c r="D4682" t="s">
        <v>8</v>
      </c>
      <c r="E4682" s="4" t="str">
        <f>HYPERLINK("https://ibp.a2mac1.com/costing(costing:projects/details/9760/part/8415816)","Door Map Pocket Panel")</f>
        <v>Door Map Pocket Panel</v>
      </c>
      <c r="F4682" t="s">
        <v>5071</v>
      </c>
    </row>
    <row r="4683" spans="1:6" x14ac:dyDescent="0.15">
      <c r="A4683">
        <v>12085195</v>
      </c>
      <c r="B4683">
        <v>8415816</v>
      </c>
      <c r="C4683" t="s">
        <v>114</v>
      </c>
      <c r="D4683" t="s">
        <v>10</v>
      </c>
      <c r="E4683" s="4" t="str">
        <f>HYPERLINK("https://ibp.a2mac1.com/costing(costing:projects/details/9760/process/12085195)","Automated Process")</f>
        <v>Automated Process</v>
      </c>
      <c r="F4683" t="s">
        <v>5148</v>
      </c>
    </row>
    <row r="4684" spans="1:6" x14ac:dyDescent="0.15">
      <c r="A4684">
        <v>8754774</v>
      </c>
      <c r="B4684">
        <v>12085195</v>
      </c>
      <c r="C4684" t="s">
        <v>22</v>
      </c>
      <c r="D4684" t="s">
        <v>114</v>
      </c>
      <c r="E4684" s="4" t="str">
        <f>HYPERLINK("https://ibp.a2mac1.com/costing(costing:projects/details/9760/material/8754774)","PP-EPDM")</f>
        <v>PP-EPDM</v>
      </c>
      <c r="F4684" t="s">
        <v>5151</v>
      </c>
    </row>
    <row r="4685" spans="1:6" x14ac:dyDescent="0.15">
      <c r="A4685">
        <v>12212290</v>
      </c>
      <c r="B4685">
        <v>12085195</v>
      </c>
      <c r="C4685" t="s">
        <v>163</v>
      </c>
      <c r="D4685" t="s">
        <v>114</v>
      </c>
      <c r="E4685" s="4" t="str">
        <f>HYPERLINK("https://ibp.a2mac1.com/costing(costing:projects/details/9760/equipment/12212290)","DC machine - General")</f>
        <v>DC machine - General</v>
      </c>
      <c r="F4685" t="s">
        <v>5151</v>
      </c>
    </row>
    <row r="4686" spans="1:6" x14ac:dyDescent="0.15">
      <c r="A4686">
        <v>8415817</v>
      </c>
      <c r="B4686">
        <v>8415622</v>
      </c>
      <c r="C4686" t="s">
        <v>10</v>
      </c>
      <c r="D4686" t="s">
        <v>8</v>
      </c>
      <c r="E4686" s="4" t="str">
        <f>HYPERLINK("https://ibp.a2mac1.com/costing(costing:projects/details/9760/part/8415817)","Soundproofing")</f>
        <v>Soundproofing</v>
      </c>
      <c r="F4686" t="s">
        <v>5071</v>
      </c>
    </row>
    <row r="4687" spans="1:6" x14ac:dyDescent="0.15">
      <c r="A4687">
        <v>12085196</v>
      </c>
      <c r="B4687">
        <v>8415817</v>
      </c>
      <c r="C4687" t="s">
        <v>114</v>
      </c>
      <c r="D4687" t="s">
        <v>10</v>
      </c>
      <c r="E4687" s="4" t="str">
        <f>HYPERLINK("https://ibp.a2mac1.com/costing(costing:projects/details/9760/process/12085196)","Automated Process")</f>
        <v>Automated Process</v>
      </c>
      <c r="F4687" t="s">
        <v>5153</v>
      </c>
    </row>
    <row r="4688" spans="1:6" x14ac:dyDescent="0.15">
      <c r="A4688">
        <v>8754775</v>
      </c>
      <c r="B4688">
        <v>12085196</v>
      </c>
      <c r="C4688" t="s">
        <v>22</v>
      </c>
      <c r="D4688" t="s">
        <v>114</v>
      </c>
      <c r="E4688" s="4" t="str">
        <f>HYPERLINK("https://ibp.a2mac1.com/costing(costing:projects/details/9760/material/8754775)","Thinsulate")</f>
        <v>Thinsulate</v>
      </c>
      <c r="F4688" t="s">
        <v>5156</v>
      </c>
    </row>
    <row r="4689" spans="1:6" x14ac:dyDescent="0.15">
      <c r="A4689">
        <v>12212291</v>
      </c>
      <c r="B4689">
        <v>12085196</v>
      </c>
      <c r="C4689" t="s">
        <v>163</v>
      </c>
      <c r="D4689" t="s">
        <v>114</v>
      </c>
      <c r="E4689" s="4" t="str">
        <f>HYPERLINK("https://ibp.a2mac1.com/costing(costing:projects/details/9760/equipment/12212291)","DC machine - General")</f>
        <v>DC machine - General</v>
      </c>
      <c r="F4689" t="s">
        <v>5156</v>
      </c>
    </row>
    <row r="4690" spans="1:6" x14ac:dyDescent="0.15">
      <c r="A4690">
        <v>8415818</v>
      </c>
      <c r="B4690">
        <v>8415622</v>
      </c>
      <c r="C4690" t="s">
        <v>10</v>
      </c>
      <c r="D4690" t="s">
        <v>8</v>
      </c>
      <c r="E4690" s="4" t="str">
        <f>HYPERLINK("https://ibp.a2mac1.com/costing(costing:projects/details/9760/part/8415818)","Reinforcement")</f>
        <v>Reinforcement</v>
      </c>
      <c r="F4690" t="s">
        <v>5071</v>
      </c>
    </row>
    <row r="4691" spans="1:6" x14ac:dyDescent="0.15">
      <c r="A4691">
        <v>12085197</v>
      </c>
      <c r="B4691">
        <v>8415818</v>
      </c>
      <c r="C4691" t="s">
        <v>114</v>
      </c>
      <c r="D4691" t="s">
        <v>10</v>
      </c>
      <c r="E4691" s="4" t="str">
        <f>HYPERLINK("https://ibp.a2mac1.com/costing(costing:projects/details/9760/process/12085197)","Automated Process")</f>
        <v>Automated Process</v>
      </c>
      <c r="F4691" t="s">
        <v>5159</v>
      </c>
    </row>
    <row r="4692" spans="1:6" x14ac:dyDescent="0.15">
      <c r="A4692">
        <v>8754776</v>
      </c>
      <c r="B4692">
        <v>12085197</v>
      </c>
      <c r="C4692" t="s">
        <v>22</v>
      </c>
      <c r="D4692" t="s">
        <v>114</v>
      </c>
      <c r="E4692" s="4" t="str">
        <f>HYPERLINK("https://ibp.a2mac1.com/costing(costing:projects/details/9760/material/8754776)","PP-EPDM")</f>
        <v>PP-EPDM</v>
      </c>
      <c r="F4692" t="s">
        <v>5162</v>
      </c>
    </row>
    <row r="4693" spans="1:6" x14ac:dyDescent="0.15">
      <c r="A4693">
        <v>12212292</v>
      </c>
      <c r="B4693">
        <v>12085197</v>
      </c>
      <c r="C4693" t="s">
        <v>163</v>
      </c>
      <c r="D4693" t="s">
        <v>114</v>
      </c>
      <c r="E4693" s="4" t="str">
        <f>HYPERLINK("https://ibp.a2mac1.com/costing(costing:projects/details/9760/equipment/12212292)","DC machine - General")</f>
        <v>DC machine - General</v>
      </c>
      <c r="F4693" t="s">
        <v>5162</v>
      </c>
    </row>
    <row r="4694" spans="1:6" x14ac:dyDescent="0.15">
      <c r="A4694">
        <v>8415819</v>
      </c>
      <c r="B4694">
        <v>8415622</v>
      </c>
      <c r="C4694" t="s">
        <v>10</v>
      </c>
      <c r="D4694" t="s">
        <v>8</v>
      </c>
      <c r="E4694" s="4" t="str">
        <f>HYPERLINK("https://ibp.a2mac1.com/costing(costing:projects/details/9760/part/8415819)","Storage Box Mat")</f>
        <v>Storage Box Mat</v>
      </c>
      <c r="F4694" t="s">
        <v>5071</v>
      </c>
    </row>
    <row r="4695" spans="1:6" x14ac:dyDescent="0.15">
      <c r="A4695">
        <v>12085198</v>
      </c>
      <c r="B4695">
        <v>8415819</v>
      </c>
      <c r="C4695" t="s">
        <v>114</v>
      </c>
      <c r="D4695" t="s">
        <v>10</v>
      </c>
      <c r="E4695" s="4" t="str">
        <f>HYPERLINK("https://ibp.a2mac1.com/costing(costing:projects/details/9760/process/12085198)","Automated Process")</f>
        <v>Automated Process</v>
      </c>
      <c r="F4695" t="s">
        <v>5164</v>
      </c>
    </row>
    <row r="4696" spans="1:6" x14ac:dyDescent="0.15">
      <c r="A4696">
        <v>8754777</v>
      </c>
      <c r="B4696">
        <v>12085198</v>
      </c>
      <c r="C4696" t="s">
        <v>22</v>
      </c>
      <c r="D4696" t="s">
        <v>114</v>
      </c>
      <c r="E4696" s="4" t="str">
        <f>HYPERLINK("https://ibp.a2mac1.com/costing(costing:projects/details/9760/material/8754777)","TPE")</f>
        <v>TPE</v>
      </c>
      <c r="F4696" t="s">
        <v>5167</v>
      </c>
    </row>
    <row r="4697" spans="1:6" x14ac:dyDescent="0.15">
      <c r="A4697">
        <v>12212293</v>
      </c>
      <c r="B4697">
        <v>12085198</v>
      </c>
      <c r="C4697" t="s">
        <v>163</v>
      </c>
      <c r="D4697" t="s">
        <v>114</v>
      </c>
      <c r="E4697" s="4" t="str">
        <f>HYPERLINK("https://ibp.a2mac1.com/costing(costing:projects/details/9760/equipment/12212293)","DC machine - General")</f>
        <v>DC machine - General</v>
      </c>
      <c r="F4697" t="s">
        <v>5167</v>
      </c>
    </row>
    <row r="4698" spans="1:6" x14ac:dyDescent="0.15">
      <c r="A4698">
        <v>8415820</v>
      </c>
      <c r="B4698">
        <v>8415622</v>
      </c>
      <c r="C4698" t="s">
        <v>10</v>
      </c>
      <c r="D4698" t="s">
        <v>8</v>
      </c>
      <c r="E4698" s="4" t="str">
        <f>HYPERLINK("https://ibp.a2mac1.com/costing(costing:projects/details/9760/part/8415820)","2nd Trim")</f>
        <v>2nd Trim</v>
      </c>
      <c r="F4698" t="s">
        <v>5071</v>
      </c>
    </row>
    <row r="4699" spans="1:6" x14ac:dyDescent="0.15">
      <c r="A4699">
        <v>12085199</v>
      </c>
      <c r="B4699">
        <v>8415820</v>
      </c>
      <c r="C4699" t="s">
        <v>114</v>
      </c>
      <c r="D4699" t="s">
        <v>10</v>
      </c>
      <c r="E4699" s="4" t="str">
        <f>HYPERLINK("https://ibp.a2mac1.com/costing(costing:projects/details/9760/process/12085199)","Automated Process")</f>
        <v>Automated Process</v>
      </c>
      <c r="F4699" t="s">
        <v>5169</v>
      </c>
    </row>
    <row r="4700" spans="1:6" x14ac:dyDescent="0.15">
      <c r="A4700">
        <v>8754778</v>
      </c>
      <c r="B4700">
        <v>12085199</v>
      </c>
      <c r="C4700" t="s">
        <v>22</v>
      </c>
      <c r="D4700" t="s">
        <v>114</v>
      </c>
      <c r="E4700" s="4" t="str">
        <f>HYPERLINK("https://ibp.a2mac1.com/costing(costing:projects/details/9760/material/8754778)","ABS-PC")</f>
        <v>ABS-PC</v>
      </c>
      <c r="F4700" t="s">
        <v>5170</v>
      </c>
    </row>
    <row r="4701" spans="1:6" x14ac:dyDescent="0.15">
      <c r="A4701">
        <v>12212294</v>
      </c>
      <c r="B4701">
        <v>12085199</v>
      </c>
      <c r="C4701" t="s">
        <v>163</v>
      </c>
      <c r="D4701" t="s">
        <v>114</v>
      </c>
      <c r="E4701" s="4" t="str">
        <f>HYPERLINK("https://ibp.a2mac1.com/costing(costing:projects/details/9760/equipment/12212294)","DC machine - General")</f>
        <v>DC machine - General</v>
      </c>
      <c r="F4701" t="s">
        <v>5170</v>
      </c>
    </row>
    <row r="4702" spans="1:6" x14ac:dyDescent="0.15">
      <c r="A4702">
        <v>8415821</v>
      </c>
      <c r="B4702">
        <v>8415622</v>
      </c>
      <c r="C4702" t="s">
        <v>10</v>
      </c>
      <c r="D4702" t="s">
        <v>8</v>
      </c>
      <c r="E4702" s="4" t="str">
        <f>HYPERLINK("https://ibp.a2mac1.com/costing(costing:projects/details/9760/part/8415821)","Door Panel Adjuster")</f>
        <v>Door Panel Adjuster</v>
      </c>
      <c r="F4702" t="s">
        <v>5071</v>
      </c>
    </row>
    <row r="4703" spans="1:6" x14ac:dyDescent="0.15">
      <c r="A4703">
        <v>12085200</v>
      </c>
      <c r="B4703">
        <v>8415821</v>
      </c>
      <c r="C4703" t="s">
        <v>114</v>
      </c>
      <c r="D4703" t="s">
        <v>10</v>
      </c>
      <c r="E4703" s="4" t="str">
        <f>HYPERLINK("https://ibp.a2mac1.com/costing(costing:projects/details/9760/process/12085200)","Automated Process")</f>
        <v>Automated Process</v>
      </c>
      <c r="F4703" t="s">
        <v>5173</v>
      </c>
    </row>
    <row r="4704" spans="1:6" x14ac:dyDescent="0.15">
      <c r="A4704">
        <v>8754779</v>
      </c>
      <c r="B4704">
        <v>12085200</v>
      </c>
      <c r="C4704" t="s">
        <v>22</v>
      </c>
      <c r="D4704" t="s">
        <v>114</v>
      </c>
      <c r="E4704" s="4" t="str">
        <f>HYPERLINK("https://ibp.a2mac1.com/costing(costing:projects/details/9760/material/8754779)","PA6")</f>
        <v>PA6</v>
      </c>
      <c r="F4704" t="s">
        <v>5176</v>
      </c>
    </row>
    <row r="4705" spans="1:6" x14ac:dyDescent="0.15">
      <c r="A4705">
        <v>12212295</v>
      </c>
      <c r="B4705">
        <v>12085200</v>
      </c>
      <c r="C4705" t="s">
        <v>163</v>
      </c>
      <c r="D4705" t="s">
        <v>114</v>
      </c>
      <c r="E4705" s="4" t="str">
        <f>HYPERLINK("https://ibp.a2mac1.com/costing(costing:projects/details/9760/equipment/12212295)","DC machine - General")</f>
        <v>DC machine - General</v>
      </c>
      <c r="F4705" t="s">
        <v>5176</v>
      </c>
    </row>
    <row r="4706" spans="1:6" x14ac:dyDescent="0.15">
      <c r="A4706">
        <v>8415822</v>
      </c>
      <c r="B4706">
        <v>8415622</v>
      </c>
      <c r="C4706" t="s">
        <v>10</v>
      </c>
      <c r="D4706" t="s">
        <v>8</v>
      </c>
      <c r="E4706" s="4" t="str">
        <f>HYPERLINK("https://ibp.a2mac1.com/costing(costing:projects/details/9760/part/8415822)","Door Panel Adjuster Support")</f>
        <v>Door Panel Adjuster Support</v>
      </c>
      <c r="F4706" t="s">
        <v>5071</v>
      </c>
    </row>
    <row r="4707" spans="1:6" x14ac:dyDescent="0.15">
      <c r="A4707">
        <v>12085201</v>
      </c>
      <c r="B4707">
        <v>8415822</v>
      </c>
      <c r="C4707" t="s">
        <v>114</v>
      </c>
      <c r="D4707" t="s">
        <v>10</v>
      </c>
      <c r="E4707" s="4" t="str">
        <f>HYPERLINK("https://ibp.a2mac1.com/costing(costing:projects/details/9760/process/12085201)","Automated Process")</f>
        <v>Automated Process</v>
      </c>
      <c r="F4707" t="s">
        <v>5178</v>
      </c>
    </row>
    <row r="4708" spans="1:6" x14ac:dyDescent="0.15">
      <c r="A4708">
        <v>8754780</v>
      </c>
      <c r="B4708">
        <v>12085201</v>
      </c>
      <c r="C4708" t="s">
        <v>22</v>
      </c>
      <c r="D4708" t="s">
        <v>114</v>
      </c>
      <c r="E4708" s="4" t="str">
        <f>HYPERLINK("https://ibp.a2mac1.com/costing(costing:projects/details/9760/material/8754780)","ABS-PC")</f>
        <v>ABS-PC</v>
      </c>
      <c r="F4708" t="s">
        <v>5179</v>
      </c>
    </row>
    <row r="4709" spans="1:6" x14ac:dyDescent="0.15">
      <c r="A4709">
        <v>12212296</v>
      </c>
      <c r="B4709">
        <v>12085201</v>
      </c>
      <c r="C4709" t="s">
        <v>163</v>
      </c>
      <c r="D4709" t="s">
        <v>114</v>
      </c>
      <c r="E4709" s="4" t="str">
        <f>HYPERLINK("https://ibp.a2mac1.com/costing(costing:projects/details/9760/equipment/12212296)","DC machine - General")</f>
        <v>DC machine - General</v>
      </c>
      <c r="F4709" t="s">
        <v>5179</v>
      </c>
    </row>
    <row r="4710" spans="1:6" x14ac:dyDescent="0.15">
      <c r="A4710">
        <v>8754374</v>
      </c>
      <c r="B4710">
        <v>8415622</v>
      </c>
      <c r="C4710" t="s">
        <v>311</v>
      </c>
      <c r="D4710" t="s">
        <v>8</v>
      </c>
      <c r="E4710" s="4" t="str">
        <f>HYPERLINK("https://ibp.a2mac1.com/costing(costing:projects/details/9760/component/8754374)","Other fastener &gt; Attachment")</f>
        <v>Other fastener &gt; Attachment</v>
      </c>
      <c r="F4710" t="s">
        <v>5071</v>
      </c>
    </row>
    <row r="4711" spans="1:6" x14ac:dyDescent="0.15">
      <c r="A4711">
        <v>8754375</v>
      </c>
      <c r="B4711">
        <v>8415622</v>
      </c>
      <c r="C4711" t="s">
        <v>311</v>
      </c>
      <c r="D4711" t="s">
        <v>8</v>
      </c>
      <c r="E4711" s="4" t="str">
        <f>HYPERLINK("https://ibp.a2mac1.com/costing(costing:projects/details/9760/component/8754375)","Screw &gt; Cross recessed screw with flange")</f>
        <v>Screw &gt; Cross recessed screw with flange</v>
      </c>
      <c r="F4711" t="s">
        <v>5071</v>
      </c>
    </row>
    <row r="4712" spans="1:6" x14ac:dyDescent="0.15">
      <c r="A4712">
        <v>8754376</v>
      </c>
      <c r="B4712">
        <v>8415622</v>
      </c>
      <c r="C4712" t="s">
        <v>311</v>
      </c>
      <c r="D4712" t="s">
        <v>8</v>
      </c>
      <c r="E4712" s="4" t="str">
        <f>HYPERLINK("https://ibp.a2mac1.com/costing(costing:projects/details/9760/component/8754376)","Screw &gt; Cross recessed screw with flange")</f>
        <v>Screw &gt; Cross recessed screw with flange</v>
      </c>
      <c r="F4712" t="s">
        <v>5071</v>
      </c>
    </row>
    <row r="4713" spans="1:6" x14ac:dyDescent="0.15">
      <c r="A4713">
        <v>8754377</v>
      </c>
      <c r="B4713">
        <v>8415622</v>
      </c>
      <c r="C4713" t="s">
        <v>311</v>
      </c>
      <c r="D4713" t="s">
        <v>8</v>
      </c>
      <c r="E4713" s="4" t="str">
        <f>HYPERLINK("https://ibp.a2mac1.com/costing(costing:projects/details/9760/component/8754377)","Screw &gt; Cross recessed screw with flange")</f>
        <v>Screw &gt; Cross recessed screw with flange</v>
      </c>
      <c r="F4713" t="s">
        <v>5071</v>
      </c>
    </row>
    <row r="4714" spans="1:6" x14ac:dyDescent="0.15">
      <c r="A4714">
        <v>8754378</v>
      </c>
      <c r="B4714">
        <v>8415622</v>
      </c>
      <c r="C4714" t="s">
        <v>311</v>
      </c>
      <c r="D4714" t="s">
        <v>8</v>
      </c>
      <c r="E4714" s="4" t="str">
        <f>HYPERLINK("https://ibp.a2mac1.com/costing(costing:projects/details/9760/component/8754378)","Other fastener &gt; Attachment")</f>
        <v>Other fastener &gt; Attachment</v>
      </c>
      <c r="F4714" t="s">
        <v>5071</v>
      </c>
    </row>
    <row r="4715" spans="1:6" x14ac:dyDescent="0.15">
      <c r="A4715">
        <v>8415623</v>
      </c>
      <c r="B4715">
        <v>8415582</v>
      </c>
      <c r="C4715" t="s">
        <v>8</v>
      </c>
      <c r="D4715" t="s">
        <v>8</v>
      </c>
      <c r="E4715" s="4" t="str">
        <f>HYPERLINK("https://ibp.a2mac1.com/costing(costing:projects/details/9760/assembly/8415623)","Power Controls")</f>
        <v>Power Controls</v>
      </c>
      <c r="F4715" t="s">
        <v>4954</v>
      </c>
    </row>
    <row r="4716" spans="1:6" x14ac:dyDescent="0.15">
      <c r="A4716">
        <v>8415825</v>
      </c>
      <c r="B4716">
        <v>8415623</v>
      </c>
      <c r="C4716" t="s">
        <v>10</v>
      </c>
      <c r="D4716" t="s">
        <v>8</v>
      </c>
      <c r="E4716" s="4" t="str">
        <f>HYPERLINK("https://ibp.a2mac1.com/costing(costing:projects/details/9760/part/8415825)","Electric Windows Lift Control")</f>
        <v>Electric Windows Lift Control</v>
      </c>
      <c r="F4716" t="s">
        <v>5182</v>
      </c>
    </row>
    <row r="4717" spans="1:6" x14ac:dyDescent="0.15">
      <c r="A4717">
        <v>8415624</v>
      </c>
      <c r="B4717">
        <v>8415582</v>
      </c>
      <c r="C4717" t="s">
        <v>8</v>
      </c>
      <c r="D4717" t="s">
        <v>8</v>
      </c>
      <c r="E4717" s="4" t="str">
        <f>HYPERLINK("https://ibp.a2mac1.com/costing(costing:projects/details/9760/assembly/8415624)","Speaker System")</f>
        <v>Speaker System</v>
      </c>
      <c r="F4717" t="s">
        <v>4954</v>
      </c>
    </row>
    <row r="4718" spans="1:6" x14ac:dyDescent="0.15">
      <c r="A4718">
        <v>8415826</v>
      </c>
      <c r="B4718">
        <v>8415624</v>
      </c>
      <c r="C4718" t="s">
        <v>10</v>
      </c>
      <c r="D4718" t="s">
        <v>8</v>
      </c>
      <c r="E4718" s="4" t="str">
        <f>HYPERLINK("https://ibp.a2mac1.com/costing(costing:projects/details/9760/part/8415826)","Speaker")</f>
        <v>Speaker</v>
      </c>
      <c r="F4718" t="s">
        <v>5185</v>
      </c>
    </row>
    <row r="4719" spans="1:6" x14ac:dyDescent="0.15">
      <c r="A4719">
        <v>8415827</v>
      </c>
      <c r="B4719">
        <v>8415624</v>
      </c>
      <c r="C4719" t="s">
        <v>10</v>
      </c>
      <c r="D4719" t="s">
        <v>8</v>
      </c>
      <c r="E4719" s="4" t="str">
        <f>HYPERLINK("https://ibp.a2mac1.com/costing(costing:projects/details/9760/part/8415827)","Medium")</f>
        <v>Medium</v>
      </c>
      <c r="F4719" t="s">
        <v>5185</v>
      </c>
    </row>
    <row r="4720" spans="1:6" x14ac:dyDescent="0.15">
      <c r="A4720">
        <v>8754379</v>
      </c>
      <c r="B4720">
        <v>8415624</v>
      </c>
      <c r="C4720" t="s">
        <v>311</v>
      </c>
      <c r="D4720" t="s">
        <v>8</v>
      </c>
      <c r="E4720" s="4" t="str">
        <f>HYPERLINK("https://ibp.a2mac1.com/costing(costing:projects/details/9760/component/8754379)","Round head Screw M4x10")</f>
        <v>Round head Screw M4x10</v>
      </c>
      <c r="F4720" t="s">
        <v>5185</v>
      </c>
    </row>
    <row r="4721" spans="1:6" x14ac:dyDescent="0.15">
      <c r="A4721">
        <v>8754380</v>
      </c>
      <c r="B4721">
        <v>8415624</v>
      </c>
      <c r="C4721" t="s">
        <v>311</v>
      </c>
      <c r="D4721" t="s">
        <v>8</v>
      </c>
      <c r="E4721" s="4" t="str">
        <f>HYPERLINK("https://ibp.a2mac1.com/costing(costing:projects/details/9760/component/8754380)","Round head Screw M4x18")</f>
        <v>Round head Screw M4x18</v>
      </c>
      <c r="F4721" t="s">
        <v>5185</v>
      </c>
    </row>
    <row r="4722" spans="1:6" x14ac:dyDescent="0.15">
      <c r="A4722">
        <v>8415625</v>
      </c>
      <c r="B4722">
        <v>8415582</v>
      </c>
      <c r="C4722" t="s">
        <v>8</v>
      </c>
      <c r="D4722" t="s">
        <v>8</v>
      </c>
      <c r="E4722" s="4" t="str">
        <f>HYPERLINK("https://ibp.a2mac1.com/costing(costing:projects/details/9760/assembly/8415625)","Rear View Mirror System")</f>
        <v>Rear View Mirror System</v>
      </c>
      <c r="F4722" t="s">
        <v>4954</v>
      </c>
    </row>
    <row r="4723" spans="1:6" x14ac:dyDescent="0.15">
      <c r="A4723">
        <v>8415831</v>
      </c>
      <c r="B4723">
        <v>8415625</v>
      </c>
      <c r="C4723" t="s">
        <v>8</v>
      </c>
      <c r="D4723" t="s">
        <v>8</v>
      </c>
      <c r="E4723" s="4" t="str">
        <f>HYPERLINK("https://ibp.a2mac1.com/costing(costing:projects/details/9760/assembly/8415831)","Outside Rear View Mirror")</f>
        <v>Outside Rear View Mirror</v>
      </c>
      <c r="F4723" t="s">
        <v>5191</v>
      </c>
    </row>
    <row r="4724" spans="1:6" x14ac:dyDescent="0.15">
      <c r="A4724">
        <v>8416188</v>
      </c>
      <c r="B4724">
        <v>8415831</v>
      </c>
      <c r="C4724" t="s">
        <v>8</v>
      </c>
      <c r="D4724" t="s">
        <v>8</v>
      </c>
      <c r="E4724" s="4" t="str">
        <f>HYPERLINK("https://ibp.a2mac1.com/costing(costing:projects/details/9760/assembly/8416188)","Folding Motor")</f>
        <v>Folding Motor</v>
      </c>
      <c r="F4724" t="s">
        <v>5192</v>
      </c>
    </row>
    <row r="4725" spans="1:6" x14ac:dyDescent="0.15">
      <c r="A4725">
        <v>12085485</v>
      </c>
      <c r="B4725">
        <v>8416188</v>
      </c>
      <c r="C4725" t="s">
        <v>114</v>
      </c>
      <c r="D4725" t="s">
        <v>8</v>
      </c>
      <c r="E4725" s="4" t="str">
        <f>HYPERLINK("https://ibp.a2mac1.com/costing(costing:projects/details/9760/process/12085485)","Process")</f>
        <v>Process</v>
      </c>
      <c r="F4725" t="s">
        <v>5193</v>
      </c>
    </row>
    <row r="4726" spans="1:6" x14ac:dyDescent="0.15">
      <c r="A4726">
        <v>12212645</v>
      </c>
      <c r="B4726">
        <v>12085485</v>
      </c>
      <c r="C4726" t="s">
        <v>163</v>
      </c>
      <c r="D4726" t="s">
        <v>114</v>
      </c>
      <c r="E4726" s="4" t="str">
        <f>HYPERLINK("https://ibp.a2mac1.com/costing(costing:projects/details/9760/equipment/12212645)","Dummy Machine (PCBA+Final Assembly Line)")</f>
        <v>Dummy Machine (PCBA+Final Assembly Line)</v>
      </c>
      <c r="F4726" t="s">
        <v>5194</v>
      </c>
    </row>
    <row r="4727" spans="1:6" x14ac:dyDescent="0.15">
      <c r="A4727">
        <v>8754783</v>
      </c>
      <c r="B4727">
        <v>8416188</v>
      </c>
      <c r="C4727" t="s">
        <v>311</v>
      </c>
      <c r="D4727" t="s">
        <v>8</v>
      </c>
      <c r="E4727" s="4" t="str">
        <f>HYPERLINK("https://ibp.a2mac1.com/costing(costing:projects/details/9760/component/8754783)","Electronics")</f>
        <v>Electronics</v>
      </c>
      <c r="F4727" t="s">
        <v>5193</v>
      </c>
    </row>
    <row r="4728" spans="1:6" x14ac:dyDescent="0.15">
      <c r="A4728">
        <v>8754784</v>
      </c>
      <c r="B4728">
        <v>8416188</v>
      </c>
      <c r="C4728" t="s">
        <v>311</v>
      </c>
      <c r="D4728" t="s">
        <v>8</v>
      </c>
      <c r="E4728" s="4" t="str">
        <f>HYPERLINK("https://ibp.a2mac1.com/costing(costing:projects/details/9760/component/8754784)","Mechanics")</f>
        <v>Mechanics</v>
      </c>
      <c r="F4728" t="s">
        <v>5193</v>
      </c>
    </row>
    <row r="4729" spans="1:6" x14ac:dyDescent="0.15">
      <c r="A4729">
        <v>8416190</v>
      </c>
      <c r="B4729">
        <v>8415831</v>
      </c>
      <c r="C4729" t="s">
        <v>8</v>
      </c>
      <c r="D4729" t="s">
        <v>8</v>
      </c>
      <c r="E4729" s="4" t="str">
        <f>HYPERLINK("https://ibp.a2mac1.com/costing(costing:projects/details/9760/assembly/8416190)","360 View Camera side")</f>
        <v>360 View Camera side</v>
      </c>
      <c r="F4729" t="s">
        <v>5192</v>
      </c>
    </row>
    <row r="4730" spans="1:6" x14ac:dyDescent="0.15">
      <c r="A4730">
        <v>12085487</v>
      </c>
      <c r="B4730">
        <v>8416190</v>
      </c>
      <c r="C4730" t="s">
        <v>114</v>
      </c>
      <c r="D4730" t="s">
        <v>8</v>
      </c>
      <c r="E4730" s="4" t="str">
        <f>HYPERLINK("https://ibp.a2mac1.com/costing(costing:projects/details/9760/process/12085487)","Process")</f>
        <v>Process</v>
      </c>
      <c r="F4730" t="s">
        <v>5196</v>
      </c>
    </row>
    <row r="4731" spans="1:6" x14ac:dyDescent="0.15">
      <c r="A4731">
        <v>12212647</v>
      </c>
      <c r="B4731">
        <v>12085487</v>
      </c>
      <c r="C4731" t="s">
        <v>163</v>
      </c>
      <c r="D4731" t="s">
        <v>114</v>
      </c>
      <c r="E4731" s="4" t="str">
        <f>HYPERLINK("https://ibp.a2mac1.com/costing(costing:projects/details/9760/equipment/12212647)","Dummy Machine (PCBA+Final Assembly Line)")</f>
        <v>Dummy Machine (PCBA+Final Assembly Line)</v>
      </c>
      <c r="F4731" t="s">
        <v>5197</v>
      </c>
    </row>
    <row r="4732" spans="1:6" x14ac:dyDescent="0.15">
      <c r="A4732">
        <v>8754785</v>
      </c>
      <c r="B4732">
        <v>8416190</v>
      </c>
      <c r="C4732" t="s">
        <v>311</v>
      </c>
      <c r="D4732" t="s">
        <v>8</v>
      </c>
      <c r="E4732" s="4" t="str">
        <f>HYPERLINK("https://ibp.a2mac1.com/costing(costing:projects/details/9760/component/8754785)","Electronics")</f>
        <v>Electronics</v>
      </c>
      <c r="F4732" t="s">
        <v>5196</v>
      </c>
    </row>
    <row r="4733" spans="1:6" x14ac:dyDescent="0.15">
      <c r="A4733">
        <v>8754786</v>
      </c>
      <c r="B4733">
        <v>8416190</v>
      </c>
      <c r="C4733" t="s">
        <v>311</v>
      </c>
      <c r="D4733" t="s">
        <v>8</v>
      </c>
      <c r="E4733" s="4" t="str">
        <f>HYPERLINK("https://ibp.a2mac1.com/costing(costing:projects/details/9760/component/8754786)","Mechanics")</f>
        <v>Mechanics</v>
      </c>
      <c r="F4733" t="s">
        <v>5196</v>
      </c>
    </row>
    <row r="4734" spans="1:6" x14ac:dyDescent="0.15">
      <c r="A4734">
        <v>8416176</v>
      </c>
      <c r="B4734">
        <v>8415831</v>
      </c>
      <c r="C4734" t="s">
        <v>10</v>
      </c>
      <c r="D4734" t="s">
        <v>8</v>
      </c>
      <c r="E4734" s="4" t="str">
        <f>HYPERLINK("https://ibp.a2mac1.com/costing(costing:projects/details/9760/part/8416176)","Mirror")</f>
        <v>Mirror</v>
      </c>
      <c r="F4734" t="s">
        <v>5192</v>
      </c>
    </row>
    <row r="4735" spans="1:6" x14ac:dyDescent="0.15">
      <c r="A4735">
        <v>8416177</v>
      </c>
      <c r="B4735">
        <v>8415831</v>
      </c>
      <c r="C4735" t="s">
        <v>10</v>
      </c>
      <c r="D4735" t="s">
        <v>8</v>
      </c>
      <c r="E4735" s="4" t="str">
        <f>HYPERLINK("https://ibp.a2mac1.com/costing(costing:projects/details/9760/part/8416177)","Support")</f>
        <v>Support</v>
      </c>
      <c r="F4735" t="s">
        <v>5192</v>
      </c>
    </row>
    <row r="4736" spans="1:6" x14ac:dyDescent="0.15">
      <c r="A4736">
        <v>12085473</v>
      </c>
      <c r="B4736">
        <v>8416177</v>
      </c>
      <c r="C4736" t="s">
        <v>114</v>
      </c>
      <c r="D4736" t="s">
        <v>10</v>
      </c>
      <c r="E4736" s="4" t="str">
        <f>HYPERLINK("https://ibp.a2mac1.com/costing(costing:projects/details/9760/process/12085473)","Furnace heating")</f>
        <v>Furnace heating</v>
      </c>
      <c r="F4736" t="s">
        <v>5202</v>
      </c>
    </row>
    <row r="4737" spans="1:6" x14ac:dyDescent="0.15">
      <c r="A4737">
        <v>8755182</v>
      </c>
      <c r="B4737">
        <v>12085473</v>
      </c>
      <c r="C4737" t="s">
        <v>22</v>
      </c>
      <c r="D4737" t="s">
        <v>114</v>
      </c>
      <c r="E4737" s="4" t="str">
        <f>HYPERLINK("https://ibp.a2mac1.com/costing(costing:projects/details/9760/material/8755182)","Aluminum for casting (default, e.g. A380/ADC10/EN-AC46500)")</f>
        <v>Aluminum for casting (default, e.g. A380/ADC10/EN-AC46500)</v>
      </c>
      <c r="F4737" t="s">
        <v>5205</v>
      </c>
    </row>
    <row r="4738" spans="1:6" x14ac:dyDescent="0.15">
      <c r="A4738">
        <v>12212633</v>
      </c>
      <c r="B4738">
        <v>12085473</v>
      </c>
      <c r="C4738" t="s">
        <v>163</v>
      </c>
      <c r="D4738" t="s">
        <v>114</v>
      </c>
      <c r="E4738" s="4" t="str">
        <f>HYPERLINK("https://ibp.a2mac1.com/costing(costing:projects/details/9760/equipment/12212633)","No.02 - T,TF 40/11 ")</f>
        <v xml:space="preserve">No.02 - T,TF 40/11 </v>
      </c>
      <c r="F4738" t="s">
        <v>5205</v>
      </c>
    </row>
    <row r="4739" spans="1:6" x14ac:dyDescent="0.15">
      <c r="A4739">
        <v>12085474</v>
      </c>
      <c r="B4739">
        <v>8416177</v>
      </c>
      <c r="C4739" t="s">
        <v>114</v>
      </c>
      <c r="D4739" t="s">
        <v>10</v>
      </c>
      <c r="E4739" s="4" t="str">
        <f>HYPERLINK("https://ibp.a2mac1.com/costing(costing:projects/details/9760/process/12085474)","Transport with laddle")</f>
        <v>Transport with laddle</v>
      </c>
      <c r="F4739" t="s">
        <v>5202</v>
      </c>
    </row>
    <row r="4740" spans="1:6" x14ac:dyDescent="0.15">
      <c r="A4740">
        <v>12212634</v>
      </c>
      <c r="B4740">
        <v>12085474</v>
      </c>
      <c r="C4740" t="s">
        <v>163</v>
      </c>
      <c r="D4740" t="s">
        <v>114</v>
      </c>
      <c r="E4740" s="4" t="str">
        <f>HYPERLINK("https://ibp.a2mac1.com/costing(costing:projects/details/9760/equipment/12212634)","No.01 - Buhler ladel Model 4,5L ")</f>
        <v xml:space="preserve">No.01 - Buhler ladel Model 4,5L </v>
      </c>
      <c r="F4740" t="s">
        <v>5206</v>
      </c>
    </row>
    <row r="4741" spans="1:6" x14ac:dyDescent="0.15">
      <c r="A4741">
        <v>12085475</v>
      </c>
      <c r="B4741">
        <v>8416177</v>
      </c>
      <c r="C4741" t="s">
        <v>114</v>
      </c>
      <c r="D4741" t="s">
        <v>10</v>
      </c>
      <c r="E4741" s="4" t="str">
        <f>HYPERLINK("https://ibp.a2mac1.com/costing(costing:projects/details/9760/process/12085475)","Pressing (Cold Chamber)")</f>
        <v>Pressing (Cold Chamber)</v>
      </c>
      <c r="F4741" t="s">
        <v>5202</v>
      </c>
    </row>
    <row r="4742" spans="1:6" x14ac:dyDescent="0.15">
      <c r="A4742">
        <v>12212635</v>
      </c>
      <c r="B4742">
        <v>12085475</v>
      </c>
      <c r="C4742" t="s">
        <v>163</v>
      </c>
      <c r="D4742" t="s">
        <v>114</v>
      </c>
      <c r="E4742" s="4" t="str">
        <f>HYPERLINK("https://ibp.a2mac1.com/costing(costing:projects/details/9760/equipment/12212635)","No.01 - Idra - OL 420 S ")</f>
        <v xml:space="preserve">No.01 - Idra - OL 420 S </v>
      </c>
      <c r="F4742" t="s">
        <v>5207</v>
      </c>
    </row>
    <row r="4743" spans="1:6" x14ac:dyDescent="0.15">
      <c r="A4743">
        <v>8416178</v>
      </c>
      <c r="B4743">
        <v>8415831</v>
      </c>
      <c r="C4743" t="s">
        <v>10</v>
      </c>
      <c r="D4743" t="s">
        <v>8</v>
      </c>
      <c r="E4743" s="4" t="str">
        <f>HYPERLINK("https://ibp.a2mac1.com/costing(costing:projects/details/9760/part/8416178)","Harness")</f>
        <v>Harness</v>
      </c>
      <c r="F4743" t="s">
        <v>5192</v>
      </c>
    </row>
    <row r="4744" spans="1:6" x14ac:dyDescent="0.15">
      <c r="A4744">
        <v>8416179</v>
      </c>
      <c r="B4744">
        <v>8415831</v>
      </c>
      <c r="C4744" t="s">
        <v>10</v>
      </c>
      <c r="D4744" t="s">
        <v>8</v>
      </c>
      <c r="E4744" s="4" t="str">
        <f>HYPERLINK("https://ibp.a2mac1.com/costing(costing:projects/details/9760/part/8416179)","Mirror Support")</f>
        <v>Mirror Support</v>
      </c>
      <c r="F4744" t="s">
        <v>5192</v>
      </c>
    </row>
    <row r="4745" spans="1:6" x14ac:dyDescent="0.15">
      <c r="A4745">
        <v>12085476</v>
      </c>
      <c r="B4745">
        <v>8416179</v>
      </c>
      <c r="C4745" t="s">
        <v>114</v>
      </c>
      <c r="D4745" t="s">
        <v>10</v>
      </c>
      <c r="E4745" s="4" t="str">
        <f>HYPERLINK("https://ibp.a2mac1.com/costing(costing:projects/details/9760/process/12085476)","Injection molding")</f>
        <v>Injection molding</v>
      </c>
      <c r="F4745" t="s">
        <v>5212</v>
      </c>
    </row>
    <row r="4746" spans="1:6" x14ac:dyDescent="0.15">
      <c r="A4746">
        <v>8755183</v>
      </c>
      <c r="B4746">
        <v>12085476</v>
      </c>
      <c r="C4746" t="s">
        <v>22</v>
      </c>
      <c r="D4746" t="s">
        <v>114</v>
      </c>
      <c r="E4746" s="4" t="str">
        <f>HYPERLINK("https://ibp.a2mac1.com/costing(costing:projects/details/9760/material/8755183)","PA6-GF30")</f>
        <v>PA6-GF30</v>
      </c>
      <c r="F4746" t="s">
        <v>5215</v>
      </c>
    </row>
    <row r="4747" spans="1:6" x14ac:dyDescent="0.15">
      <c r="A4747">
        <v>12212636</v>
      </c>
      <c r="B4747">
        <v>12085476</v>
      </c>
      <c r="C4747" t="s">
        <v>163</v>
      </c>
      <c r="D4747" t="s">
        <v>114</v>
      </c>
      <c r="E4747" s="4" t="str">
        <f>HYPERLINK("https://ibp.a2mac1.com/costing(costing:projects/details/9760/equipment/12212636)","No.02 - Injection Press - 60T - 25kW - 320x320 - Max Volume 164cm3 ")</f>
        <v xml:space="preserve">No.02 - Injection Press - 60T - 25kW - 320x320 - Max Volume 164cm3 </v>
      </c>
      <c r="F4747" t="s">
        <v>5215</v>
      </c>
    </row>
    <row r="4748" spans="1:6" x14ac:dyDescent="0.15">
      <c r="A4748">
        <v>8416180</v>
      </c>
      <c r="B4748">
        <v>8415831</v>
      </c>
      <c r="C4748" t="s">
        <v>10</v>
      </c>
      <c r="D4748" t="s">
        <v>8</v>
      </c>
      <c r="E4748" s="4" t="str">
        <f>HYPERLINK("https://ibp.a2mac1.com/costing(costing:projects/details/9760/part/8416180)","Lower Shell")</f>
        <v>Lower Shell</v>
      </c>
      <c r="F4748" t="s">
        <v>5192</v>
      </c>
    </row>
    <row r="4749" spans="1:6" x14ac:dyDescent="0.15">
      <c r="A4749">
        <v>12085477</v>
      </c>
      <c r="B4749">
        <v>8416180</v>
      </c>
      <c r="C4749" t="s">
        <v>114</v>
      </c>
      <c r="D4749" t="s">
        <v>10</v>
      </c>
      <c r="E4749" s="4" t="str">
        <f>HYPERLINK("https://ibp.a2mac1.com/costing(costing:projects/details/9760/process/12085477)","Injection molding")</f>
        <v>Injection molding</v>
      </c>
      <c r="F4749" t="s">
        <v>5219</v>
      </c>
    </row>
    <row r="4750" spans="1:6" x14ac:dyDescent="0.15">
      <c r="A4750">
        <v>8755184</v>
      </c>
      <c r="B4750">
        <v>12085477</v>
      </c>
      <c r="C4750" t="s">
        <v>22</v>
      </c>
      <c r="D4750" t="s">
        <v>114</v>
      </c>
      <c r="E4750" s="4" t="str">
        <f>HYPERLINK("https://ibp.a2mac1.com/costing(costing:projects/details/9760/material/8755184)","ABS")</f>
        <v>ABS</v>
      </c>
      <c r="F4750" t="s">
        <v>5223</v>
      </c>
    </row>
    <row r="4751" spans="1:6" x14ac:dyDescent="0.15">
      <c r="A4751">
        <v>12212637</v>
      </c>
      <c r="B4751">
        <v>12085477</v>
      </c>
      <c r="C4751" t="s">
        <v>163</v>
      </c>
      <c r="D4751" t="s">
        <v>114</v>
      </c>
      <c r="E4751" s="4" t="str">
        <f>HYPERLINK("https://ibp.a2mac1.com/costing(costing:projects/details/9760/equipment/12212637)","Equipment (Injection Molding)")</f>
        <v>Equipment (Injection Molding)</v>
      </c>
      <c r="F4751" t="s">
        <v>5223</v>
      </c>
    </row>
    <row r="4752" spans="1:6" x14ac:dyDescent="0.15">
      <c r="A4752">
        <v>12085478</v>
      </c>
      <c r="B4752">
        <v>8416180</v>
      </c>
      <c r="C4752" t="s">
        <v>114</v>
      </c>
      <c r="D4752" t="s">
        <v>10</v>
      </c>
      <c r="E4752" s="4" t="str">
        <f>HYPERLINK("https://ibp.a2mac1.com/costing(costing:projects/details/9760/process/12085478)","Painting")</f>
        <v>Painting</v>
      </c>
      <c r="F4752" t="s">
        <v>5219</v>
      </c>
    </row>
    <row r="4753" spans="1:6" x14ac:dyDescent="0.15">
      <c r="A4753">
        <v>8755185</v>
      </c>
      <c r="B4753">
        <v>12085478</v>
      </c>
      <c r="C4753" t="s">
        <v>22</v>
      </c>
      <c r="D4753" t="s">
        <v>114</v>
      </c>
      <c r="E4753" s="4" t="str">
        <f>HYPERLINK("https://ibp.a2mac1.com/costing(costing:projects/details/9760/material/8755185)","Paint: Primer")</f>
        <v>Paint: Primer</v>
      </c>
      <c r="F4753" t="s">
        <v>5226</v>
      </c>
    </row>
    <row r="4754" spans="1:6" x14ac:dyDescent="0.15">
      <c r="A4754">
        <v>8755186</v>
      </c>
      <c r="B4754">
        <v>12085478</v>
      </c>
      <c r="C4754" t="s">
        <v>22</v>
      </c>
      <c r="D4754" t="s">
        <v>114</v>
      </c>
      <c r="E4754" s="4" t="str">
        <f>HYPERLINK("https://ibp.a2mac1.com/costing(costing:projects/details/9760/material/8755186)","Paint: Base")</f>
        <v>Paint: Base</v>
      </c>
      <c r="F4754" t="s">
        <v>5226</v>
      </c>
    </row>
    <row r="4755" spans="1:6" x14ac:dyDescent="0.15">
      <c r="A4755">
        <v>8755187</v>
      </c>
      <c r="B4755">
        <v>12085478</v>
      </c>
      <c r="C4755" t="s">
        <v>22</v>
      </c>
      <c r="D4755" t="s">
        <v>114</v>
      </c>
      <c r="E4755" s="4" t="str">
        <f>HYPERLINK("https://ibp.a2mac1.com/costing(costing:projects/details/9760/material/8755187)","Paint: Clear Coat")</f>
        <v>Paint: Clear Coat</v>
      </c>
      <c r="F4755" t="s">
        <v>5226</v>
      </c>
    </row>
    <row r="4756" spans="1:6" x14ac:dyDescent="0.15">
      <c r="A4756">
        <v>12212638</v>
      </c>
      <c r="B4756">
        <v>12085478</v>
      </c>
      <c r="C4756" t="s">
        <v>163</v>
      </c>
      <c r="D4756" t="s">
        <v>114</v>
      </c>
      <c r="E4756" s="4" t="str">
        <f>HYPERLINK("https://ibp.a2mac1.com/costing(costing:projects/details/9760/equipment/12212638)","No.04 - 60000x6000x3500 - Automatic Painting Line - with 12x100kW on line ovens ")</f>
        <v xml:space="preserve">No.04 - 60000x6000x3500 - Automatic Painting Line - with 12x100kW on line ovens </v>
      </c>
      <c r="F4756" t="s">
        <v>5226</v>
      </c>
    </row>
    <row r="4757" spans="1:6" x14ac:dyDescent="0.15">
      <c r="A4757">
        <v>8416181</v>
      </c>
      <c r="B4757">
        <v>8415831</v>
      </c>
      <c r="C4757" t="s">
        <v>10</v>
      </c>
      <c r="D4757" t="s">
        <v>8</v>
      </c>
      <c r="E4757" s="4" t="str">
        <f>HYPERLINK("https://ibp.a2mac1.com/costing(costing:projects/details/9760/part/8416181)","Support Cover")</f>
        <v>Support Cover</v>
      </c>
      <c r="F4757" t="s">
        <v>5192</v>
      </c>
    </row>
    <row r="4758" spans="1:6" x14ac:dyDescent="0.15">
      <c r="A4758">
        <v>12085479</v>
      </c>
      <c r="B4758">
        <v>8416181</v>
      </c>
      <c r="C4758" t="s">
        <v>114</v>
      </c>
      <c r="D4758" t="s">
        <v>10</v>
      </c>
      <c r="E4758" s="4" t="str">
        <f>HYPERLINK("https://ibp.a2mac1.com/costing(costing:projects/details/9760/process/12085479)","Injection molding")</f>
        <v>Injection molding</v>
      </c>
      <c r="F4758" t="s">
        <v>5231</v>
      </c>
    </row>
    <row r="4759" spans="1:6" x14ac:dyDescent="0.15">
      <c r="A4759">
        <v>8755188</v>
      </c>
      <c r="B4759">
        <v>12085479</v>
      </c>
      <c r="C4759" t="s">
        <v>22</v>
      </c>
      <c r="D4759" t="s">
        <v>114</v>
      </c>
      <c r="E4759" s="4" t="str">
        <f>HYPERLINK("https://ibp.a2mac1.com/costing(costing:projects/details/9760/material/8755188)","PMMA-ASA")</f>
        <v>PMMA-ASA</v>
      </c>
      <c r="F4759" t="s">
        <v>5232</v>
      </c>
    </row>
    <row r="4760" spans="1:6" x14ac:dyDescent="0.15">
      <c r="A4760">
        <v>12212639</v>
      </c>
      <c r="B4760">
        <v>12085479</v>
      </c>
      <c r="C4760" t="s">
        <v>163</v>
      </c>
      <c r="D4760" t="s">
        <v>114</v>
      </c>
      <c r="E4760" s="4" t="str">
        <f>HYPERLINK("https://ibp.a2mac1.com/costing(costing:projects/details/9760/equipment/12212639)","Equipment (Injection Molding)")</f>
        <v>Equipment (Injection Molding)</v>
      </c>
      <c r="F4760" t="s">
        <v>5232</v>
      </c>
    </row>
    <row r="4761" spans="1:6" x14ac:dyDescent="0.15">
      <c r="A4761">
        <v>8416182</v>
      </c>
      <c r="B4761">
        <v>8415831</v>
      </c>
      <c r="C4761" t="s">
        <v>10</v>
      </c>
      <c r="D4761" t="s">
        <v>8</v>
      </c>
      <c r="E4761" s="4" t="str">
        <f>HYPERLINK("https://ibp.a2mac1.com/costing(costing:projects/details/9760/part/8416182)","Support Lower Cover")</f>
        <v>Support Lower Cover</v>
      </c>
      <c r="F4761" t="s">
        <v>5192</v>
      </c>
    </row>
    <row r="4762" spans="1:6" x14ac:dyDescent="0.15">
      <c r="A4762">
        <v>12085480</v>
      </c>
      <c r="B4762">
        <v>8416182</v>
      </c>
      <c r="C4762" t="s">
        <v>114</v>
      </c>
      <c r="D4762" t="s">
        <v>10</v>
      </c>
      <c r="E4762" s="4" t="str">
        <f>HYPERLINK("https://ibp.a2mac1.com/costing(costing:projects/details/9760/process/12085480)","Injection molding")</f>
        <v>Injection molding</v>
      </c>
      <c r="F4762" t="s">
        <v>5236</v>
      </c>
    </row>
    <row r="4763" spans="1:6" x14ac:dyDescent="0.15">
      <c r="A4763">
        <v>8755189</v>
      </c>
      <c r="B4763">
        <v>12085480</v>
      </c>
      <c r="C4763" t="s">
        <v>22</v>
      </c>
      <c r="D4763" t="s">
        <v>114</v>
      </c>
      <c r="E4763" s="4" t="str">
        <f>HYPERLINK("https://ibp.a2mac1.com/costing(costing:projects/details/9760/material/8755189)","PMMA-ASA")</f>
        <v>PMMA-ASA</v>
      </c>
      <c r="F4763" t="s">
        <v>5237</v>
      </c>
    </row>
    <row r="4764" spans="1:6" x14ac:dyDescent="0.15">
      <c r="A4764">
        <v>12212640</v>
      </c>
      <c r="B4764">
        <v>12085480</v>
      </c>
      <c r="C4764" t="s">
        <v>163</v>
      </c>
      <c r="D4764" t="s">
        <v>114</v>
      </c>
      <c r="E4764" s="4" t="str">
        <f>HYPERLINK("https://ibp.a2mac1.com/costing(costing:projects/details/9760/equipment/12212640)","Equipment (Injection Molding)")</f>
        <v>Equipment (Injection Molding)</v>
      </c>
      <c r="F4764" t="s">
        <v>5237</v>
      </c>
    </row>
    <row r="4765" spans="1:6" x14ac:dyDescent="0.15">
      <c r="A4765">
        <v>8416183</v>
      </c>
      <c r="B4765">
        <v>8415831</v>
      </c>
      <c r="C4765" t="s">
        <v>10</v>
      </c>
      <c r="D4765" t="s">
        <v>8</v>
      </c>
      <c r="E4765" s="4" t="str">
        <f>HYPERLINK("https://ibp.a2mac1.com/costing(costing:projects/details/9760/part/8416183)","Support Seal")</f>
        <v>Support Seal</v>
      </c>
      <c r="F4765" t="s">
        <v>5192</v>
      </c>
    </row>
    <row r="4766" spans="1:6" x14ac:dyDescent="0.15">
      <c r="A4766">
        <v>12085481</v>
      </c>
      <c r="B4766">
        <v>8416183</v>
      </c>
      <c r="C4766" t="s">
        <v>114</v>
      </c>
      <c r="D4766" t="s">
        <v>10</v>
      </c>
      <c r="E4766" s="4" t="str">
        <f>HYPERLINK("https://ibp.a2mac1.com/costing(costing:projects/details/9760/process/12085481)","Injection molding")</f>
        <v>Injection molding</v>
      </c>
      <c r="F4766" t="s">
        <v>5239</v>
      </c>
    </row>
    <row r="4767" spans="1:6" x14ac:dyDescent="0.15">
      <c r="A4767">
        <v>8755190</v>
      </c>
      <c r="B4767">
        <v>12085481</v>
      </c>
      <c r="C4767" t="s">
        <v>22</v>
      </c>
      <c r="D4767" t="s">
        <v>114</v>
      </c>
      <c r="E4767" s="4" t="str">
        <f>HYPERLINK("https://ibp.a2mac1.com/costing(costing:projects/details/9760/material/8755190)","PP-GF30")</f>
        <v>PP-GF30</v>
      </c>
      <c r="F4767" t="s">
        <v>5240</v>
      </c>
    </row>
    <row r="4768" spans="1:6" x14ac:dyDescent="0.15">
      <c r="A4768">
        <v>12212641</v>
      </c>
      <c r="B4768">
        <v>12085481</v>
      </c>
      <c r="C4768" t="s">
        <v>163</v>
      </c>
      <c r="D4768" t="s">
        <v>114</v>
      </c>
      <c r="E4768" s="4" t="str">
        <f>HYPERLINK("https://ibp.a2mac1.com/costing(costing:projects/details/9760/equipment/12212641)","Equipment (Injection Molding)")</f>
        <v>Equipment (Injection Molding)</v>
      </c>
      <c r="F4768" t="s">
        <v>5240</v>
      </c>
    </row>
    <row r="4769" spans="1:6" x14ac:dyDescent="0.15">
      <c r="A4769">
        <v>8416184</v>
      </c>
      <c r="B4769">
        <v>8415831</v>
      </c>
      <c r="C4769" t="s">
        <v>10</v>
      </c>
      <c r="D4769" t="s">
        <v>8</v>
      </c>
      <c r="E4769" s="4" t="str">
        <f>HYPERLINK("https://ibp.a2mac1.com/costing(costing:projects/details/9760/part/8416184)","Seal Cover")</f>
        <v>Seal Cover</v>
      </c>
      <c r="F4769" t="s">
        <v>5192</v>
      </c>
    </row>
    <row r="4770" spans="1:6" x14ac:dyDescent="0.15">
      <c r="A4770">
        <v>12085482</v>
      </c>
      <c r="B4770">
        <v>8416184</v>
      </c>
      <c r="C4770" t="s">
        <v>114</v>
      </c>
      <c r="D4770" t="s">
        <v>10</v>
      </c>
      <c r="E4770" s="4" t="str">
        <f>HYPERLINK("https://ibp.a2mac1.com/costing(costing:projects/details/9760/process/12085482)","Injection molding")</f>
        <v>Injection molding</v>
      </c>
      <c r="F4770" t="s">
        <v>5244</v>
      </c>
    </row>
    <row r="4771" spans="1:6" x14ac:dyDescent="0.15">
      <c r="A4771">
        <v>8755191</v>
      </c>
      <c r="B4771">
        <v>12085482</v>
      </c>
      <c r="C4771" t="s">
        <v>22</v>
      </c>
      <c r="D4771" t="s">
        <v>114</v>
      </c>
      <c r="E4771" s="4" t="str">
        <f>HYPERLINK("https://ibp.a2mac1.com/costing(costing:projects/details/9760/material/8755191)","PP-EPDM")</f>
        <v>PP-EPDM</v>
      </c>
      <c r="F4771" t="s">
        <v>5247</v>
      </c>
    </row>
    <row r="4772" spans="1:6" x14ac:dyDescent="0.15">
      <c r="A4772">
        <v>12212642</v>
      </c>
      <c r="B4772">
        <v>12085482</v>
      </c>
      <c r="C4772" t="s">
        <v>163</v>
      </c>
      <c r="D4772" t="s">
        <v>114</v>
      </c>
      <c r="E4772" s="4" t="str">
        <f>HYPERLINK("https://ibp.a2mac1.com/costing(costing:projects/details/9760/equipment/12212642)","Equipment (Injection Molding)")</f>
        <v>Equipment (Injection Molding)</v>
      </c>
      <c r="F4772" t="s">
        <v>5247</v>
      </c>
    </row>
    <row r="4773" spans="1:6" x14ac:dyDescent="0.15">
      <c r="A4773">
        <v>8416185</v>
      </c>
      <c r="B4773">
        <v>8415831</v>
      </c>
      <c r="C4773" t="s">
        <v>10</v>
      </c>
      <c r="D4773" t="s">
        <v>8</v>
      </c>
      <c r="E4773" s="4" t="str">
        <f>HYPERLINK("https://ibp.a2mac1.com/costing(costing:projects/details/9760/part/8416185)","2nd Seal Cover")</f>
        <v>2nd Seal Cover</v>
      </c>
      <c r="F4773" t="s">
        <v>5192</v>
      </c>
    </row>
    <row r="4774" spans="1:6" x14ac:dyDescent="0.15">
      <c r="A4774">
        <v>12085483</v>
      </c>
      <c r="B4774">
        <v>8416185</v>
      </c>
      <c r="C4774" t="s">
        <v>114</v>
      </c>
      <c r="D4774" t="s">
        <v>10</v>
      </c>
      <c r="E4774" s="4" t="str">
        <f>HYPERLINK("https://ibp.a2mac1.com/costing(costing:projects/details/9760/process/12085483)","Injection molding")</f>
        <v>Injection molding</v>
      </c>
      <c r="F4774" t="s">
        <v>5250</v>
      </c>
    </row>
    <row r="4775" spans="1:6" x14ac:dyDescent="0.15">
      <c r="A4775">
        <v>8755192</v>
      </c>
      <c r="B4775">
        <v>12085483</v>
      </c>
      <c r="C4775" t="s">
        <v>22</v>
      </c>
      <c r="D4775" t="s">
        <v>114</v>
      </c>
      <c r="E4775" s="4" t="str">
        <f>HYPERLINK("https://ibp.a2mac1.com/costing(costing:projects/details/9760/material/8755192)","PP-GF30")</f>
        <v>PP-GF30</v>
      </c>
      <c r="F4775" t="s">
        <v>5252</v>
      </c>
    </row>
    <row r="4776" spans="1:6" x14ac:dyDescent="0.15">
      <c r="A4776">
        <v>12212643</v>
      </c>
      <c r="B4776">
        <v>12085483</v>
      </c>
      <c r="C4776" t="s">
        <v>163</v>
      </c>
      <c r="D4776" t="s">
        <v>114</v>
      </c>
      <c r="E4776" s="4" t="str">
        <f>HYPERLINK("https://ibp.a2mac1.com/costing(costing:projects/details/9760/equipment/12212643)","Equipment (Injection Molding)")</f>
        <v>Equipment (Injection Molding)</v>
      </c>
      <c r="F4776" t="s">
        <v>5252</v>
      </c>
    </row>
    <row r="4777" spans="1:6" x14ac:dyDescent="0.15">
      <c r="A4777">
        <v>8416186</v>
      </c>
      <c r="B4777">
        <v>8415831</v>
      </c>
      <c r="C4777" t="s">
        <v>10</v>
      </c>
      <c r="D4777" t="s">
        <v>8</v>
      </c>
      <c r="E4777" s="4" t="str">
        <f>HYPERLINK("https://ibp.a2mac1.com/costing(costing:projects/details/9760/part/8416186)","Turn Signal")</f>
        <v>Turn Signal</v>
      </c>
      <c r="F4777" t="s">
        <v>5192</v>
      </c>
    </row>
    <row r="4778" spans="1:6" x14ac:dyDescent="0.15">
      <c r="A4778">
        <v>8416187</v>
      </c>
      <c r="B4778">
        <v>8415831</v>
      </c>
      <c r="C4778" t="s">
        <v>10</v>
      </c>
      <c r="D4778" t="s">
        <v>8</v>
      </c>
      <c r="E4778" s="4" t="str">
        <f>HYPERLINK("https://ibp.a2mac1.com/costing(costing:projects/details/9760/part/8416187)","Trim Signal")</f>
        <v>Trim Signal</v>
      </c>
      <c r="F4778" t="s">
        <v>5192</v>
      </c>
    </row>
    <row r="4779" spans="1:6" x14ac:dyDescent="0.15">
      <c r="A4779">
        <v>12085484</v>
      </c>
      <c r="B4779">
        <v>8416187</v>
      </c>
      <c r="C4779" t="s">
        <v>114</v>
      </c>
      <c r="D4779" t="s">
        <v>10</v>
      </c>
      <c r="E4779" s="4" t="str">
        <f>HYPERLINK("https://ibp.a2mac1.com/costing(costing:projects/details/9760/process/12085484)","Injection molding")</f>
        <v>Injection molding</v>
      </c>
      <c r="F4779" t="s">
        <v>5257</v>
      </c>
    </row>
    <row r="4780" spans="1:6" x14ac:dyDescent="0.15">
      <c r="A4780">
        <v>8755193</v>
      </c>
      <c r="B4780">
        <v>12085484</v>
      </c>
      <c r="C4780" t="s">
        <v>22</v>
      </c>
      <c r="D4780" t="s">
        <v>114</v>
      </c>
      <c r="E4780" s="4" t="str">
        <f>HYPERLINK("https://ibp.a2mac1.com/costing(costing:projects/details/9760/material/8755193)","PMMA-ASA")</f>
        <v>PMMA-ASA</v>
      </c>
      <c r="F4780" t="s">
        <v>5258</v>
      </c>
    </row>
    <row r="4781" spans="1:6" x14ac:dyDescent="0.15">
      <c r="A4781">
        <v>12212644</v>
      </c>
      <c r="B4781">
        <v>12085484</v>
      </c>
      <c r="C4781" t="s">
        <v>163</v>
      </c>
      <c r="D4781" t="s">
        <v>114</v>
      </c>
      <c r="E4781" s="4" t="str">
        <f>HYPERLINK("https://ibp.a2mac1.com/costing(costing:projects/details/9760/equipment/12212644)","Equipment (Injection Molding)")</f>
        <v>Equipment (Injection Molding)</v>
      </c>
      <c r="F4781" t="s">
        <v>5258</v>
      </c>
    </row>
    <row r="4782" spans="1:6" x14ac:dyDescent="0.15">
      <c r="A4782">
        <v>8416189</v>
      </c>
      <c r="B4782">
        <v>8415831</v>
      </c>
      <c r="C4782" t="s">
        <v>10</v>
      </c>
      <c r="D4782" t="s">
        <v>8</v>
      </c>
      <c r="E4782" s="4" t="str">
        <f>HYPERLINK("https://ibp.a2mac1.com/costing(costing:projects/details/9760/part/8416189)","Folding Motor Support")</f>
        <v>Folding Motor Support</v>
      </c>
      <c r="F4782" t="s">
        <v>5192</v>
      </c>
    </row>
    <row r="4783" spans="1:6" x14ac:dyDescent="0.15">
      <c r="A4783">
        <v>12085486</v>
      </c>
      <c r="B4783">
        <v>8416189</v>
      </c>
      <c r="C4783" t="s">
        <v>114</v>
      </c>
      <c r="D4783" t="s">
        <v>10</v>
      </c>
      <c r="E4783" s="4" t="str">
        <f>HYPERLINK("https://ibp.a2mac1.com/costing(costing:projects/details/9760/process/12085486)","Injection molding")</f>
        <v>Injection molding</v>
      </c>
      <c r="F4783" t="s">
        <v>5262</v>
      </c>
    </row>
    <row r="4784" spans="1:6" x14ac:dyDescent="0.15">
      <c r="A4784">
        <v>8755194</v>
      </c>
      <c r="B4784">
        <v>12085486</v>
      </c>
      <c r="C4784" t="s">
        <v>22</v>
      </c>
      <c r="D4784" t="s">
        <v>114</v>
      </c>
      <c r="E4784" s="4" t="str">
        <f>HYPERLINK("https://ibp.a2mac1.com/costing(costing:projects/details/9760/material/8755194)","PBT-GF30")</f>
        <v>PBT-GF30</v>
      </c>
      <c r="F4784" t="s">
        <v>5263</v>
      </c>
    </row>
    <row r="4785" spans="1:6" x14ac:dyDescent="0.15">
      <c r="A4785">
        <v>12212646</v>
      </c>
      <c r="B4785">
        <v>12085486</v>
      </c>
      <c r="C4785" t="s">
        <v>163</v>
      </c>
      <c r="D4785" t="s">
        <v>114</v>
      </c>
      <c r="E4785" s="4" t="str">
        <f>HYPERLINK("https://ibp.a2mac1.com/costing(costing:projects/details/9760/equipment/12212646)","Equipment (Injection Molding)")</f>
        <v>Equipment (Injection Molding)</v>
      </c>
      <c r="F4785" t="s">
        <v>5263</v>
      </c>
    </row>
    <row r="4786" spans="1:6" x14ac:dyDescent="0.15">
      <c r="A4786">
        <v>8416191</v>
      </c>
      <c r="B4786">
        <v>8415831</v>
      </c>
      <c r="C4786" t="s">
        <v>10</v>
      </c>
      <c r="D4786" t="s">
        <v>8</v>
      </c>
      <c r="E4786" s="4" t="str">
        <f>HYPERLINK("https://ibp.a2mac1.com/costing(costing:projects/details/9760/part/8416191)","360 View Camera Support")</f>
        <v>360 View Camera Support</v>
      </c>
      <c r="F4786" t="s">
        <v>5192</v>
      </c>
    </row>
    <row r="4787" spans="1:6" x14ac:dyDescent="0.15">
      <c r="A4787">
        <v>12085488</v>
      </c>
      <c r="B4787">
        <v>8416191</v>
      </c>
      <c r="C4787" t="s">
        <v>114</v>
      </c>
      <c r="D4787" t="s">
        <v>10</v>
      </c>
      <c r="E4787" s="4" t="str">
        <f>HYPERLINK("https://ibp.a2mac1.com/costing(costing:projects/details/9760/process/12085488)","Injection molding")</f>
        <v>Injection molding</v>
      </c>
      <c r="F4787" t="s">
        <v>5266</v>
      </c>
    </row>
    <row r="4788" spans="1:6" x14ac:dyDescent="0.15">
      <c r="A4788">
        <v>8755195</v>
      </c>
      <c r="B4788">
        <v>12085488</v>
      </c>
      <c r="C4788" t="s">
        <v>22</v>
      </c>
      <c r="D4788" t="s">
        <v>114</v>
      </c>
      <c r="E4788" s="4" t="str">
        <f>HYPERLINK("https://ibp.a2mac1.com/costing(costing:projects/details/9760/material/8755195)","PA66-GF30")</f>
        <v>PA66-GF30</v>
      </c>
      <c r="F4788" t="s">
        <v>5268</v>
      </c>
    </row>
    <row r="4789" spans="1:6" x14ac:dyDescent="0.15">
      <c r="A4789">
        <v>12212648</v>
      </c>
      <c r="B4789">
        <v>12085488</v>
      </c>
      <c r="C4789" t="s">
        <v>163</v>
      </c>
      <c r="D4789" t="s">
        <v>114</v>
      </c>
      <c r="E4789" s="4" t="str">
        <f>HYPERLINK("https://ibp.a2mac1.com/costing(costing:projects/details/9760/equipment/12212648)","Equipment (Injection Molding)")</f>
        <v>Equipment (Injection Molding)</v>
      </c>
      <c r="F4789" t="s">
        <v>5268</v>
      </c>
    </row>
    <row r="4790" spans="1:6" x14ac:dyDescent="0.15">
      <c r="A4790">
        <v>8416192</v>
      </c>
      <c r="B4790">
        <v>8415831</v>
      </c>
      <c r="C4790" t="s">
        <v>10</v>
      </c>
      <c r="D4790" t="s">
        <v>8</v>
      </c>
      <c r="E4790" s="4" t="str">
        <f>HYPERLINK("https://ibp.a2mac1.com/costing(costing:projects/details/9760/part/8416192)","360 View Camera side Wire Harness")</f>
        <v>360 View Camera side Wire Harness</v>
      </c>
      <c r="F4790" t="s">
        <v>5192</v>
      </c>
    </row>
    <row r="4791" spans="1:6" x14ac:dyDescent="0.15">
      <c r="A4791">
        <v>8416193</v>
      </c>
      <c r="B4791">
        <v>8415831</v>
      </c>
      <c r="C4791" t="s">
        <v>10</v>
      </c>
      <c r="D4791" t="s">
        <v>8</v>
      </c>
      <c r="E4791" s="4" t="str">
        <f>HYPERLINK("https://ibp.a2mac1.com/costing(costing:projects/details/9760/part/8416193)","Shell")</f>
        <v>Shell</v>
      </c>
      <c r="F4791" t="s">
        <v>5192</v>
      </c>
    </row>
    <row r="4792" spans="1:6" x14ac:dyDescent="0.15">
      <c r="A4792">
        <v>12085489</v>
      </c>
      <c r="B4792">
        <v>8416193</v>
      </c>
      <c r="C4792" t="s">
        <v>114</v>
      </c>
      <c r="D4792" t="s">
        <v>10</v>
      </c>
      <c r="E4792" s="4" t="str">
        <f>HYPERLINK("https://ibp.a2mac1.com/costing(costing:projects/details/9760/process/12085489)","Injection molding")</f>
        <v>Injection molding</v>
      </c>
      <c r="F4792" t="s">
        <v>5272</v>
      </c>
    </row>
    <row r="4793" spans="1:6" x14ac:dyDescent="0.15">
      <c r="A4793">
        <v>8755196</v>
      </c>
      <c r="B4793">
        <v>12085489</v>
      </c>
      <c r="C4793" t="s">
        <v>22</v>
      </c>
      <c r="D4793" t="s">
        <v>114</v>
      </c>
      <c r="E4793" s="4" t="str">
        <f>HYPERLINK("https://ibp.a2mac1.com/costing(costing:projects/details/9760/material/8755196)","ABS")</f>
        <v>ABS</v>
      </c>
      <c r="F4793" t="s">
        <v>5274</v>
      </c>
    </row>
    <row r="4794" spans="1:6" x14ac:dyDescent="0.15">
      <c r="A4794">
        <v>12212649</v>
      </c>
      <c r="B4794">
        <v>12085489</v>
      </c>
      <c r="C4794" t="s">
        <v>163</v>
      </c>
      <c r="D4794" t="s">
        <v>114</v>
      </c>
      <c r="E4794" s="4" t="str">
        <f>HYPERLINK("https://ibp.a2mac1.com/costing(costing:projects/details/9760/equipment/12212649)","No.05 - Injection Press - 125T - 34kW - 500x500 - Max Volume 260cm3 ")</f>
        <v xml:space="preserve">No.05 - Injection Press - 125T - 34kW - 500x500 - Max Volume 260cm3 </v>
      </c>
      <c r="F4794" t="s">
        <v>5274</v>
      </c>
    </row>
    <row r="4795" spans="1:6" x14ac:dyDescent="0.15">
      <c r="A4795">
        <v>12085490</v>
      </c>
      <c r="B4795">
        <v>8416193</v>
      </c>
      <c r="C4795" t="s">
        <v>114</v>
      </c>
      <c r="D4795" t="s">
        <v>10</v>
      </c>
      <c r="E4795" s="4" t="str">
        <f>HYPERLINK("https://ibp.a2mac1.com/costing(costing:projects/details/9760/process/12085490)","Painting")</f>
        <v>Painting</v>
      </c>
      <c r="F4795" t="s">
        <v>5272</v>
      </c>
    </row>
    <row r="4796" spans="1:6" x14ac:dyDescent="0.15">
      <c r="A4796">
        <v>8755197</v>
      </c>
      <c r="B4796">
        <v>12085490</v>
      </c>
      <c r="C4796" t="s">
        <v>22</v>
      </c>
      <c r="D4796" t="s">
        <v>114</v>
      </c>
      <c r="E4796" s="4" t="str">
        <f>HYPERLINK("https://ibp.a2mac1.com/costing(costing:projects/details/9760/material/8755197)","Paint: Primer")</f>
        <v>Paint: Primer</v>
      </c>
      <c r="F4796" t="s">
        <v>5276</v>
      </c>
    </row>
    <row r="4797" spans="1:6" x14ac:dyDescent="0.15">
      <c r="A4797">
        <v>8755198</v>
      </c>
      <c r="B4797">
        <v>12085490</v>
      </c>
      <c r="C4797" t="s">
        <v>22</v>
      </c>
      <c r="D4797" t="s">
        <v>114</v>
      </c>
      <c r="E4797" s="4" t="str">
        <f>HYPERLINK("https://ibp.a2mac1.com/costing(costing:projects/details/9760/material/8755198)","Paint: Base")</f>
        <v>Paint: Base</v>
      </c>
      <c r="F4797" t="s">
        <v>5276</v>
      </c>
    </row>
    <row r="4798" spans="1:6" x14ac:dyDescent="0.15">
      <c r="A4798">
        <v>8755199</v>
      </c>
      <c r="B4798">
        <v>12085490</v>
      </c>
      <c r="C4798" t="s">
        <v>22</v>
      </c>
      <c r="D4798" t="s">
        <v>114</v>
      </c>
      <c r="E4798" s="4" t="str">
        <f>HYPERLINK("https://ibp.a2mac1.com/costing(costing:projects/details/9760/material/8755199)","Paint: Clear Coat")</f>
        <v>Paint: Clear Coat</v>
      </c>
      <c r="F4798" t="s">
        <v>5276</v>
      </c>
    </row>
    <row r="4799" spans="1:6" x14ac:dyDescent="0.15">
      <c r="A4799">
        <v>12212650</v>
      </c>
      <c r="B4799">
        <v>12085490</v>
      </c>
      <c r="C4799" t="s">
        <v>163</v>
      </c>
      <c r="D4799" t="s">
        <v>114</v>
      </c>
      <c r="E4799" s="4" t="str">
        <f>HYPERLINK("https://ibp.a2mac1.com/costing(costing:projects/details/9760/equipment/12212650)","No.04 - 60000x6000x3500 - Automatic Painting Line - with 12x100kW on line ovens ")</f>
        <v xml:space="preserve">No.04 - 60000x6000x3500 - Automatic Painting Line - with 12x100kW on line ovens </v>
      </c>
      <c r="F4799" t="s">
        <v>5276</v>
      </c>
    </row>
    <row r="4800" spans="1:6" x14ac:dyDescent="0.15">
      <c r="A4800">
        <v>12085491</v>
      </c>
      <c r="B4800">
        <v>8416193</v>
      </c>
      <c r="C4800" t="s">
        <v>114</v>
      </c>
      <c r="D4800" t="s">
        <v>10</v>
      </c>
      <c r="E4800" s="4" t="str">
        <f>HYPERLINK("https://ibp.a2mac1.com/costing(costing:projects/details/9760/process/12085491)","Handling and Packaging")</f>
        <v>Handling and Packaging</v>
      </c>
      <c r="F4800" t="s">
        <v>5272</v>
      </c>
    </row>
    <row r="4801" spans="1:6" x14ac:dyDescent="0.15">
      <c r="A4801">
        <v>12212651</v>
      </c>
      <c r="B4801">
        <v>12085491</v>
      </c>
      <c r="C4801" t="s">
        <v>163</v>
      </c>
      <c r="D4801" t="s">
        <v>114</v>
      </c>
      <c r="E4801" s="4" t="str">
        <f>HYPERLINK("https://ibp.a2mac1.com/costing(costing:projects/details/9760/equipment/12212651)","Packaging station")</f>
        <v>Packaging station</v>
      </c>
      <c r="F4801" t="s">
        <v>5277</v>
      </c>
    </row>
    <row r="4802" spans="1:6" x14ac:dyDescent="0.15">
      <c r="A4802">
        <v>12085205</v>
      </c>
      <c r="B4802">
        <v>8415831</v>
      </c>
      <c r="C4802" t="s">
        <v>114</v>
      </c>
      <c r="D4802" t="s">
        <v>8</v>
      </c>
      <c r="E4802" s="4" t="str">
        <f>HYPERLINK("https://ibp.a2mac1.com/costing(costing:projects/details/9760/process/12085205)","Assembly")</f>
        <v>Assembly</v>
      </c>
      <c r="F4802" t="s">
        <v>5192</v>
      </c>
    </row>
    <row r="4803" spans="1:6" x14ac:dyDescent="0.15">
      <c r="A4803">
        <v>12212300</v>
      </c>
      <c r="B4803">
        <v>12085205</v>
      </c>
      <c r="C4803" t="s">
        <v>163</v>
      </c>
      <c r="D4803" t="s">
        <v>114</v>
      </c>
      <c r="E4803" s="4" t="str">
        <f>HYPERLINK("https://ibp.a2mac1.com/costing(costing:projects/details/9760/equipment/12212300)","Assembly Station ")</f>
        <v xml:space="preserve">Assembly Station </v>
      </c>
      <c r="F4803" t="s">
        <v>5280</v>
      </c>
    </row>
    <row r="4804" spans="1:6" x14ac:dyDescent="0.15">
      <c r="A4804">
        <v>8754515</v>
      </c>
      <c r="B4804">
        <v>8415831</v>
      </c>
      <c r="C4804" t="s">
        <v>311</v>
      </c>
      <c r="D4804" t="s">
        <v>8</v>
      </c>
      <c r="E4804" s="4" t="str">
        <f>HYPERLINK("https://ibp.a2mac1.com/costing(costing:projects/details/9760/component/8754515)","Screw &gt; Torx socket head cap screw")</f>
        <v>Screw &gt; Torx socket head cap screw</v>
      </c>
      <c r="F4804" t="s">
        <v>5192</v>
      </c>
    </row>
    <row r="4805" spans="1:6" x14ac:dyDescent="0.15">
      <c r="A4805">
        <v>8754516</v>
      </c>
      <c r="B4805">
        <v>8415831</v>
      </c>
      <c r="C4805" t="s">
        <v>311</v>
      </c>
      <c r="D4805" t="s">
        <v>8</v>
      </c>
      <c r="E4805" s="4" t="str">
        <f>HYPERLINK("https://ibp.a2mac1.com/costing(costing:projects/details/9760/component/8754516)","Tube/cluster support &gt; Tube/cluster beribboned support in hole")</f>
        <v>Tube/cluster support &gt; Tube/cluster beribboned support in hole</v>
      </c>
      <c r="F4805" t="s">
        <v>5192</v>
      </c>
    </row>
    <row r="4806" spans="1:6" x14ac:dyDescent="0.15">
      <c r="A4806">
        <v>8754517</v>
      </c>
      <c r="B4806">
        <v>8415831</v>
      </c>
      <c r="C4806" t="s">
        <v>311</v>
      </c>
      <c r="D4806" t="s">
        <v>8</v>
      </c>
      <c r="E4806" s="4" t="str">
        <f>HYPERLINK("https://ibp.a2mac1.com/costing(costing:projects/details/9760/component/8754517)","Screw &gt; Hexagon socket head cap screw with flange")</f>
        <v>Screw &gt; Hexagon socket head cap screw with flange</v>
      </c>
      <c r="F4806" t="s">
        <v>5192</v>
      </c>
    </row>
    <row r="4807" spans="1:6" x14ac:dyDescent="0.15">
      <c r="A4807">
        <v>8754518</v>
      </c>
      <c r="B4807">
        <v>8415831</v>
      </c>
      <c r="C4807" t="s">
        <v>311</v>
      </c>
      <c r="D4807" t="s">
        <v>8</v>
      </c>
      <c r="E4807" s="4" t="str">
        <f>HYPERLINK("https://ibp.a2mac1.com/costing(costing:projects/details/9760/component/8754518)","Screw &gt; Torx socket head cap screw")</f>
        <v>Screw &gt; Torx socket head cap screw</v>
      </c>
      <c r="F4807" t="s">
        <v>5192</v>
      </c>
    </row>
    <row r="4808" spans="1:6" x14ac:dyDescent="0.15">
      <c r="A4808">
        <v>8754519</v>
      </c>
      <c r="B4808">
        <v>8415831</v>
      </c>
      <c r="C4808" t="s">
        <v>311</v>
      </c>
      <c r="D4808" t="s">
        <v>8</v>
      </c>
      <c r="E4808" s="4" t="str">
        <f>HYPERLINK("https://ibp.a2mac1.com/costing(costing:projects/details/9760/component/8754519)","Screw &gt; Torx socket head cap screw")</f>
        <v>Screw &gt; Torx socket head cap screw</v>
      </c>
      <c r="F4808" t="s">
        <v>5192</v>
      </c>
    </row>
    <row r="4809" spans="1:6" x14ac:dyDescent="0.15">
      <c r="A4809">
        <v>8754520</v>
      </c>
      <c r="B4809">
        <v>8415831</v>
      </c>
      <c r="C4809" t="s">
        <v>311</v>
      </c>
      <c r="D4809" t="s">
        <v>8</v>
      </c>
      <c r="E4809" s="4" t="str">
        <f>HYPERLINK("https://ibp.a2mac1.com/costing(costing:projects/details/9760/component/8754520)","Screw &gt; Torx socket head cap screw with captive washer")</f>
        <v>Screw &gt; Torx socket head cap screw with captive washer</v>
      </c>
      <c r="F4809" t="s">
        <v>5192</v>
      </c>
    </row>
    <row r="4810" spans="1:6" x14ac:dyDescent="0.15">
      <c r="A4810">
        <v>8754521</v>
      </c>
      <c r="B4810">
        <v>8415831</v>
      </c>
      <c r="C4810" t="s">
        <v>311</v>
      </c>
      <c r="D4810" t="s">
        <v>8</v>
      </c>
      <c r="E4810" s="4" t="str">
        <f>HYPERLINK("https://ibp.a2mac1.com/costing(costing:projects/details/9760/component/8754521)","Screw &gt; Torx socket head cap screw")</f>
        <v>Screw &gt; Torx socket head cap screw</v>
      </c>
      <c r="F4810" t="s">
        <v>5192</v>
      </c>
    </row>
    <row r="4811" spans="1:6" x14ac:dyDescent="0.15">
      <c r="A4811">
        <v>8754522</v>
      </c>
      <c r="B4811">
        <v>8415831</v>
      </c>
      <c r="C4811" t="s">
        <v>311</v>
      </c>
      <c r="D4811" t="s">
        <v>8</v>
      </c>
      <c r="E4811" s="4" t="str">
        <f>HYPERLINK("https://ibp.a2mac1.com/costing(costing:projects/details/9760/component/8754522)","Screw &gt; Torx socket head cap screw")</f>
        <v>Screw &gt; Torx socket head cap screw</v>
      </c>
      <c r="F4811" t="s">
        <v>5192</v>
      </c>
    </row>
    <row r="4812" spans="1:6" x14ac:dyDescent="0.15">
      <c r="A4812">
        <v>8754523</v>
      </c>
      <c r="B4812">
        <v>8415831</v>
      </c>
      <c r="C4812" t="s">
        <v>311</v>
      </c>
      <c r="D4812" t="s">
        <v>8</v>
      </c>
      <c r="E4812" s="4" t="str">
        <f>HYPERLINK("https://ibp.a2mac1.com/costing(costing:projects/details/9760/component/8754523)","Screw &gt; Torx socket head cap screw")</f>
        <v>Screw &gt; Torx socket head cap screw</v>
      </c>
      <c r="F4812" t="s">
        <v>5192</v>
      </c>
    </row>
    <row r="4813" spans="1:6" x14ac:dyDescent="0.15">
      <c r="A4813">
        <v>8415828</v>
      </c>
      <c r="B4813">
        <v>8415625</v>
      </c>
      <c r="C4813" t="s">
        <v>10</v>
      </c>
      <c r="D4813" t="s">
        <v>8</v>
      </c>
      <c r="E4813" s="4" t="str">
        <f>HYPERLINK("https://ibp.a2mac1.com/costing(costing:projects/details/9760/part/8415828)","Interior Trim")</f>
        <v>Interior Trim</v>
      </c>
      <c r="F4813" t="s">
        <v>5191</v>
      </c>
    </row>
    <row r="4814" spans="1:6" x14ac:dyDescent="0.15">
      <c r="A4814">
        <v>12085202</v>
      </c>
      <c r="B4814">
        <v>8415828</v>
      </c>
      <c r="C4814" t="s">
        <v>114</v>
      </c>
      <c r="D4814" t="s">
        <v>10</v>
      </c>
      <c r="E4814" s="4" t="str">
        <f>HYPERLINK("https://ibp.a2mac1.com/costing(costing:projects/details/9760/process/12085202)","Injection molding")</f>
        <v>Injection molding</v>
      </c>
      <c r="F4814" t="s">
        <v>5283</v>
      </c>
    </row>
    <row r="4815" spans="1:6" x14ac:dyDescent="0.15">
      <c r="A4815">
        <v>8754781</v>
      </c>
      <c r="B4815">
        <v>12085202</v>
      </c>
      <c r="C4815" t="s">
        <v>22</v>
      </c>
      <c r="D4815" t="s">
        <v>114</v>
      </c>
      <c r="E4815" s="4" t="str">
        <f>HYPERLINK("https://ibp.a2mac1.com/costing(costing:projects/details/9760/material/8754781)","PP-EPDM-TD10")</f>
        <v>PP-EPDM-TD10</v>
      </c>
      <c r="F4815" t="s">
        <v>5285</v>
      </c>
    </row>
    <row r="4816" spans="1:6" x14ac:dyDescent="0.15">
      <c r="A4816">
        <v>12212297</v>
      </c>
      <c r="B4816">
        <v>12085202</v>
      </c>
      <c r="C4816" t="s">
        <v>163</v>
      </c>
      <c r="D4816" t="s">
        <v>114</v>
      </c>
      <c r="E4816" s="4" t="str">
        <f>HYPERLINK("https://ibp.a2mac1.com/costing(costing:projects/details/9760/equipment/12212297)","Equipment (Injection Molding)")</f>
        <v>Equipment (Injection Molding)</v>
      </c>
      <c r="F4816" t="s">
        <v>5285</v>
      </c>
    </row>
    <row r="4817" spans="1:6" x14ac:dyDescent="0.15">
      <c r="A4817">
        <v>8415829</v>
      </c>
      <c r="B4817">
        <v>8415625</v>
      </c>
      <c r="C4817" t="s">
        <v>10</v>
      </c>
      <c r="D4817" t="s">
        <v>8</v>
      </c>
      <c r="E4817" s="4" t="str">
        <f>HYPERLINK("https://ibp.a2mac1.com/costing(costing:projects/details/9760/part/8415829)","Inner Sound Insulation")</f>
        <v>Inner Sound Insulation</v>
      </c>
      <c r="F4817" t="s">
        <v>5191</v>
      </c>
    </row>
    <row r="4818" spans="1:6" x14ac:dyDescent="0.15">
      <c r="A4818">
        <v>12085203</v>
      </c>
      <c r="B4818">
        <v>8415829</v>
      </c>
      <c r="C4818" t="s">
        <v>114</v>
      </c>
      <c r="D4818" t="s">
        <v>10</v>
      </c>
      <c r="E4818" s="4" t="str">
        <f>HYPERLINK("https://ibp.a2mac1.com/costing(costing:projects/details/9760/process/12085203)","Press")</f>
        <v>Press</v>
      </c>
      <c r="F4818" t="s">
        <v>5288</v>
      </c>
    </row>
    <row r="4819" spans="1:6" x14ac:dyDescent="0.15">
      <c r="A4819">
        <v>8754782</v>
      </c>
      <c r="B4819">
        <v>12085203</v>
      </c>
      <c r="C4819" t="s">
        <v>22</v>
      </c>
      <c r="D4819" t="s">
        <v>114</v>
      </c>
      <c r="E4819" s="4" t="str">
        <f>HYPERLINK("https://ibp.a2mac1.com/costing(costing:projects/details/9760/material/8754782)","EPP")</f>
        <v>EPP</v>
      </c>
      <c r="F4819" t="s">
        <v>5290</v>
      </c>
    </row>
    <row r="4820" spans="1:6" x14ac:dyDescent="0.15">
      <c r="A4820">
        <v>12212298</v>
      </c>
      <c r="B4820">
        <v>12085203</v>
      </c>
      <c r="C4820" t="s">
        <v>163</v>
      </c>
      <c r="D4820" t="s">
        <v>114</v>
      </c>
      <c r="E4820" s="4" t="str">
        <f>HYPERLINK("https://ibp.a2mac1.com/costing(costing:projects/details/9760/equipment/12212298)","EPP-EPS Press No. 01 - 800 x 600")</f>
        <v>EPP-EPS Press No. 01 - 800 x 600</v>
      </c>
      <c r="F4820" t="s">
        <v>5290</v>
      </c>
    </row>
    <row r="4821" spans="1:6" x14ac:dyDescent="0.15">
      <c r="A4821">
        <v>12085204</v>
      </c>
      <c r="B4821">
        <v>8415829</v>
      </c>
      <c r="C4821" t="s">
        <v>114</v>
      </c>
      <c r="D4821" t="s">
        <v>10</v>
      </c>
      <c r="E4821" s="4" t="str">
        <f>HYPERLINK("https://ibp.a2mac1.com/costing(costing:projects/details/9760/process/12085204)","Steam facility")</f>
        <v>Steam facility</v>
      </c>
      <c r="F4821" t="s">
        <v>5288</v>
      </c>
    </row>
    <row r="4822" spans="1:6" x14ac:dyDescent="0.15">
      <c r="A4822">
        <v>12212299</v>
      </c>
      <c r="B4822">
        <v>12085204</v>
      </c>
      <c r="C4822" t="s">
        <v>163</v>
      </c>
      <c r="D4822" t="s">
        <v>114</v>
      </c>
      <c r="E4822" s="4" t="str">
        <f>HYPERLINK("https://ibp.a2mac1.com/costing(costing:projects/details/9760/equipment/12212299)","EPP-EPS Foaming - Steam Facility")</f>
        <v>EPP-EPS Foaming - Steam Facility</v>
      </c>
      <c r="F4822" t="s">
        <v>5292</v>
      </c>
    </row>
    <row r="4823" spans="1:6" x14ac:dyDescent="0.15">
      <c r="A4823">
        <v>8415830</v>
      </c>
      <c r="B4823">
        <v>8415625</v>
      </c>
      <c r="C4823" t="s">
        <v>10</v>
      </c>
      <c r="D4823" t="s">
        <v>8</v>
      </c>
      <c r="E4823" s="4" t="str">
        <f>HYPERLINK("https://ibp.a2mac1.com/costing(costing:projects/details/9760/part/8415830)","Fasteners Cover")</f>
        <v>Fasteners Cover</v>
      </c>
      <c r="F4823" t="s">
        <v>5191</v>
      </c>
    </row>
    <row r="4824" spans="1:6" x14ac:dyDescent="0.15">
      <c r="A4824">
        <v>8415626</v>
      </c>
      <c r="B4824">
        <v>8415582</v>
      </c>
      <c r="C4824" t="s">
        <v>8</v>
      </c>
      <c r="D4824" t="s">
        <v>8</v>
      </c>
      <c r="E4824" s="4" t="str">
        <f>HYPERLINK("https://ibp.a2mac1.com/costing(costing:projects/details/9760/assembly/8415626)","Molding System")</f>
        <v>Molding System</v>
      </c>
      <c r="F4824" t="s">
        <v>4954</v>
      </c>
    </row>
    <row r="4825" spans="1:6" x14ac:dyDescent="0.15">
      <c r="A4825">
        <v>8415832</v>
      </c>
      <c r="B4825">
        <v>8415626</v>
      </c>
      <c r="C4825" t="s">
        <v>10</v>
      </c>
      <c r="D4825" t="s">
        <v>8</v>
      </c>
      <c r="E4825" s="4" t="str">
        <f>HYPERLINK("https://ibp.a2mac1.com/costing(costing:projects/details/9760/part/8415832)","A Pillar Accent")</f>
        <v>A Pillar Accent</v>
      </c>
      <c r="F4825" t="s">
        <v>5298</v>
      </c>
    </row>
    <row r="4826" spans="1:6" x14ac:dyDescent="0.15">
      <c r="A4826">
        <v>12085207</v>
      </c>
      <c r="B4826">
        <v>8415832</v>
      </c>
      <c r="C4826" t="s">
        <v>114</v>
      </c>
      <c r="D4826" t="s">
        <v>10</v>
      </c>
      <c r="E4826" s="4" t="str">
        <f>HYPERLINK("https://ibp.a2mac1.com/costing(costing:projects/details/9760/process/12085207)","Injection molding")</f>
        <v>Injection molding</v>
      </c>
      <c r="F4826" t="s">
        <v>5299</v>
      </c>
    </row>
    <row r="4827" spans="1:6" x14ac:dyDescent="0.15">
      <c r="A4827">
        <v>8754787</v>
      </c>
      <c r="B4827">
        <v>12085207</v>
      </c>
      <c r="C4827" t="s">
        <v>22</v>
      </c>
      <c r="D4827" t="s">
        <v>114</v>
      </c>
      <c r="E4827" s="4" t="str">
        <f>HYPERLINK("https://ibp.a2mac1.com/costing(costing:projects/details/9760/material/8754787)","PMMA-ASA")</f>
        <v>PMMA-ASA</v>
      </c>
      <c r="F4827" t="s">
        <v>5301</v>
      </c>
    </row>
    <row r="4828" spans="1:6" x14ac:dyDescent="0.15">
      <c r="A4828">
        <v>12212302</v>
      </c>
      <c r="B4828">
        <v>12085207</v>
      </c>
      <c r="C4828" t="s">
        <v>163</v>
      </c>
      <c r="D4828" t="s">
        <v>114</v>
      </c>
      <c r="E4828" s="4" t="str">
        <f>HYPERLINK("https://ibp.a2mac1.com/costing(costing:projects/details/9760/equipment/12212302)","No.01 - Injection Press - 40T - 18kW - 270x270 - Max Volume 128cm3 ")</f>
        <v xml:space="preserve">No.01 - Injection Press - 40T - 18kW - 270x270 - Max Volume 128cm3 </v>
      </c>
      <c r="F4828" t="s">
        <v>5301</v>
      </c>
    </row>
    <row r="4829" spans="1:6" x14ac:dyDescent="0.15">
      <c r="A4829">
        <v>12085206</v>
      </c>
      <c r="B4829">
        <v>8415832</v>
      </c>
      <c r="C4829" t="s">
        <v>114</v>
      </c>
      <c r="D4829" t="s">
        <v>10</v>
      </c>
      <c r="E4829" s="4" t="str">
        <f>HYPERLINK("https://ibp.a2mac1.com/costing(costing:projects/details/9760/process/12085206)","Handling/Visual Inspection/Packaging")</f>
        <v>Handling/Visual Inspection/Packaging</v>
      </c>
      <c r="F4829" t="s">
        <v>5299</v>
      </c>
    </row>
    <row r="4830" spans="1:6" x14ac:dyDescent="0.15">
      <c r="A4830">
        <v>12212301</v>
      </c>
      <c r="B4830">
        <v>12085206</v>
      </c>
      <c r="C4830" t="s">
        <v>163</v>
      </c>
      <c r="D4830" t="s">
        <v>114</v>
      </c>
      <c r="E4830" s="4" t="str">
        <f>HYPERLINK("https://ibp.a2mac1.com/costing(costing:projects/details/9760/equipment/12212301)","Packaging")</f>
        <v>Packaging</v>
      </c>
      <c r="F4830" t="s">
        <v>5303</v>
      </c>
    </row>
    <row r="4831" spans="1:6" x14ac:dyDescent="0.15">
      <c r="A4831">
        <v>8415833</v>
      </c>
      <c r="B4831">
        <v>8415626</v>
      </c>
      <c r="C4831" t="s">
        <v>10</v>
      </c>
      <c r="D4831" t="s">
        <v>8</v>
      </c>
      <c r="E4831" s="4" t="str">
        <f>HYPERLINK("https://ibp.a2mac1.com/costing(costing:projects/details/9760/part/8415833)","A Pillar Accent Seal")</f>
        <v>A Pillar Accent Seal</v>
      </c>
      <c r="F4831" t="s">
        <v>5298</v>
      </c>
    </row>
    <row r="4832" spans="1:6" x14ac:dyDescent="0.15">
      <c r="A4832">
        <v>12085208</v>
      </c>
      <c r="B4832">
        <v>8415833</v>
      </c>
      <c r="C4832" t="s">
        <v>114</v>
      </c>
      <c r="D4832" t="s">
        <v>10</v>
      </c>
      <c r="E4832" s="4" t="str">
        <f>HYPERLINK("https://ibp.a2mac1.com/costing(costing:projects/details/9760/process/12085208)","Injection molding")</f>
        <v>Injection molding</v>
      </c>
      <c r="F4832" t="s">
        <v>5308</v>
      </c>
    </row>
    <row r="4833" spans="1:6" x14ac:dyDescent="0.15">
      <c r="A4833">
        <v>8754788</v>
      </c>
      <c r="B4833">
        <v>12085208</v>
      </c>
      <c r="C4833" t="s">
        <v>22</v>
      </c>
      <c r="D4833" t="s">
        <v>114</v>
      </c>
      <c r="E4833" s="4" t="str">
        <f>HYPERLINK("https://ibp.a2mac1.com/costing(costing:projects/details/9760/material/8754788)","TPE")</f>
        <v>TPE</v>
      </c>
      <c r="F4833" t="s">
        <v>5309</v>
      </c>
    </row>
    <row r="4834" spans="1:6" x14ac:dyDescent="0.15">
      <c r="A4834">
        <v>12212303</v>
      </c>
      <c r="B4834">
        <v>12085208</v>
      </c>
      <c r="C4834" t="s">
        <v>163</v>
      </c>
      <c r="D4834" t="s">
        <v>114</v>
      </c>
      <c r="E4834" s="4" t="str">
        <f>HYPERLINK("https://ibp.a2mac1.com/costing(costing:projects/details/9760/equipment/12212303)","No.01 - Injection Press - 40T - 18kW - 270x270 - Max Volume 128cm3 ")</f>
        <v xml:space="preserve">No.01 - Injection Press - 40T - 18kW - 270x270 - Max Volume 128cm3 </v>
      </c>
      <c r="F4834" t="s">
        <v>5309</v>
      </c>
    </row>
    <row r="4835" spans="1:6" x14ac:dyDescent="0.15">
      <c r="A4835">
        <v>12085209</v>
      </c>
      <c r="B4835">
        <v>8415833</v>
      </c>
      <c r="C4835" t="s">
        <v>114</v>
      </c>
      <c r="D4835" t="s">
        <v>10</v>
      </c>
      <c r="E4835" s="4" t="str">
        <f>HYPERLINK("https://ibp.a2mac1.com/costing(costing:projects/details/9760/process/12085209)","Handling/Visual Inspection/Packaging")</f>
        <v>Handling/Visual Inspection/Packaging</v>
      </c>
      <c r="F4835" t="s">
        <v>5308</v>
      </c>
    </row>
    <row r="4836" spans="1:6" x14ac:dyDescent="0.15">
      <c r="A4836">
        <v>12212304</v>
      </c>
      <c r="B4836">
        <v>12085209</v>
      </c>
      <c r="C4836" t="s">
        <v>163</v>
      </c>
      <c r="D4836" t="s">
        <v>114</v>
      </c>
      <c r="E4836" s="4" t="str">
        <f>HYPERLINK("https://ibp.a2mac1.com/costing(costing:projects/details/9760/equipment/12212304)","Packaging")</f>
        <v>Packaging</v>
      </c>
      <c r="F4836" t="s">
        <v>5311</v>
      </c>
    </row>
    <row r="4837" spans="1:6" x14ac:dyDescent="0.15">
      <c r="A4837">
        <v>8754381</v>
      </c>
      <c r="B4837">
        <v>8415626</v>
      </c>
      <c r="C4837" t="s">
        <v>311</v>
      </c>
      <c r="D4837" t="s">
        <v>8</v>
      </c>
      <c r="E4837" s="4" t="str">
        <f>HYPERLINK("https://ibp.a2mac1.com/costing(costing:projects/details/9760/component/8754381)","Screw &gt; Torx socket head cap screw with flange")</f>
        <v>Screw &gt; Torx socket head cap screw with flange</v>
      </c>
      <c r="F4837" t="s">
        <v>5298</v>
      </c>
    </row>
    <row r="4838" spans="1:6" x14ac:dyDescent="0.15">
      <c r="A4838">
        <v>8415627</v>
      </c>
      <c r="B4838">
        <v>8415582</v>
      </c>
      <c r="C4838" t="s">
        <v>8</v>
      </c>
      <c r="D4838" t="s">
        <v>8</v>
      </c>
      <c r="E4838" s="4" t="str">
        <f>HYPERLINK("https://ibp.a2mac1.com/costing(costing:projects/details/9760/assembly/8415627)","Power System")</f>
        <v>Power System</v>
      </c>
      <c r="F4838" t="s">
        <v>4954</v>
      </c>
    </row>
    <row r="4839" spans="1:6" x14ac:dyDescent="0.15">
      <c r="A4839">
        <v>8415837</v>
      </c>
      <c r="B4839">
        <v>8415627</v>
      </c>
      <c r="C4839" t="s">
        <v>8</v>
      </c>
      <c r="D4839" t="s">
        <v>8</v>
      </c>
      <c r="E4839" s="4" t="str">
        <f>HYPERLINK("https://ibp.a2mac1.com/costing(costing:projects/details/9760/assembly/8415837)","Ambiant Light")</f>
        <v>Ambiant Light</v>
      </c>
      <c r="F4839" t="s">
        <v>5315</v>
      </c>
    </row>
    <row r="4840" spans="1:6" x14ac:dyDescent="0.15">
      <c r="A4840">
        <v>8416194</v>
      </c>
      <c r="B4840">
        <v>8415837</v>
      </c>
      <c r="C4840" t="s">
        <v>10</v>
      </c>
      <c r="D4840" t="s">
        <v>8</v>
      </c>
      <c r="E4840" s="4" t="str">
        <f>HYPERLINK("https://ibp.a2mac1.com/costing(costing:projects/details/9760/part/8416194)","Mood Light")</f>
        <v>Mood Light</v>
      </c>
      <c r="F4840" t="s">
        <v>5316</v>
      </c>
    </row>
    <row r="4841" spans="1:6" x14ac:dyDescent="0.15">
      <c r="A4841">
        <v>8416195</v>
      </c>
      <c r="B4841">
        <v>8415837</v>
      </c>
      <c r="C4841" t="s">
        <v>10</v>
      </c>
      <c r="D4841" t="s">
        <v>8</v>
      </c>
      <c r="E4841" s="4" t="str">
        <f>HYPERLINK("https://ibp.a2mac1.com/costing(costing:projects/details/9760/part/8416195)","Light Diffuser")</f>
        <v>Light Diffuser</v>
      </c>
      <c r="F4841" t="s">
        <v>5316</v>
      </c>
    </row>
    <row r="4842" spans="1:6" x14ac:dyDescent="0.15">
      <c r="A4842">
        <v>12085493</v>
      </c>
      <c r="B4842">
        <v>8416195</v>
      </c>
      <c r="C4842" t="s">
        <v>114</v>
      </c>
      <c r="D4842" t="s">
        <v>10</v>
      </c>
      <c r="E4842" s="4" t="str">
        <f>HYPERLINK("https://ibp.a2mac1.com/costing(costing:projects/details/9760/process/12085493)","Injection molding")</f>
        <v>Injection molding</v>
      </c>
      <c r="F4842" t="s">
        <v>5318</v>
      </c>
    </row>
    <row r="4843" spans="1:6" x14ac:dyDescent="0.15">
      <c r="A4843">
        <v>8755200</v>
      </c>
      <c r="B4843">
        <v>12085493</v>
      </c>
      <c r="C4843" t="s">
        <v>22</v>
      </c>
      <c r="D4843" t="s">
        <v>114</v>
      </c>
      <c r="E4843" s="4" t="str">
        <f>HYPERLINK("https://ibp.a2mac1.com/costing(costing:projects/details/9760/material/8755200)","PMMA")</f>
        <v>PMMA</v>
      </c>
      <c r="F4843" t="s">
        <v>5320</v>
      </c>
    </row>
    <row r="4844" spans="1:6" x14ac:dyDescent="0.15">
      <c r="A4844">
        <v>12212653</v>
      </c>
      <c r="B4844">
        <v>12085493</v>
      </c>
      <c r="C4844" t="s">
        <v>163</v>
      </c>
      <c r="D4844" t="s">
        <v>114</v>
      </c>
      <c r="E4844" s="4" t="str">
        <f>HYPERLINK("https://ibp.a2mac1.com/costing(costing:projects/details/9760/equipment/12212653)","No.10 - Injection Press - 500T - 98kW - 900x900 - Max Volume 1936cm3 ")</f>
        <v xml:space="preserve">No.10 - Injection Press - 500T - 98kW - 900x900 - Max Volume 1936cm3 </v>
      </c>
      <c r="F4844" t="s">
        <v>5320</v>
      </c>
    </row>
    <row r="4845" spans="1:6" x14ac:dyDescent="0.15">
      <c r="A4845">
        <v>12085492</v>
      </c>
      <c r="B4845">
        <v>8416195</v>
      </c>
      <c r="C4845" t="s">
        <v>114</v>
      </c>
      <c r="D4845" t="s">
        <v>10</v>
      </c>
      <c r="E4845" s="4" t="str">
        <f>HYPERLINK("https://ibp.a2mac1.com/costing(costing:projects/details/9760/process/12085492)","Handling/Visual Inspection/Packaging")</f>
        <v>Handling/Visual Inspection/Packaging</v>
      </c>
      <c r="F4845" t="s">
        <v>5318</v>
      </c>
    </row>
    <row r="4846" spans="1:6" x14ac:dyDescent="0.15">
      <c r="A4846">
        <v>12212652</v>
      </c>
      <c r="B4846">
        <v>12085492</v>
      </c>
      <c r="C4846" t="s">
        <v>163</v>
      </c>
      <c r="D4846" t="s">
        <v>114</v>
      </c>
      <c r="E4846" s="4" t="str">
        <f>HYPERLINK("https://ibp.a2mac1.com/costing(costing:projects/details/9760/equipment/12212652)","Packaging")</f>
        <v>Packaging</v>
      </c>
      <c r="F4846" t="s">
        <v>5322</v>
      </c>
    </row>
    <row r="4847" spans="1:6" x14ac:dyDescent="0.15">
      <c r="A4847">
        <v>8416196</v>
      </c>
      <c r="B4847">
        <v>8415837</v>
      </c>
      <c r="C4847" t="s">
        <v>10</v>
      </c>
      <c r="D4847" t="s">
        <v>8</v>
      </c>
      <c r="E4847" s="4" t="str">
        <f>HYPERLINK("https://ibp.a2mac1.com/costing(costing:projects/details/9760/part/8416196)","Mood Light Diffuser Support")</f>
        <v>Mood Light Diffuser Support</v>
      </c>
      <c r="F4847" t="s">
        <v>5316</v>
      </c>
    </row>
    <row r="4848" spans="1:6" x14ac:dyDescent="0.15">
      <c r="A4848">
        <v>12085494</v>
      </c>
      <c r="B4848">
        <v>8416196</v>
      </c>
      <c r="C4848" t="s">
        <v>114</v>
      </c>
      <c r="D4848" t="s">
        <v>10</v>
      </c>
      <c r="E4848" s="4" t="str">
        <f>HYPERLINK("https://ibp.a2mac1.com/costing(costing:projects/details/9760/process/12085494)","Injection molding")</f>
        <v>Injection molding</v>
      </c>
      <c r="F4848" t="s">
        <v>5326</v>
      </c>
    </row>
    <row r="4849" spans="1:6" x14ac:dyDescent="0.15">
      <c r="A4849">
        <v>8755201</v>
      </c>
      <c r="B4849">
        <v>12085494</v>
      </c>
      <c r="C4849" t="s">
        <v>22</v>
      </c>
      <c r="D4849" t="s">
        <v>114</v>
      </c>
      <c r="E4849" s="4" t="str">
        <f>HYPERLINK("https://ibp.a2mac1.com/costing(costing:projects/details/9760/material/8755201)","PP-TD20")</f>
        <v>PP-TD20</v>
      </c>
      <c r="F4849" t="s">
        <v>5328</v>
      </c>
    </row>
    <row r="4850" spans="1:6" x14ac:dyDescent="0.15">
      <c r="A4850">
        <v>12212654</v>
      </c>
      <c r="B4850">
        <v>12085494</v>
      </c>
      <c r="C4850" t="s">
        <v>163</v>
      </c>
      <c r="D4850" t="s">
        <v>114</v>
      </c>
      <c r="E4850" s="4" t="str">
        <f>HYPERLINK("https://ibp.a2mac1.com/costing(costing:projects/details/9760/equipment/12212654)","No.10 - Injection Press - 500T - 98kW - 900x900 - Max Volume 1936cm3 ")</f>
        <v xml:space="preserve">No.10 - Injection Press - 500T - 98kW - 900x900 - Max Volume 1936cm3 </v>
      </c>
      <c r="F4850" t="s">
        <v>5328</v>
      </c>
    </row>
    <row r="4851" spans="1:6" x14ac:dyDescent="0.15">
      <c r="A4851">
        <v>12085495</v>
      </c>
      <c r="B4851">
        <v>8416196</v>
      </c>
      <c r="C4851" t="s">
        <v>114</v>
      </c>
      <c r="D4851" t="s">
        <v>10</v>
      </c>
      <c r="E4851" s="4" t="str">
        <f>HYPERLINK("https://ibp.a2mac1.com/costing(costing:projects/details/9760/process/12085495)","Handling/Visual Inspection/Packaging")</f>
        <v>Handling/Visual Inspection/Packaging</v>
      </c>
      <c r="F4851" t="s">
        <v>5326</v>
      </c>
    </row>
    <row r="4852" spans="1:6" x14ac:dyDescent="0.15">
      <c r="A4852">
        <v>12212655</v>
      </c>
      <c r="B4852">
        <v>12085495</v>
      </c>
      <c r="C4852" t="s">
        <v>163</v>
      </c>
      <c r="D4852" t="s">
        <v>114</v>
      </c>
      <c r="E4852" s="4" t="str">
        <f>HYPERLINK("https://ibp.a2mac1.com/costing(costing:projects/details/9760/equipment/12212655)","Packaging")</f>
        <v>Packaging</v>
      </c>
      <c r="F4852" t="s">
        <v>5330</v>
      </c>
    </row>
    <row r="4853" spans="1:6" x14ac:dyDescent="0.15">
      <c r="A4853">
        <v>8415834</v>
      </c>
      <c r="B4853">
        <v>8415627</v>
      </c>
      <c r="C4853" t="s">
        <v>10</v>
      </c>
      <c r="D4853" t="s">
        <v>8</v>
      </c>
      <c r="E4853" s="4" t="str">
        <f>HYPERLINK("https://ibp.a2mac1.com/costing(costing:projects/details/9760/part/8415834)","Harness")</f>
        <v>Harness</v>
      </c>
      <c r="F4853" t="s">
        <v>5315</v>
      </c>
    </row>
    <row r="4854" spans="1:6" x14ac:dyDescent="0.15">
      <c r="A4854">
        <v>12085210</v>
      </c>
      <c r="B4854">
        <v>8415834</v>
      </c>
      <c r="C4854" t="s">
        <v>114</v>
      </c>
      <c r="D4854" t="s">
        <v>10</v>
      </c>
      <c r="E4854" s="4" t="str">
        <f>HYPERLINK("https://ibp.a2mac1.com/costing(costing:projects/details/9760/process/12085210)","Process")</f>
        <v>Process</v>
      </c>
      <c r="F4854" t="s">
        <v>5335</v>
      </c>
    </row>
    <row r="4855" spans="1:6" x14ac:dyDescent="0.15">
      <c r="A4855">
        <v>12212305</v>
      </c>
      <c r="B4855">
        <v>12085210</v>
      </c>
      <c r="C4855" t="s">
        <v>163</v>
      </c>
      <c r="D4855" t="s">
        <v>114</v>
      </c>
      <c r="E4855" s="4" t="str">
        <f>HYPERLINK("https://ibp.a2mac1.com/costing(costing:projects/details/9760/equipment/12212305)","DC machine - General")</f>
        <v>DC machine - General</v>
      </c>
      <c r="F4855" t="s">
        <v>5336</v>
      </c>
    </row>
    <row r="4856" spans="1:6" x14ac:dyDescent="0.15">
      <c r="A4856">
        <v>8754524</v>
      </c>
      <c r="B4856">
        <v>8415834</v>
      </c>
      <c r="C4856" t="s">
        <v>311</v>
      </c>
      <c r="D4856" t="s">
        <v>10</v>
      </c>
      <c r="E4856" s="4" t="str">
        <f>HYPERLINK("https://ibp.a2mac1.com/costing(costing:projects/details/9760/component/8754524)","Copper")</f>
        <v>Copper</v>
      </c>
      <c r="F4856" t="s">
        <v>5335</v>
      </c>
    </row>
    <row r="4857" spans="1:6" x14ac:dyDescent="0.15">
      <c r="A4857">
        <v>8754525</v>
      </c>
      <c r="B4857">
        <v>8415834</v>
      </c>
      <c r="C4857" t="s">
        <v>311</v>
      </c>
      <c r="D4857" t="s">
        <v>10</v>
      </c>
      <c r="E4857" s="4" t="str">
        <f>HYPERLINK("https://ibp.a2mac1.com/costing(costing:projects/details/9760/component/8754525)","Material")</f>
        <v>Material</v>
      </c>
      <c r="F4857" t="s">
        <v>5335</v>
      </c>
    </row>
    <row r="4858" spans="1:6" x14ac:dyDescent="0.15">
      <c r="A4858">
        <v>8415835</v>
      </c>
      <c r="B4858">
        <v>8415627</v>
      </c>
      <c r="C4858" t="s">
        <v>10</v>
      </c>
      <c r="D4858" t="s">
        <v>8</v>
      </c>
      <c r="E4858" s="4" t="str">
        <f>HYPERLINK("https://ibp.a2mac1.com/costing(costing:projects/details/9760/part/8415835)","Harness Grommet")</f>
        <v>Harness Grommet</v>
      </c>
      <c r="F4858" t="s">
        <v>5315</v>
      </c>
    </row>
    <row r="4859" spans="1:6" x14ac:dyDescent="0.15">
      <c r="A4859">
        <v>8415836</v>
      </c>
      <c r="B4859">
        <v>8415627</v>
      </c>
      <c r="C4859" t="s">
        <v>10</v>
      </c>
      <c r="D4859" t="s">
        <v>8</v>
      </c>
      <c r="E4859" s="4" t="str">
        <f>HYPERLINK("https://ibp.a2mac1.com/costing(costing:projects/details/9760/part/8415836)","Door Sill Light")</f>
        <v>Door Sill Light</v>
      </c>
      <c r="F4859" t="s">
        <v>5315</v>
      </c>
    </row>
    <row r="4860" spans="1:6" x14ac:dyDescent="0.15">
      <c r="A4860">
        <v>8754382</v>
      </c>
      <c r="B4860">
        <v>8415627</v>
      </c>
      <c r="C4860" t="s">
        <v>311</v>
      </c>
      <c r="D4860" t="s">
        <v>8</v>
      </c>
      <c r="E4860" s="4" t="str">
        <f>HYPERLINK("https://ibp.a2mac1.com/costing(costing:projects/details/9760/component/8754382)","Tube/cluster support &gt; Tube/cluster strap support in hole")</f>
        <v>Tube/cluster support &gt; Tube/cluster strap support in hole</v>
      </c>
      <c r="F4860" t="s">
        <v>5315</v>
      </c>
    </row>
    <row r="4861" spans="1:6" x14ac:dyDescent="0.15">
      <c r="A4861">
        <v>8415628</v>
      </c>
      <c r="B4861">
        <v>8415582</v>
      </c>
      <c r="C4861" t="s">
        <v>8</v>
      </c>
      <c r="D4861" t="s">
        <v>8</v>
      </c>
      <c r="E4861" s="4" t="str">
        <f>HYPERLINK("https://ibp.a2mac1.com/costing(costing:projects/details/9760/assembly/8415628)","Hinges")</f>
        <v>Hinges</v>
      </c>
      <c r="F4861" t="s">
        <v>4954</v>
      </c>
    </row>
    <row r="4862" spans="1:6" x14ac:dyDescent="0.15">
      <c r="A4862">
        <v>8415840</v>
      </c>
      <c r="B4862">
        <v>8415628</v>
      </c>
      <c r="C4862" t="s">
        <v>8</v>
      </c>
      <c r="D4862" t="s">
        <v>8</v>
      </c>
      <c r="E4862" s="4" t="str">
        <f>HYPERLINK("https://ibp.a2mac1.com/costing(costing:projects/details/9760/assembly/8415840)","Upper")</f>
        <v>Upper</v>
      </c>
      <c r="F4862" t="s">
        <v>5342</v>
      </c>
    </row>
    <row r="4863" spans="1:6" x14ac:dyDescent="0.15">
      <c r="A4863">
        <v>8416197</v>
      </c>
      <c r="B4863">
        <v>8415840</v>
      </c>
      <c r="C4863" t="s">
        <v>10</v>
      </c>
      <c r="D4863" t="s">
        <v>8</v>
      </c>
      <c r="E4863" s="4" t="str">
        <f>HYPERLINK("https://ibp.a2mac1.com/costing(costing:projects/details/9760/part/8416197)","On Body")</f>
        <v>On Body</v>
      </c>
      <c r="F4863" t="s">
        <v>5343</v>
      </c>
    </row>
    <row r="4864" spans="1:6" x14ac:dyDescent="0.15">
      <c r="A4864">
        <v>12085496</v>
      </c>
      <c r="B4864">
        <v>8416197</v>
      </c>
      <c r="C4864" t="s">
        <v>114</v>
      </c>
      <c r="D4864" t="s">
        <v>10</v>
      </c>
      <c r="E4864" s="4" t="str">
        <f>HYPERLINK("https://ibp.a2mac1.com/costing(costing:projects/details/9760/process/12085496)","MANUFACTURING  PROCESS")</f>
        <v>MANUFACTURING  PROCESS</v>
      </c>
      <c r="F4864" t="s">
        <v>5344</v>
      </c>
    </row>
    <row r="4865" spans="1:6" x14ac:dyDescent="0.15">
      <c r="A4865">
        <v>8755202</v>
      </c>
      <c r="B4865">
        <v>12085496</v>
      </c>
      <c r="C4865" t="s">
        <v>22</v>
      </c>
      <c r="D4865" t="s">
        <v>114</v>
      </c>
      <c r="E4865" s="4" t="str">
        <f>HYPERLINK("https://ibp.a2mac1.com/costing(costing:projects/details/9760/material/8755202)","Standard Structural Steel sheet")</f>
        <v>Standard Structural Steel sheet</v>
      </c>
      <c r="F4865" t="s">
        <v>5347</v>
      </c>
    </row>
    <row r="4866" spans="1:6" x14ac:dyDescent="0.15">
      <c r="A4866">
        <v>12212656</v>
      </c>
      <c r="B4866">
        <v>12085496</v>
      </c>
      <c r="C4866" t="s">
        <v>163</v>
      </c>
      <c r="D4866" t="s">
        <v>114</v>
      </c>
      <c r="E4866" s="4" t="str">
        <f>HYPERLINK("https://ibp.a2mac1.com/costing(costing:projects/details/9760/equipment/12212656)","Manufacturing Equipment")</f>
        <v>Manufacturing Equipment</v>
      </c>
      <c r="F4866" t="s">
        <v>5347</v>
      </c>
    </row>
    <row r="4867" spans="1:6" x14ac:dyDescent="0.15">
      <c r="A4867">
        <v>8416198</v>
      </c>
      <c r="B4867">
        <v>8415840</v>
      </c>
      <c r="C4867" t="s">
        <v>10</v>
      </c>
      <c r="D4867" t="s">
        <v>8</v>
      </c>
      <c r="E4867" s="4" t="str">
        <f>HYPERLINK("https://ibp.a2mac1.com/costing(costing:projects/details/9760/part/8416198)","On Door")</f>
        <v>On Door</v>
      </c>
      <c r="F4867" t="s">
        <v>5343</v>
      </c>
    </row>
    <row r="4868" spans="1:6" x14ac:dyDescent="0.15">
      <c r="A4868">
        <v>12085497</v>
      </c>
      <c r="B4868">
        <v>8416198</v>
      </c>
      <c r="C4868" t="s">
        <v>114</v>
      </c>
      <c r="D4868" t="s">
        <v>10</v>
      </c>
      <c r="E4868" s="4" t="str">
        <f>HYPERLINK("https://ibp.a2mac1.com/costing(costing:projects/details/9760/process/12085497)","MANUFACTURING  PROCESS")</f>
        <v>MANUFACTURING  PROCESS</v>
      </c>
      <c r="F4868" t="s">
        <v>5350</v>
      </c>
    </row>
    <row r="4869" spans="1:6" x14ac:dyDescent="0.15">
      <c r="A4869">
        <v>8755203</v>
      </c>
      <c r="B4869">
        <v>12085497</v>
      </c>
      <c r="C4869" t="s">
        <v>22</v>
      </c>
      <c r="D4869" t="s">
        <v>114</v>
      </c>
      <c r="E4869" s="4" t="str">
        <f>HYPERLINK("https://ibp.a2mac1.com/costing(costing:projects/details/9760/material/8755203)","Standard Structural Steel sheet")</f>
        <v>Standard Structural Steel sheet</v>
      </c>
      <c r="F4869" t="s">
        <v>5352</v>
      </c>
    </row>
    <row r="4870" spans="1:6" x14ac:dyDescent="0.15">
      <c r="A4870">
        <v>12212657</v>
      </c>
      <c r="B4870">
        <v>12085497</v>
      </c>
      <c r="C4870" t="s">
        <v>163</v>
      </c>
      <c r="D4870" t="s">
        <v>114</v>
      </c>
      <c r="E4870" s="4" t="str">
        <f>HYPERLINK("https://ibp.a2mac1.com/costing(costing:projects/details/9760/equipment/12212657)","Manufacturing Equipment")</f>
        <v>Manufacturing Equipment</v>
      </c>
      <c r="F4870" t="s">
        <v>5352</v>
      </c>
    </row>
    <row r="4871" spans="1:6" x14ac:dyDescent="0.15">
      <c r="A4871">
        <v>8754526</v>
      </c>
      <c r="B4871">
        <v>8415840</v>
      </c>
      <c r="C4871" t="s">
        <v>311</v>
      </c>
      <c r="D4871" t="s">
        <v>8</v>
      </c>
      <c r="E4871" s="4" t="str">
        <f>HYPERLINK("https://ibp.a2mac1.com/costing(costing:projects/details/9760/component/8754526)","Screw &gt; Hexagon screw with flange")</f>
        <v>Screw &gt; Hexagon screw with flange</v>
      </c>
      <c r="F4871" t="s">
        <v>5343</v>
      </c>
    </row>
    <row r="4872" spans="1:6" x14ac:dyDescent="0.15">
      <c r="A4872">
        <v>8754527</v>
      </c>
      <c r="B4872">
        <v>8415840</v>
      </c>
      <c r="C4872" t="s">
        <v>311</v>
      </c>
      <c r="D4872" t="s">
        <v>8</v>
      </c>
      <c r="E4872" s="4" t="str">
        <f>HYPERLINK("https://ibp.a2mac1.com/costing(costing:projects/details/9760/component/8754527)","Screw &gt; Hexagon screw with flange")</f>
        <v>Screw &gt; Hexagon screw with flange</v>
      </c>
      <c r="F4872" t="s">
        <v>5343</v>
      </c>
    </row>
    <row r="4873" spans="1:6" x14ac:dyDescent="0.15">
      <c r="A4873">
        <v>8415841</v>
      </c>
      <c r="B4873">
        <v>8415628</v>
      </c>
      <c r="C4873" t="s">
        <v>8</v>
      </c>
      <c r="D4873" t="s">
        <v>8</v>
      </c>
      <c r="E4873" s="4" t="str">
        <f>HYPERLINK("https://ibp.a2mac1.com/costing(costing:projects/details/9760/assembly/8415841)","Lower")</f>
        <v>Lower</v>
      </c>
      <c r="F4873" t="s">
        <v>5342</v>
      </c>
    </row>
    <row r="4874" spans="1:6" x14ac:dyDescent="0.15">
      <c r="A4874">
        <v>8416199</v>
      </c>
      <c r="B4874">
        <v>8415841</v>
      </c>
      <c r="C4874" t="s">
        <v>10</v>
      </c>
      <c r="D4874" t="s">
        <v>8</v>
      </c>
      <c r="E4874" s="4" t="str">
        <f>HYPERLINK("https://ibp.a2mac1.com/costing(costing:projects/details/9760/part/8416199)","On Body")</f>
        <v>On Body</v>
      </c>
      <c r="F4874" t="s">
        <v>5355</v>
      </c>
    </row>
    <row r="4875" spans="1:6" x14ac:dyDescent="0.15">
      <c r="A4875">
        <v>12085498</v>
      </c>
      <c r="B4875">
        <v>8416199</v>
      </c>
      <c r="C4875" t="s">
        <v>114</v>
      </c>
      <c r="D4875" t="s">
        <v>10</v>
      </c>
      <c r="E4875" s="4" t="str">
        <f>HYPERLINK("https://ibp.a2mac1.com/costing(costing:projects/details/9760/process/12085498)","MANUFACTURING  PROCESS")</f>
        <v>MANUFACTURING  PROCESS</v>
      </c>
      <c r="F4875" t="s">
        <v>5356</v>
      </c>
    </row>
    <row r="4876" spans="1:6" x14ac:dyDescent="0.15">
      <c r="A4876">
        <v>8755204</v>
      </c>
      <c r="B4876">
        <v>12085498</v>
      </c>
      <c r="C4876" t="s">
        <v>22</v>
      </c>
      <c r="D4876" t="s">
        <v>114</v>
      </c>
      <c r="E4876" s="4" t="str">
        <f>HYPERLINK("https://ibp.a2mac1.com/costing(costing:projects/details/9760/material/8755204)","Standard Structural Steel sheet")</f>
        <v>Standard Structural Steel sheet</v>
      </c>
      <c r="F4876" t="s">
        <v>5357</v>
      </c>
    </row>
    <row r="4877" spans="1:6" x14ac:dyDescent="0.15">
      <c r="A4877">
        <v>12212658</v>
      </c>
      <c r="B4877">
        <v>12085498</v>
      </c>
      <c r="C4877" t="s">
        <v>163</v>
      </c>
      <c r="D4877" t="s">
        <v>114</v>
      </c>
      <c r="E4877" s="4" t="str">
        <f>HYPERLINK("https://ibp.a2mac1.com/costing(costing:projects/details/9760/equipment/12212658)","Manufacturing Equipment")</f>
        <v>Manufacturing Equipment</v>
      </c>
      <c r="F4877" t="s">
        <v>5357</v>
      </c>
    </row>
    <row r="4878" spans="1:6" x14ac:dyDescent="0.15">
      <c r="A4878">
        <v>8416200</v>
      </c>
      <c r="B4878">
        <v>8415841</v>
      </c>
      <c r="C4878" t="s">
        <v>10</v>
      </c>
      <c r="D4878" t="s">
        <v>8</v>
      </c>
      <c r="E4878" s="4" t="str">
        <f>HYPERLINK("https://ibp.a2mac1.com/costing(costing:projects/details/9760/part/8416200)","On Door")</f>
        <v>On Door</v>
      </c>
      <c r="F4878" t="s">
        <v>5355</v>
      </c>
    </row>
    <row r="4879" spans="1:6" x14ac:dyDescent="0.15">
      <c r="A4879">
        <v>12085499</v>
      </c>
      <c r="B4879">
        <v>8416200</v>
      </c>
      <c r="C4879" t="s">
        <v>114</v>
      </c>
      <c r="D4879" t="s">
        <v>10</v>
      </c>
      <c r="E4879" s="4" t="str">
        <f>HYPERLINK("https://ibp.a2mac1.com/costing(costing:projects/details/9760/process/12085499)","MANUFACTURING  PROCESS")</f>
        <v>MANUFACTURING  PROCESS</v>
      </c>
      <c r="F4879" t="s">
        <v>5359</v>
      </c>
    </row>
    <row r="4880" spans="1:6" x14ac:dyDescent="0.15">
      <c r="A4880">
        <v>8755223</v>
      </c>
      <c r="B4880">
        <v>12085499</v>
      </c>
      <c r="C4880" t="s">
        <v>22</v>
      </c>
      <c r="D4880" t="s">
        <v>114</v>
      </c>
      <c r="E4880" s="4" t="str">
        <f>HYPERLINK("https://ibp.a2mac1.com/costing(costing:projects/details/9760/material/8755223)","Standard Structural Steel sheet")</f>
        <v>Standard Structural Steel sheet</v>
      </c>
      <c r="F4880" t="s">
        <v>5360</v>
      </c>
    </row>
    <row r="4881" spans="1:6" x14ac:dyDescent="0.15">
      <c r="A4881">
        <v>12212659</v>
      </c>
      <c r="B4881">
        <v>12085499</v>
      </c>
      <c r="C4881" t="s">
        <v>163</v>
      </c>
      <c r="D4881" t="s">
        <v>114</v>
      </c>
      <c r="E4881" s="4" t="str">
        <f>HYPERLINK("https://ibp.a2mac1.com/costing(costing:projects/details/9760/equipment/12212659)","Manufacturing Equipment")</f>
        <v>Manufacturing Equipment</v>
      </c>
      <c r="F4881" t="s">
        <v>5360</v>
      </c>
    </row>
    <row r="4882" spans="1:6" x14ac:dyDescent="0.15">
      <c r="A4882">
        <v>8754528</v>
      </c>
      <c r="B4882">
        <v>8415841</v>
      </c>
      <c r="C4882" t="s">
        <v>311</v>
      </c>
      <c r="D4882" t="s">
        <v>8</v>
      </c>
      <c r="E4882" s="4" t="str">
        <f>HYPERLINK("https://ibp.a2mac1.com/costing(costing:projects/details/9760/component/8754528)","Screw &gt; Hexagon screw with flange")</f>
        <v>Screw &gt; Hexagon screw with flange</v>
      </c>
      <c r="F4882" t="s">
        <v>5355</v>
      </c>
    </row>
    <row r="4883" spans="1:6" x14ac:dyDescent="0.15">
      <c r="A4883">
        <v>8754529</v>
      </c>
      <c r="B4883">
        <v>8415841</v>
      </c>
      <c r="C4883" t="s">
        <v>311</v>
      </c>
      <c r="D4883" t="s">
        <v>8</v>
      </c>
      <c r="E4883" s="4" t="str">
        <f>HYPERLINK("https://ibp.a2mac1.com/costing(costing:projects/details/9760/component/8754529)","Screw &gt; Hexagon screw with flange")</f>
        <v>Screw &gt; Hexagon screw with flange</v>
      </c>
      <c r="F4883" t="s">
        <v>5355</v>
      </c>
    </row>
    <row r="4884" spans="1:6" x14ac:dyDescent="0.15">
      <c r="A4884">
        <v>8415838</v>
      </c>
      <c r="B4884">
        <v>8415628</v>
      </c>
      <c r="C4884" t="s">
        <v>10</v>
      </c>
      <c r="D4884" t="s">
        <v>8</v>
      </c>
      <c r="E4884" s="4" t="str">
        <f>HYPERLINK("https://ibp.a2mac1.com/costing(costing:projects/details/9760/part/8415838)","Door Stopper")</f>
        <v>Door Stopper</v>
      </c>
      <c r="F4884" t="s">
        <v>5342</v>
      </c>
    </row>
    <row r="4885" spans="1:6" x14ac:dyDescent="0.15">
      <c r="A4885">
        <v>8415839</v>
      </c>
      <c r="B4885">
        <v>8415628</v>
      </c>
      <c r="C4885" t="s">
        <v>10</v>
      </c>
      <c r="D4885" t="s">
        <v>8</v>
      </c>
      <c r="E4885" s="4" t="str">
        <f>HYPERLINK("https://ibp.a2mac1.com/costing(costing:projects/details/9760/part/8415839)","Door Stopper Protection")</f>
        <v>Door Stopper Protection</v>
      </c>
      <c r="F4885" t="s">
        <v>5342</v>
      </c>
    </row>
    <row r="4886" spans="1:6" x14ac:dyDescent="0.15">
      <c r="A4886">
        <v>12085211</v>
      </c>
      <c r="B4886">
        <v>8415839</v>
      </c>
      <c r="C4886" t="s">
        <v>114</v>
      </c>
      <c r="D4886" t="s">
        <v>10</v>
      </c>
      <c r="E4886" s="4" t="str">
        <f>HYPERLINK("https://ibp.a2mac1.com/costing(costing:projects/details/9760/process/12085211)","Injection molding")</f>
        <v>Injection molding</v>
      </c>
      <c r="F4886" t="s">
        <v>5366</v>
      </c>
    </row>
    <row r="4887" spans="1:6" x14ac:dyDescent="0.15">
      <c r="A4887">
        <v>8754789</v>
      </c>
      <c r="B4887">
        <v>12085211</v>
      </c>
      <c r="C4887" t="s">
        <v>22</v>
      </c>
      <c r="D4887" t="s">
        <v>114</v>
      </c>
      <c r="E4887" s="4" t="str">
        <f>HYPERLINK("https://ibp.a2mac1.com/costing(costing:projects/details/9760/material/8754789)","PE")</f>
        <v>PE</v>
      </c>
      <c r="F4887" t="s">
        <v>5368</v>
      </c>
    </row>
    <row r="4888" spans="1:6" x14ac:dyDescent="0.15">
      <c r="A4888">
        <v>12212306</v>
      </c>
      <c r="B4888">
        <v>12085211</v>
      </c>
      <c r="C4888" t="s">
        <v>163</v>
      </c>
      <c r="D4888" t="s">
        <v>114</v>
      </c>
      <c r="E4888" s="4" t="str">
        <f>HYPERLINK("https://ibp.a2mac1.com/costing(costing:projects/details/9760/equipment/12212306)","Equipment (Injection Molding)")</f>
        <v>Equipment (Injection Molding)</v>
      </c>
      <c r="F4888" t="s">
        <v>5368</v>
      </c>
    </row>
    <row r="4889" spans="1:6" x14ac:dyDescent="0.15">
      <c r="A4889">
        <v>8754383</v>
      </c>
      <c r="B4889">
        <v>8415628</v>
      </c>
      <c r="C4889" t="s">
        <v>311</v>
      </c>
      <c r="D4889" t="s">
        <v>8</v>
      </c>
      <c r="E4889" s="4" t="str">
        <f>HYPERLINK("https://ibp.a2mac1.com/costing(costing:projects/details/9760/component/8754383)","Screw &gt; Torx socket head cap screw")</f>
        <v>Screw &gt; Torx socket head cap screw</v>
      </c>
      <c r="F4889" t="s">
        <v>5342</v>
      </c>
    </row>
    <row r="4890" spans="1:6" x14ac:dyDescent="0.15">
      <c r="A4890">
        <v>8415629</v>
      </c>
      <c r="B4890">
        <v>8415582</v>
      </c>
      <c r="C4890" t="s">
        <v>8</v>
      </c>
      <c r="D4890" t="s">
        <v>8</v>
      </c>
      <c r="E4890" s="4" t="str">
        <f>HYPERLINK("https://ibp.a2mac1.com/costing(costing:projects/details/9760/assembly/8415629)","Sealing System")</f>
        <v>Sealing System</v>
      </c>
      <c r="F4890" t="s">
        <v>4954</v>
      </c>
    </row>
    <row r="4891" spans="1:6" x14ac:dyDescent="0.15">
      <c r="A4891">
        <v>8415845</v>
      </c>
      <c r="B4891">
        <v>8415629</v>
      </c>
      <c r="C4891" t="s">
        <v>8</v>
      </c>
      <c r="D4891" t="s">
        <v>8</v>
      </c>
      <c r="E4891" s="4" t="str">
        <f>HYPERLINK("https://ibp.a2mac1.com/costing(costing:projects/details/9760/assembly/8415845)","Door Weatherstripping")</f>
        <v>Door Weatherstripping</v>
      </c>
      <c r="F4891" t="s">
        <v>5373</v>
      </c>
    </row>
    <row r="4892" spans="1:6" x14ac:dyDescent="0.15">
      <c r="A4892">
        <v>8416201</v>
      </c>
      <c r="B4892">
        <v>8415845</v>
      </c>
      <c r="C4892" t="s">
        <v>10</v>
      </c>
      <c r="D4892" t="s">
        <v>8</v>
      </c>
      <c r="E4892" s="4" t="str">
        <f>HYPERLINK("https://ibp.a2mac1.com/costing(costing:projects/details/9760/part/8416201)","On Body")</f>
        <v>On Body</v>
      </c>
      <c r="F4892" t="s">
        <v>5374</v>
      </c>
    </row>
    <row r="4893" spans="1:6" x14ac:dyDescent="0.15">
      <c r="A4893">
        <v>12085501</v>
      </c>
      <c r="B4893">
        <v>8416201</v>
      </c>
      <c r="C4893" t="s">
        <v>114</v>
      </c>
      <c r="D4893" t="s">
        <v>10</v>
      </c>
      <c r="E4893" s="4" t="str">
        <f>HYPERLINK("https://ibp.a2mac1.com/costing(costing:projects/details/9760/process/12085501)","Seal Extrusion (Multi Layer)")</f>
        <v>Seal Extrusion (Multi Layer)</v>
      </c>
      <c r="F4893" t="s">
        <v>5375</v>
      </c>
    </row>
    <row r="4894" spans="1:6" x14ac:dyDescent="0.15">
      <c r="A4894">
        <v>8755224</v>
      </c>
      <c r="B4894">
        <v>12085501</v>
      </c>
      <c r="C4894" t="s">
        <v>22</v>
      </c>
      <c r="D4894" t="s">
        <v>114</v>
      </c>
      <c r="E4894" s="4" t="str">
        <f>HYPERLINK("https://ibp.a2mac1.com/costing(costing:projects/details/9760/material/8755224)","EPDM")</f>
        <v>EPDM</v>
      </c>
      <c r="F4894" t="s">
        <v>5379</v>
      </c>
    </row>
    <row r="4895" spans="1:6" x14ac:dyDescent="0.15">
      <c r="A4895">
        <v>8755225</v>
      </c>
      <c r="B4895">
        <v>12085501</v>
      </c>
      <c r="C4895" t="s">
        <v>22</v>
      </c>
      <c r="D4895" t="s">
        <v>114</v>
      </c>
      <c r="E4895" s="4" t="str">
        <f>HYPERLINK("https://ibp.a2mac1.com/costing(costing:projects/details/9760/material/8755225)","Standard Structural Steel sheet")</f>
        <v>Standard Structural Steel sheet</v>
      </c>
      <c r="F4895" t="s">
        <v>5379</v>
      </c>
    </row>
    <row r="4896" spans="1:6" x14ac:dyDescent="0.15">
      <c r="A4896">
        <v>12212661</v>
      </c>
      <c r="B4896">
        <v>12085501</v>
      </c>
      <c r="C4896" t="s">
        <v>163</v>
      </c>
      <c r="D4896" t="s">
        <v>114</v>
      </c>
      <c r="E4896" s="4" t="str">
        <f>HYPERLINK("https://ibp.a2mac1.com/costing(costing:projects/details/9760/equipment/12212661)","Rubber Extrusion machine")</f>
        <v>Rubber Extrusion machine</v>
      </c>
      <c r="F4896" t="s">
        <v>5379</v>
      </c>
    </row>
    <row r="4897" spans="1:6" x14ac:dyDescent="0.15">
      <c r="A4897">
        <v>12085500</v>
      </c>
      <c r="B4897">
        <v>8416201</v>
      </c>
      <c r="C4897" t="s">
        <v>114</v>
      </c>
      <c r="D4897" t="s">
        <v>10</v>
      </c>
      <c r="E4897" s="4" t="str">
        <f>HYPERLINK("https://ibp.a2mac1.com/costing(costing:projects/details/9760/process/12085500)","End Glueing/Vulcanizing; Check and Pack")</f>
        <v>End Glueing/Vulcanizing; Check and Pack</v>
      </c>
      <c r="F4897" t="s">
        <v>5375</v>
      </c>
    </row>
    <row r="4898" spans="1:6" x14ac:dyDescent="0.15">
      <c r="A4898">
        <v>12212660</v>
      </c>
      <c r="B4898">
        <v>12085500</v>
      </c>
      <c r="C4898" t="s">
        <v>163</v>
      </c>
      <c r="D4898" t="s">
        <v>114</v>
      </c>
      <c r="E4898" s="4" t="str">
        <f>HYPERLINK("https://ibp.a2mac1.com/costing(costing:projects/details/9760/equipment/12212660)","Seal welding/joining station, manual")</f>
        <v>Seal welding/joining station, manual</v>
      </c>
      <c r="F4898" t="s">
        <v>5382</v>
      </c>
    </row>
    <row r="4899" spans="1:6" x14ac:dyDescent="0.15">
      <c r="A4899">
        <v>8416202</v>
      </c>
      <c r="B4899">
        <v>8415845</v>
      </c>
      <c r="C4899" t="s">
        <v>10</v>
      </c>
      <c r="D4899" t="s">
        <v>8</v>
      </c>
      <c r="E4899" s="4" t="str">
        <f>HYPERLINK("https://ibp.a2mac1.com/costing(costing:projects/details/9760/part/8416202)","On Door")</f>
        <v>On Door</v>
      </c>
      <c r="F4899" t="s">
        <v>5374</v>
      </c>
    </row>
    <row r="4900" spans="1:6" x14ac:dyDescent="0.15">
      <c r="A4900">
        <v>12085502</v>
      </c>
      <c r="B4900">
        <v>8416202</v>
      </c>
      <c r="C4900" t="s">
        <v>114</v>
      </c>
      <c r="D4900" t="s">
        <v>10</v>
      </c>
      <c r="E4900" s="4" t="str">
        <f>HYPERLINK("https://ibp.a2mac1.com/costing(costing:projects/details/9760/process/12085502)","Seal Extrusion (Multi Layer)")</f>
        <v>Seal Extrusion (Multi Layer)</v>
      </c>
      <c r="F4900" t="s">
        <v>5386</v>
      </c>
    </row>
    <row r="4901" spans="1:6" x14ac:dyDescent="0.15">
      <c r="A4901">
        <v>8755226</v>
      </c>
      <c r="B4901">
        <v>12085502</v>
      </c>
      <c r="C4901" t="s">
        <v>22</v>
      </c>
      <c r="D4901" t="s">
        <v>114</v>
      </c>
      <c r="E4901" s="4" t="str">
        <f>HYPERLINK("https://ibp.a2mac1.com/costing(costing:projects/details/9760/material/8755226)","EPDM")</f>
        <v>EPDM</v>
      </c>
      <c r="F4901" t="s">
        <v>5389</v>
      </c>
    </row>
    <row r="4902" spans="1:6" x14ac:dyDescent="0.15">
      <c r="A4902">
        <v>12212662</v>
      </c>
      <c r="B4902">
        <v>12085502</v>
      </c>
      <c r="C4902" t="s">
        <v>163</v>
      </c>
      <c r="D4902" t="s">
        <v>114</v>
      </c>
      <c r="E4902" s="4" t="str">
        <f>HYPERLINK("https://ibp.a2mac1.com/costing(costing:projects/details/9760/equipment/12212662)","Rubber Extrusion machine")</f>
        <v>Rubber Extrusion machine</v>
      </c>
      <c r="F4902" t="s">
        <v>5389</v>
      </c>
    </row>
    <row r="4903" spans="1:6" x14ac:dyDescent="0.15">
      <c r="A4903">
        <v>8754530</v>
      </c>
      <c r="B4903">
        <v>8415845</v>
      </c>
      <c r="C4903" t="s">
        <v>311</v>
      </c>
      <c r="D4903" t="s">
        <v>8</v>
      </c>
      <c r="E4903" s="4" t="str">
        <f>HYPERLINK("https://ibp.a2mac1.com/costing(costing:projects/details/9760/component/8754530)","Panel holder &gt; Clips in rectangular hole")</f>
        <v>Panel holder &gt; Clips in rectangular hole</v>
      </c>
      <c r="F4903" t="s">
        <v>5374</v>
      </c>
    </row>
    <row r="4904" spans="1:6" x14ac:dyDescent="0.15">
      <c r="A4904">
        <v>8415842</v>
      </c>
      <c r="B4904">
        <v>8415629</v>
      </c>
      <c r="C4904" t="s">
        <v>10</v>
      </c>
      <c r="D4904" t="s">
        <v>8</v>
      </c>
      <c r="E4904" s="4" t="str">
        <f>HYPERLINK("https://ibp.a2mac1.com/costing(costing:projects/details/9760/part/8415842)","Interior Weatherstrip")</f>
        <v>Interior Weatherstrip</v>
      </c>
      <c r="F4904" t="s">
        <v>5373</v>
      </c>
    </row>
    <row r="4905" spans="1:6" x14ac:dyDescent="0.15">
      <c r="A4905">
        <v>12085212</v>
      </c>
      <c r="B4905">
        <v>8415842</v>
      </c>
      <c r="C4905" t="s">
        <v>114</v>
      </c>
      <c r="D4905" t="s">
        <v>10</v>
      </c>
      <c r="E4905" s="4" t="str">
        <f>HYPERLINK("https://ibp.a2mac1.com/costing(costing:projects/details/9760/process/12085212)","Seal Extrusion (Multi Layer)")</f>
        <v>Seal Extrusion (Multi Layer)</v>
      </c>
      <c r="F4905" t="s">
        <v>5393</v>
      </c>
    </row>
    <row r="4906" spans="1:6" x14ac:dyDescent="0.15">
      <c r="A4906">
        <v>8754790</v>
      </c>
      <c r="B4906">
        <v>12085212</v>
      </c>
      <c r="C4906" t="s">
        <v>22</v>
      </c>
      <c r="D4906" t="s">
        <v>114</v>
      </c>
      <c r="E4906" s="4" t="str">
        <f>HYPERLINK("https://ibp.a2mac1.com/costing(costing:projects/details/9760/material/8754790)","EPDM")</f>
        <v>EPDM</v>
      </c>
      <c r="F4906" t="s">
        <v>5396</v>
      </c>
    </row>
    <row r="4907" spans="1:6" x14ac:dyDescent="0.15">
      <c r="A4907">
        <v>8754791</v>
      </c>
      <c r="B4907">
        <v>12085212</v>
      </c>
      <c r="C4907" t="s">
        <v>22</v>
      </c>
      <c r="D4907" t="s">
        <v>114</v>
      </c>
      <c r="E4907" s="4" t="str">
        <f>HYPERLINK("https://ibp.a2mac1.com/costing(costing:projects/details/9760/material/8754791)","Aluminum for extrusion (default, e.g. EN-AW6016)")</f>
        <v>Aluminum for extrusion (default, e.g. EN-AW6016)</v>
      </c>
      <c r="F4907" t="s">
        <v>5396</v>
      </c>
    </row>
    <row r="4908" spans="1:6" x14ac:dyDescent="0.15">
      <c r="A4908">
        <v>12212307</v>
      </c>
      <c r="B4908">
        <v>12085212</v>
      </c>
      <c r="C4908" t="s">
        <v>163</v>
      </c>
      <c r="D4908" t="s">
        <v>114</v>
      </c>
      <c r="E4908" s="4" t="str">
        <f>HYPERLINK("https://ibp.a2mac1.com/costing(costing:projects/details/9760/equipment/12212307)","Rubber Extrusion machine")</f>
        <v>Rubber Extrusion machine</v>
      </c>
      <c r="F4908" t="s">
        <v>5396</v>
      </c>
    </row>
    <row r="4909" spans="1:6" x14ac:dyDescent="0.15">
      <c r="A4909">
        <v>8415843</v>
      </c>
      <c r="B4909">
        <v>8415629</v>
      </c>
      <c r="C4909" t="s">
        <v>10</v>
      </c>
      <c r="D4909" t="s">
        <v>8</v>
      </c>
      <c r="E4909" s="4" t="str">
        <f>HYPERLINK("https://ibp.a2mac1.com/costing(costing:projects/details/9760/part/8415843)","Exterior Weatherstrip")</f>
        <v>Exterior Weatherstrip</v>
      </c>
      <c r="F4909" t="s">
        <v>5373</v>
      </c>
    </row>
    <row r="4910" spans="1:6" x14ac:dyDescent="0.15">
      <c r="A4910">
        <v>12085213</v>
      </c>
      <c r="B4910">
        <v>8415843</v>
      </c>
      <c r="C4910" t="s">
        <v>114</v>
      </c>
      <c r="D4910" t="s">
        <v>10</v>
      </c>
      <c r="E4910" s="4" t="str">
        <f>HYPERLINK("https://ibp.a2mac1.com/costing(costing:projects/details/9760/process/12085213)","Seal Extrusion (Multi Layer)")</f>
        <v>Seal Extrusion (Multi Layer)</v>
      </c>
      <c r="F4910" t="s">
        <v>5402</v>
      </c>
    </row>
    <row r="4911" spans="1:6" x14ac:dyDescent="0.15">
      <c r="A4911">
        <v>8754792</v>
      </c>
      <c r="B4911">
        <v>12085213</v>
      </c>
      <c r="C4911" t="s">
        <v>22</v>
      </c>
      <c r="D4911" t="s">
        <v>114</v>
      </c>
      <c r="E4911" s="4" t="str">
        <f>HYPERLINK("https://ibp.a2mac1.com/costing(costing:projects/details/9760/material/8754792)","EPDM")</f>
        <v>EPDM</v>
      </c>
      <c r="F4911" t="s">
        <v>5405</v>
      </c>
    </row>
    <row r="4912" spans="1:6" x14ac:dyDescent="0.15">
      <c r="A4912">
        <v>8754793</v>
      </c>
      <c r="B4912">
        <v>12085213</v>
      </c>
      <c r="C4912" t="s">
        <v>22</v>
      </c>
      <c r="D4912" t="s">
        <v>114</v>
      </c>
      <c r="E4912" s="4" t="str">
        <f>HYPERLINK("https://ibp.a2mac1.com/costing(costing:projects/details/9760/material/8754793)","Aluminum for extrusion (default, e.g. EN-AW6016)")</f>
        <v>Aluminum for extrusion (default, e.g. EN-AW6016)</v>
      </c>
      <c r="F4912" t="s">
        <v>5405</v>
      </c>
    </row>
    <row r="4913" spans="1:6" x14ac:dyDescent="0.15">
      <c r="A4913">
        <v>12212308</v>
      </c>
      <c r="B4913">
        <v>12085213</v>
      </c>
      <c r="C4913" t="s">
        <v>163</v>
      </c>
      <c r="D4913" t="s">
        <v>114</v>
      </c>
      <c r="E4913" s="4" t="str">
        <f>HYPERLINK("https://ibp.a2mac1.com/costing(costing:projects/details/9760/equipment/12212308)","Rubber Extrusion machine")</f>
        <v>Rubber Extrusion machine</v>
      </c>
      <c r="F4913" t="s">
        <v>5405</v>
      </c>
    </row>
    <row r="4914" spans="1:6" x14ac:dyDescent="0.15">
      <c r="A4914">
        <v>8415844</v>
      </c>
      <c r="B4914">
        <v>8415629</v>
      </c>
      <c r="C4914" t="s">
        <v>10</v>
      </c>
      <c r="D4914" t="s">
        <v>8</v>
      </c>
      <c r="E4914" s="4" t="str">
        <f>HYPERLINK("https://ibp.a2mac1.com/costing(costing:projects/details/9760/part/8415844)","Exterior Weatherstrip Bezel")</f>
        <v>Exterior Weatherstrip Bezel</v>
      </c>
      <c r="F4914" t="s">
        <v>5373</v>
      </c>
    </row>
    <row r="4915" spans="1:6" x14ac:dyDescent="0.15">
      <c r="A4915">
        <v>12085214</v>
      </c>
      <c r="B4915">
        <v>8415844</v>
      </c>
      <c r="C4915" t="s">
        <v>114</v>
      </c>
      <c r="D4915" t="s">
        <v>10</v>
      </c>
      <c r="E4915" s="4" t="str">
        <f>HYPERLINK("https://ibp.a2mac1.com/costing(costing:projects/details/9760/process/12085214)","Aluminum extrusion")</f>
        <v>Aluminum extrusion</v>
      </c>
      <c r="F4915" t="s">
        <v>5410</v>
      </c>
    </row>
    <row r="4916" spans="1:6" x14ac:dyDescent="0.15">
      <c r="A4916">
        <v>8754794</v>
      </c>
      <c r="B4916">
        <v>12085214</v>
      </c>
      <c r="C4916" t="s">
        <v>22</v>
      </c>
      <c r="D4916" t="s">
        <v>114</v>
      </c>
      <c r="E4916" s="4" t="str">
        <f>HYPERLINK("https://ibp.a2mac1.com/costing(costing:projects/details/9760/material/8754794)","EN AW-Al 99,9Mg1")</f>
        <v>EN AW-Al 99,9Mg1</v>
      </c>
      <c r="F4916" t="s">
        <v>5413</v>
      </c>
    </row>
    <row r="4917" spans="1:6" x14ac:dyDescent="0.15">
      <c r="A4917">
        <v>12212309</v>
      </c>
      <c r="B4917">
        <v>12085214</v>
      </c>
      <c r="C4917" t="s">
        <v>163</v>
      </c>
      <c r="D4917" t="s">
        <v>114</v>
      </c>
      <c r="E4917" s="4" t="str">
        <f>HYPERLINK("https://ibp.a2mac1.com/costing(costing:projects/details/9760/equipment/12212309)","No.01 - Extrusion Press Line - 600T ")</f>
        <v xml:space="preserve">No.01 - Extrusion Press Line - 600T </v>
      </c>
      <c r="F4917" t="s">
        <v>5413</v>
      </c>
    </row>
    <row r="4918" spans="1:6" x14ac:dyDescent="0.15">
      <c r="A4918">
        <v>8415630</v>
      </c>
      <c r="B4918">
        <v>8415582</v>
      </c>
      <c r="C4918" t="s">
        <v>8</v>
      </c>
      <c r="D4918" t="s">
        <v>8</v>
      </c>
      <c r="E4918" s="4" t="str">
        <f>HYPERLINK("https://ibp.a2mac1.com/costing(costing:projects/details/9760/assembly/8415630)","Window System")</f>
        <v>Window System</v>
      </c>
      <c r="F4918" t="s">
        <v>4954</v>
      </c>
    </row>
    <row r="4919" spans="1:6" x14ac:dyDescent="0.15">
      <c r="A4919">
        <v>8415847</v>
      </c>
      <c r="B4919">
        <v>8415630</v>
      </c>
      <c r="C4919" t="s">
        <v>8</v>
      </c>
      <c r="D4919" t="s">
        <v>8</v>
      </c>
      <c r="E4919" s="4" t="str">
        <f>HYPERLINK("https://ibp.a2mac1.com/costing(costing:projects/details/9760/assembly/8415847)","Window Regulator Motor")</f>
        <v>Window Regulator Motor</v>
      </c>
      <c r="F4919" t="s">
        <v>5417</v>
      </c>
    </row>
    <row r="4920" spans="1:6" x14ac:dyDescent="0.15">
      <c r="A4920">
        <v>12085215</v>
      </c>
      <c r="B4920">
        <v>8415847</v>
      </c>
      <c r="C4920" t="s">
        <v>114</v>
      </c>
      <c r="D4920" t="s">
        <v>8</v>
      </c>
      <c r="E4920" s="4" t="str">
        <f>HYPERLINK("https://ibp.a2mac1.com/costing(costing:projects/details/9760/process/12085215)","Process")</f>
        <v>Process</v>
      </c>
      <c r="F4920" t="s">
        <v>5418</v>
      </c>
    </row>
    <row r="4921" spans="1:6" x14ac:dyDescent="0.15">
      <c r="A4921">
        <v>12212310</v>
      </c>
      <c r="B4921">
        <v>12085215</v>
      </c>
      <c r="C4921" t="s">
        <v>163</v>
      </c>
      <c r="D4921" t="s">
        <v>114</v>
      </c>
      <c r="E4921" s="4" t="str">
        <f>HYPERLINK("https://ibp.a2mac1.com/costing(costing:projects/details/9760/equipment/12212310)","Dummy Machine (PCBA+Final Assembly Line)")</f>
        <v>Dummy Machine (PCBA+Final Assembly Line)</v>
      </c>
      <c r="F4921" t="s">
        <v>5419</v>
      </c>
    </row>
    <row r="4922" spans="1:6" x14ac:dyDescent="0.15">
      <c r="A4922">
        <v>8754531</v>
      </c>
      <c r="B4922">
        <v>8415847</v>
      </c>
      <c r="C4922" t="s">
        <v>311</v>
      </c>
      <c r="D4922" t="s">
        <v>8</v>
      </c>
      <c r="E4922" s="4" t="str">
        <f>HYPERLINK("https://ibp.a2mac1.com/costing(costing:projects/details/9760/component/8754531)","Mechanics")</f>
        <v>Mechanics</v>
      </c>
      <c r="F4922" t="s">
        <v>5418</v>
      </c>
    </row>
    <row r="4923" spans="1:6" x14ac:dyDescent="0.15">
      <c r="A4923">
        <v>8754532</v>
      </c>
      <c r="B4923">
        <v>8415847</v>
      </c>
      <c r="C4923" t="s">
        <v>311</v>
      </c>
      <c r="D4923" t="s">
        <v>8</v>
      </c>
      <c r="E4923" s="4" t="str">
        <f>HYPERLINK("https://ibp.a2mac1.com/costing(costing:projects/details/9760/component/8754532)","Electronics")</f>
        <v>Electronics</v>
      </c>
      <c r="F4923" t="s">
        <v>5418</v>
      </c>
    </row>
    <row r="4924" spans="1:6" x14ac:dyDescent="0.15">
      <c r="A4924">
        <v>8415848</v>
      </c>
      <c r="B4924">
        <v>8415630</v>
      </c>
      <c r="C4924" t="s">
        <v>8</v>
      </c>
      <c r="D4924" t="s">
        <v>8</v>
      </c>
      <c r="E4924" s="4" t="str">
        <f>HYPERLINK("https://ibp.a2mac1.com/costing(costing:projects/details/9760/assembly/8415848)","Window")</f>
        <v>Window</v>
      </c>
      <c r="F4924" t="s">
        <v>5417</v>
      </c>
    </row>
    <row r="4925" spans="1:6" x14ac:dyDescent="0.15">
      <c r="A4925">
        <v>8416203</v>
      </c>
      <c r="B4925">
        <v>8415848</v>
      </c>
      <c r="C4925" t="s">
        <v>10</v>
      </c>
      <c r="D4925" t="s">
        <v>8</v>
      </c>
      <c r="E4925" s="4" t="str">
        <f>HYPERLINK("https://ibp.a2mac1.com/costing(costing:projects/details/9760/part/8416203)","Glas Panel")</f>
        <v>Glas Panel</v>
      </c>
      <c r="F4925" t="s">
        <v>5421</v>
      </c>
    </row>
    <row r="4926" spans="1:6" x14ac:dyDescent="0.15">
      <c r="A4926">
        <v>12085503</v>
      </c>
      <c r="B4926">
        <v>8416203</v>
      </c>
      <c r="C4926" t="s">
        <v>114</v>
      </c>
      <c r="D4926" t="s">
        <v>10</v>
      </c>
      <c r="E4926" s="4" t="str">
        <f>HYPERLINK("https://ibp.a2mac1.com/costing(costing:projects/details/9760/process/12085503)","Process")</f>
        <v>Process</v>
      </c>
      <c r="F4926" t="s">
        <v>5422</v>
      </c>
    </row>
    <row r="4927" spans="1:6" x14ac:dyDescent="0.15">
      <c r="A4927">
        <v>8755227</v>
      </c>
      <c r="B4927">
        <v>12085503</v>
      </c>
      <c r="C4927" t="s">
        <v>22</v>
      </c>
      <c r="D4927" t="s">
        <v>114</v>
      </c>
      <c r="E4927" s="4" t="str">
        <f>HYPERLINK("https://ibp.a2mac1.com/costing(costing:projects/details/9760/material/8755227)","Glass (default, float glass) adjusted (part)")</f>
        <v>Glass (default, float glass) adjusted (part)</v>
      </c>
      <c r="F4927" t="s">
        <v>5423</v>
      </c>
    </row>
    <row r="4928" spans="1:6" x14ac:dyDescent="0.15">
      <c r="A4928">
        <v>12212701</v>
      </c>
      <c r="B4928">
        <v>12085503</v>
      </c>
      <c r="C4928" t="s">
        <v>163</v>
      </c>
      <c r="D4928" t="s">
        <v>114</v>
      </c>
      <c r="E4928" s="4" t="str">
        <f>HYPERLINK("https://ibp.a2mac1.com/costing(costing:projects/details/9760/equipment/12212701)","DC machine - General")</f>
        <v>DC machine - General</v>
      </c>
      <c r="F4928" t="s">
        <v>5423</v>
      </c>
    </row>
    <row r="4929" spans="1:6" x14ac:dyDescent="0.15">
      <c r="A4929">
        <v>8415846</v>
      </c>
      <c r="B4929">
        <v>8415630</v>
      </c>
      <c r="C4929" t="s">
        <v>10</v>
      </c>
      <c r="D4929" t="s">
        <v>8</v>
      </c>
      <c r="E4929" s="4" t="str">
        <f>HYPERLINK("https://ibp.a2mac1.com/costing(costing:projects/details/9760/part/8415846)","Window Regulator")</f>
        <v>Window Regulator</v>
      </c>
      <c r="F4929" t="s">
        <v>5417</v>
      </c>
    </row>
    <row r="4930" spans="1:6" x14ac:dyDescent="0.15">
      <c r="A4930">
        <v>8754384</v>
      </c>
      <c r="B4930">
        <v>8415630</v>
      </c>
      <c r="C4930" t="s">
        <v>311</v>
      </c>
      <c r="D4930" t="s">
        <v>8</v>
      </c>
      <c r="E4930" s="4" t="str">
        <f>HYPERLINK("https://ibp.a2mac1.com/costing(costing:projects/details/9760/component/8754384)","Screw &gt; Hexagon screw with flange")</f>
        <v>Screw &gt; Hexagon screw with flange</v>
      </c>
      <c r="F4930" t="s">
        <v>5417</v>
      </c>
    </row>
    <row r="4931" spans="1:6" x14ac:dyDescent="0.15">
      <c r="A4931">
        <v>8754385</v>
      </c>
      <c r="B4931">
        <v>8415630</v>
      </c>
      <c r="C4931" t="s">
        <v>311</v>
      </c>
      <c r="D4931" t="s">
        <v>8</v>
      </c>
      <c r="E4931" s="4" t="str">
        <f>HYPERLINK("https://ibp.a2mac1.com/costing(costing:projects/details/9760/component/8754385)","Nut &gt; Hexagonal nut with collar")</f>
        <v>Nut &gt; Hexagonal nut with collar</v>
      </c>
      <c r="F4931" t="s">
        <v>5417</v>
      </c>
    </row>
    <row r="4932" spans="1:6" x14ac:dyDescent="0.15">
      <c r="A4932">
        <v>8754386</v>
      </c>
      <c r="B4932">
        <v>8415630</v>
      </c>
      <c r="C4932" t="s">
        <v>311</v>
      </c>
      <c r="D4932" t="s">
        <v>8</v>
      </c>
      <c r="E4932" s="4" t="str">
        <f>HYPERLINK("https://ibp.a2mac1.com/costing(costing:projects/details/9760/component/8754386)","Screw &gt; Torx socket head cap screw with flange")</f>
        <v>Screw &gt; Torx socket head cap screw with flange</v>
      </c>
      <c r="F4932" t="s">
        <v>5417</v>
      </c>
    </row>
    <row r="4933" spans="1:6" x14ac:dyDescent="0.15">
      <c r="A4933">
        <v>8415631</v>
      </c>
      <c r="B4933">
        <v>8415582</v>
      </c>
      <c r="C4933" t="s">
        <v>8</v>
      </c>
      <c r="D4933" t="s">
        <v>8</v>
      </c>
      <c r="E4933" s="4" t="str">
        <f>HYPERLINK("https://ibp.a2mac1.com/costing(costing:projects/details/9760/assembly/8415631)","Door Mechanism")</f>
        <v>Door Mechanism</v>
      </c>
      <c r="F4933" t="s">
        <v>4954</v>
      </c>
    </row>
    <row r="4934" spans="1:6" x14ac:dyDescent="0.15">
      <c r="A4934">
        <v>8415853</v>
      </c>
      <c r="B4934">
        <v>8415631</v>
      </c>
      <c r="C4934" t="s">
        <v>8</v>
      </c>
      <c r="D4934" t="s">
        <v>8</v>
      </c>
      <c r="E4934" s="4" t="str">
        <f>HYPERLINK("https://ibp.a2mac1.com/costing(costing:projects/details/9760/assembly/8415853)","Interior Side")</f>
        <v>Interior Side</v>
      </c>
      <c r="F4934" t="s">
        <v>5429</v>
      </c>
    </row>
    <row r="4935" spans="1:6" x14ac:dyDescent="0.15">
      <c r="A4935">
        <v>8416204</v>
      </c>
      <c r="B4935">
        <v>8415853</v>
      </c>
      <c r="C4935" t="s">
        <v>10</v>
      </c>
      <c r="D4935" t="s">
        <v>8</v>
      </c>
      <c r="E4935" s="4" t="str">
        <f>HYPERLINK("https://ibp.a2mac1.com/costing(costing:projects/details/9760/part/8416204)","Opening Control")</f>
        <v>Opening Control</v>
      </c>
      <c r="F4935" t="s">
        <v>5430</v>
      </c>
    </row>
    <row r="4936" spans="1:6" x14ac:dyDescent="0.15">
      <c r="A4936">
        <v>12085504</v>
      </c>
      <c r="B4936">
        <v>8416204</v>
      </c>
      <c r="C4936" t="s">
        <v>114</v>
      </c>
      <c r="D4936" t="s">
        <v>10</v>
      </c>
      <c r="E4936" s="4" t="str">
        <f>HYPERLINK("https://ibp.a2mac1.com/costing(costing:projects/details/9760/process/12085504)","Injection molding")</f>
        <v>Injection molding</v>
      </c>
      <c r="F4936" t="s">
        <v>5431</v>
      </c>
    </row>
    <row r="4937" spans="1:6" x14ac:dyDescent="0.15">
      <c r="A4937">
        <v>8755228</v>
      </c>
      <c r="B4937">
        <v>12085504</v>
      </c>
      <c r="C4937" t="s">
        <v>22</v>
      </c>
      <c r="D4937" t="s">
        <v>114</v>
      </c>
      <c r="E4937" s="4" t="str">
        <f>HYPERLINK("https://ibp.a2mac1.com/costing(costing:projects/details/9760/material/8755228)","ABS-PC")</f>
        <v>ABS-PC</v>
      </c>
      <c r="F4937" t="s">
        <v>5432</v>
      </c>
    </row>
    <row r="4938" spans="1:6" x14ac:dyDescent="0.15">
      <c r="A4938">
        <v>12212702</v>
      </c>
      <c r="B4938">
        <v>12085504</v>
      </c>
      <c r="C4938" t="s">
        <v>163</v>
      </c>
      <c r="D4938" t="s">
        <v>114</v>
      </c>
      <c r="E4938" s="4" t="str">
        <f>HYPERLINK("https://ibp.a2mac1.com/costing(costing:projects/details/9760/equipment/12212702)","Equipment (Injection Molding)")</f>
        <v>Equipment (Injection Molding)</v>
      </c>
      <c r="F4938" t="s">
        <v>5432</v>
      </c>
    </row>
    <row r="4939" spans="1:6" x14ac:dyDescent="0.15">
      <c r="A4939">
        <v>8416205</v>
      </c>
      <c r="B4939">
        <v>8415853</v>
      </c>
      <c r="C4939" t="s">
        <v>10</v>
      </c>
      <c r="D4939" t="s">
        <v>8</v>
      </c>
      <c r="E4939" s="4" t="str">
        <f>HYPERLINK("https://ibp.a2mac1.com/costing(costing:projects/details/9760/part/8416205)","Opening Control Support")</f>
        <v>Opening Control Support</v>
      </c>
      <c r="F4939" t="s">
        <v>5430</v>
      </c>
    </row>
    <row r="4940" spans="1:6" x14ac:dyDescent="0.15">
      <c r="A4940">
        <v>12085505</v>
      </c>
      <c r="B4940">
        <v>8416205</v>
      </c>
      <c r="C4940" t="s">
        <v>114</v>
      </c>
      <c r="D4940" t="s">
        <v>10</v>
      </c>
      <c r="E4940" s="4" t="str">
        <f>HYPERLINK("https://ibp.a2mac1.com/costing(costing:projects/details/9760/process/12085505)","Injection molding")</f>
        <v>Injection molding</v>
      </c>
      <c r="F4940" t="s">
        <v>5435</v>
      </c>
    </row>
    <row r="4941" spans="1:6" x14ac:dyDescent="0.15">
      <c r="A4941">
        <v>8755229</v>
      </c>
      <c r="B4941">
        <v>12085505</v>
      </c>
      <c r="C4941" t="s">
        <v>22</v>
      </c>
      <c r="D4941" t="s">
        <v>114</v>
      </c>
      <c r="E4941" s="4" t="str">
        <f>HYPERLINK("https://ibp.a2mac1.com/costing(costing:projects/details/9760/material/8755229)","PA6-GF30")</f>
        <v>PA6-GF30</v>
      </c>
      <c r="F4941" t="s">
        <v>5438</v>
      </c>
    </row>
    <row r="4942" spans="1:6" x14ac:dyDescent="0.15">
      <c r="A4942">
        <v>12212703</v>
      </c>
      <c r="B4942">
        <v>12085505</v>
      </c>
      <c r="C4942" t="s">
        <v>163</v>
      </c>
      <c r="D4942" t="s">
        <v>114</v>
      </c>
      <c r="E4942" s="4" t="str">
        <f>HYPERLINK("https://ibp.a2mac1.com/costing(costing:projects/details/9760/equipment/12212703)","No.01 - Injection Press - 40T - 18kW - 270x270 - Max Volume 128cm3 ")</f>
        <v xml:space="preserve">No.01 - Injection Press - 40T - 18kW - 270x270 - Max Volume 128cm3 </v>
      </c>
      <c r="F4942" t="s">
        <v>5438</v>
      </c>
    </row>
    <row r="4943" spans="1:6" x14ac:dyDescent="0.15">
      <c r="A4943">
        <v>8416206</v>
      </c>
      <c r="B4943">
        <v>8415853</v>
      </c>
      <c r="C4943" t="s">
        <v>10</v>
      </c>
      <c r="D4943" t="s">
        <v>8</v>
      </c>
      <c r="E4943" s="4" t="str">
        <f>HYPERLINK("https://ibp.a2mac1.com/costing(costing:projects/details/9760/part/8416206)","Switch Opening")</f>
        <v>Switch Opening</v>
      </c>
      <c r="F4943" t="s">
        <v>5430</v>
      </c>
    </row>
    <row r="4944" spans="1:6" x14ac:dyDescent="0.15">
      <c r="A4944">
        <v>8416207</v>
      </c>
      <c r="B4944">
        <v>8415853</v>
      </c>
      <c r="C4944" t="s">
        <v>10</v>
      </c>
      <c r="D4944" t="s">
        <v>8</v>
      </c>
      <c r="E4944" s="4" t="str">
        <f>HYPERLINK("https://ibp.a2mac1.com/costing(costing:projects/details/9760/part/8416207)","Spring")</f>
        <v>Spring</v>
      </c>
      <c r="F4944" t="s">
        <v>5430</v>
      </c>
    </row>
    <row r="4945" spans="1:6" x14ac:dyDescent="0.15">
      <c r="A4945">
        <v>12085506</v>
      </c>
      <c r="B4945">
        <v>8416207</v>
      </c>
      <c r="C4945" t="s">
        <v>114</v>
      </c>
      <c r="D4945" t="s">
        <v>10</v>
      </c>
      <c r="E4945" s="4" t="str">
        <f>HYPERLINK("https://ibp.a2mac1.com/costing(costing:projects/details/9760/process/12085506)","Coiling + End forming")</f>
        <v>Coiling + End forming</v>
      </c>
      <c r="F4945" t="s">
        <v>5442</v>
      </c>
    </row>
    <row r="4946" spans="1:6" x14ac:dyDescent="0.15">
      <c r="A4946">
        <v>8755230</v>
      </c>
      <c r="B4946">
        <v>12085506</v>
      </c>
      <c r="C4946" t="s">
        <v>22</v>
      </c>
      <c r="D4946" t="s">
        <v>114</v>
      </c>
      <c r="E4946" s="4" t="str">
        <f>HYPERLINK("https://ibp.a2mac1.com/costing(costing:projects/details/9760/material/8755230)","Standard Structural Steel sheet")</f>
        <v>Standard Structural Steel sheet</v>
      </c>
      <c r="F4946" t="s">
        <v>5445</v>
      </c>
    </row>
    <row r="4947" spans="1:6" x14ac:dyDescent="0.15">
      <c r="A4947">
        <v>12212704</v>
      </c>
      <c r="B4947">
        <v>12085506</v>
      </c>
      <c r="C4947" t="s">
        <v>163</v>
      </c>
      <c r="D4947" t="s">
        <v>114</v>
      </c>
      <c r="E4947" s="4" t="str">
        <f>HYPERLINK("https://ibp.a2mac1.com/costing(costing:projects/details/9760/equipment/12212704)","Coiler Equipment ")</f>
        <v xml:space="preserve">Coiler Equipment </v>
      </c>
      <c r="F4947" t="s">
        <v>5445</v>
      </c>
    </row>
    <row r="4948" spans="1:6" x14ac:dyDescent="0.15">
      <c r="A4948">
        <v>12085507</v>
      </c>
      <c r="B4948">
        <v>8416207</v>
      </c>
      <c r="C4948" t="s">
        <v>114</v>
      </c>
      <c r="D4948" t="s">
        <v>10</v>
      </c>
      <c r="E4948" s="4" t="str">
        <f>HYPERLINK("https://ibp.a2mac1.com/costing(costing:projects/details/9760/process/12085507)","Heat treatment")</f>
        <v>Heat treatment</v>
      </c>
      <c r="F4948" t="s">
        <v>5442</v>
      </c>
    </row>
    <row r="4949" spans="1:6" x14ac:dyDescent="0.15">
      <c r="A4949">
        <v>12212705</v>
      </c>
      <c r="B4949">
        <v>12085507</v>
      </c>
      <c r="C4949" t="s">
        <v>163</v>
      </c>
      <c r="D4949" t="s">
        <v>114</v>
      </c>
      <c r="E4949" s="4" t="str">
        <f>HYPERLINK("https://ibp.a2mac1.com/costing(costing:projects/details/9760/equipment/12212705)","Furnace hardening line ")</f>
        <v xml:space="preserve">Furnace hardening line </v>
      </c>
      <c r="F4949" t="s">
        <v>5449</v>
      </c>
    </row>
    <row r="4950" spans="1:6" x14ac:dyDescent="0.15">
      <c r="A4950">
        <v>8416208</v>
      </c>
      <c r="B4950">
        <v>8415853</v>
      </c>
      <c r="C4950" t="s">
        <v>10</v>
      </c>
      <c r="D4950" t="s">
        <v>8</v>
      </c>
      <c r="E4950" s="4" t="str">
        <f>HYPERLINK("https://ibp.a2mac1.com/costing(costing:projects/details/9760/part/8416208)","Stopper")</f>
        <v>Stopper</v>
      </c>
      <c r="F4950" t="s">
        <v>5430</v>
      </c>
    </row>
    <row r="4951" spans="1:6" x14ac:dyDescent="0.15">
      <c r="A4951">
        <v>8754533</v>
      </c>
      <c r="B4951">
        <v>8415853</v>
      </c>
      <c r="C4951" t="s">
        <v>311</v>
      </c>
      <c r="D4951" t="s">
        <v>8</v>
      </c>
      <c r="E4951" s="4" t="str">
        <f>HYPERLINK("https://ibp.a2mac1.com/costing(costing:projects/details/9760/component/8754533)","Pin clip &gt; Dowel pin")</f>
        <v>Pin clip &gt; Dowel pin</v>
      </c>
      <c r="F4951" t="s">
        <v>5430</v>
      </c>
    </row>
    <row r="4952" spans="1:6" x14ac:dyDescent="0.15">
      <c r="A4952">
        <v>8754534</v>
      </c>
      <c r="B4952">
        <v>8415853</v>
      </c>
      <c r="C4952" t="s">
        <v>311</v>
      </c>
      <c r="D4952" t="s">
        <v>8</v>
      </c>
      <c r="E4952" s="4" t="str">
        <f>HYPERLINK("https://ibp.a2mac1.com/costing(costing:projects/details/9760/component/8754534)","Screw &gt; Cross recessed screw with flange")</f>
        <v>Screw &gt; Cross recessed screw with flange</v>
      </c>
      <c r="F4952" t="s">
        <v>5430</v>
      </c>
    </row>
    <row r="4953" spans="1:6" x14ac:dyDescent="0.15">
      <c r="A4953">
        <v>8415854</v>
      </c>
      <c r="B4953">
        <v>8415631</v>
      </c>
      <c r="C4953" t="s">
        <v>8</v>
      </c>
      <c r="D4953" t="s">
        <v>8</v>
      </c>
      <c r="E4953" s="4" t="str">
        <f>HYPERLINK("https://ibp.a2mac1.com/costing(costing:projects/details/9760/assembly/8415854)","Exterior Side")</f>
        <v>Exterior Side</v>
      </c>
      <c r="F4953" t="s">
        <v>5429</v>
      </c>
    </row>
    <row r="4954" spans="1:6" x14ac:dyDescent="0.15">
      <c r="A4954">
        <v>8416209</v>
      </c>
      <c r="B4954">
        <v>8415854</v>
      </c>
      <c r="C4954" t="s">
        <v>10</v>
      </c>
      <c r="D4954" t="s">
        <v>8</v>
      </c>
      <c r="E4954" s="4" t="str">
        <f>HYPERLINK("https://ibp.a2mac1.com/costing(costing:projects/details/9760/part/8416209)","Opening Control")</f>
        <v>Opening Control</v>
      </c>
      <c r="F4954" t="s">
        <v>5453</v>
      </c>
    </row>
    <row r="4955" spans="1:6" x14ac:dyDescent="0.15">
      <c r="A4955">
        <v>12085508</v>
      </c>
      <c r="B4955">
        <v>8416209</v>
      </c>
      <c r="C4955" t="s">
        <v>114</v>
      </c>
      <c r="D4955" t="s">
        <v>10</v>
      </c>
      <c r="E4955" s="4" t="str">
        <f>HYPERLINK("https://ibp.a2mac1.com/costing(costing:projects/details/9760/process/12085508)","Injection molding")</f>
        <v>Injection molding</v>
      </c>
      <c r="F4955" t="s">
        <v>5454</v>
      </c>
    </row>
    <row r="4956" spans="1:6" x14ac:dyDescent="0.15">
      <c r="A4956">
        <v>8755231</v>
      </c>
      <c r="B4956">
        <v>12085508</v>
      </c>
      <c r="C4956" t="s">
        <v>22</v>
      </c>
      <c r="D4956" t="s">
        <v>114</v>
      </c>
      <c r="E4956" s="4" t="str">
        <f>HYPERLINK("https://ibp.a2mac1.com/costing(costing:projects/details/9760/material/8755231)","PA6-GF30")</f>
        <v>PA6-GF30</v>
      </c>
      <c r="F4956" t="s">
        <v>5455</v>
      </c>
    </row>
    <row r="4957" spans="1:6" x14ac:dyDescent="0.15">
      <c r="A4957">
        <v>12212706</v>
      </c>
      <c r="B4957">
        <v>12085508</v>
      </c>
      <c r="C4957" t="s">
        <v>163</v>
      </c>
      <c r="D4957" t="s">
        <v>114</v>
      </c>
      <c r="E4957" s="4" t="str">
        <f>HYPERLINK("https://ibp.a2mac1.com/costing(costing:projects/details/9760/equipment/12212706)","No.01 - Injection Press - 40T - 18kW - 270x270 - Max Volume 128cm3 ")</f>
        <v xml:space="preserve">No.01 - Injection Press - 40T - 18kW - 270x270 - Max Volume 128cm3 </v>
      </c>
      <c r="F4957" t="s">
        <v>5455</v>
      </c>
    </row>
    <row r="4958" spans="1:6" x14ac:dyDescent="0.15">
      <c r="A4958">
        <v>8416210</v>
      </c>
      <c r="B4958">
        <v>8415854</v>
      </c>
      <c r="C4958" t="s">
        <v>10</v>
      </c>
      <c r="D4958" t="s">
        <v>8</v>
      </c>
      <c r="E4958" s="4" t="str">
        <f>HYPERLINK("https://ibp.a2mac1.com/costing(costing:projects/details/9760/part/8416210)","Opening Control Support")</f>
        <v>Opening Control Support</v>
      </c>
      <c r="F4958" t="s">
        <v>5453</v>
      </c>
    </row>
    <row r="4959" spans="1:6" x14ac:dyDescent="0.15">
      <c r="A4959">
        <v>12085509</v>
      </c>
      <c r="B4959">
        <v>8416210</v>
      </c>
      <c r="C4959" t="s">
        <v>114</v>
      </c>
      <c r="D4959" t="s">
        <v>10</v>
      </c>
      <c r="E4959" s="4" t="str">
        <f>HYPERLINK("https://ibp.a2mac1.com/costing(costing:projects/details/9760/process/12085509)","Injection molding")</f>
        <v>Injection molding</v>
      </c>
      <c r="F4959" t="s">
        <v>5459</v>
      </c>
    </row>
    <row r="4960" spans="1:6" x14ac:dyDescent="0.15">
      <c r="A4960">
        <v>8755232</v>
      </c>
      <c r="B4960">
        <v>12085509</v>
      </c>
      <c r="C4960" t="s">
        <v>22</v>
      </c>
      <c r="D4960" t="s">
        <v>114</v>
      </c>
      <c r="E4960" s="4" t="str">
        <f>HYPERLINK("https://ibp.a2mac1.com/costing(costing:projects/details/9760/material/8755232)","PA6-GF30")</f>
        <v>PA6-GF30</v>
      </c>
      <c r="F4960" t="s">
        <v>5462</v>
      </c>
    </row>
    <row r="4961" spans="1:6" x14ac:dyDescent="0.15">
      <c r="A4961">
        <v>12212707</v>
      </c>
      <c r="B4961">
        <v>12085509</v>
      </c>
      <c r="C4961" t="s">
        <v>163</v>
      </c>
      <c r="D4961" t="s">
        <v>114</v>
      </c>
      <c r="E4961" s="4" t="str">
        <f>HYPERLINK("https://ibp.a2mac1.com/costing(costing:projects/details/9760/equipment/12212707)","No.06 - Injection Press - 200T - 45kW - 510x510 - Max Volume 624cm3 ")</f>
        <v xml:space="preserve">No.06 - Injection Press - 200T - 45kW - 510x510 - Max Volume 624cm3 </v>
      </c>
      <c r="F4961" t="s">
        <v>5462</v>
      </c>
    </row>
    <row r="4962" spans="1:6" x14ac:dyDescent="0.15">
      <c r="A4962">
        <v>8416211</v>
      </c>
      <c r="B4962">
        <v>8415854</v>
      </c>
      <c r="C4962" t="s">
        <v>10</v>
      </c>
      <c r="D4962" t="s">
        <v>8</v>
      </c>
      <c r="E4962" s="4" t="str">
        <f>HYPERLINK("https://ibp.a2mac1.com/costing(costing:projects/details/9760/part/8416211)","Bezel")</f>
        <v>Bezel</v>
      </c>
      <c r="F4962" t="s">
        <v>5453</v>
      </c>
    </row>
    <row r="4963" spans="1:6" x14ac:dyDescent="0.15">
      <c r="A4963">
        <v>12085510</v>
      </c>
      <c r="B4963">
        <v>8416211</v>
      </c>
      <c r="C4963" t="s">
        <v>114</v>
      </c>
      <c r="D4963" t="s">
        <v>10</v>
      </c>
      <c r="E4963" s="4" t="str">
        <f>HYPERLINK("https://ibp.a2mac1.com/costing(costing:projects/details/9760/process/12085510)","Injection molding")</f>
        <v>Injection molding</v>
      </c>
      <c r="F4963" t="s">
        <v>5465</v>
      </c>
    </row>
    <row r="4964" spans="1:6" x14ac:dyDescent="0.15">
      <c r="A4964">
        <v>8755233</v>
      </c>
      <c r="B4964">
        <v>12085510</v>
      </c>
      <c r="C4964" t="s">
        <v>22</v>
      </c>
      <c r="D4964" t="s">
        <v>114</v>
      </c>
      <c r="E4964" s="4" t="str">
        <f>HYPERLINK("https://ibp.a2mac1.com/costing(costing:projects/details/9760/material/8755233)","PBT-PC")</f>
        <v>PBT-PC</v>
      </c>
      <c r="F4964" t="s">
        <v>5467</v>
      </c>
    </row>
    <row r="4965" spans="1:6" x14ac:dyDescent="0.15">
      <c r="A4965">
        <v>12212708</v>
      </c>
      <c r="B4965">
        <v>12085510</v>
      </c>
      <c r="C4965" t="s">
        <v>163</v>
      </c>
      <c r="D4965" t="s">
        <v>114</v>
      </c>
      <c r="E4965" s="4" t="str">
        <f>HYPERLINK("https://ibp.a2mac1.com/costing(costing:projects/details/9760/equipment/12212708)","No.02 - Injection Press - 60T - 25kW - 320x320 - Max Volume 164cm3 ")</f>
        <v xml:space="preserve">No.02 - Injection Press - 60T - 25kW - 320x320 - Max Volume 164cm3 </v>
      </c>
      <c r="F4965" t="s">
        <v>5467</v>
      </c>
    </row>
    <row r="4966" spans="1:6" x14ac:dyDescent="0.15">
      <c r="A4966">
        <v>12085511</v>
      </c>
      <c r="B4966">
        <v>8416211</v>
      </c>
      <c r="C4966" t="s">
        <v>114</v>
      </c>
      <c r="D4966" t="s">
        <v>10</v>
      </c>
      <c r="E4966" s="4" t="str">
        <f>HYPERLINK("https://ibp.a2mac1.com/costing(costing:projects/details/9760/process/12085511)","Painting")</f>
        <v>Painting</v>
      </c>
      <c r="F4966" t="s">
        <v>5465</v>
      </c>
    </row>
    <row r="4967" spans="1:6" x14ac:dyDescent="0.15">
      <c r="A4967">
        <v>8755234</v>
      </c>
      <c r="B4967">
        <v>12085511</v>
      </c>
      <c r="C4967" t="s">
        <v>22</v>
      </c>
      <c r="D4967" t="s">
        <v>114</v>
      </c>
      <c r="E4967" s="4" t="str">
        <f>HYPERLINK("https://ibp.a2mac1.com/costing(costing:projects/details/9760/material/8755234)","Paint - Base")</f>
        <v>Paint - Base</v>
      </c>
      <c r="F4967" t="s">
        <v>5470</v>
      </c>
    </row>
    <row r="4968" spans="1:6" x14ac:dyDescent="0.15">
      <c r="A4968">
        <v>8755235</v>
      </c>
      <c r="B4968">
        <v>12085511</v>
      </c>
      <c r="C4968" t="s">
        <v>22</v>
      </c>
      <c r="D4968" t="s">
        <v>114</v>
      </c>
      <c r="E4968" s="4" t="str">
        <f>HYPERLINK("https://ibp.a2mac1.com/costing(costing:projects/details/9760/material/8755235)","Paint - Primer")</f>
        <v>Paint - Primer</v>
      </c>
      <c r="F4968" t="s">
        <v>5470</v>
      </c>
    </row>
    <row r="4969" spans="1:6" x14ac:dyDescent="0.15">
      <c r="A4969">
        <v>8755236</v>
      </c>
      <c r="B4969">
        <v>12085511</v>
      </c>
      <c r="C4969" t="s">
        <v>22</v>
      </c>
      <c r="D4969" t="s">
        <v>114</v>
      </c>
      <c r="E4969" s="4" t="str">
        <f>HYPERLINK("https://ibp.a2mac1.com/costing(costing:projects/details/9760/material/8755236)","Paint - Clear Coat")</f>
        <v>Paint - Clear Coat</v>
      </c>
      <c r="F4969" t="s">
        <v>5470</v>
      </c>
    </row>
    <row r="4970" spans="1:6" x14ac:dyDescent="0.15">
      <c r="A4970">
        <v>12212709</v>
      </c>
      <c r="B4970">
        <v>12085511</v>
      </c>
      <c r="C4970" t="s">
        <v>163</v>
      </c>
      <c r="D4970" t="s">
        <v>114</v>
      </c>
      <c r="E4970" s="4" t="str">
        <f>HYPERLINK("https://ibp.a2mac1.com/costing(costing:projects/details/9760/equipment/12212709)","No.04 - 60000x6000x3500 - Automatic Painting Line - with 12x100kW on line ovens ")</f>
        <v xml:space="preserve">No.04 - 60000x6000x3500 - Automatic Painting Line - with 12x100kW on line ovens </v>
      </c>
      <c r="F4970" t="s">
        <v>5470</v>
      </c>
    </row>
    <row r="4971" spans="1:6" x14ac:dyDescent="0.15">
      <c r="A4971">
        <v>12212710</v>
      </c>
      <c r="B4971">
        <v>12085511</v>
      </c>
      <c r="C4971" t="s">
        <v>163</v>
      </c>
      <c r="D4971" t="s">
        <v>114</v>
      </c>
      <c r="E4971" s="4" t="str">
        <f>HYPERLINK("https://ibp.a2mac1.com/costing(costing:projects/details/9760/equipment/12212710)","Loading + Unloading, Retouching, Checking")</f>
        <v>Loading + Unloading, Retouching, Checking</v>
      </c>
      <c r="F4971" t="s">
        <v>5470</v>
      </c>
    </row>
    <row r="4972" spans="1:6" x14ac:dyDescent="0.15">
      <c r="A4972">
        <v>8416212</v>
      </c>
      <c r="B4972">
        <v>8415854</v>
      </c>
      <c r="C4972" t="s">
        <v>10</v>
      </c>
      <c r="D4972" t="s">
        <v>8</v>
      </c>
      <c r="E4972" s="4" t="str">
        <f>HYPERLINK("https://ibp.a2mac1.com/costing(costing:projects/details/9760/part/8416212)","2nd Bezel")</f>
        <v>2nd Bezel</v>
      </c>
      <c r="F4972" t="s">
        <v>5453</v>
      </c>
    </row>
    <row r="4973" spans="1:6" x14ac:dyDescent="0.15">
      <c r="A4973">
        <v>12085513</v>
      </c>
      <c r="B4973">
        <v>8416212</v>
      </c>
      <c r="C4973" t="s">
        <v>114</v>
      </c>
      <c r="D4973" t="s">
        <v>10</v>
      </c>
      <c r="E4973" s="4" t="str">
        <f>HYPERLINK("https://ibp.a2mac1.com/costing(costing:projects/details/9760/process/12085513)","Injection molding")</f>
        <v>Injection molding</v>
      </c>
      <c r="F4973" t="s">
        <v>5473</v>
      </c>
    </row>
    <row r="4974" spans="1:6" x14ac:dyDescent="0.15">
      <c r="A4974">
        <v>8755240</v>
      </c>
      <c r="B4974">
        <v>12085513</v>
      </c>
      <c r="C4974" t="s">
        <v>22</v>
      </c>
      <c r="D4974" t="s">
        <v>114</v>
      </c>
      <c r="E4974" s="4" t="str">
        <f>HYPERLINK("https://ibp.a2mac1.com/costing(costing:projects/details/9760/material/8755240)","PBT-PC")</f>
        <v>PBT-PC</v>
      </c>
      <c r="F4974" t="s">
        <v>5476</v>
      </c>
    </row>
    <row r="4975" spans="1:6" x14ac:dyDescent="0.15">
      <c r="A4975">
        <v>12212713</v>
      </c>
      <c r="B4975">
        <v>12085513</v>
      </c>
      <c r="C4975" t="s">
        <v>163</v>
      </c>
      <c r="D4975" t="s">
        <v>114</v>
      </c>
      <c r="E4975" s="4" t="str">
        <f>HYPERLINK("https://ibp.a2mac1.com/costing(costing:projects/details/9760/equipment/12212713)","Equipment (Injection Molding)")</f>
        <v>Equipment (Injection Molding)</v>
      </c>
      <c r="F4975" t="s">
        <v>5476</v>
      </c>
    </row>
    <row r="4976" spans="1:6" x14ac:dyDescent="0.15">
      <c r="A4976">
        <v>12085512</v>
      </c>
      <c r="B4976">
        <v>8416212</v>
      </c>
      <c r="C4976" t="s">
        <v>114</v>
      </c>
      <c r="D4976" t="s">
        <v>10</v>
      </c>
      <c r="E4976" s="4" t="str">
        <f>HYPERLINK("https://ibp.a2mac1.com/costing(costing:projects/details/9760/process/12085512)","Painting")</f>
        <v>Painting</v>
      </c>
      <c r="F4976" t="s">
        <v>5473</v>
      </c>
    </row>
    <row r="4977" spans="1:6" x14ac:dyDescent="0.15">
      <c r="A4977">
        <v>8755237</v>
      </c>
      <c r="B4977">
        <v>12085512</v>
      </c>
      <c r="C4977" t="s">
        <v>22</v>
      </c>
      <c r="D4977" t="s">
        <v>114</v>
      </c>
      <c r="E4977" s="4" t="str">
        <f>HYPERLINK("https://ibp.a2mac1.com/costing(costing:projects/details/9760/material/8755237)","Paint - Base")</f>
        <v>Paint - Base</v>
      </c>
      <c r="F4977" t="s">
        <v>5477</v>
      </c>
    </row>
    <row r="4978" spans="1:6" x14ac:dyDescent="0.15">
      <c r="A4978">
        <v>8755238</v>
      </c>
      <c r="B4978">
        <v>12085512</v>
      </c>
      <c r="C4978" t="s">
        <v>22</v>
      </c>
      <c r="D4978" t="s">
        <v>114</v>
      </c>
      <c r="E4978" s="4" t="str">
        <f>HYPERLINK("https://ibp.a2mac1.com/costing(costing:projects/details/9760/material/8755238)","Paint - Primer")</f>
        <v>Paint - Primer</v>
      </c>
      <c r="F4978" t="s">
        <v>5477</v>
      </c>
    </row>
    <row r="4979" spans="1:6" x14ac:dyDescent="0.15">
      <c r="A4979">
        <v>8755239</v>
      </c>
      <c r="B4979">
        <v>12085512</v>
      </c>
      <c r="C4979" t="s">
        <v>22</v>
      </c>
      <c r="D4979" t="s">
        <v>114</v>
      </c>
      <c r="E4979" s="4" t="str">
        <f>HYPERLINK("https://ibp.a2mac1.com/costing(costing:projects/details/9760/material/8755239)","Paint - Clear Coat")</f>
        <v>Paint - Clear Coat</v>
      </c>
      <c r="F4979" t="s">
        <v>5477</v>
      </c>
    </row>
    <row r="4980" spans="1:6" x14ac:dyDescent="0.15">
      <c r="A4980">
        <v>12212711</v>
      </c>
      <c r="B4980">
        <v>12085512</v>
      </c>
      <c r="C4980" t="s">
        <v>163</v>
      </c>
      <c r="D4980" t="s">
        <v>114</v>
      </c>
      <c r="E4980" s="4" t="str">
        <f>HYPERLINK("https://ibp.a2mac1.com/costing(costing:projects/details/9760/equipment/12212711)","No.04 - 60000x6000x3500 - Automatic Painting Line - with 12x100kW on line ovens ")</f>
        <v xml:space="preserve">No.04 - 60000x6000x3500 - Automatic Painting Line - with 12x100kW on line ovens </v>
      </c>
      <c r="F4980" t="s">
        <v>5477</v>
      </c>
    </row>
    <row r="4981" spans="1:6" x14ac:dyDescent="0.15">
      <c r="A4981">
        <v>12212712</v>
      </c>
      <c r="B4981">
        <v>12085512</v>
      </c>
      <c r="C4981" t="s">
        <v>163</v>
      </c>
      <c r="D4981" t="s">
        <v>114</v>
      </c>
      <c r="E4981" s="4" t="str">
        <f>HYPERLINK("https://ibp.a2mac1.com/costing(costing:projects/details/9760/equipment/12212712)","Loading + Unloading, Retouching, Checking")</f>
        <v>Loading + Unloading, Retouching, Checking</v>
      </c>
      <c r="F4981" t="s">
        <v>5477</v>
      </c>
    </row>
    <row r="4982" spans="1:6" x14ac:dyDescent="0.15">
      <c r="A4982">
        <v>8416213</v>
      </c>
      <c r="B4982">
        <v>8415854</v>
      </c>
      <c r="C4982" t="s">
        <v>10</v>
      </c>
      <c r="D4982" t="s">
        <v>8</v>
      </c>
      <c r="E4982" s="4" t="str">
        <f>HYPERLINK("https://ibp.a2mac1.com/costing(costing:projects/details/9760/part/8416213)","Welcome Light")</f>
        <v>Welcome Light</v>
      </c>
      <c r="F4982" t="s">
        <v>5453</v>
      </c>
    </row>
    <row r="4983" spans="1:6" x14ac:dyDescent="0.15">
      <c r="A4983">
        <v>8416214</v>
      </c>
      <c r="B4983">
        <v>8415854</v>
      </c>
      <c r="C4983" t="s">
        <v>10</v>
      </c>
      <c r="D4983" t="s">
        <v>8</v>
      </c>
      <c r="E4983" s="4" t="str">
        <f>HYPERLINK("https://ibp.a2mac1.com/costing(costing:projects/details/9760/part/8416214)","Unlocking Contactor")</f>
        <v>Unlocking Contactor</v>
      </c>
      <c r="F4983" t="s">
        <v>5453</v>
      </c>
    </row>
    <row r="4984" spans="1:6" x14ac:dyDescent="0.15">
      <c r="A4984">
        <v>8416215</v>
      </c>
      <c r="B4984">
        <v>8415854</v>
      </c>
      <c r="C4984" t="s">
        <v>10</v>
      </c>
      <c r="D4984" t="s">
        <v>8</v>
      </c>
      <c r="E4984" s="4" t="str">
        <f>HYPERLINK("https://ibp.a2mac1.com/costing(costing:projects/details/9760/part/8416215)","Mechanism")</f>
        <v>Mechanism</v>
      </c>
      <c r="F4984" t="s">
        <v>5453</v>
      </c>
    </row>
    <row r="4985" spans="1:6" x14ac:dyDescent="0.15">
      <c r="A4985">
        <v>12085514</v>
      </c>
      <c r="B4985">
        <v>8416215</v>
      </c>
      <c r="C4985" t="s">
        <v>114</v>
      </c>
      <c r="D4985" t="s">
        <v>10</v>
      </c>
      <c r="E4985" s="4" t="str">
        <f>HYPERLINK("https://ibp.a2mac1.com/costing(costing:projects/details/9760/process/12085514)","Injection molding ")</f>
        <v xml:space="preserve">Injection molding </v>
      </c>
      <c r="F4985" t="s">
        <v>5481</v>
      </c>
    </row>
    <row r="4986" spans="1:6" x14ac:dyDescent="0.15">
      <c r="A4986">
        <v>8755241</v>
      </c>
      <c r="B4986">
        <v>12085514</v>
      </c>
      <c r="C4986" t="s">
        <v>22</v>
      </c>
      <c r="D4986" t="s">
        <v>114</v>
      </c>
      <c r="E4986" s="4" t="str">
        <f>HYPERLINK("https://ibp.a2mac1.com/costing(costing:projects/details/9760/material/8755241)","POM-GF30")</f>
        <v>POM-GF30</v>
      </c>
      <c r="F4986" t="s">
        <v>5482</v>
      </c>
    </row>
    <row r="4987" spans="1:6" x14ac:dyDescent="0.15">
      <c r="A4987">
        <v>12212714</v>
      </c>
      <c r="B4987">
        <v>12085514</v>
      </c>
      <c r="C4987" t="s">
        <v>163</v>
      </c>
      <c r="D4987" t="s">
        <v>114</v>
      </c>
      <c r="E4987" s="4" t="str">
        <f>HYPERLINK("https://ibp.a2mac1.com/costing(costing:projects/details/9760/equipment/12212714)","No.01 - Injection Press - 40T - 18kW - 270x270 - Max Volume 128cm3 ")</f>
        <v xml:space="preserve">No.01 - Injection Press - 40T - 18kW - 270x270 - Max Volume 128cm3 </v>
      </c>
      <c r="F4987" t="s">
        <v>5482</v>
      </c>
    </row>
    <row r="4988" spans="1:6" x14ac:dyDescent="0.15">
      <c r="A4988">
        <v>8754535</v>
      </c>
      <c r="B4988">
        <v>8415854</v>
      </c>
      <c r="C4988" t="s">
        <v>311</v>
      </c>
      <c r="D4988" t="s">
        <v>8</v>
      </c>
      <c r="E4988" s="4" t="str">
        <f>HYPERLINK("https://ibp.a2mac1.com/costing(costing:projects/details/9760/component/8754535)","Pin clip &gt; Dowel pin")</f>
        <v>Pin clip &gt; Dowel pin</v>
      </c>
      <c r="F4988" t="s">
        <v>5453</v>
      </c>
    </row>
    <row r="4989" spans="1:6" x14ac:dyDescent="0.15">
      <c r="A4989">
        <v>8754536</v>
      </c>
      <c r="B4989">
        <v>8415854</v>
      </c>
      <c r="C4989" t="s">
        <v>311</v>
      </c>
      <c r="D4989" t="s">
        <v>8</v>
      </c>
      <c r="E4989" s="4" t="str">
        <f>HYPERLINK("https://ibp.a2mac1.com/costing(costing:projects/details/9760/component/8754536)","Screw &gt; Hexagon screw with flange")</f>
        <v>Screw &gt; Hexagon screw with flange</v>
      </c>
      <c r="F4989" t="s">
        <v>5453</v>
      </c>
    </row>
    <row r="4990" spans="1:6" x14ac:dyDescent="0.15">
      <c r="A4990">
        <v>8415849</v>
      </c>
      <c r="B4990">
        <v>8415631</v>
      </c>
      <c r="C4990" t="s">
        <v>10</v>
      </c>
      <c r="D4990" t="s">
        <v>8</v>
      </c>
      <c r="E4990" s="4" t="str">
        <f>HYPERLINK("https://ibp.a2mac1.com/costing(costing:projects/details/9760/part/8415849)","Door Latch")</f>
        <v>Door Latch</v>
      </c>
      <c r="F4990" t="s">
        <v>5429</v>
      </c>
    </row>
    <row r="4991" spans="1:6" x14ac:dyDescent="0.15">
      <c r="A4991">
        <v>8415850</v>
      </c>
      <c r="B4991">
        <v>8415631</v>
      </c>
      <c r="C4991" t="s">
        <v>10</v>
      </c>
      <c r="D4991" t="s">
        <v>8</v>
      </c>
      <c r="E4991" s="4" t="str">
        <f>HYPERLINK("https://ibp.a2mac1.com/costing(costing:projects/details/9760/part/8415850)","Door Striker")</f>
        <v>Door Striker</v>
      </c>
      <c r="F4991" t="s">
        <v>5429</v>
      </c>
    </row>
    <row r="4992" spans="1:6" x14ac:dyDescent="0.15">
      <c r="A4992">
        <v>12085217</v>
      </c>
      <c r="B4992">
        <v>8415850</v>
      </c>
      <c r="C4992" t="s">
        <v>114</v>
      </c>
      <c r="D4992" t="s">
        <v>10</v>
      </c>
      <c r="E4992" s="4" t="str">
        <f>HYPERLINK("https://ibp.a2mac1.com/costing(costing:projects/details/9760/process/12085217)","Stamping ")</f>
        <v xml:space="preserve">Stamping </v>
      </c>
      <c r="F4992" t="s">
        <v>5489</v>
      </c>
    </row>
    <row r="4993" spans="1:6" x14ac:dyDescent="0.15">
      <c r="A4993">
        <v>8754795</v>
      </c>
      <c r="B4993">
        <v>12085217</v>
      </c>
      <c r="C4993" t="s">
        <v>22</v>
      </c>
      <c r="D4993" t="s">
        <v>114</v>
      </c>
      <c r="E4993" s="4" t="str">
        <f>HYPERLINK("https://ibp.a2mac1.com/costing(costing:projects/details/9760/material/8754795)","Standard Structural Steel sheet")</f>
        <v>Standard Structural Steel sheet</v>
      </c>
      <c r="F4993" t="s">
        <v>5492</v>
      </c>
    </row>
    <row r="4994" spans="1:6" x14ac:dyDescent="0.15">
      <c r="A4994">
        <v>12212312</v>
      </c>
      <c r="B4994">
        <v>12085217</v>
      </c>
      <c r="C4994" t="s">
        <v>163</v>
      </c>
      <c r="D4994" t="s">
        <v>114</v>
      </c>
      <c r="E4994" s="4" t="str">
        <f>HYPERLINK("https://ibp.a2mac1.com/costing(costing:projects/details/9760/equipment/12212312)","Equipment (Stamping)")</f>
        <v>Equipment (Stamping)</v>
      </c>
      <c r="F4994" t="s">
        <v>5492</v>
      </c>
    </row>
    <row r="4995" spans="1:6" x14ac:dyDescent="0.15">
      <c r="A4995">
        <v>12085218</v>
      </c>
      <c r="B4995">
        <v>8415850</v>
      </c>
      <c r="C4995" t="s">
        <v>114</v>
      </c>
      <c r="D4995" t="s">
        <v>10</v>
      </c>
      <c r="E4995" s="4" t="str">
        <f>HYPERLINK("https://ibp.a2mac1.com/costing(costing:projects/details/9760/process/12085218)","Wire Bending")</f>
        <v>Wire Bending</v>
      </c>
      <c r="F4995" t="s">
        <v>5489</v>
      </c>
    </row>
    <row r="4996" spans="1:6" x14ac:dyDescent="0.15">
      <c r="A4996">
        <v>12212313</v>
      </c>
      <c r="B4996">
        <v>12085218</v>
      </c>
      <c r="C4996" t="s">
        <v>163</v>
      </c>
      <c r="D4996" t="s">
        <v>114</v>
      </c>
      <c r="E4996" s="4" t="str">
        <f>HYPERLINK("https://ibp.a2mac1.com/costing(costing:projects/details/9760/equipment/12212313)","No.01 - Generic CN Wire Bending ")</f>
        <v xml:space="preserve">No.01 - Generic CN Wire Bending </v>
      </c>
      <c r="F4996" t="s">
        <v>5495</v>
      </c>
    </row>
    <row r="4997" spans="1:6" x14ac:dyDescent="0.15">
      <c r="A4997">
        <v>12085216</v>
      </c>
      <c r="B4997">
        <v>8415850</v>
      </c>
      <c r="C4997" t="s">
        <v>114</v>
      </c>
      <c r="D4997" t="s">
        <v>10</v>
      </c>
      <c r="E4997" s="4" t="str">
        <f>HYPERLINK("https://ibp.a2mac1.com/costing(costing:projects/details/9760/process/12085216)","Press fit")</f>
        <v>Press fit</v>
      </c>
      <c r="F4997" t="s">
        <v>5489</v>
      </c>
    </row>
    <row r="4998" spans="1:6" x14ac:dyDescent="0.15">
      <c r="A4998">
        <v>12212311</v>
      </c>
      <c r="B4998">
        <v>12085216</v>
      </c>
      <c r="C4998" t="s">
        <v>163</v>
      </c>
      <c r="D4998" t="s">
        <v>114</v>
      </c>
      <c r="E4998" s="4" t="str">
        <f>HYPERLINK("https://ibp.a2mac1.com/costing(costing:projects/details/9760/equipment/12212311)","No.04 - Press Fit Assembly ")</f>
        <v xml:space="preserve">No.04 - Press Fit Assembly </v>
      </c>
      <c r="F4998" t="s">
        <v>5496</v>
      </c>
    </row>
    <row r="4999" spans="1:6" x14ac:dyDescent="0.15">
      <c r="A4999">
        <v>8415851</v>
      </c>
      <c r="B4999">
        <v>8415631</v>
      </c>
      <c r="C4999" t="s">
        <v>10</v>
      </c>
      <c r="D4999" t="s">
        <v>8</v>
      </c>
      <c r="E4999" s="4" t="str">
        <f>HYPERLINK("https://ibp.a2mac1.com/costing(costing:projects/details/9760/part/8415851)","Access Cover")</f>
        <v>Access Cover</v>
      </c>
      <c r="F4999" t="s">
        <v>5429</v>
      </c>
    </row>
    <row r="5000" spans="1:6" x14ac:dyDescent="0.15">
      <c r="A5000">
        <v>12085219</v>
      </c>
      <c r="B5000">
        <v>8415851</v>
      </c>
      <c r="C5000" t="s">
        <v>114</v>
      </c>
      <c r="D5000" t="s">
        <v>10</v>
      </c>
      <c r="E5000" s="4" t="str">
        <f>HYPERLINK("https://ibp.a2mac1.com/costing(costing:projects/details/9760/process/12085219)","Injection molding")</f>
        <v>Injection molding</v>
      </c>
      <c r="F5000" t="s">
        <v>5498</v>
      </c>
    </row>
    <row r="5001" spans="1:6" x14ac:dyDescent="0.15">
      <c r="A5001">
        <v>8754796</v>
      </c>
      <c r="B5001">
        <v>12085219</v>
      </c>
      <c r="C5001" t="s">
        <v>22</v>
      </c>
      <c r="D5001" t="s">
        <v>114</v>
      </c>
      <c r="E5001" s="4" t="str">
        <f>HYPERLINK("https://ibp.a2mac1.com/costing(costing:projects/details/9760/material/8754796)","PP-EPDM")</f>
        <v>PP-EPDM</v>
      </c>
      <c r="F5001" t="s">
        <v>5500</v>
      </c>
    </row>
    <row r="5002" spans="1:6" x14ac:dyDescent="0.15">
      <c r="A5002">
        <v>12212314</v>
      </c>
      <c r="B5002">
        <v>12085219</v>
      </c>
      <c r="C5002" t="s">
        <v>163</v>
      </c>
      <c r="D5002" t="s">
        <v>114</v>
      </c>
      <c r="E5002" s="4" t="str">
        <f>HYPERLINK("https://ibp.a2mac1.com/costing(costing:projects/details/9760/equipment/12212314)","Equipment (Injection Molding)")</f>
        <v>Equipment (Injection Molding)</v>
      </c>
      <c r="F5002" t="s">
        <v>5500</v>
      </c>
    </row>
    <row r="5003" spans="1:6" x14ac:dyDescent="0.15">
      <c r="A5003">
        <v>8415852</v>
      </c>
      <c r="B5003">
        <v>8415631</v>
      </c>
      <c r="C5003" t="s">
        <v>10</v>
      </c>
      <c r="D5003" t="s">
        <v>8</v>
      </c>
      <c r="E5003" s="4" t="str">
        <f>HYPERLINK("https://ibp.a2mac1.com/costing(costing:projects/details/9760/part/8415852)","Closing Assist Actuator")</f>
        <v>Closing Assist Actuator</v>
      </c>
      <c r="F5003" t="s">
        <v>5429</v>
      </c>
    </row>
    <row r="5004" spans="1:6" x14ac:dyDescent="0.15">
      <c r="A5004">
        <v>12085088</v>
      </c>
      <c r="B5004">
        <v>8415631</v>
      </c>
      <c r="C5004" t="s">
        <v>114</v>
      </c>
      <c r="D5004" t="s">
        <v>8</v>
      </c>
      <c r="E5004" s="4" t="str">
        <f>HYPERLINK("https://ibp.a2mac1.com/costing(costing:projects/details/9760/process/12085088)","Assembly")</f>
        <v>Assembly</v>
      </c>
      <c r="F5004" t="s">
        <v>5429</v>
      </c>
    </row>
    <row r="5005" spans="1:6" x14ac:dyDescent="0.15">
      <c r="A5005">
        <v>12212179</v>
      </c>
      <c r="B5005">
        <v>12085088</v>
      </c>
      <c r="C5005" t="s">
        <v>163</v>
      </c>
      <c r="D5005" t="s">
        <v>114</v>
      </c>
      <c r="E5005" s="4" t="str">
        <f>HYPERLINK("https://ibp.a2mac1.com/costing(costing:projects/details/9760/equipment/12212179)","Assembly Station ")</f>
        <v xml:space="preserve">Assembly Station </v>
      </c>
      <c r="F5005" t="s">
        <v>5505</v>
      </c>
    </row>
    <row r="5006" spans="1:6" x14ac:dyDescent="0.15">
      <c r="A5006">
        <v>8754387</v>
      </c>
      <c r="B5006">
        <v>8415631</v>
      </c>
      <c r="C5006" t="s">
        <v>311</v>
      </c>
      <c r="D5006" t="s">
        <v>8</v>
      </c>
      <c r="E5006" s="4" t="str">
        <f>HYPERLINK("https://ibp.a2mac1.com/costing(costing:projects/details/9760/component/8754387)","Other fastener &gt; Attachment")</f>
        <v>Other fastener &gt; Attachment</v>
      </c>
      <c r="F5006" t="s">
        <v>5429</v>
      </c>
    </row>
    <row r="5007" spans="1:6" x14ac:dyDescent="0.15">
      <c r="A5007">
        <v>8754388</v>
      </c>
      <c r="B5007">
        <v>8415631</v>
      </c>
      <c r="C5007" t="s">
        <v>311</v>
      </c>
      <c r="D5007" t="s">
        <v>8</v>
      </c>
      <c r="E5007" s="4" t="str">
        <f>HYPERLINK("https://ibp.a2mac1.com/costing(costing:projects/details/9760/component/8754388)","Screw &gt; Torx socket head cap screw")</f>
        <v>Screw &gt; Torx socket head cap screw</v>
      </c>
      <c r="F5007" t="s">
        <v>5429</v>
      </c>
    </row>
    <row r="5008" spans="1:6" x14ac:dyDescent="0.15">
      <c r="A5008">
        <v>8754389</v>
      </c>
      <c r="B5008">
        <v>8415631</v>
      </c>
      <c r="C5008" t="s">
        <v>311</v>
      </c>
      <c r="D5008" t="s">
        <v>8</v>
      </c>
      <c r="E5008" s="4" t="str">
        <f>HYPERLINK("https://ibp.a2mac1.com/costing(costing:projects/details/9760/component/8754389)","Screw &gt; Hexagon socket head cap screw with flange")</f>
        <v>Screw &gt; Hexagon socket head cap screw with flange</v>
      </c>
      <c r="F5008" t="s">
        <v>5429</v>
      </c>
    </row>
    <row r="5009" spans="1:6" x14ac:dyDescent="0.15">
      <c r="A5009">
        <v>8415619</v>
      </c>
      <c r="B5009">
        <v>8415582</v>
      </c>
      <c r="C5009" t="s">
        <v>10</v>
      </c>
      <c r="D5009" t="s">
        <v>8</v>
      </c>
      <c r="E5009" s="4" t="str">
        <f>HYPERLINK("https://ibp.a2mac1.com/costing(costing:projects/details/9760/part/8415619)","Door Moisture Shield")</f>
        <v>Door Moisture Shield</v>
      </c>
      <c r="F5009" t="s">
        <v>4954</v>
      </c>
    </row>
    <row r="5010" spans="1:6" x14ac:dyDescent="0.15">
      <c r="A5010">
        <v>12085086</v>
      </c>
      <c r="B5010">
        <v>8415619</v>
      </c>
      <c r="C5010" t="s">
        <v>114</v>
      </c>
      <c r="D5010" t="s">
        <v>10</v>
      </c>
      <c r="E5010" s="4" t="str">
        <f>HYPERLINK("https://ibp.a2mac1.com/costing(costing:projects/details/9760/process/12085086)","Thermocompression")</f>
        <v>Thermocompression</v>
      </c>
      <c r="F5010" t="s">
        <v>5507</v>
      </c>
    </row>
    <row r="5011" spans="1:6" x14ac:dyDescent="0.15">
      <c r="A5011">
        <v>8754511</v>
      </c>
      <c r="B5011">
        <v>12085086</v>
      </c>
      <c r="C5011" t="s">
        <v>22</v>
      </c>
      <c r="D5011" t="s">
        <v>114</v>
      </c>
      <c r="E5011" s="4" t="str">
        <f>HYPERLINK("https://ibp.a2mac1.com/costing(costing:projects/details/9760/material/8754511)","PE")</f>
        <v>PE</v>
      </c>
      <c r="F5011" t="s">
        <v>5509</v>
      </c>
    </row>
    <row r="5012" spans="1:6" x14ac:dyDescent="0.15">
      <c r="A5012">
        <v>12212177</v>
      </c>
      <c r="B5012">
        <v>12085086</v>
      </c>
      <c r="C5012" t="s">
        <v>163</v>
      </c>
      <c r="D5012" t="s">
        <v>114</v>
      </c>
      <c r="E5012" s="4" t="str">
        <f>HYPERLINK("https://ibp.a2mac1.com/costing(costing:projects/details/9760/equipment/12212177)","Thermocompression ")</f>
        <v xml:space="preserve">Thermocompression </v>
      </c>
      <c r="F5012" t="s">
        <v>5509</v>
      </c>
    </row>
    <row r="5013" spans="1:6" x14ac:dyDescent="0.15">
      <c r="A5013">
        <v>12085087</v>
      </c>
      <c r="B5013">
        <v>8415619</v>
      </c>
      <c r="C5013" t="s">
        <v>114</v>
      </c>
      <c r="D5013" t="s">
        <v>10</v>
      </c>
      <c r="E5013" s="4" t="str">
        <f>HYPERLINK("https://ibp.a2mac1.com/costing(costing:projects/details/9760/process/12085087)","Placement sheet")</f>
        <v>Placement sheet</v>
      </c>
      <c r="F5013" t="s">
        <v>5507</v>
      </c>
    </row>
    <row r="5014" spans="1:6" x14ac:dyDescent="0.15">
      <c r="A5014">
        <v>12212178</v>
      </c>
      <c r="B5014">
        <v>12085087</v>
      </c>
      <c r="C5014" t="s">
        <v>163</v>
      </c>
      <c r="D5014" t="s">
        <v>114</v>
      </c>
      <c r="E5014" s="4" t="str">
        <f>HYPERLINK("https://ibp.a2mac1.com/costing(costing:projects/details/9760/equipment/12212178)","Placement robot, 6 axis, 2.5kg ")</f>
        <v xml:space="preserve">Placement robot, 6 axis, 2.5kg </v>
      </c>
      <c r="F5014" t="s">
        <v>5513</v>
      </c>
    </row>
    <row r="5015" spans="1:6" x14ac:dyDescent="0.15">
      <c r="A5015">
        <v>8415620</v>
      </c>
      <c r="B5015">
        <v>8415582</v>
      </c>
      <c r="C5015" t="s">
        <v>10</v>
      </c>
      <c r="D5015" t="s">
        <v>8</v>
      </c>
      <c r="E5015" s="4" t="str">
        <f>HYPERLINK("https://ibp.a2mac1.com/costing(costing:projects/details/9760/part/8415620)","Hole Plug")</f>
        <v>Hole Plug</v>
      </c>
      <c r="F5015" t="s">
        <v>4954</v>
      </c>
    </row>
    <row r="5016" spans="1:6" x14ac:dyDescent="0.15">
      <c r="A5016">
        <v>8415621</v>
      </c>
      <c r="B5016">
        <v>8415582</v>
      </c>
      <c r="C5016" t="s">
        <v>10</v>
      </c>
      <c r="D5016" t="s">
        <v>8</v>
      </c>
      <c r="E5016" s="4" t="str">
        <f>HYPERLINK("https://ibp.a2mac1.com/costing(costing:projects/details/9760/part/8415621)","Water Drainage Outlet")</f>
        <v>Water Drainage Outlet</v>
      </c>
      <c r="F5016" t="s">
        <v>4954</v>
      </c>
    </row>
    <row r="5017" spans="1:6" x14ac:dyDescent="0.15">
      <c r="A5017">
        <v>12085061</v>
      </c>
      <c r="B5017">
        <v>8415582</v>
      </c>
      <c r="C5017" t="s">
        <v>114</v>
      </c>
      <c r="D5017" t="s">
        <v>8</v>
      </c>
      <c r="E5017" s="4" t="str">
        <f>HYPERLINK("https://ibp.a2mac1.com/costing(costing:projects/details/9760/process/12085061)","Assembly")</f>
        <v>Assembly</v>
      </c>
      <c r="F5017" t="s">
        <v>4954</v>
      </c>
    </row>
    <row r="5018" spans="1:6" x14ac:dyDescent="0.15">
      <c r="A5018">
        <v>12212153</v>
      </c>
      <c r="B5018">
        <v>12085061</v>
      </c>
      <c r="C5018" t="s">
        <v>163</v>
      </c>
      <c r="D5018" t="s">
        <v>114</v>
      </c>
      <c r="E5018" s="4" t="str">
        <f>HYPERLINK("https://ibp.a2mac1.com/costing(costing:projects/details/9760/equipment/12212153)","Assembly Station ")</f>
        <v xml:space="preserve">Assembly Station </v>
      </c>
      <c r="F5018" t="s">
        <v>5519</v>
      </c>
    </row>
    <row r="5019" spans="1:6" x14ac:dyDescent="0.15">
      <c r="A5019">
        <v>8754303</v>
      </c>
      <c r="B5019">
        <v>8415582</v>
      </c>
      <c r="C5019" t="s">
        <v>311</v>
      </c>
      <c r="D5019" t="s">
        <v>8</v>
      </c>
      <c r="E5019" s="4" t="str">
        <f>HYPERLINK("https://ibp.a2mac1.com/costing(costing:projects/details/9760/component/8754303)","Hole plug &gt; Round hole")</f>
        <v>Hole plug &gt; Round hole</v>
      </c>
      <c r="F5019" t="s">
        <v>4954</v>
      </c>
    </row>
    <row r="5020" spans="1:6" x14ac:dyDescent="0.15">
      <c r="A5020">
        <v>8754304</v>
      </c>
      <c r="B5020">
        <v>8415582</v>
      </c>
      <c r="C5020" t="s">
        <v>311</v>
      </c>
      <c r="D5020" t="s">
        <v>8</v>
      </c>
      <c r="E5020" s="4" t="str">
        <f>HYPERLINK("https://ibp.a2mac1.com/costing(costing:projects/details/9760/component/8754304)","Screw &gt; Torx screw")</f>
        <v>Screw &gt; Torx screw</v>
      </c>
      <c r="F5020" t="s">
        <v>4954</v>
      </c>
    </row>
    <row r="5021" spans="1:6" x14ac:dyDescent="0.15">
      <c r="A5021">
        <v>8415583</v>
      </c>
      <c r="B5021">
        <v>8415576</v>
      </c>
      <c r="C5021" t="s">
        <v>8</v>
      </c>
      <c r="D5021" t="s">
        <v>8</v>
      </c>
      <c r="E5021" s="4" t="str">
        <f>HYPERLINK("https://ibp.a2mac1.com/costing(costing:projects/details/9760/assembly/8415583)","Hood")</f>
        <v>Hood</v>
      </c>
      <c r="F5021" t="s">
        <v>4953</v>
      </c>
    </row>
    <row r="5022" spans="1:6" x14ac:dyDescent="0.15">
      <c r="A5022">
        <v>8415634</v>
      </c>
      <c r="B5022">
        <v>8415583</v>
      </c>
      <c r="C5022" t="s">
        <v>8</v>
      </c>
      <c r="D5022" t="s">
        <v>8</v>
      </c>
      <c r="E5022" s="4" t="str">
        <f>HYPERLINK("https://ibp.a2mac1.com/costing(costing:projects/details/9760/assembly/8415634)","Hinges System")</f>
        <v>Hinges System</v>
      </c>
      <c r="F5022" t="s">
        <v>5521</v>
      </c>
    </row>
    <row r="5023" spans="1:6" x14ac:dyDescent="0.15">
      <c r="A5023">
        <v>8415855</v>
      </c>
      <c r="B5023">
        <v>8415634</v>
      </c>
      <c r="C5023" t="s">
        <v>8</v>
      </c>
      <c r="D5023" t="s">
        <v>8</v>
      </c>
      <c r="E5023" s="4" t="str">
        <f>HYPERLINK("https://ibp.a2mac1.com/costing(costing:projects/details/9760/assembly/8415855)","Left")</f>
        <v>Left</v>
      </c>
      <c r="F5023" t="s">
        <v>5522</v>
      </c>
    </row>
    <row r="5024" spans="1:6" x14ac:dyDescent="0.15">
      <c r="A5024">
        <v>8416216</v>
      </c>
      <c r="B5024">
        <v>8415855</v>
      </c>
      <c r="C5024" t="s">
        <v>10</v>
      </c>
      <c r="D5024" t="s">
        <v>8</v>
      </c>
      <c r="E5024" s="4" t="str">
        <f>HYPERLINK("https://ibp.a2mac1.com/costing(costing:projects/details/9760/part/8416216)","Hinges&gt;Hood&gt;On BIW&gt;Part 01 (single/main)")</f>
        <v>Hinges&gt;Hood&gt;On BIW&gt;Part 01 (single/main)</v>
      </c>
      <c r="F5024" t="s">
        <v>5523</v>
      </c>
    </row>
    <row r="5025" spans="1:6" x14ac:dyDescent="0.15">
      <c r="A5025">
        <v>12085515</v>
      </c>
      <c r="B5025">
        <v>8416216</v>
      </c>
      <c r="C5025" t="s">
        <v>114</v>
      </c>
      <c r="D5025" t="s">
        <v>10</v>
      </c>
      <c r="E5025" s="4" t="str">
        <f>HYPERLINK("https://ibp.a2mac1.com/costing(costing:projects/details/9760/process/12085515)","MANUFACTURING  PROCESS")</f>
        <v>MANUFACTURING  PROCESS</v>
      </c>
      <c r="F5025" t="s">
        <v>5524</v>
      </c>
    </row>
    <row r="5026" spans="1:6" x14ac:dyDescent="0.15">
      <c r="A5026">
        <v>8755242</v>
      </c>
      <c r="B5026">
        <v>12085515</v>
      </c>
      <c r="C5026" t="s">
        <v>22</v>
      </c>
      <c r="D5026" t="s">
        <v>114</v>
      </c>
      <c r="E5026" s="4" t="str">
        <f>HYPERLINK("https://ibp.a2mac1.com/costing(costing:projects/details/9760/material/8755242)","Standard Structural Steel sheet")</f>
        <v>Standard Structural Steel sheet</v>
      </c>
      <c r="F5026" t="s">
        <v>5527</v>
      </c>
    </row>
    <row r="5027" spans="1:6" x14ac:dyDescent="0.15">
      <c r="A5027">
        <v>12212715</v>
      </c>
      <c r="B5027">
        <v>12085515</v>
      </c>
      <c r="C5027" t="s">
        <v>163</v>
      </c>
      <c r="D5027" t="s">
        <v>114</v>
      </c>
      <c r="E5027" s="4" t="str">
        <f>HYPERLINK("https://ibp.a2mac1.com/costing(costing:projects/details/9760/equipment/12212715)","Manufacturing Equipment")</f>
        <v>Manufacturing Equipment</v>
      </c>
      <c r="F5027" t="s">
        <v>5527</v>
      </c>
    </row>
    <row r="5028" spans="1:6" x14ac:dyDescent="0.15">
      <c r="A5028">
        <v>8416217</v>
      </c>
      <c r="B5028">
        <v>8415855</v>
      </c>
      <c r="C5028" t="s">
        <v>10</v>
      </c>
      <c r="D5028" t="s">
        <v>8</v>
      </c>
      <c r="E5028" s="4" t="str">
        <f>HYPERLINK("https://ibp.a2mac1.com/costing(costing:projects/details/9760/part/8416217)","Hinges&gt;Hood&gt;On hood&gt;Part 01 (single/main)")</f>
        <v>Hinges&gt;Hood&gt;On hood&gt;Part 01 (single/main)</v>
      </c>
      <c r="F5028" t="s">
        <v>5523</v>
      </c>
    </row>
    <row r="5029" spans="1:6" x14ac:dyDescent="0.15">
      <c r="A5029">
        <v>12085516</v>
      </c>
      <c r="B5029">
        <v>8416217</v>
      </c>
      <c r="C5029" t="s">
        <v>114</v>
      </c>
      <c r="D5029" t="s">
        <v>10</v>
      </c>
      <c r="E5029" s="4" t="str">
        <f>HYPERLINK("https://ibp.a2mac1.com/costing(costing:projects/details/9760/process/12085516)","MANUFACTURING  PROCESS")</f>
        <v>MANUFACTURING  PROCESS</v>
      </c>
      <c r="F5029" t="s">
        <v>5529</v>
      </c>
    </row>
    <row r="5030" spans="1:6" x14ac:dyDescent="0.15">
      <c r="A5030">
        <v>8755243</v>
      </c>
      <c r="B5030">
        <v>12085516</v>
      </c>
      <c r="C5030" t="s">
        <v>22</v>
      </c>
      <c r="D5030" t="s">
        <v>114</v>
      </c>
      <c r="E5030" s="4" t="str">
        <f>HYPERLINK("https://ibp.a2mac1.com/costing(costing:projects/details/9760/material/8755243)","Standard Structural Steel sheet")</f>
        <v>Standard Structural Steel sheet</v>
      </c>
      <c r="F5030" t="s">
        <v>5532</v>
      </c>
    </row>
    <row r="5031" spans="1:6" x14ac:dyDescent="0.15">
      <c r="A5031">
        <v>12212716</v>
      </c>
      <c r="B5031">
        <v>12085516</v>
      </c>
      <c r="C5031" t="s">
        <v>163</v>
      </c>
      <c r="D5031" t="s">
        <v>114</v>
      </c>
      <c r="E5031" s="4" t="str">
        <f>HYPERLINK("https://ibp.a2mac1.com/costing(costing:projects/details/9760/equipment/12212716)","Manufacturing Equipment")</f>
        <v>Manufacturing Equipment</v>
      </c>
      <c r="F5031" t="s">
        <v>5532</v>
      </c>
    </row>
    <row r="5032" spans="1:6" x14ac:dyDescent="0.15">
      <c r="A5032">
        <v>8416218</v>
      </c>
      <c r="B5032">
        <v>8415855</v>
      </c>
      <c r="C5032" t="s">
        <v>10</v>
      </c>
      <c r="D5032" t="s">
        <v>8</v>
      </c>
      <c r="E5032" s="4" t="str">
        <f>HYPERLINK("https://ibp.a2mac1.com/costing(costing:projects/details/9760/part/8416218)","Hinges&gt;Hood&gt;Joint&gt;Part 01 (single/main)")</f>
        <v>Hinges&gt;Hood&gt;Joint&gt;Part 01 (single/main)</v>
      </c>
      <c r="F5032" t="s">
        <v>5523</v>
      </c>
    </row>
    <row r="5033" spans="1:6" x14ac:dyDescent="0.15">
      <c r="A5033">
        <v>12085517</v>
      </c>
      <c r="B5033">
        <v>8416218</v>
      </c>
      <c r="C5033" t="s">
        <v>114</v>
      </c>
      <c r="D5033" t="s">
        <v>10</v>
      </c>
      <c r="E5033" s="4" t="str">
        <f>HYPERLINK("https://ibp.a2mac1.com/costing(costing:projects/details/9760/process/12085517)","MANUFACTURING  PROCESS")</f>
        <v>MANUFACTURING  PROCESS</v>
      </c>
      <c r="F5033" t="s">
        <v>5533</v>
      </c>
    </row>
    <row r="5034" spans="1:6" x14ac:dyDescent="0.15">
      <c r="A5034">
        <v>8755244</v>
      </c>
      <c r="B5034">
        <v>12085517</v>
      </c>
      <c r="C5034" t="s">
        <v>22</v>
      </c>
      <c r="D5034" t="s">
        <v>114</v>
      </c>
      <c r="E5034" s="4" t="str">
        <f>HYPERLINK("https://ibp.a2mac1.com/costing(costing:projects/details/9760/material/8755244)","Standard Structural Steel sheet")</f>
        <v>Standard Structural Steel sheet</v>
      </c>
      <c r="F5034" t="s">
        <v>5536</v>
      </c>
    </row>
    <row r="5035" spans="1:6" x14ac:dyDescent="0.15">
      <c r="A5035">
        <v>12212717</v>
      </c>
      <c r="B5035">
        <v>12085517</v>
      </c>
      <c r="C5035" t="s">
        <v>163</v>
      </c>
      <c r="D5035" t="s">
        <v>114</v>
      </c>
      <c r="E5035" s="4" t="str">
        <f>HYPERLINK("https://ibp.a2mac1.com/costing(costing:projects/details/9760/equipment/12212717)","Manufacturing Equipment")</f>
        <v>Manufacturing Equipment</v>
      </c>
      <c r="F5035" t="s">
        <v>5536</v>
      </c>
    </row>
    <row r="5036" spans="1:6" x14ac:dyDescent="0.15">
      <c r="A5036">
        <v>8415856</v>
      </c>
      <c r="B5036">
        <v>8415634</v>
      </c>
      <c r="C5036" t="s">
        <v>8</v>
      </c>
      <c r="D5036" t="s">
        <v>8</v>
      </c>
      <c r="E5036" s="4" t="str">
        <f>HYPERLINK("https://ibp.a2mac1.com/costing(costing:projects/details/9760/assembly/8415856)","Right")</f>
        <v>Right</v>
      </c>
      <c r="F5036" t="s">
        <v>5522</v>
      </c>
    </row>
    <row r="5037" spans="1:6" x14ac:dyDescent="0.15">
      <c r="A5037">
        <v>8416219</v>
      </c>
      <c r="B5037">
        <v>8415856</v>
      </c>
      <c r="C5037" t="s">
        <v>10</v>
      </c>
      <c r="D5037" t="s">
        <v>8</v>
      </c>
      <c r="E5037" s="4" t="str">
        <f>HYPERLINK("https://ibp.a2mac1.com/costing(costing:projects/details/9760/part/8416219)","Hinges&gt;Hood&gt;On BIW&gt;Part 01 (single/main)")</f>
        <v>Hinges&gt;Hood&gt;On BIW&gt;Part 01 (single/main)</v>
      </c>
      <c r="F5037" t="s">
        <v>5538</v>
      </c>
    </row>
    <row r="5038" spans="1:6" x14ac:dyDescent="0.15">
      <c r="A5038">
        <v>12085518</v>
      </c>
      <c r="B5038">
        <v>8416219</v>
      </c>
      <c r="C5038" t="s">
        <v>114</v>
      </c>
      <c r="D5038" t="s">
        <v>10</v>
      </c>
      <c r="E5038" s="4" t="str">
        <f>HYPERLINK("https://ibp.a2mac1.com/costing(costing:projects/details/9760/process/12085518)","MANUFACTURING  PROCESS")</f>
        <v>MANUFACTURING  PROCESS</v>
      </c>
      <c r="F5038" t="s">
        <v>5539</v>
      </c>
    </row>
    <row r="5039" spans="1:6" x14ac:dyDescent="0.15">
      <c r="A5039">
        <v>8755245</v>
      </c>
      <c r="B5039">
        <v>12085518</v>
      </c>
      <c r="C5039" t="s">
        <v>22</v>
      </c>
      <c r="D5039" t="s">
        <v>114</v>
      </c>
      <c r="E5039" s="4" t="str">
        <f>HYPERLINK("https://ibp.a2mac1.com/costing(costing:projects/details/9760/material/8755245)","Standard Structural Steel sheet")</f>
        <v>Standard Structural Steel sheet</v>
      </c>
      <c r="F5039" t="s">
        <v>5540</v>
      </c>
    </row>
    <row r="5040" spans="1:6" x14ac:dyDescent="0.15">
      <c r="A5040">
        <v>12212718</v>
      </c>
      <c r="B5040">
        <v>12085518</v>
      </c>
      <c r="C5040" t="s">
        <v>163</v>
      </c>
      <c r="D5040" t="s">
        <v>114</v>
      </c>
      <c r="E5040" s="4" t="str">
        <f>HYPERLINK("https://ibp.a2mac1.com/costing(costing:projects/details/9760/equipment/12212718)","Manufacturing Equipment")</f>
        <v>Manufacturing Equipment</v>
      </c>
      <c r="F5040" t="s">
        <v>5540</v>
      </c>
    </row>
    <row r="5041" spans="1:6" x14ac:dyDescent="0.15">
      <c r="A5041">
        <v>8416220</v>
      </c>
      <c r="B5041">
        <v>8415856</v>
      </c>
      <c r="C5041" t="s">
        <v>10</v>
      </c>
      <c r="D5041" t="s">
        <v>8</v>
      </c>
      <c r="E5041" s="4" t="str">
        <f>HYPERLINK("https://ibp.a2mac1.com/costing(costing:projects/details/9760/part/8416220)","Hinges&gt;Hood&gt;On hood&gt;Part 01 (single/main)")</f>
        <v>Hinges&gt;Hood&gt;On hood&gt;Part 01 (single/main)</v>
      </c>
      <c r="F5041" t="s">
        <v>5538</v>
      </c>
    </row>
    <row r="5042" spans="1:6" x14ac:dyDescent="0.15">
      <c r="A5042">
        <v>12085519</v>
      </c>
      <c r="B5042">
        <v>8416220</v>
      </c>
      <c r="C5042" t="s">
        <v>114</v>
      </c>
      <c r="D5042" t="s">
        <v>10</v>
      </c>
      <c r="E5042" s="4" t="str">
        <f>HYPERLINK("https://ibp.a2mac1.com/costing(costing:projects/details/9760/process/12085519)","MANUFACTURING  PROCESS")</f>
        <v>MANUFACTURING  PROCESS</v>
      </c>
      <c r="F5042" t="s">
        <v>5541</v>
      </c>
    </row>
    <row r="5043" spans="1:6" x14ac:dyDescent="0.15">
      <c r="A5043">
        <v>8755246</v>
      </c>
      <c r="B5043">
        <v>12085519</v>
      </c>
      <c r="C5043" t="s">
        <v>22</v>
      </c>
      <c r="D5043" t="s">
        <v>114</v>
      </c>
      <c r="E5043" s="4" t="str">
        <f>HYPERLINK("https://ibp.a2mac1.com/costing(costing:projects/details/9760/material/8755246)","Standard Structural Steel sheet")</f>
        <v>Standard Structural Steel sheet</v>
      </c>
      <c r="F5043" t="s">
        <v>5542</v>
      </c>
    </row>
    <row r="5044" spans="1:6" x14ac:dyDescent="0.15">
      <c r="A5044">
        <v>12212719</v>
      </c>
      <c r="B5044">
        <v>12085519</v>
      </c>
      <c r="C5044" t="s">
        <v>163</v>
      </c>
      <c r="D5044" t="s">
        <v>114</v>
      </c>
      <c r="E5044" s="4" t="str">
        <f>HYPERLINK("https://ibp.a2mac1.com/costing(costing:projects/details/9760/equipment/12212719)","Manufacturing Equipment")</f>
        <v>Manufacturing Equipment</v>
      </c>
      <c r="F5044" t="s">
        <v>5542</v>
      </c>
    </row>
    <row r="5045" spans="1:6" x14ac:dyDescent="0.15">
      <c r="A5045">
        <v>8416221</v>
      </c>
      <c r="B5045">
        <v>8415856</v>
      </c>
      <c r="C5045" t="s">
        <v>10</v>
      </c>
      <c r="D5045" t="s">
        <v>8</v>
      </c>
      <c r="E5045" s="4" t="str">
        <f>HYPERLINK("https://ibp.a2mac1.com/costing(costing:projects/details/9760/part/8416221)","Hinges&gt;Hood&gt;Joint&gt;Part 01 (single/main)")</f>
        <v>Hinges&gt;Hood&gt;Joint&gt;Part 01 (single/main)</v>
      </c>
      <c r="F5045" t="s">
        <v>5538</v>
      </c>
    </row>
    <row r="5046" spans="1:6" x14ac:dyDescent="0.15">
      <c r="A5046">
        <v>12085520</v>
      </c>
      <c r="B5046">
        <v>8416221</v>
      </c>
      <c r="C5046" t="s">
        <v>114</v>
      </c>
      <c r="D5046" t="s">
        <v>10</v>
      </c>
      <c r="E5046" s="4" t="str">
        <f>HYPERLINK("https://ibp.a2mac1.com/costing(costing:projects/details/9760/process/12085520)","MANUFACTURING  PROCESS")</f>
        <v>MANUFACTURING  PROCESS</v>
      </c>
      <c r="F5046" t="s">
        <v>5543</v>
      </c>
    </row>
    <row r="5047" spans="1:6" x14ac:dyDescent="0.15">
      <c r="A5047">
        <v>8755247</v>
      </c>
      <c r="B5047">
        <v>12085520</v>
      </c>
      <c r="C5047" t="s">
        <v>22</v>
      </c>
      <c r="D5047" t="s">
        <v>114</v>
      </c>
      <c r="E5047" s="4" t="str">
        <f>HYPERLINK("https://ibp.a2mac1.com/costing(costing:projects/details/9760/material/8755247)","Standard Structural Steel sheet")</f>
        <v>Standard Structural Steel sheet</v>
      </c>
      <c r="F5047" t="s">
        <v>5544</v>
      </c>
    </row>
    <row r="5048" spans="1:6" x14ac:dyDescent="0.15">
      <c r="A5048">
        <v>12212720</v>
      </c>
      <c r="B5048">
        <v>12085520</v>
      </c>
      <c r="C5048" t="s">
        <v>163</v>
      </c>
      <c r="D5048" t="s">
        <v>114</v>
      </c>
      <c r="E5048" s="4" t="str">
        <f>HYPERLINK("https://ibp.a2mac1.com/costing(costing:projects/details/9760/equipment/12212720)","Manufacturing Equipment")</f>
        <v>Manufacturing Equipment</v>
      </c>
      <c r="F5048" t="s">
        <v>5544</v>
      </c>
    </row>
    <row r="5049" spans="1:6" x14ac:dyDescent="0.15">
      <c r="A5049">
        <v>8754390</v>
      </c>
      <c r="B5049">
        <v>8415634</v>
      </c>
      <c r="C5049" t="s">
        <v>311</v>
      </c>
      <c r="D5049" t="s">
        <v>8</v>
      </c>
      <c r="E5049" s="4" t="str">
        <f>HYPERLINK("https://ibp.a2mac1.com/costing(costing:projects/details/9760/component/8754390)","Screw &gt; Hexagon screw with flange")</f>
        <v>Screw &gt; Hexagon screw with flange</v>
      </c>
      <c r="F5049" t="s">
        <v>5522</v>
      </c>
    </row>
    <row r="5050" spans="1:6" x14ac:dyDescent="0.15">
      <c r="A5050">
        <v>8754391</v>
      </c>
      <c r="B5050">
        <v>8415634</v>
      </c>
      <c r="C5050" t="s">
        <v>311</v>
      </c>
      <c r="D5050" t="s">
        <v>8</v>
      </c>
      <c r="E5050" s="4" t="str">
        <f>HYPERLINK("https://ibp.a2mac1.com/costing(costing:projects/details/9760/component/8754391)","Screw &gt; Hexagon screw with flange")</f>
        <v>Screw &gt; Hexagon screw with flange</v>
      </c>
      <c r="F5050" t="s">
        <v>5522</v>
      </c>
    </row>
    <row r="5051" spans="1:6" x14ac:dyDescent="0.15">
      <c r="A5051">
        <v>8415635</v>
      </c>
      <c r="B5051">
        <v>8415583</v>
      </c>
      <c r="C5051" t="s">
        <v>8</v>
      </c>
      <c r="D5051" t="s">
        <v>8</v>
      </c>
      <c r="E5051" s="4" t="str">
        <f>HYPERLINK("https://ibp.a2mac1.com/costing(costing:projects/details/9760/assembly/8415635)","Hood Opening Closing Mechanism")</f>
        <v>Hood Opening Closing Mechanism</v>
      </c>
      <c r="F5051" t="s">
        <v>5521</v>
      </c>
    </row>
    <row r="5052" spans="1:6" x14ac:dyDescent="0.15">
      <c r="A5052">
        <v>8415858</v>
      </c>
      <c r="B5052">
        <v>8415635</v>
      </c>
      <c r="C5052" t="s">
        <v>8</v>
      </c>
      <c r="D5052" t="s">
        <v>8</v>
      </c>
      <c r="E5052" s="4" t="str">
        <f>HYPERLINK("https://ibp.a2mac1.com/costing(costing:projects/details/9760/assembly/8415858)","Cable On Front End Module")</f>
        <v>Cable On Front End Module</v>
      </c>
      <c r="F5052" t="s">
        <v>5547</v>
      </c>
    </row>
    <row r="5053" spans="1:6" x14ac:dyDescent="0.15">
      <c r="A5053">
        <v>8416222</v>
      </c>
      <c r="B5053">
        <v>8415858</v>
      </c>
      <c r="C5053" t="s">
        <v>10</v>
      </c>
      <c r="D5053" t="s">
        <v>8</v>
      </c>
      <c r="E5053" s="4" t="str">
        <f>HYPERLINK("https://ibp.a2mac1.com/costing(costing:projects/details/9760/part/8416222)","Cinch Cable Conduit ")</f>
        <v xml:space="preserve">Cinch Cable Conduit </v>
      </c>
      <c r="F5053" t="s">
        <v>5548</v>
      </c>
    </row>
    <row r="5054" spans="1:6" x14ac:dyDescent="0.15">
      <c r="A5054">
        <v>12085521</v>
      </c>
      <c r="B5054">
        <v>8416222</v>
      </c>
      <c r="C5054" t="s">
        <v>114</v>
      </c>
      <c r="D5054" t="s">
        <v>10</v>
      </c>
      <c r="E5054" s="4" t="str">
        <f>HYPERLINK("https://ibp.a2mac1.com/costing(costing:projects/details/9760/process/12085521)","Extrusion Rubber")</f>
        <v>Extrusion Rubber</v>
      </c>
      <c r="F5054" t="s">
        <v>5549</v>
      </c>
    </row>
    <row r="5055" spans="1:6" x14ac:dyDescent="0.15">
      <c r="A5055">
        <v>8755248</v>
      </c>
      <c r="B5055">
        <v>12085521</v>
      </c>
      <c r="C5055" t="s">
        <v>22</v>
      </c>
      <c r="D5055" t="s">
        <v>114</v>
      </c>
      <c r="E5055" s="4" t="str">
        <f>HYPERLINK("https://ibp.a2mac1.com/costing(costing:projects/details/9760/material/8755248)","PVC")</f>
        <v>PVC</v>
      </c>
      <c r="F5055" t="s">
        <v>5550</v>
      </c>
    </row>
    <row r="5056" spans="1:6" x14ac:dyDescent="0.15">
      <c r="A5056">
        <v>12212721</v>
      </c>
      <c r="B5056">
        <v>12085521</v>
      </c>
      <c r="C5056" t="s">
        <v>163</v>
      </c>
      <c r="D5056" t="s">
        <v>114</v>
      </c>
      <c r="E5056" s="4" t="str">
        <f>HYPERLINK("https://ibp.a2mac1.com/costing(costing:projects/details/9760/equipment/12212721)","Rubber Extrusion Line")</f>
        <v>Rubber Extrusion Line</v>
      </c>
      <c r="F5056" t="s">
        <v>5550</v>
      </c>
    </row>
    <row r="5057" spans="1:6" x14ac:dyDescent="0.15">
      <c r="A5057">
        <v>8416223</v>
      </c>
      <c r="B5057">
        <v>8415858</v>
      </c>
      <c r="C5057" t="s">
        <v>10</v>
      </c>
      <c r="D5057" t="s">
        <v>8</v>
      </c>
      <c r="E5057" s="4" t="str">
        <f>HYPERLINK("https://ibp.a2mac1.com/costing(costing:projects/details/9760/part/8416223)","Cable Abutment Actuator")</f>
        <v>Cable Abutment Actuator</v>
      </c>
      <c r="F5057" t="s">
        <v>5548</v>
      </c>
    </row>
    <row r="5058" spans="1:6" x14ac:dyDescent="0.15">
      <c r="A5058">
        <v>12085522</v>
      </c>
      <c r="B5058">
        <v>8416223</v>
      </c>
      <c r="C5058" t="s">
        <v>114</v>
      </c>
      <c r="D5058" t="s">
        <v>10</v>
      </c>
      <c r="E5058" s="4" t="str">
        <f>HYPERLINK("https://ibp.a2mac1.com/costing(costing:projects/details/9760/process/12085522)","Injection molding")</f>
        <v>Injection molding</v>
      </c>
      <c r="F5058" t="s">
        <v>5552</v>
      </c>
    </row>
    <row r="5059" spans="1:6" x14ac:dyDescent="0.15">
      <c r="A5059">
        <v>8755249</v>
      </c>
      <c r="B5059">
        <v>12085522</v>
      </c>
      <c r="C5059" t="s">
        <v>22</v>
      </c>
      <c r="D5059" t="s">
        <v>114</v>
      </c>
      <c r="E5059" s="4" t="str">
        <f>HYPERLINK("https://ibp.a2mac1.com/costing(costing:projects/details/9760/material/8755249)","TPE")</f>
        <v>TPE</v>
      </c>
      <c r="F5059" t="s">
        <v>5555</v>
      </c>
    </row>
    <row r="5060" spans="1:6" x14ac:dyDescent="0.15">
      <c r="A5060">
        <v>12212722</v>
      </c>
      <c r="B5060">
        <v>12085522</v>
      </c>
      <c r="C5060" t="s">
        <v>163</v>
      </c>
      <c r="D5060" t="s">
        <v>114</v>
      </c>
      <c r="E5060" s="4" t="str">
        <f>HYPERLINK("https://ibp.a2mac1.com/costing(costing:projects/details/9760/equipment/12212722)","No.01 - Injection Press - 40T - 18kW - 270x270 - Max Volume 128cm3 ")</f>
        <v xml:space="preserve">No.01 - Injection Press - 40T - 18kW - 270x270 - Max Volume 128cm3 </v>
      </c>
      <c r="F5060" t="s">
        <v>5555</v>
      </c>
    </row>
    <row r="5061" spans="1:6" x14ac:dyDescent="0.15">
      <c r="A5061">
        <v>8416224</v>
      </c>
      <c r="B5061">
        <v>8415858</v>
      </c>
      <c r="C5061" t="s">
        <v>10</v>
      </c>
      <c r="D5061" t="s">
        <v>8</v>
      </c>
      <c r="E5061" s="4" t="str">
        <f>HYPERLINK("https://ibp.a2mac1.com/costing(costing:projects/details/9760/part/8416224)","Foam")</f>
        <v>Foam</v>
      </c>
      <c r="F5061" t="s">
        <v>5548</v>
      </c>
    </row>
    <row r="5062" spans="1:6" x14ac:dyDescent="0.15">
      <c r="A5062">
        <v>12085523</v>
      </c>
      <c r="B5062">
        <v>8416224</v>
      </c>
      <c r="C5062" t="s">
        <v>114</v>
      </c>
      <c r="D5062" t="s">
        <v>10</v>
      </c>
      <c r="E5062" s="4" t="str">
        <f>HYPERLINK("https://ibp.a2mac1.com/costing(costing:projects/details/9760/process/12085523)","Injection foam carrousel")</f>
        <v>Injection foam carrousel</v>
      </c>
      <c r="F5062" t="s">
        <v>5557</v>
      </c>
    </row>
    <row r="5063" spans="1:6" x14ac:dyDescent="0.15">
      <c r="A5063">
        <v>8755250</v>
      </c>
      <c r="B5063">
        <v>12085523</v>
      </c>
      <c r="C5063" t="s">
        <v>22</v>
      </c>
      <c r="D5063" t="s">
        <v>114</v>
      </c>
      <c r="E5063" s="4" t="str">
        <f>HYPERLINK("https://ibp.a2mac1.com/costing(costing:projects/details/9760/material/8755250)","PUR")</f>
        <v>PUR</v>
      </c>
      <c r="F5063" t="s">
        <v>5559</v>
      </c>
    </row>
    <row r="5064" spans="1:6" x14ac:dyDescent="0.15">
      <c r="A5064">
        <v>12212723</v>
      </c>
      <c r="B5064">
        <v>12085523</v>
      </c>
      <c r="C5064" t="s">
        <v>163</v>
      </c>
      <c r="D5064" t="s">
        <v>114</v>
      </c>
      <c r="E5064" s="4" t="str">
        <f>HYPERLINK("https://ibp.a2mac1.com/costing(costing:projects/details/9760/equipment/12212723)","No.01 - Foaming Carrousel ")</f>
        <v xml:space="preserve">No.01 - Foaming Carrousel </v>
      </c>
      <c r="F5064" t="s">
        <v>5559</v>
      </c>
    </row>
    <row r="5065" spans="1:6" x14ac:dyDescent="0.15">
      <c r="A5065">
        <v>12085220</v>
      </c>
      <c r="B5065">
        <v>8415858</v>
      </c>
      <c r="C5065" t="s">
        <v>114</v>
      </c>
      <c r="D5065" t="s">
        <v>8</v>
      </c>
      <c r="E5065" s="4" t="str">
        <f>HYPERLINK("https://ibp.a2mac1.com/costing(costing:projects/details/9760/process/12085220)","Assembly")</f>
        <v>Assembly</v>
      </c>
      <c r="F5065" t="s">
        <v>5548</v>
      </c>
    </row>
    <row r="5066" spans="1:6" x14ac:dyDescent="0.15">
      <c r="A5066">
        <v>12212315</v>
      </c>
      <c r="B5066">
        <v>12085220</v>
      </c>
      <c r="C5066" t="s">
        <v>163</v>
      </c>
      <c r="D5066" t="s">
        <v>114</v>
      </c>
      <c r="E5066" s="4" t="str">
        <f>HYPERLINK("https://ibp.a2mac1.com/costing(costing:projects/details/9760/equipment/12212315)","Assembly Station ")</f>
        <v xml:space="preserve">Assembly Station </v>
      </c>
      <c r="F5066" t="s">
        <v>5561</v>
      </c>
    </row>
    <row r="5067" spans="1:6" x14ac:dyDescent="0.15">
      <c r="A5067">
        <v>8415857</v>
      </c>
      <c r="B5067">
        <v>8415635</v>
      </c>
      <c r="C5067" t="s">
        <v>10</v>
      </c>
      <c r="D5067" t="s">
        <v>8</v>
      </c>
      <c r="E5067" s="4" t="str">
        <f>HYPERLINK("https://ibp.a2mac1.com/costing(costing:projects/details/9760/part/8415857)","Hood Latch")</f>
        <v>Hood Latch</v>
      </c>
      <c r="F5067" t="s">
        <v>5547</v>
      </c>
    </row>
    <row r="5068" spans="1:6" x14ac:dyDescent="0.15">
      <c r="A5068">
        <v>8415859</v>
      </c>
      <c r="B5068">
        <v>8415635</v>
      </c>
      <c r="C5068" t="s">
        <v>10</v>
      </c>
      <c r="D5068" t="s">
        <v>8</v>
      </c>
      <c r="E5068" s="4" t="str">
        <f>HYPERLINK("https://ibp.a2mac1.com/costing(costing:projects/details/9760/part/8415859)","Hood Opening Sensor")</f>
        <v>Hood Opening Sensor</v>
      </c>
      <c r="F5068" t="s">
        <v>5547</v>
      </c>
    </row>
    <row r="5069" spans="1:6" x14ac:dyDescent="0.15">
      <c r="A5069">
        <v>8415860</v>
      </c>
      <c r="B5069">
        <v>8415635</v>
      </c>
      <c r="C5069" t="s">
        <v>10</v>
      </c>
      <c r="D5069" t="s">
        <v>8</v>
      </c>
      <c r="E5069" s="4" t="str">
        <f>HYPERLINK("https://ibp.a2mac1.com/costing(costing:projects/details/9760/part/8415860)","Latch   Safety Hook Access Trim")</f>
        <v>Latch   Safety Hook Access Trim</v>
      </c>
      <c r="F5069" t="s">
        <v>5547</v>
      </c>
    </row>
    <row r="5070" spans="1:6" x14ac:dyDescent="0.15">
      <c r="A5070">
        <v>12085222</v>
      </c>
      <c r="B5070">
        <v>8415860</v>
      </c>
      <c r="C5070" t="s">
        <v>114</v>
      </c>
      <c r="D5070" t="s">
        <v>10</v>
      </c>
      <c r="E5070" s="4" t="str">
        <f>HYPERLINK("https://ibp.a2mac1.com/costing(costing:projects/details/9760/process/12085222)","Injection molding")</f>
        <v>Injection molding</v>
      </c>
      <c r="F5070" t="s">
        <v>5566</v>
      </c>
    </row>
    <row r="5071" spans="1:6" x14ac:dyDescent="0.15">
      <c r="A5071">
        <v>8754797</v>
      </c>
      <c r="B5071">
        <v>12085222</v>
      </c>
      <c r="C5071" t="s">
        <v>22</v>
      </c>
      <c r="D5071" t="s">
        <v>114</v>
      </c>
      <c r="E5071" s="4" t="str">
        <f>HYPERLINK("https://ibp.a2mac1.com/costing(costing:projects/details/9760/material/8754797)","PE")</f>
        <v>PE</v>
      </c>
      <c r="F5071" t="s">
        <v>5568</v>
      </c>
    </row>
    <row r="5072" spans="1:6" x14ac:dyDescent="0.15">
      <c r="A5072">
        <v>12212317</v>
      </c>
      <c r="B5072">
        <v>12085222</v>
      </c>
      <c r="C5072" t="s">
        <v>163</v>
      </c>
      <c r="D5072" t="s">
        <v>114</v>
      </c>
      <c r="E5072" s="4" t="str">
        <f>HYPERLINK("https://ibp.a2mac1.com/costing(costing:projects/details/9760/equipment/12212317)","No.04 - Injection Press - 100T - 33kW - 400x400 - Max Volume 260cm3 ")</f>
        <v xml:space="preserve">No.04 - Injection Press - 100T - 33kW - 400x400 - Max Volume 260cm3 </v>
      </c>
      <c r="F5072" t="s">
        <v>5568</v>
      </c>
    </row>
    <row r="5073" spans="1:6" x14ac:dyDescent="0.15">
      <c r="A5073">
        <v>12085221</v>
      </c>
      <c r="B5073">
        <v>8415860</v>
      </c>
      <c r="C5073" t="s">
        <v>114</v>
      </c>
      <c r="D5073" t="s">
        <v>10</v>
      </c>
      <c r="E5073" s="4" t="str">
        <f>HYPERLINK("https://ibp.a2mac1.com/costing(costing:projects/details/9760/process/12085221)","Handling/Visual Inspection/Packaging")</f>
        <v>Handling/Visual Inspection/Packaging</v>
      </c>
      <c r="F5073" t="s">
        <v>5566</v>
      </c>
    </row>
    <row r="5074" spans="1:6" x14ac:dyDescent="0.15">
      <c r="A5074">
        <v>12212316</v>
      </c>
      <c r="B5074">
        <v>12085221</v>
      </c>
      <c r="C5074" t="s">
        <v>163</v>
      </c>
      <c r="D5074" t="s">
        <v>114</v>
      </c>
      <c r="E5074" s="4" t="str">
        <f>HYPERLINK("https://ibp.a2mac1.com/costing(costing:projects/details/9760/equipment/12212316)","Packaging")</f>
        <v>Packaging</v>
      </c>
      <c r="F5074" t="s">
        <v>5570</v>
      </c>
    </row>
    <row r="5075" spans="1:6" x14ac:dyDescent="0.15">
      <c r="A5075">
        <v>8415861</v>
      </c>
      <c r="B5075">
        <v>8415635</v>
      </c>
      <c r="C5075" t="s">
        <v>10</v>
      </c>
      <c r="D5075" t="s">
        <v>8</v>
      </c>
      <c r="E5075" s="4" t="str">
        <f>HYPERLINK("https://ibp.a2mac1.com/costing(costing:projects/details/9760/part/8415861)","Opening Actuator")</f>
        <v>Opening Actuator</v>
      </c>
      <c r="F5075" t="s">
        <v>5547</v>
      </c>
    </row>
    <row r="5076" spans="1:6" x14ac:dyDescent="0.15">
      <c r="A5076">
        <v>8415862</v>
      </c>
      <c r="B5076">
        <v>8415635</v>
      </c>
      <c r="C5076" t="s">
        <v>10</v>
      </c>
      <c r="D5076" t="s">
        <v>8</v>
      </c>
      <c r="E5076" s="4" t="str">
        <f>HYPERLINK("https://ibp.a2mac1.com/costing(costing:projects/details/9760/part/8415862)","Support Opening Actuator")</f>
        <v>Support Opening Actuator</v>
      </c>
      <c r="F5076" t="s">
        <v>5547</v>
      </c>
    </row>
    <row r="5077" spans="1:6" x14ac:dyDescent="0.15">
      <c r="A5077">
        <v>12085223</v>
      </c>
      <c r="B5077">
        <v>8415862</v>
      </c>
      <c r="C5077" t="s">
        <v>114</v>
      </c>
      <c r="D5077" t="s">
        <v>10</v>
      </c>
      <c r="E5077" s="4" t="str">
        <f>HYPERLINK("https://ibp.a2mac1.com/costing(costing:projects/details/9760/process/12085223)","Injection molding")</f>
        <v>Injection molding</v>
      </c>
      <c r="F5077" t="s">
        <v>5573</v>
      </c>
    </row>
    <row r="5078" spans="1:6" x14ac:dyDescent="0.15">
      <c r="A5078">
        <v>8754798</v>
      </c>
      <c r="B5078">
        <v>12085223</v>
      </c>
      <c r="C5078" t="s">
        <v>22</v>
      </c>
      <c r="D5078" t="s">
        <v>114</v>
      </c>
      <c r="E5078" s="4" t="str">
        <f>HYPERLINK("https://ibp.a2mac1.com/costing(costing:projects/details/9760/material/8754798)","PBT-GF30")</f>
        <v>PBT-GF30</v>
      </c>
      <c r="F5078" t="s">
        <v>5575</v>
      </c>
    </row>
    <row r="5079" spans="1:6" x14ac:dyDescent="0.15">
      <c r="A5079">
        <v>12212318</v>
      </c>
      <c r="B5079">
        <v>12085223</v>
      </c>
      <c r="C5079" t="s">
        <v>163</v>
      </c>
      <c r="D5079" t="s">
        <v>114</v>
      </c>
      <c r="E5079" s="4" t="str">
        <f>HYPERLINK("https://ibp.a2mac1.com/costing(costing:projects/details/9760/equipment/12212318)","No.04 - Injection Press - 100T - 33kW - 400x400 - Max Volume 260cm3 ")</f>
        <v xml:space="preserve">No.04 - Injection Press - 100T - 33kW - 400x400 - Max Volume 260cm3 </v>
      </c>
      <c r="F5079" t="s">
        <v>5575</v>
      </c>
    </row>
    <row r="5080" spans="1:6" x14ac:dyDescent="0.15">
      <c r="A5080">
        <v>12085224</v>
      </c>
      <c r="B5080">
        <v>8415862</v>
      </c>
      <c r="C5080" t="s">
        <v>114</v>
      </c>
      <c r="D5080" t="s">
        <v>10</v>
      </c>
      <c r="E5080" s="4" t="str">
        <f>HYPERLINK("https://ibp.a2mac1.com/costing(costing:projects/details/9760/process/12085224)","Handling/Visual Inspection/Packaging")</f>
        <v>Handling/Visual Inspection/Packaging</v>
      </c>
      <c r="F5080" t="s">
        <v>5573</v>
      </c>
    </row>
    <row r="5081" spans="1:6" x14ac:dyDescent="0.15">
      <c r="A5081">
        <v>12212319</v>
      </c>
      <c r="B5081">
        <v>12085224</v>
      </c>
      <c r="C5081" t="s">
        <v>163</v>
      </c>
      <c r="D5081" t="s">
        <v>114</v>
      </c>
      <c r="E5081" s="4" t="str">
        <f>HYPERLINK("https://ibp.a2mac1.com/costing(costing:projects/details/9760/equipment/12212319)","Packaging")</f>
        <v>Packaging</v>
      </c>
      <c r="F5081" t="s">
        <v>5577</v>
      </c>
    </row>
    <row r="5082" spans="1:6" x14ac:dyDescent="0.15">
      <c r="A5082">
        <v>8754392</v>
      </c>
      <c r="B5082">
        <v>8415635</v>
      </c>
      <c r="C5082" t="s">
        <v>311</v>
      </c>
      <c r="D5082" t="s">
        <v>8</v>
      </c>
      <c r="E5082" s="4" t="str">
        <f>HYPERLINK("https://ibp.a2mac1.com/costing(costing:projects/details/9760/component/8754392)","Screw &gt; Hexagon screw with captive washer")</f>
        <v>Screw &gt; Hexagon screw with captive washer</v>
      </c>
      <c r="F5082" t="s">
        <v>5547</v>
      </c>
    </row>
    <row r="5083" spans="1:6" x14ac:dyDescent="0.15">
      <c r="A5083">
        <v>8754393</v>
      </c>
      <c r="B5083">
        <v>8415635</v>
      </c>
      <c r="C5083" t="s">
        <v>311</v>
      </c>
      <c r="D5083" t="s">
        <v>8</v>
      </c>
      <c r="E5083" s="4" t="str">
        <f>HYPERLINK("https://ibp.a2mac1.com/costing(costing:projects/details/9760/component/8754393)","Tube/cluster support &gt; Tube/cluster strap support in hole")</f>
        <v>Tube/cluster support &gt; Tube/cluster strap support in hole</v>
      </c>
      <c r="F5083" t="s">
        <v>5547</v>
      </c>
    </row>
    <row r="5084" spans="1:6" x14ac:dyDescent="0.15">
      <c r="A5084">
        <v>8754394</v>
      </c>
      <c r="B5084">
        <v>8415635</v>
      </c>
      <c r="C5084" t="s">
        <v>311</v>
      </c>
      <c r="D5084" t="s">
        <v>8</v>
      </c>
      <c r="E5084" s="4" t="str">
        <f>HYPERLINK("https://ibp.a2mac1.com/costing(costing:projects/details/9760/component/8754394)","Screw &gt; Torx socket head cap screw")</f>
        <v>Screw &gt; Torx socket head cap screw</v>
      </c>
      <c r="F5084" t="s">
        <v>5547</v>
      </c>
    </row>
    <row r="5085" spans="1:6" x14ac:dyDescent="0.15">
      <c r="A5085">
        <v>8754395</v>
      </c>
      <c r="B5085">
        <v>8415635</v>
      </c>
      <c r="C5085" t="s">
        <v>311</v>
      </c>
      <c r="D5085" t="s">
        <v>8</v>
      </c>
      <c r="E5085" s="4" t="str">
        <f>HYPERLINK("https://ibp.a2mac1.com/costing(costing:projects/details/9760/component/8754395)","Panel holder &gt; Clips in round hole")</f>
        <v>Panel holder &gt; Clips in round hole</v>
      </c>
      <c r="F5085" t="s">
        <v>5547</v>
      </c>
    </row>
    <row r="5086" spans="1:6" x14ac:dyDescent="0.15">
      <c r="A5086">
        <v>8754396</v>
      </c>
      <c r="B5086">
        <v>8415635</v>
      </c>
      <c r="C5086" t="s">
        <v>311</v>
      </c>
      <c r="D5086" t="s">
        <v>8</v>
      </c>
      <c r="E5086" s="4" t="str">
        <f>HYPERLINK("https://ibp.a2mac1.com/costing(costing:projects/details/9760/component/8754396)","Screw &gt; Torx socket head cap screw")</f>
        <v>Screw &gt; Torx socket head cap screw</v>
      </c>
      <c r="F5086" t="s">
        <v>5547</v>
      </c>
    </row>
    <row r="5087" spans="1:6" x14ac:dyDescent="0.15">
      <c r="A5087">
        <v>8754397</v>
      </c>
      <c r="B5087">
        <v>8415635</v>
      </c>
      <c r="C5087" t="s">
        <v>311</v>
      </c>
      <c r="D5087" t="s">
        <v>8</v>
      </c>
      <c r="E5087" s="4" t="str">
        <f>HYPERLINK("https://ibp.a2mac1.com/costing(costing:projects/details/9760/component/8754397)","Screw &gt; Hexagon screw with captive washer")</f>
        <v>Screw &gt; Hexagon screw with captive washer</v>
      </c>
      <c r="F5087" t="s">
        <v>5547</v>
      </c>
    </row>
    <row r="5088" spans="1:6" x14ac:dyDescent="0.15">
      <c r="A5088">
        <v>8415636</v>
      </c>
      <c r="B5088">
        <v>8415583</v>
      </c>
      <c r="C5088" t="s">
        <v>8</v>
      </c>
      <c r="D5088" t="s">
        <v>8</v>
      </c>
      <c r="E5088" s="4" t="str">
        <f>HYPERLINK("https://ibp.a2mac1.com/costing(costing:projects/details/9760/assembly/8415636)","Struts System")</f>
        <v>Struts System</v>
      </c>
      <c r="F5088" t="s">
        <v>5521</v>
      </c>
    </row>
    <row r="5089" spans="1:6" x14ac:dyDescent="0.15">
      <c r="A5089">
        <v>8415863</v>
      </c>
      <c r="B5089">
        <v>8415636</v>
      </c>
      <c r="C5089" t="s">
        <v>10</v>
      </c>
      <c r="D5089" t="s">
        <v>8</v>
      </c>
      <c r="E5089" s="4" t="str">
        <f>HYPERLINK("https://ibp.a2mac1.com/costing(costing:projects/details/9760/part/8415863)","Struts")</f>
        <v>Struts</v>
      </c>
      <c r="F5089" t="s">
        <v>5580</v>
      </c>
    </row>
    <row r="5090" spans="1:6" x14ac:dyDescent="0.15">
      <c r="A5090">
        <v>8415864</v>
      </c>
      <c r="B5090">
        <v>8415636</v>
      </c>
      <c r="C5090" t="s">
        <v>10</v>
      </c>
      <c r="D5090" t="s">
        <v>8</v>
      </c>
      <c r="E5090" s="4" t="str">
        <f>HYPERLINK("https://ibp.a2mac1.com/costing(costing:projects/details/9760/part/8415864)","Fastener Hood Side")</f>
        <v>Fastener Hood Side</v>
      </c>
      <c r="F5090" t="s">
        <v>5580</v>
      </c>
    </row>
    <row r="5091" spans="1:6" x14ac:dyDescent="0.15">
      <c r="A5091">
        <v>8754398</v>
      </c>
      <c r="B5091">
        <v>8415636</v>
      </c>
      <c r="C5091" t="s">
        <v>311</v>
      </c>
      <c r="D5091" t="s">
        <v>8</v>
      </c>
      <c r="E5091" s="4" t="str">
        <f>HYPERLINK("https://ibp.a2mac1.com/costing(costing:projects/details/9760/component/8754398)","Pin clip &gt; Axle pin")</f>
        <v>Pin clip &gt; Axle pin</v>
      </c>
      <c r="F5091" t="s">
        <v>5580</v>
      </c>
    </row>
    <row r="5092" spans="1:6" x14ac:dyDescent="0.15">
      <c r="A5092">
        <v>8415637</v>
      </c>
      <c r="B5092">
        <v>8415583</v>
      </c>
      <c r="C5092" t="s">
        <v>8</v>
      </c>
      <c r="D5092" t="s">
        <v>8</v>
      </c>
      <c r="E5092" s="4" t="str">
        <f>HYPERLINK("https://ibp.a2mac1.com/costing(costing:projects/details/9760/assembly/8415637)","Sealing")</f>
        <v>Sealing</v>
      </c>
      <c r="F5092" t="s">
        <v>5521</v>
      </c>
    </row>
    <row r="5093" spans="1:6" x14ac:dyDescent="0.15">
      <c r="A5093">
        <v>8415865</v>
      </c>
      <c r="B5093">
        <v>8415637</v>
      </c>
      <c r="C5093" t="s">
        <v>10</v>
      </c>
      <c r="D5093" t="s">
        <v>8</v>
      </c>
      <c r="E5093" s="4" t="str">
        <f>HYPERLINK("https://ibp.a2mac1.com/costing(costing:projects/details/9760/part/8415865)","Side on Body")</f>
        <v>Side on Body</v>
      </c>
      <c r="F5093" t="s">
        <v>5586</v>
      </c>
    </row>
    <row r="5094" spans="1:6" x14ac:dyDescent="0.15">
      <c r="A5094">
        <v>12085226</v>
      </c>
      <c r="B5094">
        <v>8415865</v>
      </c>
      <c r="C5094" t="s">
        <v>114</v>
      </c>
      <c r="D5094" t="s">
        <v>10</v>
      </c>
      <c r="E5094" s="4" t="str">
        <f>HYPERLINK("https://ibp.a2mac1.com/costing(costing:projects/details/9760/process/12085226)","Injection foam carrousel")</f>
        <v>Injection foam carrousel</v>
      </c>
      <c r="F5094" t="s">
        <v>5587</v>
      </c>
    </row>
    <row r="5095" spans="1:6" x14ac:dyDescent="0.15">
      <c r="A5095">
        <v>8754799</v>
      </c>
      <c r="B5095">
        <v>12085226</v>
      </c>
      <c r="C5095" t="s">
        <v>22</v>
      </c>
      <c r="D5095" t="s">
        <v>114</v>
      </c>
      <c r="E5095" s="4" t="str">
        <f>HYPERLINK("https://ibp.a2mac1.com/costing(costing:projects/details/9760/material/8754799)","PUR")</f>
        <v>PUR</v>
      </c>
      <c r="F5095" t="s">
        <v>5588</v>
      </c>
    </row>
    <row r="5096" spans="1:6" x14ac:dyDescent="0.15">
      <c r="A5096">
        <v>12212321</v>
      </c>
      <c r="B5096">
        <v>12085226</v>
      </c>
      <c r="C5096" t="s">
        <v>163</v>
      </c>
      <c r="D5096" t="s">
        <v>114</v>
      </c>
      <c r="E5096" s="4" t="str">
        <f>HYPERLINK("https://ibp.a2mac1.com/costing(costing:projects/details/9760/equipment/12212321)","No.01 - Foaming Carrousel ")</f>
        <v xml:space="preserve">No.01 - Foaming Carrousel </v>
      </c>
      <c r="F5096" t="s">
        <v>5588</v>
      </c>
    </row>
    <row r="5097" spans="1:6" x14ac:dyDescent="0.15">
      <c r="A5097">
        <v>12085225</v>
      </c>
      <c r="B5097">
        <v>8415865</v>
      </c>
      <c r="C5097" t="s">
        <v>114</v>
      </c>
      <c r="D5097" t="s">
        <v>10</v>
      </c>
      <c r="E5097" s="4" t="str">
        <f>HYPERLINK("https://ibp.a2mac1.com/costing(costing:projects/details/9760/process/12085225)","Handling/Visual Inspection/Packaging")</f>
        <v>Handling/Visual Inspection/Packaging</v>
      </c>
      <c r="F5097" t="s">
        <v>5587</v>
      </c>
    </row>
    <row r="5098" spans="1:6" x14ac:dyDescent="0.15">
      <c r="A5098">
        <v>12212320</v>
      </c>
      <c r="B5098">
        <v>12085225</v>
      </c>
      <c r="C5098" t="s">
        <v>163</v>
      </c>
      <c r="D5098" t="s">
        <v>114</v>
      </c>
      <c r="E5098" s="4" t="str">
        <f>HYPERLINK("https://ibp.a2mac1.com/costing(costing:projects/details/9760/equipment/12212320)","Packaging")</f>
        <v>Packaging</v>
      </c>
      <c r="F5098" t="s">
        <v>5589</v>
      </c>
    </row>
    <row r="5099" spans="1:6" x14ac:dyDescent="0.15">
      <c r="A5099">
        <v>8415866</v>
      </c>
      <c r="B5099">
        <v>8415637</v>
      </c>
      <c r="C5099" t="s">
        <v>10</v>
      </c>
      <c r="D5099" t="s">
        <v>8</v>
      </c>
      <c r="E5099" s="4" t="str">
        <f>HYPERLINK("https://ibp.a2mac1.com/costing(costing:projects/details/9760/part/8415866)","2nd Side Seal on Body")</f>
        <v>2nd Side Seal on Body</v>
      </c>
      <c r="F5099" t="s">
        <v>5586</v>
      </c>
    </row>
    <row r="5100" spans="1:6" x14ac:dyDescent="0.15">
      <c r="A5100">
        <v>12085227</v>
      </c>
      <c r="B5100">
        <v>8415866</v>
      </c>
      <c r="C5100" t="s">
        <v>114</v>
      </c>
      <c r="D5100" t="s">
        <v>10</v>
      </c>
      <c r="E5100" s="4" t="str">
        <f>HYPERLINK("https://ibp.a2mac1.com/costing(costing:projects/details/9760/process/12085227)","Injection foam carrousel")</f>
        <v>Injection foam carrousel</v>
      </c>
      <c r="F5100" t="s">
        <v>5591</v>
      </c>
    </row>
    <row r="5101" spans="1:6" x14ac:dyDescent="0.15">
      <c r="A5101">
        <v>8754800</v>
      </c>
      <c r="B5101">
        <v>12085227</v>
      </c>
      <c r="C5101" t="s">
        <v>22</v>
      </c>
      <c r="D5101" t="s">
        <v>114</v>
      </c>
      <c r="E5101" s="4" t="str">
        <f>HYPERLINK("https://ibp.a2mac1.com/costing(costing:projects/details/9760/material/8754800)","PUR")</f>
        <v>PUR</v>
      </c>
      <c r="F5101" t="s">
        <v>5592</v>
      </c>
    </row>
    <row r="5102" spans="1:6" x14ac:dyDescent="0.15">
      <c r="A5102">
        <v>12212322</v>
      </c>
      <c r="B5102">
        <v>12085227</v>
      </c>
      <c r="C5102" t="s">
        <v>163</v>
      </c>
      <c r="D5102" t="s">
        <v>114</v>
      </c>
      <c r="E5102" s="4" t="str">
        <f>HYPERLINK("https://ibp.a2mac1.com/costing(costing:projects/details/9760/equipment/12212322)","No.01 - Foaming Carrousel ")</f>
        <v xml:space="preserve">No.01 - Foaming Carrousel </v>
      </c>
      <c r="F5102" t="s">
        <v>5592</v>
      </c>
    </row>
    <row r="5103" spans="1:6" x14ac:dyDescent="0.15">
      <c r="A5103">
        <v>12085228</v>
      </c>
      <c r="B5103">
        <v>8415866</v>
      </c>
      <c r="C5103" t="s">
        <v>114</v>
      </c>
      <c r="D5103" t="s">
        <v>10</v>
      </c>
      <c r="E5103" s="4" t="str">
        <f>HYPERLINK("https://ibp.a2mac1.com/costing(costing:projects/details/9760/process/12085228)","Handling/Visual Inspection/Packaging")</f>
        <v>Handling/Visual Inspection/Packaging</v>
      </c>
      <c r="F5103" t="s">
        <v>5591</v>
      </c>
    </row>
    <row r="5104" spans="1:6" x14ac:dyDescent="0.15">
      <c r="A5104">
        <v>12212323</v>
      </c>
      <c r="B5104">
        <v>12085228</v>
      </c>
      <c r="C5104" t="s">
        <v>163</v>
      </c>
      <c r="D5104" t="s">
        <v>114</v>
      </c>
      <c r="E5104" s="4" t="str">
        <f>HYPERLINK("https://ibp.a2mac1.com/costing(costing:projects/details/9760/equipment/12212323)","Packaging")</f>
        <v>Packaging</v>
      </c>
      <c r="F5104" t="s">
        <v>5593</v>
      </c>
    </row>
    <row r="5105" spans="1:6" x14ac:dyDescent="0.15">
      <c r="A5105">
        <v>8415638</v>
      </c>
      <c r="B5105">
        <v>8415583</v>
      </c>
      <c r="C5105" t="s">
        <v>8</v>
      </c>
      <c r="D5105" t="s">
        <v>8</v>
      </c>
      <c r="E5105" s="4" t="str">
        <f>HYPERLINK("https://ibp.a2mac1.com/costing(costing:projects/details/9760/assembly/8415638)","Stoppers")</f>
        <v>Stoppers</v>
      </c>
      <c r="F5105" t="s">
        <v>5521</v>
      </c>
    </row>
    <row r="5106" spans="1:6" x14ac:dyDescent="0.15">
      <c r="A5106">
        <v>8415867</v>
      </c>
      <c r="B5106">
        <v>8415638</v>
      </c>
      <c r="C5106" t="s">
        <v>10</v>
      </c>
      <c r="D5106" t="s">
        <v>8</v>
      </c>
      <c r="E5106" s="4" t="str">
        <f>HYPERLINK("https://ibp.a2mac1.com/costing(costing:projects/details/9760/part/8415867)","Adjustable Stoppers on Body")</f>
        <v>Adjustable Stoppers on Body</v>
      </c>
      <c r="F5106" t="s">
        <v>5596</v>
      </c>
    </row>
    <row r="5107" spans="1:6" x14ac:dyDescent="0.15">
      <c r="A5107">
        <v>12085229</v>
      </c>
      <c r="B5107">
        <v>8415867</v>
      </c>
      <c r="C5107" t="s">
        <v>114</v>
      </c>
      <c r="D5107" t="s">
        <v>10</v>
      </c>
      <c r="E5107" s="4" t="str">
        <f>HYPERLINK("https://ibp.a2mac1.com/costing(costing:projects/details/9760/process/12085229)","Injection molding")</f>
        <v>Injection molding</v>
      </c>
      <c r="F5107" t="s">
        <v>5597</v>
      </c>
    </row>
    <row r="5108" spans="1:6" x14ac:dyDescent="0.15">
      <c r="A5108">
        <v>8754801</v>
      </c>
      <c r="B5108">
        <v>12085229</v>
      </c>
      <c r="C5108" t="s">
        <v>22</v>
      </c>
      <c r="D5108" t="s">
        <v>114</v>
      </c>
      <c r="E5108" s="4" t="str">
        <f>HYPERLINK("https://ibp.a2mac1.com/costing(costing:projects/details/9760/material/8754801)","EPDM")</f>
        <v>EPDM</v>
      </c>
      <c r="F5108" t="s">
        <v>5598</v>
      </c>
    </row>
    <row r="5109" spans="1:6" x14ac:dyDescent="0.15">
      <c r="A5109">
        <v>12212324</v>
      </c>
      <c r="B5109">
        <v>12085229</v>
      </c>
      <c r="C5109" t="s">
        <v>163</v>
      </c>
      <c r="D5109" t="s">
        <v>114</v>
      </c>
      <c r="E5109" s="4" t="str">
        <f>HYPERLINK("https://ibp.a2mac1.com/costing(costing:projects/details/9760/equipment/12212324)","Equipment (Injection Molding)")</f>
        <v>Equipment (Injection Molding)</v>
      </c>
      <c r="F5109" t="s">
        <v>5598</v>
      </c>
    </row>
    <row r="5110" spans="1:6" x14ac:dyDescent="0.15">
      <c r="A5110">
        <v>8415868</v>
      </c>
      <c r="B5110">
        <v>8415638</v>
      </c>
      <c r="C5110" t="s">
        <v>10</v>
      </c>
      <c r="D5110" t="s">
        <v>8</v>
      </c>
      <c r="E5110" s="4" t="str">
        <f>HYPERLINK("https://ibp.a2mac1.com/costing(costing:projects/details/9760/part/8415868)","2nd Adjustable Stoppers on Body")</f>
        <v>2nd Adjustable Stoppers on Body</v>
      </c>
      <c r="F5110" t="s">
        <v>5596</v>
      </c>
    </row>
    <row r="5111" spans="1:6" x14ac:dyDescent="0.15">
      <c r="A5111">
        <v>12085230</v>
      </c>
      <c r="B5111">
        <v>8415868</v>
      </c>
      <c r="C5111" t="s">
        <v>114</v>
      </c>
      <c r="D5111" t="s">
        <v>10</v>
      </c>
      <c r="E5111" s="4" t="str">
        <f>HYPERLINK("https://ibp.a2mac1.com/costing(costing:projects/details/9760/process/12085230)","Injection molding")</f>
        <v>Injection molding</v>
      </c>
      <c r="F5111" t="s">
        <v>5600</v>
      </c>
    </row>
    <row r="5112" spans="1:6" x14ac:dyDescent="0.15">
      <c r="A5112">
        <v>8754802</v>
      </c>
      <c r="B5112">
        <v>12085230</v>
      </c>
      <c r="C5112" t="s">
        <v>22</v>
      </c>
      <c r="D5112" t="s">
        <v>114</v>
      </c>
      <c r="E5112" s="4" t="str">
        <f>HYPERLINK("https://ibp.a2mac1.com/costing(costing:projects/details/9760/material/8754802)","EPDM")</f>
        <v>EPDM</v>
      </c>
      <c r="F5112" t="s">
        <v>5601</v>
      </c>
    </row>
    <row r="5113" spans="1:6" x14ac:dyDescent="0.15">
      <c r="A5113">
        <v>12212325</v>
      </c>
      <c r="B5113">
        <v>12085230</v>
      </c>
      <c r="C5113" t="s">
        <v>163</v>
      </c>
      <c r="D5113" t="s">
        <v>114</v>
      </c>
      <c r="E5113" s="4" t="str">
        <f>HYPERLINK("https://ibp.a2mac1.com/costing(costing:projects/details/9760/equipment/12212325)","Equipment (Injection Molding)")</f>
        <v>Equipment (Injection Molding)</v>
      </c>
      <c r="F5113" t="s">
        <v>5601</v>
      </c>
    </row>
    <row r="5114" spans="1:6" x14ac:dyDescent="0.15">
      <c r="A5114">
        <v>8415639</v>
      </c>
      <c r="B5114">
        <v>8415583</v>
      </c>
      <c r="C5114" t="s">
        <v>8</v>
      </c>
      <c r="D5114" t="s">
        <v>8</v>
      </c>
      <c r="E5114" s="4" t="str">
        <f>HYPERLINK("https://ibp.a2mac1.com/costing(costing:projects/details/9760/assembly/8415639)","Hood")</f>
        <v>Hood</v>
      </c>
      <c r="F5114" t="s">
        <v>5521</v>
      </c>
    </row>
    <row r="5115" spans="1:6" x14ac:dyDescent="0.15">
      <c r="A5115">
        <v>8415869</v>
      </c>
      <c r="B5115">
        <v>8415639</v>
      </c>
      <c r="C5115" t="s">
        <v>8</v>
      </c>
      <c r="D5115" t="s">
        <v>8</v>
      </c>
      <c r="E5115" s="4" t="str">
        <f>HYPERLINK("https://ibp.a2mac1.com/costing(costing:projects/details/9760/assembly/8415869)","Lining assy")</f>
        <v>Lining assy</v>
      </c>
      <c r="F5115" t="s">
        <v>5604</v>
      </c>
    </row>
    <row r="5116" spans="1:6" x14ac:dyDescent="0.15">
      <c r="A5116">
        <v>8416225</v>
      </c>
      <c r="B5116">
        <v>8415869</v>
      </c>
      <c r="C5116" t="s">
        <v>8</v>
      </c>
      <c r="D5116" t="s">
        <v>8</v>
      </c>
      <c r="E5116" s="4" t="str">
        <f>HYPERLINK("https://ibp.a2mac1.com/costing(costing:projects/details/9760/assembly/8416225)","Lining")</f>
        <v>Lining</v>
      </c>
      <c r="F5116" t="s">
        <v>5605</v>
      </c>
    </row>
    <row r="5117" spans="1:6" x14ac:dyDescent="0.15">
      <c r="A5117">
        <v>8416533</v>
      </c>
      <c r="B5117">
        <v>8416225</v>
      </c>
      <c r="C5117" t="s">
        <v>10</v>
      </c>
      <c r="D5117" t="s">
        <v>8</v>
      </c>
      <c r="E5117" s="4" t="str">
        <f>HYPERLINK("https://ibp.a2mac1.com/costing(costing:projects/details/9760/part/8416533)","Part 01 (single/main)")</f>
        <v>Part 01 (single/main)</v>
      </c>
      <c r="F5117" t="s">
        <v>5606</v>
      </c>
    </row>
    <row r="5118" spans="1:6" x14ac:dyDescent="0.15">
      <c r="A5118">
        <v>12085972</v>
      </c>
      <c r="B5118">
        <v>8416533</v>
      </c>
      <c r="C5118" t="s">
        <v>114</v>
      </c>
      <c r="D5118" t="s">
        <v>10</v>
      </c>
      <c r="E5118" s="4" t="str">
        <f>HYPERLINK("https://ibp.a2mac1.com/costing(costing:projects/details/9760/process/12085972)","Stamping")</f>
        <v>Stamping</v>
      </c>
      <c r="F5118" t="s">
        <v>5607</v>
      </c>
    </row>
    <row r="5119" spans="1:6" x14ac:dyDescent="0.15">
      <c r="A5119">
        <v>12213130</v>
      </c>
      <c r="B5119">
        <v>12085972</v>
      </c>
      <c r="C5119" t="s">
        <v>163</v>
      </c>
      <c r="D5119" t="s">
        <v>114</v>
      </c>
      <c r="E5119" s="4" t="str">
        <f>HYPERLINK("https://ibp.a2mac1.com/costing(costing:projects/details/9760/equipment/12213130)","No.01 - Tandem Press Line - 500T + 4 x 250T ")</f>
        <v xml:space="preserve">No.01 - Tandem Press Line - 500T + 4 x 250T </v>
      </c>
      <c r="F5119" t="s">
        <v>5608</v>
      </c>
    </row>
    <row r="5120" spans="1:6" x14ac:dyDescent="0.15">
      <c r="A5120">
        <v>12085971</v>
      </c>
      <c r="B5120">
        <v>8416533</v>
      </c>
      <c r="C5120" t="s">
        <v>114</v>
      </c>
      <c r="D5120" t="s">
        <v>10</v>
      </c>
      <c r="E5120" s="4" t="str">
        <f>HYPERLINK("https://ibp.a2mac1.com/costing(costing:projects/details/9760/process/12085971)","Blanking")</f>
        <v>Blanking</v>
      </c>
      <c r="F5120" t="s">
        <v>5607</v>
      </c>
    </row>
    <row r="5121" spans="1:6" x14ac:dyDescent="0.15">
      <c r="A5121">
        <v>8755585</v>
      </c>
      <c r="B5121">
        <v>12085971</v>
      </c>
      <c r="C5121" t="s">
        <v>22</v>
      </c>
      <c r="D5121" t="s">
        <v>114</v>
      </c>
      <c r="E5121" s="4" t="str">
        <f>HYPERLINK("https://ibp.a2mac1.com/costing(costing:projects/details/9760/material/8755585)","Aluminum sheet body (default, e.g. EN-AW6063)")</f>
        <v>Aluminum sheet body (default, e.g. EN-AW6063)</v>
      </c>
      <c r="F5121" t="s">
        <v>5611</v>
      </c>
    </row>
    <row r="5122" spans="1:6" x14ac:dyDescent="0.15">
      <c r="A5122">
        <v>12213129</v>
      </c>
      <c r="B5122">
        <v>12085971</v>
      </c>
      <c r="C5122" t="s">
        <v>163</v>
      </c>
      <c r="D5122" t="s">
        <v>114</v>
      </c>
      <c r="E5122" s="4" t="str">
        <f>HYPERLINK("https://ibp.a2mac1.com/costing(costing:projects/details/9760/equipment/12213129)","No.01 - Blanking Press - 500T ")</f>
        <v xml:space="preserve">No.01 - Blanking Press - 500T </v>
      </c>
      <c r="F5122" t="s">
        <v>5611</v>
      </c>
    </row>
    <row r="5123" spans="1:6" x14ac:dyDescent="0.15">
      <c r="A5123">
        <v>8416226</v>
      </c>
      <c r="B5123">
        <v>8415869</v>
      </c>
      <c r="C5123" t="s">
        <v>8</v>
      </c>
      <c r="D5123" t="s">
        <v>8</v>
      </c>
      <c r="E5123" s="4" t="str">
        <f>HYPERLINK("https://ibp.a2mac1.com/costing(costing:projects/details/9760/assembly/8416226)","Spacers")</f>
        <v>Spacers</v>
      </c>
      <c r="F5123" t="s">
        <v>5605</v>
      </c>
    </row>
    <row r="5124" spans="1:6" x14ac:dyDescent="0.15">
      <c r="A5124">
        <v>8416534</v>
      </c>
      <c r="B5124">
        <v>8416226</v>
      </c>
      <c r="C5124" t="s">
        <v>10</v>
      </c>
      <c r="D5124" t="s">
        <v>8</v>
      </c>
      <c r="E5124" s="4" t="str">
        <f>HYPERLINK("https://ibp.a2mac1.com/costing(costing:projects/details/9760/part/8416534)","Closures&gt;Hood&gt;Lining assy&gt;Spacers&gt;Part 01 (main/single)")</f>
        <v>Closures&gt;Hood&gt;Lining assy&gt;Spacers&gt;Part 01 (main/single)</v>
      </c>
      <c r="F5124" t="s">
        <v>5614</v>
      </c>
    </row>
    <row r="5125" spans="1:6" x14ac:dyDescent="0.15">
      <c r="A5125">
        <v>12085973</v>
      </c>
      <c r="B5125">
        <v>8416534</v>
      </c>
      <c r="C5125" t="s">
        <v>114</v>
      </c>
      <c r="D5125" t="s">
        <v>10</v>
      </c>
      <c r="E5125" s="4" t="str">
        <f>HYPERLINK("https://ibp.a2mac1.com/costing(costing:projects/details/9760/process/12085973)","MANUFACTURING  PROCESS")</f>
        <v>MANUFACTURING  PROCESS</v>
      </c>
      <c r="F5125" t="s">
        <v>5615</v>
      </c>
    </row>
    <row r="5126" spans="1:6" x14ac:dyDescent="0.15">
      <c r="A5126">
        <v>8755586</v>
      </c>
      <c r="B5126">
        <v>12085973</v>
      </c>
      <c r="C5126" t="s">
        <v>22</v>
      </c>
      <c r="D5126" t="s">
        <v>114</v>
      </c>
      <c r="E5126" s="4" t="str">
        <f>HYPERLINK("https://ibp.a2mac1.com/costing(costing:projects/details/9760/material/8755586)","Aluminum sheet body (default, e.g. EN-AW6063)")</f>
        <v>Aluminum sheet body (default, e.g. EN-AW6063)</v>
      </c>
      <c r="F5126" t="s">
        <v>5618</v>
      </c>
    </row>
    <row r="5127" spans="1:6" x14ac:dyDescent="0.15">
      <c r="A5127">
        <v>12213131</v>
      </c>
      <c r="B5127">
        <v>12085973</v>
      </c>
      <c r="C5127" t="s">
        <v>163</v>
      </c>
      <c r="D5127" t="s">
        <v>114</v>
      </c>
      <c r="E5127" s="4" t="str">
        <f>HYPERLINK("https://ibp.a2mac1.com/costing(costing:projects/details/9760/equipment/12213131)","Manufacturing Equipment")</f>
        <v>Manufacturing Equipment</v>
      </c>
      <c r="F5127" t="s">
        <v>5618</v>
      </c>
    </row>
    <row r="5128" spans="1:6" x14ac:dyDescent="0.15">
      <c r="A5128">
        <v>8416227</v>
      </c>
      <c r="B5128">
        <v>8415869</v>
      </c>
      <c r="C5128" t="s">
        <v>8</v>
      </c>
      <c r="D5128" t="s">
        <v>8</v>
      </c>
      <c r="E5128" s="4" t="str">
        <f>HYPERLINK("https://ibp.a2mac1.com/costing(costing:projects/details/9760/assembly/8416227)","Fixing parts")</f>
        <v>Fixing parts</v>
      </c>
      <c r="F5128" t="s">
        <v>5605</v>
      </c>
    </row>
    <row r="5129" spans="1:6" x14ac:dyDescent="0.15">
      <c r="A5129">
        <v>8416535</v>
      </c>
      <c r="B5129">
        <v>8416227</v>
      </c>
      <c r="C5129" t="s">
        <v>10</v>
      </c>
      <c r="D5129" t="s">
        <v>8</v>
      </c>
      <c r="E5129" s="4" t="str">
        <f>HYPERLINK("https://ibp.a2mac1.com/costing(costing:projects/details/9760/part/8416535)","Closures&gt;Hood&gt;Lining assy&gt;Fixing parts&gt;Part 02")</f>
        <v>Closures&gt;Hood&gt;Lining assy&gt;Fixing parts&gt;Part 02</v>
      </c>
      <c r="F5129" t="s">
        <v>5620</v>
      </c>
    </row>
    <row r="5130" spans="1:6" x14ac:dyDescent="0.15">
      <c r="A5130">
        <v>12085974</v>
      </c>
      <c r="B5130">
        <v>8416535</v>
      </c>
      <c r="C5130" t="s">
        <v>114</v>
      </c>
      <c r="D5130" t="s">
        <v>10</v>
      </c>
      <c r="E5130" s="4" t="str">
        <f>HYPERLINK("https://ibp.a2mac1.com/costing(costing:projects/details/9760/process/12085974)","MANUFACTURING  PROCESS")</f>
        <v>MANUFACTURING  PROCESS</v>
      </c>
      <c r="F5130" t="s">
        <v>5621</v>
      </c>
    </row>
    <row r="5131" spans="1:6" x14ac:dyDescent="0.15">
      <c r="A5131">
        <v>8755587</v>
      </c>
      <c r="B5131">
        <v>12085974</v>
      </c>
      <c r="C5131" t="s">
        <v>22</v>
      </c>
      <c r="D5131" t="s">
        <v>114</v>
      </c>
      <c r="E5131" s="4" t="str">
        <f>HYPERLINK("https://ibp.a2mac1.com/costing(costing:projects/details/9760/material/8755587)","Aluminum sheet body (default, e.g. EN-AW6063)")</f>
        <v>Aluminum sheet body (default, e.g. EN-AW6063)</v>
      </c>
      <c r="F5131" t="s">
        <v>5624</v>
      </c>
    </row>
    <row r="5132" spans="1:6" x14ac:dyDescent="0.15">
      <c r="A5132">
        <v>12213132</v>
      </c>
      <c r="B5132">
        <v>12085974</v>
      </c>
      <c r="C5132" t="s">
        <v>163</v>
      </c>
      <c r="D5132" t="s">
        <v>114</v>
      </c>
      <c r="E5132" s="4" t="str">
        <f>HYPERLINK("https://ibp.a2mac1.com/costing(costing:projects/details/9760/equipment/12213132)","Manufacturing Equipment")</f>
        <v>Manufacturing Equipment</v>
      </c>
      <c r="F5132" t="s">
        <v>5624</v>
      </c>
    </row>
    <row r="5133" spans="1:6" x14ac:dyDescent="0.15">
      <c r="A5133">
        <v>8416536</v>
      </c>
      <c r="B5133">
        <v>8416227</v>
      </c>
      <c r="C5133" t="s">
        <v>10</v>
      </c>
      <c r="D5133" t="s">
        <v>8</v>
      </c>
      <c r="E5133" s="4" t="str">
        <f>HYPERLINK("https://ibp.a2mac1.com/costing(costing:projects/details/9760/part/8416536)","Closures&gt;Hood&gt;Lining assy&gt;Fixing parts&gt;Part 01 (main/single)")</f>
        <v>Closures&gt;Hood&gt;Lining assy&gt;Fixing parts&gt;Part 01 (main/single)</v>
      </c>
      <c r="F5133" t="s">
        <v>5620</v>
      </c>
    </row>
    <row r="5134" spans="1:6" x14ac:dyDescent="0.15">
      <c r="A5134">
        <v>12085975</v>
      </c>
      <c r="B5134">
        <v>8416536</v>
      </c>
      <c r="C5134" t="s">
        <v>114</v>
      </c>
      <c r="D5134" t="s">
        <v>10</v>
      </c>
      <c r="E5134" s="4" t="str">
        <f>HYPERLINK("https://ibp.a2mac1.com/costing(costing:projects/details/9760/process/12085975)","MANUFACTURING  PROCESS")</f>
        <v>MANUFACTURING  PROCESS</v>
      </c>
      <c r="F5134" t="s">
        <v>5625</v>
      </c>
    </row>
    <row r="5135" spans="1:6" x14ac:dyDescent="0.15">
      <c r="A5135">
        <v>8755588</v>
      </c>
      <c r="B5135">
        <v>12085975</v>
      </c>
      <c r="C5135" t="s">
        <v>22</v>
      </c>
      <c r="D5135" t="s">
        <v>114</v>
      </c>
      <c r="E5135" s="4" t="str">
        <f>HYPERLINK("https://ibp.a2mac1.com/costing(costing:projects/details/9760/material/8755588)","Standard Structural Steel sheet")</f>
        <v>Standard Structural Steel sheet</v>
      </c>
      <c r="F5135" t="s">
        <v>5628</v>
      </c>
    </row>
    <row r="5136" spans="1:6" x14ac:dyDescent="0.15">
      <c r="A5136">
        <v>12213133</v>
      </c>
      <c r="B5136">
        <v>12085975</v>
      </c>
      <c r="C5136" t="s">
        <v>163</v>
      </c>
      <c r="D5136" t="s">
        <v>114</v>
      </c>
      <c r="E5136" s="4" t="str">
        <f>HYPERLINK("https://ibp.a2mac1.com/costing(costing:projects/details/9760/equipment/12213133)","Manufacturing Equipment")</f>
        <v>Manufacturing Equipment</v>
      </c>
      <c r="F5136" t="s">
        <v>5628</v>
      </c>
    </row>
    <row r="5137" spans="1:6" x14ac:dyDescent="0.15">
      <c r="A5137">
        <v>8416228</v>
      </c>
      <c r="B5137">
        <v>8415869</v>
      </c>
      <c r="C5137" t="s">
        <v>8</v>
      </c>
      <c r="D5137" t="s">
        <v>8</v>
      </c>
      <c r="E5137" s="4" t="str">
        <f>HYPERLINK("https://ibp.a2mac1.com/costing(costing:projects/details/9760/assembly/8416228)","Striker")</f>
        <v>Striker</v>
      </c>
      <c r="F5137" t="s">
        <v>5605</v>
      </c>
    </row>
    <row r="5138" spans="1:6" x14ac:dyDescent="0.15">
      <c r="A5138">
        <v>8416537</v>
      </c>
      <c r="B5138">
        <v>8416228</v>
      </c>
      <c r="C5138" t="s">
        <v>10</v>
      </c>
      <c r="D5138" t="s">
        <v>8</v>
      </c>
      <c r="E5138" s="4" t="str">
        <f>HYPERLINK("https://ibp.a2mac1.com/costing(costing:projects/details/9760/part/8416537)","Closures&gt;Hood&gt;Lining assy&gt;Striker&gt;Part 01 (main/single)")</f>
        <v>Closures&gt;Hood&gt;Lining assy&gt;Striker&gt;Part 01 (main/single)</v>
      </c>
      <c r="F5138" t="s">
        <v>5630</v>
      </c>
    </row>
    <row r="5139" spans="1:6" x14ac:dyDescent="0.15">
      <c r="A5139">
        <v>12085976</v>
      </c>
      <c r="B5139">
        <v>8416537</v>
      </c>
      <c r="C5139" t="s">
        <v>114</v>
      </c>
      <c r="D5139" t="s">
        <v>10</v>
      </c>
      <c r="E5139" s="4" t="str">
        <f>HYPERLINK("https://ibp.a2mac1.com/costing(costing:projects/details/9760/process/12085976)","MANUFACTURING  PROCESS")</f>
        <v>MANUFACTURING  PROCESS</v>
      </c>
      <c r="F5139" t="s">
        <v>5631</v>
      </c>
    </row>
    <row r="5140" spans="1:6" x14ac:dyDescent="0.15">
      <c r="A5140">
        <v>8755589</v>
      </c>
      <c r="B5140">
        <v>12085976</v>
      </c>
      <c r="C5140" t="s">
        <v>22</v>
      </c>
      <c r="D5140" t="s">
        <v>114</v>
      </c>
      <c r="E5140" s="4" t="str">
        <f>HYPERLINK("https://ibp.a2mac1.com/costing(costing:projects/details/9760/material/8755589)","Standard Structural Steel sheet")</f>
        <v>Standard Structural Steel sheet</v>
      </c>
      <c r="F5140" t="s">
        <v>5634</v>
      </c>
    </row>
    <row r="5141" spans="1:6" x14ac:dyDescent="0.15">
      <c r="A5141">
        <v>12213134</v>
      </c>
      <c r="B5141">
        <v>12085976</v>
      </c>
      <c r="C5141" t="s">
        <v>163</v>
      </c>
      <c r="D5141" t="s">
        <v>114</v>
      </c>
      <c r="E5141" s="4" t="str">
        <f>HYPERLINK("https://ibp.a2mac1.com/costing(costing:projects/details/9760/equipment/12213134)","Manufacturing Equipment")</f>
        <v>Manufacturing Equipment</v>
      </c>
      <c r="F5141" t="s">
        <v>5634</v>
      </c>
    </row>
    <row r="5142" spans="1:6" x14ac:dyDescent="0.15">
      <c r="A5142">
        <v>8415870</v>
      </c>
      <c r="B5142">
        <v>8415639</v>
      </c>
      <c r="C5142" t="s">
        <v>8</v>
      </c>
      <c r="D5142" t="s">
        <v>8</v>
      </c>
      <c r="E5142" s="4" t="str">
        <f>HYPERLINK("https://ibp.a2mac1.com/costing(costing:projects/details/9760/assembly/8415870)","Outer panel")</f>
        <v>Outer panel</v>
      </c>
      <c r="F5142" t="s">
        <v>5604</v>
      </c>
    </row>
    <row r="5143" spans="1:6" x14ac:dyDescent="0.15">
      <c r="A5143">
        <v>8416229</v>
      </c>
      <c r="B5143">
        <v>8415870</v>
      </c>
      <c r="C5143" t="s">
        <v>10</v>
      </c>
      <c r="D5143" t="s">
        <v>8</v>
      </c>
      <c r="E5143" s="4" t="str">
        <f>HYPERLINK("https://ibp.a2mac1.com/costing(costing:projects/details/9760/part/8416229)","Closures&gt;Hood&gt;Outer panel&gt;Part 01 (main/single)")</f>
        <v>Closures&gt;Hood&gt;Outer panel&gt;Part 01 (main/single)</v>
      </c>
      <c r="F5143" t="s">
        <v>5638</v>
      </c>
    </row>
    <row r="5144" spans="1:6" x14ac:dyDescent="0.15">
      <c r="A5144">
        <v>12085524</v>
      </c>
      <c r="B5144">
        <v>8416229</v>
      </c>
      <c r="C5144" t="s">
        <v>114</v>
      </c>
      <c r="D5144" t="s">
        <v>10</v>
      </c>
      <c r="E5144" s="4" t="str">
        <f>HYPERLINK("https://ibp.a2mac1.com/costing(costing:projects/details/9760/process/12085524)","MANUFACTURING  PROCESS")</f>
        <v>MANUFACTURING  PROCESS</v>
      </c>
      <c r="F5144" t="s">
        <v>5639</v>
      </c>
    </row>
    <row r="5145" spans="1:6" x14ac:dyDescent="0.15">
      <c r="A5145">
        <v>8755251</v>
      </c>
      <c r="B5145">
        <v>12085524</v>
      </c>
      <c r="C5145" t="s">
        <v>22</v>
      </c>
      <c r="D5145" t="s">
        <v>114</v>
      </c>
      <c r="E5145" s="4" t="str">
        <f>HYPERLINK("https://ibp.a2mac1.com/costing(costing:projects/details/9760/material/8755251)","Aluminum sheet body (default, e.g. EN-AW6063)")</f>
        <v>Aluminum sheet body (default, e.g. EN-AW6063)</v>
      </c>
      <c r="F5145" t="s">
        <v>5642</v>
      </c>
    </row>
    <row r="5146" spans="1:6" x14ac:dyDescent="0.15">
      <c r="A5146">
        <v>12212724</v>
      </c>
      <c r="B5146">
        <v>12085524</v>
      </c>
      <c r="C5146" t="s">
        <v>163</v>
      </c>
      <c r="D5146" t="s">
        <v>114</v>
      </c>
      <c r="E5146" s="4" t="str">
        <f>HYPERLINK("https://ibp.a2mac1.com/costing(costing:projects/details/9760/equipment/12212724)","Manufacturing Equipment")</f>
        <v>Manufacturing Equipment</v>
      </c>
      <c r="F5146" t="s">
        <v>5642</v>
      </c>
    </row>
    <row r="5147" spans="1:6" x14ac:dyDescent="0.15">
      <c r="A5147">
        <v>12085092</v>
      </c>
      <c r="B5147">
        <v>8415639</v>
      </c>
      <c r="C5147" t="s">
        <v>114</v>
      </c>
      <c r="D5147" t="s">
        <v>8</v>
      </c>
      <c r="E5147" s="4" t="str">
        <f>HYPERLINK("https://ibp.a2mac1.com/costing(costing:projects/details/9760/process/12085092)","Assembly")</f>
        <v>Assembly</v>
      </c>
      <c r="F5147" t="s">
        <v>5604</v>
      </c>
    </row>
    <row r="5148" spans="1:6" x14ac:dyDescent="0.15">
      <c r="A5148">
        <v>12212184</v>
      </c>
      <c r="B5148">
        <v>12085092</v>
      </c>
      <c r="C5148" t="s">
        <v>163</v>
      </c>
      <c r="D5148" t="s">
        <v>114</v>
      </c>
      <c r="E5148" s="4" t="str">
        <f>HYPERLINK("https://ibp.a2mac1.com/costing(costing:projects/details/9760/equipment/12212184)","Assembly line")</f>
        <v>Assembly line</v>
      </c>
      <c r="F5148" t="s">
        <v>5644</v>
      </c>
    </row>
    <row r="5149" spans="1:6" x14ac:dyDescent="0.15">
      <c r="A5149">
        <v>8415632</v>
      </c>
      <c r="B5149">
        <v>8415583</v>
      </c>
      <c r="C5149" t="s">
        <v>10</v>
      </c>
      <c r="D5149" t="s">
        <v>8</v>
      </c>
      <c r="E5149" s="4" t="str">
        <f>HYPERLINK("https://ibp.a2mac1.com/costing(costing:projects/details/9760/part/8415632)","Symbol")</f>
        <v>Symbol</v>
      </c>
      <c r="F5149" t="s">
        <v>5521</v>
      </c>
    </row>
    <row r="5150" spans="1:6" x14ac:dyDescent="0.15">
      <c r="A5150">
        <v>12085091</v>
      </c>
      <c r="B5150">
        <v>8415632</v>
      </c>
      <c r="C5150" t="s">
        <v>114</v>
      </c>
      <c r="D5150" t="s">
        <v>10</v>
      </c>
      <c r="E5150" s="4" t="str">
        <f>HYPERLINK("https://ibp.a2mac1.com/costing(costing:projects/details/9760/process/12085091)","Injection molding")</f>
        <v>Injection molding</v>
      </c>
      <c r="F5150" t="s">
        <v>5646</v>
      </c>
    </row>
    <row r="5151" spans="1:6" x14ac:dyDescent="0.15">
      <c r="A5151">
        <v>8754541</v>
      </c>
      <c r="B5151">
        <v>12085091</v>
      </c>
      <c r="C5151" t="s">
        <v>22</v>
      </c>
      <c r="D5151" t="s">
        <v>114</v>
      </c>
      <c r="E5151" s="4" t="str">
        <f>HYPERLINK("https://ibp.a2mac1.com/costing(costing:projects/details/9760/material/8754541)","ABS")</f>
        <v>ABS</v>
      </c>
      <c r="F5151" t="s">
        <v>5648</v>
      </c>
    </row>
    <row r="5152" spans="1:6" x14ac:dyDescent="0.15">
      <c r="A5152">
        <v>12212183</v>
      </c>
      <c r="B5152">
        <v>12085091</v>
      </c>
      <c r="C5152" t="s">
        <v>163</v>
      </c>
      <c r="D5152" t="s">
        <v>114</v>
      </c>
      <c r="E5152" s="4" t="str">
        <f>HYPERLINK("https://ibp.a2mac1.com/costing(costing:projects/details/9760/equipment/12212183)","No.05 - Injection Press - 125T - 34kW - 500x500 - Max Volume 260cm3 ")</f>
        <v xml:space="preserve">No.05 - Injection Press - 125T - 34kW - 500x500 - Max Volume 260cm3 </v>
      </c>
      <c r="F5152" t="s">
        <v>5648</v>
      </c>
    </row>
    <row r="5153" spans="1:6" x14ac:dyDescent="0.15">
      <c r="A5153">
        <v>12085090</v>
      </c>
      <c r="B5153">
        <v>8415632</v>
      </c>
      <c r="C5153" t="s">
        <v>114</v>
      </c>
      <c r="D5153" t="s">
        <v>10</v>
      </c>
      <c r="E5153" s="4" t="str">
        <f>HYPERLINK("https://ibp.a2mac1.com/costing(costing:projects/details/9760/process/12085090)","Painting")</f>
        <v>Painting</v>
      </c>
      <c r="F5153" t="s">
        <v>5646</v>
      </c>
    </row>
    <row r="5154" spans="1:6" x14ac:dyDescent="0.15">
      <c r="A5154">
        <v>8754538</v>
      </c>
      <c r="B5154">
        <v>12085090</v>
      </c>
      <c r="C5154" t="s">
        <v>22</v>
      </c>
      <c r="D5154" t="s">
        <v>114</v>
      </c>
      <c r="E5154" s="4" t="str">
        <f>HYPERLINK("https://ibp.a2mac1.com/costing(costing:projects/details/9760/material/8754538)","Paint - Base")</f>
        <v>Paint - Base</v>
      </c>
      <c r="F5154" t="s">
        <v>5651</v>
      </c>
    </row>
    <row r="5155" spans="1:6" x14ac:dyDescent="0.15">
      <c r="A5155">
        <v>8754539</v>
      </c>
      <c r="B5155">
        <v>12085090</v>
      </c>
      <c r="C5155" t="s">
        <v>22</v>
      </c>
      <c r="D5155" t="s">
        <v>114</v>
      </c>
      <c r="E5155" s="4" t="str">
        <f>HYPERLINK("https://ibp.a2mac1.com/costing(costing:projects/details/9760/material/8754539)","Paint - Primer")</f>
        <v>Paint - Primer</v>
      </c>
      <c r="F5155" t="s">
        <v>5651</v>
      </c>
    </row>
    <row r="5156" spans="1:6" x14ac:dyDescent="0.15">
      <c r="A5156">
        <v>8754540</v>
      </c>
      <c r="B5156">
        <v>12085090</v>
      </c>
      <c r="C5156" t="s">
        <v>22</v>
      </c>
      <c r="D5156" t="s">
        <v>114</v>
      </c>
      <c r="E5156" s="4" t="str">
        <f>HYPERLINK("https://ibp.a2mac1.com/costing(costing:projects/details/9760/material/8754540)","Paint - Clear Coat")</f>
        <v>Paint - Clear Coat</v>
      </c>
      <c r="F5156" t="s">
        <v>5651</v>
      </c>
    </row>
    <row r="5157" spans="1:6" x14ac:dyDescent="0.15">
      <c r="A5157">
        <v>12212181</v>
      </c>
      <c r="B5157">
        <v>12085090</v>
      </c>
      <c r="C5157" t="s">
        <v>163</v>
      </c>
      <c r="D5157" t="s">
        <v>114</v>
      </c>
      <c r="E5157" s="4" t="str">
        <f>HYPERLINK("https://ibp.a2mac1.com/costing(costing:projects/details/9760/equipment/12212181)","No.01 - 25000x3000x3000 - Automatic Painting Line - with 12x10kW on line ovens ")</f>
        <v xml:space="preserve">No.01 - 25000x3000x3000 - Automatic Painting Line - with 12x10kW on line ovens </v>
      </c>
      <c r="F5157" t="s">
        <v>5651</v>
      </c>
    </row>
    <row r="5158" spans="1:6" x14ac:dyDescent="0.15">
      <c r="A5158">
        <v>12212182</v>
      </c>
      <c r="B5158">
        <v>12085090</v>
      </c>
      <c r="C5158" t="s">
        <v>163</v>
      </c>
      <c r="D5158" t="s">
        <v>114</v>
      </c>
      <c r="E5158" s="4" t="str">
        <f>HYPERLINK("https://ibp.a2mac1.com/costing(costing:projects/details/9760/equipment/12212182)","Loading + Unloading, Retouching, Checking")</f>
        <v>Loading + Unloading, Retouching, Checking</v>
      </c>
      <c r="F5158" t="s">
        <v>5651</v>
      </c>
    </row>
    <row r="5159" spans="1:6" x14ac:dyDescent="0.15">
      <c r="A5159">
        <v>12085089</v>
      </c>
      <c r="B5159">
        <v>8415632</v>
      </c>
      <c r="C5159" t="s">
        <v>114</v>
      </c>
      <c r="D5159" t="s">
        <v>10</v>
      </c>
      <c r="E5159" s="4" t="str">
        <f>HYPERLINK("https://ibp.a2mac1.com/costing(costing:projects/details/9760/process/12085089)","Chroming line - Small Parts")</f>
        <v>Chroming line - Small Parts</v>
      </c>
      <c r="F5159" t="s">
        <v>5646</v>
      </c>
    </row>
    <row r="5160" spans="1:6" x14ac:dyDescent="0.15">
      <c r="A5160">
        <v>8754537</v>
      </c>
      <c r="B5160">
        <v>12085089</v>
      </c>
      <c r="C5160" t="s">
        <v>22</v>
      </c>
      <c r="D5160" t="s">
        <v>114</v>
      </c>
      <c r="E5160" s="4" t="str">
        <f>HYPERLINK("https://ibp.a2mac1.com/costing(costing:projects/details/9760/material/8754537)","Chrome for plating")</f>
        <v>Chrome for plating</v>
      </c>
      <c r="F5160" t="s">
        <v>5653</v>
      </c>
    </row>
    <row r="5161" spans="1:6" x14ac:dyDescent="0.15">
      <c r="A5161">
        <v>12212180</v>
      </c>
      <c r="B5161">
        <v>12085089</v>
      </c>
      <c r="C5161" t="s">
        <v>163</v>
      </c>
      <c r="D5161" t="s">
        <v>114</v>
      </c>
      <c r="E5161" s="4" t="str">
        <f>HYPERLINK("https://ibp.a2mac1.com/costing(costing:projects/details/9760/equipment/12212180)","Chroming line - Small Parts")</f>
        <v>Chroming line - Small Parts</v>
      </c>
      <c r="F5161" t="s">
        <v>5653</v>
      </c>
    </row>
    <row r="5162" spans="1:6" x14ac:dyDescent="0.15">
      <c r="A5162">
        <v>8415633</v>
      </c>
      <c r="B5162">
        <v>8415583</v>
      </c>
      <c r="C5162" t="s">
        <v>10</v>
      </c>
      <c r="D5162" t="s">
        <v>8</v>
      </c>
      <c r="E5162" s="4" t="str">
        <f>HYPERLINK("https://ibp.a2mac1.com/costing(costing:projects/details/9760/part/8415633)","Hole Plugs")</f>
        <v>Hole Plugs</v>
      </c>
      <c r="F5162" t="s">
        <v>5521</v>
      </c>
    </row>
    <row r="5163" spans="1:6" x14ac:dyDescent="0.15">
      <c r="A5163">
        <v>12085062</v>
      </c>
      <c r="B5163">
        <v>8415583</v>
      </c>
      <c r="C5163" t="s">
        <v>114</v>
      </c>
      <c r="D5163" t="s">
        <v>8</v>
      </c>
      <c r="E5163" s="4" t="str">
        <f>HYPERLINK("https://ibp.a2mac1.com/costing(costing:projects/details/9760/process/12085062)","Assembly")</f>
        <v>Assembly</v>
      </c>
      <c r="F5163" t="s">
        <v>5521</v>
      </c>
    </row>
    <row r="5164" spans="1:6" x14ac:dyDescent="0.15">
      <c r="A5164">
        <v>12212154</v>
      </c>
      <c r="B5164">
        <v>12085062</v>
      </c>
      <c r="C5164" t="s">
        <v>163</v>
      </c>
      <c r="D5164" t="s">
        <v>114</v>
      </c>
      <c r="E5164" s="4" t="str">
        <f>HYPERLINK("https://ibp.a2mac1.com/costing(costing:projects/details/9760/equipment/12212154)","Assembly Station ")</f>
        <v xml:space="preserve">Assembly Station </v>
      </c>
      <c r="F5164" t="s">
        <v>5656</v>
      </c>
    </row>
    <row r="5165" spans="1:6" x14ac:dyDescent="0.15">
      <c r="A5165">
        <v>8754305</v>
      </c>
      <c r="B5165">
        <v>8415583</v>
      </c>
      <c r="C5165" t="s">
        <v>311</v>
      </c>
      <c r="D5165" t="s">
        <v>8</v>
      </c>
      <c r="E5165" s="4" t="str">
        <f>HYPERLINK("https://ibp.a2mac1.com/costing(costing:projects/details/9760/component/8754305)","Hole plug &gt; Round hole")</f>
        <v>Hole plug &gt; Round hole</v>
      </c>
      <c r="F5165" t="s">
        <v>5521</v>
      </c>
    </row>
    <row r="5166" spans="1:6" x14ac:dyDescent="0.15">
      <c r="A5166">
        <v>8754306</v>
      </c>
      <c r="B5166">
        <v>8415583</v>
      </c>
      <c r="C5166" t="s">
        <v>311</v>
      </c>
      <c r="D5166" t="s">
        <v>8</v>
      </c>
      <c r="E5166" s="4" t="str">
        <f>HYPERLINK("https://ibp.a2mac1.com/costing(costing:projects/details/9760/component/8754306)","Nut &gt; Hexagonal nut with collar")</f>
        <v>Nut &gt; Hexagonal nut with collar</v>
      </c>
      <c r="F5166" t="s">
        <v>5521</v>
      </c>
    </row>
    <row r="5167" spans="1:6" x14ac:dyDescent="0.15">
      <c r="A5167">
        <v>8415584</v>
      </c>
      <c r="B5167">
        <v>8415576</v>
      </c>
      <c r="C5167" t="s">
        <v>8</v>
      </c>
      <c r="D5167" t="s">
        <v>8</v>
      </c>
      <c r="E5167" s="4" t="str">
        <f>HYPERLINK("https://ibp.a2mac1.com/costing(costing:projects/details/9760/assembly/8415584)","Trunk")</f>
        <v>Trunk</v>
      </c>
      <c r="F5167" t="s">
        <v>4953</v>
      </c>
    </row>
    <row r="5168" spans="1:6" x14ac:dyDescent="0.15">
      <c r="A5168">
        <v>8415640</v>
      </c>
      <c r="B5168">
        <v>8415584</v>
      </c>
      <c r="C5168" t="s">
        <v>8</v>
      </c>
      <c r="D5168" t="s">
        <v>8</v>
      </c>
      <c r="E5168" s="4" t="str">
        <f>HYPERLINK("https://ibp.a2mac1.com/costing(costing:projects/details/9760/assembly/8415640)","Trunk Frame")</f>
        <v>Trunk Frame</v>
      </c>
      <c r="F5168" t="s">
        <v>5658</v>
      </c>
    </row>
    <row r="5169" spans="1:6" x14ac:dyDescent="0.15">
      <c r="A5169">
        <v>8415871</v>
      </c>
      <c r="B5169">
        <v>8415640</v>
      </c>
      <c r="C5169" t="s">
        <v>8</v>
      </c>
      <c r="D5169" t="s">
        <v>8</v>
      </c>
      <c r="E5169" s="4" t="str">
        <f>HYPERLINK("https://ibp.a2mac1.com/costing(costing:projects/details/9760/assembly/8415871)","Trunk Frame")</f>
        <v>Trunk Frame</v>
      </c>
      <c r="F5169" t="s">
        <v>5659</v>
      </c>
    </row>
    <row r="5170" spans="1:6" x14ac:dyDescent="0.15">
      <c r="A5170">
        <v>8416230</v>
      </c>
      <c r="B5170">
        <v>8415871</v>
      </c>
      <c r="C5170" t="s">
        <v>8</v>
      </c>
      <c r="D5170" t="s">
        <v>8</v>
      </c>
      <c r="E5170" s="4" t="str">
        <f>HYPERLINK("https://ibp.a2mac1.com/costing(costing:projects/details/9760/assembly/8416230)","Lining assy")</f>
        <v>Lining assy</v>
      </c>
      <c r="F5170" t="s">
        <v>5660</v>
      </c>
    </row>
    <row r="5171" spans="1:6" x14ac:dyDescent="0.15">
      <c r="A5171">
        <v>8416538</v>
      </c>
      <c r="B5171">
        <v>8416230</v>
      </c>
      <c r="C5171" t="s">
        <v>8</v>
      </c>
      <c r="D5171" t="s">
        <v>8</v>
      </c>
      <c r="E5171" s="4" t="str">
        <f>HYPERLINK("https://ibp.a2mac1.com/costing(costing:projects/details/9760/assembly/8416538)","Lining")</f>
        <v>Lining</v>
      </c>
      <c r="F5171" t="s">
        <v>5661</v>
      </c>
    </row>
    <row r="5172" spans="1:6" x14ac:dyDescent="0.15">
      <c r="A5172">
        <v>8416833</v>
      </c>
      <c r="B5172">
        <v>8416538</v>
      </c>
      <c r="C5172" t="s">
        <v>10</v>
      </c>
      <c r="D5172" t="s">
        <v>8</v>
      </c>
      <c r="E5172" s="4" t="str">
        <f>HYPERLINK("https://ibp.a2mac1.com/costing(costing:projects/details/9760/part/8416833)","Closures&gt;Tailgate or trunk&gt;Lining assy&gt;Lining&gt;Part 01 (single/upper)")</f>
        <v>Closures&gt;Tailgate or trunk&gt;Lining assy&gt;Lining&gt;Part 01 (single/upper)</v>
      </c>
      <c r="F5172" t="s">
        <v>5662</v>
      </c>
    </row>
    <row r="5173" spans="1:6" x14ac:dyDescent="0.15">
      <c r="A5173">
        <v>12086168</v>
      </c>
      <c r="B5173">
        <v>8416833</v>
      </c>
      <c r="C5173" t="s">
        <v>114</v>
      </c>
      <c r="D5173" t="s">
        <v>10</v>
      </c>
      <c r="E5173" s="4" t="str">
        <f>HYPERLINK("https://ibp.a2mac1.com/costing(costing:projects/details/9760/process/12086168)","MANUFACTURING  PROCESS")</f>
        <v>MANUFACTURING  PROCESS</v>
      </c>
      <c r="F5173" t="s">
        <v>5663</v>
      </c>
    </row>
    <row r="5174" spans="1:6" x14ac:dyDescent="0.15">
      <c r="A5174">
        <v>8755754</v>
      </c>
      <c r="B5174">
        <v>12086168</v>
      </c>
      <c r="C5174" t="s">
        <v>22</v>
      </c>
      <c r="D5174" t="s">
        <v>114</v>
      </c>
      <c r="E5174" s="4" t="str">
        <f>HYPERLINK("https://ibp.a2mac1.com/costing(costing:projects/details/9760/material/8755754)","Standard Structural Steel sheet")</f>
        <v>Standard Structural Steel sheet</v>
      </c>
      <c r="F5174" t="s">
        <v>5666</v>
      </c>
    </row>
    <row r="5175" spans="1:6" x14ac:dyDescent="0.15">
      <c r="A5175">
        <v>12213301</v>
      </c>
      <c r="B5175">
        <v>12086168</v>
      </c>
      <c r="C5175" t="s">
        <v>163</v>
      </c>
      <c r="D5175" t="s">
        <v>114</v>
      </c>
      <c r="E5175" s="4" t="str">
        <f>HYPERLINK("https://ibp.a2mac1.com/costing(costing:projects/details/9760/equipment/12213301)","Manufacturing Equipment")</f>
        <v>Manufacturing Equipment</v>
      </c>
      <c r="F5175" t="s">
        <v>5666</v>
      </c>
    </row>
    <row r="5176" spans="1:6" x14ac:dyDescent="0.15">
      <c r="A5176">
        <v>8416834</v>
      </c>
      <c r="B5176">
        <v>8416538</v>
      </c>
      <c r="C5176" t="s">
        <v>10</v>
      </c>
      <c r="D5176" t="s">
        <v>8</v>
      </c>
      <c r="E5176" s="4" t="str">
        <f>HYPERLINK("https://ibp.a2mac1.com/costing(costing:projects/details/9760/part/8416834)","Closures&gt;Tailgate or trunk&gt;Lining assy&gt;Lining&gt;Part 02 (lower)")</f>
        <v>Closures&gt;Tailgate or trunk&gt;Lining assy&gt;Lining&gt;Part 02 (lower)</v>
      </c>
      <c r="F5176" t="s">
        <v>5662</v>
      </c>
    </row>
    <row r="5177" spans="1:6" x14ac:dyDescent="0.15">
      <c r="A5177">
        <v>12086169</v>
      </c>
      <c r="B5177">
        <v>8416834</v>
      </c>
      <c r="C5177" t="s">
        <v>114</v>
      </c>
      <c r="D5177" t="s">
        <v>10</v>
      </c>
      <c r="E5177" s="4" t="str">
        <f>HYPERLINK("https://ibp.a2mac1.com/costing(costing:projects/details/9760/process/12086169)","MANUFACTURING  PROCESS")</f>
        <v>MANUFACTURING  PROCESS</v>
      </c>
      <c r="F5177" t="s">
        <v>5667</v>
      </c>
    </row>
    <row r="5178" spans="1:6" x14ac:dyDescent="0.15">
      <c r="A5178">
        <v>8755755</v>
      </c>
      <c r="B5178">
        <v>12086169</v>
      </c>
      <c r="C5178" t="s">
        <v>22</v>
      </c>
      <c r="D5178" t="s">
        <v>114</v>
      </c>
      <c r="E5178" s="4" t="str">
        <f>HYPERLINK("https://ibp.a2mac1.com/costing(costing:projects/details/9760/material/8755755)","Standard Structural Steel sheet")</f>
        <v>Standard Structural Steel sheet</v>
      </c>
      <c r="F5178" t="s">
        <v>5670</v>
      </c>
    </row>
    <row r="5179" spans="1:6" x14ac:dyDescent="0.15">
      <c r="A5179">
        <v>12213302</v>
      </c>
      <c r="B5179">
        <v>12086169</v>
      </c>
      <c r="C5179" t="s">
        <v>163</v>
      </c>
      <c r="D5179" t="s">
        <v>114</v>
      </c>
      <c r="E5179" s="4" t="str">
        <f>HYPERLINK("https://ibp.a2mac1.com/costing(costing:projects/details/9760/equipment/12213302)","Manufacturing Equipment")</f>
        <v>Manufacturing Equipment</v>
      </c>
      <c r="F5179" t="s">
        <v>5670</v>
      </c>
    </row>
    <row r="5180" spans="1:6" x14ac:dyDescent="0.15">
      <c r="A5180">
        <v>8416539</v>
      </c>
      <c r="B5180">
        <v>8416230</v>
      </c>
      <c r="C5180" t="s">
        <v>8</v>
      </c>
      <c r="D5180" t="s">
        <v>8</v>
      </c>
      <c r="E5180" s="4" t="str">
        <f>HYPERLINK("https://ibp.a2mac1.com/costing(costing:projects/details/9760/assembly/8416539)","Spacers")</f>
        <v>Spacers</v>
      </c>
      <c r="F5180" t="s">
        <v>5661</v>
      </c>
    </row>
    <row r="5181" spans="1:6" x14ac:dyDescent="0.15">
      <c r="A5181">
        <v>8416835</v>
      </c>
      <c r="B5181">
        <v>8416539</v>
      </c>
      <c r="C5181" t="s">
        <v>10</v>
      </c>
      <c r="D5181" t="s">
        <v>8</v>
      </c>
      <c r="E5181" s="4" t="str">
        <f>HYPERLINK("https://ibp.a2mac1.com/costing(costing:projects/details/9760/part/8416835)","Closures&gt;Tailgate or trunk&gt;Lining assy&gt;Spacers&gt;Part 01 (main/single)")</f>
        <v>Closures&gt;Tailgate or trunk&gt;Lining assy&gt;Spacers&gt;Part 01 (main/single)</v>
      </c>
      <c r="F5181" t="s">
        <v>5672</v>
      </c>
    </row>
    <row r="5182" spans="1:6" x14ac:dyDescent="0.15">
      <c r="A5182">
        <v>12086170</v>
      </c>
      <c r="B5182">
        <v>8416835</v>
      </c>
      <c r="C5182" t="s">
        <v>114</v>
      </c>
      <c r="D5182" t="s">
        <v>10</v>
      </c>
      <c r="E5182" s="4" t="str">
        <f>HYPERLINK("https://ibp.a2mac1.com/costing(costing:projects/details/9760/process/12086170)","MANUFACTURING  PROCESS")</f>
        <v>MANUFACTURING  PROCESS</v>
      </c>
      <c r="F5182" t="s">
        <v>5673</v>
      </c>
    </row>
    <row r="5183" spans="1:6" x14ac:dyDescent="0.15">
      <c r="A5183">
        <v>8755756</v>
      </c>
      <c r="B5183">
        <v>12086170</v>
      </c>
      <c r="C5183" t="s">
        <v>22</v>
      </c>
      <c r="D5183" t="s">
        <v>114</v>
      </c>
      <c r="E5183" s="4" t="str">
        <f>HYPERLINK("https://ibp.a2mac1.com/costing(costing:projects/details/9760/material/8755756)","Standard Structural Steel sheet")</f>
        <v>Standard Structural Steel sheet</v>
      </c>
      <c r="F5183" t="s">
        <v>5676</v>
      </c>
    </row>
    <row r="5184" spans="1:6" x14ac:dyDescent="0.15">
      <c r="A5184">
        <v>12213303</v>
      </c>
      <c r="B5184">
        <v>12086170</v>
      </c>
      <c r="C5184" t="s">
        <v>163</v>
      </c>
      <c r="D5184" t="s">
        <v>114</v>
      </c>
      <c r="E5184" s="4" t="str">
        <f>HYPERLINK("https://ibp.a2mac1.com/costing(costing:projects/details/9760/equipment/12213303)","Manufacturing Equipment")</f>
        <v>Manufacturing Equipment</v>
      </c>
      <c r="F5184" t="s">
        <v>5676</v>
      </c>
    </row>
    <row r="5185" spans="1:6" x14ac:dyDescent="0.15">
      <c r="A5185">
        <v>8416540</v>
      </c>
      <c r="B5185">
        <v>8416230</v>
      </c>
      <c r="C5185" t="s">
        <v>8</v>
      </c>
      <c r="D5185" t="s">
        <v>8</v>
      </c>
      <c r="E5185" s="4" t="str">
        <f>HYPERLINK("https://ibp.a2mac1.com/costing(costing:projects/details/9760/assembly/8416540)","Fixing parts")</f>
        <v>Fixing parts</v>
      </c>
      <c r="F5185" t="s">
        <v>5661</v>
      </c>
    </row>
    <row r="5186" spans="1:6" x14ac:dyDescent="0.15">
      <c r="A5186">
        <v>8416836</v>
      </c>
      <c r="B5186">
        <v>8416540</v>
      </c>
      <c r="C5186" t="s">
        <v>10</v>
      </c>
      <c r="D5186" t="s">
        <v>8</v>
      </c>
      <c r="E5186" s="4" t="str">
        <f>HYPERLINK("https://ibp.a2mac1.com/costing(costing:projects/details/9760/part/8416836)","Closures&gt;Tailgate or trunk&gt;Lining assy&gt;Fixing parts&gt;Part 01 (main/single)")</f>
        <v>Closures&gt;Tailgate or trunk&gt;Lining assy&gt;Fixing parts&gt;Part 01 (main/single)</v>
      </c>
      <c r="F5186" t="s">
        <v>5678</v>
      </c>
    </row>
    <row r="5187" spans="1:6" x14ac:dyDescent="0.15">
      <c r="A5187">
        <v>12086171</v>
      </c>
      <c r="B5187">
        <v>8416836</v>
      </c>
      <c r="C5187" t="s">
        <v>114</v>
      </c>
      <c r="D5187" t="s">
        <v>10</v>
      </c>
      <c r="E5187" s="4" t="str">
        <f>HYPERLINK("https://ibp.a2mac1.com/costing(costing:projects/details/9760/process/12086171)","MANUFACTURING  PROCESS")</f>
        <v>MANUFACTURING  PROCESS</v>
      </c>
      <c r="F5187" t="s">
        <v>5679</v>
      </c>
    </row>
    <row r="5188" spans="1:6" x14ac:dyDescent="0.15">
      <c r="A5188">
        <v>8755757</v>
      </c>
      <c r="B5188">
        <v>12086171</v>
      </c>
      <c r="C5188" t="s">
        <v>22</v>
      </c>
      <c r="D5188" t="s">
        <v>114</v>
      </c>
      <c r="E5188" s="4" t="str">
        <f>HYPERLINK("https://ibp.a2mac1.com/costing(costing:projects/details/9760/material/8755757)","Standard Structural Steel sheet")</f>
        <v>Standard Structural Steel sheet</v>
      </c>
      <c r="F5188" t="s">
        <v>5682</v>
      </c>
    </row>
    <row r="5189" spans="1:6" x14ac:dyDescent="0.15">
      <c r="A5189">
        <v>12213304</v>
      </c>
      <c r="B5189">
        <v>12086171</v>
      </c>
      <c r="C5189" t="s">
        <v>163</v>
      </c>
      <c r="D5189" t="s">
        <v>114</v>
      </c>
      <c r="E5189" s="4" t="str">
        <f>HYPERLINK("https://ibp.a2mac1.com/costing(costing:projects/details/9760/equipment/12213304)","Manufacturing Equipment")</f>
        <v>Manufacturing Equipment</v>
      </c>
      <c r="F5189" t="s">
        <v>5682</v>
      </c>
    </row>
    <row r="5190" spans="1:6" x14ac:dyDescent="0.15">
      <c r="A5190">
        <v>8416837</v>
      </c>
      <c r="B5190">
        <v>8416540</v>
      </c>
      <c r="C5190" t="s">
        <v>10</v>
      </c>
      <c r="D5190" t="s">
        <v>8</v>
      </c>
      <c r="E5190" s="4" t="str">
        <f>HYPERLINK("https://ibp.a2mac1.com/costing(costing:projects/details/9760/part/8416837)","Closures&gt;Tailgate or trunk&gt;Lining assy&gt;Fixing parts&gt;Part 02")</f>
        <v>Closures&gt;Tailgate or trunk&gt;Lining assy&gt;Fixing parts&gt;Part 02</v>
      </c>
      <c r="F5190" t="s">
        <v>5678</v>
      </c>
    </row>
    <row r="5191" spans="1:6" x14ac:dyDescent="0.15">
      <c r="A5191">
        <v>12086172</v>
      </c>
      <c r="B5191">
        <v>8416837</v>
      </c>
      <c r="C5191" t="s">
        <v>114</v>
      </c>
      <c r="D5191" t="s">
        <v>10</v>
      </c>
      <c r="E5191" s="4" t="str">
        <f>HYPERLINK("https://ibp.a2mac1.com/costing(costing:projects/details/9760/process/12086172)","MANUFACTURING  PROCESS")</f>
        <v>MANUFACTURING  PROCESS</v>
      </c>
      <c r="F5191" t="s">
        <v>5683</v>
      </c>
    </row>
    <row r="5192" spans="1:6" x14ac:dyDescent="0.15">
      <c r="A5192">
        <v>8755758</v>
      </c>
      <c r="B5192">
        <v>12086172</v>
      </c>
      <c r="C5192" t="s">
        <v>22</v>
      </c>
      <c r="D5192" t="s">
        <v>114</v>
      </c>
      <c r="E5192" s="4" t="str">
        <f>HYPERLINK("https://ibp.a2mac1.com/costing(costing:projects/details/9760/material/8755758)","Standard Structural Steel sheet")</f>
        <v>Standard Structural Steel sheet</v>
      </c>
      <c r="F5192" t="s">
        <v>5686</v>
      </c>
    </row>
    <row r="5193" spans="1:6" x14ac:dyDescent="0.15">
      <c r="A5193">
        <v>12213305</v>
      </c>
      <c r="B5193">
        <v>12086172</v>
      </c>
      <c r="C5193" t="s">
        <v>163</v>
      </c>
      <c r="D5193" t="s">
        <v>114</v>
      </c>
      <c r="E5193" s="4" t="str">
        <f>HYPERLINK("https://ibp.a2mac1.com/costing(costing:projects/details/9760/equipment/12213305)","Manufacturing Equipment")</f>
        <v>Manufacturing Equipment</v>
      </c>
      <c r="F5193" t="s">
        <v>5686</v>
      </c>
    </row>
    <row r="5194" spans="1:6" x14ac:dyDescent="0.15">
      <c r="A5194">
        <v>8416231</v>
      </c>
      <c r="B5194">
        <v>8415871</v>
      </c>
      <c r="C5194" t="s">
        <v>8</v>
      </c>
      <c r="D5194" t="s">
        <v>8</v>
      </c>
      <c r="E5194" s="4" t="str">
        <f>HYPERLINK("https://ibp.a2mac1.com/costing(costing:projects/details/9760/assembly/8416231)","Outer panel assy")</f>
        <v>Outer panel assy</v>
      </c>
      <c r="F5194" t="s">
        <v>5660</v>
      </c>
    </row>
    <row r="5195" spans="1:6" x14ac:dyDescent="0.15">
      <c r="A5195">
        <v>8416541</v>
      </c>
      <c r="B5195">
        <v>8416231</v>
      </c>
      <c r="C5195" t="s">
        <v>8</v>
      </c>
      <c r="D5195" t="s">
        <v>8</v>
      </c>
      <c r="E5195" s="4" t="str">
        <f>HYPERLINK("https://ibp.a2mac1.com/costing(costing:projects/details/9760/assembly/8416541)","Outer panel")</f>
        <v>Outer panel</v>
      </c>
      <c r="F5195" t="s">
        <v>5689</v>
      </c>
    </row>
    <row r="5196" spans="1:6" x14ac:dyDescent="0.15">
      <c r="A5196">
        <v>8416838</v>
      </c>
      <c r="B5196">
        <v>8416541</v>
      </c>
      <c r="C5196" t="s">
        <v>10</v>
      </c>
      <c r="D5196" t="s">
        <v>8</v>
      </c>
      <c r="E5196" s="4" t="str">
        <f>HYPERLINK("https://ibp.a2mac1.com/costing(costing:projects/details/9760/part/8416838)","Closures&gt;Tailgate or trunk&gt;Outer panel assy&gt;Outer panel&gt;Part 01 (single/upper)")</f>
        <v>Closures&gt;Tailgate or trunk&gt;Outer panel assy&gt;Outer panel&gt;Part 01 (single/upper)</v>
      </c>
      <c r="F5196" t="s">
        <v>5690</v>
      </c>
    </row>
    <row r="5197" spans="1:6" x14ac:dyDescent="0.15">
      <c r="A5197">
        <v>12086173</v>
      </c>
      <c r="B5197">
        <v>8416838</v>
      </c>
      <c r="C5197" t="s">
        <v>114</v>
      </c>
      <c r="D5197" t="s">
        <v>10</v>
      </c>
      <c r="E5197" s="4" t="str">
        <f>HYPERLINK("https://ibp.a2mac1.com/costing(costing:projects/details/9760/process/12086173)","MANUFACTURING  PROCESS")</f>
        <v>MANUFACTURING  PROCESS</v>
      </c>
      <c r="F5197" t="s">
        <v>5691</v>
      </c>
    </row>
    <row r="5198" spans="1:6" x14ac:dyDescent="0.15">
      <c r="A5198">
        <v>8755759</v>
      </c>
      <c r="B5198">
        <v>12086173</v>
      </c>
      <c r="C5198" t="s">
        <v>22</v>
      </c>
      <c r="D5198" t="s">
        <v>114</v>
      </c>
      <c r="E5198" s="4" t="str">
        <f>HYPERLINK("https://ibp.a2mac1.com/costing(costing:projects/details/9760/material/8755759)","Standard Structural Steel sheet")</f>
        <v>Standard Structural Steel sheet</v>
      </c>
      <c r="F5198" t="s">
        <v>5694</v>
      </c>
    </row>
    <row r="5199" spans="1:6" x14ac:dyDescent="0.15">
      <c r="A5199">
        <v>12213306</v>
      </c>
      <c r="B5199">
        <v>12086173</v>
      </c>
      <c r="C5199" t="s">
        <v>163</v>
      </c>
      <c r="D5199" t="s">
        <v>114</v>
      </c>
      <c r="E5199" s="4" t="str">
        <f>HYPERLINK("https://ibp.a2mac1.com/costing(costing:projects/details/9760/equipment/12213306)","Manufacturing Equipment")</f>
        <v>Manufacturing Equipment</v>
      </c>
      <c r="F5199" t="s">
        <v>5694</v>
      </c>
    </row>
    <row r="5200" spans="1:6" x14ac:dyDescent="0.15">
      <c r="A5200">
        <v>8416839</v>
      </c>
      <c r="B5200">
        <v>8416541</v>
      </c>
      <c r="C5200" t="s">
        <v>10</v>
      </c>
      <c r="D5200" t="s">
        <v>8</v>
      </c>
      <c r="E5200" s="4" t="str">
        <f>HYPERLINK("https://ibp.a2mac1.com/costing(costing:projects/details/9760/part/8416839)","Closures&gt;Tailgate or trunk&gt;Outer panel assy&gt;Outer panel&gt;Part 02 (lower)")</f>
        <v>Closures&gt;Tailgate or trunk&gt;Outer panel assy&gt;Outer panel&gt;Part 02 (lower)</v>
      </c>
      <c r="F5200" t="s">
        <v>5690</v>
      </c>
    </row>
    <row r="5201" spans="1:6" x14ac:dyDescent="0.15">
      <c r="A5201">
        <v>12086174</v>
      </c>
      <c r="B5201">
        <v>8416839</v>
      </c>
      <c r="C5201" t="s">
        <v>114</v>
      </c>
      <c r="D5201" t="s">
        <v>10</v>
      </c>
      <c r="E5201" s="4" t="str">
        <f>HYPERLINK("https://ibp.a2mac1.com/costing(costing:projects/details/9760/process/12086174)","MANUFACTURING  PROCESS")</f>
        <v>MANUFACTURING  PROCESS</v>
      </c>
      <c r="F5201" t="s">
        <v>5695</v>
      </c>
    </row>
    <row r="5202" spans="1:6" x14ac:dyDescent="0.15">
      <c r="A5202">
        <v>8755760</v>
      </c>
      <c r="B5202">
        <v>12086174</v>
      </c>
      <c r="C5202" t="s">
        <v>22</v>
      </c>
      <c r="D5202" t="s">
        <v>114</v>
      </c>
      <c r="E5202" s="4" t="str">
        <f>HYPERLINK("https://ibp.a2mac1.com/costing(costing:projects/details/9760/material/8755760)","Standard Structural Steel sheet")</f>
        <v>Standard Structural Steel sheet</v>
      </c>
      <c r="F5202" t="s">
        <v>5698</v>
      </c>
    </row>
    <row r="5203" spans="1:6" x14ac:dyDescent="0.15">
      <c r="A5203">
        <v>12213307</v>
      </c>
      <c r="B5203">
        <v>12086174</v>
      </c>
      <c r="C5203" t="s">
        <v>163</v>
      </c>
      <c r="D5203" t="s">
        <v>114</v>
      </c>
      <c r="E5203" s="4" t="str">
        <f>HYPERLINK("https://ibp.a2mac1.com/costing(costing:projects/details/9760/equipment/12213307)","Manufacturing Equipment")</f>
        <v>Manufacturing Equipment</v>
      </c>
      <c r="F5203" t="s">
        <v>5698</v>
      </c>
    </row>
    <row r="5204" spans="1:6" x14ac:dyDescent="0.15">
      <c r="A5204">
        <v>8416840</v>
      </c>
      <c r="B5204">
        <v>8416541</v>
      </c>
      <c r="C5204" t="s">
        <v>10</v>
      </c>
      <c r="D5204" t="s">
        <v>8</v>
      </c>
      <c r="E5204" s="4" t="str">
        <f>HYPERLINK("https://ibp.a2mac1.com/costing(costing:projects/details/9760/part/8416840)","Closures&gt;Tailgate or trunk&gt;Outer panel assy&gt;Outer panel&gt;Part 03")</f>
        <v>Closures&gt;Tailgate or trunk&gt;Outer panel assy&gt;Outer panel&gt;Part 03</v>
      </c>
      <c r="F5204" t="s">
        <v>5690</v>
      </c>
    </row>
    <row r="5205" spans="1:6" x14ac:dyDescent="0.15">
      <c r="A5205">
        <v>12086175</v>
      </c>
      <c r="B5205">
        <v>8416840</v>
      </c>
      <c r="C5205" t="s">
        <v>114</v>
      </c>
      <c r="D5205" t="s">
        <v>10</v>
      </c>
      <c r="E5205" s="4" t="str">
        <f>HYPERLINK("https://ibp.a2mac1.com/costing(costing:projects/details/9760/process/12086175)","MANUFACTURING  PROCESS")</f>
        <v>MANUFACTURING  PROCESS</v>
      </c>
      <c r="F5205" t="s">
        <v>5699</v>
      </c>
    </row>
    <row r="5206" spans="1:6" x14ac:dyDescent="0.15">
      <c r="A5206">
        <v>8755761</v>
      </c>
      <c r="B5206">
        <v>12086175</v>
      </c>
      <c r="C5206" t="s">
        <v>22</v>
      </c>
      <c r="D5206" t="s">
        <v>114</v>
      </c>
      <c r="E5206" s="4" t="str">
        <f>HYPERLINK("https://ibp.a2mac1.com/costing(costing:projects/details/9760/material/8755761)","Standard Structural Steel sheet")</f>
        <v>Standard Structural Steel sheet</v>
      </c>
      <c r="F5206" t="s">
        <v>5702</v>
      </c>
    </row>
    <row r="5207" spans="1:6" x14ac:dyDescent="0.15">
      <c r="A5207">
        <v>12213308</v>
      </c>
      <c r="B5207">
        <v>12086175</v>
      </c>
      <c r="C5207" t="s">
        <v>163</v>
      </c>
      <c r="D5207" t="s">
        <v>114</v>
      </c>
      <c r="E5207" s="4" t="str">
        <f>HYPERLINK("https://ibp.a2mac1.com/costing(costing:projects/details/9760/equipment/12213308)","Manufacturing Equipment")</f>
        <v>Manufacturing Equipment</v>
      </c>
      <c r="F5207" t="s">
        <v>5702</v>
      </c>
    </row>
    <row r="5208" spans="1:6" x14ac:dyDescent="0.15">
      <c r="A5208">
        <v>12085093</v>
      </c>
      <c r="B5208">
        <v>8415640</v>
      </c>
      <c r="C5208" t="s">
        <v>114</v>
      </c>
      <c r="D5208" t="s">
        <v>8</v>
      </c>
      <c r="E5208" s="4" t="str">
        <f>HYPERLINK("https://ibp.a2mac1.com/costing(costing:projects/details/9760/process/12085093)","Assembly")</f>
        <v>Assembly</v>
      </c>
      <c r="F5208" t="s">
        <v>5659</v>
      </c>
    </row>
    <row r="5209" spans="1:6" x14ac:dyDescent="0.15">
      <c r="A5209">
        <v>12212185</v>
      </c>
      <c r="B5209">
        <v>12085093</v>
      </c>
      <c r="C5209" t="s">
        <v>163</v>
      </c>
      <c r="D5209" t="s">
        <v>114</v>
      </c>
      <c r="E5209" s="4" t="str">
        <f>HYPERLINK("https://ibp.a2mac1.com/costing(costing:projects/details/9760/equipment/12212185)","Assembly line")</f>
        <v>Assembly line</v>
      </c>
      <c r="F5209" t="s">
        <v>5706</v>
      </c>
    </row>
    <row r="5210" spans="1:6" x14ac:dyDescent="0.15">
      <c r="A5210">
        <v>8415643</v>
      </c>
      <c r="B5210">
        <v>8415584</v>
      </c>
      <c r="C5210" t="s">
        <v>8</v>
      </c>
      <c r="D5210" t="s">
        <v>8</v>
      </c>
      <c r="E5210" s="4" t="str">
        <f>HYPERLINK("https://ibp.a2mac1.com/costing(costing:projects/details/9760/assembly/8415643)","Symbol")</f>
        <v>Symbol</v>
      </c>
      <c r="F5210" t="s">
        <v>5658</v>
      </c>
    </row>
    <row r="5211" spans="1:6" x14ac:dyDescent="0.15">
      <c r="A5211">
        <v>8415872</v>
      </c>
      <c r="B5211">
        <v>8415643</v>
      </c>
      <c r="C5211" t="s">
        <v>10</v>
      </c>
      <c r="D5211" t="s">
        <v>8</v>
      </c>
      <c r="E5211" s="4" t="str">
        <f>HYPERLINK("https://ibp.a2mac1.com/costing(costing:projects/details/9760/part/8415872)","X")</f>
        <v>X</v>
      </c>
      <c r="F5211" t="s">
        <v>5708</v>
      </c>
    </row>
    <row r="5212" spans="1:6" x14ac:dyDescent="0.15">
      <c r="A5212">
        <v>12085231</v>
      </c>
      <c r="B5212">
        <v>8415872</v>
      </c>
      <c r="C5212" t="s">
        <v>114</v>
      </c>
      <c r="D5212" t="s">
        <v>10</v>
      </c>
      <c r="E5212" s="4" t="str">
        <f>HYPERLINK("https://ibp.a2mac1.com/costing(costing:projects/details/9760/process/12085231)","Stamping")</f>
        <v>Stamping</v>
      </c>
      <c r="F5212" t="s">
        <v>5709</v>
      </c>
    </row>
    <row r="5213" spans="1:6" x14ac:dyDescent="0.15">
      <c r="A5213">
        <v>8754803</v>
      </c>
      <c r="B5213">
        <v>12085231</v>
      </c>
      <c r="C5213" t="s">
        <v>22</v>
      </c>
      <c r="D5213" t="s">
        <v>114</v>
      </c>
      <c r="E5213" s="4" t="str">
        <f>HYPERLINK("https://ibp.a2mac1.com/costing(costing:projects/details/9760/material/8754803)","Stainless steel (sheet, default)")</f>
        <v>Stainless steel (sheet, default)</v>
      </c>
      <c r="F5213" t="s">
        <v>5711</v>
      </c>
    </row>
    <row r="5214" spans="1:6" x14ac:dyDescent="0.15">
      <c r="A5214">
        <v>12212326</v>
      </c>
      <c r="B5214">
        <v>12085231</v>
      </c>
      <c r="C5214" t="s">
        <v>163</v>
      </c>
      <c r="D5214" t="s">
        <v>114</v>
      </c>
      <c r="E5214" s="4" t="str">
        <f>HYPERLINK("https://ibp.a2mac1.com/costing(costing:projects/details/9760/equipment/12212326)","No.01 - Progressive Press - 250T ")</f>
        <v xml:space="preserve">No.01 - Progressive Press - 250T </v>
      </c>
      <c r="F5214" t="s">
        <v>5711</v>
      </c>
    </row>
    <row r="5215" spans="1:6" x14ac:dyDescent="0.15">
      <c r="A5215">
        <v>8415873</v>
      </c>
      <c r="B5215">
        <v>8415643</v>
      </c>
      <c r="C5215" t="s">
        <v>10</v>
      </c>
      <c r="D5215" t="s">
        <v>8</v>
      </c>
      <c r="E5215" s="4" t="str">
        <f>HYPERLINK("https://ibp.a2mac1.com/costing(costing:projects/details/9760/part/8415873)","I")</f>
        <v>I</v>
      </c>
      <c r="F5215" t="s">
        <v>5708</v>
      </c>
    </row>
    <row r="5216" spans="1:6" x14ac:dyDescent="0.15">
      <c r="A5216">
        <v>12085232</v>
      </c>
      <c r="B5216">
        <v>8415873</v>
      </c>
      <c r="C5216" t="s">
        <v>114</v>
      </c>
      <c r="D5216" t="s">
        <v>10</v>
      </c>
      <c r="E5216" s="4" t="str">
        <f>HYPERLINK("https://ibp.a2mac1.com/costing(costing:projects/details/9760/process/12085232)","Stamping")</f>
        <v>Stamping</v>
      </c>
      <c r="F5216" t="s">
        <v>5712</v>
      </c>
    </row>
    <row r="5217" spans="1:6" x14ac:dyDescent="0.15">
      <c r="A5217">
        <v>8754804</v>
      </c>
      <c r="B5217">
        <v>12085232</v>
      </c>
      <c r="C5217" t="s">
        <v>22</v>
      </c>
      <c r="D5217" t="s">
        <v>114</v>
      </c>
      <c r="E5217" s="4" t="str">
        <f>HYPERLINK("https://ibp.a2mac1.com/costing(costing:projects/details/9760/material/8754804)","Stainless steel (sheet, default)")</f>
        <v>Stainless steel (sheet, default)</v>
      </c>
      <c r="F5217" t="s">
        <v>5713</v>
      </c>
    </row>
    <row r="5218" spans="1:6" x14ac:dyDescent="0.15">
      <c r="A5218">
        <v>12212327</v>
      </c>
      <c r="B5218">
        <v>12085232</v>
      </c>
      <c r="C5218" t="s">
        <v>163</v>
      </c>
      <c r="D5218" t="s">
        <v>114</v>
      </c>
      <c r="E5218" s="4" t="str">
        <f>HYPERLINK("https://ibp.a2mac1.com/costing(costing:projects/details/9760/equipment/12212327)","No.01 - Progressive Press - 250T ")</f>
        <v xml:space="preserve">No.01 - Progressive Press - 250T </v>
      </c>
      <c r="F5218" t="s">
        <v>5713</v>
      </c>
    </row>
    <row r="5219" spans="1:6" x14ac:dyDescent="0.15">
      <c r="A5219">
        <v>8415874</v>
      </c>
      <c r="B5219">
        <v>8415643</v>
      </c>
      <c r="C5219" t="s">
        <v>10</v>
      </c>
      <c r="D5219" t="s">
        <v>8</v>
      </c>
      <c r="E5219" s="4" t="str">
        <f>HYPERLINK("https://ibp.a2mac1.com/costing(costing:projects/details/9760/part/8415874)","A")</f>
        <v>A</v>
      </c>
      <c r="F5219" t="s">
        <v>5708</v>
      </c>
    </row>
    <row r="5220" spans="1:6" x14ac:dyDescent="0.15">
      <c r="A5220">
        <v>12085233</v>
      </c>
      <c r="B5220">
        <v>8415874</v>
      </c>
      <c r="C5220" t="s">
        <v>114</v>
      </c>
      <c r="D5220" t="s">
        <v>10</v>
      </c>
      <c r="E5220" s="4" t="str">
        <f>HYPERLINK("https://ibp.a2mac1.com/costing(costing:projects/details/9760/process/12085233)","Stamping")</f>
        <v>Stamping</v>
      </c>
      <c r="F5220" t="s">
        <v>5714</v>
      </c>
    </row>
    <row r="5221" spans="1:6" x14ac:dyDescent="0.15">
      <c r="A5221">
        <v>8754847</v>
      </c>
      <c r="B5221">
        <v>12085233</v>
      </c>
      <c r="C5221" t="s">
        <v>22</v>
      </c>
      <c r="D5221" t="s">
        <v>114</v>
      </c>
      <c r="E5221" s="4" t="str">
        <f>HYPERLINK("https://ibp.a2mac1.com/costing(costing:projects/details/9760/material/8754847)","Stainless steel (sheet, default)")</f>
        <v>Stainless steel (sheet, default)</v>
      </c>
      <c r="F5221" t="s">
        <v>5715</v>
      </c>
    </row>
    <row r="5222" spans="1:6" x14ac:dyDescent="0.15">
      <c r="A5222">
        <v>12212328</v>
      </c>
      <c r="B5222">
        <v>12085233</v>
      </c>
      <c r="C5222" t="s">
        <v>163</v>
      </c>
      <c r="D5222" t="s">
        <v>114</v>
      </c>
      <c r="E5222" s="4" t="str">
        <f>HYPERLINK("https://ibp.a2mac1.com/costing(costing:projects/details/9760/equipment/12212328)","No.01 - Progressive Press - 250T ")</f>
        <v xml:space="preserve">No.01 - Progressive Press - 250T </v>
      </c>
      <c r="F5222" t="s">
        <v>5715</v>
      </c>
    </row>
    <row r="5223" spans="1:6" x14ac:dyDescent="0.15">
      <c r="A5223">
        <v>8415875</v>
      </c>
      <c r="B5223">
        <v>8415643</v>
      </c>
      <c r="C5223" t="s">
        <v>10</v>
      </c>
      <c r="D5223" t="s">
        <v>8</v>
      </c>
      <c r="E5223" s="4" t="str">
        <f>HYPERLINK("https://ibp.a2mac1.com/costing(costing:projects/details/9760/part/8415875)","O")</f>
        <v>O</v>
      </c>
      <c r="F5223" t="s">
        <v>5708</v>
      </c>
    </row>
    <row r="5224" spans="1:6" x14ac:dyDescent="0.15">
      <c r="A5224">
        <v>12085234</v>
      </c>
      <c r="B5224">
        <v>8415875</v>
      </c>
      <c r="C5224" t="s">
        <v>114</v>
      </c>
      <c r="D5224" t="s">
        <v>10</v>
      </c>
      <c r="E5224" s="4" t="str">
        <f>HYPERLINK("https://ibp.a2mac1.com/costing(costing:projects/details/9760/process/12085234)","Stamping")</f>
        <v>Stamping</v>
      </c>
      <c r="F5224" t="s">
        <v>5716</v>
      </c>
    </row>
    <row r="5225" spans="1:6" x14ac:dyDescent="0.15">
      <c r="A5225">
        <v>8754848</v>
      </c>
      <c r="B5225">
        <v>12085234</v>
      </c>
      <c r="C5225" t="s">
        <v>22</v>
      </c>
      <c r="D5225" t="s">
        <v>114</v>
      </c>
      <c r="E5225" s="4" t="str">
        <f>HYPERLINK("https://ibp.a2mac1.com/costing(costing:projects/details/9760/material/8754848)","Stainless steel (sheet, default)")</f>
        <v>Stainless steel (sheet, default)</v>
      </c>
      <c r="F5225" t="s">
        <v>5717</v>
      </c>
    </row>
    <row r="5226" spans="1:6" x14ac:dyDescent="0.15">
      <c r="A5226">
        <v>12212329</v>
      </c>
      <c r="B5226">
        <v>12085234</v>
      </c>
      <c r="C5226" t="s">
        <v>163</v>
      </c>
      <c r="D5226" t="s">
        <v>114</v>
      </c>
      <c r="E5226" s="4" t="str">
        <f>HYPERLINK("https://ibp.a2mac1.com/costing(costing:projects/details/9760/equipment/12212329)","No.01 - Progressive Press - 250T ")</f>
        <v xml:space="preserve">No.01 - Progressive Press - 250T </v>
      </c>
      <c r="F5226" t="s">
        <v>5717</v>
      </c>
    </row>
    <row r="5227" spans="1:6" x14ac:dyDescent="0.15">
      <c r="A5227">
        <v>8415876</v>
      </c>
      <c r="B5227">
        <v>8415643</v>
      </c>
      <c r="C5227" t="s">
        <v>10</v>
      </c>
      <c r="D5227" t="s">
        <v>8</v>
      </c>
      <c r="E5227" s="4" t="str">
        <f>HYPERLINK("https://ibp.a2mac1.com/costing(costing:projects/details/9760/part/8415876)","M")</f>
        <v>M</v>
      </c>
      <c r="F5227" t="s">
        <v>5708</v>
      </c>
    </row>
    <row r="5228" spans="1:6" x14ac:dyDescent="0.15">
      <c r="A5228">
        <v>12085235</v>
      </c>
      <c r="B5228">
        <v>8415876</v>
      </c>
      <c r="C5228" t="s">
        <v>114</v>
      </c>
      <c r="D5228" t="s">
        <v>10</v>
      </c>
      <c r="E5228" s="4" t="str">
        <f>HYPERLINK("https://ibp.a2mac1.com/costing(costing:projects/details/9760/process/12085235)","Stamping")</f>
        <v>Stamping</v>
      </c>
      <c r="F5228" t="s">
        <v>5718</v>
      </c>
    </row>
    <row r="5229" spans="1:6" x14ac:dyDescent="0.15">
      <c r="A5229">
        <v>8754849</v>
      </c>
      <c r="B5229">
        <v>12085235</v>
      </c>
      <c r="C5229" t="s">
        <v>22</v>
      </c>
      <c r="D5229" t="s">
        <v>114</v>
      </c>
      <c r="E5229" s="4" t="str">
        <f>HYPERLINK("https://ibp.a2mac1.com/costing(costing:projects/details/9760/material/8754849)","Stainless steel (sheet, default)")</f>
        <v>Stainless steel (sheet, default)</v>
      </c>
      <c r="F5229" t="s">
        <v>5719</v>
      </c>
    </row>
    <row r="5230" spans="1:6" x14ac:dyDescent="0.15">
      <c r="A5230">
        <v>12212330</v>
      </c>
      <c r="B5230">
        <v>12085235</v>
      </c>
      <c r="C5230" t="s">
        <v>163</v>
      </c>
      <c r="D5230" t="s">
        <v>114</v>
      </c>
      <c r="E5230" s="4" t="str">
        <f>HYPERLINK("https://ibp.a2mac1.com/costing(costing:projects/details/9760/equipment/12212330)","No.01 - Progressive Press - 250T ")</f>
        <v xml:space="preserve">No.01 - Progressive Press - 250T </v>
      </c>
      <c r="F5230" t="s">
        <v>5719</v>
      </c>
    </row>
    <row r="5231" spans="1:6" x14ac:dyDescent="0.15">
      <c r="A5231">
        <v>8415877</v>
      </c>
      <c r="B5231">
        <v>8415643</v>
      </c>
      <c r="C5231" t="s">
        <v>10</v>
      </c>
      <c r="D5231" t="s">
        <v>8</v>
      </c>
      <c r="E5231" s="4" t="str">
        <f>HYPERLINK("https://ibp.a2mac1.com/costing(costing:projects/details/9760/part/8415877)","I")</f>
        <v>I</v>
      </c>
      <c r="F5231" t="s">
        <v>5708</v>
      </c>
    </row>
    <row r="5232" spans="1:6" x14ac:dyDescent="0.15">
      <c r="A5232">
        <v>12085236</v>
      </c>
      <c r="B5232">
        <v>8415877</v>
      </c>
      <c r="C5232" t="s">
        <v>114</v>
      </c>
      <c r="D5232" t="s">
        <v>10</v>
      </c>
      <c r="E5232" s="4" t="str">
        <f>HYPERLINK("https://ibp.a2mac1.com/costing(costing:projects/details/9760/process/12085236)","Stamping")</f>
        <v>Stamping</v>
      </c>
      <c r="F5232" t="s">
        <v>5712</v>
      </c>
    </row>
    <row r="5233" spans="1:6" x14ac:dyDescent="0.15">
      <c r="A5233">
        <v>8754850</v>
      </c>
      <c r="B5233">
        <v>12085236</v>
      </c>
      <c r="C5233" t="s">
        <v>22</v>
      </c>
      <c r="D5233" t="s">
        <v>114</v>
      </c>
      <c r="E5233" s="4" t="str">
        <f>HYPERLINK("https://ibp.a2mac1.com/costing(costing:projects/details/9760/material/8754850)","Stainless steel (sheet, default)")</f>
        <v>Stainless steel (sheet, default)</v>
      </c>
      <c r="F5233" t="s">
        <v>5713</v>
      </c>
    </row>
    <row r="5234" spans="1:6" x14ac:dyDescent="0.15">
      <c r="A5234">
        <v>12212331</v>
      </c>
      <c r="B5234">
        <v>12085236</v>
      </c>
      <c r="C5234" t="s">
        <v>163</v>
      </c>
      <c r="D5234" t="s">
        <v>114</v>
      </c>
      <c r="E5234" s="4" t="str">
        <f>HYPERLINK("https://ibp.a2mac1.com/costing(costing:projects/details/9760/equipment/12212331)","No.01 - Progressive Press - 250T ")</f>
        <v xml:space="preserve">No.01 - Progressive Press - 250T </v>
      </c>
      <c r="F5234" t="s">
        <v>5713</v>
      </c>
    </row>
    <row r="5235" spans="1:6" x14ac:dyDescent="0.15">
      <c r="A5235">
        <v>12085099</v>
      </c>
      <c r="B5235">
        <v>8415643</v>
      </c>
      <c r="C5235" t="s">
        <v>114</v>
      </c>
      <c r="D5235" t="s">
        <v>8</v>
      </c>
      <c r="E5235" s="4" t="str">
        <f>HYPERLINK("https://ibp.a2mac1.com/costing(costing:projects/details/9760/process/12085099)","Cleaning")</f>
        <v>Cleaning</v>
      </c>
      <c r="F5235" t="s">
        <v>5708</v>
      </c>
    </row>
    <row r="5236" spans="1:6" x14ac:dyDescent="0.15">
      <c r="A5236">
        <v>12212191</v>
      </c>
      <c r="B5236">
        <v>12085099</v>
      </c>
      <c r="C5236" t="s">
        <v>163</v>
      </c>
      <c r="D5236" t="s">
        <v>114</v>
      </c>
      <c r="E5236" s="4" t="str">
        <f>HYPERLINK("https://ibp.a2mac1.com/costing(costing:projects/details/9760/equipment/12212191)","No.02 - Cleaning - Batch - 1000x1000x800 - 200kg/batch - 1200kg/h ")</f>
        <v xml:space="preserve">No.02 - Cleaning - Batch - 1000x1000x800 - 200kg/batch - 1200kg/h </v>
      </c>
      <c r="F5236" t="s">
        <v>5721</v>
      </c>
    </row>
    <row r="5237" spans="1:6" x14ac:dyDescent="0.15">
      <c r="A5237">
        <v>12085098</v>
      </c>
      <c r="B5237">
        <v>8415643</v>
      </c>
      <c r="C5237" t="s">
        <v>114</v>
      </c>
      <c r="D5237" t="s">
        <v>8</v>
      </c>
      <c r="E5237" s="4" t="str">
        <f>HYPERLINK("https://ibp.a2mac1.com/costing(costing:projects/details/9760/process/12085098)","Packaging")</f>
        <v>Packaging</v>
      </c>
      <c r="F5237" t="s">
        <v>5708</v>
      </c>
    </row>
    <row r="5238" spans="1:6" x14ac:dyDescent="0.15">
      <c r="A5238">
        <v>12212190</v>
      </c>
      <c r="B5238">
        <v>12085098</v>
      </c>
      <c r="C5238" t="s">
        <v>163</v>
      </c>
      <c r="D5238" t="s">
        <v>114</v>
      </c>
      <c r="E5238" s="4" t="str">
        <f>HYPERLINK("https://ibp.a2mac1.com/costing(costing:projects/details/9760/equipment/12212190)","Packaging ")</f>
        <v xml:space="preserve">Packaging </v>
      </c>
      <c r="F5238" t="s">
        <v>5723</v>
      </c>
    </row>
    <row r="5239" spans="1:6" x14ac:dyDescent="0.15">
      <c r="A5239">
        <v>8415645</v>
      </c>
      <c r="B5239">
        <v>8415584</v>
      </c>
      <c r="C5239" t="s">
        <v>8</v>
      </c>
      <c r="D5239" t="s">
        <v>8</v>
      </c>
      <c r="E5239" s="4" t="str">
        <f>HYPERLINK("https://ibp.a2mac1.com/costing(costing:projects/details/9760/assembly/8415645)","Hinges")</f>
        <v>Hinges</v>
      </c>
      <c r="F5239" t="s">
        <v>5658</v>
      </c>
    </row>
    <row r="5240" spans="1:6" x14ac:dyDescent="0.15">
      <c r="A5240">
        <v>8415878</v>
      </c>
      <c r="B5240">
        <v>8415645</v>
      </c>
      <c r="C5240" t="s">
        <v>8</v>
      </c>
      <c r="D5240" t="s">
        <v>8</v>
      </c>
      <c r="E5240" s="4" t="str">
        <f>HYPERLINK("https://ibp.a2mac1.com/costing(costing:projects/details/9760/assembly/8415878)","Hinges")</f>
        <v>Hinges</v>
      </c>
      <c r="F5240" t="s">
        <v>5725</v>
      </c>
    </row>
    <row r="5241" spans="1:6" x14ac:dyDescent="0.15">
      <c r="A5241">
        <v>8416232</v>
      </c>
      <c r="B5241">
        <v>8415878</v>
      </c>
      <c r="C5241" t="s">
        <v>10</v>
      </c>
      <c r="D5241" t="s">
        <v>8</v>
      </c>
      <c r="E5241" s="4" t="str">
        <f>HYPERLINK("https://ibp.a2mac1.com/costing(costing:projects/details/9760/part/8416232)","Hinges&gt;Trunk or tailgate&gt;On BIW&gt;Part 01 (single/main)")</f>
        <v>Hinges&gt;Trunk or tailgate&gt;On BIW&gt;Part 01 (single/main)</v>
      </c>
      <c r="F5241" t="s">
        <v>5726</v>
      </c>
    </row>
    <row r="5242" spans="1:6" x14ac:dyDescent="0.15">
      <c r="A5242">
        <v>12085525</v>
      </c>
      <c r="B5242">
        <v>8416232</v>
      </c>
      <c r="C5242" t="s">
        <v>114</v>
      </c>
      <c r="D5242" t="s">
        <v>10</v>
      </c>
      <c r="E5242" s="4" t="str">
        <f>HYPERLINK("https://ibp.a2mac1.com/costing(costing:projects/details/9760/process/12085525)","MANUFACTURING  PROCESS")</f>
        <v>MANUFACTURING  PROCESS</v>
      </c>
      <c r="F5242" t="s">
        <v>5727</v>
      </c>
    </row>
    <row r="5243" spans="1:6" x14ac:dyDescent="0.15">
      <c r="A5243">
        <v>8755252</v>
      </c>
      <c r="B5243">
        <v>12085525</v>
      </c>
      <c r="C5243" t="s">
        <v>22</v>
      </c>
      <c r="D5243" t="s">
        <v>114</v>
      </c>
      <c r="E5243" s="4" t="str">
        <f>HYPERLINK("https://ibp.a2mac1.com/costing(costing:projects/details/9760/material/8755252)","Standard Structural Steel sheet")</f>
        <v>Standard Structural Steel sheet</v>
      </c>
      <c r="F5243" t="s">
        <v>5729</v>
      </c>
    </row>
    <row r="5244" spans="1:6" x14ac:dyDescent="0.15">
      <c r="A5244">
        <v>12212725</v>
      </c>
      <c r="B5244">
        <v>12085525</v>
      </c>
      <c r="C5244" t="s">
        <v>163</v>
      </c>
      <c r="D5244" t="s">
        <v>114</v>
      </c>
      <c r="E5244" s="4" t="str">
        <f>HYPERLINK("https://ibp.a2mac1.com/costing(costing:projects/details/9760/equipment/12212725)","Manufacturing Equipment")</f>
        <v>Manufacturing Equipment</v>
      </c>
      <c r="F5244" t="s">
        <v>5729</v>
      </c>
    </row>
    <row r="5245" spans="1:6" x14ac:dyDescent="0.15">
      <c r="A5245">
        <v>8416233</v>
      </c>
      <c r="B5245">
        <v>8415878</v>
      </c>
      <c r="C5245" t="s">
        <v>10</v>
      </c>
      <c r="D5245" t="s">
        <v>8</v>
      </c>
      <c r="E5245" s="4" t="str">
        <f>HYPERLINK("https://ibp.a2mac1.com/costing(costing:projects/details/9760/part/8416233)","Hinges&gt;Trunk or tailgate&gt;On trunk / tailgate&gt;Part 01 (single/main)")</f>
        <v>Hinges&gt;Trunk or tailgate&gt;On trunk / tailgate&gt;Part 01 (single/main)</v>
      </c>
      <c r="F5245" t="s">
        <v>5726</v>
      </c>
    </row>
    <row r="5246" spans="1:6" x14ac:dyDescent="0.15">
      <c r="A5246">
        <v>12085526</v>
      </c>
      <c r="B5246">
        <v>8416233</v>
      </c>
      <c r="C5246" t="s">
        <v>114</v>
      </c>
      <c r="D5246" t="s">
        <v>10</v>
      </c>
      <c r="E5246" s="4" t="str">
        <f>HYPERLINK("https://ibp.a2mac1.com/costing(costing:projects/details/9760/process/12085526)","MANUFACTURING  PROCESS")</f>
        <v>MANUFACTURING  PROCESS</v>
      </c>
      <c r="F5246" t="s">
        <v>5730</v>
      </c>
    </row>
    <row r="5247" spans="1:6" x14ac:dyDescent="0.15">
      <c r="A5247">
        <v>8755253</v>
      </c>
      <c r="B5247">
        <v>12085526</v>
      </c>
      <c r="C5247" t="s">
        <v>22</v>
      </c>
      <c r="D5247" t="s">
        <v>114</v>
      </c>
      <c r="E5247" s="4" t="str">
        <f>HYPERLINK("https://ibp.a2mac1.com/costing(costing:projects/details/9760/material/8755253)","Standard Structural Steel sheet")</f>
        <v>Standard Structural Steel sheet</v>
      </c>
      <c r="F5247" t="s">
        <v>5733</v>
      </c>
    </row>
    <row r="5248" spans="1:6" x14ac:dyDescent="0.15">
      <c r="A5248">
        <v>12212726</v>
      </c>
      <c r="B5248">
        <v>12085526</v>
      </c>
      <c r="C5248" t="s">
        <v>163</v>
      </c>
      <c r="D5248" t="s">
        <v>114</v>
      </c>
      <c r="E5248" s="4" t="str">
        <f>HYPERLINK("https://ibp.a2mac1.com/costing(costing:projects/details/9760/equipment/12212726)","Manufacturing Equipment")</f>
        <v>Manufacturing Equipment</v>
      </c>
      <c r="F5248" t="s">
        <v>5733</v>
      </c>
    </row>
    <row r="5249" spans="1:6" x14ac:dyDescent="0.15">
      <c r="A5249">
        <v>8416234</v>
      </c>
      <c r="B5249">
        <v>8415878</v>
      </c>
      <c r="C5249" t="s">
        <v>10</v>
      </c>
      <c r="D5249" t="s">
        <v>8</v>
      </c>
      <c r="E5249" s="4" t="str">
        <f>HYPERLINK("https://ibp.a2mac1.com/costing(costing:projects/details/9760/part/8416234)","Hinges&gt;Trunk or tailgate&gt;Joint&gt;Part 01 (single/main)")</f>
        <v>Hinges&gt;Trunk or tailgate&gt;Joint&gt;Part 01 (single/main)</v>
      </c>
      <c r="F5249" t="s">
        <v>5726</v>
      </c>
    </row>
    <row r="5250" spans="1:6" x14ac:dyDescent="0.15">
      <c r="A5250">
        <v>12085527</v>
      </c>
      <c r="B5250">
        <v>8416234</v>
      </c>
      <c r="C5250" t="s">
        <v>114</v>
      </c>
      <c r="D5250" t="s">
        <v>10</v>
      </c>
      <c r="E5250" s="4" t="str">
        <f>HYPERLINK("https://ibp.a2mac1.com/costing(costing:projects/details/9760/process/12085527)","MANUFACTURING  PROCESS")</f>
        <v>MANUFACTURING  PROCESS</v>
      </c>
      <c r="F5250" t="s">
        <v>5734</v>
      </c>
    </row>
    <row r="5251" spans="1:6" x14ac:dyDescent="0.15">
      <c r="A5251">
        <v>8755254</v>
      </c>
      <c r="B5251">
        <v>12085527</v>
      </c>
      <c r="C5251" t="s">
        <v>22</v>
      </c>
      <c r="D5251" t="s">
        <v>114</v>
      </c>
      <c r="E5251" s="4" t="str">
        <f>HYPERLINK("https://ibp.a2mac1.com/costing(costing:projects/details/9760/material/8755254)","Standard Structural Steel sheet")</f>
        <v>Standard Structural Steel sheet</v>
      </c>
      <c r="F5251" t="s">
        <v>5737</v>
      </c>
    </row>
    <row r="5252" spans="1:6" x14ac:dyDescent="0.15">
      <c r="A5252">
        <v>12212727</v>
      </c>
      <c r="B5252">
        <v>12085527</v>
      </c>
      <c r="C5252" t="s">
        <v>163</v>
      </c>
      <c r="D5252" t="s">
        <v>114</v>
      </c>
      <c r="E5252" s="4" t="str">
        <f>HYPERLINK("https://ibp.a2mac1.com/costing(costing:projects/details/9760/equipment/12212727)","Manufacturing Equipment")</f>
        <v>Manufacturing Equipment</v>
      </c>
      <c r="F5252" t="s">
        <v>5737</v>
      </c>
    </row>
    <row r="5253" spans="1:6" x14ac:dyDescent="0.15">
      <c r="A5253">
        <v>8416235</v>
      </c>
      <c r="B5253">
        <v>8415878</v>
      </c>
      <c r="C5253" t="s">
        <v>10</v>
      </c>
      <c r="D5253" t="s">
        <v>8</v>
      </c>
      <c r="E5253" s="4" t="str">
        <f>HYPERLINK("https://ibp.a2mac1.com/costing(costing:projects/details/9760/part/8416235)","Hinges&gt;Trunk or tailgate&gt;Joint&gt;Part 02")</f>
        <v>Hinges&gt;Trunk or tailgate&gt;Joint&gt;Part 02</v>
      </c>
      <c r="F5253" t="s">
        <v>5726</v>
      </c>
    </row>
    <row r="5254" spans="1:6" x14ac:dyDescent="0.15">
      <c r="A5254">
        <v>12085528</v>
      </c>
      <c r="B5254">
        <v>8416235</v>
      </c>
      <c r="C5254" t="s">
        <v>114</v>
      </c>
      <c r="D5254" t="s">
        <v>10</v>
      </c>
      <c r="E5254" s="4" t="str">
        <f>HYPERLINK("https://ibp.a2mac1.com/costing(costing:projects/details/9760/process/12085528)","MANUFACTURING  PROCESS")</f>
        <v>MANUFACTURING  PROCESS</v>
      </c>
      <c r="F5254" t="s">
        <v>5739</v>
      </c>
    </row>
    <row r="5255" spans="1:6" x14ac:dyDescent="0.15">
      <c r="A5255">
        <v>8755255</v>
      </c>
      <c r="B5255">
        <v>12085528</v>
      </c>
      <c r="C5255" t="s">
        <v>22</v>
      </c>
      <c r="D5255" t="s">
        <v>114</v>
      </c>
      <c r="E5255" s="4" t="str">
        <f>HYPERLINK("https://ibp.a2mac1.com/costing(costing:projects/details/9760/material/8755255)","Standard Structural Steel sheet")</f>
        <v>Standard Structural Steel sheet</v>
      </c>
      <c r="F5255" t="s">
        <v>5742</v>
      </c>
    </row>
    <row r="5256" spans="1:6" x14ac:dyDescent="0.15">
      <c r="A5256">
        <v>12212728</v>
      </c>
      <c r="B5256">
        <v>12085528</v>
      </c>
      <c r="C5256" t="s">
        <v>163</v>
      </c>
      <c r="D5256" t="s">
        <v>114</v>
      </c>
      <c r="E5256" s="4" t="str">
        <f>HYPERLINK("https://ibp.a2mac1.com/costing(costing:projects/details/9760/equipment/12212728)","Manufacturing Equipment")</f>
        <v>Manufacturing Equipment</v>
      </c>
      <c r="F5256" t="s">
        <v>5742</v>
      </c>
    </row>
    <row r="5257" spans="1:6" x14ac:dyDescent="0.15">
      <c r="A5257">
        <v>8415879</v>
      </c>
      <c r="B5257">
        <v>8415645</v>
      </c>
      <c r="C5257" t="s">
        <v>8</v>
      </c>
      <c r="D5257" t="s">
        <v>8</v>
      </c>
      <c r="E5257" s="4" t="str">
        <f>HYPERLINK("https://ibp.a2mac1.com/costing(costing:projects/details/9760/assembly/8415879)","hinges Right if diferent")</f>
        <v>hinges Right if diferent</v>
      </c>
      <c r="F5257" t="s">
        <v>5725</v>
      </c>
    </row>
    <row r="5258" spans="1:6" x14ac:dyDescent="0.15">
      <c r="A5258">
        <v>8416236</v>
      </c>
      <c r="B5258">
        <v>8415879</v>
      </c>
      <c r="C5258" t="s">
        <v>10</v>
      </c>
      <c r="D5258" t="s">
        <v>8</v>
      </c>
      <c r="E5258" s="4" t="str">
        <f>HYPERLINK("https://ibp.a2mac1.com/costing(costing:projects/details/9760/part/8416236)","Hinges&gt;Trunk or tailgate&gt;On BIW&gt;Part 01 (single/main)")</f>
        <v>Hinges&gt;Trunk or tailgate&gt;On BIW&gt;Part 01 (single/main)</v>
      </c>
      <c r="F5258" t="s">
        <v>5744</v>
      </c>
    </row>
    <row r="5259" spans="1:6" x14ac:dyDescent="0.15">
      <c r="A5259">
        <v>12085529</v>
      </c>
      <c r="B5259">
        <v>8416236</v>
      </c>
      <c r="C5259" t="s">
        <v>114</v>
      </c>
      <c r="D5259" t="s">
        <v>10</v>
      </c>
      <c r="E5259" s="4" t="str">
        <f>HYPERLINK("https://ibp.a2mac1.com/costing(costing:projects/details/9760/process/12085529)","MANUFACTURING  PROCESS")</f>
        <v>MANUFACTURING  PROCESS</v>
      </c>
      <c r="F5259" t="s">
        <v>5745</v>
      </c>
    </row>
    <row r="5260" spans="1:6" x14ac:dyDescent="0.15">
      <c r="A5260">
        <v>8755256</v>
      </c>
      <c r="B5260">
        <v>12085529</v>
      </c>
      <c r="C5260" t="s">
        <v>22</v>
      </c>
      <c r="D5260" t="s">
        <v>114</v>
      </c>
      <c r="E5260" s="4" t="str">
        <f>HYPERLINK("https://ibp.a2mac1.com/costing(costing:projects/details/9760/material/8755256)","Standard Structural Steel sheet")</f>
        <v>Standard Structural Steel sheet</v>
      </c>
      <c r="F5260" t="s">
        <v>5746</v>
      </c>
    </row>
    <row r="5261" spans="1:6" x14ac:dyDescent="0.15">
      <c r="A5261">
        <v>12212729</v>
      </c>
      <c r="B5261">
        <v>12085529</v>
      </c>
      <c r="C5261" t="s">
        <v>163</v>
      </c>
      <c r="D5261" t="s">
        <v>114</v>
      </c>
      <c r="E5261" s="4" t="str">
        <f>HYPERLINK("https://ibp.a2mac1.com/costing(costing:projects/details/9760/equipment/12212729)","Manufacturing Equipment")</f>
        <v>Manufacturing Equipment</v>
      </c>
      <c r="F5261" t="s">
        <v>5746</v>
      </c>
    </row>
    <row r="5262" spans="1:6" x14ac:dyDescent="0.15">
      <c r="A5262">
        <v>8416237</v>
      </c>
      <c r="B5262">
        <v>8415879</v>
      </c>
      <c r="C5262" t="s">
        <v>10</v>
      </c>
      <c r="D5262" t="s">
        <v>8</v>
      </c>
      <c r="E5262" s="4" t="str">
        <f>HYPERLINK("https://ibp.a2mac1.com/costing(costing:projects/details/9760/part/8416237)","Hinges&gt;Trunk or tailgate&gt;On trunk / tailgate&gt;Part 01 (single/main)")</f>
        <v>Hinges&gt;Trunk or tailgate&gt;On trunk / tailgate&gt;Part 01 (single/main)</v>
      </c>
      <c r="F5262" t="s">
        <v>5744</v>
      </c>
    </row>
    <row r="5263" spans="1:6" x14ac:dyDescent="0.15">
      <c r="A5263">
        <v>12085530</v>
      </c>
      <c r="B5263">
        <v>8416237</v>
      </c>
      <c r="C5263" t="s">
        <v>114</v>
      </c>
      <c r="D5263" t="s">
        <v>10</v>
      </c>
      <c r="E5263" s="4" t="str">
        <f>HYPERLINK("https://ibp.a2mac1.com/costing(costing:projects/details/9760/process/12085530)","MANUFACTURING  PROCESS")</f>
        <v>MANUFACTURING  PROCESS</v>
      </c>
      <c r="F5263" t="s">
        <v>5747</v>
      </c>
    </row>
    <row r="5264" spans="1:6" x14ac:dyDescent="0.15">
      <c r="A5264">
        <v>8755257</v>
      </c>
      <c r="B5264">
        <v>12085530</v>
      </c>
      <c r="C5264" t="s">
        <v>22</v>
      </c>
      <c r="D5264" t="s">
        <v>114</v>
      </c>
      <c r="E5264" s="4" t="str">
        <f>HYPERLINK("https://ibp.a2mac1.com/costing(costing:projects/details/9760/material/8755257)","Standard Structural Steel sheet")</f>
        <v>Standard Structural Steel sheet</v>
      </c>
      <c r="F5264" t="s">
        <v>5748</v>
      </c>
    </row>
    <row r="5265" spans="1:6" x14ac:dyDescent="0.15">
      <c r="A5265">
        <v>12212730</v>
      </c>
      <c r="B5265">
        <v>12085530</v>
      </c>
      <c r="C5265" t="s">
        <v>163</v>
      </c>
      <c r="D5265" t="s">
        <v>114</v>
      </c>
      <c r="E5265" s="4" t="str">
        <f>HYPERLINK("https://ibp.a2mac1.com/costing(costing:projects/details/9760/equipment/12212730)","Manufacturing Equipment")</f>
        <v>Manufacturing Equipment</v>
      </c>
      <c r="F5265" t="s">
        <v>5748</v>
      </c>
    </row>
    <row r="5266" spans="1:6" x14ac:dyDescent="0.15">
      <c r="A5266">
        <v>8416238</v>
      </c>
      <c r="B5266">
        <v>8415879</v>
      </c>
      <c r="C5266" t="s">
        <v>10</v>
      </c>
      <c r="D5266" t="s">
        <v>8</v>
      </c>
      <c r="E5266" s="4" t="str">
        <f>HYPERLINK("https://ibp.a2mac1.com/costing(costing:projects/details/9760/part/8416238)","Hinges&gt;Trunk or tailgate&gt;Joint&gt;Part 01 (single/main)")</f>
        <v>Hinges&gt;Trunk or tailgate&gt;Joint&gt;Part 01 (single/main)</v>
      </c>
      <c r="F5266" t="s">
        <v>5744</v>
      </c>
    </row>
    <row r="5267" spans="1:6" x14ac:dyDescent="0.15">
      <c r="A5267">
        <v>12085531</v>
      </c>
      <c r="B5267">
        <v>8416238</v>
      </c>
      <c r="C5267" t="s">
        <v>114</v>
      </c>
      <c r="D5267" t="s">
        <v>10</v>
      </c>
      <c r="E5267" s="4" t="str">
        <f>HYPERLINK("https://ibp.a2mac1.com/costing(costing:projects/details/9760/process/12085531)","MANUFACTURING  PROCESS")</f>
        <v>MANUFACTURING  PROCESS</v>
      </c>
      <c r="F5267" t="s">
        <v>5749</v>
      </c>
    </row>
    <row r="5268" spans="1:6" x14ac:dyDescent="0.15">
      <c r="A5268">
        <v>8755258</v>
      </c>
      <c r="B5268">
        <v>12085531</v>
      </c>
      <c r="C5268" t="s">
        <v>22</v>
      </c>
      <c r="D5268" t="s">
        <v>114</v>
      </c>
      <c r="E5268" s="4" t="str">
        <f>HYPERLINK("https://ibp.a2mac1.com/costing(costing:projects/details/9760/material/8755258)","Standard Structural Steel sheet")</f>
        <v>Standard Structural Steel sheet</v>
      </c>
      <c r="F5268" t="s">
        <v>5750</v>
      </c>
    </row>
    <row r="5269" spans="1:6" x14ac:dyDescent="0.15">
      <c r="A5269">
        <v>12212731</v>
      </c>
      <c r="B5269">
        <v>12085531</v>
      </c>
      <c r="C5269" t="s">
        <v>163</v>
      </c>
      <c r="D5269" t="s">
        <v>114</v>
      </c>
      <c r="E5269" s="4" t="str">
        <f>HYPERLINK("https://ibp.a2mac1.com/costing(costing:projects/details/9760/equipment/12212731)","Manufacturing Equipment")</f>
        <v>Manufacturing Equipment</v>
      </c>
      <c r="F5269" t="s">
        <v>5750</v>
      </c>
    </row>
    <row r="5270" spans="1:6" x14ac:dyDescent="0.15">
      <c r="A5270">
        <v>8416239</v>
      </c>
      <c r="B5270">
        <v>8415879</v>
      </c>
      <c r="C5270" t="s">
        <v>10</v>
      </c>
      <c r="D5270" t="s">
        <v>8</v>
      </c>
      <c r="E5270" s="4" t="str">
        <f>HYPERLINK("https://ibp.a2mac1.com/costing(costing:projects/details/9760/part/8416239)","Hinges&gt;Trunk or tailgate&gt;Joint&gt;Part 02")</f>
        <v>Hinges&gt;Trunk or tailgate&gt;Joint&gt;Part 02</v>
      </c>
      <c r="F5270" t="s">
        <v>5744</v>
      </c>
    </row>
    <row r="5271" spans="1:6" x14ac:dyDescent="0.15">
      <c r="A5271">
        <v>12085532</v>
      </c>
      <c r="B5271">
        <v>8416239</v>
      </c>
      <c r="C5271" t="s">
        <v>114</v>
      </c>
      <c r="D5271" t="s">
        <v>10</v>
      </c>
      <c r="E5271" s="4" t="str">
        <f>HYPERLINK("https://ibp.a2mac1.com/costing(costing:projects/details/9760/process/12085532)","MANUFACTURING  PROCESS")</f>
        <v>MANUFACTURING  PROCESS</v>
      </c>
      <c r="F5271" t="s">
        <v>5751</v>
      </c>
    </row>
    <row r="5272" spans="1:6" x14ac:dyDescent="0.15">
      <c r="A5272">
        <v>8755259</v>
      </c>
      <c r="B5272">
        <v>12085532</v>
      </c>
      <c r="C5272" t="s">
        <v>22</v>
      </c>
      <c r="D5272" t="s">
        <v>114</v>
      </c>
      <c r="E5272" s="4" t="str">
        <f>HYPERLINK("https://ibp.a2mac1.com/costing(costing:projects/details/9760/material/8755259)","Standard Structural Steel sheet")</f>
        <v>Standard Structural Steel sheet</v>
      </c>
      <c r="F5272" t="s">
        <v>5752</v>
      </c>
    </row>
    <row r="5273" spans="1:6" x14ac:dyDescent="0.15">
      <c r="A5273">
        <v>12212732</v>
      </c>
      <c r="B5273">
        <v>12085532</v>
      </c>
      <c r="C5273" t="s">
        <v>163</v>
      </c>
      <c r="D5273" t="s">
        <v>114</v>
      </c>
      <c r="E5273" s="4" t="str">
        <f>HYPERLINK("https://ibp.a2mac1.com/costing(costing:projects/details/9760/equipment/12212732)","Manufacturing Equipment")</f>
        <v>Manufacturing Equipment</v>
      </c>
      <c r="F5273" t="s">
        <v>5752</v>
      </c>
    </row>
    <row r="5274" spans="1:6" x14ac:dyDescent="0.15">
      <c r="A5274">
        <v>8415880</v>
      </c>
      <c r="B5274">
        <v>8415645</v>
      </c>
      <c r="C5274" t="s">
        <v>10</v>
      </c>
      <c r="D5274" t="s">
        <v>8</v>
      </c>
      <c r="E5274" s="4" t="str">
        <f>HYPERLINK("https://ibp.a2mac1.com/costing(costing:projects/details/9760/part/8415880)","Hinge cover")</f>
        <v>Hinge cover</v>
      </c>
      <c r="F5274" t="s">
        <v>5725</v>
      </c>
    </row>
    <row r="5275" spans="1:6" x14ac:dyDescent="0.15">
      <c r="A5275">
        <v>12085238</v>
      </c>
      <c r="B5275">
        <v>8415880</v>
      </c>
      <c r="C5275" t="s">
        <v>114</v>
      </c>
      <c r="D5275" t="s">
        <v>10</v>
      </c>
      <c r="E5275" s="4" t="str">
        <f>HYPERLINK("https://ibp.a2mac1.com/costing(costing:projects/details/9760/process/12085238)","Injection molding")</f>
        <v>Injection molding</v>
      </c>
      <c r="F5275" t="s">
        <v>5754</v>
      </c>
    </row>
    <row r="5276" spans="1:6" x14ac:dyDescent="0.15">
      <c r="A5276">
        <v>8754851</v>
      </c>
      <c r="B5276">
        <v>12085238</v>
      </c>
      <c r="C5276" t="s">
        <v>22</v>
      </c>
      <c r="D5276" t="s">
        <v>114</v>
      </c>
      <c r="E5276" s="4" t="str">
        <f>HYPERLINK("https://ibp.a2mac1.com/costing(costing:projects/details/9760/material/8754851)","PP-TD20")</f>
        <v>PP-TD20</v>
      </c>
      <c r="F5276" t="s">
        <v>5757</v>
      </c>
    </row>
    <row r="5277" spans="1:6" x14ac:dyDescent="0.15">
      <c r="A5277">
        <v>12212333</v>
      </c>
      <c r="B5277">
        <v>12085238</v>
      </c>
      <c r="C5277" t="s">
        <v>163</v>
      </c>
      <c r="D5277" t="s">
        <v>114</v>
      </c>
      <c r="E5277" s="4" t="str">
        <f>HYPERLINK("https://ibp.a2mac1.com/costing(costing:projects/details/9760/equipment/12212333)","No.06 - Injection Press - 200T - 45kW - 510x510 - Max Volume 624cm3 ")</f>
        <v xml:space="preserve">No.06 - Injection Press - 200T - 45kW - 510x510 - Max Volume 624cm3 </v>
      </c>
      <c r="F5277" t="s">
        <v>5757</v>
      </c>
    </row>
    <row r="5278" spans="1:6" x14ac:dyDescent="0.15">
      <c r="A5278">
        <v>12085237</v>
      </c>
      <c r="B5278">
        <v>8415880</v>
      </c>
      <c r="C5278" t="s">
        <v>114</v>
      </c>
      <c r="D5278" t="s">
        <v>10</v>
      </c>
      <c r="E5278" s="4" t="str">
        <f>HYPERLINK("https://ibp.a2mac1.com/costing(costing:projects/details/9760/process/12085237)","Handling/Visual Inspection/Packaging")</f>
        <v>Handling/Visual Inspection/Packaging</v>
      </c>
      <c r="F5278" t="s">
        <v>5754</v>
      </c>
    </row>
    <row r="5279" spans="1:6" x14ac:dyDescent="0.15">
      <c r="A5279">
        <v>12212332</v>
      </c>
      <c r="B5279">
        <v>12085237</v>
      </c>
      <c r="C5279" t="s">
        <v>163</v>
      </c>
      <c r="D5279" t="s">
        <v>114</v>
      </c>
      <c r="E5279" s="4" t="str">
        <f>HYPERLINK("https://ibp.a2mac1.com/costing(costing:projects/details/9760/equipment/12212332)","Packaging")</f>
        <v>Packaging</v>
      </c>
      <c r="F5279" t="s">
        <v>5759</v>
      </c>
    </row>
    <row r="5280" spans="1:6" x14ac:dyDescent="0.15">
      <c r="A5280">
        <v>8415881</v>
      </c>
      <c r="B5280">
        <v>8415645</v>
      </c>
      <c r="C5280" t="s">
        <v>10</v>
      </c>
      <c r="D5280" t="s">
        <v>8</v>
      </c>
      <c r="E5280" s="4" t="str">
        <f>HYPERLINK("https://ibp.a2mac1.com/costing(costing:projects/details/9760/part/8415881)","Hinge Cover Right if Different")</f>
        <v>Hinge Cover Right if Different</v>
      </c>
      <c r="F5280" t="s">
        <v>5725</v>
      </c>
    </row>
    <row r="5281" spans="1:6" x14ac:dyDescent="0.15">
      <c r="A5281">
        <v>12085239</v>
      </c>
      <c r="B5281">
        <v>8415881</v>
      </c>
      <c r="C5281" t="s">
        <v>114</v>
      </c>
      <c r="D5281" t="s">
        <v>10</v>
      </c>
      <c r="E5281" s="4" t="str">
        <f>HYPERLINK("https://ibp.a2mac1.com/costing(costing:projects/details/9760/process/12085239)","Injection molding")</f>
        <v>Injection molding</v>
      </c>
      <c r="F5281" t="s">
        <v>5761</v>
      </c>
    </row>
    <row r="5282" spans="1:6" x14ac:dyDescent="0.15">
      <c r="A5282">
        <v>8754852</v>
      </c>
      <c r="B5282">
        <v>12085239</v>
      </c>
      <c r="C5282" t="s">
        <v>22</v>
      </c>
      <c r="D5282" t="s">
        <v>114</v>
      </c>
      <c r="E5282" s="4" t="str">
        <f>HYPERLINK("https://ibp.a2mac1.com/costing(costing:projects/details/9760/material/8754852)","PP-TD20")</f>
        <v>PP-TD20</v>
      </c>
      <c r="F5282" t="s">
        <v>5762</v>
      </c>
    </row>
    <row r="5283" spans="1:6" x14ac:dyDescent="0.15">
      <c r="A5283">
        <v>12212334</v>
      </c>
      <c r="B5283">
        <v>12085239</v>
      </c>
      <c r="C5283" t="s">
        <v>163</v>
      </c>
      <c r="D5283" t="s">
        <v>114</v>
      </c>
      <c r="E5283" s="4" t="str">
        <f>HYPERLINK("https://ibp.a2mac1.com/costing(costing:projects/details/9760/equipment/12212334)","No.06 - Injection Press - 200T - 45kW - 510x510 - Max Volume 624cm3 ")</f>
        <v xml:space="preserve">No.06 - Injection Press - 200T - 45kW - 510x510 - Max Volume 624cm3 </v>
      </c>
      <c r="F5283" t="s">
        <v>5762</v>
      </c>
    </row>
    <row r="5284" spans="1:6" x14ac:dyDescent="0.15">
      <c r="A5284">
        <v>12085240</v>
      </c>
      <c r="B5284">
        <v>8415881</v>
      </c>
      <c r="C5284" t="s">
        <v>114</v>
      </c>
      <c r="D5284" t="s">
        <v>10</v>
      </c>
      <c r="E5284" s="4" t="str">
        <f>HYPERLINK("https://ibp.a2mac1.com/costing(costing:projects/details/9760/process/12085240)","Handling/Visual Inspection/Packaging")</f>
        <v>Handling/Visual Inspection/Packaging</v>
      </c>
      <c r="F5284" t="s">
        <v>5761</v>
      </c>
    </row>
    <row r="5285" spans="1:6" x14ac:dyDescent="0.15">
      <c r="A5285">
        <v>12212335</v>
      </c>
      <c r="B5285">
        <v>12085240</v>
      </c>
      <c r="C5285" t="s">
        <v>163</v>
      </c>
      <c r="D5285" t="s">
        <v>114</v>
      </c>
      <c r="E5285" s="4" t="str">
        <f>HYPERLINK("https://ibp.a2mac1.com/costing(costing:projects/details/9760/equipment/12212335)","Packaging")</f>
        <v>Packaging</v>
      </c>
      <c r="F5285" t="s">
        <v>5763</v>
      </c>
    </row>
    <row r="5286" spans="1:6" x14ac:dyDescent="0.15">
      <c r="A5286">
        <v>8415882</v>
      </c>
      <c r="B5286">
        <v>8415645</v>
      </c>
      <c r="C5286" t="s">
        <v>10</v>
      </c>
      <c r="D5286" t="s">
        <v>8</v>
      </c>
      <c r="E5286" s="4" t="str">
        <f>HYPERLINK("https://ibp.a2mac1.com/costing(costing:projects/details/9760/part/8415882)","Supports")</f>
        <v>Supports</v>
      </c>
      <c r="F5286" t="s">
        <v>5725</v>
      </c>
    </row>
    <row r="5287" spans="1:6" x14ac:dyDescent="0.15">
      <c r="A5287">
        <v>12085241</v>
      </c>
      <c r="B5287">
        <v>8415882</v>
      </c>
      <c r="C5287" t="s">
        <v>114</v>
      </c>
      <c r="D5287" t="s">
        <v>10</v>
      </c>
      <c r="E5287" s="4" t="str">
        <f>HYPERLINK("https://ibp.a2mac1.com/costing(costing:projects/details/9760/process/12085241)","Stamping")</f>
        <v>Stamping</v>
      </c>
      <c r="F5287" t="s">
        <v>5765</v>
      </c>
    </row>
    <row r="5288" spans="1:6" x14ac:dyDescent="0.15">
      <c r="A5288">
        <v>8754853</v>
      </c>
      <c r="B5288">
        <v>12085241</v>
      </c>
      <c r="C5288" t="s">
        <v>22</v>
      </c>
      <c r="D5288" t="s">
        <v>114</v>
      </c>
      <c r="E5288" s="4" t="str">
        <f>HYPERLINK("https://ibp.a2mac1.com/costing(costing:projects/details/9760/material/8754853)","Standard Structural Steel sheet")</f>
        <v>Standard Structural Steel sheet</v>
      </c>
      <c r="F5288" t="s">
        <v>5767</v>
      </c>
    </row>
    <row r="5289" spans="1:6" x14ac:dyDescent="0.15">
      <c r="A5289">
        <v>12212336</v>
      </c>
      <c r="B5289">
        <v>12085241</v>
      </c>
      <c r="C5289" t="s">
        <v>163</v>
      </c>
      <c r="D5289" t="s">
        <v>114</v>
      </c>
      <c r="E5289" s="4" t="str">
        <f>HYPERLINK("https://ibp.a2mac1.com/costing(costing:projects/details/9760/equipment/12212336)","No.01 - Progressive Press - 250T ")</f>
        <v xml:space="preserve">No.01 - Progressive Press - 250T </v>
      </c>
      <c r="F5289" t="s">
        <v>5767</v>
      </c>
    </row>
    <row r="5290" spans="1:6" x14ac:dyDescent="0.15">
      <c r="A5290">
        <v>12085242</v>
      </c>
      <c r="B5290">
        <v>8415882</v>
      </c>
      <c r="C5290" t="s">
        <v>114</v>
      </c>
      <c r="D5290" t="s">
        <v>10</v>
      </c>
      <c r="E5290" s="4" t="str">
        <f>HYPERLINK("https://ibp.a2mac1.com/costing(costing:projects/details/9760/process/12085242)","Cleaning")</f>
        <v>Cleaning</v>
      </c>
      <c r="F5290" t="s">
        <v>5765</v>
      </c>
    </row>
    <row r="5291" spans="1:6" x14ac:dyDescent="0.15">
      <c r="A5291">
        <v>12212337</v>
      </c>
      <c r="B5291">
        <v>12085242</v>
      </c>
      <c r="C5291" t="s">
        <v>163</v>
      </c>
      <c r="D5291" t="s">
        <v>114</v>
      </c>
      <c r="E5291" s="4" t="str">
        <f>HYPERLINK("https://ibp.a2mac1.com/costing(costing:projects/details/9760/equipment/12212337)","No.05 - Cleaning - Batch - 2000x2000x1200 - 500kg/batch - 3000kg/h ")</f>
        <v xml:space="preserve">No.05 - Cleaning - Batch - 2000x2000x1200 - 500kg/batch - 3000kg/h </v>
      </c>
      <c r="F5291" t="s">
        <v>5768</v>
      </c>
    </row>
    <row r="5292" spans="1:6" x14ac:dyDescent="0.15">
      <c r="A5292">
        <v>12085243</v>
      </c>
      <c r="B5292">
        <v>8415882</v>
      </c>
      <c r="C5292" t="s">
        <v>114</v>
      </c>
      <c r="D5292" t="s">
        <v>10</v>
      </c>
      <c r="E5292" s="4" t="str">
        <f>HYPERLINK("https://ibp.a2mac1.com/costing(costing:projects/details/9760/process/12085243)","Packaging")</f>
        <v>Packaging</v>
      </c>
      <c r="F5292" t="s">
        <v>5765</v>
      </c>
    </row>
    <row r="5293" spans="1:6" x14ac:dyDescent="0.15">
      <c r="A5293">
        <v>12212338</v>
      </c>
      <c r="B5293">
        <v>12085243</v>
      </c>
      <c r="C5293" t="s">
        <v>163</v>
      </c>
      <c r="D5293" t="s">
        <v>114</v>
      </c>
      <c r="E5293" s="4" t="str">
        <f>HYPERLINK("https://ibp.a2mac1.com/costing(costing:projects/details/9760/equipment/12212338)","Packaging ")</f>
        <v xml:space="preserve">Packaging </v>
      </c>
      <c r="F5293" t="s">
        <v>5769</v>
      </c>
    </row>
    <row r="5294" spans="1:6" x14ac:dyDescent="0.15">
      <c r="A5294">
        <v>8754399</v>
      </c>
      <c r="B5294">
        <v>8415645</v>
      </c>
      <c r="C5294" t="s">
        <v>311</v>
      </c>
      <c r="D5294" t="s">
        <v>8</v>
      </c>
      <c r="E5294" s="4" t="str">
        <f>HYPERLINK("https://ibp.a2mac1.com/costing(costing:projects/details/9760/component/8754399)","Screw &gt; Hexagon screw with flange")</f>
        <v>Screw &gt; Hexagon screw with flange</v>
      </c>
      <c r="F5294" t="s">
        <v>5725</v>
      </c>
    </row>
    <row r="5295" spans="1:6" x14ac:dyDescent="0.15">
      <c r="A5295">
        <v>8754400</v>
      </c>
      <c r="B5295">
        <v>8415645</v>
      </c>
      <c r="C5295" t="s">
        <v>311</v>
      </c>
      <c r="D5295" t="s">
        <v>8</v>
      </c>
      <c r="E5295" s="4" t="str">
        <f>HYPERLINK("https://ibp.a2mac1.com/costing(costing:projects/details/9760/component/8754400)","Screw &gt; Hexagon screw")</f>
        <v>Screw &gt; Hexagon screw</v>
      </c>
      <c r="F5295" t="s">
        <v>5725</v>
      </c>
    </row>
    <row r="5296" spans="1:6" x14ac:dyDescent="0.15">
      <c r="A5296">
        <v>8754401</v>
      </c>
      <c r="B5296">
        <v>8415645</v>
      </c>
      <c r="C5296" t="s">
        <v>311</v>
      </c>
      <c r="D5296" t="s">
        <v>8</v>
      </c>
      <c r="E5296" s="4" t="str">
        <f>HYPERLINK("https://ibp.a2mac1.com/costing(costing:projects/details/9760/component/8754401)","Rivet &gt; Push-in rivet")</f>
        <v>Rivet &gt; Push-in rivet</v>
      </c>
      <c r="F5296" t="s">
        <v>5725</v>
      </c>
    </row>
    <row r="5297" spans="1:6" x14ac:dyDescent="0.15">
      <c r="A5297">
        <v>8754402</v>
      </c>
      <c r="B5297">
        <v>8415645</v>
      </c>
      <c r="C5297" t="s">
        <v>311</v>
      </c>
      <c r="D5297" t="s">
        <v>8</v>
      </c>
      <c r="E5297" s="4" t="str">
        <f>HYPERLINK("https://ibp.a2mac1.com/costing(costing:projects/details/9760/component/8754402)","Rivet &gt; Push-in rivet")</f>
        <v>Rivet &gt; Push-in rivet</v>
      </c>
      <c r="F5297" t="s">
        <v>5725</v>
      </c>
    </row>
    <row r="5298" spans="1:6" x14ac:dyDescent="0.15">
      <c r="A5298">
        <v>8754403</v>
      </c>
      <c r="B5298">
        <v>8415645</v>
      </c>
      <c r="C5298" t="s">
        <v>311</v>
      </c>
      <c r="D5298" t="s">
        <v>8</v>
      </c>
      <c r="E5298" s="4" t="str">
        <f>HYPERLINK("https://ibp.a2mac1.com/costing(costing:projects/details/9760/component/8754403)","Screw &gt; Hexagon screw with flange")</f>
        <v>Screw &gt; Hexagon screw with flange</v>
      </c>
      <c r="F5298" t="s">
        <v>5725</v>
      </c>
    </row>
    <row r="5299" spans="1:6" x14ac:dyDescent="0.15">
      <c r="A5299">
        <v>8415646</v>
      </c>
      <c r="B5299">
        <v>8415584</v>
      </c>
      <c r="C5299" t="s">
        <v>8</v>
      </c>
      <c r="D5299" t="s">
        <v>8</v>
      </c>
      <c r="E5299" s="4" t="str">
        <f>HYPERLINK("https://ibp.a2mac1.com/costing(costing:projects/details/9760/assembly/8415646)","Weatherstripping")</f>
        <v>Weatherstripping</v>
      </c>
      <c r="F5299" t="s">
        <v>5658</v>
      </c>
    </row>
    <row r="5300" spans="1:6" x14ac:dyDescent="0.15">
      <c r="A5300">
        <v>8415883</v>
      </c>
      <c r="B5300">
        <v>8415646</v>
      </c>
      <c r="C5300" t="s">
        <v>10</v>
      </c>
      <c r="D5300" t="s">
        <v>8</v>
      </c>
      <c r="E5300" s="4" t="str">
        <f>HYPERLINK("https://ibp.a2mac1.com/costing(costing:projects/details/9760/part/8415883)","Seal on Body")</f>
        <v>Seal on Body</v>
      </c>
      <c r="F5300" t="s">
        <v>5772</v>
      </c>
    </row>
    <row r="5301" spans="1:6" x14ac:dyDescent="0.15">
      <c r="A5301">
        <v>12085244</v>
      </c>
      <c r="B5301">
        <v>8415883</v>
      </c>
      <c r="C5301" t="s">
        <v>114</v>
      </c>
      <c r="D5301" t="s">
        <v>10</v>
      </c>
      <c r="E5301" s="4" t="str">
        <f>HYPERLINK("https://ibp.a2mac1.com/costing(costing:projects/details/9760/process/12085244)","Seal Extrusion (Multi Layer)")</f>
        <v>Seal Extrusion (Multi Layer)</v>
      </c>
      <c r="F5301" t="s">
        <v>5773</v>
      </c>
    </row>
    <row r="5302" spans="1:6" x14ac:dyDescent="0.15">
      <c r="A5302">
        <v>8754854</v>
      </c>
      <c r="B5302">
        <v>12085244</v>
      </c>
      <c r="C5302" t="s">
        <v>22</v>
      </c>
      <c r="D5302" t="s">
        <v>114</v>
      </c>
      <c r="E5302" s="4" t="str">
        <f>HYPERLINK("https://ibp.a2mac1.com/costing(costing:projects/details/9760/material/8754854)","EPDM")</f>
        <v>EPDM</v>
      </c>
      <c r="F5302" t="s">
        <v>5776</v>
      </c>
    </row>
    <row r="5303" spans="1:6" x14ac:dyDescent="0.15">
      <c r="A5303">
        <v>8754855</v>
      </c>
      <c r="B5303">
        <v>12085244</v>
      </c>
      <c r="C5303" t="s">
        <v>22</v>
      </c>
      <c r="D5303" t="s">
        <v>114</v>
      </c>
      <c r="E5303" s="4" t="str">
        <f>HYPERLINK("https://ibp.a2mac1.com/costing(costing:projects/details/9760/material/8754855)","Standard Structural Steel sheet")</f>
        <v>Standard Structural Steel sheet</v>
      </c>
      <c r="F5303" t="s">
        <v>5776</v>
      </c>
    </row>
    <row r="5304" spans="1:6" x14ac:dyDescent="0.15">
      <c r="A5304">
        <v>12212339</v>
      </c>
      <c r="B5304">
        <v>12085244</v>
      </c>
      <c r="C5304" t="s">
        <v>163</v>
      </c>
      <c r="D5304" t="s">
        <v>114</v>
      </c>
      <c r="E5304" s="4" t="str">
        <f>HYPERLINK("https://ibp.a2mac1.com/costing(costing:projects/details/9760/equipment/12212339)","Rubber Extrusion machine")</f>
        <v>Rubber Extrusion machine</v>
      </c>
      <c r="F5304" t="s">
        <v>5776</v>
      </c>
    </row>
    <row r="5305" spans="1:6" x14ac:dyDescent="0.15">
      <c r="A5305">
        <v>12085245</v>
      </c>
      <c r="B5305">
        <v>8415883</v>
      </c>
      <c r="C5305" t="s">
        <v>114</v>
      </c>
      <c r="D5305" t="s">
        <v>10</v>
      </c>
      <c r="E5305" s="4" t="str">
        <f>HYPERLINK("https://ibp.a2mac1.com/costing(costing:projects/details/9760/process/12085245)","End Glueing/Vulcanizing, Check and Pack")</f>
        <v>End Glueing/Vulcanizing, Check and Pack</v>
      </c>
      <c r="F5305" t="s">
        <v>5773</v>
      </c>
    </row>
    <row r="5306" spans="1:6" x14ac:dyDescent="0.15">
      <c r="A5306">
        <v>12212340</v>
      </c>
      <c r="B5306">
        <v>12085245</v>
      </c>
      <c r="C5306" t="s">
        <v>163</v>
      </c>
      <c r="D5306" t="s">
        <v>114</v>
      </c>
      <c r="E5306" s="4" t="str">
        <f>HYPERLINK("https://ibp.a2mac1.com/costing(costing:projects/details/9760/equipment/12212340)","Seal welding/joining station, manual")</f>
        <v>Seal welding/joining station, manual</v>
      </c>
      <c r="F5306" t="s">
        <v>5779</v>
      </c>
    </row>
    <row r="5307" spans="1:6" x14ac:dyDescent="0.15">
      <c r="A5307">
        <v>8415647</v>
      </c>
      <c r="B5307">
        <v>8415584</v>
      </c>
      <c r="C5307" t="s">
        <v>8</v>
      </c>
      <c r="D5307" t="s">
        <v>8</v>
      </c>
      <c r="E5307" s="4" t="str">
        <f>HYPERLINK("https://ibp.a2mac1.com/costing(costing:projects/details/9760/assembly/8415647)","Door Mechanism")</f>
        <v>Door Mechanism</v>
      </c>
      <c r="F5307" t="s">
        <v>5658</v>
      </c>
    </row>
    <row r="5308" spans="1:6" x14ac:dyDescent="0.15">
      <c r="A5308">
        <v>8415889</v>
      </c>
      <c r="B5308">
        <v>8415647</v>
      </c>
      <c r="C5308" t="s">
        <v>8</v>
      </c>
      <c r="D5308" t="s">
        <v>8</v>
      </c>
      <c r="E5308" s="4" t="str">
        <f>HYPERLINK("https://ibp.a2mac1.com/costing(costing:projects/details/9760/assembly/8415889)","Electric Opening System")</f>
        <v>Electric Opening System</v>
      </c>
      <c r="F5308" t="s">
        <v>5782</v>
      </c>
    </row>
    <row r="5309" spans="1:6" x14ac:dyDescent="0.15">
      <c r="A5309">
        <v>8416240</v>
      </c>
      <c r="B5309">
        <v>8415889</v>
      </c>
      <c r="C5309" t="s">
        <v>10</v>
      </c>
      <c r="D5309" t="s">
        <v>8</v>
      </c>
      <c r="E5309" s="4" t="str">
        <f>HYPERLINK("https://ibp.a2mac1.com/costing(costing:projects/details/9760/part/8416240)","Closing Switch")</f>
        <v>Closing Switch</v>
      </c>
      <c r="F5309" t="s">
        <v>5783</v>
      </c>
    </row>
    <row r="5310" spans="1:6" x14ac:dyDescent="0.15">
      <c r="A5310">
        <v>8416241</v>
      </c>
      <c r="B5310">
        <v>8415889</v>
      </c>
      <c r="C5310" t="s">
        <v>10</v>
      </c>
      <c r="D5310" t="s">
        <v>8</v>
      </c>
      <c r="E5310" s="4" t="str">
        <f>HYPERLINK("https://ibp.a2mac1.com/costing(costing:projects/details/9760/part/8416241)","Switch Support")</f>
        <v>Switch Support</v>
      </c>
      <c r="F5310" t="s">
        <v>5783</v>
      </c>
    </row>
    <row r="5311" spans="1:6" x14ac:dyDescent="0.15">
      <c r="A5311">
        <v>12085533</v>
      </c>
      <c r="B5311">
        <v>8416241</v>
      </c>
      <c r="C5311" t="s">
        <v>114</v>
      </c>
      <c r="D5311" t="s">
        <v>10</v>
      </c>
      <c r="E5311" s="4" t="str">
        <f>HYPERLINK("https://ibp.a2mac1.com/costing(costing:projects/details/9760/process/12085533)","Injection molding")</f>
        <v>Injection molding</v>
      </c>
      <c r="F5311" t="s">
        <v>5785</v>
      </c>
    </row>
    <row r="5312" spans="1:6" x14ac:dyDescent="0.15">
      <c r="A5312">
        <v>8755260</v>
      </c>
      <c r="B5312">
        <v>12085533</v>
      </c>
      <c r="C5312" t="s">
        <v>22</v>
      </c>
      <c r="D5312" t="s">
        <v>114</v>
      </c>
      <c r="E5312" s="4" t="str">
        <f>HYPERLINK("https://ibp.a2mac1.com/costing(costing:projects/details/9760/material/8755260)","PP-TD20")</f>
        <v>PP-TD20</v>
      </c>
      <c r="F5312" t="s">
        <v>5787</v>
      </c>
    </row>
    <row r="5313" spans="1:6" x14ac:dyDescent="0.15">
      <c r="A5313">
        <v>12212733</v>
      </c>
      <c r="B5313">
        <v>12085533</v>
      </c>
      <c r="C5313" t="s">
        <v>163</v>
      </c>
      <c r="D5313" t="s">
        <v>114</v>
      </c>
      <c r="E5313" s="4" t="str">
        <f>HYPERLINK("https://ibp.a2mac1.com/costing(costing:projects/details/9760/equipment/12212733)","No.03 - Injection Press - 80T - 30kW - 370x370 - Max Volume 260cm3 ")</f>
        <v xml:space="preserve">No.03 - Injection Press - 80T - 30kW - 370x370 - Max Volume 260cm3 </v>
      </c>
      <c r="F5313" t="s">
        <v>5787</v>
      </c>
    </row>
    <row r="5314" spans="1:6" x14ac:dyDescent="0.15">
      <c r="A5314">
        <v>12085534</v>
      </c>
      <c r="B5314">
        <v>8416241</v>
      </c>
      <c r="C5314" t="s">
        <v>114</v>
      </c>
      <c r="D5314" t="s">
        <v>10</v>
      </c>
      <c r="E5314" s="4" t="str">
        <f>HYPERLINK("https://ibp.a2mac1.com/costing(costing:projects/details/9760/process/12085534)","Handling/Visual Inspection/Packaging")</f>
        <v>Handling/Visual Inspection/Packaging</v>
      </c>
      <c r="F5314" t="s">
        <v>5785</v>
      </c>
    </row>
    <row r="5315" spans="1:6" x14ac:dyDescent="0.15">
      <c r="A5315">
        <v>12212734</v>
      </c>
      <c r="B5315">
        <v>12085534</v>
      </c>
      <c r="C5315" t="s">
        <v>163</v>
      </c>
      <c r="D5315" t="s">
        <v>114</v>
      </c>
      <c r="E5315" s="4" t="str">
        <f>HYPERLINK("https://ibp.a2mac1.com/costing(costing:projects/details/9760/equipment/12212734)","Packaging")</f>
        <v>Packaging</v>
      </c>
      <c r="F5315" t="s">
        <v>5789</v>
      </c>
    </row>
    <row r="5316" spans="1:6" x14ac:dyDescent="0.15">
      <c r="A5316">
        <v>8416242</v>
      </c>
      <c r="B5316">
        <v>8415889</v>
      </c>
      <c r="C5316" t="s">
        <v>10</v>
      </c>
      <c r="D5316" t="s">
        <v>8</v>
      </c>
      <c r="E5316" s="4" t="str">
        <f>HYPERLINK("https://ibp.a2mac1.com/costing(costing:projects/details/9760/part/8416242)","Safety Buzzer")</f>
        <v>Safety Buzzer</v>
      </c>
      <c r="F5316" t="s">
        <v>5783</v>
      </c>
    </row>
    <row r="5317" spans="1:6" x14ac:dyDescent="0.15">
      <c r="A5317">
        <v>8754545</v>
      </c>
      <c r="B5317">
        <v>8415889</v>
      </c>
      <c r="C5317" t="s">
        <v>311</v>
      </c>
      <c r="D5317" t="s">
        <v>8</v>
      </c>
      <c r="E5317" s="4" t="str">
        <f>HYPERLINK("https://ibp.a2mac1.com/costing(costing:projects/details/9760/component/8754545)","Nut &gt; Clipping nut for soft materials screw")</f>
        <v>Nut &gt; Clipping nut for soft materials screw</v>
      </c>
      <c r="F5317" t="s">
        <v>5783</v>
      </c>
    </row>
    <row r="5318" spans="1:6" x14ac:dyDescent="0.15">
      <c r="A5318">
        <v>8415884</v>
      </c>
      <c r="B5318">
        <v>8415647</v>
      </c>
      <c r="C5318" t="s">
        <v>10</v>
      </c>
      <c r="D5318" t="s">
        <v>8</v>
      </c>
      <c r="E5318" s="4" t="str">
        <f>HYPERLINK("https://ibp.a2mac1.com/costing(costing:projects/details/9760/part/8415884)","Lock")</f>
        <v>Lock</v>
      </c>
      <c r="F5318" t="s">
        <v>5782</v>
      </c>
    </row>
    <row r="5319" spans="1:6" x14ac:dyDescent="0.15">
      <c r="A5319">
        <v>8415885</v>
      </c>
      <c r="B5319">
        <v>8415647</v>
      </c>
      <c r="C5319" t="s">
        <v>10</v>
      </c>
      <c r="D5319" t="s">
        <v>8</v>
      </c>
      <c r="E5319" s="4" t="str">
        <f>HYPERLINK("https://ibp.a2mac1.com/costing(costing:projects/details/9760/part/8415885)","Lock Bezel")</f>
        <v>Lock Bezel</v>
      </c>
      <c r="F5319" t="s">
        <v>5782</v>
      </c>
    </row>
    <row r="5320" spans="1:6" x14ac:dyDescent="0.15">
      <c r="A5320">
        <v>12085247</v>
      </c>
      <c r="B5320">
        <v>8415885</v>
      </c>
      <c r="C5320" t="s">
        <v>114</v>
      </c>
      <c r="D5320" t="s">
        <v>10</v>
      </c>
      <c r="E5320" s="4" t="str">
        <f>HYPERLINK("https://ibp.a2mac1.com/costing(costing:projects/details/9760/process/12085247)","Injection molding")</f>
        <v>Injection molding</v>
      </c>
      <c r="F5320" t="s">
        <v>5796</v>
      </c>
    </row>
    <row r="5321" spans="1:6" x14ac:dyDescent="0.15">
      <c r="A5321">
        <v>8754856</v>
      </c>
      <c r="B5321">
        <v>12085247</v>
      </c>
      <c r="C5321" t="s">
        <v>22</v>
      </c>
      <c r="D5321" t="s">
        <v>114</v>
      </c>
      <c r="E5321" s="4" t="str">
        <f>HYPERLINK("https://ibp.a2mac1.com/costing(costing:projects/details/9760/material/8754856)","PP-EPDM")</f>
        <v>PP-EPDM</v>
      </c>
      <c r="F5321" t="s">
        <v>5797</v>
      </c>
    </row>
    <row r="5322" spans="1:6" x14ac:dyDescent="0.15">
      <c r="A5322">
        <v>12212342</v>
      </c>
      <c r="B5322">
        <v>12085247</v>
      </c>
      <c r="C5322" t="s">
        <v>163</v>
      </c>
      <c r="D5322" t="s">
        <v>114</v>
      </c>
      <c r="E5322" s="4" t="str">
        <f>HYPERLINK("https://ibp.a2mac1.com/costing(costing:projects/details/9760/equipment/12212342)","No.03 - Injection Press - 80T - 30kW - 370x370 - Max Volume 260cm3 ")</f>
        <v xml:space="preserve">No.03 - Injection Press - 80T - 30kW - 370x370 - Max Volume 260cm3 </v>
      </c>
      <c r="F5322" t="s">
        <v>5797</v>
      </c>
    </row>
    <row r="5323" spans="1:6" x14ac:dyDescent="0.15">
      <c r="A5323">
        <v>12085246</v>
      </c>
      <c r="B5323">
        <v>8415885</v>
      </c>
      <c r="C5323" t="s">
        <v>114</v>
      </c>
      <c r="D5323" t="s">
        <v>10</v>
      </c>
      <c r="E5323" s="4" t="str">
        <f>HYPERLINK("https://ibp.a2mac1.com/costing(costing:projects/details/9760/process/12085246)","Handling/Visual Inspection/Packaging")</f>
        <v>Handling/Visual Inspection/Packaging</v>
      </c>
      <c r="F5323" t="s">
        <v>5796</v>
      </c>
    </row>
    <row r="5324" spans="1:6" x14ac:dyDescent="0.15">
      <c r="A5324">
        <v>12212341</v>
      </c>
      <c r="B5324">
        <v>12085246</v>
      </c>
      <c r="C5324" t="s">
        <v>163</v>
      </c>
      <c r="D5324" t="s">
        <v>114</v>
      </c>
      <c r="E5324" s="4" t="str">
        <f>HYPERLINK("https://ibp.a2mac1.com/costing(costing:projects/details/9760/equipment/12212341)","Packaging")</f>
        <v>Packaging</v>
      </c>
      <c r="F5324" t="s">
        <v>5799</v>
      </c>
    </row>
    <row r="5325" spans="1:6" x14ac:dyDescent="0.15">
      <c r="A5325">
        <v>8415886</v>
      </c>
      <c r="B5325">
        <v>8415647</v>
      </c>
      <c r="C5325" t="s">
        <v>10</v>
      </c>
      <c r="D5325" t="s">
        <v>8</v>
      </c>
      <c r="E5325" s="4" t="str">
        <f>HYPERLINK("https://ibp.a2mac1.com/costing(costing:projects/details/9760/part/8415886)","Exterior Handle")</f>
        <v>Exterior Handle</v>
      </c>
      <c r="F5325" t="s">
        <v>5782</v>
      </c>
    </row>
    <row r="5326" spans="1:6" x14ac:dyDescent="0.15">
      <c r="A5326">
        <v>8415887</v>
      </c>
      <c r="B5326">
        <v>8415647</v>
      </c>
      <c r="C5326" t="s">
        <v>10</v>
      </c>
      <c r="D5326" t="s">
        <v>8</v>
      </c>
      <c r="E5326" s="4" t="str">
        <f>HYPERLINK("https://ibp.a2mac1.com/costing(costing:projects/details/9760/part/8415887)","Anchor")</f>
        <v>Anchor</v>
      </c>
      <c r="F5326" t="s">
        <v>5782</v>
      </c>
    </row>
    <row r="5327" spans="1:6" x14ac:dyDescent="0.15">
      <c r="A5327">
        <v>12085250</v>
      </c>
      <c r="B5327">
        <v>8415887</v>
      </c>
      <c r="C5327" t="s">
        <v>114</v>
      </c>
      <c r="D5327" t="s">
        <v>10</v>
      </c>
      <c r="E5327" s="4" t="str">
        <f>HYPERLINK("https://ibp.a2mac1.com/costing(costing:projects/details/9760/process/12085250)","Stamping ")</f>
        <v xml:space="preserve">Stamping </v>
      </c>
      <c r="F5327" t="s">
        <v>5802</v>
      </c>
    </row>
    <row r="5328" spans="1:6" x14ac:dyDescent="0.15">
      <c r="A5328">
        <v>8754857</v>
      </c>
      <c r="B5328">
        <v>12085250</v>
      </c>
      <c r="C5328" t="s">
        <v>22</v>
      </c>
      <c r="D5328" t="s">
        <v>114</v>
      </c>
      <c r="E5328" s="4" t="str">
        <f>HYPERLINK("https://ibp.a2mac1.com/costing(costing:projects/details/9760/material/8754857)","Standard Structural Steel sheet")</f>
        <v>Standard Structural Steel sheet</v>
      </c>
      <c r="F5328" t="s">
        <v>5804</v>
      </c>
    </row>
    <row r="5329" spans="1:6" x14ac:dyDescent="0.15">
      <c r="A5329">
        <v>12212345</v>
      </c>
      <c r="B5329">
        <v>12085250</v>
      </c>
      <c r="C5329" t="s">
        <v>163</v>
      </c>
      <c r="D5329" t="s">
        <v>114</v>
      </c>
      <c r="E5329" s="4" t="str">
        <f>HYPERLINK("https://ibp.a2mac1.com/costing(costing:projects/details/9760/equipment/12212345)","Equipment (Stamping)")</f>
        <v>Equipment (Stamping)</v>
      </c>
      <c r="F5329" t="s">
        <v>5804</v>
      </c>
    </row>
    <row r="5330" spans="1:6" x14ac:dyDescent="0.15">
      <c r="A5330">
        <v>12085249</v>
      </c>
      <c r="B5330">
        <v>8415887</v>
      </c>
      <c r="C5330" t="s">
        <v>114</v>
      </c>
      <c r="D5330" t="s">
        <v>10</v>
      </c>
      <c r="E5330" s="4" t="str">
        <f>HYPERLINK("https://ibp.a2mac1.com/costing(costing:projects/details/9760/process/12085249)","Wire Bending")</f>
        <v>Wire Bending</v>
      </c>
      <c r="F5330" t="s">
        <v>5802</v>
      </c>
    </row>
    <row r="5331" spans="1:6" x14ac:dyDescent="0.15">
      <c r="A5331">
        <v>12212344</v>
      </c>
      <c r="B5331">
        <v>12085249</v>
      </c>
      <c r="C5331" t="s">
        <v>163</v>
      </c>
      <c r="D5331" t="s">
        <v>114</v>
      </c>
      <c r="E5331" s="4" t="str">
        <f>HYPERLINK("https://ibp.a2mac1.com/costing(costing:projects/details/9760/equipment/12212344)","No.01 - Generic CN Wire Bending ")</f>
        <v xml:space="preserve">No.01 - Generic CN Wire Bending </v>
      </c>
      <c r="F5331" t="s">
        <v>5805</v>
      </c>
    </row>
    <row r="5332" spans="1:6" x14ac:dyDescent="0.15">
      <c r="A5332">
        <v>12085248</v>
      </c>
      <c r="B5332">
        <v>8415887</v>
      </c>
      <c r="C5332" t="s">
        <v>114</v>
      </c>
      <c r="D5332" t="s">
        <v>10</v>
      </c>
      <c r="E5332" s="4" t="str">
        <f>HYPERLINK("https://ibp.a2mac1.com/costing(costing:projects/details/9760/process/12085248)","Press fit")</f>
        <v>Press fit</v>
      </c>
      <c r="F5332" t="s">
        <v>5802</v>
      </c>
    </row>
    <row r="5333" spans="1:6" x14ac:dyDescent="0.15">
      <c r="A5333">
        <v>12212343</v>
      </c>
      <c r="B5333">
        <v>12085248</v>
      </c>
      <c r="C5333" t="s">
        <v>163</v>
      </c>
      <c r="D5333" t="s">
        <v>114</v>
      </c>
      <c r="E5333" s="4" t="str">
        <f>HYPERLINK("https://ibp.a2mac1.com/costing(costing:projects/details/9760/equipment/12212343)","No.04 - Press Fit Assembly ")</f>
        <v xml:space="preserve">No.04 - Press Fit Assembly </v>
      </c>
      <c r="F5333" t="s">
        <v>5806</v>
      </c>
    </row>
    <row r="5334" spans="1:6" x14ac:dyDescent="0.15">
      <c r="A5334">
        <v>8415888</v>
      </c>
      <c r="B5334">
        <v>8415647</v>
      </c>
      <c r="C5334" t="s">
        <v>10</v>
      </c>
      <c r="D5334" t="s">
        <v>8</v>
      </c>
      <c r="E5334" s="4" t="str">
        <f>HYPERLINK("https://ibp.a2mac1.com/costing(costing:projects/details/9760/part/8415888)","Access Trap")</f>
        <v>Access Trap</v>
      </c>
      <c r="F5334" t="s">
        <v>5782</v>
      </c>
    </row>
    <row r="5335" spans="1:6" x14ac:dyDescent="0.15">
      <c r="A5335">
        <v>12085251</v>
      </c>
      <c r="B5335">
        <v>8415888</v>
      </c>
      <c r="C5335" t="s">
        <v>114</v>
      </c>
      <c r="D5335" t="s">
        <v>10</v>
      </c>
      <c r="E5335" s="4" t="str">
        <f>HYPERLINK("https://ibp.a2mac1.com/costing(costing:projects/details/9760/process/12085251)","Injection molding")</f>
        <v>Injection molding</v>
      </c>
      <c r="F5335" t="s">
        <v>5808</v>
      </c>
    </row>
    <row r="5336" spans="1:6" x14ac:dyDescent="0.15">
      <c r="A5336">
        <v>8754858</v>
      </c>
      <c r="B5336">
        <v>12085251</v>
      </c>
      <c r="C5336" t="s">
        <v>22</v>
      </c>
      <c r="D5336" t="s">
        <v>114</v>
      </c>
      <c r="E5336" s="4" t="str">
        <f>HYPERLINK("https://ibp.a2mac1.com/costing(costing:projects/details/9760/material/8754858)","PP-TD20")</f>
        <v>PP-TD20</v>
      </c>
      <c r="F5336" t="s">
        <v>5810</v>
      </c>
    </row>
    <row r="5337" spans="1:6" x14ac:dyDescent="0.15">
      <c r="A5337">
        <v>12212346</v>
      </c>
      <c r="B5337">
        <v>12085251</v>
      </c>
      <c r="C5337" t="s">
        <v>163</v>
      </c>
      <c r="D5337" t="s">
        <v>114</v>
      </c>
      <c r="E5337" s="4" t="str">
        <f>HYPERLINK("https://ibp.a2mac1.com/costing(costing:projects/details/9760/equipment/12212346)","No.01 - Injection Press - 40T - 18kW - 270x270 - Max Volume 128cm3 ")</f>
        <v xml:space="preserve">No.01 - Injection Press - 40T - 18kW - 270x270 - Max Volume 128cm3 </v>
      </c>
      <c r="F5337" t="s">
        <v>5810</v>
      </c>
    </row>
    <row r="5338" spans="1:6" x14ac:dyDescent="0.15">
      <c r="A5338">
        <v>8754404</v>
      </c>
      <c r="B5338">
        <v>8415647</v>
      </c>
      <c r="C5338" t="s">
        <v>311</v>
      </c>
      <c r="D5338" t="s">
        <v>8</v>
      </c>
      <c r="E5338" s="4" t="str">
        <f>HYPERLINK("https://ibp.a2mac1.com/costing(costing:projects/details/9760/component/8754404)","Screw &gt; Torx socket head cap screw")</f>
        <v>Screw &gt; Torx socket head cap screw</v>
      </c>
      <c r="F5338" t="s">
        <v>5782</v>
      </c>
    </row>
    <row r="5339" spans="1:6" x14ac:dyDescent="0.15">
      <c r="A5339">
        <v>8754405</v>
      </c>
      <c r="B5339">
        <v>8415647</v>
      </c>
      <c r="C5339" t="s">
        <v>311</v>
      </c>
      <c r="D5339" t="s">
        <v>8</v>
      </c>
      <c r="E5339" s="4" t="str">
        <f>HYPERLINK("https://ibp.a2mac1.com/costing(costing:projects/details/9760/component/8754405)","Screw &gt; Hexagon screw with flange")</f>
        <v>Screw &gt; Hexagon screw with flange</v>
      </c>
      <c r="F5339" t="s">
        <v>5782</v>
      </c>
    </row>
    <row r="5340" spans="1:6" x14ac:dyDescent="0.15">
      <c r="A5340">
        <v>8415648</v>
      </c>
      <c r="B5340">
        <v>8415584</v>
      </c>
      <c r="C5340" t="s">
        <v>8</v>
      </c>
      <c r="D5340" t="s">
        <v>8</v>
      </c>
      <c r="E5340" s="4" t="str">
        <f>HYPERLINK("https://ibp.a2mac1.com/costing(costing:projects/details/9760/assembly/8415648)","Strut System")</f>
        <v>Strut System</v>
      </c>
      <c r="F5340" t="s">
        <v>5658</v>
      </c>
    </row>
    <row r="5341" spans="1:6" x14ac:dyDescent="0.15">
      <c r="A5341">
        <v>8415890</v>
      </c>
      <c r="B5341">
        <v>8415648</v>
      </c>
      <c r="C5341" t="s">
        <v>10</v>
      </c>
      <c r="D5341" t="s">
        <v>8</v>
      </c>
      <c r="E5341" s="4" t="str">
        <f>HYPERLINK("https://ibp.a2mac1.com/costing(costing:projects/details/9760/part/8415890)","Strut left and right if identical")</f>
        <v>Strut left and right if identical</v>
      </c>
      <c r="F5341" t="s">
        <v>5814</v>
      </c>
    </row>
    <row r="5342" spans="1:6" x14ac:dyDescent="0.15">
      <c r="A5342">
        <v>8415891</v>
      </c>
      <c r="B5342">
        <v>8415648</v>
      </c>
      <c r="C5342" t="s">
        <v>10</v>
      </c>
      <c r="D5342" t="s">
        <v>8</v>
      </c>
      <c r="E5342" s="4" t="str">
        <f>HYPERLINK("https://ibp.a2mac1.com/costing(costing:projects/details/9760/part/8415891)","Strut Right")</f>
        <v>Strut Right</v>
      </c>
      <c r="F5342" t="s">
        <v>5814</v>
      </c>
    </row>
    <row r="5343" spans="1:6" x14ac:dyDescent="0.15">
      <c r="A5343">
        <v>8415892</v>
      </c>
      <c r="B5343">
        <v>8415648</v>
      </c>
      <c r="C5343" t="s">
        <v>10</v>
      </c>
      <c r="D5343" t="s">
        <v>8</v>
      </c>
      <c r="E5343" s="4" t="str">
        <f>HYPERLINK("https://ibp.a2mac1.com/costing(costing:projects/details/9760/part/8415892)","Attachment on Body")</f>
        <v>Attachment on Body</v>
      </c>
      <c r="F5343" t="s">
        <v>5814</v>
      </c>
    </row>
    <row r="5344" spans="1:6" x14ac:dyDescent="0.15">
      <c r="A5344">
        <v>8754406</v>
      </c>
      <c r="B5344">
        <v>8415648</v>
      </c>
      <c r="C5344" t="s">
        <v>311</v>
      </c>
      <c r="D5344" t="s">
        <v>8</v>
      </c>
      <c r="E5344" s="4" t="str">
        <f>HYPERLINK("https://ibp.a2mac1.com/costing(costing:projects/details/9760/component/8754406)","Pin clip &gt; Axle pin")</f>
        <v>Pin clip &gt; Axle pin</v>
      </c>
      <c r="F5344" t="s">
        <v>5814</v>
      </c>
    </row>
    <row r="5345" spans="1:6" x14ac:dyDescent="0.15">
      <c r="A5345">
        <v>8415649</v>
      </c>
      <c r="B5345">
        <v>8415584</v>
      </c>
      <c r="C5345" t="s">
        <v>8</v>
      </c>
      <c r="D5345" t="s">
        <v>8</v>
      </c>
      <c r="E5345" s="4" t="str">
        <f>HYPERLINK("https://ibp.a2mac1.com/costing(costing:projects/details/9760/assembly/8415649)","Stoppers   Guides")</f>
        <v>Stoppers   Guides</v>
      </c>
      <c r="F5345" t="s">
        <v>5658</v>
      </c>
    </row>
    <row r="5346" spans="1:6" x14ac:dyDescent="0.15">
      <c r="A5346">
        <v>8415893</v>
      </c>
      <c r="B5346">
        <v>8415649</v>
      </c>
      <c r="C5346" t="s">
        <v>10</v>
      </c>
      <c r="D5346" t="s">
        <v>8</v>
      </c>
      <c r="E5346" s="4" t="str">
        <f>HYPERLINK("https://ibp.a2mac1.com/costing(costing:projects/details/9760/part/8415893)","Stoppers on Body")</f>
        <v>Stoppers on Body</v>
      </c>
      <c r="F5346" t="s">
        <v>5821</v>
      </c>
    </row>
    <row r="5347" spans="1:6" x14ac:dyDescent="0.15">
      <c r="A5347">
        <v>12085252</v>
      </c>
      <c r="B5347">
        <v>8415893</v>
      </c>
      <c r="C5347" t="s">
        <v>114</v>
      </c>
      <c r="D5347" t="s">
        <v>10</v>
      </c>
      <c r="E5347" s="4" t="str">
        <f>HYPERLINK("https://ibp.a2mac1.com/costing(costing:projects/details/9760/process/12085252)","Injection molding")</f>
        <v>Injection molding</v>
      </c>
      <c r="F5347" t="s">
        <v>5822</v>
      </c>
    </row>
    <row r="5348" spans="1:6" x14ac:dyDescent="0.15">
      <c r="A5348">
        <v>8754859</v>
      </c>
      <c r="B5348">
        <v>12085252</v>
      </c>
      <c r="C5348" t="s">
        <v>22</v>
      </c>
      <c r="D5348" t="s">
        <v>114</v>
      </c>
      <c r="E5348" s="4" t="str">
        <f>HYPERLINK("https://ibp.a2mac1.com/costing(costing:projects/details/9760/material/8754859)","POM")</f>
        <v>POM</v>
      </c>
      <c r="F5348" t="s">
        <v>5823</v>
      </c>
    </row>
    <row r="5349" spans="1:6" x14ac:dyDescent="0.15">
      <c r="A5349">
        <v>12212347</v>
      </c>
      <c r="B5349">
        <v>12085252</v>
      </c>
      <c r="C5349" t="s">
        <v>163</v>
      </c>
      <c r="D5349" t="s">
        <v>114</v>
      </c>
      <c r="E5349" s="4" t="str">
        <f>HYPERLINK("https://ibp.a2mac1.com/costing(costing:projects/details/9760/equipment/12212347)","Equipment (Injection Molding)")</f>
        <v>Equipment (Injection Molding)</v>
      </c>
      <c r="F5349" t="s">
        <v>5823</v>
      </c>
    </row>
    <row r="5350" spans="1:6" x14ac:dyDescent="0.15">
      <c r="A5350">
        <v>8415894</v>
      </c>
      <c r="B5350">
        <v>8415649</v>
      </c>
      <c r="C5350" t="s">
        <v>10</v>
      </c>
      <c r="D5350" t="s">
        <v>8</v>
      </c>
      <c r="E5350" s="4" t="str">
        <f>HYPERLINK("https://ibp.a2mac1.com/costing(costing:projects/details/9760/part/8415894)","Stopper on Trunk")</f>
        <v>Stopper on Trunk</v>
      </c>
      <c r="F5350" t="s">
        <v>5821</v>
      </c>
    </row>
    <row r="5351" spans="1:6" x14ac:dyDescent="0.15">
      <c r="A5351">
        <v>12085253</v>
      </c>
      <c r="B5351">
        <v>8415894</v>
      </c>
      <c r="C5351" t="s">
        <v>114</v>
      </c>
      <c r="D5351" t="s">
        <v>10</v>
      </c>
      <c r="E5351" s="4" t="str">
        <f>HYPERLINK("https://ibp.a2mac1.com/costing(costing:projects/details/9760/process/12085253)","Injection molding")</f>
        <v>Injection molding</v>
      </c>
      <c r="F5351" t="s">
        <v>5825</v>
      </c>
    </row>
    <row r="5352" spans="1:6" x14ac:dyDescent="0.15">
      <c r="A5352">
        <v>8754860</v>
      </c>
      <c r="B5352">
        <v>12085253</v>
      </c>
      <c r="C5352" t="s">
        <v>22</v>
      </c>
      <c r="D5352" t="s">
        <v>114</v>
      </c>
      <c r="E5352" s="4" t="str">
        <f>HYPERLINK("https://ibp.a2mac1.com/costing(costing:projects/details/9760/material/8754860)","TPE")</f>
        <v>TPE</v>
      </c>
      <c r="F5352" t="s">
        <v>5826</v>
      </c>
    </row>
    <row r="5353" spans="1:6" x14ac:dyDescent="0.15">
      <c r="A5353">
        <v>12212348</v>
      </c>
      <c r="B5353">
        <v>12085253</v>
      </c>
      <c r="C5353" t="s">
        <v>163</v>
      </c>
      <c r="D5353" t="s">
        <v>114</v>
      </c>
      <c r="E5353" s="4" t="str">
        <f>HYPERLINK("https://ibp.a2mac1.com/costing(costing:projects/details/9760/equipment/12212348)","Equipment (Injection Molding)")</f>
        <v>Equipment (Injection Molding)</v>
      </c>
      <c r="F5353" t="s">
        <v>5826</v>
      </c>
    </row>
    <row r="5354" spans="1:6" x14ac:dyDescent="0.15">
      <c r="A5354">
        <v>8415895</v>
      </c>
      <c r="B5354">
        <v>8415649</v>
      </c>
      <c r="C5354" t="s">
        <v>10</v>
      </c>
      <c r="D5354" t="s">
        <v>8</v>
      </c>
      <c r="E5354" s="4" t="str">
        <f>HYPERLINK("https://ibp.a2mac1.com/costing(costing:projects/details/9760/part/8415895)","Adjustable Stopper on Trunk")</f>
        <v>Adjustable Stopper on Trunk</v>
      </c>
      <c r="F5354" t="s">
        <v>5821</v>
      </c>
    </row>
    <row r="5355" spans="1:6" x14ac:dyDescent="0.15">
      <c r="A5355">
        <v>12085254</v>
      </c>
      <c r="B5355">
        <v>8415895</v>
      </c>
      <c r="C5355" t="s">
        <v>114</v>
      </c>
      <c r="D5355" t="s">
        <v>10</v>
      </c>
      <c r="E5355" s="4" t="str">
        <f>HYPERLINK("https://ibp.a2mac1.com/costing(costing:projects/details/9760/process/12085254)","Injection molding")</f>
        <v>Injection molding</v>
      </c>
      <c r="F5355" t="s">
        <v>5829</v>
      </c>
    </row>
    <row r="5356" spans="1:6" x14ac:dyDescent="0.15">
      <c r="A5356">
        <v>8754861</v>
      </c>
      <c r="B5356">
        <v>12085254</v>
      </c>
      <c r="C5356" t="s">
        <v>22</v>
      </c>
      <c r="D5356" t="s">
        <v>114</v>
      </c>
      <c r="E5356" s="4" t="str">
        <f>HYPERLINK("https://ibp.a2mac1.com/costing(costing:projects/details/9760/material/8754861)","TPE")</f>
        <v>TPE</v>
      </c>
      <c r="F5356" t="s">
        <v>5830</v>
      </c>
    </row>
    <row r="5357" spans="1:6" x14ac:dyDescent="0.15">
      <c r="A5357">
        <v>12212349</v>
      </c>
      <c r="B5357">
        <v>12085254</v>
      </c>
      <c r="C5357" t="s">
        <v>163</v>
      </c>
      <c r="D5357" t="s">
        <v>114</v>
      </c>
      <c r="E5357" s="4" t="str">
        <f>HYPERLINK("https://ibp.a2mac1.com/costing(costing:projects/details/9760/equipment/12212349)","Equipment (Injection Molding)")</f>
        <v>Equipment (Injection Molding)</v>
      </c>
      <c r="F5357" t="s">
        <v>5830</v>
      </c>
    </row>
    <row r="5358" spans="1:6" x14ac:dyDescent="0.15">
      <c r="A5358">
        <v>8415896</v>
      </c>
      <c r="B5358">
        <v>8415649</v>
      </c>
      <c r="C5358" t="s">
        <v>10</v>
      </c>
      <c r="D5358" t="s">
        <v>8</v>
      </c>
      <c r="E5358" s="4" t="str">
        <f>HYPERLINK("https://ibp.a2mac1.com/costing(costing:projects/details/9760/part/8415896)","Stopper Support On Trunk")</f>
        <v>Stopper Support On Trunk</v>
      </c>
      <c r="F5358" t="s">
        <v>5821</v>
      </c>
    </row>
    <row r="5359" spans="1:6" x14ac:dyDescent="0.15">
      <c r="A5359">
        <v>12085255</v>
      </c>
      <c r="B5359">
        <v>8415896</v>
      </c>
      <c r="C5359" t="s">
        <v>114</v>
      </c>
      <c r="D5359" t="s">
        <v>10</v>
      </c>
      <c r="E5359" s="4" t="str">
        <f>HYPERLINK("https://ibp.a2mac1.com/costing(costing:projects/details/9760/process/12085255)","Injection molding")</f>
        <v>Injection molding</v>
      </c>
      <c r="F5359" t="s">
        <v>5832</v>
      </c>
    </row>
    <row r="5360" spans="1:6" x14ac:dyDescent="0.15">
      <c r="A5360">
        <v>8754862</v>
      </c>
      <c r="B5360">
        <v>12085255</v>
      </c>
      <c r="C5360" t="s">
        <v>22</v>
      </c>
      <c r="D5360" t="s">
        <v>114</v>
      </c>
      <c r="E5360" s="4" t="str">
        <f>HYPERLINK("https://ibp.a2mac1.com/costing(costing:projects/details/9760/material/8754862)","PA")</f>
        <v>PA</v>
      </c>
      <c r="F5360" t="s">
        <v>5834</v>
      </c>
    </row>
    <row r="5361" spans="1:6" x14ac:dyDescent="0.15">
      <c r="A5361">
        <v>12212350</v>
      </c>
      <c r="B5361">
        <v>12085255</v>
      </c>
      <c r="C5361" t="s">
        <v>163</v>
      </c>
      <c r="D5361" t="s">
        <v>114</v>
      </c>
      <c r="E5361" s="4" t="str">
        <f>HYPERLINK("https://ibp.a2mac1.com/costing(costing:projects/details/9760/equipment/12212350)","Equipment (Injection Molding)")</f>
        <v>Equipment (Injection Molding)</v>
      </c>
      <c r="F5361" t="s">
        <v>5834</v>
      </c>
    </row>
    <row r="5362" spans="1:6" x14ac:dyDescent="0.15">
      <c r="A5362">
        <v>8754407</v>
      </c>
      <c r="B5362">
        <v>8415649</v>
      </c>
      <c r="C5362" t="s">
        <v>311</v>
      </c>
      <c r="D5362" t="s">
        <v>8</v>
      </c>
      <c r="E5362" s="4" t="str">
        <f>HYPERLINK("https://ibp.a2mac1.com/costing(costing:projects/details/9760/component/8754407)","Screw &gt; Torx socket head cap screw")</f>
        <v>Screw &gt; Torx socket head cap screw</v>
      </c>
      <c r="F5362" t="s">
        <v>5821</v>
      </c>
    </row>
    <row r="5363" spans="1:6" x14ac:dyDescent="0.15">
      <c r="A5363">
        <v>8754408</v>
      </c>
      <c r="B5363">
        <v>8415649</v>
      </c>
      <c r="C5363" t="s">
        <v>311</v>
      </c>
      <c r="D5363" t="s">
        <v>8</v>
      </c>
      <c r="E5363" s="4" t="str">
        <f>HYPERLINK("https://ibp.a2mac1.com/costing(costing:projects/details/9760/component/8754408)","Screw &gt; Torx socket head cap screw")</f>
        <v>Screw &gt; Torx socket head cap screw</v>
      </c>
      <c r="F5363" t="s">
        <v>5821</v>
      </c>
    </row>
    <row r="5364" spans="1:6" x14ac:dyDescent="0.15">
      <c r="A5364">
        <v>8415650</v>
      </c>
      <c r="B5364">
        <v>8415584</v>
      </c>
      <c r="C5364" t="s">
        <v>8</v>
      </c>
      <c r="D5364" t="s">
        <v>8</v>
      </c>
      <c r="E5364" s="4" t="str">
        <f>HYPERLINK("https://ibp.a2mac1.com/costing(costing:projects/details/9760/assembly/8415650)","Spoiler")</f>
        <v>Spoiler</v>
      </c>
      <c r="F5364" t="s">
        <v>5658</v>
      </c>
    </row>
    <row r="5365" spans="1:6" x14ac:dyDescent="0.15">
      <c r="A5365">
        <v>8415901</v>
      </c>
      <c r="B5365">
        <v>8415650</v>
      </c>
      <c r="C5365" t="s">
        <v>8</v>
      </c>
      <c r="D5365" t="s">
        <v>8</v>
      </c>
      <c r="E5365" s="4" t="str">
        <f>HYPERLINK("https://ibp.a2mac1.com/costing(costing:projects/details/9760/assembly/8415901)","Hinge")</f>
        <v>Hinge</v>
      </c>
      <c r="F5365" t="s">
        <v>5837</v>
      </c>
    </row>
    <row r="5366" spans="1:6" x14ac:dyDescent="0.15">
      <c r="A5366">
        <v>8416243</v>
      </c>
      <c r="B5366">
        <v>8415901</v>
      </c>
      <c r="C5366" t="s">
        <v>10</v>
      </c>
      <c r="D5366" t="s">
        <v>8</v>
      </c>
      <c r="E5366" s="4" t="str">
        <f>HYPERLINK("https://ibp.a2mac1.com/costing(costing:projects/details/9760/part/8416243)","Part 1")</f>
        <v>Part 1</v>
      </c>
      <c r="F5366" t="s">
        <v>5838</v>
      </c>
    </row>
    <row r="5367" spans="1:6" x14ac:dyDescent="0.15">
      <c r="A5367">
        <v>12085535</v>
      </c>
      <c r="B5367">
        <v>8416243</v>
      </c>
      <c r="C5367" t="s">
        <v>114</v>
      </c>
      <c r="D5367" t="s">
        <v>10</v>
      </c>
      <c r="E5367" s="4" t="str">
        <f>HYPERLINK("https://ibp.a2mac1.com/costing(costing:projects/details/9760/process/12085535)","Stamping")</f>
        <v>Stamping</v>
      </c>
      <c r="F5367" t="s">
        <v>5839</v>
      </c>
    </row>
    <row r="5368" spans="1:6" x14ac:dyDescent="0.15">
      <c r="A5368">
        <v>8755261</v>
      </c>
      <c r="B5368">
        <v>12085535</v>
      </c>
      <c r="C5368" t="s">
        <v>22</v>
      </c>
      <c r="D5368" t="s">
        <v>114</v>
      </c>
      <c r="E5368" s="4" t="str">
        <f>HYPERLINK("https://ibp.a2mac1.com/costing(costing:projects/details/9760/material/8755261)","Standard Structural Steel sheet")</f>
        <v>Standard Structural Steel sheet</v>
      </c>
      <c r="F5368" t="s">
        <v>5841</v>
      </c>
    </row>
    <row r="5369" spans="1:6" x14ac:dyDescent="0.15">
      <c r="A5369">
        <v>12212735</v>
      </c>
      <c r="B5369">
        <v>12085535</v>
      </c>
      <c r="C5369" t="s">
        <v>163</v>
      </c>
      <c r="D5369" t="s">
        <v>114</v>
      </c>
      <c r="E5369" s="4" t="str">
        <f>HYPERLINK("https://ibp.a2mac1.com/costing(costing:projects/details/9760/equipment/12212735)","Stamping Equipment")</f>
        <v>Stamping Equipment</v>
      </c>
      <c r="F5369" t="s">
        <v>5841</v>
      </c>
    </row>
    <row r="5370" spans="1:6" x14ac:dyDescent="0.15">
      <c r="A5370">
        <v>8416244</v>
      </c>
      <c r="B5370">
        <v>8415901</v>
      </c>
      <c r="C5370" t="s">
        <v>10</v>
      </c>
      <c r="D5370" t="s">
        <v>8</v>
      </c>
      <c r="E5370" s="4" t="str">
        <f>HYPERLINK("https://ibp.a2mac1.com/costing(costing:projects/details/9760/part/8416244)","Part 2")</f>
        <v>Part 2</v>
      </c>
      <c r="F5370" t="s">
        <v>5838</v>
      </c>
    </row>
    <row r="5371" spans="1:6" x14ac:dyDescent="0.15">
      <c r="A5371">
        <v>12085536</v>
      </c>
      <c r="B5371">
        <v>8416244</v>
      </c>
      <c r="C5371" t="s">
        <v>114</v>
      </c>
      <c r="D5371" t="s">
        <v>10</v>
      </c>
      <c r="E5371" s="4" t="str">
        <f>HYPERLINK("https://ibp.a2mac1.com/costing(costing:projects/details/9760/process/12085536)","Stamping")</f>
        <v>Stamping</v>
      </c>
      <c r="F5371" t="s">
        <v>5843</v>
      </c>
    </row>
    <row r="5372" spans="1:6" x14ac:dyDescent="0.15">
      <c r="A5372">
        <v>8755262</v>
      </c>
      <c r="B5372">
        <v>12085536</v>
      </c>
      <c r="C5372" t="s">
        <v>22</v>
      </c>
      <c r="D5372" t="s">
        <v>114</v>
      </c>
      <c r="E5372" s="4" t="str">
        <f>HYPERLINK("https://ibp.a2mac1.com/costing(costing:projects/details/9760/material/8755262)","Standard Structural Steel sheet")</f>
        <v>Standard Structural Steel sheet</v>
      </c>
      <c r="F5372" t="s">
        <v>5846</v>
      </c>
    </row>
    <row r="5373" spans="1:6" x14ac:dyDescent="0.15">
      <c r="A5373">
        <v>12212736</v>
      </c>
      <c r="B5373">
        <v>12085536</v>
      </c>
      <c r="C5373" t="s">
        <v>163</v>
      </c>
      <c r="D5373" t="s">
        <v>114</v>
      </c>
      <c r="E5373" s="4" t="str">
        <f>HYPERLINK("https://ibp.a2mac1.com/costing(costing:projects/details/9760/equipment/12212736)","Stamping Equipment")</f>
        <v>Stamping Equipment</v>
      </c>
      <c r="F5373" t="s">
        <v>5846</v>
      </c>
    </row>
    <row r="5374" spans="1:6" x14ac:dyDescent="0.15">
      <c r="A5374">
        <v>8416245</v>
      </c>
      <c r="B5374">
        <v>8415901</v>
      </c>
      <c r="C5374" t="s">
        <v>10</v>
      </c>
      <c r="D5374" t="s">
        <v>8</v>
      </c>
      <c r="E5374" s="4" t="str">
        <f>HYPERLINK("https://ibp.a2mac1.com/costing(costing:projects/details/9760/part/8416245)","Part 3")</f>
        <v>Part 3</v>
      </c>
      <c r="F5374" t="s">
        <v>5838</v>
      </c>
    </row>
    <row r="5375" spans="1:6" x14ac:dyDescent="0.15">
      <c r="A5375">
        <v>12085537</v>
      </c>
      <c r="B5375">
        <v>8416245</v>
      </c>
      <c r="C5375" t="s">
        <v>114</v>
      </c>
      <c r="D5375" t="s">
        <v>10</v>
      </c>
      <c r="E5375" s="4" t="str">
        <f>HYPERLINK("https://ibp.a2mac1.com/costing(costing:projects/details/9760/process/12085537)","Stamping")</f>
        <v>Stamping</v>
      </c>
      <c r="F5375" t="s">
        <v>5847</v>
      </c>
    </row>
    <row r="5376" spans="1:6" x14ac:dyDescent="0.15">
      <c r="A5376">
        <v>8755263</v>
      </c>
      <c r="B5376">
        <v>12085537</v>
      </c>
      <c r="C5376" t="s">
        <v>22</v>
      </c>
      <c r="D5376" t="s">
        <v>114</v>
      </c>
      <c r="E5376" s="4" t="str">
        <f>HYPERLINK("https://ibp.a2mac1.com/costing(costing:projects/details/9760/material/8755263)","Standard Structural Steel sheet")</f>
        <v>Standard Structural Steel sheet</v>
      </c>
      <c r="F5376" t="s">
        <v>5850</v>
      </c>
    </row>
    <row r="5377" spans="1:6" x14ac:dyDescent="0.15">
      <c r="A5377">
        <v>12212737</v>
      </c>
      <c r="B5377">
        <v>12085537</v>
      </c>
      <c r="C5377" t="s">
        <v>163</v>
      </c>
      <c r="D5377" t="s">
        <v>114</v>
      </c>
      <c r="E5377" s="4" t="str">
        <f>HYPERLINK("https://ibp.a2mac1.com/costing(costing:projects/details/9760/equipment/12212737)","Stamping Equipment")</f>
        <v>Stamping Equipment</v>
      </c>
      <c r="F5377" t="s">
        <v>5850</v>
      </c>
    </row>
    <row r="5378" spans="1:6" x14ac:dyDescent="0.15">
      <c r="A5378">
        <v>8416246</v>
      </c>
      <c r="B5378">
        <v>8415901</v>
      </c>
      <c r="C5378" t="s">
        <v>10</v>
      </c>
      <c r="D5378" t="s">
        <v>8</v>
      </c>
      <c r="E5378" s="4" t="str">
        <f>HYPERLINK("https://ibp.a2mac1.com/costing(costing:projects/details/9760/part/8416246)","Part 4")</f>
        <v>Part 4</v>
      </c>
      <c r="F5378" t="s">
        <v>5838</v>
      </c>
    </row>
    <row r="5379" spans="1:6" x14ac:dyDescent="0.15">
      <c r="A5379">
        <v>12085538</v>
      </c>
      <c r="B5379">
        <v>8416246</v>
      </c>
      <c r="C5379" t="s">
        <v>114</v>
      </c>
      <c r="D5379" t="s">
        <v>10</v>
      </c>
      <c r="E5379" s="4" t="str">
        <f>HYPERLINK("https://ibp.a2mac1.com/costing(costing:projects/details/9760/process/12085538)","Stamping")</f>
        <v>Stamping</v>
      </c>
      <c r="F5379" t="s">
        <v>5851</v>
      </c>
    </row>
    <row r="5380" spans="1:6" x14ac:dyDescent="0.15">
      <c r="A5380">
        <v>8755264</v>
      </c>
      <c r="B5380">
        <v>12085538</v>
      </c>
      <c r="C5380" t="s">
        <v>22</v>
      </c>
      <c r="D5380" t="s">
        <v>114</v>
      </c>
      <c r="E5380" s="4" t="str">
        <f>HYPERLINK("https://ibp.a2mac1.com/costing(costing:projects/details/9760/material/8755264)","Standard Structural Steel sheet")</f>
        <v>Standard Structural Steel sheet</v>
      </c>
      <c r="F5380" t="s">
        <v>5852</v>
      </c>
    </row>
    <row r="5381" spans="1:6" x14ac:dyDescent="0.15">
      <c r="A5381">
        <v>12212738</v>
      </c>
      <c r="B5381">
        <v>12085538</v>
      </c>
      <c r="C5381" t="s">
        <v>163</v>
      </c>
      <c r="D5381" t="s">
        <v>114</v>
      </c>
      <c r="E5381" s="4" t="str">
        <f>HYPERLINK("https://ibp.a2mac1.com/costing(costing:projects/details/9760/equipment/12212738)","Stamping Equipment")</f>
        <v>Stamping Equipment</v>
      </c>
      <c r="F5381" t="s">
        <v>5852</v>
      </c>
    </row>
    <row r="5382" spans="1:6" x14ac:dyDescent="0.15">
      <c r="A5382">
        <v>8416247</v>
      </c>
      <c r="B5382">
        <v>8415901</v>
      </c>
      <c r="C5382" t="s">
        <v>10</v>
      </c>
      <c r="D5382" t="s">
        <v>8</v>
      </c>
      <c r="E5382" s="4" t="str">
        <f>HYPERLINK("https://ibp.a2mac1.com/costing(costing:projects/details/9760/part/8416247)","Shaft")</f>
        <v>Shaft</v>
      </c>
      <c r="F5382" t="s">
        <v>5838</v>
      </c>
    </row>
    <row r="5383" spans="1:6" x14ac:dyDescent="0.15">
      <c r="A5383">
        <v>12085539</v>
      </c>
      <c r="B5383">
        <v>8416247</v>
      </c>
      <c r="C5383" t="s">
        <v>114</v>
      </c>
      <c r="D5383" t="s">
        <v>10</v>
      </c>
      <c r="E5383" s="4" t="str">
        <f>HYPERLINK("https://ibp.a2mac1.com/costing(costing:projects/details/9760/process/12085539)","Machining")</f>
        <v>Machining</v>
      </c>
      <c r="F5383" t="s">
        <v>5853</v>
      </c>
    </row>
    <row r="5384" spans="1:6" x14ac:dyDescent="0.15">
      <c r="A5384">
        <v>8755265</v>
      </c>
      <c r="B5384">
        <v>12085539</v>
      </c>
      <c r="C5384" t="s">
        <v>22</v>
      </c>
      <c r="D5384" t="s">
        <v>114</v>
      </c>
      <c r="E5384" s="4" t="str">
        <f>HYPERLINK("https://ibp.a2mac1.com/costing(costing:projects/details/9760/material/8755265)","42CrMo4 / 4140 / 42CrMo4 / 1.7225 (Billet)")</f>
        <v>42CrMo4 / 4140 / 42CrMo4 / 1.7225 (Billet)</v>
      </c>
      <c r="F5384" t="s">
        <v>5858</v>
      </c>
    </row>
    <row r="5385" spans="1:6" x14ac:dyDescent="0.15">
      <c r="A5385">
        <v>12212777</v>
      </c>
      <c r="B5385">
        <v>12085539</v>
      </c>
      <c r="C5385" t="s">
        <v>163</v>
      </c>
      <c r="D5385" t="s">
        <v>114</v>
      </c>
      <c r="E5385" s="4" t="str">
        <f>HYPERLINK("https://ibp.a2mac1.com/costing(costing:projects/details/9760/equipment/12212777)","Machining Center, small ")</f>
        <v xml:space="preserve">Machining Center, small </v>
      </c>
      <c r="F5385" t="s">
        <v>5858</v>
      </c>
    </row>
    <row r="5386" spans="1:6" x14ac:dyDescent="0.15">
      <c r="A5386">
        <v>12085263</v>
      </c>
      <c r="B5386">
        <v>8415901</v>
      </c>
      <c r="C5386" t="s">
        <v>114</v>
      </c>
      <c r="D5386" t="s">
        <v>8</v>
      </c>
      <c r="E5386" s="4" t="str">
        <f>HYPERLINK("https://ibp.a2mac1.com/costing(costing:projects/details/9760/process/12085263)","Cataphoresis")</f>
        <v>Cataphoresis</v>
      </c>
      <c r="F5386" t="s">
        <v>5838</v>
      </c>
    </row>
    <row r="5387" spans="1:6" x14ac:dyDescent="0.15">
      <c r="A5387">
        <v>12212359</v>
      </c>
      <c r="B5387">
        <v>12085263</v>
      </c>
      <c r="C5387" t="s">
        <v>163</v>
      </c>
      <c r="D5387" t="s">
        <v>114</v>
      </c>
      <c r="E5387" s="4" t="str">
        <f>HYPERLINK("https://ibp.a2mac1.com/costing(costing:projects/details/9760/equipment/12212359)","No.01 - 1500x800x500 - 45kg - electrophoresis line - with 10x10kW on line ovens ")</f>
        <v xml:space="preserve">No.01 - 1500x800x500 - 45kg - electrophoresis line - with 10x10kW on line ovens </v>
      </c>
      <c r="F5387" t="s">
        <v>5861</v>
      </c>
    </row>
    <row r="5388" spans="1:6" x14ac:dyDescent="0.15">
      <c r="A5388">
        <v>12085264</v>
      </c>
      <c r="B5388">
        <v>8415901</v>
      </c>
      <c r="C5388" t="s">
        <v>114</v>
      </c>
      <c r="D5388" t="s">
        <v>8</v>
      </c>
      <c r="E5388" s="4" t="str">
        <f>HYPERLINK("https://ibp.a2mac1.com/costing(costing:projects/details/9760/process/12085264)","Assembly")</f>
        <v>Assembly</v>
      </c>
      <c r="F5388" t="s">
        <v>5838</v>
      </c>
    </row>
    <row r="5389" spans="1:6" x14ac:dyDescent="0.15">
      <c r="A5389">
        <v>12212360</v>
      </c>
      <c r="B5389">
        <v>12085264</v>
      </c>
      <c r="C5389" t="s">
        <v>163</v>
      </c>
      <c r="D5389" t="s">
        <v>114</v>
      </c>
      <c r="E5389" s="4" t="str">
        <f>HYPERLINK("https://ibp.a2mac1.com/costing(costing:projects/details/9760/equipment/12212360)","Assembly Station ")</f>
        <v xml:space="preserve">Assembly Station </v>
      </c>
      <c r="F5389" t="s">
        <v>5862</v>
      </c>
    </row>
    <row r="5390" spans="1:6" x14ac:dyDescent="0.15">
      <c r="A5390">
        <v>8415902</v>
      </c>
      <c r="B5390">
        <v>8415650</v>
      </c>
      <c r="C5390" t="s">
        <v>8</v>
      </c>
      <c r="D5390" t="s">
        <v>8</v>
      </c>
      <c r="E5390" s="4" t="str">
        <f>HYPERLINK("https://ibp.a2mac1.com/costing(costing:projects/details/9760/assembly/8415902)","Hinge 2")</f>
        <v>Hinge 2</v>
      </c>
      <c r="F5390" t="s">
        <v>5837</v>
      </c>
    </row>
    <row r="5391" spans="1:6" x14ac:dyDescent="0.15">
      <c r="A5391">
        <v>8416248</v>
      </c>
      <c r="B5391">
        <v>8415902</v>
      </c>
      <c r="C5391" t="s">
        <v>10</v>
      </c>
      <c r="D5391" t="s">
        <v>8</v>
      </c>
      <c r="E5391" s="4" t="str">
        <f>HYPERLINK("https://ibp.a2mac1.com/costing(costing:projects/details/9760/part/8416248)","Part 1")</f>
        <v>Part 1</v>
      </c>
      <c r="F5391" t="s">
        <v>5864</v>
      </c>
    </row>
    <row r="5392" spans="1:6" x14ac:dyDescent="0.15">
      <c r="A5392">
        <v>12085540</v>
      </c>
      <c r="B5392">
        <v>8416248</v>
      </c>
      <c r="C5392" t="s">
        <v>114</v>
      </c>
      <c r="D5392" t="s">
        <v>10</v>
      </c>
      <c r="E5392" s="4" t="str">
        <f>HYPERLINK("https://ibp.a2mac1.com/costing(costing:projects/details/9760/process/12085540)","Stamping")</f>
        <v>Stamping</v>
      </c>
      <c r="F5392" t="s">
        <v>5865</v>
      </c>
    </row>
    <row r="5393" spans="1:6" x14ac:dyDescent="0.15">
      <c r="A5393">
        <v>8755266</v>
      </c>
      <c r="B5393">
        <v>12085540</v>
      </c>
      <c r="C5393" t="s">
        <v>22</v>
      </c>
      <c r="D5393" t="s">
        <v>114</v>
      </c>
      <c r="E5393" s="4" t="str">
        <f>HYPERLINK("https://ibp.a2mac1.com/costing(costing:projects/details/9760/material/8755266)","Standard Structural Steel sheet")</f>
        <v>Standard Structural Steel sheet</v>
      </c>
      <c r="F5393" t="s">
        <v>5866</v>
      </c>
    </row>
    <row r="5394" spans="1:6" x14ac:dyDescent="0.15">
      <c r="A5394">
        <v>12212778</v>
      </c>
      <c r="B5394">
        <v>12085540</v>
      </c>
      <c r="C5394" t="s">
        <v>163</v>
      </c>
      <c r="D5394" t="s">
        <v>114</v>
      </c>
      <c r="E5394" s="4" t="str">
        <f>HYPERLINK("https://ibp.a2mac1.com/costing(costing:projects/details/9760/equipment/12212778)","Stamping Equipment")</f>
        <v>Stamping Equipment</v>
      </c>
      <c r="F5394" t="s">
        <v>5866</v>
      </c>
    </row>
    <row r="5395" spans="1:6" x14ac:dyDescent="0.15">
      <c r="A5395">
        <v>8416249</v>
      </c>
      <c r="B5395">
        <v>8415902</v>
      </c>
      <c r="C5395" t="s">
        <v>10</v>
      </c>
      <c r="D5395" t="s">
        <v>8</v>
      </c>
      <c r="E5395" s="4" t="str">
        <f>HYPERLINK("https://ibp.a2mac1.com/costing(costing:projects/details/9760/part/8416249)","Part 2")</f>
        <v>Part 2</v>
      </c>
      <c r="F5395" t="s">
        <v>5864</v>
      </c>
    </row>
    <row r="5396" spans="1:6" x14ac:dyDescent="0.15">
      <c r="A5396">
        <v>12085541</v>
      </c>
      <c r="B5396">
        <v>8416249</v>
      </c>
      <c r="C5396" t="s">
        <v>114</v>
      </c>
      <c r="D5396" t="s">
        <v>10</v>
      </c>
      <c r="E5396" s="4" t="str">
        <f>HYPERLINK("https://ibp.a2mac1.com/costing(costing:projects/details/9760/process/12085541)","Stamping")</f>
        <v>Stamping</v>
      </c>
      <c r="F5396" t="s">
        <v>5867</v>
      </c>
    </row>
    <row r="5397" spans="1:6" x14ac:dyDescent="0.15">
      <c r="A5397">
        <v>8755267</v>
      </c>
      <c r="B5397">
        <v>12085541</v>
      </c>
      <c r="C5397" t="s">
        <v>22</v>
      </c>
      <c r="D5397" t="s">
        <v>114</v>
      </c>
      <c r="E5397" s="4" t="str">
        <f>HYPERLINK("https://ibp.a2mac1.com/costing(costing:projects/details/9760/material/8755267)","Standard Structural Steel sheet")</f>
        <v>Standard Structural Steel sheet</v>
      </c>
      <c r="F5397" t="s">
        <v>5868</v>
      </c>
    </row>
    <row r="5398" spans="1:6" x14ac:dyDescent="0.15">
      <c r="A5398">
        <v>12212779</v>
      </c>
      <c r="B5398">
        <v>12085541</v>
      </c>
      <c r="C5398" t="s">
        <v>163</v>
      </c>
      <c r="D5398" t="s">
        <v>114</v>
      </c>
      <c r="E5398" s="4" t="str">
        <f>HYPERLINK("https://ibp.a2mac1.com/costing(costing:projects/details/9760/equipment/12212779)","Stamping Equipment")</f>
        <v>Stamping Equipment</v>
      </c>
      <c r="F5398" t="s">
        <v>5868</v>
      </c>
    </row>
    <row r="5399" spans="1:6" x14ac:dyDescent="0.15">
      <c r="A5399">
        <v>8416250</v>
      </c>
      <c r="B5399">
        <v>8415902</v>
      </c>
      <c r="C5399" t="s">
        <v>10</v>
      </c>
      <c r="D5399" t="s">
        <v>8</v>
      </c>
      <c r="E5399" s="4" t="str">
        <f>HYPERLINK("https://ibp.a2mac1.com/costing(costing:projects/details/9760/part/8416250)","Part 3")</f>
        <v>Part 3</v>
      </c>
      <c r="F5399" t="s">
        <v>5864</v>
      </c>
    </row>
    <row r="5400" spans="1:6" x14ac:dyDescent="0.15">
      <c r="A5400">
        <v>12085542</v>
      </c>
      <c r="B5400">
        <v>8416250</v>
      </c>
      <c r="C5400" t="s">
        <v>114</v>
      </c>
      <c r="D5400" t="s">
        <v>10</v>
      </c>
      <c r="E5400" s="4" t="str">
        <f>HYPERLINK("https://ibp.a2mac1.com/costing(costing:projects/details/9760/process/12085542)","Stamping")</f>
        <v>Stamping</v>
      </c>
      <c r="F5400" t="s">
        <v>5869</v>
      </c>
    </row>
    <row r="5401" spans="1:6" x14ac:dyDescent="0.15">
      <c r="A5401">
        <v>8755268</v>
      </c>
      <c r="B5401">
        <v>12085542</v>
      </c>
      <c r="C5401" t="s">
        <v>22</v>
      </c>
      <c r="D5401" t="s">
        <v>114</v>
      </c>
      <c r="E5401" s="4" t="str">
        <f>HYPERLINK("https://ibp.a2mac1.com/costing(costing:projects/details/9760/material/8755268)","Standard Structural Steel sheet")</f>
        <v>Standard Structural Steel sheet</v>
      </c>
      <c r="F5401" t="s">
        <v>5870</v>
      </c>
    </row>
    <row r="5402" spans="1:6" x14ac:dyDescent="0.15">
      <c r="A5402">
        <v>12212780</v>
      </c>
      <c r="B5402">
        <v>12085542</v>
      </c>
      <c r="C5402" t="s">
        <v>163</v>
      </c>
      <c r="D5402" t="s">
        <v>114</v>
      </c>
      <c r="E5402" s="4" t="str">
        <f>HYPERLINK("https://ibp.a2mac1.com/costing(costing:projects/details/9760/equipment/12212780)","Stamping Equipment")</f>
        <v>Stamping Equipment</v>
      </c>
      <c r="F5402" t="s">
        <v>5870</v>
      </c>
    </row>
    <row r="5403" spans="1:6" x14ac:dyDescent="0.15">
      <c r="A5403">
        <v>8416251</v>
      </c>
      <c r="B5403">
        <v>8415902</v>
      </c>
      <c r="C5403" t="s">
        <v>10</v>
      </c>
      <c r="D5403" t="s">
        <v>8</v>
      </c>
      <c r="E5403" s="4" t="str">
        <f>HYPERLINK("https://ibp.a2mac1.com/costing(costing:projects/details/9760/part/8416251)","Part 4")</f>
        <v>Part 4</v>
      </c>
      <c r="F5403" t="s">
        <v>5864</v>
      </c>
    </row>
    <row r="5404" spans="1:6" x14ac:dyDescent="0.15">
      <c r="A5404">
        <v>12085543</v>
      </c>
      <c r="B5404">
        <v>8416251</v>
      </c>
      <c r="C5404" t="s">
        <v>114</v>
      </c>
      <c r="D5404" t="s">
        <v>10</v>
      </c>
      <c r="E5404" s="4" t="str">
        <f>HYPERLINK("https://ibp.a2mac1.com/costing(costing:projects/details/9760/process/12085543)","Stamping")</f>
        <v>Stamping</v>
      </c>
      <c r="F5404" t="s">
        <v>5871</v>
      </c>
    </row>
    <row r="5405" spans="1:6" x14ac:dyDescent="0.15">
      <c r="A5405">
        <v>8755269</v>
      </c>
      <c r="B5405">
        <v>12085543</v>
      </c>
      <c r="C5405" t="s">
        <v>22</v>
      </c>
      <c r="D5405" t="s">
        <v>114</v>
      </c>
      <c r="E5405" s="4" t="str">
        <f>HYPERLINK("https://ibp.a2mac1.com/costing(costing:projects/details/9760/material/8755269)","Standard Structural Steel sheet")</f>
        <v>Standard Structural Steel sheet</v>
      </c>
      <c r="F5405" t="s">
        <v>5872</v>
      </c>
    </row>
    <row r="5406" spans="1:6" x14ac:dyDescent="0.15">
      <c r="A5406">
        <v>12212781</v>
      </c>
      <c r="B5406">
        <v>12085543</v>
      </c>
      <c r="C5406" t="s">
        <v>163</v>
      </c>
      <c r="D5406" t="s">
        <v>114</v>
      </c>
      <c r="E5406" s="4" t="str">
        <f>HYPERLINK("https://ibp.a2mac1.com/costing(costing:projects/details/9760/equipment/12212781)","Stamping Equipment")</f>
        <v>Stamping Equipment</v>
      </c>
      <c r="F5406" t="s">
        <v>5872</v>
      </c>
    </row>
    <row r="5407" spans="1:6" x14ac:dyDescent="0.15">
      <c r="A5407">
        <v>8416252</v>
      </c>
      <c r="B5407">
        <v>8415902</v>
      </c>
      <c r="C5407" t="s">
        <v>10</v>
      </c>
      <c r="D5407" t="s">
        <v>8</v>
      </c>
      <c r="E5407" s="4" t="str">
        <f>HYPERLINK("https://ibp.a2mac1.com/costing(costing:projects/details/9760/part/8416252)","Shaft")</f>
        <v>Shaft</v>
      </c>
      <c r="F5407" t="s">
        <v>5864</v>
      </c>
    </row>
    <row r="5408" spans="1:6" x14ac:dyDescent="0.15">
      <c r="A5408">
        <v>12085544</v>
      </c>
      <c r="B5408">
        <v>8416252</v>
      </c>
      <c r="C5408" t="s">
        <v>114</v>
      </c>
      <c r="D5408" t="s">
        <v>10</v>
      </c>
      <c r="E5408" s="4" t="str">
        <f>HYPERLINK("https://ibp.a2mac1.com/costing(costing:projects/details/9760/process/12085544)","Machining")</f>
        <v>Machining</v>
      </c>
      <c r="F5408" t="s">
        <v>5873</v>
      </c>
    </row>
    <row r="5409" spans="1:6" x14ac:dyDescent="0.15">
      <c r="A5409">
        <v>8755270</v>
      </c>
      <c r="B5409">
        <v>12085544</v>
      </c>
      <c r="C5409" t="s">
        <v>22</v>
      </c>
      <c r="D5409" t="s">
        <v>114</v>
      </c>
      <c r="E5409" s="4" t="str">
        <f>HYPERLINK("https://ibp.a2mac1.com/costing(costing:projects/details/9760/material/8755270)","42CrMo4 / 4140 / 42CrMo4 / 1.7225 (Billet)")</f>
        <v>42CrMo4 / 4140 / 42CrMo4 / 1.7225 (Billet)</v>
      </c>
      <c r="F5409" t="s">
        <v>5874</v>
      </c>
    </row>
    <row r="5410" spans="1:6" x14ac:dyDescent="0.15">
      <c r="A5410">
        <v>12212782</v>
      </c>
      <c r="B5410">
        <v>12085544</v>
      </c>
      <c r="C5410" t="s">
        <v>163</v>
      </c>
      <c r="D5410" t="s">
        <v>114</v>
      </c>
      <c r="E5410" s="4" t="str">
        <f>HYPERLINK("https://ibp.a2mac1.com/costing(costing:projects/details/9760/equipment/12212782)","Machining Center, small ")</f>
        <v xml:space="preserve">Machining Center, small </v>
      </c>
      <c r="F5410" t="s">
        <v>5874</v>
      </c>
    </row>
    <row r="5411" spans="1:6" x14ac:dyDescent="0.15">
      <c r="A5411">
        <v>12085265</v>
      </c>
      <c r="B5411">
        <v>8415902</v>
      </c>
      <c r="C5411" t="s">
        <v>114</v>
      </c>
      <c r="D5411" t="s">
        <v>8</v>
      </c>
      <c r="E5411" s="4" t="str">
        <f>HYPERLINK("https://ibp.a2mac1.com/costing(costing:projects/details/9760/process/12085265)","Cataphoresis")</f>
        <v>Cataphoresis</v>
      </c>
      <c r="F5411" t="s">
        <v>5864</v>
      </c>
    </row>
    <row r="5412" spans="1:6" x14ac:dyDescent="0.15">
      <c r="A5412">
        <v>12212361</v>
      </c>
      <c r="B5412">
        <v>12085265</v>
      </c>
      <c r="C5412" t="s">
        <v>163</v>
      </c>
      <c r="D5412" t="s">
        <v>114</v>
      </c>
      <c r="E5412" s="4" t="str">
        <f>HYPERLINK("https://ibp.a2mac1.com/costing(costing:projects/details/9760/equipment/12212361)","No.01 - 1500x800x500 - 45kg - electrophoresis line - with 10x10kW on line ovens ")</f>
        <v xml:space="preserve">No.01 - 1500x800x500 - 45kg - electrophoresis line - with 10x10kW on line ovens </v>
      </c>
      <c r="F5412" t="s">
        <v>5875</v>
      </c>
    </row>
    <row r="5413" spans="1:6" x14ac:dyDescent="0.15">
      <c r="A5413">
        <v>12085266</v>
      </c>
      <c r="B5413">
        <v>8415902</v>
      </c>
      <c r="C5413" t="s">
        <v>114</v>
      </c>
      <c r="D5413" t="s">
        <v>8</v>
      </c>
      <c r="E5413" s="4" t="str">
        <f>HYPERLINK("https://ibp.a2mac1.com/costing(costing:projects/details/9760/process/12085266)","Assembly")</f>
        <v>Assembly</v>
      </c>
      <c r="F5413" t="s">
        <v>5864</v>
      </c>
    </row>
    <row r="5414" spans="1:6" x14ac:dyDescent="0.15">
      <c r="A5414">
        <v>12212362</v>
      </c>
      <c r="B5414">
        <v>12085266</v>
      </c>
      <c r="C5414" t="s">
        <v>163</v>
      </c>
      <c r="D5414" t="s">
        <v>114</v>
      </c>
      <c r="E5414" s="4" t="str">
        <f>HYPERLINK("https://ibp.a2mac1.com/costing(costing:projects/details/9760/equipment/12212362)","Assembly Station ")</f>
        <v xml:space="preserve">Assembly Station </v>
      </c>
      <c r="F5414" t="s">
        <v>5876</v>
      </c>
    </row>
    <row r="5415" spans="1:6" x14ac:dyDescent="0.15">
      <c r="A5415">
        <v>8415908</v>
      </c>
      <c r="B5415">
        <v>8415650</v>
      </c>
      <c r="C5415" t="s">
        <v>8</v>
      </c>
      <c r="D5415" t="s">
        <v>8</v>
      </c>
      <c r="E5415" s="4" t="str">
        <f>HYPERLINK("https://ibp.a2mac1.com/costing(costing:projects/details/9760/assembly/8415908)","Motor")</f>
        <v>Motor</v>
      </c>
      <c r="F5415" t="s">
        <v>5837</v>
      </c>
    </row>
    <row r="5416" spans="1:6" x14ac:dyDescent="0.15">
      <c r="A5416">
        <v>12085273</v>
      </c>
      <c r="B5416">
        <v>8415908</v>
      </c>
      <c r="C5416" t="s">
        <v>114</v>
      </c>
      <c r="D5416" t="s">
        <v>8</v>
      </c>
      <c r="E5416" s="4" t="str">
        <f>HYPERLINK("https://ibp.a2mac1.com/costing(costing:projects/details/9760/process/12085273)","Process")</f>
        <v>Process</v>
      </c>
      <c r="F5416" t="s">
        <v>5878</v>
      </c>
    </row>
    <row r="5417" spans="1:6" x14ac:dyDescent="0.15">
      <c r="A5417">
        <v>12212369</v>
      </c>
      <c r="B5417">
        <v>12085273</v>
      </c>
      <c r="C5417" t="s">
        <v>163</v>
      </c>
      <c r="D5417" t="s">
        <v>114</v>
      </c>
      <c r="E5417" s="4" t="str">
        <f>HYPERLINK("https://ibp.a2mac1.com/costing(costing:projects/details/9760/equipment/12212369)","Dummy Machine (PCBA+Final Assembly Line)")</f>
        <v>Dummy Machine (PCBA+Final Assembly Line)</v>
      </c>
      <c r="F5417" t="s">
        <v>5879</v>
      </c>
    </row>
    <row r="5418" spans="1:6" x14ac:dyDescent="0.15">
      <c r="A5418">
        <v>8754546</v>
      </c>
      <c r="B5418">
        <v>8415908</v>
      </c>
      <c r="C5418" t="s">
        <v>311</v>
      </c>
      <c r="D5418" t="s">
        <v>8</v>
      </c>
      <c r="E5418" s="4" t="str">
        <f>HYPERLINK("https://ibp.a2mac1.com/costing(costing:projects/details/9760/component/8754546)","Electronics")</f>
        <v>Electronics</v>
      </c>
      <c r="F5418" t="s">
        <v>5878</v>
      </c>
    </row>
    <row r="5419" spans="1:6" x14ac:dyDescent="0.15">
      <c r="A5419">
        <v>8754547</v>
      </c>
      <c r="B5419">
        <v>8415908</v>
      </c>
      <c r="C5419" t="s">
        <v>311</v>
      </c>
      <c r="D5419" t="s">
        <v>8</v>
      </c>
      <c r="E5419" s="4" t="str">
        <f>HYPERLINK("https://ibp.a2mac1.com/costing(costing:projects/details/9760/component/8754547)","Mechanics")</f>
        <v>Mechanics</v>
      </c>
      <c r="F5419" t="s">
        <v>5878</v>
      </c>
    </row>
    <row r="5420" spans="1:6" x14ac:dyDescent="0.15">
      <c r="A5420">
        <v>8415897</v>
      </c>
      <c r="B5420">
        <v>8415650</v>
      </c>
      <c r="C5420" t="s">
        <v>10</v>
      </c>
      <c r="D5420" t="s">
        <v>8</v>
      </c>
      <c r="E5420" s="4" t="str">
        <f>HYPERLINK("https://ibp.a2mac1.com/costing(costing:projects/details/9760/part/8415897)","Spoiler")</f>
        <v>Spoiler</v>
      </c>
      <c r="F5420" t="s">
        <v>5837</v>
      </c>
    </row>
    <row r="5421" spans="1:6" x14ac:dyDescent="0.15">
      <c r="A5421">
        <v>12085256</v>
      </c>
      <c r="B5421">
        <v>8415897</v>
      </c>
      <c r="C5421" t="s">
        <v>114</v>
      </c>
      <c r="D5421" t="s">
        <v>10</v>
      </c>
      <c r="E5421" s="4" t="str">
        <f>HYPERLINK("https://ibp.a2mac1.com/costing(costing:projects/details/9760/process/12085256)","Injection molding")</f>
        <v>Injection molding</v>
      </c>
      <c r="F5421" t="s">
        <v>5881</v>
      </c>
    </row>
    <row r="5422" spans="1:6" x14ac:dyDescent="0.15">
      <c r="A5422">
        <v>8754863</v>
      </c>
      <c r="B5422">
        <v>12085256</v>
      </c>
      <c r="C5422" t="s">
        <v>22</v>
      </c>
      <c r="D5422" t="s">
        <v>114</v>
      </c>
      <c r="E5422" s="4" t="str">
        <f>HYPERLINK("https://ibp.a2mac1.com/costing(costing:projects/details/9760/material/8754863)","ABS")</f>
        <v>ABS</v>
      </c>
      <c r="F5422" t="s">
        <v>5884</v>
      </c>
    </row>
    <row r="5423" spans="1:6" x14ac:dyDescent="0.15">
      <c r="A5423">
        <v>12212351</v>
      </c>
      <c r="B5423">
        <v>12085256</v>
      </c>
      <c r="C5423" t="s">
        <v>163</v>
      </c>
      <c r="D5423" t="s">
        <v>114</v>
      </c>
      <c r="E5423" s="4" t="str">
        <f>HYPERLINK("https://ibp.a2mac1.com/costing(costing:projects/details/9760/equipment/12212351)","No.14 - Injection Press - 1500T - 205kW - 1400x1250 - Max Volume 11230cm3 ")</f>
        <v xml:space="preserve">No.14 - Injection Press - 1500T - 205kW - 1400x1250 - Max Volume 11230cm3 </v>
      </c>
      <c r="F5423" t="s">
        <v>5884</v>
      </c>
    </row>
    <row r="5424" spans="1:6" x14ac:dyDescent="0.15">
      <c r="A5424">
        <v>12085257</v>
      </c>
      <c r="B5424">
        <v>8415897</v>
      </c>
      <c r="C5424" t="s">
        <v>114</v>
      </c>
      <c r="D5424" t="s">
        <v>10</v>
      </c>
      <c r="E5424" s="4" t="str">
        <f>HYPERLINK("https://ibp.a2mac1.com/costing(costing:projects/details/9760/process/12085257)","Painting")</f>
        <v>Painting</v>
      </c>
      <c r="F5424" t="s">
        <v>5881</v>
      </c>
    </row>
    <row r="5425" spans="1:6" x14ac:dyDescent="0.15">
      <c r="A5425">
        <v>8754864</v>
      </c>
      <c r="B5425">
        <v>12085257</v>
      </c>
      <c r="C5425" t="s">
        <v>22</v>
      </c>
      <c r="D5425" t="s">
        <v>114</v>
      </c>
      <c r="E5425" s="4" t="str">
        <f>HYPERLINK("https://ibp.a2mac1.com/costing(costing:projects/details/9760/material/8754864)","Paint - Base")</f>
        <v>Paint - Base</v>
      </c>
      <c r="F5425" t="s">
        <v>5887</v>
      </c>
    </row>
    <row r="5426" spans="1:6" x14ac:dyDescent="0.15">
      <c r="A5426">
        <v>8754865</v>
      </c>
      <c r="B5426">
        <v>12085257</v>
      </c>
      <c r="C5426" t="s">
        <v>22</v>
      </c>
      <c r="D5426" t="s">
        <v>114</v>
      </c>
      <c r="E5426" s="4" t="str">
        <f>HYPERLINK("https://ibp.a2mac1.com/costing(costing:projects/details/9760/material/8754865)","Paint - Primer")</f>
        <v>Paint - Primer</v>
      </c>
      <c r="F5426" t="s">
        <v>5887</v>
      </c>
    </row>
    <row r="5427" spans="1:6" x14ac:dyDescent="0.15">
      <c r="A5427">
        <v>8754866</v>
      </c>
      <c r="B5427">
        <v>12085257</v>
      </c>
      <c r="C5427" t="s">
        <v>22</v>
      </c>
      <c r="D5427" t="s">
        <v>114</v>
      </c>
      <c r="E5427" s="4" t="str">
        <f>HYPERLINK("https://ibp.a2mac1.com/costing(costing:projects/details/9760/material/8754866)","Paint - Clear Coat")</f>
        <v>Paint - Clear Coat</v>
      </c>
      <c r="F5427" t="s">
        <v>5887</v>
      </c>
    </row>
    <row r="5428" spans="1:6" x14ac:dyDescent="0.15">
      <c r="A5428">
        <v>12212352</v>
      </c>
      <c r="B5428">
        <v>12085257</v>
      </c>
      <c r="C5428" t="s">
        <v>163</v>
      </c>
      <c r="D5428" t="s">
        <v>114</v>
      </c>
      <c r="E5428" s="4" t="str">
        <f>HYPERLINK("https://ibp.a2mac1.com/costing(costing:projects/details/9760/equipment/12212352)","No.04 - 60000x6000x3500 - Automatic Painting Line - with 12x100kW on line ovens ")</f>
        <v xml:space="preserve">No.04 - 60000x6000x3500 - Automatic Painting Line - with 12x100kW on line ovens </v>
      </c>
      <c r="F5428" t="s">
        <v>5887</v>
      </c>
    </row>
    <row r="5429" spans="1:6" x14ac:dyDescent="0.15">
      <c r="A5429">
        <v>12212353</v>
      </c>
      <c r="B5429">
        <v>12085257</v>
      </c>
      <c r="C5429" t="s">
        <v>163</v>
      </c>
      <c r="D5429" t="s">
        <v>114</v>
      </c>
      <c r="E5429" s="4" t="str">
        <f>HYPERLINK("https://ibp.a2mac1.com/costing(costing:projects/details/9760/equipment/12212353)","Loading + Unloading, Retouching, Checking")</f>
        <v>Loading + Unloading, Retouching, Checking</v>
      </c>
      <c r="F5429" t="s">
        <v>5887</v>
      </c>
    </row>
    <row r="5430" spans="1:6" x14ac:dyDescent="0.15">
      <c r="A5430">
        <v>12085258</v>
      </c>
      <c r="B5430">
        <v>8415897</v>
      </c>
      <c r="C5430" t="s">
        <v>114</v>
      </c>
      <c r="D5430" t="s">
        <v>10</v>
      </c>
      <c r="E5430" s="4" t="str">
        <f>HYPERLINK("https://ibp.a2mac1.com/costing(costing:projects/details/9760/process/12085258)","Handling/Visual Inspection/Packaging")</f>
        <v>Handling/Visual Inspection/Packaging</v>
      </c>
      <c r="F5430" t="s">
        <v>5881</v>
      </c>
    </row>
    <row r="5431" spans="1:6" x14ac:dyDescent="0.15">
      <c r="A5431">
        <v>12212354</v>
      </c>
      <c r="B5431">
        <v>12085258</v>
      </c>
      <c r="C5431" t="s">
        <v>163</v>
      </c>
      <c r="D5431" t="s">
        <v>114</v>
      </c>
      <c r="E5431" s="4" t="str">
        <f>HYPERLINK("https://ibp.a2mac1.com/costing(costing:projects/details/9760/equipment/12212354)","Packaging")</f>
        <v>Packaging</v>
      </c>
      <c r="F5431" t="s">
        <v>5889</v>
      </c>
    </row>
    <row r="5432" spans="1:6" x14ac:dyDescent="0.15">
      <c r="A5432">
        <v>8415898</v>
      </c>
      <c r="B5432">
        <v>8415650</v>
      </c>
      <c r="C5432" t="s">
        <v>10</v>
      </c>
      <c r="D5432" t="s">
        <v>8</v>
      </c>
      <c r="E5432" s="4" t="str">
        <f>HYPERLINK("https://ibp.a2mac1.com/costing(costing:projects/details/9760/part/8415898)","Spoiler Support Left and Right if Similar")</f>
        <v>Spoiler Support Left and Right if Similar</v>
      </c>
      <c r="F5432" t="s">
        <v>5837</v>
      </c>
    </row>
    <row r="5433" spans="1:6" x14ac:dyDescent="0.15">
      <c r="A5433">
        <v>12085261</v>
      </c>
      <c r="B5433">
        <v>8415898</v>
      </c>
      <c r="C5433" t="s">
        <v>114</v>
      </c>
      <c r="D5433" t="s">
        <v>10</v>
      </c>
      <c r="E5433" s="4" t="str">
        <f>HYPERLINK("https://ibp.a2mac1.com/costing(costing:projects/details/9760/process/12085261)","Stamping")</f>
        <v>Stamping</v>
      </c>
      <c r="F5433" t="s">
        <v>5891</v>
      </c>
    </row>
    <row r="5434" spans="1:6" x14ac:dyDescent="0.15">
      <c r="A5434">
        <v>8754867</v>
      </c>
      <c r="B5434">
        <v>12085261</v>
      </c>
      <c r="C5434" t="s">
        <v>22</v>
      </c>
      <c r="D5434" t="s">
        <v>114</v>
      </c>
      <c r="E5434" s="4" t="str">
        <f>HYPERLINK("https://ibp.a2mac1.com/costing(costing:projects/details/9760/material/8754867)","Standard Structural Steel sheet")</f>
        <v>Standard Structural Steel sheet</v>
      </c>
      <c r="F5434" t="s">
        <v>5893</v>
      </c>
    </row>
    <row r="5435" spans="1:6" x14ac:dyDescent="0.15">
      <c r="A5435">
        <v>12212357</v>
      </c>
      <c r="B5435">
        <v>12085261</v>
      </c>
      <c r="C5435" t="s">
        <v>163</v>
      </c>
      <c r="D5435" t="s">
        <v>114</v>
      </c>
      <c r="E5435" s="4" t="str">
        <f>HYPERLINK("https://ibp.a2mac1.com/costing(costing:projects/details/9760/equipment/12212357)","No.03 - Progressive Press - 500T ")</f>
        <v xml:space="preserve">No.03 - Progressive Press - 500T </v>
      </c>
      <c r="F5435" t="s">
        <v>5893</v>
      </c>
    </row>
    <row r="5436" spans="1:6" x14ac:dyDescent="0.15">
      <c r="A5436">
        <v>12085259</v>
      </c>
      <c r="B5436">
        <v>8415898</v>
      </c>
      <c r="C5436" t="s">
        <v>114</v>
      </c>
      <c r="D5436" t="s">
        <v>10</v>
      </c>
      <c r="E5436" s="4" t="str">
        <f>HYPERLINK("https://ibp.a2mac1.com/costing(costing:projects/details/9760/process/12085259)","Cleaning")</f>
        <v>Cleaning</v>
      </c>
      <c r="F5436" t="s">
        <v>5891</v>
      </c>
    </row>
    <row r="5437" spans="1:6" x14ac:dyDescent="0.15">
      <c r="A5437">
        <v>12212355</v>
      </c>
      <c r="B5437">
        <v>12085259</v>
      </c>
      <c r="C5437" t="s">
        <v>163</v>
      </c>
      <c r="D5437" t="s">
        <v>114</v>
      </c>
      <c r="E5437" s="4" t="str">
        <f>HYPERLINK("https://ibp.a2mac1.com/costing(costing:projects/details/9760/equipment/12212355)","No.05 - Cleaning - Batch - 2000x2000x1200 - 500kg/batch - 3000kg/h ")</f>
        <v xml:space="preserve">No.05 - Cleaning - Batch - 2000x2000x1200 - 500kg/batch - 3000kg/h </v>
      </c>
      <c r="F5437" t="s">
        <v>5894</v>
      </c>
    </row>
    <row r="5438" spans="1:6" x14ac:dyDescent="0.15">
      <c r="A5438">
        <v>12085260</v>
      </c>
      <c r="B5438">
        <v>8415898</v>
      </c>
      <c r="C5438" t="s">
        <v>114</v>
      </c>
      <c r="D5438" t="s">
        <v>10</v>
      </c>
      <c r="E5438" s="4" t="str">
        <f>HYPERLINK("https://ibp.a2mac1.com/costing(costing:projects/details/9760/process/12085260)","Packaging")</f>
        <v>Packaging</v>
      </c>
      <c r="F5438" t="s">
        <v>5891</v>
      </c>
    </row>
    <row r="5439" spans="1:6" x14ac:dyDescent="0.15">
      <c r="A5439">
        <v>12212356</v>
      </c>
      <c r="B5439">
        <v>12085260</v>
      </c>
      <c r="C5439" t="s">
        <v>163</v>
      </c>
      <c r="D5439" t="s">
        <v>114</v>
      </c>
      <c r="E5439" s="4" t="str">
        <f>HYPERLINK("https://ibp.a2mac1.com/costing(costing:projects/details/9760/equipment/12212356)","Packaging ")</f>
        <v xml:space="preserve">Packaging </v>
      </c>
      <c r="F5439" t="s">
        <v>5895</v>
      </c>
    </row>
    <row r="5440" spans="1:6" x14ac:dyDescent="0.15">
      <c r="A5440">
        <v>8415899</v>
      </c>
      <c r="B5440">
        <v>8415650</v>
      </c>
      <c r="C5440" t="s">
        <v>10</v>
      </c>
      <c r="D5440" t="s">
        <v>8</v>
      </c>
      <c r="E5440" s="4" t="str">
        <f>HYPERLINK("https://ibp.a2mac1.com/costing(costing:projects/details/9760/part/8415899)","Access Trap Fasteners Cover")</f>
        <v>Access Trap Fasteners Cover</v>
      </c>
      <c r="F5440" t="s">
        <v>5837</v>
      </c>
    </row>
    <row r="5441" spans="1:6" x14ac:dyDescent="0.15">
      <c r="A5441">
        <v>12085262</v>
      </c>
      <c r="B5441">
        <v>8415899</v>
      </c>
      <c r="C5441" t="s">
        <v>114</v>
      </c>
      <c r="D5441" t="s">
        <v>10</v>
      </c>
      <c r="E5441" s="4" t="str">
        <f>HYPERLINK("https://ibp.a2mac1.com/costing(costing:projects/details/9760/process/12085262)","Injection molding")</f>
        <v>Injection molding</v>
      </c>
      <c r="F5441" t="s">
        <v>5897</v>
      </c>
    </row>
    <row r="5442" spans="1:6" x14ac:dyDescent="0.15">
      <c r="A5442">
        <v>8754868</v>
      </c>
      <c r="B5442">
        <v>12085262</v>
      </c>
      <c r="C5442" t="s">
        <v>22</v>
      </c>
      <c r="D5442" t="s">
        <v>114</v>
      </c>
      <c r="E5442" s="4" t="str">
        <f>HYPERLINK("https://ibp.a2mac1.com/costing(costing:projects/details/9760/material/8754868)","ABS-PC")</f>
        <v>ABS-PC</v>
      </c>
      <c r="F5442" t="s">
        <v>5900</v>
      </c>
    </row>
    <row r="5443" spans="1:6" x14ac:dyDescent="0.15">
      <c r="A5443">
        <v>12212358</v>
      </c>
      <c r="B5443">
        <v>12085262</v>
      </c>
      <c r="C5443" t="s">
        <v>163</v>
      </c>
      <c r="D5443" t="s">
        <v>114</v>
      </c>
      <c r="E5443" s="4" t="str">
        <f>HYPERLINK("https://ibp.a2mac1.com/costing(costing:projects/details/9760/equipment/12212358)","Equipment (Injection Molding)")</f>
        <v>Equipment (Injection Molding)</v>
      </c>
      <c r="F5443" t="s">
        <v>5900</v>
      </c>
    </row>
    <row r="5444" spans="1:6" x14ac:dyDescent="0.15">
      <c r="A5444">
        <v>8415900</v>
      </c>
      <c r="B5444">
        <v>8415650</v>
      </c>
      <c r="C5444" t="s">
        <v>10</v>
      </c>
      <c r="D5444" t="s">
        <v>8</v>
      </c>
      <c r="E5444" s="4" t="str">
        <f>HYPERLINK("https://ibp.a2mac1.com/costing(costing:projects/details/9760/part/8415900)","Fixed Stopper on Spoiler")</f>
        <v>Fixed Stopper on Spoiler</v>
      </c>
      <c r="F5444" t="s">
        <v>5837</v>
      </c>
    </row>
    <row r="5445" spans="1:6" x14ac:dyDescent="0.15">
      <c r="A5445">
        <v>8415903</v>
      </c>
      <c r="B5445">
        <v>8415650</v>
      </c>
      <c r="C5445" t="s">
        <v>10</v>
      </c>
      <c r="D5445" t="s">
        <v>8</v>
      </c>
      <c r="E5445" s="4" t="str">
        <f>HYPERLINK("https://ibp.a2mac1.com/costing(costing:projects/details/9760/part/8415903)","Hinge Support")</f>
        <v>Hinge Support</v>
      </c>
      <c r="F5445" t="s">
        <v>5837</v>
      </c>
    </row>
    <row r="5446" spans="1:6" x14ac:dyDescent="0.15">
      <c r="A5446">
        <v>12085267</v>
      </c>
      <c r="B5446">
        <v>8415903</v>
      </c>
      <c r="C5446" t="s">
        <v>114</v>
      </c>
      <c r="D5446" t="s">
        <v>10</v>
      </c>
      <c r="E5446" s="4" t="str">
        <f>HYPERLINK("https://ibp.a2mac1.com/costing(costing:projects/details/9760/process/12085267)","Blanking")</f>
        <v>Blanking</v>
      </c>
      <c r="F5446" t="s">
        <v>5903</v>
      </c>
    </row>
    <row r="5447" spans="1:6" x14ac:dyDescent="0.15">
      <c r="A5447">
        <v>8754869</v>
      </c>
      <c r="B5447">
        <v>12085267</v>
      </c>
      <c r="C5447" t="s">
        <v>22</v>
      </c>
      <c r="D5447" t="s">
        <v>114</v>
      </c>
      <c r="E5447" s="4" t="str">
        <f>HYPERLINK("https://ibp.a2mac1.com/costing(costing:projects/details/9760/material/8754869)","Standard Structural Steel sheet")</f>
        <v>Standard Structural Steel sheet</v>
      </c>
      <c r="F5447" t="s">
        <v>5906</v>
      </c>
    </row>
    <row r="5448" spans="1:6" x14ac:dyDescent="0.15">
      <c r="A5448">
        <v>12212363</v>
      </c>
      <c r="B5448">
        <v>12085267</v>
      </c>
      <c r="C5448" t="s">
        <v>163</v>
      </c>
      <c r="D5448" t="s">
        <v>114</v>
      </c>
      <c r="E5448" s="4" t="str">
        <f>HYPERLINK("https://ibp.a2mac1.com/costing(costing:projects/details/9760/equipment/12212363)","No.04 - Blanking Press - 1000T ")</f>
        <v xml:space="preserve">No.04 - Blanking Press - 1000T </v>
      </c>
      <c r="F5448" t="s">
        <v>5906</v>
      </c>
    </row>
    <row r="5449" spans="1:6" x14ac:dyDescent="0.15">
      <c r="A5449">
        <v>12085268</v>
      </c>
      <c r="B5449">
        <v>8415903</v>
      </c>
      <c r="C5449" t="s">
        <v>114</v>
      </c>
      <c r="D5449" t="s">
        <v>10</v>
      </c>
      <c r="E5449" s="4" t="str">
        <f>HYPERLINK("https://ibp.a2mac1.com/costing(costing:projects/details/9760/process/12085268)","Stamping")</f>
        <v>Stamping</v>
      </c>
      <c r="F5449" t="s">
        <v>5903</v>
      </c>
    </row>
    <row r="5450" spans="1:6" x14ac:dyDescent="0.15">
      <c r="A5450">
        <v>12212364</v>
      </c>
      <c r="B5450">
        <v>12085268</v>
      </c>
      <c r="C5450" t="s">
        <v>163</v>
      </c>
      <c r="D5450" t="s">
        <v>114</v>
      </c>
      <c r="E5450" s="4" t="str">
        <f>HYPERLINK("https://ibp.a2mac1.com/costing(costing:projects/details/9760/equipment/12212364)","No.05 - Transfer Press - 1000T ")</f>
        <v xml:space="preserve">No.05 - Transfer Press - 1000T </v>
      </c>
      <c r="F5450" t="s">
        <v>5907</v>
      </c>
    </row>
    <row r="5451" spans="1:6" x14ac:dyDescent="0.15">
      <c r="A5451">
        <v>12085270</v>
      </c>
      <c r="B5451">
        <v>8415903</v>
      </c>
      <c r="C5451" t="s">
        <v>114</v>
      </c>
      <c r="D5451" t="s">
        <v>10</v>
      </c>
      <c r="E5451" s="4" t="str">
        <f>HYPERLINK("https://ibp.a2mac1.com/costing(costing:projects/details/9760/process/12085270)","Cleaning")</f>
        <v>Cleaning</v>
      </c>
      <c r="F5451" t="s">
        <v>5903</v>
      </c>
    </row>
    <row r="5452" spans="1:6" x14ac:dyDescent="0.15">
      <c r="A5452">
        <v>12212366</v>
      </c>
      <c r="B5452">
        <v>12085270</v>
      </c>
      <c r="C5452" t="s">
        <v>163</v>
      </c>
      <c r="D5452" t="s">
        <v>114</v>
      </c>
      <c r="E5452" s="4" t="str">
        <f>HYPERLINK("https://ibp.a2mac1.com/costing(costing:projects/details/9760/equipment/12212366)","No.05 - Cleaning - Batch - 2000x2000x1200 - 500kg/batch - 3000kg/h ")</f>
        <v xml:space="preserve">No.05 - Cleaning - Batch - 2000x2000x1200 - 500kg/batch - 3000kg/h </v>
      </c>
      <c r="F5452" t="s">
        <v>5908</v>
      </c>
    </row>
    <row r="5453" spans="1:6" x14ac:dyDescent="0.15">
      <c r="A5453">
        <v>12085269</v>
      </c>
      <c r="B5453">
        <v>8415903</v>
      </c>
      <c r="C5453" t="s">
        <v>114</v>
      </c>
      <c r="D5453" t="s">
        <v>10</v>
      </c>
      <c r="E5453" s="4" t="str">
        <f>HYPERLINK("https://ibp.a2mac1.com/costing(costing:projects/details/9760/process/12085269)","Packaging")</f>
        <v>Packaging</v>
      </c>
      <c r="F5453" t="s">
        <v>5903</v>
      </c>
    </row>
    <row r="5454" spans="1:6" x14ac:dyDescent="0.15">
      <c r="A5454">
        <v>12212365</v>
      </c>
      <c r="B5454">
        <v>12085269</v>
      </c>
      <c r="C5454" t="s">
        <v>163</v>
      </c>
      <c r="D5454" t="s">
        <v>114</v>
      </c>
      <c r="E5454" s="4" t="str">
        <f>HYPERLINK("https://ibp.a2mac1.com/costing(costing:projects/details/9760/equipment/12212365)","Packaging ")</f>
        <v xml:space="preserve">Packaging </v>
      </c>
      <c r="F5454" t="s">
        <v>5909</v>
      </c>
    </row>
    <row r="5455" spans="1:6" x14ac:dyDescent="0.15">
      <c r="A5455">
        <v>8415904</v>
      </c>
      <c r="B5455">
        <v>8415650</v>
      </c>
      <c r="C5455" t="s">
        <v>10</v>
      </c>
      <c r="D5455" t="s">
        <v>8</v>
      </c>
      <c r="E5455" s="4" t="str">
        <f>HYPERLINK("https://ibp.a2mac1.com/costing(costing:projects/details/9760/part/8415904)","Stopper On Hinge")</f>
        <v>Stopper On Hinge</v>
      </c>
      <c r="F5455" t="s">
        <v>5837</v>
      </c>
    </row>
    <row r="5456" spans="1:6" x14ac:dyDescent="0.15">
      <c r="A5456">
        <v>8415905</v>
      </c>
      <c r="B5456">
        <v>8415650</v>
      </c>
      <c r="C5456" t="s">
        <v>10</v>
      </c>
      <c r="D5456" t="s">
        <v>8</v>
      </c>
      <c r="E5456" s="4" t="str">
        <f>HYPERLINK("https://ibp.a2mac1.com/costing(costing:projects/details/9760/part/8415905)","Stopper On Hinge 2")</f>
        <v>Stopper On Hinge 2</v>
      </c>
      <c r="F5456" t="s">
        <v>5837</v>
      </c>
    </row>
    <row r="5457" spans="1:6" x14ac:dyDescent="0.15">
      <c r="A5457">
        <v>8415906</v>
      </c>
      <c r="B5457">
        <v>8415650</v>
      </c>
      <c r="C5457" t="s">
        <v>10</v>
      </c>
      <c r="D5457" t="s">
        <v>8</v>
      </c>
      <c r="E5457" s="4" t="str">
        <f>HYPERLINK("https://ibp.a2mac1.com/costing(costing:projects/details/9760/part/8415906)","Adjustable Stopper")</f>
        <v>Adjustable Stopper</v>
      </c>
      <c r="F5457" t="s">
        <v>5837</v>
      </c>
    </row>
    <row r="5458" spans="1:6" x14ac:dyDescent="0.15">
      <c r="A5458">
        <v>8415907</v>
      </c>
      <c r="B5458">
        <v>8415650</v>
      </c>
      <c r="C5458" t="s">
        <v>10</v>
      </c>
      <c r="D5458" t="s">
        <v>8</v>
      </c>
      <c r="E5458" s="4" t="str">
        <f>HYPERLINK("https://ibp.a2mac1.com/costing(costing:projects/details/9760/part/8415907)","Connection Bar")</f>
        <v>Connection Bar</v>
      </c>
      <c r="F5458" t="s">
        <v>5837</v>
      </c>
    </row>
    <row r="5459" spans="1:6" x14ac:dyDescent="0.15">
      <c r="A5459">
        <v>12085271</v>
      </c>
      <c r="B5459">
        <v>8415907</v>
      </c>
      <c r="C5459" t="s">
        <v>114</v>
      </c>
      <c r="D5459" t="s">
        <v>10</v>
      </c>
      <c r="E5459" s="4" t="str">
        <f>HYPERLINK("https://ibp.a2mac1.com/costing(costing:projects/details/9760/process/12085271)","Broaching")</f>
        <v>Broaching</v>
      </c>
      <c r="F5459" t="s">
        <v>5914</v>
      </c>
    </row>
    <row r="5460" spans="1:6" x14ac:dyDescent="0.15">
      <c r="A5460">
        <v>8754870</v>
      </c>
      <c r="B5460">
        <v>12085271</v>
      </c>
      <c r="C5460" t="s">
        <v>22</v>
      </c>
      <c r="D5460" t="s">
        <v>114</v>
      </c>
      <c r="E5460" s="4" t="str">
        <f>HYPERLINK("https://ibp.a2mac1.com/costing(costing:projects/details/9760/material/8754870)","Aluminum sheet body (default, e.g. EN-AW6063)")</f>
        <v>Aluminum sheet body (default, e.g. EN-AW6063)</v>
      </c>
      <c r="F5460" t="s">
        <v>5916</v>
      </c>
    </row>
    <row r="5461" spans="1:6" x14ac:dyDescent="0.15">
      <c r="A5461">
        <v>12212367</v>
      </c>
      <c r="B5461">
        <v>12085271</v>
      </c>
      <c r="C5461" t="s">
        <v>163</v>
      </c>
      <c r="D5461" t="s">
        <v>114</v>
      </c>
      <c r="E5461" s="4" t="str">
        <f>HYPERLINK("https://ibp.a2mac1.com/costing(costing:projects/details/9760/equipment/12212367)","No.02 - Broaching - 100kN ")</f>
        <v xml:space="preserve">No.02 - Broaching - 100kN </v>
      </c>
      <c r="F5461" t="s">
        <v>5916</v>
      </c>
    </row>
    <row r="5462" spans="1:6" x14ac:dyDescent="0.15">
      <c r="A5462">
        <v>12085272</v>
      </c>
      <c r="B5462">
        <v>8415907</v>
      </c>
      <c r="C5462" t="s">
        <v>114</v>
      </c>
      <c r="D5462" t="s">
        <v>10</v>
      </c>
      <c r="E5462" s="4" t="str">
        <f>HYPERLINK("https://ibp.a2mac1.com/costing(costing:projects/details/9760/process/12085272)","Anodizing")</f>
        <v>Anodizing</v>
      </c>
      <c r="F5462" t="s">
        <v>5914</v>
      </c>
    </row>
    <row r="5463" spans="1:6" x14ac:dyDescent="0.15">
      <c r="A5463">
        <v>12212368</v>
      </c>
      <c r="B5463">
        <v>12085272</v>
      </c>
      <c r="C5463" t="s">
        <v>163</v>
      </c>
      <c r="D5463" t="s">
        <v>114</v>
      </c>
      <c r="E5463" s="4" t="str">
        <f>HYPERLINK("https://ibp.a2mac1.com/costing(costing:projects/details/9760/equipment/12212368)","Autom anodizing system including hot water compression ")</f>
        <v xml:space="preserve">Autom anodizing system including hot water compression </v>
      </c>
      <c r="F5463" t="s">
        <v>5920</v>
      </c>
    </row>
    <row r="5464" spans="1:6" x14ac:dyDescent="0.15">
      <c r="A5464">
        <v>8415909</v>
      </c>
      <c r="B5464">
        <v>8415650</v>
      </c>
      <c r="C5464" t="s">
        <v>10</v>
      </c>
      <c r="D5464" t="s">
        <v>8</v>
      </c>
      <c r="E5464" s="4" t="str">
        <f>HYPERLINK("https://ibp.a2mac1.com/costing(costing:projects/details/9760/part/8415909)","Draining Hose")</f>
        <v>Draining Hose</v>
      </c>
      <c r="F5464" t="s">
        <v>5837</v>
      </c>
    </row>
    <row r="5465" spans="1:6" x14ac:dyDescent="0.15">
      <c r="A5465">
        <v>12085274</v>
      </c>
      <c r="B5465">
        <v>8415909</v>
      </c>
      <c r="C5465" t="s">
        <v>114</v>
      </c>
      <c r="D5465" t="s">
        <v>10</v>
      </c>
      <c r="E5465" s="4" t="str">
        <f>HYPERLINK("https://ibp.a2mac1.com/costing(costing:projects/details/9760/process/12085274)","Rubber Extrusion")</f>
        <v>Rubber Extrusion</v>
      </c>
      <c r="F5465" t="s">
        <v>5922</v>
      </c>
    </row>
    <row r="5466" spans="1:6" x14ac:dyDescent="0.15">
      <c r="A5466">
        <v>8754871</v>
      </c>
      <c r="B5466">
        <v>12085274</v>
      </c>
      <c r="C5466" t="s">
        <v>22</v>
      </c>
      <c r="D5466" t="s">
        <v>114</v>
      </c>
      <c r="E5466" s="4" t="str">
        <f>HYPERLINK("https://ibp.a2mac1.com/costing(costing:projects/details/9760/material/8754871)","EPDM")</f>
        <v>EPDM</v>
      </c>
      <c r="F5466" t="s">
        <v>5924</v>
      </c>
    </row>
    <row r="5467" spans="1:6" x14ac:dyDescent="0.15">
      <c r="A5467">
        <v>12212370</v>
      </c>
      <c r="B5467">
        <v>12085274</v>
      </c>
      <c r="C5467" t="s">
        <v>163</v>
      </c>
      <c r="D5467" t="s">
        <v>114</v>
      </c>
      <c r="E5467" s="4" t="str">
        <f>HYPERLINK("https://ibp.a2mac1.com/costing(costing:projects/details/9760/equipment/12212370)","Rubber Extrusion Line")</f>
        <v>Rubber Extrusion Line</v>
      </c>
      <c r="F5467" t="s">
        <v>5924</v>
      </c>
    </row>
    <row r="5468" spans="1:6" x14ac:dyDescent="0.15">
      <c r="A5468">
        <v>12085275</v>
      </c>
      <c r="B5468">
        <v>8415909</v>
      </c>
      <c r="C5468" t="s">
        <v>114</v>
      </c>
      <c r="D5468" t="s">
        <v>10</v>
      </c>
      <c r="E5468" s="4" t="str">
        <f>HYPERLINK("https://ibp.a2mac1.com/costing(costing:projects/details/9760/process/12085275)","Handling/Visual Inspection/Packaging")</f>
        <v>Handling/Visual Inspection/Packaging</v>
      </c>
      <c r="F5468" t="s">
        <v>5922</v>
      </c>
    </row>
    <row r="5469" spans="1:6" x14ac:dyDescent="0.15">
      <c r="A5469">
        <v>12212371</v>
      </c>
      <c r="B5469">
        <v>12085275</v>
      </c>
      <c r="C5469" t="s">
        <v>163</v>
      </c>
      <c r="D5469" t="s">
        <v>114</v>
      </c>
      <c r="E5469" s="4" t="str">
        <f>HYPERLINK("https://ibp.a2mac1.com/costing(costing:projects/details/9760/equipment/12212371)","Packaging")</f>
        <v>Packaging</v>
      </c>
      <c r="F5469" t="s">
        <v>5925</v>
      </c>
    </row>
    <row r="5470" spans="1:6" x14ac:dyDescent="0.15">
      <c r="A5470">
        <v>8415910</v>
      </c>
      <c r="B5470">
        <v>8415650</v>
      </c>
      <c r="C5470" t="s">
        <v>10</v>
      </c>
      <c r="D5470" t="s">
        <v>8</v>
      </c>
      <c r="E5470" s="4" t="str">
        <f>HYPERLINK("https://ibp.a2mac1.com/costing(costing:projects/details/9760/part/8415910)","Draining Hose Support")</f>
        <v>Draining Hose Support</v>
      </c>
      <c r="F5470" t="s">
        <v>5837</v>
      </c>
    </row>
    <row r="5471" spans="1:6" x14ac:dyDescent="0.15">
      <c r="A5471">
        <v>12085277</v>
      </c>
      <c r="B5471">
        <v>8415910</v>
      </c>
      <c r="C5471" t="s">
        <v>114</v>
      </c>
      <c r="D5471" t="s">
        <v>10</v>
      </c>
      <c r="E5471" s="4" t="str">
        <f>HYPERLINK("https://ibp.a2mac1.com/costing(costing:projects/details/9760/process/12085277)","Injection molding")</f>
        <v>Injection molding</v>
      </c>
      <c r="F5471" t="s">
        <v>5927</v>
      </c>
    </row>
    <row r="5472" spans="1:6" x14ac:dyDescent="0.15">
      <c r="A5472">
        <v>8754872</v>
      </c>
      <c r="B5472">
        <v>12085277</v>
      </c>
      <c r="C5472" t="s">
        <v>22</v>
      </c>
      <c r="D5472" t="s">
        <v>114</v>
      </c>
      <c r="E5472" s="4" t="str">
        <f>HYPERLINK("https://ibp.a2mac1.com/costing(costing:projects/details/9760/material/8754872)","PP-GF20")</f>
        <v>PP-GF20</v>
      </c>
      <c r="F5472" t="s">
        <v>5929</v>
      </c>
    </row>
    <row r="5473" spans="1:6" x14ac:dyDescent="0.15">
      <c r="A5473">
        <v>12212373</v>
      </c>
      <c r="B5473">
        <v>12085277</v>
      </c>
      <c r="C5473" t="s">
        <v>163</v>
      </c>
      <c r="D5473" t="s">
        <v>114</v>
      </c>
      <c r="E5473" s="4" t="str">
        <f>HYPERLINK("https://ibp.a2mac1.com/costing(costing:projects/details/9760/equipment/12212373)","No.01 - Injection Press - 40T - 18kW - 270x270 - Max Volume 128cm3 ")</f>
        <v xml:space="preserve">No.01 - Injection Press - 40T - 18kW - 270x270 - Max Volume 128cm3 </v>
      </c>
      <c r="F5473" t="s">
        <v>5929</v>
      </c>
    </row>
    <row r="5474" spans="1:6" x14ac:dyDescent="0.15">
      <c r="A5474">
        <v>12085276</v>
      </c>
      <c r="B5474">
        <v>8415910</v>
      </c>
      <c r="C5474" t="s">
        <v>114</v>
      </c>
      <c r="D5474" t="s">
        <v>10</v>
      </c>
      <c r="E5474" s="4" t="str">
        <f>HYPERLINK("https://ibp.a2mac1.com/costing(costing:projects/details/9760/process/12085276)","Handling/Visual Inspection/Packaging")</f>
        <v>Handling/Visual Inspection/Packaging</v>
      </c>
      <c r="F5474" t="s">
        <v>5927</v>
      </c>
    </row>
    <row r="5475" spans="1:6" x14ac:dyDescent="0.15">
      <c r="A5475">
        <v>12212372</v>
      </c>
      <c r="B5475">
        <v>12085276</v>
      </c>
      <c r="C5475" t="s">
        <v>163</v>
      </c>
      <c r="D5475" t="s">
        <v>114</v>
      </c>
      <c r="E5475" s="4" t="str">
        <f>HYPERLINK("https://ibp.a2mac1.com/costing(costing:projects/details/9760/equipment/12212372)","Packaging")</f>
        <v>Packaging</v>
      </c>
      <c r="F5475" t="s">
        <v>5931</v>
      </c>
    </row>
    <row r="5476" spans="1:6" x14ac:dyDescent="0.15">
      <c r="A5476">
        <v>8415911</v>
      </c>
      <c r="B5476">
        <v>8415650</v>
      </c>
      <c r="C5476" t="s">
        <v>10</v>
      </c>
      <c r="D5476" t="s">
        <v>8</v>
      </c>
      <c r="E5476" s="4" t="str">
        <f>HYPERLINK("https://ibp.a2mac1.com/costing(costing:projects/details/9760/part/8415911)","Connection Bar 2")</f>
        <v>Connection Bar 2</v>
      </c>
      <c r="F5476" t="s">
        <v>5837</v>
      </c>
    </row>
    <row r="5477" spans="1:6" x14ac:dyDescent="0.15">
      <c r="A5477">
        <v>12085278</v>
      </c>
      <c r="B5477">
        <v>8415911</v>
      </c>
      <c r="C5477" t="s">
        <v>114</v>
      </c>
      <c r="D5477" t="s">
        <v>10</v>
      </c>
      <c r="E5477" s="4" t="str">
        <f>HYPERLINK("https://ibp.a2mac1.com/costing(costing:projects/details/9760/process/12085278)","Broaching")</f>
        <v>Broaching</v>
      </c>
      <c r="F5477" t="s">
        <v>5933</v>
      </c>
    </row>
    <row r="5478" spans="1:6" x14ac:dyDescent="0.15">
      <c r="A5478">
        <v>8754873</v>
      </c>
      <c r="B5478">
        <v>12085278</v>
      </c>
      <c r="C5478" t="s">
        <v>22</v>
      </c>
      <c r="D5478" t="s">
        <v>114</v>
      </c>
      <c r="E5478" s="4" t="str">
        <f>HYPERLINK("https://ibp.a2mac1.com/costing(costing:projects/details/9760/material/8754873)","Aluminum sheet body (default, e.g. EN-AW6063)")</f>
        <v>Aluminum sheet body (default, e.g. EN-AW6063)</v>
      </c>
      <c r="F5478" t="s">
        <v>5934</v>
      </c>
    </row>
    <row r="5479" spans="1:6" x14ac:dyDescent="0.15">
      <c r="A5479">
        <v>12212374</v>
      </c>
      <c r="B5479">
        <v>12085278</v>
      </c>
      <c r="C5479" t="s">
        <v>163</v>
      </c>
      <c r="D5479" t="s">
        <v>114</v>
      </c>
      <c r="E5479" s="4" t="str">
        <f>HYPERLINK("https://ibp.a2mac1.com/costing(costing:projects/details/9760/equipment/12212374)","No.02 - Broaching - 100kN ")</f>
        <v xml:space="preserve">No.02 - Broaching - 100kN </v>
      </c>
      <c r="F5479" t="s">
        <v>5934</v>
      </c>
    </row>
    <row r="5480" spans="1:6" x14ac:dyDescent="0.15">
      <c r="A5480">
        <v>12085279</v>
      </c>
      <c r="B5480">
        <v>8415911</v>
      </c>
      <c r="C5480" t="s">
        <v>114</v>
      </c>
      <c r="D5480" t="s">
        <v>10</v>
      </c>
      <c r="E5480" s="4" t="str">
        <f>HYPERLINK("https://ibp.a2mac1.com/costing(costing:projects/details/9760/process/12085279)","Anodizing")</f>
        <v>Anodizing</v>
      </c>
      <c r="F5480" t="s">
        <v>5933</v>
      </c>
    </row>
    <row r="5481" spans="1:6" x14ac:dyDescent="0.15">
      <c r="A5481">
        <v>12212375</v>
      </c>
      <c r="B5481">
        <v>12085279</v>
      </c>
      <c r="C5481" t="s">
        <v>163</v>
      </c>
      <c r="D5481" t="s">
        <v>114</v>
      </c>
      <c r="E5481" s="4" t="str">
        <f>HYPERLINK("https://ibp.a2mac1.com/costing(costing:projects/details/9760/equipment/12212375)","Autom anodizing system including hot water compression ")</f>
        <v xml:space="preserve">Autom anodizing system including hot water compression </v>
      </c>
      <c r="F5481" t="s">
        <v>5935</v>
      </c>
    </row>
    <row r="5482" spans="1:6" x14ac:dyDescent="0.15">
      <c r="A5482">
        <v>8415912</v>
      </c>
      <c r="B5482">
        <v>8415650</v>
      </c>
      <c r="C5482" t="s">
        <v>10</v>
      </c>
      <c r="D5482" t="s">
        <v>8</v>
      </c>
      <c r="E5482" s="4" t="str">
        <f>HYPERLINK("https://ibp.a2mac1.com/costing(costing:projects/details/9760/part/8415912)","Limiter")</f>
        <v>Limiter</v>
      </c>
      <c r="F5482" t="s">
        <v>5837</v>
      </c>
    </row>
    <row r="5483" spans="1:6" x14ac:dyDescent="0.15">
      <c r="A5483">
        <v>12085280</v>
      </c>
      <c r="B5483">
        <v>8415912</v>
      </c>
      <c r="C5483" t="s">
        <v>114</v>
      </c>
      <c r="D5483" t="s">
        <v>10</v>
      </c>
      <c r="E5483" s="4" t="str">
        <f>HYPERLINK("https://ibp.a2mac1.com/costing(costing:projects/details/9760/process/12085280)","Injection molding")</f>
        <v>Injection molding</v>
      </c>
      <c r="F5483" t="s">
        <v>5937</v>
      </c>
    </row>
    <row r="5484" spans="1:6" x14ac:dyDescent="0.15">
      <c r="A5484">
        <v>8754874</v>
      </c>
      <c r="B5484">
        <v>12085280</v>
      </c>
      <c r="C5484" t="s">
        <v>22</v>
      </c>
      <c r="D5484" t="s">
        <v>114</v>
      </c>
      <c r="E5484" s="4" t="str">
        <f>HYPERLINK("https://ibp.a2mac1.com/costing(costing:projects/details/9760/material/8754874)","PA6-GF30")</f>
        <v>PA6-GF30</v>
      </c>
      <c r="F5484" t="s">
        <v>5938</v>
      </c>
    </row>
    <row r="5485" spans="1:6" x14ac:dyDescent="0.15">
      <c r="A5485">
        <v>12212376</v>
      </c>
      <c r="B5485">
        <v>12085280</v>
      </c>
      <c r="C5485" t="s">
        <v>163</v>
      </c>
      <c r="D5485" t="s">
        <v>114</v>
      </c>
      <c r="E5485" s="4" t="str">
        <f>HYPERLINK("https://ibp.a2mac1.com/costing(costing:projects/details/9760/equipment/12212376)","No.01 - Injection Press - 40T - 18kW - 270x270 - Max Volume 128cm3 ")</f>
        <v xml:space="preserve">No.01 - Injection Press - 40T - 18kW - 270x270 - Max Volume 128cm3 </v>
      </c>
      <c r="F5485" t="s">
        <v>5938</v>
      </c>
    </row>
    <row r="5486" spans="1:6" x14ac:dyDescent="0.15">
      <c r="A5486">
        <v>12085281</v>
      </c>
      <c r="B5486">
        <v>8415912</v>
      </c>
      <c r="C5486" t="s">
        <v>114</v>
      </c>
      <c r="D5486" t="s">
        <v>10</v>
      </c>
      <c r="E5486" s="4" t="str">
        <f>HYPERLINK("https://ibp.a2mac1.com/costing(costing:projects/details/9760/process/12085281)","Handling/Visual Inspection/Packaging")</f>
        <v>Handling/Visual Inspection/Packaging</v>
      </c>
      <c r="F5486" t="s">
        <v>5937</v>
      </c>
    </row>
    <row r="5487" spans="1:6" x14ac:dyDescent="0.15">
      <c r="A5487">
        <v>12212377</v>
      </c>
      <c r="B5487">
        <v>12085281</v>
      </c>
      <c r="C5487" t="s">
        <v>163</v>
      </c>
      <c r="D5487" t="s">
        <v>114</v>
      </c>
      <c r="E5487" s="4" t="str">
        <f>HYPERLINK("https://ibp.a2mac1.com/costing(costing:projects/details/9760/equipment/12212377)","Packaging")</f>
        <v>Packaging</v>
      </c>
      <c r="F5487" t="s">
        <v>5940</v>
      </c>
    </row>
    <row r="5488" spans="1:6" x14ac:dyDescent="0.15">
      <c r="A5488">
        <v>12085102</v>
      </c>
      <c r="B5488">
        <v>8415650</v>
      </c>
      <c r="C5488" t="s">
        <v>114</v>
      </c>
      <c r="D5488" t="s">
        <v>8</v>
      </c>
      <c r="E5488" s="4" t="str">
        <f>HYPERLINK("https://ibp.a2mac1.com/costing(costing:projects/details/9760/process/12085102)","Assembly")</f>
        <v>Assembly</v>
      </c>
      <c r="F5488" t="s">
        <v>5837</v>
      </c>
    </row>
    <row r="5489" spans="1:6" x14ac:dyDescent="0.15">
      <c r="A5489">
        <v>12212194</v>
      </c>
      <c r="B5489">
        <v>12085102</v>
      </c>
      <c r="C5489" t="s">
        <v>163</v>
      </c>
      <c r="D5489" t="s">
        <v>114</v>
      </c>
      <c r="E5489" s="4" t="str">
        <f>HYPERLINK("https://ibp.a2mac1.com/costing(costing:projects/details/9760/equipment/12212194)","Assembly Station ")</f>
        <v xml:space="preserve">Assembly Station </v>
      </c>
      <c r="F5489" t="s">
        <v>5942</v>
      </c>
    </row>
    <row r="5490" spans="1:6" x14ac:dyDescent="0.15">
      <c r="A5490">
        <v>8754409</v>
      </c>
      <c r="B5490">
        <v>8415650</v>
      </c>
      <c r="C5490" t="s">
        <v>311</v>
      </c>
      <c r="D5490" t="s">
        <v>8</v>
      </c>
      <c r="E5490" s="4" t="str">
        <f>HYPERLINK("https://ibp.a2mac1.com/costing(costing:projects/details/9760/component/8754409)","Screw &gt; Hexagon screw with flange")</f>
        <v>Screw &gt; Hexagon screw with flange</v>
      </c>
      <c r="F5490" t="s">
        <v>5837</v>
      </c>
    </row>
    <row r="5491" spans="1:6" x14ac:dyDescent="0.15">
      <c r="A5491">
        <v>8754410</v>
      </c>
      <c r="B5491">
        <v>8415650</v>
      </c>
      <c r="C5491" t="s">
        <v>311</v>
      </c>
      <c r="D5491" t="s">
        <v>8</v>
      </c>
      <c r="E5491" s="4" t="str">
        <f>HYPERLINK("https://ibp.a2mac1.com/costing(costing:projects/details/9760/component/8754410)","Washer &gt; Plate washer")</f>
        <v>Washer &gt; Plate washer</v>
      </c>
      <c r="F5491" t="s">
        <v>5837</v>
      </c>
    </row>
    <row r="5492" spans="1:6" x14ac:dyDescent="0.15">
      <c r="A5492">
        <v>8754411</v>
      </c>
      <c r="B5492">
        <v>8415650</v>
      </c>
      <c r="C5492" t="s">
        <v>311</v>
      </c>
      <c r="D5492" t="s">
        <v>8</v>
      </c>
      <c r="E5492" s="4" t="str">
        <f>HYPERLINK("https://ibp.a2mac1.com/costing(costing:projects/details/9760/component/8754411)","Screw &gt; Torx socket head cap screw with flange")</f>
        <v>Screw &gt; Torx socket head cap screw with flange</v>
      </c>
      <c r="F5492" t="s">
        <v>5837</v>
      </c>
    </row>
    <row r="5493" spans="1:6" x14ac:dyDescent="0.15">
      <c r="A5493">
        <v>8754412</v>
      </c>
      <c r="B5493">
        <v>8415650</v>
      </c>
      <c r="C5493" t="s">
        <v>311</v>
      </c>
      <c r="D5493" t="s">
        <v>8</v>
      </c>
      <c r="E5493" s="4" t="str">
        <f>HYPERLINK("https://ibp.a2mac1.com/costing(costing:projects/details/9760/component/8754412)","Other fastener &gt; Colson")</f>
        <v>Other fastener &gt; Colson</v>
      </c>
      <c r="F5493" t="s">
        <v>5837</v>
      </c>
    </row>
    <row r="5494" spans="1:6" x14ac:dyDescent="0.15">
      <c r="A5494">
        <v>8754413</v>
      </c>
      <c r="B5494">
        <v>8415650</v>
      </c>
      <c r="C5494" t="s">
        <v>311</v>
      </c>
      <c r="D5494" t="s">
        <v>8</v>
      </c>
      <c r="E5494" s="4" t="str">
        <f>HYPERLINK("https://ibp.a2mac1.com/costing(costing:projects/details/9760/component/8754413)","Spacer/Axle &gt; Silentbloc")</f>
        <v>Spacer/Axle &gt; Silentbloc</v>
      </c>
      <c r="F5494" t="s">
        <v>5837</v>
      </c>
    </row>
    <row r="5495" spans="1:6" x14ac:dyDescent="0.15">
      <c r="A5495">
        <v>8754414</v>
      </c>
      <c r="B5495">
        <v>8415650</v>
      </c>
      <c r="C5495" t="s">
        <v>311</v>
      </c>
      <c r="D5495" t="s">
        <v>8</v>
      </c>
      <c r="E5495" s="4" t="str">
        <f>HYPERLINK("https://ibp.a2mac1.com/costing(costing:projects/details/9760/component/8754414)","Nut &gt; Hexagonal nut with captive washer")</f>
        <v>Nut &gt; Hexagonal nut with captive washer</v>
      </c>
      <c r="F5495" t="s">
        <v>5837</v>
      </c>
    </row>
    <row r="5496" spans="1:6" x14ac:dyDescent="0.15">
      <c r="A5496">
        <v>8754415</v>
      </c>
      <c r="B5496">
        <v>8415650</v>
      </c>
      <c r="C5496" t="s">
        <v>311</v>
      </c>
      <c r="D5496" t="s">
        <v>8</v>
      </c>
      <c r="E5496" s="4" t="str">
        <f>HYPERLINK("https://ibp.a2mac1.com/costing(costing:projects/details/9760/component/8754415)","Screw &gt; Hexagon screw with flange and captive washer")</f>
        <v>Screw &gt; Hexagon screw with flange and captive washer</v>
      </c>
      <c r="F5496" t="s">
        <v>5837</v>
      </c>
    </row>
    <row r="5497" spans="1:6" x14ac:dyDescent="0.15">
      <c r="A5497">
        <v>8754416</v>
      </c>
      <c r="B5497">
        <v>8415650</v>
      </c>
      <c r="C5497" t="s">
        <v>311</v>
      </c>
      <c r="D5497" t="s">
        <v>8</v>
      </c>
      <c r="E5497" s="4" t="str">
        <f>HYPERLINK("https://ibp.a2mac1.com/costing(costing:projects/details/9760/component/8754416)","Screw &gt; Hexagon screw with flange and captive washer")</f>
        <v>Screw &gt; Hexagon screw with flange and captive washer</v>
      </c>
      <c r="F5497" t="s">
        <v>5837</v>
      </c>
    </row>
    <row r="5498" spans="1:6" x14ac:dyDescent="0.15">
      <c r="A5498">
        <v>8415641</v>
      </c>
      <c r="B5498">
        <v>8415584</v>
      </c>
      <c r="C5498" t="s">
        <v>10</v>
      </c>
      <c r="D5498" t="s">
        <v>8</v>
      </c>
      <c r="E5498" s="4" t="str">
        <f>HYPERLINK("https://ibp.a2mac1.com/costing(costing:projects/details/9760/part/8415641)","Inner Panel")</f>
        <v>Inner Panel</v>
      </c>
      <c r="F5498" t="s">
        <v>5658</v>
      </c>
    </row>
    <row r="5499" spans="1:6" x14ac:dyDescent="0.15">
      <c r="A5499">
        <v>12085095</v>
      </c>
      <c r="B5499">
        <v>8415641</v>
      </c>
      <c r="C5499" t="s">
        <v>114</v>
      </c>
      <c r="D5499" t="s">
        <v>10</v>
      </c>
      <c r="E5499" s="4" t="str">
        <f>HYPERLINK("https://ibp.a2mac1.com/costing(costing:projects/details/9760/process/12085095)","Thermocompression")</f>
        <v>Thermocompression</v>
      </c>
      <c r="F5499" t="s">
        <v>5944</v>
      </c>
    </row>
    <row r="5500" spans="1:6" x14ac:dyDescent="0.15">
      <c r="A5500">
        <v>8754542</v>
      </c>
      <c r="B5500">
        <v>12085095</v>
      </c>
      <c r="C5500" t="s">
        <v>22</v>
      </c>
      <c r="D5500" t="s">
        <v>114</v>
      </c>
      <c r="E5500" s="4" t="str">
        <f>HYPERLINK("https://ibp.a2mac1.com/costing(costing:projects/details/9760/material/8754542)","PET-PUR")</f>
        <v>PET-PUR</v>
      </c>
      <c r="F5500" t="s">
        <v>5947</v>
      </c>
    </row>
    <row r="5501" spans="1:6" x14ac:dyDescent="0.15">
      <c r="A5501">
        <v>12212187</v>
      </c>
      <c r="B5501">
        <v>12085095</v>
      </c>
      <c r="C5501" t="s">
        <v>163</v>
      </c>
      <c r="D5501" t="s">
        <v>114</v>
      </c>
      <c r="E5501" s="4" t="str">
        <f>HYPERLINK("https://ibp.a2mac1.com/costing(costing:projects/details/9760/equipment/12212187)","Thermocompression ")</f>
        <v xml:space="preserve">Thermocompression </v>
      </c>
      <c r="F5501" t="s">
        <v>5947</v>
      </c>
    </row>
    <row r="5502" spans="1:6" x14ac:dyDescent="0.15">
      <c r="A5502">
        <v>12085094</v>
      </c>
      <c r="B5502">
        <v>8415641</v>
      </c>
      <c r="C5502" t="s">
        <v>114</v>
      </c>
      <c r="D5502" t="s">
        <v>10</v>
      </c>
      <c r="E5502" s="4" t="str">
        <f>HYPERLINK("https://ibp.a2mac1.com/costing(costing:projects/details/9760/process/12085094)","Placement sheet")</f>
        <v>Placement sheet</v>
      </c>
      <c r="F5502" t="s">
        <v>5944</v>
      </c>
    </row>
    <row r="5503" spans="1:6" x14ac:dyDescent="0.15">
      <c r="A5503">
        <v>12212186</v>
      </c>
      <c r="B5503">
        <v>12085094</v>
      </c>
      <c r="C5503" t="s">
        <v>163</v>
      </c>
      <c r="D5503" t="s">
        <v>114</v>
      </c>
      <c r="E5503" s="4" t="str">
        <f>HYPERLINK("https://ibp.a2mac1.com/costing(costing:projects/details/9760/equipment/12212186)","Placement robot, 6 axis, 2.5kg ")</f>
        <v xml:space="preserve">Placement robot, 6 axis, 2.5kg </v>
      </c>
      <c r="F5503" t="s">
        <v>5948</v>
      </c>
    </row>
    <row r="5504" spans="1:6" x14ac:dyDescent="0.15">
      <c r="A5504">
        <v>8415642</v>
      </c>
      <c r="B5504">
        <v>8415584</v>
      </c>
      <c r="C5504" t="s">
        <v>10</v>
      </c>
      <c r="D5504" t="s">
        <v>8</v>
      </c>
      <c r="E5504" s="4" t="str">
        <f>HYPERLINK("https://ibp.a2mac1.com/costing(costing:projects/details/9760/part/8415642)","Exterior Bezel")</f>
        <v>Exterior Bezel</v>
      </c>
      <c r="F5504" t="s">
        <v>5658</v>
      </c>
    </row>
    <row r="5505" spans="1:6" x14ac:dyDescent="0.15">
      <c r="A5505">
        <v>12085096</v>
      </c>
      <c r="B5505">
        <v>8415642</v>
      </c>
      <c r="C5505" t="s">
        <v>114</v>
      </c>
      <c r="D5505" t="s">
        <v>10</v>
      </c>
      <c r="E5505" s="4" t="str">
        <f>HYPERLINK("https://ibp.a2mac1.com/costing(costing:projects/details/9760/process/12085096)","Injection molding")</f>
        <v>Injection molding</v>
      </c>
      <c r="F5505" t="s">
        <v>5950</v>
      </c>
    </row>
    <row r="5506" spans="1:6" x14ac:dyDescent="0.15">
      <c r="A5506">
        <v>8754543</v>
      </c>
      <c r="B5506">
        <v>12085096</v>
      </c>
      <c r="C5506" t="s">
        <v>22</v>
      </c>
      <c r="D5506" t="s">
        <v>114</v>
      </c>
      <c r="E5506" s="4" t="str">
        <f>HYPERLINK("https://ibp.a2mac1.com/costing(costing:projects/details/9760/material/8754543)","PET")</f>
        <v>PET</v>
      </c>
      <c r="F5506" t="s">
        <v>5953</v>
      </c>
    </row>
    <row r="5507" spans="1:6" x14ac:dyDescent="0.15">
      <c r="A5507">
        <v>12212188</v>
      </c>
      <c r="B5507">
        <v>12085096</v>
      </c>
      <c r="C5507" t="s">
        <v>163</v>
      </c>
      <c r="D5507" t="s">
        <v>114</v>
      </c>
      <c r="E5507" s="4" t="str">
        <f>HYPERLINK("https://ibp.a2mac1.com/costing(costing:projects/details/9760/equipment/12212188)","No.13 - Injection Press - 1000T - 191kW - 1230x1230 - Max Volume 7815cm3 ")</f>
        <v xml:space="preserve">No.13 - Injection Press - 1000T - 191kW - 1230x1230 - Max Volume 7815cm3 </v>
      </c>
      <c r="F5507" t="s">
        <v>5953</v>
      </c>
    </row>
    <row r="5508" spans="1:6" x14ac:dyDescent="0.15">
      <c r="A5508">
        <v>12085097</v>
      </c>
      <c r="B5508">
        <v>8415642</v>
      </c>
      <c r="C5508" t="s">
        <v>114</v>
      </c>
      <c r="D5508" t="s">
        <v>10</v>
      </c>
      <c r="E5508" s="4" t="str">
        <f>HYPERLINK("https://ibp.a2mac1.com/costing(costing:projects/details/9760/process/12085097)","Handling/Visual Inspection/Packaging")</f>
        <v>Handling/Visual Inspection/Packaging</v>
      </c>
      <c r="F5508" t="s">
        <v>5950</v>
      </c>
    </row>
    <row r="5509" spans="1:6" x14ac:dyDescent="0.15">
      <c r="A5509">
        <v>12212189</v>
      </c>
      <c r="B5509">
        <v>12085097</v>
      </c>
      <c r="C5509" t="s">
        <v>163</v>
      </c>
      <c r="D5509" t="s">
        <v>114</v>
      </c>
      <c r="E5509" s="4" t="str">
        <f>HYPERLINK("https://ibp.a2mac1.com/costing(costing:projects/details/9760/equipment/12212189)","Packaging")</f>
        <v>Packaging</v>
      </c>
      <c r="F5509" t="s">
        <v>5955</v>
      </c>
    </row>
    <row r="5510" spans="1:6" x14ac:dyDescent="0.15">
      <c r="A5510">
        <v>8415644</v>
      </c>
      <c r="B5510">
        <v>8415584</v>
      </c>
      <c r="C5510" t="s">
        <v>10</v>
      </c>
      <c r="D5510" t="s">
        <v>8</v>
      </c>
      <c r="E5510" s="4" t="str">
        <f>HYPERLINK("https://ibp.a2mac1.com/costing(costing:projects/details/9760/part/8415644)","Water Drain")</f>
        <v>Water Drain</v>
      </c>
      <c r="F5510" t="s">
        <v>5658</v>
      </c>
    </row>
    <row r="5511" spans="1:6" x14ac:dyDescent="0.15">
      <c r="A5511">
        <v>12085100</v>
      </c>
      <c r="B5511">
        <v>8415644</v>
      </c>
      <c r="C5511" t="s">
        <v>114</v>
      </c>
      <c r="D5511" t="s">
        <v>10</v>
      </c>
      <c r="E5511" s="4" t="str">
        <f>HYPERLINK("https://ibp.a2mac1.com/costing(costing:projects/details/9760/process/12085100)","Injection molding")</f>
        <v>Injection molding</v>
      </c>
      <c r="F5511" t="s">
        <v>5957</v>
      </c>
    </row>
    <row r="5512" spans="1:6" x14ac:dyDescent="0.15">
      <c r="A5512">
        <v>8754544</v>
      </c>
      <c r="B5512">
        <v>12085100</v>
      </c>
      <c r="C5512" t="s">
        <v>22</v>
      </c>
      <c r="D5512" t="s">
        <v>114</v>
      </c>
      <c r="E5512" s="4" t="str">
        <f>HYPERLINK("https://ibp.a2mac1.com/costing(costing:projects/details/9760/material/8754544)","TPE")</f>
        <v>TPE</v>
      </c>
      <c r="F5512" t="s">
        <v>5959</v>
      </c>
    </row>
    <row r="5513" spans="1:6" x14ac:dyDescent="0.15">
      <c r="A5513">
        <v>12212192</v>
      </c>
      <c r="B5513">
        <v>12085100</v>
      </c>
      <c r="C5513" t="s">
        <v>163</v>
      </c>
      <c r="D5513" t="s">
        <v>114</v>
      </c>
      <c r="E5513" s="4" t="str">
        <f>HYPERLINK("https://ibp.a2mac1.com/costing(costing:projects/details/9760/equipment/12212192)","No.01 - Injection Press - 40T - 18kW - 270x270 - Max Volume 128cm3 ")</f>
        <v xml:space="preserve">No.01 - Injection Press - 40T - 18kW - 270x270 - Max Volume 128cm3 </v>
      </c>
      <c r="F5513" t="s">
        <v>5959</v>
      </c>
    </row>
    <row r="5514" spans="1:6" x14ac:dyDescent="0.15">
      <c r="A5514">
        <v>12085101</v>
      </c>
      <c r="B5514">
        <v>8415644</v>
      </c>
      <c r="C5514" t="s">
        <v>114</v>
      </c>
      <c r="D5514" t="s">
        <v>10</v>
      </c>
      <c r="E5514" s="4" t="str">
        <f>HYPERLINK("https://ibp.a2mac1.com/costing(costing:projects/details/9760/process/12085101)","Handling/Visual Inspection/Packaging")</f>
        <v>Handling/Visual Inspection/Packaging</v>
      </c>
      <c r="F5514" t="s">
        <v>5957</v>
      </c>
    </row>
    <row r="5515" spans="1:6" x14ac:dyDescent="0.15">
      <c r="A5515">
        <v>12212193</v>
      </c>
      <c r="B5515">
        <v>12085101</v>
      </c>
      <c r="C5515" t="s">
        <v>163</v>
      </c>
      <c r="D5515" t="s">
        <v>114</v>
      </c>
      <c r="E5515" s="4" t="str">
        <f>HYPERLINK("https://ibp.a2mac1.com/costing(costing:projects/details/9760/equipment/12212193)","Packaging")</f>
        <v>Packaging</v>
      </c>
      <c r="F5515" t="s">
        <v>5961</v>
      </c>
    </row>
    <row r="5516" spans="1:6" x14ac:dyDescent="0.15">
      <c r="A5516">
        <v>12085063</v>
      </c>
      <c r="B5516">
        <v>8415584</v>
      </c>
      <c r="C5516" t="s">
        <v>114</v>
      </c>
      <c r="D5516" t="s">
        <v>8</v>
      </c>
      <c r="E5516" s="4" t="str">
        <f>HYPERLINK("https://ibp.a2mac1.com/costing(costing:projects/details/9760/process/12085063)","Assembly")</f>
        <v>Assembly</v>
      </c>
      <c r="F5516" t="s">
        <v>5658</v>
      </c>
    </row>
    <row r="5517" spans="1:6" x14ac:dyDescent="0.15">
      <c r="A5517">
        <v>12212155</v>
      </c>
      <c r="B5517">
        <v>12085063</v>
      </c>
      <c r="C5517" t="s">
        <v>163</v>
      </c>
      <c r="D5517" t="s">
        <v>114</v>
      </c>
      <c r="E5517" s="4" t="str">
        <f>HYPERLINK("https://ibp.a2mac1.com/costing(costing:projects/details/9760/equipment/12212155)","Assembly Station ")</f>
        <v xml:space="preserve">Assembly Station </v>
      </c>
      <c r="F5517" t="s">
        <v>5963</v>
      </c>
    </row>
    <row r="5518" spans="1:6" x14ac:dyDescent="0.15">
      <c r="A5518">
        <v>8754307</v>
      </c>
      <c r="B5518">
        <v>8415584</v>
      </c>
      <c r="C5518" t="s">
        <v>311</v>
      </c>
      <c r="D5518" t="s">
        <v>8</v>
      </c>
      <c r="E5518" s="4" t="str">
        <f>HYPERLINK("https://ibp.a2mac1.com/costing(costing:projects/details/9760/component/8754307)","Other fastener &gt; Glue")</f>
        <v>Other fastener &gt; Glue</v>
      </c>
      <c r="F5518" t="s">
        <v>5658</v>
      </c>
    </row>
    <row r="5519" spans="1:6" x14ac:dyDescent="0.15">
      <c r="A5519">
        <v>8754308</v>
      </c>
      <c r="B5519">
        <v>8415584</v>
      </c>
      <c r="C5519" t="s">
        <v>311</v>
      </c>
      <c r="D5519" t="s">
        <v>8</v>
      </c>
      <c r="E5519" s="4" t="str">
        <f>HYPERLINK("https://ibp.a2mac1.com/costing(costing:projects/details/9760/component/8754308)","Panel holder &gt; Clips in round hole")</f>
        <v>Panel holder &gt; Clips in round hole</v>
      </c>
      <c r="F5519" t="s">
        <v>5658</v>
      </c>
    </row>
    <row r="5520" spans="1:6" x14ac:dyDescent="0.15">
      <c r="A5520">
        <v>8415585</v>
      </c>
      <c r="B5520">
        <v>8415576</v>
      </c>
      <c r="C5520" t="s">
        <v>8</v>
      </c>
      <c r="D5520" t="s">
        <v>8</v>
      </c>
      <c r="E5520" s="4" t="str">
        <f>HYPERLINK("https://ibp.a2mac1.com/costing(costing:projects/details/9760/assembly/8415585)","Rear Door Right")</f>
        <v>Rear Door Right</v>
      </c>
      <c r="F5520" t="s">
        <v>4953</v>
      </c>
    </row>
    <row r="5521" spans="1:6" x14ac:dyDescent="0.15">
      <c r="A5521">
        <v>8415651</v>
      </c>
      <c r="B5521">
        <v>8415585</v>
      </c>
      <c r="C5521" t="s">
        <v>8</v>
      </c>
      <c r="D5521" t="s">
        <v>8</v>
      </c>
      <c r="E5521" s="4" t="str">
        <f>HYPERLINK("https://ibp.a2mac1.com/costing(costing:projects/details/9760/assembly/8415651)","Rear Door Right")</f>
        <v>Rear Door Right</v>
      </c>
      <c r="F5521" t="s">
        <v>5965</v>
      </c>
    </row>
    <row r="5522" spans="1:6" x14ac:dyDescent="0.15">
      <c r="A5522">
        <v>8415913</v>
      </c>
      <c r="B5522">
        <v>8415651</v>
      </c>
      <c r="C5522" t="s">
        <v>8</v>
      </c>
      <c r="D5522" t="s">
        <v>8</v>
      </c>
      <c r="E5522" s="4" t="str">
        <f>HYPERLINK("https://ibp.a2mac1.com/costing(costing:projects/details/9760/assembly/8415913)","Housing assy")</f>
        <v>Housing assy</v>
      </c>
      <c r="F5522" t="s">
        <v>5966</v>
      </c>
    </row>
    <row r="5523" spans="1:6" x14ac:dyDescent="0.15">
      <c r="A5523">
        <v>8416253</v>
      </c>
      <c r="B5523">
        <v>8415913</v>
      </c>
      <c r="C5523" t="s">
        <v>8</v>
      </c>
      <c r="D5523" t="s">
        <v>8</v>
      </c>
      <c r="E5523" s="4" t="str">
        <f>HYPERLINK("https://ibp.a2mac1.com/costing(costing:projects/details/9760/assembly/8416253)","Housing")</f>
        <v>Housing</v>
      </c>
      <c r="F5523" t="s">
        <v>5967</v>
      </c>
    </row>
    <row r="5524" spans="1:6" x14ac:dyDescent="0.15">
      <c r="A5524">
        <v>8416542</v>
      </c>
      <c r="B5524">
        <v>8416253</v>
      </c>
      <c r="C5524" t="s">
        <v>10</v>
      </c>
      <c r="D5524" t="s">
        <v>8</v>
      </c>
      <c r="E5524" s="4" t="str">
        <f>HYPERLINK("https://ibp.a2mac1.com/costing(costing:projects/details/9760/part/8416542)","Closures&gt;Rear door&gt;Housing assy&gt;Housing&gt;Part 01 (single/front)")</f>
        <v>Closures&gt;Rear door&gt;Housing assy&gt;Housing&gt;Part 01 (single/front)</v>
      </c>
      <c r="F5524" t="s">
        <v>5968</v>
      </c>
    </row>
    <row r="5525" spans="1:6" x14ac:dyDescent="0.15">
      <c r="A5525">
        <v>12085977</v>
      </c>
      <c r="B5525">
        <v>8416542</v>
      </c>
      <c r="C5525" t="s">
        <v>114</v>
      </c>
      <c r="D5525" t="s">
        <v>10</v>
      </c>
      <c r="E5525" s="4" t="str">
        <f>HYPERLINK("https://ibp.a2mac1.com/costing(costing:projects/details/9760/process/12085977)","MANUFACTURING  PROCESS")</f>
        <v>MANUFACTURING  PROCESS</v>
      </c>
      <c r="F5525" t="s">
        <v>5969</v>
      </c>
    </row>
    <row r="5526" spans="1:6" x14ac:dyDescent="0.15">
      <c r="A5526">
        <v>8755590</v>
      </c>
      <c r="B5526">
        <v>12085977</v>
      </c>
      <c r="C5526" t="s">
        <v>22</v>
      </c>
      <c r="D5526" t="s">
        <v>114</v>
      </c>
      <c r="E5526" s="4" t="str">
        <f>HYPERLINK("https://ibp.a2mac1.com/costing(costing:projects/details/9760/material/8755590)","Standard Structural Steel sheet")</f>
        <v>Standard Structural Steel sheet</v>
      </c>
      <c r="F5526" t="s">
        <v>5972</v>
      </c>
    </row>
    <row r="5527" spans="1:6" x14ac:dyDescent="0.15">
      <c r="A5527">
        <v>12213135</v>
      </c>
      <c r="B5527">
        <v>12085977</v>
      </c>
      <c r="C5527" t="s">
        <v>163</v>
      </c>
      <c r="D5527" t="s">
        <v>114</v>
      </c>
      <c r="E5527" s="4" t="str">
        <f>HYPERLINK("https://ibp.a2mac1.com/costing(costing:projects/details/9760/equipment/12213135)","Manufacturing Equipment")</f>
        <v>Manufacturing Equipment</v>
      </c>
      <c r="F5527" t="s">
        <v>5972</v>
      </c>
    </row>
    <row r="5528" spans="1:6" x14ac:dyDescent="0.15">
      <c r="A5528">
        <v>8416254</v>
      </c>
      <c r="B5528">
        <v>8415913</v>
      </c>
      <c r="C5528" t="s">
        <v>8</v>
      </c>
      <c r="D5528" t="s">
        <v>8</v>
      </c>
      <c r="E5528" s="4" t="str">
        <f>HYPERLINK("https://ibp.a2mac1.com/costing(costing:projects/details/9760/assembly/8416254)","Reinforcements")</f>
        <v>Reinforcements</v>
      </c>
      <c r="F5528" t="s">
        <v>5967</v>
      </c>
    </row>
    <row r="5529" spans="1:6" x14ac:dyDescent="0.15">
      <c r="A5529">
        <v>8416543</v>
      </c>
      <c r="B5529">
        <v>8416254</v>
      </c>
      <c r="C5529" t="s">
        <v>10</v>
      </c>
      <c r="D5529" t="s">
        <v>8</v>
      </c>
      <c r="E5529" s="4" t="str">
        <f>HYPERLINK("https://ibp.a2mac1.com/costing(costing:projects/details/9760/part/8416543)","Closures&gt;Rear door&gt;Housing assy&gt;Reinforcements&gt;Part 01 (single/main)")</f>
        <v>Closures&gt;Rear door&gt;Housing assy&gt;Reinforcements&gt;Part 01 (single/main)</v>
      </c>
      <c r="F5529" t="s">
        <v>5973</v>
      </c>
    </row>
    <row r="5530" spans="1:6" x14ac:dyDescent="0.15">
      <c r="A5530">
        <v>12085978</v>
      </c>
      <c r="B5530">
        <v>8416543</v>
      </c>
      <c r="C5530" t="s">
        <v>114</v>
      </c>
      <c r="D5530" t="s">
        <v>10</v>
      </c>
      <c r="E5530" s="4" t="str">
        <f>HYPERLINK("https://ibp.a2mac1.com/costing(costing:projects/details/9760/process/12085978)","MANUFACTURING  PROCESS")</f>
        <v>MANUFACTURING  PROCESS</v>
      </c>
      <c r="F5530" t="s">
        <v>5974</v>
      </c>
    </row>
    <row r="5531" spans="1:6" x14ac:dyDescent="0.15">
      <c r="A5531">
        <v>8755591</v>
      </c>
      <c r="B5531">
        <v>12085978</v>
      </c>
      <c r="C5531" t="s">
        <v>22</v>
      </c>
      <c r="D5531" t="s">
        <v>114</v>
      </c>
      <c r="E5531" s="4" t="str">
        <f>HYPERLINK("https://ibp.a2mac1.com/costing(costing:projects/details/9760/material/8755591)","Standard Structural Steel sheet")</f>
        <v>Standard Structural Steel sheet</v>
      </c>
      <c r="F5531" t="s">
        <v>5977</v>
      </c>
    </row>
    <row r="5532" spans="1:6" x14ac:dyDescent="0.15">
      <c r="A5532">
        <v>12213136</v>
      </c>
      <c r="B5532">
        <v>12085978</v>
      </c>
      <c r="C5532" t="s">
        <v>163</v>
      </c>
      <c r="D5532" t="s">
        <v>114</v>
      </c>
      <c r="E5532" s="4" t="str">
        <f>HYPERLINK("https://ibp.a2mac1.com/costing(costing:projects/details/9760/equipment/12213136)","Manufacturing Equipment")</f>
        <v>Manufacturing Equipment</v>
      </c>
      <c r="F5532" t="s">
        <v>5977</v>
      </c>
    </row>
    <row r="5533" spans="1:6" x14ac:dyDescent="0.15">
      <c r="A5533">
        <v>8416544</v>
      </c>
      <c r="B5533">
        <v>8416254</v>
      </c>
      <c r="C5533" t="s">
        <v>10</v>
      </c>
      <c r="D5533" t="s">
        <v>8</v>
      </c>
      <c r="E5533" s="4" t="str">
        <f>HYPERLINK("https://ibp.a2mac1.com/costing(costing:projects/details/9760/part/8416544)","Closures&gt;Rear door&gt;Housing assy&gt;Reinforcements&gt;Part 02")</f>
        <v>Closures&gt;Rear door&gt;Housing assy&gt;Reinforcements&gt;Part 02</v>
      </c>
      <c r="F5533" t="s">
        <v>5973</v>
      </c>
    </row>
    <row r="5534" spans="1:6" x14ac:dyDescent="0.15">
      <c r="A5534">
        <v>12085979</v>
      </c>
      <c r="B5534">
        <v>8416544</v>
      </c>
      <c r="C5534" t="s">
        <v>114</v>
      </c>
      <c r="D5534" t="s">
        <v>10</v>
      </c>
      <c r="E5534" s="4" t="str">
        <f>HYPERLINK("https://ibp.a2mac1.com/costing(costing:projects/details/9760/process/12085979)","MANUFACTURING  PROCESS")</f>
        <v>MANUFACTURING  PROCESS</v>
      </c>
      <c r="F5534" t="s">
        <v>5978</v>
      </c>
    </row>
    <row r="5535" spans="1:6" x14ac:dyDescent="0.15">
      <c r="A5535">
        <v>8755592</v>
      </c>
      <c r="B5535">
        <v>12085979</v>
      </c>
      <c r="C5535" t="s">
        <v>22</v>
      </c>
      <c r="D5535" t="s">
        <v>114</v>
      </c>
      <c r="E5535" s="4" t="str">
        <f>HYPERLINK("https://ibp.a2mac1.com/costing(costing:projects/details/9760/material/8755592)","Standard Structural Steel sheet")</f>
        <v>Standard Structural Steel sheet</v>
      </c>
      <c r="F5535" t="s">
        <v>5981</v>
      </c>
    </row>
    <row r="5536" spans="1:6" x14ac:dyDescent="0.15">
      <c r="A5536">
        <v>12213137</v>
      </c>
      <c r="B5536">
        <v>12085979</v>
      </c>
      <c r="C5536" t="s">
        <v>163</v>
      </c>
      <c r="D5536" t="s">
        <v>114</v>
      </c>
      <c r="E5536" s="4" t="str">
        <f>HYPERLINK("https://ibp.a2mac1.com/costing(costing:projects/details/9760/equipment/12213137)","Manufacturing Equipment")</f>
        <v>Manufacturing Equipment</v>
      </c>
      <c r="F5536" t="s">
        <v>5981</v>
      </c>
    </row>
    <row r="5537" spans="1:6" x14ac:dyDescent="0.15">
      <c r="A5537">
        <v>8416545</v>
      </c>
      <c r="B5537">
        <v>8416254</v>
      </c>
      <c r="C5537" t="s">
        <v>10</v>
      </c>
      <c r="D5537" t="s">
        <v>8</v>
      </c>
      <c r="E5537" s="4" t="str">
        <f>HYPERLINK("https://ibp.a2mac1.com/costing(costing:projects/details/9760/part/8416545)","Closures&gt;Rear door&gt;Housing assy&gt;Reinforcements&gt;Part 03")</f>
        <v>Closures&gt;Rear door&gt;Housing assy&gt;Reinforcements&gt;Part 03</v>
      </c>
      <c r="F5537" t="s">
        <v>5973</v>
      </c>
    </row>
    <row r="5538" spans="1:6" x14ac:dyDescent="0.15">
      <c r="A5538">
        <v>12085980</v>
      </c>
      <c r="B5538">
        <v>8416545</v>
      </c>
      <c r="C5538" t="s">
        <v>114</v>
      </c>
      <c r="D5538" t="s">
        <v>10</v>
      </c>
      <c r="E5538" s="4" t="str">
        <f>HYPERLINK("https://ibp.a2mac1.com/costing(costing:projects/details/9760/process/12085980)","MANUFACTURING  PROCESS")</f>
        <v>MANUFACTURING  PROCESS</v>
      </c>
      <c r="F5538" t="s">
        <v>5982</v>
      </c>
    </row>
    <row r="5539" spans="1:6" x14ac:dyDescent="0.15">
      <c r="A5539">
        <v>8755593</v>
      </c>
      <c r="B5539">
        <v>12085980</v>
      </c>
      <c r="C5539" t="s">
        <v>22</v>
      </c>
      <c r="D5539" t="s">
        <v>114</v>
      </c>
      <c r="E5539" s="4" t="str">
        <f>HYPERLINK("https://ibp.a2mac1.com/costing(costing:projects/details/9760/material/8755593)","Standard Structural Steel sheet")</f>
        <v>Standard Structural Steel sheet</v>
      </c>
      <c r="F5539" t="s">
        <v>5985</v>
      </c>
    </row>
    <row r="5540" spans="1:6" x14ac:dyDescent="0.15">
      <c r="A5540">
        <v>12213138</v>
      </c>
      <c r="B5540">
        <v>12085980</v>
      </c>
      <c r="C5540" t="s">
        <v>163</v>
      </c>
      <c r="D5540" t="s">
        <v>114</v>
      </c>
      <c r="E5540" s="4" t="str">
        <f>HYPERLINK("https://ibp.a2mac1.com/costing(costing:projects/details/9760/equipment/12213138)","Manufacturing Equipment")</f>
        <v>Manufacturing Equipment</v>
      </c>
      <c r="F5540" t="s">
        <v>5985</v>
      </c>
    </row>
    <row r="5541" spans="1:6" x14ac:dyDescent="0.15">
      <c r="A5541">
        <v>8416546</v>
      </c>
      <c r="B5541">
        <v>8416254</v>
      </c>
      <c r="C5541" t="s">
        <v>10</v>
      </c>
      <c r="D5541" t="s">
        <v>8</v>
      </c>
      <c r="E5541" s="4" t="str">
        <f>HYPERLINK("https://ibp.a2mac1.com/costing(costing:projects/details/9760/part/8416546)","Closures&gt;Rear door&gt;Housing assy&gt;Reinforcements&gt;Part 04")</f>
        <v>Closures&gt;Rear door&gt;Housing assy&gt;Reinforcements&gt;Part 04</v>
      </c>
      <c r="F5541" t="s">
        <v>5973</v>
      </c>
    </row>
    <row r="5542" spans="1:6" x14ac:dyDescent="0.15">
      <c r="A5542">
        <v>12085981</v>
      </c>
      <c r="B5542">
        <v>8416546</v>
      </c>
      <c r="C5542" t="s">
        <v>114</v>
      </c>
      <c r="D5542" t="s">
        <v>10</v>
      </c>
      <c r="E5542" s="4" t="str">
        <f>HYPERLINK("https://ibp.a2mac1.com/costing(costing:projects/details/9760/process/12085981)","MANUFACTURING  PROCESS")</f>
        <v>MANUFACTURING  PROCESS</v>
      </c>
      <c r="F5542" t="s">
        <v>5986</v>
      </c>
    </row>
    <row r="5543" spans="1:6" x14ac:dyDescent="0.15">
      <c r="A5543">
        <v>8755594</v>
      </c>
      <c r="B5543">
        <v>12085981</v>
      </c>
      <c r="C5543" t="s">
        <v>22</v>
      </c>
      <c r="D5543" t="s">
        <v>114</v>
      </c>
      <c r="E5543" s="4" t="str">
        <f>HYPERLINK("https://ibp.a2mac1.com/costing(costing:projects/details/9760/material/8755594)","Standard Structural Steel sheet")</f>
        <v>Standard Structural Steel sheet</v>
      </c>
      <c r="F5543" t="s">
        <v>5988</v>
      </c>
    </row>
    <row r="5544" spans="1:6" x14ac:dyDescent="0.15">
      <c r="A5544">
        <v>12213139</v>
      </c>
      <c r="B5544">
        <v>12085981</v>
      </c>
      <c r="C5544" t="s">
        <v>163</v>
      </c>
      <c r="D5544" t="s">
        <v>114</v>
      </c>
      <c r="E5544" s="4" t="str">
        <f>HYPERLINK("https://ibp.a2mac1.com/costing(costing:projects/details/9760/equipment/12213139)","Manufacturing Equipment")</f>
        <v>Manufacturing Equipment</v>
      </c>
      <c r="F5544" t="s">
        <v>5988</v>
      </c>
    </row>
    <row r="5545" spans="1:6" x14ac:dyDescent="0.15">
      <c r="A5545">
        <v>8416255</v>
      </c>
      <c r="B5545">
        <v>8415913</v>
      </c>
      <c r="C5545" t="s">
        <v>8</v>
      </c>
      <c r="D5545" t="s">
        <v>8</v>
      </c>
      <c r="E5545" s="4" t="str">
        <f>HYPERLINK("https://ibp.a2mac1.com/costing(costing:projects/details/9760/assembly/8416255)","Fixing parts")</f>
        <v>Fixing parts</v>
      </c>
      <c r="F5545" t="s">
        <v>5967</v>
      </c>
    </row>
    <row r="5546" spans="1:6" x14ac:dyDescent="0.15">
      <c r="A5546">
        <v>8416547</v>
      </c>
      <c r="B5546">
        <v>8416255</v>
      </c>
      <c r="C5546" t="s">
        <v>8</v>
      </c>
      <c r="D5546" t="s">
        <v>8</v>
      </c>
      <c r="E5546" s="4" t="str">
        <f>HYPERLINK("https://ibp.a2mac1.com/costing(costing:projects/details/9760/assembly/8416547)","Front")</f>
        <v>Front</v>
      </c>
      <c r="F5546" t="s">
        <v>5989</v>
      </c>
    </row>
    <row r="5547" spans="1:6" x14ac:dyDescent="0.15">
      <c r="A5547">
        <v>8416841</v>
      </c>
      <c r="B5547">
        <v>8416547</v>
      </c>
      <c r="C5547" t="s">
        <v>10</v>
      </c>
      <c r="D5547" t="s">
        <v>8</v>
      </c>
      <c r="E5547" s="4" t="str">
        <f>HYPERLINK("https://ibp.a2mac1.com/costing(costing:projects/details/9760/part/8416841)","Closures&gt;Rear door&gt;Housing assy&gt;Fixing parts&gt;Front&gt;Part 01 (single/main)")</f>
        <v>Closures&gt;Rear door&gt;Housing assy&gt;Fixing parts&gt;Front&gt;Part 01 (single/main)</v>
      </c>
      <c r="F5547" t="s">
        <v>5990</v>
      </c>
    </row>
    <row r="5548" spans="1:6" x14ac:dyDescent="0.15">
      <c r="A5548">
        <v>12086176</v>
      </c>
      <c r="B5548">
        <v>8416841</v>
      </c>
      <c r="C5548" t="s">
        <v>114</v>
      </c>
      <c r="D5548" t="s">
        <v>10</v>
      </c>
      <c r="E5548" s="4" t="str">
        <f>HYPERLINK("https://ibp.a2mac1.com/costing(costing:projects/details/9760/process/12086176)","MANUFACTURING  PROCESS")</f>
        <v>MANUFACTURING  PROCESS</v>
      </c>
      <c r="F5548" t="s">
        <v>5991</v>
      </c>
    </row>
    <row r="5549" spans="1:6" x14ac:dyDescent="0.15">
      <c r="A5549">
        <v>8755762</v>
      </c>
      <c r="B5549">
        <v>12086176</v>
      </c>
      <c r="C5549" t="s">
        <v>22</v>
      </c>
      <c r="D5549" t="s">
        <v>114</v>
      </c>
      <c r="E5549" s="4" t="str">
        <f>HYPERLINK("https://ibp.a2mac1.com/costing(costing:projects/details/9760/material/8755762)","Standard Structural Steel sheet")</f>
        <v>Standard Structural Steel sheet</v>
      </c>
      <c r="F5549" t="s">
        <v>5992</v>
      </c>
    </row>
    <row r="5550" spans="1:6" x14ac:dyDescent="0.15">
      <c r="A5550">
        <v>12213309</v>
      </c>
      <c r="B5550">
        <v>12086176</v>
      </c>
      <c r="C5550" t="s">
        <v>163</v>
      </c>
      <c r="D5550" t="s">
        <v>114</v>
      </c>
      <c r="E5550" s="4" t="str">
        <f>HYPERLINK("https://ibp.a2mac1.com/costing(costing:projects/details/9760/equipment/12213309)","Manufacturing Equipment")</f>
        <v>Manufacturing Equipment</v>
      </c>
      <c r="F5550" t="s">
        <v>5992</v>
      </c>
    </row>
    <row r="5551" spans="1:6" x14ac:dyDescent="0.15">
      <c r="A5551">
        <v>8416842</v>
      </c>
      <c r="B5551">
        <v>8416547</v>
      </c>
      <c r="C5551" t="s">
        <v>10</v>
      </c>
      <c r="D5551" t="s">
        <v>8</v>
      </c>
      <c r="E5551" s="4" t="str">
        <f>HYPERLINK("https://ibp.a2mac1.com/costing(costing:projects/details/9760/part/8416842)","Closures&gt;Rear door&gt;Housing assy&gt;Fixing parts&gt;Front&gt;Part 02")</f>
        <v>Closures&gt;Rear door&gt;Housing assy&gt;Fixing parts&gt;Front&gt;Part 02</v>
      </c>
      <c r="F5551" t="s">
        <v>5990</v>
      </c>
    </row>
    <row r="5552" spans="1:6" x14ac:dyDescent="0.15">
      <c r="A5552">
        <v>12086177</v>
      </c>
      <c r="B5552">
        <v>8416842</v>
      </c>
      <c r="C5552" t="s">
        <v>114</v>
      </c>
      <c r="D5552" t="s">
        <v>10</v>
      </c>
      <c r="E5552" s="4" t="str">
        <f>HYPERLINK("https://ibp.a2mac1.com/costing(costing:projects/details/9760/process/12086177)","MANUFACTURING  PROCESS")</f>
        <v>MANUFACTURING  PROCESS</v>
      </c>
      <c r="F5552" t="s">
        <v>5993</v>
      </c>
    </row>
    <row r="5553" spans="1:6" x14ac:dyDescent="0.15">
      <c r="A5553">
        <v>8755763</v>
      </c>
      <c r="B5553">
        <v>12086177</v>
      </c>
      <c r="C5553" t="s">
        <v>22</v>
      </c>
      <c r="D5553" t="s">
        <v>114</v>
      </c>
      <c r="E5553" s="4" t="str">
        <f>HYPERLINK("https://ibp.a2mac1.com/costing(costing:projects/details/9760/material/8755763)","Standard Structural Steel sheet")</f>
        <v>Standard Structural Steel sheet</v>
      </c>
      <c r="F5553" t="s">
        <v>5994</v>
      </c>
    </row>
    <row r="5554" spans="1:6" x14ac:dyDescent="0.15">
      <c r="A5554">
        <v>12213310</v>
      </c>
      <c r="B5554">
        <v>12086177</v>
      </c>
      <c r="C5554" t="s">
        <v>163</v>
      </c>
      <c r="D5554" t="s">
        <v>114</v>
      </c>
      <c r="E5554" s="4" t="str">
        <f>HYPERLINK("https://ibp.a2mac1.com/costing(costing:projects/details/9760/equipment/12213310)","Manufacturing Equipment")</f>
        <v>Manufacturing Equipment</v>
      </c>
      <c r="F5554" t="s">
        <v>5994</v>
      </c>
    </row>
    <row r="5555" spans="1:6" x14ac:dyDescent="0.15">
      <c r="A5555">
        <v>8415914</v>
      </c>
      <c r="B5555">
        <v>8415651</v>
      </c>
      <c r="C5555" t="s">
        <v>8</v>
      </c>
      <c r="D5555" t="s">
        <v>8</v>
      </c>
      <c r="E5555" s="4" t="str">
        <f>HYPERLINK("https://ibp.a2mac1.com/costing(costing:projects/details/9760/assembly/8415914)","Anti-intrusion beams")</f>
        <v>Anti-intrusion beams</v>
      </c>
      <c r="F5555" t="s">
        <v>5966</v>
      </c>
    </row>
    <row r="5556" spans="1:6" x14ac:dyDescent="0.15">
      <c r="A5556">
        <v>8416256</v>
      </c>
      <c r="B5556">
        <v>8415914</v>
      </c>
      <c r="C5556" t="s">
        <v>8</v>
      </c>
      <c r="D5556" t="s">
        <v>8</v>
      </c>
      <c r="E5556" s="4" t="str">
        <f>HYPERLINK("https://ibp.a2mac1.com/costing(costing:projects/details/9760/assembly/8416256)","Beam 01 (single/upper)")</f>
        <v>Beam 01 (single/upper)</v>
      </c>
      <c r="F5556" t="s">
        <v>5995</v>
      </c>
    </row>
    <row r="5557" spans="1:6" x14ac:dyDescent="0.15">
      <c r="A5557">
        <v>8416548</v>
      </c>
      <c r="B5557">
        <v>8416256</v>
      </c>
      <c r="C5557" t="s">
        <v>8</v>
      </c>
      <c r="D5557" t="s">
        <v>8</v>
      </c>
      <c r="E5557" s="4" t="str">
        <f>HYPERLINK("https://ibp.a2mac1.com/costing(costing:projects/details/9760/assembly/8416548)","Beam")</f>
        <v>Beam</v>
      </c>
      <c r="F5557" t="s">
        <v>5996</v>
      </c>
    </row>
    <row r="5558" spans="1:6" x14ac:dyDescent="0.15">
      <c r="A5558">
        <v>8416843</v>
      </c>
      <c r="B5558">
        <v>8416548</v>
      </c>
      <c r="C5558" t="s">
        <v>10</v>
      </c>
      <c r="D5558" t="s">
        <v>8</v>
      </c>
      <c r="E5558" s="4" t="str">
        <f>HYPERLINK("https://ibp.a2mac1.com/costing(costing:projects/details/9760/part/8416843)","Closures&gt;Rear door&gt;Anti-intrusion beams&gt;Beam 01 (single/upper)&gt;Beam&gt;Part 01 (single/main)")</f>
        <v>Closures&gt;Rear door&gt;Anti-intrusion beams&gt;Beam 01 (single/upper)&gt;Beam&gt;Part 01 (single/main)</v>
      </c>
      <c r="F5558" t="s">
        <v>5997</v>
      </c>
    </row>
    <row r="5559" spans="1:6" x14ac:dyDescent="0.15">
      <c r="A5559">
        <v>12086178</v>
      </c>
      <c r="B5559">
        <v>8416843</v>
      </c>
      <c r="C5559" t="s">
        <v>114</v>
      </c>
      <c r="D5559" t="s">
        <v>10</v>
      </c>
      <c r="E5559" s="4" t="str">
        <f>HYPERLINK("https://ibp.a2mac1.com/costing(costing:projects/details/9760/process/12086178)","MANUFACTURING  PROCESS")</f>
        <v>MANUFACTURING  PROCESS</v>
      </c>
      <c r="F5559" t="s">
        <v>5998</v>
      </c>
    </row>
    <row r="5560" spans="1:6" x14ac:dyDescent="0.15">
      <c r="A5560">
        <v>8755764</v>
      </c>
      <c r="B5560">
        <v>12086178</v>
      </c>
      <c r="C5560" t="s">
        <v>22</v>
      </c>
      <c r="D5560" t="s">
        <v>114</v>
      </c>
      <c r="E5560" s="4" t="str">
        <f>HYPERLINK("https://ibp.a2mac1.com/costing(costing:projects/details/9760/material/8755764)","Standard Structural Steel sheet")</f>
        <v>Standard Structural Steel sheet</v>
      </c>
      <c r="F5560" t="s">
        <v>6001</v>
      </c>
    </row>
    <row r="5561" spans="1:6" x14ac:dyDescent="0.15">
      <c r="A5561">
        <v>12213311</v>
      </c>
      <c r="B5561">
        <v>12086178</v>
      </c>
      <c r="C5561" t="s">
        <v>163</v>
      </c>
      <c r="D5561" t="s">
        <v>114</v>
      </c>
      <c r="E5561" s="4" t="str">
        <f>HYPERLINK("https://ibp.a2mac1.com/costing(costing:projects/details/9760/equipment/12213311)","Manufacturing Equipment")</f>
        <v>Manufacturing Equipment</v>
      </c>
      <c r="F5561" t="s">
        <v>6001</v>
      </c>
    </row>
    <row r="5562" spans="1:6" x14ac:dyDescent="0.15">
      <c r="A5562">
        <v>8415915</v>
      </c>
      <c r="B5562">
        <v>8415651</v>
      </c>
      <c r="C5562" t="s">
        <v>8</v>
      </c>
      <c r="D5562" t="s">
        <v>8</v>
      </c>
      <c r="E5562" s="4" t="str">
        <f>HYPERLINK("https://ibp.a2mac1.com/costing(costing:projects/details/9760/assembly/8415915)","Top roll assy")</f>
        <v>Top roll assy</v>
      </c>
      <c r="F5562" t="s">
        <v>5966</v>
      </c>
    </row>
    <row r="5563" spans="1:6" x14ac:dyDescent="0.15">
      <c r="A5563">
        <v>8416257</v>
      </c>
      <c r="B5563">
        <v>8415915</v>
      </c>
      <c r="C5563" t="s">
        <v>8</v>
      </c>
      <c r="D5563" t="s">
        <v>8</v>
      </c>
      <c r="E5563" s="4" t="str">
        <f>HYPERLINK("https://ibp.a2mac1.com/costing(costing:projects/details/9760/assembly/8416257)","Cross member 01 (outer)")</f>
        <v>Cross member 01 (outer)</v>
      </c>
      <c r="F5563" t="s">
        <v>6002</v>
      </c>
    </row>
    <row r="5564" spans="1:6" x14ac:dyDescent="0.15">
      <c r="A5564">
        <v>8416549</v>
      </c>
      <c r="B5564">
        <v>8416257</v>
      </c>
      <c r="C5564" t="s">
        <v>8</v>
      </c>
      <c r="D5564" t="s">
        <v>8</v>
      </c>
      <c r="E5564" s="4" t="str">
        <f>HYPERLINK("https://ibp.a2mac1.com/costing(costing:projects/details/9760/assembly/8416549)","Cross member")</f>
        <v>Cross member</v>
      </c>
      <c r="F5564" t="s">
        <v>6003</v>
      </c>
    </row>
    <row r="5565" spans="1:6" x14ac:dyDescent="0.15">
      <c r="A5565">
        <v>8416844</v>
      </c>
      <c r="B5565">
        <v>8416549</v>
      </c>
      <c r="C5565" t="s">
        <v>10</v>
      </c>
      <c r="D5565" t="s">
        <v>8</v>
      </c>
      <c r="E5565" s="4" t="str">
        <f>HYPERLINK("https://ibp.a2mac1.com/costing(costing:projects/details/9760/part/8416844)","Closures&gt;Rear door&gt;Top roll assy&gt;Cross member 01 (outer)&gt;Cross member&gt;Part 01 (single/main)")</f>
        <v>Closures&gt;Rear door&gt;Top roll assy&gt;Cross member 01 (outer)&gt;Cross member&gt;Part 01 (single/main)</v>
      </c>
      <c r="F5565" t="s">
        <v>6004</v>
      </c>
    </row>
    <row r="5566" spans="1:6" x14ac:dyDescent="0.15">
      <c r="A5566">
        <v>12086179</v>
      </c>
      <c r="B5566">
        <v>8416844</v>
      </c>
      <c r="C5566" t="s">
        <v>114</v>
      </c>
      <c r="D5566" t="s">
        <v>10</v>
      </c>
      <c r="E5566" s="4" t="str">
        <f>HYPERLINK("https://ibp.a2mac1.com/costing(costing:projects/details/9760/process/12086179)","MANUFACTURING  PROCESS")</f>
        <v>MANUFACTURING  PROCESS</v>
      </c>
      <c r="F5566" t="s">
        <v>6005</v>
      </c>
    </row>
    <row r="5567" spans="1:6" x14ac:dyDescent="0.15">
      <c r="A5567">
        <v>8755765</v>
      </c>
      <c r="B5567">
        <v>12086179</v>
      </c>
      <c r="C5567" t="s">
        <v>22</v>
      </c>
      <c r="D5567" t="s">
        <v>114</v>
      </c>
      <c r="E5567" s="4" t="str">
        <f>HYPERLINK("https://ibp.a2mac1.com/costing(costing:projects/details/9760/material/8755765)","Standard Structural Steel sheet")</f>
        <v>Standard Structural Steel sheet</v>
      </c>
      <c r="F5567" t="s">
        <v>6008</v>
      </c>
    </row>
    <row r="5568" spans="1:6" x14ac:dyDescent="0.15">
      <c r="A5568">
        <v>12213312</v>
      </c>
      <c r="B5568">
        <v>12086179</v>
      </c>
      <c r="C5568" t="s">
        <v>163</v>
      </c>
      <c r="D5568" t="s">
        <v>114</v>
      </c>
      <c r="E5568" s="4" t="str">
        <f>HYPERLINK("https://ibp.a2mac1.com/costing(costing:projects/details/9760/equipment/12213312)","Manufacturing Equipment")</f>
        <v>Manufacturing Equipment</v>
      </c>
      <c r="F5568" t="s">
        <v>6008</v>
      </c>
    </row>
    <row r="5569" spans="1:6" x14ac:dyDescent="0.15">
      <c r="A5569">
        <v>8416258</v>
      </c>
      <c r="B5569">
        <v>8415915</v>
      </c>
      <c r="C5569" t="s">
        <v>8</v>
      </c>
      <c r="D5569" t="s">
        <v>8</v>
      </c>
      <c r="E5569" s="4" t="str">
        <f>HYPERLINK("https://ibp.a2mac1.com/costing(costing:projects/details/9760/assembly/8416258)","Cross member 02 (inner)")</f>
        <v>Cross member 02 (inner)</v>
      </c>
      <c r="F5569" t="s">
        <v>6002</v>
      </c>
    </row>
    <row r="5570" spans="1:6" x14ac:dyDescent="0.15">
      <c r="A5570">
        <v>8416550</v>
      </c>
      <c r="B5570">
        <v>8416258</v>
      </c>
      <c r="C5570" t="s">
        <v>8</v>
      </c>
      <c r="D5570" t="s">
        <v>8</v>
      </c>
      <c r="E5570" s="4" t="str">
        <f>HYPERLINK("https://ibp.a2mac1.com/costing(costing:projects/details/9760/assembly/8416550)","Cross member")</f>
        <v>Cross member</v>
      </c>
      <c r="F5570" t="s">
        <v>6009</v>
      </c>
    </row>
    <row r="5571" spans="1:6" x14ac:dyDescent="0.15">
      <c r="A5571">
        <v>8416845</v>
      </c>
      <c r="B5571">
        <v>8416550</v>
      </c>
      <c r="C5571" t="s">
        <v>10</v>
      </c>
      <c r="D5571" t="s">
        <v>8</v>
      </c>
      <c r="E5571" s="4" t="str">
        <f>HYPERLINK("https://ibp.a2mac1.com/costing(costing:projects/details/9760/part/8416845)","Closures&gt;Rear door&gt;Top roll assy&gt;Cross member 02 (inner)&gt;Cross member&gt;Part 01 (single/main)")</f>
        <v>Closures&gt;Rear door&gt;Top roll assy&gt;Cross member 02 (inner)&gt;Cross member&gt;Part 01 (single/main)</v>
      </c>
      <c r="F5571" t="s">
        <v>6010</v>
      </c>
    </row>
    <row r="5572" spans="1:6" x14ac:dyDescent="0.15">
      <c r="A5572">
        <v>12086180</v>
      </c>
      <c r="B5572">
        <v>8416845</v>
      </c>
      <c r="C5572" t="s">
        <v>114</v>
      </c>
      <c r="D5572" t="s">
        <v>10</v>
      </c>
      <c r="E5572" s="4" t="str">
        <f>HYPERLINK("https://ibp.a2mac1.com/costing(costing:projects/details/9760/process/12086180)","MANUFACTURING  PROCESS")</f>
        <v>MANUFACTURING  PROCESS</v>
      </c>
      <c r="F5572" t="s">
        <v>6011</v>
      </c>
    </row>
    <row r="5573" spans="1:6" x14ac:dyDescent="0.15">
      <c r="A5573">
        <v>8755766</v>
      </c>
      <c r="B5573">
        <v>12086180</v>
      </c>
      <c r="C5573" t="s">
        <v>22</v>
      </c>
      <c r="D5573" t="s">
        <v>114</v>
      </c>
      <c r="E5573" s="4" t="str">
        <f>HYPERLINK("https://ibp.a2mac1.com/costing(costing:projects/details/9760/material/8755766)","Standard Structural Steel sheet")</f>
        <v>Standard Structural Steel sheet</v>
      </c>
      <c r="F5573" t="s">
        <v>6014</v>
      </c>
    </row>
    <row r="5574" spans="1:6" x14ac:dyDescent="0.15">
      <c r="A5574">
        <v>12213313</v>
      </c>
      <c r="B5574">
        <v>12086180</v>
      </c>
      <c r="C5574" t="s">
        <v>163</v>
      </c>
      <c r="D5574" t="s">
        <v>114</v>
      </c>
      <c r="E5574" s="4" t="str">
        <f>HYPERLINK("https://ibp.a2mac1.com/costing(costing:projects/details/9760/equipment/12213313)","Manufacturing Equipment")</f>
        <v>Manufacturing Equipment</v>
      </c>
      <c r="F5574" t="s">
        <v>6014</v>
      </c>
    </row>
    <row r="5575" spans="1:6" x14ac:dyDescent="0.15">
      <c r="A5575">
        <v>8415916</v>
      </c>
      <c r="B5575">
        <v>8415651</v>
      </c>
      <c r="C5575" t="s">
        <v>8</v>
      </c>
      <c r="D5575" t="s">
        <v>8</v>
      </c>
      <c r="E5575" s="4" t="str">
        <f>HYPERLINK("https://ibp.a2mac1.com/costing(costing:projects/details/9760/assembly/8415916)","Outer panel")</f>
        <v>Outer panel</v>
      </c>
      <c r="F5575" t="s">
        <v>5966</v>
      </c>
    </row>
    <row r="5576" spans="1:6" x14ac:dyDescent="0.15">
      <c r="A5576">
        <v>8416259</v>
      </c>
      <c r="B5576">
        <v>8415916</v>
      </c>
      <c r="C5576" t="s">
        <v>8</v>
      </c>
      <c r="D5576" t="s">
        <v>8</v>
      </c>
      <c r="E5576" s="4" t="str">
        <f>HYPERLINK("https://ibp.a2mac1.com/costing(costing:projects/details/9760/assembly/8416259)","Panel")</f>
        <v>Panel</v>
      </c>
      <c r="F5576" t="s">
        <v>6015</v>
      </c>
    </row>
    <row r="5577" spans="1:6" x14ac:dyDescent="0.15">
      <c r="A5577">
        <v>8416551</v>
      </c>
      <c r="B5577">
        <v>8416259</v>
      </c>
      <c r="C5577" t="s">
        <v>10</v>
      </c>
      <c r="D5577" t="s">
        <v>8</v>
      </c>
      <c r="E5577" s="4" t="str">
        <f>HYPERLINK("https://ibp.a2mac1.com/costing(costing:projects/details/9760/part/8416551)","Closures&gt;Rear door&gt;Outer panel&gt;Panel&gt;Part 01 (single/main)")</f>
        <v>Closures&gt;Rear door&gt;Outer panel&gt;Panel&gt;Part 01 (single/main)</v>
      </c>
      <c r="F5577" t="s">
        <v>6016</v>
      </c>
    </row>
    <row r="5578" spans="1:6" x14ac:dyDescent="0.15">
      <c r="A5578">
        <v>12085982</v>
      </c>
      <c r="B5578">
        <v>8416551</v>
      </c>
      <c r="C5578" t="s">
        <v>114</v>
      </c>
      <c r="D5578" t="s">
        <v>10</v>
      </c>
      <c r="E5578" s="4" t="str">
        <f>HYPERLINK("https://ibp.a2mac1.com/costing(costing:projects/details/9760/process/12085982)","MANUFACTURING  PROCESS")</f>
        <v>MANUFACTURING  PROCESS</v>
      </c>
      <c r="F5578" t="s">
        <v>6017</v>
      </c>
    </row>
    <row r="5579" spans="1:6" x14ac:dyDescent="0.15">
      <c r="A5579">
        <v>8755595</v>
      </c>
      <c r="B5579">
        <v>12085982</v>
      </c>
      <c r="C5579" t="s">
        <v>22</v>
      </c>
      <c r="D5579" t="s">
        <v>114</v>
      </c>
      <c r="E5579" s="4" t="str">
        <f>HYPERLINK("https://ibp.a2mac1.com/costing(costing:projects/details/9760/material/8755595)","Standard Structural Steel sheet")</f>
        <v>Standard Structural Steel sheet</v>
      </c>
      <c r="F5579" t="s">
        <v>6020</v>
      </c>
    </row>
    <row r="5580" spans="1:6" x14ac:dyDescent="0.15">
      <c r="A5580">
        <v>12213140</v>
      </c>
      <c r="B5580">
        <v>12085982</v>
      </c>
      <c r="C5580" t="s">
        <v>163</v>
      </c>
      <c r="D5580" t="s">
        <v>114</v>
      </c>
      <c r="E5580" s="4" t="str">
        <f>HYPERLINK("https://ibp.a2mac1.com/costing(costing:projects/details/9760/equipment/12213140)","Manufacturing Equipment")</f>
        <v>Manufacturing Equipment</v>
      </c>
      <c r="F5580" t="s">
        <v>6020</v>
      </c>
    </row>
    <row r="5581" spans="1:6" x14ac:dyDescent="0.15">
      <c r="A5581">
        <v>12085103</v>
      </c>
      <c r="B5581">
        <v>8415651</v>
      </c>
      <c r="C5581" t="s">
        <v>114</v>
      </c>
      <c r="D5581" t="s">
        <v>8</v>
      </c>
      <c r="E5581" s="4" t="str">
        <f>HYPERLINK("https://ibp.a2mac1.com/costing(costing:projects/details/9760/process/12085103)","Assembly")</f>
        <v>Assembly</v>
      </c>
      <c r="F5581" t="s">
        <v>5966</v>
      </c>
    </row>
    <row r="5582" spans="1:6" x14ac:dyDescent="0.15">
      <c r="A5582">
        <v>12212195</v>
      </c>
      <c r="B5582">
        <v>12085103</v>
      </c>
      <c r="C5582" t="s">
        <v>163</v>
      </c>
      <c r="D5582" t="s">
        <v>114</v>
      </c>
      <c r="E5582" s="4" t="str">
        <f>HYPERLINK("https://ibp.a2mac1.com/costing(costing:projects/details/9760/equipment/12212195)","Assembly Station ")</f>
        <v xml:space="preserve">Assembly Station </v>
      </c>
      <c r="F5582" t="s">
        <v>6021</v>
      </c>
    </row>
    <row r="5583" spans="1:6" x14ac:dyDescent="0.15">
      <c r="A5583">
        <v>8415652</v>
      </c>
      <c r="B5583">
        <v>8415585</v>
      </c>
      <c r="C5583" t="s">
        <v>8</v>
      </c>
      <c r="D5583" t="s">
        <v>8</v>
      </c>
      <c r="E5583" s="4" t="str">
        <f>HYPERLINK("https://ibp.a2mac1.com/costing(costing:projects/details/9760/assembly/8415652)","Door Panel")</f>
        <v>Door Panel</v>
      </c>
      <c r="F5583" t="s">
        <v>5965</v>
      </c>
    </row>
    <row r="5584" spans="1:6" x14ac:dyDescent="0.15">
      <c r="A5584">
        <v>8415926</v>
      </c>
      <c r="B5584">
        <v>8415652</v>
      </c>
      <c r="C5584" t="s">
        <v>8</v>
      </c>
      <c r="D5584" t="s">
        <v>8</v>
      </c>
      <c r="E5584" s="4" t="str">
        <f>HYPERLINK("https://ibp.a2mac1.com/costing(costing:projects/details/9760/assembly/8415926)","Inner Door Handle")</f>
        <v>Inner Door Handle</v>
      </c>
      <c r="F5584" t="s">
        <v>6023</v>
      </c>
    </row>
    <row r="5585" spans="1:6" x14ac:dyDescent="0.15">
      <c r="A5585">
        <v>8416260</v>
      </c>
      <c r="B5585">
        <v>8415926</v>
      </c>
      <c r="C5585" t="s">
        <v>10</v>
      </c>
      <c r="D5585" t="s">
        <v>8</v>
      </c>
      <c r="E5585" s="4" t="str">
        <f>HYPERLINK("https://ibp.a2mac1.com/costing(costing:projects/details/9760/part/8416260)","Opening Control")</f>
        <v>Opening Control</v>
      </c>
      <c r="F5585" t="s">
        <v>6024</v>
      </c>
    </row>
    <row r="5586" spans="1:6" x14ac:dyDescent="0.15">
      <c r="A5586">
        <v>12085545</v>
      </c>
      <c r="B5586">
        <v>8416260</v>
      </c>
      <c r="C5586" t="s">
        <v>114</v>
      </c>
      <c r="D5586" t="s">
        <v>10</v>
      </c>
      <c r="E5586" s="4" t="str">
        <f>HYPERLINK("https://ibp.a2mac1.com/costing(costing:projects/details/9760/process/12085545)","Automated Process")</f>
        <v>Automated Process</v>
      </c>
      <c r="F5586" t="s">
        <v>6025</v>
      </c>
    </row>
    <row r="5587" spans="1:6" x14ac:dyDescent="0.15">
      <c r="A5587">
        <v>8755271</v>
      </c>
      <c r="B5587">
        <v>12085545</v>
      </c>
      <c r="C5587" t="s">
        <v>22</v>
      </c>
      <c r="D5587" t="s">
        <v>114</v>
      </c>
      <c r="E5587" s="4" t="str">
        <f>HYPERLINK("https://ibp.a2mac1.com/costing(costing:projects/details/9760/material/8755271)","PC-ABS")</f>
        <v>PC-ABS</v>
      </c>
      <c r="F5587" t="s">
        <v>6028</v>
      </c>
    </row>
    <row r="5588" spans="1:6" x14ac:dyDescent="0.15">
      <c r="A5588">
        <v>12212783</v>
      </c>
      <c r="B5588">
        <v>12085545</v>
      </c>
      <c r="C5588" t="s">
        <v>163</v>
      </c>
      <c r="D5588" t="s">
        <v>114</v>
      </c>
      <c r="E5588" s="4" t="str">
        <f>HYPERLINK("https://ibp.a2mac1.com/costing(costing:projects/details/9760/equipment/12212783)","DC machine - General")</f>
        <v>DC machine - General</v>
      </c>
      <c r="F5588" t="s">
        <v>6028</v>
      </c>
    </row>
    <row r="5589" spans="1:6" x14ac:dyDescent="0.15">
      <c r="A5589">
        <v>8416261</v>
      </c>
      <c r="B5589">
        <v>8415926</v>
      </c>
      <c r="C5589" t="s">
        <v>10</v>
      </c>
      <c r="D5589" t="s">
        <v>8</v>
      </c>
      <c r="E5589" s="4" t="str">
        <f>HYPERLINK("https://ibp.a2mac1.com/costing(costing:projects/details/9760/part/8416261)","Bezel")</f>
        <v>Bezel</v>
      </c>
      <c r="F5589" t="s">
        <v>6024</v>
      </c>
    </row>
    <row r="5590" spans="1:6" x14ac:dyDescent="0.15">
      <c r="A5590">
        <v>12085546</v>
      </c>
      <c r="B5590">
        <v>8416261</v>
      </c>
      <c r="C5590" t="s">
        <v>114</v>
      </c>
      <c r="D5590" t="s">
        <v>10</v>
      </c>
      <c r="E5590" s="4" t="str">
        <f>HYPERLINK("https://ibp.a2mac1.com/costing(costing:projects/details/9760/process/12085546)","Automated Process")</f>
        <v>Automated Process</v>
      </c>
      <c r="F5590" t="s">
        <v>6029</v>
      </c>
    </row>
    <row r="5591" spans="1:6" x14ac:dyDescent="0.15">
      <c r="A5591">
        <v>8755272</v>
      </c>
      <c r="B5591">
        <v>12085546</v>
      </c>
      <c r="C5591" t="s">
        <v>22</v>
      </c>
      <c r="D5591" t="s">
        <v>114</v>
      </c>
      <c r="E5591" s="4" t="str">
        <f>HYPERLINK("https://ibp.a2mac1.com/costing(costing:projects/details/9760/material/8755272)","PVC + Fabric backing 3mm PU foam")</f>
        <v>PVC + Fabric backing 3mm PU foam</v>
      </c>
      <c r="F5591" t="s">
        <v>6032</v>
      </c>
    </row>
    <row r="5592" spans="1:6" x14ac:dyDescent="0.15">
      <c r="A5592">
        <v>8755273</v>
      </c>
      <c r="B5592">
        <v>12085546</v>
      </c>
      <c r="C5592" t="s">
        <v>22</v>
      </c>
      <c r="D5592" t="s">
        <v>114</v>
      </c>
      <c r="E5592" s="4" t="str">
        <f>HYPERLINK("https://ibp.a2mac1.com/costing(costing:projects/details/9760/material/8755273)","PC-ABS")</f>
        <v>PC-ABS</v>
      </c>
      <c r="F5592" t="s">
        <v>6032</v>
      </c>
    </row>
    <row r="5593" spans="1:6" x14ac:dyDescent="0.15">
      <c r="A5593">
        <v>12212784</v>
      </c>
      <c r="B5593">
        <v>12085546</v>
      </c>
      <c r="C5593" t="s">
        <v>163</v>
      </c>
      <c r="D5593" t="s">
        <v>114</v>
      </c>
      <c r="E5593" s="4" t="str">
        <f>HYPERLINK("https://ibp.a2mac1.com/costing(costing:projects/details/9760/equipment/12212784)","DC machine - General")</f>
        <v>DC machine - General</v>
      </c>
      <c r="F5593" t="s">
        <v>6032</v>
      </c>
    </row>
    <row r="5594" spans="1:6" x14ac:dyDescent="0.15">
      <c r="A5594">
        <v>8754548</v>
      </c>
      <c r="B5594">
        <v>8415926</v>
      </c>
      <c r="C5594" t="s">
        <v>311</v>
      </c>
      <c r="D5594" t="s">
        <v>8</v>
      </c>
      <c r="E5594" s="4" t="str">
        <f>HYPERLINK("https://ibp.a2mac1.com/costing(costing:projects/details/9760/component/8754548)","Screw &gt; Cross recessed screw with flange")</f>
        <v>Screw &gt; Cross recessed screw with flange</v>
      </c>
      <c r="F5594" t="s">
        <v>6024</v>
      </c>
    </row>
    <row r="5595" spans="1:6" x14ac:dyDescent="0.15">
      <c r="A5595">
        <v>8754549</v>
      </c>
      <c r="B5595">
        <v>8415926</v>
      </c>
      <c r="C5595" t="s">
        <v>311</v>
      </c>
      <c r="D5595" t="s">
        <v>8</v>
      </c>
      <c r="E5595" s="4" t="str">
        <f>HYPERLINK("https://ibp.a2mac1.com/costing(costing:projects/details/9760/component/8754549)","Panel holder &gt; Clips in rectangular hole")</f>
        <v>Panel holder &gt; Clips in rectangular hole</v>
      </c>
      <c r="F5595" t="s">
        <v>6024</v>
      </c>
    </row>
    <row r="5596" spans="1:6" x14ac:dyDescent="0.15">
      <c r="A5596">
        <v>8415927</v>
      </c>
      <c r="B5596">
        <v>8415652</v>
      </c>
      <c r="C5596" t="s">
        <v>8</v>
      </c>
      <c r="D5596" t="s">
        <v>8</v>
      </c>
      <c r="E5596" s="4" t="str">
        <f>HYPERLINK("https://ibp.a2mac1.com/costing(costing:projects/details/9760/assembly/8415927)","Speaker Grille System")</f>
        <v>Speaker Grille System</v>
      </c>
      <c r="F5596" t="s">
        <v>6023</v>
      </c>
    </row>
    <row r="5597" spans="1:6" x14ac:dyDescent="0.15">
      <c r="A5597">
        <v>8416262</v>
      </c>
      <c r="B5597">
        <v>8415927</v>
      </c>
      <c r="C5597" t="s">
        <v>10</v>
      </c>
      <c r="D5597" t="s">
        <v>8</v>
      </c>
      <c r="E5597" s="4" t="str">
        <f>HYPERLINK("https://ibp.a2mac1.com/costing(costing:projects/details/9760/part/8416262)","Speaker Grille")</f>
        <v>Speaker Grille</v>
      </c>
      <c r="F5597" t="s">
        <v>6036</v>
      </c>
    </row>
    <row r="5598" spans="1:6" x14ac:dyDescent="0.15">
      <c r="A5598">
        <v>12085547</v>
      </c>
      <c r="B5598">
        <v>8416262</v>
      </c>
      <c r="C5598" t="s">
        <v>114</v>
      </c>
      <c r="D5598" t="s">
        <v>10</v>
      </c>
      <c r="E5598" s="4" t="str">
        <f>HYPERLINK("https://ibp.a2mac1.com/costing(costing:projects/details/9760/process/12085547)","Automated Process")</f>
        <v>Automated Process</v>
      </c>
      <c r="F5598" t="s">
        <v>6037</v>
      </c>
    </row>
    <row r="5599" spans="1:6" x14ac:dyDescent="0.15">
      <c r="A5599">
        <v>8755274</v>
      </c>
      <c r="B5599">
        <v>12085547</v>
      </c>
      <c r="C5599" t="s">
        <v>22</v>
      </c>
      <c r="D5599" t="s">
        <v>114</v>
      </c>
      <c r="E5599" s="4" t="str">
        <f>HYPERLINK("https://ibp.a2mac1.com/costing(costing:projects/details/9760/material/8755274)","PP-EPDM")</f>
        <v>PP-EPDM</v>
      </c>
      <c r="F5599" t="s">
        <v>6040</v>
      </c>
    </row>
    <row r="5600" spans="1:6" x14ac:dyDescent="0.15">
      <c r="A5600">
        <v>12212785</v>
      </c>
      <c r="B5600">
        <v>12085547</v>
      </c>
      <c r="C5600" t="s">
        <v>163</v>
      </c>
      <c r="D5600" t="s">
        <v>114</v>
      </c>
      <c r="E5600" s="4" t="str">
        <f>HYPERLINK("https://ibp.a2mac1.com/costing(costing:projects/details/9760/equipment/12212785)","DC machine - General")</f>
        <v>DC machine - General</v>
      </c>
      <c r="F5600" t="s">
        <v>6040</v>
      </c>
    </row>
    <row r="5601" spans="1:6" x14ac:dyDescent="0.15">
      <c r="A5601">
        <v>8416263</v>
      </c>
      <c r="B5601">
        <v>8415927</v>
      </c>
      <c r="C5601" t="s">
        <v>10</v>
      </c>
      <c r="D5601" t="s">
        <v>8</v>
      </c>
      <c r="E5601" s="4" t="str">
        <f>HYPERLINK("https://ibp.a2mac1.com/costing(costing:projects/details/9760/part/8416263)","Medium Grille")</f>
        <v>Medium Grille</v>
      </c>
      <c r="F5601" t="s">
        <v>6036</v>
      </c>
    </row>
    <row r="5602" spans="1:6" x14ac:dyDescent="0.15">
      <c r="A5602">
        <v>12085548</v>
      </c>
      <c r="B5602">
        <v>8416263</v>
      </c>
      <c r="C5602" t="s">
        <v>114</v>
      </c>
      <c r="D5602" t="s">
        <v>10</v>
      </c>
      <c r="E5602" s="4" t="str">
        <f>HYPERLINK("https://ibp.a2mac1.com/costing(costing:projects/details/9760/process/12085548)","Automated Process")</f>
        <v>Automated Process</v>
      </c>
      <c r="F5602" t="s">
        <v>6042</v>
      </c>
    </row>
    <row r="5603" spans="1:6" x14ac:dyDescent="0.15">
      <c r="A5603">
        <v>8755275</v>
      </c>
      <c r="B5603">
        <v>12085548</v>
      </c>
      <c r="C5603" t="s">
        <v>22</v>
      </c>
      <c r="D5603" t="s">
        <v>114</v>
      </c>
      <c r="E5603" s="4" t="str">
        <f>HYPERLINK("https://ibp.a2mac1.com/costing(costing:projects/details/9760/material/8755275)","Aluminum sheet body (default, e.g. EN-AW6063)")</f>
        <v>Aluminum sheet body (default, e.g. EN-AW6063)</v>
      </c>
      <c r="F5603" t="s">
        <v>6044</v>
      </c>
    </row>
    <row r="5604" spans="1:6" x14ac:dyDescent="0.15">
      <c r="A5604">
        <v>12212786</v>
      </c>
      <c r="B5604">
        <v>12085548</v>
      </c>
      <c r="C5604" t="s">
        <v>163</v>
      </c>
      <c r="D5604" t="s">
        <v>114</v>
      </c>
      <c r="E5604" s="4" t="str">
        <f>HYPERLINK("https://ibp.a2mac1.com/costing(costing:projects/details/9760/equipment/12212786)","DC machine - General")</f>
        <v>DC machine - General</v>
      </c>
      <c r="F5604" t="s">
        <v>6044</v>
      </c>
    </row>
    <row r="5605" spans="1:6" x14ac:dyDescent="0.15">
      <c r="A5605">
        <v>8416264</v>
      </c>
      <c r="B5605">
        <v>8415927</v>
      </c>
      <c r="C5605" t="s">
        <v>10</v>
      </c>
      <c r="D5605" t="s">
        <v>8</v>
      </c>
      <c r="E5605" s="4" t="str">
        <f>HYPERLINK("https://ibp.a2mac1.com/costing(costing:projects/details/9760/part/8416264)","Medium Grille Support")</f>
        <v>Medium Grille Support</v>
      </c>
      <c r="F5605" t="s">
        <v>6036</v>
      </c>
    </row>
    <row r="5606" spans="1:6" x14ac:dyDescent="0.15">
      <c r="A5606">
        <v>12085549</v>
      </c>
      <c r="B5606">
        <v>8416264</v>
      </c>
      <c r="C5606" t="s">
        <v>114</v>
      </c>
      <c r="D5606" t="s">
        <v>10</v>
      </c>
      <c r="E5606" s="4" t="str">
        <f>HYPERLINK("https://ibp.a2mac1.com/costing(costing:projects/details/9760/process/12085549)","Automated Process")</f>
        <v>Automated Process</v>
      </c>
      <c r="F5606" t="s">
        <v>6046</v>
      </c>
    </row>
    <row r="5607" spans="1:6" x14ac:dyDescent="0.15">
      <c r="A5607">
        <v>8755276</v>
      </c>
      <c r="B5607">
        <v>12085549</v>
      </c>
      <c r="C5607" t="s">
        <v>22</v>
      </c>
      <c r="D5607" t="s">
        <v>114</v>
      </c>
      <c r="E5607" s="4" t="str">
        <f>HYPERLINK("https://ibp.a2mac1.com/costing(costing:projects/details/9760/material/8755276)","PC-ABS")</f>
        <v>PC-ABS</v>
      </c>
      <c r="F5607" t="s">
        <v>6049</v>
      </c>
    </row>
    <row r="5608" spans="1:6" x14ac:dyDescent="0.15">
      <c r="A5608">
        <v>12212787</v>
      </c>
      <c r="B5608">
        <v>12085549</v>
      </c>
      <c r="C5608" t="s">
        <v>163</v>
      </c>
      <c r="D5608" t="s">
        <v>114</v>
      </c>
      <c r="E5608" s="4" t="str">
        <f>HYPERLINK("https://ibp.a2mac1.com/costing(costing:projects/details/9760/equipment/12212787)","DC machine - General")</f>
        <v>DC machine - General</v>
      </c>
      <c r="F5608" t="s">
        <v>6049</v>
      </c>
    </row>
    <row r="5609" spans="1:6" x14ac:dyDescent="0.15">
      <c r="A5609">
        <v>8416265</v>
      </c>
      <c r="B5609">
        <v>8415927</v>
      </c>
      <c r="C5609" t="s">
        <v>10</v>
      </c>
      <c r="D5609" t="s">
        <v>8</v>
      </c>
      <c r="E5609" s="4" t="str">
        <f>HYPERLINK("https://ibp.a2mac1.com/costing(costing:projects/details/9760/part/8416265)","Speaker Bezel")</f>
        <v>Speaker Bezel</v>
      </c>
      <c r="F5609" t="s">
        <v>6036</v>
      </c>
    </row>
    <row r="5610" spans="1:6" x14ac:dyDescent="0.15">
      <c r="A5610">
        <v>12085550</v>
      </c>
      <c r="B5610">
        <v>8416265</v>
      </c>
      <c r="C5610" t="s">
        <v>114</v>
      </c>
      <c r="D5610" t="s">
        <v>10</v>
      </c>
      <c r="E5610" s="4" t="str">
        <f>HYPERLINK("https://ibp.a2mac1.com/costing(costing:projects/details/9760/process/12085550)","Automated Process")</f>
        <v>Automated Process</v>
      </c>
      <c r="F5610" t="s">
        <v>6051</v>
      </c>
    </row>
    <row r="5611" spans="1:6" x14ac:dyDescent="0.15">
      <c r="A5611">
        <v>8755277</v>
      </c>
      <c r="B5611">
        <v>12085550</v>
      </c>
      <c r="C5611" t="s">
        <v>22</v>
      </c>
      <c r="D5611" t="s">
        <v>114</v>
      </c>
      <c r="E5611" s="4" t="str">
        <f>HYPERLINK("https://ibp.a2mac1.com/costing(costing:projects/details/9760/material/8755277)","PP")</f>
        <v>PP</v>
      </c>
      <c r="F5611" t="s">
        <v>6054</v>
      </c>
    </row>
    <row r="5612" spans="1:6" x14ac:dyDescent="0.15">
      <c r="A5612">
        <v>12212788</v>
      </c>
      <c r="B5612">
        <v>12085550</v>
      </c>
      <c r="C5612" t="s">
        <v>163</v>
      </c>
      <c r="D5612" t="s">
        <v>114</v>
      </c>
      <c r="E5612" s="4" t="str">
        <f>HYPERLINK("https://ibp.a2mac1.com/costing(costing:projects/details/9760/equipment/12212788)","DC machine - General")</f>
        <v>DC machine - General</v>
      </c>
      <c r="F5612" t="s">
        <v>6054</v>
      </c>
    </row>
    <row r="5613" spans="1:6" x14ac:dyDescent="0.15">
      <c r="A5613">
        <v>8416266</v>
      </c>
      <c r="B5613">
        <v>8415927</v>
      </c>
      <c r="C5613" t="s">
        <v>10</v>
      </c>
      <c r="D5613" t="s">
        <v>8</v>
      </c>
      <c r="E5613" s="4" t="str">
        <f>HYPERLINK("https://ibp.a2mac1.com/costing(costing:projects/details/9760/part/8416266)","Speaker Badge")</f>
        <v>Speaker Badge</v>
      </c>
      <c r="F5613" t="s">
        <v>6036</v>
      </c>
    </row>
    <row r="5614" spans="1:6" x14ac:dyDescent="0.15">
      <c r="A5614">
        <v>12085551</v>
      </c>
      <c r="B5614">
        <v>8416266</v>
      </c>
      <c r="C5614" t="s">
        <v>114</v>
      </c>
      <c r="D5614" t="s">
        <v>10</v>
      </c>
      <c r="E5614" s="4" t="str">
        <f>HYPERLINK("https://ibp.a2mac1.com/costing(costing:projects/details/9760/process/12085551)","Automated Process")</f>
        <v>Automated Process</v>
      </c>
      <c r="F5614" t="s">
        <v>6056</v>
      </c>
    </row>
    <row r="5615" spans="1:6" x14ac:dyDescent="0.15">
      <c r="A5615">
        <v>8755278</v>
      </c>
      <c r="B5615">
        <v>12085551</v>
      </c>
      <c r="C5615" t="s">
        <v>22</v>
      </c>
      <c r="D5615" t="s">
        <v>114</v>
      </c>
      <c r="E5615" s="4" t="str">
        <f>HYPERLINK("https://ibp.a2mac1.com/costing(costing:projects/details/9760/material/8755278)","Aluminum sheet body (default, e.g. EN-AW6063)")</f>
        <v>Aluminum sheet body (default, e.g. EN-AW6063)</v>
      </c>
      <c r="F5615" t="s">
        <v>6057</v>
      </c>
    </row>
    <row r="5616" spans="1:6" x14ac:dyDescent="0.15">
      <c r="A5616">
        <v>12212789</v>
      </c>
      <c r="B5616">
        <v>12085551</v>
      </c>
      <c r="C5616" t="s">
        <v>163</v>
      </c>
      <c r="D5616" t="s">
        <v>114</v>
      </c>
      <c r="E5616" s="4" t="str">
        <f>HYPERLINK("https://ibp.a2mac1.com/costing(costing:projects/details/9760/equipment/12212789)","DC machine - General")</f>
        <v>DC machine - General</v>
      </c>
      <c r="F5616" t="s">
        <v>6057</v>
      </c>
    </row>
    <row r="5617" spans="1:6" x14ac:dyDescent="0.15">
      <c r="A5617">
        <v>8415917</v>
      </c>
      <c r="B5617">
        <v>8415652</v>
      </c>
      <c r="C5617" t="s">
        <v>10</v>
      </c>
      <c r="D5617" t="s">
        <v>8</v>
      </c>
      <c r="E5617" s="4" t="str">
        <f>HYPERLINK("https://ibp.a2mac1.com/costing(costing:projects/details/9760/part/8415917)","Panel Carrier")</f>
        <v>Panel Carrier</v>
      </c>
      <c r="F5617" t="s">
        <v>6023</v>
      </c>
    </row>
    <row r="5618" spans="1:6" x14ac:dyDescent="0.15">
      <c r="A5618">
        <v>12085282</v>
      </c>
      <c r="B5618">
        <v>8415917</v>
      </c>
      <c r="C5618" t="s">
        <v>114</v>
      </c>
      <c r="D5618" t="s">
        <v>10</v>
      </c>
      <c r="E5618" s="4" t="str">
        <f>HYPERLINK("https://ibp.a2mac1.com/costing(costing:projects/details/9760/process/12085282)","Automated Process")</f>
        <v>Automated Process</v>
      </c>
      <c r="F5618" t="s">
        <v>6060</v>
      </c>
    </row>
    <row r="5619" spans="1:6" x14ac:dyDescent="0.15">
      <c r="A5619">
        <v>8754875</v>
      </c>
      <c r="B5619">
        <v>12085282</v>
      </c>
      <c r="C5619" t="s">
        <v>22</v>
      </c>
      <c r="D5619" t="s">
        <v>114</v>
      </c>
      <c r="E5619" s="4" t="str">
        <f>HYPERLINK("https://ibp.a2mac1.com/costing(costing:projects/details/9760/material/8754875)","PP-EPDM")</f>
        <v>PP-EPDM</v>
      </c>
      <c r="F5619" t="s">
        <v>6063</v>
      </c>
    </row>
    <row r="5620" spans="1:6" x14ac:dyDescent="0.15">
      <c r="A5620">
        <v>12212378</v>
      </c>
      <c r="B5620">
        <v>12085282</v>
      </c>
      <c r="C5620" t="s">
        <v>163</v>
      </c>
      <c r="D5620" t="s">
        <v>114</v>
      </c>
      <c r="E5620" s="4" t="str">
        <f>HYPERLINK("https://ibp.a2mac1.com/costing(costing:projects/details/9760/equipment/12212378)","DC machine - General")</f>
        <v>DC machine - General</v>
      </c>
      <c r="F5620" t="s">
        <v>6063</v>
      </c>
    </row>
    <row r="5621" spans="1:6" x14ac:dyDescent="0.15">
      <c r="A5621">
        <v>8415918</v>
      </c>
      <c r="B5621">
        <v>8415652</v>
      </c>
      <c r="C5621" t="s">
        <v>10</v>
      </c>
      <c r="D5621" t="s">
        <v>8</v>
      </c>
      <c r="E5621" s="4" t="str">
        <f>HYPERLINK("https://ibp.a2mac1.com/costing(costing:projects/details/9760/part/8415918)","Insert")</f>
        <v>Insert</v>
      </c>
      <c r="F5621" t="s">
        <v>6023</v>
      </c>
    </row>
    <row r="5622" spans="1:6" x14ac:dyDescent="0.15">
      <c r="A5622">
        <v>12085283</v>
      </c>
      <c r="B5622">
        <v>8415918</v>
      </c>
      <c r="C5622" t="s">
        <v>114</v>
      </c>
      <c r="D5622" t="s">
        <v>10</v>
      </c>
      <c r="E5622" s="4" t="str">
        <f>HYPERLINK("https://ibp.a2mac1.com/costing(costing:projects/details/9760/process/12085283)","Automated Process")</f>
        <v>Automated Process</v>
      </c>
      <c r="F5622" t="s">
        <v>6065</v>
      </c>
    </row>
    <row r="5623" spans="1:6" x14ac:dyDescent="0.15">
      <c r="A5623">
        <v>8754876</v>
      </c>
      <c r="B5623">
        <v>12085283</v>
      </c>
      <c r="C5623" t="s">
        <v>22</v>
      </c>
      <c r="D5623" t="s">
        <v>114</v>
      </c>
      <c r="E5623" s="4" t="str">
        <f>HYPERLINK("https://ibp.a2mac1.com/costing(costing:projects/details/9760/material/8754876)","PC-ABS")</f>
        <v>PC-ABS</v>
      </c>
      <c r="F5623" t="s">
        <v>6068</v>
      </c>
    </row>
    <row r="5624" spans="1:6" x14ac:dyDescent="0.15">
      <c r="A5624">
        <v>8754877</v>
      </c>
      <c r="B5624">
        <v>12085283</v>
      </c>
      <c r="C5624" t="s">
        <v>22</v>
      </c>
      <c r="D5624" t="s">
        <v>114</v>
      </c>
      <c r="E5624" s="4" t="str">
        <f>HYPERLINK("https://ibp.a2mac1.com/costing(costing:projects/details/9760/material/8754877)","PVC + Fabric backing 3mm PU foam")</f>
        <v>PVC + Fabric backing 3mm PU foam</v>
      </c>
      <c r="F5624" t="s">
        <v>6068</v>
      </c>
    </row>
    <row r="5625" spans="1:6" x14ac:dyDescent="0.15">
      <c r="A5625">
        <v>12212379</v>
      </c>
      <c r="B5625">
        <v>12085283</v>
      </c>
      <c r="C5625" t="s">
        <v>163</v>
      </c>
      <c r="D5625" t="s">
        <v>114</v>
      </c>
      <c r="E5625" s="4" t="str">
        <f>HYPERLINK("https://ibp.a2mac1.com/costing(costing:projects/details/9760/equipment/12212379)","DC machine - General")</f>
        <v>DC machine - General</v>
      </c>
      <c r="F5625" t="s">
        <v>6068</v>
      </c>
    </row>
    <row r="5626" spans="1:6" x14ac:dyDescent="0.15">
      <c r="A5626">
        <v>8415919</v>
      </c>
      <c r="B5626">
        <v>8415652</v>
      </c>
      <c r="C5626" t="s">
        <v>10</v>
      </c>
      <c r="D5626" t="s">
        <v>8</v>
      </c>
      <c r="E5626" s="4" t="str">
        <f>HYPERLINK("https://ibp.a2mac1.com/costing(costing:projects/details/9760/part/8415919)","Armrest")</f>
        <v>Armrest</v>
      </c>
      <c r="F5626" t="s">
        <v>6023</v>
      </c>
    </row>
    <row r="5627" spans="1:6" x14ac:dyDescent="0.15">
      <c r="A5627">
        <v>12085284</v>
      </c>
      <c r="B5627">
        <v>8415919</v>
      </c>
      <c r="C5627" t="s">
        <v>114</v>
      </c>
      <c r="D5627" t="s">
        <v>10</v>
      </c>
      <c r="E5627" s="4" t="str">
        <f>HYPERLINK("https://ibp.a2mac1.com/costing(costing:projects/details/9760/process/12085284)","Automated Process")</f>
        <v>Automated Process</v>
      </c>
      <c r="F5627" t="s">
        <v>6072</v>
      </c>
    </row>
    <row r="5628" spans="1:6" x14ac:dyDescent="0.15">
      <c r="A5628">
        <v>8754878</v>
      </c>
      <c r="B5628">
        <v>12085284</v>
      </c>
      <c r="C5628" t="s">
        <v>22</v>
      </c>
      <c r="D5628" t="s">
        <v>114</v>
      </c>
      <c r="E5628" s="4" t="str">
        <f>HYPERLINK("https://ibp.a2mac1.com/costing(costing:projects/details/9760/material/8754878)","PP-EPDM")</f>
        <v>PP-EPDM</v>
      </c>
      <c r="F5628" t="s">
        <v>6075</v>
      </c>
    </row>
    <row r="5629" spans="1:6" x14ac:dyDescent="0.15">
      <c r="A5629">
        <v>8754879</v>
      </c>
      <c r="B5629">
        <v>12085284</v>
      </c>
      <c r="C5629" t="s">
        <v>22</v>
      </c>
      <c r="D5629" t="s">
        <v>114</v>
      </c>
      <c r="E5629" s="4" t="str">
        <f>HYPERLINK("https://ibp.a2mac1.com/costing(costing:projects/details/9760/material/8754879)","PVC + Fabric backing 3mm PU foam")</f>
        <v>PVC + Fabric backing 3mm PU foam</v>
      </c>
      <c r="F5629" t="s">
        <v>6075</v>
      </c>
    </row>
    <row r="5630" spans="1:6" x14ac:dyDescent="0.15">
      <c r="A5630">
        <v>12212380</v>
      </c>
      <c r="B5630">
        <v>12085284</v>
      </c>
      <c r="C5630" t="s">
        <v>163</v>
      </c>
      <c r="D5630" t="s">
        <v>114</v>
      </c>
      <c r="E5630" s="4" t="str">
        <f>HYPERLINK("https://ibp.a2mac1.com/costing(costing:projects/details/9760/equipment/12212380)","DC machine - General")</f>
        <v>DC machine - General</v>
      </c>
      <c r="F5630" t="s">
        <v>6075</v>
      </c>
    </row>
    <row r="5631" spans="1:6" x14ac:dyDescent="0.15">
      <c r="A5631">
        <v>8415920</v>
      </c>
      <c r="B5631">
        <v>8415652</v>
      </c>
      <c r="C5631" t="s">
        <v>10</v>
      </c>
      <c r="D5631" t="s">
        <v>8</v>
      </c>
      <c r="E5631" s="4" t="str">
        <f>HYPERLINK("https://ibp.a2mac1.com/costing(costing:projects/details/9760/part/8415920)","Trim")</f>
        <v>Trim</v>
      </c>
      <c r="F5631" t="s">
        <v>6023</v>
      </c>
    </row>
    <row r="5632" spans="1:6" x14ac:dyDescent="0.15">
      <c r="A5632">
        <v>12085285</v>
      </c>
      <c r="B5632">
        <v>8415920</v>
      </c>
      <c r="C5632" t="s">
        <v>114</v>
      </c>
      <c r="D5632" t="s">
        <v>10</v>
      </c>
      <c r="E5632" s="4" t="str">
        <f>HYPERLINK("https://ibp.a2mac1.com/costing(costing:projects/details/9760/process/12085285)","Automated Process")</f>
        <v>Automated Process</v>
      </c>
      <c r="F5632" t="s">
        <v>6079</v>
      </c>
    </row>
    <row r="5633" spans="1:6" x14ac:dyDescent="0.15">
      <c r="A5633">
        <v>8754880</v>
      </c>
      <c r="B5633">
        <v>12085285</v>
      </c>
      <c r="C5633" t="s">
        <v>22</v>
      </c>
      <c r="D5633" t="s">
        <v>114</v>
      </c>
      <c r="E5633" s="4" t="str">
        <f>HYPERLINK("https://ibp.a2mac1.com/costing(costing:projects/details/9760/material/8754880)","PC-ABS")</f>
        <v>PC-ABS</v>
      </c>
      <c r="F5633" t="s">
        <v>6081</v>
      </c>
    </row>
    <row r="5634" spans="1:6" x14ac:dyDescent="0.15">
      <c r="A5634">
        <v>12212381</v>
      </c>
      <c r="B5634">
        <v>12085285</v>
      </c>
      <c r="C5634" t="s">
        <v>163</v>
      </c>
      <c r="D5634" t="s">
        <v>114</v>
      </c>
      <c r="E5634" s="4" t="str">
        <f>HYPERLINK("https://ibp.a2mac1.com/costing(costing:projects/details/9760/equipment/12212381)","DC machine - General")</f>
        <v>DC machine - General</v>
      </c>
      <c r="F5634" t="s">
        <v>6081</v>
      </c>
    </row>
    <row r="5635" spans="1:6" x14ac:dyDescent="0.15">
      <c r="A5635">
        <v>8415921</v>
      </c>
      <c r="B5635">
        <v>8415652</v>
      </c>
      <c r="C5635" t="s">
        <v>10</v>
      </c>
      <c r="D5635" t="s">
        <v>8</v>
      </c>
      <c r="E5635" s="4" t="str">
        <f>HYPERLINK("https://ibp.a2mac1.com/costing(costing:projects/details/9760/part/8415921)","2nd Trim")</f>
        <v>2nd Trim</v>
      </c>
      <c r="F5635" t="s">
        <v>6023</v>
      </c>
    </row>
    <row r="5636" spans="1:6" x14ac:dyDescent="0.15">
      <c r="A5636">
        <v>12085286</v>
      </c>
      <c r="B5636">
        <v>8415921</v>
      </c>
      <c r="C5636" t="s">
        <v>114</v>
      </c>
      <c r="D5636" t="s">
        <v>10</v>
      </c>
      <c r="E5636" s="4" t="str">
        <f>HYPERLINK("https://ibp.a2mac1.com/costing(costing:projects/details/9760/process/12085286)","Automated Process")</f>
        <v>Automated Process</v>
      </c>
      <c r="F5636" t="s">
        <v>6083</v>
      </c>
    </row>
    <row r="5637" spans="1:6" x14ac:dyDescent="0.15">
      <c r="A5637">
        <v>8754881</v>
      </c>
      <c r="B5637">
        <v>12085286</v>
      </c>
      <c r="C5637" t="s">
        <v>22</v>
      </c>
      <c r="D5637" t="s">
        <v>114</v>
      </c>
      <c r="E5637" s="4" t="str">
        <f>HYPERLINK("https://ibp.a2mac1.com/costing(costing:projects/details/9760/material/8754881)","PC-ABS")</f>
        <v>PC-ABS</v>
      </c>
      <c r="F5637" t="s">
        <v>6084</v>
      </c>
    </row>
    <row r="5638" spans="1:6" x14ac:dyDescent="0.15">
      <c r="A5638">
        <v>12212382</v>
      </c>
      <c r="B5638">
        <v>12085286</v>
      </c>
      <c r="C5638" t="s">
        <v>163</v>
      </c>
      <c r="D5638" t="s">
        <v>114</v>
      </c>
      <c r="E5638" s="4" t="str">
        <f>HYPERLINK("https://ibp.a2mac1.com/costing(costing:projects/details/9760/equipment/12212382)","DC machine - General")</f>
        <v>DC machine - General</v>
      </c>
      <c r="F5638" t="s">
        <v>6084</v>
      </c>
    </row>
    <row r="5639" spans="1:6" x14ac:dyDescent="0.15">
      <c r="A5639">
        <v>8415922</v>
      </c>
      <c r="B5639">
        <v>8415652</v>
      </c>
      <c r="C5639" t="s">
        <v>10</v>
      </c>
      <c r="D5639" t="s">
        <v>8</v>
      </c>
      <c r="E5639" s="4" t="str">
        <f>HYPERLINK("https://ibp.a2mac1.com/costing(costing:projects/details/9760/part/8415922)","Upper Band")</f>
        <v>Upper Band</v>
      </c>
      <c r="F5639" t="s">
        <v>6023</v>
      </c>
    </row>
    <row r="5640" spans="1:6" x14ac:dyDescent="0.15">
      <c r="A5640">
        <v>12085287</v>
      </c>
      <c r="B5640">
        <v>8415922</v>
      </c>
      <c r="C5640" t="s">
        <v>114</v>
      </c>
      <c r="D5640" t="s">
        <v>10</v>
      </c>
      <c r="E5640" s="4" t="str">
        <f>HYPERLINK("https://ibp.a2mac1.com/costing(costing:projects/details/9760/process/12085287)","Automated Process")</f>
        <v>Automated Process</v>
      </c>
      <c r="F5640" t="s">
        <v>6086</v>
      </c>
    </row>
    <row r="5641" spans="1:6" x14ac:dyDescent="0.15">
      <c r="A5641">
        <v>8754882</v>
      </c>
      <c r="B5641">
        <v>12085287</v>
      </c>
      <c r="C5641" t="s">
        <v>22</v>
      </c>
      <c r="D5641" t="s">
        <v>114</v>
      </c>
      <c r="E5641" s="4" t="str">
        <f>HYPERLINK("https://ibp.a2mac1.com/costing(costing:projects/details/9760/material/8754882)","PP-EPDM")</f>
        <v>PP-EPDM</v>
      </c>
      <c r="F5641" t="s">
        <v>6089</v>
      </c>
    </row>
    <row r="5642" spans="1:6" x14ac:dyDescent="0.15">
      <c r="A5642">
        <v>8754883</v>
      </c>
      <c r="B5642">
        <v>12085287</v>
      </c>
      <c r="C5642" t="s">
        <v>22</v>
      </c>
      <c r="D5642" t="s">
        <v>114</v>
      </c>
      <c r="E5642" s="4" t="str">
        <f>HYPERLINK("https://ibp.a2mac1.com/costing(costing:projects/details/9760/material/8754883)","PVC + Fabric backing 3mm PU foam")</f>
        <v>PVC + Fabric backing 3mm PU foam</v>
      </c>
      <c r="F5642" t="s">
        <v>6089</v>
      </c>
    </row>
    <row r="5643" spans="1:6" x14ac:dyDescent="0.15">
      <c r="A5643">
        <v>12212383</v>
      </c>
      <c r="B5643">
        <v>12085287</v>
      </c>
      <c r="C5643" t="s">
        <v>163</v>
      </c>
      <c r="D5643" t="s">
        <v>114</v>
      </c>
      <c r="E5643" s="4" t="str">
        <f>HYPERLINK("https://ibp.a2mac1.com/costing(costing:projects/details/9760/equipment/12212383)","DC machine - General")</f>
        <v>DC machine - General</v>
      </c>
      <c r="F5643" t="s">
        <v>6089</v>
      </c>
    </row>
    <row r="5644" spans="1:6" x14ac:dyDescent="0.15">
      <c r="A5644">
        <v>8415923</v>
      </c>
      <c r="B5644">
        <v>8415652</v>
      </c>
      <c r="C5644" t="s">
        <v>10</v>
      </c>
      <c r="D5644" t="s">
        <v>8</v>
      </c>
      <c r="E5644" s="4" t="str">
        <f>HYPERLINK("https://ibp.a2mac1.com/costing(costing:projects/details/9760/part/8415923)","Door Map Pocket Panel")</f>
        <v>Door Map Pocket Panel</v>
      </c>
      <c r="F5644" t="s">
        <v>6023</v>
      </c>
    </row>
    <row r="5645" spans="1:6" x14ac:dyDescent="0.15">
      <c r="A5645">
        <v>12085288</v>
      </c>
      <c r="B5645">
        <v>8415923</v>
      </c>
      <c r="C5645" t="s">
        <v>114</v>
      </c>
      <c r="D5645" t="s">
        <v>10</v>
      </c>
      <c r="E5645" s="4" t="str">
        <f>HYPERLINK("https://ibp.a2mac1.com/costing(costing:projects/details/9760/process/12085288)","Automated Process")</f>
        <v>Automated Process</v>
      </c>
      <c r="F5645" t="s">
        <v>6092</v>
      </c>
    </row>
    <row r="5646" spans="1:6" x14ac:dyDescent="0.15">
      <c r="A5646">
        <v>8754884</v>
      </c>
      <c r="B5646">
        <v>12085288</v>
      </c>
      <c r="C5646" t="s">
        <v>22</v>
      </c>
      <c r="D5646" t="s">
        <v>114</v>
      </c>
      <c r="E5646" s="4" t="str">
        <f>HYPERLINK("https://ibp.a2mac1.com/costing(costing:projects/details/9760/material/8754884)","PP-EPDM")</f>
        <v>PP-EPDM</v>
      </c>
      <c r="F5646" t="s">
        <v>6093</v>
      </c>
    </row>
    <row r="5647" spans="1:6" x14ac:dyDescent="0.15">
      <c r="A5647">
        <v>12212384</v>
      </c>
      <c r="B5647">
        <v>12085288</v>
      </c>
      <c r="C5647" t="s">
        <v>163</v>
      </c>
      <c r="D5647" t="s">
        <v>114</v>
      </c>
      <c r="E5647" s="4" t="str">
        <f>HYPERLINK("https://ibp.a2mac1.com/costing(costing:projects/details/9760/equipment/12212384)","DC machine - General")</f>
        <v>DC machine - General</v>
      </c>
      <c r="F5647" t="s">
        <v>6093</v>
      </c>
    </row>
    <row r="5648" spans="1:6" x14ac:dyDescent="0.15">
      <c r="A5648">
        <v>8415924</v>
      </c>
      <c r="B5648">
        <v>8415652</v>
      </c>
      <c r="C5648" t="s">
        <v>10</v>
      </c>
      <c r="D5648" t="s">
        <v>8</v>
      </c>
      <c r="E5648" s="4" t="str">
        <f>HYPERLINK("https://ibp.a2mac1.com/costing(costing:projects/details/9760/part/8415924)","Soundproofing")</f>
        <v>Soundproofing</v>
      </c>
      <c r="F5648" t="s">
        <v>6023</v>
      </c>
    </row>
    <row r="5649" spans="1:6" x14ac:dyDescent="0.15">
      <c r="A5649">
        <v>12085289</v>
      </c>
      <c r="B5649">
        <v>8415924</v>
      </c>
      <c r="C5649" t="s">
        <v>114</v>
      </c>
      <c r="D5649" t="s">
        <v>10</v>
      </c>
      <c r="E5649" s="4" t="str">
        <f>HYPERLINK("https://ibp.a2mac1.com/costing(costing:projects/details/9760/process/12085289)","Automated Process")</f>
        <v>Automated Process</v>
      </c>
      <c r="F5649" t="s">
        <v>6095</v>
      </c>
    </row>
    <row r="5650" spans="1:6" x14ac:dyDescent="0.15">
      <c r="A5650">
        <v>8754885</v>
      </c>
      <c r="B5650">
        <v>12085289</v>
      </c>
      <c r="C5650" t="s">
        <v>22</v>
      </c>
      <c r="D5650" t="s">
        <v>114</v>
      </c>
      <c r="E5650" s="4" t="str">
        <f>HYPERLINK("https://ibp.a2mac1.com/costing(costing:projects/details/9760/material/8754885)","Thinsulate")</f>
        <v>Thinsulate</v>
      </c>
      <c r="F5650" t="s">
        <v>6098</v>
      </c>
    </row>
    <row r="5651" spans="1:6" x14ac:dyDescent="0.15">
      <c r="A5651">
        <v>12212385</v>
      </c>
      <c r="B5651">
        <v>12085289</v>
      </c>
      <c r="C5651" t="s">
        <v>163</v>
      </c>
      <c r="D5651" t="s">
        <v>114</v>
      </c>
      <c r="E5651" s="4" t="str">
        <f>HYPERLINK("https://ibp.a2mac1.com/costing(costing:projects/details/9760/equipment/12212385)","DC machine - General")</f>
        <v>DC machine - General</v>
      </c>
      <c r="F5651" t="s">
        <v>6098</v>
      </c>
    </row>
    <row r="5652" spans="1:6" x14ac:dyDescent="0.15">
      <c r="A5652">
        <v>8415925</v>
      </c>
      <c r="B5652">
        <v>8415652</v>
      </c>
      <c r="C5652" t="s">
        <v>10</v>
      </c>
      <c r="D5652" t="s">
        <v>8</v>
      </c>
      <c r="E5652" s="4" t="str">
        <f>HYPERLINK("https://ibp.a2mac1.com/costing(costing:projects/details/9760/part/8415925)","Reinforcement")</f>
        <v>Reinforcement</v>
      </c>
      <c r="F5652" t="s">
        <v>6023</v>
      </c>
    </row>
    <row r="5653" spans="1:6" x14ac:dyDescent="0.15">
      <c r="A5653">
        <v>12085290</v>
      </c>
      <c r="B5653">
        <v>8415925</v>
      </c>
      <c r="C5653" t="s">
        <v>114</v>
      </c>
      <c r="D5653" t="s">
        <v>10</v>
      </c>
      <c r="E5653" s="4" t="str">
        <f>HYPERLINK("https://ibp.a2mac1.com/costing(costing:projects/details/9760/process/12085290)","Automated Process")</f>
        <v>Automated Process</v>
      </c>
      <c r="F5653" t="s">
        <v>6100</v>
      </c>
    </row>
    <row r="5654" spans="1:6" x14ac:dyDescent="0.15">
      <c r="A5654">
        <v>8754886</v>
      </c>
      <c r="B5654">
        <v>12085290</v>
      </c>
      <c r="C5654" t="s">
        <v>22</v>
      </c>
      <c r="D5654" t="s">
        <v>114</v>
      </c>
      <c r="E5654" s="4" t="str">
        <f>HYPERLINK("https://ibp.a2mac1.com/costing(costing:projects/details/9760/material/8754886)","PP-EPDM")</f>
        <v>PP-EPDM</v>
      </c>
      <c r="F5654" t="s">
        <v>6103</v>
      </c>
    </row>
    <row r="5655" spans="1:6" x14ac:dyDescent="0.15">
      <c r="A5655">
        <v>12212386</v>
      </c>
      <c r="B5655">
        <v>12085290</v>
      </c>
      <c r="C5655" t="s">
        <v>163</v>
      </c>
      <c r="D5655" t="s">
        <v>114</v>
      </c>
      <c r="E5655" s="4" t="str">
        <f>HYPERLINK("https://ibp.a2mac1.com/costing(costing:projects/details/9760/equipment/12212386)","DC machine - General")</f>
        <v>DC machine - General</v>
      </c>
      <c r="F5655" t="s">
        <v>6103</v>
      </c>
    </row>
    <row r="5656" spans="1:6" x14ac:dyDescent="0.15">
      <c r="A5656">
        <v>8754417</v>
      </c>
      <c r="B5656">
        <v>8415652</v>
      </c>
      <c r="C5656" t="s">
        <v>311</v>
      </c>
      <c r="D5656" t="s">
        <v>8</v>
      </c>
      <c r="E5656" s="4" t="str">
        <f>HYPERLINK("https://ibp.a2mac1.com/costing(costing:projects/details/9760/component/8754417)","Other fastener &gt; Attachment")</f>
        <v>Other fastener &gt; Attachment</v>
      </c>
      <c r="F5656" t="s">
        <v>6023</v>
      </c>
    </row>
    <row r="5657" spans="1:6" x14ac:dyDescent="0.15">
      <c r="A5657">
        <v>8754418</v>
      </c>
      <c r="B5657">
        <v>8415652</v>
      </c>
      <c r="C5657" t="s">
        <v>311</v>
      </c>
      <c r="D5657" t="s">
        <v>8</v>
      </c>
      <c r="E5657" s="4" t="str">
        <f>HYPERLINK("https://ibp.a2mac1.com/costing(costing:projects/details/9760/component/8754418)","Screw &gt; Cross recessed screw with flange")</f>
        <v>Screw &gt; Cross recessed screw with flange</v>
      </c>
      <c r="F5657" t="s">
        <v>6023</v>
      </c>
    </row>
    <row r="5658" spans="1:6" x14ac:dyDescent="0.15">
      <c r="A5658">
        <v>8754419</v>
      </c>
      <c r="B5658">
        <v>8415652</v>
      </c>
      <c r="C5658" t="s">
        <v>311</v>
      </c>
      <c r="D5658" t="s">
        <v>8</v>
      </c>
      <c r="E5658" s="4" t="str">
        <f>HYPERLINK("https://ibp.a2mac1.com/costing(costing:projects/details/9760/component/8754419)","Screw &gt; Cross recessed screw with flange")</f>
        <v>Screw &gt; Cross recessed screw with flange</v>
      </c>
      <c r="F5658" t="s">
        <v>6023</v>
      </c>
    </row>
    <row r="5659" spans="1:6" x14ac:dyDescent="0.15">
      <c r="A5659">
        <v>8415653</v>
      </c>
      <c r="B5659">
        <v>8415585</v>
      </c>
      <c r="C5659" t="s">
        <v>8</v>
      </c>
      <c r="D5659" t="s">
        <v>8</v>
      </c>
      <c r="E5659" s="4" t="str">
        <f>HYPERLINK("https://ibp.a2mac1.com/costing(costing:projects/details/9760/assembly/8415653)","Door Mechanism")</f>
        <v>Door Mechanism</v>
      </c>
      <c r="F5659" t="s">
        <v>5965</v>
      </c>
    </row>
    <row r="5660" spans="1:6" x14ac:dyDescent="0.15">
      <c r="A5660">
        <v>8415930</v>
      </c>
      <c r="B5660">
        <v>8415653</v>
      </c>
      <c r="C5660" t="s">
        <v>8</v>
      </c>
      <c r="D5660" t="s">
        <v>8</v>
      </c>
      <c r="E5660" s="4" t="str">
        <f>HYPERLINK("https://ibp.a2mac1.com/costing(costing:projects/details/9760/assembly/8415930)","Interior Side")</f>
        <v>Interior Side</v>
      </c>
      <c r="F5660" t="s">
        <v>6106</v>
      </c>
    </row>
    <row r="5661" spans="1:6" x14ac:dyDescent="0.15">
      <c r="A5661">
        <v>8416267</v>
      </c>
      <c r="B5661">
        <v>8415930</v>
      </c>
      <c r="C5661" t="s">
        <v>10</v>
      </c>
      <c r="D5661" t="s">
        <v>8</v>
      </c>
      <c r="E5661" s="4" t="str">
        <f>HYPERLINK("https://ibp.a2mac1.com/costing(costing:projects/details/9760/part/8416267)","Opening Control")</f>
        <v>Opening Control</v>
      </c>
      <c r="F5661" t="s">
        <v>6107</v>
      </c>
    </row>
    <row r="5662" spans="1:6" x14ac:dyDescent="0.15">
      <c r="A5662">
        <v>12085552</v>
      </c>
      <c r="B5662">
        <v>8416267</v>
      </c>
      <c r="C5662" t="s">
        <v>114</v>
      </c>
      <c r="D5662" t="s">
        <v>10</v>
      </c>
      <c r="E5662" s="4" t="str">
        <f>HYPERLINK("https://ibp.a2mac1.com/costing(costing:projects/details/9760/process/12085552)","Injection molding")</f>
        <v>Injection molding</v>
      </c>
      <c r="F5662" t="s">
        <v>6108</v>
      </c>
    </row>
    <row r="5663" spans="1:6" x14ac:dyDescent="0.15">
      <c r="A5663">
        <v>8755279</v>
      </c>
      <c r="B5663">
        <v>12085552</v>
      </c>
      <c r="C5663" t="s">
        <v>22</v>
      </c>
      <c r="D5663" t="s">
        <v>114</v>
      </c>
      <c r="E5663" s="4" t="str">
        <f>HYPERLINK("https://ibp.a2mac1.com/costing(costing:projects/details/9760/material/8755279)","ABS-PC")</f>
        <v>ABS-PC</v>
      </c>
      <c r="F5663" t="s">
        <v>6109</v>
      </c>
    </row>
    <row r="5664" spans="1:6" x14ac:dyDescent="0.15">
      <c r="A5664">
        <v>12212790</v>
      </c>
      <c r="B5664">
        <v>12085552</v>
      </c>
      <c r="C5664" t="s">
        <v>163</v>
      </c>
      <c r="D5664" t="s">
        <v>114</v>
      </c>
      <c r="E5664" s="4" t="str">
        <f>HYPERLINK("https://ibp.a2mac1.com/costing(costing:projects/details/9760/equipment/12212790)","Equipment (Injection Molding)")</f>
        <v>Equipment (Injection Molding)</v>
      </c>
      <c r="F5664" t="s">
        <v>6109</v>
      </c>
    </row>
    <row r="5665" spans="1:6" x14ac:dyDescent="0.15">
      <c r="A5665">
        <v>8416268</v>
      </c>
      <c r="B5665">
        <v>8415930</v>
      </c>
      <c r="C5665" t="s">
        <v>10</v>
      </c>
      <c r="D5665" t="s">
        <v>8</v>
      </c>
      <c r="E5665" s="4" t="str">
        <f>HYPERLINK("https://ibp.a2mac1.com/costing(costing:projects/details/9760/part/8416268)","Opening Control Support")</f>
        <v>Opening Control Support</v>
      </c>
      <c r="F5665" t="s">
        <v>6107</v>
      </c>
    </row>
    <row r="5666" spans="1:6" x14ac:dyDescent="0.15">
      <c r="A5666">
        <v>12085553</v>
      </c>
      <c r="B5666">
        <v>8416268</v>
      </c>
      <c r="C5666" t="s">
        <v>114</v>
      </c>
      <c r="D5666" t="s">
        <v>10</v>
      </c>
      <c r="E5666" s="4" t="str">
        <f>HYPERLINK("https://ibp.a2mac1.com/costing(costing:projects/details/9760/process/12085553)","Injection molding")</f>
        <v>Injection molding</v>
      </c>
      <c r="F5666" t="s">
        <v>6111</v>
      </c>
    </row>
    <row r="5667" spans="1:6" x14ac:dyDescent="0.15">
      <c r="A5667">
        <v>8755280</v>
      </c>
      <c r="B5667">
        <v>12085553</v>
      </c>
      <c r="C5667" t="s">
        <v>22</v>
      </c>
      <c r="D5667" t="s">
        <v>114</v>
      </c>
      <c r="E5667" s="4" t="str">
        <f>HYPERLINK("https://ibp.a2mac1.com/costing(costing:projects/details/9760/material/8755280)","PA6-GF30")</f>
        <v>PA6-GF30</v>
      </c>
      <c r="F5667" t="s">
        <v>6112</v>
      </c>
    </row>
    <row r="5668" spans="1:6" x14ac:dyDescent="0.15">
      <c r="A5668">
        <v>12212791</v>
      </c>
      <c r="B5668">
        <v>12085553</v>
      </c>
      <c r="C5668" t="s">
        <v>163</v>
      </c>
      <c r="D5668" t="s">
        <v>114</v>
      </c>
      <c r="E5668" s="4" t="str">
        <f>HYPERLINK("https://ibp.a2mac1.com/costing(costing:projects/details/9760/equipment/12212791)","No.01 - Injection Press - 40T - 18kW - 270x270 - Max Volume 128cm3 ")</f>
        <v xml:space="preserve">No.01 - Injection Press - 40T - 18kW - 270x270 - Max Volume 128cm3 </v>
      </c>
      <c r="F5668" t="s">
        <v>6112</v>
      </c>
    </row>
    <row r="5669" spans="1:6" x14ac:dyDescent="0.15">
      <c r="A5669">
        <v>8416269</v>
      </c>
      <c r="B5669">
        <v>8415930</v>
      </c>
      <c r="C5669" t="s">
        <v>10</v>
      </c>
      <c r="D5669" t="s">
        <v>8</v>
      </c>
      <c r="E5669" s="4" t="str">
        <f>HYPERLINK("https://ibp.a2mac1.com/costing(costing:projects/details/9760/part/8416269)","Spring")</f>
        <v>Spring</v>
      </c>
      <c r="F5669" t="s">
        <v>6107</v>
      </c>
    </row>
    <row r="5670" spans="1:6" x14ac:dyDescent="0.15">
      <c r="A5670">
        <v>12085554</v>
      </c>
      <c r="B5670">
        <v>8416269</v>
      </c>
      <c r="C5670" t="s">
        <v>114</v>
      </c>
      <c r="D5670" t="s">
        <v>10</v>
      </c>
      <c r="E5670" s="4" t="str">
        <f>HYPERLINK("https://ibp.a2mac1.com/costing(costing:projects/details/9760/process/12085554)","Coiling + End forming")</f>
        <v>Coiling + End forming</v>
      </c>
      <c r="F5670" t="s">
        <v>6114</v>
      </c>
    </row>
    <row r="5671" spans="1:6" x14ac:dyDescent="0.15">
      <c r="A5671">
        <v>8755281</v>
      </c>
      <c r="B5671">
        <v>12085554</v>
      </c>
      <c r="C5671" t="s">
        <v>22</v>
      </c>
      <c r="D5671" t="s">
        <v>114</v>
      </c>
      <c r="E5671" s="4" t="str">
        <f>HYPERLINK("https://ibp.a2mac1.com/costing(costing:projects/details/9760/material/8755281)","Standard Structural Steel sheet")</f>
        <v>Standard Structural Steel sheet</v>
      </c>
      <c r="F5671" t="s">
        <v>6115</v>
      </c>
    </row>
    <row r="5672" spans="1:6" x14ac:dyDescent="0.15">
      <c r="A5672">
        <v>12212792</v>
      </c>
      <c r="B5672">
        <v>12085554</v>
      </c>
      <c r="C5672" t="s">
        <v>163</v>
      </c>
      <c r="D5672" t="s">
        <v>114</v>
      </c>
      <c r="E5672" s="4" t="str">
        <f>HYPERLINK("https://ibp.a2mac1.com/costing(costing:projects/details/9760/equipment/12212792)","Coiler Equipment ")</f>
        <v xml:space="preserve">Coiler Equipment </v>
      </c>
      <c r="F5672" t="s">
        <v>6115</v>
      </c>
    </row>
    <row r="5673" spans="1:6" x14ac:dyDescent="0.15">
      <c r="A5673">
        <v>12085555</v>
      </c>
      <c r="B5673">
        <v>8416269</v>
      </c>
      <c r="C5673" t="s">
        <v>114</v>
      </c>
      <c r="D5673" t="s">
        <v>10</v>
      </c>
      <c r="E5673" s="4" t="str">
        <f>HYPERLINK("https://ibp.a2mac1.com/costing(costing:projects/details/9760/process/12085555)","Heat treatment")</f>
        <v>Heat treatment</v>
      </c>
      <c r="F5673" t="s">
        <v>6114</v>
      </c>
    </row>
    <row r="5674" spans="1:6" x14ac:dyDescent="0.15">
      <c r="A5674">
        <v>12212793</v>
      </c>
      <c r="B5674">
        <v>12085555</v>
      </c>
      <c r="C5674" t="s">
        <v>163</v>
      </c>
      <c r="D5674" t="s">
        <v>114</v>
      </c>
      <c r="E5674" s="4" t="str">
        <f>HYPERLINK("https://ibp.a2mac1.com/costing(costing:projects/details/9760/equipment/12212793)","Furnace hardening line ")</f>
        <v xml:space="preserve">Furnace hardening line </v>
      </c>
      <c r="F5674" t="s">
        <v>6116</v>
      </c>
    </row>
    <row r="5675" spans="1:6" x14ac:dyDescent="0.15">
      <c r="A5675">
        <v>8416270</v>
      </c>
      <c r="B5675">
        <v>8415930</v>
      </c>
      <c r="C5675" t="s">
        <v>10</v>
      </c>
      <c r="D5675" t="s">
        <v>8</v>
      </c>
      <c r="E5675" s="4" t="str">
        <f>HYPERLINK("https://ibp.a2mac1.com/costing(costing:projects/details/9760/part/8416270)","Stopper")</f>
        <v>Stopper</v>
      </c>
      <c r="F5675" t="s">
        <v>6107</v>
      </c>
    </row>
    <row r="5676" spans="1:6" x14ac:dyDescent="0.15">
      <c r="A5676">
        <v>8416271</v>
      </c>
      <c r="B5676">
        <v>8415930</v>
      </c>
      <c r="C5676" t="s">
        <v>10</v>
      </c>
      <c r="D5676" t="s">
        <v>8</v>
      </c>
      <c r="E5676" s="4" t="str">
        <f>HYPERLINK("https://ibp.a2mac1.com/costing(costing:projects/details/9760/part/8416271)","Switch Opening")</f>
        <v>Switch Opening</v>
      </c>
      <c r="F5676" t="s">
        <v>6107</v>
      </c>
    </row>
    <row r="5677" spans="1:6" x14ac:dyDescent="0.15">
      <c r="A5677">
        <v>8754550</v>
      </c>
      <c r="B5677">
        <v>8415930</v>
      </c>
      <c r="C5677" t="s">
        <v>311</v>
      </c>
      <c r="D5677" t="s">
        <v>8</v>
      </c>
      <c r="E5677" s="4" t="str">
        <f>HYPERLINK("https://ibp.a2mac1.com/costing(costing:projects/details/9760/component/8754550)","Pin clip &gt; Dowel pin")</f>
        <v>Pin clip &gt; Dowel pin</v>
      </c>
      <c r="F5677" t="s">
        <v>6107</v>
      </c>
    </row>
    <row r="5678" spans="1:6" x14ac:dyDescent="0.15">
      <c r="A5678">
        <v>8754551</v>
      </c>
      <c r="B5678">
        <v>8415930</v>
      </c>
      <c r="C5678" t="s">
        <v>311</v>
      </c>
      <c r="D5678" t="s">
        <v>8</v>
      </c>
      <c r="E5678" s="4" t="str">
        <f>HYPERLINK("https://ibp.a2mac1.com/costing(costing:projects/details/9760/component/8754551)","Nut &gt; Pinching nut for metal sheet screw")</f>
        <v>Nut &gt; Pinching nut for metal sheet screw</v>
      </c>
      <c r="F5678" t="s">
        <v>6107</v>
      </c>
    </row>
    <row r="5679" spans="1:6" x14ac:dyDescent="0.15">
      <c r="A5679">
        <v>8415931</v>
      </c>
      <c r="B5679">
        <v>8415653</v>
      </c>
      <c r="C5679" t="s">
        <v>8</v>
      </c>
      <c r="D5679" t="s">
        <v>8</v>
      </c>
      <c r="E5679" s="4" t="str">
        <f>HYPERLINK("https://ibp.a2mac1.com/costing(costing:projects/details/9760/assembly/8415931)","Exterior side")</f>
        <v>Exterior side</v>
      </c>
      <c r="F5679" t="s">
        <v>6106</v>
      </c>
    </row>
    <row r="5680" spans="1:6" x14ac:dyDescent="0.15">
      <c r="A5680">
        <v>8416272</v>
      </c>
      <c r="B5680">
        <v>8415931</v>
      </c>
      <c r="C5680" t="s">
        <v>10</v>
      </c>
      <c r="D5680" t="s">
        <v>8</v>
      </c>
      <c r="E5680" s="4" t="str">
        <f>HYPERLINK("https://ibp.a2mac1.com/costing(costing:projects/details/9760/part/8416272)","Opening Control")</f>
        <v>Opening Control</v>
      </c>
      <c r="F5680" t="s">
        <v>6121</v>
      </c>
    </row>
    <row r="5681" spans="1:6" x14ac:dyDescent="0.15">
      <c r="A5681">
        <v>12085556</v>
      </c>
      <c r="B5681">
        <v>8416272</v>
      </c>
      <c r="C5681" t="s">
        <v>114</v>
      </c>
      <c r="D5681" t="s">
        <v>10</v>
      </c>
      <c r="E5681" s="4" t="str">
        <f>HYPERLINK("https://ibp.a2mac1.com/costing(costing:projects/details/9760/process/12085556)","Injection molding")</f>
        <v>Injection molding</v>
      </c>
      <c r="F5681" t="s">
        <v>6122</v>
      </c>
    </row>
    <row r="5682" spans="1:6" x14ac:dyDescent="0.15">
      <c r="A5682">
        <v>8755282</v>
      </c>
      <c r="B5682">
        <v>12085556</v>
      </c>
      <c r="C5682" t="s">
        <v>22</v>
      </c>
      <c r="D5682" t="s">
        <v>114</v>
      </c>
      <c r="E5682" s="4" t="str">
        <f>HYPERLINK("https://ibp.a2mac1.com/costing(costing:projects/details/9760/material/8755282)","PA6-GF30")</f>
        <v>PA6-GF30</v>
      </c>
      <c r="F5682" t="s">
        <v>6123</v>
      </c>
    </row>
    <row r="5683" spans="1:6" x14ac:dyDescent="0.15">
      <c r="A5683">
        <v>12212794</v>
      </c>
      <c r="B5683">
        <v>12085556</v>
      </c>
      <c r="C5683" t="s">
        <v>163</v>
      </c>
      <c r="D5683" t="s">
        <v>114</v>
      </c>
      <c r="E5683" s="4" t="str">
        <f>HYPERLINK("https://ibp.a2mac1.com/costing(costing:projects/details/9760/equipment/12212794)","No.01 - Injection Press - 40T - 18kW - 270x270 - Max Volume 128cm3 ")</f>
        <v xml:space="preserve">No.01 - Injection Press - 40T - 18kW - 270x270 - Max Volume 128cm3 </v>
      </c>
      <c r="F5683" t="s">
        <v>6123</v>
      </c>
    </row>
    <row r="5684" spans="1:6" x14ac:dyDescent="0.15">
      <c r="A5684">
        <v>8416273</v>
      </c>
      <c r="B5684">
        <v>8415931</v>
      </c>
      <c r="C5684" t="s">
        <v>10</v>
      </c>
      <c r="D5684" t="s">
        <v>8</v>
      </c>
      <c r="E5684" s="4" t="str">
        <f>HYPERLINK("https://ibp.a2mac1.com/costing(costing:projects/details/9760/part/8416273)","Opening Control Support")</f>
        <v>Opening Control Support</v>
      </c>
      <c r="F5684" t="s">
        <v>6121</v>
      </c>
    </row>
    <row r="5685" spans="1:6" x14ac:dyDescent="0.15">
      <c r="A5685">
        <v>12085557</v>
      </c>
      <c r="B5685">
        <v>8416273</v>
      </c>
      <c r="C5685" t="s">
        <v>114</v>
      </c>
      <c r="D5685" t="s">
        <v>10</v>
      </c>
      <c r="E5685" s="4" t="str">
        <f>HYPERLINK("https://ibp.a2mac1.com/costing(costing:projects/details/9760/process/12085557)","Injection molding")</f>
        <v>Injection molding</v>
      </c>
      <c r="F5685" t="s">
        <v>6126</v>
      </c>
    </row>
    <row r="5686" spans="1:6" x14ac:dyDescent="0.15">
      <c r="A5686">
        <v>8755283</v>
      </c>
      <c r="B5686">
        <v>12085557</v>
      </c>
      <c r="C5686" t="s">
        <v>22</v>
      </c>
      <c r="D5686" t="s">
        <v>114</v>
      </c>
      <c r="E5686" s="4" t="str">
        <f>HYPERLINK("https://ibp.a2mac1.com/costing(costing:projects/details/9760/material/8755283)","PA6-GF30")</f>
        <v>PA6-GF30</v>
      </c>
      <c r="F5686" t="s">
        <v>6127</v>
      </c>
    </row>
    <row r="5687" spans="1:6" x14ac:dyDescent="0.15">
      <c r="A5687">
        <v>12212795</v>
      </c>
      <c r="B5687">
        <v>12085557</v>
      </c>
      <c r="C5687" t="s">
        <v>163</v>
      </c>
      <c r="D5687" t="s">
        <v>114</v>
      </c>
      <c r="E5687" s="4" t="str">
        <f>HYPERLINK("https://ibp.a2mac1.com/costing(costing:projects/details/9760/equipment/12212795)","No.06 - Injection Press - 200T - 45kW - 510x510 - Max Volume 624cm3 ")</f>
        <v xml:space="preserve">No.06 - Injection Press - 200T - 45kW - 510x510 - Max Volume 624cm3 </v>
      </c>
      <c r="F5687" t="s">
        <v>6127</v>
      </c>
    </row>
    <row r="5688" spans="1:6" x14ac:dyDescent="0.15">
      <c r="A5688">
        <v>8416274</v>
      </c>
      <c r="B5688">
        <v>8415931</v>
      </c>
      <c r="C5688" t="s">
        <v>10</v>
      </c>
      <c r="D5688" t="s">
        <v>8</v>
      </c>
      <c r="E5688" s="4" t="str">
        <f>HYPERLINK("https://ibp.a2mac1.com/costing(costing:projects/details/9760/part/8416274)","Bezel")</f>
        <v>Bezel</v>
      </c>
      <c r="F5688" t="s">
        <v>6121</v>
      </c>
    </row>
    <row r="5689" spans="1:6" x14ac:dyDescent="0.15">
      <c r="A5689">
        <v>12085578</v>
      </c>
      <c r="B5689">
        <v>8416274</v>
      </c>
      <c r="C5689" t="s">
        <v>114</v>
      </c>
      <c r="D5689" t="s">
        <v>10</v>
      </c>
      <c r="E5689" s="4" t="str">
        <f>HYPERLINK("https://ibp.a2mac1.com/costing(costing:projects/details/9760/process/12085578)","Injection molding")</f>
        <v>Injection molding</v>
      </c>
      <c r="F5689" t="s">
        <v>6129</v>
      </c>
    </row>
    <row r="5690" spans="1:6" x14ac:dyDescent="0.15">
      <c r="A5690">
        <v>8755284</v>
      </c>
      <c r="B5690">
        <v>12085578</v>
      </c>
      <c r="C5690" t="s">
        <v>22</v>
      </c>
      <c r="D5690" t="s">
        <v>114</v>
      </c>
      <c r="E5690" s="4" t="str">
        <f>HYPERLINK("https://ibp.a2mac1.com/costing(costing:projects/details/9760/material/8755284)","PBT-PC")</f>
        <v>PBT-PC</v>
      </c>
      <c r="F5690" t="s">
        <v>6130</v>
      </c>
    </row>
    <row r="5691" spans="1:6" x14ac:dyDescent="0.15">
      <c r="A5691">
        <v>12212796</v>
      </c>
      <c r="B5691">
        <v>12085578</v>
      </c>
      <c r="C5691" t="s">
        <v>163</v>
      </c>
      <c r="D5691" t="s">
        <v>114</v>
      </c>
      <c r="E5691" s="4" t="str">
        <f>HYPERLINK("https://ibp.a2mac1.com/costing(costing:projects/details/9760/equipment/12212796)","No.02 - Injection Press - 60T - 25kW - 320x320 - Max Volume 164cm3 ")</f>
        <v xml:space="preserve">No.02 - Injection Press - 60T - 25kW - 320x320 - Max Volume 164cm3 </v>
      </c>
      <c r="F5691" t="s">
        <v>6130</v>
      </c>
    </row>
    <row r="5692" spans="1:6" x14ac:dyDescent="0.15">
      <c r="A5692">
        <v>12085579</v>
      </c>
      <c r="B5692">
        <v>8416274</v>
      </c>
      <c r="C5692" t="s">
        <v>114</v>
      </c>
      <c r="D5692" t="s">
        <v>10</v>
      </c>
      <c r="E5692" s="4" t="str">
        <f>HYPERLINK("https://ibp.a2mac1.com/costing(costing:projects/details/9760/process/12085579)","Painting")</f>
        <v>Painting</v>
      </c>
      <c r="F5692" t="s">
        <v>6129</v>
      </c>
    </row>
    <row r="5693" spans="1:6" x14ac:dyDescent="0.15">
      <c r="A5693">
        <v>8755285</v>
      </c>
      <c r="B5693">
        <v>12085579</v>
      </c>
      <c r="C5693" t="s">
        <v>22</v>
      </c>
      <c r="D5693" t="s">
        <v>114</v>
      </c>
      <c r="E5693" s="4" t="str">
        <f>HYPERLINK("https://ibp.a2mac1.com/costing(costing:projects/details/9760/material/8755285)","Paint - Base")</f>
        <v>Paint - Base</v>
      </c>
      <c r="F5693" t="s">
        <v>6131</v>
      </c>
    </row>
    <row r="5694" spans="1:6" x14ac:dyDescent="0.15">
      <c r="A5694">
        <v>8755286</v>
      </c>
      <c r="B5694">
        <v>12085579</v>
      </c>
      <c r="C5694" t="s">
        <v>22</v>
      </c>
      <c r="D5694" t="s">
        <v>114</v>
      </c>
      <c r="E5694" s="4" t="str">
        <f>HYPERLINK("https://ibp.a2mac1.com/costing(costing:projects/details/9760/material/8755286)","Paint - Primer")</f>
        <v>Paint - Primer</v>
      </c>
      <c r="F5694" t="s">
        <v>6131</v>
      </c>
    </row>
    <row r="5695" spans="1:6" x14ac:dyDescent="0.15">
      <c r="A5695">
        <v>8755287</v>
      </c>
      <c r="B5695">
        <v>12085579</v>
      </c>
      <c r="C5695" t="s">
        <v>22</v>
      </c>
      <c r="D5695" t="s">
        <v>114</v>
      </c>
      <c r="E5695" s="4" t="str">
        <f>HYPERLINK("https://ibp.a2mac1.com/costing(costing:projects/details/9760/material/8755287)","Paint - Clear Coat")</f>
        <v>Paint - Clear Coat</v>
      </c>
      <c r="F5695" t="s">
        <v>6131</v>
      </c>
    </row>
    <row r="5696" spans="1:6" x14ac:dyDescent="0.15">
      <c r="A5696">
        <v>12212797</v>
      </c>
      <c r="B5696">
        <v>12085579</v>
      </c>
      <c r="C5696" t="s">
        <v>163</v>
      </c>
      <c r="D5696" t="s">
        <v>114</v>
      </c>
      <c r="E5696" s="4" t="str">
        <f>HYPERLINK("https://ibp.a2mac1.com/costing(costing:projects/details/9760/equipment/12212797)","No.04 - 60000x6000x3500 - Automatic Painting Line - with 12x100kW on line ovens ")</f>
        <v xml:space="preserve">No.04 - 60000x6000x3500 - Automatic Painting Line - with 12x100kW on line ovens </v>
      </c>
      <c r="F5696" t="s">
        <v>6131</v>
      </c>
    </row>
    <row r="5697" spans="1:6" x14ac:dyDescent="0.15">
      <c r="A5697">
        <v>12212798</v>
      </c>
      <c r="B5697">
        <v>12085579</v>
      </c>
      <c r="C5697" t="s">
        <v>163</v>
      </c>
      <c r="D5697" t="s">
        <v>114</v>
      </c>
      <c r="E5697" s="4" t="str">
        <f>HYPERLINK("https://ibp.a2mac1.com/costing(costing:projects/details/9760/equipment/12212798)","Loading + Unloading, Retouching, Checking")</f>
        <v>Loading + Unloading, Retouching, Checking</v>
      </c>
      <c r="F5697" t="s">
        <v>6131</v>
      </c>
    </row>
    <row r="5698" spans="1:6" x14ac:dyDescent="0.15">
      <c r="A5698">
        <v>8416275</v>
      </c>
      <c r="B5698">
        <v>8415931</v>
      </c>
      <c r="C5698" t="s">
        <v>10</v>
      </c>
      <c r="D5698" t="s">
        <v>8</v>
      </c>
      <c r="E5698" s="4" t="str">
        <f>HYPERLINK("https://ibp.a2mac1.com/costing(costing:projects/details/9760/part/8416275)","2nd Bezel")</f>
        <v>2nd Bezel</v>
      </c>
      <c r="F5698" t="s">
        <v>6121</v>
      </c>
    </row>
    <row r="5699" spans="1:6" x14ac:dyDescent="0.15">
      <c r="A5699">
        <v>12085580</v>
      </c>
      <c r="B5699">
        <v>8416275</v>
      </c>
      <c r="C5699" t="s">
        <v>114</v>
      </c>
      <c r="D5699" t="s">
        <v>10</v>
      </c>
      <c r="E5699" s="4" t="str">
        <f>HYPERLINK("https://ibp.a2mac1.com/costing(costing:projects/details/9760/process/12085580)","Injection molding")</f>
        <v>Injection molding</v>
      </c>
      <c r="F5699" t="s">
        <v>6133</v>
      </c>
    </row>
    <row r="5700" spans="1:6" x14ac:dyDescent="0.15">
      <c r="A5700">
        <v>8755288</v>
      </c>
      <c r="B5700">
        <v>12085580</v>
      </c>
      <c r="C5700" t="s">
        <v>22</v>
      </c>
      <c r="D5700" t="s">
        <v>114</v>
      </c>
      <c r="E5700" s="4" t="str">
        <f>HYPERLINK("https://ibp.a2mac1.com/costing(costing:projects/details/9760/material/8755288)","PBT-PC")</f>
        <v>PBT-PC</v>
      </c>
      <c r="F5700" t="s">
        <v>6134</v>
      </c>
    </row>
    <row r="5701" spans="1:6" x14ac:dyDescent="0.15">
      <c r="A5701">
        <v>12212799</v>
      </c>
      <c r="B5701">
        <v>12085580</v>
      </c>
      <c r="C5701" t="s">
        <v>163</v>
      </c>
      <c r="D5701" t="s">
        <v>114</v>
      </c>
      <c r="E5701" s="4" t="str">
        <f>HYPERLINK("https://ibp.a2mac1.com/costing(costing:projects/details/9760/equipment/12212799)","Equipment (Injection Molding)")</f>
        <v>Equipment (Injection Molding)</v>
      </c>
      <c r="F5701" t="s">
        <v>6134</v>
      </c>
    </row>
    <row r="5702" spans="1:6" x14ac:dyDescent="0.15">
      <c r="A5702">
        <v>12085581</v>
      </c>
      <c r="B5702">
        <v>8416275</v>
      </c>
      <c r="C5702" t="s">
        <v>114</v>
      </c>
      <c r="D5702" t="s">
        <v>10</v>
      </c>
      <c r="E5702" s="4" t="str">
        <f>HYPERLINK("https://ibp.a2mac1.com/costing(costing:projects/details/9760/process/12085581)","Painting")</f>
        <v>Painting</v>
      </c>
      <c r="F5702" t="s">
        <v>6133</v>
      </c>
    </row>
    <row r="5703" spans="1:6" x14ac:dyDescent="0.15">
      <c r="A5703">
        <v>8755289</v>
      </c>
      <c r="B5703">
        <v>12085581</v>
      </c>
      <c r="C5703" t="s">
        <v>22</v>
      </c>
      <c r="D5703" t="s">
        <v>114</v>
      </c>
      <c r="E5703" s="4" t="str">
        <f>HYPERLINK("https://ibp.a2mac1.com/costing(costing:projects/details/9760/material/8755289)","Paint - Base")</f>
        <v>Paint - Base</v>
      </c>
      <c r="F5703" t="s">
        <v>6135</v>
      </c>
    </row>
    <row r="5704" spans="1:6" x14ac:dyDescent="0.15">
      <c r="A5704">
        <v>8755290</v>
      </c>
      <c r="B5704">
        <v>12085581</v>
      </c>
      <c r="C5704" t="s">
        <v>22</v>
      </c>
      <c r="D5704" t="s">
        <v>114</v>
      </c>
      <c r="E5704" s="4" t="str">
        <f>HYPERLINK("https://ibp.a2mac1.com/costing(costing:projects/details/9760/material/8755290)","Paint - Primer")</f>
        <v>Paint - Primer</v>
      </c>
      <c r="F5704" t="s">
        <v>6135</v>
      </c>
    </row>
    <row r="5705" spans="1:6" x14ac:dyDescent="0.15">
      <c r="A5705">
        <v>8755291</v>
      </c>
      <c r="B5705">
        <v>12085581</v>
      </c>
      <c r="C5705" t="s">
        <v>22</v>
      </c>
      <c r="D5705" t="s">
        <v>114</v>
      </c>
      <c r="E5705" s="4" t="str">
        <f>HYPERLINK("https://ibp.a2mac1.com/costing(costing:projects/details/9760/material/8755291)","Paint - Clear Coat")</f>
        <v>Paint - Clear Coat</v>
      </c>
      <c r="F5705" t="s">
        <v>6135</v>
      </c>
    </row>
    <row r="5706" spans="1:6" x14ac:dyDescent="0.15">
      <c r="A5706">
        <v>12212800</v>
      </c>
      <c r="B5706">
        <v>12085581</v>
      </c>
      <c r="C5706" t="s">
        <v>163</v>
      </c>
      <c r="D5706" t="s">
        <v>114</v>
      </c>
      <c r="E5706" s="4" t="str">
        <f>HYPERLINK("https://ibp.a2mac1.com/costing(costing:projects/details/9760/equipment/12212800)","No.04 - 60000x6000x3500 - Automatic Painting Line - with 12x100kW on line ovens ")</f>
        <v xml:space="preserve">No.04 - 60000x6000x3500 - Automatic Painting Line - with 12x100kW on line ovens </v>
      </c>
      <c r="F5706" t="s">
        <v>6135</v>
      </c>
    </row>
    <row r="5707" spans="1:6" x14ac:dyDescent="0.15">
      <c r="A5707">
        <v>12212801</v>
      </c>
      <c r="B5707">
        <v>12085581</v>
      </c>
      <c r="C5707" t="s">
        <v>163</v>
      </c>
      <c r="D5707" t="s">
        <v>114</v>
      </c>
      <c r="E5707" s="4" t="str">
        <f>HYPERLINK("https://ibp.a2mac1.com/costing(costing:projects/details/9760/equipment/12212801)","Loading + Unloading, Retouching, Checking")</f>
        <v>Loading + Unloading, Retouching, Checking</v>
      </c>
      <c r="F5707" t="s">
        <v>6135</v>
      </c>
    </row>
    <row r="5708" spans="1:6" x14ac:dyDescent="0.15">
      <c r="A5708">
        <v>8416276</v>
      </c>
      <c r="B5708">
        <v>8415931</v>
      </c>
      <c r="C5708" t="s">
        <v>10</v>
      </c>
      <c r="D5708" t="s">
        <v>8</v>
      </c>
      <c r="E5708" s="4" t="str">
        <f>HYPERLINK("https://ibp.a2mac1.com/costing(costing:projects/details/9760/part/8416276)","Welcome light")</f>
        <v>Welcome light</v>
      </c>
      <c r="F5708" t="s">
        <v>6121</v>
      </c>
    </row>
    <row r="5709" spans="1:6" x14ac:dyDescent="0.15">
      <c r="A5709">
        <v>8416277</v>
      </c>
      <c r="B5709">
        <v>8415931</v>
      </c>
      <c r="C5709" t="s">
        <v>10</v>
      </c>
      <c r="D5709" t="s">
        <v>8</v>
      </c>
      <c r="E5709" s="4" t="str">
        <f>HYPERLINK("https://ibp.a2mac1.com/costing(costing:projects/details/9760/part/8416277)","Unlocking Contactor")</f>
        <v>Unlocking Contactor</v>
      </c>
      <c r="F5709" t="s">
        <v>6121</v>
      </c>
    </row>
    <row r="5710" spans="1:6" x14ac:dyDescent="0.15">
      <c r="A5710">
        <v>8416278</v>
      </c>
      <c r="B5710">
        <v>8415931</v>
      </c>
      <c r="C5710" t="s">
        <v>10</v>
      </c>
      <c r="D5710" t="s">
        <v>8</v>
      </c>
      <c r="E5710" s="4" t="str">
        <f>HYPERLINK("https://ibp.a2mac1.com/costing(costing:projects/details/9760/part/8416278)","Mechanism")</f>
        <v>Mechanism</v>
      </c>
      <c r="F5710" t="s">
        <v>6121</v>
      </c>
    </row>
    <row r="5711" spans="1:6" x14ac:dyDescent="0.15">
      <c r="A5711">
        <v>12085582</v>
      </c>
      <c r="B5711">
        <v>8416278</v>
      </c>
      <c r="C5711" t="s">
        <v>114</v>
      </c>
      <c r="D5711" t="s">
        <v>10</v>
      </c>
      <c r="E5711" s="4" t="str">
        <f>HYPERLINK("https://ibp.a2mac1.com/costing(costing:projects/details/9760/process/12085582)","Injection molding")</f>
        <v>Injection molding</v>
      </c>
      <c r="F5711" t="s">
        <v>6143</v>
      </c>
    </row>
    <row r="5712" spans="1:6" x14ac:dyDescent="0.15">
      <c r="A5712">
        <v>8755292</v>
      </c>
      <c r="B5712">
        <v>12085582</v>
      </c>
      <c r="C5712" t="s">
        <v>22</v>
      </c>
      <c r="D5712" t="s">
        <v>114</v>
      </c>
      <c r="E5712" s="4" t="str">
        <f>HYPERLINK("https://ibp.a2mac1.com/costing(costing:projects/details/9760/material/8755292)","POM-GF30")</f>
        <v>POM-GF30</v>
      </c>
      <c r="F5712" t="s">
        <v>6144</v>
      </c>
    </row>
    <row r="5713" spans="1:6" x14ac:dyDescent="0.15">
      <c r="A5713">
        <v>12212802</v>
      </c>
      <c r="B5713">
        <v>12085582</v>
      </c>
      <c r="C5713" t="s">
        <v>163</v>
      </c>
      <c r="D5713" t="s">
        <v>114</v>
      </c>
      <c r="E5713" s="4" t="str">
        <f>HYPERLINK("https://ibp.a2mac1.com/costing(costing:projects/details/9760/equipment/12212802)","No.01 - Injection Press - 40T - 18kW - 270x270 - Max Volume 128cm3 ")</f>
        <v xml:space="preserve">No.01 - Injection Press - 40T - 18kW - 270x270 - Max Volume 128cm3 </v>
      </c>
      <c r="F5713" t="s">
        <v>6144</v>
      </c>
    </row>
    <row r="5714" spans="1:6" x14ac:dyDescent="0.15">
      <c r="A5714">
        <v>8754552</v>
      </c>
      <c r="B5714">
        <v>8415931</v>
      </c>
      <c r="C5714" t="s">
        <v>311</v>
      </c>
      <c r="D5714" t="s">
        <v>8</v>
      </c>
      <c r="E5714" s="4" t="str">
        <f>HYPERLINK("https://ibp.a2mac1.com/costing(costing:projects/details/9760/component/8754552)","Screw &gt; Torx socket head cap screw with flange")</f>
        <v>Screw &gt; Torx socket head cap screw with flange</v>
      </c>
      <c r="F5714" t="s">
        <v>6121</v>
      </c>
    </row>
    <row r="5715" spans="1:6" x14ac:dyDescent="0.15">
      <c r="A5715">
        <v>8754553</v>
      </c>
      <c r="B5715">
        <v>8415931</v>
      </c>
      <c r="C5715" t="s">
        <v>311</v>
      </c>
      <c r="D5715" t="s">
        <v>8</v>
      </c>
      <c r="E5715" s="4" t="str">
        <f>HYPERLINK("https://ibp.a2mac1.com/costing(costing:projects/details/9760/component/8754553)","Screw &gt; Hexagon screw with flange")</f>
        <v>Screw &gt; Hexagon screw with flange</v>
      </c>
      <c r="F5715" t="s">
        <v>6121</v>
      </c>
    </row>
    <row r="5716" spans="1:6" x14ac:dyDescent="0.15">
      <c r="A5716">
        <v>8415932</v>
      </c>
      <c r="B5716">
        <v>8415653</v>
      </c>
      <c r="C5716" t="s">
        <v>8</v>
      </c>
      <c r="D5716" t="s">
        <v>8</v>
      </c>
      <c r="E5716" s="4" t="str">
        <f>HYPERLINK("https://ibp.a2mac1.com/costing(costing:projects/details/9760/assembly/8415932)","Locking System")</f>
        <v>Locking System</v>
      </c>
      <c r="F5716" t="s">
        <v>6106</v>
      </c>
    </row>
    <row r="5717" spans="1:6" x14ac:dyDescent="0.15">
      <c r="A5717">
        <v>8416279</v>
      </c>
      <c r="B5717">
        <v>8415932</v>
      </c>
      <c r="C5717" t="s">
        <v>10</v>
      </c>
      <c r="D5717" t="s">
        <v>8</v>
      </c>
      <c r="E5717" s="4" t="str">
        <f>HYPERLINK("https://ibp.a2mac1.com/costing(costing:projects/details/9760/part/8416279)","Actuator")</f>
        <v>Actuator</v>
      </c>
      <c r="F5717" t="s">
        <v>6147</v>
      </c>
    </row>
    <row r="5718" spans="1:6" x14ac:dyDescent="0.15">
      <c r="A5718">
        <v>8754554</v>
      </c>
      <c r="B5718">
        <v>8415932</v>
      </c>
      <c r="C5718" t="s">
        <v>311</v>
      </c>
      <c r="D5718" t="s">
        <v>8</v>
      </c>
      <c r="E5718" s="4" t="str">
        <f>HYPERLINK("https://ibp.a2mac1.com/costing(costing:projects/details/9760/component/8754554)","Other fastener &gt; Attachment")</f>
        <v>Other fastener &gt; Attachment</v>
      </c>
      <c r="F5718" t="s">
        <v>6147</v>
      </c>
    </row>
    <row r="5719" spans="1:6" x14ac:dyDescent="0.15">
      <c r="A5719">
        <v>8415928</v>
      </c>
      <c r="B5719">
        <v>8415653</v>
      </c>
      <c r="C5719" t="s">
        <v>10</v>
      </c>
      <c r="D5719" t="s">
        <v>8</v>
      </c>
      <c r="E5719" s="4" t="str">
        <f>HYPERLINK("https://ibp.a2mac1.com/costing(costing:projects/details/9760/part/8415928)","Door Latch")</f>
        <v>Door Latch</v>
      </c>
      <c r="F5719" t="s">
        <v>6106</v>
      </c>
    </row>
    <row r="5720" spans="1:6" x14ac:dyDescent="0.15">
      <c r="A5720">
        <v>8415929</v>
      </c>
      <c r="B5720">
        <v>8415653</v>
      </c>
      <c r="C5720" t="s">
        <v>10</v>
      </c>
      <c r="D5720" t="s">
        <v>8</v>
      </c>
      <c r="E5720" s="4" t="str">
        <f>HYPERLINK("https://ibp.a2mac1.com/costing(costing:projects/details/9760/part/8415929)","Door Striker")</f>
        <v>Door Striker</v>
      </c>
      <c r="F5720" t="s">
        <v>6106</v>
      </c>
    </row>
    <row r="5721" spans="1:6" x14ac:dyDescent="0.15">
      <c r="A5721">
        <v>12085291</v>
      </c>
      <c r="B5721">
        <v>8415929</v>
      </c>
      <c r="C5721" t="s">
        <v>114</v>
      </c>
      <c r="D5721" t="s">
        <v>10</v>
      </c>
      <c r="E5721" s="4" t="str">
        <f>HYPERLINK("https://ibp.a2mac1.com/costing(costing:projects/details/9760/process/12085291)","Stamping ")</f>
        <v xml:space="preserve">Stamping </v>
      </c>
      <c r="F5721" t="s">
        <v>6152</v>
      </c>
    </row>
    <row r="5722" spans="1:6" x14ac:dyDescent="0.15">
      <c r="A5722">
        <v>8754887</v>
      </c>
      <c r="B5722">
        <v>12085291</v>
      </c>
      <c r="C5722" t="s">
        <v>22</v>
      </c>
      <c r="D5722" t="s">
        <v>114</v>
      </c>
      <c r="E5722" s="4" t="str">
        <f>HYPERLINK("https://ibp.a2mac1.com/costing(costing:projects/details/9760/material/8754887)","Standard Structural Steel sheet")</f>
        <v>Standard Structural Steel sheet</v>
      </c>
      <c r="F5722" t="s">
        <v>6153</v>
      </c>
    </row>
    <row r="5723" spans="1:6" x14ac:dyDescent="0.15">
      <c r="A5723">
        <v>12212387</v>
      </c>
      <c r="B5723">
        <v>12085291</v>
      </c>
      <c r="C5723" t="s">
        <v>163</v>
      </c>
      <c r="D5723" t="s">
        <v>114</v>
      </c>
      <c r="E5723" s="4" t="str">
        <f>HYPERLINK("https://ibp.a2mac1.com/costing(costing:projects/details/9760/equipment/12212387)","Equipment (Stamping)")</f>
        <v>Equipment (Stamping)</v>
      </c>
      <c r="F5723" t="s">
        <v>6153</v>
      </c>
    </row>
    <row r="5724" spans="1:6" x14ac:dyDescent="0.15">
      <c r="A5724">
        <v>12085292</v>
      </c>
      <c r="B5724">
        <v>8415929</v>
      </c>
      <c r="C5724" t="s">
        <v>114</v>
      </c>
      <c r="D5724" t="s">
        <v>10</v>
      </c>
      <c r="E5724" s="4" t="str">
        <f>HYPERLINK("https://ibp.a2mac1.com/costing(costing:projects/details/9760/process/12085292)","Wire Bending")</f>
        <v>Wire Bending</v>
      </c>
      <c r="F5724" t="s">
        <v>6152</v>
      </c>
    </row>
    <row r="5725" spans="1:6" x14ac:dyDescent="0.15">
      <c r="A5725">
        <v>12212388</v>
      </c>
      <c r="B5725">
        <v>12085292</v>
      </c>
      <c r="C5725" t="s">
        <v>163</v>
      </c>
      <c r="D5725" t="s">
        <v>114</v>
      </c>
      <c r="E5725" s="4" t="str">
        <f>HYPERLINK("https://ibp.a2mac1.com/costing(costing:projects/details/9760/equipment/12212388)","No.01 - Generic CN Wire Bending ")</f>
        <v xml:space="preserve">No.01 - Generic CN Wire Bending </v>
      </c>
      <c r="F5725" t="s">
        <v>6154</v>
      </c>
    </row>
    <row r="5726" spans="1:6" x14ac:dyDescent="0.15">
      <c r="A5726">
        <v>12085293</v>
      </c>
      <c r="B5726">
        <v>8415929</v>
      </c>
      <c r="C5726" t="s">
        <v>114</v>
      </c>
      <c r="D5726" t="s">
        <v>10</v>
      </c>
      <c r="E5726" s="4" t="str">
        <f>HYPERLINK("https://ibp.a2mac1.com/costing(costing:projects/details/9760/process/12085293)","Press fit")</f>
        <v>Press fit</v>
      </c>
      <c r="F5726" t="s">
        <v>6152</v>
      </c>
    </row>
    <row r="5727" spans="1:6" x14ac:dyDescent="0.15">
      <c r="A5727">
        <v>12212389</v>
      </c>
      <c r="B5727">
        <v>12085293</v>
      </c>
      <c r="C5727" t="s">
        <v>163</v>
      </c>
      <c r="D5727" t="s">
        <v>114</v>
      </c>
      <c r="E5727" s="4" t="str">
        <f>HYPERLINK("https://ibp.a2mac1.com/costing(costing:projects/details/9760/equipment/12212389)","No.04 - Press Fit Assembly ")</f>
        <v xml:space="preserve">No.04 - Press Fit Assembly </v>
      </c>
      <c r="F5727" t="s">
        <v>6155</v>
      </c>
    </row>
    <row r="5728" spans="1:6" x14ac:dyDescent="0.15">
      <c r="A5728">
        <v>12085104</v>
      </c>
      <c r="B5728">
        <v>8415653</v>
      </c>
      <c r="C5728" t="s">
        <v>114</v>
      </c>
      <c r="D5728" t="s">
        <v>8</v>
      </c>
      <c r="E5728" s="4" t="str">
        <f>HYPERLINK("https://ibp.a2mac1.com/costing(costing:projects/details/9760/process/12085104)","Assembly")</f>
        <v>Assembly</v>
      </c>
      <c r="F5728" t="s">
        <v>6106</v>
      </c>
    </row>
    <row r="5729" spans="1:6" x14ac:dyDescent="0.15">
      <c r="A5729">
        <v>12212196</v>
      </c>
      <c r="B5729">
        <v>12085104</v>
      </c>
      <c r="C5729" t="s">
        <v>163</v>
      </c>
      <c r="D5729" t="s">
        <v>114</v>
      </c>
      <c r="E5729" s="4" t="str">
        <f>HYPERLINK("https://ibp.a2mac1.com/costing(costing:projects/details/9760/equipment/12212196)","Assembly Station ")</f>
        <v xml:space="preserve">Assembly Station </v>
      </c>
      <c r="F5729" t="s">
        <v>6157</v>
      </c>
    </row>
    <row r="5730" spans="1:6" x14ac:dyDescent="0.15">
      <c r="A5730">
        <v>8754420</v>
      </c>
      <c r="B5730">
        <v>8415653</v>
      </c>
      <c r="C5730" t="s">
        <v>311</v>
      </c>
      <c r="D5730" t="s">
        <v>8</v>
      </c>
      <c r="E5730" s="4" t="str">
        <f>HYPERLINK("https://ibp.a2mac1.com/costing(costing:projects/details/9760/component/8754420)","Screw &gt; Torx socket head cap screw with flange and captive washer")</f>
        <v>Screw &gt; Torx socket head cap screw with flange and captive washer</v>
      </c>
      <c r="F5730" t="s">
        <v>6106</v>
      </c>
    </row>
    <row r="5731" spans="1:6" x14ac:dyDescent="0.15">
      <c r="A5731">
        <v>8754421</v>
      </c>
      <c r="B5731">
        <v>8415653</v>
      </c>
      <c r="C5731" t="s">
        <v>311</v>
      </c>
      <c r="D5731" t="s">
        <v>8</v>
      </c>
      <c r="E5731" s="4" t="str">
        <f>HYPERLINK("https://ibp.a2mac1.com/costing(costing:projects/details/9760/component/8754421)","Screw &gt; Torx socket head cap screw")</f>
        <v>Screw &gt; Torx socket head cap screw</v>
      </c>
      <c r="F5731" t="s">
        <v>6106</v>
      </c>
    </row>
    <row r="5732" spans="1:6" x14ac:dyDescent="0.15">
      <c r="A5732">
        <v>8415654</v>
      </c>
      <c r="B5732">
        <v>8415585</v>
      </c>
      <c r="C5732" t="s">
        <v>8</v>
      </c>
      <c r="D5732" t="s">
        <v>8</v>
      </c>
      <c r="E5732" s="4" t="str">
        <f>HYPERLINK("https://ibp.a2mac1.com/costing(costing:projects/details/9760/assembly/8415654)","Window System")</f>
        <v>Window System</v>
      </c>
      <c r="F5732" t="s">
        <v>5965</v>
      </c>
    </row>
    <row r="5733" spans="1:6" x14ac:dyDescent="0.15">
      <c r="A5733">
        <v>8415934</v>
      </c>
      <c r="B5733">
        <v>8415654</v>
      </c>
      <c r="C5733" t="s">
        <v>8</v>
      </c>
      <c r="D5733" t="s">
        <v>8</v>
      </c>
      <c r="E5733" s="4" t="str">
        <f>HYPERLINK("https://ibp.a2mac1.com/costing(costing:projects/details/9760/assembly/8415934)","Window Regulator Motor")</f>
        <v>Window Regulator Motor</v>
      </c>
      <c r="F5733" t="s">
        <v>6159</v>
      </c>
    </row>
    <row r="5734" spans="1:6" x14ac:dyDescent="0.15">
      <c r="A5734">
        <v>12085294</v>
      </c>
      <c r="B5734">
        <v>8415934</v>
      </c>
      <c r="C5734" t="s">
        <v>114</v>
      </c>
      <c r="D5734" t="s">
        <v>8</v>
      </c>
      <c r="E5734" s="4" t="str">
        <f>HYPERLINK("https://ibp.a2mac1.com/costing(costing:projects/details/9760/process/12085294)","Process")</f>
        <v>Process</v>
      </c>
      <c r="F5734" t="s">
        <v>6160</v>
      </c>
    </row>
    <row r="5735" spans="1:6" x14ac:dyDescent="0.15">
      <c r="A5735">
        <v>12212390</v>
      </c>
      <c r="B5735">
        <v>12085294</v>
      </c>
      <c r="C5735" t="s">
        <v>163</v>
      </c>
      <c r="D5735" t="s">
        <v>114</v>
      </c>
      <c r="E5735" s="4" t="str">
        <f>HYPERLINK("https://ibp.a2mac1.com/costing(costing:projects/details/9760/equipment/12212390)","Dummy Machine (PCBA+Final Assembly Line)")</f>
        <v>Dummy Machine (PCBA+Final Assembly Line)</v>
      </c>
      <c r="F5735" t="s">
        <v>6161</v>
      </c>
    </row>
    <row r="5736" spans="1:6" x14ac:dyDescent="0.15">
      <c r="A5736">
        <v>8754555</v>
      </c>
      <c r="B5736">
        <v>8415934</v>
      </c>
      <c r="C5736" t="s">
        <v>311</v>
      </c>
      <c r="D5736" t="s">
        <v>8</v>
      </c>
      <c r="E5736" s="4" t="str">
        <f>HYPERLINK("https://ibp.a2mac1.com/costing(costing:projects/details/9760/component/8754555)","Electronics")</f>
        <v>Electronics</v>
      </c>
      <c r="F5736" t="s">
        <v>6160</v>
      </c>
    </row>
    <row r="5737" spans="1:6" x14ac:dyDescent="0.15">
      <c r="A5737">
        <v>8754556</v>
      </c>
      <c r="B5737">
        <v>8415934</v>
      </c>
      <c r="C5737" t="s">
        <v>311</v>
      </c>
      <c r="D5737" t="s">
        <v>8</v>
      </c>
      <c r="E5737" s="4" t="str">
        <f>HYPERLINK("https://ibp.a2mac1.com/costing(costing:projects/details/9760/component/8754556)","Mechanics")</f>
        <v>Mechanics</v>
      </c>
      <c r="F5737" t="s">
        <v>6160</v>
      </c>
    </row>
    <row r="5738" spans="1:6" x14ac:dyDescent="0.15">
      <c r="A5738">
        <v>8415935</v>
      </c>
      <c r="B5738">
        <v>8415654</v>
      </c>
      <c r="C5738" t="s">
        <v>8</v>
      </c>
      <c r="D5738" t="s">
        <v>8</v>
      </c>
      <c r="E5738" s="4" t="str">
        <f>HYPERLINK("https://ibp.a2mac1.com/costing(costing:projects/details/9760/assembly/8415935)","Window")</f>
        <v>Window</v>
      </c>
      <c r="F5738" t="s">
        <v>6159</v>
      </c>
    </row>
    <row r="5739" spans="1:6" x14ac:dyDescent="0.15">
      <c r="A5739">
        <v>8416280</v>
      </c>
      <c r="B5739">
        <v>8415935</v>
      </c>
      <c r="C5739" t="s">
        <v>10</v>
      </c>
      <c r="D5739" t="s">
        <v>8</v>
      </c>
      <c r="E5739" s="4" t="str">
        <f>HYPERLINK("https://ibp.a2mac1.com/costing(costing:projects/details/9760/part/8416280)","Glas Panel")</f>
        <v>Glas Panel</v>
      </c>
      <c r="F5739" t="s">
        <v>6163</v>
      </c>
    </row>
    <row r="5740" spans="1:6" x14ac:dyDescent="0.15">
      <c r="A5740">
        <v>12085583</v>
      </c>
      <c r="B5740">
        <v>8416280</v>
      </c>
      <c r="C5740" t="s">
        <v>114</v>
      </c>
      <c r="D5740" t="s">
        <v>10</v>
      </c>
      <c r="E5740" s="4" t="str">
        <f>HYPERLINK("https://ibp.a2mac1.com/costing(costing:projects/details/9760/process/12085583)","Automated Process")</f>
        <v>Automated Process</v>
      </c>
      <c r="F5740" t="s">
        <v>6164</v>
      </c>
    </row>
    <row r="5741" spans="1:6" x14ac:dyDescent="0.15">
      <c r="A5741">
        <v>8755293</v>
      </c>
      <c r="B5741">
        <v>12085583</v>
      </c>
      <c r="C5741" t="s">
        <v>22</v>
      </c>
      <c r="D5741" t="s">
        <v>114</v>
      </c>
      <c r="E5741" s="4" t="str">
        <f>HYPERLINK("https://ibp.a2mac1.com/costing(costing:projects/details/9760/material/8755293)","SiO2  Na2CO3 CaCO3  MgCO3  Additives [2]")</f>
        <v>SiO2  Na2CO3 CaCO3  MgCO3  Additives [2]</v>
      </c>
      <c r="F5741" t="s">
        <v>6165</v>
      </c>
    </row>
    <row r="5742" spans="1:6" x14ac:dyDescent="0.15">
      <c r="A5742">
        <v>12212803</v>
      </c>
      <c r="B5742">
        <v>12085583</v>
      </c>
      <c r="C5742" t="s">
        <v>163</v>
      </c>
      <c r="D5742" t="s">
        <v>114</v>
      </c>
      <c r="E5742" s="4" t="str">
        <f>HYPERLINK("https://ibp.a2mac1.com/costing(costing:projects/details/9760/equipment/12212803)","DC machine - General")</f>
        <v>DC machine - General</v>
      </c>
      <c r="F5742" t="s">
        <v>6165</v>
      </c>
    </row>
    <row r="5743" spans="1:6" x14ac:dyDescent="0.15">
      <c r="A5743">
        <v>8415933</v>
      </c>
      <c r="B5743">
        <v>8415654</v>
      </c>
      <c r="C5743" t="s">
        <v>10</v>
      </c>
      <c r="D5743" t="s">
        <v>8</v>
      </c>
      <c r="E5743" s="4" t="str">
        <f>HYPERLINK("https://ibp.a2mac1.com/costing(costing:projects/details/9760/part/8415933)","Window Regulator")</f>
        <v>Window Regulator</v>
      </c>
      <c r="F5743" t="s">
        <v>6159</v>
      </c>
    </row>
    <row r="5744" spans="1:6" x14ac:dyDescent="0.15">
      <c r="A5744">
        <v>8754422</v>
      </c>
      <c r="B5744">
        <v>8415654</v>
      </c>
      <c r="C5744" t="s">
        <v>311</v>
      </c>
      <c r="D5744" t="s">
        <v>8</v>
      </c>
      <c r="E5744" s="4" t="str">
        <f>HYPERLINK("https://ibp.a2mac1.com/costing(costing:projects/details/9760/component/8754422)","Screw &gt; Hexagon screw with flange")</f>
        <v>Screw &gt; Hexagon screw with flange</v>
      </c>
      <c r="F5744" t="s">
        <v>6159</v>
      </c>
    </row>
    <row r="5745" spans="1:6" x14ac:dyDescent="0.15">
      <c r="A5745">
        <v>8754423</v>
      </c>
      <c r="B5745">
        <v>8415654</v>
      </c>
      <c r="C5745" t="s">
        <v>311</v>
      </c>
      <c r="D5745" t="s">
        <v>8</v>
      </c>
      <c r="E5745" s="4" t="str">
        <f>HYPERLINK("https://ibp.a2mac1.com/costing(costing:projects/details/9760/component/8754423)","Stud &gt; Threaded screwed up dowel")</f>
        <v>Stud &gt; Threaded screwed up dowel</v>
      </c>
      <c r="F5745" t="s">
        <v>6159</v>
      </c>
    </row>
    <row r="5746" spans="1:6" x14ac:dyDescent="0.15">
      <c r="A5746">
        <v>8754424</v>
      </c>
      <c r="B5746">
        <v>8415654</v>
      </c>
      <c r="C5746" t="s">
        <v>311</v>
      </c>
      <c r="D5746" t="s">
        <v>8</v>
      </c>
      <c r="E5746" s="4" t="str">
        <f>HYPERLINK("https://ibp.a2mac1.com/costing(costing:projects/details/9760/component/8754424)","Screw &gt; Torx socket head cap screw with flange")</f>
        <v>Screw &gt; Torx socket head cap screw with flange</v>
      </c>
      <c r="F5746" t="s">
        <v>6159</v>
      </c>
    </row>
    <row r="5747" spans="1:6" x14ac:dyDescent="0.15">
      <c r="A5747">
        <v>8415655</v>
      </c>
      <c r="B5747">
        <v>8415585</v>
      </c>
      <c r="C5747" t="s">
        <v>8</v>
      </c>
      <c r="D5747" t="s">
        <v>8</v>
      </c>
      <c r="E5747" s="4" t="str">
        <f>HYPERLINK("https://ibp.a2mac1.com/costing(costing:projects/details/9760/assembly/8415655)","Sealing System")</f>
        <v>Sealing System</v>
      </c>
      <c r="F5747" t="s">
        <v>5965</v>
      </c>
    </row>
    <row r="5748" spans="1:6" x14ac:dyDescent="0.15">
      <c r="A5748">
        <v>8415939</v>
      </c>
      <c r="B5748">
        <v>8415655</v>
      </c>
      <c r="C5748" t="s">
        <v>8</v>
      </c>
      <c r="D5748" t="s">
        <v>8</v>
      </c>
      <c r="E5748" s="4" t="str">
        <f>HYPERLINK("https://ibp.a2mac1.com/costing(costing:projects/details/9760/assembly/8415939)","Door Weather Stripping")</f>
        <v>Door Weather Stripping</v>
      </c>
      <c r="F5748" t="s">
        <v>6171</v>
      </c>
    </row>
    <row r="5749" spans="1:6" x14ac:dyDescent="0.15">
      <c r="A5749">
        <v>8416281</v>
      </c>
      <c r="B5749">
        <v>8415939</v>
      </c>
      <c r="C5749" t="s">
        <v>10</v>
      </c>
      <c r="D5749" t="s">
        <v>8</v>
      </c>
      <c r="E5749" s="4" t="str">
        <f>HYPERLINK("https://ibp.a2mac1.com/costing(costing:projects/details/9760/part/8416281)","On Body")</f>
        <v>On Body</v>
      </c>
      <c r="F5749" t="s">
        <v>6172</v>
      </c>
    </row>
    <row r="5750" spans="1:6" x14ac:dyDescent="0.15">
      <c r="A5750">
        <v>12085584</v>
      </c>
      <c r="B5750">
        <v>8416281</v>
      </c>
      <c r="C5750" t="s">
        <v>114</v>
      </c>
      <c r="D5750" t="s">
        <v>10</v>
      </c>
      <c r="E5750" s="4" t="str">
        <f>HYPERLINK("https://ibp.a2mac1.com/costing(costing:projects/details/9760/process/12085584)","Seal Extrusion (Multi Layer)")</f>
        <v>Seal Extrusion (Multi Layer)</v>
      </c>
      <c r="F5750" t="s">
        <v>6173</v>
      </c>
    </row>
    <row r="5751" spans="1:6" x14ac:dyDescent="0.15">
      <c r="A5751">
        <v>8755294</v>
      </c>
      <c r="B5751">
        <v>12085584</v>
      </c>
      <c r="C5751" t="s">
        <v>22</v>
      </c>
      <c r="D5751" t="s">
        <v>114</v>
      </c>
      <c r="E5751" s="4" t="str">
        <f>HYPERLINK("https://ibp.a2mac1.com/costing(costing:projects/details/9760/material/8755294)","EPDM")</f>
        <v>EPDM</v>
      </c>
      <c r="F5751" t="s">
        <v>6176</v>
      </c>
    </row>
    <row r="5752" spans="1:6" x14ac:dyDescent="0.15">
      <c r="A5752">
        <v>8755295</v>
      </c>
      <c r="B5752">
        <v>12085584</v>
      </c>
      <c r="C5752" t="s">
        <v>22</v>
      </c>
      <c r="D5752" t="s">
        <v>114</v>
      </c>
      <c r="E5752" s="4" t="str">
        <f>HYPERLINK("https://ibp.a2mac1.com/costing(costing:projects/details/9760/material/8755295)","Standard Structural Steel sheet")</f>
        <v>Standard Structural Steel sheet</v>
      </c>
      <c r="F5752" t="s">
        <v>6176</v>
      </c>
    </row>
    <row r="5753" spans="1:6" x14ac:dyDescent="0.15">
      <c r="A5753">
        <v>12212804</v>
      </c>
      <c r="B5753">
        <v>12085584</v>
      </c>
      <c r="C5753" t="s">
        <v>163</v>
      </c>
      <c r="D5753" t="s">
        <v>114</v>
      </c>
      <c r="E5753" s="4" t="str">
        <f>HYPERLINK("https://ibp.a2mac1.com/costing(costing:projects/details/9760/equipment/12212804)","Rubber Extrusion machine")</f>
        <v>Rubber Extrusion machine</v>
      </c>
      <c r="F5753" t="s">
        <v>6176</v>
      </c>
    </row>
    <row r="5754" spans="1:6" x14ac:dyDescent="0.15">
      <c r="A5754">
        <v>12085585</v>
      </c>
      <c r="B5754">
        <v>8416281</v>
      </c>
      <c r="C5754" t="s">
        <v>114</v>
      </c>
      <c r="D5754" t="s">
        <v>10</v>
      </c>
      <c r="E5754" s="4" t="str">
        <f>HYPERLINK("https://ibp.a2mac1.com/costing(costing:projects/details/9760/process/12085585)","End Glueing/Vulcanizing; Check and Pack")</f>
        <v>End Glueing/Vulcanizing; Check and Pack</v>
      </c>
      <c r="F5754" t="s">
        <v>6173</v>
      </c>
    </row>
    <row r="5755" spans="1:6" x14ac:dyDescent="0.15">
      <c r="A5755">
        <v>12212805</v>
      </c>
      <c r="B5755">
        <v>12085585</v>
      </c>
      <c r="C5755" t="s">
        <v>163</v>
      </c>
      <c r="D5755" t="s">
        <v>114</v>
      </c>
      <c r="E5755" s="4" t="str">
        <f>HYPERLINK("https://ibp.a2mac1.com/costing(costing:projects/details/9760/equipment/12212805)","Seal welding/joining station, manual")</f>
        <v>Seal welding/joining station, manual</v>
      </c>
      <c r="F5755" t="s">
        <v>6179</v>
      </c>
    </row>
    <row r="5756" spans="1:6" x14ac:dyDescent="0.15">
      <c r="A5756">
        <v>8416282</v>
      </c>
      <c r="B5756">
        <v>8415939</v>
      </c>
      <c r="C5756" t="s">
        <v>10</v>
      </c>
      <c r="D5756" t="s">
        <v>8</v>
      </c>
      <c r="E5756" s="4" t="str">
        <f>HYPERLINK("https://ibp.a2mac1.com/costing(costing:projects/details/9760/part/8416282)","On Door")</f>
        <v>On Door</v>
      </c>
      <c r="F5756" t="s">
        <v>6172</v>
      </c>
    </row>
    <row r="5757" spans="1:6" x14ac:dyDescent="0.15">
      <c r="A5757">
        <v>12085586</v>
      </c>
      <c r="B5757">
        <v>8416282</v>
      </c>
      <c r="C5757" t="s">
        <v>114</v>
      </c>
      <c r="D5757" t="s">
        <v>10</v>
      </c>
      <c r="E5757" s="4" t="str">
        <f>HYPERLINK("https://ibp.a2mac1.com/costing(costing:projects/details/9760/process/12085586)","Seal Extrusion (Multi Layer)")</f>
        <v>Seal Extrusion (Multi Layer)</v>
      </c>
      <c r="F5757" t="s">
        <v>6181</v>
      </c>
    </row>
    <row r="5758" spans="1:6" x14ac:dyDescent="0.15">
      <c r="A5758">
        <v>8755296</v>
      </c>
      <c r="B5758">
        <v>12085586</v>
      </c>
      <c r="C5758" t="s">
        <v>22</v>
      </c>
      <c r="D5758" t="s">
        <v>114</v>
      </c>
      <c r="E5758" s="4" t="str">
        <f>HYPERLINK("https://ibp.a2mac1.com/costing(costing:projects/details/9760/material/8755296)","EPDM")</f>
        <v>EPDM</v>
      </c>
      <c r="F5758" t="s">
        <v>6184</v>
      </c>
    </row>
    <row r="5759" spans="1:6" x14ac:dyDescent="0.15">
      <c r="A5759">
        <v>12212806</v>
      </c>
      <c r="B5759">
        <v>12085586</v>
      </c>
      <c r="C5759" t="s">
        <v>163</v>
      </c>
      <c r="D5759" t="s">
        <v>114</v>
      </c>
      <c r="E5759" s="4" t="str">
        <f>HYPERLINK("https://ibp.a2mac1.com/costing(costing:projects/details/9760/equipment/12212806)","Rubber Extrusion machine")</f>
        <v>Rubber Extrusion machine</v>
      </c>
      <c r="F5759" t="s">
        <v>6184</v>
      </c>
    </row>
    <row r="5760" spans="1:6" x14ac:dyDescent="0.15">
      <c r="A5760">
        <v>8416283</v>
      </c>
      <c r="B5760">
        <v>8415939</v>
      </c>
      <c r="C5760" t="s">
        <v>10</v>
      </c>
      <c r="D5760" t="s">
        <v>8</v>
      </c>
      <c r="E5760" s="4" t="str">
        <f>HYPERLINK("https://ibp.a2mac1.com/costing(costing:projects/details/9760/part/8416283)","On Door Front")</f>
        <v>On Door Front</v>
      </c>
      <c r="F5760" t="s">
        <v>6172</v>
      </c>
    </row>
    <row r="5761" spans="1:6" x14ac:dyDescent="0.15">
      <c r="A5761">
        <v>12085587</v>
      </c>
      <c r="B5761">
        <v>8416283</v>
      </c>
      <c r="C5761" t="s">
        <v>114</v>
      </c>
      <c r="D5761" t="s">
        <v>10</v>
      </c>
      <c r="E5761" s="4" t="str">
        <f>HYPERLINK("https://ibp.a2mac1.com/costing(costing:projects/details/9760/process/12085587)","Seal Extrusion (Multi Layer)")</f>
        <v>Seal Extrusion (Multi Layer)</v>
      </c>
      <c r="F5761" t="s">
        <v>6186</v>
      </c>
    </row>
    <row r="5762" spans="1:6" x14ac:dyDescent="0.15">
      <c r="A5762">
        <v>8755297</v>
      </c>
      <c r="B5762">
        <v>12085587</v>
      </c>
      <c r="C5762" t="s">
        <v>22</v>
      </c>
      <c r="D5762" t="s">
        <v>114</v>
      </c>
      <c r="E5762" s="4" t="str">
        <f>HYPERLINK("https://ibp.a2mac1.com/costing(costing:projects/details/9760/material/8755297)","EPDM")</f>
        <v>EPDM</v>
      </c>
      <c r="F5762" t="s">
        <v>6188</v>
      </c>
    </row>
    <row r="5763" spans="1:6" x14ac:dyDescent="0.15">
      <c r="A5763">
        <v>8755298</v>
      </c>
      <c r="B5763">
        <v>12085587</v>
      </c>
      <c r="C5763" t="s">
        <v>22</v>
      </c>
      <c r="D5763" t="s">
        <v>114</v>
      </c>
      <c r="E5763" s="4" t="str">
        <f>HYPERLINK("https://ibp.a2mac1.com/costing(costing:projects/details/9760/material/8755298)","Aluminum for extrusion (default, e.g. EN-AW6016)")</f>
        <v>Aluminum for extrusion (default, e.g. EN-AW6016)</v>
      </c>
      <c r="F5763" t="s">
        <v>6188</v>
      </c>
    </row>
    <row r="5764" spans="1:6" x14ac:dyDescent="0.15">
      <c r="A5764">
        <v>12212807</v>
      </c>
      <c r="B5764">
        <v>12085587</v>
      </c>
      <c r="C5764" t="s">
        <v>163</v>
      </c>
      <c r="D5764" t="s">
        <v>114</v>
      </c>
      <c r="E5764" s="4" t="str">
        <f>HYPERLINK("https://ibp.a2mac1.com/costing(costing:projects/details/9760/equipment/12212807)","Rubber Extrusion machine")</f>
        <v>Rubber Extrusion machine</v>
      </c>
      <c r="F5764" t="s">
        <v>6188</v>
      </c>
    </row>
    <row r="5765" spans="1:6" x14ac:dyDescent="0.15">
      <c r="A5765">
        <v>8754557</v>
      </c>
      <c r="B5765">
        <v>8415939</v>
      </c>
      <c r="C5765" t="s">
        <v>311</v>
      </c>
      <c r="D5765" t="s">
        <v>8</v>
      </c>
      <c r="E5765" s="4" t="str">
        <f>HYPERLINK("https://ibp.a2mac1.com/costing(costing:projects/details/9760/component/8754557)","Panel holder &gt; Clips in rectangular hole")</f>
        <v>Panel holder &gt; Clips in rectangular hole</v>
      </c>
      <c r="F5765" t="s">
        <v>6172</v>
      </c>
    </row>
    <row r="5766" spans="1:6" x14ac:dyDescent="0.15">
      <c r="A5766">
        <v>8415936</v>
      </c>
      <c r="B5766">
        <v>8415655</v>
      </c>
      <c r="C5766" t="s">
        <v>10</v>
      </c>
      <c r="D5766" t="s">
        <v>8</v>
      </c>
      <c r="E5766" s="4" t="str">
        <f>HYPERLINK("https://ibp.a2mac1.com/costing(costing:projects/details/9760/part/8415936)","Interior Weatherstrip")</f>
        <v>Interior Weatherstrip</v>
      </c>
      <c r="F5766" t="s">
        <v>6171</v>
      </c>
    </row>
    <row r="5767" spans="1:6" x14ac:dyDescent="0.15">
      <c r="A5767">
        <v>12085295</v>
      </c>
      <c r="B5767">
        <v>8415936</v>
      </c>
      <c r="C5767" t="s">
        <v>114</v>
      </c>
      <c r="D5767" t="s">
        <v>10</v>
      </c>
      <c r="E5767" s="4" t="str">
        <f>HYPERLINK("https://ibp.a2mac1.com/costing(costing:projects/details/9760/process/12085295)","Seal Extrusion (Multi Layer)")</f>
        <v>Seal Extrusion (Multi Layer)</v>
      </c>
      <c r="F5767" t="s">
        <v>6193</v>
      </c>
    </row>
    <row r="5768" spans="1:6" x14ac:dyDescent="0.15">
      <c r="A5768">
        <v>8754888</v>
      </c>
      <c r="B5768">
        <v>12085295</v>
      </c>
      <c r="C5768" t="s">
        <v>22</v>
      </c>
      <c r="D5768" t="s">
        <v>114</v>
      </c>
      <c r="E5768" s="4" t="str">
        <f>HYPERLINK("https://ibp.a2mac1.com/costing(costing:projects/details/9760/material/8754888)","EPDM")</f>
        <v>EPDM</v>
      </c>
      <c r="F5768" t="s">
        <v>6196</v>
      </c>
    </row>
    <row r="5769" spans="1:6" x14ac:dyDescent="0.15">
      <c r="A5769">
        <v>8754931</v>
      </c>
      <c r="B5769">
        <v>12085295</v>
      </c>
      <c r="C5769" t="s">
        <v>22</v>
      </c>
      <c r="D5769" t="s">
        <v>114</v>
      </c>
      <c r="E5769" s="4" t="str">
        <f>HYPERLINK("https://ibp.a2mac1.com/costing(costing:projects/details/9760/material/8754931)","Aluminum for extrusion (default, e.g. EN-AW6016)")</f>
        <v>Aluminum for extrusion (default, e.g. EN-AW6016)</v>
      </c>
      <c r="F5769" t="s">
        <v>6196</v>
      </c>
    </row>
    <row r="5770" spans="1:6" x14ac:dyDescent="0.15">
      <c r="A5770">
        <v>12212391</v>
      </c>
      <c r="B5770">
        <v>12085295</v>
      </c>
      <c r="C5770" t="s">
        <v>163</v>
      </c>
      <c r="D5770" t="s">
        <v>114</v>
      </c>
      <c r="E5770" s="4" t="str">
        <f>HYPERLINK("https://ibp.a2mac1.com/costing(costing:projects/details/9760/equipment/12212391)","Rubber Extrusion machine")</f>
        <v>Rubber Extrusion machine</v>
      </c>
      <c r="F5770" t="s">
        <v>6196</v>
      </c>
    </row>
    <row r="5771" spans="1:6" x14ac:dyDescent="0.15">
      <c r="A5771">
        <v>8415937</v>
      </c>
      <c r="B5771">
        <v>8415655</v>
      </c>
      <c r="C5771" t="s">
        <v>10</v>
      </c>
      <c r="D5771" t="s">
        <v>8</v>
      </c>
      <c r="E5771" s="4" t="str">
        <f>HYPERLINK("https://ibp.a2mac1.com/costing(costing:projects/details/9760/part/8415937)","Exterior Weatherstrip")</f>
        <v>Exterior Weatherstrip</v>
      </c>
      <c r="F5771" t="s">
        <v>6171</v>
      </c>
    </row>
    <row r="5772" spans="1:6" x14ac:dyDescent="0.15">
      <c r="A5772">
        <v>12085296</v>
      </c>
      <c r="B5772">
        <v>8415937</v>
      </c>
      <c r="C5772" t="s">
        <v>114</v>
      </c>
      <c r="D5772" t="s">
        <v>10</v>
      </c>
      <c r="E5772" s="4" t="str">
        <f>HYPERLINK("https://ibp.a2mac1.com/costing(costing:projects/details/9760/process/12085296)","Seal Extrusion (Multi Layer)")</f>
        <v>Seal Extrusion (Multi Layer)</v>
      </c>
      <c r="F5772" t="s">
        <v>6198</v>
      </c>
    </row>
    <row r="5773" spans="1:6" x14ac:dyDescent="0.15">
      <c r="A5773">
        <v>8754932</v>
      </c>
      <c r="B5773">
        <v>12085296</v>
      </c>
      <c r="C5773" t="s">
        <v>22</v>
      </c>
      <c r="D5773" t="s">
        <v>114</v>
      </c>
      <c r="E5773" s="4" t="str">
        <f>HYPERLINK("https://ibp.a2mac1.com/costing(costing:projects/details/9760/material/8754932)","EPDM")</f>
        <v>EPDM</v>
      </c>
      <c r="F5773" t="s">
        <v>6201</v>
      </c>
    </row>
    <row r="5774" spans="1:6" x14ac:dyDescent="0.15">
      <c r="A5774">
        <v>8754933</v>
      </c>
      <c r="B5774">
        <v>12085296</v>
      </c>
      <c r="C5774" t="s">
        <v>22</v>
      </c>
      <c r="D5774" t="s">
        <v>114</v>
      </c>
      <c r="E5774" s="4" t="str">
        <f>HYPERLINK("https://ibp.a2mac1.com/costing(costing:projects/details/9760/material/8754933)","Aluminum for extrusion (default, e.g. EN-AW6016)")</f>
        <v>Aluminum for extrusion (default, e.g. EN-AW6016)</v>
      </c>
      <c r="F5774" t="s">
        <v>6201</v>
      </c>
    </row>
    <row r="5775" spans="1:6" x14ac:dyDescent="0.15">
      <c r="A5775">
        <v>12212392</v>
      </c>
      <c r="B5775">
        <v>12085296</v>
      </c>
      <c r="C5775" t="s">
        <v>163</v>
      </c>
      <c r="D5775" t="s">
        <v>114</v>
      </c>
      <c r="E5775" s="4" t="str">
        <f>HYPERLINK("https://ibp.a2mac1.com/costing(costing:projects/details/9760/equipment/12212392)","Rubber Extrusion machine")</f>
        <v>Rubber Extrusion machine</v>
      </c>
      <c r="F5775" t="s">
        <v>6201</v>
      </c>
    </row>
    <row r="5776" spans="1:6" x14ac:dyDescent="0.15">
      <c r="A5776">
        <v>8415938</v>
      </c>
      <c r="B5776">
        <v>8415655</v>
      </c>
      <c r="C5776" t="s">
        <v>10</v>
      </c>
      <c r="D5776" t="s">
        <v>8</v>
      </c>
      <c r="E5776" s="4" t="str">
        <f>HYPERLINK("https://ibp.a2mac1.com/costing(costing:projects/details/9760/part/8415938)","2nd Exterior Weatherstrip")</f>
        <v>2nd Exterior Weatherstrip</v>
      </c>
      <c r="F5776" t="s">
        <v>6171</v>
      </c>
    </row>
    <row r="5777" spans="1:6" x14ac:dyDescent="0.15">
      <c r="A5777">
        <v>12085297</v>
      </c>
      <c r="B5777">
        <v>8415938</v>
      </c>
      <c r="C5777" t="s">
        <v>114</v>
      </c>
      <c r="D5777" t="s">
        <v>10</v>
      </c>
      <c r="E5777" s="4" t="str">
        <f>HYPERLINK("https://ibp.a2mac1.com/costing(costing:projects/details/9760/process/12085297)","Aluminum extrusion")</f>
        <v>Aluminum extrusion</v>
      </c>
      <c r="F5777" t="s">
        <v>6203</v>
      </c>
    </row>
    <row r="5778" spans="1:6" x14ac:dyDescent="0.15">
      <c r="A5778">
        <v>8754934</v>
      </c>
      <c r="B5778">
        <v>12085297</v>
      </c>
      <c r="C5778" t="s">
        <v>22</v>
      </c>
      <c r="D5778" t="s">
        <v>114</v>
      </c>
      <c r="E5778" s="4" t="str">
        <f>HYPERLINK("https://ibp.a2mac1.com/costing(costing:projects/details/9760/material/8754934)","Aluminum for extrusion (default, e.g. EN-AW6016)")</f>
        <v>Aluminum for extrusion (default, e.g. EN-AW6016)</v>
      </c>
      <c r="F5778" t="s">
        <v>6205</v>
      </c>
    </row>
    <row r="5779" spans="1:6" x14ac:dyDescent="0.15">
      <c r="A5779">
        <v>12212393</v>
      </c>
      <c r="B5779">
        <v>12085297</v>
      </c>
      <c r="C5779" t="s">
        <v>163</v>
      </c>
      <c r="D5779" t="s">
        <v>114</v>
      </c>
      <c r="E5779" s="4" t="str">
        <f>HYPERLINK("https://ibp.a2mac1.com/costing(costing:projects/details/9760/equipment/12212393)","No.01 - Extrusion Press Line - 600T ")</f>
        <v xml:space="preserve">No.01 - Extrusion Press Line - 600T </v>
      </c>
      <c r="F5779" t="s">
        <v>6205</v>
      </c>
    </row>
    <row r="5780" spans="1:6" x14ac:dyDescent="0.15">
      <c r="A5780">
        <v>8415656</v>
      </c>
      <c r="B5780">
        <v>8415585</v>
      </c>
      <c r="C5780" t="s">
        <v>8</v>
      </c>
      <c r="D5780" t="s">
        <v>8</v>
      </c>
      <c r="E5780" s="4" t="str">
        <f>HYPERLINK("https://ibp.a2mac1.com/costing(costing:projects/details/9760/assembly/8415656)","Power System")</f>
        <v>Power System</v>
      </c>
      <c r="F5780" t="s">
        <v>5965</v>
      </c>
    </row>
    <row r="5781" spans="1:6" x14ac:dyDescent="0.15">
      <c r="A5781">
        <v>8415942</v>
      </c>
      <c r="B5781">
        <v>8415656</v>
      </c>
      <c r="C5781" t="s">
        <v>8</v>
      </c>
      <c r="D5781" t="s">
        <v>8</v>
      </c>
      <c r="E5781" s="4" t="str">
        <f>HYPERLINK("https://ibp.a2mac1.com/costing(costing:projects/details/9760/assembly/8415942)","Lighting Band")</f>
        <v>Lighting Band</v>
      </c>
      <c r="F5781" t="s">
        <v>6209</v>
      </c>
    </row>
    <row r="5782" spans="1:6" x14ac:dyDescent="0.15">
      <c r="A5782">
        <v>8416284</v>
      </c>
      <c r="B5782">
        <v>8415942</v>
      </c>
      <c r="C5782" t="s">
        <v>10</v>
      </c>
      <c r="D5782" t="s">
        <v>8</v>
      </c>
      <c r="E5782" s="4" t="str">
        <f>HYPERLINK("https://ibp.a2mac1.com/costing(costing:projects/details/9760/part/8416284)","Light")</f>
        <v>Light</v>
      </c>
      <c r="F5782" t="s">
        <v>6210</v>
      </c>
    </row>
    <row r="5783" spans="1:6" x14ac:dyDescent="0.15">
      <c r="A5783">
        <v>8416285</v>
      </c>
      <c r="B5783">
        <v>8415942</v>
      </c>
      <c r="C5783" t="s">
        <v>10</v>
      </c>
      <c r="D5783" t="s">
        <v>8</v>
      </c>
      <c r="E5783" s="4" t="str">
        <f>HYPERLINK("https://ibp.a2mac1.com/costing(costing:projects/details/9760/part/8416285)","Light Diffuser/Band")</f>
        <v>Light Diffuser/Band</v>
      </c>
      <c r="F5783" t="s">
        <v>6210</v>
      </c>
    </row>
    <row r="5784" spans="1:6" x14ac:dyDescent="0.15">
      <c r="A5784">
        <v>12085588</v>
      </c>
      <c r="B5784">
        <v>8416285</v>
      </c>
      <c r="C5784" t="s">
        <v>114</v>
      </c>
      <c r="D5784" t="s">
        <v>10</v>
      </c>
      <c r="E5784" s="4" t="str">
        <f>HYPERLINK("https://ibp.a2mac1.com/costing(costing:projects/details/9760/process/12085588)","Injection molding")</f>
        <v>Injection molding</v>
      </c>
      <c r="F5784" t="s">
        <v>6212</v>
      </c>
    </row>
    <row r="5785" spans="1:6" x14ac:dyDescent="0.15">
      <c r="A5785">
        <v>8755299</v>
      </c>
      <c r="B5785">
        <v>12085588</v>
      </c>
      <c r="C5785" t="s">
        <v>22</v>
      </c>
      <c r="D5785" t="s">
        <v>114</v>
      </c>
      <c r="E5785" s="4" t="str">
        <f>HYPERLINK("https://ibp.a2mac1.com/costing(costing:projects/details/9760/material/8755299)","PMMA")</f>
        <v>PMMA</v>
      </c>
      <c r="F5785" t="s">
        <v>6213</v>
      </c>
    </row>
    <row r="5786" spans="1:6" x14ac:dyDescent="0.15">
      <c r="A5786">
        <v>12212808</v>
      </c>
      <c r="B5786">
        <v>12085588</v>
      </c>
      <c r="C5786" t="s">
        <v>163</v>
      </c>
      <c r="D5786" t="s">
        <v>114</v>
      </c>
      <c r="E5786" s="4" t="str">
        <f>HYPERLINK("https://ibp.a2mac1.com/costing(costing:projects/details/9760/equipment/12212808)","No.10 - Injection Press - 500T - 98kW - 900x900 - Max Volume 1936cm3 ")</f>
        <v xml:space="preserve">No.10 - Injection Press - 500T - 98kW - 900x900 - Max Volume 1936cm3 </v>
      </c>
      <c r="F5786" t="s">
        <v>6213</v>
      </c>
    </row>
    <row r="5787" spans="1:6" x14ac:dyDescent="0.15">
      <c r="A5787">
        <v>12085589</v>
      </c>
      <c r="B5787">
        <v>8416285</v>
      </c>
      <c r="C5787" t="s">
        <v>114</v>
      </c>
      <c r="D5787" t="s">
        <v>10</v>
      </c>
      <c r="E5787" s="4" t="str">
        <f>HYPERLINK("https://ibp.a2mac1.com/costing(costing:projects/details/9760/process/12085589)","Handling/Visual Inspection/Packaging")</f>
        <v>Handling/Visual Inspection/Packaging</v>
      </c>
      <c r="F5787" t="s">
        <v>6212</v>
      </c>
    </row>
    <row r="5788" spans="1:6" x14ac:dyDescent="0.15">
      <c r="A5788">
        <v>12212809</v>
      </c>
      <c r="B5788">
        <v>12085589</v>
      </c>
      <c r="C5788" t="s">
        <v>163</v>
      </c>
      <c r="D5788" t="s">
        <v>114</v>
      </c>
      <c r="E5788" s="4" t="str">
        <f>HYPERLINK("https://ibp.a2mac1.com/costing(costing:projects/details/9760/equipment/12212809)","Packaging")</f>
        <v>Packaging</v>
      </c>
      <c r="F5788" t="s">
        <v>6214</v>
      </c>
    </row>
    <row r="5789" spans="1:6" x14ac:dyDescent="0.15">
      <c r="A5789">
        <v>8416286</v>
      </c>
      <c r="B5789">
        <v>8415942</v>
      </c>
      <c r="C5789" t="s">
        <v>10</v>
      </c>
      <c r="D5789" t="s">
        <v>8</v>
      </c>
      <c r="E5789" s="4" t="str">
        <f>HYPERLINK("https://ibp.a2mac1.com/costing(costing:projects/details/9760/part/8416286)","Mood Light Diffuser Support")</f>
        <v>Mood Light Diffuser Support</v>
      </c>
      <c r="F5789" t="s">
        <v>6210</v>
      </c>
    </row>
    <row r="5790" spans="1:6" x14ac:dyDescent="0.15">
      <c r="A5790">
        <v>12085590</v>
      </c>
      <c r="B5790">
        <v>8416286</v>
      </c>
      <c r="C5790" t="s">
        <v>114</v>
      </c>
      <c r="D5790" t="s">
        <v>10</v>
      </c>
      <c r="E5790" s="4" t="str">
        <f>HYPERLINK("https://ibp.a2mac1.com/costing(costing:projects/details/9760/process/12085590)","Injection molding")</f>
        <v>Injection molding</v>
      </c>
      <c r="F5790" t="s">
        <v>6216</v>
      </c>
    </row>
    <row r="5791" spans="1:6" x14ac:dyDescent="0.15">
      <c r="A5791">
        <v>8755300</v>
      </c>
      <c r="B5791">
        <v>12085590</v>
      </c>
      <c r="C5791" t="s">
        <v>22</v>
      </c>
      <c r="D5791" t="s">
        <v>114</v>
      </c>
      <c r="E5791" s="4" t="str">
        <f>HYPERLINK("https://ibp.a2mac1.com/costing(costing:projects/details/9760/material/8755300)","PP-TD20")</f>
        <v>PP-TD20</v>
      </c>
      <c r="F5791" t="s">
        <v>6219</v>
      </c>
    </row>
    <row r="5792" spans="1:6" x14ac:dyDescent="0.15">
      <c r="A5792">
        <v>12212810</v>
      </c>
      <c r="B5792">
        <v>12085590</v>
      </c>
      <c r="C5792" t="s">
        <v>163</v>
      </c>
      <c r="D5792" t="s">
        <v>114</v>
      </c>
      <c r="E5792" s="4" t="str">
        <f>HYPERLINK("https://ibp.a2mac1.com/costing(costing:projects/details/9760/equipment/12212810)","No.10 - Injection Press - 500T - 98kW - 900x900 - Max Volume 1936cm3 ")</f>
        <v xml:space="preserve">No.10 - Injection Press - 500T - 98kW - 900x900 - Max Volume 1936cm3 </v>
      </c>
      <c r="F5792" t="s">
        <v>6219</v>
      </c>
    </row>
    <row r="5793" spans="1:6" x14ac:dyDescent="0.15">
      <c r="A5793">
        <v>12085591</v>
      </c>
      <c r="B5793">
        <v>8416286</v>
      </c>
      <c r="C5793" t="s">
        <v>114</v>
      </c>
      <c r="D5793" t="s">
        <v>10</v>
      </c>
      <c r="E5793" s="4" t="str">
        <f>HYPERLINK("https://ibp.a2mac1.com/costing(costing:projects/details/9760/process/12085591)","Handling/Visual Inspection/Packaging")</f>
        <v>Handling/Visual Inspection/Packaging</v>
      </c>
      <c r="F5793" t="s">
        <v>6216</v>
      </c>
    </row>
    <row r="5794" spans="1:6" x14ac:dyDescent="0.15">
      <c r="A5794">
        <v>12212811</v>
      </c>
      <c r="B5794">
        <v>12085591</v>
      </c>
      <c r="C5794" t="s">
        <v>163</v>
      </c>
      <c r="D5794" t="s">
        <v>114</v>
      </c>
      <c r="E5794" s="4" t="str">
        <f>HYPERLINK("https://ibp.a2mac1.com/costing(costing:projects/details/9760/equipment/12212811)","Packaging")</f>
        <v>Packaging</v>
      </c>
      <c r="F5794" t="s">
        <v>6220</v>
      </c>
    </row>
    <row r="5795" spans="1:6" x14ac:dyDescent="0.15">
      <c r="A5795">
        <v>8415940</v>
      </c>
      <c r="B5795">
        <v>8415656</v>
      </c>
      <c r="C5795" t="s">
        <v>10</v>
      </c>
      <c r="D5795" t="s">
        <v>8</v>
      </c>
      <c r="E5795" s="4" t="str">
        <f>HYPERLINK("https://ibp.a2mac1.com/costing(costing:projects/details/9760/part/8415940)","Harness")</f>
        <v>Harness</v>
      </c>
      <c r="F5795" t="s">
        <v>6209</v>
      </c>
    </row>
    <row r="5796" spans="1:6" x14ac:dyDescent="0.15">
      <c r="A5796">
        <v>8415941</v>
      </c>
      <c r="B5796">
        <v>8415656</v>
      </c>
      <c r="C5796" t="s">
        <v>10</v>
      </c>
      <c r="D5796" t="s">
        <v>8</v>
      </c>
      <c r="E5796" s="4" t="str">
        <f>HYPERLINK("https://ibp.a2mac1.com/costing(costing:projects/details/9760/part/8415941)","Harness Grommet")</f>
        <v>Harness Grommet</v>
      </c>
      <c r="F5796" t="s">
        <v>6209</v>
      </c>
    </row>
    <row r="5797" spans="1:6" x14ac:dyDescent="0.15">
      <c r="A5797">
        <v>8754425</v>
      </c>
      <c r="B5797">
        <v>8415656</v>
      </c>
      <c r="C5797" t="s">
        <v>311</v>
      </c>
      <c r="D5797" t="s">
        <v>8</v>
      </c>
      <c r="E5797" s="4" t="str">
        <f>HYPERLINK("https://ibp.a2mac1.com/costing(costing:projects/details/9760/component/8754425)","Tube/cluster support &gt; Tube/cluster strap support in hole")</f>
        <v>Tube/cluster support &gt; Tube/cluster strap support in hole</v>
      </c>
      <c r="F5797" t="s">
        <v>6209</v>
      </c>
    </row>
    <row r="5798" spans="1:6" x14ac:dyDescent="0.15">
      <c r="A5798">
        <v>8415657</v>
      </c>
      <c r="B5798">
        <v>8415585</v>
      </c>
      <c r="C5798" t="s">
        <v>8</v>
      </c>
      <c r="D5798" t="s">
        <v>8</v>
      </c>
      <c r="E5798" s="4" t="str">
        <f>HYPERLINK("https://ibp.a2mac1.com/costing(costing:projects/details/9760/assembly/8415657)","Power Controls")</f>
        <v>Power Controls</v>
      </c>
      <c r="F5798" t="s">
        <v>5965</v>
      </c>
    </row>
    <row r="5799" spans="1:6" x14ac:dyDescent="0.15">
      <c r="A5799">
        <v>8415943</v>
      </c>
      <c r="B5799">
        <v>8415657</v>
      </c>
      <c r="C5799" t="s">
        <v>8</v>
      </c>
      <c r="D5799" t="s">
        <v>8</v>
      </c>
      <c r="E5799" s="4" t="str">
        <f>HYPERLINK("https://ibp.a2mac1.com/costing(costing:projects/details/9760/assembly/8415943)","Window Control Switch")</f>
        <v>Window Control Switch</v>
      </c>
      <c r="F5799" t="s">
        <v>6227</v>
      </c>
    </row>
    <row r="5800" spans="1:6" x14ac:dyDescent="0.15">
      <c r="A5800">
        <v>8416287</v>
      </c>
      <c r="B5800">
        <v>8415943</v>
      </c>
      <c r="C5800" t="s">
        <v>10</v>
      </c>
      <c r="D5800" t="s">
        <v>8</v>
      </c>
      <c r="E5800" s="4" t="str">
        <f>HYPERLINK("https://ibp.a2mac1.com/costing(costing:projects/details/9760/part/8416287)","Electric window lift control")</f>
        <v>Electric window lift control</v>
      </c>
      <c r="F5800" t="s">
        <v>6228</v>
      </c>
    </row>
    <row r="5801" spans="1:6" x14ac:dyDescent="0.15">
      <c r="A5801">
        <v>8416288</v>
      </c>
      <c r="B5801">
        <v>8415943</v>
      </c>
      <c r="C5801" t="s">
        <v>10</v>
      </c>
      <c r="D5801" t="s">
        <v>8</v>
      </c>
      <c r="E5801" s="4" t="str">
        <f>HYPERLINK("https://ibp.a2mac1.com/costing(costing:projects/details/9760/part/8416288)","Switch Support")</f>
        <v>Switch Support</v>
      </c>
      <c r="F5801" t="s">
        <v>6228</v>
      </c>
    </row>
    <row r="5802" spans="1:6" x14ac:dyDescent="0.15">
      <c r="A5802">
        <v>12085592</v>
      </c>
      <c r="B5802">
        <v>8416288</v>
      </c>
      <c r="C5802" t="s">
        <v>114</v>
      </c>
      <c r="D5802" t="s">
        <v>10</v>
      </c>
      <c r="E5802" s="4" t="str">
        <f>HYPERLINK("https://ibp.a2mac1.com/costing(costing:projects/details/9760/process/12085592)","Injection molding")</f>
        <v>Injection molding</v>
      </c>
      <c r="F5802" t="s">
        <v>6230</v>
      </c>
    </row>
    <row r="5803" spans="1:6" x14ac:dyDescent="0.15">
      <c r="A5803">
        <v>8755301</v>
      </c>
      <c r="B5803">
        <v>12085592</v>
      </c>
      <c r="C5803" t="s">
        <v>22</v>
      </c>
      <c r="D5803" t="s">
        <v>114</v>
      </c>
      <c r="E5803" s="4" t="str">
        <f>HYPERLINK("https://ibp.a2mac1.com/costing(costing:projects/details/9760/material/8755301)","ABS")</f>
        <v>ABS</v>
      </c>
      <c r="F5803" t="s">
        <v>6231</v>
      </c>
    </row>
    <row r="5804" spans="1:6" x14ac:dyDescent="0.15">
      <c r="A5804">
        <v>12212812</v>
      </c>
      <c r="B5804">
        <v>12085592</v>
      </c>
      <c r="C5804" t="s">
        <v>163</v>
      </c>
      <c r="D5804" t="s">
        <v>114</v>
      </c>
      <c r="E5804" s="4" t="str">
        <f>HYPERLINK("https://ibp.a2mac1.com/costing(costing:projects/details/9760/equipment/12212812)","Equipment (Injection Molding)")</f>
        <v>Equipment (Injection Molding)</v>
      </c>
      <c r="F5804" t="s">
        <v>6231</v>
      </c>
    </row>
    <row r="5805" spans="1:6" x14ac:dyDescent="0.15">
      <c r="A5805">
        <v>8415658</v>
      </c>
      <c r="B5805">
        <v>8415585</v>
      </c>
      <c r="C5805" t="s">
        <v>8</v>
      </c>
      <c r="D5805" t="s">
        <v>8</v>
      </c>
      <c r="E5805" s="4" t="str">
        <f>HYPERLINK("https://ibp.a2mac1.com/costing(costing:projects/details/9760/assembly/8415658)","Speaker System")</f>
        <v>Speaker System</v>
      </c>
      <c r="F5805" t="s">
        <v>5965</v>
      </c>
    </row>
    <row r="5806" spans="1:6" x14ac:dyDescent="0.15">
      <c r="A5806">
        <v>8415944</v>
      </c>
      <c r="B5806">
        <v>8415658</v>
      </c>
      <c r="C5806" t="s">
        <v>10</v>
      </c>
      <c r="D5806" t="s">
        <v>8</v>
      </c>
      <c r="E5806" s="4" t="str">
        <f>HYPERLINK("https://ibp.a2mac1.com/costing(costing:projects/details/9760/part/8415944)","Speaker")</f>
        <v>Speaker</v>
      </c>
      <c r="F5806" t="s">
        <v>6235</v>
      </c>
    </row>
    <row r="5807" spans="1:6" x14ac:dyDescent="0.15">
      <c r="A5807">
        <v>8415945</v>
      </c>
      <c r="B5807">
        <v>8415658</v>
      </c>
      <c r="C5807" t="s">
        <v>10</v>
      </c>
      <c r="D5807" t="s">
        <v>8</v>
      </c>
      <c r="E5807" s="4" t="str">
        <f>HYPERLINK("https://ibp.a2mac1.com/costing(costing:projects/details/9760/part/8415945)","Medium")</f>
        <v>Medium</v>
      </c>
      <c r="F5807" t="s">
        <v>6235</v>
      </c>
    </row>
    <row r="5808" spans="1:6" x14ac:dyDescent="0.15">
      <c r="A5808">
        <v>8754426</v>
      </c>
      <c r="B5808">
        <v>8415658</v>
      </c>
      <c r="C5808" t="s">
        <v>311</v>
      </c>
      <c r="D5808" t="s">
        <v>8</v>
      </c>
      <c r="E5808" s="4" t="str">
        <f>HYPERLINK("https://ibp.a2mac1.com/costing(costing:projects/details/9760/component/8754426)","Round head Screw M4x18")</f>
        <v>Round head Screw M4x18</v>
      </c>
      <c r="F5808" t="s">
        <v>6235</v>
      </c>
    </row>
    <row r="5809" spans="1:6" x14ac:dyDescent="0.15">
      <c r="A5809">
        <v>8754427</v>
      </c>
      <c r="B5809">
        <v>8415658</v>
      </c>
      <c r="C5809" t="s">
        <v>311</v>
      </c>
      <c r="D5809" t="s">
        <v>8</v>
      </c>
      <c r="E5809" s="4" t="str">
        <f>HYPERLINK("https://ibp.a2mac1.com/costing(costing:projects/details/9760/component/8754427)","Round head Screw M4x10")</f>
        <v>Round head Screw M4x10</v>
      </c>
      <c r="F5809" t="s">
        <v>6235</v>
      </c>
    </row>
    <row r="5810" spans="1:6" x14ac:dyDescent="0.15">
      <c r="A5810">
        <v>8415659</v>
      </c>
      <c r="B5810">
        <v>8415585</v>
      </c>
      <c r="C5810" t="s">
        <v>8</v>
      </c>
      <c r="D5810" t="s">
        <v>8</v>
      </c>
      <c r="E5810" s="4" t="str">
        <f>HYPERLINK("https://ibp.a2mac1.com/costing(costing:projects/details/9760/assembly/8415659)","Reinforcement System")</f>
        <v>Reinforcement System</v>
      </c>
      <c r="F5810" t="s">
        <v>5965</v>
      </c>
    </row>
    <row r="5811" spans="1:6" x14ac:dyDescent="0.15">
      <c r="A5811">
        <v>8415946</v>
      </c>
      <c r="B5811">
        <v>8415659</v>
      </c>
      <c r="C5811" t="s">
        <v>10</v>
      </c>
      <c r="D5811" t="s">
        <v>8</v>
      </c>
      <c r="E5811" s="4" t="str">
        <f>HYPERLINK("https://ibp.a2mac1.com/costing(costing:projects/details/9760/part/8415946)","Effort Guide")</f>
        <v>Effort Guide</v>
      </c>
      <c r="F5811" t="s">
        <v>6240</v>
      </c>
    </row>
    <row r="5812" spans="1:6" x14ac:dyDescent="0.15">
      <c r="A5812">
        <v>8415947</v>
      </c>
      <c r="B5812">
        <v>8415659</v>
      </c>
      <c r="C5812" t="s">
        <v>10</v>
      </c>
      <c r="D5812" t="s">
        <v>8</v>
      </c>
      <c r="E5812" s="4" t="str">
        <f>HYPERLINK("https://ibp.a2mac1.com/costing(costing:projects/details/9760/part/8415947)","Cover Shock Guide")</f>
        <v>Cover Shock Guide</v>
      </c>
      <c r="F5812" t="s">
        <v>6240</v>
      </c>
    </row>
    <row r="5813" spans="1:6" x14ac:dyDescent="0.15">
      <c r="A5813">
        <v>8415663</v>
      </c>
      <c r="B5813">
        <v>8415585</v>
      </c>
      <c r="C5813" t="s">
        <v>8</v>
      </c>
      <c r="D5813" t="s">
        <v>8</v>
      </c>
      <c r="E5813" s="4" t="str">
        <f>HYPERLINK("https://ibp.a2mac1.com/costing(costing:projects/details/9760/assembly/8415663)","Hinges")</f>
        <v>Hinges</v>
      </c>
      <c r="F5813" t="s">
        <v>5965</v>
      </c>
    </row>
    <row r="5814" spans="1:6" x14ac:dyDescent="0.15">
      <c r="A5814">
        <v>8415950</v>
      </c>
      <c r="B5814">
        <v>8415663</v>
      </c>
      <c r="C5814" t="s">
        <v>8</v>
      </c>
      <c r="D5814" t="s">
        <v>8</v>
      </c>
      <c r="E5814" s="4" t="str">
        <f>HYPERLINK("https://ibp.a2mac1.com/costing(costing:projects/details/9760/assembly/8415950)","Upper")</f>
        <v>Upper</v>
      </c>
      <c r="F5814" t="s">
        <v>6246</v>
      </c>
    </row>
    <row r="5815" spans="1:6" x14ac:dyDescent="0.15">
      <c r="A5815">
        <v>8416289</v>
      </c>
      <c r="B5815">
        <v>8415950</v>
      </c>
      <c r="C5815" t="s">
        <v>10</v>
      </c>
      <c r="D5815" t="s">
        <v>8</v>
      </c>
      <c r="E5815" s="4" t="str">
        <f>HYPERLINK("https://ibp.a2mac1.com/costing(costing:projects/details/9760/part/8416289)","On Body")</f>
        <v>On Body</v>
      </c>
      <c r="F5815" t="s">
        <v>6247</v>
      </c>
    </row>
    <row r="5816" spans="1:6" x14ac:dyDescent="0.15">
      <c r="A5816">
        <v>12085593</v>
      </c>
      <c r="B5816">
        <v>8416289</v>
      </c>
      <c r="C5816" t="s">
        <v>114</v>
      </c>
      <c r="D5816" t="s">
        <v>10</v>
      </c>
      <c r="E5816" s="4" t="str">
        <f>HYPERLINK("https://ibp.a2mac1.com/costing(costing:projects/details/9760/process/12085593)","MANUFACTURING  PROCESS")</f>
        <v>MANUFACTURING  PROCESS</v>
      </c>
      <c r="F5816" t="s">
        <v>6248</v>
      </c>
    </row>
    <row r="5817" spans="1:6" x14ac:dyDescent="0.15">
      <c r="A5817">
        <v>8755302</v>
      </c>
      <c r="B5817">
        <v>12085593</v>
      </c>
      <c r="C5817" t="s">
        <v>22</v>
      </c>
      <c r="D5817" t="s">
        <v>114</v>
      </c>
      <c r="E5817" s="4" t="str">
        <f>HYPERLINK("https://ibp.a2mac1.com/costing(costing:projects/details/9760/material/8755302)","Standard Structural Steel sheet")</f>
        <v>Standard Structural Steel sheet</v>
      </c>
      <c r="F5817" t="s">
        <v>6249</v>
      </c>
    </row>
    <row r="5818" spans="1:6" x14ac:dyDescent="0.15">
      <c r="A5818">
        <v>12212813</v>
      </c>
      <c r="B5818">
        <v>12085593</v>
      </c>
      <c r="C5818" t="s">
        <v>163</v>
      </c>
      <c r="D5818" t="s">
        <v>114</v>
      </c>
      <c r="E5818" s="4" t="str">
        <f>HYPERLINK("https://ibp.a2mac1.com/costing(costing:projects/details/9760/equipment/12212813)","Manufacturing Equipment")</f>
        <v>Manufacturing Equipment</v>
      </c>
      <c r="F5818" t="s">
        <v>6249</v>
      </c>
    </row>
    <row r="5819" spans="1:6" x14ac:dyDescent="0.15">
      <c r="A5819">
        <v>8416290</v>
      </c>
      <c r="B5819">
        <v>8415950</v>
      </c>
      <c r="C5819" t="s">
        <v>10</v>
      </c>
      <c r="D5819" t="s">
        <v>8</v>
      </c>
      <c r="E5819" s="4" t="str">
        <f>HYPERLINK("https://ibp.a2mac1.com/costing(costing:projects/details/9760/part/8416290)","On Door")</f>
        <v>On Door</v>
      </c>
      <c r="F5819" t="s">
        <v>6247</v>
      </c>
    </row>
    <row r="5820" spans="1:6" x14ac:dyDescent="0.15">
      <c r="A5820">
        <v>12085594</v>
      </c>
      <c r="B5820">
        <v>8416290</v>
      </c>
      <c r="C5820" t="s">
        <v>114</v>
      </c>
      <c r="D5820" t="s">
        <v>10</v>
      </c>
      <c r="E5820" s="4" t="str">
        <f>HYPERLINK("https://ibp.a2mac1.com/costing(costing:projects/details/9760/process/12085594)","MANUFACTURING  PROCESS")</f>
        <v>MANUFACTURING  PROCESS</v>
      </c>
      <c r="F5820" t="s">
        <v>6251</v>
      </c>
    </row>
    <row r="5821" spans="1:6" x14ac:dyDescent="0.15">
      <c r="A5821">
        <v>8755303</v>
      </c>
      <c r="B5821">
        <v>12085594</v>
      </c>
      <c r="C5821" t="s">
        <v>22</v>
      </c>
      <c r="D5821" t="s">
        <v>114</v>
      </c>
      <c r="E5821" s="4" t="str">
        <f>HYPERLINK("https://ibp.a2mac1.com/costing(costing:projects/details/9760/material/8755303)","Standard Structural Steel sheet")</f>
        <v>Standard Structural Steel sheet</v>
      </c>
      <c r="F5821" t="s">
        <v>6252</v>
      </c>
    </row>
    <row r="5822" spans="1:6" x14ac:dyDescent="0.15">
      <c r="A5822">
        <v>12212814</v>
      </c>
      <c r="B5822">
        <v>12085594</v>
      </c>
      <c r="C5822" t="s">
        <v>163</v>
      </c>
      <c r="D5822" t="s">
        <v>114</v>
      </c>
      <c r="E5822" s="4" t="str">
        <f>HYPERLINK("https://ibp.a2mac1.com/costing(costing:projects/details/9760/equipment/12212814)","Manufacturing Equipment")</f>
        <v>Manufacturing Equipment</v>
      </c>
      <c r="F5822" t="s">
        <v>6252</v>
      </c>
    </row>
    <row r="5823" spans="1:6" x14ac:dyDescent="0.15">
      <c r="A5823">
        <v>8754559</v>
      </c>
      <c r="B5823">
        <v>8415950</v>
      </c>
      <c r="C5823" t="s">
        <v>311</v>
      </c>
      <c r="D5823" t="s">
        <v>8</v>
      </c>
      <c r="E5823" s="4" t="str">
        <f>HYPERLINK("https://ibp.a2mac1.com/costing(costing:projects/details/9760/component/8754559)","Screw &gt; Hexagon screw with flange")</f>
        <v>Screw &gt; Hexagon screw with flange</v>
      </c>
      <c r="F5823" t="s">
        <v>6247</v>
      </c>
    </row>
    <row r="5824" spans="1:6" x14ac:dyDescent="0.15">
      <c r="A5824">
        <v>8754560</v>
      </c>
      <c r="B5824">
        <v>8415950</v>
      </c>
      <c r="C5824" t="s">
        <v>311</v>
      </c>
      <c r="D5824" t="s">
        <v>8</v>
      </c>
      <c r="E5824" s="4" t="str">
        <f>HYPERLINK("https://ibp.a2mac1.com/costing(costing:projects/details/9760/component/8754560)","Screw &gt; Hexagon screw with flange")</f>
        <v>Screw &gt; Hexagon screw with flange</v>
      </c>
      <c r="F5824" t="s">
        <v>6247</v>
      </c>
    </row>
    <row r="5825" spans="1:6" x14ac:dyDescent="0.15">
      <c r="A5825">
        <v>8415951</v>
      </c>
      <c r="B5825">
        <v>8415663</v>
      </c>
      <c r="C5825" t="s">
        <v>8</v>
      </c>
      <c r="D5825" t="s">
        <v>8</v>
      </c>
      <c r="E5825" s="4" t="str">
        <f>HYPERLINK("https://ibp.a2mac1.com/costing(costing:projects/details/9760/assembly/8415951)","Lower")</f>
        <v>Lower</v>
      </c>
      <c r="F5825" t="s">
        <v>6246</v>
      </c>
    </row>
    <row r="5826" spans="1:6" x14ac:dyDescent="0.15">
      <c r="A5826">
        <v>8416291</v>
      </c>
      <c r="B5826">
        <v>8415951</v>
      </c>
      <c r="C5826" t="s">
        <v>10</v>
      </c>
      <c r="D5826" t="s">
        <v>8</v>
      </c>
      <c r="E5826" s="4" t="str">
        <f>HYPERLINK("https://ibp.a2mac1.com/costing(costing:projects/details/9760/part/8416291)","On Body")</f>
        <v>On Body</v>
      </c>
      <c r="F5826" t="s">
        <v>6255</v>
      </c>
    </row>
    <row r="5827" spans="1:6" x14ac:dyDescent="0.15">
      <c r="A5827">
        <v>12085595</v>
      </c>
      <c r="B5827">
        <v>8416291</v>
      </c>
      <c r="C5827" t="s">
        <v>114</v>
      </c>
      <c r="D5827" t="s">
        <v>10</v>
      </c>
      <c r="E5827" s="4" t="str">
        <f>HYPERLINK("https://ibp.a2mac1.com/costing(costing:projects/details/9760/process/12085595)","MANUFACTURING  PROCESS")</f>
        <v>MANUFACTURING  PROCESS</v>
      </c>
      <c r="F5827" t="s">
        <v>6256</v>
      </c>
    </row>
    <row r="5828" spans="1:6" x14ac:dyDescent="0.15">
      <c r="A5828">
        <v>8755304</v>
      </c>
      <c r="B5828">
        <v>12085595</v>
      </c>
      <c r="C5828" t="s">
        <v>22</v>
      </c>
      <c r="D5828" t="s">
        <v>114</v>
      </c>
      <c r="E5828" s="4" t="str">
        <f>HYPERLINK("https://ibp.a2mac1.com/costing(costing:projects/details/9760/material/8755304)","Standard Structural Steel sheet")</f>
        <v>Standard Structural Steel sheet</v>
      </c>
      <c r="F5828" t="s">
        <v>6257</v>
      </c>
    </row>
    <row r="5829" spans="1:6" x14ac:dyDescent="0.15">
      <c r="A5829">
        <v>12212843</v>
      </c>
      <c r="B5829">
        <v>12085595</v>
      </c>
      <c r="C5829" t="s">
        <v>163</v>
      </c>
      <c r="D5829" t="s">
        <v>114</v>
      </c>
      <c r="E5829" s="4" t="str">
        <f>HYPERLINK("https://ibp.a2mac1.com/costing(costing:projects/details/9760/equipment/12212843)","Manufacturing Equipment")</f>
        <v>Manufacturing Equipment</v>
      </c>
      <c r="F5829" t="s">
        <v>6257</v>
      </c>
    </row>
    <row r="5830" spans="1:6" x14ac:dyDescent="0.15">
      <c r="A5830">
        <v>8416292</v>
      </c>
      <c r="B5830">
        <v>8415951</v>
      </c>
      <c r="C5830" t="s">
        <v>10</v>
      </c>
      <c r="D5830" t="s">
        <v>8</v>
      </c>
      <c r="E5830" s="4" t="str">
        <f>HYPERLINK("https://ibp.a2mac1.com/costing(costing:projects/details/9760/part/8416292)","On Door")</f>
        <v>On Door</v>
      </c>
      <c r="F5830" t="s">
        <v>6255</v>
      </c>
    </row>
    <row r="5831" spans="1:6" x14ac:dyDescent="0.15">
      <c r="A5831">
        <v>12085596</v>
      </c>
      <c r="B5831">
        <v>8416292</v>
      </c>
      <c r="C5831" t="s">
        <v>114</v>
      </c>
      <c r="D5831" t="s">
        <v>10</v>
      </c>
      <c r="E5831" s="4" t="str">
        <f>HYPERLINK("https://ibp.a2mac1.com/costing(costing:projects/details/9760/process/12085596)","MANUFACTURING  PROCESS")</f>
        <v>MANUFACTURING  PROCESS</v>
      </c>
      <c r="F5831" t="s">
        <v>6259</v>
      </c>
    </row>
    <row r="5832" spans="1:6" x14ac:dyDescent="0.15">
      <c r="A5832">
        <v>8755305</v>
      </c>
      <c r="B5832">
        <v>12085596</v>
      </c>
      <c r="C5832" t="s">
        <v>22</v>
      </c>
      <c r="D5832" t="s">
        <v>114</v>
      </c>
      <c r="E5832" s="4" t="str">
        <f>HYPERLINK("https://ibp.a2mac1.com/costing(costing:projects/details/9760/material/8755305)","Standard Structural Steel sheet")</f>
        <v>Standard Structural Steel sheet</v>
      </c>
      <c r="F5832" t="s">
        <v>6260</v>
      </c>
    </row>
    <row r="5833" spans="1:6" x14ac:dyDescent="0.15">
      <c r="A5833">
        <v>12212844</v>
      </c>
      <c r="B5833">
        <v>12085596</v>
      </c>
      <c r="C5833" t="s">
        <v>163</v>
      </c>
      <c r="D5833" t="s">
        <v>114</v>
      </c>
      <c r="E5833" s="4" t="str">
        <f>HYPERLINK("https://ibp.a2mac1.com/costing(costing:projects/details/9760/equipment/12212844)","Manufacturing Equipment")</f>
        <v>Manufacturing Equipment</v>
      </c>
      <c r="F5833" t="s">
        <v>6260</v>
      </c>
    </row>
    <row r="5834" spans="1:6" x14ac:dyDescent="0.15">
      <c r="A5834">
        <v>8754561</v>
      </c>
      <c r="B5834">
        <v>8415951</v>
      </c>
      <c r="C5834" t="s">
        <v>311</v>
      </c>
      <c r="D5834" t="s">
        <v>8</v>
      </c>
      <c r="E5834" s="4" t="str">
        <f>HYPERLINK("https://ibp.a2mac1.com/costing(costing:projects/details/9760/component/8754561)","Screw &gt; Hexagon screw with flange")</f>
        <v>Screw &gt; Hexagon screw with flange</v>
      </c>
      <c r="F5834" t="s">
        <v>6255</v>
      </c>
    </row>
    <row r="5835" spans="1:6" x14ac:dyDescent="0.15">
      <c r="A5835">
        <v>8754562</v>
      </c>
      <c r="B5835">
        <v>8415951</v>
      </c>
      <c r="C5835" t="s">
        <v>311</v>
      </c>
      <c r="D5835" t="s">
        <v>8</v>
      </c>
      <c r="E5835" s="4" t="str">
        <f>HYPERLINK("https://ibp.a2mac1.com/costing(costing:projects/details/9760/component/8754562)","Screw &gt; Hexagon screw with flange")</f>
        <v>Screw &gt; Hexagon screw with flange</v>
      </c>
      <c r="F5835" t="s">
        <v>6255</v>
      </c>
    </row>
    <row r="5836" spans="1:6" x14ac:dyDescent="0.15">
      <c r="A5836">
        <v>8415948</v>
      </c>
      <c r="B5836">
        <v>8415663</v>
      </c>
      <c r="C5836" t="s">
        <v>10</v>
      </c>
      <c r="D5836" t="s">
        <v>8</v>
      </c>
      <c r="E5836" s="4" t="str">
        <f>HYPERLINK("https://ibp.a2mac1.com/costing(costing:projects/details/9760/part/8415948)","Door Stopper")</f>
        <v>Door Stopper</v>
      </c>
      <c r="F5836" t="s">
        <v>6246</v>
      </c>
    </row>
    <row r="5837" spans="1:6" x14ac:dyDescent="0.15">
      <c r="A5837">
        <v>8415949</v>
      </c>
      <c r="B5837">
        <v>8415663</v>
      </c>
      <c r="C5837" t="s">
        <v>10</v>
      </c>
      <c r="D5837" t="s">
        <v>8</v>
      </c>
      <c r="E5837" s="4" t="str">
        <f>HYPERLINK("https://ibp.a2mac1.com/costing(costing:projects/details/9760/part/8415949)","Door Stopper Protection")</f>
        <v>Door Stopper Protection</v>
      </c>
      <c r="F5837" t="s">
        <v>6246</v>
      </c>
    </row>
    <row r="5838" spans="1:6" x14ac:dyDescent="0.15">
      <c r="A5838">
        <v>12085298</v>
      </c>
      <c r="B5838">
        <v>8415949</v>
      </c>
      <c r="C5838" t="s">
        <v>114</v>
      </c>
      <c r="D5838" t="s">
        <v>10</v>
      </c>
      <c r="E5838" s="4" t="str">
        <f>HYPERLINK("https://ibp.a2mac1.com/costing(costing:projects/details/9760/process/12085298)","Injection molding")</f>
        <v>Injection molding</v>
      </c>
      <c r="F5838" t="s">
        <v>6265</v>
      </c>
    </row>
    <row r="5839" spans="1:6" x14ac:dyDescent="0.15">
      <c r="A5839">
        <v>8754935</v>
      </c>
      <c r="B5839">
        <v>12085298</v>
      </c>
      <c r="C5839" t="s">
        <v>22</v>
      </c>
      <c r="D5839" t="s">
        <v>114</v>
      </c>
      <c r="E5839" s="4" t="str">
        <f>HYPERLINK("https://ibp.a2mac1.com/costing(costing:projects/details/9760/material/8754935)","PE")</f>
        <v>PE</v>
      </c>
      <c r="F5839" t="s">
        <v>6266</v>
      </c>
    </row>
    <row r="5840" spans="1:6" x14ac:dyDescent="0.15">
      <c r="A5840">
        <v>12212394</v>
      </c>
      <c r="B5840">
        <v>12085298</v>
      </c>
      <c r="C5840" t="s">
        <v>163</v>
      </c>
      <c r="D5840" t="s">
        <v>114</v>
      </c>
      <c r="E5840" s="4" t="str">
        <f>HYPERLINK("https://ibp.a2mac1.com/costing(costing:projects/details/9760/equipment/12212394)","Equipment (Injection Molding)")</f>
        <v>Equipment (Injection Molding)</v>
      </c>
      <c r="F5840" t="s">
        <v>6266</v>
      </c>
    </row>
    <row r="5841" spans="1:6" x14ac:dyDescent="0.15">
      <c r="A5841">
        <v>8754429</v>
      </c>
      <c r="B5841">
        <v>8415663</v>
      </c>
      <c r="C5841" t="s">
        <v>311</v>
      </c>
      <c r="D5841" t="s">
        <v>8</v>
      </c>
      <c r="E5841" s="4" t="str">
        <f>HYPERLINK("https://ibp.a2mac1.com/costing(costing:projects/details/9760/component/8754429)","Screw &gt; Torx socket head cap screw")</f>
        <v>Screw &gt; Torx socket head cap screw</v>
      </c>
      <c r="F5841" t="s">
        <v>6246</v>
      </c>
    </row>
    <row r="5842" spans="1:6" x14ac:dyDescent="0.15">
      <c r="A5842">
        <v>8415660</v>
      </c>
      <c r="B5842">
        <v>8415585</v>
      </c>
      <c r="C5842" t="s">
        <v>10</v>
      </c>
      <c r="D5842" t="s">
        <v>8</v>
      </c>
      <c r="E5842" s="4" t="str">
        <f>HYPERLINK("https://ibp.a2mac1.com/costing(costing:projects/details/9760/part/8415660)","Function Carrier")</f>
        <v>Function Carrier</v>
      </c>
      <c r="F5842" t="s">
        <v>5965</v>
      </c>
    </row>
    <row r="5843" spans="1:6" x14ac:dyDescent="0.15">
      <c r="A5843">
        <v>12085105</v>
      </c>
      <c r="B5843">
        <v>8415660</v>
      </c>
      <c r="C5843" t="s">
        <v>114</v>
      </c>
      <c r="D5843" t="s">
        <v>10</v>
      </c>
      <c r="E5843" s="4" t="str">
        <f>HYPERLINK("https://ibp.a2mac1.com/costing(costing:projects/details/9760/process/12085105)","Injection molding")</f>
        <v>Injection molding</v>
      </c>
      <c r="F5843" t="s">
        <v>6269</v>
      </c>
    </row>
    <row r="5844" spans="1:6" x14ac:dyDescent="0.15">
      <c r="A5844">
        <v>8754558</v>
      </c>
      <c r="B5844">
        <v>12085105</v>
      </c>
      <c r="C5844" t="s">
        <v>22</v>
      </c>
      <c r="D5844" t="s">
        <v>114</v>
      </c>
      <c r="E5844" s="4" t="str">
        <f>HYPERLINK("https://ibp.a2mac1.com/costing(costing:projects/details/9760/material/8754558)","PP-GF30")</f>
        <v>PP-GF30</v>
      </c>
      <c r="F5844" t="s">
        <v>6272</v>
      </c>
    </row>
    <row r="5845" spans="1:6" x14ac:dyDescent="0.15">
      <c r="A5845">
        <v>12212197</v>
      </c>
      <c r="B5845">
        <v>12085105</v>
      </c>
      <c r="C5845" t="s">
        <v>163</v>
      </c>
      <c r="D5845" t="s">
        <v>114</v>
      </c>
      <c r="E5845" s="4" t="str">
        <f>HYPERLINK("https://ibp.a2mac1.com/costing(costing:projects/details/9760/equipment/12212197)","No.13 - Injection Press - 1000T - 191kW - 1230x1230 - Max Volume 7815cm3 ")</f>
        <v xml:space="preserve">No.13 - Injection Press - 1000T - 191kW - 1230x1230 - Max Volume 7815cm3 </v>
      </c>
      <c r="F5845" t="s">
        <v>6272</v>
      </c>
    </row>
    <row r="5846" spans="1:6" x14ac:dyDescent="0.15">
      <c r="A5846">
        <v>8754428</v>
      </c>
      <c r="B5846">
        <v>8415660</v>
      </c>
      <c r="C5846" t="s">
        <v>311</v>
      </c>
      <c r="D5846" t="s">
        <v>10</v>
      </c>
      <c r="E5846" s="4" t="str">
        <f>HYPERLINK("https://ibp.a2mac1.com/costing(costing:projects/details/9760/component/8754428)","Inserts")</f>
        <v>Inserts</v>
      </c>
      <c r="F5846" t="s">
        <v>6269</v>
      </c>
    </row>
    <row r="5847" spans="1:6" x14ac:dyDescent="0.15">
      <c r="A5847">
        <v>8415661</v>
      </c>
      <c r="B5847">
        <v>8415585</v>
      </c>
      <c r="C5847" t="s">
        <v>10</v>
      </c>
      <c r="D5847" t="s">
        <v>8</v>
      </c>
      <c r="E5847" s="4" t="str">
        <f>HYPERLINK("https://ibp.a2mac1.com/costing(costing:projects/details/9760/part/8415661)","Hole Plugs")</f>
        <v>Hole Plugs</v>
      </c>
      <c r="F5847" t="s">
        <v>5965</v>
      </c>
    </row>
    <row r="5848" spans="1:6" x14ac:dyDescent="0.15">
      <c r="A5848">
        <v>8415662</v>
      </c>
      <c r="B5848">
        <v>8415585</v>
      </c>
      <c r="C5848" t="s">
        <v>10</v>
      </c>
      <c r="D5848" t="s">
        <v>8</v>
      </c>
      <c r="E5848" s="4" t="str">
        <f>HYPERLINK("https://ibp.a2mac1.com/costing(costing:projects/details/9760/part/8415662)","Water Draining Plug")</f>
        <v>Water Draining Plug</v>
      </c>
      <c r="F5848" t="s">
        <v>5965</v>
      </c>
    </row>
    <row r="5849" spans="1:6" x14ac:dyDescent="0.15">
      <c r="A5849">
        <v>12085064</v>
      </c>
      <c r="B5849">
        <v>8415585</v>
      </c>
      <c r="C5849" t="s">
        <v>114</v>
      </c>
      <c r="D5849" t="s">
        <v>8</v>
      </c>
      <c r="E5849" s="4" t="str">
        <f>HYPERLINK("https://ibp.a2mac1.com/costing(costing:projects/details/9760/process/12085064)","Assembly")</f>
        <v>Assembly</v>
      </c>
      <c r="F5849" t="s">
        <v>5965</v>
      </c>
    </row>
    <row r="5850" spans="1:6" x14ac:dyDescent="0.15">
      <c r="A5850">
        <v>12212156</v>
      </c>
      <c r="B5850">
        <v>12085064</v>
      </c>
      <c r="C5850" t="s">
        <v>163</v>
      </c>
      <c r="D5850" t="s">
        <v>114</v>
      </c>
      <c r="E5850" s="4" t="str">
        <f>HYPERLINK("https://ibp.a2mac1.com/costing(costing:projects/details/9760/equipment/12212156)","Assembly Station ")</f>
        <v xml:space="preserve">Assembly Station </v>
      </c>
      <c r="F5850" t="s">
        <v>6277</v>
      </c>
    </row>
    <row r="5851" spans="1:6" x14ac:dyDescent="0.15">
      <c r="A5851">
        <v>8754309</v>
      </c>
      <c r="B5851">
        <v>8415585</v>
      </c>
      <c r="C5851" t="s">
        <v>311</v>
      </c>
      <c r="D5851" t="s">
        <v>8</v>
      </c>
      <c r="E5851" s="4" t="str">
        <f>HYPERLINK("https://ibp.a2mac1.com/costing(costing:projects/details/9760/component/8754309)","Hole plug &gt; Round hole ")</f>
        <v xml:space="preserve">Hole plug &gt; Round hole </v>
      </c>
      <c r="F5851" t="s">
        <v>5965</v>
      </c>
    </row>
    <row r="5852" spans="1:6" x14ac:dyDescent="0.15">
      <c r="A5852">
        <v>8754310</v>
      </c>
      <c r="B5852">
        <v>8415585</v>
      </c>
      <c r="C5852" t="s">
        <v>311</v>
      </c>
      <c r="D5852" t="s">
        <v>8</v>
      </c>
      <c r="E5852" s="4" t="str">
        <f>HYPERLINK("https://ibp.a2mac1.com/costing(costing:projects/details/9760/component/8754310)","Hole plug &gt; Round hole")</f>
        <v>Hole plug &gt; Round hole</v>
      </c>
      <c r="F5852" t="s">
        <v>5965</v>
      </c>
    </row>
    <row r="5853" spans="1:6" x14ac:dyDescent="0.15">
      <c r="A5853">
        <v>8754311</v>
      </c>
      <c r="B5853">
        <v>8415585</v>
      </c>
      <c r="C5853" t="s">
        <v>311</v>
      </c>
      <c r="D5853" t="s">
        <v>8</v>
      </c>
      <c r="E5853" s="4" t="str">
        <f>HYPERLINK("https://ibp.a2mac1.com/costing(costing:projects/details/9760/component/8754311)","Screw &gt; Hexagon screw with captive washer")</f>
        <v>Screw &gt; Hexagon screw with captive washer</v>
      </c>
      <c r="F5853" t="s">
        <v>5965</v>
      </c>
    </row>
    <row r="5854" spans="1:6" x14ac:dyDescent="0.15">
      <c r="A5854">
        <v>8754312</v>
      </c>
      <c r="B5854">
        <v>8415585</v>
      </c>
      <c r="C5854" t="s">
        <v>311</v>
      </c>
      <c r="D5854" t="s">
        <v>8</v>
      </c>
      <c r="E5854" s="4" t="str">
        <f>HYPERLINK("https://ibp.a2mac1.com/costing(costing:projects/details/9760/component/8754312)","Screw &gt; Torx screw")</f>
        <v>Screw &gt; Torx screw</v>
      </c>
      <c r="F5854" t="s">
        <v>5965</v>
      </c>
    </row>
    <row r="5855" spans="1:6" x14ac:dyDescent="0.15">
      <c r="A5855">
        <v>8415586</v>
      </c>
      <c r="B5855">
        <v>8415576</v>
      </c>
      <c r="C5855" t="s">
        <v>8</v>
      </c>
      <c r="D5855" t="s">
        <v>8</v>
      </c>
      <c r="E5855" s="4" t="str">
        <f>HYPERLINK("https://ibp.a2mac1.com/costing(costing:projects/details/9760/assembly/8415586)","Rear Door Left")</f>
        <v>Rear Door Left</v>
      </c>
      <c r="F5855" t="s">
        <v>4953</v>
      </c>
    </row>
    <row r="5856" spans="1:6" x14ac:dyDescent="0.15">
      <c r="A5856">
        <v>8415664</v>
      </c>
      <c r="B5856">
        <v>8415586</v>
      </c>
      <c r="C5856" t="s">
        <v>8</v>
      </c>
      <c r="D5856" t="s">
        <v>8</v>
      </c>
      <c r="E5856" s="4" t="str">
        <f>HYPERLINK("https://ibp.a2mac1.com/costing(costing:projects/details/9760/assembly/8415664)","Speaker System")</f>
        <v>Speaker System</v>
      </c>
      <c r="F5856" t="s">
        <v>6279</v>
      </c>
    </row>
    <row r="5857" spans="1:6" x14ac:dyDescent="0.15">
      <c r="A5857">
        <v>8415952</v>
      </c>
      <c r="B5857">
        <v>8415664</v>
      </c>
      <c r="C5857" t="s">
        <v>10</v>
      </c>
      <c r="D5857" t="s">
        <v>8</v>
      </c>
      <c r="E5857" s="4" t="str">
        <f>HYPERLINK("https://ibp.a2mac1.com/costing(costing:projects/details/9760/part/8415952)","Speaker")</f>
        <v>Speaker</v>
      </c>
      <c r="F5857" t="s">
        <v>6280</v>
      </c>
    </row>
    <row r="5858" spans="1:6" x14ac:dyDescent="0.15">
      <c r="A5858">
        <v>8415953</v>
      </c>
      <c r="B5858">
        <v>8415664</v>
      </c>
      <c r="C5858" t="s">
        <v>10</v>
      </c>
      <c r="D5858" t="s">
        <v>8</v>
      </c>
      <c r="E5858" s="4" t="str">
        <f>HYPERLINK("https://ibp.a2mac1.com/costing(costing:projects/details/9760/part/8415953)","Medium")</f>
        <v>Medium</v>
      </c>
      <c r="F5858" t="s">
        <v>6280</v>
      </c>
    </row>
    <row r="5859" spans="1:6" x14ac:dyDescent="0.15">
      <c r="A5859">
        <v>8754430</v>
      </c>
      <c r="B5859">
        <v>8415664</v>
      </c>
      <c r="C5859" t="s">
        <v>311</v>
      </c>
      <c r="D5859" t="s">
        <v>8</v>
      </c>
      <c r="E5859" s="4" t="str">
        <f>HYPERLINK("https://ibp.a2mac1.com/costing(costing:projects/details/9760/component/8754430)","Round head Screw M4x10")</f>
        <v>Round head Screw M4x10</v>
      </c>
      <c r="F5859" t="s">
        <v>6280</v>
      </c>
    </row>
    <row r="5860" spans="1:6" x14ac:dyDescent="0.15">
      <c r="A5860">
        <v>8754431</v>
      </c>
      <c r="B5860">
        <v>8415664</v>
      </c>
      <c r="C5860" t="s">
        <v>311</v>
      </c>
      <c r="D5860" t="s">
        <v>8</v>
      </c>
      <c r="E5860" s="4" t="str">
        <f>HYPERLINK("https://ibp.a2mac1.com/costing(costing:projects/details/9760/component/8754431)","Round head Screw M4x18")</f>
        <v>Round head Screw M4x18</v>
      </c>
      <c r="F5860" t="s">
        <v>6280</v>
      </c>
    </row>
    <row r="5861" spans="1:6" x14ac:dyDescent="0.15">
      <c r="A5861">
        <v>8415665</v>
      </c>
      <c r="B5861">
        <v>8415586</v>
      </c>
      <c r="C5861" t="s">
        <v>8</v>
      </c>
      <c r="D5861" t="s">
        <v>8</v>
      </c>
      <c r="E5861" s="4" t="str">
        <f>HYPERLINK("https://ibp.a2mac1.com/costing(costing:projects/details/9760/assembly/8415665)","Reinforcement System")</f>
        <v>Reinforcement System</v>
      </c>
      <c r="F5861" t="s">
        <v>6279</v>
      </c>
    </row>
    <row r="5862" spans="1:6" x14ac:dyDescent="0.15">
      <c r="A5862">
        <v>8415954</v>
      </c>
      <c r="B5862">
        <v>8415665</v>
      </c>
      <c r="C5862" t="s">
        <v>10</v>
      </c>
      <c r="D5862" t="s">
        <v>8</v>
      </c>
      <c r="E5862" s="4" t="str">
        <f>HYPERLINK("https://ibp.a2mac1.com/costing(costing:projects/details/9760/part/8415954)","Effort Guide")</f>
        <v>Effort Guide</v>
      </c>
      <c r="F5862" t="s">
        <v>6284</v>
      </c>
    </row>
    <row r="5863" spans="1:6" x14ac:dyDescent="0.15">
      <c r="A5863">
        <v>8415955</v>
      </c>
      <c r="B5863">
        <v>8415665</v>
      </c>
      <c r="C5863" t="s">
        <v>10</v>
      </c>
      <c r="D5863" t="s">
        <v>8</v>
      </c>
      <c r="E5863" s="4" t="str">
        <f>HYPERLINK("https://ibp.a2mac1.com/costing(costing:projects/details/9760/part/8415955)","Cover Shock Guide")</f>
        <v>Cover Shock Guide</v>
      </c>
      <c r="F5863" t="s">
        <v>6284</v>
      </c>
    </row>
    <row r="5864" spans="1:6" x14ac:dyDescent="0.15">
      <c r="A5864">
        <v>8415666</v>
      </c>
      <c r="B5864">
        <v>8415586</v>
      </c>
      <c r="C5864" t="s">
        <v>8</v>
      </c>
      <c r="D5864" t="s">
        <v>8</v>
      </c>
      <c r="E5864" s="4" t="str">
        <f>HYPERLINK("https://ibp.a2mac1.com/costing(costing:projects/details/9760/assembly/8415666)","Hinges")</f>
        <v>Hinges</v>
      </c>
      <c r="F5864" t="s">
        <v>6279</v>
      </c>
    </row>
    <row r="5865" spans="1:6" x14ac:dyDescent="0.15">
      <c r="A5865">
        <v>8415958</v>
      </c>
      <c r="B5865">
        <v>8415666</v>
      </c>
      <c r="C5865" t="s">
        <v>8</v>
      </c>
      <c r="D5865" t="s">
        <v>8</v>
      </c>
      <c r="E5865" s="4" t="str">
        <f>HYPERLINK("https://ibp.a2mac1.com/costing(costing:projects/details/9760/assembly/8415958)","Upper")</f>
        <v>Upper</v>
      </c>
      <c r="F5865" t="s">
        <v>6288</v>
      </c>
    </row>
    <row r="5866" spans="1:6" x14ac:dyDescent="0.15">
      <c r="A5866">
        <v>8416293</v>
      </c>
      <c r="B5866">
        <v>8415958</v>
      </c>
      <c r="C5866" t="s">
        <v>10</v>
      </c>
      <c r="D5866" t="s">
        <v>8</v>
      </c>
      <c r="E5866" s="4" t="str">
        <f>HYPERLINK("https://ibp.a2mac1.com/costing(costing:projects/details/9760/part/8416293)","On Body")</f>
        <v>On Body</v>
      </c>
      <c r="F5866" t="s">
        <v>6289</v>
      </c>
    </row>
    <row r="5867" spans="1:6" x14ac:dyDescent="0.15">
      <c r="A5867">
        <v>12085597</v>
      </c>
      <c r="B5867">
        <v>8416293</v>
      </c>
      <c r="C5867" t="s">
        <v>114</v>
      </c>
      <c r="D5867" t="s">
        <v>10</v>
      </c>
      <c r="E5867" s="4" t="str">
        <f>HYPERLINK("https://ibp.a2mac1.com/costing(costing:projects/details/9760/process/12085597)","MANUFACTURING  PROCESS")</f>
        <v>MANUFACTURING  PROCESS</v>
      </c>
      <c r="F5867" t="s">
        <v>6290</v>
      </c>
    </row>
    <row r="5868" spans="1:6" x14ac:dyDescent="0.15">
      <c r="A5868">
        <v>8755306</v>
      </c>
      <c r="B5868">
        <v>12085597</v>
      </c>
      <c r="C5868" t="s">
        <v>22</v>
      </c>
      <c r="D5868" t="s">
        <v>114</v>
      </c>
      <c r="E5868" s="4" t="str">
        <f>HYPERLINK("https://ibp.a2mac1.com/costing(costing:projects/details/9760/material/8755306)","Standard Structural Steel sheet")</f>
        <v>Standard Structural Steel sheet</v>
      </c>
      <c r="F5868" t="s">
        <v>6291</v>
      </c>
    </row>
    <row r="5869" spans="1:6" x14ac:dyDescent="0.15">
      <c r="A5869">
        <v>12212845</v>
      </c>
      <c r="B5869">
        <v>12085597</v>
      </c>
      <c r="C5869" t="s">
        <v>163</v>
      </c>
      <c r="D5869" t="s">
        <v>114</v>
      </c>
      <c r="E5869" s="4" t="str">
        <f>HYPERLINK("https://ibp.a2mac1.com/costing(costing:projects/details/9760/equipment/12212845)","Manufacturing Equipment")</f>
        <v>Manufacturing Equipment</v>
      </c>
      <c r="F5869" t="s">
        <v>6291</v>
      </c>
    </row>
    <row r="5870" spans="1:6" x14ac:dyDescent="0.15">
      <c r="A5870">
        <v>8416294</v>
      </c>
      <c r="B5870">
        <v>8415958</v>
      </c>
      <c r="C5870" t="s">
        <v>10</v>
      </c>
      <c r="D5870" t="s">
        <v>8</v>
      </c>
      <c r="E5870" s="4" t="str">
        <f>HYPERLINK("https://ibp.a2mac1.com/costing(costing:projects/details/9760/part/8416294)","On Door")</f>
        <v>On Door</v>
      </c>
      <c r="F5870" t="s">
        <v>6289</v>
      </c>
    </row>
    <row r="5871" spans="1:6" x14ac:dyDescent="0.15">
      <c r="A5871">
        <v>12085598</v>
      </c>
      <c r="B5871">
        <v>8416294</v>
      </c>
      <c r="C5871" t="s">
        <v>114</v>
      </c>
      <c r="D5871" t="s">
        <v>10</v>
      </c>
      <c r="E5871" s="4" t="str">
        <f>HYPERLINK("https://ibp.a2mac1.com/costing(costing:projects/details/9760/process/12085598)","MANUFACTURING  PROCESS")</f>
        <v>MANUFACTURING  PROCESS</v>
      </c>
      <c r="F5871" t="s">
        <v>6293</v>
      </c>
    </row>
    <row r="5872" spans="1:6" x14ac:dyDescent="0.15">
      <c r="A5872">
        <v>8755327</v>
      </c>
      <c r="B5872">
        <v>12085598</v>
      </c>
      <c r="C5872" t="s">
        <v>22</v>
      </c>
      <c r="D5872" t="s">
        <v>114</v>
      </c>
      <c r="E5872" s="4" t="str">
        <f>HYPERLINK("https://ibp.a2mac1.com/costing(costing:projects/details/9760/material/8755327)","Standard Structural Steel sheet")</f>
        <v>Standard Structural Steel sheet</v>
      </c>
      <c r="F5872" t="s">
        <v>6294</v>
      </c>
    </row>
    <row r="5873" spans="1:6" x14ac:dyDescent="0.15">
      <c r="A5873">
        <v>12212846</v>
      </c>
      <c r="B5873">
        <v>12085598</v>
      </c>
      <c r="C5873" t="s">
        <v>163</v>
      </c>
      <c r="D5873" t="s">
        <v>114</v>
      </c>
      <c r="E5873" s="4" t="str">
        <f>HYPERLINK("https://ibp.a2mac1.com/costing(costing:projects/details/9760/equipment/12212846)","Manufacturing Equipment")</f>
        <v>Manufacturing Equipment</v>
      </c>
      <c r="F5873" t="s">
        <v>6294</v>
      </c>
    </row>
    <row r="5874" spans="1:6" x14ac:dyDescent="0.15">
      <c r="A5874">
        <v>8754563</v>
      </c>
      <c r="B5874">
        <v>8415958</v>
      </c>
      <c r="C5874" t="s">
        <v>311</v>
      </c>
      <c r="D5874" t="s">
        <v>8</v>
      </c>
      <c r="E5874" s="4" t="str">
        <f>HYPERLINK("https://ibp.a2mac1.com/costing(costing:projects/details/9760/component/8754563)","Screw &gt; Hexagon screw with flange")</f>
        <v>Screw &gt; Hexagon screw with flange</v>
      </c>
      <c r="F5874" t="s">
        <v>6289</v>
      </c>
    </row>
    <row r="5875" spans="1:6" x14ac:dyDescent="0.15">
      <c r="A5875">
        <v>8754564</v>
      </c>
      <c r="B5875">
        <v>8415958</v>
      </c>
      <c r="C5875" t="s">
        <v>311</v>
      </c>
      <c r="D5875" t="s">
        <v>8</v>
      </c>
      <c r="E5875" s="4" t="str">
        <f>HYPERLINK("https://ibp.a2mac1.com/costing(costing:projects/details/9760/component/8754564)","Screw &gt; Hexagon screw with flange")</f>
        <v>Screw &gt; Hexagon screw with flange</v>
      </c>
      <c r="F5875" t="s">
        <v>6289</v>
      </c>
    </row>
    <row r="5876" spans="1:6" x14ac:dyDescent="0.15">
      <c r="A5876">
        <v>8415959</v>
      </c>
      <c r="B5876">
        <v>8415666</v>
      </c>
      <c r="C5876" t="s">
        <v>8</v>
      </c>
      <c r="D5876" t="s">
        <v>8</v>
      </c>
      <c r="E5876" s="4" t="str">
        <f>HYPERLINK("https://ibp.a2mac1.com/costing(costing:projects/details/9760/assembly/8415959)","Lower")</f>
        <v>Lower</v>
      </c>
      <c r="F5876" t="s">
        <v>6288</v>
      </c>
    </row>
    <row r="5877" spans="1:6" x14ac:dyDescent="0.15">
      <c r="A5877">
        <v>8416295</v>
      </c>
      <c r="B5877">
        <v>8415959</v>
      </c>
      <c r="C5877" t="s">
        <v>10</v>
      </c>
      <c r="D5877" t="s">
        <v>8</v>
      </c>
      <c r="E5877" s="4" t="str">
        <f>HYPERLINK("https://ibp.a2mac1.com/costing(costing:projects/details/9760/part/8416295)","On Body")</f>
        <v>On Body</v>
      </c>
      <c r="F5877" t="s">
        <v>6297</v>
      </c>
    </row>
    <row r="5878" spans="1:6" x14ac:dyDescent="0.15">
      <c r="A5878">
        <v>12085599</v>
      </c>
      <c r="B5878">
        <v>8416295</v>
      </c>
      <c r="C5878" t="s">
        <v>114</v>
      </c>
      <c r="D5878" t="s">
        <v>10</v>
      </c>
      <c r="E5878" s="4" t="str">
        <f>HYPERLINK("https://ibp.a2mac1.com/costing(costing:projects/details/9760/process/12085599)","MANUFACTURING  PROCESS")</f>
        <v>MANUFACTURING  PROCESS</v>
      </c>
      <c r="F5878" t="s">
        <v>6298</v>
      </c>
    </row>
    <row r="5879" spans="1:6" x14ac:dyDescent="0.15">
      <c r="A5879">
        <v>8755328</v>
      </c>
      <c r="B5879">
        <v>12085599</v>
      </c>
      <c r="C5879" t="s">
        <v>22</v>
      </c>
      <c r="D5879" t="s">
        <v>114</v>
      </c>
      <c r="E5879" s="4" t="str">
        <f>HYPERLINK("https://ibp.a2mac1.com/costing(costing:projects/details/9760/material/8755328)","Standard Structural Steel sheet")</f>
        <v>Standard Structural Steel sheet</v>
      </c>
      <c r="F5879" t="s">
        <v>6299</v>
      </c>
    </row>
    <row r="5880" spans="1:6" x14ac:dyDescent="0.15">
      <c r="A5880">
        <v>12212847</v>
      </c>
      <c r="B5880">
        <v>12085599</v>
      </c>
      <c r="C5880" t="s">
        <v>163</v>
      </c>
      <c r="D5880" t="s">
        <v>114</v>
      </c>
      <c r="E5880" s="4" t="str">
        <f>HYPERLINK("https://ibp.a2mac1.com/costing(costing:projects/details/9760/equipment/12212847)","Manufacturing Equipment")</f>
        <v>Manufacturing Equipment</v>
      </c>
      <c r="F5880" t="s">
        <v>6299</v>
      </c>
    </row>
    <row r="5881" spans="1:6" x14ac:dyDescent="0.15">
      <c r="A5881">
        <v>8416296</v>
      </c>
      <c r="B5881">
        <v>8415959</v>
      </c>
      <c r="C5881" t="s">
        <v>10</v>
      </c>
      <c r="D5881" t="s">
        <v>8</v>
      </c>
      <c r="E5881" s="4" t="str">
        <f>HYPERLINK("https://ibp.a2mac1.com/costing(costing:projects/details/9760/part/8416296)","On Door")</f>
        <v>On Door</v>
      </c>
      <c r="F5881" t="s">
        <v>6297</v>
      </c>
    </row>
    <row r="5882" spans="1:6" x14ac:dyDescent="0.15">
      <c r="A5882">
        <v>12085600</v>
      </c>
      <c r="B5882">
        <v>8416296</v>
      </c>
      <c r="C5882" t="s">
        <v>114</v>
      </c>
      <c r="D5882" t="s">
        <v>10</v>
      </c>
      <c r="E5882" s="4" t="str">
        <f>HYPERLINK("https://ibp.a2mac1.com/costing(costing:projects/details/9760/process/12085600)","MANUFACTURING  PROCESS")</f>
        <v>MANUFACTURING  PROCESS</v>
      </c>
      <c r="F5882" t="s">
        <v>6301</v>
      </c>
    </row>
    <row r="5883" spans="1:6" x14ac:dyDescent="0.15">
      <c r="A5883">
        <v>8755329</v>
      </c>
      <c r="B5883">
        <v>12085600</v>
      </c>
      <c r="C5883" t="s">
        <v>22</v>
      </c>
      <c r="D5883" t="s">
        <v>114</v>
      </c>
      <c r="E5883" s="4" t="str">
        <f>HYPERLINK("https://ibp.a2mac1.com/costing(costing:projects/details/9760/material/8755329)","Standard Structural Steel sheet")</f>
        <v>Standard Structural Steel sheet</v>
      </c>
      <c r="F5883" t="s">
        <v>6302</v>
      </c>
    </row>
    <row r="5884" spans="1:6" x14ac:dyDescent="0.15">
      <c r="A5884">
        <v>12212848</v>
      </c>
      <c r="B5884">
        <v>12085600</v>
      </c>
      <c r="C5884" t="s">
        <v>163</v>
      </c>
      <c r="D5884" t="s">
        <v>114</v>
      </c>
      <c r="E5884" s="4" t="str">
        <f>HYPERLINK("https://ibp.a2mac1.com/costing(costing:projects/details/9760/equipment/12212848)","Manufacturing Equipment")</f>
        <v>Manufacturing Equipment</v>
      </c>
      <c r="F5884" t="s">
        <v>6302</v>
      </c>
    </row>
    <row r="5885" spans="1:6" x14ac:dyDescent="0.15">
      <c r="A5885">
        <v>8754565</v>
      </c>
      <c r="B5885">
        <v>8415959</v>
      </c>
      <c r="C5885" t="s">
        <v>311</v>
      </c>
      <c r="D5885" t="s">
        <v>8</v>
      </c>
      <c r="E5885" s="4" t="str">
        <f>HYPERLINK("https://ibp.a2mac1.com/costing(costing:projects/details/9760/component/8754565)","Screw &gt; Hexagon screw with flange")</f>
        <v>Screw &gt; Hexagon screw with flange</v>
      </c>
      <c r="F5885" t="s">
        <v>6297</v>
      </c>
    </row>
    <row r="5886" spans="1:6" x14ac:dyDescent="0.15">
      <c r="A5886">
        <v>8754566</v>
      </c>
      <c r="B5886">
        <v>8415959</v>
      </c>
      <c r="C5886" t="s">
        <v>311</v>
      </c>
      <c r="D5886" t="s">
        <v>8</v>
      </c>
      <c r="E5886" s="4" t="str">
        <f>HYPERLINK("https://ibp.a2mac1.com/costing(costing:projects/details/9760/component/8754566)","Screw &gt; Hexagon screw with flange")</f>
        <v>Screw &gt; Hexagon screw with flange</v>
      </c>
      <c r="F5886" t="s">
        <v>6297</v>
      </c>
    </row>
    <row r="5887" spans="1:6" x14ac:dyDescent="0.15">
      <c r="A5887">
        <v>8415956</v>
      </c>
      <c r="B5887">
        <v>8415666</v>
      </c>
      <c r="C5887" t="s">
        <v>10</v>
      </c>
      <c r="D5887" t="s">
        <v>8</v>
      </c>
      <c r="E5887" s="4" t="str">
        <f>HYPERLINK("https://ibp.a2mac1.com/costing(costing:projects/details/9760/part/8415956)","Door Stopper")</f>
        <v>Door Stopper</v>
      </c>
      <c r="F5887" t="s">
        <v>6288</v>
      </c>
    </row>
    <row r="5888" spans="1:6" x14ac:dyDescent="0.15">
      <c r="A5888">
        <v>8415957</v>
      </c>
      <c r="B5888">
        <v>8415666</v>
      </c>
      <c r="C5888" t="s">
        <v>10</v>
      </c>
      <c r="D5888" t="s">
        <v>8</v>
      </c>
      <c r="E5888" s="4" t="str">
        <f>HYPERLINK("https://ibp.a2mac1.com/costing(costing:projects/details/9760/part/8415957)","Door Stopper Protection")</f>
        <v>Door Stopper Protection</v>
      </c>
      <c r="F5888" t="s">
        <v>6288</v>
      </c>
    </row>
    <row r="5889" spans="1:6" x14ac:dyDescent="0.15">
      <c r="A5889">
        <v>12085299</v>
      </c>
      <c r="B5889">
        <v>8415957</v>
      </c>
      <c r="C5889" t="s">
        <v>114</v>
      </c>
      <c r="D5889" t="s">
        <v>10</v>
      </c>
      <c r="E5889" s="4" t="str">
        <f>HYPERLINK("https://ibp.a2mac1.com/costing(costing:projects/details/9760/process/12085299)","Injection molding")</f>
        <v>Injection molding</v>
      </c>
      <c r="F5889" t="s">
        <v>6306</v>
      </c>
    </row>
    <row r="5890" spans="1:6" x14ac:dyDescent="0.15">
      <c r="A5890">
        <v>8754936</v>
      </c>
      <c r="B5890">
        <v>12085299</v>
      </c>
      <c r="C5890" t="s">
        <v>22</v>
      </c>
      <c r="D5890" t="s">
        <v>114</v>
      </c>
      <c r="E5890" s="4" t="str">
        <f>HYPERLINK("https://ibp.a2mac1.com/costing(costing:projects/details/9760/material/8754936)","PE")</f>
        <v>PE</v>
      </c>
      <c r="F5890" t="s">
        <v>6307</v>
      </c>
    </row>
    <row r="5891" spans="1:6" x14ac:dyDescent="0.15">
      <c r="A5891">
        <v>12212395</v>
      </c>
      <c r="B5891">
        <v>12085299</v>
      </c>
      <c r="C5891" t="s">
        <v>163</v>
      </c>
      <c r="D5891" t="s">
        <v>114</v>
      </c>
      <c r="E5891" s="4" t="str">
        <f>HYPERLINK("https://ibp.a2mac1.com/costing(costing:projects/details/9760/equipment/12212395)","Equipment (Injection Molding)")</f>
        <v>Equipment (Injection Molding)</v>
      </c>
      <c r="F5891" t="s">
        <v>6307</v>
      </c>
    </row>
    <row r="5892" spans="1:6" x14ac:dyDescent="0.15">
      <c r="A5892">
        <v>8754432</v>
      </c>
      <c r="B5892">
        <v>8415666</v>
      </c>
      <c r="C5892" t="s">
        <v>311</v>
      </c>
      <c r="D5892" t="s">
        <v>8</v>
      </c>
      <c r="E5892" s="4" t="str">
        <f>HYPERLINK("https://ibp.a2mac1.com/costing(costing:projects/details/9760/component/8754432)","Screw &gt; Torx socket head cap screw")</f>
        <v>Screw &gt; Torx socket head cap screw</v>
      </c>
      <c r="F5892" t="s">
        <v>6288</v>
      </c>
    </row>
    <row r="5893" spans="1:6" x14ac:dyDescent="0.15">
      <c r="A5893">
        <v>8415667</v>
      </c>
      <c r="B5893">
        <v>8415586</v>
      </c>
      <c r="C5893" t="s">
        <v>8</v>
      </c>
      <c r="D5893" t="s">
        <v>8</v>
      </c>
      <c r="E5893" s="4" t="str">
        <f>HYPERLINK("https://ibp.a2mac1.com/costing(costing:projects/details/9760/assembly/8415667)","Power Controls")</f>
        <v>Power Controls</v>
      </c>
      <c r="F5893" t="s">
        <v>6279</v>
      </c>
    </row>
    <row r="5894" spans="1:6" x14ac:dyDescent="0.15">
      <c r="A5894">
        <v>8415960</v>
      </c>
      <c r="B5894">
        <v>8415667</v>
      </c>
      <c r="C5894" t="s">
        <v>10</v>
      </c>
      <c r="D5894" t="s">
        <v>8</v>
      </c>
      <c r="E5894" s="4" t="str">
        <f>HYPERLINK("https://ibp.a2mac1.com/costing(costing:projects/details/9760/part/8415960)","Electric window lift control")</f>
        <v>Electric window lift control</v>
      </c>
      <c r="F5894" t="s">
        <v>6311</v>
      </c>
    </row>
    <row r="5895" spans="1:6" x14ac:dyDescent="0.15">
      <c r="A5895">
        <v>8415961</v>
      </c>
      <c r="B5895">
        <v>8415667</v>
      </c>
      <c r="C5895" t="s">
        <v>10</v>
      </c>
      <c r="D5895" t="s">
        <v>8</v>
      </c>
      <c r="E5895" s="4" t="str">
        <f>HYPERLINK("https://ibp.a2mac1.com/costing(costing:projects/details/9760/part/8415961)","Switch Support")</f>
        <v>Switch Support</v>
      </c>
      <c r="F5895" t="s">
        <v>6311</v>
      </c>
    </row>
    <row r="5896" spans="1:6" x14ac:dyDescent="0.15">
      <c r="A5896">
        <v>12085300</v>
      </c>
      <c r="B5896">
        <v>8415961</v>
      </c>
      <c r="C5896" t="s">
        <v>114</v>
      </c>
      <c r="D5896" t="s">
        <v>10</v>
      </c>
      <c r="E5896" s="4" t="str">
        <f>HYPERLINK("https://ibp.a2mac1.com/costing(costing:projects/details/9760/process/12085300)","Injection molding")</f>
        <v>Injection molding</v>
      </c>
      <c r="F5896" t="s">
        <v>6313</v>
      </c>
    </row>
    <row r="5897" spans="1:6" x14ac:dyDescent="0.15">
      <c r="A5897">
        <v>8754937</v>
      </c>
      <c r="B5897">
        <v>12085300</v>
      </c>
      <c r="C5897" t="s">
        <v>22</v>
      </c>
      <c r="D5897" t="s">
        <v>114</v>
      </c>
      <c r="E5897" s="4" t="str">
        <f>HYPERLINK("https://ibp.a2mac1.com/costing(costing:projects/details/9760/material/8754937)","ABS")</f>
        <v>ABS</v>
      </c>
      <c r="F5897" t="s">
        <v>6314</v>
      </c>
    </row>
    <row r="5898" spans="1:6" x14ac:dyDescent="0.15">
      <c r="A5898">
        <v>12212396</v>
      </c>
      <c r="B5898">
        <v>12085300</v>
      </c>
      <c r="C5898" t="s">
        <v>163</v>
      </c>
      <c r="D5898" t="s">
        <v>114</v>
      </c>
      <c r="E5898" s="4" t="str">
        <f>HYPERLINK("https://ibp.a2mac1.com/costing(costing:projects/details/9760/equipment/12212396)","Equipment (Injection Molding)")</f>
        <v>Equipment (Injection Molding)</v>
      </c>
      <c r="F5898" t="s">
        <v>6314</v>
      </c>
    </row>
    <row r="5899" spans="1:6" x14ac:dyDescent="0.15">
      <c r="A5899">
        <v>8415668</v>
      </c>
      <c r="B5899">
        <v>8415586</v>
      </c>
      <c r="C5899" t="s">
        <v>8</v>
      </c>
      <c r="D5899" t="s">
        <v>8</v>
      </c>
      <c r="E5899" s="4" t="str">
        <f>HYPERLINK("https://ibp.a2mac1.com/costing(costing:projects/details/9760/assembly/8415668)","Power System")</f>
        <v>Power System</v>
      </c>
      <c r="F5899" t="s">
        <v>6279</v>
      </c>
    </row>
    <row r="5900" spans="1:6" x14ac:dyDescent="0.15">
      <c r="A5900">
        <v>8415964</v>
      </c>
      <c r="B5900">
        <v>8415668</v>
      </c>
      <c r="C5900" t="s">
        <v>8</v>
      </c>
      <c r="D5900" t="s">
        <v>8</v>
      </c>
      <c r="E5900" s="4" t="str">
        <f>HYPERLINK("https://ibp.a2mac1.com/costing(costing:projects/details/9760/assembly/8415964)","Lighting Band")</f>
        <v>Lighting Band</v>
      </c>
      <c r="F5900" t="s">
        <v>6317</v>
      </c>
    </row>
    <row r="5901" spans="1:6" x14ac:dyDescent="0.15">
      <c r="A5901">
        <v>8416297</v>
      </c>
      <c r="B5901">
        <v>8415964</v>
      </c>
      <c r="C5901" t="s">
        <v>10</v>
      </c>
      <c r="D5901" t="s">
        <v>8</v>
      </c>
      <c r="E5901" s="4" t="str">
        <f>HYPERLINK("https://ibp.a2mac1.com/costing(costing:projects/details/9760/part/8416297)","Light")</f>
        <v>Light</v>
      </c>
      <c r="F5901" t="s">
        <v>6318</v>
      </c>
    </row>
    <row r="5902" spans="1:6" x14ac:dyDescent="0.15">
      <c r="A5902">
        <v>8416298</v>
      </c>
      <c r="B5902">
        <v>8415964</v>
      </c>
      <c r="C5902" t="s">
        <v>10</v>
      </c>
      <c r="D5902" t="s">
        <v>8</v>
      </c>
      <c r="E5902" s="4" t="str">
        <f>HYPERLINK("https://ibp.a2mac1.com/costing(costing:projects/details/9760/part/8416298)","Light Diffuser")</f>
        <v>Light Diffuser</v>
      </c>
      <c r="F5902" t="s">
        <v>6318</v>
      </c>
    </row>
    <row r="5903" spans="1:6" x14ac:dyDescent="0.15">
      <c r="A5903">
        <v>12085601</v>
      </c>
      <c r="B5903">
        <v>8416298</v>
      </c>
      <c r="C5903" t="s">
        <v>114</v>
      </c>
      <c r="D5903" t="s">
        <v>10</v>
      </c>
      <c r="E5903" s="4" t="str">
        <f>HYPERLINK("https://ibp.a2mac1.com/costing(costing:projects/details/9760/process/12085601)","Injection molding")</f>
        <v>Injection molding</v>
      </c>
      <c r="F5903" t="s">
        <v>6320</v>
      </c>
    </row>
    <row r="5904" spans="1:6" x14ac:dyDescent="0.15">
      <c r="A5904">
        <v>8755330</v>
      </c>
      <c r="B5904">
        <v>12085601</v>
      </c>
      <c r="C5904" t="s">
        <v>22</v>
      </c>
      <c r="D5904" t="s">
        <v>114</v>
      </c>
      <c r="E5904" s="4" t="str">
        <f>HYPERLINK("https://ibp.a2mac1.com/costing(costing:projects/details/9760/material/8755330)","PMMA")</f>
        <v>PMMA</v>
      </c>
      <c r="F5904" t="s">
        <v>6321</v>
      </c>
    </row>
    <row r="5905" spans="1:6" x14ac:dyDescent="0.15">
      <c r="A5905">
        <v>12212849</v>
      </c>
      <c r="B5905">
        <v>12085601</v>
      </c>
      <c r="C5905" t="s">
        <v>163</v>
      </c>
      <c r="D5905" t="s">
        <v>114</v>
      </c>
      <c r="E5905" s="4" t="str">
        <f>HYPERLINK("https://ibp.a2mac1.com/costing(costing:projects/details/9760/equipment/12212849)","No.10 - Injection Press - 500T - 98kW - 900x900 - Max Volume 1936cm3 ")</f>
        <v xml:space="preserve">No.10 - Injection Press - 500T - 98kW - 900x900 - Max Volume 1936cm3 </v>
      </c>
      <c r="F5905" t="s">
        <v>6321</v>
      </c>
    </row>
    <row r="5906" spans="1:6" x14ac:dyDescent="0.15">
      <c r="A5906">
        <v>12085602</v>
      </c>
      <c r="B5906">
        <v>8416298</v>
      </c>
      <c r="C5906" t="s">
        <v>114</v>
      </c>
      <c r="D5906" t="s">
        <v>10</v>
      </c>
      <c r="E5906" s="4" t="str">
        <f>HYPERLINK("https://ibp.a2mac1.com/costing(costing:projects/details/9760/process/12085602)","Handling/Visual Inspection/Packaging")</f>
        <v>Handling/Visual Inspection/Packaging</v>
      </c>
      <c r="F5906" t="s">
        <v>6320</v>
      </c>
    </row>
    <row r="5907" spans="1:6" x14ac:dyDescent="0.15">
      <c r="A5907">
        <v>12212850</v>
      </c>
      <c r="B5907">
        <v>12085602</v>
      </c>
      <c r="C5907" t="s">
        <v>163</v>
      </c>
      <c r="D5907" t="s">
        <v>114</v>
      </c>
      <c r="E5907" s="4" t="str">
        <f>HYPERLINK("https://ibp.a2mac1.com/costing(costing:projects/details/9760/equipment/12212850)","Packaging")</f>
        <v>Packaging</v>
      </c>
      <c r="F5907" t="s">
        <v>6322</v>
      </c>
    </row>
    <row r="5908" spans="1:6" x14ac:dyDescent="0.15">
      <c r="A5908">
        <v>8416299</v>
      </c>
      <c r="B5908">
        <v>8415964</v>
      </c>
      <c r="C5908" t="s">
        <v>10</v>
      </c>
      <c r="D5908" t="s">
        <v>8</v>
      </c>
      <c r="E5908" s="4" t="str">
        <f>HYPERLINK("https://ibp.a2mac1.com/costing(costing:projects/details/9760/part/8416299)","Mood Light Diffuser Support")</f>
        <v>Mood Light Diffuser Support</v>
      </c>
      <c r="F5908" t="s">
        <v>6318</v>
      </c>
    </row>
    <row r="5909" spans="1:6" x14ac:dyDescent="0.15">
      <c r="A5909">
        <v>12085603</v>
      </c>
      <c r="B5909">
        <v>8416299</v>
      </c>
      <c r="C5909" t="s">
        <v>114</v>
      </c>
      <c r="D5909" t="s">
        <v>10</v>
      </c>
      <c r="E5909" s="4" t="str">
        <f>HYPERLINK("https://ibp.a2mac1.com/costing(costing:projects/details/9760/process/12085603)","Injection molding")</f>
        <v>Injection molding</v>
      </c>
      <c r="F5909" t="s">
        <v>6324</v>
      </c>
    </row>
    <row r="5910" spans="1:6" x14ac:dyDescent="0.15">
      <c r="A5910">
        <v>8755331</v>
      </c>
      <c r="B5910">
        <v>12085603</v>
      </c>
      <c r="C5910" t="s">
        <v>22</v>
      </c>
      <c r="D5910" t="s">
        <v>114</v>
      </c>
      <c r="E5910" s="4" t="str">
        <f>HYPERLINK("https://ibp.a2mac1.com/costing(costing:projects/details/9760/material/8755331)","PP-TD20")</f>
        <v>PP-TD20</v>
      </c>
      <c r="F5910" t="s">
        <v>6325</v>
      </c>
    </row>
    <row r="5911" spans="1:6" x14ac:dyDescent="0.15">
      <c r="A5911">
        <v>12212851</v>
      </c>
      <c r="B5911">
        <v>12085603</v>
      </c>
      <c r="C5911" t="s">
        <v>163</v>
      </c>
      <c r="D5911" t="s">
        <v>114</v>
      </c>
      <c r="E5911" s="4" t="str">
        <f>HYPERLINK("https://ibp.a2mac1.com/costing(costing:projects/details/9760/equipment/12212851)","No.10 - Injection Press - 500T - 98kW - 900x900 - Max Volume 1936cm3 ")</f>
        <v xml:space="preserve">No.10 - Injection Press - 500T - 98kW - 900x900 - Max Volume 1936cm3 </v>
      </c>
      <c r="F5911" t="s">
        <v>6325</v>
      </c>
    </row>
    <row r="5912" spans="1:6" x14ac:dyDescent="0.15">
      <c r="A5912">
        <v>12085604</v>
      </c>
      <c r="B5912">
        <v>8416299</v>
      </c>
      <c r="C5912" t="s">
        <v>114</v>
      </c>
      <c r="D5912" t="s">
        <v>10</v>
      </c>
      <c r="E5912" s="4" t="str">
        <f>HYPERLINK("https://ibp.a2mac1.com/costing(costing:projects/details/9760/process/12085604)","Handling/Visual Inspection/Packaging")</f>
        <v>Handling/Visual Inspection/Packaging</v>
      </c>
      <c r="F5912" t="s">
        <v>6324</v>
      </c>
    </row>
    <row r="5913" spans="1:6" x14ac:dyDescent="0.15">
      <c r="A5913">
        <v>12212852</v>
      </c>
      <c r="B5913">
        <v>12085604</v>
      </c>
      <c r="C5913" t="s">
        <v>163</v>
      </c>
      <c r="D5913" t="s">
        <v>114</v>
      </c>
      <c r="E5913" s="4" t="str">
        <f>HYPERLINK("https://ibp.a2mac1.com/costing(costing:projects/details/9760/equipment/12212852)","Packaging")</f>
        <v>Packaging</v>
      </c>
      <c r="F5913" t="s">
        <v>6326</v>
      </c>
    </row>
    <row r="5914" spans="1:6" x14ac:dyDescent="0.15">
      <c r="A5914">
        <v>8415962</v>
      </c>
      <c r="B5914">
        <v>8415668</v>
      </c>
      <c r="C5914" t="s">
        <v>10</v>
      </c>
      <c r="D5914" t="s">
        <v>8</v>
      </c>
      <c r="E5914" s="4" t="str">
        <f>HYPERLINK("https://ibp.a2mac1.com/costing(costing:projects/details/9760/part/8415962)","Harness")</f>
        <v>Harness</v>
      </c>
      <c r="F5914" t="s">
        <v>6317</v>
      </c>
    </row>
    <row r="5915" spans="1:6" x14ac:dyDescent="0.15">
      <c r="A5915">
        <v>8415963</v>
      </c>
      <c r="B5915">
        <v>8415668</v>
      </c>
      <c r="C5915" t="s">
        <v>10</v>
      </c>
      <c r="D5915" t="s">
        <v>8</v>
      </c>
      <c r="E5915" s="4" t="str">
        <f>HYPERLINK("https://ibp.a2mac1.com/costing(costing:projects/details/9760/part/8415963)","Harness Grommet")</f>
        <v>Harness Grommet</v>
      </c>
      <c r="F5915" t="s">
        <v>6317</v>
      </c>
    </row>
    <row r="5916" spans="1:6" x14ac:dyDescent="0.15">
      <c r="A5916">
        <v>8754433</v>
      </c>
      <c r="B5916">
        <v>8415668</v>
      </c>
      <c r="C5916" t="s">
        <v>311</v>
      </c>
      <c r="D5916" t="s">
        <v>8</v>
      </c>
      <c r="E5916" s="4" t="str">
        <f>HYPERLINK("https://ibp.a2mac1.com/costing(costing:projects/details/9760/component/8754433)","Tube/cluster support &gt; Tube/cluster strap support in hole")</f>
        <v>Tube/cluster support &gt; Tube/cluster strap support in hole</v>
      </c>
      <c r="F5916" t="s">
        <v>6317</v>
      </c>
    </row>
    <row r="5917" spans="1:6" x14ac:dyDescent="0.15">
      <c r="A5917">
        <v>8415669</v>
      </c>
      <c r="B5917">
        <v>8415586</v>
      </c>
      <c r="C5917" t="s">
        <v>8</v>
      </c>
      <c r="D5917" t="s">
        <v>8</v>
      </c>
      <c r="E5917" s="4" t="str">
        <f>HYPERLINK("https://ibp.a2mac1.com/costing(costing:projects/details/9760/assembly/8415669)","Sealing System")</f>
        <v>Sealing System</v>
      </c>
      <c r="F5917" t="s">
        <v>6279</v>
      </c>
    </row>
    <row r="5918" spans="1:6" x14ac:dyDescent="0.15">
      <c r="A5918">
        <v>8415968</v>
      </c>
      <c r="B5918">
        <v>8415669</v>
      </c>
      <c r="C5918" t="s">
        <v>8</v>
      </c>
      <c r="D5918" t="s">
        <v>8</v>
      </c>
      <c r="E5918" s="4" t="str">
        <f>HYPERLINK("https://ibp.a2mac1.com/costing(costing:projects/details/9760/assembly/8415968)","Door Weather Stripping")</f>
        <v>Door Weather Stripping</v>
      </c>
      <c r="F5918" t="s">
        <v>6332</v>
      </c>
    </row>
    <row r="5919" spans="1:6" x14ac:dyDescent="0.15">
      <c r="A5919">
        <v>8416300</v>
      </c>
      <c r="B5919">
        <v>8415968</v>
      </c>
      <c r="C5919" t="s">
        <v>10</v>
      </c>
      <c r="D5919" t="s">
        <v>8</v>
      </c>
      <c r="E5919" s="4" t="str">
        <f>HYPERLINK("https://ibp.a2mac1.com/costing(costing:projects/details/9760/part/8416300)","On Body")</f>
        <v>On Body</v>
      </c>
      <c r="F5919" t="s">
        <v>6333</v>
      </c>
    </row>
    <row r="5920" spans="1:6" x14ac:dyDescent="0.15">
      <c r="A5920">
        <v>12085605</v>
      </c>
      <c r="B5920">
        <v>8416300</v>
      </c>
      <c r="C5920" t="s">
        <v>114</v>
      </c>
      <c r="D5920" t="s">
        <v>10</v>
      </c>
      <c r="E5920" s="4" t="str">
        <f>HYPERLINK("https://ibp.a2mac1.com/costing(costing:projects/details/9760/process/12085605)","Seal Extrusion (Multi Layer)")</f>
        <v>Seal Extrusion (Multi Layer)</v>
      </c>
      <c r="F5920" t="s">
        <v>6334</v>
      </c>
    </row>
    <row r="5921" spans="1:6" x14ac:dyDescent="0.15">
      <c r="A5921">
        <v>8755332</v>
      </c>
      <c r="B5921">
        <v>12085605</v>
      </c>
      <c r="C5921" t="s">
        <v>22</v>
      </c>
      <c r="D5921" t="s">
        <v>114</v>
      </c>
      <c r="E5921" s="4" t="str">
        <f>HYPERLINK("https://ibp.a2mac1.com/costing(costing:projects/details/9760/material/8755332)","EPDM")</f>
        <v>EPDM</v>
      </c>
      <c r="F5921" t="s">
        <v>6335</v>
      </c>
    </row>
    <row r="5922" spans="1:6" x14ac:dyDescent="0.15">
      <c r="A5922">
        <v>8755333</v>
      </c>
      <c r="B5922">
        <v>12085605</v>
      </c>
      <c r="C5922" t="s">
        <v>22</v>
      </c>
      <c r="D5922" t="s">
        <v>114</v>
      </c>
      <c r="E5922" s="4" t="str">
        <f>HYPERLINK("https://ibp.a2mac1.com/costing(costing:projects/details/9760/material/8755333)","Standard Structural Steel sheet")</f>
        <v>Standard Structural Steel sheet</v>
      </c>
      <c r="F5922" t="s">
        <v>6335</v>
      </c>
    </row>
    <row r="5923" spans="1:6" x14ac:dyDescent="0.15">
      <c r="A5923">
        <v>12212853</v>
      </c>
      <c r="B5923">
        <v>12085605</v>
      </c>
      <c r="C5923" t="s">
        <v>163</v>
      </c>
      <c r="D5923" t="s">
        <v>114</v>
      </c>
      <c r="E5923" s="4" t="str">
        <f>HYPERLINK("https://ibp.a2mac1.com/costing(costing:projects/details/9760/equipment/12212853)","Rubber Extrusion machine")</f>
        <v>Rubber Extrusion machine</v>
      </c>
      <c r="F5923" t="s">
        <v>6335</v>
      </c>
    </row>
    <row r="5924" spans="1:6" x14ac:dyDescent="0.15">
      <c r="A5924">
        <v>12085606</v>
      </c>
      <c r="B5924">
        <v>8416300</v>
      </c>
      <c r="C5924" t="s">
        <v>114</v>
      </c>
      <c r="D5924" t="s">
        <v>10</v>
      </c>
      <c r="E5924" s="4" t="str">
        <f>HYPERLINK("https://ibp.a2mac1.com/costing(costing:projects/details/9760/process/12085606)","End Glueing/Vulcanizing; Check and Pack")</f>
        <v>End Glueing/Vulcanizing; Check and Pack</v>
      </c>
      <c r="F5924" t="s">
        <v>6334</v>
      </c>
    </row>
    <row r="5925" spans="1:6" x14ac:dyDescent="0.15">
      <c r="A5925">
        <v>12212854</v>
      </c>
      <c r="B5925">
        <v>12085606</v>
      </c>
      <c r="C5925" t="s">
        <v>163</v>
      </c>
      <c r="D5925" t="s">
        <v>114</v>
      </c>
      <c r="E5925" s="4" t="str">
        <f>HYPERLINK("https://ibp.a2mac1.com/costing(costing:projects/details/9760/equipment/12212854)","Seal welding/joining station, manual")</f>
        <v>Seal welding/joining station, manual</v>
      </c>
      <c r="F5925" t="s">
        <v>6336</v>
      </c>
    </row>
    <row r="5926" spans="1:6" x14ac:dyDescent="0.15">
      <c r="A5926">
        <v>8416301</v>
      </c>
      <c r="B5926">
        <v>8415968</v>
      </c>
      <c r="C5926" t="s">
        <v>10</v>
      </c>
      <c r="D5926" t="s">
        <v>8</v>
      </c>
      <c r="E5926" s="4" t="str">
        <f>HYPERLINK("https://ibp.a2mac1.com/costing(costing:projects/details/9760/part/8416301)","On Door")</f>
        <v>On Door</v>
      </c>
      <c r="F5926" t="s">
        <v>6333</v>
      </c>
    </row>
    <row r="5927" spans="1:6" x14ac:dyDescent="0.15">
      <c r="A5927">
        <v>12085607</v>
      </c>
      <c r="B5927">
        <v>8416301</v>
      </c>
      <c r="C5927" t="s">
        <v>114</v>
      </c>
      <c r="D5927" t="s">
        <v>10</v>
      </c>
      <c r="E5927" s="4" t="str">
        <f>HYPERLINK("https://ibp.a2mac1.com/costing(costing:projects/details/9760/process/12085607)","Seal Extrusion (Multi Layer)")</f>
        <v>Seal Extrusion (Multi Layer)</v>
      </c>
      <c r="F5927" t="s">
        <v>6339</v>
      </c>
    </row>
    <row r="5928" spans="1:6" x14ac:dyDescent="0.15">
      <c r="A5928">
        <v>8755334</v>
      </c>
      <c r="B5928">
        <v>12085607</v>
      </c>
      <c r="C5928" t="s">
        <v>22</v>
      </c>
      <c r="D5928" t="s">
        <v>114</v>
      </c>
      <c r="E5928" s="4" t="str">
        <f>HYPERLINK("https://ibp.a2mac1.com/costing(costing:projects/details/9760/material/8755334)","EPDM")</f>
        <v>EPDM</v>
      </c>
      <c r="F5928" t="s">
        <v>6340</v>
      </c>
    </row>
    <row r="5929" spans="1:6" x14ac:dyDescent="0.15">
      <c r="A5929">
        <v>12212855</v>
      </c>
      <c r="B5929">
        <v>12085607</v>
      </c>
      <c r="C5929" t="s">
        <v>163</v>
      </c>
      <c r="D5929" t="s">
        <v>114</v>
      </c>
      <c r="E5929" s="4" t="str">
        <f>HYPERLINK("https://ibp.a2mac1.com/costing(costing:projects/details/9760/equipment/12212855)","Rubber Extrusion machine")</f>
        <v>Rubber Extrusion machine</v>
      </c>
      <c r="F5929" t="s">
        <v>6340</v>
      </c>
    </row>
    <row r="5930" spans="1:6" x14ac:dyDescent="0.15">
      <c r="A5930">
        <v>8416302</v>
      </c>
      <c r="B5930">
        <v>8415968</v>
      </c>
      <c r="C5930" t="s">
        <v>10</v>
      </c>
      <c r="D5930" t="s">
        <v>8</v>
      </c>
      <c r="E5930" s="4" t="str">
        <f>HYPERLINK("https://ibp.a2mac1.com/costing(costing:projects/details/9760/part/8416302)","On Door Front")</f>
        <v>On Door Front</v>
      </c>
      <c r="F5930" t="s">
        <v>6333</v>
      </c>
    </row>
    <row r="5931" spans="1:6" x14ac:dyDescent="0.15">
      <c r="A5931">
        <v>12085608</v>
      </c>
      <c r="B5931">
        <v>8416302</v>
      </c>
      <c r="C5931" t="s">
        <v>114</v>
      </c>
      <c r="D5931" t="s">
        <v>10</v>
      </c>
      <c r="E5931" s="4" t="str">
        <f>HYPERLINK("https://ibp.a2mac1.com/costing(costing:projects/details/9760/process/12085608)","Seal Extrusion (Multi Layer)")</f>
        <v>Seal Extrusion (Multi Layer)</v>
      </c>
      <c r="F5931" t="s">
        <v>6343</v>
      </c>
    </row>
    <row r="5932" spans="1:6" x14ac:dyDescent="0.15">
      <c r="A5932">
        <v>8755335</v>
      </c>
      <c r="B5932">
        <v>12085608</v>
      </c>
      <c r="C5932" t="s">
        <v>22</v>
      </c>
      <c r="D5932" t="s">
        <v>114</v>
      </c>
      <c r="E5932" s="4" t="str">
        <f>HYPERLINK("https://ibp.a2mac1.com/costing(costing:projects/details/9760/material/8755335)","EPDM")</f>
        <v>EPDM</v>
      </c>
      <c r="F5932" t="s">
        <v>6344</v>
      </c>
    </row>
    <row r="5933" spans="1:6" x14ac:dyDescent="0.15">
      <c r="A5933">
        <v>8755336</v>
      </c>
      <c r="B5933">
        <v>12085608</v>
      </c>
      <c r="C5933" t="s">
        <v>22</v>
      </c>
      <c r="D5933" t="s">
        <v>114</v>
      </c>
      <c r="E5933" s="4" t="str">
        <f>HYPERLINK("https://ibp.a2mac1.com/costing(costing:projects/details/9760/material/8755336)","Aluminum for extrusion (default, e.g. EN-AW6016)")</f>
        <v>Aluminum for extrusion (default, e.g. EN-AW6016)</v>
      </c>
      <c r="F5933" t="s">
        <v>6344</v>
      </c>
    </row>
    <row r="5934" spans="1:6" x14ac:dyDescent="0.15">
      <c r="A5934">
        <v>12212856</v>
      </c>
      <c r="B5934">
        <v>12085608</v>
      </c>
      <c r="C5934" t="s">
        <v>163</v>
      </c>
      <c r="D5934" t="s">
        <v>114</v>
      </c>
      <c r="E5934" s="4" t="str">
        <f>HYPERLINK("https://ibp.a2mac1.com/costing(costing:projects/details/9760/equipment/12212856)","Rubber Extrusion machine")</f>
        <v>Rubber Extrusion machine</v>
      </c>
      <c r="F5934" t="s">
        <v>6344</v>
      </c>
    </row>
    <row r="5935" spans="1:6" x14ac:dyDescent="0.15">
      <c r="A5935">
        <v>8754567</v>
      </c>
      <c r="B5935">
        <v>8415968</v>
      </c>
      <c r="C5935" t="s">
        <v>311</v>
      </c>
      <c r="D5935" t="s">
        <v>8</v>
      </c>
      <c r="E5935" s="4" t="str">
        <f>HYPERLINK("https://ibp.a2mac1.com/costing(costing:projects/details/9760/component/8754567)","Panel holder &gt; Clips in rectangular hole")</f>
        <v>Panel holder &gt; Clips in rectangular hole</v>
      </c>
      <c r="F5935" t="s">
        <v>6333</v>
      </c>
    </row>
    <row r="5936" spans="1:6" x14ac:dyDescent="0.15">
      <c r="A5936">
        <v>8415965</v>
      </c>
      <c r="B5936">
        <v>8415669</v>
      </c>
      <c r="C5936" t="s">
        <v>10</v>
      </c>
      <c r="D5936" t="s">
        <v>8</v>
      </c>
      <c r="E5936" s="4" t="str">
        <f>HYPERLINK("https://ibp.a2mac1.com/costing(costing:projects/details/9760/part/8415965)","Interior Weatherstrip")</f>
        <v>Interior Weatherstrip</v>
      </c>
      <c r="F5936" t="s">
        <v>6332</v>
      </c>
    </row>
    <row r="5937" spans="1:6" x14ac:dyDescent="0.15">
      <c r="A5937">
        <v>12085301</v>
      </c>
      <c r="B5937">
        <v>8415965</v>
      </c>
      <c r="C5937" t="s">
        <v>114</v>
      </c>
      <c r="D5937" t="s">
        <v>10</v>
      </c>
      <c r="E5937" s="4" t="str">
        <f>HYPERLINK("https://ibp.a2mac1.com/costing(costing:projects/details/9760/process/12085301)","Seal Extrusion (Multi Layer)")</f>
        <v>Seal Extrusion (Multi Layer)</v>
      </c>
      <c r="F5937" t="s">
        <v>6348</v>
      </c>
    </row>
    <row r="5938" spans="1:6" x14ac:dyDescent="0.15">
      <c r="A5938">
        <v>8754938</v>
      </c>
      <c r="B5938">
        <v>12085301</v>
      </c>
      <c r="C5938" t="s">
        <v>22</v>
      </c>
      <c r="D5938" t="s">
        <v>114</v>
      </c>
      <c r="E5938" s="4" t="str">
        <f>HYPERLINK("https://ibp.a2mac1.com/costing(costing:projects/details/9760/material/8754938)","EPDM")</f>
        <v>EPDM</v>
      </c>
      <c r="F5938" t="s">
        <v>6349</v>
      </c>
    </row>
    <row r="5939" spans="1:6" x14ac:dyDescent="0.15">
      <c r="A5939">
        <v>8754939</v>
      </c>
      <c r="B5939">
        <v>12085301</v>
      </c>
      <c r="C5939" t="s">
        <v>22</v>
      </c>
      <c r="D5939" t="s">
        <v>114</v>
      </c>
      <c r="E5939" s="4" t="str">
        <f>HYPERLINK("https://ibp.a2mac1.com/costing(costing:projects/details/9760/material/8754939)","Aluminum for extrusion (default, e.g. EN-AW6016)")</f>
        <v>Aluminum for extrusion (default, e.g. EN-AW6016)</v>
      </c>
      <c r="F5939" t="s">
        <v>6349</v>
      </c>
    </row>
    <row r="5940" spans="1:6" x14ac:dyDescent="0.15">
      <c r="A5940">
        <v>12212397</v>
      </c>
      <c r="B5940">
        <v>12085301</v>
      </c>
      <c r="C5940" t="s">
        <v>163</v>
      </c>
      <c r="D5940" t="s">
        <v>114</v>
      </c>
      <c r="E5940" s="4" t="str">
        <f>HYPERLINK("https://ibp.a2mac1.com/costing(costing:projects/details/9760/equipment/12212397)","Rubber Extrusion machine")</f>
        <v>Rubber Extrusion machine</v>
      </c>
      <c r="F5940" t="s">
        <v>6349</v>
      </c>
    </row>
    <row r="5941" spans="1:6" x14ac:dyDescent="0.15">
      <c r="A5941">
        <v>8415966</v>
      </c>
      <c r="B5941">
        <v>8415669</v>
      </c>
      <c r="C5941" t="s">
        <v>10</v>
      </c>
      <c r="D5941" t="s">
        <v>8</v>
      </c>
      <c r="E5941" s="4" t="str">
        <f>HYPERLINK("https://ibp.a2mac1.com/costing(costing:projects/details/9760/part/8415966)","Exterior Weatherstrip")</f>
        <v>Exterior Weatherstrip</v>
      </c>
      <c r="F5941" t="s">
        <v>6332</v>
      </c>
    </row>
    <row r="5942" spans="1:6" x14ac:dyDescent="0.15">
      <c r="A5942">
        <v>12085302</v>
      </c>
      <c r="B5942">
        <v>8415966</v>
      </c>
      <c r="C5942" t="s">
        <v>114</v>
      </c>
      <c r="D5942" t="s">
        <v>10</v>
      </c>
      <c r="E5942" s="4" t="str">
        <f>HYPERLINK("https://ibp.a2mac1.com/costing(costing:projects/details/9760/process/12085302)","Seal Extrusion (Multi Layer)")</f>
        <v>Seal Extrusion (Multi Layer)</v>
      </c>
      <c r="F5942" t="s">
        <v>6351</v>
      </c>
    </row>
    <row r="5943" spans="1:6" x14ac:dyDescent="0.15">
      <c r="A5943">
        <v>8754940</v>
      </c>
      <c r="B5943">
        <v>12085302</v>
      </c>
      <c r="C5943" t="s">
        <v>22</v>
      </c>
      <c r="D5943" t="s">
        <v>114</v>
      </c>
      <c r="E5943" s="4" t="str">
        <f>HYPERLINK("https://ibp.a2mac1.com/costing(costing:projects/details/9760/material/8754940)","EPDM")</f>
        <v>EPDM</v>
      </c>
      <c r="F5943" t="s">
        <v>6352</v>
      </c>
    </row>
    <row r="5944" spans="1:6" x14ac:dyDescent="0.15">
      <c r="A5944">
        <v>8754941</v>
      </c>
      <c r="B5944">
        <v>12085302</v>
      </c>
      <c r="C5944" t="s">
        <v>22</v>
      </c>
      <c r="D5944" t="s">
        <v>114</v>
      </c>
      <c r="E5944" s="4" t="str">
        <f>HYPERLINK("https://ibp.a2mac1.com/costing(costing:projects/details/9760/material/8754941)","Aluminum for extrusion (default, e.g. EN-AW6016)")</f>
        <v>Aluminum for extrusion (default, e.g. EN-AW6016)</v>
      </c>
      <c r="F5944" t="s">
        <v>6352</v>
      </c>
    </row>
    <row r="5945" spans="1:6" x14ac:dyDescent="0.15">
      <c r="A5945">
        <v>12212398</v>
      </c>
      <c r="B5945">
        <v>12085302</v>
      </c>
      <c r="C5945" t="s">
        <v>163</v>
      </c>
      <c r="D5945" t="s">
        <v>114</v>
      </c>
      <c r="E5945" s="4" t="str">
        <f>HYPERLINK("https://ibp.a2mac1.com/costing(costing:projects/details/9760/equipment/12212398)","Rubber Extrusion machine")</f>
        <v>Rubber Extrusion machine</v>
      </c>
      <c r="F5945" t="s">
        <v>6352</v>
      </c>
    </row>
    <row r="5946" spans="1:6" x14ac:dyDescent="0.15">
      <c r="A5946">
        <v>8415967</v>
      </c>
      <c r="B5946">
        <v>8415669</v>
      </c>
      <c r="C5946" t="s">
        <v>10</v>
      </c>
      <c r="D5946" t="s">
        <v>8</v>
      </c>
      <c r="E5946" s="4" t="str">
        <f>HYPERLINK("https://ibp.a2mac1.com/costing(costing:projects/details/9760/part/8415967)","2nd Exterior Weatherstrip")</f>
        <v>2nd Exterior Weatherstrip</v>
      </c>
      <c r="F5946" t="s">
        <v>6332</v>
      </c>
    </row>
    <row r="5947" spans="1:6" x14ac:dyDescent="0.15">
      <c r="A5947">
        <v>12085303</v>
      </c>
      <c r="B5947">
        <v>8415967</v>
      </c>
      <c r="C5947" t="s">
        <v>114</v>
      </c>
      <c r="D5947" t="s">
        <v>10</v>
      </c>
      <c r="E5947" s="4" t="str">
        <f>HYPERLINK("https://ibp.a2mac1.com/costing(costing:projects/details/9760/process/12085303)","Aluminum extrusion")</f>
        <v>Aluminum extrusion</v>
      </c>
      <c r="F5947" t="s">
        <v>6354</v>
      </c>
    </row>
    <row r="5948" spans="1:6" x14ac:dyDescent="0.15">
      <c r="A5948">
        <v>8754942</v>
      </c>
      <c r="B5948">
        <v>12085303</v>
      </c>
      <c r="C5948" t="s">
        <v>22</v>
      </c>
      <c r="D5948" t="s">
        <v>114</v>
      </c>
      <c r="E5948" s="4" t="str">
        <f>HYPERLINK("https://ibp.a2mac1.com/costing(costing:projects/details/9760/material/8754942)","Aluminum for extrusion (default, e.g. EN-AW6016)")</f>
        <v>Aluminum for extrusion (default, e.g. EN-AW6016)</v>
      </c>
      <c r="F5948" t="s">
        <v>6355</v>
      </c>
    </row>
    <row r="5949" spans="1:6" x14ac:dyDescent="0.15">
      <c r="A5949">
        <v>12212399</v>
      </c>
      <c r="B5949">
        <v>12085303</v>
      </c>
      <c r="C5949" t="s">
        <v>163</v>
      </c>
      <c r="D5949" t="s">
        <v>114</v>
      </c>
      <c r="E5949" s="4" t="str">
        <f>HYPERLINK("https://ibp.a2mac1.com/costing(costing:projects/details/9760/equipment/12212399)","No.01 - Extrusion Press Line - 600T ")</f>
        <v xml:space="preserve">No.01 - Extrusion Press Line - 600T </v>
      </c>
      <c r="F5949" t="s">
        <v>6355</v>
      </c>
    </row>
    <row r="5950" spans="1:6" x14ac:dyDescent="0.15">
      <c r="A5950">
        <v>8415670</v>
      </c>
      <c r="B5950">
        <v>8415586</v>
      </c>
      <c r="C5950" t="s">
        <v>8</v>
      </c>
      <c r="D5950" t="s">
        <v>8</v>
      </c>
      <c r="E5950" s="4" t="str">
        <f>HYPERLINK("https://ibp.a2mac1.com/costing(costing:projects/details/9760/assembly/8415670)","Window System")</f>
        <v>Window System</v>
      </c>
      <c r="F5950" t="s">
        <v>6279</v>
      </c>
    </row>
    <row r="5951" spans="1:6" x14ac:dyDescent="0.15">
      <c r="A5951">
        <v>8415970</v>
      </c>
      <c r="B5951">
        <v>8415670</v>
      </c>
      <c r="C5951" t="s">
        <v>8</v>
      </c>
      <c r="D5951" t="s">
        <v>8</v>
      </c>
      <c r="E5951" s="4" t="str">
        <f>HYPERLINK("https://ibp.a2mac1.com/costing(costing:projects/details/9760/assembly/8415970)","Window Regulator Motor")</f>
        <v>Window Regulator Motor</v>
      </c>
      <c r="F5951" t="s">
        <v>6359</v>
      </c>
    </row>
    <row r="5952" spans="1:6" x14ac:dyDescent="0.15">
      <c r="A5952">
        <v>12085304</v>
      </c>
      <c r="B5952">
        <v>8415970</v>
      </c>
      <c r="C5952" t="s">
        <v>114</v>
      </c>
      <c r="D5952" t="s">
        <v>8</v>
      </c>
      <c r="E5952" s="4" t="str">
        <f>HYPERLINK("https://ibp.a2mac1.com/costing(costing:projects/details/9760/process/12085304)","Process")</f>
        <v>Process</v>
      </c>
      <c r="F5952" t="s">
        <v>6360</v>
      </c>
    </row>
    <row r="5953" spans="1:6" x14ac:dyDescent="0.15">
      <c r="A5953">
        <v>12212400</v>
      </c>
      <c r="B5953">
        <v>12085304</v>
      </c>
      <c r="C5953" t="s">
        <v>163</v>
      </c>
      <c r="D5953" t="s">
        <v>114</v>
      </c>
      <c r="E5953" s="4" t="str">
        <f>HYPERLINK("https://ibp.a2mac1.com/costing(costing:projects/details/9760/equipment/12212400)","Dummy Machine (PCBA+Final Assembly Line)")</f>
        <v>Dummy Machine (PCBA+Final Assembly Line)</v>
      </c>
      <c r="F5953" t="s">
        <v>6361</v>
      </c>
    </row>
    <row r="5954" spans="1:6" x14ac:dyDescent="0.15">
      <c r="A5954">
        <v>8754568</v>
      </c>
      <c r="B5954">
        <v>8415970</v>
      </c>
      <c r="C5954" t="s">
        <v>311</v>
      </c>
      <c r="D5954" t="s">
        <v>8</v>
      </c>
      <c r="E5954" s="4" t="str">
        <f>HYPERLINK("https://ibp.a2mac1.com/costing(costing:projects/details/9760/component/8754568)","Electronics")</f>
        <v>Electronics</v>
      </c>
      <c r="F5954" t="s">
        <v>6360</v>
      </c>
    </row>
    <row r="5955" spans="1:6" x14ac:dyDescent="0.15">
      <c r="A5955">
        <v>8754569</v>
      </c>
      <c r="B5955">
        <v>8415970</v>
      </c>
      <c r="C5955" t="s">
        <v>311</v>
      </c>
      <c r="D5955" t="s">
        <v>8</v>
      </c>
      <c r="E5955" s="4" t="str">
        <f>HYPERLINK("https://ibp.a2mac1.com/costing(costing:projects/details/9760/component/8754569)","Mechanics")</f>
        <v>Mechanics</v>
      </c>
      <c r="F5955" t="s">
        <v>6360</v>
      </c>
    </row>
    <row r="5956" spans="1:6" x14ac:dyDescent="0.15">
      <c r="A5956">
        <v>8415971</v>
      </c>
      <c r="B5956">
        <v>8415670</v>
      </c>
      <c r="C5956" t="s">
        <v>8</v>
      </c>
      <c r="D5956" t="s">
        <v>8</v>
      </c>
      <c r="E5956" s="4" t="str">
        <f>HYPERLINK("https://ibp.a2mac1.com/costing(costing:projects/details/9760/assembly/8415971)","Window")</f>
        <v>Window</v>
      </c>
      <c r="F5956" t="s">
        <v>6359</v>
      </c>
    </row>
    <row r="5957" spans="1:6" x14ac:dyDescent="0.15">
      <c r="A5957">
        <v>8416303</v>
      </c>
      <c r="B5957">
        <v>8415971</v>
      </c>
      <c r="C5957" t="s">
        <v>10</v>
      </c>
      <c r="D5957" t="s">
        <v>8</v>
      </c>
      <c r="E5957" s="4" t="str">
        <f>HYPERLINK("https://ibp.a2mac1.com/costing(costing:projects/details/9760/part/8416303)","Glas Panel")</f>
        <v>Glas Panel</v>
      </c>
      <c r="F5957" t="s">
        <v>6363</v>
      </c>
    </row>
    <row r="5958" spans="1:6" x14ac:dyDescent="0.15">
      <c r="A5958">
        <v>12085609</v>
      </c>
      <c r="B5958">
        <v>8416303</v>
      </c>
      <c r="C5958" t="s">
        <v>114</v>
      </c>
      <c r="D5958" t="s">
        <v>10</v>
      </c>
      <c r="E5958" s="4" t="str">
        <f>HYPERLINK("https://ibp.a2mac1.com/costing(costing:projects/details/9760/process/12085609)","Process")</f>
        <v>Process</v>
      </c>
      <c r="F5958" t="s">
        <v>6364</v>
      </c>
    </row>
    <row r="5959" spans="1:6" x14ac:dyDescent="0.15">
      <c r="A5959">
        <v>8755337</v>
      </c>
      <c r="B5959">
        <v>12085609</v>
      </c>
      <c r="C5959" t="s">
        <v>22</v>
      </c>
      <c r="D5959" t="s">
        <v>114</v>
      </c>
      <c r="E5959" s="4" t="str">
        <f>HYPERLINK("https://ibp.a2mac1.com/costing(costing:projects/details/9760/material/8755337)","Glass (default, float glass) adjusted (part)")</f>
        <v>Glass (default, float glass) adjusted (part)</v>
      </c>
      <c r="F5959" t="s">
        <v>6365</v>
      </c>
    </row>
    <row r="5960" spans="1:6" x14ac:dyDescent="0.15">
      <c r="A5960">
        <v>12212857</v>
      </c>
      <c r="B5960">
        <v>12085609</v>
      </c>
      <c r="C5960" t="s">
        <v>163</v>
      </c>
      <c r="D5960" t="s">
        <v>114</v>
      </c>
      <c r="E5960" s="4" t="str">
        <f>HYPERLINK("https://ibp.a2mac1.com/costing(costing:projects/details/9760/equipment/12212857)","DC machine - General")</f>
        <v>DC machine - General</v>
      </c>
      <c r="F5960" t="s">
        <v>6365</v>
      </c>
    </row>
    <row r="5961" spans="1:6" x14ac:dyDescent="0.15">
      <c r="A5961">
        <v>8415969</v>
      </c>
      <c r="B5961">
        <v>8415670</v>
      </c>
      <c r="C5961" t="s">
        <v>10</v>
      </c>
      <c r="D5961" t="s">
        <v>8</v>
      </c>
      <c r="E5961" s="4" t="str">
        <f>HYPERLINK("https://ibp.a2mac1.com/costing(costing:projects/details/9760/part/8415969)","Window Regulator")</f>
        <v>Window Regulator</v>
      </c>
      <c r="F5961" t="s">
        <v>6359</v>
      </c>
    </row>
    <row r="5962" spans="1:6" x14ac:dyDescent="0.15">
      <c r="A5962">
        <v>8754434</v>
      </c>
      <c r="B5962">
        <v>8415670</v>
      </c>
      <c r="C5962" t="s">
        <v>311</v>
      </c>
      <c r="D5962" t="s">
        <v>8</v>
      </c>
      <c r="E5962" s="4" t="str">
        <f>HYPERLINK("https://ibp.a2mac1.com/costing(costing:projects/details/9760/component/8754434)","Screw &gt; Torx socket head cap screw with flange")</f>
        <v>Screw &gt; Torx socket head cap screw with flange</v>
      </c>
      <c r="F5962" t="s">
        <v>6359</v>
      </c>
    </row>
    <row r="5963" spans="1:6" x14ac:dyDescent="0.15">
      <c r="A5963">
        <v>8754435</v>
      </c>
      <c r="B5963">
        <v>8415670</v>
      </c>
      <c r="C5963" t="s">
        <v>311</v>
      </c>
      <c r="D5963" t="s">
        <v>8</v>
      </c>
      <c r="E5963" s="4" t="str">
        <f>HYPERLINK("https://ibp.a2mac1.com/costing(costing:projects/details/9760/component/8754435)","Stud &gt; Threaded screwed up dowel")</f>
        <v>Stud &gt; Threaded screwed up dowel</v>
      </c>
      <c r="F5963" t="s">
        <v>6359</v>
      </c>
    </row>
    <row r="5964" spans="1:6" x14ac:dyDescent="0.15">
      <c r="A5964">
        <v>8754436</v>
      </c>
      <c r="B5964">
        <v>8415670</v>
      </c>
      <c r="C5964" t="s">
        <v>311</v>
      </c>
      <c r="D5964" t="s">
        <v>8</v>
      </c>
      <c r="E5964" s="4" t="str">
        <f>HYPERLINK("https://ibp.a2mac1.com/costing(costing:projects/details/9760/component/8754436)","Screw &gt; Hexagon screw with flange")</f>
        <v>Screw &gt; Hexagon screw with flange</v>
      </c>
      <c r="F5964" t="s">
        <v>6359</v>
      </c>
    </row>
    <row r="5965" spans="1:6" x14ac:dyDescent="0.15">
      <c r="A5965">
        <v>8415671</v>
      </c>
      <c r="B5965">
        <v>8415586</v>
      </c>
      <c r="C5965" t="s">
        <v>8</v>
      </c>
      <c r="D5965" t="s">
        <v>8</v>
      </c>
      <c r="E5965" s="4" t="str">
        <f>HYPERLINK("https://ibp.a2mac1.com/costing(costing:projects/details/9760/assembly/8415671)","Door Mechanism")</f>
        <v>Door Mechanism</v>
      </c>
      <c r="F5965" t="s">
        <v>6279</v>
      </c>
    </row>
    <row r="5966" spans="1:6" x14ac:dyDescent="0.15">
      <c r="A5966">
        <v>8415974</v>
      </c>
      <c r="B5966">
        <v>8415671</v>
      </c>
      <c r="C5966" t="s">
        <v>8</v>
      </c>
      <c r="D5966" t="s">
        <v>8</v>
      </c>
      <c r="E5966" s="4" t="str">
        <f>HYPERLINK("https://ibp.a2mac1.com/costing(costing:projects/details/9760/assembly/8415974)","Interior Side")</f>
        <v>Interior Side</v>
      </c>
      <c r="F5966" t="s">
        <v>6369</v>
      </c>
    </row>
    <row r="5967" spans="1:6" x14ac:dyDescent="0.15">
      <c r="A5967">
        <v>8416304</v>
      </c>
      <c r="B5967">
        <v>8415974</v>
      </c>
      <c r="C5967" t="s">
        <v>10</v>
      </c>
      <c r="D5967" t="s">
        <v>8</v>
      </c>
      <c r="E5967" s="4" t="str">
        <f>HYPERLINK("https://ibp.a2mac1.com/costing(costing:projects/details/9760/part/8416304)","Opening Control")</f>
        <v>Opening Control</v>
      </c>
      <c r="F5967" t="s">
        <v>6370</v>
      </c>
    </row>
    <row r="5968" spans="1:6" x14ac:dyDescent="0.15">
      <c r="A5968">
        <v>12085610</v>
      </c>
      <c r="B5968">
        <v>8416304</v>
      </c>
      <c r="C5968" t="s">
        <v>114</v>
      </c>
      <c r="D5968" t="s">
        <v>10</v>
      </c>
      <c r="E5968" s="4" t="str">
        <f>HYPERLINK("https://ibp.a2mac1.com/costing(costing:projects/details/9760/process/12085610)","Injection molding")</f>
        <v>Injection molding</v>
      </c>
      <c r="F5968" t="s">
        <v>6371</v>
      </c>
    </row>
    <row r="5969" spans="1:6" x14ac:dyDescent="0.15">
      <c r="A5969">
        <v>8755338</v>
      </c>
      <c r="B5969">
        <v>12085610</v>
      </c>
      <c r="C5969" t="s">
        <v>22</v>
      </c>
      <c r="D5969" t="s">
        <v>114</v>
      </c>
      <c r="E5969" s="4" t="str">
        <f>HYPERLINK("https://ibp.a2mac1.com/costing(costing:projects/details/9760/material/8755338)","ABS-PC")</f>
        <v>ABS-PC</v>
      </c>
      <c r="F5969" t="s">
        <v>6372</v>
      </c>
    </row>
    <row r="5970" spans="1:6" x14ac:dyDescent="0.15">
      <c r="A5970">
        <v>12212858</v>
      </c>
      <c r="B5970">
        <v>12085610</v>
      </c>
      <c r="C5970" t="s">
        <v>163</v>
      </c>
      <c r="D5970" t="s">
        <v>114</v>
      </c>
      <c r="E5970" s="4" t="str">
        <f>HYPERLINK("https://ibp.a2mac1.com/costing(costing:projects/details/9760/equipment/12212858)","Equipment (Injection Molding)")</f>
        <v>Equipment (Injection Molding)</v>
      </c>
      <c r="F5970" t="s">
        <v>6372</v>
      </c>
    </row>
    <row r="5971" spans="1:6" x14ac:dyDescent="0.15">
      <c r="A5971">
        <v>8416305</v>
      </c>
      <c r="B5971">
        <v>8415974</v>
      </c>
      <c r="C5971" t="s">
        <v>10</v>
      </c>
      <c r="D5971" t="s">
        <v>8</v>
      </c>
      <c r="E5971" s="4" t="str">
        <f>HYPERLINK("https://ibp.a2mac1.com/costing(costing:projects/details/9760/part/8416305)","Opening Control Support")</f>
        <v>Opening Control Support</v>
      </c>
      <c r="F5971" t="s">
        <v>6370</v>
      </c>
    </row>
    <row r="5972" spans="1:6" x14ac:dyDescent="0.15">
      <c r="A5972">
        <v>12085611</v>
      </c>
      <c r="B5972">
        <v>8416305</v>
      </c>
      <c r="C5972" t="s">
        <v>114</v>
      </c>
      <c r="D5972" t="s">
        <v>10</v>
      </c>
      <c r="E5972" s="4" t="str">
        <f>HYPERLINK("https://ibp.a2mac1.com/costing(costing:projects/details/9760/process/12085611)","Injection molding")</f>
        <v>Injection molding</v>
      </c>
      <c r="F5972" t="s">
        <v>6374</v>
      </c>
    </row>
    <row r="5973" spans="1:6" x14ac:dyDescent="0.15">
      <c r="A5973">
        <v>8755339</v>
      </c>
      <c r="B5973">
        <v>12085611</v>
      </c>
      <c r="C5973" t="s">
        <v>22</v>
      </c>
      <c r="D5973" t="s">
        <v>114</v>
      </c>
      <c r="E5973" s="4" t="str">
        <f>HYPERLINK("https://ibp.a2mac1.com/costing(costing:projects/details/9760/material/8755339)","PA6-GF30")</f>
        <v>PA6-GF30</v>
      </c>
      <c r="F5973" t="s">
        <v>6375</v>
      </c>
    </row>
    <row r="5974" spans="1:6" x14ac:dyDescent="0.15">
      <c r="A5974">
        <v>12212859</v>
      </c>
      <c r="B5974">
        <v>12085611</v>
      </c>
      <c r="C5974" t="s">
        <v>163</v>
      </c>
      <c r="D5974" t="s">
        <v>114</v>
      </c>
      <c r="E5974" s="4" t="str">
        <f>HYPERLINK("https://ibp.a2mac1.com/costing(costing:projects/details/9760/equipment/12212859)","No.01 - Injection Press - 40T - 18kW - 270x270 - Max Volume 128cm3 ")</f>
        <v xml:space="preserve">No.01 - Injection Press - 40T - 18kW - 270x270 - Max Volume 128cm3 </v>
      </c>
      <c r="F5974" t="s">
        <v>6375</v>
      </c>
    </row>
    <row r="5975" spans="1:6" x14ac:dyDescent="0.15">
      <c r="A5975">
        <v>8416306</v>
      </c>
      <c r="B5975">
        <v>8415974</v>
      </c>
      <c r="C5975" t="s">
        <v>10</v>
      </c>
      <c r="D5975" t="s">
        <v>8</v>
      </c>
      <c r="E5975" s="4" t="str">
        <f>HYPERLINK("https://ibp.a2mac1.com/costing(costing:projects/details/9760/part/8416306)","Spring")</f>
        <v>Spring</v>
      </c>
      <c r="F5975" t="s">
        <v>6370</v>
      </c>
    </row>
    <row r="5976" spans="1:6" x14ac:dyDescent="0.15">
      <c r="A5976">
        <v>12085612</v>
      </c>
      <c r="B5976">
        <v>8416306</v>
      </c>
      <c r="C5976" t="s">
        <v>114</v>
      </c>
      <c r="D5976" t="s">
        <v>10</v>
      </c>
      <c r="E5976" s="4" t="str">
        <f>HYPERLINK("https://ibp.a2mac1.com/costing(costing:projects/details/9760/process/12085612)","Coiling + End forming")</f>
        <v>Coiling + End forming</v>
      </c>
      <c r="F5976" t="s">
        <v>6377</v>
      </c>
    </row>
    <row r="5977" spans="1:6" x14ac:dyDescent="0.15">
      <c r="A5977">
        <v>8755340</v>
      </c>
      <c r="B5977">
        <v>12085612</v>
      </c>
      <c r="C5977" t="s">
        <v>22</v>
      </c>
      <c r="D5977" t="s">
        <v>114</v>
      </c>
      <c r="E5977" s="4" t="str">
        <f>HYPERLINK("https://ibp.a2mac1.com/costing(costing:projects/details/9760/material/8755340)","Standard Structural Steel sheet")</f>
        <v>Standard Structural Steel sheet</v>
      </c>
      <c r="F5977" t="s">
        <v>6378</v>
      </c>
    </row>
    <row r="5978" spans="1:6" x14ac:dyDescent="0.15">
      <c r="A5978">
        <v>12212860</v>
      </c>
      <c r="B5978">
        <v>12085612</v>
      </c>
      <c r="C5978" t="s">
        <v>163</v>
      </c>
      <c r="D5978" t="s">
        <v>114</v>
      </c>
      <c r="E5978" s="4" t="str">
        <f>HYPERLINK("https://ibp.a2mac1.com/costing(costing:projects/details/9760/equipment/12212860)","Coiler Equipment ")</f>
        <v xml:space="preserve">Coiler Equipment </v>
      </c>
      <c r="F5978" t="s">
        <v>6378</v>
      </c>
    </row>
    <row r="5979" spans="1:6" x14ac:dyDescent="0.15">
      <c r="A5979">
        <v>12085613</v>
      </c>
      <c r="B5979">
        <v>8416306</v>
      </c>
      <c r="C5979" t="s">
        <v>114</v>
      </c>
      <c r="D5979" t="s">
        <v>10</v>
      </c>
      <c r="E5979" s="4" t="str">
        <f>HYPERLINK("https://ibp.a2mac1.com/costing(costing:projects/details/9760/process/12085613)","Heat treatment")</f>
        <v>Heat treatment</v>
      </c>
      <c r="F5979" t="s">
        <v>6377</v>
      </c>
    </row>
    <row r="5980" spans="1:6" x14ac:dyDescent="0.15">
      <c r="A5980">
        <v>12212861</v>
      </c>
      <c r="B5980">
        <v>12085613</v>
      </c>
      <c r="C5980" t="s">
        <v>163</v>
      </c>
      <c r="D5980" t="s">
        <v>114</v>
      </c>
      <c r="E5980" s="4" t="str">
        <f>HYPERLINK("https://ibp.a2mac1.com/costing(costing:projects/details/9760/equipment/12212861)","Furnace hardening line ")</f>
        <v xml:space="preserve">Furnace hardening line </v>
      </c>
      <c r="F5980" t="s">
        <v>6379</v>
      </c>
    </row>
    <row r="5981" spans="1:6" x14ac:dyDescent="0.15">
      <c r="A5981">
        <v>8416307</v>
      </c>
      <c r="B5981">
        <v>8415974</v>
      </c>
      <c r="C5981" t="s">
        <v>10</v>
      </c>
      <c r="D5981" t="s">
        <v>8</v>
      </c>
      <c r="E5981" s="4" t="str">
        <f>HYPERLINK("https://ibp.a2mac1.com/costing(costing:projects/details/9760/part/8416307)","Stopper")</f>
        <v>Stopper</v>
      </c>
      <c r="F5981" t="s">
        <v>6370</v>
      </c>
    </row>
    <row r="5982" spans="1:6" x14ac:dyDescent="0.15">
      <c r="A5982">
        <v>8416308</v>
      </c>
      <c r="B5982">
        <v>8415974</v>
      </c>
      <c r="C5982" t="s">
        <v>10</v>
      </c>
      <c r="D5982" t="s">
        <v>8</v>
      </c>
      <c r="E5982" s="4" t="str">
        <f>HYPERLINK("https://ibp.a2mac1.com/costing(costing:projects/details/9760/part/8416308)","Switch Opening")</f>
        <v>Switch Opening</v>
      </c>
      <c r="F5982" t="s">
        <v>6370</v>
      </c>
    </row>
    <row r="5983" spans="1:6" x14ac:dyDescent="0.15">
      <c r="A5983">
        <v>8754570</v>
      </c>
      <c r="B5983">
        <v>8415974</v>
      </c>
      <c r="C5983" t="s">
        <v>311</v>
      </c>
      <c r="D5983" t="s">
        <v>8</v>
      </c>
      <c r="E5983" s="4" t="str">
        <f>HYPERLINK("https://ibp.a2mac1.com/costing(costing:projects/details/9760/component/8754570)","Pin clip &gt; Dowel pin")</f>
        <v>Pin clip &gt; Dowel pin</v>
      </c>
      <c r="F5983" t="s">
        <v>6370</v>
      </c>
    </row>
    <row r="5984" spans="1:6" x14ac:dyDescent="0.15">
      <c r="A5984">
        <v>8754571</v>
      </c>
      <c r="B5984">
        <v>8415974</v>
      </c>
      <c r="C5984" t="s">
        <v>311</v>
      </c>
      <c r="D5984" t="s">
        <v>8</v>
      </c>
      <c r="E5984" s="4" t="str">
        <f>HYPERLINK("https://ibp.a2mac1.com/costing(costing:projects/details/9760/component/8754571)","Nut &gt; Pinching nut for metal sheet screw")</f>
        <v>Nut &gt; Pinching nut for metal sheet screw</v>
      </c>
      <c r="F5984" t="s">
        <v>6370</v>
      </c>
    </row>
    <row r="5985" spans="1:6" x14ac:dyDescent="0.15">
      <c r="A5985">
        <v>8415975</v>
      </c>
      <c r="B5985">
        <v>8415671</v>
      </c>
      <c r="C5985" t="s">
        <v>8</v>
      </c>
      <c r="D5985" t="s">
        <v>8</v>
      </c>
      <c r="E5985" s="4" t="str">
        <f>HYPERLINK("https://ibp.a2mac1.com/costing(costing:projects/details/9760/assembly/8415975)","Exterior side")</f>
        <v>Exterior side</v>
      </c>
      <c r="F5985" t="s">
        <v>6369</v>
      </c>
    </row>
    <row r="5986" spans="1:6" x14ac:dyDescent="0.15">
      <c r="A5986">
        <v>8416309</v>
      </c>
      <c r="B5986">
        <v>8415975</v>
      </c>
      <c r="C5986" t="s">
        <v>10</v>
      </c>
      <c r="D5986" t="s">
        <v>8</v>
      </c>
      <c r="E5986" s="4" t="str">
        <f>HYPERLINK("https://ibp.a2mac1.com/costing(costing:projects/details/9760/part/8416309)","Opening Control")</f>
        <v>Opening Control</v>
      </c>
      <c r="F5986" t="s">
        <v>6386</v>
      </c>
    </row>
    <row r="5987" spans="1:6" x14ac:dyDescent="0.15">
      <c r="A5987">
        <v>12085614</v>
      </c>
      <c r="B5987">
        <v>8416309</v>
      </c>
      <c r="C5987" t="s">
        <v>114</v>
      </c>
      <c r="D5987" t="s">
        <v>10</v>
      </c>
      <c r="E5987" s="4" t="str">
        <f>HYPERLINK("https://ibp.a2mac1.com/costing(costing:projects/details/9760/process/12085614)","Injection molding")</f>
        <v>Injection molding</v>
      </c>
      <c r="F5987" t="s">
        <v>6387</v>
      </c>
    </row>
    <row r="5988" spans="1:6" x14ac:dyDescent="0.15">
      <c r="A5988">
        <v>8755341</v>
      </c>
      <c r="B5988">
        <v>12085614</v>
      </c>
      <c r="C5988" t="s">
        <v>22</v>
      </c>
      <c r="D5988" t="s">
        <v>114</v>
      </c>
      <c r="E5988" s="4" t="str">
        <f>HYPERLINK("https://ibp.a2mac1.com/costing(costing:projects/details/9760/material/8755341)","PA6-GF30")</f>
        <v>PA6-GF30</v>
      </c>
      <c r="F5988" t="s">
        <v>6388</v>
      </c>
    </row>
    <row r="5989" spans="1:6" x14ac:dyDescent="0.15">
      <c r="A5989">
        <v>12212862</v>
      </c>
      <c r="B5989">
        <v>12085614</v>
      </c>
      <c r="C5989" t="s">
        <v>163</v>
      </c>
      <c r="D5989" t="s">
        <v>114</v>
      </c>
      <c r="E5989" s="4" t="str">
        <f>HYPERLINK("https://ibp.a2mac1.com/costing(costing:projects/details/9760/equipment/12212862)","No.01 - Injection Press - 40T - 18kW - 270x270 - Max Volume 128cm3 ")</f>
        <v xml:space="preserve">No.01 - Injection Press - 40T - 18kW - 270x270 - Max Volume 128cm3 </v>
      </c>
      <c r="F5989" t="s">
        <v>6388</v>
      </c>
    </row>
    <row r="5990" spans="1:6" x14ac:dyDescent="0.15">
      <c r="A5990">
        <v>8416310</v>
      </c>
      <c r="B5990">
        <v>8415975</v>
      </c>
      <c r="C5990" t="s">
        <v>10</v>
      </c>
      <c r="D5990" t="s">
        <v>8</v>
      </c>
      <c r="E5990" s="4" t="str">
        <f>HYPERLINK("https://ibp.a2mac1.com/costing(costing:projects/details/9760/part/8416310)","Opening Control Support")</f>
        <v>Opening Control Support</v>
      </c>
      <c r="F5990" t="s">
        <v>6386</v>
      </c>
    </row>
    <row r="5991" spans="1:6" x14ac:dyDescent="0.15">
      <c r="A5991">
        <v>12085615</v>
      </c>
      <c r="B5991">
        <v>8416310</v>
      </c>
      <c r="C5991" t="s">
        <v>114</v>
      </c>
      <c r="D5991" t="s">
        <v>10</v>
      </c>
      <c r="E5991" s="4" t="str">
        <f>HYPERLINK("https://ibp.a2mac1.com/costing(costing:projects/details/9760/process/12085615)","Injection molding")</f>
        <v>Injection molding</v>
      </c>
      <c r="F5991" t="s">
        <v>6391</v>
      </c>
    </row>
    <row r="5992" spans="1:6" x14ac:dyDescent="0.15">
      <c r="A5992">
        <v>8755342</v>
      </c>
      <c r="B5992">
        <v>12085615</v>
      </c>
      <c r="C5992" t="s">
        <v>22</v>
      </c>
      <c r="D5992" t="s">
        <v>114</v>
      </c>
      <c r="E5992" s="4" t="str">
        <f>HYPERLINK("https://ibp.a2mac1.com/costing(costing:projects/details/9760/material/8755342)","PA6-GF30")</f>
        <v>PA6-GF30</v>
      </c>
      <c r="F5992" t="s">
        <v>6392</v>
      </c>
    </row>
    <row r="5993" spans="1:6" x14ac:dyDescent="0.15">
      <c r="A5993">
        <v>12212863</v>
      </c>
      <c r="B5993">
        <v>12085615</v>
      </c>
      <c r="C5993" t="s">
        <v>163</v>
      </c>
      <c r="D5993" t="s">
        <v>114</v>
      </c>
      <c r="E5993" s="4" t="str">
        <f>HYPERLINK("https://ibp.a2mac1.com/costing(costing:projects/details/9760/equipment/12212863)","No.06 - Injection Press - 200T - 45kW - 510x510 - Max Volume 624cm3 ")</f>
        <v xml:space="preserve">No.06 - Injection Press - 200T - 45kW - 510x510 - Max Volume 624cm3 </v>
      </c>
      <c r="F5993" t="s">
        <v>6392</v>
      </c>
    </row>
    <row r="5994" spans="1:6" x14ac:dyDescent="0.15">
      <c r="A5994">
        <v>8416311</v>
      </c>
      <c r="B5994">
        <v>8415975</v>
      </c>
      <c r="C5994" t="s">
        <v>10</v>
      </c>
      <c r="D5994" t="s">
        <v>8</v>
      </c>
      <c r="E5994" s="4" t="str">
        <f>HYPERLINK("https://ibp.a2mac1.com/costing(costing:projects/details/9760/part/8416311)","Bezel")</f>
        <v>Bezel</v>
      </c>
      <c r="F5994" t="s">
        <v>6386</v>
      </c>
    </row>
    <row r="5995" spans="1:6" x14ac:dyDescent="0.15">
      <c r="A5995">
        <v>12085616</v>
      </c>
      <c r="B5995">
        <v>8416311</v>
      </c>
      <c r="C5995" t="s">
        <v>114</v>
      </c>
      <c r="D5995" t="s">
        <v>10</v>
      </c>
      <c r="E5995" s="4" t="str">
        <f>HYPERLINK("https://ibp.a2mac1.com/costing(costing:projects/details/9760/process/12085616)","Injection molding")</f>
        <v>Injection molding</v>
      </c>
      <c r="F5995" t="s">
        <v>6394</v>
      </c>
    </row>
    <row r="5996" spans="1:6" x14ac:dyDescent="0.15">
      <c r="A5996">
        <v>8755343</v>
      </c>
      <c r="B5996">
        <v>12085616</v>
      </c>
      <c r="C5996" t="s">
        <v>22</v>
      </c>
      <c r="D5996" t="s">
        <v>114</v>
      </c>
      <c r="E5996" s="4" t="str">
        <f>HYPERLINK("https://ibp.a2mac1.com/costing(costing:projects/details/9760/material/8755343)","PBT-PC")</f>
        <v>PBT-PC</v>
      </c>
      <c r="F5996" t="s">
        <v>6395</v>
      </c>
    </row>
    <row r="5997" spans="1:6" x14ac:dyDescent="0.15">
      <c r="A5997">
        <v>12212864</v>
      </c>
      <c r="B5997">
        <v>12085616</v>
      </c>
      <c r="C5997" t="s">
        <v>163</v>
      </c>
      <c r="D5997" t="s">
        <v>114</v>
      </c>
      <c r="E5997" s="4" t="str">
        <f>HYPERLINK("https://ibp.a2mac1.com/costing(costing:projects/details/9760/equipment/12212864)","No.02 - Injection Press - 60T - 25kW - 320x320 - Max Volume 164cm3 ")</f>
        <v xml:space="preserve">No.02 - Injection Press - 60T - 25kW - 320x320 - Max Volume 164cm3 </v>
      </c>
      <c r="F5997" t="s">
        <v>6395</v>
      </c>
    </row>
    <row r="5998" spans="1:6" x14ac:dyDescent="0.15">
      <c r="A5998">
        <v>12085617</v>
      </c>
      <c r="B5998">
        <v>8416311</v>
      </c>
      <c r="C5998" t="s">
        <v>114</v>
      </c>
      <c r="D5998" t="s">
        <v>10</v>
      </c>
      <c r="E5998" s="4" t="str">
        <f>HYPERLINK("https://ibp.a2mac1.com/costing(costing:projects/details/9760/process/12085617)","Painting")</f>
        <v>Painting</v>
      </c>
      <c r="F5998" t="s">
        <v>6394</v>
      </c>
    </row>
    <row r="5999" spans="1:6" x14ac:dyDescent="0.15">
      <c r="A5999">
        <v>8755344</v>
      </c>
      <c r="B5999">
        <v>12085617</v>
      </c>
      <c r="C5999" t="s">
        <v>22</v>
      </c>
      <c r="D5999" t="s">
        <v>114</v>
      </c>
      <c r="E5999" s="4" t="str">
        <f>HYPERLINK("https://ibp.a2mac1.com/costing(costing:projects/details/9760/material/8755344)","Paint - Base")</f>
        <v>Paint - Base</v>
      </c>
      <c r="F5999" t="s">
        <v>6396</v>
      </c>
    </row>
    <row r="6000" spans="1:6" x14ac:dyDescent="0.15">
      <c r="A6000">
        <v>8755345</v>
      </c>
      <c r="B6000">
        <v>12085617</v>
      </c>
      <c r="C6000" t="s">
        <v>22</v>
      </c>
      <c r="D6000" t="s">
        <v>114</v>
      </c>
      <c r="E6000" s="4" t="str">
        <f>HYPERLINK("https://ibp.a2mac1.com/costing(costing:projects/details/9760/material/8755345)","Paint - Primer")</f>
        <v>Paint - Primer</v>
      </c>
      <c r="F6000" t="s">
        <v>6396</v>
      </c>
    </row>
    <row r="6001" spans="1:6" x14ac:dyDescent="0.15">
      <c r="A6001">
        <v>8755346</v>
      </c>
      <c r="B6001">
        <v>12085617</v>
      </c>
      <c r="C6001" t="s">
        <v>22</v>
      </c>
      <c r="D6001" t="s">
        <v>114</v>
      </c>
      <c r="E6001" s="4" t="str">
        <f>HYPERLINK("https://ibp.a2mac1.com/costing(costing:projects/details/9760/material/8755346)","Paint - Clear Coat")</f>
        <v>Paint - Clear Coat</v>
      </c>
      <c r="F6001" t="s">
        <v>6396</v>
      </c>
    </row>
    <row r="6002" spans="1:6" x14ac:dyDescent="0.15">
      <c r="A6002">
        <v>12212865</v>
      </c>
      <c r="B6002">
        <v>12085617</v>
      </c>
      <c r="C6002" t="s">
        <v>163</v>
      </c>
      <c r="D6002" t="s">
        <v>114</v>
      </c>
      <c r="E6002" s="4" t="str">
        <f>HYPERLINK("https://ibp.a2mac1.com/costing(costing:projects/details/9760/equipment/12212865)","No.04 - 60000x6000x3500 - Automatic Painting Line - with 12x100kW on line ovens ")</f>
        <v xml:space="preserve">No.04 - 60000x6000x3500 - Automatic Painting Line - with 12x100kW on line ovens </v>
      </c>
      <c r="F6002" t="s">
        <v>6396</v>
      </c>
    </row>
    <row r="6003" spans="1:6" x14ac:dyDescent="0.15">
      <c r="A6003">
        <v>12212866</v>
      </c>
      <c r="B6003">
        <v>12085617</v>
      </c>
      <c r="C6003" t="s">
        <v>163</v>
      </c>
      <c r="D6003" t="s">
        <v>114</v>
      </c>
      <c r="E6003" s="4" t="str">
        <f>HYPERLINK("https://ibp.a2mac1.com/costing(costing:projects/details/9760/equipment/12212866)","Loading + Unloading, Retouching, Checking")</f>
        <v>Loading + Unloading, Retouching, Checking</v>
      </c>
      <c r="F6003" t="s">
        <v>6396</v>
      </c>
    </row>
    <row r="6004" spans="1:6" x14ac:dyDescent="0.15">
      <c r="A6004">
        <v>8416312</v>
      </c>
      <c r="B6004">
        <v>8415975</v>
      </c>
      <c r="C6004" t="s">
        <v>10</v>
      </c>
      <c r="D6004" t="s">
        <v>8</v>
      </c>
      <c r="E6004" s="4" t="str">
        <f>HYPERLINK("https://ibp.a2mac1.com/costing(costing:projects/details/9760/part/8416312)","2nd Bezel")</f>
        <v>2nd Bezel</v>
      </c>
      <c r="F6004" t="s">
        <v>6386</v>
      </c>
    </row>
    <row r="6005" spans="1:6" x14ac:dyDescent="0.15">
      <c r="A6005">
        <v>12085618</v>
      </c>
      <c r="B6005">
        <v>8416312</v>
      </c>
      <c r="C6005" t="s">
        <v>114</v>
      </c>
      <c r="D6005" t="s">
        <v>10</v>
      </c>
      <c r="E6005" s="4" t="str">
        <f>HYPERLINK("https://ibp.a2mac1.com/costing(costing:projects/details/9760/process/12085618)","Injection molding")</f>
        <v>Injection molding</v>
      </c>
      <c r="F6005" t="s">
        <v>6399</v>
      </c>
    </row>
    <row r="6006" spans="1:6" x14ac:dyDescent="0.15">
      <c r="A6006">
        <v>8755347</v>
      </c>
      <c r="B6006">
        <v>12085618</v>
      </c>
      <c r="C6006" t="s">
        <v>22</v>
      </c>
      <c r="D6006" t="s">
        <v>114</v>
      </c>
      <c r="E6006" s="4" t="str">
        <f>HYPERLINK("https://ibp.a2mac1.com/costing(costing:projects/details/9760/material/8755347)","PBT-PC")</f>
        <v>PBT-PC</v>
      </c>
      <c r="F6006" t="s">
        <v>6400</v>
      </c>
    </row>
    <row r="6007" spans="1:6" x14ac:dyDescent="0.15">
      <c r="A6007">
        <v>12212867</v>
      </c>
      <c r="B6007">
        <v>12085618</v>
      </c>
      <c r="C6007" t="s">
        <v>163</v>
      </c>
      <c r="D6007" t="s">
        <v>114</v>
      </c>
      <c r="E6007" s="4" t="str">
        <f>HYPERLINK("https://ibp.a2mac1.com/costing(costing:projects/details/9760/equipment/12212867)","Equipment (Injection Molding)")</f>
        <v>Equipment (Injection Molding)</v>
      </c>
      <c r="F6007" t="s">
        <v>6400</v>
      </c>
    </row>
    <row r="6008" spans="1:6" x14ac:dyDescent="0.15">
      <c r="A6008">
        <v>12085619</v>
      </c>
      <c r="B6008">
        <v>8416312</v>
      </c>
      <c r="C6008" t="s">
        <v>114</v>
      </c>
      <c r="D6008" t="s">
        <v>10</v>
      </c>
      <c r="E6008" s="4" t="str">
        <f>HYPERLINK("https://ibp.a2mac1.com/costing(costing:projects/details/9760/process/12085619)","Painting")</f>
        <v>Painting</v>
      </c>
      <c r="F6008" t="s">
        <v>6399</v>
      </c>
    </row>
    <row r="6009" spans="1:6" x14ac:dyDescent="0.15">
      <c r="A6009">
        <v>8755348</v>
      </c>
      <c r="B6009">
        <v>12085619</v>
      </c>
      <c r="C6009" t="s">
        <v>22</v>
      </c>
      <c r="D6009" t="s">
        <v>114</v>
      </c>
      <c r="E6009" s="4" t="str">
        <f>HYPERLINK("https://ibp.a2mac1.com/costing(costing:projects/details/9760/material/8755348)","Paint - Base")</f>
        <v>Paint - Base</v>
      </c>
      <c r="F6009" t="s">
        <v>6401</v>
      </c>
    </row>
    <row r="6010" spans="1:6" x14ac:dyDescent="0.15">
      <c r="A6010">
        <v>8755349</v>
      </c>
      <c r="B6010">
        <v>12085619</v>
      </c>
      <c r="C6010" t="s">
        <v>22</v>
      </c>
      <c r="D6010" t="s">
        <v>114</v>
      </c>
      <c r="E6010" s="4" t="str">
        <f>HYPERLINK("https://ibp.a2mac1.com/costing(costing:projects/details/9760/material/8755349)","Paint - Primer")</f>
        <v>Paint - Primer</v>
      </c>
      <c r="F6010" t="s">
        <v>6401</v>
      </c>
    </row>
    <row r="6011" spans="1:6" x14ac:dyDescent="0.15">
      <c r="A6011">
        <v>8755350</v>
      </c>
      <c r="B6011">
        <v>12085619</v>
      </c>
      <c r="C6011" t="s">
        <v>22</v>
      </c>
      <c r="D6011" t="s">
        <v>114</v>
      </c>
      <c r="E6011" s="4" t="str">
        <f>HYPERLINK("https://ibp.a2mac1.com/costing(costing:projects/details/9760/material/8755350)","Paint - Clear Coat")</f>
        <v>Paint - Clear Coat</v>
      </c>
      <c r="F6011" t="s">
        <v>6401</v>
      </c>
    </row>
    <row r="6012" spans="1:6" x14ac:dyDescent="0.15">
      <c r="A6012">
        <v>12212868</v>
      </c>
      <c r="B6012">
        <v>12085619</v>
      </c>
      <c r="C6012" t="s">
        <v>163</v>
      </c>
      <c r="D6012" t="s">
        <v>114</v>
      </c>
      <c r="E6012" s="4" t="str">
        <f>HYPERLINK("https://ibp.a2mac1.com/costing(costing:projects/details/9760/equipment/12212868)","No.04 - 60000x6000x3500 - Automatic Painting Line - with 12x100kW on line ovens ")</f>
        <v xml:space="preserve">No.04 - 60000x6000x3500 - Automatic Painting Line - with 12x100kW on line ovens </v>
      </c>
      <c r="F6012" t="s">
        <v>6401</v>
      </c>
    </row>
    <row r="6013" spans="1:6" x14ac:dyDescent="0.15">
      <c r="A6013">
        <v>12212869</v>
      </c>
      <c r="B6013">
        <v>12085619</v>
      </c>
      <c r="C6013" t="s">
        <v>163</v>
      </c>
      <c r="D6013" t="s">
        <v>114</v>
      </c>
      <c r="E6013" s="4" t="str">
        <f>HYPERLINK("https://ibp.a2mac1.com/costing(costing:projects/details/9760/equipment/12212869)","Loading + Unloading, Retouching, Checking")</f>
        <v>Loading + Unloading, Retouching, Checking</v>
      </c>
      <c r="F6013" t="s">
        <v>6401</v>
      </c>
    </row>
    <row r="6014" spans="1:6" x14ac:dyDescent="0.15">
      <c r="A6014">
        <v>8416313</v>
      </c>
      <c r="B6014">
        <v>8415975</v>
      </c>
      <c r="C6014" t="s">
        <v>10</v>
      </c>
      <c r="D6014" t="s">
        <v>8</v>
      </c>
      <c r="E6014" s="4" t="str">
        <f>HYPERLINK("https://ibp.a2mac1.com/costing(costing:projects/details/9760/part/8416313)","Welcome light")</f>
        <v>Welcome light</v>
      </c>
      <c r="F6014" t="s">
        <v>6386</v>
      </c>
    </row>
    <row r="6015" spans="1:6" x14ac:dyDescent="0.15">
      <c r="A6015">
        <v>8416314</v>
      </c>
      <c r="B6015">
        <v>8415975</v>
      </c>
      <c r="C6015" t="s">
        <v>10</v>
      </c>
      <c r="D6015" t="s">
        <v>8</v>
      </c>
      <c r="E6015" s="4" t="str">
        <f>HYPERLINK("https://ibp.a2mac1.com/costing(costing:projects/details/9760/part/8416314)","Unlocking Contactor")</f>
        <v>Unlocking Contactor</v>
      </c>
      <c r="F6015" t="s">
        <v>6386</v>
      </c>
    </row>
    <row r="6016" spans="1:6" x14ac:dyDescent="0.15">
      <c r="A6016">
        <v>8416315</v>
      </c>
      <c r="B6016">
        <v>8415975</v>
      </c>
      <c r="C6016" t="s">
        <v>10</v>
      </c>
      <c r="D6016" t="s">
        <v>8</v>
      </c>
      <c r="E6016" s="4" t="str">
        <f>HYPERLINK("https://ibp.a2mac1.com/costing(costing:projects/details/9760/part/8416315)","Mechanism")</f>
        <v>Mechanism</v>
      </c>
      <c r="F6016" t="s">
        <v>6386</v>
      </c>
    </row>
    <row r="6017" spans="1:6" x14ac:dyDescent="0.15">
      <c r="A6017">
        <v>12085662</v>
      </c>
      <c r="B6017">
        <v>8416315</v>
      </c>
      <c r="C6017" t="s">
        <v>114</v>
      </c>
      <c r="D6017" t="s">
        <v>10</v>
      </c>
      <c r="E6017" s="4" t="str">
        <f>HYPERLINK("https://ibp.a2mac1.com/costing(costing:projects/details/9760/process/12085662)","Injection molding")</f>
        <v>Injection molding</v>
      </c>
      <c r="F6017" t="s">
        <v>6406</v>
      </c>
    </row>
    <row r="6018" spans="1:6" x14ac:dyDescent="0.15">
      <c r="A6018">
        <v>8755351</v>
      </c>
      <c r="B6018">
        <v>12085662</v>
      </c>
      <c r="C6018" t="s">
        <v>22</v>
      </c>
      <c r="D6018" t="s">
        <v>114</v>
      </c>
      <c r="E6018" s="4" t="str">
        <f>HYPERLINK("https://ibp.a2mac1.com/costing(costing:projects/details/9760/material/8755351)","POM-GF30")</f>
        <v>POM-GF30</v>
      </c>
      <c r="F6018" t="s">
        <v>6407</v>
      </c>
    </row>
    <row r="6019" spans="1:6" x14ac:dyDescent="0.15">
      <c r="A6019">
        <v>12212870</v>
      </c>
      <c r="B6019">
        <v>12085662</v>
      </c>
      <c r="C6019" t="s">
        <v>163</v>
      </c>
      <c r="D6019" t="s">
        <v>114</v>
      </c>
      <c r="E6019" s="4" t="str">
        <f>HYPERLINK("https://ibp.a2mac1.com/costing(costing:projects/details/9760/equipment/12212870)","No.01 - Injection Press - 40T - 18kW - 270x270 - Max Volume 128cm3 ")</f>
        <v xml:space="preserve">No.01 - Injection Press - 40T - 18kW - 270x270 - Max Volume 128cm3 </v>
      </c>
      <c r="F6019" t="s">
        <v>6407</v>
      </c>
    </row>
    <row r="6020" spans="1:6" x14ac:dyDescent="0.15">
      <c r="A6020">
        <v>8754572</v>
      </c>
      <c r="B6020">
        <v>8415975</v>
      </c>
      <c r="C6020" t="s">
        <v>311</v>
      </c>
      <c r="D6020" t="s">
        <v>8</v>
      </c>
      <c r="E6020" s="4" t="str">
        <f>HYPERLINK("https://ibp.a2mac1.com/costing(costing:projects/details/9760/component/8754572)","Screw &gt; Torx socket head cap screw with flange")</f>
        <v>Screw &gt; Torx socket head cap screw with flange</v>
      </c>
      <c r="F6020" t="s">
        <v>6386</v>
      </c>
    </row>
    <row r="6021" spans="1:6" x14ac:dyDescent="0.15">
      <c r="A6021">
        <v>8754573</v>
      </c>
      <c r="B6021">
        <v>8415975</v>
      </c>
      <c r="C6021" t="s">
        <v>311</v>
      </c>
      <c r="D6021" t="s">
        <v>8</v>
      </c>
      <c r="E6021" s="4" t="str">
        <f>HYPERLINK("https://ibp.a2mac1.com/costing(costing:projects/details/9760/component/8754573)","Screw &gt; Hexagon screw with flange")</f>
        <v>Screw &gt; Hexagon screw with flange</v>
      </c>
      <c r="F6021" t="s">
        <v>6386</v>
      </c>
    </row>
    <row r="6022" spans="1:6" x14ac:dyDescent="0.15">
      <c r="A6022">
        <v>8415976</v>
      </c>
      <c r="B6022">
        <v>8415671</v>
      </c>
      <c r="C6022" t="s">
        <v>8</v>
      </c>
      <c r="D6022" t="s">
        <v>8</v>
      </c>
      <c r="E6022" s="4" t="str">
        <f>HYPERLINK("https://ibp.a2mac1.com/costing(costing:projects/details/9760/assembly/8415976)","Locking System")</f>
        <v>Locking System</v>
      </c>
      <c r="F6022" t="s">
        <v>6369</v>
      </c>
    </row>
    <row r="6023" spans="1:6" x14ac:dyDescent="0.15">
      <c r="A6023">
        <v>8416316</v>
      </c>
      <c r="B6023">
        <v>8415976</v>
      </c>
      <c r="C6023" t="s">
        <v>10</v>
      </c>
      <c r="D6023" t="s">
        <v>8</v>
      </c>
      <c r="E6023" s="4" t="str">
        <f>HYPERLINK("https://ibp.a2mac1.com/costing(costing:projects/details/9760/part/8416316)","Actuator")</f>
        <v>Actuator</v>
      </c>
      <c r="F6023" t="s">
        <v>6411</v>
      </c>
    </row>
    <row r="6024" spans="1:6" x14ac:dyDescent="0.15">
      <c r="A6024">
        <v>8754574</v>
      </c>
      <c r="B6024">
        <v>8415976</v>
      </c>
      <c r="C6024" t="s">
        <v>311</v>
      </c>
      <c r="D6024" t="s">
        <v>8</v>
      </c>
      <c r="E6024" s="4" t="str">
        <f>HYPERLINK("https://ibp.a2mac1.com/costing(costing:projects/details/9760/component/8754574)","Other fastener &gt; Attachment")</f>
        <v>Other fastener &gt; Attachment</v>
      </c>
      <c r="F6024" t="s">
        <v>6411</v>
      </c>
    </row>
    <row r="6025" spans="1:6" x14ac:dyDescent="0.15">
      <c r="A6025">
        <v>8415972</v>
      </c>
      <c r="B6025">
        <v>8415671</v>
      </c>
      <c r="C6025" t="s">
        <v>10</v>
      </c>
      <c r="D6025" t="s">
        <v>8</v>
      </c>
      <c r="E6025" s="4" t="str">
        <f>HYPERLINK("https://ibp.a2mac1.com/costing(costing:projects/details/9760/part/8415972)","Door Latch")</f>
        <v>Door Latch</v>
      </c>
      <c r="F6025" t="s">
        <v>6369</v>
      </c>
    </row>
    <row r="6026" spans="1:6" x14ac:dyDescent="0.15">
      <c r="A6026">
        <v>8415973</v>
      </c>
      <c r="B6026">
        <v>8415671</v>
      </c>
      <c r="C6026" t="s">
        <v>10</v>
      </c>
      <c r="D6026" t="s">
        <v>8</v>
      </c>
      <c r="E6026" s="4" t="str">
        <f>HYPERLINK("https://ibp.a2mac1.com/costing(costing:projects/details/9760/part/8415973)","Door Striker")</f>
        <v>Door Striker</v>
      </c>
      <c r="F6026" t="s">
        <v>6369</v>
      </c>
    </row>
    <row r="6027" spans="1:6" x14ac:dyDescent="0.15">
      <c r="A6027">
        <v>12085305</v>
      </c>
      <c r="B6027">
        <v>8415973</v>
      </c>
      <c r="C6027" t="s">
        <v>114</v>
      </c>
      <c r="D6027" t="s">
        <v>10</v>
      </c>
      <c r="E6027" s="4" t="str">
        <f>HYPERLINK("https://ibp.a2mac1.com/costing(costing:projects/details/9760/process/12085305)","Stamping ")</f>
        <v xml:space="preserve">Stamping </v>
      </c>
      <c r="F6027" t="s">
        <v>6415</v>
      </c>
    </row>
    <row r="6028" spans="1:6" x14ac:dyDescent="0.15">
      <c r="A6028">
        <v>8754943</v>
      </c>
      <c r="B6028">
        <v>12085305</v>
      </c>
      <c r="C6028" t="s">
        <v>22</v>
      </c>
      <c r="D6028" t="s">
        <v>114</v>
      </c>
      <c r="E6028" s="4" t="str">
        <f>HYPERLINK("https://ibp.a2mac1.com/costing(costing:projects/details/9760/material/8754943)","Standard Structural Steel sheet")</f>
        <v>Standard Structural Steel sheet</v>
      </c>
      <c r="F6028" t="s">
        <v>6416</v>
      </c>
    </row>
    <row r="6029" spans="1:6" x14ac:dyDescent="0.15">
      <c r="A6029">
        <v>12212401</v>
      </c>
      <c r="B6029">
        <v>12085305</v>
      </c>
      <c r="C6029" t="s">
        <v>163</v>
      </c>
      <c r="D6029" t="s">
        <v>114</v>
      </c>
      <c r="E6029" s="4" t="str">
        <f>HYPERLINK("https://ibp.a2mac1.com/costing(costing:projects/details/9760/equipment/12212401)","Equipment (Stamping)")</f>
        <v>Equipment (Stamping)</v>
      </c>
      <c r="F6029" t="s">
        <v>6416</v>
      </c>
    </row>
    <row r="6030" spans="1:6" x14ac:dyDescent="0.15">
      <c r="A6030">
        <v>12085306</v>
      </c>
      <c r="B6030">
        <v>8415973</v>
      </c>
      <c r="C6030" t="s">
        <v>114</v>
      </c>
      <c r="D6030" t="s">
        <v>10</v>
      </c>
      <c r="E6030" s="4" t="str">
        <f>HYPERLINK("https://ibp.a2mac1.com/costing(costing:projects/details/9760/process/12085306)","Wire Bending")</f>
        <v>Wire Bending</v>
      </c>
      <c r="F6030" t="s">
        <v>6415</v>
      </c>
    </row>
    <row r="6031" spans="1:6" x14ac:dyDescent="0.15">
      <c r="A6031">
        <v>12212402</v>
      </c>
      <c r="B6031">
        <v>12085306</v>
      </c>
      <c r="C6031" t="s">
        <v>163</v>
      </c>
      <c r="D6031" t="s">
        <v>114</v>
      </c>
      <c r="E6031" s="4" t="str">
        <f>HYPERLINK("https://ibp.a2mac1.com/costing(costing:projects/details/9760/equipment/12212402)","No.01 - Generic CN Wire Bending ")</f>
        <v xml:space="preserve">No.01 - Generic CN Wire Bending </v>
      </c>
      <c r="F6031" t="s">
        <v>6417</v>
      </c>
    </row>
    <row r="6032" spans="1:6" x14ac:dyDescent="0.15">
      <c r="A6032">
        <v>12085307</v>
      </c>
      <c r="B6032">
        <v>8415973</v>
      </c>
      <c r="C6032" t="s">
        <v>114</v>
      </c>
      <c r="D6032" t="s">
        <v>10</v>
      </c>
      <c r="E6032" s="4" t="str">
        <f>HYPERLINK("https://ibp.a2mac1.com/costing(costing:projects/details/9760/process/12085307)","Press fit")</f>
        <v>Press fit</v>
      </c>
      <c r="F6032" t="s">
        <v>6415</v>
      </c>
    </row>
    <row r="6033" spans="1:6" x14ac:dyDescent="0.15">
      <c r="A6033">
        <v>12212403</v>
      </c>
      <c r="B6033">
        <v>12085307</v>
      </c>
      <c r="C6033" t="s">
        <v>163</v>
      </c>
      <c r="D6033" t="s">
        <v>114</v>
      </c>
      <c r="E6033" s="4" t="str">
        <f>HYPERLINK("https://ibp.a2mac1.com/costing(costing:projects/details/9760/equipment/12212403)","No.04 - Press Fit Assembly ")</f>
        <v xml:space="preserve">No.04 - Press Fit Assembly </v>
      </c>
      <c r="F6033" t="s">
        <v>6418</v>
      </c>
    </row>
    <row r="6034" spans="1:6" x14ac:dyDescent="0.15">
      <c r="A6034">
        <v>12085106</v>
      </c>
      <c r="B6034">
        <v>8415671</v>
      </c>
      <c r="C6034" t="s">
        <v>114</v>
      </c>
      <c r="D6034" t="s">
        <v>8</v>
      </c>
      <c r="E6034" s="4" t="str">
        <f>HYPERLINK("https://ibp.a2mac1.com/costing(costing:projects/details/9760/process/12085106)","Assembly")</f>
        <v>Assembly</v>
      </c>
      <c r="F6034" t="s">
        <v>6369</v>
      </c>
    </row>
    <row r="6035" spans="1:6" x14ac:dyDescent="0.15">
      <c r="A6035">
        <v>12212198</v>
      </c>
      <c r="B6035">
        <v>12085106</v>
      </c>
      <c r="C6035" t="s">
        <v>163</v>
      </c>
      <c r="D6035" t="s">
        <v>114</v>
      </c>
      <c r="E6035" s="4" t="str">
        <f>HYPERLINK("https://ibp.a2mac1.com/costing(costing:projects/details/9760/equipment/12212198)","Assembly Station ")</f>
        <v xml:space="preserve">Assembly Station </v>
      </c>
      <c r="F6035" t="s">
        <v>6421</v>
      </c>
    </row>
    <row r="6036" spans="1:6" x14ac:dyDescent="0.15">
      <c r="A6036">
        <v>8754437</v>
      </c>
      <c r="B6036">
        <v>8415671</v>
      </c>
      <c r="C6036" t="s">
        <v>311</v>
      </c>
      <c r="D6036" t="s">
        <v>8</v>
      </c>
      <c r="E6036" s="4" t="str">
        <f>HYPERLINK("https://ibp.a2mac1.com/costing(costing:projects/details/9760/component/8754437)","Screw &gt; Torx socket head cap screw with flange and captive washer")</f>
        <v>Screw &gt; Torx socket head cap screw with flange and captive washer</v>
      </c>
      <c r="F6036" t="s">
        <v>6369</v>
      </c>
    </row>
    <row r="6037" spans="1:6" x14ac:dyDescent="0.15">
      <c r="A6037">
        <v>8754438</v>
      </c>
      <c r="B6037">
        <v>8415671</v>
      </c>
      <c r="C6037" t="s">
        <v>311</v>
      </c>
      <c r="D6037" t="s">
        <v>8</v>
      </c>
      <c r="E6037" s="4" t="str">
        <f>HYPERLINK("https://ibp.a2mac1.com/costing(costing:projects/details/9760/component/8754438)","Screw &gt; Torx socket head cap screw")</f>
        <v>Screw &gt; Torx socket head cap screw</v>
      </c>
      <c r="F6037" t="s">
        <v>6369</v>
      </c>
    </row>
    <row r="6038" spans="1:6" x14ac:dyDescent="0.15">
      <c r="A6038">
        <v>8415672</v>
      </c>
      <c r="B6038">
        <v>8415586</v>
      </c>
      <c r="C6038" t="s">
        <v>8</v>
      </c>
      <c r="D6038" t="s">
        <v>8</v>
      </c>
      <c r="E6038" s="4" t="str">
        <f>HYPERLINK("https://ibp.a2mac1.com/costing(costing:projects/details/9760/assembly/8415672)","Door Panel")</f>
        <v>Door Panel</v>
      </c>
      <c r="F6038" t="s">
        <v>6279</v>
      </c>
    </row>
    <row r="6039" spans="1:6" x14ac:dyDescent="0.15">
      <c r="A6039">
        <v>8415986</v>
      </c>
      <c r="B6039">
        <v>8415672</v>
      </c>
      <c r="C6039" t="s">
        <v>8</v>
      </c>
      <c r="D6039" t="s">
        <v>8</v>
      </c>
      <c r="E6039" s="4" t="str">
        <f>HYPERLINK("https://ibp.a2mac1.com/costing(costing:projects/details/9760/assembly/8415986)","Inner Door Handle")</f>
        <v>Inner Door Handle</v>
      </c>
      <c r="F6039" t="s">
        <v>6423</v>
      </c>
    </row>
    <row r="6040" spans="1:6" x14ac:dyDescent="0.15">
      <c r="A6040">
        <v>8416317</v>
      </c>
      <c r="B6040">
        <v>8415986</v>
      </c>
      <c r="C6040" t="s">
        <v>10</v>
      </c>
      <c r="D6040" t="s">
        <v>8</v>
      </c>
      <c r="E6040" s="4" t="str">
        <f>HYPERLINK("https://ibp.a2mac1.com/costing(costing:projects/details/9760/part/8416317)","Opening Control")</f>
        <v>Opening Control</v>
      </c>
      <c r="F6040" t="s">
        <v>6424</v>
      </c>
    </row>
    <row r="6041" spans="1:6" x14ac:dyDescent="0.15">
      <c r="A6041">
        <v>12085663</v>
      </c>
      <c r="B6041">
        <v>8416317</v>
      </c>
      <c r="C6041" t="s">
        <v>114</v>
      </c>
      <c r="D6041" t="s">
        <v>10</v>
      </c>
      <c r="E6041" s="4" t="str">
        <f>HYPERLINK("https://ibp.a2mac1.com/costing(costing:projects/details/9760/process/12085663)","Automated Process")</f>
        <v>Automated Process</v>
      </c>
      <c r="F6041" t="s">
        <v>6425</v>
      </c>
    </row>
    <row r="6042" spans="1:6" x14ac:dyDescent="0.15">
      <c r="A6042">
        <v>8755352</v>
      </c>
      <c r="B6042">
        <v>12085663</v>
      </c>
      <c r="C6042" t="s">
        <v>22</v>
      </c>
      <c r="D6042" t="s">
        <v>114</v>
      </c>
      <c r="E6042" s="4" t="str">
        <f>HYPERLINK("https://ibp.a2mac1.com/costing(costing:projects/details/9760/material/8755352)","PC-ABS")</f>
        <v>PC-ABS</v>
      </c>
      <c r="F6042" t="s">
        <v>6426</v>
      </c>
    </row>
    <row r="6043" spans="1:6" x14ac:dyDescent="0.15">
      <c r="A6043">
        <v>12212871</v>
      </c>
      <c r="B6043">
        <v>12085663</v>
      </c>
      <c r="C6043" t="s">
        <v>163</v>
      </c>
      <c r="D6043" t="s">
        <v>114</v>
      </c>
      <c r="E6043" s="4" t="str">
        <f>HYPERLINK("https://ibp.a2mac1.com/costing(costing:projects/details/9760/equipment/12212871)","DC machine - General")</f>
        <v>DC machine - General</v>
      </c>
      <c r="F6043" t="s">
        <v>6426</v>
      </c>
    </row>
    <row r="6044" spans="1:6" x14ac:dyDescent="0.15">
      <c r="A6044">
        <v>8416318</v>
      </c>
      <c r="B6044">
        <v>8415986</v>
      </c>
      <c r="C6044" t="s">
        <v>10</v>
      </c>
      <c r="D6044" t="s">
        <v>8</v>
      </c>
      <c r="E6044" s="4" t="str">
        <f>HYPERLINK("https://ibp.a2mac1.com/costing(costing:projects/details/9760/part/8416318)","Bezel")</f>
        <v>Bezel</v>
      </c>
      <c r="F6044" t="s">
        <v>6424</v>
      </c>
    </row>
    <row r="6045" spans="1:6" x14ac:dyDescent="0.15">
      <c r="A6045">
        <v>12085664</v>
      </c>
      <c r="B6045">
        <v>8416318</v>
      </c>
      <c r="C6045" t="s">
        <v>114</v>
      </c>
      <c r="D6045" t="s">
        <v>10</v>
      </c>
      <c r="E6045" s="4" t="str">
        <f>HYPERLINK("https://ibp.a2mac1.com/costing(costing:projects/details/9760/process/12085664)","Automated Process")</f>
        <v>Automated Process</v>
      </c>
      <c r="F6045" t="s">
        <v>6428</v>
      </c>
    </row>
    <row r="6046" spans="1:6" x14ac:dyDescent="0.15">
      <c r="A6046">
        <v>8755353</v>
      </c>
      <c r="B6046">
        <v>12085664</v>
      </c>
      <c r="C6046" t="s">
        <v>22</v>
      </c>
      <c r="D6046" t="s">
        <v>114</v>
      </c>
      <c r="E6046" s="4" t="str">
        <f>HYPERLINK("https://ibp.a2mac1.com/costing(costing:projects/details/9760/material/8755353)","PVC + Fabric backing 3mm PU foam")</f>
        <v>PVC + Fabric backing 3mm PU foam</v>
      </c>
      <c r="F6046" t="s">
        <v>6429</v>
      </c>
    </row>
    <row r="6047" spans="1:6" x14ac:dyDescent="0.15">
      <c r="A6047">
        <v>8755354</v>
      </c>
      <c r="B6047">
        <v>12085664</v>
      </c>
      <c r="C6047" t="s">
        <v>22</v>
      </c>
      <c r="D6047" t="s">
        <v>114</v>
      </c>
      <c r="E6047" s="4" t="str">
        <f>HYPERLINK("https://ibp.a2mac1.com/costing(costing:projects/details/9760/material/8755354)","PC-ABS")</f>
        <v>PC-ABS</v>
      </c>
      <c r="F6047" t="s">
        <v>6429</v>
      </c>
    </row>
    <row r="6048" spans="1:6" x14ac:dyDescent="0.15">
      <c r="A6048">
        <v>12212872</v>
      </c>
      <c r="B6048">
        <v>12085664</v>
      </c>
      <c r="C6048" t="s">
        <v>163</v>
      </c>
      <c r="D6048" t="s">
        <v>114</v>
      </c>
      <c r="E6048" s="4" t="str">
        <f>HYPERLINK("https://ibp.a2mac1.com/costing(costing:projects/details/9760/equipment/12212872)","DC machine - General")</f>
        <v>DC machine - General</v>
      </c>
      <c r="F6048" t="s">
        <v>6429</v>
      </c>
    </row>
    <row r="6049" spans="1:6" x14ac:dyDescent="0.15">
      <c r="A6049">
        <v>8754575</v>
      </c>
      <c r="B6049">
        <v>8415986</v>
      </c>
      <c r="C6049" t="s">
        <v>311</v>
      </c>
      <c r="D6049" t="s">
        <v>8</v>
      </c>
      <c r="E6049" s="4" t="str">
        <f>HYPERLINK("https://ibp.a2mac1.com/costing(costing:projects/details/9760/component/8754575)","Screw &gt; Cross recessed screw with flange")</f>
        <v>Screw &gt; Cross recessed screw with flange</v>
      </c>
      <c r="F6049" t="s">
        <v>6424</v>
      </c>
    </row>
    <row r="6050" spans="1:6" x14ac:dyDescent="0.15">
      <c r="A6050">
        <v>8754576</v>
      </c>
      <c r="B6050">
        <v>8415986</v>
      </c>
      <c r="C6050" t="s">
        <v>311</v>
      </c>
      <c r="D6050" t="s">
        <v>8</v>
      </c>
      <c r="E6050" s="4" t="str">
        <f>HYPERLINK("https://ibp.a2mac1.com/costing(costing:projects/details/9760/component/8754576)","Panel holder &gt; Clips in rectangular hole")</f>
        <v>Panel holder &gt; Clips in rectangular hole</v>
      </c>
      <c r="F6050" t="s">
        <v>6424</v>
      </c>
    </row>
    <row r="6051" spans="1:6" x14ac:dyDescent="0.15">
      <c r="A6051">
        <v>8415987</v>
      </c>
      <c r="B6051">
        <v>8415672</v>
      </c>
      <c r="C6051" t="s">
        <v>8</v>
      </c>
      <c r="D6051" t="s">
        <v>8</v>
      </c>
      <c r="E6051" s="4" t="str">
        <f>HYPERLINK("https://ibp.a2mac1.com/costing(costing:projects/details/9760/assembly/8415987)","Speaker Grille System")</f>
        <v>Speaker Grille System</v>
      </c>
      <c r="F6051" t="s">
        <v>6423</v>
      </c>
    </row>
    <row r="6052" spans="1:6" x14ac:dyDescent="0.15">
      <c r="A6052">
        <v>8416319</v>
      </c>
      <c r="B6052">
        <v>8415987</v>
      </c>
      <c r="C6052" t="s">
        <v>10</v>
      </c>
      <c r="D6052" t="s">
        <v>8</v>
      </c>
      <c r="E6052" s="4" t="str">
        <f>HYPERLINK("https://ibp.a2mac1.com/costing(costing:projects/details/9760/part/8416319)","Speaker Grille")</f>
        <v>Speaker Grille</v>
      </c>
      <c r="F6052" t="s">
        <v>6432</v>
      </c>
    </row>
    <row r="6053" spans="1:6" x14ac:dyDescent="0.15">
      <c r="A6053">
        <v>12085665</v>
      </c>
      <c r="B6053">
        <v>8416319</v>
      </c>
      <c r="C6053" t="s">
        <v>114</v>
      </c>
      <c r="D6053" t="s">
        <v>10</v>
      </c>
      <c r="E6053" s="4" t="str">
        <f>HYPERLINK("https://ibp.a2mac1.com/costing(costing:projects/details/9760/process/12085665)","Automated Process")</f>
        <v>Automated Process</v>
      </c>
      <c r="F6053" t="s">
        <v>6433</v>
      </c>
    </row>
    <row r="6054" spans="1:6" x14ac:dyDescent="0.15">
      <c r="A6054">
        <v>8755355</v>
      </c>
      <c r="B6054">
        <v>12085665</v>
      </c>
      <c r="C6054" t="s">
        <v>22</v>
      </c>
      <c r="D6054" t="s">
        <v>114</v>
      </c>
      <c r="E6054" s="4" t="str">
        <f>HYPERLINK("https://ibp.a2mac1.com/costing(costing:projects/details/9760/material/8755355)","PP-EPDM")</f>
        <v>PP-EPDM</v>
      </c>
      <c r="F6054" t="s">
        <v>6434</v>
      </c>
    </row>
    <row r="6055" spans="1:6" x14ac:dyDescent="0.15">
      <c r="A6055">
        <v>12212873</v>
      </c>
      <c r="B6055">
        <v>12085665</v>
      </c>
      <c r="C6055" t="s">
        <v>163</v>
      </c>
      <c r="D6055" t="s">
        <v>114</v>
      </c>
      <c r="E6055" s="4" t="str">
        <f>HYPERLINK("https://ibp.a2mac1.com/costing(costing:projects/details/9760/equipment/12212873)","DC machine - General")</f>
        <v>DC machine - General</v>
      </c>
      <c r="F6055" t="s">
        <v>6434</v>
      </c>
    </row>
    <row r="6056" spans="1:6" x14ac:dyDescent="0.15">
      <c r="A6056">
        <v>8416320</v>
      </c>
      <c r="B6056">
        <v>8415987</v>
      </c>
      <c r="C6056" t="s">
        <v>10</v>
      </c>
      <c r="D6056" t="s">
        <v>8</v>
      </c>
      <c r="E6056" s="4" t="str">
        <f>HYPERLINK("https://ibp.a2mac1.com/costing(costing:projects/details/9760/part/8416320)","Medium Grille")</f>
        <v>Medium Grille</v>
      </c>
      <c r="F6056" t="s">
        <v>6432</v>
      </c>
    </row>
    <row r="6057" spans="1:6" x14ac:dyDescent="0.15">
      <c r="A6057">
        <v>12085666</v>
      </c>
      <c r="B6057">
        <v>8416320</v>
      </c>
      <c r="C6057" t="s">
        <v>114</v>
      </c>
      <c r="D6057" t="s">
        <v>10</v>
      </c>
      <c r="E6057" s="4" t="str">
        <f>HYPERLINK("https://ibp.a2mac1.com/costing(costing:projects/details/9760/process/12085666)","Automated Process")</f>
        <v>Automated Process</v>
      </c>
      <c r="F6057" t="s">
        <v>6436</v>
      </c>
    </row>
    <row r="6058" spans="1:6" x14ac:dyDescent="0.15">
      <c r="A6058">
        <v>8755356</v>
      </c>
      <c r="B6058">
        <v>12085666</v>
      </c>
      <c r="C6058" t="s">
        <v>22</v>
      </c>
      <c r="D6058" t="s">
        <v>114</v>
      </c>
      <c r="E6058" s="4" t="str">
        <f>HYPERLINK("https://ibp.a2mac1.com/costing(costing:projects/details/9760/material/8755356)","Aluminum sheet body (default, e.g. EN-AW6063)")</f>
        <v>Aluminum sheet body (default, e.g. EN-AW6063)</v>
      </c>
      <c r="F6058" t="s">
        <v>6437</v>
      </c>
    </row>
    <row r="6059" spans="1:6" x14ac:dyDescent="0.15">
      <c r="A6059">
        <v>12212874</v>
      </c>
      <c r="B6059">
        <v>12085666</v>
      </c>
      <c r="C6059" t="s">
        <v>163</v>
      </c>
      <c r="D6059" t="s">
        <v>114</v>
      </c>
      <c r="E6059" s="4" t="str">
        <f>HYPERLINK("https://ibp.a2mac1.com/costing(costing:projects/details/9760/equipment/12212874)","DC machine - General")</f>
        <v>DC machine - General</v>
      </c>
      <c r="F6059" t="s">
        <v>6437</v>
      </c>
    </row>
    <row r="6060" spans="1:6" x14ac:dyDescent="0.15">
      <c r="A6060">
        <v>8416321</v>
      </c>
      <c r="B6060">
        <v>8415987</v>
      </c>
      <c r="C6060" t="s">
        <v>10</v>
      </c>
      <c r="D6060" t="s">
        <v>8</v>
      </c>
      <c r="E6060" s="4" t="str">
        <f>HYPERLINK("https://ibp.a2mac1.com/costing(costing:projects/details/9760/part/8416321)","Medium Grille Support")</f>
        <v>Medium Grille Support</v>
      </c>
      <c r="F6060" t="s">
        <v>6432</v>
      </c>
    </row>
    <row r="6061" spans="1:6" x14ac:dyDescent="0.15">
      <c r="A6061">
        <v>12085667</v>
      </c>
      <c r="B6061">
        <v>8416321</v>
      </c>
      <c r="C6061" t="s">
        <v>114</v>
      </c>
      <c r="D6061" t="s">
        <v>10</v>
      </c>
      <c r="E6061" s="4" t="str">
        <f>HYPERLINK("https://ibp.a2mac1.com/costing(costing:projects/details/9760/process/12085667)","Automated Process")</f>
        <v>Automated Process</v>
      </c>
      <c r="F6061" t="s">
        <v>6439</v>
      </c>
    </row>
    <row r="6062" spans="1:6" x14ac:dyDescent="0.15">
      <c r="A6062">
        <v>8755357</v>
      </c>
      <c r="B6062">
        <v>12085667</v>
      </c>
      <c r="C6062" t="s">
        <v>22</v>
      </c>
      <c r="D6062" t="s">
        <v>114</v>
      </c>
      <c r="E6062" s="4" t="str">
        <f>HYPERLINK("https://ibp.a2mac1.com/costing(costing:projects/details/9760/material/8755357)","PC-ABS")</f>
        <v>PC-ABS</v>
      </c>
      <c r="F6062" t="s">
        <v>6440</v>
      </c>
    </row>
    <row r="6063" spans="1:6" x14ac:dyDescent="0.15">
      <c r="A6063">
        <v>12212875</v>
      </c>
      <c r="B6063">
        <v>12085667</v>
      </c>
      <c r="C6063" t="s">
        <v>163</v>
      </c>
      <c r="D6063" t="s">
        <v>114</v>
      </c>
      <c r="E6063" s="4" t="str">
        <f>HYPERLINK("https://ibp.a2mac1.com/costing(costing:projects/details/9760/equipment/12212875)","DC machine - General")</f>
        <v>DC machine - General</v>
      </c>
      <c r="F6063" t="s">
        <v>6440</v>
      </c>
    </row>
    <row r="6064" spans="1:6" x14ac:dyDescent="0.15">
      <c r="A6064">
        <v>8416322</v>
      </c>
      <c r="B6064">
        <v>8415987</v>
      </c>
      <c r="C6064" t="s">
        <v>10</v>
      </c>
      <c r="D6064" t="s">
        <v>8</v>
      </c>
      <c r="E6064" s="4" t="str">
        <f>HYPERLINK("https://ibp.a2mac1.com/costing(costing:projects/details/9760/part/8416322)","Speaker Bezel")</f>
        <v>Speaker Bezel</v>
      </c>
      <c r="F6064" t="s">
        <v>6432</v>
      </c>
    </row>
    <row r="6065" spans="1:6" x14ac:dyDescent="0.15">
      <c r="A6065">
        <v>12085668</v>
      </c>
      <c r="B6065">
        <v>8416322</v>
      </c>
      <c r="C6065" t="s">
        <v>114</v>
      </c>
      <c r="D6065" t="s">
        <v>10</v>
      </c>
      <c r="E6065" s="4" t="str">
        <f>HYPERLINK("https://ibp.a2mac1.com/costing(costing:projects/details/9760/process/12085668)","Automated Process")</f>
        <v>Automated Process</v>
      </c>
      <c r="F6065" t="s">
        <v>6442</v>
      </c>
    </row>
    <row r="6066" spans="1:6" x14ac:dyDescent="0.15">
      <c r="A6066">
        <v>8755358</v>
      </c>
      <c r="B6066">
        <v>12085668</v>
      </c>
      <c r="C6066" t="s">
        <v>22</v>
      </c>
      <c r="D6066" t="s">
        <v>114</v>
      </c>
      <c r="E6066" s="4" t="str">
        <f>HYPERLINK("https://ibp.a2mac1.com/costing(costing:projects/details/9760/material/8755358)","PP")</f>
        <v>PP</v>
      </c>
      <c r="F6066" t="s">
        <v>6443</v>
      </c>
    </row>
    <row r="6067" spans="1:6" x14ac:dyDescent="0.15">
      <c r="A6067">
        <v>12212876</v>
      </c>
      <c r="B6067">
        <v>12085668</v>
      </c>
      <c r="C6067" t="s">
        <v>163</v>
      </c>
      <c r="D6067" t="s">
        <v>114</v>
      </c>
      <c r="E6067" s="4" t="str">
        <f>HYPERLINK("https://ibp.a2mac1.com/costing(costing:projects/details/9760/equipment/12212876)","DC machine - General")</f>
        <v>DC machine - General</v>
      </c>
      <c r="F6067" t="s">
        <v>6443</v>
      </c>
    </row>
    <row r="6068" spans="1:6" x14ac:dyDescent="0.15">
      <c r="A6068">
        <v>8416323</v>
      </c>
      <c r="B6068">
        <v>8415987</v>
      </c>
      <c r="C6068" t="s">
        <v>10</v>
      </c>
      <c r="D6068" t="s">
        <v>8</v>
      </c>
      <c r="E6068" s="4" t="str">
        <f>HYPERLINK("https://ibp.a2mac1.com/costing(costing:projects/details/9760/part/8416323)","Speaker Badge")</f>
        <v>Speaker Badge</v>
      </c>
      <c r="F6068" t="s">
        <v>6432</v>
      </c>
    </row>
    <row r="6069" spans="1:6" x14ac:dyDescent="0.15">
      <c r="A6069">
        <v>12085669</v>
      </c>
      <c r="B6069">
        <v>8416323</v>
      </c>
      <c r="C6069" t="s">
        <v>114</v>
      </c>
      <c r="D6069" t="s">
        <v>10</v>
      </c>
      <c r="E6069" s="4" t="str">
        <f>HYPERLINK("https://ibp.a2mac1.com/costing(costing:projects/details/9760/process/12085669)","Automated Process")</f>
        <v>Automated Process</v>
      </c>
      <c r="F6069" t="s">
        <v>6445</v>
      </c>
    </row>
    <row r="6070" spans="1:6" x14ac:dyDescent="0.15">
      <c r="A6070">
        <v>8755359</v>
      </c>
      <c r="B6070">
        <v>12085669</v>
      </c>
      <c r="C6070" t="s">
        <v>22</v>
      </c>
      <c r="D6070" t="s">
        <v>114</v>
      </c>
      <c r="E6070" s="4" t="str">
        <f>HYPERLINK("https://ibp.a2mac1.com/costing(costing:projects/details/9760/material/8755359)","Aluminum sheet body (default, e.g. EN-AW6063)")</f>
        <v>Aluminum sheet body (default, e.g. EN-AW6063)</v>
      </c>
      <c r="F6070" t="s">
        <v>6446</v>
      </c>
    </row>
    <row r="6071" spans="1:6" x14ac:dyDescent="0.15">
      <c r="A6071">
        <v>12212877</v>
      </c>
      <c r="B6071">
        <v>12085669</v>
      </c>
      <c r="C6071" t="s">
        <v>163</v>
      </c>
      <c r="D6071" t="s">
        <v>114</v>
      </c>
      <c r="E6071" s="4" t="str">
        <f>HYPERLINK("https://ibp.a2mac1.com/costing(costing:projects/details/9760/equipment/12212877)","DC machine - General")</f>
        <v>DC machine - General</v>
      </c>
      <c r="F6071" t="s">
        <v>6446</v>
      </c>
    </row>
    <row r="6072" spans="1:6" x14ac:dyDescent="0.15">
      <c r="A6072">
        <v>8415977</v>
      </c>
      <c r="B6072">
        <v>8415672</v>
      </c>
      <c r="C6072" t="s">
        <v>10</v>
      </c>
      <c r="D6072" t="s">
        <v>8</v>
      </c>
      <c r="E6072" s="4" t="str">
        <f>HYPERLINK("https://ibp.a2mac1.com/costing(costing:projects/details/9760/part/8415977)","Panel Carrier")</f>
        <v>Panel Carrier</v>
      </c>
      <c r="F6072" t="s">
        <v>6423</v>
      </c>
    </row>
    <row r="6073" spans="1:6" x14ac:dyDescent="0.15">
      <c r="A6073">
        <v>12085308</v>
      </c>
      <c r="B6073">
        <v>8415977</v>
      </c>
      <c r="C6073" t="s">
        <v>114</v>
      </c>
      <c r="D6073" t="s">
        <v>10</v>
      </c>
      <c r="E6073" s="4" t="str">
        <f>HYPERLINK("https://ibp.a2mac1.com/costing(costing:projects/details/9760/process/12085308)","Automated Process")</f>
        <v>Automated Process</v>
      </c>
      <c r="F6073" t="s">
        <v>6449</v>
      </c>
    </row>
    <row r="6074" spans="1:6" x14ac:dyDescent="0.15">
      <c r="A6074">
        <v>8754944</v>
      </c>
      <c r="B6074">
        <v>12085308</v>
      </c>
      <c r="C6074" t="s">
        <v>22</v>
      </c>
      <c r="D6074" t="s">
        <v>114</v>
      </c>
      <c r="E6074" s="4" t="str">
        <f>HYPERLINK("https://ibp.a2mac1.com/costing(costing:projects/details/9760/material/8754944)","PP-EPDM")</f>
        <v>PP-EPDM</v>
      </c>
      <c r="F6074" t="s">
        <v>6450</v>
      </c>
    </row>
    <row r="6075" spans="1:6" x14ac:dyDescent="0.15">
      <c r="A6075">
        <v>12212404</v>
      </c>
      <c r="B6075">
        <v>12085308</v>
      </c>
      <c r="C6075" t="s">
        <v>163</v>
      </c>
      <c r="D6075" t="s">
        <v>114</v>
      </c>
      <c r="E6075" s="4" t="str">
        <f>HYPERLINK("https://ibp.a2mac1.com/costing(costing:projects/details/9760/equipment/12212404)","DC machine - General")</f>
        <v>DC machine - General</v>
      </c>
      <c r="F6075" t="s">
        <v>6450</v>
      </c>
    </row>
    <row r="6076" spans="1:6" x14ac:dyDescent="0.15">
      <c r="A6076">
        <v>8415978</v>
      </c>
      <c r="B6076">
        <v>8415672</v>
      </c>
      <c r="C6076" t="s">
        <v>10</v>
      </c>
      <c r="D6076" t="s">
        <v>8</v>
      </c>
      <c r="E6076" s="4" t="str">
        <f>HYPERLINK("https://ibp.a2mac1.com/costing(costing:projects/details/9760/part/8415978)","Insert")</f>
        <v>Insert</v>
      </c>
      <c r="F6076" t="s">
        <v>6423</v>
      </c>
    </row>
    <row r="6077" spans="1:6" x14ac:dyDescent="0.15">
      <c r="A6077">
        <v>12085309</v>
      </c>
      <c r="B6077">
        <v>8415978</v>
      </c>
      <c r="C6077" t="s">
        <v>114</v>
      </c>
      <c r="D6077" t="s">
        <v>10</v>
      </c>
      <c r="E6077" s="4" t="str">
        <f>HYPERLINK("https://ibp.a2mac1.com/costing(costing:projects/details/9760/process/12085309)","Automated Process")</f>
        <v>Automated Process</v>
      </c>
      <c r="F6077" t="s">
        <v>6452</v>
      </c>
    </row>
    <row r="6078" spans="1:6" x14ac:dyDescent="0.15">
      <c r="A6078">
        <v>8754945</v>
      </c>
      <c r="B6078">
        <v>12085309</v>
      </c>
      <c r="C6078" t="s">
        <v>22</v>
      </c>
      <c r="D6078" t="s">
        <v>114</v>
      </c>
      <c r="E6078" s="4" t="str">
        <f>HYPERLINK("https://ibp.a2mac1.com/costing(costing:projects/details/9760/material/8754945)","PC-ABS")</f>
        <v>PC-ABS</v>
      </c>
      <c r="F6078" t="s">
        <v>6453</v>
      </c>
    </row>
    <row r="6079" spans="1:6" x14ac:dyDescent="0.15">
      <c r="A6079">
        <v>8754946</v>
      </c>
      <c r="B6079">
        <v>12085309</v>
      </c>
      <c r="C6079" t="s">
        <v>22</v>
      </c>
      <c r="D6079" t="s">
        <v>114</v>
      </c>
      <c r="E6079" s="4" t="str">
        <f>HYPERLINK("https://ibp.a2mac1.com/costing(costing:projects/details/9760/material/8754946)","PVC + Fabric backing 3mm PU foam")</f>
        <v>PVC + Fabric backing 3mm PU foam</v>
      </c>
      <c r="F6079" t="s">
        <v>6453</v>
      </c>
    </row>
    <row r="6080" spans="1:6" x14ac:dyDescent="0.15">
      <c r="A6080">
        <v>12212405</v>
      </c>
      <c r="B6080">
        <v>12085309</v>
      </c>
      <c r="C6080" t="s">
        <v>163</v>
      </c>
      <c r="D6080" t="s">
        <v>114</v>
      </c>
      <c r="E6080" s="4" t="str">
        <f>HYPERLINK("https://ibp.a2mac1.com/costing(costing:projects/details/9760/equipment/12212405)","DC machine - General")</f>
        <v>DC machine - General</v>
      </c>
      <c r="F6080" t="s">
        <v>6453</v>
      </c>
    </row>
    <row r="6081" spans="1:6" x14ac:dyDescent="0.15">
      <c r="A6081">
        <v>8415979</v>
      </c>
      <c r="B6081">
        <v>8415672</v>
      </c>
      <c r="C6081" t="s">
        <v>10</v>
      </c>
      <c r="D6081" t="s">
        <v>8</v>
      </c>
      <c r="E6081" s="4" t="str">
        <f>HYPERLINK("https://ibp.a2mac1.com/costing(costing:projects/details/9760/part/8415979)","Armrest")</f>
        <v>Armrest</v>
      </c>
      <c r="F6081" t="s">
        <v>6423</v>
      </c>
    </row>
    <row r="6082" spans="1:6" x14ac:dyDescent="0.15">
      <c r="A6082">
        <v>12085310</v>
      </c>
      <c r="B6082">
        <v>8415979</v>
      </c>
      <c r="C6082" t="s">
        <v>114</v>
      </c>
      <c r="D6082" t="s">
        <v>10</v>
      </c>
      <c r="E6082" s="4" t="str">
        <f>HYPERLINK("https://ibp.a2mac1.com/costing(costing:projects/details/9760/process/12085310)","Automated Process")</f>
        <v>Automated Process</v>
      </c>
      <c r="F6082" t="s">
        <v>6455</v>
      </c>
    </row>
    <row r="6083" spans="1:6" x14ac:dyDescent="0.15">
      <c r="A6083">
        <v>8754947</v>
      </c>
      <c r="B6083">
        <v>12085310</v>
      </c>
      <c r="C6083" t="s">
        <v>22</v>
      </c>
      <c r="D6083" t="s">
        <v>114</v>
      </c>
      <c r="E6083" s="4" t="str">
        <f>HYPERLINK("https://ibp.a2mac1.com/costing(costing:projects/details/9760/material/8754947)","PP-EPDM")</f>
        <v>PP-EPDM</v>
      </c>
      <c r="F6083" t="s">
        <v>6456</v>
      </c>
    </row>
    <row r="6084" spans="1:6" x14ac:dyDescent="0.15">
      <c r="A6084">
        <v>8754948</v>
      </c>
      <c r="B6084">
        <v>12085310</v>
      </c>
      <c r="C6084" t="s">
        <v>22</v>
      </c>
      <c r="D6084" t="s">
        <v>114</v>
      </c>
      <c r="E6084" s="4" t="str">
        <f>HYPERLINK("https://ibp.a2mac1.com/costing(costing:projects/details/9760/material/8754948)","PVC + Fabric backing 3mm PU foam")</f>
        <v>PVC + Fabric backing 3mm PU foam</v>
      </c>
      <c r="F6084" t="s">
        <v>6456</v>
      </c>
    </row>
    <row r="6085" spans="1:6" x14ac:dyDescent="0.15">
      <c r="A6085">
        <v>12212406</v>
      </c>
      <c r="B6085">
        <v>12085310</v>
      </c>
      <c r="C6085" t="s">
        <v>163</v>
      </c>
      <c r="D6085" t="s">
        <v>114</v>
      </c>
      <c r="E6085" s="4" t="str">
        <f>HYPERLINK("https://ibp.a2mac1.com/costing(costing:projects/details/9760/equipment/12212406)","DC machine - General")</f>
        <v>DC machine - General</v>
      </c>
      <c r="F6085" t="s">
        <v>6456</v>
      </c>
    </row>
    <row r="6086" spans="1:6" x14ac:dyDescent="0.15">
      <c r="A6086">
        <v>8415980</v>
      </c>
      <c r="B6086">
        <v>8415672</v>
      </c>
      <c r="C6086" t="s">
        <v>10</v>
      </c>
      <c r="D6086" t="s">
        <v>8</v>
      </c>
      <c r="E6086" s="4" t="str">
        <f>HYPERLINK("https://ibp.a2mac1.com/costing(costing:projects/details/9760/part/8415980)","Trim")</f>
        <v>Trim</v>
      </c>
      <c r="F6086" t="s">
        <v>6423</v>
      </c>
    </row>
    <row r="6087" spans="1:6" x14ac:dyDescent="0.15">
      <c r="A6087">
        <v>12085311</v>
      </c>
      <c r="B6087">
        <v>8415980</v>
      </c>
      <c r="C6087" t="s">
        <v>114</v>
      </c>
      <c r="D6087" t="s">
        <v>10</v>
      </c>
      <c r="E6087" s="4" t="str">
        <f>HYPERLINK("https://ibp.a2mac1.com/costing(costing:projects/details/9760/process/12085311)","Automated Process")</f>
        <v>Automated Process</v>
      </c>
      <c r="F6087" t="s">
        <v>6458</v>
      </c>
    </row>
    <row r="6088" spans="1:6" x14ac:dyDescent="0.15">
      <c r="A6088">
        <v>8754949</v>
      </c>
      <c r="B6088">
        <v>12085311</v>
      </c>
      <c r="C6088" t="s">
        <v>22</v>
      </c>
      <c r="D6088" t="s">
        <v>114</v>
      </c>
      <c r="E6088" s="4" t="str">
        <f>HYPERLINK("https://ibp.a2mac1.com/costing(costing:projects/details/9760/material/8754949)","PC-ABS")</f>
        <v>PC-ABS</v>
      </c>
      <c r="F6088" t="s">
        <v>6459</v>
      </c>
    </row>
    <row r="6089" spans="1:6" x14ac:dyDescent="0.15">
      <c r="A6089">
        <v>12212407</v>
      </c>
      <c r="B6089">
        <v>12085311</v>
      </c>
      <c r="C6089" t="s">
        <v>163</v>
      </c>
      <c r="D6089" t="s">
        <v>114</v>
      </c>
      <c r="E6089" s="4" t="str">
        <f>HYPERLINK("https://ibp.a2mac1.com/costing(costing:projects/details/9760/equipment/12212407)","DC machine - General")</f>
        <v>DC machine - General</v>
      </c>
      <c r="F6089" t="s">
        <v>6459</v>
      </c>
    </row>
    <row r="6090" spans="1:6" x14ac:dyDescent="0.15">
      <c r="A6090">
        <v>8415981</v>
      </c>
      <c r="B6090">
        <v>8415672</v>
      </c>
      <c r="C6090" t="s">
        <v>10</v>
      </c>
      <c r="D6090" t="s">
        <v>8</v>
      </c>
      <c r="E6090" s="4" t="str">
        <f>HYPERLINK("https://ibp.a2mac1.com/costing(costing:projects/details/9760/part/8415981)","2nd Trim")</f>
        <v>2nd Trim</v>
      </c>
      <c r="F6090" t="s">
        <v>6423</v>
      </c>
    </row>
    <row r="6091" spans="1:6" x14ac:dyDescent="0.15">
      <c r="A6091">
        <v>12085312</v>
      </c>
      <c r="B6091">
        <v>8415981</v>
      </c>
      <c r="C6091" t="s">
        <v>114</v>
      </c>
      <c r="D6091" t="s">
        <v>10</v>
      </c>
      <c r="E6091" s="4" t="str">
        <f>HYPERLINK("https://ibp.a2mac1.com/costing(costing:projects/details/9760/process/12085312)","Automated Process")</f>
        <v>Automated Process</v>
      </c>
      <c r="F6091" t="s">
        <v>6461</v>
      </c>
    </row>
    <row r="6092" spans="1:6" x14ac:dyDescent="0.15">
      <c r="A6092">
        <v>8754950</v>
      </c>
      <c r="B6092">
        <v>12085312</v>
      </c>
      <c r="C6092" t="s">
        <v>22</v>
      </c>
      <c r="D6092" t="s">
        <v>114</v>
      </c>
      <c r="E6092" s="4" t="str">
        <f>HYPERLINK("https://ibp.a2mac1.com/costing(costing:projects/details/9760/material/8754950)","PC-ABS")</f>
        <v>PC-ABS</v>
      </c>
      <c r="F6092" t="s">
        <v>6462</v>
      </c>
    </row>
    <row r="6093" spans="1:6" x14ac:dyDescent="0.15">
      <c r="A6093">
        <v>12212408</v>
      </c>
      <c r="B6093">
        <v>12085312</v>
      </c>
      <c r="C6093" t="s">
        <v>163</v>
      </c>
      <c r="D6093" t="s">
        <v>114</v>
      </c>
      <c r="E6093" s="4" t="str">
        <f>HYPERLINK("https://ibp.a2mac1.com/costing(costing:projects/details/9760/equipment/12212408)","DC machine - General")</f>
        <v>DC machine - General</v>
      </c>
      <c r="F6093" t="s">
        <v>6462</v>
      </c>
    </row>
    <row r="6094" spans="1:6" x14ac:dyDescent="0.15">
      <c r="A6094">
        <v>8415982</v>
      </c>
      <c r="B6094">
        <v>8415672</v>
      </c>
      <c r="C6094" t="s">
        <v>10</v>
      </c>
      <c r="D6094" t="s">
        <v>8</v>
      </c>
      <c r="E6094" s="4" t="str">
        <f>HYPERLINK("https://ibp.a2mac1.com/costing(costing:projects/details/9760/part/8415982)","Upper Band")</f>
        <v>Upper Band</v>
      </c>
      <c r="F6094" t="s">
        <v>6423</v>
      </c>
    </row>
    <row r="6095" spans="1:6" x14ac:dyDescent="0.15">
      <c r="A6095">
        <v>12085313</v>
      </c>
      <c r="B6095">
        <v>8415982</v>
      </c>
      <c r="C6095" t="s">
        <v>114</v>
      </c>
      <c r="D6095" t="s">
        <v>10</v>
      </c>
      <c r="E6095" s="4" t="str">
        <f>HYPERLINK("https://ibp.a2mac1.com/costing(costing:projects/details/9760/process/12085313)","Automated Process")</f>
        <v>Automated Process</v>
      </c>
      <c r="F6095" t="s">
        <v>6464</v>
      </c>
    </row>
    <row r="6096" spans="1:6" x14ac:dyDescent="0.15">
      <c r="A6096">
        <v>8754951</v>
      </c>
      <c r="B6096">
        <v>12085313</v>
      </c>
      <c r="C6096" t="s">
        <v>22</v>
      </c>
      <c r="D6096" t="s">
        <v>114</v>
      </c>
      <c r="E6096" s="4" t="str">
        <f>HYPERLINK("https://ibp.a2mac1.com/costing(costing:projects/details/9760/material/8754951)","PP-EPDM")</f>
        <v>PP-EPDM</v>
      </c>
      <c r="F6096" t="s">
        <v>6465</v>
      </c>
    </row>
    <row r="6097" spans="1:6" x14ac:dyDescent="0.15">
      <c r="A6097">
        <v>8754952</v>
      </c>
      <c r="B6097">
        <v>12085313</v>
      </c>
      <c r="C6097" t="s">
        <v>22</v>
      </c>
      <c r="D6097" t="s">
        <v>114</v>
      </c>
      <c r="E6097" s="4" t="str">
        <f>HYPERLINK("https://ibp.a2mac1.com/costing(costing:projects/details/9760/material/8754952)","PVC + Fabric backing 3mm PU foam")</f>
        <v>PVC + Fabric backing 3mm PU foam</v>
      </c>
      <c r="F6097" t="s">
        <v>6465</v>
      </c>
    </row>
    <row r="6098" spans="1:6" x14ac:dyDescent="0.15">
      <c r="A6098">
        <v>12212409</v>
      </c>
      <c r="B6098">
        <v>12085313</v>
      </c>
      <c r="C6098" t="s">
        <v>163</v>
      </c>
      <c r="D6098" t="s">
        <v>114</v>
      </c>
      <c r="E6098" s="4" t="str">
        <f>HYPERLINK("https://ibp.a2mac1.com/costing(costing:projects/details/9760/equipment/12212409)","DC machine - General")</f>
        <v>DC machine - General</v>
      </c>
      <c r="F6098" t="s">
        <v>6465</v>
      </c>
    </row>
    <row r="6099" spans="1:6" x14ac:dyDescent="0.15">
      <c r="A6099">
        <v>8415983</v>
      </c>
      <c r="B6099">
        <v>8415672</v>
      </c>
      <c r="C6099" t="s">
        <v>10</v>
      </c>
      <c r="D6099" t="s">
        <v>8</v>
      </c>
      <c r="E6099" s="4" t="str">
        <f>HYPERLINK("https://ibp.a2mac1.com/costing(costing:projects/details/9760/part/8415983)","Door Map Pocket Panel")</f>
        <v>Door Map Pocket Panel</v>
      </c>
      <c r="F6099" t="s">
        <v>6423</v>
      </c>
    </row>
    <row r="6100" spans="1:6" x14ac:dyDescent="0.15">
      <c r="A6100">
        <v>12085314</v>
      </c>
      <c r="B6100">
        <v>8415983</v>
      </c>
      <c r="C6100" t="s">
        <v>114</v>
      </c>
      <c r="D6100" t="s">
        <v>10</v>
      </c>
      <c r="E6100" s="4" t="str">
        <f>HYPERLINK("https://ibp.a2mac1.com/costing(costing:projects/details/9760/process/12085314)","Automated Process")</f>
        <v>Automated Process</v>
      </c>
      <c r="F6100" t="s">
        <v>6467</v>
      </c>
    </row>
    <row r="6101" spans="1:6" x14ac:dyDescent="0.15">
      <c r="A6101">
        <v>8754953</v>
      </c>
      <c r="B6101">
        <v>12085314</v>
      </c>
      <c r="C6101" t="s">
        <v>22</v>
      </c>
      <c r="D6101" t="s">
        <v>114</v>
      </c>
      <c r="E6101" s="4" t="str">
        <f>HYPERLINK("https://ibp.a2mac1.com/costing(costing:projects/details/9760/material/8754953)","PP-EPDM")</f>
        <v>PP-EPDM</v>
      </c>
      <c r="F6101" t="s">
        <v>6468</v>
      </c>
    </row>
    <row r="6102" spans="1:6" x14ac:dyDescent="0.15">
      <c r="A6102">
        <v>12212410</v>
      </c>
      <c r="B6102">
        <v>12085314</v>
      </c>
      <c r="C6102" t="s">
        <v>163</v>
      </c>
      <c r="D6102" t="s">
        <v>114</v>
      </c>
      <c r="E6102" s="4" t="str">
        <f>HYPERLINK("https://ibp.a2mac1.com/costing(costing:projects/details/9760/equipment/12212410)","DC machine - General")</f>
        <v>DC machine - General</v>
      </c>
      <c r="F6102" t="s">
        <v>6468</v>
      </c>
    </row>
    <row r="6103" spans="1:6" x14ac:dyDescent="0.15">
      <c r="A6103">
        <v>8415984</v>
      </c>
      <c r="B6103">
        <v>8415672</v>
      </c>
      <c r="C6103" t="s">
        <v>10</v>
      </c>
      <c r="D6103" t="s">
        <v>8</v>
      </c>
      <c r="E6103" s="4" t="str">
        <f>HYPERLINK("https://ibp.a2mac1.com/costing(costing:projects/details/9760/part/8415984)","Soundproofing")</f>
        <v>Soundproofing</v>
      </c>
      <c r="F6103" t="s">
        <v>6423</v>
      </c>
    </row>
    <row r="6104" spans="1:6" x14ac:dyDescent="0.15">
      <c r="A6104">
        <v>12085315</v>
      </c>
      <c r="B6104">
        <v>8415984</v>
      </c>
      <c r="C6104" t="s">
        <v>114</v>
      </c>
      <c r="D6104" t="s">
        <v>10</v>
      </c>
      <c r="E6104" s="4" t="str">
        <f>HYPERLINK("https://ibp.a2mac1.com/costing(costing:projects/details/9760/process/12085315)","Automated Process")</f>
        <v>Automated Process</v>
      </c>
      <c r="F6104" t="s">
        <v>6470</v>
      </c>
    </row>
    <row r="6105" spans="1:6" x14ac:dyDescent="0.15">
      <c r="A6105">
        <v>8754954</v>
      </c>
      <c r="B6105">
        <v>12085315</v>
      </c>
      <c r="C6105" t="s">
        <v>22</v>
      </c>
      <c r="D6105" t="s">
        <v>114</v>
      </c>
      <c r="E6105" s="4" t="str">
        <f>HYPERLINK("https://ibp.a2mac1.com/costing(costing:projects/details/9760/material/8754954)","Thinsulate")</f>
        <v>Thinsulate</v>
      </c>
      <c r="F6105" t="s">
        <v>6471</v>
      </c>
    </row>
    <row r="6106" spans="1:6" x14ac:dyDescent="0.15">
      <c r="A6106">
        <v>12212411</v>
      </c>
      <c r="B6106">
        <v>12085315</v>
      </c>
      <c r="C6106" t="s">
        <v>163</v>
      </c>
      <c r="D6106" t="s">
        <v>114</v>
      </c>
      <c r="E6106" s="4" t="str">
        <f>HYPERLINK("https://ibp.a2mac1.com/costing(costing:projects/details/9760/equipment/12212411)","DC machine - General")</f>
        <v>DC machine - General</v>
      </c>
      <c r="F6106" t="s">
        <v>6471</v>
      </c>
    </row>
    <row r="6107" spans="1:6" x14ac:dyDescent="0.15">
      <c r="A6107">
        <v>8415985</v>
      </c>
      <c r="B6107">
        <v>8415672</v>
      </c>
      <c r="C6107" t="s">
        <v>10</v>
      </c>
      <c r="D6107" t="s">
        <v>8</v>
      </c>
      <c r="E6107" s="4" t="str">
        <f>HYPERLINK("https://ibp.a2mac1.com/costing(costing:projects/details/9760/part/8415985)","Reinforcement")</f>
        <v>Reinforcement</v>
      </c>
      <c r="F6107" t="s">
        <v>6423</v>
      </c>
    </row>
    <row r="6108" spans="1:6" x14ac:dyDescent="0.15">
      <c r="A6108">
        <v>12085316</v>
      </c>
      <c r="B6108">
        <v>8415985</v>
      </c>
      <c r="C6108" t="s">
        <v>114</v>
      </c>
      <c r="D6108" t="s">
        <v>10</v>
      </c>
      <c r="E6108" s="4" t="str">
        <f>HYPERLINK("https://ibp.a2mac1.com/costing(costing:projects/details/9760/process/12085316)","Automated Process")</f>
        <v>Automated Process</v>
      </c>
      <c r="F6108" t="s">
        <v>6473</v>
      </c>
    </row>
    <row r="6109" spans="1:6" x14ac:dyDescent="0.15">
      <c r="A6109">
        <v>8754955</v>
      </c>
      <c r="B6109">
        <v>12085316</v>
      </c>
      <c r="C6109" t="s">
        <v>22</v>
      </c>
      <c r="D6109" t="s">
        <v>114</v>
      </c>
      <c r="E6109" s="4" t="str">
        <f>HYPERLINK("https://ibp.a2mac1.com/costing(costing:projects/details/9760/material/8754955)","PP-EPDM")</f>
        <v>PP-EPDM</v>
      </c>
      <c r="F6109" t="s">
        <v>6474</v>
      </c>
    </row>
    <row r="6110" spans="1:6" x14ac:dyDescent="0.15">
      <c r="A6110">
        <v>12212412</v>
      </c>
      <c r="B6110">
        <v>12085316</v>
      </c>
      <c r="C6110" t="s">
        <v>163</v>
      </c>
      <c r="D6110" t="s">
        <v>114</v>
      </c>
      <c r="E6110" s="4" t="str">
        <f>HYPERLINK("https://ibp.a2mac1.com/costing(costing:projects/details/9760/equipment/12212412)","DC machine - General")</f>
        <v>DC machine - General</v>
      </c>
      <c r="F6110" t="s">
        <v>6474</v>
      </c>
    </row>
    <row r="6111" spans="1:6" x14ac:dyDescent="0.15">
      <c r="A6111">
        <v>8754439</v>
      </c>
      <c r="B6111">
        <v>8415672</v>
      </c>
      <c r="C6111" t="s">
        <v>311</v>
      </c>
      <c r="D6111" t="s">
        <v>8</v>
      </c>
      <c r="E6111" s="4" t="str">
        <f>HYPERLINK("https://ibp.a2mac1.com/costing(costing:projects/details/9760/component/8754439)","Other fastener &gt; Attachment")</f>
        <v>Other fastener &gt; Attachment</v>
      </c>
      <c r="F6111" t="s">
        <v>6423</v>
      </c>
    </row>
    <row r="6112" spans="1:6" x14ac:dyDescent="0.15">
      <c r="A6112">
        <v>8754440</v>
      </c>
      <c r="B6112">
        <v>8415672</v>
      </c>
      <c r="C6112" t="s">
        <v>311</v>
      </c>
      <c r="D6112" t="s">
        <v>8</v>
      </c>
      <c r="E6112" s="4" t="str">
        <f>HYPERLINK("https://ibp.a2mac1.com/costing(costing:projects/details/9760/component/8754440)","Screw &gt; Cross recessed screw with flange")</f>
        <v>Screw &gt; Cross recessed screw with flange</v>
      </c>
      <c r="F6112" t="s">
        <v>6423</v>
      </c>
    </row>
    <row r="6113" spans="1:6" x14ac:dyDescent="0.15">
      <c r="A6113">
        <v>8754441</v>
      </c>
      <c r="B6113">
        <v>8415672</v>
      </c>
      <c r="C6113" t="s">
        <v>311</v>
      </c>
      <c r="D6113" t="s">
        <v>8</v>
      </c>
      <c r="E6113" s="4" t="str">
        <f>HYPERLINK("https://ibp.a2mac1.com/costing(costing:projects/details/9760/component/8754441)","Screw &gt; Cross recessed screw with flange")</f>
        <v>Screw &gt; Cross recessed screw with flange</v>
      </c>
      <c r="F6113" t="s">
        <v>6423</v>
      </c>
    </row>
    <row r="6114" spans="1:6" x14ac:dyDescent="0.15">
      <c r="A6114">
        <v>8415676</v>
      </c>
      <c r="B6114">
        <v>8415586</v>
      </c>
      <c r="C6114" t="s">
        <v>8</v>
      </c>
      <c r="D6114" t="s">
        <v>8</v>
      </c>
      <c r="E6114" s="4" t="str">
        <f>HYPERLINK("https://ibp.a2mac1.com/costing(costing:projects/details/9760/assembly/8415676)","Rear Door Left")</f>
        <v>Rear Door Left</v>
      </c>
      <c r="F6114" t="s">
        <v>6279</v>
      </c>
    </row>
    <row r="6115" spans="1:6" x14ac:dyDescent="0.15">
      <c r="A6115">
        <v>8415988</v>
      </c>
      <c r="B6115">
        <v>8415676</v>
      </c>
      <c r="C6115" t="s">
        <v>8</v>
      </c>
      <c r="D6115" t="s">
        <v>8</v>
      </c>
      <c r="E6115" s="4" t="str">
        <f>HYPERLINK("https://ibp.a2mac1.com/costing(costing:projects/details/9760/assembly/8415988)","Housing assy")</f>
        <v>Housing assy</v>
      </c>
      <c r="F6115" t="s">
        <v>6477</v>
      </c>
    </row>
    <row r="6116" spans="1:6" x14ac:dyDescent="0.15">
      <c r="A6116">
        <v>8416324</v>
      </c>
      <c r="B6116">
        <v>8415988</v>
      </c>
      <c r="C6116" t="s">
        <v>8</v>
      </c>
      <c r="D6116" t="s">
        <v>8</v>
      </c>
      <c r="E6116" s="4" t="str">
        <f>HYPERLINK("https://ibp.a2mac1.com/costing(costing:projects/details/9760/assembly/8416324)","Housing")</f>
        <v>Housing</v>
      </c>
      <c r="F6116" t="s">
        <v>6478</v>
      </c>
    </row>
    <row r="6117" spans="1:6" x14ac:dyDescent="0.15">
      <c r="A6117">
        <v>8416552</v>
      </c>
      <c r="B6117">
        <v>8416324</v>
      </c>
      <c r="C6117" t="s">
        <v>10</v>
      </c>
      <c r="D6117" t="s">
        <v>8</v>
      </c>
      <c r="E6117" s="4" t="str">
        <f>HYPERLINK("https://ibp.a2mac1.com/costing(costing:projects/details/9760/part/8416552)","Closures&gt;Rear door&gt;Housing assy&gt;Housing&gt;Part 01 (single/front)")</f>
        <v>Closures&gt;Rear door&gt;Housing assy&gt;Housing&gt;Part 01 (single/front)</v>
      </c>
      <c r="F6117" t="s">
        <v>6479</v>
      </c>
    </row>
    <row r="6118" spans="1:6" x14ac:dyDescent="0.15">
      <c r="A6118">
        <v>12085983</v>
      </c>
      <c r="B6118">
        <v>8416552</v>
      </c>
      <c r="C6118" t="s">
        <v>114</v>
      </c>
      <c r="D6118" t="s">
        <v>10</v>
      </c>
      <c r="E6118" s="4" t="str">
        <f>HYPERLINK("https://ibp.a2mac1.com/costing(costing:projects/details/9760/process/12085983)","MANUFACTURING  PROCESS")</f>
        <v>MANUFACTURING  PROCESS</v>
      </c>
      <c r="F6118" t="s">
        <v>6480</v>
      </c>
    </row>
    <row r="6119" spans="1:6" x14ac:dyDescent="0.15">
      <c r="A6119">
        <v>8755596</v>
      </c>
      <c r="B6119">
        <v>12085983</v>
      </c>
      <c r="C6119" t="s">
        <v>22</v>
      </c>
      <c r="D6119" t="s">
        <v>114</v>
      </c>
      <c r="E6119" s="4" t="str">
        <f>HYPERLINK("https://ibp.a2mac1.com/costing(costing:projects/details/9760/material/8755596)","Standard Structural Steel sheet")</f>
        <v>Standard Structural Steel sheet</v>
      </c>
      <c r="F6119" t="s">
        <v>6481</v>
      </c>
    </row>
    <row r="6120" spans="1:6" x14ac:dyDescent="0.15">
      <c r="A6120">
        <v>12213141</v>
      </c>
      <c r="B6120">
        <v>12085983</v>
      </c>
      <c r="C6120" t="s">
        <v>163</v>
      </c>
      <c r="D6120" t="s">
        <v>114</v>
      </c>
      <c r="E6120" s="4" t="str">
        <f>HYPERLINK("https://ibp.a2mac1.com/costing(costing:projects/details/9760/equipment/12213141)","Manufacturing Equipment")</f>
        <v>Manufacturing Equipment</v>
      </c>
      <c r="F6120" t="s">
        <v>6481</v>
      </c>
    </row>
    <row r="6121" spans="1:6" x14ac:dyDescent="0.15">
      <c r="A6121">
        <v>8416325</v>
      </c>
      <c r="B6121">
        <v>8415988</v>
      </c>
      <c r="C6121" t="s">
        <v>8</v>
      </c>
      <c r="D6121" t="s">
        <v>8</v>
      </c>
      <c r="E6121" s="4" t="str">
        <f>HYPERLINK("https://ibp.a2mac1.com/costing(costing:projects/details/9760/assembly/8416325)","Reinforcements")</f>
        <v>Reinforcements</v>
      </c>
      <c r="F6121" t="s">
        <v>6478</v>
      </c>
    </row>
    <row r="6122" spans="1:6" x14ac:dyDescent="0.15">
      <c r="A6122">
        <v>8416553</v>
      </c>
      <c r="B6122">
        <v>8416325</v>
      </c>
      <c r="C6122" t="s">
        <v>10</v>
      </c>
      <c r="D6122" t="s">
        <v>8</v>
      </c>
      <c r="E6122" s="4" t="str">
        <f>HYPERLINK("https://ibp.a2mac1.com/costing(costing:projects/details/9760/part/8416553)","Closures&gt;Rear door&gt;Housing assy&gt;Reinforcements&gt;Part 01 (single/main)")</f>
        <v>Closures&gt;Rear door&gt;Housing assy&gt;Reinforcements&gt;Part 01 (single/main)</v>
      </c>
      <c r="F6122" t="s">
        <v>6483</v>
      </c>
    </row>
    <row r="6123" spans="1:6" x14ac:dyDescent="0.15">
      <c r="A6123">
        <v>12085984</v>
      </c>
      <c r="B6123">
        <v>8416553</v>
      </c>
      <c r="C6123" t="s">
        <v>114</v>
      </c>
      <c r="D6123" t="s">
        <v>10</v>
      </c>
      <c r="E6123" s="4" t="str">
        <f>HYPERLINK("https://ibp.a2mac1.com/costing(costing:projects/details/9760/process/12085984)","MANUFACTURING  PROCESS")</f>
        <v>MANUFACTURING  PROCESS</v>
      </c>
      <c r="F6123" t="s">
        <v>6484</v>
      </c>
    </row>
    <row r="6124" spans="1:6" x14ac:dyDescent="0.15">
      <c r="A6124">
        <v>8755597</v>
      </c>
      <c r="B6124">
        <v>12085984</v>
      </c>
      <c r="C6124" t="s">
        <v>22</v>
      </c>
      <c r="D6124" t="s">
        <v>114</v>
      </c>
      <c r="E6124" s="4" t="str">
        <f>HYPERLINK("https://ibp.a2mac1.com/costing(costing:projects/details/9760/material/8755597)","Standard Structural Steel sheet")</f>
        <v>Standard Structural Steel sheet</v>
      </c>
      <c r="F6124" t="s">
        <v>6485</v>
      </c>
    </row>
    <row r="6125" spans="1:6" x14ac:dyDescent="0.15">
      <c r="A6125">
        <v>12213142</v>
      </c>
      <c r="B6125">
        <v>12085984</v>
      </c>
      <c r="C6125" t="s">
        <v>163</v>
      </c>
      <c r="D6125" t="s">
        <v>114</v>
      </c>
      <c r="E6125" s="4" t="str">
        <f>HYPERLINK("https://ibp.a2mac1.com/costing(costing:projects/details/9760/equipment/12213142)","Manufacturing Equipment")</f>
        <v>Manufacturing Equipment</v>
      </c>
      <c r="F6125" t="s">
        <v>6485</v>
      </c>
    </row>
    <row r="6126" spans="1:6" x14ac:dyDescent="0.15">
      <c r="A6126">
        <v>8416554</v>
      </c>
      <c r="B6126">
        <v>8416325</v>
      </c>
      <c r="C6126" t="s">
        <v>10</v>
      </c>
      <c r="D6126" t="s">
        <v>8</v>
      </c>
      <c r="E6126" s="4" t="str">
        <f>HYPERLINK("https://ibp.a2mac1.com/costing(costing:projects/details/9760/part/8416554)","Closures&gt;Rear door&gt;Housing assy&gt;Reinforcements&gt;Part 02")</f>
        <v>Closures&gt;Rear door&gt;Housing assy&gt;Reinforcements&gt;Part 02</v>
      </c>
      <c r="F6126" t="s">
        <v>6483</v>
      </c>
    </row>
    <row r="6127" spans="1:6" x14ac:dyDescent="0.15">
      <c r="A6127">
        <v>12085985</v>
      </c>
      <c r="B6127">
        <v>8416554</v>
      </c>
      <c r="C6127" t="s">
        <v>114</v>
      </c>
      <c r="D6127" t="s">
        <v>10</v>
      </c>
      <c r="E6127" s="4" t="str">
        <f>HYPERLINK("https://ibp.a2mac1.com/costing(costing:projects/details/9760/process/12085985)","MANUFACTURING  PROCESS")</f>
        <v>MANUFACTURING  PROCESS</v>
      </c>
      <c r="F6127" t="s">
        <v>6486</v>
      </c>
    </row>
    <row r="6128" spans="1:6" x14ac:dyDescent="0.15">
      <c r="A6128">
        <v>8755598</v>
      </c>
      <c r="B6128">
        <v>12085985</v>
      </c>
      <c r="C6128" t="s">
        <v>22</v>
      </c>
      <c r="D6128" t="s">
        <v>114</v>
      </c>
      <c r="E6128" s="4" t="str">
        <f>HYPERLINK("https://ibp.a2mac1.com/costing(costing:projects/details/9760/material/8755598)","Standard Structural Steel sheet")</f>
        <v>Standard Structural Steel sheet</v>
      </c>
      <c r="F6128" t="s">
        <v>6487</v>
      </c>
    </row>
    <row r="6129" spans="1:6" x14ac:dyDescent="0.15">
      <c r="A6129">
        <v>12213143</v>
      </c>
      <c r="B6129">
        <v>12085985</v>
      </c>
      <c r="C6129" t="s">
        <v>163</v>
      </c>
      <c r="D6129" t="s">
        <v>114</v>
      </c>
      <c r="E6129" s="4" t="str">
        <f>HYPERLINK("https://ibp.a2mac1.com/costing(costing:projects/details/9760/equipment/12213143)","Manufacturing Equipment")</f>
        <v>Manufacturing Equipment</v>
      </c>
      <c r="F6129" t="s">
        <v>6487</v>
      </c>
    </row>
    <row r="6130" spans="1:6" x14ac:dyDescent="0.15">
      <c r="A6130">
        <v>8416555</v>
      </c>
      <c r="B6130">
        <v>8416325</v>
      </c>
      <c r="C6130" t="s">
        <v>10</v>
      </c>
      <c r="D6130" t="s">
        <v>8</v>
      </c>
      <c r="E6130" s="4" t="str">
        <f>HYPERLINK("https://ibp.a2mac1.com/costing(costing:projects/details/9760/part/8416555)","Closures&gt;Rear door&gt;Housing assy&gt;Reinforcements&gt;Part 03")</f>
        <v>Closures&gt;Rear door&gt;Housing assy&gt;Reinforcements&gt;Part 03</v>
      </c>
      <c r="F6130" t="s">
        <v>6483</v>
      </c>
    </row>
    <row r="6131" spans="1:6" x14ac:dyDescent="0.15">
      <c r="A6131">
        <v>12085986</v>
      </c>
      <c r="B6131">
        <v>8416555</v>
      </c>
      <c r="C6131" t="s">
        <v>114</v>
      </c>
      <c r="D6131" t="s">
        <v>10</v>
      </c>
      <c r="E6131" s="4" t="str">
        <f>HYPERLINK("https://ibp.a2mac1.com/costing(costing:projects/details/9760/process/12085986)","MANUFACTURING  PROCESS")</f>
        <v>MANUFACTURING  PROCESS</v>
      </c>
      <c r="F6131" t="s">
        <v>6488</v>
      </c>
    </row>
    <row r="6132" spans="1:6" x14ac:dyDescent="0.15">
      <c r="A6132">
        <v>8755599</v>
      </c>
      <c r="B6132">
        <v>12085986</v>
      </c>
      <c r="C6132" t="s">
        <v>22</v>
      </c>
      <c r="D6132" t="s">
        <v>114</v>
      </c>
      <c r="E6132" s="4" t="str">
        <f>HYPERLINK("https://ibp.a2mac1.com/costing(costing:projects/details/9760/material/8755599)","Standard Structural Steel sheet")</f>
        <v>Standard Structural Steel sheet</v>
      </c>
      <c r="F6132" t="s">
        <v>6489</v>
      </c>
    </row>
    <row r="6133" spans="1:6" x14ac:dyDescent="0.15">
      <c r="A6133">
        <v>12213144</v>
      </c>
      <c r="B6133">
        <v>12085986</v>
      </c>
      <c r="C6133" t="s">
        <v>163</v>
      </c>
      <c r="D6133" t="s">
        <v>114</v>
      </c>
      <c r="E6133" s="4" t="str">
        <f>HYPERLINK("https://ibp.a2mac1.com/costing(costing:projects/details/9760/equipment/12213144)","Manufacturing Equipment")</f>
        <v>Manufacturing Equipment</v>
      </c>
      <c r="F6133" t="s">
        <v>6489</v>
      </c>
    </row>
    <row r="6134" spans="1:6" x14ac:dyDescent="0.15">
      <c r="A6134">
        <v>8416556</v>
      </c>
      <c r="B6134">
        <v>8416325</v>
      </c>
      <c r="C6134" t="s">
        <v>10</v>
      </c>
      <c r="D6134" t="s">
        <v>8</v>
      </c>
      <c r="E6134" s="4" t="str">
        <f>HYPERLINK("https://ibp.a2mac1.com/costing(costing:projects/details/9760/part/8416556)","Closures&gt;Rear door&gt;Housing assy&gt;Reinforcements&gt;Part 04")</f>
        <v>Closures&gt;Rear door&gt;Housing assy&gt;Reinforcements&gt;Part 04</v>
      </c>
      <c r="F6134" t="s">
        <v>6483</v>
      </c>
    </row>
    <row r="6135" spans="1:6" x14ac:dyDescent="0.15">
      <c r="A6135">
        <v>12085987</v>
      </c>
      <c r="B6135">
        <v>8416556</v>
      </c>
      <c r="C6135" t="s">
        <v>114</v>
      </c>
      <c r="D6135" t="s">
        <v>10</v>
      </c>
      <c r="E6135" s="4" t="str">
        <f>HYPERLINK("https://ibp.a2mac1.com/costing(costing:projects/details/9760/process/12085987)","MANUFACTURING  PROCESS")</f>
        <v>MANUFACTURING  PROCESS</v>
      </c>
      <c r="F6135" t="s">
        <v>6490</v>
      </c>
    </row>
    <row r="6136" spans="1:6" x14ac:dyDescent="0.15">
      <c r="A6136">
        <v>8755600</v>
      </c>
      <c r="B6136">
        <v>12085987</v>
      </c>
      <c r="C6136" t="s">
        <v>22</v>
      </c>
      <c r="D6136" t="s">
        <v>114</v>
      </c>
      <c r="E6136" s="4" t="str">
        <f>HYPERLINK("https://ibp.a2mac1.com/costing(costing:projects/details/9760/material/8755600)","Standard Structural Steel sheet")</f>
        <v>Standard Structural Steel sheet</v>
      </c>
      <c r="F6136" t="s">
        <v>6491</v>
      </c>
    </row>
    <row r="6137" spans="1:6" x14ac:dyDescent="0.15">
      <c r="A6137">
        <v>12213145</v>
      </c>
      <c r="B6137">
        <v>12085987</v>
      </c>
      <c r="C6137" t="s">
        <v>163</v>
      </c>
      <c r="D6137" t="s">
        <v>114</v>
      </c>
      <c r="E6137" s="4" t="str">
        <f>HYPERLINK("https://ibp.a2mac1.com/costing(costing:projects/details/9760/equipment/12213145)","Manufacturing Equipment")</f>
        <v>Manufacturing Equipment</v>
      </c>
      <c r="F6137" t="s">
        <v>6491</v>
      </c>
    </row>
    <row r="6138" spans="1:6" x14ac:dyDescent="0.15">
      <c r="A6138">
        <v>8416326</v>
      </c>
      <c r="B6138">
        <v>8415988</v>
      </c>
      <c r="C6138" t="s">
        <v>8</v>
      </c>
      <c r="D6138" t="s">
        <v>8</v>
      </c>
      <c r="E6138" s="4" t="str">
        <f>HYPERLINK("https://ibp.a2mac1.com/costing(costing:projects/details/9760/assembly/8416326)","Fixing parts")</f>
        <v>Fixing parts</v>
      </c>
      <c r="F6138" t="s">
        <v>6478</v>
      </c>
    </row>
    <row r="6139" spans="1:6" x14ac:dyDescent="0.15">
      <c r="A6139">
        <v>8416557</v>
      </c>
      <c r="B6139">
        <v>8416326</v>
      </c>
      <c r="C6139" t="s">
        <v>8</v>
      </c>
      <c r="D6139" t="s">
        <v>8</v>
      </c>
      <c r="E6139" s="4" t="str">
        <f>HYPERLINK("https://ibp.a2mac1.com/costing(costing:projects/details/9760/assembly/8416557)","Front")</f>
        <v>Front</v>
      </c>
      <c r="F6139" t="s">
        <v>6493</v>
      </c>
    </row>
    <row r="6140" spans="1:6" x14ac:dyDescent="0.15">
      <c r="A6140">
        <v>8416846</v>
      </c>
      <c r="B6140">
        <v>8416557</v>
      </c>
      <c r="C6140" t="s">
        <v>10</v>
      </c>
      <c r="D6140" t="s">
        <v>8</v>
      </c>
      <c r="E6140" s="4" t="str">
        <f>HYPERLINK("https://ibp.a2mac1.com/costing(costing:projects/details/9760/part/8416846)","Closures&gt;Rear door&gt;Housing assy&gt;Fixing parts&gt;Front&gt;Part 01 (single/main)")</f>
        <v>Closures&gt;Rear door&gt;Housing assy&gt;Fixing parts&gt;Front&gt;Part 01 (single/main)</v>
      </c>
      <c r="F6140" t="s">
        <v>6494</v>
      </c>
    </row>
    <row r="6141" spans="1:6" x14ac:dyDescent="0.15">
      <c r="A6141">
        <v>12086181</v>
      </c>
      <c r="B6141">
        <v>8416846</v>
      </c>
      <c r="C6141" t="s">
        <v>114</v>
      </c>
      <c r="D6141" t="s">
        <v>10</v>
      </c>
      <c r="E6141" s="4" t="str">
        <f>HYPERLINK("https://ibp.a2mac1.com/costing(costing:projects/details/9760/process/12086181)","MANUFACTURING  PROCESS")</f>
        <v>MANUFACTURING  PROCESS</v>
      </c>
      <c r="F6141" t="s">
        <v>6495</v>
      </c>
    </row>
    <row r="6142" spans="1:6" x14ac:dyDescent="0.15">
      <c r="A6142">
        <v>8755767</v>
      </c>
      <c r="B6142">
        <v>12086181</v>
      </c>
      <c r="C6142" t="s">
        <v>22</v>
      </c>
      <c r="D6142" t="s">
        <v>114</v>
      </c>
      <c r="E6142" s="4" t="str">
        <f>HYPERLINK("https://ibp.a2mac1.com/costing(costing:projects/details/9760/material/8755767)","Standard Structural Steel sheet")</f>
        <v>Standard Structural Steel sheet</v>
      </c>
      <c r="F6142" t="s">
        <v>6496</v>
      </c>
    </row>
    <row r="6143" spans="1:6" x14ac:dyDescent="0.15">
      <c r="A6143">
        <v>12213314</v>
      </c>
      <c r="B6143">
        <v>12086181</v>
      </c>
      <c r="C6143" t="s">
        <v>163</v>
      </c>
      <c r="D6143" t="s">
        <v>114</v>
      </c>
      <c r="E6143" s="4" t="str">
        <f>HYPERLINK("https://ibp.a2mac1.com/costing(costing:projects/details/9760/equipment/12213314)","Manufacturing Equipment")</f>
        <v>Manufacturing Equipment</v>
      </c>
      <c r="F6143" t="s">
        <v>6496</v>
      </c>
    </row>
    <row r="6144" spans="1:6" x14ac:dyDescent="0.15">
      <c r="A6144">
        <v>8416847</v>
      </c>
      <c r="B6144">
        <v>8416557</v>
      </c>
      <c r="C6144" t="s">
        <v>10</v>
      </c>
      <c r="D6144" t="s">
        <v>8</v>
      </c>
      <c r="E6144" s="4" t="str">
        <f>HYPERLINK("https://ibp.a2mac1.com/costing(costing:projects/details/9760/part/8416847)","Closures&gt;Rear door&gt;Housing assy&gt;Fixing parts&gt;Front&gt;Part 02")</f>
        <v>Closures&gt;Rear door&gt;Housing assy&gt;Fixing parts&gt;Front&gt;Part 02</v>
      </c>
      <c r="F6144" t="s">
        <v>6494</v>
      </c>
    </row>
    <row r="6145" spans="1:6" x14ac:dyDescent="0.15">
      <c r="A6145">
        <v>12086182</v>
      </c>
      <c r="B6145">
        <v>8416847</v>
      </c>
      <c r="C6145" t="s">
        <v>114</v>
      </c>
      <c r="D6145" t="s">
        <v>10</v>
      </c>
      <c r="E6145" s="4" t="str">
        <f>HYPERLINK("https://ibp.a2mac1.com/costing(costing:projects/details/9760/process/12086182)","MANUFACTURING  PROCESS")</f>
        <v>MANUFACTURING  PROCESS</v>
      </c>
      <c r="F6145" t="s">
        <v>6497</v>
      </c>
    </row>
    <row r="6146" spans="1:6" x14ac:dyDescent="0.15">
      <c r="A6146">
        <v>8755768</v>
      </c>
      <c r="B6146">
        <v>12086182</v>
      </c>
      <c r="C6146" t="s">
        <v>22</v>
      </c>
      <c r="D6146" t="s">
        <v>114</v>
      </c>
      <c r="E6146" s="4" t="str">
        <f>HYPERLINK("https://ibp.a2mac1.com/costing(costing:projects/details/9760/material/8755768)","Standard Structural Steel sheet")</f>
        <v>Standard Structural Steel sheet</v>
      </c>
      <c r="F6146" t="s">
        <v>6498</v>
      </c>
    </row>
    <row r="6147" spans="1:6" x14ac:dyDescent="0.15">
      <c r="A6147">
        <v>12213315</v>
      </c>
      <c r="B6147">
        <v>12086182</v>
      </c>
      <c r="C6147" t="s">
        <v>163</v>
      </c>
      <c r="D6147" t="s">
        <v>114</v>
      </c>
      <c r="E6147" s="4" t="str">
        <f>HYPERLINK("https://ibp.a2mac1.com/costing(costing:projects/details/9760/equipment/12213315)","Manufacturing Equipment")</f>
        <v>Manufacturing Equipment</v>
      </c>
      <c r="F6147" t="s">
        <v>6498</v>
      </c>
    </row>
    <row r="6148" spans="1:6" x14ac:dyDescent="0.15">
      <c r="A6148">
        <v>8415989</v>
      </c>
      <c r="B6148">
        <v>8415676</v>
      </c>
      <c r="C6148" t="s">
        <v>8</v>
      </c>
      <c r="D6148" t="s">
        <v>8</v>
      </c>
      <c r="E6148" s="4" t="str">
        <f>HYPERLINK("https://ibp.a2mac1.com/costing(costing:projects/details/9760/assembly/8415989)","Anti-intrusion beams")</f>
        <v>Anti-intrusion beams</v>
      </c>
      <c r="F6148" t="s">
        <v>6477</v>
      </c>
    </row>
    <row r="6149" spans="1:6" x14ac:dyDescent="0.15">
      <c r="A6149">
        <v>8416327</v>
      </c>
      <c r="B6149">
        <v>8415989</v>
      </c>
      <c r="C6149" t="s">
        <v>8</v>
      </c>
      <c r="D6149" t="s">
        <v>8</v>
      </c>
      <c r="E6149" s="4" t="str">
        <f>HYPERLINK("https://ibp.a2mac1.com/costing(costing:projects/details/9760/assembly/8416327)","Beam 01 (single/upper)")</f>
        <v>Beam 01 (single/upper)</v>
      </c>
      <c r="F6149" t="s">
        <v>6502</v>
      </c>
    </row>
    <row r="6150" spans="1:6" x14ac:dyDescent="0.15">
      <c r="A6150">
        <v>8416558</v>
      </c>
      <c r="B6150">
        <v>8416327</v>
      </c>
      <c r="C6150" t="s">
        <v>8</v>
      </c>
      <c r="D6150" t="s">
        <v>8</v>
      </c>
      <c r="E6150" s="4" t="str">
        <f>HYPERLINK("https://ibp.a2mac1.com/costing(costing:projects/details/9760/assembly/8416558)","Beam")</f>
        <v>Beam</v>
      </c>
      <c r="F6150" t="s">
        <v>6503</v>
      </c>
    </row>
    <row r="6151" spans="1:6" x14ac:dyDescent="0.15">
      <c r="A6151">
        <v>8416848</v>
      </c>
      <c r="B6151">
        <v>8416558</v>
      </c>
      <c r="C6151" t="s">
        <v>10</v>
      </c>
      <c r="D6151" t="s">
        <v>8</v>
      </c>
      <c r="E6151" s="4" t="str">
        <f>HYPERLINK("https://ibp.a2mac1.com/costing(costing:projects/details/9760/part/8416848)","Closures&gt;Rear door&gt;Anti-intrusion beams&gt;Beam 01 (single/upper)&gt;Beam&gt;Part 01 (single/main)")</f>
        <v>Closures&gt;Rear door&gt;Anti-intrusion beams&gt;Beam 01 (single/upper)&gt;Beam&gt;Part 01 (single/main)</v>
      </c>
      <c r="F6151" t="s">
        <v>6504</v>
      </c>
    </row>
    <row r="6152" spans="1:6" x14ac:dyDescent="0.15">
      <c r="A6152">
        <v>12086183</v>
      </c>
      <c r="B6152">
        <v>8416848</v>
      </c>
      <c r="C6152" t="s">
        <v>114</v>
      </c>
      <c r="D6152" t="s">
        <v>10</v>
      </c>
      <c r="E6152" s="4" t="str">
        <f>HYPERLINK("https://ibp.a2mac1.com/costing(costing:projects/details/9760/process/12086183)","MANUFACTURING  PROCESS")</f>
        <v>MANUFACTURING  PROCESS</v>
      </c>
      <c r="F6152" t="s">
        <v>6505</v>
      </c>
    </row>
    <row r="6153" spans="1:6" x14ac:dyDescent="0.15">
      <c r="A6153">
        <v>8755769</v>
      </c>
      <c r="B6153">
        <v>12086183</v>
      </c>
      <c r="C6153" t="s">
        <v>22</v>
      </c>
      <c r="D6153" t="s">
        <v>114</v>
      </c>
      <c r="E6153" s="4" t="str">
        <f>HYPERLINK("https://ibp.a2mac1.com/costing(costing:projects/details/9760/material/8755769)","Standard Structural Steel sheet")</f>
        <v>Standard Structural Steel sheet</v>
      </c>
      <c r="F6153" t="s">
        <v>6506</v>
      </c>
    </row>
    <row r="6154" spans="1:6" x14ac:dyDescent="0.15">
      <c r="A6154">
        <v>12213316</v>
      </c>
      <c r="B6154">
        <v>12086183</v>
      </c>
      <c r="C6154" t="s">
        <v>163</v>
      </c>
      <c r="D6154" t="s">
        <v>114</v>
      </c>
      <c r="E6154" s="4" t="str">
        <f>HYPERLINK("https://ibp.a2mac1.com/costing(costing:projects/details/9760/equipment/12213316)","Manufacturing Equipment")</f>
        <v>Manufacturing Equipment</v>
      </c>
      <c r="F6154" t="s">
        <v>6506</v>
      </c>
    </row>
    <row r="6155" spans="1:6" x14ac:dyDescent="0.15">
      <c r="A6155">
        <v>8415990</v>
      </c>
      <c r="B6155">
        <v>8415676</v>
      </c>
      <c r="C6155" t="s">
        <v>8</v>
      </c>
      <c r="D6155" t="s">
        <v>8</v>
      </c>
      <c r="E6155" s="4" t="str">
        <f>HYPERLINK("https://ibp.a2mac1.com/costing(costing:projects/details/9760/assembly/8415990)","Top roll assy")</f>
        <v>Top roll assy</v>
      </c>
      <c r="F6155" t="s">
        <v>6477</v>
      </c>
    </row>
    <row r="6156" spans="1:6" x14ac:dyDescent="0.15">
      <c r="A6156">
        <v>8416328</v>
      </c>
      <c r="B6156">
        <v>8415990</v>
      </c>
      <c r="C6156" t="s">
        <v>8</v>
      </c>
      <c r="D6156" t="s">
        <v>8</v>
      </c>
      <c r="E6156" s="4" t="str">
        <f>HYPERLINK("https://ibp.a2mac1.com/costing(costing:projects/details/9760/assembly/8416328)","Cross member 01 (outer)")</f>
        <v>Cross member 01 (outer)</v>
      </c>
      <c r="F6156" t="s">
        <v>6510</v>
      </c>
    </row>
    <row r="6157" spans="1:6" x14ac:dyDescent="0.15">
      <c r="A6157">
        <v>8416559</v>
      </c>
      <c r="B6157">
        <v>8416328</v>
      </c>
      <c r="C6157" t="s">
        <v>8</v>
      </c>
      <c r="D6157" t="s">
        <v>8</v>
      </c>
      <c r="E6157" s="4" t="str">
        <f>HYPERLINK("https://ibp.a2mac1.com/costing(costing:projects/details/9760/assembly/8416559)","Cross member")</f>
        <v>Cross member</v>
      </c>
      <c r="F6157" t="s">
        <v>6511</v>
      </c>
    </row>
    <row r="6158" spans="1:6" x14ac:dyDescent="0.15">
      <c r="A6158">
        <v>8416849</v>
      </c>
      <c r="B6158">
        <v>8416559</v>
      </c>
      <c r="C6158" t="s">
        <v>10</v>
      </c>
      <c r="D6158" t="s">
        <v>8</v>
      </c>
      <c r="E6158" s="4" t="str">
        <f>HYPERLINK("https://ibp.a2mac1.com/costing(costing:projects/details/9760/part/8416849)","Closures&gt;Rear door&gt;Top roll assy&gt;Cross member 01 (outer)&gt;Cross member&gt;Part 01 (single/main)")</f>
        <v>Closures&gt;Rear door&gt;Top roll assy&gt;Cross member 01 (outer)&gt;Cross member&gt;Part 01 (single/main)</v>
      </c>
      <c r="F6158" t="s">
        <v>6512</v>
      </c>
    </row>
    <row r="6159" spans="1:6" x14ac:dyDescent="0.15">
      <c r="A6159">
        <v>12086184</v>
      </c>
      <c r="B6159">
        <v>8416849</v>
      </c>
      <c r="C6159" t="s">
        <v>114</v>
      </c>
      <c r="D6159" t="s">
        <v>10</v>
      </c>
      <c r="E6159" s="4" t="str">
        <f>HYPERLINK("https://ibp.a2mac1.com/costing(costing:projects/details/9760/process/12086184)","MANUFACTURING  PROCESS")</f>
        <v>MANUFACTURING  PROCESS</v>
      </c>
      <c r="F6159" t="s">
        <v>6513</v>
      </c>
    </row>
    <row r="6160" spans="1:6" x14ac:dyDescent="0.15">
      <c r="A6160">
        <v>8755770</v>
      </c>
      <c r="B6160">
        <v>12086184</v>
      </c>
      <c r="C6160" t="s">
        <v>22</v>
      </c>
      <c r="D6160" t="s">
        <v>114</v>
      </c>
      <c r="E6160" s="4" t="str">
        <f>HYPERLINK("https://ibp.a2mac1.com/costing(costing:projects/details/9760/material/8755770)","Standard Structural Steel sheet")</f>
        <v>Standard Structural Steel sheet</v>
      </c>
      <c r="F6160" t="s">
        <v>6514</v>
      </c>
    </row>
    <row r="6161" spans="1:6" x14ac:dyDescent="0.15">
      <c r="A6161">
        <v>12213317</v>
      </c>
      <c r="B6161">
        <v>12086184</v>
      </c>
      <c r="C6161" t="s">
        <v>163</v>
      </c>
      <c r="D6161" t="s">
        <v>114</v>
      </c>
      <c r="E6161" s="4" t="str">
        <f>HYPERLINK("https://ibp.a2mac1.com/costing(costing:projects/details/9760/equipment/12213317)","Manufacturing Equipment")</f>
        <v>Manufacturing Equipment</v>
      </c>
      <c r="F6161" t="s">
        <v>6514</v>
      </c>
    </row>
    <row r="6162" spans="1:6" x14ac:dyDescent="0.15">
      <c r="A6162">
        <v>8416329</v>
      </c>
      <c r="B6162">
        <v>8415990</v>
      </c>
      <c r="C6162" t="s">
        <v>8</v>
      </c>
      <c r="D6162" t="s">
        <v>8</v>
      </c>
      <c r="E6162" s="4" t="str">
        <f>HYPERLINK("https://ibp.a2mac1.com/costing(costing:projects/details/9760/assembly/8416329)","Cross member 02 (inner)")</f>
        <v>Cross member 02 (inner)</v>
      </c>
      <c r="F6162" t="s">
        <v>6510</v>
      </c>
    </row>
    <row r="6163" spans="1:6" x14ac:dyDescent="0.15">
      <c r="A6163">
        <v>8416560</v>
      </c>
      <c r="B6163">
        <v>8416329</v>
      </c>
      <c r="C6163" t="s">
        <v>8</v>
      </c>
      <c r="D6163" t="s">
        <v>8</v>
      </c>
      <c r="E6163" s="4" t="str">
        <f>HYPERLINK("https://ibp.a2mac1.com/costing(costing:projects/details/9760/assembly/8416560)","Cross member")</f>
        <v>Cross member</v>
      </c>
      <c r="F6163" t="s">
        <v>6517</v>
      </c>
    </row>
    <row r="6164" spans="1:6" x14ac:dyDescent="0.15">
      <c r="A6164">
        <v>8416850</v>
      </c>
      <c r="B6164">
        <v>8416560</v>
      </c>
      <c r="C6164" t="s">
        <v>10</v>
      </c>
      <c r="D6164" t="s">
        <v>8</v>
      </c>
      <c r="E6164" s="4" t="str">
        <f>HYPERLINK("https://ibp.a2mac1.com/costing(costing:projects/details/9760/part/8416850)","Closures&gt;Rear door&gt;Top roll assy&gt;Cross member 02 (inner)&gt;Cross member&gt;Part 01 (single/main)")</f>
        <v>Closures&gt;Rear door&gt;Top roll assy&gt;Cross member 02 (inner)&gt;Cross member&gt;Part 01 (single/main)</v>
      </c>
      <c r="F6164" t="s">
        <v>6518</v>
      </c>
    </row>
    <row r="6165" spans="1:6" x14ac:dyDescent="0.15">
      <c r="A6165">
        <v>12086185</v>
      </c>
      <c r="B6165">
        <v>8416850</v>
      </c>
      <c r="C6165" t="s">
        <v>114</v>
      </c>
      <c r="D6165" t="s">
        <v>10</v>
      </c>
      <c r="E6165" s="4" t="str">
        <f>HYPERLINK("https://ibp.a2mac1.com/costing(costing:projects/details/9760/process/12086185)","MANUFACTURING  PROCESS")</f>
        <v>MANUFACTURING  PROCESS</v>
      </c>
      <c r="F6165" t="s">
        <v>6519</v>
      </c>
    </row>
    <row r="6166" spans="1:6" x14ac:dyDescent="0.15">
      <c r="A6166">
        <v>8755771</v>
      </c>
      <c r="B6166">
        <v>12086185</v>
      </c>
      <c r="C6166" t="s">
        <v>22</v>
      </c>
      <c r="D6166" t="s">
        <v>114</v>
      </c>
      <c r="E6166" s="4" t="str">
        <f>HYPERLINK("https://ibp.a2mac1.com/costing(costing:projects/details/9760/material/8755771)","Standard Structural Steel sheet")</f>
        <v>Standard Structural Steel sheet</v>
      </c>
      <c r="F6166" t="s">
        <v>6520</v>
      </c>
    </row>
    <row r="6167" spans="1:6" x14ac:dyDescent="0.15">
      <c r="A6167">
        <v>12213318</v>
      </c>
      <c r="B6167">
        <v>12086185</v>
      </c>
      <c r="C6167" t="s">
        <v>163</v>
      </c>
      <c r="D6167" t="s">
        <v>114</v>
      </c>
      <c r="E6167" s="4" t="str">
        <f>HYPERLINK("https://ibp.a2mac1.com/costing(costing:projects/details/9760/equipment/12213318)","Manufacturing Equipment")</f>
        <v>Manufacturing Equipment</v>
      </c>
      <c r="F6167" t="s">
        <v>6520</v>
      </c>
    </row>
    <row r="6168" spans="1:6" x14ac:dyDescent="0.15">
      <c r="A6168">
        <v>8415991</v>
      </c>
      <c r="B6168">
        <v>8415676</v>
      </c>
      <c r="C6168" t="s">
        <v>8</v>
      </c>
      <c r="D6168" t="s">
        <v>8</v>
      </c>
      <c r="E6168" s="4" t="str">
        <f>HYPERLINK("https://ibp.a2mac1.com/costing(costing:projects/details/9760/assembly/8415991)","Outer panel")</f>
        <v>Outer panel</v>
      </c>
      <c r="F6168" t="s">
        <v>6477</v>
      </c>
    </row>
    <row r="6169" spans="1:6" x14ac:dyDescent="0.15">
      <c r="A6169">
        <v>8416330</v>
      </c>
      <c r="B6169">
        <v>8415991</v>
      </c>
      <c r="C6169" t="s">
        <v>8</v>
      </c>
      <c r="D6169" t="s">
        <v>8</v>
      </c>
      <c r="E6169" s="4" t="str">
        <f>HYPERLINK("https://ibp.a2mac1.com/costing(costing:projects/details/9760/assembly/8416330)","Panel")</f>
        <v>Panel</v>
      </c>
      <c r="F6169" t="s">
        <v>6524</v>
      </c>
    </row>
    <row r="6170" spans="1:6" x14ac:dyDescent="0.15">
      <c r="A6170">
        <v>8416561</v>
      </c>
      <c r="B6170">
        <v>8416330</v>
      </c>
      <c r="C6170" t="s">
        <v>10</v>
      </c>
      <c r="D6170" t="s">
        <v>8</v>
      </c>
      <c r="E6170" s="4" t="str">
        <f>HYPERLINK("https://ibp.a2mac1.com/costing(costing:projects/details/9760/part/8416561)","Closures&gt;Rear door&gt;Outer panel&gt;Panel&gt;Part 01 (single/main)")</f>
        <v>Closures&gt;Rear door&gt;Outer panel&gt;Panel&gt;Part 01 (single/main)</v>
      </c>
      <c r="F6170" t="s">
        <v>6525</v>
      </c>
    </row>
    <row r="6171" spans="1:6" x14ac:dyDescent="0.15">
      <c r="A6171">
        <v>12085988</v>
      </c>
      <c r="B6171">
        <v>8416561</v>
      </c>
      <c r="C6171" t="s">
        <v>114</v>
      </c>
      <c r="D6171" t="s">
        <v>10</v>
      </c>
      <c r="E6171" s="4" t="str">
        <f>HYPERLINK("https://ibp.a2mac1.com/costing(costing:projects/details/9760/process/12085988)","MANUFACTURING  PROCESS")</f>
        <v>MANUFACTURING  PROCESS</v>
      </c>
      <c r="F6171" t="s">
        <v>6526</v>
      </c>
    </row>
    <row r="6172" spans="1:6" x14ac:dyDescent="0.15">
      <c r="A6172">
        <v>8755601</v>
      </c>
      <c r="B6172">
        <v>12085988</v>
      </c>
      <c r="C6172" t="s">
        <v>22</v>
      </c>
      <c r="D6172" t="s">
        <v>114</v>
      </c>
      <c r="E6172" s="4" t="str">
        <f>HYPERLINK("https://ibp.a2mac1.com/costing(costing:projects/details/9760/material/8755601)","Standard Structural Steel sheet")</f>
        <v>Standard Structural Steel sheet</v>
      </c>
      <c r="F6172" t="s">
        <v>6527</v>
      </c>
    </row>
    <row r="6173" spans="1:6" x14ac:dyDescent="0.15">
      <c r="A6173">
        <v>12213146</v>
      </c>
      <c r="B6173">
        <v>12085988</v>
      </c>
      <c r="C6173" t="s">
        <v>163</v>
      </c>
      <c r="D6173" t="s">
        <v>114</v>
      </c>
      <c r="E6173" s="4" t="str">
        <f>HYPERLINK("https://ibp.a2mac1.com/costing(costing:projects/details/9760/equipment/12213146)","Manufacturing Equipment")</f>
        <v>Manufacturing Equipment</v>
      </c>
      <c r="F6173" t="s">
        <v>6527</v>
      </c>
    </row>
    <row r="6174" spans="1:6" x14ac:dyDescent="0.15">
      <c r="A6174">
        <v>12085108</v>
      </c>
      <c r="B6174">
        <v>8415676</v>
      </c>
      <c r="C6174" t="s">
        <v>114</v>
      </c>
      <c r="D6174" t="s">
        <v>8</v>
      </c>
      <c r="E6174" s="4" t="str">
        <f>HYPERLINK("https://ibp.a2mac1.com/costing(costing:projects/details/9760/process/12085108)","Assembly")</f>
        <v>Assembly</v>
      </c>
      <c r="F6174" t="s">
        <v>6477</v>
      </c>
    </row>
    <row r="6175" spans="1:6" x14ac:dyDescent="0.15">
      <c r="A6175">
        <v>12212200</v>
      </c>
      <c r="B6175">
        <v>12085108</v>
      </c>
      <c r="C6175" t="s">
        <v>163</v>
      </c>
      <c r="D6175" t="s">
        <v>114</v>
      </c>
      <c r="E6175" s="4" t="str">
        <f>HYPERLINK("https://ibp.a2mac1.com/costing(costing:projects/details/9760/equipment/12212200)","Assembly Station ")</f>
        <v xml:space="preserve">Assembly Station </v>
      </c>
      <c r="F6175" t="s">
        <v>6530</v>
      </c>
    </row>
    <row r="6176" spans="1:6" x14ac:dyDescent="0.15">
      <c r="A6176">
        <v>8415673</v>
      </c>
      <c r="B6176">
        <v>8415586</v>
      </c>
      <c r="C6176" t="s">
        <v>10</v>
      </c>
      <c r="D6176" t="s">
        <v>8</v>
      </c>
      <c r="E6176" s="4" t="str">
        <f>HYPERLINK("https://ibp.a2mac1.com/costing(costing:projects/details/9760/part/8415673)","Hole Plug 2")</f>
        <v>Hole Plug 2</v>
      </c>
      <c r="F6176" t="s">
        <v>6279</v>
      </c>
    </row>
    <row r="6177" spans="1:6" x14ac:dyDescent="0.15">
      <c r="A6177">
        <v>8415674</v>
      </c>
      <c r="B6177">
        <v>8415586</v>
      </c>
      <c r="C6177" t="s">
        <v>10</v>
      </c>
      <c r="D6177" t="s">
        <v>8</v>
      </c>
      <c r="E6177" s="4" t="str">
        <f>HYPERLINK("https://ibp.a2mac1.com/costing(costing:projects/details/9760/part/8415674)","Hole Plugs")</f>
        <v>Hole Plugs</v>
      </c>
      <c r="F6177" t="s">
        <v>6279</v>
      </c>
    </row>
    <row r="6178" spans="1:6" x14ac:dyDescent="0.15">
      <c r="A6178">
        <v>8415675</v>
      </c>
      <c r="B6178">
        <v>8415586</v>
      </c>
      <c r="C6178" t="s">
        <v>10</v>
      </c>
      <c r="D6178" t="s">
        <v>8</v>
      </c>
      <c r="E6178" s="4" t="str">
        <f>HYPERLINK("https://ibp.a2mac1.com/costing(costing:projects/details/9760/part/8415675)","Function Carrier")</f>
        <v>Function Carrier</v>
      </c>
      <c r="F6178" t="s">
        <v>6279</v>
      </c>
    </row>
    <row r="6179" spans="1:6" x14ac:dyDescent="0.15">
      <c r="A6179">
        <v>12085107</v>
      </c>
      <c r="B6179">
        <v>8415675</v>
      </c>
      <c r="C6179" t="s">
        <v>114</v>
      </c>
      <c r="D6179" t="s">
        <v>10</v>
      </c>
      <c r="E6179" s="4" t="str">
        <f>HYPERLINK("https://ibp.a2mac1.com/costing(costing:projects/details/9760/process/12085107)","Injection molding")</f>
        <v>Injection molding</v>
      </c>
      <c r="F6179" t="s">
        <v>6535</v>
      </c>
    </row>
    <row r="6180" spans="1:6" x14ac:dyDescent="0.15">
      <c r="A6180">
        <v>8754577</v>
      </c>
      <c r="B6180">
        <v>12085107</v>
      </c>
      <c r="C6180" t="s">
        <v>22</v>
      </c>
      <c r="D6180" t="s">
        <v>114</v>
      </c>
      <c r="E6180" s="4" t="str">
        <f>HYPERLINK("https://ibp.a2mac1.com/costing(costing:projects/details/9760/material/8754577)","PP-GF30")</f>
        <v>PP-GF30</v>
      </c>
      <c r="F6180" t="s">
        <v>6536</v>
      </c>
    </row>
    <row r="6181" spans="1:6" x14ac:dyDescent="0.15">
      <c r="A6181">
        <v>12212199</v>
      </c>
      <c r="B6181">
        <v>12085107</v>
      </c>
      <c r="C6181" t="s">
        <v>163</v>
      </c>
      <c r="D6181" t="s">
        <v>114</v>
      </c>
      <c r="E6181" s="4" t="str">
        <f>HYPERLINK("https://ibp.a2mac1.com/costing(costing:projects/details/9760/equipment/12212199)","No.13 - Injection Press - 1000T - 191kW - 1230x1230 - Max Volume 7815cm3 ")</f>
        <v xml:space="preserve">No.13 - Injection Press - 1000T - 191kW - 1230x1230 - Max Volume 7815cm3 </v>
      </c>
      <c r="F6181" t="s">
        <v>6536</v>
      </c>
    </row>
    <row r="6182" spans="1:6" x14ac:dyDescent="0.15">
      <c r="A6182">
        <v>8754442</v>
      </c>
      <c r="B6182">
        <v>8415675</v>
      </c>
      <c r="C6182" t="s">
        <v>311</v>
      </c>
      <c r="D6182" t="s">
        <v>10</v>
      </c>
      <c r="E6182" s="4" t="str">
        <f>HYPERLINK("https://ibp.a2mac1.com/costing(costing:projects/details/9760/component/8754442)","Inserts")</f>
        <v>Inserts</v>
      </c>
      <c r="F6182" t="s">
        <v>6535</v>
      </c>
    </row>
    <row r="6183" spans="1:6" x14ac:dyDescent="0.15">
      <c r="A6183">
        <v>12085065</v>
      </c>
      <c r="B6183">
        <v>8415586</v>
      </c>
      <c r="C6183" t="s">
        <v>114</v>
      </c>
      <c r="D6183" t="s">
        <v>8</v>
      </c>
      <c r="E6183" s="4" t="str">
        <f>HYPERLINK("https://ibp.a2mac1.com/costing(costing:projects/details/9760/process/12085065)","Assembly")</f>
        <v>Assembly</v>
      </c>
      <c r="F6183" t="s">
        <v>6279</v>
      </c>
    </row>
    <row r="6184" spans="1:6" x14ac:dyDescent="0.15">
      <c r="A6184">
        <v>12212157</v>
      </c>
      <c r="B6184">
        <v>12085065</v>
      </c>
      <c r="C6184" t="s">
        <v>163</v>
      </c>
      <c r="D6184" t="s">
        <v>114</v>
      </c>
      <c r="E6184" s="4" t="str">
        <f>HYPERLINK("https://ibp.a2mac1.com/costing(costing:projects/details/9760/equipment/12212157)","Assembly Station ")</f>
        <v xml:space="preserve">Assembly Station </v>
      </c>
      <c r="F6184" t="s">
        <v>6539</v>
      </c>
    </row>
    <row r="6185" spans="1:6" x14ac:dyDescent="0.15">
      <c r="A6185">
        <v>8754313</v>
      </c>
      <c r="B6185">
        <v>8415586</v>
      </c>
      <c r="C6185" t="s">
        <v>311</v>
      </c>
      <c r="D6185" t="s">
        <v>8</v>
      </c>
      <c r="E6185" s="4" t="str">
        <f>HYPERLINK("https://ibp.a2mac1.com/costing(costing:projects/details/9760/component/8754313)","Hole plug &gt; Round hole")</f>
        <v>Hole plug &gt; Round hole</v>
      </c>
      <c r="F6185" t="s">
        <v>6279</v>
      </c>
    </row>
    <row r="6186" spans="1:6" x14ac:dyDescent="0.15">
      <c r="A6186">
        <v>8754314</v>
      </c>
      <c r="B6186">
        <v>8415586</v>
      </c>
      <c r="C6186" t="s">
        <v>311</v>
      </c>
      <c r="D6186" t="s">
        <v>8</v>
      </c>
      <c r="E6186" s="4" t="str">
        <f>HYPERLINK("https://ibp.a2mac1.com/costing(costing:projects/details/9760/component/8754314)","Hole plug &gt; Round hole")</f>
        <v>Hole plug &gt; Round hole</v>
      </c>
      <c r="F6186" t="s">
        <v>6279</v>
      </c>
    </row>
    <row r="6187" spans="1:6" x14ac:dyDescent="0.15">
      <c r="A6187">
        <v>8754315</v>
      </c>
      <c r="B6187">
        <v>8415586</v>
      </c>
      <c r="C6187" t="s">
        <v>311</v>
      </c>
      <c r="D6187" t="s">
        <v>8</v>
      </c>
      <c r="E6187" s="4" t="str">
        <f>HYPERLINK("https://ibp.a2mac1.com/costing(costing:projects/details/9760/component/8754315)","Screw &gt; Hexagon screw with captive washer")</f>
        <v>Screw &gt; Hexagon screw with captive washer</v>
      </c>
      <c r="F6187" t="s">
        <v>6279</v>
      </c>
    </row>
    <row r="6188" spans="1:6" x14ac:dyDescent="0.15">
      <c r="A6188">
        <v>8754316</v>
      </c>
      <c r="B6188">
        <v>8415586</v>
      </c>
      <c r="C6188" t="s">
        <v>311</v>
      </c>
      <c r="D6188" t="s">
        <v>8</v>
      </c>
      <c r="E6188" s="4" t="str">
        <f>HYPERLINK("https://ibp.a2mac1.com/costing(costing:projects/details/9760/component/8754316)","Screw &gt; Torx screw")</f>
        <v>Screw &gt; Torx screw</v>
      </c>
      <c r="F6188" t="s">
        <v>6279</v>
      </c>
    </row>
    <row r="6189" spans="1:6" x14ac:dyDescent="0.15">
      <c r="A6189">
        <v>8415587</v>
      </c>
      <c r="B6189">
        <v>8415576</v>
      </c>
      <c r="C6189" t="s">
        <v>8</v>
      </c>
      <c r="D6189" t="s">
        <v>8</v>
      </c>
      <c r="E6189" s="4" t="str">
        <f>HYPERLINK("https://ibp.a2mac1.com/costing(costing:projects/details/9760/assembly/8415587)","Front Passenger Door")</f>
        <v>Front Passenger Door</v>
      </c>
      <c r="F6189" t="s">
        <v>4953</v>
      </c>
    </row>
    <row r="6190" spans="1:6" x14ac:dyDescent="0.15">
      <c r="A6190">
        <v>8415677</v>
      </c>
      <c r="B6190">
        <v>8415587</v>
      </c>
      <c r="C6190" t="s">
        <v>8</v>
      </c>
      <c r="D6190" t="s">
        <v>8</v>
      </c>
      <c r="E6190" s="4" t="str">
        <f>HYPERLINK("https://ibp.a2mac1.com/costing(costing:projects/details/9760/assembly/8415677)","Front Passenger Door")</f>
        <v>Front Passenger Door</v>
      </c>
      <c r="F6190" t="s">
        <v>6541</v>
      </c>
    </row>
    <row r="6191" spans="1:6" x14ac:dyDescent="0.15">
      <c r="A6191">
        <v>8415992</v>
      </c>
      <c r="B6191">
        <v>8415677</v>
      </c>
      <c r="C6191" t="s">
        <v>8</v>
      </c>
      <c r="D6191" t="s">
        <v>8</v>
      </c>
      <c r="E6191" s="4" t="str">
        <f>HYPERLINK("https://ibp.a2mac1.com/costing(costing:projects/details/9760/assembly/8415992)","Housing assy")</f>
        <v>Housing assy</v>
      </c>
      <c r="F6191" t="s">
        <v>6542</v>
      </c>
    </row>
    <row r="6192" spans="1:6" x14ac:dyDescent="0.15">
      <c r="A6192">
        <v>8416331</v>
      </c>
      <c r="B6192">
        <v>8415992</v>
      </c>
      <c r="C6192" t="s">
        <v>8</v>
      </c>
      <c r="D6192" t="s">
        <v>8</v>
      </c>
      <c r="E6192" s="4" t="str">
        <f>HYPERLINK("https://ibp.a2mac1.com/costing(costing:projects/details/9760/assembly/8416331)","Housing")</f>
        <v>Housing</v>
      </c>
      <c r="F6192" t="s">
        <v>6543</v>
      </c>
    </row>
    <row r="6193" spans="1:6" x14ac:dyDescent="0.15">
      <c r="A6193">
        <v>8416562</v>
      </c>
      <c r="B6193">
        <v>8416331</v>
      </c>
      <c r="C6193" t="s">
        <v>10</v>
      </c>
      <c r="D6193" t="s">
        <v>8</v>
      </c>
      <c r="E6193" s="4" t="str">
        <f>HYPERLINK("https://ibp.a2mac1.com/costing(costing:projects/details/9760/part/8416562)","Closures&gt;Front door&gt;Housing assy&gt;Housing&gt;Part 01 (single/front)")</f>
        <v>Closures&gt;Front door&gt;Housing assy&gt;Housing&gt;Part 01 (single/front)</v>
      </c>
      <c r="F6193" t="s">
        <v>6544</v>
      </c>
    </row>
    <row r="6194" spans="1:6" x14ac:dyDescent="0.15">
      <c r="A6194">
        <v>12085989</v>
      </c>
      <c r="B6194">
        <v>8416562</v>
      </c>
      <c r="C6194" t="s">
        <v>114</v>
      </c>
      <c r="D6194" t="s">
        <v>10</v>
      </c>
      <c r="E6194" s="4" t="str">
        <f>HYPERLINK("https://ibp.a2mac1.com/costing(costing:projects/details/9760/process/12085989)","MANUFACTURING  PROCESS")</f>
        <v>MANUFACTURING  PROCESS</v>
      </c>
      <c r="F6194" t="s">
        <v>6545</v>
      </c>
    </row>
    <row r="6195" spans="1:6" x14ac:dyDescent="0.15">
      <c r="A6195">
        <v>8755602</v>
      </c>
      <c r="B6195">
        <v>12085989</v>
      </c>
      <c r="C6195" t="s">
        <v>22</v>
      </c>
      <c r="D6195" t="s">
        <v>114</v>
      </c>
      <c r="E6195" s="4" t="str">
        <f>HYPERLINK("https://ibp.a2mac1.com/costing(costing:projects/details/9760/material/8755602)","Standard Structural Steel sheet")</f>
        <v>Standard Structural Steel sheet</v>
      </c>
      <c r="F6195" t="s">
        <v>6546</v>
      </c>
    </row>
    <row r="6196" spans="1:6" x14ac:dyDescent="0.15">
      <c r="A6196">
        <v>12213147</v>
      </c>
      <c r="B6196">
        <v>12085989</v>
      </c>
      <c r="C6196" t="s">
        <v>163</v>
      </c>
      <c r="D6196" t="s">
        <v>114</v>
      </c>
      <c r="E6196" s="4" t="str">
        <f>HYPERLINK("https://ibp.a2mac1.com/costing(costing:projects/details/9760/equipment/12213147)","Manufacturing Equipment")</f>
        <v>Manufacturing Equipment</v>
      </c>
      <c r="F6196" t="s">
        <v>6546</v>
      </c>
    </row>
    <row r="6197" spans="1:6" x14ac:dyDescent="0.15">
      <c r="A6197">
        <v>8416332</v>
      </c>
      <c r="B6197">
        <v>8415992</v>
      </c>
      <c r="C6197" t="s">
        <v>8</v>
      </c>
      <c r="D6197" t="s">
        <v>8</v>
      </c>
      <c r="E6197" s="4" t="str">
        <f>HYPERLINK("https://ibp.a2mac1.com/costing(costing:projects/details/9760/assembly/8416332)","Reinforcements")</f>
        <v>Reinforcements</v>
      </c>
      <c r="F6197" t="s">
        <v>6543</v>
      </c>
    </row>
    <row r="6198" spans="1:6" x14ac:dyDescent="0.15">
      <c r="A6198">
        <v>8416563</v>
      </c>
      <c r="B6198">
        <v>8416332</v>
      </c>
      <c r="C6198" t="s">
        <v>10</v>
      </c>
      <c r="D6198" t="s">
        <v>8</v>
      </c>
      <c r="E6198" s="4" t="str">
        <f>HYPERLINK("https://ibp.a2mac1.com/costing(costing:projects/details/9760/part/8416563)","Closures&gt;Front door&gt;Housing assy&gt;Reinforcements&gt;Part 01 (single/main)")</f>
        <v>Closures&gt;Front door&gt;Housing assy&gt;Reinforcements&gt;Part 01 (single/main)</v>
      </c>
      <c r="F6198" t="s">
        <v>6547</v>
      </c>
    </row>
    <row r="6199" spans="1:6" x14ac:dyDescent="0.15">
      <c r="A6199">
        <v>12085990</v>
      </c>
      <c r="B6199">
        <v>8416563</v>
      </c>
      <c r="C6199" t="s">
        <v>114</v>
      </c>
      <c r="D6199" t="s">
        <v>10</v>
      </c>
      <c r="E6199" s="4" t="str">
        <f>HYPERLINK("https://ibp.a2mac1.com/costing(costing:projects/details/9760/process/12085990)","MANUFACTURING  PROCESS")</f>
        <v>MANUFACTURING  PROCESS</v>
      </c>
      <c r="F6199" t="s">
        <v>6548</v>
      </c>
    </row>
    <row r="6200" spans="1:6" x14ac:dyDescent="0.15">
      <c r="A6200">
        <v>8755603</v>
      </c>
      <c r="B6200">
        <v>12085990</v>
      </c>
      <c r="C6200" t="s">
        <v>22</v>
      </c>
      <c r="D6200" t="s">
        <v>114</v>
      </c>
      <c r="E6200" s="4" t="str">
        <f>HYPERLINK("https://ibp.a2mac1.com/costing(costing:projects/details/9760/material/8755603)","Standard Structural Steel sheet")</f>
        <v>Standard Structural Steel sheet</v>
      </c>
      <c r="F6200" t="s">
        <v>6549</v>
      </c>
    </row>
    <row r="6201" spans="1:6" x14ac:dyDescent="0.15">
      <c r="A6201">
        <v>12213148</v>
      </c>
      <c r="B6201">
        <v>12085990</v>
      </c>
      <c r="C6201" t="s">
        <v>163</v>
      </c>
      <c r="D6201" t="s">
        <v>114</v>
      </c>
      <c r="E6201" s="4" t="str">
        <f>HYPERLINK("https://ibp.a2mac1.com/costing(costing:projects/details/9760/equipment/12213148)","Manufacturing Equipment")</f>
        <v>Manufacturing Equipment</v>
      </c>
      <c r="F6201" t="s">
        <v>6549</v>
      </c>
    </row>
    <row r="6202" spans="1:6" x14ac:dyDescent="0.15">
      <c r="A6202">
        <v>8416564</v>
      </c>
      <c r="B6202">
        <v>8416332</v>
      </c>
      <c r="C6202" t="s">
        <v>10</v>
      </c>
      <c r="D6202" t="s">
        <v>8</v>
      </c>
      <c r="E6202" s="4" t="str">
        <f>HYPERLINK("https://ibp.a2mac1.com/costing(costing:projects/details/9760/part/8416564)","Closures&gt;Front door&gt;Housing assy&gt;Reinforcements&gt;Part 02")</f>
        <v>Closures&gt;Front door&gt;Housing assy&gt;Reinforcements&gt;Part 02</v>
      </c>
      <c r="F6202" t="s">
        <v>6547</v>
      </c>
    </row>
    <row r="6203" spans="1:6" x14ac:dyDescent="0.15">
      <c r="A6203">
        <v>12085991</v>
      </c>
      <c r="B6203">
        <v>8416564</v>
      </c>
      <c r="C6203" t="s">
        <v>114</v>
      </c>
      <c r="D6203" t="s">
        <v>10</v>
      </c>
      <c r="E6203" s="4" t="str">
        <f>HYPERLINK("https://ibp.a2mac1.com/costing(costing:projects/details/9760/process/12085991)","MANUFACTURING  PROCESS")</f>
        <v>MANUFACTURING  PROCESS</v>
      </c>
      <c r="F6203" t="s">
        <v>6550</v>
      </c>
    </row>
    <row r="6204" spans="1:6" x14ac:dyDescent="0.15">
      <c r="A6204">
        <v>8755604</v>
      </c>
      <c r="B6204">
        <v>12085991</v>
      </c>
      <c r="C6204" t="s">
        <v>22</v>
      </c>
      <c r="D6204" t="s">
        <v>114</v>
      </c>
      <c r="E6204" s="4" t="str">
        <f>HYPERLINK("https://ibp.a2mac1.com/costing(costing:projects/details/9760/material/8755604)","Standard Structural Steel sheet")</f>
        <v>Standard Structural Steel sheet</v>
      </c>
      <c r="F6204" t="s">
        <v>6551</v>
      </c>
    </row>
    <row r="6205" spans="1:6" x14ac:dyDescent="0.15">
      <c r="A6205">
        <v>12213149</v>
      </c>
      <c r="B6205">
        <v>12085991</v>
      </c>
      <c r="C6205" t="s">
        <v>163</v>
      </c>
      <c r="D6205" t="s">
        <v>114</v>
      </c>
      <c r="E6205" s="4" t="str">
        <f>HYPERLINK("https://ibp.a2mac1.com/costing(costing:projects/details/9760/equipment/12213149)","Manufacturing Equipment")</f>
        <v>Manufacturing Equipment</v>
      </c>
      <c r="F6205" t="s">
        <v>6551</v>
      </c>
    </row>
    <row r="6206" spans="1:6" x14ac:dyDescent="0.15">
      <c r="A6206">
        <v>8416565</v>
      </c>
      <c r="B6206">
        <v>8416332</v>
      </c>
      <c r="C6206" t="s">
        <v>10</v>
      </c>
      <c r="D6206" t="s">
        <v>8</v>
      </c>
      <c r="E6206" s="4" t="str">
        <f>HYPERLINK("https://ibp.a2mac1.com/costing(costing:projects/details/9760/part/8416565)","Closures&gt;Front door&gt;Housing assy&gt;Reinforcements&gt;Part 03")</f>
        <v>Closures&gt;Front door&gt;Housing assy&gt;Reinforcements&gt;Part 03</v>
      </c>
      <c r="F6206" t="s">
        <v>6547</v>
      </c>
    </row>
    <row r="6207" spans="1:6" x14ac:dyDescent="0.15">
      <c r="A6207">
        <v>12085992</v>
      </c>
      <c r="B6207">
        <v>8416565</v>
      </c>
      <c r="C6207" t="s">
        <v>114</v>
      </c>
      <c r="D6207" t="s">
        <v>10</v>
      </c>
      <c r="E6207" s="4" t="str">
        <f>HYPERLINK("https://ibp.a2mac1.com/costing(costing:projects/details/9760/process/12085992)","MANUFACTURING  PROCESS")</f>
        <v>MANUFACTURING  PROCESS</v>
      </c>
      <c r="F6207" t="s">
        <v>6552</v>
      </c>
    </row>
    <row r="6208" spans="1:6" x14ac:dyDescent="0.15">
      <c r="A6208">
        <v>8755605</v>
      </c>
      <c r="B6208">
        <v>12085992</v>
      </c>
      <c r="C6208" t="s">
        <v>22</v>
      </c>
      <c r="D6208" t="s">
        <v>114</v>
      </c>
      <c r="E6208" s="4" t="str">
        <f>HYPERLINK("https://ibp.a2mac1.com/costing(costing:projects/details/9760/material/8755605)","Standard Structural Steel sheet")</f>
        <v>Standard Structural Steel sheet</v>
      </c>
      <c r="F6208" t="s">
        <v>6553</v>
      </c>
    </row>
    <row r="6209" spans="1:6" x14ac:dyDescent="0.15">
      <c r="A6209">
        <v>12213150</v>
      </c>
      <c r="B6209">
        <v>12085992</v>
      </c>
      <c r="C6209" t="s">
        <v>163</v>
      </c>
      <c r="D6209" t="s">
        <v>114</v>
      </c>
      <c r="E6209" s="4" t="str">
        <f>HYPERLINK("https://ibp.a2mac1.com/costing(costing:projects/details/9760/equipment/12213150)","Manufacturing Equipment")</f>
        <v>Manufacturing Equipment</v>
      </c>
      <c r="F6209" t="s">
        <v>6553</v>
      </c>
    </row>
    <row r="6210" spans="1:6" x14ac:dyDescent="0.15">
      <c r="A6210">
        <v>8416566</v>
      </c>
      <c r="B6210">
        <v>8416332</v>
      </c>
      <c r="C6210" t="s">
        <v>10</v>
      </c>
      <c r="D6210" t="s">
        <v>8</v>
      </c>
      <c r="E6210" s="4" t="str">
        <f>HYPERLINK("https://ibp.a2mac1.com/costing(costing:projects/details/9760/part/8416566)","Closures&gt;Front door&gt;Housing assy&gt;Reinforcements&gt;Part 04")</f>
        <v>Closures&gt;Front door&gt;Housing assy&gt;Reinforcements&gt;Part 04</v>
      </c>
      <c r="F6210" t="s">
        <v>6547</v>
      </c>
    </row>
    <row r="6211" spans="1:6" x14ac:dyDescent="0.15">
      <c r="A6211">
        <v>12085993</v>
      </c>
      <c r="B6211">
        <v>8416566</v>
      </c>
      <c r="C6211" t="s">
        <v>114</v>
      </c>
      <c r="D6211" t="s">
        <v>10</v>
      </c>
      <c r="E6211" s="4" t="str">
        <f>HYPERLINK("https://ibp.a2mac1.com/costing(costing:projects/details/9760/process/12085993)","MANUFACTURING  PROCESS")</f>
        <v>MANUFACTURING  PROCESS</v>
      </c>
      <c r="F6211" t="s">
        <v>6554</v>
      </c>
    </row>
    <row r="6212" spans="1:6" x14ac:dyDescent="0.15">
      <c r="A6212">
        <v>8755606</v>
      </c>
      <c r="B6212">
        <v>12085993</v>
      </c>
      <c r="C6212" t="s">
        <v>22</v>
      </c>
      <c r="D6212" t="s">
        <v>114</v>
      </c>
      <c r="E6212" s="4" t="str">
        <f>HYPERLINK("https://ibp.a2mac1.com/costing(costing:projects/details/9760/material/8755606)","Standard Structural Steel sheet")</f>
        <v>Standard Structural Steel sheet</v>
      </c>
      <c r="F6212" t="s">
        <v>6555</v>
      </c>
    </row>
    <row r="6213" spans="1:6" x14ac:dyDescent="0.15">
      <c r="A6213">
        <v>12213151</v>
      </c>
      <c r="B6213">
        <v>12085993</v>
      </c>
      <c r="C6213" t="s">
        <v>163</v>
      </c>
      <c r="D6213" t="s">
        <v>114</v>
      </c>
      <c r="E6213" s="4" t="str">
        <f>HYPERLINK("https://ibp.a2mac1.com/costing(costing:projects/details/9760/equipment/12213151)","Manufacturing Equipment")</f>
        <v>Manufacturing Equipment</v>
      </c>
      <c r="F6213" t="s">
        <v>6555</v>
      </c>
    </row>
    <row r="6214" spans="1:6" x14ac:dyDescent="0.15">
      <c r="A6214">
        <v>8416567</v>
      </c>
      <c r="B6214">
        <v>8416332</v>
      </c>
      <c r="C6214" t="s">
        <v>10</v>
      </c>
      <c r="D6214" t="s">
        <v>8</v>
      </c>
      <c r="E6214" s="4" t="str">
        <f>HYPERLINK("https://ibp.a2mac1.com/costing(costing:projects/details/9760/part/8416567)","Closures&gt;Front door&gt;Housing assy&gt;Reinforcements&gt;Part 05")</f>
        <v>Closures&gt;Front door&gt;Housing assy&gt;Reinforcements&gt;Part 05</v>
      </c>
      <c r="F6214" t="s">
        <v>6547</v>
      </c>
    </row>
    <row r="6215" spans="1:6" x14ac:dyDescent="0.15">
      <c r="A6215">
        <v>12085994</v>
      </c>
      <c r="B6215">
        <v>8416567</v>
      </c>
      <c r="C6215" t="s">
        <v>114</v>
      </c>
      <c r="D6215" t="s">
        <v>10</v>
      </c>
      <c r="E6215" s="4" t="str">
        <f>HYPERLINK("https://ibp.a2mac1.com/costing(costing:projects/details/9760/process/12085994)","MANUFACTURING  PROCESS")</f>
        <v>MANUFACTURING  PROCESS</v>
      </c>
      <c r="F6215" t="s">
        <v>6556</v>
      </c>
    </row>
    <row r="6216" spans="1:6" x14ac:dyDescent="0.15">
      <c r="A6216">
        <v>8755607</v>
      </c>
      <c r="B6216">
        <v>12085994</v>
      </c>
      <c r="C6216" t="s">
        <v>22</v>
      </c>
      <c r="D6216" t="s">
        <v>114</v>
      </c>
      <c r="E6216" s="4" t="str">
        <f>HYPERLINK("https://ibp.a2mac1.com/costing(costing:projects/details/9760/material/8755607)","Standard Structural Steel sheet")</f>
        <v>Standard Structural Steel sheet</v>
      </c>
      <c r="F6216" t="s">
        <v>6557</v>
      </c>
    </row>
    <row r="6217" spans="1:6" x14ac:dyDescent="0.15">
      <c r="A6217">
        <v>12213152</v>
      </c>
      <c r="B6217">
        <v>12085994</v>
      </c>
      <c r="C6217" t="s">
        <v>163</v>
      </c>
      <c r="D6217" t="s">
        <v>114</v>
      </c>
      <c r="E6217" s="4" t="str">
        <f>HYPERLINK("https://ibp.a2mac1.com/costing(costing:projects/details/9760/equipment/12213152)","Manufacturing Equipment")</f>
        <v>Manufacturing Equipment</v>
      </c>
      <c r="F6217" t="s">
        <v>6557</v>
      </c>
    </row>
    <row r="6218" spans="1:6" x14ac:dyDescent="0.15">
      <c r="A6218">
        <v>8416333</v>
      </c>
      <c r="B6218">
        <v>8415992</v>
      </c>
      <c r="C6218" t="s">
        <v>8</v>
      </c>
      <c r="D6218" t="s">
        <v>8</v>
      </c>
      <c r="E6218" s="4" t="str">
        <f>HYPERLINK("https://ibp.a2mac1.com/costing(costing:projects/details/9760/assembly/8416333)","Fixing parts")</f>
        <v>Fixing parts</v>
      </c>
      <c r="F6218" t="s">
        <v>6543</v>
      </c>
    </row>
    <row r="6219" spans="1:6" x14ac:dyDescent="0.15">
      <c r="A6219">
        <v>8416568</v>
      </c>
      <c r="B6219">
        <v>8416333</v>
      </c>
      <c r="C6219" t="s">
        <v>8</v>
      </c>
      <c r="D6219" t="s">
        <v>8</v>
      </c>
      <c r="E6219" s="4" t="str">
        <f>HYPERLINK("https://ibp.a2mac1.com/costing(costing:projects/details/9760/assembly/8416568)","Front")</f>
        <v>Front</v>
      </c>
      <c r="F6219" t="s">
        <v>6558</v>
      </c>
    </row>
    <row r="6220" spans="1:6" x14ac:dyDescent="0.15">
      <c r="A6220">
        <v>8416851</v>
      </c>
      <c r="B6220">
        <v>8416568</v>
      </c>
      <c r="C6220" t="s">
        <v>10</v>
      </c>
      <c r="D6220" t="s">
        <v>8</v>
      </c>
      <c r="E6220" s="4" t="str">
        <f>HYPERLINK("https://ibp.a2mac1.com/costing(costing:projects/details/9760/part/8416851)","Closures&gt;Front door&gt;Housing assy&gt;Fixing parts&gt;Front&gt;Part 01 (single/main)")</f>
        <v>Closures&gt;Front door&gt;Housing assy&gt;Fixing parts&gt;Front&gt;Part 01 (single/main)</v>
      </c>
      <c r="F6220" t="s">
        <v>6559</v>
      </c>
    </row>
    <row r="6221" spans="1:6" x14ac:dyDescent="0.15">
      <c r="A6221">
        <v>12086186</v>
      </c>
      <c r="B6221">
        <v>8416851</v>
      </c>
      <c r="C6221" t="s">
        <v>114</v>
      </c>
      <c r="D6221" t="s">
        <v>10</v>
      </c>
      <c r="E6221" s="4" t="str">
        <f>HYPERLINK("https://ibp.a2mac1.com/costing(costing:projects/details/9760/process/12086186)","MANUFACTURING  PROCESS")</f>
        <v>MANUFACTURING  PROCESS</v>
      </c>
      <c r="F6221" t="s">
        <v>6560</v>
      </c>
    </row>
    <row r="6222" spans="1:6" x14ac:dyDescent="0.15">
      <c r="A6222">
        <v>8755772</v>
      </c>
      <c r="B6222">
        <v>12086186</v>
      </c>
      <c r="C6222" t="s">
        <v>22</v>
      </c>
      <c r="D6222" t="s">
        <v>114</v>
      </c>
      <c r="E6222" s="4" t="str">
        <f>HYPERLINK("https://ibp.a2mac1.com/costing(costing:projects/details/9760/material/8755772)","Standard Structural Steel sheet")</f>
        <v>Standard Structural Steel sheet</v>
      </c>
      <c r="F6222" t="s">
        <v>6561</v>
      </c>
    </row>
    <row r="6223" spans="1:6" x14ac:dyDescent="0.15">
      <c r="A6223">
        <v>12213319</v>
      </c>
      <c r="B6223">
        <v>12086186</v>
      </c>
      <c r="C6223" t="s">
        <v>163</v>
      </c>
      <c r="D6223" t="s">
        <v>114</v>
      </c>
      <c r="E6223" s="4" t="str">
        <f>HYPERLINK("https://ibp.a2mac1.com/costing(costing:projects/details/9760/equipment/12213319)","Manufacturing Equipment")</f>
        <v>Manufacturing Equipment</v>
      </c>
      <c r="F6223" t="s">
        <v>6561</v>
      </c>
    </row>
    <row r="6224" spans="1:6" x14ac:dyDescent="0.15">
      <c r="A6224">
        <v>8416852</v>
      </c>
      <c r="B6224">
        <v>8416568</v>
      </c>
      <c r="C6224" t="s">
        <v>10</v>
      </c>
      <c r="D6224" t="s">
        <v>8</v>
      </c>
      <c r="E6224" s="4" t="str">
        <f>HYPERLINK("https://ibp.a2mac1.com/costing(costing:projects/details/9760/part/8416852)","Closures&gt;Front door&gt;Housing assy&gt;Fixing parts&gt;Front&gt;Part 02")</f>
        <v>Closures&gt;Front door&gt;Housing assy&gt;Fixing parts&gt;Front&gt;Part 02</v>
      </c>
      <c r="F6224" t="s">
        <v>6559</v>
      </c>
    </row>
    <row r="6225" spans="1:6" x14ac:dyDescent="0.15">
      <c r="A6225">
        <v>12086187</v>
      </c>
      <c r="B6225">
        <v>8416852</v>
      </c>
      <c r="C6225" t="s">
        <v>114</v>
      </c>
      <c r="D6225" t="s">
        <v>10</v>
      </c>
      <c r="E6225" s="4" t="str">
        <f>HYPERLINK("https://ibp.a2mac1.com/costing(costing:projects/details/9760/process/12086187)","MANUFACTURING  PROCESS")</f>
        <v>MANUFACTURING  PROCESS</v>
      </c>
      <c r="F6225" t="s">
        <v>6562</v>
      </c>
    </row>
    <row r="6226" spans="1:6" x14ac:dyDescent="0.15">
      <c r="A6226">
        <v>8755773</v>
      </c>
      <c r="B6226">
        <v>12086187</v>
      </c>
      <c r="C6226" t="s">
        <v>22</v>
      </c>
      <c r="D6226" t="s">
        <v>114</v>
      </c>
      <c r="E6226" s="4" t="str">
        <f>HYPERLINK("https://ibp.a2mac1.com/costing(costing:projects/details/9760/material/8755773)","Standard Structural Steel sheet")</f>
        <v>Standard Structural Steel sheet</v>
      </c>
      <c r="F6226" t="s">
        <v>6563</v>
      </c>
    </row>
    <row r="6227" spans="1:6" x14ac:dyDescent="0.15">
      <c r="A6227">
        <v>12213320</v>
      </c>
      <c r="B6227">
        <v>12086187</v>
      </c>
      <c r="C6227" t="s">
        <v>163</v>
      </c>
      <c r="D6227" t="s">
        <v>114</v>
      </c>
      <c r="E6227" s="4" t="str">
        <f>HYPERLINK("https://ibp.a2mac1.com/costing(costing:projects/details/9760/equipment/12213320)","Manufacturing Equipment")</f>
        <v>Manufacturing Equipment</v>
      </c>
      <c r="F6227" t="s">
        <v>6563</v>
      </c>
    </row>
    <row r="6228" spans="1:6" x14ac:dyDescent="0.15">
      <c r="A6228">
        <v>8415993</v>
      </c>
      <c r="B6228">
        <v>8415677</v>
      </c>
      <c r="C6228" t="s">
        <v>8</v>
      </c>
      <c r="D6228" t="s">
        <v>8</v>
      </c>
      <c r="E6228" s="4" t="str">
        <f>HYPERLINK("https://ibp.a2mac1.com/costing(costing:projects/details/9760/assembly/8415993)","Anti-intrusion beam")</f>
        <v>Anti-intrusion beam</v>
      </c>
      <c r="F6228" t="s">
        <v>6542</v>
      </c>
    </row>
    <row r="6229" spans="1:6" x14ac:dyDescent="0.15">
      <c r="A6229">
        <v>8416334</v>
      </c>
      <c r="B6229">
        <v>8415993</v>
      </c>
      <c r="C6229" t="s">
        <v>8</v>
      </c>
      <c r="D6229" t="s">
        <v>8</v>
      </c>
      <c r="E6229" s="4" t="str">
        <f>HYPERLINK("https://ibp.a2mac1.com/costing(costing:projects/details/9760/assembly/8416334)","Beam 01 (single/upper)")</f>
        <v>Beam 01 (single/upper)</v>
      </c>
      <c r="F6229" t="s">
        <v>6564</v>
      </c>
    </row>
    <row r="6230" spans="1:6" x14ac:dyDescent="0.15">
      <c r="A6230">
        <v>8416569</v>
      </c>
      <c r="B6230">
        <v>8416334</v>
      </c>
      <c r="C6230" t="s">
        <v>8</v>
      </c>
      <c r="D6230" t="s">
        <v>8</v>
      </c>
      <c r="E6230" s="4" t="str">
        <f>HYPERLINK("https://ibp.a2mac1.com/costing(costing:projects/details/9760/assembly/8416569)","Beam")</f>
        <v>Beam</v>
      </c>
      <c r="F6230" t="s">
        <v>6565</v>
      </c>
    </row>
    <row r="6231" spans="1:6" x14ac:dyDescent="0.15">
      <c r="A6231">
        <v>8416853</v>
      </c>
      <c r="B6231">
        <v>8416569</v>
      </c>
      <c r="C6231" t="s">
        <v>10</v>
      </c>
      <c r="D6231" t="s">
        <v>8</v>
      </c>
      <c r="E6231" s="4" t="str">
        <f>HYPERLINK("https://ibp.a2mac1.com/costing(costing:projects/details/9760/part/8416853)","Closures&gt;Front door&gt;Anti-intrusion beam&gt;Beam 01 (single/upper)&gt;Beam&gt;Part 01 (single/main)")</f>
        <v>Closures&gt;Front door&gt;Anti-intrusion beam&gt;Beam 01 (single/upper)&gt;Beam&gt;Part 01 (single/main)</v>
      </c>
      <c r="F6231" t="s">
        <v>6566</v>
      </c>
    </row>
    <row r="6232" spans="1:6" x14ac:dyDescent="0.15">
      <c r="A6232">
        <v>12086188</v>
      </c>
      <c r="B6232">
        <v>8416853</v>
      </c>
      <c r="C6232" t="s">
        <v>114</v>
      </c>
      <c r="D6232" t="s">
        <v>10</v>
      </c>
      <c r="E6232" s="4" t="str">
        <f>HYPERLINK("https://ibp.a2mac1.com/costing(costing:projects/details/9760/process/12086188)","MANUFACTURING  PROCESS")</f>
        <v>MANUFACTURING  PROCESS</v>
      </c>
      <c r="F6232" t="s">
        <v>6567</v>
      </c>
    </row>
    <row r="6233" spans="1:6" x14ac:dyDescent="0.15">
      <c r="A6233">
        <v>8755774</v>
      </c>
      <c r="B6233">
        <v>12086188</v>
      </c>
      <c r="C6233" t="s">
        <v>22</v>
      </c>
      <c r="D6233" t="s">
        <v>114</v>
      </c>
      <c r="E6233" s="4" t="str">
        <f>HYPERLINK("https://ibp.a2mac1.com/costing(costing:projects/details/9760/material/8755774)","Standard Structural Steel sheet")</f>
        <v>Standard Structural Steel sheet</v>
      </c>
      <c r="F6233" t="s">
        <v>6568</v>
      </c>
    </row>
    <row r="6234" spans="1:6" x14ac:dyDescent="0.15">
      <c r="A6234">
        <v>12213321</v>
      </c>
      <c r="B6234">
        <v>12086188</v>
      </c>
      <c r="C6234" t="s">
        <v>163</v>
      </c>
      <c r="D6234" t="s">
        <v>114</v>
      </c>
      <c r="E6234" s="4" t="str">
        <f>HYPERLINK("https://ibp.a2mac1.com/costing(costing:projects/details/9760/equipment/12213321)","Manufacturing Equipment")</f>
        <v>Manufacturing Equipment</v>
      </c>
      <c r="F6234" t="s">
        <v>6568</v>
      </c>
    </row>
    <row r="6235" spans="1:6" x14ac:dyDescent="0.15">
      <c r="A6235">
        <v>8415994</v>
      </c>
      <c r="B6235">
        <v>8415677</v>
      </c>
      <c r="C6235" t="s">
        <v>8</v>
      </c>
      <c r="D6235" t="s">
        <v>8</v>
      </c>
      <c r="E6235" s="4" t="str">
        <f>HYPERLINK("https://ibp.a2mac1.com/costing(costing:projects/details/9760/assembly/8415994)","Window frame assy")</f>
        <v>Window frame assy</v>
      </c>
      <c r="F6235" t="s">
        <v>6542</v>
      </c>
    </row>
    <row r="6236" spans="1:6" x14ac:dyDescent="0.15">
      <c r="A6236">
        <v>8416335</v>
      </c>
      <c r="B6236">
        <v>8415994</v>
      </c>
      <c r="C6236" t="s">
        <v>8</v>
      </c>
      <c r="D6236" t="s">
        <v>8</v>
      </c>
      <c r="E6236" s="4" t="str">
        <f>HYPERLINK("https://ibp.a2mac1.com/costing(costing:projects/details/9760/assembly/8416335)","Reinforcements")</f>
        <v>Reinforcements</v>
      </c>
      <c r="F6236" t="s">
        <v>6569</v>
      </c>
    </row>
    <row r="6237" spans="1:6" x14ac:dyDescent="0.15">
      <c r="A6237">
        <v>8416570</v>
      </c>
      <c r="B6237">
        <v>8416335</v>
      </c>
      <c r="C6237" t="s">
        <v>10</v>
      </c>
      <c r="D6237" t="s">
        <v>8</v>
      </c>
      <c r="E6237" s="4" t="str">
        <f>HYPERLINK("https://ibp.a2mac1.com/costing(costing:projects/details/9760/part/8416570)","Closures&gt;Front door&gt;Window frame assy&gt;Reinforcements&gt;Part 01 (single/main)")</f>
        <v>Closures&gt;Front door&gt;Window frame assy&gt;Reinforcements&gt;Part 01 (single/main)</v>
      </c>
      <c r="F6237" t="s">
        <v>6570</v>
      </c>
    </row>
    <row r="6238" spans="1:6" x14ac:dyDescent="0.15">
      <c r="A6238">
        <v>12085995</v>
      </c>
      <c r="B6238">
        <v>8416570</v>
      </c>
      <c r="C6238" t="s">
        <v>114</v>
      </c>
      <c r="D6238" t="s">
        <v>10</v>
      </c>
      <c r="E6238" s="4" t="str">
        <f>HYPERLINK("https://ibp.a2mac1.com/costing(costing:projects/details/9760/process/12085995)","MANUFACTURING  PROCESS")</f>
        <v>MANUFACTURING  PROCESS</v>
      </c>
      <c r="F6238" t="s">
        <v>6571</v>
      </c>
    </row>
    <row r="6239" spans="1:6" x14ac:dyDescent="0.15">
      <c r="A6239">
        <v>8755608</v>
      </c>
      <c r="B6239">
        <v>12085995</v>
      </c>
      <c r="C6239" t="s">
        <v>22</v>
      </c>
      <c r="D6239" t="s">
        <v>114</v>
      </c>
      <c r="E6239" s="4" t="str">
        <f>HYPERLINK("https://ibp.a2mac1.com/costing(costing:projects/details/9760/material/8755608)","Standard Structural Steel sheet")</f>
        <v>Standard Structural Steel sheet</v>
      </c>
      <c r="F6239" t="s">
        <v>6572</v>
      </c>
    </row>
    <row r="6240" spans="1:6" x14ac:dyDescent="0.15">
      <c r="A6240">
        <v>12213153</v>
      </c>
      <c r="B6240">
        <v>12085995</v>
      </c>
      <c r="C6240" t="s">
        <v>163</v>
      </c>
      <c r="D6240" t="s">
        <v>114</v>
      </c>
      <c r="E6240" s="4" t="str">
        <f>HYPERLINK("https://ibp.a2mac1.com/costing(costing:projects/details/9760/equipment/12213153)","Manufacturing Equipment")</f>
        <v>Manufacturing Equipment</v>
      </c>
      <c r="F6240" t="s">
        <v>6572</v>
      </c>
    </row>
    <row r="6241" spans="1:6" x14ac:dyDescent="0.15">
      <c r="A6241">
        <v>8416336</v>
      </c>
      <c r="B6241">
        <v>8415994</v>
      </c>
      <c r="C6241" t="s">
        <v>8</v>
      </c>
      <c r="D6241" t="s">
        <v>8</v>
      </c>
      <c r="E6241" s="4" t="str">
        <f>HYPERLINK("https://ibp.a2mac1.com/costing(costing:projects/details/9760/assembly/8416336)","Glass slides")</f>
        <v>Glass slides</v>
      </c>
      <c r="F6241" t="s">
        <v>6569</v>
      </c>
    </row>
    <row r="6242" spans="1:6" x14ac:dyDescent="0.15">
      <c r="A6242">
        <v>8416571</v>
      </c>
      <c r="B6242">
        <v>8416336</v>
      </c>
      <c r="C6242" t="s">
        <v>8</v>
      </c>
      <c r="D6242" t="s">
        <v>8</v>
      </c>
      <c r="E6242" s="4" t="str">
        <f>HYPERLINK("https://ibp.a2mac1.com/costing(costing:projects/details/9760/assembly/8416571)","Front")</f>
        <v>Front</v>
      </c>
      <c r="F6242" t="s">
        <v>6573</v>
      </c>
    </row>
    <row r="6243" spans="1:6" x14ac:dyDescent="0.15">
      <c r="A6243">
        <v>8416854</v>
      </c>
      <c r="B6243">
        <v>8416571</v>
      </c>
      <c r="C6243" t="s">
        <v>8</v>
      </c>
      <c r="D6243" t="s">
        <v>8</v>
      </c>
      <c r="E6243" s="4" t="str">
        <f>HYPERLINK("https://ibp.a2mac1.com/costing(costing:projects/details/9760/assembly/8416854)","slide")</f>
        <v>slide</v>
      </c>
      <c r="F6243" t="s">
        <v>6574</v>
      </c>
    </row>
    <row r="6244" spans="1:6" x14ac:dyDescent="0.15">
      <c r="A6244">
        <v>8417264</v>
      </c>
      <c r="B6244">
        <v>8416854</v>
      </c>
      <c r="C6244" t="s">
        <v>10</v>
      </c>
      <c r="D6244" t="s">
        <v>8</v>
      </c>
      <c r="E6244" s="4" t="str">
        <f>HYPERLINK("https://ibp.a2mac1.com/costing(costing:projects/details/9760/part/8417264)","Closures&gt;Front door&gt;Window frame assy&gt;Glass slides&gt;Front&gt;slide&gt;Part 01 (single/main)")</f>
        <v>Closures&gt;Front door&gt;Window frame assy&gt;Glass slides&gt;Front&gt;slide&gt;Part 01 (single/main)</v>
      </c>
      <c r="F6244" t="s">
        <v>6575</v>
      </c>
    </row>
    <row r="6245" spans="1:6" x14ac:dyDescent="0.15">
      <c r="A6245">
        <v>12086442</v>
      </c>
      <c r="B6245">
        <v>8417264</v>
      </c>
      <c r="C6245" t="s">
        <v>114</v>
      </c>
      <c r="D6245" t="s">
        <v>10</v>
      </c>
      <c r="E6245" s="4" t="str">
        <f>HYPERLINK("https://ibp.a2mac1.com/costing(costing:projects/details/9760/process/12086442)","MANUFACTURING  PROCESS")</f>
        <v>MANUFACTURING  PROCESS</v>
      </c>
      <c r="F6245" t="s">
        <v>6576</v>
      </c>
    </row>
    <row r="6246" spans="1:6" x14ac:dyDescent="0.15">
      <c r="A6246">
        <v>8756045</v>
      </c>
      <c r="B6246">
        <v>12086442</v>
      </c>
      <c r="C6246" t="s">
        <v>22</v>
      </c>
      <c r="D6246" t="s">
        <v>114</v>
      </c>
      <c r="E6246" s="4" t="str">
        <f>HYPERLINK("https://ibp.a2mac1.com/costing(costing:projects/details/9760/material/8756045)","Standard Structural Steel sheet")</f>
        <v>Standard Structural Steel sheet</v>
      </c>
      <c r="F6246" t="s">
        <v>6577</v>
      </c>
    </row>
    <row r="6247" spans="1:6" x14ac:dyDescent="0.15">
      <c r="A6247">
        <v>12213587</v>
      </c>
      <c r="B6247">
        <v>12086442</v>
      </c>
      <c r="C6247" t="s">
        <v>163</v>
      </c>
      <c r="D6247" t="s">
        <v>114</v>
      </c>
      <c r="E6247" s="4" t="str">
        <f>HYPERLINK("https://ibp.a2mac1.com/costing(costing:projects/details/9760/equipment/12213587)","Manufacturing Equipment")</f>
        <v>Manufacturing Equipment</v>
      </c>
      <c r="F6247" t="s">
        <v>6577</v>
      </c>
    </row>
    <row r="6248" spans="1:6" x14ac:dyDescent="0.15">
      <c r="A6248">
        <v>8416855</v>
      </c>
      <c r="B6248">
        <v>8416571</v>
      </c>
      <c r="C6248" t="s">
        <v>8</v>
      </c>
      <c r="D6248" t="s">
        <v>8</v>
      </c>
      <c r="E6248" s="4" t="str">
        <f>HYPERLINK("https://ibp.a2mac1.com/costing(costing:projects/details/9760/assembly/8416855)","Fixing parts")</f>
        <v>Fixing parts</v>
      </c>
      <c r="F6248" t="s">
        <v>6574</v>
      </c>
    </row>
    <row r="6249" spans="1:6" x14ac:dyDescent="0.15">
      <c r="A6249">
        <v>8417265</v>
      </c>
      <c r="B6249">
        <v>8416855</v>
      </c>
      <c r="C6249" t="s">
        <v>10</v>
      </c>
      <c r="D6249" t="s">
        <v>8</v>
      </c>
      <c r="E6249" s="4" t="str">
        <f>HYPERLINK("https://ibp.a2mac1.com/costing(costing:projects/details/9760/part/8417265)","Closures&gt;Front door&gt;Window frame assy&gt;Glass slides&gt;Front&gt;Fixing parts&gt;Part 01 (single/main)")</f>
        <v>Closures&gt;Front door&gt;Window frame assy&gt;Glass slides&gt;Front&gt;Fixing parts&gt;Part 01 (single/main)</v>
      </c>
      <c r="F6249" t="s">
        <v>6578</v>
      </c>
    </row>
    <row r="6250" spans="1:6" x14ac:dyDescent="0.15">
      <c r="A6250">
        <v>12086443</v>
      </c>
      <c r="B6250">
        <v>8417265</v>
      </c>
      <c r="C6250" t="s">
        <v>114</v>
      </c>
      <c r="D6250" t="s">
        <v>10</v>
      </c>
      <c r="E6250" s="4" t="str">
        <f>HYPERLINK("https://ibp.a2mac1.com/costing(costing:projects/details/9760/process/12086443)","MANUFACTURING  PROCESS")</f>
        <v>MANUFACTURING  PROCESS</v>
      </c>
      <c r="F6250" t="s">
        <v>6579</v>
      </c>
    </row>
    <row r="6251" spans="1:6" x14ac:dyDescent="0.15">
      <c r="A6251">
        <v>8756046</v>
      </c>
      <c r="B6251">
        <v>12086443</v>
      </c>
      <c r="C6251" t="s">
        <v>22</v>
      </c>
      <c r="D6251" t="s">
        <v>114</v>
      </c>
      <c r="E6251" s="4" t="str">
        <f>HYPERLINK("https://ibp.a2mac1.com/costing(costing:projects/details/9760/material/8756046)","Standard Structural Steel sheet")</f>
        <v>Standard Structural Steel sheet</v>
      </c>
      <c r="F6251" t="s">
        <v>6580</v>
      </c>
    </row>
    <row r="6252" spans="1:6" x14ac:dyDescent="0.15">
      <c r="A6252">
        <v>12213588</v>
      </c>
      <c r="B6252">
        <v>12086443</v>
      </c>
      <c r="C6252" t="s">
        <v>163</v>
      </c>
      <c r="D6252" t="s">
        <v>114</v>
      </c>
      <c r="E6252" s="4" t="str">
        <f>HYPERLINK("https://ibp.a2mac1.com/costing(costing:projects/details/9760/equipment/12213588)","Manufacturing Equipment")</f>
        <v>Manufacturing Equipment</v>
      </c>
      <c r="F6252" t="s">
        <v>6580</v>
      </c>
    </row>
    <row r="6253" spans="1:6" x14ac:dyDescent="0.15">
      <c r="A6253">
        <v>8415995</v>
      </c>
      <c r="B6253">
        <v>8415677</v>
      </c>
      <c r="C6253" t="s">
        <v>8</v>
      </c>
      <c r="D6253" t="s">
        <v>8</v>
      </c>
      <c r="E6253" s="4" t="str">
        <f>HYPERLINK("https://ibp.a2mac1.com/costing(costing:projects/details/9760/assembly/8415995)","Top roll assy")</f>
        <v>Top roll assy</v>
      </c>
      <c r="F6253" t="s">
        <v>6542</v>
      </c>
    </row>
    <row r="6254" spans="1:6" x14ac:dyDescent="0.15">
      <c r="A6254">
        <v>8416337</v>
      </c>
      <c r="B6254">
        <v>8415995</v>
      </c>
      <c r="C6254" t="s">
        <v>8</v>
      </c>
      <c r="D6254" t="s">
        <v>8</v>
      </c>
      <c r="E6254" s="4" t="str">
        <f>HYPERLINK("https://ibp.a2mac1.com/costing(costing:projects/details/9760/assembly/8416337)","Cross member 01 (outer)")</f>
        <v>Cross member 01 (outer)</v>
      </c>
      <c r="F6254" t="s">
        <v>6581</v>
      </c>
    </row>
    <row r="6255" spans="1:6" x14ac:dyDescent="0.15">
      <c r="A6255">
        <v>8416572</v>
      </c>
      <c r="B6255">
        <v>8416337</v>
      </c>
      <c r="C6255" t="s">
        <v>8</v>
      </c>
      <c r="D6255" t="s">
        <v>8</v>
      </c>
      <c r="E6255" s="4" t="str">
        <f>HYPERLINK("https://ibp.a2mac1.com/costing(costing:projects/details/9760/assembly/8416572)","Cross member")</f>
        <v>Cross member</v>
      </c>
      <c r="F6255" t="s">
        <v>6582</v>
      </c>
    </row>
    <row r="6256" spans="1:6" x14ac:dyDescent="0.15">
      <c r="A6256">
        <v>8416856</v>
      </c>
      <c r="B6256">
        <v>8416572</v>
      </c>
      <c r="C6256" t="s">
        <v>10</v>
      </c>
      <c r="D6256" t="s">
        <v>8</v>
      </c>
      <c r="E6256" s="4" t="str">
        <f>HYPERLINK("https://ibp.a2mac1.com/costing(costing:projects/details/9760/part/8416856)","Closures&gt;Front door&gt;Top roll assy&gt;Cross member 01 (outer)&gt;Cross member&gt;Part 01 (single/main)")</f>
        <v>Closures&gt;Front door&gt;Top roll assy&gt;Cross member 01 (outer)&gt;Cross member&gt;Part 01 (single/main)</v>
      </c>
      <c r="F6256" t="s">
        <v>6583</v>
      </c>
    </row>
    <row r="6257" spans="1:6" x14ac:dyDescent="0.15">
      <c r="A6257">
        <v>12086189</v>
      </c>
      <c r="B6257">
        <v>8416856</v>
      </c>
      <c r="C6257" t="s">
        <v>114</v>
      </c>
      <c r="D6257" t="s">
        <v>10</v>
      </c>
      <c r="E6257" s="4" t="str">
        <f>HYPERLINK("https://ibp.a2mac1.com/costing(costing:projects/details/9760/process/12086189)","MANUFACTURING  PROCESS")</f>
        <v>MANUFACTURING  PROCESS</v>
      </c>
      <c r="F6257" t="s">
        <v>6584</v>
      </c>
    </row>
    <row r="6258" spans="1:6" x14ac:dyDescent="0.15">
      <c r="A6258">
        <v>8755775</v>
      </c>
      <c r="B6258">
        <v>12086189</v>
      </c>
      <c r="C6258" t="s">
        <v>22</v>
      </c>
      <c r="D6258" t="s">
        <v>114</v>
      </c>
      <c r="E6258" s="4" t="str">
        <f>HYPERLINK("https://ibp.a2mac1.com/costing(costing:projects/details/9760/material/8755775)","Standard Structural Steel sheet")</f>
        <v>Standard Structural Steel sheet</v>
      </c>
      <c r="F6258" t="s">
        <v>6585</v>
      </c>
    </row>
    <row r="6259" spans="1:6" x14ac:dyDescent="0.15">
      <c r="A6259">
        <v>12213322</v>
      </c>
      <c r="B6259">
        <v>12086189</v>
      </c>
      <c r="C6259" t="s">
        <v>163</v>
      </c>
      <c r="D6259" t="s">
        <v>114</v>
      </c>
      <c r="E6259" s="4" t="str">
        <f>HYPERLINK("https://ibp.a2mac1.com/costing(costing:projects/details/9760/equipment/12213322)","Manufacturing Equipment")</f>
        <v>Manufacturing Equipment</v>
      </c>
      <c r="F6259" t="s">
        <v>6585</v>
      </c>
    </row>
    <row r="6260" spans="1:6" x14ac:dyDescent="0.15">
      <c r="A6260">
        <v>8416573</v>
      </c>
      <c r="B6260">
        <v>8416337</v>
      </c>
      <c r="C6260" t="s">
        <v>8</v>
      </c>
      <c r="D6260" t="s">
        <v>8</v>
      </c>
      <c r="E6260" s="4" t="str">
        <f>HYPERLINK("https://ibp.a2mac1.com/costing(costing:projects/details/9760/assembly/8416573)","Fixing parts")</f>
        <v>Fixing parts</v>
      </c>
      <c r="F6260" t="s">
        <v>6582</v>
      </c>
    </row>
    <row r="6261" spans="1:6" x14ac:dyDescent="0.15">
      <c r="A6261">
        <v>8416857</v>
      </c>
      <c r="B6261">
        <v>8416573</v>
      </c>
      <c r="C6261" t="s">
        <v>10</v>
      </c>
      <c r="D6261" t="s">
        <v>8</v>
      </c>
      <c r="E6261" s="4" t="str">
        <f>HYPERLINK("https://ibp.a2mac1.com/costing(costing:projects/details/9760/part/8416857)","Closures&gt;Front door&gt;Top roll assy&gt;Cross member 01 (outer)&gt;Fixing parts&gt;Part 01 (single/main)")</f>
        <v>Closures&gt;Front door&gt;Top roll assy&gt;Cross member 01 (outer)&gt;Fixing parts&gt;Part 01 (single/main)</v>
      </c>
      <c r="F6261" t="s">
        <v>6586</v>
      </c>
    </row>
    <row r="6262" spans="1:6" x14ac:dyDescent="0.15">
      <c r="A6262">
        <v>12086190</v>
      </c>
      <c r="B6262">
        <v>8416857</v>
      </c>
      <c r="C6262" t="s">
        <v>114</v>
      </c>
      <c r="D6262" t="s">
        <v>10</v>
      </c>
      <c r="E6262" s="4" t="str">
        <f>HYPERLINK("https://ibp.a2mac1.com/costing(costing:projects/details/9760/process/12086190)","MANUFACTURING  PROCESS")</f>
        <v>MANUFACTURING  PROCESS</v>
      </c>
      <c r="F6262" t="s">
        <v>6587</v>
      </c>
    </row>
    <row r="6263" spans="1:6" x14ac:dyDescent="0.15">
      <c r="A6263">
        <v>8755776</v>
      </c>
      <c r="B6263">
        <v>12086190</v>
      </c>
      <c r="C6263" t="s">
        <v>22</v>
      </c>
      <c r="D6263" t="s">
        <v>114</v>
      </c>
      <c r="E6263" s="4" t="str">
        <f>HYPERLINK("https://ibp.a2mac1.com/costing(costing:projects/details/9760/material/8755776)","Standard Structural Steel sheet")</f>
        <v>Standard Structural Steel sheet</v>
      </c>
      <c r="F6263" t="s">
        <v>6588</v>
      </c>
    </row>
    <row r="6264" spans="1:6" x14ac:dyDescent="0.15">
      <c r="A6264">
        <v>12213323</v>
      </c>
      <c r="B6264">
        <v>12086190</v>
      </c>
      <c r="C6264" t="s">
        <v>163</v>
      </c>
      <c r="D6264" t="s">
        <v>114</v>
      </c>
      <c r="E6264" s="4" t="str">
        <f>HYPERLINK("https://ibp.a2mac1.com/costing(costing:projects/details/9760/equipment/12213323)","Manufacturing Equipment")</f>
        <v>Manufacturing Equipment</v>
      </c>
      <c r="F6264" t="s">
        <v>6588</v>
      </c>
    </row>
    <row r="6265" spans="1:6" x14ac:dyDescent="0.15">
      <c r="A6265">
        <v>8416338</v>
      </c>
      <c r="B6265">
        <v>8415995</v>
      </c>
      <c r="C6265" t="s">
        <v>8</v>
      </c>
      <c r="D6265" t="s">
        <v>8</v>
      </c>
      <c r="E6265" s="4" t="str">
        <f>HYPERLINK("https://ibp.a2mac1.com/costing(costing:projects/details/9760/assembly/8416338)","Cross member 02 (inner)")</f>
        <v>Cross member 02 (inner)</v>
      </c>
      <c r="F6265" t="s">
        <v>6581</v>
      </c>
    </row>
    <row r="6266" spans="1:6" x14ac:dyDescent="0.15">
      <c r="A6266">
        <v>8416574</v>
      </c>
      <c r="B6266">
        <v>8416338</v>
      </c>
      <c r="C6266" t="s">
        <v>8</v>
      </c>
      <c r="D6266" t="s">
        <v>8</v>
      </c>
      <c r="E6266" s="4" t="str">
        <f>HYPERLINK("https://ibp.a2mac1.com/costing(costing:projects/details/9760/assembly/8416574)","Cross member")</f>
        <v>Cross member</v>
      </c>
      <c r="F6266" t="s">
        <v>6589</v>
      </c>
    </row>
    <row r="6267" spans="1:6" x14ac:dyDescent="0.15">
      <c r="A6267">
        <v>8416858</v>
      </c>
      <c r="B6267">
        <v>8416574</v>
      </c>
      <c r="C6267" t="s">
        <v>10</v>
      </c>
      <c r="D6267" t="s">
        <v>8</v>
      </c>
      <c r="E6267" s="4" t="str">
        <f>HYPERLINK("https://ibp.a2mac1.com/costing(costing:projects/details/9760/part/8416858)","Closures&gt;Front door&gt;Top roll assy&gt;Cross member 02 (inner)&gt;Cross member&gt;Part 01 (single/main)")</f>
        <v>Closures&gt;Front door&gt;Top roll assy&gt;Cross member 02 (inner)&gt;Cross member&gt;Part 01 (single/main)</v>
      </c>
      <c r="F6267" t="s">
        <v>6590</v>
      </c>
    </row>
    <row r="6268" spans="1:6" x14ac:dyDescent="0.15">
      <c r="A6268">
        <v>12086191</v>
      </c>
      <c r="B6268">
        <v>8416858</v>
      </c>
      <c r="C6268" t="s">
        <v>114</v>
      </c>
      <c r="D6268" t="s">
        <v>10</v>
      </c>
      <c r="E6268" s="4" t="str">
        <f>HYPERLINK("https://ibp.a2mac1.com/costing(costing:projects/details/9760/process/12086191)","MANUFACTURING  PROCESS")</f>
        <v>MANUFACTURING  PROCESS</v>
      </c>
      <c r="F6268" t="s">
        <v>6591</v>
      </c>
    </row>
    <row r="6269" spans="1:6" x14ac:dyDescent="0.15">
      <c r="A6269">
        <v>8755777</v>
      </c>
      <c r="B6269">
        <v>12086191</v>
      </c>
      <c r="C6269" t="s">
        <v>22</v>
      </c>
      <c r="D6269" t="s">
        <v>114</v>
      </c>
      <c r="E6269" s="4" t="str">
        <f>HYPERLINK("https://ibp.a2mac1.com/costing(costing:projects/details/9760/material/8755777)","Standard Structural Steel sheet")</f>
        <v>Standard Structural Steel sheet</v>
      </c>
      <c r="F6269" t="s">
        <v>6592</v>
      </c>
    </row>
    <row r="6270" spans="1:6" x14ac:dyDescent="0.15">
      <c r="A6270">
        <v>12213324</v>
      </c>
      <c r="B6270">
        <v>12086191</v>
      </c>
      <c r="C6270" t="s">
        <v>163</v>
      </c>
      <c r="D6270" t="s">
        <v>114</v>
      </c>
      <c r="E6270" s="4" t="str">
        <f>HYPERLINK("https://ibp.a2mac1.com/costing(costing:projects/details/9760/equipment/12213324)","Manufacturing Equipment")</f>
        <v>Manufacturing Equipment</v>
      </c>
      <c r="F6270" t="s">
        <v>6592</v>
      </c>
    </row>
    <row r="6271" spans="1:6" x14ac:dyDescent="0.15">
      <c r="A6271">
        <v>8416575</v>
      </c>
      <c r="B6271">
        <v>8416338</v>
      </c>
      <c r="C6271" t="s">
        <v>8</v>
      </c>
      <c r="D6271" t="s">
        <v>8</v>
      </c>
      <c r="E6271" s="4" t="str">
        <f>HYPERLINK("https://ibp.a2mac1.com/costing(costing:projects/details/9760/assembly/8416575)","Brackets")</f>
        <v>Brackets</v>
      </c>
      <c r="F6271" t="s">
        <v>6589</v>
      </c>
    </row>
    <row r="6272" spans="1:6" x14ac:dyDescent="0.15">
      <c r="A6272">
        <v>8416859</v>
      </c>
      <c r="B6272">
        <v>8416575</v>
      </c>
      <c r="C6272" t="s">
        <v>10</v>
      </c>
      <c r="D6272" t="s">
        <v>8</v>
      </c>
      <c r="E6272" s="4" t="str">
        <f>HYPERLINK("https://ibp.a2mac1.com/costing(costing:projects/details/9760/part/8416859)","Closures&gt;Front door&gt;Top roll assy&gt;Cross member 02 (inner)&gt;Brackets&gt;Part 01 (single/main)")</f>
        <v>Closures&gt;Front door&gt;Top roll assy&gt;Cross member 02 (inner)&gt;Brackets&gt;Part 01 (single/main)</v>
      </c>
      <c r="F6272" t="s">
        <v>6593</v>
      </c>
    </row>
    <row r="6273" spans="1:6" x14ac:dyDescent="0.15">
      <c r="A6273">
        <v>12086192</v>
      </c>
      <c r="B6273">
        <v>8416859</v>
      </c>
      <c r="C6273" t="s">
        <v>114</v>
      </c>
      <c r="D6273" t="s">
        <v>10</v>
      </c>
      <c r="E6273" s="4" t="str">
        <f>HYPERLINK("https://ibp.a2mac1.com/costing(costing:projects/details/9760/process/12086192)","MANUFACTURING  PROCESS")</f>
        <v>MANUFACTURING  PROCESS</v>
      </c>
      <c r="F6273" t="s">
        <v>6594</v>
      </c>
    </row>
    <row r="6274" spans="1:6" x14ac:dyDescent="0.15">
      <c r="A6274">
        <v>8755778</v>
      </c>
      <c r="B6274">
        <v>12086192</v>
      </c>
      <c r="C6274" t="s">
        <v>22</v>
      </c>
      <c r="D6274" t="s">
        <v>114</v>
      </c>
      <c r="E6274" s="4" t="str">
        <f>HYPERLINK("https://ibp.a2mac1.com/costing(costing:projects/details/9760/material/8755778)","Standard Structural Steel sheet")</f>
        <v>Standard Structural Steel sheet</v>
      </c>
      <c r="F6274" t="s">
        <v>6595</v>
      </c>
    </row>
    <row r="6275" spans="1:6" x14ac:dyDescent="0.15">
      <c r="A6275">
        <v>12213325</v>
      </c>
      <c r="B6275">
        <v>12086192</v>
      </c>
      <c r="C6275" t="s">
        <v>163</v>
      </c>
      <c r="D6275" t="s">
        <v>114</v>
      </c>
      <c r="E6275" s="4" t="str">
        <f>HYPERLINK("https://ibp.a2mac1.com/costing(costing:projects/details/9760/equipment/12213325)","Manufacturing Equipment")</f>
        <v>Manufacturing Equipment</v>
      </c>
      <c r="F6275" t="s">
        <v>6595</v>
      </c>
    </row>
    <row r="6276" spans="1:6" x14ac:dyDescent="0.15">
      <c r="A6276">
        <v>8415996</v>
      </c>
      <c r="B6276">
        <v>8415677</v>
      </c>
      <c r="C6276" t="s">
        <v>8</v>
      </c>
      <c r="D6276" t="s">
        <v>8</v>
      </c>
      <c r="E6276" s="4" t="str">
        <f>HYPERLINK("https://ibp.a2mac1.com/costing(costing:projects/details/9760/assembly/8415996)","Outer panel")</f>
        <v>Outer panel</v>
      </c>
      <c r="F6276" t="s">
        <v>6542</v>
      </c>
    </row>
    <row r="6277" spans="1:6" x14ac:dyDescent="0.15">
      <c r="A6277">
        <v>8416339</v>
      </c>
      <c r="B6277">
        <v>8415996</v>
      </c>
      <c r="C6277" t="s">
        <v>8</v>
      </c>
      <c r="D6277" t="s">
        <v>8</v>
      </c>
      <c r="E6277" s="4" t="str">
        <f>HYPERLINK("https://ibp.a2mac1.com/costing(costing:projects/details/9760/assembly/8416339)","Panel")</f>
        <v>Panel</v>
      </c>
      <c r="F6277" t="s">
        <v>6596</v>
      </c>
    </row>
    <row r="6278" spans="1:6" x14ac:dyDescent="0.15">
      <c r="A6278">
        <v>8416576</v>
      </c>
      <c r="B6278">
        <v>8416339</v>
      </c>
      <c r="C6278" t="s">
        <v>10</v>
      </c>
      <c r="D6278" t="s">
        <v>8</v>
      </c>
      <c r="E6278" s="4" t="str">
        <f>HYPERLINK("https://ibp.a2mac1.com/costing(costing:projects/details/9760/part/8416576)","Closures&gt;Front door&gt;Outer panel&gt;Panel&gt;Part 01 (single/main)")</f>
        <v>Closures&gt;Front door&gt;Outer panel&gt;Panel&gt;Part 01 (single/main)</v>
      </c>
      <c r="F6278" t="s">
        <v>6597</v>
      </c>
    </row>
    <row r="6279" spans="1:6" x14ac:dyDescent="0.15">
      <c r="A6279">
        <v>12085996</v>
      </c>
      <c r="B6279">
        <v>8416576</v>
      </c>
      <c r="C6279" t="s">
        <v>114</v>
      </c>
      <c r="D6279" t="s">
        <v>10</v>
      </c>
      <c r="E6279" s="4" t="str">
        <f>HYPERLINK("https://ibp.a2mac1.com/costing(costing:projects/details/9760/process/12085996)","MANUFACTURING  PROCESS")</f>
        <v>MANUFACTURING  PROCESS</v>
      </c>
      <c r="F6279" t="s">
        <v>6598</v>
      </c>
    </row>
    <row r="6280" spans="1:6" x14ac:dyDescent="0.15">
      <c r="A6280">
        <v>8755609</v>
      </c>
      <c r="B6280">
        <v>12085996</v>
      </c>
      <c r="C6280" t="s">
        <v>22</v>
      </c>
      <c r="D6280" t="s">
        <v>114</v>
      </c>
      <c r="E6280" s="4" t="str">
        <f>HYPERLINK("https://ibp.a2mac1.com/costing(costing:projects/details/9760/material/8755609)","Standard Structural Steel sheet")</f>
        <v>Standard Structural Steel sheet</v>
      </c>
      <c r="F6280" t="s">
        <v>6599</v>
      </c>
    </row>
    <row r="6281" spans="1:6" x14ac:dyDescent="0.15">
      <c r="A6281">
        <v>12213154</v>
      </c>
      <c r="B6281">
        <v>12085996</v>
      </c>
      <c r="C6281" t="s">
        <v>163</v>
      </c>
      <c r="D6281" t="s">
        <v>114</v>
      </c>
      <c r="E6281" s="4" t="str">
        <f>HYPERLINK("https://ibp.a2mac1.com/costing(costing:projects/details/9760/equipment/12213154)","Manufacturing Equipment")</f>
        <v>Manufacturing Equipment</v>
      </c>
      <c r="F6281" t="s">
        <v>6599</v>
      </c>
    </row>
    <row r="6282" spans="1:6" x14ac:dyDescent="0.15">
      <c r="A6282">
        <v>12085109</v>
      </c>
      <c r="B6282">
        <v>8415677</v>
      </c>
      <c r="C6282" t="s">
        <v>114</v>
      </c>
      <c r="D6282" t="s">
        <v>8</v>
      </c>
      <c r="E6282" s="4" t="str">
        <f>HYPERLINK("https://ibp.a2mac1.com/costing(costing:projects/details/9760/process/12085109)","Assembly")</f>
        <v>Assembly</v>
      </c>
      <c r="F6282" t="s">
        <v>6542</v>
      </c>
    </row>
    <row r="6283" spans="1:6" x14ac:dyDescent="0.15">
      <c r="A6283">
        <v>12212201</v>
      </c>
      <c r="B6283">
        <v>12085109</v>
      </c>
      <c r="C6283" t="s">
        <v>163</v>
      </c>
      <c r="D6283" t="s">
        <v>114</v>
      </c>
      <c r="E6283" s="4" t="str">
        <f>HYPERLINK("https://ibp.a2mac1.com/costing(costing:projects/details/9760/equipment/12212201)","Assembly Station ")</f>
        <v xml:space="preserve">Assembly Station </v>
      </c>
      <c r="F6283" t="s">
        <v>6600</v>
      </c>
    </row>
    <row r="6284" spans="1:6" x14ac:dyDescent="0.15">
      <c r="A6284">
        <v>8415678</v>
      </c>
      <c r="B6284">
        <v>8415587</v>
      </c>
      <c r="C6284" t="s">
        <v>8</v>
      </c>
      <c r="D6284" t="s">
        <v>8</v>
      </c>
      <c r="E6284" s="4" t="str">
        <f>HYPERLINK("https://ibp.a2mac1.com/costing(costing:projects/details/9760/assembly/8415678)","Door Panel")</f>
        <v>Door Panel</v>
      </c>
      <c r="F6284" t="s">
        <v>6541</v>
      </c>
    </row>
    <row r="6285" spans="1:6" x14ac:dyDescent="0.15">
      <c r="A6285">
        <v>8416009</v>
      </c>
      <c r="B6285">
        <v>8415678</v>
      </c>
      <c r="C6285" t="s">
        <v>8</v>
      </c>
      <c r="D6285" t="s">
        <v>8</v>
      </c>
      <c r="E6285" s="4" t="str">
        <f>HYPERLINK("https://ibp.a2mac1.com/costing(costing:projects/details/9760/assembly/8416009)","Door handle")</f>
        <v>Door handle</v>
      </c>
      <c r="F6285" t="s">
        <v>6602</v>
      </c>
    </row>
    <row r="6286" spans="1:6" x14ac:dyDescent="0.15">
      <c r="A6286">
        <v>8416340</v>
      </c>
      <c r="B6286">
        <v>8416009</v>
      </c>
      <c r="C6286" t="s">
        <v>10</v>
      </c>
      <c r="D6286" t="s">
        <v>8</v>
      </c>
      <c r="E6286" s="4" t="str">
        <f>HYPERLINK("https://ibp.a2mac1.com/costing(costing:projects/details/9760/part/8416340)","Handle")</f>
        <v>Handle</v>
      </c>
      <c r="F6286" t="s">
        <v>6603</v>
      </c>
    </row>
    <row r="6287" spans="1:6" x14ac:dyDescent="0.15">
      <c r="A6287">
        <v>12085670</v>
      </c>
      <c r="B6287">
        <v>8416340</v>
      </c>
      <c r="C6287" t="s">
        <v>114</v>
      </c>
      <c r="D6287" t="s">
        <v>10</v>
      </c>
      <c r="E6287" s="4" t="str">
        <f>HYPERLINK("https://ibp.a2mac1.com/costing(costing:projects/details/9760/process/12085670)","Automated Process")</f>
        <v>Automated Process</v>
      </c>
      <c r="F6287" t="s">
        <v>6604</v>
      </c>
    </row>
    <row r="6288" spans="1:6" x14ac:dyDescent="0.15">
      <c r="A6288">
        <v>8755360</v>
      </c>
      <c r="B6288">
        <v>12085670</v>
      </c>
      <c r="C6288" t="s">
        <v>22</v>
      </c>
      <c r="D6288" t="s">
        <v>114</v>
      </c>
      <c r="E6288" s="4" t="str">
        <f>HYPERLINK("https://ibp.a2mac1.com/costing(costing:projects/details/9760/material/8755360)","PC-ABS")</f>
        <v>PC-ABS</v>
      </c>
      <c r="F6288" t="s">
        <v>6605</v>
      </c>
    </row>
    <row r="6289" spans="1:6" x14ac:dyDescent="0.15">
      <c r="A6289">
        <v>12212878</v>
      </c>
      <c r="B6289">
        <v>12085670</v>
      </c>
      <c r="C6289" t="s">
        <v>163</v>
      </c>
      <c r="D6289" t="s">
        <v>114</v>
      </c>
      <c r="E6289" s="4" t="str">
        <f>HYPERLINK("https://ibp.a2mac1.com/costing(costing:projects/details/9760/equipment/12212878)","DC machine - General")</f>
        <v>DC machine - General</v>
      </c>
      <c r="F6289" t="s">
        <v>6605</v>
      </c>
    </row>
    <row r="6290" spans="1:6" x14ac:dyDescent="0.15">
      <c r="A6290">
        <v>8416341</v>
      </c>
      <c r="B6290">
        <v>8416009</v>
      </c>
      <c r="C6290" t="s">
        <v>10</v>
      </c>
      <c r="D6290" t="s">
        <v>8</v>
      </c>
      <c r="E6290" s="4" t="str">
        <f>HYPERLINK("https://ibp.a2mac1.com/costing(costing:projects/details/9760/part/8416341)","Trim")</f>
        <v>Trim</v>
      </c>
      <c r="F6290" t="s">
        <v>6603</v>
      </c>
    </row>
    <row r="6291" spans="1:6" x14ac:dyDescent="0.15">
      <c r="A6291">
        <v>12085671</v>
      </c>
      <c r="B6291">
        <v>8416341</v>
      </c>
      <c r="C6291" t="s">
        <v>114</v>
      </c>
      <c r="D6291" t="s">
        <v>10</v>
      </c>
      <c r="E6291" s="4" t="str">
        <f>HYPERLINK("https://ibp.a2mac1.com/costing(costing:projects/details/9760/process/12085671)","Automated Process")</f>
        <v>Automated Process</v>
      </c>
      <c r="F6291" t="s">
        <v>6607</v>
      </c>
    </row>
    <row r="6292" spans="1:6" x14ac:dyDescent="0.15">
      <c r="A6292">
        <v>8755361</v>
      </c>
      <c r="B6292">
        <v>12085671</v>
      </c>
      <c r="C6292" t="s">
        <v>22</v>
      </c>
      <c r="D6292" t="s">
        <v>114</v>
      </c>
      <c r="E6292" s="4" t="str">
        <f>HYPERLINK("https://ibp.a2mac1.com/costing(costing:projects/details/9760/material/8755361)","PVC + Fabric backing 3mm PU foam")</f>
        <v>PVC + Fabric backing 3mm PU foam</v>
      </c>
      <c r="F6292" t="s">
        <v>6608</v>
      </c>
    </row>
    <row r="6293" spans="1:6" x14ac:dyDescent="0.15">
      <c r="A6293">
        <v>8755362</v>
      </c>
      <c r="B6293">
        <v>12085671</v>
      </c>
      <c r="C6293" t="s">
        <v>22</v>
      </c>
      <c r="D6293" t="s">
        <v>114</v>
      </c>
      <c r="E6293" s="4" t="str">
        <f>HYPERLINK("https://ibp.a2mac1.com/costing(costing:projects/details/9760/material/8755362)","PC-ABS")</f>
        <v>PC-ABS</v>
      </c>
      <c r="F6293" t="s">
        <v>6608</v>
      </c>
    </row>
    <row r="6294" spans="1:6" x14ac:dyDescent="0.15">
      <c r="A6294">
        <v>12212879</v>
      </c>
      <c r="B6294">
        <v>12085671</v>
      </c>
      <c r="C6294" t="s">
        <v>163</v>
      </c>
      <c r="D6294" t="s">
        <v>114</v>
      </c>
      <c r="E6294" s="4" t="str">
        <f>HYPERLINK("https://ibp.a2mac1.com/costing(costing:projects/details/9760/equipment/12212879)","DC machine - General")</f>
        <v>DC machine - General</v>
      </c>
      <c r="F6294" t="s">
        <v>6608</v>
      </c>
    </row>
    <row r="6295" spans="1:6" x14ac:dyDescent="0.15">
      <c r="A6295">
        <v>8416342</v>
      </c>
      <c r="B6295">
        <v>8416009</v>
      </c>
      <c r="C6295" t="s">
        <v>10</v>
      </c>
      <c r="D6295" t="s">
        <v>8</v>
      </c>
      <c r="E6295" s="4" t="str">
        <f>HYPERLINK("https://ibp.a2mac1.com/costing(costing:projects/details/9760/part/8416342)","Handle Support")</f>
        <v>Handle Support</v>
      </c>
      <c r="F6295" t="s">
        <v>6603</v>
      </c>
    </row>
    <row r="6296" spans="1:6" x14ac:dyDescent="0.15">
      <c r="A6296">
        <v>12085672</v>
      </c>
      <c r="B6296">
        <v>8416342</v>
      </c>
      <c r="C6296" t="s">
        <v>114</v>
      </c>
      <c r="D6296" t="s">
        <v>10</v>
      </c>
      <c r="E6296" s="4" t="str">
        <f>HYPERLINK("https://ibp.a2mac1.com/costing(costing:projects/details/9760/process/12085672)","Automated Process")</f>
        <v>Automated Process</v>
      </c>
      <c r="F6296" t="s">
        <v>6610</v>
      </c>
    </row>
    <row r="6297" spans="1:6" x14ac:dyDescent="0.15">
      <c r="A6297">
        <v>8755363</v>
      </c>
      <c r="B6297">
        <v>12085672</v>
      </c>
      <c r="C6297" t="s">
        <v>22</v>
      </c>
      <c r="D6297" t="s">
        <v>114</v>
      </c>
      <c r="E6297" s="4" t="str">
        <f>HYPERLINK("https://ibp.a2mac1.com/costing(costing:projects/details/9760/material/8755363)","PA")</f>
        <v>PA</v>
      </c>
      <c r="F6297" t="s">
        <v>6611</v>
      </c>
    </row>
    <row r="6298" spans="1:6" x14ac:dyDescent="0.15">
      <c r="A6298">
        <v>12212880</v>
      </c>
      <c r="B6298">
        <v>12085672</v>
      </c>
      <c r="C6298" t="s">
        <v>163</v>
      </c>
      <c r="D6298" t="s">
        <v>114</v>
      </c>
      <c r="E6298" s="4" t="str">
        <f>HYPERLINK("https://ibp.a2mac1.com/costing(costing:projects/details/9760/equipment/12212880)","DC machine - General")</f>
        <v>DC machine - General</v>
      </c>
      <c r="F6298" t="s">
        <v>6611</v>
      </c>
    </row>
    <row r="6299" spans="1:6" x14ac:dyDescent="0.15">
      <c r="A6299">
        <v>8754578</v>
      </c>
      <c r="B6299">
        <v>8416009</v>
      </c>
      <c r="C6299" t="s">
        <v>311</v>
      </c>
      <c r="D6299" t="s">
        <v>8</v>
      </c>
      <c r="E6299" s="4" t="str">
        <f>HYPERLINK("https://ibp.a2mac1.com/costing(costing:projects/details/9760/component/8754578)","Screw &gt; Cross recessed screw with flange")</f>
        <v>Screw &gt; Cross recessed screw with flange</v>
      </c>
      <c r="F6299" t="s">
        <v>6603</v>
      </c>
    </row>
    <row r="6300" spans="1:6" x14ac:dyDescent="0.15">
      <c r="A6300">
        <v>8754579</v>
      </c>
      <c r="B6300">
        <v>8416009</v>
      </c>
      <c r="C6300" t="s">
        <v>311</v>
      </c>
      <c r="D6300" t="s">
        <v>8</v>
      </c>
      <c r="E6300" s="4" t="str">
        <f>HYPERLINK("https://ibp.a2mac1.com/costing(costing:projects/details/9760/component/8754579)","Panel holder &gt; Clips in rectangular hole")</f>
        <v>Panel holder &gt; Clips in rectangular hole</v>
      </c>
      <c r="F6300" t="s">
        <v>6603</v>
      </c>
    </row>
    <row r="6301" spans="1:6" x14ac:dyDescent="0.15">
      <c r="A6301">
        <v>8754580</v>
      </c>
      <c r="B6301">
        <v>8416009</v>
      </c>
      <c r="C6301" t="s">
        <v>311</v>
      </c>
      <c r="D6301" t="s">
        <v>8</v>
      </c>
      <c r="E6301" s="4" t="str">
        <f>HYPERLINK("https://ibp.a2mac1.com/costing(costing:projects/details/9760/component/8754580)","Screw &gt; Torx socket head cap screw with flange")</f>
        <v>Screw &gt; Torx socket head cap screw with flange</v>
      </c>
      <c r="F6301" t="s">
        <v>6603</v>
      </c>
    </row>
    <row r="6302" spans="1:6" x14ac:dyDescent="0.15">
      <c r="A6302">
        <v>8416010</v>
      </c>
      <c r="B6302">
        <v>8415678</v>
      </c>
      <c r="C6302" t="s">
        <v>8</v>
      </c>
      <c r="D6302" t="s">
        <v>8</v>
      </c>
      <c r="E6302" s="4" t="str">
        <f>HYPERLINK("https://ibp.a2mac1.com/costing(costing:projects/details/9760/assembly/8416010)","Speaker Grill System")</f>
        <v>Speaker Grill System</v>
      </c>
      <c r="F6302" t="s">
        <v>6602</v>
      </c>
    </row>
    <row r="6303" spans="1:6" x14ac:dyDescent="0.15">
      <c r="A6303">
        <v>8416343</v>
      </c>
      <c r="B6303">
        <v>8416010</v>
      </c>
      <c r="C6303" t="s">
        <v>10</v>
      </c>
      <c r="D6303" t="s">
        <v>8</v>
      </c>
      <c r="E6303" s="4" t="str">
        <f>HYPERLINK("https://ibp.a2mac1.com/costing(costing:projects/details/9760/part/8416343)","Speaker Grille")</f>
        <v>Speaker Grille</v>
      </c>
      <c r="F6303" t="s">
        <v>6614</v>
      </c>
    </row>
    <row r="6304" spans="1:6" x14ac:dyDescent="0.15">
      <c r="A6304">
        <v>12085673</v>
      </c>
      <c r="B6304">
        <v>8416343</v>
      </c>
      <c r="C6304" t="s">
        <v>114</v>
      </c>
      <c r="D6304" t="s">
        <v>10</v>
      </c>
      <c r="E6304" s="4" t="str">
        <f>HYPERLINK("https://ibp.a2mac1.com/costing(costing:projects/details/9760/process/12085673)","Automated Process")</f>
        <v>Automated Process</v>
      </c>
      <c r="F6304" t="s">
        <v>6615</v>
      </c>
    </row>
    <row r="6305" spans="1:6" x14ac:dyDescent="0.15">
      <c r="A6305">
        <v>8755364</v>
      </c>
      <c r="B6305">
        <v>12085673</v>
      </c>
      <c r="C6305" t="s">
        <v>22</v>
      </c>
      <c r="D6305" t="s">
        <v>114</v>
      </c>
      <c r="E6305" s="4" t="str">
        <f>HYPERLINK("https://ibp.a2mac1.com/costing(costing:projects/details/9760/material/8755364)","PP-EPDM")</f>
        <v>PP-EPDM</v>
      </c>
      <c r="F6305" t="s">
        <v>6616</v>
      </c>
    </row>
    <row r="6306" spans="1:6" x14ac:dyDescent="0.15">
      <c r="A6306">
        <v>12212881</v>
      </c>
      <c r="B6306">
        <v>12085673</v>
      </c>
      <c r="C6306" t="s">
        <v>163</v>
      </c>
      <c r="D6306" t="s">
        <v>114</v>
      </c>
      <c r="E6306" s="4" t="str">
        <f>HYPERLINK("https://ibp.a2mac1.com/costing(costing:projects/details/9760/equipment/12212881)","DC machine - General")</f>
        <v>DC machine - General</v>
      </c>
      <c r="F6306" t="s">
        <v>6616</v>
      </c>
    </row>
    <row r="6307" spans="1:6" x14ac:dyDescent="0.15">
      <c r="A6307">
        <v>8416344</v>
      </c>
      <c r="B6307">
        <v>8416010</v>
      </c>
      <c r="C6307" t="s">
        <v>10</v>
      </c>
      <c r="D6307" t="s">
        <v>8</v>
      </c>
      <c r="E6307" s="4" t="str">
        <f>HYPERLINK("https://ibp.a2mac1.com/costing(costing:projects/details/9760/part/8416344)","Speaker Bezel")</f>
        <v>Speaker Bezel</v>
      </c>
      <c r="F6307" t="s">
        <v>6614</v>
      </c>
    </row>
    <row r="6308" spans="1:6" x14ac:dyDescent="0.15">
      <c r="A6308">
        <v>12085674</v>
      </c>
      <c r="B6308">
        <v>8416344</v>
      </c>
      <c r="C6308" t="s">
        <v>114</v>
      </c>
      <c r="D6308" t="s">
        <v>10</v>
      </c>
      <c r="E6308" s="4" t="str">
        <f>HYPERLINK("https://ibp.a2mac1.com/costing(costing:projects/details/9760/process/12085674)","Automated Process")</f>
        <v>Automated Process</v>
      </c>
      <c r="F6308" t="s">
        <v>6618</v>
      </c>
    </row>
    <row r="6309" spans="1:6" x14ac:dyDescent="0.15">
      <c r="A6309">
        <v>8755365</v>
      </c>
      <c r="B6309">
        <v>12085674</v>
      </c>
      <c r="C6309" t="s">
        <v>22</v>
      </c>
      <c r="D6309" t="s">
        <v>114</v>
      </c>
      <c r="E6309" s="4" t="str">
        <f>HYPERLINK("https://ibp.a2mac1.com/costing(costing:projects/details/9760/material/8755365)","PP")</f>
        <v>PP</v>
      </c>
      <c r="F6309" t="s">
        <v>6619</v>
      </c>
    </row>
    <row r="6310" spans="1:6" x14ac:dyDescent="0.15">
      <c r="A6310">
        <v>12212882</v>
      </c>
      <c r="B6310">
        <v>12085674</v>
      </c>
      <c r="C6310" t="s">
        <v>163</v>
      </c>
      <c r="D6310" t="s">
        <v>114</v>
      </c>
      <c r="E6310" s="4" t="str">
        <f>HYPERLINK("https://ibp.a2mac1.com/costing(costing:projects/details/9760/equipment/12212882)","DC machine - General")</f>
        <v>DC machine - General</v>
      </c>
      <c r="F6310" t="s">
        <v>6619</v>
      </c>
    </row>
    <row r="6311" spans="1:6" x14ac:dyDescent="0.15">
      <c r="A6311">
        <v>8416345</v>
      </c>
      <c r="B6311">
        <v>8416010</v>
      </c>
      <c r="C6311" t="s">
        <v>10</v>
      </c>
      <c r="D6311" t="s">
        <v>8</v>
      </c>
      <c r="E6311" s="4" t="str">
        <f>HYPERLINK("https://ibp.a2mac1.com/costing(costing:projects/details/9760/part/8416345)","Speaker Badge")</f>
        <v>Speaker Badge</v>
      </c>
      <c r="F6311" t="s">
        <v>6614</v>
      </c>
    </row>
    <row r="6312" spans="1:6" x14ac:dyDescent="0.15">
      <c r="A6312">
        <v>12085675</v>
      </c>
      <c r="B6312">
        <v>8416345</v>
      </c>
      <c r="C6312" t="s">
        <v>114</v>
      </c>
      <c r="D6312" t="s">
        <v>10</v>
      </c>
      <c r="E6312" s="4" t="str">
        <f>HYPERLINK("https://ibp.a2mac1.com/costing(costing:projects/details/9760/process/12085675)","Automated Process")</f>
        <v>Automated Process</v>
      </c>
      <c r="F6312" t="s">
        <v>6621</v>
      </c>
    </row>
    <row r="6313" spans="1:6" x14ac:dyDescent="0.15">
      <c r="A6313">
        <v>8755366</v>
      </c>
      <c r="B6313">
        <v>12085675</v>
      </c>
      <c r="C6313" t="s">
        <v>22</v>
      </c>
      <c r="D6313" t="s">
        <v>114</v>
      </c>
      <c r="E6313" s="4" t="str">
        <f>HYPERLINK("https://ibp.a2mac1.com/costing(costing:projects/details/9760/material/8755366)","Aluminum sheet body (default, e.g. EN-AW6063)")</f>
        <v>Aluminum sheet body (default, e.g. EN-AW6063)</v>
      </c>
      <c r="F6313" t="s">
        <v>6622</v>
      </c>
    </row>
    <row r="6314" spans="1:6" x14ac:dyDescent="0.15">
      <c r="A6314">
        <v>12212883</v>
      </c>
      <c r="B6314">
        <v>12085675</v>
      </c>
      <c r="C6314" t="s">
        <v>163</v>
      </c>
      <c r="D6314" t="s">
        <v>114</v>
      </c>
      <c r="E6314" s="4" t="str">
        <f>HYPERLINK("https://ibp.a2mac1.com/costing(costing:projects/details/9760/equipment/12212883)","DC machine - General")</f>
        <v>DC machine - General</v>
      </c>
      <c r="F6314" t="s">
        <v>6622</v>
      </c>
    </row>
    <row r="6315" spans="1:6" x14ac:dyDescent="0.15">
      <c r="A6315">
        <v>8416346</v>
      </c>
      <c r="B6315">
        <v>8416010</v>
      </c>
      <c r="C6315" t="s">
        <v>10</v>
      </c>
      <c r="D6315" t="s">
        <v>8</v>
      </c>
      <c r="E6315" s="4" t="str">
        <f>HYPERLINK("https://ibp.a2mac1.com/costing(costing:projects/details/9760/part/8416346)","Medium Grilles")</f>
        <v>Medium Grilles</v>
      </c>
      <c r="F6315" t="s">
        <v>6614</v>
      </c>
    </row>
    <row r="6316" spans="1:6" x14ac:dyDescent="0.15">
      <c r="A6316">
        <v>12085676</v>
      </c>
      <c r="B6316">
        <v>8416346</v>
      </c>
      <c r="C6316" t="s">
        <v>114</v>
      </c>
      <c r="D6316" t="s">
        <v>10</v>
      </c>
      <c r="E6316" s="4" t="str">
        <f>HYPERLINK("https://ibp.a2mac1.com/costing(costing:projects/details/9760/process/12085676)","Automated Process")</f>
        <v>Automated Process</v>
      </c>
      <c r="F6316" t="s">
        <v>6624</v>
      </c>
    </row>
    <row r="6317" spans="1:6" x14ac:dyDescent="0.15">
      <c r="A6317">
        <v>8755367</v>
      </c>
      <c r="B6317">
        <v>12085676</v>
      </c>
      <c r="C6317" t="s">
        <v>22</v>
      </c>
      <c r="D6317" t="s">
        <v>114</v>
      </c>
      <c r="E6317" s="4" t="str">
        <f>HYPERLINK("https://ibp.a2mac1.com/costing(costing:projects/details/9760/material/8755367)","Aluminum sheet body (default, e.g. EN-AW6063)")</f>
        <v>Aluminum sheet body (default, e.g. EN-AW6063)</v>
      </c>
      <c r="F6317" t="s">
        <v>6625</v>
      </c>
    </row>
    <row r="6318" spans="1:6" x14ac:dyDescent="0.15">
      <c r="A6318">
        <v>12212884</v>
      </c>
      <c r="B6318">
        <v>12085676</v>
      </c>
      <c r="C6318" t="s">
        <v>163</v>
      </c>
      <c r="D6318" t="s">
        <v>114</v>
      </c>
      <c r="E6318" s="4" t="str">
        <f>HYPERLINK("https://ibp.a2mac1.com/costing(costing:projects/details/9760/equipment/12212884)","DC machine - General")</f>
        <v>DC machine - General</v>
      </c>
      <c r="F6318" t="s">
        <v>6625</v>
      </c>
    </row>
    <row r="6319" spans="1:6" x14ac:dyDescent="0.15">
      <c r="A6319">
        <v>8416347</v>
      </c>
      <c r="B6319">
        <v>8416010</v>
      </c>
      <c r="C6319" t="s">
        <v>10</v>
      </c>
      <c r="D6319" t="s">
        <v>8</v>
      </c>
      <c r="E6319" s="4" t="str">
        <f>HYPERLINK("https://ibp.a2mac1.com/costing(costing:projects/details/9760/part/8416347)","Medium Grilles Support")</f>
        <v>Medium Grilles Support</v>
      </c>
      <c r="F6319" t="s">
        <v>6614</v>
      </c>
    </row>
    <row r="6320" spans="1:6" x14ac:dyDescent="0.15">
      <c r="A6320">
        <v>12085677</v>
      </c>
      <c r="B6320">
        <v>8416347</v>
      </c>
      <c r="C6320" t="s">
        <v>114</v>
      </c>
      <c r="D6320" t="s">
        <v>10</v>
      </c>
      <c r="E6320" s="4" t="str">
        <f>HYPERLINK("https://ibp.a2mac1.com/costing(costing:projects/details/9760/process/12085677)","Automated Process")</f>
        <v>Automated Process</v>
      </c>
      <c r="F6320" t="s">
        <v>6627</v>
      </c>
    </row>
    <row r="6321" spans="1:6" x14ac:dyDescent="0.15">
      <c r="A6321">
        <v>8755368</v>
      </c>
      <c r="B6321">
        <v>12085677</v>
      </c>
      <c r="C6321" t="s">
        <v>22</v>
      </c>
      <c r="D6321" t="s">
        <v>114</v>
      </c>
      <c r="E6321" s="4" t="str">
        <f>HYPERLINK("https://ibp.a2mac1.com/costing(costing:projects/details/9760/material/8755368)","PC-ABS")</f>
        <v>PC-ABS</v>
      </c>
      <c r="F6321" t="s">
        <v>6628</v>
      </c>
    </row>
    <row r="6322" spans="1:6" x14ac:dyDescent="0.15">
      <c r="A6322">
        <v>12212885</v>
      </c>
      <c r="B6322">
        <v>12085677</v>
      </c>
      <c r="C6322" t="s">
        <v>163</v>
      </c>
      <c r="D6322" t="s">
        <v>114</v>
      </c>
      <c r="E6322" s="4" t="str">
        <f>HYPERLINK("https://ibp.a2mac1.com/costing(costing:projects/details/9760/equipment/12212885)","DC machine - General")</f>
        <v>DC machine - General</v>
      </c>
      <c r="F6322" t="s">
        <v>6628</v>
      </c>
    </row>
    <row r="6323" spans="1:6" x14ac:dyDescent="0.15">
      <c r="A6323">
        <v>8415997</v>
      </c>
      <c r="B6323">
        <v>8415678</v>
      </c>
      <c r="C6323" t="s">
        <v>10</v>
      </c>
      <c r="D6323" t="s">
        <v>8</v>
      </c>
      <c r="E6323" s="4" t="str">
        <f>HYPERLINK("https://ibp.a2mac1.com/costing(costing:projects/details/9760/part/8415997)","Panel carrier")</f>
        <v>Panel carrier</v>
      </c>
      <c r="F6323" t="s">
        <v>6602</v>
      </c>
    </row>
    <row r="6324" spans="1:6" x14ac:dyDescent="0.15">
      <c r="A6324">
        <v>12085317</v>
      </c>
      <c r="B6324">
        <v>8415997</v>
      </c>
      <c r="C6324" t="s">
        <v>114</v>
      </c>
      <c r="D6324" t="s">
        <v>10</v>
      </c>
      <c r="E6324" s="4" t="str">
        <f>HYPERLINK("https://ibp.a2mac1.com/costing(costing:projects/details/9760/process/12085317)","Automated Process")</f>
        <v>Automated Process</v>
      </c>
      <c r="F6324" t="s">
        <v>6631</v>
      </c>
    </row>
    <row r="6325" spans="1:6" x14ac:dyDescent="0.15">
      <c r="A6325">
        <v>8754956</v>
      </c>
      <c r="B6325">
        <v>12085317</v>
      </c>
      <c r="C6325" t="s">
        <v>22</v>
      </c>
      <c r="D6325" t="s">
        <v>114</v>
      </c>
      <c r="E6325" s="4" t="str">
        <f>HYPERLINK("https://ibp.a2mac1.com/costing(costing:projects/details/9760/material/8754956)","PP-EPDM")</f>
        <v>PP-EPDM</v>
      </c>
      <c r="F6325" t="s">
        <v>6632</v>
      </c>
    </row>
    <row r="6326" spans="1:6" x14ac:dyDescent="0.15">
      <c r="A6326">
        <v>12212413</v>
      </c>
      <c r="B6326">
        <v>12085317</v>
      </c>
      <c r="C6326" t="s">
        <v>163</v>
      </c>
      <c r="D6326" t="s">
        <v>114</v>
      </c>
      <c r="E6326" s="4" t="str">
        <f>HYPERLINK("https://ibp.a2mac1.com/costing(costing:projects/details/9760/equipment/12212413)","DC machine - General")</f>
        <v>DC machine - General</v>
      </c>
      <c r="F6326" t="s">
        <v>6632</v>
      </c>
    </row>
    <row r="6327" spans="1:6" x14ac:dyDescent="0.15">
      <c r="A6327">
        <v>8415998</v>
      </c>
      <c r="B6327">
        <v>8415678</v>
      </c>
      <c r="C6327" t="s">
        <v>10</v>
      </c>
      <c r="D6327" t="s">
        <v>8</v>
      </c>
      <c r="E6327" s="4" t="str">
        <f>HYPERLINK("https://ibp.a2mac1.com/costing(costing:projects/details/9760/part/8415998)","Insert")</f>
        <v>Insert</v>
      </c>
      <c r="F6327" t="s">
        <v>6602</v>
      </c>
    </row>
    <row r="6328" spans="1:6" x14ac:dyDescent="0.15">
      <c r="A6328">
        <v>12085318</v>
      </c>
      <c r="B6328">
        <v>8415998</v>
      </c>
      <c r="C6328" t="s">
        <v>114</v>
      </c>
      <c r="D6328" t="s">
        <v>10</v>
      </c>
      <c r="E6328" s="4" t="str">
        <f>HYPERLINK("https://ibp.a2mac1.com/costing(costing:projects/details/9760/process/12085318)","Automated Process")</f>
        <v>Automated Process</v>
      </c>
      <c r="F6328" t="s">
        <v>6634</v>
      </c>
    </row>
    <row r="6329" spans="1:6" x14ac:dyDescent="0.15">
      <c r="A6329">
        <v>8754957</v>
      </c>
      <c r="B6329">
        <v>12085318</v>
      </c>
      <c r="C6329" t="s">
        <v>22</v>
      </c>
      <c r="D6329" t="s">
        <v>114</v>
      </c>
      <c r="E6329" s="4" t="str">
        <f>HYPERLINK("https://ibp.a2mac1.com/costing(costing:projects/details/9760/material/8754957)","PC-ABS")</f>
        <v>PC-ABS</v>
      </c>
      <c r="F6329" t="s">
        <v>6635</v>
      </c>
    </row>
    <row r="6330" spans="1:6" x14ac:dyDescent="0.15">
      <c r="A6330">
        <v>8754958</v>
      </c>
      <c r="B6330">
        <v>12085318</v>
      </c>
      <c r="C6330" t="s">
        <v>22</v>
      </c>
      <c r="D6330" t="s">
        <v>114</v>
      </c>
      <c r="E6330" s="4" t="str">
        <f>HYPERLINK("https://ibp.a2mac1.com/costing(costing:projects/details/9760/material/8754958)","PVC + Fabric backing 3mm PU foam")</f>
        <v>PVC + Fabric backing 3mm PU foam</v>
      </c>
      <c r="F6330" t="s">
        <v>6635</v>
      </c>
    </row>
    <row r="6331" spans="1:6" x14ac:dyDescent="0.15">
      <c r="A6331">
        <v>12212414</v>
      </c>
      <c r="B6331">
        <v>12085318</v>
      </c>
      <c r="C6331" t="s">
        <v>163</v>
      </c>
      <c r="D6331" t="s">
        <v>114</v>
      </c>
      <c r="E6331" s="4" t="str">
        <f>HYPERLINK("https://ibp.a2mac1.com/costing(costing:projects/details/9760/equipment/12212414)","DC machine - General")</f>
        <v>DC machine - General</v>
      </c>
      <c r="F6331" t="s">
        <v>6635</v>
      </c>
    </row>
    <row r="6332" spans="1:6" x14ac:dyDescent="0.15">
      <c r="A6332">
        <v>8415999</v>
      </c>
      <c r="B6332">
        <v>8415678</v>
      </c>
      <c r="C6332" t="s">
        <v>10</v>
      </c>
      <c r="D6332" t="s">
        <v>8</v>
      </c>
      <c r="E6332" s="4" t="str">
        <f>HYPERLINK("https://ibp.a2mac1.com/costing(costing:projects/details/9760/part/8415999)","Armrest")</f>
        <v>Armrest</v>
      </c>
      <c r="F6332" t="s">
        <v>6602</v>
      </c>
    </row>
    <row r="6333" spans="1:6" x14ac:dyDescent="0.15">
      <c r="A6333">
        <v>12085319</v>
      </c>
      <c r="B6333">
        <v>8415999</v>
      </c>
      <c r="C6333" t="s">
        <v>114</v>
      </c>
      <c r="D6333" t="s">
        <v>10</v>
      </c>
      <c r="E6333" s="4" t="str">
        <f>HYPERLINK("https://ibp.a2mac1.com/costing(costing:projects/details/9760/process/12085319)","Automated Process")</f>
        <v>Automated Process</v>
      </c>
      <c r="F6333" t="s">
        <v>6637</v>
      </c>
    </row>
    <row r="6334" spans="1:6" x14ac:dyDescent="0.15">
      <c r="A6334">
        <v>8754959</v>
      </c>
      <c r="B6334">
        <v>12085319</v>
      </c>
      <c r="C6334" t="s">
        <v>22</v>
      </c>
      <c r="D6334" t="s">
        <v>114</v>
      </c>
      <c r="E6334" s="4" t="str">
        <f>HYPERLINK("https://ibp.a2mac1.com/costing(costing:projects/details/9760/material/8754959)","PP-EPDM")</f>
        <v>PP-EPDM</v>
      </c>
      <c r="F6334" t="s">
        <v>6638</v>
      </c>
    </row>
    <row r="6335" spans="1:6" x14ac:dyDescent="0.15">
      <c r="A6335">
        <v>8754960</v>
      </c>
      <c r="B6335">
        <v>12085319</v>
      </c>
      <c r="C6335" t="s">
        <v>22</v>
      </c>
      <c r="D6335" t="s">
        <v>114</v>
      </c>
      <c r="E6335" s="4" t="str">
        <f>HYPERLINK("https://ibp.a2mac1.com/costing(costing:projects/details/9760/material/8754960)","PVC + Fabric backing 3mm PU foam")</f>
        <v>PVC + Fabric backing 3mm PU foam</v>
      </c>
      <c r="F6335" t="s">
        <v>6638</v>
      </c>
    </row>
    <row r="6336" spans="1:6" x14ac:dyDescent="0.15">
      <c r="A6336">
        <v>12212415</v>
      </c>
      <c r="B6336">
        <v>12085319</v>
      </c>
      <c r="C6336" t="s">
        <v>163</v>
      </c>
      <c r="D6336" t="s">
        <v>114</v>
      </c>
      <c r="E6336" s="4" t="str">
        <f>HYPERLINK("https://ibp.a2mac1.com/costing(costing:projects/details/9760/equipment/12212415)","DC machine - General")</f>
        <v>DC machine - General</v>
      </c>
      <c r="F6336" t="s">
        <v>6638</v>
      </c>
    </row>
    <row r="6337" spans="1:6" x14ac:dyDescent="0.15">
      <c r="A6337">
        <v>8416000</v>
      </c>
      <c r="B6337">
        <v>8415678</v>
      </c>
      <c r="C6337" t="s">
        <v>10</v>
      </c>
      <c r="D6337" t="s">
        <v>8</v>
      </c>
      <c r="E6337" s="4" t="str">
        <f>HYPERLINK("https://ibp.a2mac1.com/costing(costing:projects/details/9760/part/8416000)","Trim")</f>
        <v>Trim</v>
      </c>
      <c r="F6337" t="s">
        <v>6602</v>
      </c>
    </row>
    <row r="6338" spans="1:6" x14ac:dyDescent="0.15">
      <c r="A6338">
        <v>12085320</v>
      </c>
      <c r="B6338">
        <v>8416000</v>
      </c>
      <c r="C6338" t="s">
        <v>114</v>
      </c>
      <c r="D6338" t="s">
        <v>10</v>
      </c>
      <c r="E6338" s="4" t="str">
        <f>HYPERLINK("https://ibp.a2mac1.com/costing(costing:projects/details/9760/process/12085320)","Automated Process")</f>
        <v>Automated Process</v>
      </c>
      <c r="F6338" t="s">
        <v>6640</v>
      </c>
    </row>
    <row r="6339" spans="1:6" x14ac:dyDescent="0.15">
      <c r="A6339">
        <v>8754961</v>
      </c>
      <c r="B6339">
        <v>12085320</v>
      </c>
      <c r="C6339" t="s">
        <v>22</v>
      </c>
      <c r="D6339" t="s">
        <v>114</v>
      </c>
      <c r="E6339" s="4" t="str">
        <f>HYPERLINK("https://ibp.a2mac1.com/costing(costing:projects/details/9760/material/8754961)","ABS-PC")</f>
        <v>ABS-PC</v>
      </c>
      <c r="F6339" t="s">
        <v>6641</v>
      </c>
    </row>
    <row r="6340" spans="1:6" x14ac:dyDescent="0.15">
      <c r="A6340">
        <v>12212416</v>
      </c>
      <c r="B6340">
        <v>12085320</v>
      </c>
      <c r="C6340" t="s">
        <v>163</v>
      </c>
      <c r="D6340" t="s">
        <v>114</v>
      </c>
      <c r="E6340" s="4" t="str">
        <f>HYPERLINK("https://ibp.a2mac1.com/costing(costing:projects/details/9760/equipment/12212416)","DC machine - General")</f>
        <v>DC machine - General</v>
      </c>
      <c r="F6340" t="s">
        <v>6641</v>
      </c>
    </row>
    <row r="6341" spans="1:6" x14ac:dyDescent="0.15">
      <c r="A6341">
        <v>8416001</v>
      </c>
      <c r="B6341">
        <v>8415678</v>
      </c>
      <c r="C6341" t="s">
        <v>10</v>
      </c>
      <c r="D6341" t="s">
        <v>8</v>
      </c>
      <c r="E6341" s="4" t="str">
        <f>HYPERLINK("https://ibp.a2mac1.com/costing(costing:projects/details/9760/part/8416001)","Upper Band")</f>
        <v>Upper Band</v>
      </c>
      <c r="F6341" t="s">
        <v>6602</v>
      </c>
    </row>
    <row r="6342" spans="1:6" x14ac:dyDescent="0.15">
      <c r="A6342">
        <v>12085321</v>
      </c>
      <c r="B6342">
        <v>8416001</v>
      </c>
      <c r="C6342" t="s">
        <v>114</v>
      </c>
      <c r="D6342" t="s">
        <v>10</v>
      </c>
      <c r="E6342" s="4" t="str">
        <f>HYPERLINK("https://ibp.a2mac1.com/costing(costing:projects/details/9760/process/12085321)","Automated Process")</f>
        <v>Automated Process</v>
      </c>
      <c r="F6342" t="s">
        <v>6643</v>
      </c>
    </row>
    <row r="6343" spans="1:6" x14ac:dyDescent="0.15">
      <c r="A6343">
        <v>8754962</v>
      </c>
      <c r="B6343">
        <v>12085321</v>
      </c>
      <c r="C6343" t="s">
        <v>22</v>
      </c>
      <c r="D6343" t="s">
        <v>114</v>
      </c>
      <c r="E6343" s="4" t="str">
        <f>HYPERLINK("https://ibp.a2mac1.com/costing(costing:projects/details/9760/material/8754962)","PP-EPDM")</f>
        <v>PP-EPDM</v>
      </c>
      <c r="F6343" t="s">
        <v>6644</v>
      </c>
    </row>
    <row r="6344" spans="1:6" x14ac:dyDescent="0.15">
      <c r="A6344">
        <v>8754963</v>
      </c>
      <c r="B6344">
        <v>12085321</v>
      </c>
      <c r="C6344" t="s">
        <v>22</v>
      </c>
      <c r="D6344" t="s">
        <v>114</v>
      </c>
      <c r="E6344" s="4" t="str">
        <f>HYPERLINK("https://ibp.a2mac1.com/costing(costing:projects/details/9760/material/8754963)","PVC + Fabric backing 3mm PU foam")</f>
        <v>PVC + Fabric backing 3mm PU foam</v>
      </c>
      <c r="F6344" t="s">
        <v>6644</v>
      </c>
    </row>
    <row r="6345" spans="1:6" x14ac:dyDescent="0.15">
      <c r="A6345">
        <v>12212417</v>
      </c>
      <c r="B6345">
        <v>12085321</v>
      </c>
      <c r="C6345" t="s">
        <v>163</v>
      </c>
      <c r="D6345" t="s">
        <v>114</v>
      </c>
      <c r="E6345" s="4" t="str">
        <f>HYPERLINK("https://ibp.a2mac1.com/costing(costing:projects/details/9760/equipment/12212417)","DC machine - General")</f>
        <v>DC machine - General</v>
      </c>
      <c r="F6345" t="s">
        <v>6644</v>
      </c>
    </row>
    <row r="6346" spans="1:6" x14ac:dyDescent="0.15">
      <c r="A6346">
        <v>8416002</v>
      </c>
      <c r="B6346">
        <v>8415678</v>
      </c>
      <c r="C6346" t="s">
        <v>10</v>
      </c>
      <c r="D6346" t="s">
        <v>8</v>
      </c>
      <c r="E6346" s="4" t="str">
        <f>HYPERLINK("https://ibp.a2mac1.com/costing(costing:projects/details/9760/part/8416002)","Door Map Pocket Panel")</f>
        <v>Door Map Pocket Panel</v>
      </c>
      <c r="F6346" t="s">
        <v>6602</v>
      </c>
    </row>
    <row r="6347" spans="1:6" x14ac:dyDescent="0.15">
      <c r="A6347">
        <v>12085322</v>
      </c>
      <c r="B6347">
        <v>8416002</v>
      </c>
      <c r="C6347" t="s">
        <v>114</v>
      </c>
      <c r="D6347" t="s">
        <v>10</v>
      </c>
      <c r="E6347" s="4" t="str">
        <f>HYPERLINK("https://ibp.a2mac1.com/costing(costing:projects/details/9760/process/12085322)","Automated Process")</f>
        <v>Automated Process</v>
      </c>
      <c r="F6347" t="s">
        <v>6646</v>
      </c>
    </row>
    <row r="6348" spans="1:6" x14ac:dyDescent="0.15">
      <c r="A6348">
        <v>8754964</v>
      </c>
      <c r="B6348">
        <v>12085322</v>
      </c>
      <c r="C6348" t="s">
        <v>22</v>
      </c>
      <c r="D6348" t="s">
        <v>114</v>
      </c>
      <c r="E6348" s="4" t="str">
        <f>HYPERLINK("https://ibp.a2mac1.com/costing(costing:projects/details/9760/material/8754964)","PP-EPDM")</f>
        <v>PP-EPDM</v>
      </c>
      <c r="F6348" t="s">
        <v>6647</v>
      </c>
    </row>
    <row r="6349" spans="1:6" x14ac:dyDescent="0.15">
      <c r="A6349">
        <v>12212418</v>
      </c>
      <c r="B6349">
        <v>12085322</v>
      </c>
      <c r="C6349" t="s">
        <v>163</v>
      </c>
      <c r="D6349" t="s">
        <v>114</v>
      </c>
      <c r="E6349" s="4" t="str">
        <f>HYPERLINK("https://ibp.a2mac1.com/costing(costing:projects/details/9760/equipment/12212418)","DC machine - General")</f>
        <v>DC machine - General</v>
      </c>
      <c r="F6349" t="s">
        <v>6647</v>
      </c>
    </row>
    <row r="6350" spans="1:6" x14ac:dyDescent="0.15">
      <c r="A6350">
        <v>8416003</v>
      </c>
      <c r="B6350">
        <v>8415678</v>
      </c>
      <c r="C6350" t="s">
        <v>10</v>
      </c>
      <c r="D6350" t="s">
        <v>8</v>
      </c>
      <c r="E6350" s="4" t="str">
        <f>HYPERLINK("https://ibp.a2mac1.com/costing(costing:projects/details/9760/part/8416003)","Soundproofing")</f>
        <v>Soundproofing</v>
      </c>
      <c r="F6350" t="s">
        <v>6602</v>
      </c>
    </row>
    <row r="6351" spans="1:6" x14ac:dyDescent="0.15">
      <c r="A6351">
        <v>12085323</v>
      </c>
      <c r="B6351">
        <v>8416003</v>
      </c>
      <c r="C6351" t="s">
        <v>114</v>
      </c>
      <c r="D6351" t="s">
        <v>10</v>
      </c>
      <c r="E6351" s="4" t="str">
        <f>HYPERLINK("https://ibp.a2mac1.com/costing(costing:projects/details/9760/process/12085323)","Automated Process")</f>
        <v>Automated Process</v>
      </c>
      <c r="F6351" t="s">
        <v>6649</v>
      </c>
    </row>
    <row r="6352" spans="1:6" x14ac:dyDescent="0.15">
      <c r="A6352">
        <v>8754965</v>
      </c>
      <c r="B6352">
        <v>12085323</v>
      </c>
      <c r="C6352" t="s">
        <v>22</v>
      </c>
      <c r="D6352" t="s">
        <v>114</v>
      </c>
      <c r="E6352" s="4" t="str">
        <f>HYPERLINK("https://ibp.a2mac1.com/costing(costing:projects/details/9760/material/8754965)","Thinsulate")</f>
        <v>Thinsulate</v>
      </c>
      <c r="F6352" t="s">
        <v>6650</v>
      </c>
    </row>
    <row r="6353" spans="1:6" x14ac:dyDescent="0.15">
      <c r="A6353">
        <v>12212419</v>
      </c>
      <c r="B6353">
        <v>12085323</v>
      </c>
      <c r="C6353" t="s">
        <v>163</v>
      </c>
      <c r="D6353" t="s">
        <v>114</v>
      </c>
      <c r="E6353" s="4" t="str">
        <f>HYPERLINK("https://ibp.a2mac1.com/costing(costing:projects/details/9760/equipment/12212419)","DC machine - General")</f>
        <v>DC machine - General</v>
      </c>
      <c r="F6353" t="s">
        <v>6650</v>
      </c>
    </row>
    <row r="6354" spans="1:6" x14ac:dyDescent="0.15">
      <c r="A6354">
        <v>8416004</v>
      </c>
      <c r="B6354">
        <v>8415678</v>
      </c>
      <c r="C6354" t="s">
        <v>10</v>
      </c>
      <c r="D6354" t="s">
        <v>8</v>
      </c>
      <c r="E6354" s="4" t="str">
        <f>HYPERLINK("https://ibp.a2mac1.com/costing(costing:projects/details/9760/part/8416004)","Reinforcement")</f>
        <v>Reinforcement</v>
      </c>
      <c r="F6354" t="s">
        <v>6602</v>
      </c>
    </row>
    <row r="6355" spans="1:6" x14ac:dyDescent="0.15">
      <c r="A6355">
        <v>12085324</v>
      </c>
      <c r="B6355">
        <v>8416004</v>
      </c>
      <c r="C6355" t="s">
        <v>114</v>
      </c>
      <c r="D6355" t="s">
        <v>10</v>
      </c>
      <c r="E6355" s="4" t="str">
        <f>HYPERLINK("https://ibp.a2mac1.com/costing(costing:projects/details/9760/process/12085324)","Automated Process")</f>
        <v>Automated Process</v>
      </c>
      <c r="F6355" t="s">
        <v>6652</v>
      </c>
    </row>
    <row r="6356" spans="1:6" x14ac:dyDescent="0.15">
      <c r="A6356">
        <v>8754966</v>
      </c>
      <c r="B6356">
        <v>12085324</v>
      </c>
      <c r="C6356" t="s">
        <v>22</v>
      </c>
      <c r="D6356" t="s">
        <v>114</v>
      </c>
      <c r="E6356" s="4" t="str">
        <f>HYPERLINK("https://ibp.a2mac1.com/costing(costing:projects/details/9760/material/8754966)","PP-EPDM")</f>
        <v>PP-EPDM</v>
      </c>
      <c r="F6356" t="s">
        <v>6653</v>
      </c>
    </row>
    <row r="6357" spans="1:6" x14ac:dyDescent="0.15">
      <c r="A6357">
        <v>12212420</v>
      </c>
      <c r="B6357">
        <v>12085324</v>
      </c>
      <c r="C6357" t="s">
        <v>163</v>
      </c>
      <c r="D6357" t="s">
        <v>114</v>
      </c>
      <c r="E6357" s="4" t="str">
        <f>HYPERLINK("https://ibp.a2mac1.com/costing(costing:projects/details/9760/equipment/12212420)","DC machine - General")</f>
        <v>DC machine - General</v>
      </c>
      <c r="F6357" t="s">
        <v>6653</v>
      </c>
    </row>
    <row r="6358" spans="1:6" x14ac:dyDescent="0.15">
      <c r="A6358">
        <v>8416005</v>
      </c>
      <c r="B6358">
        <v>8415678</v>
      </c>
      <c r="C6358" t="s">
        <v>10</v>
      </c>
      <c r="D6358" t="s">
        <v>8</v>
      </c>
      <c r="E6358" s="4" t="str">
        <f>HYPERLINK("https://ibp.a2mac1.com/costing(costing:projects/details/9760/part/8416005)","Storage Box Mat")</f>
        <v>Storage Box Mat</v>
      </c>
      <c r="F6358" t="s">
        <v>6602</v>
      </c>
    </row>
    <row r="6359" spans="1:6" x14ac:dyDescent="0.15">
      <c r="A6359">
        <v>12085325</v>
      </c>
      <c r="B6359">
        <v>8416005</v>
      </c>
      <c r="C6359" t="s">
        <v>114</v>
      </c>
      <c r="D6359" t="s">
        <v>10</v>
      </c>
      <c r="E6359" s="4" t="str">
        <f>HYPERLINK("https://ibp.a2mac1.com/costing(costing:projects/details/9760/process/12085325)","Automated Process")</f>
        <v>Automated Process</v>
      </c>
      <c r="F6359" t="s">
        <v>6655</v>
      </c>
    </row>
    <row r="6360" spans="1:6" x14ac:dyDescent="0.15">
      <c r="A6360">
        <v>8754967</v>
      </c>
      <c r="B6360">
        <v>12085325</v>
      </c>
      <c r="C6360" t="s">
        <v>22</v>
      </c>
      <c r="D6360" t="s">
        <v>114</v>
      </c>
      <c r="E6360" s="4" t="str">
        <f>HYPERLINK("https://ibp.a2mac1.com/costing(costing:projects/details/9760/material/8754967)","TPE")</f>
        <v>TPE</v>
      </c>
      <c r="F6360" t="s">
        <v>6656</v>
      </c>
    </row>
    <row r="6361" spans="1:6" x14ac:dyDescent="0.15">
      <c r="A6361">
        <v>12212421</v>
      </c>
      <c r="B6361">
        <v>12085325</v>
      </c>
      <c r="C6361" t="s">
        <v>163</v>
      </c>
      <c r="D6361" t="s">
        <v>114</v>
      </c>
      <c r="E6361" s="4" t="str">
        <f>HYPERLINK("https://ibp.a2mac1.com/costing(costing:projects/details/9760/equipment/12212421)","DC machine - General")</f>
        <v>DC machine - General</v>
      </c>
      <c r="F6361" t="s">
        <v>6656</v>
      </c>
    </row>
    <row r="6362" spans="1:6" x14ac:dyDescent="0.15">
      <c r="A6362">
        <v>8416006</v>
      </c>
      <c r="B6362">
        <v>8415678</v>
      </c>
      <c r="C6362" t="s">
        <v>10</v>
      </c>
      <c r="D6362" t="s">
        <v>8</v>
      </c>
      <c r="E6362" s="4" t="str">
        <f>HYPERLINK("https://ibp.a2mac1.com/costing(costing:projects/details/9760/part/8416006)","2nd Trim")</f>
        <v>2nd Trim</v>
      </c>
      <c r="F6362" t="s">
        <v>6602</v>
      </c>
    </row>
    <row r="6363" spans="1:6" x14ac:dyDescent="0.15">
      <c r="A6363">
        <v>12085326</v>
      </c>
      <c r="B6363">
        <v>8416006</v>
      </c>
      <c r="C6363" t="s">
        <v>114</v>
      </c>
      <c r="D6363" t="s">
        <v>10</v>
      </c>
      <c r="E6363" s="4" t="str">
        <f>HYPERLINK("https://ibp.a2mac1.com/costing(costing:projects/details/9760/process/12085326)","Automated Process")</f>
        <v>Automated Process</v>
      </c>
      <c r="F6363" t="s">
        <v>6658</v>
      </c>
    </row>
    <row r="6364" spans="1:6" x14ac:dyDescent="0.15">
      <c r="A6364">
        <v>8754968</v>
      </c>
      <c r="B6364">
        <v>12085326</v>
      </c>
      <c r="C6364" t="s">
        <v>22</v>
      </c>
      <c r="D6364" t="s">
        <v>114</v>
      </c>
      <c r="E6364" s="4" t="str">
        <f>HYPERLINK("https://ibp.a2mac1.com/costing(costing:projects/details/9760/material/8754968)","ABS-PC")</f>
        <v>ABS-PC</v>
      </c>
      <c r="F6364" t="s">
        <v>6659</v>
      </c>
    </row>
    <row r="6365" spans="1:6" x14ac:dyDescent="0.15">
      <c r="A6365">
        <v>12212422</v>
      </c>
      <c r="B6365">
        <v>12085326</v>
      </c>
      <c r="C6365" t="s">
        <v>163</v>
      </c>
      <c r="D6365" t="s">
        <v>114</v>
      </c>
      <c r="E6365" s="4" t="str">
        <f>HYPERLINK("https://ibp.a2mac1.com/costing(costing:projects/details/9760/equipment/12212422)","DC machine - General")</f>
        <v>DC machine - General</v>
      </c>
      <c r="F6365" t="s">
        <v>6659</v>
      </c>
    </row>
    <row r="6366" spans="1:6" x14ac:dyDescent="0.15">
      <c r="A6366">
        <v>8416007</v>
      </c>
      <c r="B6366">
        <v>8415678</v>
      </c>
      <c r="C6366" t="s">
        <v>10</v>
      </c>
      <c r="D6366" t="s">
        <v>8</v>
      </c>
      <c r="E6366" s="4" t="str">
        <f>HYPERLINK("https://ibp.a2mac1.com/costing(costing:projects/details/9760/part/8416007)","Door Panel Adjuster")</f>
        <v>Door Panel Adjuster</v>
      </c>
      <c r="F6366" t="s">
        <v>6602</v>
      </c>
    </row>
    <row r="6367" spans="1:6" x14ac:dyDescent="0.15">
      <c r="A6367">
        <v>12085327</v>
      </c>
      <c r="B6367">
        <v>8416007</v>
      </c>
      <c r="C6367" t="s">
        <v>114</v>
      </c>
      <c r="D6367" t="s">
        <v>10</v>
      </c>
      <c r="E6367" s="4" t="str">
        <f>HYPERLINK("https://ibp.a2mac1.com/costing(costing:projects/details/9760/process/12085327)","Automated Process")</f>
        <v>Automated Process</v>
      </c>
      <c r="F6367" t="s">
        <v>6661</v>
      </c>
    </row>
    <row r="6368" spans="1:6" x14ac:dyDescent="0.15">
      <c r="A6368">
        <v>8754969</v>
      </c>
      <c r="B6368">
        <v>12085327</v>
      </c>
      <c r="C6368" t="s">
        <v>22</v>
      </c>
      <c r="D6368" t="s">
        <v>114</v>
      </c>
      <c r="E6368" s="4" t="str">
        <f>HYPERLINK("https://ibp.a2mac1.com/costing(costing:projects/details/9760/material/8754969)","PA6")</f>
        <v>PA6</v>
      </c>
      <c r="F6368" t="s">
        <v>6662</v>
      </c>
    </row>
    <row r="6369" spans="1:6" x14ac:dyDescent="0.15">
      <c r="A6369">
        <v>12212423</v>
      </c>
      <c r="B6369">
        <v>12085327</v>
      </c>
      <c r="C6369" t="s">
        <v>163</v>
      </c>
      <c r="D6369" t="s">
        <v>114</v>
      </c>
      <c r="E6369" s="4" t="str">
        <f>HYPERLINK("https://ibp.a2mac1.com/costing(costing:projects/details/9760/equipment/12212423)","DC machine - General")</f>
        <v>DC machine - General</v>
      </c>
      <c r="F6369" t="s">
        <v>6662</v>
      </c>
    </row>
    <row r="6370" spans="1:6" x14ac:dyDescent="0.15">
      <c r="A6370">
        <v>8416008</v>
      </c>
      <c r="B6370">
        <v>8415678</v>
      </c>
      <c r="C6370" t="s">
        <v>10</v>
      </c>
      <c r="D6370" t="s">
        <v>8</v>
      </c>
      <c r="E6370" s="4" t="str">
        <f>HYPERLINK("https://ibp.a2mac1.com/costing(costing:projects/details/9760/part/8416008)","Door Panel Adjuster Support")</f>
        <v>Door Panel Adjuster Support</v>
      </c>
      <c r="F6370" t="s">
        <v>6602</v>
      </c>
    </row>
    <row r="6371" spans="1:6" x14ac:dyDescent="0.15">
      <c r="A6371">
        <v>12085328</v>
      </c>
      <c r="B6371">
        <v>8416008</v>
      </c>
      <c r="C6371" t="s">
        <v>114</v>
      </c>
      <c r="D6371" t="s">
        <v>10</v>
      </c>
      <c r="E6371" s="4" t="str">
        <f>HYPERLINK("https://ibp.a2mac1.com/costing(costing:projects/details/9760/process/12085328)","Automated Process")</f>
        <v>Automated Process</v>
      </c>
      <c r="F6371" t="s">
        <v>6664</v>
      </c>
    </row>
    <row r="6372" spans="1:6" x14ac:dyDescent="0.15">
      <c r="A6372">
        <v>8754970</v>
      </c>
      <c r="B6372">
        <v>12085328</v>
      </c>
      <c r="C6372" t="s">
        <v>22</v>
      </c>
      <c r="D6372" t="s">
        <v>114</v>
      </c>
      <c r="E6372" s="4" t="str">
        <f>HYPERLINK("https://ibp.a2mac1.com/costing(costing:projects/details/9760/material/8754970)","ABS-PC")</f>
        <v>ABS-PC</v>
      </c>
      <c r="F6372" t="s">
        <v>6665</v>
      </c>
    </row>
    <row r="6373" spans="1:6" x14ac:dyDescent="0.15">
      <c r="A6373">
        <v>12212424</v>
      </c>
      <c r="B6373">
        <v>12085328</v>
      </c>
      <c r="C6373" t="s">
        <v>163</v>
      </c>
      <c r="D6373" t="s">
        <v>114</v>
      </c>
      <c r="E6373" s="4" t="str">
        <f>HYPERLINK("https://ibp.a2mac1.com/costing(costing:projects/details/9760/equipment/12212424)","DC machine - General")</f>
        <v>DC machine - General</v>
      </c>
      <c r="F6373" t="s">
        <v>6665</v>
      </c>
    </row>
    <row r="6374" spans="1:6" x14ac:dyDescent="0.15">
      <c r="A6374">
        <v>8416011</v>
      </c>
      <c r="B6374">
        <v>8415678</v>
      </c>
      <c r="C6374" t="s">
        <v>10</v>
      </c>
      <c r="D6374" t="s">
        <v>8</v>
      </c>
      <c r="E6374" s="4" t="str">
        <f>HYPERLINK("https://ibp.a2mac1.com/costing(costing:projects/details/9760/part/8416011)","Pull Cup")</f>
        <v>Pull Cup</v>
      </c>
      <c r="F6374" t="s">
        <v>6602</v>
      </c>
    </row>
    <row r="6375" spans="1:6" x14ac:dyDescent="0.15">
      <c r="A6375">
        <v>12085329</v>
      </c>
      <c r="B6375">
        <v>8416011</v>
      </c>
      <c r="C6375" t="s">
        <v>114</v>
      </c>
      <c r="D6375" t="s">
        <v>10</v>
      </c>
      <c r="E6375" s="4" t="str">
        <f>HYPERLINK("https://ibp.a2mac1.com/costing(costing:projects/details/9760/process/12085329)","Injection molding")</f>
        <v>Injection molding</v>
      </c>
      <c r="F6375" t="s">
        <v>6667</v>
      </c>
    </row>
    <row r="6376" spans="1:6" x14ac:dyDescent="0.15">
      <c r="A6376">
        <v>8754971</v>
      </c>
      <c r="B6376">
        <v>12085329</v>
      </c>
      <c r="C6376" t="s">
        <v>22</v>
      </c>
      <c r="D6376" t="s">
        <v>114</v>
      </c>
      <c r="E6376" s="4" t="str">
        <f>HYPERLINK("https://ibp.a2mac1.com/costing(costing:projects/details/9760/material/8754971)","PC-ABS")</f>
        <v>PC-ABS</v>
      </c>
      <c r="F6376" t="s">
        <v>6671</v>
      </c>
    </row>
    <row r="6377" spans="1:6" x14ac:dyDescent="0.15">
      <c r="A6377">
        <v>12212425</v>
      </c>
      <c r="B6377">
        <v>12085329</v>
      </c>
      <c r="C6377" t="s">
        <v>163</v>
      </c>
      <c r="D6377" t="s">
        <v>114</v>
      </c>
      <c r="E6377" s="4" t="str">
        <f>HYPERLINK("https://ibp.a2mac1.com/costing(costing:projects/details/9760/equipment/12212425)","No.02 - Injection Press - 60T - 25kW - 320x320 - Max Volume 164cm3 ")</f>
        <v xml:space="preserve">No.02 - Injection Press - 60T - 25kW - 320x320 - Max Volume 164cm3 </v>
      </c>
      <c r="F6377" t="s">
        <v>6671</v>
      </c>
    </row>
    <row r="6378" spans="1:6" x14ac:dyDescent="0.15">
      <c r="A6378">
        <v>8416012</v>
      </c>
      <c r="B6378">
        <v>8415678</v>
      </c>
      <c r="C6378" t="s">
        <v>10</v>
      </c>
      <c r="D6378" t="s">
        <v>8</v>
      </c>
      <c r="E6378" s="4" t="str">
        <f>HYPERLINK("https://ibp.a2mac1.com/costing(costing:projects/details/9760/part/8416012)","Pull Cup Support")</f>
        <v>Pull Cup Support</v>
      </c>
      <c r="F6378" t="s">
        <v>6602</v>
      </c>
    </row>
    <row r="6379" spans="1:6" x14ac:dyDescent="0.15">
      <c r="A6379">
        <v>12085330</v>
      </c>
      <c r="B6379">
        <v>8416012</v>
      </c>
      <c r="C6379" t="s">
        <v>114</v>
      </c>
      <c r="D6379" t="s">
        <v>10</v>
      </c>
      <c r="E6379" s="4" t="str">
        <f>HYPERLINK("https://ibp.a2mac1.com/costing(costing:projects/details/9760/process/12085330)","Injection molding")</f>
        <v>Injection molding</v>
      </c>
      <c r="F6379" t="s">
        <v>6675</v>
      </c>
    </row>
    <row r="6380" spans="1:6" x14ac:dyDescent="0.15">
      <c r="A6380">
        <v>8754972</v>
      </c>
      <c r="B6380">
        <v>12085330</v>
      </c>
      <c r="C6380" t="s">
        <v>22</v>
      </c>
      <c r="D6380" t="s">
        <v>114</v>
      </c>
      <c r="E6380" s="4" t="str">
        <f>HYPERLINK("https://ibp.a2mac1.com/costing(costing:projects/details/9760/material/8754972)","PP-EPDM-TD10")</f>
        <v>PP-EPDM-TD10</v>
      </c>
      <c r="F6380" t="s">
        <v>6677</v>
      </c>
    </row>
    <row r="6381" spans="1:6" x14ac:dyDescent="0.15">
      <c r="A6381">
        <v>12212426</v>
      </c>
      <c r="B6381">
        <v>12085330</v>
      </c>
      <c r="C6381" t="s">
        <v>163</v>
      </c>
      <c r="D6381" t="s">
        <v>114</v>
      </c>
      <c r="E6381" s="4" t="str">
        <f>HYPERLINK("https://ibp.a2mac1.com/costing(costing:projects/details/9760/equipment/12212426)","No.01 - Injection Press - 40T - 18kW - 270x270 - Max Volume 128cm3 ")</f>
        <v xml:space="preserve">No.01 - Injection Press - 40T - 18kW - 270x270 - Max Volume 128cm3 </v>
      </c>
      <c r="F6381" t="s">
        <v>6677</v>
      </c>
    </row>
    <row r="6382" spans="1:6" x14ac:dyDescent="0.15">
      <c r="A6382">
        <v>8754443</v>
      </c>
      <c r="B6382">
        <v>8415678</v>
      </c>
      <c r="C6382" t="s">
        <v>311</v>
      </c>
      <c r="D6382" t="s">
        <v>8</v>
      </c>
      <c r="E6382" s="4" t="str">
        <f>HYPERLINK("https://ibp.a2mac1.com/costing(costing:projects/details/9760/component/8754443)","Other fastener &gt; Attachment")</f>
        <v>Other fastener &gt; Attachment</v>
      </c>
      <c r="F6382" t="s">
        <v>6602</v>
      </c>
    </row>
    <row r="6383" spans="1:6" x14ac:dyDescent="0.15">
      <c r="A6383">
        <v>8754444</v>
      </c>
      <c r="B6383">
        <v>8415678</v>
      </c>
      <c r="C6383" t="s">
        <v>311</v>
      </c>
      <c r="D6383" t="s">
        <v>8</v>
      </c>
      <c r="E6383" s="4" t="str">
        <f>HYPERLINK("https://ibp.a2mac1.com/costing(costing:projects/details/9760/component/8754444)","Screw &gt; Cross recessed screw with flange")</f>
        <v>Screw &gt; Cross recessed screw with flange</v>
      </c>
      <c r="F6383" t="s">
        <v>6602</v>
      </c>
    </row>
    <row r="6384" spans="1:6" x14ac:dyDescent="0.15">
      <c r="A6384">
        <v>8754445</v>
      </c>
      <c r="B6384">
        <v>8415678</v>
      </c>
      <c r="C6384" t="s">
        <v>311</v>
      </c>
      <c r="D6384" t="s">
        <v>8</v>
      </c>
      <c r="E6384" s="4" t="str">
        <f>HYPERLINK("https://ibp.a2mac1.com/costing(costing:projects/details/9760/component/8754445)","Screw &gt; Cross recessed screw with flange")</f>
        <v>Screw &gt; Cross recessed screw with flange</v>
      </c>
      <c r="F6384" t="s">
        <v>6602</v>
      </c>
    </row>
    <row r="6385" spans="1:6" x14ac:dyDescent="0.15">
      <c r="A6385">
        <v>8754446</v>
      </c>
      <c r="B6385">
        <v>8415678</v>
      </c>
      <c r="C6385" t="s">
        <v>311</v>
      </c>
      <c r="D6385" t="s">
        <v>8</v>
      </c>
      <c r="E6385" s="4" t="str">
        <f>HYPERLINK("https://ibp.a2mac1.com/costing(costing:projects/details/9760/component/8754446)","Screw &gt; Cross recessed screw with flange")</f>
        <v>Screw &gt; Cross recessed screw with flange</v>
      </c>
      <c r="F6385" t="s">
        <v>6602</v>
      </c>
    </row>
    <row r="6386" spans="1:6" x14ac:dyDescent="0.15">
      <c r="A6386">
        <v>8754447</v>
      </c>
      <c r="B6386">
        <v>8415678</v>
      </c>
      <c r="C6386" t="s">
        <v>311</v>
      </c>
      <c r="D6386" t="s">
        <v>8</v>
      </c>
      <c r="E6386" s="4" t="str">
        <f>HYPERLINK("https://ibp.a2mac1.com/costing(costing:projects/details/9760/component/8754447)","Other fastener &gt; Attachment")</f>
        <v>Other fastener &gt; Attachment</v>
      </c>
      <c r="F6386" t="s">
        <v>6602</v>
      </c>
    </row>
    <row r="6387" spans="1:6" x14ac:dyDescent="0.15">
      <c r="A6387">
        <v>8415679</v>
      </c>
      <c r="B6387">
        <v>8415587</v>
      </c>
      <c r="C6387" t="s">
        <v>8</v>
      </c>
      <c r="D6387" t="s">
        <v>8</v>
      </c>
      <c r="E6387" s="4" t="str">
        <f>HYPERLINK("https://ibp.a2mac1.com/costing(costing:projects/details/9760/assembly/8415679)","Door Mechanism")</f>
        <v>Door Mechanism</v>
      </c>
      <c r="F6387" t="s">
        <v>6541</v>
      </c>
    </row>
    <row r="6388" spans="1:6" x14ac:dyDescent="0.15">
      <c r="A6388">
        <v>8416017</v>
      </c>
      <c r="B6388">
        <v>8415679</v>
      </c>
      <c r="C6388" t="s">
        <v>8</v>
      </c>
      <c r="D6388" t="s">
        <v>8</v>
      </c>
      <c r="E6388" s="4" t="str">
        <f>HYPERLINK("https://ibp.a2mac1.com/costing(costing:projects/details/9760/assembly/8416017)","Interior Side")</f>
        <v>Interior Side</v>
      </c>
      <c r="F6388" t="s">
        <v>6682</v>
      </c>
    </row>
    <row r="6389" spans="1:6" x14ac:dyDescent="0.15">
      <c r="A6389">
        <v>8416348</v>
      </c>
      <c r="B6389">
        <v>8416017</v>
      </c>
      <c r="C6389" t="s">
        <v>10</v>
      </c>
      <c r="D6389" t="s">
        <v>8</v>
      </c>
      <c r="E6389" s="4" t="str">
        <f>HYPERLINK("https://ibp.a2mac1.com/costing(costing:projects/details/9760/part/8416348)","Opening Control")</f>
        <v>Opening Control</v>
      </c>
      <c r="F6389" t="s">
        <v>6683</v>
      </c>
    </row>
    <row r="6390" spans="1:6" x14ac:dyDescent="0.15">
      <c r="A6390">
        <v>12085678</v>
      </c>
      <c r="B6390">
        <v>8416348</v>
      </c>
      <c r="C6390" t="s">
        <v>114</v>
      </c>
      <c r="D6390" t="s">
        <v>10</v>
      </c>
      <c r="E6390" s="4" t="str">
        <f>HYPERLINK("https://ibp.a2mac1.com/costing(costing:projects/details/9760/process/12085678)","Injection molding")</f>
        <v>Injection molding</v>
      </c>
      <c r="F6390" t="s">
        <v>6684</v>
      </c>
    </row>
    <row r="6391" spans="1:6" x14ac:dyDescent="0.15">
      <c r="A6391">
        <v>8755387</v>
      </c>
      <c r="B6391">
        <v>12085678</v>
      </c>
      <c r="C6391" t="s">
        <v>22</v>
      </c>
      <c r="D6391" t="s">
        <v>114</v>
      </c>
      <c r="E6391" s="4" t="str">
        <f>HYPERLINK("https://ibp.a2mac1.com/costing(costing:projects/details/9760/material/8755387)","ABS-PC")</f>
        <v>ABS-PC</v>
      </c>
      <c r="F6391" t="s">
        <v>6685</v>
      </c>
    </row>
    <row r="6392" spans="1:6" x14ac:dyDescent="0.15">
      <c r="A6392">
        <v>12212886</v>
      </c>
      <c r="B6392">
        <v>12085678</v>
      </c>
      <c r="C6392" t="s">
        <v>163</v>
      </c>
      <c r="D6392" t="s">
        <v>114</v>
      </c>
      <c r="E6392" s="4" t="str">
        <f>HYPERLINK("https://ibp.a2mac1.com/costing(costing:projects/details/9760/equipment/12212886)","Equipment (Injection Molding)")</f>
        <v>Equipment (Injection Molding)</v>
      </c>
      <c r="F6392" t="s">
        <v>6685</v>
      </c>
    </row>
    <row r="6393" spans="1:6" x14ac:dyDescent="0.15">
      <c r="A6393">
        <v>8416349</v>
      </c>
      <c r="B6393">
        <v>8416017</v>
      </c>
      <c r="C6393" t="s">
        <v>10</v>
      </c>
      <c r="D6393" t="s">
        <v>8</v>
      </c>
      <c r="E6393" s="4" t="str">
        <f>HYPERLINK("https://ibp.a2mac1.com/costing(costing:projects/details/9760/part/8416349)","Opening Control Support")</f>
        <v>Opening Control Support</v>
      </c>
      <c r="F6393" t="s">
        <v>6683</v>
      </c>
    </row>
    <row r="6394" spans="1:6" x14ac:dyDescent="0.15">
      <c r="A6394">
        <v>12085679</v>
      </c>
      <c r="B6394">
        <v>8416349</v>
      </c>
      <c r="C6394" t="s">
        <v>114</v>
      </c>
      <c r="D6394" t="s">
        <v>10</v>
      </c>
      <c r="E6394" s="4" t="str">
        <f>HYPERLINK("https://ibp.a2mac1.com/costing(costing:projects/details/9760/process/12085679)","Injection molding")</f>
        <v>Injection molding</v>
      </c>
      <c r="F6394" t="s">
        <v>6687</v>
      </c>
    </row>
    <row r="6395" spans="1:6" x14ac:dyDescent="0.15">
      <c r="A6395">
        <v>8755388</v>
      </c>
      <c r="B6395">
        <v>12085679</v>
      </c>
      <c r="C6395" t="s">
        <v>22</v>
      </c>
      <c r="D6395" t="s">
        <v>114</v>
      </c>
      <c r="E6395" s="4" t="str">
        <f>HYPERLINK("https://ibp.a2mac1.com/costing(costing:projects/details/9760/material/8755388)","PA6-GF30")</f>
        <v>PA6-GF30</v>
      </c>
      <c r="F6395" t="s">
        <v>6688</v>
      </c>
    </row>
    <row r="6396" spans="1:6" x14ac:dyDescent="0.15">
      <c r="A6396">
        <v>12212887</v>
      </c>
      <c r="B6396">
        <v>12085679</v>
      </c>
      <c r="C6396" t="s">
        <v>163</v>
      </c>
      <c r="D6396" t="s">
        <v>114</v>
      </c>
      <c r="E6396" s="4" t="str">
        <f>HYPERLINK("https://ibp.a2mac1.com/costing(costing:projects/details/9760/equipment/12212887)","No.01 - Injection Press - 40T - 18kW - 270x270 - Max Volume 128cm3 ")</f>
        <v xml:space="preserve">No.01 - Injection Press - 40T - 18kW - 270x270 - Max Volume 128cm3 </v>
      </c>
      <c r="F6396" t="s">
        <v>6688</v>
      </c>
    </row>
    <row r="6397" spans="1:6" x14ac:dyDescent="0.15">
      <c r="A6397">
        <v>8416350</v>
      </c>
      <c r="B6397">
        <v>8416017</v>
      </c>
      <c r="C6397" t="s">
        <v>10</v>
      </c>
      <c r="D6397" t="s">
        <v>8</v>
      </c>
      <c r="E6397" s="4" t="str">
        <f>HYPERLINK("https://ibp.a2mac1.com/costing(costing:projects/details/9760/part/8416350)","Switch Opening")</f>
        <v>Switch Opening</v>
      </c>
      <c r="F6397" t="s">
        <v>6683</v>
      </c>
    </row>
    <row r="6398" spans="1:6" x14ac:dyDescent="0.15">
      <c r="A6398">
        <v>8416351</v>
      </c>
      <c r="B6398">
        <v>8416017</v>
      </c>
      <c r="C6398" t="s">
        <v>10</v>
      </c>
      <c r="D6398" t="s">
        <v>8</v>
      </c>
      <c r="E6398" s="4" t="str">
        <f>HYPERLINK("https://ibp.a2mac1.com/costing(costing:projects/details/9760/part/8416351)","Spring")</f>
        <v>Spring</v>
      </c>
      <c r="F6398" t="s">
        <v>6683</v>
      </c>
    </row>
    <row r="6399" spans="1:6" x14ac:dyDescent="0.15">
      <c r="A6399">
        <v>12085681</v>
      </c>
      <c r="B6399">
        <v>8416351</v>
      </c>
      <c r="C6399" t="s">
        <v>114</v>
      </c>
      <c r="D6399" t="s">
        <v>10</v>
      </c>
      <c r="E6399" s="4" t="str">
        <f>HYPERLINK("https://ibp.a2mac1.com/costing(costing:projects/details/9760/process/12085681)","Coiling + End forming")</f>
        <v>Coiling + End forming</v>
      </c>
      <c r="F6399" t="s">
        <v>6691</v>
      </c>
    </row>
    <row r="6400" spans="1:6" x14ac:dyDescent="0.15">
      <c r="A6400">
        <v>8755389</v>
      </c>
      <c r="B6400">
        <v>12085681</v>
      </c>
      <c r="C6400" t="s">
        <v>22</v>
      </c>
      <c r="D6400" t="s">
        <v>114</v>
      </c>
      <c r="E6400" s="4" t="str">
        <f>HYPERLINK("https://ibp.a2mac1.com/costing(costing:projects/details/9760/material/8755389)","Standard Structural Steel sheet")</f>
        <v>Standard Structural Steel sheet</v>
      </c>
      <c r="F6400" t="s">
        <v>6692</v>
      </c>
    </row>
    <row r="6401" spans="1:6" x14ac:dyDescent="0.15">
      <c r="A6401">
        <v>12212889</v>
      </c>
      <c r="B6401">
        <v>12085681</v>
      </c>
      <c r="C6401" t="s">
        <v>163</v>
      </c>
      <c r="D6401" t="s">
        <v>114</v>
      </c>
      <c r="E6401" s="4" t="str">
        <f>HYPERLINK("https://ibp.a2mac1.com/costing(costing:projects/details/9760/equipment/12212889)","Coiler Equipment ")</f>
        <v xml:space="preserve">Coiler Equipment </v>
      </c>
      <c r="F6401" t="s">
        <v>6692</v>
      </c>
    </row>
    <row r="6402" spans="1:6" x14ac:dyDescent="0.15">
      <c r="A6402">
        <v>12085680</v>
      </c>
      <c r="B6402">
        <v>8416351</v>
      </c>
      <c r="C6402" t="s">
        <v>114</v>
      </c>
      <c r="D6402" t="s">
        <v>10</v>
      </c>
      <c r="E6402" s="4" t="str">
        <f>HYPERLINK("https://ibp.a2mac1.com/costing(costing:projects/details/9760/process/12085680)","Heat treatment")</f>
        <v>Heat treatment</v>
      </c>
      <c r="F6402" t="s">
        <v>6691</v>
      </c>
    </row>
    <row r="6403" spans="1:6" x14ac:dyDescent="0.15">
      <c r="A6403">
        <v>12212888</v>
      </c>
      <c r="B6403">
        <v>12085680</v>
      </c>
      <c r="C6403" t="s">
        <v>163</v>
      </c>
      <c r="D6403" t="s">
        <v>114</v>
      </c>
      <c r="E6403" s="4" t="str">
        <f>HYPERLINK("https://ibp.a2mac1.com/costing(costing:projects/details/9760/equipment/12212888)","Furnace hardening line ")</f>
        <v xml:space="preserve">Furnace hardening line </v>
      </c>
      <c r="F6403" t="s">
        <v>6693</v>
      </c>
    </row>
    <row r="6404" spans="1:6" x14ac:dyDescent="0.15">
      <c r="A6404">
        <v>8416352</v>
      </c>
      <c r="B6404">
        <v>8416017</v>
      </c>
      <c r="C6404" t="s">
        <v>10</v>
      </c>
      <c r="D6404" t="s">
        <v>8</v>
      </c>
      <c r="E6404" s="4" t="str">
        <f>HYPERLINK("https://ibp.a2mac1.com/costing(costing:projects/details/9760/part/8416352)","Stopper")</f>
        <v>Stopper</v>
      </c>
      <c r="F6404" t="s">
        <v>6683</v>
      </c>
    </row>
    <row r="6405" spans="1:6" x14ac:dyDescent="0.15">
      <c r="A6405">
        <v>8754581</v>
      </c>
      <c r="B6405">
        <v>8416017</v>
      </c>
      <c r="C6405" t="s">
        <v>311</v>
      </c>
      <c r="D6405" t="s">
        <v>8</v>
      </c>
      <c r="E6405" s="4" t="str">
        <f>HYPERLINK("https://ibp.a2mac1.com/costing(costing:projects/details/9760/component/8754581)","Pin clip &gt; Dowel pin")</f>
        <v>Pin clip &gt; Dowel pin</v>
      </c>
      <c r="F6405" t="s">
        <v>6683</v>
      </c>
    </row>
    <row r="6406" spans="1:6" x14ac:dyDescent="0.15">
      <c r="A6406">
        <v>8754582</v>
      </c>
      <c r="B6406">
        <v>8416017</v>
      </c>
      <c r="C6406" t="s">
        <v>311</v>
      </c>
      <c r="D6406" t="s">
        <v>8</v>
      </c>
      <c r="E6406" s="4" t="str">
        <f>HYPERLINK("https://ibp.a2mac1.com/costing(costing:projects/details/9760/component/8754582)","Screw &gt; Cross recessed screw with flange")</f>
        <v>Screw &gt; Cross recessed screw with flange</v>
      </c>
      <c r="F6406" t="s">
        <v>6683</v>
      </c>
    </row>
    <row r="6407" spans="1:6" x14ac:dyDescent="0.15">
      <c r="A6407">
        <v>8416018</v>
      </c>
      <c r="B6407">
        <v>8415679</v>
      </c>
      <c r="C6407" t="s">
        <v>8</v>
      </c>
      <c r="D6407" t="s">
        <v>8</v>
      </c>
      <c r="E6407" s="4" t="str">
        <f>HYPERLINK("https://ibp.a2mac1.com/costing(costing:projects/details/9760/assembly/8416018)","Exterior Side")</f>
        <v>Exterior Side</v>
      </c>
      <c r="F6407" t="s">
        <v>6682</v>
      </c>
    </row>
    <row r="6408" spans="1:6" x14ac:dyDescent="0.15">
      <c r="A6408">
        <v>8416353</v>
      </c>
      <c r="B6408">
        <v>8416018</v>
      </c>
      <c r="C6408" t="s">
        <v>10</v>
      </c>
      <c r="D6408" t="s">
        <v>8</v>
      </c>
      <c r="E6408" s="4" t="str">
        <f>HYPERLINK("https://ibp.a2mac1.com/costing(costing:projects/details/9760/part/8416353)","Opening Control")</f>
        <v>Opening Control</v>
      </c>
      <c r="F6408" t="s">
        <v>6697</v>
      </c>
    </row>
    <row r="6409" spans="1:6" x14ac:dyDescent="0.15">
      <c r="A6409">
        <v>12085682</v>
      </c>
      <c r="B6409">
        <v>8416353</v>
      </c>
      <c r="C6409" t="s">
        <v>114</v>
      </c>
      <c r="D6409" t="s">
        <v>10</v>
      </c>
      <c r="E6409" s="4" t="str">
        <f>HYPERLINK("https://ibp.a2mac1.com/costing(costing:projects/details/9760/process/12085682)","Injection molding")</f>
        <v>Injection molding</v>
      </c>
      <c r="F6409" t="s">
        <v>6698</v>
      </c>
    </row>
    <row r="6410" spans="1:6" x14ac:dyDescent="0.15">
      <c r="A6410">
        <v>8755390</v>
      </c>
      <c r="B6410">
        <v>12085682</v>
      </c>
      <c r="C6410" t="s">
        <v>22</v>
      </c>
      <c r="D6410" t="s">
        <v>114</v>
      </c>
      <c r="E6410" s="4" t="str">
        <f>HYPERLINK("https://ibp.a2mac1.com/costing(costing:projects/details/9760/material/8755390)","PA6-GF30")</f>
        <v>PA6-GF30</v>
      </c>
      <c r="F6410" t="s">
        <v>6699</v>
      </c>
    </row>
    <row r="6411" spans="1:6" x14ac:dyDescent="0.15">
      <c r="A6411">
        <v>12212890</v>
      </c>
      <c r="B6411">
        <v>12085682</v>
      </c>
      <c r="C6411" t="s">
        <v>163</v>
      </c>
      <c r="D6411" t="s">
        <v>114</v>
      </c>
      <c r="E6411" s="4" t="str">
        <f>HYPERLINK("https://ibp.a2mac1.com/costing(costing:projects/details/9760/equipment/12212890)","No.01 - Injection Press - 40T - 18kW - 270x270 - Max Volume 128cm3 ")</f>
        <v xml:space="preserve">No.01 - Injection Press - 40T - 18kW - 270x270 - Max Volume 128cm3 </v>
      </c>
      <c r="F6411" t="s">
        <v>6699</v>
      </c>
    </row>
    <row r="6412" spans="1:6" x14ac:dyDescent="0.15">
      <c r="A6412">
        <v>8416354</v>
      </c>
      <c r="B6412">
        <v>8416018</v>
      </c>
      <c r="C6412" t="s">
        <v>10</v>
      </c>
      <c r="D6412" t="s">
        <v>8</v>
      </c>
      <c r="E6412" s="4" t="str">
        <f>HYPERLINK("https://ibp.a2mac1.com/costing(costing:projects/details/9760/part/8416354)","Opening Control Support")</f>
        <v>Opening Control Support</v>
      </c>
      <c r="F6412" t="s">
        <v>6697</v>
      </c>
    </row>
    <row r="6413" spans="1:6" x14ac:dyDescent="0.15">
      <c r="A6413">
        <v>12085683</v>
      </c>
      <c r="B6413">
        <v>8416354</v>
      </c>
      <c r="C6413" t="s">
        <v>114</v>
      </c>
      <c r="D6413" t="s">
        <v>10</v>
      </c>
      <c r="E6413" s="4" t="str">
        <f>HYPERLINK("https://ibp.a2mac1.com/costing(costing:projects/details/9760/process/12085683)","Injection molding")</f>
        <v>Injection molding</v>
      </c>
      <c r="F6413" t="s">
        <v>6701</v>
      </c>
    </row>
    <row r="6414" spans="1:6" x14ac:dyDescent="0.15">
      <c r="A6414">
        <v>8755391</v>
      </c>
      <c r="B6414">
        <v>12085683</v>
      </c>
      <c r="C6414" t="s">
        <v>22</v>
      </c>
      <c r="D6414" t="s">
        <v>114</v>
      </c>
      <c r="E6414" s="4" t="str">
        <f>HYPERLINK("https://ibp.a2mac1.com/costing(costing:projects/details/9760/material/8755391)","PA6-GF30")</f>
        <v>PA6-GF30</v>
      </c>
      <c r="F6414" t="s">
        <v>6702</v>
      </c>
    </row>
    <row r="6415" spans="1:6" x14ac:dyDescent="0.15">
      <c r="A6415">
        <v>12212891</v>
      </c>
      <c r="B6415">
        <v>12085683</v>
      </c>
      <c r="C6415" t="s">
        <v>163</v>
      </c>
      <c r="D6415" t="s">
        <v>114</v>
      </c>
      <c r="E6415" s="4" t="str">
        <f>HYPERLINK("https://ibp.a2mac1.com/costing(costing:projects/details/9760/equipment/12212891)","No.06 - Injection Press - 200T - 45kW - 510x510 - Max Volume 624cm3 ")</f>
        <v xml:space="preserve">No.06 - Injection Press - 200T - 45kW - 510x510 - Max Volume 624cm3 </v>
      </c>
      <c r="F6415" t="s">
        <v>6702</v>
      </c>
    </row>
    <row r="6416" spans="1:6" x14ac:dyDescent="0.15">
      <c r="A6416">
        <v>8416355</v>
      </c>
      <c r="B6416">
        <v>8416018</v>
      </c>
      <c r="C6416" t="s">
        <v>10</v>
      </c>
      <c r="D6416" t="s">
        <v>8</v>
      </c>
      <c r="E6416" s="4" t="str">
        <f>HYPERLINK("https://ibp.a2mac1.com/costing(costing:projects/details/9760/part/8416355)","Bezel")</f>
        <v>Bezel</v>
      </c>
      <c r="F6416" t="s">
        <v>6697</v>
      </c>
    </row>
    <row r="6417" spans="1:6" x14ac:dyDescent="0.15">
      <c r="A6417">
        <v>12085684</v>
      </c>
      <c r="B6417">
        <v>8416355</v>
      </c>
      <c r="C6417" t="s">
        <v>114</v>
      </c>
      <c r="D6417" t="s">
        <v>10</v>
      </c>
      <c r="E6417" s="4" t="str">
        <f>HYPERLINK("https://ibp.a2mac1.com/costing(costing:projects/details/9760/process/12085684)","Injection molding")</f>
        <v>Injection molding</v>
      </c>
      <c r="F6417" t="s">
        <v>6704</v>
      </c>
    </row>
    <row r="6418" spans="1:6" x14ac:dyDescent="0.15">
      <c r="A6418">
        <v>8755392</v>
      </c>
      <c r="B6418">
        <v>12085684</v>
      </c>
      <c r="C6418" t="s">
        <v>22</v>
      </c>
      <c r="D6418" t="s">
        <v>114</v>
      </c>
      <c r="E6418" s="4" t="str">
        <f>HYPERLINK("https://ibp.a2mac1.com/costing(costing:projects/details/9760/material/8755392)","PBT-PC")</f>
        <v>PBT-PC</v>
      </c>
      <c r="F6418" t="s">
        <v>6705</v>
      </c>
    </row>
    <row r="6419" spans="1:6" x14ac:dyDescent="0.15">
      <c r="A6419">
        <v>12212892</v>
      </c>
      <c r="B6419">
        <v>12085684</v>
      </c>
      <c r="C6419" t="s">
        <v>163</v>
      </c>
      <c r="D6419" t="s">
        <v>114</v>
      </c>
      <c r="E6419" s="4" t="str">
        <f>HYPERLINK("https://ibp.a2mac1.com/costing(costing:projects/details/9760/equipment/12212892)","No.02 - Injection Press - 60T - 25kW - 320x320 - Max Volume 164cm3 ")</f>
        <v xml:space="preserve">No.02 - Injection Press - 60T - 25kW - 320x320 - Max Volume 164cm3 </v>
      </c>
      <c r="F6419" t="s">
        <v>6705</v>
      </c>
    </row>
    <row r="6420" spans="1:6" x14ac:dyDescent="0.15">
      <c r="A6420">
        <v>12085685</v>
      </c>
      <c r="B6420">
        <v>8416355</v>
      </c>
      <c r="C6420" t="s">
        <v>114</v>
      </c>
      <c r="D6420" t="s">
        <v>10</v>
      </c>
      <c r="E6420" s="4" t="str">
        <f>HYPERLINK("https://ibp.a2mac1.com/costing(costing:projects/details/9760/process/12085685)","Painting")</f>
        <v>Painting</v>
      </c>
      <c r="F6420" t="s">
        <v>6704</v>
      </c>
    </row>
    <row r="6421" spans="1:6" x14ac:dyDescent="0.15">
      <c r="A6421">
        <v>8755393</v>
      </c>
      <c r="B6421">
        <v>12085685</v>
      </c>
      <c r="C6421" t="s">
        <v>22</v>
      </c>
      <c r="D6421" t="s">
        <v>114</v>
      </c>
      <c r="E6421" s="4" t="str">
        <f>HYPERLINK("https://ibp.a2mac1.com/costing(costing:projects/details/9760/material/8755393)","Paint - Base")</f>
        <v>Paint - Base</v>
      </c>
      <c r="F6421" t="s">
        <v>6706</v>
      </c>
    </row>
    <row r="6422" spans="1:6" x14ac:dyDescent="0.15">
      <c r="A6422">
        <v>8755394</v>
      </c>
      <c r="B6422">
        <v>12085685</v>
      </c>
      <c r="C6422" t="s">
        <v>22</v>
      </c>
      <c r="D6422" t="s">
        <v>114</v>
      </c>
      <c r="E6422" s="4" t="str">
        <f>HYPERLINK("https://ibp.a2mac1.com/costing(costing:projects/details/9760/material/8755394)","Paint - Primer")</f>
        <v>Paint - Primer</v>
      </c>
      <c r="F6422" t="s">
        <v>6706</v>
      </c>
    </row>
    <row r="6423" spans="1:6" x14ac:dyDescent="0.15">
      <c r="A6423">
        <v>8755395</v>
      </c>
      <c r="B6423">
        <v>12085685</v>
      </c>
      <c r="C6423" t="s">
        <v>22</v>
      </c>
      <c r="D6423" t="s">
        <v>114</v>
      </c>
      <c r="E6423" s="4" t="str">
        <f>HYPERLINK("https://ibp.a2mac1.com/costing(costing:projects/details/9760/material/8755395)","Paint - Clear Coat")</f>
        <v>Paint - Clear Coat</v>
      </c>
      <c r="F6423" t="s">
        <v>6706</v>
      </c>
    </row>
    <row r="6424" spans="1:6" x14ac:dyDescent="0.15">
      <c r="A6424">
        <v>12212893</v>
      </c>
      <c r="B6424">
        <v>12085685</v>
      </c>
      <c r="C6424" t="s">
        <v>163</v>
      </c>
      <c r="D6424" t="s">
        <v>114</v>
      </c>
      <c r="E6424" s="4" t="str">
        <f>HYPERLINK("https://ibp.a2mac1.com/costing(costing:projects/details/9760/equipment/12212893)","No.04 - 60000x6000x3500 - Automatic Painting Line - with 12x100kW on line ovens ")</f>
        <v xml:space="preserve">No.04 - 60000x6000x3500 - Automatic Painting Line - with 12x100kW on line ovens </v>
      </c>
      <c r="F6424" t="s">
        <v>6706</v>
      </c>
    </row>
    <row r="6425" spans="1:6" x14ac:dyDescent="0.15">
      <c r="A6425">
        <v>12212894</v>
      </c>
      <c r="B6425">
        <v>12085685</v>
      </c>
      <c r="C6425" t="s">
        <v>163</v>
      </c>
      <c r="D6425" t="s">
        <v>114</v>
      </c>
      <c r="E6425" s="4" t="str">
        <f>HYPERLINK("https://ibp.a2mac1.com/costing(costing:projects/details/9760/equipment/12212894)","Loading + Unloading, Retouching, Checking")</f>
        <v>Loading + Unloading, Retouching, Checking</v>
      </c>
      <c r="F6425" t="s">
        <v>6706</v>
      </c>
    </row>
    <row r="6426" spans="1:6" x14ac:dyDescent="0.15">
      <c r="A6426">
        <v>8416356</v>
      </c>
      <c r="B6426">
        <v>8416018</v>
      </c>
      <c r="C6426" t="s">
        <v>10</v>
      </c>
      <c r="D6426" t="s">
        <v>8</v>
      </c>
      <c r="E6426" s="4" t="str">
        <f>HYPERLINK("https://ibp.a2mac1.com/costing(costing:projects/details/9760/part/8416356)","2nd Bezel")</f>
        <v>2nd Bezel</v>
      </c>
      <c r="F6426" t="s">
        <v>6697</v>
      </c>
    </row>
    <row r="6427" spans="1:6" x14ac:dyDescent="0.15">
      <c r="A6427">
        <v>12085686</v>
      </c>
      <c r="B6427">
        <v>8416356</v>
      </c>
      <c r="C6427" t="s">
        <v>114</v>
      </c>
      <c r="D6427" t="s">
        <v>10</v>
      </c>
      <c r="E6427" s="4" t="str">
        <f>HYPERLINK("https://ibp.a2mac1.com/costing(costing:projects/details/9760/process/12085686)","Injection molding")</f>
        <v>Injection molding</v>
      </c>
      <c r="F6427" t="s">
        <v>6708</v>
      </c>
    </row>
    <row r="6428" spans="1:6" x14ac:dyDescent="0.15">
      <c r="A6428">
        <v>8755396</v>
      </c>
      <c r="B6428">
        <v>12085686</v>
      </c>
      <c r="C6428" t="s">
        <v>22</v>
      </c>
      <c r="D6428" t="s">
        <v>114</v>
      </c>
      <c r="E6428" s="4" t="str">
        <f>HYPERLINK("https://ibp.a2mac1.com/costing(costing:projects/details/9760/material/8755396)","PBT-PC")</f>
        <v>PBT-PC</v>
      </c>
      <c r="F6428" t="s">
        <v>6709</v>
      </c>
    </row>
    <row r="6429" spans="1:6" x14ac:dyDescent="0.15">
      <c r="A6429">
        <v>12212895</v>
      </c>
      <c r="B6429">
        <v>12085686</v>
      </c>
      <c r="C6429" t="s">
        <v>163</v>
      </c>
      <c r="D6429" t="s">
        <v>114</v>
      </c>
      <c r="E6429" s="4" t="str">
        <f>HYPERLINK("https://ibp.a2mac1.com/costing(costing:projects/details/9760/equipment/12212895)","Equipment (Injection Molding)")</f>
        <v>Equipment (Injection Molding)</v>
      </c>
      <c r="F6429" t="s">
        <v>6709</v>
      </c>
    </row>
    <row r="6430" spans="1:6" x14ac:dyDescent="0.15">
      <c r="A6430">
        <v>12085687</v>
      </c>
      <c r="B6430">
        <v>8416356</v>
      </c>
      <c r="C6430" t="s">
        <v>114</v>
      </c>
      <c r="D6430" t="s">
        <v>10</v>
      </c>
      <c r="E6430" s="4" t="str">
        <f>HYPERLINK("https://ibp.a2mac1.com/costing(costing:projects/details/9760/process/12085687)","Painting")</f>
        <v>Painting</v>
      </c>
      <c r="F6430" t="s">
        <v>6708</v>
      </c>
    </row>
    <row r="6431" spans="1:6" x14ac:dyDescent="0.15">
      <c r="A6431">
        <v>8755397</v>
      </c>
      <c r="B6431">
        <v>12085687</v>
      </c>
      <c r="C6431" t="s">
        <v>22</v>
      </c>
      <c r="D6431" t="s">
        <v>114</v>
      </c>
      <c r="E6431" s="4" t="str">
        <f>HYPERLINK("https://ibp.a2mac1.com/costing(costing:projects/details/9760/material/8755397)","Paint - Base")</f>
        <v>Paint - Base</v>
      </c>
      <c r="F6431" t="s">
        <v>6710</v>
      </c>
    </row>
    <row r="6432" spans="1:6" x14ac:dyDescent="0.15">
      <c r="A6432">
        <v>8755398</v>
      </c>
      <c r="B6432">
        <v>12085687</v>
      </c>
      <c r="C6432" t="s">
        <v>22</v>
      </c>
      <c r="D6432" t="s">
        <v>114</v>
      </c>
      <c r="E6432" s="4" t="str">
        <f>HYPERLINK("https://ibp.a2mac1.com/costing(costing:projects/details/9760/material/8755398)","Paint - Primer")</f>
        <v>Paint - Primer</v>
      </c>
      <c r="F6432" t="s">
        <v>6710</v>
      </c>
    </row>
    <row r="6433" spans="1:6" x14ac:dyDescent="0.15">
      <c r="A6433">
        <v>8755399</v>
      </c>
      <c r="B6433">
        <v>12085687</v>
      </c>
      <c r="C6433" t="s">
        <v>22</v>
      </c>
      <c r="D6433" t="s">
        <v>114</v>
      </c>
      <c r="E6433" s="4" t="str">
        <f>HYPERLINK("https://ibp.a2mac1.com/costing(costing:projects/details/9760/material/8755399)","Paint - Clear Coat")</f>
        <v>Paint - Clear Coat</v>
      </c>
      <c r="F6433" t="s">
        <v>6710</v>
      </c>
    </row>
    <row r="6434" spans="1:6" x14ac:dyDescent="0.15">
      <c r="A6434">
        <v>12212896</v>
      </c>
      <c r="B6434">
        <v>12085687</v>
      </c>
      <c r="C6434" t="s">
        <v>163</v>
      </c>
      <c r="D6434" t="s">
        <v>114</v>
      </c>
      <c r="E6434" s="4" t="str">
        <f>HYPERLINK("https://ibp.a2mac1.com/costing(costing:projects/details/9760/equipment/12212896)","No.04 - 60000x6000x3500 - Automatic Painting Line - with 12x100kW on line ovens ")</f>
        <v xml:space="preserve">No.04 - 60000x6000x3500 - Automatic Painting Line - with 12x100kW on line ovens </v>
      </c>
      <c r="F6434" t="s">
        <v>6710</v>
      </c>
    </row>
    <row r="6435" spans="1:6" x14ac:dyDescent="0.15">
      <c r="A6435">
        <v>12212897</v>
      </c>
      <c r="B6435">
        <v>12085687</v>
      </c>
      <c r="C6435" t="s">
        <v>163</v>
      </c>
      <c r="D6435" t="s">
        <v>114</v>
      </c>
      <c r="E6435" s="4" t="str">
        <f>HYPERLINK("https://ibp.a2mac1.com/costing(costing:projects/details/9760/equipment/12212897)","Loading + Unloading, Retouching, Checking")</f>
        <v>Loading + Unloading, Retouching, Checking</v>
      </c>
      <c r="F6435" t="s">
        <v>6710</v>
      </c>
    </row>
    <row r="6436" spans="1:6" x14ac:dyDescent="0.15">
      <c r="A6436">
        <v>8416357</v>
      </c>
      <c r="B6436">
        <v>8416018</v>
      </c>
      <c r="C6436" t="s">
        <v>10</v>
      </c>
      <c r="D6436" t="s">
        <v>8</v>
      </c>
      <c r="E6436" s="4" t="str">
        <f>HYPERLINK("https://ibp.a2mac1.com/costing(costing:projects/details/9760/part/8416357)","Welcome Light")</f>
        <v>Welcome Light</v>
      </c>
      <c r="F6436" t="s">
        <v>6697</v>
      </c>
    </row>
    <row r="6437" spans="1:6" x14ac:dyDescent="0.15">
      <c r="A6437">
        <v>8416358</v>
      </c>
      <c r="B6437">
        <v>8416018</v>
      </c>
      <c r="C6437" t="s">
        <v>10</v>
      </c>
      <c r="D6437" t="s">
        <v>8</v>
      </c>
      <c r="E6437" s="4" t="str">
        <f>HYPERLINK("https://ibp.a2mac1.com/costing(costing:projects/details/9760/part/8416358)","Unlocking Contactor")</f>
        <v>Unlocking Contactor</v>
      </c>
      <c r="F6437" t="s">
        <v>6697</v>
      </c>
    </row>
    <row r="6438" spans="1:6" x14ac:dyDescent="0.15">
      <c r="A6438">
        <v>8416359</v>
      </c>
      <c r="B6438">
        <v>8416018</v>
      </c>
      <c r="C6438" t="s">
        <v>10</v>
      </c>
      <c r="D6438" t="s">
        <v>8</v>
      </c>
      <c r="E6438" s="4" t="str">
        <f>HYPERLINK("https://ibp.a2mac1.com/costing(costing:projects/details/9760/part/8416359)","Mechanism")</f>
        <v>Mechanism</v>
      </c>
      <c r="F6438" t="s">
        <v>6697</v>
      </c>
    </row>
    <row r="6439" spans="1:6" x14ac:dyDescent="0.15">
      <c r="A6439">
        <v>12085688</v>
      </c>
      <c r="B6439">
        <v>8416359</v>
      </c>
      <c r="C6439" t="s">
        <v>114</v>
      </c>
      <c r="D6439" t="s">
        <v>10</v>
      </c>
      <c r="E6439" s="4" t="str">
        <f>HYPERLINK("https://ibp.a2mac1.com/costing(costing:projects/details/9760/process/12085688)","Injection molding ")</f>
        <v xml:space="preserve">Injection molding </v>
      </c>
      <c r="F6439" t="s">
        <v>6714</v>
      </c>
    </row>
    <row r="6440" spans="1:6" x14ac:dyDescent="0.15">
      <c r="A6440">
        <v>8755400</v>
      </c>
      <c r="B6440">
        <v>12085688</v>
      </c>
      <c r="C6440" t="s">
        <v>22</v>
      </c>
      <c r="D6440" t="s">
        <v>114</v>
      </c>
      <c r="E6440" s="4" t="str">
        <f>HYPERLINK("https://ibp.a2mac1.com/costing(costing:projects/details/9760/material/8755400)","POM-GF30")</f>
        <v>POM-GF30</v>
      </c>
      <c r="F6440" t="s">
        <v>6715</v>
      </c>
    </row>
    <row r="6441" spans="1:6" x14ac:dyDescent="0.15">
      <c r="A6441">
        <v>12212898</v>
      </c>
      <c r="B6441">
        <v>12085688</v>
      </c>
      <c r="C6441" t="s">
        <v>163</v>
      </c>
      <c r="D6441" t="s">
        <v>114</v>
      </c>
      <c r="E6441" s="4" t="str">
        <f>HYPERLINK("https://ibp.a2mac1.com/costing(costing:projects/details/9760/equipment/12212898)","No.01 - Injection Press - 40T - 18kW - 270x270 - Max Volume 128cm3 ")</f>
        <v xml:space="preserve">No.01 - Injection Press - 40T - 18kW - 270x270 - Max Volume 128cm3 </v>
      </c>
      <c r="F6441" t="s">
        <v>6715</v>
      </c>
    </row>
    <row r="6442" spans="1:6" x14ac:dyDescent="0.15">
      <c r="A6442">
        <v>8754583</v>
      </c>
      <c r="B6442">
        <v>8416018</v>
      </c>
      <c r="C6442" t="s">
        <v>311</v>
      </c>
      <c r="D6442" t="s">
        <v>8</v>
      </c>
      <c r="E6442" s="4" t="str">
        <f>HYPERLINK("https://ibp.a2mac1.com/costing(costing:projects/details/9760/component/8754583)","Pin clip &gt; Dowel pin")</f>
        <v>Pin clip &gt; Dowel pin</v>
      </c>
      <c r="F6442" t="s">
        <v>6697</v>
      </c>
    </row>
    <row r="6443" spans="1:6" x14ac:dyDescent="0.15">
      <c r="A6443">
        <v>8754584</v>
      </c>
      <c r="B6443">
        <v>8416018</v>
      </c>
      <c r="C6443" t="s">
        <v>311</v>
      </c>
      <c r="D6443" t="s">
        <v>8</v>
      </c>
      <c r="E6443" s="4" t="str">
        <f>HYPERLINK("https://ibp.a2mac1.com/costing(costing:projects/details/9760/component/8754584)","Screw &gt; Hexagon screw with flange")</f>
        <v>Screw &gt; Hexagon screw with flange</v>
      </c>
      <c r="F6443" t="s">
        <v>6697</v>
      </c>
    </row>
    <row r="6444" spans="1:6" x14ac:dyDescent="0.15">
      <c r="A6444">
        <v>8416013</v>
      </c>
      <c r="B6444">
        <v>8415679</v>
      </c>
      <c r="C6444" t="s">
        <v>10</v>
      </c>
      <c r="D6444" t="s">
        <v>8</v>
      </c>
      <c r="E6444" s="4" t="str">
        <f>HYPERLINK("https://ibp.a2mac1.com/costing(costing:projects/details/9760/part/8416013)","Door Latch")</f>
        <v>Door Latch</v>
      </c>
      <c r="F6444" t="s">
        <v>6682</v>
      </c>
    </row>
    <row r="6445" spans="1:6" x14ac:dyDescent="0.15">
      <c r="A6445">
        <v>8416014</v>
      </c>
      <c r="B6445">
        <v>8415679</v>
      </c>
      <c r="C6445" t="s">
        <v>10</v>
      </c>
      <c r="D6445" t="s">
        <v>8</v>
      </c>
      <c r="E6445" s="4" t="str">
        <f>HYPERLINK("https://ibp.a2mac1.com/costing(costing:projects/details/9760/part/8416014)","Door Striker")</f>
        <v>Door Striker</v>
      </c>
      <c r="F6445" t="s">
        <v>6682</v>
      </c>
    </row>
    <row r="6446" spans="1:6" x14ac:dyDescent="0.15">
      <c r="A6446">
        <v>12085332</v>
      </c>
      <c r="B6446">
        <v>8416014</v>
      </c>
      <c r="C6446" t="s">
        <v>114</v>
      </c>
      <c r="D6446" t="s">
        <v>10</v>
      </c>
      <c r="E6446" s="4" t="str">
        <f>HYPERLINK("https://ibp.a2mac1.com/costing(costing:projects/details/9760/process/12085332)","Stamping ")</f>
        <v xml:space="preserve">Stamping </v>
      </c>
      <c r="F6446" t="s">
        <v>6719</v>
      </c>
    </row>
    <row r="6447" spans="1:6" x14ac:dyDescent="0.15">
      <c r="A6447">
        <v>8755015</v>
      </c>
      <c r="B6447">
        <v>12085332</v>
      </c>
      <c r="C6447" t="s">
        <v>22</v>
      </c>
      <c r="D6447" t="s">
        <v>114</v>
      </c>
      <c r="E6447" s="4" t="str">
        <f>HYPERLINK("https://ibp.a2mac1.com/costing(costing:projects/details/9760/material/8755015)","Standard Structural Steel sheet")</f>
        <v>Standard Structural Steel sheet</v>
      </c>
      <c r="F6447" t="s">
        <v>6720</v>
      </c>
    </row>
    <row r="6448" spans="1:6" x14ac:dyDescent="0.15">
      <c r="A6448">
        <v>12212428</v>
      </c>
      <c r="B6448">
        <v>12085332</v>
      </c>
      <c r="C6448" t="s">
        <v>163</v>
      </c>
      <c r="D6448" t="s">
        <v>114</v>
      </c>
      <c r="E6448" s="4" t="str">
        <f>HYPERLINK("https://ibp.a2mac1.com/costing(costing:projects/details/9760/equipment/12212428)","Equipment (Stamping)")</f>
        <v>Equipment (Stamping)</v>
      </c>
      <c r="F6448" t="s">
        <v>6720</v>
      </c>
    </row>
    <row r="6449" spans="1:6" x14ac:dyDescent="0.15">
      <c r="A6449">
        <v>12085331</v>
      </c>
      <c r="B6449">
        <v>8416014</v>
      </c>
      <c r="C6449" t="s">
        <v>114</v>
      </c>
      <c r="D6449" t="s">
        <v>10</v>
      </c>
      <c r="E6449" s="4" t="str">
        <f>HYPERLINK("https://ibp.a2mac1.com/costing(costing:projects/details/9760/process/12085331)","Wire Bending")</f>
        <v>Wire Bending</v>
      </c>
      <c r="F6449" t="s">
        <v>6719</v>
      </c>
    </row>
    <row r="6450" spans="1:6" x14ac:dyDescent="0.15">
      <c r="A6450">
        <v>12212427</v>
      </c>
      <c r="B6450">
        <v>12085331</v>
      </c>
      <c r="C6450" t="s">
        <v>163</v>
      </c>
      <c r="D6450" t="s">
        <v>114</v>
      </c>
      <c r="E6450" s="4" t="str">
        <f>HYPERLINK("https://ibp.a2mac1.com/costing(costing:projects/details/9760/equipment/12212427)","No.01 - Generic CN Wire Bending ")</f>
        <v xml:space="preserve">No.01 - Generic CN Wire Bending </v>
      </c>
      <c r="F6450" t="s">
        <v>6721</v>
      </c>
    </row>
    <row r="6451" spans="1:6" x14ac:dyDescent="0.15">
      <c r="A6451">
        <v>12085333</v>
      </c>
      <c r="B6451">
        <v>8416014</v>
      </c>
      <c r="C6451" t="s">
        <v>114</v>
      </c>
      <c r="D6451" t="s">
        <v>10</v>
      </c>
      <c r="E6451" s="4" t="str">
        <f>HYPERLINK("https://ibp.a2mac1.com/costing(costing:projects/details/9760/process/12085333)","Press fit")</f>
        <v>Press fit</v>
      </c>
      <c r="F6451" t="s">
        <v>6719</v>
      </c>
    </row>
    <row r="6452" spans="1:6" x14ac:dyDescent="0.15">
      <c r="A6452">
        <v>12212429</v>
      </c>
      <c r="B6452">
        <v>12085333</v>
      </c>
      <c r="C6452" t="s">
        <v>163</v>
      </c>
      <c r="D6452" t="s">
        <v>114</v>
      </c>
      <c r="E6452" s="4" t="str">
        <f>HYPERLINK("https://ibp.a2mac1.com/costing(costing:projects/details/9760/equipment/12212429)","No.04 - Press Fit Assembly ")</f>
        <v xml:space="preserve">No.04 - Press Fit Assembly </v>
      </c>
      <c r="F6452" t="s">
        <v>6722</v>
      </c>
    </row>
    <row r="6453" spans="1:6" x14ac:dyDescent="0.15">
      <c r="A6453">
        <v>8416015</v>
      </c>
      <c r="B6453">
        <v>8415679</v>
      </c>
      <c r="C6453" t="s">
        <v>10</v>
      </c>
      <c r="D6453" t="s">
        <v>8</v>
      </c>
      <c r="E6453" s="4" t="str">
        <f>HYPERLINK("https://ibp.a2mac1.com/costing(costing:projects/details/9760/part/8416015)","Access Cover")</f>
        <v>Access Cover</v>
      </c>
      <c r="F6453" t="s">
        <v>6682</v>
      </c>
    </row>
    <row r="6454" spans="1:6" x14ac:dyDescent="0.15">
      <c r="A6454">
        <v>12085334</v>
      </c>
      <c r="B6454">
        <v>8416015</v>
      </c>
      <c r="C6454" t="s">
        <v>114</v>
      </c>
      <c r="D6454" t="s">
        <v>10</v>
      </c>
      <c r="E6454" s="4" t="str">
        <f>HYPERLINK("https://ibp.a2mac1.com/costing(costing:projects/details/9760/process/12085334)","Injection molding")</f>
        <v>Injection molding</v>
      </c>
      <c r="F6454" t="s">
        <v>6724</v>
      </c>
    </row>
    <row r="6455" spans="1:6" x14ac:dyDescent="0.15">
      <c r="A6455">
        <v>8755016</v>
      </c>
      <c r="B6455">
        <v>12085334</v>
      </c>
      <c r="C6455" t="s">
        <v>22</v>
      </c>
      <c r="D6455" t="s">
        <v>114</v>
      </c>
      <c r="E6455" s="4" t="str">
        <f>HYPERLINK("https://ibp.a2mac1.com/costing(costing:projects/details/9760/material/8755016)","PP-EPDM")</f>
        <v>PP-EPDM</v>
      </c>
      <c r="F6455" t="s">
        <v>6725</v>
      </c>
    </row>
    <row r="6456" spans="1:6" x14ac:dyDescent="0.15">
      <c r="A6456">
        <v>12212430</v>
      </c>
      <c r="B6456">
        <v>12085334</v>
      </c>
      <c r="C6456" t="s">
        <v>163</v>
      </c>
      <c r="D6456" t="s">
        <v>114</v>
      </c>
      <c r="E6456" s="4" t="str">
        <f>HYPERLINK("https://ibp.a2mac1.com/costing(costing:projects/details/9760/equipment/12212430)","Equipment (Injection Molding)")</f>
        <v>Equipment (Injection Molding)</v>
      </c>
      <c r="F6456" t="s">
        <v>6725</v>
      </c>
    </row>
    <row r="6457" spans="1:6" x14ac:dyDescent="0.15">
      <c r="A6457">
        <v>8416016</v>
      </c>
      <c r="B6457">
        <v>8415679</v>
      </c>
      <c r="C6457" t="s">
        <v>10</v>
      </c>
      <c r="D6457" t="s">
        <v>8</v>
      </c>
      <c r="E6457" s="4" t="str">
        <f>HYPERLINK("https://ibp.a2mac1.com/costing(costing:projects/details/9760/part/8416016)","Closing Assist Actuator")</f>
        <v>Closing Assist Actuator</v>
      </c>
      <c r="F6457" t="s">
        <v>6682</v>
      </c>
    </row>
    <row r="6458" spans="1:6" x14ac:dyDescent="0.15">
      <c r="A6458">
        <v>12085110</v>
      </c>
      <c r="B6458">
        <v>8415679</v>
      </c>
      <c r="C6458" t="s">
        <v>114</v>
      </c>
      <c r="D6458" t="s">
        <v>8</v>
      </c>
      <c r="E6458" s="4" t="str">
        <f>HYPERLINK("https://ibp.a2mac1.com/costing(costing:projects/details/9760/process/12085110)","Assembly")</f>
        <v>Assembly</v>
      </c>
      <c r="F6458" t="s">
        <v>6682</v>
      </c>
    </row>
    <row r="6459" spans="1:6" x14ac:dyDescent="0.15">
      <c r="A6459">
        <v>12212202</v>
      </c>
      <c r="B6459">
        <v>12085110</v>
      </c>
      <c r="C6459" t="s">
        <v>163</v>
      </c>
      <c r="D6459" t="s">
        <v>114</v>
      </c>
      <c r="E6459" s="4" t="str">
        <f>HYPERLINK("https://ibp.a2mac1.com/costing(costing:projects/details/9760/equipment/12212202)","Assembly Station ")</f>
        <v xml:space="preserve">Assembly Station </v>
      </c>
      <c r="F6459" t="s">
        <v>6728</v>
      </c>
    </row>
    <row r="6460" spans="1:6" x14ac:dyDescent="0.15">
      <c r="A6460">
        <v>8754448</v>
      </c>
      <c r="B6460">
        <v>8415679</v>
      </c>
      <c r="C6460" t="s">
        <v>311</v>
      </c>
      <c r="D6460" t="s">
        <v>8</v>
      </c>
      <c r="E6460" s="4" t="str">
        <f>HYPERLINK("https://ibp.a2mac1.com/costing(costing:projects/details/9760/component/8754448)","Screw &gt; Hexagon socket head cap screw with flange")</f>
        <v>Screw &gt; Hexagon socket head cap screw with flange</v>
      </c>
      <c r="F6460" t="s">
        <v>6682</v>
      </c>
    </row>
    <row r="6461" spans="1:6" x14ac:dyDescent="0.15">
      <c r="A6461">
        <v>8754449</v>
      </c>
      <c r="B6461">
        <v>8415679</v>
      </c>
      <c r="C6461" t="s">
        <v>311</v>
      </c>
      <c r="D6461" t="s">
        <v>8</v>
      </c>
      <c r="E6461" s="4" t="str">
        <f>HYPERLINK("https://ibp.a2mac1.com/costing(costing:projects/details/9760/component/8754449)","Screw &gt; Torx socket head cap screw")</f>
        <v>Screw &gt; Torx socket head cap screw</v>
      </c>
      <c r="F6461" t="s">
        <v>6682</v>
      </c>
    </row>
    <row r="6462" spans="1:6" x14ac:dyDescent="0.15">
      <c r="A6462">
        <v>8754450</v>
      </c>
      <c r="B6462">
        <v>8415679</v>
      </c>
      <c r="C6462" t="s">
        <v>311</v>
      </c>
      <c r="D6462" t="s">
        <v>8</v>
      </c>
      <c r="E6462" s="4" t="str">
        <f>HYPERLINK("https://ibp.a2mac1.com/costing(costing:projects/details/9760/component/8754450)","Other fastener &gt; Attachment")</f>
        <v>Other fastener &gt; Attachment</v>
      </c>
      <c r="F6462" t="s">
        <v>6682</v>
      </c>
    </row>
    <row r="6463" spans="1:6" x14ac:dyDescent="0.15">
      <c r="A6463">
        <v>8415680</v>
      </c>
      <c r="B6463">
        <v>8415587</v>
      </c>
      <c r="C6463" t="s">
        <v>8</v>
      </c>
      <c r="D6463" t="s">
        <v>8</v>
      </c>
      <c r="E6463" s="4" t="str">
        <f>HYPERLINK("https://ibp.a2mac1.com/costing(costing:projects/details/9760/assembly/8415680)","Window System")</f>
        <v>Window System</v>
      </c>
      <c r="F6463" t="s">
        <v>6541</v>
      </c>
    </row>
    <row r="6464" spans="1:6" x14ac:dyDescent="0.15">
      <c r="A6464">
        <v>8416020</v>
      </c>
      <c r="B6464">
        <v>8415680</v>
      </c>
      <c r="C6464" t="s">
        <v>8</v>
      </c>
      <c r="D6464" t="s">
        <v>8</v>
      </c>
      <c r="E6464" s="4" t="str">
        <f>HYPERLINK("https://ibp.a2mac1.com/costing(costing:projects/details/9760/assembly/8416020)","Window Regulator Motor")</f>
        <v>Window Regulator Motor</v>
      </c>
      <c r="F6464" t="s">
        <v>6730</v>
      </c>
    </row>
    <row r="6465" spans="1:6" x14ac:dyDescent="0.15">
      <c r="A6465">
        <v>12085335</v>
      </c>
      <c r="B6465">
        <v>8416020</v>
      </c>
      <c r="C6465" t="s">
        <v>114</v>
      </c>
      <c r="D6465" t="s">
        <v>8</v>
      </c>
      <c r="E6465" s="4" t="str">
        <f>HYPERLINK("https://ibp.a2mac1.com/costing(costing:projects/details/9760/process/12085335)","Process")</f>
        <v>Process</v>
      </c>
      <c r="F6465" t="s">
        <v>6731</v>
      </c>
    </row>
    <row r="6466" spans="1:6" x14ac:dyDescent="0.15">
      <c r="A6466">
        <v>12212431</v>
      </c>
      <c r="B6466">
        <v>12085335</v>
      </c>
      <c r="C6466" t="s">
        <v>163</v>
      </c>
      <c r="D6466" t="s">
        <v>114</v>
      </c>
      <c r="E6466" s="4" t="str">
        <f>HYPERLINK("https://ibp.a2mac1.com/costing(costing:projects/details/9760/equipment/12212431)","Dummy Machine (PCBA+Final Assembly Line)")</f>
        <v>Dummy Machine (PCBA+Final Assembly Line)</v>
      </c>
      <c r="F6466" t="s">
        <v>6732</v>
      </c>
    </row>
    <row r="6467" spans="1:6" x14ac:dyDescent="0.15">
      <c r="A6467">
        <v>8754585</v>
      </c>
      <c r="B6467">
        <v>8416020</v>
      </c>
      <c r="C6467" t="s">
        <v>311</v>
      </c>
      <c r="D6467" t="s">
        <v>8</v>
      </c>
      <c r="E6467" s="4" t="str">
        <f>HYPERLINK("https://ibp.a2mac1.com/costing(costing:projects/details/9760/component/8754585)","Mechanics")</f>
        <v>Mechanics</v>
      </c>
      <c r="F6467" t="s">
        <v>6731</v>
      </c>
    </row>
    <row r="6468" spans="1:6" x14ac:dyDescent="0.15">
      <c r="A6468">
        <v>8754586</v>
      </c>
      <c r="B6468">
        <v>8416020</v>
      </c>
      <c r="C6468" t="s">
        <v>311</v>
      </c>
      <c r="D6468" t="s">
        <v>8</v>
      </c>
      <c r="E6468" s="4" t="str">
        <f>HYPERLINK("https://ibp.a2mac1.com/costing(costing:projects/details/9760/component/8754586)","Electronics")</f>
        <v>Electronics</v>
      </c>
      <c r="F6468" t="s">
        <v>6731</v>
      </c>
    </row>
    <row r="6469" spans="1:6" x14ac:dyDescent="0.15">
      <c r="A6469">
        <v>8416021</v>
      </c>
      <c r="B6469">
        <v>8415680</v>
      </c>
      <c r="C6469" t="s">
        <v>8</v>
      </c>
      <c r="D6469" t="s">
        <v>8</v>
      </c>
      <c r="E6469" s="4" t="str">
        <f>HYPERLINK("https://ibp.a2mac1.com/costing(costing:projects/details/9760/assembly/8416021)","Window")</f>
        <v>Window</v>
      </c>
      <c r="F6469" t="s">
        <v>6730</v>
      </c>
    </row>
    <row r="6470" spans="1:6" x14ac:dyDescent="0.15">
      <c r="A6470">
        <v>8416360</v>
      </c>
      <c r="B6470">
        <v>8416021</v>
      </c>
      <c r="C6470" t="s">
        <v>10</v>
      </c>
      <c r="D6470" t="s">
        <v>8</v>
      </c>
      <c r="E6470" s="4" t="str">
        <f>HYPERLINK("https://ibp.a2mac1.com/costing(costing:projects/details/9760/part/8416360)","Glas Panel")</f>
        <v>Glas Panel</v>
      </c>
      <c r="F6470" t="s">
        <v>6734</v>
      </c>
    </row>
    <row r="6471" spans="1:6" x14ac:dyDescent="0.15">
      <c r="A6471">
        <v>12085689</v>
      </c>
      <c r="B6471">
        <v>8416360</v>
      </c>
      <c r="C6471" t="s">
        <v>114</v>
      </c>
      <c r="D6471" t="s">
        <v>10</v>
      </c>
      <c r="E6471" s="4" t="str">
        <f>HYPERLINK("https://ibp.a2mac1.com/costing(costing:projects/details/9760/process/12085689)","Process")</f>
        <v>Process</v>
      </c>
      <c r="F6471" t="s">
        <v>6735</v>
      </c>
    </row>
    <row r="6472" spans="1:6" x14ac:dyDescent="0.15">
      <c r="A6472">
        <v>8755401</v>
      </c>
      <c r="B6472">
        <v>12085689</v>
      </c>
      <c r="C6472" t="s">
        <v>22</v>
      </c>
      <c r="D6472" t="s">
        <v>114</v>
      </c>
      <c r="E6472" s="4" t="str">
        <f>HYPERLINK("https://ibp.a2mac1.com/costing(costing:projects/details/9760/material/8755401)","SiO2  Na2CO3 CaCO3  MgCO3  Additives [2]")</f>
        <v>SiO2  Na2CO3 CaCO3  MgCO3  Additives [2]</v>
      </c>
      <c r="F6472" t="s">
        <v>6736</v>
      </c>
    </row>
    <row r="6473" spans="1:6" x14ac:dyDescent="0.15">
      <c r="A6473">
        <v>12212899</v>
      </c>
      <c r="B6473">
        <v>12085689</v>
      </c>
      <c r="C6473" t="s">
        <v>163</v>
      </c>
      <c r="D6473" t="s">
        <v>114</v>
      </c>
      <c r="E6473" s="4" t="str">
        <f>HYPERLINK("https://ibp.a2mac1.com/costing(costing:projects/details/9760/equipment/12212899)","DC machine - General")</f>
        <v>DC machine - General</v>
      </c>
      <c r="F6473" t="s">
        <v>6736</v>
      </c>
    </row>
    <row r="6474" spans="1:6" x14ac:dyDescent="0.15">
      <c r="A6474">
        <v>8416019</v>
      </c>
      <c r="B6474">
        <v>8415680</v>
      </c>
      <c r="C6474" t="s">
        <v>10</v>
      </c>
      <c r="D6474" t="s">
        <v>8</v>
      </c>
      <c r="E6474" s="4" t="str">
        <f>HYPERLINK("https://ibp.a2mac1.com/costing(costing:projects/details/9760/part/8416019)","Window Regulator")</f>
        <v>Window Regulator</v>
      </c>
      <c r="F6474" t="s">
        <v>6730</v>
      </c>
    </row>
    <row r="6475" spans="1:6" x14ac:dyDescent="0.15">
      <c r="A6475">
        <v>8754451</v>
      </c>
      <c r="B6475">
        <v>8415680</v>
      </c>
      <c r="C6475" t="s">
        <v>311</v>
      </c>
      <c r="D6475" t="s">
        <v>8</v>
      </c>
      <c r="E6475" s="4" t="str">
        <f>HYPERLINK("https://ibp.a2mac1.com/costing(costing:projects/details/9760/component/8754451)","Screw &gt; Hexagon screw with flange")</f>
        <v>Screw &gt; Hexagon screw with flange</v>
      </c>
      <c r="F6475" t="s">
        <v>6730</v>
      </c>
    </row>
    <row r="6476" spans="1:6" x14ac:dyDescent="0.15">
      <c r="A6476">
        <v>8754452</v>
      </c>
      <c r="B6476">
        <v>8415680</v>
      </c>
      <c r="C6476" t="s">
        <v>311</v>
      </c>
      <c r="D6476" t="s">
        <v>8</v>
      </c>
      <c r="E6476" s="4" t="str">
        <f>HYPERLINK("https://ibp.a2mac1.com/costing(costing:projects/details/9760/component/8754452)","Nut &gt; Hexagonal nut with collar")</f>
        <v>Nut &gt; Hexagonal nut with collar</v>
      </c>
      <c r="F6476" t="s">
        <v>6730</v>
      </c>
    </row>
    <row r="6477" spans="1:6" x14ac:dyDescent="0.15">
      <c r="A6477">
        <v>8754453</v>
      </c>
      <c r="B6477">
        <v>8415680</v>
      </c>
      <c r="C6477" t="s">
        <v>311</v>
      </c>
      <c r="D6477" t="s">
        <v>8</v>
      </c>
      <c r="E6477" s="4" t="str">
        <f>HYPERLINK("https://ibp.a2mac1.com/costing(costing:projects/details/9760/component/8754453)","Screw &gt; Torx socket head cap screw with flange")</f>
        <v>Screw &gt; Torx socket head cap screw with flange</v>
      </c>
      <c r="F6477" t="s">
        <v>6730</v>
      </c>
    </row>
    <row r="6478" spans="1:6" x14ac:dyDescent="0.15">
      <c r="A6478">
        <v>8415681</v>
      </c>
      <c r="B6478">
        <v>8415587</v>
      </c>
      <c r="C6478" t="s">
        <v>8</v>
      </c>
      <c r="D6478" t="s">
        <v>8</v>
      </c>
      <c r="E6478" s="4" t="str">
        <f>HYPERLINK("https://ibp.a2mac1.com/costing(costing:projects/details/9760/assembly/8415681)","Sealing System")</f>
        <v>Sealing System</v>
      </c>
      <c r="F6478" t="s">
        <v>6541</v>
      </c>
    </row>
    <row r="6479" spans="1:6" x14ac:dyDescent="0.15">
      <c r="A6479">
        <v>8416025</v>
      </c>
      <c r="B6479">
        <v>8415681</v>
      </c>
      <c r="C6479" t="s">
        <v>8</v>
      </c>
      <c r="D6479" t="s">
        <v>8</v>
      </c>
      <c r="E6479" s="4" t="str">
        <f>HYPERLINK("https://ibp.a2mac1.com/costing(costing:projects/details/9760/assembly/8416025)","Door Weatherstripping")</f>
        <v>Door Weatherstripping</v>
      </c>
      <c r="F6479" t="s">
        <v>6740</v>
      </c>
    </row>
    <row r="6480" spans="1:6" x14ac:dyDescent="0.15">
      <c r="A6480">
        <v>8416361</v>
      </c>
      <c r="B6480">
        <v>8416025</v>
      </c>
      <c r="C6480" t="s">
        <v>10</v>
      </c>
      <c r="D6480" t="s">
        <v>8</v>
      </c>
      <c r="E6480" s="4" t="str">
        <f>HYPERLINK("https://ibp.a2mac1.com/costing(costing:projects/details/9760/part/8416361)","On Body")</f>
        <v>On Body</v>
      </c>
      <c r="F6480" t="s">
        <v>6741</v>
      </c>
    </row>
    <row r="6481" spans="1:6" x14ac:dyDescent="0.15">
      <c r="A6481">
        <v>12085691</v>
      </c>
      <c r="B6481">
        <v>8416361</v>
      </c>
      <c r="C6481" t="s">
        <v>114</v>
      </c>
      <c r="D6481" t="s">
        <v>10</v>
      </c>
      <c r="E6481" s="4" t="str">
        <f>HYPERLINK("https://ibp.a2mac1.com/costing(costing:projects/details/9760/process/12085691)","Seal Extrusion (Multi Layer)")</f>
        <v>Seal Extrusion (Multi Layer)</v>
      </c>
      <c r="F6481" t="s">
        <v>6742</v>
      </c>
    </row>
    <row r="6482" spans="1:6" x14ac:dyDescent="0.15">
      <c r="A6482">
        <v>8755402</v>
      </c>
      <c r="B6482">
        <v>12085691</v>
      </c>
      <c r="C6482" t="s">
        <v>22</v>
      </c>
      <c r="D6482" t="s">
        <v>114</v>
      </c>
      <c r="E6482" s="4" t="str">
        <f>HYPERLINK("https://ibp.a2mac1.com/costing(costing:projects/details/9760/material/8755402)","EPDM")</f>
        <v>EPDM</v>
      </c>
      <c r="F6482" t="s">
        <v>6743</v>
      </c>
    </row>
    <row r="6483" spans="1:6" x14ac:dyDescent="0.15">
      <c r="A6483">
        <v>8755403</v>
      </c>
      <c r="B6483">
        <v>12085691</v>
      </c>
      <c r="C6483" t="s">
        <v>22</v>
      </c>
      <c r="D6483" t="s">
        <v>114</v>
      </c>
      <c r="E6483" s="4" t="str">
        <f>HYPERLINK("https://ibp.a2mac1.com/costing(costing:projects/details/9760/material/8755403)","Standard Structural Steel sheet")</f>
        <v>Standard Structural Steel sheet</v>
      </c>
      <c r="F6483" t="s">
        <v>6743</v>
      </c>
    </row>
    <row r="6484" spans="1:6" x14ac:dyDescent="0.15">
      <c r="A6484">
        <v>12212901</v>
      </c>
      <c r="B6484">
        <v>12085691</v>
      </c>
      <c r="C6484" t="s">
        <v>163</v>
      </c>
      <c r="D6484" t="s">
        <v>114</v>
      </c>
      <c r="E6484" s="4" t="str">
        <f>HYPERLINK("https://ibp.a2mac1.com/costing(costing:projects/details/9760/equipment/12212901)","Rubber Extrusion machine")</f>
        <v>Rubber Extrusion machine</v>
      </c>
      <c r="F6484" t="s">
        <v>6743</v>
      </c>
    </row>
    <row r="6485" spans="1:6" x14ac:dyDescent="0.15">
      <c r="A6485">
        <v>12085690</v>
      </c>
      <c r="B6485">
        <v>8416361</v>
      </c>
      <c r="C6485" t="s">
        <v>114</v>
      </c>
      <c r="D6485" t="s">
        <v>10</v>
      </c>
      <c r="E6485" s="4" t="str">
        <f>HYPERLINK("https://ibp.a2mac1.com/costing(costing:projects/details/9760/process/12085690)","End Glueing/Vulcanizing; Check and Pack")</f>
        <v>End Glueing/Vulcanizing; Check and Pack</v>
      </c>
      <c r="F6485" t="s">
        <v>6742</v>
      </c>
    </row>
    <row r="6486" spans="1:6" x14ac:dyDescent="0.15">
      <c r="A6486">
        <v>12212900</v>
      </c>
      <c r="B6486">
        <v>12085690</v>
      </c>
      <c r="C6486" t="s">
        <v>163</v>
      </c>
      <c r="D6486" t="s">
        <v>114</v>
      </c>
      <c r="E6486" s="4" t="str">
        <f>HYPERLINK("https://ibp.a2mac1.com/costing(costing:projects/details/9760/equipment/12212900)","Seal welding/joining station, manual")</f>
        <v>Seal welding/joining station, manual</v>
      </c>
      <c r="F6486" t="s">
        <v>6744</v>
      </c>
    </row>
    <row r="6487" spans="1:6" x14ac:dyDescent="0.15">
      <c r="A6487">
        <v>8416362</v>
      </c>
      <c r="B6487">
        <v>8416025</v>
      </c>
      <c r="C6487" t="s">
        <v>10</v>
      </c>
      <c r="D6487" t="s">
        <v>8</v>
      </c>
      <c r="E6487" s="4" t="str">
        <f>HYPERLINK("https://ibp.a2mac1.com/costing(costing:projects/details/9760/part/8416362)","On Door")</f>
        <v>On Door</v>
      </c>
      <c r="F6487" t="s">
        <v>6741</v>
      </c>
    </row>
    <row r="6488" spans="1:6" x14ac:dyDescent="0.15">
      <c r="A6488">
        <v>12085692</v>
      </c>
      <c r="B6488">
        <v>8416362</v>
      </c>
      <c r="C6488" t="s">
        <v>114</v>
      </c>
      <c r="D6488" t="s">
        <v>10</v>
      </c>
      <c r="E6488" s="4" t="str">
        <f>HYPERLINK("https://ibp.a2mac1.com/costing(costing:projects/details/9760/process/12085692)","Seal Extrusion (Multi Layer)")</f>
        <v>Seal Extrusion (Multi Layer)</v>
      </c>
      <c r="F6488" t="s">
        <v>6746</v>
      </c>
    </row>
    <row r="6489" spans="1:6" x14ac:dyDescent="0.15">
      <c r="A6489">
        <v>8755404</v>
      </c>
      <c r="B6489">
        <v>12085692</v>
      </c>
      <c r="C6489" t="s">
        <v>22</v>
      </c>
      <c r="D6489" t="s">
        <v>114</v>
      </c>
      <c r="E6489" s="4" t="str">
        <f>HYPERLINK("https://ibp.a2mac1.com/costing(costing:projects/details/9760/material/8755404)","EPDM")</f>
        <v>EPDM</v>
      </c>
      <c r="F6489" t="s">
        <v>6747</v>
      </c>
    </row>
    <row r="6490" spans="1:6" x14ac:dyDescent="0.15">
      <c r="A6490">
        <v>12212902</v>
      </c>
      <c r="B6490">
        <v>12085692</v>
      </c>
      <c r="C6490" t="s">
        <v>163</v>
      </c>
      <c r="D6490" t="s">
        <v>114</v>
      </c>
      <c r="E6490" s="4" t="str">
        <f>HYPERLINK("https://ibp.a2mac1.com/costing(costing:projects/details/9760/equipment/12212902)","Rubber Extrusion machine")</f>
        <v>Rubber Extrusion machine</v>
      </c>
      <c r="F6490" t="s">
        <v>6747</v>
      </c>
    </row>
    <row r="6491" spans="1:6" x14ac:dyDescent="0.15">
      <c r="A6491">
        <v>8754587</v>
      </c>
      <c r="B6491">
        <v>8416025</v>
      </c>
      <c r="C6491" t="s">
        <v>311</v>
      </c>
      <c r="D6491" t="s">
        <v>8</v>
      </c>
      <c r="E6491" s="4" t="str">
        <f>HYPERLINK("https://ibp.a2mac1.com/costing(costing:projects/details/9760/component/8754587)","Panel holder &gt; Clips in rectangular hole")</f>
        <v>Panel holder &gt; Clips in rectangular hole</v>
      </c>
      <c r="F6491" t="s">
        <v>6741</v>
      </c>
    </row>
    <row r="6492" spans="1:6" x14ac:dyDescent="0.15">
      <c r="A6492">
        <v>8416022</v>
      </c>
      <c r="B6492">
        <v>8415681</v>
      </c>
      <c r="C6492" t="s">
        <v>10</v>
      </c>
      <c r="D6492" t="s">
        <v>8</v>
      </c>
      <c r="E6492" s="4" t="str">
        <f>HYPERLINK("https://ibp.a2mac1.com/costing(costing:projects/details/9760/part/8416022)","Interior Weatherstrip")</f>
        <v>Interior Weatherstrip</v>
      </c>
      <c r="F6492" t="s">
        <v>6740</v>
      </c>
    </row>
    <row r="6493" spans="1:6" x14ac:dyDescent="0.15">
      <c r="A6493">
        <v>12085336</v>
      </c>
      <c r="B6493">
        <v>8416022</v>
      </c>
      <c r="C6493" t="s">
        <v>114</v>
      </c>
      <c r="D6493" t="s">
        <v>10</v>
      </c>
      <c r="E6493" s="4" t="str">
        <f>HYPERLINK("https://ibp.a2mac1.com/costing(costing:projects/details/9760/process/12085336)","Seal Extrusion (Multi Layer)")</f>
        <v>Seal Extrusion (Multi Layer)</v>
      </c>
      <c r="F6493" t="s">
        <v>6750</v>
      </c>
    </row>
    <row r="6494" spans="1:6" x14ac:dyDescent="0.15">
      <c r="A6494">
        <v>8755017</v>
      </c>
      <c r="B6494">
        <v>12085336</v>
      </c>
      <c r="C6494" t="s">
        <v>22</v>
      </c>
      <c r="D6494" t="s">
        <v>114</v>
      </c>
      <c r="E6494" s="4" t="str">
        <f>HYPERLINK("https://ibp.a2mac1.com/costing(costing:projects/details/9760/material/8755017)","EPDM")</f>
        <v>EPDM</v>
      </c>
      <c r="F6494" t="s">
        <v>6751</v>
      </c>
    </row>
    <row r="6495" spans="1:6" x14ac:dyDescent="0.15">
      <c r="A6495">
        <v>8755018</v>
      </c>
      <c r="B6495">
        <v>12085336</v>
      </c>
      <c r="C6495" t="s">
        <v>22</v>
      </c>
      <c r="D6495" t="s">
        <v>114</v>
      </c>
      <c r="E6495" s="4" t="str">
        <f>HYPERLINK("https://ibp.a2mac1.com/costing(costing:projects/details/9760/material/8755018)","Aluminum for extrusion (default, e.g. EN-AW6016)")</f>
        <v>Aluminum for extrusion (default, e.g. EN-AW6016)</v>
      </c>
      <c r="F6495" t="s">
        <v>6751</v>
      </c>
    </row>
    <row r="6496" spans="1:6" x14ac:dyDescent="0.15">
      <c r="A6496">
        <v>12212432</v>
      </c>
      <c r="B6496">
        <v>12085336</v>
      </c>
      <c r="C6496" t="s">
        <v>163</v>
      </c>
      <c r="D6496" t="s">
        <v>114</v>
      </c>
      <c r="E6496" s="4" t="str">
        <f>HYPERLINK("https://ibp.a2mac1.com/costing(costing:projects/details/9760/equipment/12212432)","Rubber Extrusion machine")</f>
        <v>Rubber Extrusion machine</v>
      </c>
      <c r="F6496" t="s">
        <v>6751</v>
      </c>
    </row>
    <row r="6497" spans="1:6" x14ac:dyDescent="0.15">
      <c r="A6497">
        <v>8416023</v>
      </c>
      <c r="B6497">
        <v>8415681</v>
      </c>
      <c r="C6497" t="s">
        <v>10</v>
      </c>
      <c r="D6497" t="s">
        <v>8</v>
      </c>
      <c r="E6497" s="4" t="str">
        <f>HYPERLINK("https://ibp.a2mac1.com/costing(costing:projects/details/9760/part/8416023)","Exterior Weatherstrip")</f>
        <v>Exterior Weatherstrip</v>
      </c>
      <c r="F6497" t="s">
        <v>6740</v>
      </c>
    </row>
    <row r="6498" spans="1:6" x14ac:dyDescent="0.15">
      <c r="A6498">
        <v>12085337</v>
      </c>
      <c r="B6498">
        <v>8416023</v>
      </c>
      <c r="C6498" t="s">
        <v>114</v>
      </c>
      <c r="D6498" t="s">
        <v>10</v>
      </c>
      <c r="E6498" s="4" t="str">
        <f>HYPERLINK("https://ibp.a2mac1.com/costing(costing:projects/details/9760/process/12085337)","Seal Extrusion (Multi Layer)")</f>
        <v>Seal Extrusion (Multi Layer)</v>
      </c>
      <c r="F6498" t="s">
        <v>6753</v>
      </c>
    </row>
    <row r="6499" spans="1:6" x14ac:dyDescent="0.15">
      <c r="A6499">
        <v>8755019</v>
      </c>
      <c r="B6499">
        <v>12085337</v>
      </c>
      <c r="C6499" t="s">
        <v>22</v>
      </c>
      <c r="D6499" t="s">
        <v>114</v>
      </c>
      <c r="E6499" s="4" t="str">
        <f>HYPERLINK("https://ibp.a2mac1.com/costing(costing:projects/details/9760/material/8755019)","EPDM")</f>
        <v>EPDM</v>
      </c>
      <c r="F6499" t="s">
        <v>6754</v>
      </c>
    </row>
    <row r="6500" spans="1:6" x14ac:dyDescent="0.15">
      <c r="A6500">
        <v>8755020</v>
      </c>
      <c r="B6500">
        <v>12085337</v>
      </c>
      <c r="C6500" t="s">
        <v>22</v>
      </c>
      <c r="D6500" t="s">
        <v>114</v>
      </c>
      <c r="E6500" s="4" t="str">
        <f>HYPERLINK("https://ibp.a2mac1.com/costing(costing:projects/details/9760/material/8755020)","Aluminum for extrusion (default, e.g. EN-AW6016)")</f>
        <v>Aluminum for extrusion (default, e.g. EN-AW6016)</v>
      </c>
      <c r="F6500" t="s">
        <v>6754</v>
      </c>
    </row>
    <row r="6501" spans="1:6" x14ac:dyDescent="0.15">
      <c r="A6501">
        <v>12212433</v>
      </c>
      <c r="B6501">
        <v>12085337</v>
      </c>
      <c r="C6501" t="s">
        <v>163</v>
      </c>
      <c r="D6501" t="s">
        <v>114</v>
      </c>
      <c r="E6501" s="4" t="str">
        <f>HYPERLINK("https://ibp.a2mac1.com/costing(costing:projects/details/9760/equipment/12212433)","Rubber Extrusion machine")</f>
        <v>Rubber Extrusion machine</v>
      </c>
      <c r="F6501" t="s">
        <v>6754</v>
      </c>
    </row>
    <row r="6502" spans="1:6" x14ac:dyDescent="0.15">
      <c r="A6502">
        <v>8416024</v>
      </c>
      <c r="B6502">
        <v>8415681</v>
      </c>
      <c r="C6502" t="s">
        <v>10</v>
      </c>
      <c r="D6502" t="s">
        <v>8</v>
      </c>
      <c r="E6502" s="4" t="str">
        <f>HYPERLINK("https://ibp.a2mac1.com/costing(costing:projects/details/9760/part/8416024)","Exterior Weatherstrip Bezel")</f>
        <v>Exterior Weatherstrip Bezel</v>
      </c>
      <c r="F6502" t="s">
        <v>6740</v>
      </c>
    </row>
    <row r="6503" spans="1:6" x14ac:dyDescent="0.15">
      <c r="A6503">
        <v>12085338</v>
      </c>
      <c r="B6503">
        <v>8416024</v>
      </c>
      <c r="C6503" t="s">
        <v>114</v>
      </c>
      <c r="D6503" t="s">
        <v>10</v>
      </c>
      <c r="E6503" s="4" t="str">
        <f>HYPERLINK("https://ibp.a2mac1.com/costing(costing:projects/details/9760/process/12085338)","Aluminum extrusion")</f>
        <v>Aluminum extrusion</v>
      </c>
      <c r="F6503" t="s">
        <v>6756</v>
      </c>
    </row>
    <row r="6504" spans="1:6" x14ac:dyDescent="0.15">
      <c r="A6504">
        <v>8755021</v>
      </c>
      <c r="B6504">
        <v>12085338</v>
      </c>
      <c r="C6504" t="s">
        <v>22</v>
      </c>
      <c r="D6504" t="s">
        <v>114</v>
      </c>
      <c r="E6504" s="4" t="str">
        <f>HYPERLINK("https://ibp.a2mac1.com/costing(costing:projects/details/9760/material/8755021)","EN AW-Al 99,9Mg1")</f>
        <v>EN AW-Al 99,9Mg1</v>
      </c>
      <c r="F6504" t="s">
        <v>6757</v>
      </c>
    </row>
    <row r="6505" spans="1:6" x14ac:dyDescent="0.15">
      <c r="A6505">
        <v>12212434</v>
      </c>
      <c r="B6505">
        <v>12085338</v>
      </c>
      <c r="C6505" t="s">
        <v>163</v>
      </c>
      <c r="D6505" t="s">
        <v>114</v>
      </c>
      <c r="E6505" s="4" t="str">
        <f>HYPERLINK("https://ibp.a2mac1.com/costing(costing:projects/details/9760/equipment/12212434)","No.01 - Extrusion Press Line - 600T ")</f>
        <v xml:space="preserve">No.01 - Extrusion Press Line - 600T </v>
      </c>
      <c r="F6505" t="s">
        <v>6757</v>
      </c>
    </row>
    <row r="6506" spans="1:6" x14ac:dyDescent="0.15">
      <c r="A6506">
        <v>8415682</v>
      </c>
      <c r="B6506">
        <v>8415587</v>
      </c>
      <c r="C6506" t="s">
        <v>8</v>
      </c>
      <c r="D6506" t="s">
        <v>8</v>
      </c>
      <c r="E6506" s="4" t="str">
        <f>HYPERLINK("https://ibp.a2mac1.com/costing(costing:projects/details/9760/assembly/8415682)","Hinges")</f>
        <v>Hinges</v>
      </c>
      <c r="F6506" t="s">
        <v>6541</v>
      </c>
    </row>
    <row r="6507" spans="1:6" x14ac:dyDescent="0.15">
      <c r="A6507">
        <v>8416028</v>
      </c>
      <c r="B6507">
        <v>8415682</v>
      </c>
      <c r="C6507" t="s">
        <v>8</v>
      </c>
      <c r="D6507" t="s">
        <v>8</v>
      </c>
      <c r="E6507" s="4" t="str">
        <f>HYPERLINK("https://ibp.a2mac1.com/costing(costing:projects/details/9760/assembly/8416028)","Upper")</f>
        <v>Upper</v>
      </c>
      <c r="F6507" t="s">
        <v>6760</v>
      </c>
    </row>
    <row r="6508" spans="1:6" x14ac:dyDescent="0.15">
      <c r="A6508">
        <v>8416363</v>
      </c>
      <c r="B6508">
        <v>8416028</v>
      </c>
      <c r="C6508" t="s">
        <v>10</v>
      </c>
      <c r="D6508" t="s">
        <v>8</v>
      </c>
      <c r="E6508" s="4" t="str">
        <f>HYPERLINK("https://ibp.a2mac1.com/costing(costing:projects/details/9760/part/8416363)","On Body")</f>
        <v>On Body</v>
      </c>
      <c r="F6508" t="s">
        <v>6761</v>
      </c>
    </row>
    <row r="6509" spans="1:6" x14ac:dyDescent="0.15">
      <c r="A6509">
        <v>12085693</v>
      </c>
      <c r="B6509">
        <v>8416363</v>
      </c>
      <c r="C6509" t="s">
        <v>114</v>
      </c>
      <c r="D6509" t="s">
        <v>10</v>
      </c>
      <c r="E6509" s="4" t="str">
        <f>HYPERLINK("https://ibp.a2mac1.com/costing(costing:projects/details/9760/process/12085693)","MANUFACTURING  PROCESS")</f>
        <v>MANUFACTURING  PROCESS</v>
      </c>
      <c r="F6509" t="s">
        <v>6762</v>
      </c>
    </row>
    <row r="6510" spans="1:6" x14ac:dyDescent="0.15">
      <c r="A6510">
        <v>8755405</v>
      </c>
      <c r="B6510">
        <v>12085693</v>
      </c>
      <c r="C6510" t="s">
        <v>22</v>
      </c>
      <c r="D6510" t="s">
        <v>114</v>
      </c>
      <c r="E6510" s="4" t="str">
        <f>HYPERLINK("https://ibp.a2mac1.com/costing(costing:projects/details/9760/material/8755405)","Standard Structural Steel sheet")</f>
        <v>Standard Structural Steel sheet</v>
      </c>
      <c r="F6510" t="s">
        <v>6763</v>
      </c>
    </row>
    <row r="6511" spans="1:6" x14ac:dyDescent="0.15">
      <c r="A6511">
        <v>12212903</v>
      </c>
      <c r="B6511">
        <v>12085693</v>
      </c>
      <c r="C6511" t="s">
        <v>163</v>
      </c>
      <c r="D6511" t="s">
        <v>114</v>
      </c>
      <c r="E6511" s="4" t="str">
        <f>HYPERLINK("https://ibp.a2mac1.com/costing(costing:projects/details/9760/equipment/12212903)","Manufacturing Equipment")</f>
        <v>Manufacturing Equipment</v>
      </c>
      <c r="F6511" t="s">
        <v>6763</v>
      </c>
    </row>
    <row r="6512" spans="1:6" x14ac:dyDescent="0.15">
      <c r="A6512">
        <v>8416364</v>
      </c>
      <c r="B6512">
        <v>8416028</v>
      </c>
      <c r="C6512" t="s">
        <v>10</v>
      </c>
      <c r="D6512" t="s">
        <v>8</v>
      </c>
      <c r="E6512" s="4" t="str">
        <f>HYPERLINK("https://ibp.a2mac1.com/costing(costing:projects/details/9760/part/8416364)","On Door")</f>
        <v>On Door</v>
      </c>
      <c r="F6512" t="s">
        <v>6761</v>
      </c>
    </row>
    <row r="6513" spans="1:6" x14ac:dyDescent="0.15">
      <c r="A6513">
        <v>12085694</v>
      </c>
      <c r="B6513">
        <v>8416364</v>
      </c>
      <c r="C6513" t="s">
        <v>114</v>
      </c>
      <c r="D6513" t="s">
        <v>10</v>
      </c>
      <c r="E6513" s="4" t="str">
        <f>HYPERLINK("https://ibp.a2mac1.com/costing(costing:projects/details/9760/process/12085694)","MANUFACTURING  PROCESS")</f>
        <v>MANUFACTURING  PROCESS</v>
      </c>
      <c r="F6513" t="s">
        <v>6765</v>
      </c>
    </row>
    <row r="6514" spans="1:6" x14ac:dyDescent="0.15">
      <c r="A6514">
        <v>8755406</v>
      </c>
      <c r="B6514">
        <v>12085694</v>
      </c>
      <c r="C6514" t="s">
        <v>22</v>
      </c>
      <c r="D6514" t="s">
        <v>114</v>
      </c>
      <c r="E6514" s="4" t="str">
        <f>HYPERLINK("https://ibp.a2mac1.com/costing(costing:projects/details/9760/material/8755406)","Standard Structural Steel sheet")</f>
        <v>Standard Structural Steel sheet</v>
      </c>
      <c r="F6514" t="s">
        <v>6766</v>
      </c>
    </row>
    <row r="6515" spans="1:6" x14ac:dyDescent="0.15">
      <c r="A6515">
        <v>12212904</v>
      </c>
      <c r="B6515">
        <v>12085694</v>
      </c>
      <c r="C6515" t="s">
        <v>163</v>
      </c>
      <c r="D6515" t="s">
        <v>114</v>
      </c>
      <c r="E6515" s="4" t="str">
        <f>HYPERLINK("https://ibp.a2mac1.com/costing(costing:projects/details/9760/equipment/12212904)","Manufacturing Equipment")</f>
        <v>Manufacturing Equipment</v>
      </c>
      <c r="F6515" t="s">
        <v>6766</v>
      </c>
    </row>
    <row r="6516" spans="1:6" x14ac:dyDescent="0.15">
      <c r="A6516">
        <v>8754588</v>
      </c>
      <c r="B6516">
        <v>8416028</v>
      </c>
      <c r="C6516" t="s">
        <v>311</v>
      </c>
      <c r="D6516" t="s">
        <v>8</v>
      </c>
      <c r="E6516" s="4" t="str">
        <f>HYPERLINK("https://ibp.a2mac1.com/costing(costing:projects/details/9760/component/8754588)","Screw &gt; Hexagon screw with flange")</f>
        <v>Screw &gt; Hexagon screw with flange</v>
      </c>
      <c r="F6516" t="s">
        <v>6761</v>
      </c>
    </row>
    <row r="6517" spans="1:6" x14ac:dyDescent="0.15">
      <c r="A6517">
        <v>8754589</v>
      </c>
      <c r="B6517">
        <v>8416028</v>
      </c>
      <c r="C6517" t="s">
        <v>311</v>
      </c>
      <c r="D6517" t="s">
        <v>8</v>
      </c>
      <c r="E6517" s="4" t="str">
        <f>HYPERLINK("https://ibp.a2mac1.com/costing(costing:projects/details/9760/component/8754589)","Screw &gt; Hexagon screw with flange")</f>
        <v>Screw &gt; Hexagon screw with flange</v>
      </c>
      <c r="F6517" t="s">
        <v>6761</v>
      </c>
    </row>
    <row r="6518" spans="1:6" x14ac:dyDescent="0.15">
      <c r="A6518">
        <v>8416029</v>
      </c>
      <c r="B6518">
        <v>8415682</v>
      </c>
      <c r="C6518" t="s">
        <v>8</v>
      </c>
      <c r="D6518" t="s">
        <v>8</v>
      </c>
      <c r="E6518" s="4" t="str">
        <f>HYPERLINK("https://ibp.a2mac1.com/costing(costing:projects/details/9760/assembly/8416029)","Lower")</f>
        <v>Lower</v>
      </c>
      <c r="F6518" t="s">
        <v>6760</v>
      </c>
    </row>
    <row r="6519" spans="1:6" x14ac:dyDescent="0.15">
      <c r="A6519">
        <v>8416365</v>
      </c>
      <c r="B6519">
        <v>8416029</v>
      </c>
      <c r="C6519" t="s">
        <v>10</v>
      </c>
      <c r="D6519" t="s">
        <v>8</v>
      </c>
      <c r="E6519" s="4" t="str">
        <f>HYPERLINK("https://ibp.a2mac1.com/costing(costing:projects/details/9760/part/8416365)","On Body")</f>
        <v>On Body</v>
      </c>
      <c r="F6519" t="s">
        <v>6769</v>
      </c>
    </row>
    <row r="6520" spans="1:6" x14ac:dyDescent="0.15">
      <c r="A6520">
        <v>12085695</v>
      </c>
      <c r="B6520">
        <v>8416365</v>
      </c>
      <c r="C6520" t="s">
        <v>114</v>
      </c>
      <c r="D6520" t="s">
        <v>10</v>
      </c>
      <c r="E6520" s="4" t="str">
        <f>HYPERLINK("https://ibp.a2mac1.com/costing(costing:projects/details/9760/process/12085695)","MANUFACTURING  PROCESS")</f>
        <v>MANUFACTURING  PROCESS</v>
      </c>
      <c r="F6520" t="s">
        <v>6770</v>
      </c>
    </row>
    <row r="6521" spans="1:6" x14ac:dyDescent="0.15">
      <c r="A6521">
        <v>8755407</v>
      </c>
      <c r="B6521">
        <v>12085695</v>
      </c>
      <c r="C6521" t="s">
        <v>22</v>
      </c>
      <c r="D6521" t="s">
        <v>114</v>
      </c>
      <c r="E6521" s="4" t="str">
        <f>HYPERLINK("https://ibp.a2mac1.com/costing(costing:projects/details/9760/material/8755407)","Standard Structural Steel sheet")</f>
        <v>Standard Structural Steel sheet</v>
      </c>
      <c r="F6521" t="s">
        <v>6771</v>
      </c>
    </row>
    <row r="6522" spans="1:6" x14ac:dyDescent="0.15">
      <c r="A6522">
        <v>12212905</v>
      </c>
      <c r="B6522">
        <v>12085695</v>
      </c>
      <c r="C6522" t="s">
        <v>163</v>
      </c>
      <c r="D6522" t="s">
        <v>114</v>
      </c>
      <c r="E6522" s="4" t="str">
        <f>HYPERLINK("https://ibp.a2mac1.com/costing(costing:projects/details/9760/equipment/12212905)","Manufacturing Equipment")</f>
        <v>Manufacturing Equipment</v>
      </c>
      <c r="F6522" t="s">
        <v>6771</v>
      </c>
    </row>
    <row r="6523" spans="1:6" x14ac:dyDescent="0.15">
      <c r="A6523">
        <v>8416366</v>
      </c>
      <c r="B6523">
        <v>8416029</v>
      </c>
      <c r="C6523" t="s">
        <v>10</v>
      </c>
      <c r="D6523" t="s">
        <v>8</v>
      </c>
      <c r="E6523" s="4" t="str">
        <f>HYPERLINK("https://ibp.a2mac1.com/costing(costing:projects/details/9760/part/8416366)","On Door")</f>
        <v>On Door</v>
      </c>
      <c r="F6523" t="s">
        <v>6769</v>
      </c>
    </row>
    <row r="6524" spans="1:6" x14ac:dyDescent="0.15">
      <c r="A6524">
        <v>12085696</v>
      </c>
      <c r="B6524">
        <v>8416366</v>
      </c>
      <c r="C6524" t="s">
        <v>114</v>
      </c>
      <c r="D6524" t="s">
        <v>10</v>
      </c>
      <c r="E6524" s="4" t="str">
        <f>HYPERLINK("https://ibp.a2mac1.com/costing(costing:projects/details/9760/process/12085696)","MANUFACTURING  PROCESS")</f>
        <v>MANUFACTURING  PROCESS</v>
      </c>
      <c r="F6524" t="s">
        <v>6773</v>
      </c>
    </row>
    <row r="6525" spans="1:6" x14ac:dyDescent="0.15">
      <c r="A6525">
        <v>8755408</v>
      </c>
      <c r="B6525">
        <v>12085696</v>
      </c>
      <c r="C6525" t="s">
        <v>22</v>
      </c>
      <c r="D6525" t="s">
        <v>114</v>
      </c>
      <c r="E6525" s="4" t="str">
        <f>HYPERLINK("https://ibp.a2mac1.com/costing(costing:projects/details/9760/material/8755408)","Standard Structural Steel sheet")</f>
        <v>Standard Structural Steel sheet</v>
      </c>
      <c r="F6525" t="s">
        <v>6774</v>
      </c>
    </row>
    <row r="6526" spans="1:6" x14ac:dyDescent="0.15">
      <c r="A6526">
        <v>12212906</v>
      </c>
      <c r="B6526">
        <v>12085696</v>
      </c>
      <c r="C6526" t="s">
        <v>163</v>
      </c>
      <c r="D6526" t="s">
        <v>114</v>
      </c>
      <c r="E6526" s="4" t="str">
        <f>HYPERLINK("https://ibp.a2mac1.com/costing(costing:projects/details/9760/equipment/12212906)","Manufacturing Equipment")</f>
        <v>Manufacturing Equipment</v>
      </c>
      <c r="F6526" t="s">
        <v>6774</v>
      </c>
    </row>
    <row r="6527" spans="1:6" x14ac:dyDescent="0.15">
      <c r="A6527">
        <v>8754590</v>
      </c>
      <c r="B6527">
        <v>8416029</v>
      </c>
      <c r="C6527" t="s">
        <v>311</v>
      </c>
      <c r="D6527" t="s">
        <v>8</v>
      </c>
      <c r="E6527" s="4" t="str">
        <f>HYPERLINK("https://ibp.a2mac1.com/costing(costing:projects/details/9760/component/8754590)","Screw &gt; Hexagon screw with flange")</f>
        <v>Screw &gt; Hexagon screw with flange</v>
      </c>
      <c r="F6527" t="s">
        <v>6769</v>
      </c>
    </row>
    <row r="6528" spans="1:6" x14ac:dyDescent="0.15">
      <c r="A6528">
        <v>8754591</v>
      </c>
      <c r="B6528">
        <v>8416029</v>
      </c>
      <c r="C6528" t="s">
        <v>311</v>
      </c>
      <c r="D6528" t="s">
        <v>8</v>
      </c>
      <c r="E6528" s="4" t="str">
        <f>HYPERLINK("https://ibp.a2mac1.com/costing(costing:projects/details/9760/component/8754591)","Screw &gt; Hexagon screw with flange")</f>
        <v>Screw &gt; Hexagon screw with flange</v>
      </c>
      <c r="F6528" t="s">
        <v>6769</v>
      </c>
    </row>
    <row r="6529" spans="1:6" x14ac:dyDescent="0.15">
      <c r="A6529">
        <v>8416026</v>
      </c>
      <c r="B6529">
        <v>8415682</v>
      </c>
      <c r="C6529" t="s">
        <v>10</v>
      </c>
      <c r="D6529" t="s">
        <v>8</v>
      </c>
      <c r="E6529" s="4" t="str">
        <f>HYPERLINK("https://ibp.a2mac1.com/costing(costing:projects/details/9760/part/8416026)","Door Stopper")</f>
        <v>Door Stopper</v>
      </c>
      <c r="F6529" t="s">
        <v>6760</v>
      </c>
    </row>
    <row r="6530" spans="1:6" x14ac:dyDescent="0.15">
      <c r="A6530">
        <v>8416027</v>
      </c>
      <c r="B6530">
        <v>8415682</v>
      </c>
      <c r="C6530" t="s">
        <v>10</v>
      </c>
      <c r="D6530" t="s">
        <v>8</v>
      </c>
      <c r="E6530" s="4" t="str">
        <f>HYPERLINK("https://ibp.a2mac1.com/costing(costing:projects/details/9760/part/8416027)","Door Stopper Protection")</f>
        <v>Door Stopper Protection</v>
      </c>
      <c r="F6530" t="s">
        <v>6760</v>
      </c>
    </row>
    <row r="6531" spans="1:6" x14ac:dyDescent="0.15">
      <c r="A6531">
        <v>12085339</v>
      </c>
      <c r="B6531">
        <v>8416027</v>
      </c>
      <c r="C6531" t="s">
        <v>114</v>
      </c>
      <c r="D6531" t="s">
        <v>10</v>
      </c>
      <c r="E6531" s="4" t="str">
        <f>HYPERLINK("https://ibp.a2mac1.com/costing(costing:projects/details/9760/process/12085339)","Injection molding")</f>
        <v>Injection molding</v>
      </c>
      <c r="F6531" t="s">
        <v>6778</v>
      </c>
    </row>
    <row r="6532" spans="1:6" x14ac:dyDescent="0.15">
      <c r="A6532">
        <v>8755022</v>
      </c>
      <c r="B6532">
        <v>12085339</v>
      </c>
      <c r="C6532" t="s">
        <v>22</v>
      </c>
      <c r="D6532" t="s">
        <v>114</v>
      </c>
      <c r="E6532" s="4" t="str">
        <f>HYPERLINK("https://ibp.a2mac1.com/costing(costing:projects/details/9760/material/8755022)","PE")</f>
        <v>PE</v>
      </c>
      <c r="F6532" t="s">
        <v>6779</v>
      </c>
    </row>
    <row r="6533" spans="1:6" x14ac:dyDescent="0.15">
      <c r="A6533">
        <v>12212435</v>
      </c>
      <c r="B6533">
        <v>12085339</v>
      </c>
      <c r="C6533" t="s">
        <v>163</v>
      </c>
      <c r="D6533" t="s">
        <v>114</v>
      </c>
      <c r="E6533" s="4" t="str">
        <f>HYPERLINK("https://ibp.a2mac1.com/costing(costing:projects/details/9760/equipment/12212435)","Equipment (Injection Molding)")</f>
        <v>Equipment (Injection Molding)</v>
      </c>
      <c r="F6533" t="s">
        <v>6779</v>
      </c>
    </row>
    <row r="6534" spans="1:6" x14ac:dyDescent="0.15">
      <c r="A6534">
        <v>8754454</v>
      </c>
      <c r="B6534">
        <v>8415682</v>
      </c>
      <c r="C6534" t="s">
        <v>311</v>
      </c>
      <c r="D6534" t="s">
        <v>8</v>
      </c>
      <c r="E6534" s="4" t="str">
        <f>HYPERLINK("https://ibp.a2mac1.com/costing(costing:projects/details/9760/component/8754454)","Screw &gt; Torx socket head cap screw")</f>
        <v>Screw &gt; Torx socket head cap screw</v>
      </c>
      <c r="F6534" t="s">
        <v>6760</v>
      </c>
    </row>
    <row r="6535" spans="1:6" x14ac:dyDescent="0.15">
      <c r="A6535">
        <v>8415683</v>
      </c>
      <c r="B6535">
        <v>8415587</v>
      </c>
      <c r="C6535" t="s">
        <v>8</v>
      </c>
      <c r="D6535" t="s">
        <v>8</v>
      </c>
      <c r="E6535" s="4" t="str">
        <f>HYPERLINK("https://ibp.a2mac1.com/costing(costing:projects/details/9760/assembly/8415683)","Power System")</f>
        <v>Power System</v>
      </c>
      <c r="F6535" t="s">
        <v>6541</v>
      </c>
    </row>
    <row r="6536" spans="1:6" x14ac:dyDescent="0.15">
      <c r="A6536">
        <v>8416033</v>
      </c>
      <c r="B6536">
        <v>8415683</v>
      </c>
      <c r="C6536" t="s">
        <v>8</v>
      </c>
      <c r="D6536" t="s">
        <v>8</v>
      </c>
      <c r="E6536" s="4" t="str">
        <f>HYPERLINK("https://ibp.a2mac1.com/costing(costing:projects/details/9760/assembly/8416033)","Ambiant Light")</f>
        <v>Ambiant Light</v>
      </c>
      <c r="F6536" t="s">
        <v>6782</v>
      </c>
    </row>
    <row r="6537" spans="1:6" x14ac:dyDescent="0.15">
      <c r="A6537">
        <v>8416367</v>
      </c>
      <c r="B6537">
        <v>8416033</v>
      </c>
      <c r="C6537" t="s">
        <v>10</v>
      </c>
      <c r="D6537" t="s">
        <v>8</v>
      </c>
      <c r="E6537" s="4" t="str">
        <f>HYPERLINK("https://ibp.a2mac1.com/costing(costing:projects/details/9760/part/8416367)","Mood Light")</f>
        <v>Mood Light</v>
      </c>
      <c r="F6537" t="s">
        <v>6783</v>
      </c>
    </row>
    <row r="6538" spans="1:6" x14ac:dyDescent="0.15">
      <c r="A6538">
        <v>8416368</v>
      </c>
      <c r="B6538">
        <v>8416033</v>
      </c>
      <c r="C6538" t="s">
        <v>10</v>
      </c>
      <c r="D6538" t="s">
        <v>8</v>
      </c>
      <c r="E6538" s="4" t="str">
        <f>HYPERLINK("https://ibp.a2mac1.com/costing(costing:projects/details/9760/part/8416368)","Light Diffuser")</f>
        <v>Light Diffuser</v>
      </c>
      <c r="F6538" t="s">
        <v>6783</v>
      </c>
    </row>
    <row r="6539" spans="1:6" x14ac:dyDescent="0.15">
      <c r="A6539">
        <v>12085698</v>
      </c>
      <c r="B6539">
        <v>8416368</v>
      </c>
      <c r="C6539" t="s">
        <v>114</v>
      </c>
      <c r="D6539" t="s">
        <v>10</v>
      </c>
      <c r="E6539" s="4" t="str">
        <f>HYPERLINK("https://ibp.a2mac1.com/costing(costing:projects/details/9760/process/12085698)","Injection molding")</f>
        <v>Injection molding</v>
      </c>
      <c r="F6539" t="s">
        <v>6785</v>
      </c>
    </row>
    <row r="6540" spans="1:6" x14ac:dyDescent="0.15">
      <c r="A6540">
        <v>8755409</v>
      </c>
      <c r="B6540">
        <v>12085698</v>
      </c>
      <c r="C6540" t="s">
        <v>22</v>
      </c>
      <c r="D6540" t="s">
        <v>114</v>
      </c>
      <c r="E6540" s="4" t="str">
        <f>HYPERLINK("https://ibp.a2mac1.com/costing(costing:projects/details/9760/material/8755409)","PMMA")</f>
        <v>PMMA</v>
      </c>
      <c r="F6540" t="s">
        <v>6786</v>
      </c>
    </row>
    <row r="6541" spans="1:6" x14ac:dyDescent="0.15">
      <c r="A6541">
        <v>12212908</v>
      </c>
      <c r="B6541">
        <v>12085698</v>
      </c>
      <c r="C6541" t="s">
        <v>163</v>
      </c>
      <c r="D6541" t="s">
        <v>114</v>
      </c>
      <c r="E6541" s="4" t="str">
        <f>HYPERLINK("https://ibp.a2mac1.com/costing(costing:projects/details/9760/equipment/12212908)","No.10 - Injection Press - 500T - 98kW - 900x900 - Max Volume 1936cm3 ")</f>
        <v xml:space="preserve">No.10 - Injection Press - 500T - 98kW - 900x900 - Max Volume 1936cm3 </v>
      </c>
      <c r="F6541" t="s">
        <v>6786</v>
      </c>
    </row>
    <row r="6542" spans="1:6" x14ac:dyDescent="0.15">
      <c r="A6542">
        <v>12085697</v>
      </c>
      <c r="B6542">
        <v>8416368</v>
      </c>
      <c r="C6542" t="s">
        <v>114</v>
      </c>
      <c r="D6542" t="s">
        <v>10</v>
      </c>
      <c r="E6542" s="4" t="str">
        <f>HYPERLINK("https://ibp.a2mac1.com/costing(costing:projects/details/9760/process/12085697)","Handling/Visual Inspection/Packaging")</f>
        <v>Handling/Visual Inspection/Packaging</v>
      </c>
      <c r="F6542" t="s">
        <v>6785</v>
      </c>
    </row>
    <row r="6543" spans="1:6" x14ac:dyDescent="0.15">
      <c r="A6543">
        <v>12212907</v>
      </c>
      <c r="B6543">
        <v>12085697</v>
      </c>
      <c r="C6543" t="s">
        <v>163</v>
      </c>
      <c r="D6543" t="s">
        <v>114</v>
      </c>
      <c r="E6543" s="4" t="str">
        <f>HYPERLINK("https://ibp.a2mac1.com/costing(costing:projects/details/9760/equipment/12212907)","Packaging")</f>
        <v>Packaging</v>
      </c>
      <c r="F6543" t="s">
        <v>6787</v>
      </c>
    </row>
    <row r="6544" spans="1:6" x14ac:dyDescent="0.15">
      <c r="A6544">
        <v>8416369</v>
      </c>
      <c r="B6544">
        <v>8416033</v>
      </c>
      <c r="C6544" t="s">
        <v>10</v>
      </c>
      <c r="D6544" t="s">
        <v>8</v>
      </c>
      <c r="E6544" s="4" t="str">
        <f>HYPERLINK("https://ibp.a2mac1.com/costing(costing:projects/details/9760/part/8416369)","Mood Light Diffuser Support")</f>
        <v>Mood Light Diffuser Support</v>
      </c>
      <c r="F6544" t="s">
        <v>6783</v>
      </c>
    </row>
    <row r="6545" spans="1:6" x14ac:dyDescent="0.15">
      <c r="A6545">
        <v>12085700</v>
      </c>
      <c r="B6545">
        <v>8416369</v>
      </c>
      <c r="C6545" t="s">
        <v>114</v>
      </c>
      <c r="D6545" t="s">
        <v>10</v>
      </c>
      <c r="E6545" s="4" t="str">
        <f>HYPERLINK("https://ibp.a2mac1.com/costing(costing:projects/details/9760/process/12085700)","Injection molding")</f>
        <v>Injection molding</v>
      </c>
      <c r="F6545" t="s">
        <v>6789</v>
      </c>
    </row>
    <row r="6546" spans="1:6" x14ac:dyDescent="0.15">
      <c r="A6546">
        <v>8755410</v>
      </c>
      <c r="B6546">
        <v>12085700</v>
      </c>
      <c r="C6546" t="s">
        <v>22</v>
      </c>
      <c r="D6546" t="s">
        <v>114</v>
      </c>
      <c r="E6546" s="4" t="str">
        <f>HYPERLINK("https://ibp.a2mac1.com/costing(costing:projects/details/9760/material/8755410)","PP-TD20")</f>
        <v>PP-TD20</v>
      </c>
      <c r="F6546" t="s">
        <v>6790</v>
      </c>
    </row>
    <row r="6547" spans="1:6" x14ac:dyDescent="0.15">
      <c r="A6547">
        <v>12212910</v>
      </c>
      <c r="B6547">
        <v>12085700</v>
      </c>
      <c r="C6547" t="s">
        <v>163</v>
      </c>
      <c r="D6547" t="s">
        <v>114</v>
      </c>
      <c r="E6547" s="4" t="str">
        <f>HYPERLINK("https://ibp.a2mac1.com/costing(costing:projects/details/9760/equipment/12212910)","No.10 - Injection Press - 500T - 98kW - 900x900 - Max Volume 1936cm3 ")</f>
        <v xml:space="preserve">No.10 - Injection Press - 500T - 98kW - 900x900 - Max Volume 1936cm3 </v>
      </c>
      <c r="F6547" t="s">
        <v>6790</v>
      </c>
    </row>
    <row r="6548" spans="1:6" x14ac:dyDescent="0.15">
      <c r="A6548">
        <v>12085699</v>
      </c>
      <c r="B6548">
        <v>8416369</v>
      </c>
      <c r="C6548" t="s">
        <v>114</v>
      </c>
      <c r="D6548" t="s">
        <v>10</v>
      </c>
      <c r="E6548" s="4" t="str">
        <f>HYPERLINK("https://ibp.a2mac1.com/costing(costing:projects/details/9760/process/12085699)","Handling/Visual Inspection/Packaging")</f>
        <v>Handling/Visual Inspection/Packaging</v>
      </c>
      <c r="F6548" t="s">
        <v>6789</v>
      </c>
    </row>
    <row r="6549" spans="1:6" x14ac:dyDescent="0.15">
      <c r="A6549">
        <v>12212909</v>
      </c>
      <c r="B6549">
        <v>12085699</v>
      </c>
      <c r="C6549" t="s">
        <v>163</v>
      </c>
      <c r="D6549" t="s">
        <v>114</v>
      </c>
      <c r="E6549" s="4" t="str">
        <f>HYPERLINK("https://ibp.a2mac1.com/costing(costing:projects/details/9760/equipment/12212909)","Packaging")</f>
        <v>Packaging</v>
      </c>
      <c r="F6549" t="s">
        <v>6791</v>
      </c>
    </row>
    <row r="6550" spans="1:6" x14ac:dyDescent="0.15">
      <c r="A6550">
        <v>8416030</v>
      </c>
      <c r="B6550">
        <v>8415683</v>
      </c>
      <c r="C6550" t="s">
        <v>10</v>
      </c>
      <c r="D6550" t="s">
        <v>8</v>
      </c>
      <c r="E6550" s="4" t="str">
        <f>HYPERLINK("https://ibp.a2mac1.com/costing(costing:projects/details/9760/part/8416030)","Harness")</f>
        <v>Harness</v>
      </c>
      <c r="F6550" t="s">
        <v>6782</v>
      </c>
    </row>
    <row r="6551" spans="1:6" x14ac:dyDescent="0.15">
      <c r="A6551">
        <v>12085340</v>
      </c>
      <c r="B6551">
        <v>8416030</v>
      </c>
      <c r="C6551" t="s">
        <v>114</v>
      </c>
      <c r="D6551" t="s">
        <v>10</v>
      </c>
      <c r="E6551" s="4" t="str">
        <f>HYPERLINK("https://ibp.a2mac1.com/costing(costing:projects/details/9760/process/12085340)","Process")</f>
        <v>Process</v>
      </c>
      <c r="F6551" t="s">
        <v>6794</v>
      </c>
    </row>
    <row r="6552" spans="1:6" x14ac:dyDescent="0.15">
      <c r="A6552">
        <v>12212436</v>
      </c>
      <c r="B6552">
        <v>12085340</v>
      </c>
      <c r="C6552" t="s">
        <v>163</v>
      </c>
      <c r="D6552" t="s">
        <v>114</v>
      </c>
      <c r="E6552" s="4" t="str">
        <f>HYPERLINK("https://ibp.a2mac1.com/costing(costing:projects/details/9760/equipment/12212436)","DC machine - General")</f>
        <v>DC machine - General</v>
      </c>
      <c r="F6552" t="s">
        <v>6795</v>
      </c>
    </row>
    <row r="6553" spans="1:6" x14ac:dyDescent="0.15">
      <c r="A6553">
        <v>8754592</v>
      </c>
      <c r="B6553">
        <v>8416030</v>
      </c>
      <c r="C6553" t="s">
        <v>311</v>
      </c>
      <c r="D6553" t="s">
        <v>10</v>
      </c>
      <c r="E6553" s="4" t="str">
        <f>HYPERLINK("https://ibp.a2mac1.com/costing(costing:projects/details/9760/component/8754592)","Material")</f>
        <v>Material</v>
      </c>
      <c r="F6553" t="s">
        <v>6794</v>
      </c>
    </row>
    <row r="6554" spans="1:6" x14ac:dyDescent="0.15">
      <c r="A6554">
        <v>8754593</v>
      </c>
      <c r="B6554">
        <v>8416030</v>
      </c>
      <c r="C6554" t="s">
        <v>311</v>
      </c>
      <c r="D6554" t="s">
        <v>10</v>
      </c>
      <c r="E6554" s="4" t="str">
        <f>HYPERLINK("https://ibp.a2mac1.com/costing(costing:projects/details/9760/component/8754593)","Copper")</f>
        <v>Copper</v>
      </c>
      <c r="F6554" t="s">
        <v>6794</v>
      </c>
    </row>
    <row r="6555" spans="1:6" x14ac:dyDescent="0.15">
      <c r="A6555">
        <v>8416031</v>
      </c>
      <c r="B6555">
        <v>8415683</v>
      </c>
      <c r="C6555" t="s">
        <v>10</v>
      </c>
      <c r="D6555" t="s">
        <v>8</v>
      </c>
      <c r="E6555" s="4" t="str">
        <f>HYPERLINK("https://ibp.a2mac1.com/costing(costing:projects/details/9760/part/8416031)","Harness Grommet")</f>
        <v>Harness Grommet</v>
      </c>
      <c r="F6555" t="s">
        <v>6782</v>
      </c>
    </row>
    <row r="6556" spans="1:6" x14ac:dyDescent="0.15">
      <c r="A6556">
        <v>8416032</v>
      </c>
      <c r="B6556">
        <v>8415683</v>
      </c>
      <c r="C6556" t="s">
        <v>10</v>
      </c>
      <c r="D6556" t="s">
        <v>8</v>
      </c>
      <c r="E6556" s="4" t="str">
        <f>HYPERLINK("https://ibp.a2mac1.com/costing(costing:projects/details/9760/part/8416032)","Door Sill Light")</f>
        <v>Door Sill Light</v>
      </c>
      <c r="F6556" t="s">
        <v>6782</v>
      </c>
    </row>
    <row r="6557" spans="1:6" x14ac:dyDescent="0.15">
      <c r="A6557">
        <v>8754455</v>
      </c>
      <c r="B6557">
        <v>8415683</v>
      </c>
      <c r="C6557" t="s">
        <v>311</v>
      </c>
      <c r="D6557" t="s">
        <v>8</v>
      </c>
      <c r="E6557" s="4" t="str">
        <f>HYPERLINK("https://ibp.a2mac1.com/costing(costing:projects/details/9760/component/8754455)","Tube/cluster support &gt; Tube/cluster strap support in hole")</f>
        <v>Tube/cluster support &gt; Tube/cluster strap support in hole</v>
      </c>
      <c r="F6557" t="s">
        <v>6782</v>
      </c>
    </row>
    <row r="6558" spans="1:6" x14ac:dyDescent="0.15">
      <c r="A6558">
        <v>8415684</v>
      </c>
      <c r="B6558">
        <v>8415587</v>
      </c>
      <c r="C6558" t="s">
        <v>8</v>
      </c>
      <c r="D6558" t="s">
        <v>8</v>
      </c>
      <c r="E6558" s="4" t="str">
        <f>HYPERLINK("https://ibp.a2mac1.com/costing(costing:projects/details/9760/assembly/8415684)","Molding System")</f>
        <v>Molding System</v>
      </c>
      <c r="F6558" t="s">
        <v>6541</v>
      </c>
    </row>
    <row r="6559" spans="1:6" x14ac:dyDescent="0.15">
      <c r="A6559">
        <v>8416034</v>
      </c>
      <c r="B6559">
        <v>8415684</v>
      </c>
      <c r="C6559" t="s">
        <v>10</v>
      </c>
      <c r="D6559" t="s">
        <v>8</v>
      </c>
      <c r="E6559" s="4" t="str">
        <f>HYPERLINK("https://ibp.a2mac1.com/costing(costing:projects/details/9760/part/8416034)","A Pillar Accent")</f>
        <v>A Pillar Accent</v>
      </c>
      <c r="F6559" t="s">
        <v>6800</v>
      </c>
    </row>
    <row r="6560" spans="1:6" x14ac:dyDescent="0.15">
      <c r="A6560">
        <v>12085342</v>
      </c>
      <c r="B6560">
        <v>8416034</v>
      </c>
      <c r="C6560" t="s">
        <v>114</v>
      </c>
      <c r="D6560" t="s">
        <v>10</v>
      </c>
      <c r="E6560" s="4" t="str">
        <f>HYPERLINK("https://ibp.a2mac1.com/costing(costing:projects/details/9760/process/12085342)","Injection molding")</f>
        <v>Injection molding</v>
      </c>
      <c r="F6560" t="s">
        <v>6801</v>
      </c>
    </row>
    <row r="6561" spans="1:6" x14ac:dyDescent="0.15">
      <c r="A6561">
        <v>8755023</v>
      </c>
      <c r="B6561">
        <v>12085342</v>
      </c>
      <c r="C6561" t="s">
        <v>22</v>
      </c>
      <c r="D6561" t="s">
        <v>114</v>
      </c>
      <c r="E6561" s="4" t="str">
        <f>HYPERLINK("https://ibp.a2mac1.com/costing(costing:projects/details/9760/material/8755023)","PMMA-ASA")</f>
        <v>PMMA-ASA</v>
      </c>
      <c r="F6561" t="s">
        <v>6802</v>
      </c>
    </row>
    <row r="6562" spans="1:6" x14ac:dyDescent="0.15">
      <c r="A6562">
        <v>12212438</v>
      </c>
      <c r="B6562">
        <v>12085342</v>
      </c>
      <c r="C6562" t="s">
        <v>163</v>
      </c>
      <c r="D6562" t="s">
        <v>114</v>
      </c>
      <c r="E6562" s="4" t="str">
        <f>HYPERLINK("https://ibp.a2mac1.com/costing(costing:projects/details/9760/equipment/12212438)","No.01 - Injection Press - 40T - 18kW - 270x270 - Max Volume 128cm3 ")</f>
        <v xml:space="preserve">No.01 - Injection Press - 40T - 18kW - 270x270 - Max Volume 128cm3 </v>
      </c>
      <c r="F6562" t="s">
        <v>6802</v>
      </c>
    </row>
    <row r="6563" spans="1:6" x14ac:dyDescent="0.15">
      <c r="A6563">
        <v>12085341</v>
      </c>
      <c r="B6563">
        <v>8416034</v>
      </c>
      <c r="C6563" t="s">
        <v>114</v>
      </c>
      <c r="D6563" t="s">
        <v>10</v>
      </c>
      <c r="E6563" s="4" t="str">
        <f>HYPERLINK("https://ibp.a2mac1.com/costing(costing:projects/details/9760/process/12085341)","Handling/Visual Inspection/Packaging")</f>
        <v>Handling/Visual Inspection/Packaging</v>
      </c>
      <c r="F6563" t="s">
        <v>6801</v>
      </c>
    </row>
    <row r="6564" spans="1:6" x14ac:dyDescent="0.15">
      <c r="A6564">
        <v>12212437</v>
      </c>
      <c r="B6564">
        <v>12085341</v>
      </c>
      <c r="C6564" t="s">
        <v>163</v>
      </c>
      <c r="D6564" t="s">
        <v>114</v>
      </c>
      <c r="E6564" s="4" t="str">
        <f>HYPERLINK("https://ibp.a2mac1.com/costing(costing:projects/details/9760/equipment/12212437)","Packaging")</f>
        <v>Packaging</v>
      </c>
      <c r="F6564" t="s">
        <v>6803</v>
      </c>
    </row>
    <row r="6565" spans="1:6" x14ac:dyDescent="0.15">
      <c r="A6565">
        <v>8416035</v>
      </c>
      <c r="B6565">
        <v>8415684</v>
      </c>
      <c r="C6565" t="s">
        <v>10</v>
      </c>
      <c r="D6565" t="s">
        <v>8</v>
      </c>
      <c r="E6565" s="4" t="str">
        <f>HYPERLINK("https://ibp.a2mac1.com/costing(costing:projects/details/9760/part/8416035)","A Pillar Accent Seal")</f>
        <v>A Pillar Accent Seal</v>
      </c>
      <c r="F6565" t="s">
        <v>6800</v>
      </c>
    </row>
    <row r="6566" spans="1:6" x14ac:dyDescent="0.15">
      <c r="A6566">
        <v>12085343</v>
      </c>
      <c r="B6566">
        <v>8416035</v>
      </c>
      <c r="C6566" t="s">
        <v>114</v>
      </c>
      <c r="D6566" t="s">
        <v>10</v>
      </c>
      <c r="E6566" s="4" t="str">
        <f>HYPERLINK("https://ibp.a2mac1.com/costing(costing:projects/details/9760/process/12085343)","Injection molding")</f>
        <v>Injection molding</v>
      </c>
      <c r="F6566" t="s">
        <v>6805</v>
      </c>
    </row>
    <row r="6567" spans="1:6" x14ac:dyDescent="0.15">
      <c r="A6567">
        <v>8755024</v>
      </c>
      <c r="B6567">
        <v>12085343</v>
      </c>
      <c r="C6567" t="s">
        <v>22</v>
      </c>
      <c r="D6567" t="s">
        <v>114</v>
      </c>
      <c r="E6567" s="4" t="str">
        <f>HYPERLINK("https://ibp.a2mac1.com/costing(costing:projects/details/9760/material/8755024)","TPE")</f>
        <v>TPE</v>
      </c>
      <c r="F6567" t="s">
        <v>6806</v>
      </c>
    </row>
    <row r="6568" spans="1:6" x14ac:dyDescent="0.15">
      <c r="A6568">
        <v>12212439</v>
      </c>
      <c r="B6568">
        <v>12085343</v>
      </c>
      <c r="C6568" t="s">
        <v>163</v>
      </c>
      <c r="D6568" t="s">
        <v>114</v>
      </c>
      <c r="E6568" s="4" t="str">
        <f>HYPERLINK("https://ibp.a2mac1.com/costing(costing:projects/details/9760/equipment/12212439)","No.01 - Injection Press - 40T - 18kW - 270x270 - Max Volume 128cm3 ")</f>
        <v xml:space="preserve">No.01 - Injection Press - 40T - 18kW - 270x270 - Max Volume 128cm3 </v>
      </c>
      <c r="F6568" t="s">
        <v>6806</v>
      </c>
    </row>
    <row r="6569" spans="1:6" x14ac:dyDescent="0.15">
      <c r="A6569">
        <v>12085344</v>
      </c>
      <c r="B6569">
        <v>8416035</v>
      </c>
      <c r="C6569" t="s">
        <v>114</v>
      </c>
      <c r="D6569" t="s">
        <v>10</v>
      </c>
      <c r="E6569" s="4" t="str">
        <f>HYPERLINK("https://ibp.a2mac1.com/costing(costing:projects/details/9760/process/12085344)","Handling/Visual Inspection/Packaging")</f>
        <v>Handling/Visual Inspection/Packaging</v>
      </c>
      <c r="F6569" t="s">
        <v>6805</v>
      </c>
    </row>
    <row r="6570" spans="1:6" x14ac:dyDescent="0.15">
      <c r="A6570">
        <v>12212440</v>
      </c>
      <c r="B6570">
        <v>12085344</v>
      </c>
      <c r="C6570" t="s">
        <v>163</v>
      </c>
      <c r="D6570" t="s">
        <v>114</v>
      </c>
      <c r="E6570" s="4" t="str">
        <f>HYPERLINK("https://ibp.a2mac1.com/costing(costing:projects/details/9760/equipment/12212440)","Packaging")</f>
        <v>Packaging</v>
      </c>
      <c r="F6570" t="s">
        <v>6807</v>
      </c>
    </row>
    <row r="6571" spans="1:6" x14ac:dyDescent="0.15">
      <c r="A6571">
        <v>8754456</v>
      </c>
      <c r="B6571">
        <v>8415684</v>
      </c>
      <c r="C6571" t="s">
        <v>311</v>
      </c>
      <c r="D6571" t="s">
        <v>8</v>
      </c>
      <c r="E6571" s="4" t="str">
        <f>HYPERLINK("https://ibp.a2mac1.com/costing(costing:projects/details/9760/component/8754456)","Screw &gt; Torx socket head cap screw with flange")</f>
        <v>Screw &gt; Torx socket head cap screw with flange</v>
      </c>
      <c r="F6571" t="s">
        <v>6800</v>
      </c>
    </row>
    <row r="6572" spans="1:6" x14ac:dyDescent="0.15">
      <c r="A6572">
        <v>8415685</v>
      </c>
      <c r="B6572">
        <v>8415587</v>
      </c>
      <c r="C6572" t="s">
        <v>8</v>
      </c>
      <c r="D6572" t="s">
        <v>8</v>
      </c>
      <c r="E6572" s="4" t="str">
        <f>HYPERLINK("https://ibp.a2mac1.com/costing(costing:projects/details/9760/assembly/8415685)","Rear View Mirror System")</f>
        <v>Rear View Mirror System</v>
      </c>
      <c r="F6572" t="s">
        <v>6541</v>
      </c>
    </row>
    <row r="6573" spans="1:6" x14ac:dyDescent="0.15">
      <c r="A6573">
        <v>8416039</v>
      </c>
      <c r="B6573">
        <v>8415685</v>
      </c>
      <c r="C6573" t="s">
        <v>8</v>
      </c>
      <c r="D6573" t="s">
        <v>8</v>
      </c>
      <c r="E6573" s="4" t="str">
        <f>HYPERLINK("https://ibp.a2mac1.com/costing(costing:projects/details/9760/assembly/8416039)","Outside Rear View Mirror")</f>
        <v>Outside Rear View Mirror</v>
      </c>
      <c r="F6573" t="s">
        <v>6810</v>
      </c>
    </row>
    <row r="6574" spans="1:6" x14ac:dyDescent="0.15">
      <c r="A6574">
        <v>8416382</v>
      </c>
      <c r="B6574">
        <v>8416039</v>
      </c>
      <c r="C6574" t="s">
        <v>8</v>
      </c>
      <c r="D6574" t="s">
        <v>8</v>
      </c>
      <c r="E6574" s="4" t="str">
        <f>HYPERLINK("https://ibp.a2mac1.com/costing(costing:projects/details/9760/assembly/8416382)","Folding Motor")</f>
        <v>Folding Motor</v>
      </c>
      <c r="F6574" t="s">
        <v>6811</v>
      </c>
    </row>
    <row r="6575" spans="1:6" x14ac:dyDescent="0.15">
      <c r="A6575">
        <v>12085793</v>
      </c>
      <c r="B6575">
        <v>8416382</v>
      </c>
      <c r="C6575" t="s">
        <v>114</v>
      </c>
      <c r="D6575" t="s">
        <v>8</v>
      </c>
      <c r="E6575" s="4" t="str">
        <f>HYPERLINK("https://ibp.a2mac1.com/costing(costing:projects/details/9760/process/12085793)","Process")</f>
        <v>Process</v>
      </c>
      <c r="F6575" t="s">
        <v>6812</v>
      </c>
    </row>
    <row r="6576" spans="1:6" x14ac:dyDescent="0.15">
      <c r="A6576">
        <v>12212923</v>
      </c>
      <c r="B6576">
        <v>12085793</v>
      </c>
      <c r="C6576" t="s">
        <v>163</v>
      </c>
      <c r="D6576" t="s">
        <v>114</v>
      </c>
      <c r="E6576" s="4" t="str">
        <f>HYPERLINK("https://ibp.a2mac1.com/costing(costing:projects/details/9760/equipment/12212923)","Dummy Machine (PCBA+Final Assembly Line)")</f>
        <v>Dummy Machine (PCBA+Final Assembly Line)</v>
      </c>
      <c r="F6576" t="s">
        <v>6813</v>
      </c>
    </row>
    <row r="6577" spans="1:6" x14ac:dyDescent="0.15">
      <c r="A6577">
        <v>8755027</v>
      </c>
      <c r="B6577">
        <v>8416382</v>
      </c>
      <c r="C6577" t="s">
        <v>311</v>
      </c>
      <c r="D6577" t="s">
        <v>8</v>
      </c>
      <c r="E6577" s="4" t="str">
        <f>HYPERLINK("https://ibp.a2mac1.com/costing(costing:projects/details/9760/component/8755027)","Electronics")</f>
        <v>Electronics</v>
      </c>
      <c r="F6577" t="s">
        <v>6812</v>
      </c>
    </row>
    <row r="6578" spans="1:6" x14ac:dyDescent="0.15">
      <c r="A6578">
        <v>8755028</v>
      </c>
      <c r="B6578">
        <v>8416382</v>
      </c>
      <c r="C6578" t="s">
        <v>311</v>
      </c>
      <c r="D6578" t="s">
        <v>8</v>
      </c>
      <c r="E6578" s="4" t="str">
        <f>HYPERLINK("https://ibp.a2mac1.com/costing(costing:projects/details/9760/component/8755028)","Mechanics")</f>
        <v>Mechanics</v>
      </c>
      <c r="F6578" t="s">
        <v>6812</v>
      </c>
    </row>
    <row r="6579" spans="1:6" x14ac:dyDescent="0.15">
      <c r="A6579">
        <v>8416384</v>
      </c>
      <c r="B6579">
        <v>8416039</v>
      </c>
      <c r="C6579" t="s">
        <v>8</v>
      </c>
      <c r="D6579" t="s">
        <v>8</v>
      </c>
      <c r="E6579" s="4" t="str">
        <f>HYPERLINK("https://ibp.a2mac1.com/costing(costing:projects/details/9760/assembly/8416384)","360 View Camera side")</f>
        <v>360 View Camera side</v>
      </c>
      <c r="F6579" t="s">
        <v>6811</v>
      </c>
    </row>
    <row r="6580" spans="1:6" x14ac:dyDescent="0.15">
      <c r="A6580">
        <v>12085795</v>
      </c>
      <c r="B6580">
        <v>8416384</v>
      </c>
      <c r="C6580" t="s">
        <v>114</v>
      </c>
      <c r="D6580" t="s">
        <v>8</v>
      </c>
      <c r="E6580" s="4" t="str">
        <f>HYPERLINK("https://ibp.a2mac1.com/costing(costing:projects/details/9760/process/12085795)","Process")</f>
        <v>Process</v>
      </c>
      <c r="F6580" t="s">
        <v>6815</v>
      </c>
    </row>
    <row r="6581" spans="1:6" x14ac:dyDescent="0.15">
      <c r="A6581">
        <v>12212925</v>
      </c>
      <c r="B6581">
        <v>12085795</v>
      </c>
      <c r="C6581" t="s">
        <v>163</v>
      </c>
      <c r="D6581" t="s">
        <v>114</v>
      </c>
      <c r="E6581" s="4" t="str">
        <f>HYPERLINK("https://ibp.a2mac1.com/costing(costing:projects/details/9760/equipment/12212925)","Dummy Machine (PCBA+Final Assembly Line)")</f>
        <v>Dummy Machine (PCBA+Final Assembly Line)</v>
      </c>
      <c r="F6581" t="s">
        <v>6816</v>
      </c>
    </row>
    <row r="6582" spans="1:6" x14ac:dyDescent="0.15">
      <c r="A6582">
        <v>8755029</v>
      </c>
      <c r="B6582">
        <v>8416384</v>
      </c>
      <c r="C6582" t="s">
        <v>311</v>
      </c>
      <c r="D6582" t="s">
        <v>8</v>
      </c>
      <c r="E6582" s="4" t="str">
        <f>HYPERLINK("https://ibp.a2mac1.com/costing(costing:projects/details/9760/component/8755029)","Electronics")</f>
        <v>Electronics</v>
      </c>
      <c r="F6582" t="s">
        <v>6815</v>
      </c>
    </row>
    <row r="6583" spans="1:6" x14ac:dyDescent="0.15">
      <c r="A6583">
        <v>8755030</v>
      </c>
      <c r="B6583">
        <v>8416384</v>
      </c>
      <c r="C6583" t="s">
        <v>311</v>
      </c>
      <c r="D6583" t="s">
        <v>8</v>
      </c>
      <c r="E6583" s="4" t="str">
        <f>HYPERLINK("https://ibp.a2mac1.com/costing(costing:projects/details/9760/component/8755030)","Mechanics")</f>
        <v>Mechanics</v>
      </c>
      <c r="F6583" t="s">
        <v>6815</v>
      </c>
    </row>
    <row r="6584" spans="1:6" x14ac:dyDescent="0.15">
      <c r="A6584">
        <v>8416370</v>
      </c>
      <c r="B6584">
        <v>8416039</v>
      </c>
      <c r="C6584" t="s">
        <v>10</v>
      </c>
      <c r="D6584" t="s">
        <v>8</v>
      </c>
      <c r="E6584" s="4" t="str">
        <f>HYPERLINK("https://ibp.a2mac1.com/costing(costing:projects/details/9760/part/8416370)","Mirror")</f>
        <v>Mirror</v>
      </c>
      <c r="F6584" t="s">
        <v>6811</v>
      </c>
    </row>
    <row r="6585" spans="1:6" x14ac:dyDescent="0.15">
      <c r="A6585">
        <v>8416371</v>
      </c>
      <c r="B6585">
        <v>8416039</v>
      </c>
      <c r="C6585" t="s">
        <v>10</v>
      </c>
      <c r="D6585" t="s">
        <v>8</v>
      </c>
      <c r="E6585" s="4" t="str">
        <f>HYPERLINK("https://ibp.a2mac1.com/costing(costing:projects/details/9760/part/8416371)","Support")</f>
        <v>Support</v>
      </c>
      <c r="F6585" t="s">
        <v>6811</v>
      </c>
    </row>
    <row r="6586" spans="1:6" x14ac:dyDescent="0.15">
      <c r="A6586">
        <v>12085701</v>
      </c>
      <c r="B6586">
        <v>8416371</v>
      </c>
      <c r="C6586" t="s">
        <v>114</v>
      </c>
      <c r="D6586" t="s">
        <v>10</v>
      </c>
      <c r="E6586" s="4" t="str">
        <f>HYPERLINK("https://ibp.a2mac1.com/costing(costing:projects/details/9760/process/12085701)","Furnace heating")</f>
        <v>Furnace heating</v>
      </c>
      <c r="F6586" t="s">
        <v>6819</v>
      </c>
    </row>
    <row r="6587" spans="1:6" x14ac:dyDescent="0.15">
      <c r="A6587">
        <v>8755411</v>
      </c>
      <c r="B6587">
        <v>12085701</v>
      </c>
      <c r="C6587" t="s">
        <v>22</v>
      </c>
      <c r="D6587" t="s">
        <v>114</v>
      </c>
      <c r="E6587" s="4" t="str">
        <f>HYPERLINK("https://ibp.a2mac1.com/costing(costing:projects/details/9760/material/8755411)","Aluminum for casting (default, e.g. A380/ADC10/EN-AC46500)")</f>
        <v>Aluminum for casting (default, e.g. A380/ADC10/EN-AC46500)</v>
      </c>
      <c r="F6587" t="s">
        <v>6820</v>
      </c>
    </row>
    <row r="6588" spans="1:6" x14ac:dyDescent="0.15">
      <c r="A6588">
        <v>12212911</v>
      </c>
      <c r="B6588">
        <v>12085701</v>
      </c>
      <c r="C6588" t="s">
        <v>163</v>
      </c>
      <c r="D6588" t="s">
        <v>114</v>
      </c>
      <c r="E6588" s="4" t="str">
        <f>HYPERLINK("https://ibp.a2mac1.com/costing(costing:projects/details/9760/equipment/12212911)","No.02 - T,TF 40/11 ")</f>
        <v xml:space="preserve">No.02 - T,TF 40/11 </v>
      </c>
      <c r="F6588" t="s">
        <v>6820</v>
      </c>
    </row>
    <row r="6589" spans="1:6" x14ac:dyDescent="0.15">
      <c r="A6589">
        <v>12085702</v>
      </c>
      <c r="B6589">
        <v>8416371</v>
      </c>
      <c r="C6589" t="s">
        <v>114</v>
      </c>
      <c r="D6589" t="s">
        <v>10</v>
      </c>
      <c r="E6589" s="4" t="str">
        <f>HYPERLINK("https://ibp.a2mac1.com/costing(costing:projects/details/9760/process/12085702)","Transport with laddle")</f>
        <v>Transport with laddle</v>
      </c>
      <c r="F6589" t="s">
        <v>6819</v>
      </c>
    </row>
    <row r="6590" spans="1:6" x14ac:dyDescent="0.15">
      <c r="A6590">
        <v>12212912</v>
      </c>
      <c r="B6590">
        <v>12085702</v>
      </c>
      <c r="C6590" t="s">
        <v>163</v>
      </c>
      <c r="D6590" t="s">
        <v>114</v>
      </c>
      <c r="E6590" s="4" t="str">
        <f>HYPERLINK("https://ibp.a2mac1.com/costing(costing:projects/details/9760/equipment/12212912)","No.01 - Buhler ladel Model 4,5L ")</f>
        <v xml:space="preserve">No.01 - Buhler ladel Model 4,5L </v>
      </c>
      <c r="F6590" t="s">
        <v>6821</v>
      </c>
    </row>
    <row r="6591" spans="1:6" x14ac:dyDescent="0.15">
      <c r="A6591">
        <v>12085703</v>
      </c>
      <c r="B6591">
        <v>8416371</v>
      </c>
      <c r="C6591" t="s">
        <v>114</v>
      </c>
      <c r="D6591" t="s">
        <v>10</v>
      </c>
      <c r="E6591" s="4" t="str">
        <f>HYPERLINK("https://ibp.a2mac1.com/costing(costing:projects/details/9760/process/12085703)","Pressing (Cold Chamber)")</f>
        <v>Pressing (Cold Chamber)</v>
      </c>
      <c r="F6591" t="s">
        <v>6819</v>
      </c>
    </row>
    <row r="6592" spans="1:6" x14ac:dyDescent="0.15">
      <c r="A6592">
        <v>12212913</v>
      </c>
      <c r="B6592">
        <v>12085703</v>
      </c>
      <c r="C6592" t="s">
        <v>163</v>
      </c>
      <c r="D6592" t="s">
        <v>114</v>
      </c>
      <c r="E6592" s="4" t="str">
        <f>HYPERLINK("https://ibp.a2mac1.com/costing(costing:projects/details/9760/equipment/12212913)","No.01 - Idra - OL 420 S ")</f>
        <v xml:space="preserve">No.01 - Idra - OL 420 S </v>
      </c>
      <c r="F6592" t="s">
        <v>6822</v>
      </c>
    </row>
    <row r="6593" spans="1:6" x14ac:dyDescent="0.15">
      <c r="A6593">
        <v>8416372</v>
      </c>
      <c r="B6593">
        <v>8416039</v>
      </c>
      <c r="C6593" t="s">
        <v>10</v>
      </c>
      <c r="D6593" t="s">
        <v>8</v>
      </c>
      <c r="E6593" s="4" t="str">
        <f>HYPERLINK("https://ibp.a2mac1.com/costing(costing:projects/details/9760/part/8416372)","Harness")</f>
        <v>Harness</v>
      </c>
      <c r="F6593" t="s">
        <v>6811</v>
      </c>
    </row>
    <row r="6594" spans="1:6" x14ac:dyDescent="0.15">
      <c r="A6594">
        <v>8416373</v>
      </c>
      <c r="B6594">
        <v>8416039</v>
      </c>
      <c r="C6594" t="s">
        <v>10</v>
      </c>
      <c r="D6594" t="s">
        <v>8</v>
      </c>
      <c r="E6594" s="4" t="str">
        <f>HYPERLINK("https://ibp.a2mac1.com/costing(costing:projects/details/9760/part/8416373)","Mirror Support")</f>
        <v>Mirror Support</v>
      </c>
      <c r="F6594" t="s">
        <v>6811</v>
      </c>
    </row>
    <row r="6595" spans="1:6" x14ac:dyDescent="0.15">
      <c r="A6595">
        <v>12085784</v>
      </c>
      <c r="B6595">
        <v>8416373</v>
      </c>
      <c r="C6595" t="s">
        <v>114</v>
      </c>
      <c r="D6595" t="s">
        <v>10</v>
      </c>
      <c r="E6595" s="4" t="str">
        <f>HYPERLINK("https://ibp.a2mac1.com/costing(costing:projects/details/9760/process/12085784)","Injection molding")</f>
        <v>Injection molding</v>
      </c>
      <c r="F6595" t="s">
        <v>6825</v>
      </c>
    </row>
    <row r="6596" spans="1:6" x14ac:dyDescent="0.15">
      <c r="A6596">
        <v>8755412</v>
      </c>
      <c r="B6596">
        <v>12085784</v>
      </c>
      <c r="C6596" t="s">
        <v>22</v>
      </c>
      <c r="D6596" t="s">
        <v>114</v>
      </c>
      <c r="E6596" s="4" t="str">
        <f>HYPERLINK("https://ibp.a2mac1.com/costing(costing:projects/details/9760/material/8755412)","PA6-GF30")</f>
        <v>PA6-GF30</v>
      </c>
      <c r="F6596" t="s">
        <v>6826</v>
      </c>
    </row>
    <row r="6597" spans="1:6" x14ac:dyDescent="0.15">
      <c r="A6597">
        <v>12212914</v>
      </c>
      <c r="B6597">
        <v>12085784</v>
      </c>
      <c r="C6597" t="s">
        <v>163</v>
      </c>
      <c r="D6597" t="s">
        <v>114</v>
      </c>
      <c r="E6597" s="4" t="str">
        <f>HYPERLINK("https://ibp.a2mac1.com/costing(costing:projects/details/9760/equipment/12212914)","No.02 - Injection Press - 60T - 25kW - 320x320 - Max Volume 164cm3 ")</f>
        <v xml:space="preserve">No.02 - Injection Press - 60T - 25kW - 320x320 - Max Volume 164cm3 </v>
      </c>
      <c r="F6597" t="s">
        <v>6826</v>
      </c>
    </row>
    <row r="6598" spans="1:6" x14ac:dyDescent="0.15">
      <c r="A6598">
        <v>8416374</v>
      </c>
      <c r="B6598">
        <v>8416039</v>
      </c>
      <c r="C6598" t="s">
        <v>10</v>
      </c>
      <c r="D6598" t="s">
        <v>8</v>
      </c>
      <c r="E6598" s="4" t="str">
        <f>HYPERLINK("https://ibp.a2mac1.com/costing(costing:projects/details/9760/part/8416374)","Lower Shell")</f>
        <v>Lower Shell</v>
      </c>
      <c r="F6598" t="s">
        <v>6811</v>
      </c>
    </row>
    <row r="6599" spans="1:6" x14ac:dyDescent="0.15">
      <c r="A6599">
        <v>12085785</v>
      </c>
      <c r="B6599">
        <v>8416374</v>
      </c>
      <c r="C6599" t="s">
        <v>114</v>
      </c>
      <c r="D6599" t="s">
        <v>10</v>
      </c>
      <c r="E6599" s="4" t="str">
        <f>HYPERLINK("https://ibp.a2mac1.com/costing(costing:projects/details/9760/process/12085785)","Injection molding")</f>
        <v>Injection molding</v>
      </c>
      <c r="F6599" t="s">
        <v>6828</v>
      </c>
    </row>
    <row r="6600" spans="1:6" x14ac:dyDescent="0.15">
      <c r="A6600">
        <v>8755413</v>
      </c>
      <c r="B6600">
        <v>12085785</v>
      </c>
      <c r="C6600" t="s">
        <v>22</v>
      </c>
      <c r="D6600" t="s">
        <v>114</v>
      </c>
      <c r="E6600" s="4" t="str">
        <f>HYPERLINK("https://ibp.a2mac1.com/costing(costing:projects/details/9760/material/8755413)","ABS")</f>
        <v>ABS</v>
      </c>
      <c r="F6600" t="s">
        <v>6829</v>
      </c>
    </row>
    <row r="6601" spans="1:6" x14ac:dyDescent="0.15">
      <c r="A6601">
        <v>12212915</v>
      </c>
      <c r="B6601">
        <v>12085785</v>
      </c>
      <c r="C6601" t="s">
        <v>163</v>
      </c>
      <c r="D6601" t="s">
        <v>114</v>
      </c>
      <c r="E6601" s="4" t="str">
        <f>HYPERLINK("https://ibp.a2mac1.com/costing(costing:projects/details/9760/equipment/12212915)","Equipment (Injection Molding)")</f>
        <v>Equipment (Injection Molding)</v>
      </c>
      <c r="F6601" t="s">
        <v>6829</v>
      </c>
    </row>
    <row r="6602" spans="1:6" x14ac:dyDescent="0.15">
      <c r="A6602">
        <v>12085786</v>
      </c>
      <c r="B6602">
        <v>8416374</v>
      </c>
      <c r="C6602" t="s">
        <v>114</v>
      </c>
      <c r="D6602" t="s">
        <v>10</v>
      </c>
      <c r="E6602" s="4" t="str">
        <f>HYPERLINK("https://ibp.a2mac1.com/costing(costing:projects/details/9760/process/12085786)","Painting")</f>
        <v>Painting</v>
      </c>
      <c r="F6602" t="s">
        <v>6828</v>
      </c>
    </row>
    <row r="6603" spans="1:6" x14ac:dyDescent="0.15">
      <c r="A6603">
        <v>8755414</v>
      </c>
      <c r="B6603">
        <v>12085786</v>
      </c>
      <c r="C6603" t="s">
        <v>22</v>
      </c>
      <c r="D6603" t="s">
        <v>114</v>
      </c>
      <c r="E6603" s="4" t="str">
        <f>HYPERLINK("https://ibp.a2mac1.com/costing(costing:projects/details/9760/material/8755414)","Paint: Primer")</f>
        <v>Paint: Primer</v>
      </c>
      <c r="F6603" t="s">
        <v>6830</v>
      </c>
    </row>
    <row r="6604" spans="1:6" x14ac:dyDescent="0.15">
      <c r="A6604">
        <v>8755415</v>
      </c>
      <c r="B6604">
        <v>12085786</v>
      </c>
      <c r="C6604" t="s">
        <v>22</v>
      </c>
      <c r="D6604" t="s">
        <v>114</v>
      </c>
      <c r="E6604" s="4" t="str">
        <f>HYPERLINK("https://ibp.a2mac1.com/costing(costing:projects/details/9760/material/8755415)","Paint: Base")</f>
        <v>Paint: Base</v>
      </c>
      <c r="F6604" t="s">
        <v>6830</v>
      </c>
    </row>
    <row r="6605" spans="1:6" x14ac:dyDescent="0.15">
      <c r="A6605">
        <v>8755416</v>
      </c>
      <c r="B6605">
        <v>12085786</v>
      </c>
      <c r="C6605" t="s">
        <v>22</v>
      </c>
      <c r="D6605" t="s">
        <v>114</v>
      </c>
      <c r="E6605" s="4" t="str">
        <f>HYPERLINK("https://ibp.a2mac1.com/costing(costing:projects/details/9760/material/8755416)","Paint: Clear Coat")</f>
        <v>Paint: Clear Coat</v>
      </c>
      <c r="F6605" t="s">
        <v>6830</v>
      </c>
    </row>
    <row r="6606" spans="1:6" x14ac:dyDescent="0.15">
      <c r="A6606">
        <v>12212916</v>
      </c>
      <c r="B6606">
        <v>12085786</v>
      </c>
      <c r="C6606" t="s">
        <v>163</v>
      </c>
      <c r="D6606" t="s">
        <v>114</v>
      </c>
      <c r="E6606" s="4" t="str">
        <f>HYPERLINK("https://ibp.a2mac1.com/costing(costing:projects/details/9760/equipment/12212916)","No.04 - 60000x6000x3500 - Automatic Painting Line - with 12x100kW on line ovens ")</f>
        <v xml:space="preserve">No.04 - 60000x6000x3500 - Automatic Painting Line - with 12x100kW on line ovens </v>
      </c>
      <c r="F6606" t="s">
        <v>6830</v>
      </c>
    </row>
    <row r="6607" spans="1:6" x14ac:dyDescent="0.15">
      <c r="A6607">
        <v>8416375</v>
      </c>
      <c r="B6607">
        <v>8416039</v>
      </c>
      <c r="C6607" t="s">
        <v>10</v>
      </c>
      <c r="D6607" t="s">
        <v>8</v>
      </c>
      <c r="E6607" s="4" t="str">
        <f>HYPERLINK("https://ibp.a2mac1.com/costing(costing:projects/details/9760/part/8416375)","Support Cover")</f>
        <v>Support Cover</v>
      </c>
      <c r="F6607" t="s">
        <v>6811</v>
      </c>
    </row>
    <row r="6608" spans="1:6" x14ac:dyDescent="0.15">
      <c r="A6608">
        <v>12085787</v>
      </c>
      <c r="B6608">
        <v>8416375</v>
      </c>
      <c r="C6608" t="s">
        <v>114</v>
      </c>
      <c r="D6608" t="s">
        <v>10</v>
      </c>
      <c r="E6608" s="4" t="str">
        <f>HYPERLINK("https://ibp.a2mac1.com/costing(costing:projects/details/9760/process/12085787)","Injection molding")</f>
        <v>Injection molding</v>
      </c>
      <c r="F6608" t="s">
        <v>6832</v>
      </c>
    </row>
    <row r="6609" spans="1:6" x14ac:dyDescent="0.15">
      <c r="A6609">
        <v>8755417</v>
      </c>
      <c r="B6609">
        <v>12085787</v>
      </c>
      <c r="C6609" t="s">
        <v>22</v>
      </c>
      <c r="D6609" t="s">
        <v>114</v>
      </c>
      <c r="E6609" s="4" t="str">
        <f>HYPERLINK("https://ibp.a2mac1.com/costing(costing:projects/details/9760/material/8755417)","PMMA-ASA")</f>
        <v>PMMA-ASA</v>
      </c>
      <c r="F6609" t="s">
        <v>6833</v>
      </c>
    </row>
    <row r="6610" spans="1:6" x14ac:dyDescent="0.15">
      <c r="A6610">
        <v>12212917</v>
      </c>
      <c r="B6610">
        <v>12085787</v>
      </c>
      <c r="C6610" t="s">
        <v>163</v>
      </c>
      <c r="D6610" t="s">
        <v>114</v>
      </c>
      <c r="E6610" s="4" t="str">
        <f>HYPERLINK("https://ibp.a2mac1.com/costing(costing:projects/details/9760/equipment/12212917)","Equipment (Injection Molding)")</f>
        <v>Equipment (Injection Molding)</v>
      </c>
      <c r="F6610" t="s">
        <v>6833</v>
      </c>
    </row>
    <row r="6611" spans="1:6" x14ac:dyDescent="0.15">
      <c r="A6611">
        <v>8416376</v>
      </c>
      <c r="B6611">
        <v>8416039</v>
      </c>
      <c r="C6611" t="s">
        <v>10</v>
      </c>
      <c r="D6611" t="s">
        <v>8</v>
      </c>
      <c r="E6611" s="4" t="str">
        <f>HYPERLINK("https://ibp.a2mac1.com/costing(costing:projects/details/9760/part/8416376)","Support Lower Cover")</f>
        <v>Support Lower Cover</v>
      </c>
      <c r="F6611" t="s">
        <v>6811</v>
      </c>
    </row>
    <row r="6612" spans="1:6" x14ac:dyDescent="0.15">
      <c r="A6612">
        <v>12085788</v>
      </c>
      <c r="B6612">
        <v>8416376</v>
      </c>
      <c r="C6612" t="s">
        <v>114</v>
      </c>
      <c r="D6612" t="s">
        <v>10</v>
      </c>
      <c r="E6612" s="4" t="str">
        <f>HYPERLINK("https://ibp.a2mac1.com/costing(costing:projects/details/9760/process/12085788)","Injection molding")</f>
        <v>Injection molding</v>
      </c>
      <c r="F6612" t="s">
        <v>6835</v>
      </c>
    </row>
    <row r="6613" spans="1:6" x14ac:dyDescent="0.15">
      <c r="A6613">
        <v>8755418</v>
      </c>
      <c r="B6613">
        <v>12085788</v>
      </c>
      <c r="C6613" t="s">
        <v>22</v>
      </c>
      <c r="D6613" t="s">
        <v>114</v>
      </c>
      <c r="E6613" s="4" t="str">
        <f>HYPERLINK("https://ibp.a2mac1.com/costing(costing:projects/details/9760/material/8755418)","PMMA-ASA")</f>
        <v>PMMA-ASA</v>
      </c>
      <c r="F6613" t="s">
        <v>6836</v>
      </c>
    </row>
    <row r="6614" spans="1:6" x14ac:dyDescent="0.15">
      <c r="A6614">
        <v>12212918</v>
      </c>
      <c r="B6614">
        <v>12085788</v>
      </c>
      <c r="C6614" t="s">
        <v>163</v>
      </c>
      <c r="D6614" t="s">
        <v>114</v>
      </c>
      <c r="E6614" s="4" t="str">
        <f>HYPERLINK("https://ibp.a2mac1.com/costing(costing:projects/details/9760/equipment/12212918)","Equipment (Injection Molding)")</f>
        <v>Equipment (Injection Molding)</v>
      </c>
      <c r="F6614" t="s">
        <v>6836</v>
      </c>
    </row>
    <row r="6615" spans="1:6" x14ac:dyDescent="0.15">
      <c r="A6615">
        <v>8416377</v>
      </c>
      <c r="B6615">
        <v>8416039</v>
      </c>
      <c r="C6615" t="s">
        <v>10</v>
      </c>
      <c r="D6615" t="s">
        <v>8</v>
      </c>
      <c r="E6615" s="4" t="str">
        <f>HYPERLINK("https://ibp.a2mac1.com/costing(costing:projects/details/9760/part/8416377)","Support Seal")</f>
        <v>Support Seal</v>
      </c>
      <c r="F6615" t="s">
        <v>6811</v>
      </c>
    </row>
    <row r="6616" spans="1:6" x14ac:dyDescent="0.15">
      <c r="A6616">
        <v>12085789</v>
      </c>
      <c r="B6616">
        <v>8416377</v>
      </c>
      <c r="C6616" t="s">
        <v>114</v>
      </c>
      <c r="D6616" t="s">
        <v>10</v>
      </c>
      <c r="E6616" s="4" t="str">
        <f>HYPERLINK("https://ibp.a2mac1.com/costing(costing:projects/details/9760/process/12085789)","Injection molding")</f>
        <v>Injection molding</v>
      </c>
      <c r="F6616" t="s">
        <v>6838</v>
      </c>
    </row>
    <row r="6617" spans="1:6" x14ac:dyDescent="0.15">
      <c r="A6617">
        <v>8755419</v>
      </c>
      <c r="B6617">
        <v>12085789</v>
      </c>
      <c r="C6617" t="s">
        <v>22</v>
      </c>
      <c r="D6617" t="s">
        <v>114</v>
      </c>
      <c r="E6617" s="4" t="str">
        <f>HYPERLINK("https://ibp.a2mac1.com/costing(costing:projects/details/9760/material/8755419)","PP-GF30")</f>
        <v>PP-GF30</v>
      </c>
      <c r="F6617" t="s">
        <v>6839</v>
      </c>
    </row>
    <row r="6618" spans="1:6" x14ac:dyDescent="0.15">
      <c r="A6618">
        <v>12212919</v>
      </c>
      <c r="B6618">
        <v>12085789</v>
      </c>
      <c r="C6618" t="s">
        <v>163</v>
      </c>
      <c r="D6618" t="s">
        <v>114</v>
      </c>
      <c r="E6618" s="4" t="str">
        <f>HYPERLINK("https://ibp.a2mac1.com/costing(costing:projects/details/9760/equipment/12212919)","Equipment (Injection Molding)")</f>
        <v>Equipment (Injection Molding)</v>
      </c>
      <c r="F6618" t="s">
        <v>6839</v>
      </c>
    </row>
    <row r="6619" spans="1:6" x14ac:dyDescent="0.15">
      <c r="A6619">
        <v>8416378</v>
      </c>
      <c r="B6619">
        <v>8416039</v>
      </c>
      <c r="C6619" t="s">
        <v>10</v>
      </c>
      <c r="D6619" t="s">
        <v>8</v>
      </c>
      <c r="E6619" s="4" t="str">
        <f>HYPERLINK("https://ibp.a2mac1.com/costing(costing:projects/details/9760/part/8416378)","Seal Cover")</f>
        <v>Seal Cover</v>
      </c>
      <c r="F6619" t="s">
        <v>6811</v>
      </c>
    </row>
    <row r="6620" spans="1:6" x14ac:dyDescent="0.15">
      <c r="A6620">
        <v>12085790</v>
      </c>
      <c r="B6620">
        <v>8416378</v>
      </c>
      <c r="C6620" t="s">
        <v>114</v>
      </c>
      <c r="D6620" t="s">
        <v>10</v>
      </c>
      <c r="E6620" s="4" t="str">
        <f>HYPERLINK("https://ibp.a2mac1.com/costing(costing:projects/details/9760/process/12085790)","Injection molding")</f>
        <v>Injection molding</v>
      </c>
      <c r="F6620" t="s">
        <v>6841</v>
      </c>
    </row>
    <row r="6621" spans="1:6" x14ac:dyDescent="0.15">
      <c r="A6621">
        <v>8755420</v>
      </c>
      <c r="B6621">
        <v>12085790</v>
      </c>
      <c r="C6621" t="s">
        <v>22</v>
      </c>
      <c r="D6621" t="s">
        <v>114</v>
      </c>
      <c r="E6621" s="4" t="str">
        <f>HYPERLINK("https://ibp.a2mac1.com/costing(costing:projects/details/9760/material/8755420)","PP-EPDM")</f>
        <v>PP-EPDM</v>
      </c>
      <c r="F6621" t="s">
        <v>6842</v>
      </c>
    </row>
    <row r="6622" spans="1:6" x14ac:dyDescent="0.15">
      <c r="A6622">
        <v>12212920</v>
      </c>
      <c r="B6622">
        <v>12085790</v>
      </c>
      <c r="C6622" t="s">
        <v>163</v>
      </c>
      <c r="D6622" t="s">
        <v>114</v>
      </c>
      <c r="E6622" s="4" t="str">
        <f>HYPERLINK("https://ibp.a2mac1.com/costing(costing:projects/details/9760/equipment/12212920)","Equipment (Injection Molding)")</f>
        <v>Equipment (Injection Molding)</v>
      </c>
      <c r="F6622" t="s">
        <v>6842</v>
      </c>
    </row>
    <row r="6623" spans="1:6" x14ac:dyDescent="0.15">
      <c r="A6623">
        <v>8416379</v>
      </c>
      <c r="B6623">
        <v>8416039</v>
      </c>
      <c r="C6623" t="s">
        <v>10</v>
      </c>
      <c r="D6623" t="s">
        <v>8</v>
      </c>
      <c r="E6623" s="4" t="str">
        <f>HYPERLINK("https://ibp.a2mac1.com/costing(costing:projects/details/9760/part/8416379)","2nd Seal Cover")</f>
        <v>2nd Seal Cover</v>
      </c>
      <c r="F6623" t="s">
        <v>6811</v>
      </c>
    </row>
    <row r="6624" spans="1:6" x14ac:dyDescent="0.15">
      <c r="A6624">
        <v>12085791</v>
      </c>
      <c r="B6624">
        <v>8416379</v>
      </c>
      <c r="C6624" t="s">
        <v>114</v>
      </c>
      <c r="D6624" t="s">
        <v>10</v>
      </c>
      <c r="E6624" s="4" t="str">
        <f>HYPERLINK("https://ibp.a2mac1.com/costing(costing:projects/details/9760/process/12085791)","Injection molding")</f>
        <v>Injection molding</v>
      </c>
      <c r="F6624" t="s">
        <v>6844</v>
      </c>
    </row>
    <row r="6625" spans="1:6" x14ac:dyDescent="0.15">
      <c r="A6625">
        <v>8755421</v>
      </c>
      <c r="B6625">
        <v>12085791</v>
      </c>
      <c r="C6625" t="s">
        <v>22</v>
      </c>
      <c r="D6625" t="s">
        <v>114</v>
      </c>
      <c r="E6625" s="4" t="str">
        <f>HYPERLINK("https://ibp.a2mac1.com/costing(costing:projects/details/9760/material/8755421)","PP-GF30")</f>
        <v>PP-GF30</v>
      </c>
      <c r="F6625" t="s">
        <v>6845</v>
      </c>
    </row>
    <row r="6626" spans="1:6" x14ac:dyDescent="0.15">
      <c r="A6626">
        <v>12212921</v>
      </c>
      <c r="B6626">
        <v>12085791</v>
      </c>
      <c r="C6626" t="s">
        <v>163</v>
      </c>
      <c r="D6626" t="s">
        <v>114</v>
      </c>
      <c r="E6626" s="4" t="str">
        <f>HYPERLINK("https://ibp.a2mac1.com/costing(costing:projects/details/9760/equipment/12212921)","Equipment (Injection Molding)")</f>
        <v>Equipment (Injection Molding)</v>
      </c>
      <c r="F6626" t="s">
        <v>6845</v>
      </c>
    </row>
    <row r="6627" spans="1:6" x14ac:dyDescent="0.15">
      <c r="A6627">
        <v>8416380</v>
      </c>
      <c r="B6627">
        <v>8416039</v>
      </c>
      <c r="C6627" t="s">
        <v>10</v>
      </c>
      <c r="D6627" t="s">
        <v>8</v>
      </c>
      <c r="E6627" s="4" t="str">
        <f>HYPERLINK("https://ibp.a2mac1.com/costing(costing:projects/details/9760/part/8416380)","Turn Signal")</f>
        <v>Turn Signal</v>
      </c>
      <c r="F6627" t="s">
        <v>6811</v>
      </c>
    </row>
    <row r="6628" spans="1:6" x14ac:dyDescent="0.15">
      <c r="A6628">
        <v>8416381</v>
      </c>
      <c r="B6628">
        <v>8416039</v>
      </c>
      <c r="C6628" t="s">
        <v>10</v>
      </c>
      <c r="D6628" t="s">
        <v>8</v>
      </c>
      <c r="E6628" s="4" t="str">
        <f>HYPERLINK("https://ibp.a2mac1.com/costing(costing:projects/details/9760/part/8416381)","Trim Signal")</f>
        <v>Trim Signal</v>
      </c>
      <c r="F6628" t="s">
        <v>6811</v>
      </c>
    </row>
    <row r="6629" spans="1:6" x14ac:dyDescent="0.15">
      <c r="A6629">
        <v>12085792</v>
      </c>
      <c r="B6629">
        <v>8416381</v>
      </c>
      <c r="C6629" t="s">
        <v>114</v>
      </c>
      <c r="D6629" t="s">
        <v>10</v>
      </c>
      <c r="E6629" s="4" t="str">
        <f>HYPERLINK("https://ibp.a2mac1.com/costing(costing:projects/details/9760/process/12085792)","Injection molding")</f>
        <v>Injection molding</v>
      </c>
      <c r="F6629" t="s">
        <v>6848</v>
      </c>
    </row>
    <row r="6630" spans="1:6" x14ac:dyDescent="0.15">
      <c r="A6630">
        <v>8755422</v>
      </c>
      <c r="B6630">
        <v>12085792</v>
      </c>
      <c r="C6630" t="s">
        <v>22</v>
      </c>
      <c r="D6630" t="s">
        <v>114</v>
      </c>
      <c r="E6630" s="4" t="str">
        <f>HYPERLINK("https://ibp.a2mac1.com/costing(costing:projects/details/9760/material/8755422)","PMMA-ASA")</f>
        <v>PMMA-ASA</v>
      </c>
      <c r="F6630" t="s">
        <v>6849</v>
      </c>
    </row>
    <row r="6631" spans="1:6" x14ac:dyDescent="0.15">
      <c r="A6631">
        <v>12212922</v>
      </c>
      <c r="B6631">
        <v>12085792</v>
      </c>
      <c r="C6631" t="s">
        <v>163</v>
      </c>
      <c r="D6631" t="s">
        <v>114</v>
      </c>
      <c r="E6631" s="4" t="str">
        <f>HYPERLINK("https://ibp.a2mac1.com/costing(costing:projects/details/9760/equipment/12212922)","Equipment (Injection Molding)")</f>
        <v>Equipment (Injection Molding)</v>
      </c>
      <c r="F6631" t="s">
        <v>6849</v>
      </c>
    </row>
    <row r="6632" spans="1:6" x14ac:dyDescent="0.15">
      <c r="A6632">
        <v>8416383</v>
      </c>
      <c r="B6632">
        <v>8416039</v>
      </c>
      <c r="C6632" t="s">
        <v>10</v>
      </c>
      <c r="D6632" t="s">
        <v>8</v>
      </c>
      <c r="E6632" s="4" t="str">
        <f>HYPERLINK("https://ibp.a2mac1.com/costing(costing:projects/details/9760/part/8416383)","Folding Motor Support")</f>
        <v>Folding Motor Support</v>
      </c>
      <c r="F6632" t="s">
        <v>6811</v>
      </c>
    </row>
    <row r="6633" spans="1:6" x14ac:dyDescent="0.15">
      <c r="A6633">
        <v>12085794</v>
      </c>
      <c r="B6633">
        <v>8416383</v>
      </c>
      <c r="C6633" t="s">
        <v>114</v>
      </c>
      <c r="D6633" t="s">
        <v>10</v>
      </c>
      <c r="E6633" s="4" t="str">
        <f>HYPERLINK("https://ibp.a2mac1.com/costing(costing:projects/details/9760/process/12085794)","Injection molding")</f>
        <v>Injection molding</v>
      </c>
      <c r="F6633" t="s">
        <v>6851</v>
      </c>
    </row>
    <row r="6634" spans="1:6" x14ac:dyDescent="0.15">
      <c r="A6634">
        <v>8755423</v>
      </c>
      <c r="B6634">
        <v>12085794</v>
      </c>
      <c r="C6634" t="s">
        <v>22</v>
      </c>
      <c r="D6634" t="s">
        <v>114</v>
      </c>
      <c r="E6634" s="4" t="str">
        <f>HYPERLINK("https://ibp.a2mac1.com/costing(costing:projects/details/9760/material/8755423)","PBT-GF30")</f>
        <v>PBT-GF30</v>
      </c>
      <c r="F6634" t="s">
        <v>6852</v>
      </c>
    </row>
    <row r="6635" spans="1:6" x14ac:dyDescent="0.15">
      <c r="A6635">
        <v>12212924</v>
      </c>
      <c r="B6635">
        <v>12085794</v>
      </c>
      <c r="C6635" t="s">
        <v>163</v>
      </c>
      <c r="D6635" t="s">
        <v>114</v>
      </c>
      <c r="E6635" s="4" t="str">
        <f>HYPERLINK("https://ibp.a2mac1.com/costing(costing:projects/details/9760/equipment/12212924)","Equipment (Injection Molding)")</f>
        <v>Equipment (Injection Molding)</v>
      </c>
      <c r="F6635" t="s">
        <v>6852</v>
      </c>
    </row>
    <row r="6636" spans="1:6" x14ac:dyDescent="0.15">
      <c r="A6636">
        <v>8416385</v>
      </c>
      <c r="B6636">
        <v>8416039</v>
      </c>
      <c r="C6636" t="s">
        <v>10</v>
      </c>
      <c r="D6636" t="s">
        <v>8</v>
      </c>
      <c r="E6636" s="4" t="str">
        <f>HYPERLINK("https://ibp.a2mac1.com/costing(costing:projects/details/9760/part/8416385)","360 View Camera Support")</f>
        <v>360 View Camera Support</v>
      </c>
      <c r="F6636" t="s">
        <v>6811</v>
      </c>
    </row>
    <row r="6637" spans="1:6" x14ac:dyDescent="0.15">
      <c r="A6637">
        <v>12085796</v>
      </c>
      <c r="B6637">
        <v>8416385</v>
      </c>
      <c r="C6637" t="s">
        <v>114</v>
      </c>
      <c r="D6637" t="s">
        <v>10</v>
      </c>
      <c r="E6637" s="4" t="str">
        <f>HYPERLINK("https://ibp.a2mac1.com/costing(costing:projects/details/9760/process/12085796)","Injection molding")</f>
        <v>Injection molding</v>
      </c>
      <c r="F6637" t="s">
        <v>6854</v>
      </c>
    </row>
    <row r="6638" spans="1:6" x14ac:dyDescent="0.15">
      <c r="A6638">
        <v>8755424</v>
      </c>
      <c r="B6638">
        <v>12085796</v>
      </c>
      <c r="C6638" t="s">
        <v>22</v>
      </c>
      <c r="D6638" t="s">
        <v>114</v>
      </c>
      <c r="E6638" s="4" t="str">
        <f>HYPERLINK("https://ibp.a2mac1.com/costing(costing:projects/details/9760/material/8755424)","PA66-GF30")</f>
        <v>PA66-GF30</v>
      </c>
      <c r="F6638" t="s">
        <v>6855</v>
      </c>
    </row>
    <row r="6639" spans="1:6" x14ac:dyDescent="0.15">
      <c r="A6639">
        <v>12212926</v>
      </c>
      <c r="B6639">
        <v>12085796</v>
      </c>
      <c r="C6639" t="s">
        <v>163</v>
      </c>
      <c r="D6639" t="s">
        <v>114</v>
      </c>
      <c r="E6639" s="4" t="str">
        <f>HYPERLINK("https://ibp.a2mac1.com/costing(costing:projects/details/9760/equipment/12212926)","Equipment (Injection Molding)")</f>
        <v>Equipment (Injection Molding)</v>
      </c>
      <c r="F6639" t="s">
        <v>6855</v>
      </c>
    </row>
    <row r="6640" spans="1:6" x14ac:dyDescent="0.15">
      <c r="A6640">
        <v>8416386</v>
      </c>
      <c r="B6640">
        <v>8416039</v>
      </c>
      <c r="C6640" t="s">
        <v>10</v>
      </c>
      <c r="D6640" t="s">
        <v>8</v>
      </c>
      <c r="E6640" s="4" t="str">
        <f>HYPERLINK("https://ibp.a2mac1.com/costing(costing:projects/details/9760/part/8416386)","360 View Camera side Wire Harness")</f>
        <v>360 View Camera side Wire Harness</v>
      </c>
      <c r="F6640" t="s">
        <v>6811</v>
      </c>
    </row>
    <row r="6641" spans="1:6" x14ac:dyDescent="0.15">
      <c r="A6641">
        <v>8416387</v>
      </c>
      <c r="B6641">
        <v>8416039</v>
      </c>
      <c r="C6641" t="s">
        <v>10</v>
      </c>
      <c r="D6641" t="s">
        <v>8</v>
      </c>
      <c r="E6641" s="4" t="str">
        <f>HYPERLINK("https://ibp.a2mac1.com/costing(costing:projects/details/9760/part/8416387)","Shell")</f>
        <v>Shell</v>
      </c>
      <c r="F6641" t="s">
        <v>6811</v>
      </c>
    </row>
    <row r="6642" spans="1:6" x14ac:dyDescent="0.15">
      <c r="A6642">
        <v>12085799</v>
      </c>
      <c r="B6642">
        <v>8416387</v>
      </c>
      <c r="C6642" t="s">
        <v>114</v>
      </c>
      <c r="D6642" t="s">
        <v>10</v>
      </c>
      <c r="E6642" s="4" t="str">
        <f>HYPERLINK("https://ibp.a2mac1.com/costing(costing:projects/details/9760/process/12085799)","Injection molding")</f>
        <v>Injection molding</v>
      </c>
      <c r="F6642" t="s">
        <v>6858</v>
      </c>
    </row>
    <row r="6643" spans="1:6" x14ac:dyDescent="0.15">
      <c r="A6643">
        <v>8755428</v>
      </c>
      <c r="B6643">
        <v>12085799</v>
      </c>
      <c r="C6643" t="s">
        <v>22</v>
      </c>
      <c r="D6643" t="s">
        <v>114</v>
      </c>
      <c r="E6643" s="4" t="str">
        <f>HYPERLINK("https://ibp.a2mac1.com/costing(costing:projects/details/9760/material/8755428)","ABS")</f>
        <v>ABS</v>
      </c>
      <c r="F6643" t="s">
        <v>6859</v>
      </c>
    </row>
    <row r="6644" spans="1:6" x14ac:dyDescent="0.15">
      <c r="A6644">
        <v>12212929</v>
      </c>
      <c r="B6644">
        <v>12085799</v>
      </c>
      <c r="C6644" t="s">
        <v>163</v>
      </c>
      <c r="D6644" t="s">
        <v>114</v>
      </c>
      <c r="E6644" s="4" t="str">
        <f>HYPERLINK("https://ibp.a2mac1.com/costing(costing:projects/details/9760/equipment/12212929)","No.05 - Injection Press - 125T - 34kW - 500x500 - Max Volume 260cm3 ")</f>
        <v xml:space="preserve">No.05 - Injection Press - 125T - 34kW - 500x500 - Max Volume 260cm3 </v>
      </c>
      <c r="F6644" t="s">
        <v>6859</v>
      </c>
    </row>
    <row r="6645" spans="1:6" x14ac:dyDescent="0.15">
      <c r="A6645">
        <v>12085798</v>
      </c>
      <c r="B6645">
        <v>8416387</v>
      </c>
      <c r="C6645" t="s">
        <v>114</v>
      </c>
      <c r="D6645" t="s">
        <v>10</v>
      </c>
      <c r="E6645" s="4" t="str">
        <f>HYPERLINK("https://ibp.a2mac1.com/costing(costing:projects/details/9760/process/12085798)","Painting")</f>
        <v>Painting</v>
      </c>
      <c r="F6645" t="s">
        <v>6858</v>
      </c>
    </row>
    <row r="6646" spans="1:6" x14ac:dyDescent="0.15">
      <c r="A6646">
        <v>8755425</v>
      </c>
      <c r="B6646">
        <v>12085798</v>
      </c>
      <c r="C6646" t="s">
        <v>22</v>
      </c>
      <c r="D6646" t="s">
        <v>114</v>
      </c>
      <c r="E6646" s="4" t="str">
        <f>HYPERLINK("https://ibp.a2mac1.com/costing(costing:projects/details/9760/material/8755425)","Paint: Primer")</f>
        <v>Paint: Primer</v>
      </c>
      <c r="F6646" t="s">
        <v>6860</v>
      </c>
    </row>
    <row r="6647" spans="1:6" x14ac:dyDescent="0.15">
      <c r="A6647">
        <v>8755426</v>
      </c>
      <c r="B6647">
        <v>12085798</v>
      </c>
      <c r="C6647" t="s">
        <v>22</v>
      </c>
      <c r="D6647" t="s">
        <v>114</v>
      </c>
      <c r="E6647" s="4" t="str">
        <f>HYPERLINK("https://ibp.a2mac1.com/costing(costing:projects/details/9760/material/8755426)","Paint: Base")</f>
        <v>Paint: Base</v>
      </c>
      <c r="F6647" t="s">
        <v>6860</v>
      </c>
    </row>
    <row r="6648" spans="1:6" x14ac:dyDescent="0.15">
      <c r="A6648">
        <v>8755427</v>
      </c>
      <c r="B6648">
        <v>12085798</v>
      </c>
      <c r="C6648" t="s">
        <v>22</v>
      </c>
      <c r="D6648" t="s">
        <v>114</v>
      </c>
      <c r="E6648" s="4" t="str">
        <f>HYPERLINK("https://ibp.a2mac1.com/costing(costing:projects/details/9760/material/8755427)","Paint: Clear Coat")</f>
        <v>Paint: Clear Coat</v>
      </c>
      <c r="F6648" t="s">
        <v>6860</v>
      </c>
    </row>
    <row r="6649" spans="1:6" x14ac:dyDescent="0.15">
      <c r="A6649">
        <v>12212928</v>
      </c>
      <c r="B6649">
        <v>12085798</v>
      </c>
      <c r="C6649" t="s">
        <v>163</v>
      </c>
      <c r="D6649" t="s">
        <v>114</v>
      </c>
      <c r="E6649" s="4" t="str">
        <f>HYPERLINK("https://ibp.a2mac1.com/costing(costing:projects/details/9760/equipment/12212928)","No.04 - 60000x6000x3500 - Automatic Painting Line - with 12x100kW on line ovens ")</f>
        <v xml:space="preserve">No.04 - 60000x6000x3500 - Automatic Painting Line - with 12x100kW on line ovens </v>
      </c>
      <c r="F6649" t="s">
        <v>6860</v>
      </c>
    </row>
    <row r="6650" spans="1:6" x14ac:dyDescent="0.15">
      <c r="A6650">
        <v>12085797</v>
      </c>
      <c r="B6650">
        <v>8416387</v>
      </c>
      <c r="C6650" t="s">
        <v>114</v>
      </c>
      <c r="D6650" t="s">
        <v>10</v>
      </c>
      <c r="E6650" s="4" t="str">
        <f>HYPERLINK("https://ibp.a2mac1.com/costing(costing:projects/details/9760/process/12085797)","Handling and Packaging")</f>
        <v>Handling and Packaging</v>
      </c>
      <c r="F6650" t="s">
        <v>6858</v>
      </c>
    </row>
    <row r="6651" spans="1:6" x14ac:dyDescent="0.15">
      <c r="A6651">
        <v>12212927</v>
      </c>
      <c r="B6651">
        <v>12085797</v>
      </c>
      <c r="C6651" t="s">
        <v>163</v>
      </c>
      <c r="D6651" t="s">
        <v>114</v>
      </c>
      <c r="E6651" s="4" t="str">
        <f>HYPERLINK("https://ibp.a2mac1.com/costing(costing:projects/details/9760/equipment/12212927)","Packaging station")</f>
        <v>Packaging station</v>
      </c>
      <c r="F6651" t="s">
        <v>6861</v>
      </c>
    </row>
    <row r="6652" spans="1:6" x14ac:dyDescent="0.15">
      <c r="A6652">
        <v>12085348</v>
      </c>
      <c r="B6652">
        <v>8416039</v>
      </c>
      <c r="C6652" t="s">
        <v>114</v>
      </c>
      <c r="D6652" t="s">
        <v>8</v>
      </c>
      <c r="E6652" s="4" t="str">
        <f>HYPERLINK("https://ibp.a2mac1.com/costing(costing:projects/details/9760/process/12085348)","Assembly")</f>
        <v>Assembly</v>
      </c>
      <c r="F6652" t="s">
        <v>6811</v>
      </c>
    </row>
    <row r="6653" spans="1:6" x14ac:dyDescent="0.15">
      <c r="A6653">
        <v>12212444</v>
      </c>
      <c r="B6653">
        <v>12085348</v>
      </c>
      <c r="C6653" t="s">
        <v>163</v>
      </c>
      <c r="D6653" t="s">
        <v>114</v>
      </c>
      <c r="E6653" s="4" t="str">
        <f>HYPERLINK("https://ibp.a2mac1.com/costing(costing:projects/details/9760/equipment/12212444)","Assembly Station ")</f>
        <v xml:space="preserve">Assembly Station </v>
      </c>
      <c r="F6653" t="s">
        <v>6864</v>
      </c>
    </row>
    <row r="6654" spans="1:6" x14ac:dyDescent="0.15">
      <c r="A6654">
        <v>8754594</v>
      </c>
      <c r="B6654">
        <v>8416039</v>
      </c>
      <c r="C6654" t="s">
        <v>311</v>
      </c>
      <c r="D6654" t="s">
        <v>8</v>
      </c>
      <c r="E6654" s="4" t="str">
        <f>HYPERLINK("https://ibp.a2mac1.com/costing(costing:projects/details/9760/component/8754594)","Screw &gt; Torx socket head cap screw")</f>
        <v>Screw &gt; Torx socket head cap screw</v>
      </c>
      <c r="F6654" t="s">
        <v>6811</v>
      </c>
    </row>
    <row r="6655" spans="1:6" x14ac:dyDescent="0.15">
      <c r="A6655">
        <v>8754595</v>
      </c>
      <c r="B6655">
        <v>8416039</v>
      </c>
      <c r="C6655" t="s">
        <v>311</v>
      </c>
      <c r="D6655" t="s">
        <v>8</v>
      </c>
      <c r="E6655" s="4" t="str">
        <f>HYPERLINK("https://ibp.a2mac1.com/costing(costing:projects/details/9760/component/8754595)","Tube/cluster support &gt; Tube/cluster beribboned support in hole")</f>
        <v>Tube/cluster support &gt; Tube/cluster beribboned support in hole</v>
      </c>
      <c r="F6655" t="s">
        <v>6811</v>
      </c>
    </row>
    <row r="6656" spans="1:6" x14ac:dyDescent="0.15">
      <c r="A6656">
        <v>8754596</v>
      </c>
      <c r="B6656">
        <v>8416039</v>
      </c>
      <c r="C6656" t="s">
        <v>311</v>
      </c>
      <c r="D6656" t="s">
        <v>8</v>
      </c>
      <c r="E6656" s="4" t="str">
        <f>HYPERLINK("https://ibp.a2mac1.com/costing(costing:projects/details/9760/component/8754596)","Screw &gt; Hexagon socket head cap screw with flange")</f>
        <v>Screw &gt; Hexagon socket head cap screw with flange</v>
      </c>
      <c r="F6656" t="s">
        <v>6811</v>
      </c>
    </row>
    <row r="6657" spans="1:6" x14ac:dyDescent="0.15">
      <c r="A6657">
        <v>8754597</v>
      </c>
      <c r="B6657">
        <v>8416039</v>
      </c>
      <c r="C6657" t="s">
        <v>311</v>
      </c>
      <c r="D6657" t="s">
        <v>8</v>
      </c>
      <c r="E6657" s="4" t="str">
        <f>HYPERLINK("https://ibp.a2mac1.com/costing(costing:projects/details/9760/component/8754597)","Screw &gt; Torx socket head cap screw")</f>
        <v>Screw &gt; Torx socket head cap screw</v>
      </c>
      <c r="F6657" t="s">
        <v>6811</v>
      </c>
    </row>
    <row r="6658" spans="1:6" x14ac:dyDescent="0.15">
      <c r="A6658">
        <v>8754598</v>
      </c>
      <c r="B6658">
        <v>8416039</v>
      </c>
      <c r="C6658" t="s">
        <v>311</v>
      </c>
      <c r="D6658" t="s">
        <v>8</v>
      </c>
      <c r="E6658" s="4" t="str">
        <f>HYPERLINK("https://ibp.a2mac1.com/costing(costing:projects/details/9760/component/8754598)","Screw &gt; Torx socket head cap screw")</f>
        <v>Screw &gt; Torx socket head cap screw</v>
      </c>
      <c r="F6658" t="s">
        <v>6811</v>
      </c>
    </row>
    <row r="6659" spans="1:6" x14ac:dyDescent="0.15">
      <c r="A6659">
        <v>8754599</v>
      </c>
      <c r="B6659">
        <v>8416039</v>
      </c>
      <c r="C6659" t="s">
        <v>311</v>
      </c>
      <c r="D6659" t="s">
        <v>8</v>
      </c>
      <c r="E6659" s="4" t="str">
        <f>HYPERLINK("https://ibp.a2mac1.com/costing(costing:projects/details/9760/component/8754599)","Screw &gt; Torx socket head cap screw with captive washer")</f>
        <v>Screw &gt; Torx socket head cap screw with captive washer</v>
      </c>
      <c r="F6659" t="s">
        <v>6811</v>
      </c>
    </row>
    <row r="6660" spans="1:6" x14ac:dyDescent="0.15">
      <c r="A6660">
        <v>8754600</v>
      </c>
      <c r="B6660">
        <v>8416039</v>
      </c>
      <c r="C6660" t="s">
        <v>311</v>
      </c>
      <c r="D6660" t="s">
        <v>8</v>
      </c>
      <c r="E6660" s="4" t="str">
        <f>HYPERLINK("https://ibp.a2mac1.com/costing(costing:projects/details/9760/component/8754600)","Screw &gt; Torx socket head cap screw")</f>
        <v>Screw &gt; Torx socket head cap screw</v>
      </c>
      <c r="F6660" t="s">
        <v>6811</v>
      </c>
    </row>
    <row r="6661" spans="1:6" x14ac:dyDescent="0.15">
      <c r="A6661">
        <v>8754601</v>
      </c>
      <c r="B6661">
        <v>8416039</v>
      </c>
      <c r="C6661" t="s">
        <v>311</v>
      </c>
      <c r="D6661" t="s">
        <v>8</v>
      </c>
      <c r="E6661" s="4" t="str">
        <f>HYPERLINK("https://ibp.a2mac1.com/costing(costing:projects/details/9760/component/8754601)","Screw &gt; Torx socket head cap screw")</f>
        <v>Screw &gt; Torx socket head cap screw</v>
      </c>
      <c r="F6661" t="s">
        <v>6811</v>
      </c>
    </row>
    <row r="6662" spans="1:6" x14ac:dyDescent="0.15">
      <c r="A6662">
        <v>8754602</v>
      </c>
      <c r="B6662">
        <v>8416039</v>
      </c>
      <c r="C6662" t="s">
        <v>311</v>
      </c>
      <c r="D6662" t="s">
        <v>8</v>
      </c>
      <c r="E6662" s="4" t="str">
        <f>HYPERLINK("https://ibp.a2mac1.com/costing(costing:projects/details/9760/component/8754602)","Screw &gt; Torx socket head cap screw")</f>
        <v>Screw &gt; Torx socket head cap screw</v>
      </c>
      <c r="F6662" t="s">
        <v>6811</v>
      </c>
    </row>
    <row r="6663" spans="1:6" x14ac:dyDescent="0.15">
      <c r="A6663">
        <v>8416036</v>
      </c>
      <c r="B6663">
        <v>8415685</v>
      </c>
      <c r="C6663" t="s">
        <v>10</v>
      </c>
      <c r="D6663" t="s">
        <v>8</v>
      </c>
      <c r="E6663" s="4" t="str">
        <f>HYPERLINK("https://ibp.a2mac1.com/costing(costing:projects/details/9760/part/8416036)","Interior Trim")</f>
        <v>Interior Trim</v>
      </c>
      <c r="F6663" t="s">
        <v>6810</v>
      </c>
    </row>
    <row r="6664" spans="1:6" x14ac:dyDescent="0.15">
      <c r="A6664">
        <v>12085345</v>
      </c>
      <c r="B6664">
        <v>8416036</v>
      </c>
      <c r="C6664" t="s">
        <v>114</v>
      </c>
      <c r="D6664" t="s">
        <v>10</v>
      </c>
      <c r="E6664" s="4" t="str">
        <f>HYPERLINK("https://ibp.a2mac1.com/costing(costing:projects/details/9760/process/12085345)","Injection molding")</f>
        <v>Injection molding</v>
      </c>
      <c r="F6664" t="s">
        <v>6866</v>
      </c>
    </row>
    <row r="6665" spans="1:6" x14ac:dyDescent="0.15">
      <c r="A6665">
        <v>8755025</v>
      </c>
      <c r="B6665">
        <v>12085345</v>
      </c>
      <c r="C6665" t="s">
        <v>22</v>
      </c>
      <c r="D6665" t="s">
        <v>114</v>
      </c>
      <c r="E6665" s="4" t="str">
        <f>HYPERLINK("https://ibp.a2mac1.com/costing(costing:projects/details/9760/material/8755025)","PP-EPDM-TD10")</f>
        <v>PP-EPDM-TD10</v>
      </c>
      <c r="F6665" t="s">
        <v>6867</v>
      </c>
    </row>
    <row r="6666" spans="1:6" x14ac:dyDescent="0.15">
      <c r="A6666">
        <v>12212441</v>
      </c>
      <c r="B6666">
        <v>12085345</v>
      </c>
      <c r="C6666" t="s">
        <v>163</v>
      </c>
      <c r="D6666" t="s">
        <v>114</v>
      </c>
      <c r="E6666" s="4" t="str">
        <f>HYPERLINK("https://ibp.a2mac1.com/costing(costing:projects/details/9760/equipment/12212441)","Equipment (Injection Molding)")</f>
        <v>Equipment (Injection Molding)</v>
      </c>
      <c r="F6666" t="s">
        <v>6867</v>
      </c>
    </row>
    <row r="6667" spans="1:6" x14ac:dyDescent="0.15">
      <c r="A6667">
        <v>8416037</v>
      </c>
      <c r="B6667">
        <v>8415685</v>
      </c>
      <c r="C6667" t="s">
        <v>10</v>
      </c>
      <c r="D6667" t="s">
        <v>8</v>
      </c>
      <c r="E6667" s="4" t="str">
        <f>HYPERLINK("https://ibp.a2mac1.com/costing(costing:projects/details/9760/part/8416037)","Inner Sound Insulation")</f>
        <v>Inner Sound Insulation</v>
      </c>
      <c r="F6667" t="s">
        <v>6810</v>
      </c>
    </row>
    <row r="6668" spans="1:6" x14ac:dyDescent="0.15">
      <c r="A6668">
        <v>12085346</v>
      </c>
      <c r="B6668">
        <v>8416037</v>
      </c>
      <c r="C6668" t="s">
        <v>114</v>
      </c>
      <c r="D6668" t="s">
        <v>10</v>
      </c>
      <c r="E6668" s="4" t="str">
        <f>HYPERLINK("https://ibp.a2mac1.com/costing(costing:projects/details/9760/process/12085346)","Press")</f>
        <v>Press</v>
      </c>
      <c r="F6668" t="s">
        <v>6869</v>
      </c>
    </row>
    <row r="6669" spans="1:6" x14ac:dyDescent="0.15">
      <c r="A6669">
        <v>8755026</v>
      </c>
      <c r="B6669">
        <v>12085346</v>
      </c>
      <c r="C6669" t="s">
        <v>22</v>
      </c>
      <c r="D6669" t="s">
        <v>114</v>
      </c>
      <c r="E6669" s="4" t="str">
        <f>HYPERLINK("https://ibp.a2mac1.com/costing(costing:projects/details/9760/material/8755026)","EPP")</f>
        <v>EPP</v>
      </c>
      <c r="F6669" t="s">
        <v>6870</v>
      </c>
    </row>
    <row r="6670" spans="1:6" x14ac:dyDescent="0.15">
      <c r="A6670">
        <v>12212442</v>
      </c>
      <c r="B6670">
        <v>12085346</v>
      </c>
      <c r="C6670" t="s">
        <v>163</v>
      </c>
      <c r="D6670" t="s">
        <v>114</v>
      </c>
      <c r="E6670" s="4" t="str">
        <f>HYPERLINK("https://ibp.a2mac1.com/costing(costing:projects/details/9760/equipment/12212442)","EPP-EPS Press No. 01 - 800 x 600")</f>
        <v>EPP-EPS Press No. 01 - 800 x 600</v>
      </c>
      <c r="F6670" t="s">
        <v>6870</v>
      </c>
    </row>
    <row r="6671" spans="1:6" x14ac:dyDescent="0.15">
      <c r="A6671">
        <v>12085347</v>
      </c>
      <c r="B6671">
        <v>8416037</v>
      </c>
      <c r="C6671" t="s">
        <v>114</v>
      </c>
      <c r="D6671" t="s">
        <v>10</v>
      </c>
      <c r="E6671" s="4" t="str">
        <f>HYPERLINK("https://ibp.a2mac1.com/costing(costing:projects/details/9760/process/12085347)","Steam facility")</f>
        <v>Steam facility</v>
      </c>
      <c r="F6671" t="s">
        <v>6869</v>
      </c>
    </row>
    <row r="6672" spans="1:6" x14ac:dyDescent="0.15">
      <c r="A6672">
        <v>12212443</v>
      </c>
      <c r="B6672">
        <v>12085347</v>
      </c>
      <c r="C6672" t="s">
        <v>163</v>
      </c>
      <c r="D6672" t="s">
        <v>114</v>
      </c>
      <c r="E6672" s="4" t="str">
        <f>HYPERLINK("https://ibp.a2mac1.com/costing(costing:projects/details/9760/equipment/12212443)","EPP-EPS Foaming - Steam Facility")</f>
        <v>EPP-EPS Foaming - Steam Facility</v>
      </c>
      <c r="F6672" t="s">
        <v>6871</v>
      </c>
    </row>
    <row r="6673" spans="1:6" x14ac:dyDescent="0.15">
      <c r="A6673">
        <v>8416038</v>
      </c>
      <c r="B6673">
        <v>8415685</v>
      </c>
      <c r="C6673" t="s">
        <v>10</v>
      </c>
      <c r="D6673" t="s">
        <v>8</v>
      </c>
      <c r="E6673" s="4" t="str">
        <f>HYPERLINK("https://ibp.a2mac1.com/costing(costing:projects/details/9760/part/8416038)","Fasteners Cover")</f>
        <v>Fasteners Cover</v>
      </c>
      <c r="F6673" t="s">
        <v>6810</v>
      </c>
    </row>
    <row r="6674" spans="1:6" x14ac:dyDescent="0.15">
      <c r="A6674">
        <v>8415686</v>
      </c>
      <c r="B6674">
        <v>8415587</v>
      </c>
      <c r="C6674" t="s">
        <v>8</v>
      </c>
      <c r="D6674" t="s">
        <v>8</v>
      </c>
      <c r="E6674" s="4" t="str">
        <f>HYPERLINK("https://ibp.a2mac1.com/costing(costing:projects/details/9760/assembly/8415686)","Power Controls")</f>
        <v>Power Controls</v>
      </c>
      <c r="F6674" t="s">
        <v>6541</v>
      </c>
    </row>
    <row r="6675" spans="1:6" x14ac:dyDescent="0.15">
      <c r="A6675">
        <v>8416040</v>
      </c>
      <c r="B6675">
        <v>8415686</v>
      </c>
      <c r="C6675" t="s">
        <v>10</v>
      </c>
      <c r="D6675" t="s">
        <v>8</v>
      </c>
      <c r="E6675" s="4" t="str">
        <f>HYPERLINK("https://ibp.a2mac1.com/costing(costing:projects/details/9760/part/8416040)","Electric Windows Lift Control")</f>
        <v>Electric Windows Lift Control</v>
      </c>
      <c r="F6675" t="s">
        <v>6875</v>
      </c>
    </row>
    <row r="6676" spans="1:6" x14ac:dyDescent="0.15">
      <c r="A6676">
        <v>8416041</v>
      </c>
      <c r="B6676">
        <v>8415686</v>
      </c>
      <c r="C6676" t="s">
        <v>10</v>
      </c>
      <c r="D6676" t="s">
        <v>8</v>
      </c>
      <c r="E6676" s="4" t="str">
        <f>HYPERLINK("https://ibp.a2mac1.com/costing(costing:projects/details/9760/part/8416041)","Electric Window Lift Control Support")</f>
        <v>Electric Window Lift Control Support</v>
      </c>
      <c r="F6676" t="s">
        <v>6875</v>
      </c>
    </row>
    <row r="6677" spans="1:6" x14ac:dyDescent="0.15">
      <c r="A6677">
        <v>12085349</v>
      </c>
      <c r="B6677">
        <v>8416041</v>
      </c>
      <c r="C6677" t="s">
        <v>114</v>
      </c>
      <c r="D6677" t="s">
        <v>10</v>
      </c>
      <c r="E6677" s="4" t="str">
        <f>HYPERLINK("https://ibp.a2mac1.com/costing(costing:projects/details/9760/process/12085349)","Injection molding")</f>
        <v>Injection molding</v>
      </c>
      <c r="F6677" t="s">
        <v>6877</v>
      </c>
    </row>
    <row r="6678" spans="1:6" x14ac:dyDescent="0.15">
      <c r="A6678">
        <v>8755031</v>
      </c>
      <c r="B6678">
        <v>12085349</v>
      </c>
      <c r="C6678" t="s">
        <v>22</v>
      </c>
      <c r="D6678" t="s">
        <v>114</v>
      </c>
      <c r="E6678" s="4" t="str">
        <f>HYPERLINK("https://ibp.a2mac1.com/costing(costing:projects/details/9760/material/8755031)","ABS-PC")</f>
        <v>ABS-PC</v>
      </c>
      <c r="F6678" t="s">
        <v>6879</v>
      </c>
    </row>
    <row r="6679" spans="1:6" x14ac:dyDescent="0.15">
      <c r="A6679">
        <v>12212445</v>
      </c>
      <c r="B6679">
        <v>12085349</v>
      </c>
      <c r="C6679" t="s">
        <v>163</v>
      </c>
      <c r="D6679" t="s">
        <v>114</v>
      </c>
      <c r="E6679" s="4" t="str">
        <f>HYPERLINK("https://ibp.a2mac1.com/costing(costing:projects/details/9760/equipment/12212445)","No.01 - Injection Press - 40T - 18kW - 270x270 - Max Volume 128cm3 ")</f>
        <v xml:space="preserve">No.01 - Injection Press - 40T - 18kW - 270x270 - Max Volume 128cm3 </v>
      </c>
      <c r="F6679" t="s">
        <v>6879</v>
      </c>
    </row>
    <row r="6680" spans="1:6" x14ac:dyDescent="0.15">
      <c r="A6680">
        <v>8415687</v>
      </c>
      <c r="B6680">
        <v>8415587</v>
      </c>
      <c r="C6680" t="s">
        <v>8</v>
      </c>
      <c r="D6680" t="s">
        <v>8</v>
      </c>
      <c r="E6680" s="4" t="str">
        <f>HYPERLINK("https://ibp.a2mac1.com/costing(costing:projects/details/9760/assembly/8415687)","Speaker System")</f>
        <v>Speaker System</v>
      </c>
      <c r="F6680" t="s">
        <v>6541</v>
      </c>
    </row>
    <row r="6681" spans="1:6" x14ac:dyDescent="0.15">
      <c r="A6681">
        <v>8416042</v>
      </c>
      <c r="B6681">
        <v>8415687</v>
      </c>
      <c r="C6681" t="s">
        <v>10</v>
      </c>
      <c r="D6681" t="s">
        <v>8</v>
      </c>
      <c r="E6681" s="4" t="str">
        <f>HYPERLINK("https://ibp.a2mac1.com/costing(costing:projects/details/9760/part/8416042)","Speaker")</f>
        <v>Speaker</v>
      </c>
      <c r="F6681" t="s">
        <v>6883</v>
      </c>
    </row>
    <row r="6682" spans="1:6" x14ac:dyDescent="0.15">
      <c r="A6682">
        <v>8416043</v>
      </c>
      <c r="B6682">
        <v>8415687</v>
      </c>
      <c r="C6682" t="s">
        <v>10</v>
      </c>
      <c r="D6682" t="s">
        <v>8</v>
      </c>
      <c r="E6682" s="4" t="str">
        <f>HYPERLINK("https://ibp.a2mac1.com/costing(costing:projects/details/9760/part/8416043)","Medium")</f>
        <v>Medium</v>
      </c>
      <c r="F6682" t="s">
        <v>6883</v>
      </c>
    </row>
    <row r="6683" spans="1:6" x14ac:dyDescent="0.15">
      <c r="A6683">
        <v>8754457</v>
      </c>
      <c r="B6683">
        <v>8415687</v>
      </c>
      <c r="C6683" t="s">
        <v>311</v>
      </c>
      <c r="D6683" t="s">
        <v>8</v>
      </c>
      <c r="E6683" s="4" t="str">
        <f>HYPERLINK("https://ibp.a2mac1.com/costing(costing:projects/details/9760/component/8754457)","Round head Screw M4x18")</f>
        <v>Round head Screw M4x18</v>
      </c>
      <c r="F6683" t="s">
        <v>6883</v>
      </c>
    </row>
    <row r="6684" spans="1:6" x14ac:dyDescent="0.15">
      <c r="A6684">
        <v>8754458</v>
      </c>
      <c r="B6684">
        <v>8415687</v>
      </c>
      <c r="C6684" t="s">
        <v>311</v>
      </c>
      <c r="D6684" t="s">
        <v>8</v>
      </c>
      <c r="E6684" s="4" t="str">
        <f>HYPERLINK("https://ibp.a2mac1.com/costing(costing:projects/details/9760/component/8754458)","Round head Screw M4x10")</f>
        <v>Round head Screw M4x10</v>
      </c>
      <c r="F6684" t="s">
        <v>6883</v>
      </c>
    </row>
    <row r="6685" spans="1:6" x14ac:dyDescent="0.15">
      <c r="A6685">
        <v>8415688</v>
      </c>
      <c r="B6685">
        <v>8415587</v>
      </c>
      <c r="C6685" t="s">
        <v>10</v>
      </c>
      <c r="D6685" t="s">
        <v>8</v>
      </c>
      <c r="E6685" s="4" t="str">
        <f>HYPERLINK("https://ibp.a2mac1.com/costing(costing:projects/details/9760/part/8415688)","Door Moisture Shield")</f>
        <v>Door Moisture Shield</v>
      </c>
      <c r="F6685" t="s">
        <v>6541</v>
      </c>
    </row>
    <row r="6686" spans="1:6" x14ac:dyDescent="0.15">
      <c r="A6686">
        <v>12085111</v>
      </c>
      <c r="B6686">
        <v>8415688</v>
      </c>
      <c r="C6686" t="s">
        <v>114</v>
      </c>
      <c r="D6686" t="s">
        <v>10</v>
      </c>
      <c r="E6686" s="4" t="str">
        <f>HYPERLINK("https://ibp.a2mac1.com/costing(costing:projects/details/9760/process/12085111)","Thermocompression")</f>
        <v>Thermocompression</v>
      </c>
      <c r="F6686" t="s">
        <v>6887</v>
      </c>
    </row>
    <row r="6687" spans="1:6" x14ac:dyDescent="0.15">
      <c r="A6687">
        <v>8754603</v>
      </c>
      <c r="B6687">
        <v>12085111</v>
      </c>
      <c r="C6687" t="s">
        <v>22</v>
      </c>
      <c r="D6687" t="s">
        <v>114</v>
      </c>
      <c r="E6687" s="4" t="str">
        <f>HYPERLINK("https://ibp.a2mac1.com/costing(costing:projects/details/9760/material/8754603)","PE")</f>
        <v>PE</v>
      </c>
      <c r="F6687" t="s">
        <v>6888</v>
      </c>
    </row>
    <row r="6688" spans="1:6" x14ac:dyDescent="0.15">
      <c r="A6688">
        <v>12212203</v>
      </c>
      <c r="B6688">
        <v>12085111</v>
      </c>
      <c r="C6688" t="s">
        <v>163</v>
      </c>
      <c r="D6688" t="s">
        <v>114</v>
      </c>
      <c r="E6688" s="4" t="str">
        <f>HYPERLINK("https://ibp.a2mac1.com/costing(costing:projects/details/9760/equipment/12212203)","Thermocompression ")</f>
        <v xml:space="preserve">Thermocompression </v>
      </c>
      <c r="F6688" t="s">
        <v>6888</v>
      </c>
    </row>
    <row r="6689" spans="1:6" x14ac:dyDescent="0.15">
      <c r="A6689">
        <v>12085112</v>
      </c>
      <c r="B6689">
        <v>8415688</v>
      </c>
      <c r="C6689" t="s">
        <v>114</v>
      </c>
      <c r="D6689" t="s">
        <v>10</v>
      </c>
      <c r="E6689" s="4" t="str">
        <f>HYPERLINK("https://ibp.a2mac1.com/costing(costing:projects/details/9760/process/12085112)","Placement sheet")</f>
        <v>Placement sheet</v>
      </c>
      <c r="F6689" t="s">
        <v>6887</v>
      </c>
    </row>
    <row r="6690" spans="1:6" x14ac:dyDescent="0.15">
      <c r="A6690">
        <v>12212204</v>
      </c>
      <c r="B6690">
        <v>12085112</v>
      </c>
      <c r="C6690" t="s">
        <v>163</v>
      </c>
      <c r="D6690" t="s">
        <v>114</v>
      </c>
      <c r="E6690" s="4" t="str">
        <f>HYPERLINK("https://ibp.a2mac1.com/costing(costing:projects/details/9760/equipment/12212204)","Placement robot, 6 axis, 2.5kg ")</f>
        <v xml:space="preserve">Placement robot, 6 axis, 2.5kg </v>
      </c>
      <c r="F6690" t="s">
        <v>6889</v>
      </c>
    </row>
    <row r="6691" spans="1:6" x14ac:dyDescent="0.15">
      <c r="A6691">
        <v>8415689</v>
      </c>
      <c r="B6691">
        <v>8415587</v>
      </c>
      <c r="C6691" t="s">
        <v>10</v>
      </c>
      <c r="D6691" t="s">
        <v>8</v>
      </c>
      <c r="E6691" s="4" t="str">
        <f>HYPERLINK("https://ibp.a2mac1.com/costing(costing:projects/details/9760/part/8415689)","Hole Plug")</f>
        <v>Hole Plug</v>
      </c>
      <c r="F6691" t="s">
        <v>6541</v>
      </c>
    </row>
    <row r="6692" spans="1:6" x14ac:dyDescent="0.15">
      <c r="A6692">
        <v>8415690</v>
      </c>
      <c r="B6692">
        <v>8415587</v>
      </c>
      <c r="C6692" t="s">
        <v>10</v>
      </c>
      <c r="D6692" t="s">
        <v>8</v>
      </c>
      <c r="E6692" s="4" t="str">
        <f>HYPERLINK("https://ibp.a2mac1.com/costing(costing:projects/details/9760/part/8415690)","Water Drainage Outlet")</f>
        <v>Water Drainage Outlet</v>
      </c>
      <c r="F6692" t="s">
        <v>6541</v>
      </c>
    </row>
    <row r="6693" spans="1:6" x14ac:dyDescent="0.15">
      <c r="A6693">
        <v>12085066</v>
      </c>
      <c r="B6693">
        <v>8415587</v>
      </c>
      <c r="C6693" t="s">
        <v>114</v>
      </c>
      <c r="D6693" t="s">
        <v>8</v>
      </c>
      <c r="E6693" s="4" t="str">
        <f>HYPERLINK("https://ibp.a2mac1.com/costing(costing:projects/details/9760/process/12085066)","Assembly")</f>
        <v>Assembly</v>
      </c>
      <c r="F6693" t="s">
        <v>6541</v>
      </c>
    </row>
    <row r="6694" spans="1:6" x14ac:dyDescent="0.15">
      <c r="A6694">
        <v>12212158</v>
      </c>
      <c r="B6694">
        <v>12085066</v>
      </c>
      <c r="C6694" t="s">
        <v>163</v>
      </c>
      <c r="D6694" t="s">
        <v>114</v>
      </c>
      <c r="E6694" s="4" t="str">
        <f>HYPERLINK("https://ibp.a2mac1.com/costing(costing:projects/details/9760/equipment/12212158)","Assembly Station ")</f>
        <v xml:space="preserve">Assembly Station </v>
      </c>
      <c r="F6694" t="s">
        <v>6893</v>
      </c>
    </row>
    <row r="6695" spans="1:6" x14ac:dyDescent="0.15">
      <c r="A6695">
        <v>8754317</v>
      </c>
      <c r="B6695">
        <v>8415587</v>
      </c>
      <c r="C6695" t="s">
        <v>311</v>
      </c>
      <c r="D6695" t="s">
        <v>8</v>
      </c>
      <c r="E6695" s="4" t="str">
        <f>HYPERLINK("https://ibp.a2mac1.com/costing(costing:projects/details/9760/component/8754317)","Hole plug &gt; Round hole")</f>
        <v>Hole plug &gt; Round hole</v>
      </c>
      <c r="F6695" t="s">
        <v>6541</v>
      </c>
    </row>
    <row r="6696" spans="1:6" x14ac:dyDescent="0.15">
      <c r="A6696">
        <v>8754318</v>
      </c>
      <c r="B6696">
        <v>8415587</v>
      </c>
      <c r="C6696" t="s">
        <v>311</v>
      </c>
      <c r="D6696" t="s">
        <v>8</v>
      </c>
      <c r="E6696" s="4" t="str">
        <f>HYPERLINK("https://ibp.a2mac1.com/costing(costing:projects/details/9760/component/8754318)","Screw &gt; Torx screw")</f>
        <v>Screw &gt; Torx screw</v>
      </c>
      <c r="F6696" t="s">
        <v>6541</v>
      </c>
    </row>
    <row r="6697" spans="1:6" x14ac:dyDescent="0.15">
      <c r="A6697">
        <v>8415577</v>
      </c>
      <c r="B6697">
        <v>8415575</v>
      </c>
      <c r="C6697" t="s">
        <v>8</v>
      </c>
      <c r="D6697" t="s">
        <v>8</v>
      </c>
      <c r="E6697" s="4" t="str">
        <f>HYPERLINK("https://ibp.a2mac1.com/costing(costing:projects/details/9760/assembly/8415577)","Frame")</f>
        <v>Frame</v>
      </c>
      <c r="F6697" t="s">
        <v>4952</v>
      </c>
    </row>
    <row r="6698" spans="1:6" x14ac:dyDescent="0.15">
      <c r="A6698">
        <v>8415590</v>
      </c>
      <c r="B6698">
        <v>8415577</v>
      </c>
      <c r="C6698" t="s">
        <v>8</v>
      </c>
      <c r="D6698" t="s">
        <v>8</v>
      </c>
      <c r="E6698" s="4" t="str">
        <f>HYPERLINK("https://ibp.a2mac1.com/costing(costing:projects/details/9760/assembly/8415590)","Scuttle Grille System")</f>
        <v>Scuttle Grille System</v>
      </c>
      <c r="F6698" t="s">
        <v>6896</v>
      </c>
    </row>
    <row r="6699" spans="1:6" x14ac:dyDescent="0.15">
      <c r="A6699">
        <v>8415691</v>
      </c>
      <c r="B6699">
        <v>8415590</v>
      </c>
      <c r="C6699" t="s">
        <v>10</v>
      </c>
      <c r="D6699" t="s">
        <v>8</v>
      </c>
      <c r="E6699" s="4" t="str">
        <f>HYPERLINK("https://ibp.a2mac1.com/costing(costing:projects/details/9760/part/8415691)","Covering Cowl Air Inlet Central Single")</f>
        <v>Covering Cowl Air Inlet Central Single</v>
      </c>
      <c r="F6699" t="s">
        <v>6897</v>
      </c>
    </row>
    <row r="6700" spans="1:6" x14ac:dyDescent="0.15">
      <c r="A6700">
        <v>12085113</v>
      </c>
      <c r="B6700">
        <v>8415691</v>
      </c>
      <c r="C6700" t="s">
        <v>114</v>
      </c>
      <c r="D6700" t="s">
        <v>10</v>
      </c>
      <c r="E6700" s="4" t="str">
        <f>HYPERLINK("https://ibp.a2mac1.com/costing(costing:projects/details/9760/process/12085113)","Automated Process")</f>
        <v>Automated Process</v>
      </c>
      <c r="F6700" t="s">
        <v>6898</v>
      </c>
    </row>
    <row r="6701" spans="1:6" x14ac:dyDescent="0.15">
      <c r="A6701">
        <v>8754604</v>
      </c>
      <c r="B6701">
        <v>12085113</v>
      </c>
      <c r="C6701" t="s">
        <v>22</v>
      </c>
      <c r="D6701" t="s">
        <v>114</v>
      </c>
      <c r="E6701" s="4" t="str">
        <f>HYPERLINK("https://ibp.a2mac1.com/costing(costing:projects/details/9760/material/8754604)","PP-EPDM")</f>
        <v>PP-EPDM</v>
      </c>
      <c r="F6701" t="s">
        <v>6901</v>
      </c>
    </row>
    <row r="6702" spans="1:6" x14ac:dyDescent="0.15">
      <c r="A6702">
        <v>12212205</v>
      </c>
      <c r="B6702">
        <v>12085113</v>
      </c>
      <c r="C6702" t="s">
        <v>163</v>
      </c>
      <c r="D6702" t="s">
        <v>114</v>
      </c>
      <c r="E6702" s="4" t="str">
        <f>HYPERLINK("https://ibp.a2mac1.com/costing(costing:projects/details/9760/equipment/12212205)","DC machine - General")</f>
        <v>DC machine - General</v>
      </c>
      <c r="F6702" t="s">
        <v>6901</v>
      </c>
    </row>
    <row r="6703" spans="1:6" x14ac:dyDescent="0.15">
      <c r="A6703">
        <v>8415692</v>
      </c>
      <c r="B6703">
        <v>8415590</v>
      </c>
      <c r="C6703" t="s">
        <v>10</v>
      </c>
      <c r="D6703" t="s">
        <v>8</v>
      </c>
      <c r="E6703" s="4" t="str">
        <f>HYPERLINK("https://ibp.a2mac1.com/costing(costing:projects/details/9760/part/8415692)","Left Scuttle Grille")</f>
        <v>Left Scuttle Grille</v>
      </c>
      <c r="F6703" t="s">
        <v>6897</v>
      </c>
    </row>
    <row r="6704" spans="1:6" x14ac:dyDescent="0.15">
      <c r="A6704">
        <v>12085114</v>
      </c>
      <c r="B6704">
        <v>8415692</v>
      </c>
      <c r="C6704" t="s">
        <v>114</v>
      </c>
      <c r="D6704" t="s">
        <v>10</v>
      </c>
      <c r="E6704" s="4" t="str">
        <f>HYPERLINK("https://ibp.a2mac1.com/costing(costing:projects/details/9760/process/12085114)","Automated Process")</f>
        <v>Automated Process</v>
      </c>
      <c r="F6704" t="s">
        <v>6903</v>
      </c>
    </row>
    <row r="6705" spans="1:6" x14ac:dyDescent="0.15">
      <c r="A6705">
        <v>8754605</v>
      </c>
      <c r="B6705">
        <v>12085114</v>
      </c>
      <c r="C6705" t="s">
        <v>22</v>
      </c>
      <c r="D6705" t="s">
        <v>114</v>
      </c>
      <c r="E6705" s="4" t="str">
        <f>HYPERLINK("https://ibp.a2mac1.com/costing(costing:projects/details/9760/material/8754605)","PP-EPDM")</f>
        <v>PP-EPDM</v>
      </c>
      <c r="F6705" t="s">
        <v>6906</v>
      </c>
    </row>
    <row r="6706" spans="1:6" x14ac:dyDescent="0.15">
      <c r="A6706">
        <v>8754606</v>
      </c>
      <c r="B6706">
        <v>12085114</v>
      </c>
      <c r="C6706" t="s">
        <v>22</v>
      </c>
      <c r="D6706" t="s">
        <v>114</v>
      </c>
      <c r="E6706" s="4" t="str">
        <f>HYPERLINK("https://ibp.a2mac1.com/costing(costing:projects/details/9760/material/8754606)","TPE")</f>
        <v>TPE</v>
      </c>
      <c r="F6706" t="s">
        <v>6906</v>
      </c>
    </row>
    <row r="6707" spans="1:6" x14ac:dyDescent="0.15">
      <c r="A6707">
        <v>12212206</v>
      </c>
      <c r="B6707">
        <v>12085114</v>
      </c>
      <c r="C6707" t="s">
        <v>163</v>
      </c>
      <c r="D6707" t="s">
        <v>114</v>
      </c>
      <c r="E6707" s="4" t="str">
        <f>HYPERLINK("https://ibp.a2mac1.com/costing(costing:projects/details/9760/equipment/12212206)","DC machine - General")</f>
        <v>DC machine - General</v>
      </c>
      <c r="F6707" t="s">
        <v>6906</v>
      </c>
    </row>
    <row r="6708" spans="1:6" x14ac:dyDescent="0.15">
      <c r="A6708">
        <v>8415693</v>
      </c>
      <c r="B6708">
        <v>8415590</v>
      </c>
      <c r="C6708" t="s">
        <v>10</v>
      </c>
      <c r="D6708" t="s">
        <v>8</v>
      </c>
      <c r="E6708" s="4" t="str">
        <f>HYPERLINK("https://ibp.a2mac1.com/costing(costing:projects/details/9760/part/8415693)","Right Scuttle Grille")</f>
        <v>Right Scuttle Grille</v>
      </c>
      <c r="F6708" t="s">
        <v>6897</v>
      </c>
    </row>
    <row r="6709" spans="1:6" x14ac:dyDescent="0.15">
      <c r="A6709">
        <v>12085115</v>
      </c>
      <c r="B6709">
        <v>8415693</v>
      </c>
      <c r="C6709" t="s">
        <v>114</v>
      </c>
      <c r="D6709" t="s">
        <v>10</v>
      </c>
      <c r="E6709" s="4" t="str">
        <f>HYPERLINK("https://ibp.a2mac1.com/costing(costing:projects/details/9760/process/12085115)","Automated Process")</f>
        <v>Automated Process</v>
      </c>
      <c r="F6709" t="s">
        <v>6909</v>
      </c>
    </row>
    <row r="6710" spans="1:6" x14ac:dyDescent="0.15">
      <c r="A6710">
        <v>8754607</v>
      </c>
      <c r="B6710">
        <v>12085115</v>
      </c>
      <c r="C6710" t="s">
        <v>22</v>
      </c>
      <c r="D6710" t="s">
        <v>114</v>
      </c>
      <c r="E6710" s="4" t="str">
        <f>HYPERLINK("https://ibp.a2mac1.com/costing(costing:projects/details/9760/material/8754607)","PP-EPDM")</f>
        <v>PP-EPDM</v>
      </c>
      <c r="F6710" t="s">
        <v>6910</v>
      </c>
    </row>
    <row r="6711" spans="1:6" x14ac:dyDescent="0.15">
      <c r="A6711">
        <v>8754608</v>
      </c>
      <c r="B6711">
        <v>12085115</v>
      </c>
      <c r="C6711" t="s">
        <v>22</v>
      </c>
      <c r="D6711" t="s">
        <v>114</v>
      </c>
      <c r="E6711" s="4" t="str">
        <f>HYPERLINK("https://ibp.a2mac1.com/costing(costing:projects/details/9760/material/8754608)","TPE")</f>
        <v>TPE</v>
      </c>
      <c r="F6711" t="s">
        <v>6910</v>
      </c>
    </row>
    <row r="6712" spans="1:6" x14ac:dyDescent="0.15">
      <c r="A6712">
        <v>12212207</v>
      </c>
      <c r="B6712">
        <v>12085115</v>
      </c>
      <c r="C6712" t="s">
        <v>163</v>
      </c>
      <c r="D6712" t="s">
        <v>114</v>
      </c>
      <c r="E6712" s="4" t="str">
        <f>HYPERLINK("https://ibp.a2mac1.com/costing(costing:projects/details/9760/equipment/12212207)","DC machine - General")</f>
        <v>DC machine - General</v>
      </c>
      <c r="F6712" t="s">
        <v>6910</v>
      </c>
    </row>
    <row r="6713" spans="1:6" x14ac:dyDescent="0.15">
      <c r="A6713">
        <v>8415694</v>
      </c>
      <c r="B6713">
        <v>8415590</v>
      </c>
      <c r="C6713" t="s">
        <v>10</v>
      </c>
      <c r="D6713" t="s">
        <v>8</v>
      </c>
      <c r="E6713" s="4" t="str">
        <f>HYPERLINK("https://ibp.a2mac1.com/costing(costing:projects/details/9760/part/8415694)","Right Trap")</f>
        <v>Right Trap</v>
      </c>
      <c r="F6713" t="s">
        <v>6897</v>
      </c>
    </row>
    <row r="6714" spans="1:6" x14ac:dyDescent="0.15">
      <c r="A6714">
        <v>12085116</v>
      </c>
      <c r="B6714">
        <v>8415694</v>
      </c>
      <c r="C6714" t="s">
        <v>114</v>
      </c>
      <c r="D6714" t="s">
        <v>10</v>
      </c>
      <c r="E6714" s="4" t="str">
        <f>HYPERLINK("https://ibp.a2mac1.com/costing(costing:projects/details/9760/process/12085116)","Automated Process")</f>
        <v>Automated Process</v>
      </c>
      <c r="F6714" t="s">
        <v>6912</v>
      </c>
    </row>
    <row r="6715" spans="1:6" x14ac:dyDescent="0.15">
      <c r="A6715">
        <v>8754609</v>
      </c>
      <c r="B6715">
        <v>12085116</v>
      </c>
      <c r="C6715" t="s">
        <v>22</v>
      </c>
      <c r="D6715" t="s">
        <v>114</v>
      </c>
      <c r="E6715" s="4" t="str">
        <f>HYPERLINK("https://ibp.a2mac1.com/costing(costing:projects/details/9760/material/8754609)","PP-EPDM")</f>
        <v>PP-EPDM</v>
      </c>
      <c r="F6715" t="s">
        <v>6913</v>
      </c>
    </row>
    <row r="6716" spans="1:6" x14ac:dyDescent="0.15">
      <c r="A6716">
        <v>12212208</v>
      </c>
      <c r="B6716">
        <v>12085116</v>
      </c>
      <c r="C6716" t="s">
        <v>163</v>
      </c>
      <c r="D6716" t="s">
        <v>114</v>
      </c>
      <c r="E6716" s="4" t="str">
        <f>HYPERLINK("https://ibp.a2mac1.com/costing(costing:projects/details/9760/equipment/12212208)","DC machine - General")</f>
        <v>DC machine - General</v>
      </c>
      <c r="F6716" t="s">
        <v>6913</v>
      </c>
    </row>
    <row r="6717" spans="1:6" x14ac:dyDescent="0.15">
      <c r="A6717">
        <v>8415695</v>
      </c>
      <c r="B6717">
        <v>8415590</v>
      </c>
      <c r="C6717" t="s">
        <v>10</v>
      </c>
      <c r="D6717" t="s">
        <v>8</v>
      </c>
      <c r="E6717" s="4" t="str">
        <f>HYPERLINK("https://ibp.a2mac1.com/costing(costing:projects/details/9760/part/8415695)","Water Protection on Scuttle Grille")</f>
        <v>Water Protection on Scuttle Grille</v>
      </c>
      <c r="F6717" t="s">
        <v>6897</v>
      </c>
    </row>
    <row r="6718" spans="1:6" x14ac:dyDescent="0.15">
      <c r="A6718">
        <v>12085117</v>
      </c>
      <c r="B6718">
        <v>8415695</v>
      </c>
      <c r="C6718" t="s">
        <v>114</v>
      </c>
      <c r="D6718" t="s">
        <v>10</v>
      </c>
      <c r="E6718" s="4" t="str">
        <f>HYPERLINK("https://ibp.a2mac1.com/costing(costing:projects/details/9760/process/12085117)","Automated Process")</f>
        <v>Automated Process</v>
      </c>
      <c r="F6718" t="s">
        <v>6915</v>
      </c>
    </row>
    <row r="6719" spans="1:6" x14ac:dyDescent="0.15">
      <c r="A6719">
        <v>8754610</v>
      </c>
      <c r="B6719">
        <v>12085117</v>
      </c>
      <c r="C6719" t="s">
        <v>22</v>
      </c>
      <c r="D6719" t="s">
        <v>114</v>
      </c>
      <c r="E6719" s="4" t="str">
        <f>HYPERLINK("https://ibp.a2mac1.com/costing(costing:projects/details/9760/material/8754610)","PP-EPDM")</f>
        <v>PP-EPDM</v>
      </c>
      <c r="F6719" t="s">
        <v>6918</v>
      </c>
    </row>
    <row r="6720" spans="1:6" x14ac:dyDescent="0.15">
      <c r="A6720">
        <v>8754611</v>
      </c>
      <c r="B6720">
        <v>12085117</v>
      </c>
      <c r="C6720" t="s">
        <v>22</v>
      </c>
      <c r="D6720" t="s">
        <v>114</v>
      </c>
      <c r="E6720" s="4" t="str">
        <f>HYPERLINK("https://ibp.a2mac1.com/costing(costing:projects/details/9760/material/8754611)","TPE")</f>
        <v>TPE</v>
      </c>
      <c r="F6720" t="s">
        <v>6918</v>
      </c>
    </row>
    <row r="6721" spans="1:6" x14ac:dyDescent="0.15">
      <c r="A6721">
        <v>12212209</v>
      </c>
      <c r="B6721">
        <v>12085117</v>
      </c>
      <c r="C6721" t="s">
        <v>163</v>
      </c>
      <c r="D6721" t="s">
        <v>114</v>
      </c>
      <c r="E6721" s="4" t="str">
        <f>HYPERLINK("https://ibp.a2mac1.com/costing(costing:projects/details/9760/equipment/12212209)","DC machine - General")</f>
        <v>DC machine - General</v>
      </c>
      <c r="F6721" t="s">
        <v>6918</v>
      </c>
    </row>
    <row r="6722" spans="1:6" x14ac:dyDescent="0.15">
      <c r="A6722">
        <v>8415696</v>
      </c>
      <c r="B6722">
        <v>8415590</v>
      </c>
      <c r="C6722" t="s">
        <v>10</v>
      </c>
      <c r="D6722" t="s">
        <v>8</v>
      </c>
      <c r="E6722" s="4" t="str">
        <f>HYPERLINK("https://ibp.a2mac1.com/costing(costing:projects/details/9760/part/8415696)","Water Protection on Scuttle Grille Right if Different")</f>
        <v>Water Protection on Scuttle Grille Right if Different</v>
      </c>
      <c r="F6722" t="s">
        <v>6897</v>
      </c>
    </row>
    <row r="6723" spans="1:6" x14ac:dyDescent="0.15">
      <c r="A6723">
        <v>12085118</v>
      </c>
      <c r="B6723">
        <v>8415696</v>
      </c>
      <c r="C6723" t="s">
        <v>114</v>
      </c>
      <c r="D6723" t="s">
        <v>10</v>
      </c>
      <c r="E6723" s="4" t="str">
        <f>HYPERLINK("https://ibp.a2mac1.com/costing(costing:projects/details/9760/process/12085118)","Automated Process")</f>
        <v>Automated Process</v>
      </c>
      <c r="F6723" t="s">
        <v>6920</v>
      </c>
    </row>
    <row r="6724" spans="1:6" x14ac:dyDescent="0.15">
      <c r="A6724">
        <v>8754612</v>
      </c>
      <c r="B6724">
        <v>12085118</v>
      </c>
      <c r="C6724" t="s">
        <v>22</v>
      </c>
      <c r="D6724" t="s">
        <v>114</v>
      </c>
      <c r="E6724" s="4" t="str">
        <f>HYPERLINK("https://ibp.a2mac1.com/costing(costing:projects/details/9760/material/8754612)","PP-EPDM")</f>
        <v>PP-EPDM</v>
      </c>
      <c r="F6724" t="s">
        <v>6923</v>
      </c>
    </row>
    <row r="6725" spans="1:6" x14ac:dyDescent="0.15">
      <c r="A6725">
        <v>8754613</v>
      </c>
      <c r="B6725">
        <v>12085118</v>
      </c>
      <c r="C6725" t="s">
        <v>22</v>
      </c>
      <c r="D6725" t="s">
        <v>114</v>
      </c>
      <c r="E6725" s="4" t="str">
        <f>HYPERLINK("https://ibp.a2mac1.com/costing(costing:projects/details/9760/material/8754613)","TPE")</f>
        <v>TPE</v>
      </c>
      <c r="F6725" t="s">
        <v>6923</v>
      </c>
    </row>
    <row r="6726" spans="1:6" x14ac:dyDescent="0.15">
      <c r="A6726">
        <v>12212210</v>
      </c>
      <c r="B6726">
        <v>12085118</v>
      </c>
      <c r="C6726" t="s">
        <v>163</v>
      </c>
      <c r="D6726" t="s">
        <v>114</v>
      </c>
      <c r="E6726" s="4" t="str">
        <f>HYPERLINK("https://ibp.a2mac1.com/costing(costing:projects/details/9760/equipment/12212210)","DC machine - General")</f>
        <v>DC machine - General</v>
      </c>
      <c r="F6726" t="s">
        <v>6923</v>
      </c>
    </row>
    <row r="6727" spans="1:6" x14ac:dyDescent="0.15">
      <c r="A6727">
        <v>8754319</v>
      </c>
      <c r="B6727">
        <v>8415590</v>
      </c>
      <c r="C6727" t="s">
        <v>311</v>
      </c>
      <c r="D6727" t="s">
        <v>8</v>
      </c>
      <c r="E6727" s="4" t="str">
        <f>HYPERLINK("https://ibp.a2mac1.com/costing(costing:projects/details/9760/component/8754319)","Rivet &gt; Head rivet")</f>
        <v>Rivet &gt; Head rivet</v>
      </c>
      <c r="F6727" t="s">
        <v>6897</v>
      </c>
    </row>
    <row r="6728" spans="1:6" x14ac:dyDescent="0.15">
      <c r="A6728">
        <v>8754320</v>
      </c>
      <c r="B6728">
        <v>8415590</v>
      </c>
      <c r="C6728" t="s">
        <v>311</v>
      </c>
      <c r="D6728" t="s">
        <v>8</v>
      </c>
      <c r="E6728" s="4" t="str">
        <f>HYPERLINK("https://ibp.a2mac1.com/costing(costing:projects/details/9760/component/8754320)","Panel holder &gt; Clips in round hole")</f>
        <v>Panel holder &gt; Clips in round hole</v>
      </c>
      <c r="F6728" t="s">
        <v>6897</v>
      </c>
    </row>
    <row r="6729" spans="1:6" x14ac:dyDescent="0.15">
      <c r="A6729">
        <v>8754321</v>
      </c>
      <c r="B6729">
        <v>8415590</v>
      </c>
      <c r="C6729" t="s">
        <v>311</v>
      </c>
      <c r="D6729" t="s">
        <v>8</v>
      </c>
      <c r="E6729" s="4" t="str">
        <f>HYPERLINK("https://ibp.a2mac1.com/costing(costing:projects/details/9760/component/8754321)","Panel holder &gt; Clips in round hole")</f>
        <v>Panel holder &gt; Clips in round hole</v>
      </c>
      <c r="F6729" t="s">
        <v>6897</v>
      </c>
    </row>
    <row r="6730" spans="1:6" x14ac:dyDescent="0.15">
      <c r="A6730">
        <v>8415591</v>
      </c>
      <c r="B6730">
        <v>8415577</v>
      </c>
      <c r="C6730" t="s">
        <v>8</v>
      </c>
      <c r="D6730" t="s">
        <v>8</v>
      </c>
      <c r="E6730" s="4" t="str">
        <f>HYPERLINK("https://ibp.a2mac1.com/costing(costing:projects/details/9760/assembly/8415591)","Pillar Trim")</f>
        <v>Pillar Trim</v>
      </c>
      <c r="F6730" t="s">
        <v>6896</v>
      </c>
    </row>
    <row r="6731" spans="1:6" x14ac:dyDescent="0.15">
      <c r="A6731">
        <v>8415697</v>
      </c>
      <c r="B6731">
        <v>8415591</v>
      </c>
      <c r="C6731" t="s">
        <v>8</v>
      </c>
      <c r="D6731" t="s">
        <v>8</v>
      </c>
      <c r="E6731" s="4" t="str">
        <f>HYPERLINK("https://ibp.a2mac1.com/costing(costing:projects/details/9760/assembly/8415697)","B Pillar Trims")</f>
        <v>B Pillar Trims</v>
      </c>
      <c r="F6731" t="s">
        <v>6926</v>
      </c>
    </row>
    <row r="6732" spans="1:6" x14ac:dyDescent="0.15">
      <c r="A6732">
        <v>8416044</v>
      </c>
      <c r="B6732">
        <v>8415697</v>
      </c>
      <c r="C6732" t="s">
        <v>8</v>
      </c>
      <c r="D6732" t="s">
        <v>8</v>
      </c>
      <c r="E6732" s="4" t="str">
        <f>HYPERLINK("https://ibp.a2mac1.com/costing(costing:projects/details/9760/assembly/8416044)","Front Passive Entry ECU")</f>
        <v>Front Passive Entry ECU</v>
      </c>
      <c r="F6732" t="s">
        <v>6927</v>
      </c>
    </row>
    <row r="6733" spans="1:6" x14ac:dyDescent="0.15">
      <c r="A6733">
        <v>12085350</v>
      </c>
      <c r="B6733">
        <v>8416044</v>
      </c>
      <c r="C6733" t="s">
        <v>114</v>
      </c>
      <c r="D6733" t="s">
        <v>8</v>
      </c>
      <c r="E6733" s="4" t="str">
        <f>HYPERLINK("https://ibp.a2mac1.com/costing(costing:projects/details/9760/process/12085350)","Process")</f>
        <v>Process</v>
      </c>
      <c r="F6733" t="s">
        <v>6928</v>
      </c>
    </row>
    <row r="6734" spans="1:6" x14ac:dyDescent="0.15">
      <c r="A6734">
        <v>12212446</v>
      </c>
      <c r="B6734">
        <v>12085350</v>
      </c>
      <c r="C6734" t="s">
        <v>163</v>
      </c>
      <c r="D6734" t="s">
        <v>114</v>
      </c>
      <c r="E6734" s="4" t="str">
        <f>HYPERLINK("https://ibp.a2mac1.com/costing(costing:projects/details/9760/equipment/12212446)","Dummy Machine (PCBA+Final Assembly Line)")</f>
        <v>Dummy Machine (PCBA+Final Assembly Line)</v>
      </c>
      <c r="F6734" t="s">
        <v>6929</v>
      </c>
    </row>
    <row r="6735" spans="1:6" x14ac:dyDescent="0.15">
      <c r="A6735">
        <v>8754614</v>
      </c>
      <c r="B6735">
        <v>8416044</v>
      </c>
      <c r="C6735" t="s">
        <v>311</v>
      </c>
      <c r="D6735" t="s">
        <v>8</v>
      </c>
      <c r="E6735" s="4" t="str">
        <f>HYPERLINK("https://ibp.a2mac1.com/costing(costing:projects/details/9760/component/8754614)","Electronics")</f>
        <v>Electronics</v>
      </c>
      <c r="F6735" t="s">
        <v>6928</v>
      </c>
    </row>
    <row r="6736" spans="1:6" x14ac:dyDescent="0.15">
      <c r="A6736">
        <v>8754615</v>
      </c>
      <c r="B6736">
        <v>8416044</v>
      </c>
      <c r="C6736" t="s">
        <v>311</v>
      </c>
      <c r="D6736" t="s">
        <v>8</v>
      </c>
      <c r="E6736" s="4" t="str">
        <f>HYPERLINK("https://ibp.a2mac1.com/costing(costing:projects/details/9760/component/8754615)","Mechanics")</f>
        <v>Mechanics</v>
      </c>
      <c r="F6736" t="s">
        <v>6928</v>
      </c>
    </row>
    <row r="6737" spans="1:6" x14ac:dyDescent="0.15">
      <c r="A6737">
        <v>8415698</v>
      </c>
      <c r="B6737">
        <v>8415591</v>
      </c>
      <c r="C6737" t="s">
        <v>8</v>
      </c>
      <c r="D6737" t="s">
        <v>8</v>
      </c>
      <c r="E6737" s="4" t="str">
        <f>HYPERLINK("https://ibp.a2mac1.com/costing(costing:projects/details/9760/assembly/8415698)","Right B Pillar Trim if Different")</f>
        <v>Right B Pillar Trim if Different</v>
      </c>
      <c r="F6737" t="s">
        <v>6926</v>
      </c>
    </row>
    <row r="6738" spans="1:6" x14ac:dyDescent="0.15">
      <c r="A6738">
        <v>12085119</v>
      </c>
      <c r="B6738">
        <v>8415698</v>
      </c>
      <c r="C6738" t="s">
        <v>114</v>
      </c>
      <c r="D6738" t="s">
        <v>8</v>
      </c>
      <c r="E6738" s="4" t="str">
        <f>HYPERLINK("https://ibp.a2mac1.com/costing(costing:projects/details/9760/process/12085119)","Process")</f>
        <v>Process</v>
      </c>
      <c r="F6738" t="s">
        <v>6932</v>
      </c>
    </row>
    <row r="6739" spans="1:6" x14ac:dyDescent="0.15">
      <c r="A6739">
        <v>12212211</v>
      </c>
      <c r="B6739">
        <v>12085119</v>
      </c>
      <c r="C6739" t="s">
        <v>163</v>
      </c>
      <c r="D6739" t="s">
        <v>114</v>
      </c>
      <c r="E6739" s="4" t="str">
        <f>HYPERLINK("https://ibp.a2mac1.com/costing(costing:projects/details/9760/equipment/12212211)","Dummy Machine (PCBA+Final Assembly Line)")</f>
        <v>Dummy Machine (PCBA+Final Assembly Line)</v>
      </c>
      <c r="F6739" t="s">
        <v>6933</v>
      </c>
    </row>
    <row r="6740" spans="1:6" x14ac:dyDescent="0.15">
      <c r="A6740">
        <v>8754461</v>
      </c>
      <c r="B6740">
        <v>8415698</v>
      </c>
      <c r="C6740" t="s">
        <v>311</v>
      </c>
      <c r="D6740" t="s">
        <v>8</v>
      </c>
      <c r="E6740" s="4" t="str">
        <f>HYPERLINK("https://ibp.a2mac1.com/costing(costing:projects/details/9760/component/8754461)","Electronics")</f>
        <v>Electronics</v>
      </c>
      <c r="F6740" t="s">
        <v>6932</v>
      </c>
    </row>
    <row r="6741" spans="1:6" x14ac:dyDescent="0.15">
      <c r="A6741">
        <v>8754462</v>
      </c>
      <c r="B6741">
        <v>8415698</v>
      </c>
      <c r="C6741" t="s">
        <v>311</v>
      </c>
      <c r="D6741" t="s">
        <v>8</v>
      </c>
      <c r="E6741" s="4" t="str">
        <f>HYPERLINK("https://ibp.a2mac1.com/costing(costing:projects/details/9760/component/8754462)","Mechanics")</f>
        <v>Mechanics</v>
      </c>
      <c r="F6741" t="s">
        <v>6932</v>
      </c>
    </row>
    <row r="6742" spans="1:6" x14ac:dyDescent="0.15">
      <c r="A6742">
        <v>8415699</v>
      </c>
      <c r="B6742">
        <v>8415591</v>
      </c>
      <c r="C6742" t="s">
        <v>10</v>
      </c>
      <c r="D6742" t="s">
        <v>8</v>
      </c>
      <c r="E6742" s="4" t="str">
        <f>HYPERLINK("https://ibp.a2mac1.com/costing(costing:projects/details/9760/part/8415699)","B Pillar Trim Seal")</f>
        <v>B Pillar Trim Seal</v>
      </c>
      <c r="F6742" t="s">
        <v>6926</v>
      </c>
    </row>
    <row r="6743" spans="1:6" x14ac:dyDescent="0.15">
      <c r="A6743">
        <v>12085120</v>
      </c>
      <c r="B6743">
        <v>8415699</v>
      </c>
      <c r="C6743" t="s">
        <v>114</v>
      </c>
      <c r="D6743" t="s">
        <v>10</v>
      </c>
      <c r="E6743" s="4" t="str">
        <f>HYPERLINK("https://ibp.a2mac1.com/costing(costing:projects/details/9760/process/12085120)","Automated Process")</f>
        <v>Automated Process</v>
      </c>
      <c r="F6743" t="s">
        <v>6935</v>
      </c>
    </row>
    <row r="6744" spans="1:6" x14ac:dyDescent="0.15">
      <c r="A6744">
        <v>8754616</v>
      </c>
      <c r="B6744">
        <v>12085120</v>
      </c>
      <c r="C6744" t="s">
        <v>22</v>
      </c>
      <c r="D6744" t="s">
        <v>114</v>
      </c>
      <c r="E6744" s="4" t="str">
        <f>HYPERLINK("https://ibp.a2mac1.com/costing(costing:projects/details/9760/material/8754616)","EPDM")</f>
        <v>EPDM</v>
      </c>
      <c r="F6744" t="s">
        <v>6936</v>
      </c>
    </row>
    <row r="6745" spans="1:6" x14ac:dyDescent="0.15">
      <c r="A6745">
        <v>12212212</v>
      </c>
      <c r="B6745">
        <v>12085120</v>
      </c>
      <c r="C6745" t="s">
        <v>163</v>
      </c>
      <c r="D6745" t="s">
        <v>114</v>
      </c>
      <c r="E6745" s="4" t="str">
        <f>HYPERLINK("https://ibp.a2mac1.com/costing(costing:projects/details/9760/equipment/12212212)","DC machine - General")</f>
        <v>DC machine - General</v>
      </c>
      <c r="F6745" t="s">
        <v>6936</v>
      </c>
    </row>
    <row r="6746" spans="1:6" x14ac:dyDescent="0.15">
      <c r="A6746">
        <v>8415700</v>
      </c>
      <c r="B6746">
        <v>8415591</v>
      </c>
      <c r="C6746" t="s">
        <v>10</v>
      </c>
      <c r="D6746" t="s">
        <v>8</v>
      </c>
      <c r="E6746" s="4" t="str">
        <f>HYPERLINK("https://ibp.a2mac1.com/costing(costing:projects/details/9760/part/8415700)","B Pillar Trim Seal 2")</f>
        <v>B Pillar Trim Seal 2</v>
      </c>
      <c r="F6746" t="s">
        <v>6926</v>
      </c>
    </row>
    <row r="6747" spans="1:6" x14ac:dyDescent="0.15">
      <c r="A6747">
        <v>12085121</v>
      </c>
      <c r="B6747">
        <v>8415700</v>
      </c>
      <c r="C6747" t="s">
        <v>114</v>
      </c>
      <c r="D6747" t="s">
        <v>10</v>
      </c>
      <c r="E6747" s="4" t="str">
        <f>HYPERLINK("https://ibp.a2mac1.com/costing(costing:projects/details/9760/process/12085121)","Automated Process")</f>
        <v>Automated Process</v>
      </c>
      <c r="F6747" t="s">
        <v>6938</v>
      </c>
    </row>
    <row r="6748" spans="1:6" x14ac:dyDescent="0.15">
      <c r="A6748">
        <v>8754617</v>
      </c>
      <c r="B6748">
        <v>12085121</v>
      </c>
      <c r="C6748" t="s">
        <v>22</v>
      </c>
      <c r="D6748" t="s">
        <v>114</v>
      </c>
      <c r="E6748" s="4" t="str">
        <f>HYPERLINK("https://ibp.a2mac1.com/costing(costing:projects/details/9760/material/8754617)","EPDM")</f>
        <v>EPDM</v>
      </c>
      <c r="F6748" t="s">
        <v>6939</v>
      </c>
    </row>
    <row r="6749" spans="1:6" x14ac:dyDescent="0.15">
      <c r="A6749">
        <v>12212213</v>
      </c>
      <c r="B6749">
        <v>12085121</v>
      </c>
      <c r="C6749" t="s">
        <v>163</v>
      </c>
      <c r="D6749" t="s">
        <v>114</v>
      </c>
      <c r="E6749" s="4" t="str">
        <f>HYPERLINK("https://ibp.a2mac1.com/costing(costing:projects/details/9760/equipment/12212213)","DC machine - General")</f>
        <v>DC machine - General</v>
      </c>
      <c r="F6749" t="s">
        <v>6939</v>
      </c>
    </row>
    <row r="6750" spans="1:6" x14ac:dyDescent="0.15">
      <c r="A6750">
        <v>8754322</v>
      </c>
      <c r="B6750">
        <v>8415591</v>
      </c>
      <c r="C6750" t="s">
        <v>311</v>
      </c>
      <c r="D6750" t="s">
        <v>8</v>
      </c>
      <c r="E6750" s="4" t="str">
        <f>HYPERLINK("https://ibp.a2mac1.com/costing(costing:projects/details/9760/component/8754322)","Panel holder &gt; Clips in round hole")</f>
        <v>Panel holder &gt; Clips in round hole</v>
      </c>
      <c r="F6750" t="s">
        <v>6926</v>
      </c>
    </row>
    <row r="6751" spans="1:6" x14ac:dyDescent="0.15">
      <c r="A6751">
        <v>8754323</v>
      </c>
      <c r="B6751">
        <v>8415591</v>
      </c>
      <c r="C6751" t="s">
        <v>311</v>
      </c>
      <c r="D6751" t="s">
        <v>8</v>
      </c>
      <c r="E6751" s="4" t="str">
        <f>HYPERLINK("https://ibp.a2mac1.com/costing(costing:projects/details/9760/component/8754323)","Screw &gt; Torx socket head cap screw with flange")</f>
        <v>Screw &gt; Torx socket head cap screw with flange</v>
      </c>
      <c r="F6751" t="s">
        <v>6926</v>
      </c>
    </row>
    <row r="6752" spans="1:6" x14ac:dyDescent="0.15">
      <c r="A6752">
        <v>8415592</v>
      </c>
      <c r="B6752">
        <v>8415577</v>
      </c>
      <c r="C6752" t="s">
        <v>8</v>
      </c>
      <c r="D6752" t="s">
        <v>8</v>
      </c>
      <c r="E6752" s="4" t="str">
        <f>HYPERLINK("https://ibp.a2mac1.com/costing(costing:projects/details/9760/assembly/8415592)","Roof Trim")</f>
        <v>Roof Trim</v>
      </c>
      <c r="F6752" t="s">
        <v>6896</v>
      </c>
    </row>
    <row r="6753" spans="1:6" x14ac:dyDescent="0.15">
      <c r="A6753">
        <v>8415701</v>
      </c>
      <c r="B6753">
        <v>8415592</v>
      </c>
      <c r="C6753" t="s">
        <v>10</v>
      </c>
      <c r="D6753" t="s">
        <v>8</v>
      </c>
      <c r="E6753" s="4" t="str">
        <f>HYPERLINK("https://ibp.a2mac1.com/costing(costing:projects/details/9760/part/8415701)","Roof Trim Side")</f>
        <v>Roof Trim Side</v>
      </c>
      <c r="F6753" t="s">
        <v>6942</v>
      </c>
    </row>
    <row r="6754" spans="1:6" x14ac:dyDescent="0.15">
      <c r="A6754">
        <v>12085122</v>
      </c>
      <c r="B6754">
        <v>8415701</v>
      </c>
      <c r="C6754" t="s">
        <v>114</v>
      </c>
      <c r="D6754" t="s">
        <v>10</v>
      </c>
      <c r="E6754" s="4" t="str">
        <f>HYPERLINK("https://ibp.a2mac1.com/costing(costing:projects/details/9760/process/12085122)","Aluminum extrusion")</f>
        <v>Aluminum extrusion</v>
      </c>
      <c r="F6754" t="s">
        <v>6943</v>
      </c>
    </row>
    <row r="6755" spans="1:6" x14ac:dyDescent="0.15">
      <c r="A6755">
        <v>8754618</v>
      </c>
      <c r="B6755">
        <v>12085122</v>
      </c>
      <c r="C6755" t="s">
        <v>22</v>
      </c>
      <c r="D6755" t="s">
        <v>114</v>
      </c>
      <c r="E6755" s="4" t="str">
        <f>HYPERLINK("https://ibp.a2mac1.com/costing(costing:projects/details/9760/material/8754618)","Aluminum for extrusion (default, e.g. EN-AW6016)")</f>
        <v>Aluminum for extrusion (default, e.g. EN-AW6016)</v>
      </c>
      <c r="F6755" t="s">
        <v>6946</v>
      </c>
    </row>
    <row r="6756" spans="1:6" x14ac:dyDescent="0.15">
      <c r="A6756">
        <v>12212214</v>
      </c>
      <c r="B6756">
        <v>12085122</v>
      </c>
      <c r="C6756" t="s">
        <v>163</v>
      </c>
      <c r="D6756" t="s">
        <v>114</v>
      </c>
      <c r="E6756" s="4" t="str">
        <f>HYPERLINK("https://ibp.a2mac1.com/costing(costing:projects/details/9760/equipment/12212214)","No.01 - Extrusion Press Line - 600T ")</f>
        <v xml:space="preserve">No.01 - Extrusion Press Line - 600T </v>
      </c>
      <c r="F6756" t="s">
        <v>6946</v>
      </c>
    </row>
    <row r="6757" spans="1:6" x14ac:dyDescent="0.15">
      <c r="A6757">
        <v>8415702</v>
      </c>
      <c r="B6757">
        <v>8415592</v>
      </c>
      <c r="C6757" t="s">
        <v>10</v>
      </c>
      <c r="D6757" t="s">
        <v>8</v>
      </c>
      <c r="E6757" s="4" t="str">
        <f>HYPERLINK("https://ibp.a2mac1.com/costing(costing:projects/details/9760/part/8415702)","Front")</f>
        <v>Front</v>
      </c>
      <c r="F6757" t="s">
        <v>6942</v>
      </c>
    </row>
    <row r="6758" spans="1:6" x14ac:dyDescent="0.15">
      <c r="A6758">
        <v>12085123</v>
      </c>
      <c r="B6758">
        <v>8415702</v>
      </c>
      <c r="C6758" t="s">
        <v>114</v>
      </c>
      <c r="D6758" t="s">
        <v>10</v>
      </c>
      <c r="E6758" s="4" t="str">
        <f>HYPERLINK("https://ibp.a2mac1.com/costing(costing:projects/details/9760/process/12085123)","Injection molding")</f>
        <v>Injection molding</v>
      </c>
      <c r="F6758" t="s">
        <v>6949</v>
      </c>
    </row>
    <row r="6759" spans="1:6" x14ac:dyDescent="0.15">
      <c r="A6759">
        <v>8754619</v>
      </c>
      <c r="B6759">
        <v>12085123</v>
      </c>
      <c r="C6759" t="s">
        <v>22</v>
      </c>
      <c r="D6759" t="s">
        <v>114</v>
      </c>
      <c r="E6759" s="4" t="str">
        <f>HYPERLINK("https://ibp.a2mac1.com/costing(costing:projects/details/9760/material/8754619)","PC")</f>
        <v>PC</v>
      </c>
      <c r="F6759" t="s">
        <v>6952</v>
      </c>
    </row>
    <row r="6760" spans="1:6" x14ac:dyDescent="0.15">
      <c r="A6760">
        <v>12212215</v>
      </c>
      <c r="B6760">
        <v>12085123</v>
      </c>
      <c r="C6760" t="s">
        <v>163</v>
      </c>
      <c r="D6760" t="s">
        <v>114</v>
      </c>
      <c r="E6760" s="4" t="str">
        <f>HYPERLINK("https://ibp.a2mac1.com/costing(costing:projects/details/9760/equipment/12212215)","No.14 - Injection Press - 1500T - 205kW - 1400x1250 - Max Volume 11230cm3 ")</f>
        <v xml:space="preserve">No.14 - Injection Press - 1500T - 205kW - 1400x1250 - Max Volume 11230cm3 </v>
      </c>
      <c r="F6760" t="s">
        <v>6952</v>
      </c>
    </row>
    <row r="6761" spans="1:6" x14ac:dyDescent="0.15">
      <c r="A6761">
        <v>8415703</v>
      </c>
      <c r="B6761">
        <v>8415592</v>
      </c>
      <c r="C6761" t="s">
        <v>10</v>
      </c>
      <c r="D6761" t="s">
        <v>8</v>
      </c>
      <c r="E6761" s="4" t="str">
        <f>HYPERLINK("https://ibp.a2mac1.com/costing(costing:projects/details/9760/part/8415703)","Front Seal")</f>
        <v>Front Seal</v>
      </c>
      <c r="F6761" t="s">
        <v>6942</v>
      </c>
    </row>
    <row r="6762" spans="1:6" x14ac:dyDescent="0.15">
      <c r="A6762">
        <v>12085124</v>
      </c>
      <c r="B6762">
        <v>8415703</v>
      </c>
      <c r="C6762" t="s">
        <v>114</v>
      </c>
      <c r="D6762" t="s">
        <v>10</v>
      </c>
      <c r="E6762" s="4" t="str">
        <f>HYPERLINK("https://ibp.a2mac1.com/costing(costing:projects/details/9760/process/12085124)","Seal Extrusion ")</f>
        <v xml:space="preserve">Seal Extrusion </v>
      </c>
      <c r="F6762" t="s">
        <v>6955</v>
      </c>
    </row>
    <row r="6763" spans="1:6" x14ac:dyDescent="0.15">
      <c r="A6763">
        <v>8754620</v>
      </c>
      <c r="B6763">
        <v>12085124</v>
      </c>
      <c r="C6763" t="s">
        <v>22</v>
      </c>
      <c r="D6763" t="s">
        <v>114</v>
      </c>
      <c r="E6763" s="4" t="str">
        <f>HYPERLINK("https://ibp.a2mac1.com/costing(costing:projects/details/9760/material/8754620)","TPE")</f>
        <v>TPE</v>
      </c>
      <c r="F6763" t="s">
        <v>6956</v>
      </c>
    </row>
    <row r="6764" spans="1:6" x14ac:dyDescent="0.15">
      <c r="A6764">
        <v>12212216</v>
      </c>
      <c r="B6764">
        <v>12085124</v>
      </c>
      <c r="C6764" t="s">
        <v>163</v>
      </c>
      <c r="D6764" t="s">
        <v>114</v>
      </c>
      <c r="E6764" s="4" t="str">
        <f>HYPERLINK("https://ibp.a2mac1.com/costing(costing:projects/details/9760/equipment/12212216)","Rubber Extrusion machine")</f>
        <v>Rubber Extrusion machine</v>
      </c>
      <c r="F6764" t="s">
        <v>6956</v>
      </c>
    </row>
    <row r="6765" spans="1:6" x14ac:dyDescent="0.15">
      <c r="A6765">
        <v>8415704</v>
      </c>
      <c r="B6765">
        <v>8415592</v>
      </c>
      <c r="C6765" t="s">
        <v>10</v>
      </c>
      <c r="D6765" t="s">
        <v>8</v>
      </c>
      <c r="E6765" s="4" t="str">
        <f>HYPERLINK("https://ibp.a2mac1.com/costing(costing:projects/details/9760/part/8415704)","Front Seal right")</f>
        <v>Front Seal right</v>
      </c>
      <c r="F6765" t="s">
        <v>6942</v>
      </c>
    </row>
    <row r="6766" spans="1:6" x14ac:dyDescent="0.15">
      <c r="A6766">
        <v>12085125</v>
      </c>
      <c r="B6766">
        <v>8415704</v>
      </c>
      <c r="C6766" t="s">
        <v>114</v>
      </c>
      <c r="D6766" t="s">
        <v>10</v>
      </c>
      <c r="E6766" s="4" t="str">
        <f>HYPERLINK("https://ibp.a2mac1.com/costing(costing:projects/details/9760/process/12085125)","Seal Extrusion ")</f>
        <v xml:space="preserve">Seal Extrusion </v>
      </c>
      <c r="F6766" t="s">
        <v>6958</v>
      </c>
    </row>
    <row r="6767" spans="1:6" x14ac:dyDescent="0.15">
      <c r="A6767">
        <v>8754621</v>
      </c>
      <c r="B6767">
        <v>12085125</v>
      </c>
      <c r="C6767" t="s">
        <v>22</v>
      </c>
      <c r="D6767" t="s">
        <v>114</v>
      </c>
      <c r="E6767" s="4" t="str">
        <f>HYPERLINK("https://ibp.a2mac1.com/costing(costing:projects/details/9760/material/8754621)","TPE")</f>
        <v>TPE</v>
      </c>
      <c r="F6767" t="s">
        <v>6959</v>
      </c>
    </row>
    <row r="6768" spans="1:6" x14ac:dyDescent="0.15">
      <c r="A6768">
        <v>12212217</v>
      </c>
      <c r="B6768">
        <v>12085125</v>
      </c>
      <c r="C6768" t="s">
        <v>163</v>
      </c>
      <c r="D6768" t="s">
        <v>114</v>
      </c>
      <c r="E6768" s="4" t="str">
        <f>HYPERLINK("https://ibp.a2mac1.com/costing(costing:projects/details/9760/equipment/12212217)","Rubber Extrusion machine")</f>
        <v>Rubber Extrusion machine</v>
      </c>
      <c r="F6768" t="s">
        <v>6959</v>
      </c>
    </row>
    <row r="6769" spans="1:6" x14ac:dyDescent="0.15">
      <c r="A6769">
        <v>8754324</v>
      </c>
      <c r="B6769">
        <v>8415592</v>
      </c>
      <c r="C6769" t="s">
        <v>311</v>
      </c>
      <c r="D6769" t="s">
        <v>8</v>
      </c>
      <c r="E6769" s="4" t="str">
        <f>HYPERLINK("https://ibp.a2mac1.com/costing(costing:projects/details/9760/component/8754324)","Screw &gt; Torx socket head cap screw with flange")</f>
        <v>Screw &gt; Torx socket head cap screw with flange</v>
      </c>
      <c r="F6769" t="s">
        <v>6942</v>
      </c>
    </row>
    <row r="6770" spans="1:6" x14ac:dyDescent="0.15">
      <c r="A6770">
        <v>8415593</v>
      </c>
      <c r="B6770">
        <v>8415577</v>
      </c>
      <c r="C6770" t="s">
        <v>8</v>
      </c>
      <c r="D6770" t="s">
        <v>8</v>
      </c>
      <c r="E6770" s="4" t="str">
        <f>HYPERLINK("https://ibp.a2mac1.com/costing(costing:projects/details/9760/assembly/8415593)","Decompression System")</f>
        <v>Decompression System</v>
      </c>
      <c r="F6770" t="s">
        <v>6896</v>
      </c>
    </row>
    <row r="6771" spans="1:6" x14ac:dyDescent="0.15">
      <c r="A6771">
        <v>8415705</v>
      </c>
      <c r="B6771">
        <v>8415593</v>
      </c>
      <c r="C6771" t="s">
        <v>10</v>
      </c>
      <c r="D6771" t="s">
        <v>8</v>
      </c>
      <c r="E6771" s="4" t="str">
        <f>HYPERLINK("https://ibp.a2mac1.com/costing(costing:projects/details/9760/part/8415705)","Decompression Air Vent")</f>
        <v>Decompression Air Vent</v>
      </c>
      <c r="F6771" t="s">
        <v>6962</v>
      </c>
    </row>
    <row r="6772" spans="1:6" x14ac:dyDescent="0.15">
      <c r="A6772">
        <v>8415706</v>
      </c>
      <c r="B6772">
        <v>8415593</v>
      </c>
      <c r="C6772" t="s">
        <v>10</v>
      </c>
      <c r="D6772" t="s">
        <v>8</v>
      </c>
      <c r="E6772" s="4" t="str">
        <f>HYPERLINK("https://ibp.a2mac1.com/costing(costing:projects/details/9760/part/8415706)","2nd Air Vent Right if Different")</f>
        <v>2nd Air Vent Right if Different</v>
      </c>
      <c r="F6772" t="s">
        <v>6962</v>
      </c>
    </row>
    <row r="6773" spans="1:6" x14ac:dyDescent="0.15">
      <c r="A6773">
        <v>8415707</v>
      </c>
      <c r="B6773">
        <v>8415593</v>
      </c>
      <c r="C6773" t="s">
        <v>10</v>
      </c>
      <c r="D6773" t="s">
        <v>8</v>
      </c>
      <c r="E6773" s="4" t="str">
        <f>HYPERLINK("https://ibp.a2mac1.com/costing(costing:projects/details/9760/part/8415707)","Air Duct")</f>
        <v>Air Duct</v>
      </c>
      <c r="F6773" t="s">
        <v>6962</v>
      </c>
    </row>
    <row r="6774" spans="1:6" x14ac:dyDescent="0.15">
      <c r="A6774">
        <v>12085126</v>
      </c>
      <c r="B6774">
        <v>8415707</v>
      </c>
      <c r="C6774" t="s">
        <v>114</v>
      </c>
      <c r="D6774" t="s">
        <v>10</v>
      </c>
      <c r="E6774" s="4" t="str">
        <f>HYPERLINK("https://ibp.a2mac1.com/costing(costing:projects/details/9760/process/12085126)","Injection molding")</f>
        <v>Injection molding</v>
      </c>
      <c r="F6774" t="s">
        <v>6966</v>
      </c>
    </row>
    <row r="6775" spans="1:6" x14ac:dyDescent="0.15">
      <c r="A6775">
        <v>8754622</v>
      </c>
      <c r="B6775">
        <v>12085126</v>
      </c>
      <c r="C6775" t="s">
        <v>22</v>
      </c>
      <c r="D6775" t="s">
        <v>114</v>
      </c>
      <c r="E6775" s="4" t="str">
        <f>HYPERLINK("https://ibp.a2mac1.com/costing(costing:projects/details/9760/material/8754622)","PP-TD20")</f>
        <v>PP-TD20</v>
      </c>
      <c r="F6775" t="s">
        <v>6968</v>
      </c>
    </row>
    <row r="6776" spans="1:6" x14ac:dyDescent="0.15">
      <c r="A6776">
        <v>12212218</v>
      </c>
      <c r="B6776">
        <v>12085126</v>
      </c>
      <c r="C6776" t="s">
        <v>163</v>
      </c>
      <c r="D6776" t="s">
        <v>114</v>
      </c>
      <c r="E6776" s="4" t="str">
        <f>HYPERLINK("https://ibp.a2mac1.com/costing(costing:projects/details/9760/equipment/12212218)","No.03 - Injection Press - 80T - 30kW - 370x370 - Max Volume 260cm3 ")</f>
        <v xml:space="preserve">No.03 - Injection Press - 80T - 30kW - 370x370 - Max Volume 260cm3 </v>
      </c>
      <c r="F6776" t="s">
        <v>6968</v>
      </c>
    </row>
    <row r="6777" spans="1:6" x14ac:dyDescent="0.15">
      <c r="A6777">
        <v>8415708</v>
      </c>
      <c r="B6777">
        <v>8415593</v>
      </c>
      <c r="C6777" t="s">
        <v>10</v>
      </c>
      <c r="D6777" t="s">
        <v>8</v>
      </c>
      <c r="E6777" s="4" t="str">
        <f>HYPERLINK("https://ibp.a2mac1.com/costing(costing:projects/details/9760/part/8415708)","2nd Air Duct Right if Different")</f>
        <v>2nd Air Duct Right if Different</v>
      </c>
      <c r="F6777" t="s">
        <v>6962</v>
      </c>
    </row>
    <row r="6778" spans="1:6" x14ac:dyDescent="0.15">
      <c r="A6778">
        <v>12085127</v>
      </c>
      <c r="B6778">
        <v>8415708</v>
      </c>
      <c r="C6778" t="s">
        <v>114</v>
      </c>
      <c r="D6778" t="s">
        <v>10</v>
      </c>
      <c r="E6778" s="4" t="str">
        <f>HYPERLINK("https://ibp.a2mac1.com/costing(costing:projects/details/9760/process/12085127)","Injection molding")</f>
        <v>Injection molding</v>
      </c>
      <c r="F6778" t="s">
        <v>6971</v>
      </c>
    </row>
    <row r="6779" spans="1:6" x14ac:dyDescent="0.15">
      <c r="A6779">
        <v>8754623</v>
      </c>
      <c r="B6779">
        <v>12085127</v>
      </c>
      <c r="C6779" t="s">
        <v>22</v>
      </c>
      <c r="D6779" t="s">
        <v>114</v>
      </c>
      <c r="E6779" s="4" t="str">
        <f>HYPERLINK("https://ibp.a2mac1.com/costing(costing:projects/details/9760/material/8754623)","PP-TD20")</f>
        <v>PP-TD20</v>
      </c>
      <c r="F6779" t="s">
        <v>6972</v>
      </c>
    </row>
    <row r="6780" spans="1:6" x14ac:dyDescent="0.15">
      <c r="A6780">
        <v>12212219</v>
      </c>
      <c r="B6780">
        <v>12085127</v>
      </c>
      <c r="C6780" t="s">
        <v>163</v>
      </c>
      <c r="D6780" t="s">
        <v>114</v>
      </c>
      <c r="E6780" s="4" t="str">
        <f>HYPERLINK("https://ibp.a2mac1.com/costing(costing:projects/details/9760/equipment/12212219)","No.03 - Injection Press - 80T - 30kW - 370x370 - Max Volume 260cm3 ")</f>
        <v xml:space="preserve">No.03 - Injection Press - 80T - 30kW - 370x370 - Max Volume 260cm3 </v>
      </c>
      <c r="F6780" t="s">
        <v>6972</v>
      </c>
    </row>
    <row r="6781" spans="1:6" x14ac:dyDescent="0.15">
      <c r="A6781">
        <v>8415594</v>
      </c>
      <c r="B6781">
        <v>8415577</v>
      </c>
      <c r="C6781" t="s">
        <v>8</v>
      </c>
      <c r="D6781" t="s">
        <v>8</v>
      </c>
      <c r="E6781" s="4" t="str">
        <f>HYPERLINK("https://ibp.a2mac1.com/costing(costing:projects/details/9760/assembly/8415594)","Body Reinforcement")</f>
        <v>Body Reinforcement</v>
      </c>
      <c r="F6781" t="s">
        <v>6896</v>
      </c>
    </row>
    <row r="6782" spans="1:6" x14ac:dyDescent="0.15">
      <c r="A6782">
        <v>8415709</v>
      </c>
      <c r="B6782">
        <v>8415594</v>
      </c>
      <c r="C6782" t="s">
        <v>8</v>
      </c>
      <c r="D6782" t="s">
        <v>8</v>
      </c>
      <c r="E6782" s="4" t="str">
        <f>HYPERLINK("https://ibp.a2mac1.com/costing(costing:projects/details/9760/assembly/8415709)","Front Reinforcement")</f>
        <v>Front Reinforcement</v>
      </c>
      <c r="F6782" t="s">
        <v>6975</v>
      </c>
    </row>
    <row r="6783" spans="1:6" x14ac:dyDescent="0.15">
      <c r="A6783">
        <v>8416045</v>
      </c>
      <c r="B6783">
        <v>8415709</v>
      </c>
      <c r="C6783" t="s">
        <v>8</v>
      </c>
      <c r="D6783" t="s">
        <v>8</v>
      </c>
      <c r="E6783" s="4" t="str">
        <f>HYPERLINK("https://ibp.a2mac1.com/costing(costing:projects/details/9760/assembly/8416045)","Fasteners")</f>
        <v>Fasteners</v>
      </c>
      <c r="F6783" t="s">
        <v>6976</v>
      </c>
    </row>
    <row r="6784" spans="1:6" x14ac:dyDescent="0.15">
      <c r="A6784">
        <v>8754624</v>
      </c>
      <c r="B6784">
        <v>8416045</v>
      </c>
      <c r="C6784" t="s">
        <v>311</v>
      </c>
      <c r="D6784" t="s">
        <v>8</v>
      </c>
      <c r="E6784" s="4" t="str">
        <f>HYPERLINK("https://ibp.a2mac1.com/costing(costing:projects/details/9760/component/8754624)","Screw &gt; Hexagon screw with flange")</f>
        <v>Screw &gt; Hexagon screw with flange</v>
      </c>
      <c r="F6784" t="s">
        <v>6977</v>
      </c>
    </row>
    <row r="6785" spans="1:6" x14ac:dyDescent="0.15">
      <c r="A6785">
        <v>8754625</v>
      </c>
      <c r="B6785">
        <v>8416045</v>
      </c>
      <c r="C6785" t="s">
        <v>311</v>
      </c>
      <c r="D6785" t="s">
        <v>8</v>
      </c>
      <c r="E6785" s="4" t="str">
        <f>HYPERLINK("https://ibp.a2mac1.com/costing(costing:projects/details/9760/component/8754625)","Screw &gt; Hexagon screw with flange and captive washer")</f>
        <v>Screw &gt; Hexagon screw with flange and captive washer</v>
      </c>
      <c r="F6785" t="s">
        <v>6977</v>
      </c>
    </row>
    <row r="6786" spans="1:6" x14ac:dyDescent="0.15">
      <c r="A6786">
        <v>8754626</v>
      </c>
      <c r="B6786">
        <v>8416045</v>
      </c>
      <c r="C6786" t="s">
        <v>311</v>
      </c>
      <c r="D6786" t="s">
        <v>8</v>
      </c>
      <c r="E6786" s="4" t="str">
        <f>HYPERLINK("https://ibp.a2mac1.com/costing(costing:projects/details/9760/component/8754626)","Screw &gt; Hexagon screw with flange")</f>
        <v>Screw &gt; Hexagon screw with flange</v>
      </c>
      <c r="F6786" t="s">
        <v>6977</v>
      </c>
    </row>
    <row r="6787" spans="1:6" x14ac:dyDescent="0.15">
      <c r="A6787">
        <v>8416048</v>
      </c>
      <c r="B6787">
        <v>8415709</v>
      </c>
      <c r="C6787" t="s">
        <v>8</v>
      </c>
      <c r="D6787" t="s">
        <v>8</v>
      </c>
      <c r="E6787" s="4" t="str">
        <f>HYPERLINK("https://ibp.a2mac1.com/costing(costing:projects/details/9760/assembly/8416048)","Bolt-on parts &gt; Front structure &gt; Engine compartment reinforcement assy​  ID 129 ")</f>
        <v xml:space="preserve">Bolt-on parts &gt; Front structure &gt; Engine compartment reinforcement assy​  ID 129 </v>
      </c>
      <c r="F6787" t="s">
        <v>6976</v>
      </c>
    </row>
    <row r="6788" spans="1:6" x14ac:dyDescent="0.15">
      <c r="A6788">
        <v>12085355</v>
      </c>
      <c r="B6788">
        <v>8416048</v>
      </c>
      <c r="C6788" t="s">
        <v>114</v>
      </c>
      <c r="D6788" t="s">
        <v>8</v>
      </c>
      <c r="E6788" s="4" t="str">
        <f>HYPERLINK("https://ibp.a2mac1.com/costing(costing:projects/details/9760/process/12085355)","Melting")</f>
        <v>Melting</v>
      </c>
      <c r="F6788" t="s">
        <v>6978</v>
      </c>
    </row>
    <row r="6789" spans="1:6" x14ac:dyDescent="0.15">
      <c r="A6789">
        <v>8755034</v>
      </c>
      <c r="B6789">
        <v>12085355</v>
      </c>
      <c r="C6789" t="s">
        <v>22</v>
      </c>
      <c r="D6789" t="s">
        <v>114</v>
      </c>
      <c r="E6789" s="4" t="str">
        <f>HYPERLINK("https://ibp.a2mac1.com/costing(costing:projects/details/9760/material/8755034)","EN AC-43000 / EN AC-AlSi10Mg  / AA43000 (Ingot)")</f>
        <v>EN AC-43000 / EN AC-AlSi10Mg  / AA43000 (Ingot)</v>
      </c>
      <c r="F6789" t="s">
        <v>6981</v>
      </c>
    </row>
    <row r="6790" spans="1:6" x14ac:dyDescent="0.15">
      <c r="A6790">
        <v>12212451</v>
      </c>
      <c r="B6790">
        <v>12085355</v>
      </c>
      <c r="C6790" t="s">
        <v>163</v>
      </c>
      <c r="D6790" t="s">
        <v>114</v>
      </c>
      <c r="E6790" s="4" t="str">
        <f>HYPERLINK("https://ibp.a2mac1.com/costing(costing:projects/details/9760/equipment/12212451)","Melting furnace, 1000kg/h, elc., incl. Holding furnance  ")</f>
        <v xml:space="preserve">Melting furnace, 1000kg/h, elc., incl. Holding furnance  </v>
      </c>
      <c r="F6790" t="s">
        <v>6981</v>
      </c>
    </row>
    <row r="6791" spans="1:6" x14ac:dyDescent="0.15">
      <c r="A6791">
        <v>12085356</v>
      </c>
      <c r="B6791">
        <v>8416048</v>
      </c>
      <c r="C6791" t="s">
        <v>114</v>
      </c>
      <c r="D6791" t="s">
        <v>8</v>
      </c>
      <c r="E6791" s="4" t="str">
        <f>HYPERLINK("https://ibp.a2mac1.com/costing(costing:projects/details/9760/process/12085356)","Casting")</f>
        <v>Casting</v>
      </c>
      <c r="F6791" t="s">
        <v>6978</v>
      </c>
    </row>
    <row r="6792" spans="1:6" x14ac:dyDescent="0.15">
      <c r="A6792">
        <v>12212452</v>
      </c>
      <c r="B6792">
        <v>12085356</v>
      </c>
      <c r="C6792" t="s">
        <v>163</v>
      </c>
      <c r="D6792" t="s">
        <v>114</v>
      </c>
      <c r="E6792" s="4" t="str">
        <f>HYPERLINK("https://ibp.a2mac1.com/costing(costing:projects/details/9760/equipment/12212452)","No.07 - Idra - OL 1600 S ")</f>
        <v xml:space="preserve">No.07 - Idra - OL 1600 S </v>
      </c>
      <c r="F6792" t="s">
        <v>6982</v>
      </c>
    </row>
    <row r="6793" spans="1:6" x14ac:dyDescent="0.15">
      <c r="A6793">
        <v>12085357</v>
      </c>
      <c r="B6793">
        <v>8416048</v>
      </c>
      <c r="C6793" t="s">
        <v>114</v>
      </c>
      <c r="D6793" t="s">
        <v>8</v>
      </c>
      <c r="E6793" s="4" t="str">
        <f>HYPERLINK("https://ibp.a2mac1.com/costing(costing:projects/details/9760/process/12085357)","Trimming")</f>
        <v>Trimming</v>
      </c>
      <c r="F6793" t="s">
        <v>6978</v>
      </c>
    </row>
    <row r="6794" spans="1:6" x14ac:dyDescent="0.15">
      <c r="A6794">
        <v>12212453</v>
      </c>
      <c r="B6794">
        <v>12085357</v>
      </c>
      <c r="C6794" t="s">
        <v>163</v>
      </c>
      <c r="D6794" t="s">
        <v>114</v>
      </c>
      <c r="E6794" s="4" t="str">
        <f>HYPERLINK("https://ibp.a2mac1.com/costing(costing:projects/details/9760/equipment/12212453)","Deburring press, 50t ")</f>
        <v xml:space="preserve">Deburring press, 50t </v>
      </c>
      <c r="F6794" t="s">
        <v>6984</v>
      </c>
    </row>
    <row r="6795" spans="1:6" x14ac:dyDescent="0.15">
      <c r="A6795">
        <v>12085358</v>
      </c>
      <c r="B6795">
        <v>8416048</v>
      </c>
      <c r="C6795" t="s">
        <v>114</v>
      </c>
      <c r="D6795" t="s">
        <v>8</v>
      </c>
      <c r="E6795" s="4" t="str">
        <f>HYPERLINK("https://ibp.a2mac1.com/costing(costing:projects/details/9760/process/12085358)","Shaping")</f>
        <v>Shaping</v>
      </c>
      <c r="F6795" t="s">
        <v>6978</v>
      </c>
    </row>
    <row r="6796" spans="1:6" x14ac:dyDescent="0.15">
      <c r="A6796">
        <v>12212454</v>
      </c>
      <c r="B6796">
        <v>12085358</v>
      </c>
      <c r="C6796" t="s">
        <v>163</v>
      </c>
      <c r="D6796" t="s">
        <v>114</v>
      </c>
      <c r="E6796" s="4" t="str">
        <f>HYPERLINK("https://ibp.a2mac1.com/costing(costing:projects/details/9760/equipment/12212454)","No.02 - Regular Mechanical Press - 200T ")</f>
        <v xml:space="preserve">No.02 - Regular Mechanical Press - 200T </v>
      </c>
      <c r="F6796" t="s">
        <v>6985</v>
      </c>
    </row>
    <row r="6797" spans="1:6" x14ac:dyDescent="0.15">
      <c r="A6797">
        <v>12085359</v>
      </c>
      <c r="B6797">
        <v>8416048</v>
      </c>
      <c r="C6797" t="s">
        <v>114</v>
      </c>
      <c r="D6797" t="s">
        <v>8</v>
      </c>
      <c r="E6797" s="4" t="str">
        <f>HYPERLINK("https://ibp.a2mac1.com/costing(costing:projects/details/9760/process/12085359)","Heat treatment")</f>
        <v>Heat treatment</v>
      </c>
      <c r="F6797" t="s">
        <v>6978</v>
      </c>
    </row>
    <row r="6798" spans="1:6" x14ac:dyDescent="0.15">
      <c r="A6798">
        <v>12212455</v>
      </c>
      <c r="B6798">
        <v>12085359</v>
      </c>
      <c r="C6798" t="s">
        <v>163</v>
      </c>
      <c r="D6798" t="s">
        <v>114</v>
      </c>
      <c r="E6798" s="4" t="str">
        <f>HYPERLINK("https://ibp.a2mac1.com/costing(costing:projects/details/9760/equipment/12212455)","Furnace hardening line ")</f>
        <v xml:space="preserve">Furnace hardening line </v>
      </c>
      <c r="F6798" t="s">
        <v>6986</v>
      </c>
    </row>
    <row r="6799" spans="1:6" x14ac:dyDescent="0.15">
      <c r="A6799">
        <v>12085360</v>
      </c>
      <c r="B6799">
        <v>8416048</v>
      </c>
      <c r="C6799" t="s">
        <v>114</v>
      </c>
      <c r="D6799" t="s">
        <v>8</v>
      </c>
      <c r="E6799" s="4" t="str">
        <f>HYPERLINK("https://ibp.a2mac1.com/costing(costing:projects/details/9760/process/12085360)","Machining")</f>
        <v>Machining</v>
      </c>
      <c r="F6799" t="s">
        <v>6978</v>
      </c>
    </row>
    <row r="6800" spans="1:6" x14ac:dyDescent="0.15">
      <c r="A6800">
        <v>12212456</v>
      </c>
      <c r="B6800">
        <v>12085360</v>
      </c>
      <c r="C6800" t="s">
        <v>163</v>
      </c>
      <c r="D6800" t="s">
        <v>114</v>
      </c>
      <c r="E6800" s="4" t="str">
        <f>HYPERLINK("https://ibp.a2mac1.com/costing(costing:projects/details/9760/equipment/12212456)","Machining Center, medium ")</f>
        <v xml:space="preserve">Machining Center, medium </v>
      </c>
      <c r="F6800" t="s">
        <v>6988</v>
      </c>
    </row>
    <row r="6801" spans="1:6" x14ac:dyDescent="0.15">
      <c r="A6801">
        <v>12085361</v>
      </c>
      <c r="B6801">
        <v>8416048</v>
      </c>
      <c r="C6801" t="s">
        <v>114</v>
      </c>
      <c r="D6801" t="s">
        <v>8</v>
      </c>
      <c r="E6801" s="4" t="str">
        <f>HYPERLINK("https://ibp.a2mac1.com/costing(costing:projects/details/9760/process/12085361)","Deburring")</f>
        <v>Deburring</v>
      </c>
      <c r="F6801" t="s">
        <v>6978</v>
      </c>
    </row>
    <row r="6802" spans="1:6" x14ac:dyDescent="0.15">
      <c r="A6802">
        <v>12212457</v>
      </c>
      <c r="B6802">
        <v>12085361</v>
      </c>
      <c r="C6802" t="s">
        <v>163</v>
      </c>
      <c r="D6802" t="s">
        <v>114</v>
      </c>
      <c r="E6802" s="4" t="str">
        <f>HYPERLINK("https://ibp.a2mac1.com/costing(costing:projects/details/9760/equipment/12212457)","Assembly Station ")</f>
        <v xml:space="preserve">Assembly Station </v>
      </c>
      <c r="F6802" t="s">
        <v>6989</v>
      </c>
    </row>
    <row r="6803" spans="1:6" x14ac:dyDescent="0.15">
      <c r="A6803">
        <v>12085362</v>
      </c>
      <c r="B6803">
        <v>8416048</v>
      </c>
      <c r="C6803" t="s">
        <v>114</v>
      </c>
      <c r="D6803" t="s">
        <v>8</v>
      </c>
      <c r="E6803" s="4" t="str">
        <f>HYPERLINK("https://ibp.a2mac1.com/costing(costing:projects/details/9760/process/12085362)","Cleaning")</f>
        <v>Cleaning</v>
      </c>
      <c r="F6803" t="s">
        <v>6978</v>
      </c>
    </row>
    <row r="6804" spans="1:6" x14ac:dyDescent="0.15">
      <c r="A6804">
        <v>12212458</v>
      </c>
      <c r="B6804">
        <v>12085362</v>
      </c>
      <c r="C6804" t="s">
        <v>163</v>
      </c>
      <c r="D6804" t="s">
        <v>114</v>
      </c>
      <c r="E6804" s="4" t="str">
        <f>HYPERLINK("https://ibp.a2mac1.com/costing(costing:projects/details/9760/equipment/12212458)","No.01 - Cleaning - Batch - 800x800x600 - 150kg/batch - 900kg/h ")</f>
        <v xml:space="preserve">No.01 - Cleaning - Batch - 800x800x600 - 150kg/batch - 900kg/h </v>
      </c>
      <c r="F6804" t="s">
        <v>6990</v>
      </c>
    </row>
    <row r="6805" spans="1:6" x14ac:dyDescent="0.15">
      <c r="A6805">
        <v>12085363</v>
      </c>
      <c r="B6805">
        <v>8416048</v>
      </c>
      <c r="C6805" t="s">
        <v>114</v>
      </c>
      <c r="D6805" t="s">
        <v>8</v>
      </c>
      <c r="E6805" s="4" t="str">
        <f>HYPERLINK("https://ibp.a2mac1.com/costing(costing:projects/details/9760/process/12085363)","laser mark")</f>
        <v>laser mark</v>
      </c>
      <c r="F6805" t="s">
        <v>6978</v>
      </c>
    </row>
    <row r="6806" spans="1:6" x14ac:dyDescent="0.15">
      <c r="A6806">
        <v>12212459</v>
      </c>
      <c r="B6806">
        <v>12085363</v>
      </c>
      <c r="C6806" t="s">
        <v>163</v>
      </c>
      <c r="D6806" t="s">
        <v>114</v>
      </c>
      <c r="E6806" s="4" t="str">
        <f>HYPERLINK("https://ibp.a2mac1.com/costing(costing:projects/details/9760/equipment/12212459)","Laser marking line ")</f>
        <v xml:space="preserve">Laser marking line </v>
      </c>
      <c r="F6806" t="s">
        <v>6991</v>
      </c>
    </row>
    <row r="6807" spans="1:6" x14ac:dyDescent="0.15">
      <c r="A6807">
        <v>12085364</v>
      </c>
      <c r="B6807">
        <v>8416048</v>
      </c>
      <c r="C6807" t="s">
        <v>114</v>
      </c>
      <c r="D6807" t="s">
        <v>8</v>
      </c>
      <c r="E6807" s="4" t="str">
        <f>HYPERLINK("https://ibp.a2mac1.com/costing(costing:projects/details/9760/process/12085364)","inspection and packaging")</f>
        <v>inspection and packaging</v>
      </c>
      <c r="F6807" t="s">
        <v>6978</v>
      </c>
    </row>
    <row r="6808" spans="1:6" x14ac:dyDescent="0.15">
      <c r="A6808">
        <v>12212460</v>
      </c>
      <c r="B6808">
        <v>12085364</v>
      </c>
      <c r="C6808" t="s">
        <v>163</v>
      </c>
      <c r="D6808" t="s">
        <v>114</v>
      </c>
      <c r="E6808" s="4" t="str">
        <f>HYPERLINK("https://ibp.a2mac1.com/costing(costing:projects/details/9760/equipment/12212460)","Packaging ")</f>
        <v xml:space="preserve">Packaging </v>
      </c>
      <c r="F6808" t="s">
        <v>6992</v>
      </c>
    </row>
    <row r="6809" spans="1:6" x14ac:dyDescent="0.15">
      <c r="A6809">
        <v>8416046</v>
      </c>
      <c r="B6809">
        <v>8415709</v>
      </c>
      <c r="C6809" t="s">
        <v>10</v>
      </c>
      <c r="D6809" t="s">
        <v>8</v>
      </c>
      <c r="E6809" s="4" t="str">
        <f>HYPERLINK("https://ibp.a2mac1.com/costing(costing:projects/details/9760/part/8416046)","&gt;Bolt-on parts&gt;Front structure&gt;Upper front cross member 01 assy&gt;Cross member&gt;Part 01 (single/main)")</f>
        <v>&gt;Bolt-on parts&gt;Front structure&gt;Upper front cross member 01 assy&gt;Cross member&gt;Part 01 (single/main)</v>
      </c>
      <c r="F6809" t="s">
        <v>6976</v>
      </c>
    </row>
    <row r="6810" spans="1:6" x14ac:dyDescent="0.15">
      <c r="A6810">
        <v>12085351</v>
      </c>
      <c r="B6810">
        <v>8416046</v>
      </c>
      <c r="C6810" t="s">
        <v>114</v>
      </c>
      <c r="D6810" t="s">
        <v>10</v>
      </c>
      <c r="E6810" s="4" t="str">
        <f>HYPERLINK("https://ibp.a2mac1.com/costing(costing:projects/details/9760/process/12085351)","MANUFACTURING  PROCESS")</f>
        <v>MANUFACTURING  PROCESS</v>
      </c>
      <c r="F6810" t="s">
        <v>6994</v>
      </c>
    </row>
    <row r="6811" spans="1:6" x14ac:dyDescent="0.15">
      <c r="A6811">
        <v>8755032</v>
      </c>
      <c r="B6811">
        <v>12085351</v>
      </c>
      <c r="C6811" t="s">
        <v>22</v>
      </c>
      <c r="D6811" t="s">
        <v>114</v>
      </c>
      <c r="E6811" s="4" t="str">
        <f>HYPERLINK("https://ibp.a2mac1.com/costing(costing:projects/details/9760/material/8755032)","Material")</f>
        <v>Material</v>
      </c>
      <c r="F6811" t="s">
        <v>6997</v>
      </c>
    </row>
    <row r="6812" spans="1:6" x14ac:dyDescent="0.15">
      <c r="A6812">
        <v>12212447</v>
      </c>
      <c r="B6812">
        <v>12085351</v>
      </c>
      <c r="C6812" t="s">
        <v>163</v>
      </c>
      <c r="D6812" t="s">
        <v>114</v>
      </c>
      <c r="E6812" s="4" t="str">
        <f>HYPERLINK("https://ibp.a2mac1.com/costing(costing:projects/details/9760/equipment/12212447)","Manufacturing Equipment")</f>
        <v>Manufacturing Equipment</v>
      </c>
      <c r="F6812" t="s">
        <v>6997</v>
      </c>
    </row>
    <row r="6813" spans="1:6" x14ac:dyDescent="0.15">
      <c r="A6813">
        <v>12085352</v>
      </c>
      <c r="B6813">
        <v>8416046</v>
      </c>
      <c r="C6813" t="s">
        <v>114</v>
      </c>
      <c r="D6813" t="s">
        <v>10</v>
      </c>
      <c r="E6813" s="4" t="str">
        <f>HYPERLINK("https://ibp.a2mac1.com/costing(costing:projects/details/9760/process/12085352)","Electrophoresis")</f>
        <v>Electrophoresis</v>
      </c>
      <c r="F6813" t="s">
        <v>6994</v>
      </c>
    </row>
    <row r="6814" spans="1:6" x14ac:dyDescent="0.15">
      <c r="A6814">
        <v>12212448</v>
      </c>
      <c r="B6814">
        <v>12085352</v>
      </c>
      <c r="C6814" t="s">
        <v>163</v>
      </c>
      <c r="D6814" t="s">
        <v>114</v>
      </c>
      <c r="E6814" s="4" t="str">
        <f>HYPERLINK("https://ibp.a2mac1.com/costing(costing:projects/details/9760/equipment/12212448)","No.02 - 1500x1000x1500 - 65kg - electrophoresis line - with 18x10kW on line ovens ")</f>
        <v xml:space="preserve">No.02 - 1500x1000x1500 - 65kg - electrophoresis line - with 18x10kW on line ovens </v>
      </c>
      <c r="F6814" t="s">
        <v>6999</v>
      </c>
    </row>
    <row r="6815" spans="1:6" x14ac:dyDescent="0.15">
      <c r="A6815">
        <v>8416047</v>
      </c>
      <c r="B6815">
        <v>8415709</v>
      </c>
      <c r="C6815" t="s">
        <v>10</v>
      </c>
      <c r="D6815" t="s">
        <v>8</v>
      </c>
      <c r="E6815" s="4" t="str">
        <f>HYPERLINK("https://ibp.a2mac1.com/costing(costing:projects/details/9760/part/8416047)","&gt;Bolt-on parts&gt;Front structure&gt;Upper front cross member 01 assy&gt;Brackets&gt;Part 01 (single/main)")</f>
        <v>&gt;Bolt-on parts&gt;Front structure&gt;Upper front cross member 01 assy&gt;Brackets&gt;Part 01 (single/main)</v>
      </c>
      <c r="F6815" t="s">
        <v>6976</v>
      </c>
    </row>
    <row r="6816" spans="1:6" x14ac:dyDescent="0.15">
      <c r="A6816">
        <v>12085353</v>
      </c>
      <c r="B6816">
        <v>8416047</v>
      </c>
      <c r="C6816" t="s">
        <v>114</v>
      </c>
      <c r="D6816" t="s">
        <v>10</v>
      </c>
      <c r="E6816" s="4" t="str">
        <f>HYPERLINK("https://ibp.a2mac1.com/costing(costing:projects/details/9760/process/12085353)","MANUFACTURING  PROCESS")</f>
        <v>MANUFACTURING  PROCESS</v>
      </c>
      <c r="F6816" t="s">
        <v>7001</v>
      </c>
    </row>
    <row r="6817" spans="1:6" x14ac:dyDescent="0.15">
      <c r="A6817">
        <v>8755033</v>
      </c>
      <c r="B6817">
        <v>12085353</v>
      </c>
      <c r="C6817" t="s">
        <v>22</v>
      </c>
      <c r="D6817" t="s">
        <v>114</v>
      </c>
      <c r="E6817" s="4" t="str">
        <f>HYPERLINK("https://ibp.a2mac1.com/costing(costing:projects/details/9760/material/8755033)","Material")</f>
        <v>Material</v>
      </c>
      <c r="F6817" t="s">
        <v>7003</v>
      </c>
    </row>
    <row r="6818" spans="1:6" x14ac:dyDescent="0.15">
      <c r="A6818">
        <v>12212449</v>
      </c>
      <c r="B6818">
        <v>12085353</v>
      </c>
      <c r="C6818" t="s">
        <v>163</v>
      </c>
      <c r="D6818" t="s">
        <v>114</v>
      </c>
      <c r="E6818" s="4" t="str">
        <f>HYPERLINK("https://ibp.a2mac1.com/costing(costing:projects/details/9760/equipment/12212449)","Manufacturing Equipment")</f>
        <v>Manufacturing Equipment</v>
      </c>
      <c r="F6818" t="s">
        <v>7003</v>
      </c>
    </row>
    <row r="6819" spans="1:6" x14ac:dyDescent="0.15">
      <c r="A6819">
        <v>12085354</v>
      </c>
      <c r="B6819">
        <v>8416047</v>
      </c>
      <c r="C6819" t="s">
        <v>114</v>
      </c>
      <c r="D6819" t="s">
        <v>10</v>
      </c>
      <c r="E6819" s="4" t="str">
        <f>HYPERLINK("https://ibp.a2mac1.com/costing(costing:projects/details/9760/process/12085354)","Electrophoresis")</f>
        <v>Electrophoresis</v>
      </c>
      <c r="F6819" t="s">
        <v>7001</v>
      </c>
    </row>
    <row r="6820" spans="1:6" x14ac:dyDescent="0.15">
      <c r="A6820">
        <v>12212450</v>
      </c>
      <c r="B6820">
        <v>12085354</v>
      </c>
      <c r="C6820" t="s">
        <v>163</v>
      </c>
      <c r="D6820" t="s">
        <v>114</v>
      </c>
      <c r="E6820" s="4" t="str">
        <f>HYPERLINK("https://ibp.a2mac1.com/costing(costing:projects/details/9760/equipment/12212450)","No.02 - 1500x1000x1500 - 65kg - electrophoresis line - with 18x10kW on line ovens ")</f>
        <v xml:space="preserve">No.02 - 1500x1000x1500 - 65kg - electrophoresis line - with 18x10kW on line ovens </v>
      </c>
      <c r="F6820" t="s">
        <v>7004</v>
      </c>
    </row>
    <row r="6821" spans="1:6" x14ac:dyDescent="0.15">
      <c r="A6821">
        <v>8415710</v>
      </c>
      <c r="B6821">
        <v>8415594</v>
      </c>
      <c r="C6821" t="s">
        <v>8</v>
      </c>
      <c r="D6821" t="s">
        <v>8</v>
      </c>
      <c r="E6821" s="4" t="str">
        <f>HYPERLINK("https://ibp.a2mac1.com/costing(costing:projects/details/9760/assembly/8415710)","Other Reinforcements")</f>
        <v>Other Reinforcements</v>
      </c>
      <c r="F6821" t="s">
        <v>6975</v>
      </c>
    </row>
    <row r="6822" spans="1:6" x14ac:dyDescent="0.15">
      <c r="A6822">
        <v>8416049</v>
      </c>
      <c r="B6822">
        <v>8415710</v>
      </c>
      <c r="C6822" t="s">
        <v>10</v>
      </c>
      <c r="D6822" t="s">
        <v>8</v>
      </c>
      <c r="E6822" s="4" t="str">
        <f>HYPERLINK("https://ibp.a2mac1.com/costing(costing:projects/details/9760/part/8416049)","&gt;Bolt-on parts&gt;Other reinforcements&gt;Reinforcement 1&gt;Part 01 (single/main)")</f>
        <v>&gt;Bolt-on parts&gt;Other reinforcements&gt;Reinforcement 1&gt;Part 01 (single/main)</v>
      </c>
      <c r="F6822" t="s">
        <v>7007</v>
      </c>
    </row>
    <row r="6823" spans="1:6" x14ac:dyDescent="0.15">
      <c r="A6823">
        <v>12085365</v>
      </c>
      <c r="B6823">
        <v>8416049</v>
      </c>
      <c r="C6823" t="s">
        <v>114</v>
      </c>
      <c r="D6823" t="s">
        <v>10</v>
      </c>
      <c r="E6823" s="4" t="str">
        <f>HYPERLINK("https://ibp.a2mac1.com/costing(costing:projects/details/9760/process/12085365)","MANUFACTURING  PROCESS")</f>
        <v>MANUFACTURING  PROCESS</v>
      </c>
      <c r="F6823" t="s">
        <v>7008</v>
      </c>
    </row>
    <row r="6824" spans="1:6" x14ac:dyDescent="0.15">
      <c r="A6824">
        <v>8755035</v>
      </c>
      <c r="B6824">
        <v>12085365</v>
      </c>
      <c r="C6824" t="s">
        <v>22</v>
      </c>
      <c r="D6824" t="s">
        <v>114</v>
      </c>
      <c r="E6824" s="4" t="str">
        <f>HYPERLINK("https://ibp.a2mac1.com/costing(costing:projects/details/9760/material/8755035)","Material")</f>
        <v>Material</v>
      </c>
      <c r="F6824" t="s">
        <v>7011</v>
      </c>
    </row>
    <row r="6825" spans="1:6" x14ac:dyDescent="0.15">
      <c r="A6825">
        <v>12212461</v>
      </c>
      <c r="B6825">
        <v>12085365</v>
      </c>
      <c r="C6825" t="s">
        <v>163</v>
      </c>
      <c r="D6825" t="s">
        <v>114</v>
      </c>
      <c r="E6825" s="4" t="str">
        <f>HYPERLINK("https://ibp.a2mac1.com/costing(costing:projects/details/9760/equipment/12212461)","Manufacturing Equipment")</f>
        <v>Manufacturing Equipment</v>
      </c>
      <c r="F6825" t="s">
        <v>7011</v>
      </c>
    </row>
    <row r="6826" spans="1:6" x14ac:dyDescent="0.15">
      <c r="A6826">
        <v>12085366</v>
      </c>
      <c r="B6826">
        <v>8416049</v>
      </c>
      <c r="C6826" t="s">
        <v>114</v>
      </c>
      <c r="D6826" t="s">
        <v>10</v>
      </c>
      <c r="E6826" s="4" t="str">
        <f>HYPERLINK("https://ibp.a2mac1.com/costing(costing:projects/details/9760/process/12085366)","Electrophoresis")</f>
        <v>Electrophoresis</v>
      </c>
      <c r="F6826" t="s">
        <v>7008</v>
      </c>
    </row>
    <row r="6827" spans="1:6" x14ac:dyDescent="0.15">
      <c r="A6827">
        <v>12212462</v>
      </c>
      <c r="B6827">
        <v>12085366</v>
      </c>
      <c r="C6827" t="s">
        <v>163</v>
      </c>
      <c r="D6827" t="s">
        <v>114</v>
      </c>
      <c r="E6827" s="4" t="str">
        <f>HYPERLINK("https://ibp.a2mac1.com/costing(costing:projects/details/9760/equipment/12212462)","No.02 - 1500x1000x1500 - 65kg - electrophoresis line - with 18x10kW on line ovens ")</f>
        <v xml:space="preserve">No.02 - 1500x1000x1500 - 65kg - electrophoresis line - with 18x10kW on line ovens </v>
      </c>
      <c r="F6827" t="s">
        <v>7012</v>
      </c>
    </row>
    <row r="6828" spans="1:6" x14ac:dyDescent="0.15">
      <c r="A6828">
        <v>8415595</v>
      </c>
      <c r="B6828">
        <v>8415577</v>
      </c>
      <c r="C6828" t="s">
        <v>8</v>
      </c>
      <c r="D6828" t="s">
        <v>8</v>
      </c>
      <c r="E6828" s="4" t="str">
        <f>HYPERLINK("https://ibp.a2mac1.com/costing(costing:projects/details/9760/assembly/8415595)","Hole Plugs")</f>
        <v>Hole Plugs</v>
      </c>
      <c r="F6828" t="s">
        <v>6896</v>
      </c>
    </row>
    <row r="6829" spans="1:6" x14ac:dyDescent="0.15">
      <c r="A6829">
        <v>8415711</v>
      </c>
      <c r="B6829">
        <v>8415595</v>
      </c>
      <c r="C6829" t="s">
        <v>10</v>
      </c>
      <c r="D6829" t="s">
        <v>8</v>
      </c>
      <c r="E6829" s="4" t="str">
        <f>HYPERLINK("https://ibp.a2mac1.com/costing(costing:projects/details/9760/part/8415711)","Wheel Arch Front")</f>
        <v>Wheel Arch Front</v>
      </c>
      <c r="F6829" t="s">
        <v>7014</v>
      </c>
    </row>
    <row r="6830" spans="1:6" x14ac:dyDescent="0.15">
      <c r="A6830">
        <v>8415712</v>
      </c>
      <c r="B6830">
        <v>8415595</v>
      </c>
      <c r="C6830" t="s">
        <v>10</v>
      </c>
      <c r="D6830" t="s">
        <v>8</v>
      </c>
      <c r="E6830" s="4" t="str">
        <f>HYPERLINK("https://ibp.a2mac1.com/costing(costing:projects/details/9760/part/8415712)","Wheel Arch Rear")</f>
        <v>Wheel Arch Rear</v>
      </c>
      <c r="F6830" t="s">
        <v>7014</v>
      </c>
    </row>
    <row r="6831" spans="1:6" x14ac:dyDescent="0.15">
      <c r="A6831">
        <v>8415713</v>
      </c>
      <c r="B6831">
        <v>8415595</v>
      </c>
      <c r="C6831" t="s">
        <v>10</v>
      </c>
      <c r="D6831" t="s">
        <v>8</v>
      </c>
      <c r="E6831" s="4" t="str">
        <f>HYPERLINK("https://ibp.a2mac1.com/costing(costing:projects/details/9760/part/8415713)","Hyper Structure")</f>
        <v>Hyper Structure</v>
      </c>
      <c r="F6831" t="s">
        <v>7014</v>
      </c>
    </row>
    <row r="6832" spans="1:6" x14ac:dyDescent="0.15">
      <c r="A6832">
        <v>8415714</v>
      </c>
      <c r="B6832">
        <v>8415595</v>
      </c>
      <c r="C6832" t="s">
        <v>10</v>
      </c>
      <c r="D6832" t="s">
        <v>8</v>
      </c>
      <c r="E6832" s="4" t="str">
        <f>HYPERLINK("https://ibp.a2mac1.com/costing(costing:projects/details/9760/part/8415714)","Underbody")</f>
        <v>Underbody</v>
      </c>
      <c r="F6832" t="s">
        <v>7014</v>
      </c>
    </row>
    <row r="6833" spans="1:6" x14ac:dyDescent="0.15">
      <c r="A6833">
        <v>8415715</v>
      </c>
      <c r="B6833">
        <v>8415595</v>
      </c>
      <c r="C6833" t="s">
        <v>10</v>
      </c>
      <c r="D6833" t="s">
        <v>8</v>
      </c>
      <c r="E6833" s="4" t="str">
        <f>HYPERLINK("https://ibp.a2mac1.com/costing(costing:projects/details/9760/part/8415715)","Engine Compartment")</f>
        <v>Engine Compartment</v>
      </c>
      <c r="F6833" t="s">
        <v>7014</v>
      </c>
    </row>
    <row r="6834" spans="1:6" x14ac:dyDescent="0.15">
      <c r="A6834">
        <v>8415716</v>
      </c>
      <c r="B6834">
        <v>8415595</v>
      </c>
      <c r="C6834" t="s">
        <v>10</v>
      </c>
      <c r="D6834" t="s">
        <v>8</v>
      </c>
      <c r="E6834" s="4" t="str">
        <f>HYPERLINK("https://ibp.a2mac1.com/costing(costing:projects/details/9760/part/8415716)","Front Body Panel")</f>
        <v>Front Body Panel</v>
      </c>
      <c r="F6834" t="s">
        <v>7014</v>
      </c>
    </row>
    <row r="6835" spans="1:6" x14ac:dyDescent="0.15">
      <c r="A6835">
        <v>8754325</v>
      </c>
      <c r="B6835">
        <v>8415595</v>
      </c>
      <c r="C6835" t="s">
        <v>311</v>
      </c>
      <c r="D6835" t="s">
        <v>8</v>
      </c>
      <c r="E6835" s="4" t="str">
        <f>HYPERLINK("https://ibp.a2mac1.com/costing(costing:projects/details/9760/component/8754325)","Hole plug &gt; Round hole")</f>
        <v>Hole plug &gt; Round hole</v>
      </c>
      <c r="F6835" t="s">
        <v>7014</v>
      </c>
    </row>
    <row r="6836" spans="1:6" x14ac:dyDescent="0.15">
      <c r="A6836">
        <v>8754326</v>
      </c>
      <c r="B6836">
        <v>8415595</v>
      </c>
      <c r="C6836" t="s">
        <v>311</v>
      </c>
      <c r="D6836" t="s">
        <v>8</v>
      </c>
      <c r="E6836" s="4" t="str">
        <f>HYPERLINK("https://ibp.a2mac1.com/costing(costing:projects/details/9760/component/8754326)","Hole plug &gt; Round hole")</f>
        <v>Hole plug &gt; Round hole</v>
      </c>
      <c r="F6836" t="s">
        <v>7014</v>
      </c>
    </row>
    <row r="6837" spans="1:6" x14ac:dyDescent="0.15">
      <c r="A6837">
        <v>8754327</v>
      </c>
      <c r="B6837">
        <v>8415595</v>
      </c>
      <c r="C6837" t="s">
        <v>311</v>
      </c>
      <c r="D6837" t="s">
        <v>8</v>
      </c>
      <c r="E6837" s="4" t="str">
        <f>HYPERLINK("https://ibp.a2mac1.com/costing(costing:projects/details/9760/component/8754327)","Hole plug &gt; Round hole")</f>
        <v>Hole plug &gt; Round hole</v>
      </c>
      <c r="F6837" t="s">
        <v>7014</v>
      </c>
    </row>
    <row r="6838" spans="1:6" x14ac:dyDescent="0.15">
      <c r="A6838">
        <v>8754328</v>
      </c>
      <c r="B6838">
        <v>8415595</v>
      </c>
      <c r="C6838" t="s">
        <v>311</v>
      </c>
      <c r="D6838" t="s">
        <v>8</v>
      </c>
      <c r="E6838" s="4" t="str">
        <f>HYPERLINK("https://ibp.a2mac1.com/costing(costing:projects/details/9760/component/8754328)","Hole plug &gt; Round hole")</f>
        <v>Hole plug &gt; Round hole</v>
      </c>
      <c r="F6838" t="s">
        <v>7014</v>
      </c>
    </row>
    <row r="6839" spans="1:6" x14ac:dyDescent="0.15">
      <c r="A6839">
        <v>8754329</v>
      </c>
      <c r="B6839">
        <v>8415595</v>
      </c>
      <c r="C6839" t="s">
        <v>311</v>
      </c>
      <c r="D6839" t="s">
        <v>8</v>
      </c>
      <c r="E6839" s="4" t="str">
        <f>HYPERLINK("https://ibp.a2mac1.com/costing(costing:projects/details/9760/component/8754329)","Hole plug &gt; Round hole")</f>
        <v>Hole plug &gt; Round hole</v>
      </c>
      <c r="F6839" t="s">
        <v>7014</v>
      </c>
    </row>
    <row r="6840" spans="1:6" x14ac:dyDescent="0.15">
      <c r="A6840">
        <v>8754330</v>
      </c>
      <c r="B6840">
        <v>8415595</v>
      </c>
      <c r="C6840" t="s">
        <v>311</v>
      </c>
      <c r="D6840" t="s">
        <v>8</v>
      </c>
      <c r="E6840" s="4" t="str">
        <f>HYPERLINK("https://ibp.a2mac1.com/costing(costing:projects/details/9760/component/8754330)","Hole plug &gt; Round hole")</f>
        <v>Hole plug &gt; Round hole</v>
      </c>
      <c r="F6840" t="s">
        <v>7014</v>
      </c>
    </row>
    <row r="6841" spans="1:6" x14ac:dyDescent="0.15">
      <c r="A6841">
        <v>8415596</v>
      </c>
      <c r="B6841">
        <v>8415577</v>
      </c>
      <c r="C6841" t="s">
        <v>8</v>
      </c>
      <c r="D6841" t="s">
        <v>8</v>
      </c>
      <c r="E6841" s="4" t="str">
        <f>HYPERLINK("https://ibp.a2mac1.com/costing(costing:projects/details/9760/assembly/8415596)","Tread Plate")</f>
        <v>Tread Plate</v>
      </c>
      <c r="F6841" t="s">
        <v>6896</v>
      </c>
    </row>
    <row r="6842" spans="1:6" x14ac:dyDescent="0.15">
      <c r="A6842">
        <v>8415717</v>
      </c>
      <c r="B6842">
        <v>8415596</v>
      </c>
      <c r="C6842" t="s">
        <v>10</v>
      </c>
      <c r="D6842" t="s">
        <v>8</v>
      </c>
      <c r="E6842" s="4" t="str">
        <f>HYPERLINK("https://ibp.a2mac1.com/costing(costing:projects/details/9760/part/8415717)","Front")</f>
        <v>Front</v>
      </c>
      <c r="F6842" t="s">
        <v>7025</v>
      </c>
    </row>
    <row r="6843" spans="1:6" x14ac:dyDescent="0.15">
      <c r="A6843">
        <v>12085128</v>
      </c>
      <c r="B6843">
        <v>8415717</v>
      </c>
      <c r="C6843" t="s">
        <v>114</v>
      </c>
      <c r="D6843" t="s">
        <v>10</v>
      </c>
      <c r="E6843" s="4" t="str">
        <f>HYPERLINK("https://ibp.a2mac1.com/costing(costing:projects/details/9760/process/12085128)","Stamping")</f>
        <v>Stamping</v>
      </c>
      <c r="F6843" t="s">
        <v>7026</v>
      </c>
    </row>
    <row r="6844" spans="1:6" x14ac:dyDescent="0.15">
      <c r="A6844">
        <v>8754627</v>
      </c>
      <c r="B6844">
        <v>12085128</v>
      </c>
      <c r="C6844" t="s">
        <v>22</v>
      </c>
      <c r="D6844" t="s">
        <v>114</v>
      </c>
      <c r="E6844" s="4" t="str">
        <f>HYPERLINK("https://ibp.a2mac1.com/costing(costing:projects/details/9760/material/8754627)","Aluminum sheet (default, e.g. EN AW1050A)")</f>
        <v>Aluminum sheet (default, e.g. EN AW1050A)</v>
      </c>
      <c r="F6844" t="s">
        <v>7028</v>
      </c>
    </row>
    <row r="6845" spans="1:6" x14ac:dyDescent="0.15">
      <c r="A6845">
        <v>12212220</v>
      </c>
      <c r="B6845">
        <v>12085128</v>
      </c>
      <c r="C6845" t="s">
        <v>163</v>
      </c>
      <c r="D6845" t="s">
        <v>114</v>
      </c>
      <c r="E6845" s="4" t="str">
        <f>HYPERLINK("https://ibp.a2mac1.com/costing(costing:projects/details/9760/equipment/12212220)","Equipment (Stamping)")</f>
        <v>Equipment (Stamping)</v>
      </c>
      <c r="F6845" t="s">
        <v>7028</v>
      </c>
    </row>
    <row r="6846" spans="1:6" x14ac:dyDescent="0.15">
      <c r="A6846">
        <v>8415597</v>
      </c>
      <c r="B6846">
        <v>8415577</v>
      </c>
      <c r="C6846" t="s">
        <v>8</v>
      </c>
      <c r="D6846" t="s">
        <v>8</v>
      </c>
      <c r="E6846" s="4" t="str">
        <f>HYPERLINK("https://ibp.a2mac1.com/costing(costing:projects/details/9760/assembly/8415597)","Seals")</f>
        <v>Seals</v>
      </c>
      <c r="F6846" t="s">
        <v>6896</v>
      </c>
    </row>
    <row r="6847" spans="1:6" x14ac:dyDescent="0.15">
      <c r="A6847">
        <v>8415718</v>
      </c>
      <c r="B6847">
        <v>8415597</v>
      </c>
      <c r="C6847" t="s">
        <v>10</v>
      </c>
      <c r="D6847" t="s">
        <v>8</v>
      </c>
      <c r="E6847" s="4" t="str">
        <f>HYPERLINK("https://ibp.a2mac1.com/costing(costing:projects/details/9760/part/8415718)","Upper Left and Right if Similar")</f>
        <v>Upper Left and Right if Similar</v>
      </c>
      <c r="F6847" t="s">
        <v>7031</v>
      </c>
    </row>
    <row r="6848" spans="1:6" x14ac:dyDescent="0.15">
      <c r="A6848">
        <v>12085129</v>
      </c>
      <c r="B6848">
        <v>8415718</v>
      </c>
      <c r="C6848" t="s">
        <v>114</v>
      </c>
      <c r="D6848" t="s">
        <v>10</v>
      </c>
      <c r="E6848" s="4" t="str">
        <f>HYPERLINK("https://ibp.a2mac1.com/costing(costing:projects/details/9760/process/12085129)","Seal Extrusion ")</f>
        <v xml:space="preserve">Seal Extrusion </v>
      </c>
      <c r="F6848" t="s">
        <v>7032</v>
      </c>
    </row>
    <row r="6849" spans="1:6" x14ac:dyDescent="0.15">
      <c r="A6849">
        <v>8754628</v>
      </c>
      <c r="B6849">
        <v>12085129</v>
      </c>
      <c r="C6849" t="s">
        <v>22</v>
      </c>
      <c r="D6849" t="s">
        <v>114</v>
      </c>
      <c r="E6849" s="4" t="str">
        <f>HYPERLINK("https://ibp.a2mac1.com/costing(costing:projects/details/9760/material/8754628)","EPDM")</f>
        <v>EPDM</v>
      </c>
      <c r="F6849" t="s">
        <v>7035</v>
      </c>
    </row>
    <row r="6850" spans="1:6" x14ac:dyDescent="0.15">
      <c r="A6850">
        <v>12212221</v>
      </c>
      <c r="B6850">
        <v>12085129</v>
      </c>
      <c r="C6850" t="s">
        <v>163</v>
      </c>
      <c r="D6850" t="s">
        <v>114</v>
      </c>
      <c r="E6850" s="4" t="str">
        <f>HYPERLINK("https://ibp.a2mac1.com/costing(costing:projects/details/9760/equipment/12212221)","Rubber Extrusion machine")</f>
        <v>Rubber Extrusion machine</v>
      </c>
      <c r="F6850" t="s">
        <v>7035</v>
      </c>
    </row>
    <row r="6851" spans="1:6" x14ac:dyDescent="0.15">
      <c r="A6851">
        <v>8415598</v>
      </c>
      <c r="B6851">
        <v>8415577</v>
      </c>
      <c r="C6851" t="s">
        <v>8</v>
      </c>
      <c r="D6851" t="s">
        <v>8</v>
      </c>
      <c r="E6851" s="4" t="str">
        <f>HYPERLINK("https://ibp.a2mac1.com/costing(costing:projects/details/9760/assembly/8415598)","Engine Compartment Protection System")</f>
        <v>Engine Compartment Protection System</v>
      </c>
      <c r="F6851" t="s">
        <v>6896</v>
      </c>
    </row>
    <row r="6852" spans="1:6" x14ac:dyDescent="0.15">
      <c r="A6852">
        <v>8415720</v>
      </c>
      <c r="B6852">
        <v>8415598</v>
      </c>
      <c r="C6852" t="s">
        <v>8</v>
      </c>
      <c r="D6852" t="s">
        <v>8</v>
      </c>
      <c r="E6852" s="4" t="str">
        <f>HYPERLINK("https://ibp.a2mac1.com/costing(costing:projects/details/9760/assembly/8415720)","Access Trap")</f>
        <v>Access Trap</v>
      </c>
      <c r="F6852" t="s">
        <v>7038</v>
      </c>
    </row>
    <row r="6853" spans="1:6" x14ac:dyDescent="0.15">
      <c r="A6853">
        <v>8416050</v>
      </c>
      <c r="B6853">
        <v>8415720</v>
      </c>
      <c r="C6853" t="s">
        <v>10</v>
      </c>
      <c r="D6853" t="s">
        <v>8</v>
      </c>
      <c r="E6853" s="4" t="str">
        <f>HYPERLINK("https://ibp.a2mac1.com/costing(costing:projects/details/9760/part/8416050)","Plastic Part")</f>
        <v>Plastic Part</v>
      </c>
      <c r="F6853" t="s">
        <v>7039</v>
      </c>
    </row>
    <row r="6854" spans="1:6" x14ac:dyDescent="0.15">
      <c r="A6854">
        <v>12085367</v>
      </c>
      <c r="B6854">
        <v>8416050</v>
      </c>
      <c r="C6854" t="s">
        <v>114</v>
      </c>
      <c r="D6854" t="s">
        <v>10</v>
      </c>
      <c r="E6854" s="4" t="str">
        <f>HYPERLINK("https://ibp.a2mac1.com/costing(costing:projects/details/9760/process/12085367)","Injection molding")</f>
        <v>Injection molding</v>
      </c>
      <c r="F6854" t="s">
        <v>7040</v>
      </c>
    </row>
    <row r="6855" spans="1:6" x14ac:dyDescent="0.15">
      <c r="A6855">
        <v>8755036</v>
      </c>
      <c r="B6855">
        <v>12085367</v>
      </c>
      <c r="C6855" t="s">
        <v>22</v>
      </c>
      <c r="D6855" t="s">
        <v>114</v>
      </c>
      <c r="E6855" s="4" t="str">
        <f>HYPERLINK("https://ibp.a2mac1.com/costing(costing:projects/details/9760/material/8755036)","PP-EPDM")</f>
        <v>PP-EPDM</v>
      </c>
      <c r="F6855" t="s">
        <v>7043</v>
      </c>
    </row>
    <row r="6856" spans="1:6" x14ac:dyDescent="0.15">
      <c r="A6856">
        <v>12212463</v>
      </c>
      <c r="B6856">
        <v>12085367</v>
      </c>
      <c r="C6856" t="s">
        <v>163</v>
      </c>
      <c r="D6856" t="s">
        <v>114</v>
      </c>
      <c r="E6856" s="4" t="str">
        <f>HYPERLINK("https://ibp.a2mac1.com/costing(costing:projects/details/9760/equipment/12212463)","No.06 - Injection Press - 200T - 45kW - 510x510 - Max Volume 624cm3 ")</f>
        <v xml:space="preserve">No.06 - Injection Press - 200T - 45kW - 510x510 - Max Volume 624cm3 </v>
      </c>
      <c r="F6856" t="s">
        <v>7043</v>
      </c>
    </row>
    <row r="6857" spans="1:6" x14ac:dyDescent="0.15">
      <c r="A6857">
        <v>8416051</v>
      </c>
      <c r="B6857">
        <v>8415720</v>
      </c>
      <c r="C6857" t="s">
        <v>10</v>
      </c>
      <c r="D6857" t="s">
        <v>8</v>
      </c>
      <c r="E6857" s="4" t="str">
        <f>HYPERLINK("https://ibp.a2mac1.com/costing(costing:projects/details/9760/part/8416051)","Aluminium plate")</f>
        <v>Aluminium plate</v>
      </c>
      <c r="F6857" t="s">
        <v>7039</v>
      </c>
    </row>
    <row r="6858" spans="1:6" x14ac:dyDescent="0.15">
      <c r="A6858">
        <v>12085368</v>
      </c>
      <c r="B6858">
        <v>8416051</v>
      </c>
      <c r="C6858" t="s">
        <v>114</v>
      </c>
      <c r="D6858" t="s">
        <v>10</v>
      </c>
      <c r="E6858" s="4" t="str">
        <f>HYPERLINK("https://ibp.a2mac1.com/costing(costing:projects/details/9760/process/12085368)","Stamping")</f>
        <v>Stamping</v>
      </c>
      <c r="F6858" t="s">
        <v>7045</v>
      </c>
    </row>
    <row r="6859" spans="1:6" x14ac:dyDescent="0.15">
      <c r="A6859">
        <v>8755037</v>
      </c>
      <c r="B6859">
        <v>12085368</v>
      </c>
      <c r="C6859" t="s">
        <v>22</v>
      </c>
      <c r="D6859" t="s">
        <v>114</v>
      </c>
      <c r="E6859" s="4" t="str">
        <f>HYPERLINK("https://ibp.a2mac1.com/costing(costing:projects/details/9760/material/8755037)","Aluminum sheet (default, e.g. EN AW1050A)")</f>
        <v>Aluminum sheet (default, e.g. EN AW1050A)</v>
      </c>
      <c r="F6859" t="s">
        <v>7047</v>
      </c>
    </row>
    <row r="6860" spans="1:6" x14ac:dyDescent="0.15">
      <c r="A6860">
        <v>12212464</v>
      </c>
      <c r="B6860">
        <v>12085368</v>
      </c>
      <c r="C6860" t="s">
        <v>163</v>
      </c>
      <c r="D6860" t="s">
        <v>114</v>
      </c>
      <c r="E6860" s="4" t="str">
        <f>HYPERLINK("https://ibp.a2mac1.com/costing(costing:projects/details/9760/equipment/12212464)","No.01 - Progressive Press - 250T ")</f>
        <v xml:space="preserve">No.01 - Progressive Press - 250T </v>
      </c>
      <c r="F6860" t="s">
        <v>7047</v>
      </c>
    </row>
    <row r="6861" spans="1:6" x14ac:dyDescent="0.15">
      <c r="A6861">
        <v>8416052</v>
      </c>
      <c r="B6861">
        <v>8415720</v>
      </c>
      <c r="C6861" t="s">
        <v>10</v>
      </c>
      <c r="D6861" t="s">
        <v>8</v>
      </c>
      <c r="E6861" s="4" t="str">
        <f>HYPERLINK("https://ibp.a2mac1.com/costing(costing:projects/details/9760/part/8416052)","Adhesive")</f>
        <v>Adhesive</v>
      </c>
      <c r="F6861" t="s">
        <v>7039</v>
      </c>
    </row>
    <row r="6862" spans="1:6" x14ac:dyDescent="0.15">
      <c r="A6862">
        <v>12085131</v>
      </c>
      <c r="B6862">
        <v>8415720</v>
      </c>
      <c r="C6862" t="s">
        <v>114</v>
      </c>
      <c r="D6862" t="s">
        <v>8</v>
      </c>
      <c r="E6862" s="4" t="str">
        <f>HYPERLINK("https://ibp.a2mac1.com/costing(costing:projects/details/9760/process/12085131)","Assembly")</f>
        <v>Assembly</v>
      </c>
      <c r="F6862" t="s">
        <v>7039</v>
      </c>
    </row>
    <row r="6863" spans="1:6" x14ac:dyDescent="0.15">
      <c r="A6863">
        <v>12212223</v>
      </c>
      <c r="B6863">
        <v>12085131</v>
      </c>
      <c r="C6863" t="s">
        <v>163</v>
      </c>
      <c r="D6863" t="s">
        <v>114</v>
      </c>
      <c r="E6863" s="4" t="str">
        <f>HYPERLINK("https://ibp.a2mac1.com/costing(costing:projects/details/9760/equipment/12212223)","Assembly Station ")</f>
        <v xml:space="preserve">Assembly Station </v>
      </c>
      <c r="F6863" t="s">
        <v>7048</v>
      </c>
    </row>
    <row r="6864" spans="1:6" x14ac:dyDescent="0.15">
      <c r="A6864">
        <v>8415719</v>
      </c>
      <c r="B6864">
        <v>8415598</v>
      </c>
      <c r="C6864" t="s">
        <v>10</v>
      </c>
      <c r="D6864" t="s">
        <v>8</v>
      </c>
      <c r="E6864" s="4" t="str">
        <f>HYPERLINK("https://ibp.a2mac1.com/costing(costing:projects/details/9760/part/8415719)","Front Cover")</f>
        <v>Front Cover</v>
      </c>
      <c r="F6864" t="s">
        <v>7038</v>
      </c>
    </row>
    <row r="6865" spans="1:6" x14ac:dyDescent="0.15">
      <c r="A6865">
        <v>12085130</v>
      </c>
      <c r="B6865">
        <v>8415719</v>
      </c>
      <c r="C6865" t="s">
        <v>114</v>
      </c>
      <c r="D6865" t="s">
        <v>10</v>
      </c>
      <c r="E6865" s="4" t="str">
        <f>HYPERLINK("https://ibp.a2mac1.com/costing(costing:projects/details/9760/process/12085130)","Injection molding")</f>
        <v>Injection molding</v>
      </c>
      <c r="F6865" t="s">
        <v>7050</v>
      </c>
    </row>
    <row r="6866" spans="1:6" x14ac:dyDescent="0.15">
      <c r="A6866">
        <v>8754629</v>
      </c>
      <c r="B6866">
        <v>12085130</v>
      </c>
      <c r="C6866" t="s">
        <v>22</v>
      </c>
      <c r="D6866" t="s">
        <v>114</v>
      </c>
      <c r="E6866" s="4" t="str">
        <f>HYPERLINK("https://ibp.a2mac1.com/costing(costing:projects/details/9760/material/8754629)","PP-EPDM")</f>
        <v>PP-EPDM</v>
      </c>
      <c r="F6866" t="s">
        <v>7053</v>
      </c>
    </row>
    <row r="6867" spans="1:6" x14ac:dyDescent="0.15">
      <c r="A6867">
        <v>12212222</v>
      </c>
      <c r="B6867">
        <v>12085130</v>
      </c>
      <c r="C6867" t="s">
        <v>163</v>
      </c>
      <c r="D6867" t="s">
        <v>114</v>
      </c>
      <c r="E6867" s="4" t="str">
        <f>HYPERLINK("https://ibp.a2mac1.com/costing(costing:projects/details/9760/equipment/12212222)","No.16 - Injection Press - 3000T - 230kW - 2250x1800 - Max Volume 37700cm3 ")</f>
        <v xml:space="preserve">No.16 - Injection Press - 3000T - 230kW - 2250x1800 - Max Volume 37700cm3 </v>
      </c>
      <c r="F6867" t="s">
        <v>7053</v>
      </c>
    </row>
    <row r="6868" spans="1:6" x14ac:dyDescent="0.15">
      <c r="A6868">
        <v>8415721</v>
      </c>
      <c r="B6868">
        <v>8415598</v>
      </c>
      <c r="C6868" t="s">
        <v>10</v>
      </c>
      <c r="D6868" t="s">
        <v>8</v>
      </c>
      <c r="E6868" s="4" t="str">
        <f>HYPERLINK("https://ibp.a2mac1.com/costing(costing:projects/details/9760/part/8415721)","2nd Access Trap")</f>
        <v>2nd Access Trap</v>
      </c>
      <c r="F6868" t="s">
        <v>7038</v>
      </c>
    </row>
    <row r="6869" spans="1:6" x14ac:dyDescent="0.15">
      <c r="A6869">
        <v>12085132</v>
      </c>
      <c r="B6869">
        <v>8415721</v>
      </c>
      <c r="C6869" t="s">
        <v>114</v>
      </c>
      <c r="D6869" t="s">
        <v>10</v>
      </c>
      <c r="E6869" s="4" t="str">
        <f>HYPERLINK("https://ibp.a2mac1.com/costing(costing:projects/details/9760/process/12085132)","Injection molding")</f>
        <v>Injection molding</v>
      </c>
      <c r="F6869" t="s">
        <v>7056</v>
      </c>
    </row>
    <row r="6870" spans="1:6" x14ac:dyDescent="0.15">
      <c r="A6870">
        <v>8754630</v>
      </c>
      <c r="B6870">
        <v>12085132</v>
      </c>
      <c r="C6870" t="s">
        <v>22</v>
      </c>
      <c r="D6870" t="s">
        <v>114</v>
      </c>
      <c r="E6870" s="4" t="str">
        <f>HYPERLINK("https://ibp.a2mac1.com/costing(costing:projects/details/9760/material/8754630)","PP-EPDM")</f>
        <v>PP-EPDM</v>
      </c>
      <c r="F6870" t="s">
        <v>7057</v>
      </c>
    </row>
    <row r="6871" spans="1:6" x14ac:dyDescent="0.15">
      <c r="A6871">
        <v>12212224</v>
      </c>
      <c r="B6871">
        <v>12085132</v>
      </c>
      <c r="C6871" t="s">
        <v>163</v>
      </c>
      <c r="D6871" t="s">
        <v>114</v>
      </c>
      <c r="E6871" s="4" t="str">
        <f>HYPERLINK("https://ibp.a2mac1.com/costing(costing:projects/details/9760/equipment/12212224)","Equipment (Injection Molding)")</f>
        <v>Equipment (Injection Molding)</v>
      </c>
      <c r="F6871" t="s">
        <v>7057</v>
      </c>
    </row>
    <row r="6872" spans="1:6" x14ac:dyDescent="0.15">
      <c r="A6872">
        <v>8754331</v>
      </c>
      <c r="B6872">
        <v>8415598</v>
      </c>
      <c r="C6872" t="s">
        <v>311</v>
      </c>
      <c r="D6872" t="s">
        <v>8</v>
      </c>
      <c r="E6872" s="4" t="str">
        <f>HYPERLINK("https://ibp.a2mac1.com/costing(costing:projects/details/9760/component/8754331)","Rivet &gt; Head rivet")</f>
        <v>Rivet &gt; Head rivet</v>
      </c>
      <c r="F6872" t="s">
        <v>7038</v>
      </c>
    </row>
    <row r="6873" spans="1:6" x14ac:dyDescent="0.15">
      <c r="A6873">
        <v>8754332</v>
      </c>
      <c r="B6873">
        <v>8415598</v>
      </c>
      <c r="C6873" t="s">
        <v>311</v>
      </c>
      <c r="D6873" t="s">
        <v>8</v>
      </c>
      <c r="E6873" s="4" t="str">
        <f>HYPERLINK("https://ibp.a2mac1.com/costing(costing:projects/details/9760/component/8754332)","Panel holder &gt; Clips in rectangular hole")</f>
        <v>Panel holder &gt; Clips in rectangular hole</v>
      </c>
      <c r="F6873" t="s">
        <v>7038</v>
      </c>
    </row>
    <row r="6874" spans="1:6" x14ac:dyDescent="0.15">
      <c r="A6874">
        <v>8415599</v>
      </c>
      <c r="B6874">
        <v>8415577</v>
      </c>
      <c r="C6874" t="s">
        <v>8</v>
      </c>
      <c r="D6874" t="s">
        <v>8</v>
      </c>
      <c r="E6874" s="4" t="str">
        <f>HYPERLINK("https://ibp.a2mac1.com/costing(costing:projects/details/9760/assembly/8415599)","Jack Pads")</f>
        <v>Jack Pads</v>
      </c>
      <c r="F6874" t="s">
        <v>6896</v>
      </c>
    </row>
    <row r="6875" spans="1:6" x14ac:dyDescent="0.15">
      <c r="A6875">
        <v>8415722</v>
      </c>
      <c r="B6875">
        <v>8415599</v>
      </c>
      <c r="C6875" t="s">
        <v>10</v>
      </c>
      <c r="D6875" t="s">
        <v>8</v>
      </c>
      <c r="E6875" s="4" t="str">
        <f>HYPERLINK("https://ibp.a2mac1.com/costing(costing:projects/details/9760/part/8415722)","Front and Rear if Similar")</f>
        <v>Front and Rear if Similar</v>
      </c>
      <c r="F6875" t="s">
        <v>7060</v>
      </c>
    </row>
    <row r="6876" spans="1:6" x14ac:dyDescent="0.15">
      <c r="A6876">
        <v>12085133</v>
      </c>
      <c r="B6876">
        <v>8415722</v>
      </c>
      <c r="C6876" t="s">
        <v>114</v>
      </c>
      <c r="D6876" t="s">
        <v>10</v>
      </c>
      <c r="E6876" s="4" t="str">
        <f>HYPERLINK("https://ibp.a2mac1.com/costing(costing:projects/details/9760/process/12085133)","Injection molding")</f>
        <v>Injection molding</v>
      </c>
      <c r="F6876" t="s">
        <v>7061</v>
      </c>
    </row>
    <row r="6877" spans="1:6" x14ac:dyDescent="0.15">
      <c r="A6877">
        <v>8754631</v>
      </c>
      <c r="B6877">
        <v>12085133</v>
      </c>
      <c r="C6877" t="s">
        <v>22</v>
      </c>
      <c r="D6877" t="s">
        <v>114</v>
      </c>
      <c r="E6877" s="4" t="str">
        <f>HYPERLINK("https://ibp.a2mac1.com/costing(costing:projects/details/9760/material/8754631)","PP-GF30")</f>
        <v>PP-GF30</v>
      </c>
      <c r="F6877" t="s">
        <v>7064</v>
      </c>
    </row>
    <row r="6878" spans="1:6" x14ac:dyDescent="0.15">
      <c r="A6878">
        <v>12212225</v>
      </c>
      <c r="B6878">
        <v>12085133</v>
      </c>
      <c r="C6878" t="s">
        <v>163</v>
      </c>
      <c r="D6878" t="s">
        <v>114</v>
      </c>
      <c r="E6878" s="4" t="str">
        <f>HYPERLINK("https://ibp.a2mac1.com/costing(costing:projects/details/9760/equipment/12212225)","No.01 - Injection Press - 40T - 18kW - 270x270 - Max Volume 128cm3 ")</f>
        <v xml:space="preserve">No.01 - Injection Press - 40T - 18kW - 270x270 - Max Volume 128cm3 </v>
      </c>
      <c r="F6878" t="s">
        <v>7064</v>
      </c>
    </row>
    <row r="6879" spans="1:6" x14ac:dyDescent="0.15">
      <c r="A6879">
        <v>8415723</v>
      </c>
      <c r="B6879">
        <v>8415599</v>
      </c>
      <c r="C6879" t="s">
        <v>10</v>
      </c>
      <c r="D6879" t="s">
        <v>8</v>
      </c>
      <c r="E6879" s="4" t="str">
        <f>HYPERLINK("https://ibp.a2mac1.com/costing(costing:projects/details/9760/part/8415723)","Rear")</f>
        <v>Rear</v>
      </c>
      <c r="F6879" t="s">
        <v>7060</v>
      </c>
    </row>
    <row r="6880" spans="1:6" x14ac:dyDescent="0.15">
      <c r="A6880">
        <v>12085134</v>
      </c>
      <c r="B6880">
        <v>8415723</v>
      </c>
      <c r="C6880" t="s">
        <v>114</v>
      </c>
      <c r="D6880" t="s">
        <v>10</v>
      </c>
      <c r="E6880" s="4" t="str">
        <f>HYPERLINK("https://ibp.a2mac1.com/costing(costing:projects/details/9760/process/12085134)","Injection molding")</f>
        <v>Injection molding</v>
      </c>
      <c r="F6880" t="s">
        <v>7067</v>
      </c>
    </row>
    <row r="6881" spans="1:6" x14ac:dyDescent="0.15">
      <c r="A6881">
        <v>8754632</v>
      </c>
      <c r="B6881">
        <v>12085134</v>
      </c>
      <c r="C6881" t="s">
        <v>22</v>
      </c>
      <c r="D6881" t="s">
        <v>114</v>
      </c>
      <c r="E6881" s="4" t="str">
        <f>HYPERLINK("https://ibp.a2mac1.com/costing(costing:projects/details/9760/material/8754632)","PP-GF30")</f>
        <v>PP-GF30</v>
      </c>
      <c r="F6881" t="s">
        <v>7068</v>
      </c>
    </row>
    <row r="6882" spans="1:6" x14ac:dyDescent="0.15">
      <c r="A6882">
        <v>12212226</v>
      </c>
      <c r="B6882">
        <v>12085134</v>
      </c>
      <c r="C6882" t="s">
        <v>163</v>
      </c>
      <c r="D6882" t="s">
        <v>114</v>
      </c>
      <c r="E6882" s="4" t="str">
        <f>HYPERLINK("https://ibp.a2mac1.com/costing(costing:projects/details/9760/equipment/12212226)","No.01 - Injection Press - 40T - 18kW - 270x270 - Max Volume 128cm3 ")</f>
        <v xml:space="preserve">No.01 - Injection Press - 40T - 18kW - 270x270 - Max Volume 128cm3 </v>
      </c>
      <c r="F6882" t="s">
        <v>7068</v>
      </c>
    </row>
    <row r="6883" spans="1:6" x14ac:dyDescent="0.15">
      <c r="A6883">
        <v>8754333</v>
      </c>
      <c r="B6883">
        <v>8415599</v>
      </c>
      <c r="C6883" t="s">
        <v>311</v>
      </c>
      <c r="D6883" t="s">
        <v>8</v>
      </c>
      <c r="E6883" s="4" t="str">
        <f>HYPERLINK("https://ibp.a2mac1.com/costing(costing:projects/details/9760/component/8754333)","Screw &gt; Hexagon screw with captive washer")</f>
        <v>Screw &gt; Hexagon screw with captive washer</v>
      </c>
      <c r="F6883" t="s">
        <v>7060</v>
      </c>
    </row>
    <row r="6884" spans="1:6" x14ac:dyDescent="0.15">
      <c r="A6884">
        <v>8754334</v>
      </c>
      <c r="B6884">
        <v>8415599</v>
      </c>
      <c r="C6884" t="s">
        <v>311</v>
      </c>
      <c r="D6884" t="s">
        <v>8</v>
      </c>
      <c r="E6884" s="4" t="str">
        <f>HYPERLINK("https://ibp.a2mac1.com/costing(costing:projects/details/9760/component/8754334)","Screw &gt; Hexagon screw with captive washer")</f>
        <v>Screw &gt; Hexagon screw with captive washer</v>
      </c>
      <c r="F6884" t="s">
        <v>7060</v>
      </c>
    </row>
    <row r="6885" spans="1:6" x14ac:dyDescent="0.15">
      <c r="A6885">
        <v>8415600</v>
      </c>
      <c r="B6885">
        <v>8415577</v>
      </c>
      <c r="C6885" t="s">
        <v>8</v>
      </c>
      <c r="D6885" t="s">
        <v>8</v>
      </c>
      <c r="E6885" s="4" t="str">
        <f>HYPERLINK("https://ibp.a2mac1.com/costing(costing:projects/details/9760/assembly/8415600)","Rocker Panel Cover")</f>
        <v>Rocker Panel Cover</v>
      </c>
      <c r="F6885" t="s">
        <v>6896</v>
      </c>
    </row>
    <row r="6886" spans="1:6" x14ac:dyDescent="0.15">
      <c r="A6886">
        <v>8415726</v>
      </c>
      <c r="B6886">
        <v>8415600</v>
      </c>
      <c r="C6886" t="s">
        <v>8</v>
      </c>
      <c r="D6886" t="s">
        <v>8</v>
      </c>
      <c r="E6886" s="4" t="str">
        <f>HYPERLINK("https://ibp.a2mac1.com/costing(costing:projects/details/9760/assembly/8415726)","Support")</f>
        <v>Support</v>
      </c>
      <c r="F6886" t="s">
        <v>7071</v>
      </c>
    </row>
    <row r="6887" spans="1:6" x14ac:dyDescent="0.15">
      <c r="A6887">
        <v>8416053</v>
      </c>
      <c r="B6887">
        <v>8415726</v>
      </c>
      <c r="C6887" t="s">
        <v>10</v>
      </c>
      <c r="D6887" t="s">
        <v>8</v>
      </c>
      <c r="E6887" s="4" t="str">
        <f>HYPERLINK("https://ibp.a2mac1.com/costing(costing:projects/details/9760/part/8416053)","Central")</f>
        <v>Central</v>
      </c>
      <c r="F6887" t="s">
        <v>7072</v>
      </c>
    </row>
    <row r="6888" spans="1:6" x14ac:dyDescent="0.15">
      <c r="A6888">
        <v>12085369</v>
      </c>
      <c r="B6888">
        <v>8416053</v>
      </c>
      <c r="C6888" t="s">
        <v>114</v>
      </c>
      <c r="D6888" t="s">
        <v>10</v>
      </c>
      <c r="E6888" s="4" t="str">
        <f>HYPERLINK("https://ibp.a2mac1.com/costing(costing:projects/details/9760/process/12085369)","Automated Process")</f>
        <v>Automated Process</v>
      </c>
      <c r="F6888" t="s">
        <v>7073</v>
      </c>
    </row>
    <row r="6889" spans="1:6" x14ac:dyDescent="0.15">
      <c r="A6889">
        <v>8755038</v>
      </c>
      <c r="B6889">
        <v>12085369</v>
      </c>
      <c r="C6889" t="s">
        <v>22</v>
      </c>
      <c r="D6889" t="s">
        <v>114</v>
      </c>
      <c r="E6889" s="4" t="str">
        <f>HYPERLINK("https://ibp.a2mac1.com/costing(costing:projects/details/9760/material/8755038)","PP-EPDM")</f>
        <v>PP-EPDM</v>
      </c>
      <c r="F6889" t="s">
        <v>7076</v>
      </c>
    </row>
    <row r="6890" spans="1:6" x14ac:dyDescent="0.15">
      <c r="A6890">
        <v>12212465</v>
      </c>
      <c r="B6890">
        <v>12085369</v>
      </c>
      <c r="C6890" t="s">
        <v>163</v>
      </c>
      <c r="D6890" t="s">
        <v>114</v>
      </c>
      <c r="E6890" s="4" t="str">
        <f>HYPERLINK("https://ibp.a2mac1.com/costing(costing:projects/details/9760/equipment/12212465)","DC machine - General")</f>
        <v>DC machine - General</v>
      </c>
      <c r="F6890" t="s">
        <v>7076</v>
      </c>
    </row>
    <row r="6891" spans="1:6" x14ac:dyDescent="0.15">
      <c r="A6891">
        <v>8416054</v>
      </c>
      <c r="B6891">
        <v>8415726</v>
      </c>
      <c r="C6891" t="s">
        <v>10</v>
      </c>
      <c r="D6891" t="s">
        <v>8</v>
      </c>
      <c r="E6891" s="4" t="str">
        <f>HYPERLINK("https://ibp.a2mac1.com/costing(costing:projects/details/9760/part/8416054)","2nd Central")</f>
        <v>2nd Central</v>
      </c>
      <c r="F6891" t="s">
        <v>7072</v>
      </c>
    </row>
    <row r="6892" spans="1:6" x14ac:dyDescent="0.15">
      <c r="A6892">
        <v>12085370</v>
      </c>
      <c r="B6892">
        <v>8416054</v>
      </c>
      <c r="C6892" t="s">
        <v>114</v>
      </c>
      <c r="D6892" t="s">
        <v>10</v>
      </c>
      <c r="E6892" s="4" t="str">
        <f>HYPERLINK("https://ibp.a2mac1.com/costing(costing:projects/details/9760/process/12085370)","Automated Process")</f>
        <v>Automated Process</v>
      </c>
      <c r="F6892" t="s">
        <v>7078</v>
      </c>
    </row>
    <row r="6893" spans="1:6" x14ac:dyDescent="0.15">
      <c r="A6893">
        <v>8755039</v>
      </c>
      <c r="B6893">
        <v>12085370</v>
      </c>
      <c r="C6893" t="s">
        <v>22</v>
      </c>
      <c r="D6893" t="s">
        <v>114</v>
      </c>
      <c r="E6893" s="4" t="str">
        <f>HYPERLINK("https://ibp.a2mac1.com/costing(costing:projects/details/9760/material/8755039)","PP-EPDM")</f>
        <v>PP-EPDM</v>
      </c>
      <c r="F6893" t="s">
        <v>7081</v>
      </c>
    </row>
    <row r="6894" spans="1:6" x14ac:dyDescent="0.15">
      <c r="A6894">
        <v>12212466</v>
      </c>
      <c r="B6894">
        <v>12085370</v>
      </c>
      <c r="C6894" t="s">
        <v>163</v>
      </c>
      <c r="D6894" t="s">
        <v>114</v>
      </c>
      <c r="E6894" s="4" t="str">
        <f>HYPERLINK("https://ibp.a2mac1.com/costing(costing:projects/details/9760/equipment/12212466)","DC machine - General")</f>
        <v>DC machine - General</v>
      </c>
      <c r="F6894" t="s">
        <v>7081</v>
      </c>
    </row>
    <row r="6895" spans="1:6" x14ac:dyDescent="0.15">
      <c r="A6895">
        <v>8416055</v>
      </c>
      <c r="B6895">
        <v>8415726</v>
      </c>
      <c r="C6895" t="s">
        <v>10</v>
      </c>
      <c r="D6895" t="s">
        <v>8</v>
      </c>
      <c r="E6895" s="4" t="str">
        <f>HYPERLINK("https://ibp.a2mac1.com/costing(costing:projects/details/9760/part/8416055)","3rd Central")</f>
        <v>3rd Central</v>
      </c>
      <c r="F6895" t="s">
        <v>7072</v>
      </c>
    </row>
    <row r="6896" spans="1:6" x14ac:dyDescent="0.15">
      <c r="A6896">
        <v>12085371</v>
      </c>
      <c r="B6896">
        <v>8416055</v>
      </c>
      <c r="C6896" t="s">
        <v>114</v>
      </c>
      <c r="D6896" t="s">
        <v>10</v>
      </c>
      <c r="E6896" s="4" t="str">
        <f>HYPERLINK("https://ibp.a2mac1.com/costing(costing:projects/details/9760/process/12085371)","Automated Process")</f>
        <v>Automated Process</v>
      </c>
      <c r="F6896" t="s">
        <v>7083</v>
      </c>
    </row>
    <row r="6897" spans="1:6" x14ac:dyDescent="0.15">
      <c r="A6897">
        <v>8755040</v>
      </c>
      <c r="B6897">
        <v>12085371</v>
      </c>
      <c r="C6897" t="s">
        <v>22</v>
      </c>
      <c r="D6897" t="s">
        <v>114</v>
      </c>
      <c r="E6897" s="4" t="str">
        <f>HYPERLINK("https://ibp.a2mac1.com/costing(costing:projects/details/9760/material/8755040)","PP-EPDM")</f>
        <v>PP-EPDM</v>
      </c>
      <c r="F6897" t="s">
        <v>7086</v>
      </c>
    </row>
    <row r="6898" spans="1:6" x14ac:dyDescent="0.15">
      <c r="A6898">
        <v>12212467</v>
      </c>
      <c r="B6898">
        <v>12085371</v>
      </c>
      <c r="C6898" t="s">
        <v>163</v>
      </c>
      <c r="D6898" t="s">
        <v>114</v>
      </c>
      <c r="E6898" s="4" t="str">
        <f>HYPERLINK("https://ibp.a2mac1.com/costing(costing:projects/details/9760/equipment/12212467)","DC machine - General")</f>
        <v>DC machine - General</v>
      </c>
      <c r="F6898" t="s">
        <v>7086</v>
      </c>
    </row>
    <row r="6899" spans="1:6" x14ac:dyDescent="0.15">
      <c r="A6899">
        <v>8416056</v>
      </c>
      <c r="B6899">
        <v>8415726</v>
      </c>
      <c r="C6899" t="s">
        <v>10</v>
      </c>
      <c r="D6899" t="s">
        <v>8</v>
      </c>
      <c r="E6899" s="4" t="str">
        <f>HYPERLINK("https://ibp.a2mac1.com/costing(costing:projects/details/9760/part/8416056)","4rd Central")</f>
        <v>4rd Central</v>
      </c>
      <c r="F6899" t="s">
        <v>7072</v>
      </c>
    </row>
    <row r="6900" spans="1:6" x14ac:dyDescent="0.15">
      <c r="A6900">
        <v>12085372</v>
      </c>
      <c r="B6900">
        <v>8416056</v>
      </c>
      <c r="C6900" t="s">
        <v>114</v>
      </c>
      <c r="D6900" t="s">
        <v>10</v>
      </c>
      <c r="E6900" s="4" t="str">
        <f>HYPERLINK("https://ibp.a2mac1.com/costing(costing:projects/details/9760/process/12085372)","Automated Process")</f>
        <v>Automated Process</v>
      </c>
      <c r="F6900" t="s">
        <v>7088</v>
      </c>
    </row>
    <row r="6901" spans="1:6" x14ac:dyDescent="0.15">
      <c r="A6901">
        <v>8755041</v>
      </c>
      <c r="B6901">
        <v>12085372</v>
      </c>
      <c r="C6901" t="s">
        <v>22</v>
      </c>
      <c r="D6901" t="s">
        <v>114</v>
      </c>
      <c r="E6901" s="4" t="str">
        <f>HYPERLINK("https://ibp.a2mac1.com/costing(costing:projects/details/9760/material/8755041)","PP-EPDM")</f>
        <v>PP-EPDM</v>
      </c>
      <c r="F6901" t="s">
        <v>7089</v>
      </c>
    </row>
    <row r="6902" spans="1:6" x14ac:dyDescent="0.15">
      <c r="A6902">
        <v>12212468</v>
      </c>
      <c r="B6902">
        <v>12085372</v>
      </c>
      <c r="C6902" t="s">
        <v>163</v>
      </c>
      <c r="D6902" t="s">
        <v>114</v>
      </c>
      <c r="E6902" s="4" t="str">
        <f>HYPERLINK("https://ibp.a2mac1.com/costing(costing:projects/details/9760/equipment/12212468)","DC machine - General")</f>
        <v>DC machine - General</v>
      </c>
      <c r="F6902" t="s">
        <v>7089</v>
      </c>
    </row>
    <row r="6903" spans="1:6" x14ac:dyDescent="0.15">
      <c r="A6903">
        <v>8415724</v>
      </c>
      <c r="B6903">
        <v>8415600</v>
      </c>
      <c r="C6903" t="s">
        <v>10</v>
      </c>
      <c r="D6903" t="s">
        <v>8</v>
      </c>
      <c r="E6903" s="4" t="str">
        <f>HYPERLINK("https://ibp.a2mac1.com/costing(costing:projects/details/9760/part/8415724)","Cover")</f>
        <v>Cover</v>
      </c>
      <c r="F6903" t="s">
        <v>7071</v>
      </c>
    </row>
    <row r="6904" spans="1:6" x14ac:dyDescent="0.15">
      <c r="A6904">
        <v>12085135</v>
      </c>
      <c r="B6904">
        <v>8415724</v>
      </c>
      <c r="C6904" t="s">
        <v>114</v>
      </c>
      <c r="D6904" t="s">
        <v>10</v>
      </c>
      <c r="E6904" s="4" t="str">
        <f>HYPERLINK("https://ibp.a2mac1.com/costing(costing:projects/details/9760/process/12085135)","Automated Process")</f>
        <v>Automated Process</v>
      </c>
      <c r="F6904" t="s">
        <v>7092</v>
      </c>
    </row>
    <row r="6905" spans="1:6" x14ac:dyDescent="0.15">
      <c r="A6905">
        <v>8754633</v>
      </c>
      <c r="B6905">
        <v>12085135</v>
      </c>
      <c r="C6905" t="s">
        <v>22</v>
      </c>
      <c r="D6905" t="s">
        <v>114</v>
      </c>
      <c r="E6905" s="4" t="str">
        <f>HYPERLINK("https://ibp.a2mac1.com/costing(costing:projects/details/9760/material/8754633)","PP-EPDM")</f>
        <v>PP-EPDM</v>
      </c>
      <c r="F6905" t="s">
        <v>7095</v>
      </c>
    </row>
    <row r="6906" spans="1:6" x14ac:dyDescent="0.15">
      <c r="A6906">
        <v>12212227</v>
      </c>
      <c r="B6906">
        <v>12085135</v>
      </c>
      <c r="C6906" t="s">
        <v>163</v>
      </c>
      <c r="D6906" t="s">
        <v>114</v>
      </c>
      <c r="E6906" s="4" t="str">
        <f>HYPERLINK("https://ibp.a2mac1.com/costing(costing:projects/details/9760/equipment/12212227)","DC machine - General")</f>
        <v>DC machine - General</v>
      </c>
      <c r="F6906" t="s">
        <v>7095</v>
      </c>
    </row>
    <row r="6907" spans="1:6" x14ac:dyDescent="0.15">
      <c r="A6907">
        <v>8415725</v>
      </c>
      <c r="B6907">
        <v>8415600</v>
      </c>
      <c r="C6907" t="s">
        <v>10</v>
      </c>
      <c r="D6907" t="s">
        <v>8</v>
      </c>
      <c r="E6907" s="4" t="str">
        <f>HYPERLINK("https://ibp.a2mac1.com/costing(costing:projects/details/9760/part/8415725)","Cover Right if Different")</f>
        <v>Cover Right if Different</v>
      </c>
      <c r="F6907" t="s">
        <v>7071</v>
      </c>
    </row>
    <row r="6908" spans="1:6" x14ac:dyDescent="0.15">
      <c r="A6908">
        <v>12085136</v>
      </c>
      <c r="B6908">
        <v>8415725</v>
      </c>
      <c r="C6908" t="s">
        <v>114</v>
      </c>
      <c r="D6908" t="s">
        <v>10</v>
      </c>
      <c r="E6908" s="4" t="str">
        <f>HYPERLINK("https://ibp.a2mac1.com/costing(costing:projects/details/9760/process/12085136)","Automated Process")</f>
        <v>Automated Process</v>
      </c>
      <c r="F6908" t="s">
        <v>7097</v>
      </c>
    </row>
    <row r="6909" spans="1:6" x14ac:dyDescent="0.15">
      <c r="A6909">
        <v>8754634</v>
      </c>
      <c r="B6909">
        <v>12085136</v>
      </c>
      <c r="C6909" t="s">
        <v>22</v>
      </c>
      <c r="D6909" t="s">
        <v>114</v>
      </c>
      <c r="E6909" s="4" t="str">
        <f>HYPERLINK("https://ibp.a2mac1.com/costing(costing:projects/details/9760/material/8754634)","PP-EPDM")</f>
        <v>PP-EPDM</v>
      </c>
      <c r="F6909" t="s">
        <v>7100</v>
      </c>
    </row>
    <row r="6910" spans="1:6" x14ac:dyDescent="0.15">
      <c r="A6910">
        <v>12212228</v>
      </c>
      <c r="B6910">
        <v>12085136</v>
      </c>
      <c r="C6910" t="s">
        <v>163</v>
      </c>
      <c r="D6910" t="s">
        <v>114</v>
      </c>
      <c r="E6910" s="4" t="str">
        <f>HYPERLINK("https://ibp.a2mac1.com/costing(costing:projects/details/9760/equipment/12212228)","DC machine - General")</f>
        <v>DC machine - General</v>
      </c>
      <c r="F6910" t="s">
        <v>7100</v>
      </c>
    </row>
    <row r="6911" spans="1:6" x14ac:dyDescent="0.15">
      <c r="A6911">
        <v>8754335</v>
      </c>
      <c r="B6911">
        <v>8415600</v>
      </c>
      <c r="C6911" t="s">
        <v>311</v>
      </c>
      <c r="D6911" t="s">
        <v>8</v>
      </c>
      <c r="E6911" s="4" t="str">
        <f>HYPERLINK("https://ibp.a2mac1.com/costing(costing:projects/details/9760/component/8754335)","Rivet &gt; Head rivet")</f>
        <v>Rivet &gt; Head rivet</v>
      </c>
      <c r="F6911" t="s">
        <v>7071</v>
      </c>
    </row>
    <row r="6912" spans="1:6" x14ac:dyDescent="0.15">
      <c r="A6912">
        <v>8754336</v>
      </c>
      <c r="B6912">
        <v>8415600</v>
      </c>
      <c r="C6912" t="s">
        <v>311</v>
      </c>
      <c r="D6912" t="s">
        <v>8</v>
      </c>
      <c r="E6912" s="4" t="str">
        <f>HYPERLINK("https://ibp.a2mac1.com/costing(costing:projects/details/9760/component/8754336)","Screw &gt; Hexagon screw with captive washer")</f>
        <v>Screw &gt; Hexagon screw with captive washer</v>
      </c>
      <c r="F6912" t="s">
        <v>7071</v>
      </c>
    </row>
    <row r="6913" spans="1:6" x14ac:dyDescent="0.15">
      <c r="A6913">
        <v>8415601</v>
      </c>
      <c r="B6913">
        <v>8415577</v>
      </c>
      <c r="C6913" t="s">
        <v>8</v>
      </c>
      <c r="D6913" t="s">
        <v>8</v>
      </c>
      <c r="E6913" s="4" t="str">
        <f>HYPERLINK("https://ibp.a2mac1.com/costing(costing:projects/details/9760/assembly/8415601)","Water Box   Draining System")</f>
        <v>Water Box   Draining System</v>
      </c>
      <c r="F6913" t="s">
        <v>6896</v>
      </c>
    </row>
    <row r="6914" spans="1:6" x14ac:dyDescent="0.15">
      <c r="A6914">
        <v>8415729</v>
      </c>
      <c r="B6914">
        <v>8415601</v>
      </c>
      <c r="C6914" t="s">
        <v>8</v>
      </c>
      <c r="D6914" t="s">
        <v>8</v>
      </c>
      <c r="E6914" s="4" t="str">
        <f>HYPERLINK("https://ibp.a2mac1.com/costing(costing:projects/details/9760/assembly/8415729)","Water Drainage Ducts")</f>
        <v>Water Drainage Ducts</v>
      </c>
      <c r="F6914" t="s">
        <v>7103</v>
      </c>
    </row>
    <row r="6915" spans="1:6" x14ac:dyDescent="0.15">
      <c r="A6915">
        <v>8416057</v>
      </c>
      <c r="B6915">
        <v>8415729</v>
      </c>
      <c r="C6915" t="s">
        <v>10</v>
      </c>
      <c r="D6915" t="s">
        <v>8</v>
      </c>
      <c r="E6915" s="4" t="str">
        <f>HYPERLINK("https://ibp.a2mac1.com/costing(costing:projects/details/9760/part/8416057)","Trunk")</f>
        <v>Trunk</v>
      </c>
      <c r="F6915" t="s">
        <v>7104</v>
      </c>
    </row>
    <row r="6916" spans="1:6" x14ac:dyDescent="0.15">
      <c r="A6916">
        <v>12085373</v>
      </c>
      <c r="B6916">
        <v>8416057</v>
      </c>
      <c r="C6916" t="s">
        <v>114</v>
      </c>
      <c r="D6916" t="s">
        <v>10</v>
      </c>
      <c r="E6916" s="4" t="str">
        <f>HYPERLINK("https://ibp.a2mac1.com/costing(costing:projects/details/9760/process/12085373)","Automated Process")</f>
        <v>Automated Process</v>
      </c>
      <c r="F6916" t="s">
        <v>7105</v>
      </c>
    </row>
    <row r="6917" spans="1:6" x14ac:dyDescent="0.15">
      <c r="A6917">
        <v>8755042</v>
      </c>
      <c r="B6917">
        <v>12085373</v>
      </c>
      <c r="C6917" t="s">
        <v>22</v>
      </c>
      <c r="D6917" t="s">
        <v>114</v>
      </c>
      <c r="E6917" s="4" t="str">
        <f>HYPERLINK("https://ibp.a2mac1.com/costing(costing:projects/details/9760/material/8755042)","PA")</f>
        <v>PA</v>
      </c>
      <c r="F6917" t="s">
        <v>7107</v>
      </c>
    </row>
    <row r="6918" spans="1:6" x14ac:dyDescent="0.15">
      <c r="A6918">
        <v>12212469</v>
      </c>
      <c r="B6918">
        <v>12085373</v>
      </c>
      <c r="C6918" t="s">
        <v>163</v>
      </c>
      <c r="D6918" t="s">
        <v>114</v>
      </c>
      <c r="E6918" s="4" t="str">
        <f>HYPERLINK("https://ibp.a2mac1.com/costing(costing:projects/details/9760/equipment/12212469)","DC machine - General")</f>
        <v>DC machine - General</v>
      </c>
      <c r="F6918" t="s">
        <v>7107</v>
      </c>
    </row>
    <row r="6919" spans="1:6" x14ac:dyDescent="0.15">
      <c r="A6919">
        <v>8415727</v>
      </c>
      <c r="B6919">
        <v>8415601</v>
      </c>
      <c r="C6919" t="s">
        <v>10</v>
      </c>
      <c r="D6919" t="s">
        <v>8</v>
      </c>
      <c r="E6919" s="4" t="str">
        <f>HYPERLINK("https://ibp.a2mac1.com/costing(costing:projects/details/9760/part/8415727)","Left Side and Right if Similar")</f>
        <v>Left Side and Right if Similar</v>
      </c>
      <c r="F6919" t="s">
        <v>7103</v>
      </c>
    </row>
    <row r="6920" spans="1:6" x14ac:dyDescent="0.15">
      <c r="A6920">
        <v>12085137</v>
      </c>
      <c r="B6920">
        <v>8415727</v>
      </c>
      <c r="C6920" t="s">
        <v>114</v>
      </c>
      <c r="D6920" t="s">
        <v>10</v>
      </c>
      <c r="E6920" s="4" t="str">
        <f>HYPERLINK("https://ibp.a2mac1.com/costing(costing:projects/details/9760/process/12085137)","Automated Process")</f>
        <v>Automated Process</v>
      </c>
      <c r="F6920" t="s">
        <v>7110</v>
      </c>
    </row>
    <row r="6921" spans="1:6" x14ac:dyDescent="0.15">
      <c r="A6921">
        <v>8754635</v>
      </c>
      <c r="B6921">
        <v>12085137</v>
      </c>
      <c r="C6921" t="s">
        <v>22</v>
      </c>
      <c r="D6921" t="s">
        <v>114</v>
      </c>
      <c r="E6921" s="4" t="str">
        <f>HYPERLINK("https://ibp.a2mac1.com/costing(costing:projects/details/9760/material/8754635)","PP-EPDM")</f>
        <v>PP-EPDM</v>
      </c>
      <c r="F6921" t="s">
        <v>7113</v>
      </c>
    </row>
    <row r="6922" spans="1:6" x14ac:dyDescent="0.15">
      <c r="A6922">
        <v>12212229</v>
      </c>
      <c r="B6922">
        <v>12085137</v>
      </c>
      <c r="C6922" t="s">
        <v>163</v>
      </c>
      <c r="D6922" t="s">
        <v>114</v>
      </c>
      <c r="E6922" s="4" t="str">
        <f>HYPERLINK("https://ibp.a2mac1.com/costing(costing:projects/details/9760/equipment/12212229)","DC machine - General")</f>
        <v>DC machine - General</v>
      </c>
      <c r="F6922" t="s">
        <v>7113</v>
      </c>
    </row>
    <row r="6923" spans="1:6" x14ac:dyDescent="0.15">
      <c r="A6923">
        <v>8415728</v>
      </c>
      <c r="B6923">
        <v>8415601</v>
      </c>
      <c r="C6923" t="s">
        <v>10</v>
      </c>
      <c r="D6923" t="s">
        <v>8</v>
      </c>
      <c r="E6923" s="4" t="str">
        <f>HYPERLINK("https://ibp.a2mac1.com/costing(costing:projects/details/9760/part/8415728)","Right Side")</f>
        <v>Right Side</v>
      </c>
      <c r="F6923" t="s">
        <v>7103</v>
      </c>
    </row>
    <row r="6924" spans="1:6" x14ac:dyDescent="0.15">
      <c r="A6924">
        <v>12085138</v>
      </c>
      <c r="B6924">
        <v>8415728</v>
      </c>
      <c r="C6924" t="s">
        <v>114</v>
      </c>
      <c r="D6924" t="s">
        <v>10</v>
      </c>
      <c r="E6924" s="4" t="str">
        <f>HYPERLINK("https://ibp.a2mac1.com/costing(costing:projects/details/9760/process/12085138)","Automated Process")</f>
        <v>Automated Process</v>
      </c>
      <c r="F6924" t="s">
        <v>7115</v>
      </c>
    </row>
    <row r="6925" spans="1:6" x14ac:dyDescent="0.15">
      <c r="A6925">
        <v>8754636</v>
      </c>
      <c r="B6925">
        <v>12085138</v>
      </c>
      <c r="C6925" t="s">
        <v>22</v>
      </c>
      <c r="D6925" t="s">
        <v>114</v>
      </c>
      <c r="E6925" s="4" t="str">
        <f>HYPERLINK("https://ibp.a2mac1.com/costing(costing:projects/details/9760/material/8754636)","PP-EPDM")</f>
        <v>PP-EPDM</v>
      </c>
      <c r="F6925" t="s">
        <v>7117</v>
      </c>
    </row>
    <row r="6926" spans="1:6" x14ac:dyDescent="0.15">
      <c r="A6926">
        <v>12212230</v>
      </c>
      <c r="B6926">
        <v>12085138</v>
      </c>
      <c r="C6926" t="s">
        <v>163</v>
      </c>
      <c r="D6926" t="s">
        <v>114</v>
      </c>
      <c r="E6926" s="4" t="str">
        <f>HYPERLINK("https://ibp.a2mac1.com/costing(costing:projects/details/9760/equipment/12212230)","DC machine - General")</f>
        <v>DC machine - General</v>
      </c>
      <c r="F6926" t="s">
        <v>7117</v>
      </c>
    </row>
    <row r="6927" spans="1:6" x14ac:dyDescent="0.15">
      <c r="A6927">
        <v>8754337</v>
      </c>
      <c r="B6927">
        <v>8415601</v>
      </c>
      <c r="C6927" t="s">
        <v>311</v>
      </c>
      <c r="D6927" t="s">
        <v>8</v>
      </c>
      <c r="E6927" s="4" t="str">
        <f>HYPERLINK("https://ibp.a2mac1.com/costing(costing:projects/details/9760/component/8754337)","Rivet &gt; Head rivet")</f>
        <v>Rivet &gt; Head rivet</v>
      </c>
      <c r="F6927" t="s">
        <v>7103</v>
      </c>
    </row>
    <row r="6928" spans="1:6" x14ac:dyDescent="0.15">
      <c r="A6928">
        <v>8754338</v>
      </c>
      <c r="B6928">
        <v>8415601</v>
      </c>
      <c r="C6928" t="s">
        <v>311</v>
      </c>
      <c r="D6928" t="s">
        <v>8</v>
      </c>
      <c r="E6928" s="4" t="str">
        <f>HYPERLINK("https://ibp.a2mac1.com/costing(costing:projects/details/9760/component/8754338)","Rivet &gt; Head rivet")</f>
        <v>Rivet &gt; Head rivet</v>
      </c>
      <c r="F6928" t="s">
        <v>7103</v>
      </c>
    </row>
    <row r="6929" spans="1:6" x14ac:dyDescent="0.15">
      <c r="A6929">
        <v>8415602</v>
      </c>
      <c r="B6929">
        <v>8415577</v>
      </c>
      <c r="C6929" t="s">
        <v>8</v>
      </c>
      <c r="D6929" t="s">
        <v>8</v>
      </c>
      <c r="E6929" s="4" t="str">
        <f>HYPERLINK("https://ibp.a2mac1.com/costing(costing:projects/details/9760/assembly/8415602)","Windshields Windows")</f>
        <v>Windshields Windows</v>
      </c>
      <c r="F6929" t="s">
        <v>6896</v>
      </c>
    </row>
    <row r="6930" spans="1:6" x14ac:dyDescent="0.15">
      <c r="A6930">
        <v>8415733</v>
      </c>
      <c r="B6930">
        <v>8415602</v>
      </c>
      <c r="C6930" t="s">
        <v>8</v>
      </c>
      <c r="D6930" t="s">
        <v>8</v>
      </c>
      <c r="E6930" s="4" t="str">
        <f>HYPERLINK("https://ibp.a2mac1.com/costing(costing:projects/details/9760/assembly/8415733)","Side Windows Quarter Glass")</f>
        <v>Side Windows Quarter Glass</v>
      </c>
      <c r="F6930" t="s">
        <v>7120</v>
      </c>
    </row>
    <row r="6931" spans="1:6" x14ac:dyDescent="0.15">
      <c r="A6931">
        <v>8416058</v>
      </c>
      <c r="B6931">
        <v>8415733</v>
      </c>
      <c r="C6931" t="s">
        <v>8</v>
      </c>
      <c r="D6931" t="s">
        <v>8</v>
      </c>
      <c r="E6931" s="4" t="str">
        <f>HYPERLINK("https://ibp.a2mac1.com/costing(costing:projects/details/9760/assembly/8416058)","Rear")</f>
        <v>Rear</v>
      </c>
      <c r="F6931" t="s">
        <v>7121</v>
      </c>
    </row>
    <row r="6932" spans="1:6" x14ac:dyDescent="0.15">
      <c r="A6932">
        <v>8416388</v>
      </c>
      <c r="B6932">
        <v>8416058</v>
      </c>
      <c r="C6932" t="s">
        <v>10</v>
      </c>
      <c r="D6932" t="s">
        <v>8</v>
      </c>
      <c r="E6932" s="4" t="str">
        <f>HYPERLINK("https://ibp.a2mac1.com/costing(costing:projects/details/9760/part/8416388)","Window")</f>
        <v>Window</v>
      </c>
      <c r="F6932" t="s">
        <v>7122</v>
      </c>
    </row>
    <row r="6933" spans="1:6" x14ac:dyDescent="0.15">
      <c r="A6933">
        <v>12085800</v>
      </c>
      <c r="B6933">
        <v>8416388</v>
      </c>
      <c r="C6933" t="s">
        <v>114</v>
      </c>
      <c r="D6933" t="s">
        <v>10</v>
      </c>
      <c r="E6933" s="4" t="str">
        <f>HYPERLINK("https://ibp.a2mac1.com/costing(costing:projects/details/9760/process/12085800)","Automated Process")</f>
        <v>Automated Process</v>
      </c>
      <c r="F6933" t="s">
        <v>7123</v>
      </c>
    </row>
    <row r="6934" spans="1:6" x14ac:dyDescent="0.15">
      <c r="A6934">
        <v>8755429</v>
      </c>
      <c r="B6934">
        <v>12085800</v>
      </c>
      <c r="C6934" t="s">
        <v>22</v>
      </c>
      <c r="D6934" t="s">
        <v>114</v>
      </c>
      <c r="E6934" s="4" t="str">
        <f>HYPERLINK("https://ibp.a2mac1.com/costing(costing:projects/details/9760/material/8755429)","&gt;Glass;Aluminium;pvc&lt;")</f>
        <v>&gt;Glass;Aluminium;pvc&lt;</v>
      </c>
      <c r="F6934" t="s">
        <v>7126</v>
      </c>
    </row>
    <row r="6935" spans="1:6" x14ac:dyDescent="0.15">
      <c r="A6935">
        <v>12212930</v>
      </c>
      <c r="B6935">
        <v>12085800</v>
      </c>
      <c r="C6935" t="s">
        <v>163</v>
      </c>
      <c r="D6935" t="s">
        <v>114</v>
      </c>
      <c r="E6935" s="4" t="str">
        <f>HYPERLINK("https://ibp.a2mac1.com/costing(costing:projects/details/9760/equipment/12212930)","DC machine - General")</f>
        <v>DC machine - General</v>
      </c>
      <c r="F6935" t="s">
        <v>7126</v>
      </c>
    </row>
    <row r="6936" spans="1:6" x14ac:dyDescent="0.15">
      <c r="A6936">
        <v>8416389</v>
      </c>
      <c r="B6936">
        <v>8416058</v>
      </c>
      <c r="C6936" t="s">
        <v>10</v>
      </c>
      <c r="D6936" t="s">
        <v>8</v>
      </c>
      <c r="E6936" s="4" t="str">
        <f>HYPERLINK("https://ibp.a2mac1.com/costing(costing:projects/details/9760/part/8416389)","Left Bezel")</f>
        <v>Left Bezel</v>
      </c>
      <c r="F6936" t="s">
        <v>7122</v>
      </c>
    </row>
    <row r="6937" spans="1:6" x14ac:dyDescent="0.15">
      <c r="A6937">
        <v>12085801</v>
      </c>
      <c r="B6937">
        <v>8416389</v>
      </c>
      <c r="C6937" t="s">
        <v>114</v>
      </c>
      <c r="D6937" t="s">
        <v>10</v>
      </c>
      <c r="E6937" s="4" t="str">
        <f>HYPERLINK("https://ibp.a2mac1.com/costing(costing:projects/details/9760/process/12085801)","Automated Process")</f>
        <v>Automated Process</v>
      </c>
      <c r="F6937" t="s">
        <v>7129</v>
      </c>
    </row>
    <row r="6938" spans="1:6" x14ac:dyDescent="0.15">
      <c r="A6938">
        <v>8755430</v>
      </c>
      <c r="B6938">
        <v>12085801</v>
      </c>
      <c r="C6938" t="s">
        <v>22</v>
      </c>
      <c r="D6938" t="s">
        <v>114</v>
      </c>
      <c r="E6938" s="4" t="str">
        <f>HYPERLINK("https://ibp.a2mac1.com/costing(costing:projects/details/9760/material/8755430)","Aluminum sheet (default, e.g. EN AW1050A)")</f>
        <v>Aluminum sheet (default, e.g. EN AW1050A)</v>
      </c>
      <c r="F6938" t="s">
        <v>7132</v>
      </c>
    </row>
    <row r="6939" spans="1:6" x14ac:dyDescent="0.15">
      <c r="A6939">
        <v>12212931</v>
      </c>
      <c r="B6939">
        <v>12085801</v>
      </c>
      <c r="C6939" t="s">
        <v>163</v>
      </c>
      <c r="D6939" t="s">
        <v>114</v>
      </c>
      <c r="E6939" s="4" t="str">
        <f>HYPERLINK("https://ibp.a2mac1.com/costing(costing:projects/details/9760/equipment/12212931)","DC machine - General")</f>
        <v>DC machine - General</v>
      </c>
      <c r="F6939" t="s">
        <v>7132</v>
      </c>
    </row>
    <row r="6940" spans="1:6" x14ac:dyDescent="0.15">
      <c r="A6940">
        <v>8416390</v>
      </c>
      <c r="B6940">
        <v>8416058</v>
      </c>
      <c r="C6940" t="s">
        <v>10</v>
      </c>
      <c r="D6940" t="s">
        <v>8</v>
      </c>
      <c r="E6940" s="4" t="str">
        <f>HYPERLINK("https://ibp.a2mac1.com/costing(costing:projects/details/9760/part/8416390)","Rear Seal on Glass")</f>
        <v>Rear Seal on Glass</v>
      </c>
      <c r="F6940" t="s">
        <v>7122</v>
      </c>
    </row>
    <row r="6941" spans="1:6" x14ac:dyDescent="0.15">
      <c r="A6941">
        <v>12085802</v>
      </c>
      <c r="B6941">
        <v>8416390</v>
      </c>
      <c r="C6941" t="s">
        <v>114</v>
      </c>
      <c r="D6941" t="s">
        <v>10</v>
      </c>
      <c r="E6941" s="4" t="str">
        <f>HYPERLINK("https://ibp.a2mac1.com/costing(costing:projects/details/9760/process/12085802)","Automated Process")</f>
        <v>Automated Process</v>
      </c>
      <c r="F6941" t="s">
        <v>7135</v>
      </c>
    </row>
    <row r="6942" spans="1:6" x14ac:dyDescent="0.15">
      <c r="A6942">
        <v>8755431</v>
      </c>
      <c r="B6942">
        <v>12085802</v>
      </c>
      <c r="C6942" t="s">
        <v>22</v>
      </c>
      <c r="D6942" t="s">
        <v>114</v>
      </c>
      <c r="E6942" s="4" t="str">
        <f>HYPERLINK("https://ibp.a2mac1.com/costing(costing:projects/details/9760/material/8755431)","Steel sheet (default)")</f>
        <v>Steel sheet (default)</v>
      </c>
      <c r="F6942" t="s">
        <v>7137</v>
      </c>
    </row>
    <row r="6943" spans="1:6" x14ac:dyDescent="0.15">
      <c r="A6943">
        <v>8755432</v>
      </c>
      <c r="B6943">
        <v>12085802</v>
      </c>
      <c r="C6943" t="s">
        <v>22</v>
      </c>
      <c r="D6943" t="s">
        <v>114</v>
      </c>
      <c r="E6943" s="4" t="str">
        <f>HYPERLINK("https://ibp.a2mac1.com/costing(costing:projects/details/9760/material/8755432)","EPDM")</f>
        <v>EPDM</v>
      </c>
      <c r="F6943" t="s">
        <v>7137</v>
      </c>
    </row>
    <row r="6944" spans="1:6" x14ac:dyDescent="0.15">
      <c r="A6944">
        <v>12212932</v>
      </c>
      <c r="B6944">
        <v>12085802</v>
      </c>
      <c r="C6944" t="s">
        <v>163</v>
      </c>
      <c r="D6944" t="s">
        <v>114</v>
      </c>
      <c r="E6944" s="4" t="str">
        <f>HYPERLINK("https://ibp.a2mac1.com/costing(costing:projects/details/9760/equipment/12212932)","DC machine - General")</f>
        <v>DC machine - General</v>
      </c>
      <c r="F6944" t="s">
        <v>7137</v>
      </c>
    </row>
    <row r="6945" spans="1:6" x14ac:dyDescent="0.15">
      <c r="A6945">
        <v>8754640</v>
      </c>
      <c r="B6945">
        <v>8416058</v>
      </c>
      <c r="C6945" t="s">
        <v>311</v>
      </c>
      <c r="D6945" t="s">
        <v>8</v>
      </c>
      <c r="E6945" s="4" t="str">
        <f>HYPERLINK("https://ibp.a2mac1.com/costing(costing:projects/details/9760/component/8754640)","Nut &gt; Hexagonal nut with collar")</f>
        <v>Nut &gt; Hexagonal nut with collar</v>
      </c>
      <c r="F6945" t="s">
        <v>7122</v>
      </c>
    </row>
    <row r="6946" spans="1:6" x14ac:dyDescent="0.15">
      <c r="A6946">
        <v>8415734</v>
      </c>
      <c r="B6946">
        <v>8415602</v>
      </c>
      <c r="C6946" t="s">
        <v>8</v>
      </c>
      <c r="D6946" t="s">
        <v>8</v>
      </c>
      <c r="E6946" s="4" t="str">
        <f>HYPERLINK("https://ibp.a2mac1.com/costing(costing:projects/details/9760/assembly/8415734)","Windshield System")</f>
        <v>Windshield System</v>
      </c>
      <c r="F6946" t="s">
        <v>7120</v>
      </c>
    </row>
    <row r="6947" spans="1:6" x14ac:dyDescent="0.15">
      <c r="A6947">
        <v>8416059</v>
      </c>
      <c r="B6947">
        <v>8415734</v>
      </c>
      <c r="C6947" t="s">
        <v>8</v>
      </c>
      <c r="D6947" t="s">
        <v>8</v>
      </c>
      <c r="E6947" s="4" t="str">
        <f>HYPERLINK("https://ibp.a2mac1.com/costing(costing:projects/details/9760/assembly/8416059)","Seal")</f>
        <v>Seal</v>
      </c>
      <c r="F6947" t="s">
        <v>7142</v>
      </c>
    </row>
    <row r="6948" spans="1:6" x14ac:dyDescent="0.15">
      <c r="A6948">
        <v>8416391</v>
      </c>
      <c r="B6948">
        <v>8416059</v>
      </c>
      <c r="C6948" t="s">
        <v>10</v>
      </c>
      <c r="D6948" t="s">
        <v>8</v>
      </c>
      <c r="E6948" s="4" t="str">
        <f>HYPERLINK("https://ibp.a2mac1.com/costing(costing:projects/details/9760/part/8416391)","Lower seal")</f>
        <v>Lower seal</v>
      </c>
      <c r="F6948" t="s">
        <v>7143</v>
      </c>
    </row>
    <row r="6949" spans="1:6" x14ac:dyDescent="0.15">
      <c r="A6949">
        <v>12085803</v>
      </c>
      <c r="B6949">
        <v>8416391</v>
      </c>
      <c r="C6949" t="s">
        <v>114</v>
      </c>
      <c r="D6949" t="s">
        <v>10</v>
      </c>
      <c r="E6949" s="4" t="str">
        <f>HYPERLINK("https://ibp.a2mac1.com/costing(costing:projects/details/9760/process/12085803)","Automated Process")</f>
        <v>Automated Process</v>
      </c>
      <c r="F6949" t="s">
        <v>7144</v>
      </c>
    </row>
    <row r="6950" spans="1:6" x14ac:dyDescent="0.15">
      <c r="A6950">
        <v>8755433</v>
      </c>
      <c r="B6950">
        <v>12085803</v>
      </c>
      <c r="C6950" t="s">
        <v>22</v>
      </c>
      <c r="D6950" t="s">
        <v>114</v>
      </c>
      <c r="E6950" s="4" t="str">
        <f>HYPERLINK("https://ibp.a2mac1.com/costing(costing:projects/details/9760/material/8755433)","Aluminum sheet (default, e.g. EN AW1050A)")</f>
        <v>Aluminum sheet (default, e.g. EN AW1050A)</v>
      </c>
      <c r="F6950" t="s">
        <v>7147</v>
      </c>
    </row>
    <row r="6951" spans="1:6" x14ac:dyDescent="0.15">
      <c r="A6951">
        <v>8755434</v>
      </c>
      <c r="B6951">
        <v>12085803</v>
      </c>
      <c r="C6951" t="s">
        <v>22</v>
      </c>
      <c r="D6951" t="s">
        <v>114</v>
      </c>
      <c r="E6951" s="4" t="str">
        <f>HYPERLINK("https://ibp.a2mac1.com/costing(costing:projects/details/9760/material/8755434)","PP")</f>
        <v>PP</v>
      </c>
      <c r="F6951" t="s">
        <v>7147</v>
      </c>
    </row>
    <row r="6952" spans="1:6" x14ac:dyDescent="0.15">
      <c r="A6952">
        <v>8755435</v>
      </c>
      <c r="B6952">
        <v>12085803</v>
      </c>
      <c r="C6952" t="s">
        <v>22</v>
      </c>
      <c r="D6952" t="s">
        <v>114</v>
      </c>
      <c r="E6952" s="4" t="str">
        <f>HYPERLINK("https://ibp.a2mac1.com/costing(costing:projects/details/9760/material/8755435)","TPE")</f>
        <v>TPE</v>
      </c>
      <c r="F6952" t="s">
        <v>7147</v>
      </c>
    </row>
    <row r="6953" spans="1:6" x14ac:dyDescent="0.15">
      <c r="A6953">
        <v>12212933</v>
      </c>
      <c r="B6953">
        <v>12085803</v>
      </c>
      <c r="C6953" t="s">
        <v>163</v>
      </c>
      <c r="D6953" t="s">
        <v>114</v>
      </c>
      <c r="E6953" s="4" t="str">
        <f>HYPERLINK("https://ibp.a2mac1.com/costing(costing:projects/details/9760/equipment/12212933)","DC machine - General")</f>
        <v>DC machine - General</v>
      </c>
      <c r="F6953" t="s">
        <v>7147</v>
      </c>
    </row>
    <row r="6954" spans="1:6" x14ac:dyDescent="0.15">
      <c r="A6954">
        <v>8416392</v>
      </c>
      <c r="B6954">
        <v>8416059</v>
      </c>
      <c r="C6954" t="s">
        <v>10</v>
      </c>
      <c r="D6954" t="s">
        <v>8</v>
      </c>
      <c r="E6954" s="4" t="str">
        <f>HYPERLINK("https://ibp.a2mac1.com/costing(costing:projects/details/9760/part/8416392)","Upper seal")</f>
        <v>Upper seal</v>
      </c>
      <c r="F6954" t="s">
        <v>7143</v>
      </c>
    </row>
    <row r="6955" spans="1:6" x14ac:dyDescent="0.15">
      <c r="A6955">
        <v>12085804</v>
      </c>
      <c r="B6955">
        <v>8416392</v>
      </c>
      <c r="C6955" t="s">
        <v>114</v>
      </c>
      <c r="D6955" t="s">
        <v>10</v>
      </c>
      <c r="E6955" s="4" t="str">
        <f>HYPERLINK("https://ibp.a2mac1.com/costing(costing:projects/details/9760/process/12085804)","Automated Process")</f>
        <v>Automated Process</v>
      </c>
      <c r="F6955" t="s">
        <v>7152</v>
      </c>
    </row>
    <row r="6956" spans="1:6" x14ac:dyDescent="0.15">
      <c r="A6956">
        <v>8755436</v>
      </c>
      <c r="B6956">
        <v>12085804</v>
      </c>
      <c r="C6956" t="s">
        <v>22</v>
      </c>
      <c r="D6956" t="s">
        <v>114</v>
      </c>
      <c r="E6956" s="4" t="str">
        <f>HYPERLINK("https://ibp.a2mac1.com/costing(costing:projects/details/9760/material/8755436)","TPE")</f>
        <v>TPE</v>
      </c>
      <c r="F6956" t="s">
        <v>7155</v>
      </c>
    </row>
    <row r="6957" spans="1:6" x14ac:dyDescent="0.15">
      <c r="A6957">
        <v>12212934</v>
      </c>
      <c r="B6957">
        <v>12085804</v>
      </c>
      <c r="C6957" t="s">
        <v>163</v>
      </c>
      <c r="D6957" t="s">
        <v>114</v>
      </c>
      <c r="E6957" s="4" t="str">
        <f>HYPERLINK("https://ibp.a2mac1.com/costing(costing:projects/details/9760/equipment/12212934)","DC machine - General")</f>
        <v>DC machine - General</v>
      </c>
      <c r="F6957" t="s">
        <v>7155</v>
      </c>
    </row>
    <row r="6958" spans="1:6" x14ac:dyDescent="0.15">
      <c r="A6958">
        <v>8416060</v>
      </c>
      <c r="B6958">
        <v>8415734</v>
      </c>
      <c r="C6958" t="s">
        <v>8</v>
      </c>
      <c r="D6958" t="s">
        <v>8</v>
      </c>
      <c r="E6958" s="4" t="str">
        <f>HYPERLINK("https://ibp.a2mac1.com/costing(costing:projects/details/9760/assembly/8416060)","Windshield")</f>
        <v>Windshield</v>
      </c>
      <c r="F6958" t="s">
        <v>7142</v>
      </c>
    </row>
    <row r="6959" spans="1:6" x14ac:dyDescent="0.15">
      <c r="A6959">
        <v>8416393</v>
      </c>
      <c r="B6959">
        <v>8416060</v>
      </c>
      <c r="C6959" t="s">
        <v>10</v>
      </c>
      <c r="D6959" t="s">
        <v>8</v>
      </c>
      <c r="E6959" s="4" t="str">
        <f>HYPERLINK("https://ibp.a2mac1.com/costing(costing:projects/details/9760/part/8416393)","Glas Panel")</f>
        <v>Glas Panel</v>
      </c>
      <c r="F6959" t="s">
        <v>7158</v>
      </c>
    </row>
    <row r="6960" spans="1:6" x14ac:dyDescent="0.15">
      <c r="A6960">
        <v>12085805</v>
      </c>
      <c r="B6960">
        <v>8416393</v>
      </c>
      <c r="C6960" t="s">
        <v>114</v>
      </c>
      <c r="D6960" t="s">
        <v>10</v>
      </c>
      <c r="E6960" s="4" t="str">
        <f>HYPERLINK("https://ibp.a2mac1.com/costing(costing:projects/details/9760/process/12085805)","Automated Process")</f>
        <v>Automated Process</v>
      </c>
      <c r="F6960" t="s">
        <v>7159</v>
      </c>
    </row>
    <row r="6961" spans="1:6" x14ac:dyDescent="0.15">
      <c r="A6961">
        <v>8755437</v>
      </c>
      <c r="B6961">
        <v>12085805</v>
      </c>
      <c r="C6961" t="s">
        <v>22</v>
      </c>
      <c r="D6961" t="s">
        <v>114</v>
      </c>
      <c r="E6961" s="4" t="str">
        <f>HYPERLINK("https://ibp.a2mac1.com/costing(costing:projects/details/9760/material/8755437)","Glass (default, float glass)")</f>
        <v>Glass (default, float glass)</v>
      </c>
      <c r="F6961" t="s">
        <v>7162</v>
      </c>
    </row>
    <row r="6962" spans="1:6" x14ac:dyDescent="0.15">
      <c r="A6962">
        <v>12212935</v>
      </c>
      <c r="B6962">
        <v>12085805</v>
      </c>
      <c r="C6962" t="s">
        <v>163</v>
      </c>
      <c r="D6962" t="s">
        <v>114</v>
      </c>
      <c r="E6962" s="4" t="str">
        <f>HYPERLINK("https://ibp.a2mac1.com/costing(costing:projects/details/9760/equipment/12212935)","DC machine - General")</f>
        <v>DC machine - General</v>
      </c>
      <c r="F6962" t="s">
        <v>7162</v>
      </c>
    </row>
    <row r="6963" spans="1:6" x14ac:dyDescent="0.15">
      <c r="A6963">
        <v>8416394</v>
      </c>
      <c r="B6963">
        <v>8416060</v>
      </c>
      <c r="C6963" t="s">
        <v>10</v>
      </c>
      <c r="D6963" t="s">
        <v>8</v>
      </c>
      <c r="E6963" s="4" t="str">
        <f>HYPERLINK("https://ibp.a2mac1.com/costing(costing:projects/details/9760/part/8416394)","Commodity: Sealing")</f>
        <v>Commodity: Sealing</v>
      </c>
      <c r="F6963" t="s">
        <v>7158</v>
      </c>
    </row>
    <row r="6964" spans="1:6" x14ac:dyDescent="0.15">
      <c r="A6964">
        <v>8416395</v>
      </c>
      <c r="B6964">
        <v>8416060</v>
      </c>
      <c r="C6964" t="s">
        <v>10</v>
      </c>
      <c r="D6964" t="s">
        <v>8</v>
      </c>
      <c r="E6964" s="4" t="str">
        <f>HYPERLINK("https://ibp.a2mac1.com/costing(costing:projects/details/9760/part/8416395)","Commodity: Mirror Support CPL")</f>
        <v>Commodity: Mirror Support CPL</v>
      </c>
      <c r="F6964" t="s">
        <v>7158</v>
      </c>
    </row>
    <row r="6965" spans="1:6" x14ac:dyDescent="0.15">
      <c r="A6965">
        <v>8754463</v>
      </c>
      <c r="B6965">
        <v>8415734</v>
      </c>
      <c r="C6965" t="s">
        <v>311</v>
      </c>
      <c r="D6965" t="s">
        <v>8</v>
      </c>
      <c r="E6965" s="4" t="str">
        <f>HYPERLINK("https://ibp.a2mac1.com/costing(costing:projects/details/9760/component/8754463)","Other fastener &gt; Attachment")</f>
        <v>Other fastener &gt; Attachment</v>
      </c>
      <c r="F6965" t="s">
        <v>7142</v>
      </c>
    </row>
    <row r="6966" spans="1:6" x14ac:dyDescent="0.15">
      <c r="A6966">
        <v>8415735</v>
      </c>
      <c r="B6966">
        <v>8415602</v>
      </c>
      <c r="C6966" t="s">
        <v>8</v>
      </c>
      <c r="D6966" t="s">
        <v>8</v>
      </c>
      <c r="E6966" s="4" t="str">
        <f>HYPERLINK("https://ibp.a2mac1.com/costing(costing:projects/details/9760/assembly/8415735)","Panoramic Roof")</f>
        <v>Panoramic Roof</v>
      </c>
      <c r="F6966" t="s">
        <v>7120</v>
      </c>
    </row>
    <row r="6967" spans="1:6" x14ac:dyDescent="0.15">
      <c r="A6967">
        <v>8416061</v>
      </c>
      <c r="B6967">
        <v>8415735</v>
      </c>
      <c r="C6967" t="s">
        <v>10</v>
      </c>
      <c r="D6967" t="s">
        <v>8</v>
      </c>
      <c r="E6967" s="4" t="str">
        <f>HYPERLINK("https://ibp.a2mac1.com/costing(costing:projects/details/9760/part/8416061)","Roof Glass")</f>
        <v>Roof Glass</v>
      </c>
      <c r="F6967" t="s">
        <v>7167</v>
      </c>
    </row>
    <row r="6968" spans="1:6" x14ac:dyDescent="0.15">
      <c r="A6968">
        <v>12085374</v>
      </c>
      <c r="B6968">
        <v>8416061</v>
      </c>
      <c r="C6968" t="s">
        <v>114</v>
      </c>
      <c r="D6968" t="s">
        <v>10</v>
      </c>
      <c r="E6968" s="4" t="str">
        <f>HYPERLINK("https://ibp.a2mac1.com/costing(costing:projects/details/9760/process/12085374)","Automated Process")</f>
        <v>Automated Process</v>
      </c>
      <c r="F6968" t="s">
        <v>7168</v>
      </c>
    </row>
    <row r="6969" spans="1:6" x14ac:dyDescent="0.15">
      <c r="A6969">
        <v>8755043</v>
      </c>
      <c r="B6969">
        <v>12085374</v>
      </c>
      <c r="C6969" t="s">
        <v>22</v>
      </c>
      <c r="D6969" t="s">
        <v>114</v>
      </c>
      <c r="E6969" s="4" t="str">
        <f>HYPERLINK("https://ibp.a2mac1.com/costing(costing:projects/details/9760/material/8755043)","Glass (default, float glass) adjusted (part)")</f>
        <v>Glass (default, float glass) adjusted (part)</v>
      </c>
      <c r="F6969" t="s">
        <v>7169</v>
      </c>
    </row>
    <row r="6970" spans="1:6" x14ac:dyDescent="0.15">
      <c r="A6970">
        <v>12212470</v>
      </c>
      <c r="B6970">
        <v>12085374</v>
      </c>
      <c r="C6970" t="s">
        <v>163</v>
      </c>
      <c r="D6970" t="s">
        <v>114</v>
      </c>
      <c r="E6970" s="4" t="str">
        <f>HYPERLINK("https://ibp.a2mac1.com/costing(costing:projects/details/9760/equipment/12212470)","DC machine - General")</f>
        <v>DC machine - General</v>
      </c>
      <c r="F6970" t="s">
        <v>7169</v>
      </c>
    </row>
    <row r="6971" spans="1:6" x14ac:dyDescent="0.15">
      <c r="A6971">
        <v>8416062</v>
      </c>
      <c r="B6971">
        <v>8415735</v>
      </c>
      <c r="C6971" t="s">
        <v>10</v>
      </c>
      <c r="D6971" t="s">
        <v>8</v>
      </c>
      <c r="E6971" s="4" t="str">
        <f>HYPERLINK("https://ibp.a2mac1.com/costing(costing:projects/details/9760/part/8416062)","Front Seal")</f>
        <v>Front Seal</v>
      </c>
      <c r="F6971" t="s">
        <v>7167</v>
      </c>
    </row>
    <row r="6972" spans="1:6" x14ac:dyDescent="0.15">
      <c r="A6972">
        <v>12085375</v>
      </c>
      <c r="B6972">
        <v>8416062</v>
      </c>
      <c r="C6972" t="s">
        <v>114</v>
      </c>
      <c r="D6972" t="s">
        <v>10</v>
      </c>
      <c r="E6972" s="4" t="str">
        <f>HYPERLINK("https://ibp.a2mac1.com/costing(costing:projects/details/9760/process/12085375)","Automated Process")</f>
        <v>Automated Process</v>
      </c>
      <c r="F6972" t="s">
        <v>7172</v>
      </c>
    </row>
    <row r="6973" spans="1:6" x14ac:dyDescent="0.15">
      <c r="A6973">
        <v>8755044</v>
      </c>
      <c r="B6973">
        <v>12085375</v>
      </c>
      <c r="C6973" t="s">
        <v>22</v>
      </c>
      <c r="D6973" t="s">
        <v>114</v>
      </c>
      <c r="E6973" s="4" t="str">
        <f>HYPERLINK("https://ibp.a2mac1.com/costing(costing:projects/details/9760/material/8755044)","TPV")</f>
        <v>TPV</v>
      </c>
      <c r="F6973" t="s">
        <v>7175</v>
      </c>
    </row>
    <row r="6974" spans="1:6" x14ac:dyDescent="0.15">
      <c r="A6974">
        <v>12212471</v>
      </c>
      <c r="B6974">
        <v>12085375</v>
      </c>
      <c r="C6974" t="s">
        <v>163</v>
      </c>
      <c r="D6974" t="s">
        <v>114</v>
      </c>
      <c r="E6974" s="4" t="str">
        <f>HYPERLINK("https://ibp.a2mac1.com/costing(costing:projects/details/9760/equipment/12212471)","DC machine - General")</f>
        <v>DC machine - General</v>
      </c>
      <c r="F6974" t="s">
        <v>7175</v>
      </c>
    </row>
    <row r="6975" spans="1:6" x14ac:dyDescent="0.15">
      <c r="A6975">
        <v>8416063</v>
      </c>
      <c r="B6975">
        <v>8415735</v>
      </c>
      <c r="C6975" t="s">
        <v>10</v>
      </c>
      <c r="D6975" t="s">
        <v>8</v>
      </c>
      <c r="E6975" s="4" t="str">
        <f>HYPERLINK("https://ibp.a2mac1.com/costing(costing:projects/details/9760/part/8416063)","Rear seal")</f>
        <v>Rear seal</v>
      </c>
      <c r="F6975" t="s">
        <v>7167</v>
      </c>
    </row>
    <row r="6976" spans="1:6" x14ac:dyDescent="0.15">
      <c r="A6976">
        <v>12085376</v>
      </c>
      <c r="B6976">
        <v>8416063</v>
      </c>
      <c r="C6976" t="s">
        <v>114</v>
      </c>
      <c r="D6976" t="s">
        <v>10</v>
      </c>
      <c r="E6976" s="4" t="str">
        <f>HYPERLINK("https://ibp.a2mac1.com/costing(costing:projects/details/9760/process/12085376)","Automated Process")</f>
        <v>Automated Process</v>
      </c>
      <c r="F6976" t="s">
        <v>7178</v>
      </c>
    </row>
    <row r="6977" spans="1:6" x14ac:dyDescent="0.15">
      <c r="A6977">
        <v>8755045</v>
      </c>
      <c r="B6977">
        <v>12085376</v>
      </c>
      <c r="C6977" t="s">
        <v>22</v>
      </c>
      <c r="D6977" t="s">
        <v>114</v>
      </c>
      <c r="E6977" s="4" t="str">
        <f>HYPERLINK("https://ibp.a2mac1.com/costing(costing:projects/details/9760/material/8755045)","TPE")</f>
        <v>TPE</v>
      </c>
      <c r="F6977" t="s">
        <v>7179</v>
      </c>
    </row>
    <row r="6978" spans="1:6" x14ac:dyDescent="0.15">
      <c r="A6978">
        <v>12212472</v>
      </c>
      <c r="B6978">
        <v>12085376</v>
      </c>
      <c r="C6978" t="s">
        <v>163</v>
      </c>
      <c r="D6978" t="s">
        <v>114</v>
      </c>
      <c r="E6978" s="4" t="str">
        <f>HYPERLINK("https://ibp.a2mac1.com/costing(costing:projects/details/9760/equipment/12212472)","DC machine - General")</f>
        <v>DC machine - General</v>
      </c>
      <c r="F6978" t="s">
        <v>7179</v>
      </c>
    </row>
    <row r="6979" spans="1:6" x14ac:dyDescent="0.15">
      <c r="A6979">
        <v>8754464</v>
      </c>
      <c r="B6979">
        <v>8415735</v>
      </c>
      <c r="C6979" t="s">
        <v>311</v>
      </c>
      <c r="D6979" t="s">
        <v>8</v>
      </c>
      <c r="E6979" s="4" t="str">
        <f>HYPERLINK("https://ibp.a2mac1.com/costing(costing:projects/details/9760/component/8754464)","Other fastener &gt; Glue")</f>
        <v>Other fastener &gt; Glue</v>
      </c>
      <c r="F6979" t="s">
        <v>7167</v>
      </c>
    </row>
    <row r="6980" spans="1:6" x14ac:dyDescent="0.15">
      <c r="A6980">
        <v>8415730</v>
      </c>
      <c r="B6980">
        <v>8415602</v>
      </c>
      <c r="C6980" t="s">
        <v>10</v>
      </c>
      <c r="D6980" t="s">
        <v>8</v>
      </c>
      <c r="E6980" s="4" t="str">
        <f>HYPERLINK("https://ibp.a2mac1.com/costing(costing:projects/details/9760/part/8415730)","Rear Window")</f>
        <v>Rear Window</v>
      </c>
      <c r="F6980" t="s">
        <v>7120</v>
      </c>
    </row>
    <row r="6981" spans="1:6" x14ac:dyDescent="0.15">
      <c r="A6981">
        <v>12085139</v>
      </c>
      <c r="B6981">
        <v>8415730</v>
      </c>
      <c r="C6981" t="s">
        <v>114</v>
      </c>
      <c r="D6981" t="s">
        <v>10</v>
      </c>
      <c r="E6981" s="4" t="str">
        <f>HYPERLINK("https://ibp.a2mac1.com/costing(costing:projects/details/9760/process/12085139)","Automated Process")</f>
        <v>Automated Process</v>
      </c>
      <c r="F6981" t="s">
        <v>7182</v>
      </c>
    </row>
    <row r="6982" spans="1:6" x14ac:dyDescent="0.15">
      <c r="A6982">
        <v>8754637</v>
      </c>
      <c r="B6982">
        <v>12085139</v>
      </c>
      <c r="C6982" t="s">
        <v>22</v>
      </c>
      <c r="D6982" t="s">
        <v>114</v>
      </c>
      <c r="E6982" s="4" t="str">
        <f>HYPERLINK("https://ibp.a2mac1.com/costing(costing:projects/details/9760/material/8754637)","Glass (default, float glass) adjusted (part)")</f>
        <v>Glass (default, float glass) adjusted (part)</v>
      </c>
      <c r="F6982" t="s">
        <v>7183</v>
      </c>
    </row>
    <row r="6983" spans="1:6" x14ac:dyDescent="0.15">
      <c r="A6983">
        <v>12212231</v>
      </c>
      <c r="B6983">
        <v>12085139</v>
      </c>
      <c r="C6983" t="s">
        <v>163</v>
      </c>
      <c r="D6983" t="s">
        <v>114</v>
      </c>
      <c r="E6983" s="4" t="str">
        <f>HYPERLINK("https://ibp.a2mac1.com/costing(costing:projects/details/9760/equipment/12212231)","DC machine - General")</f>
        <v>DC machine - General</v>
      </c>
      <c r="F6983" t="s">
        <v>7183</v>
      </c>
    </row>
    <row r="6984" spans="1:6" x14ac:dyDescent="0.15">
      <c r="A6984">
        <v>8415731</v>
      </c>
      <c r="B6984">
        <v>8415602</v>
      </c>
      <c r="C6984" t="s">
        <v>10</v>
      </c>
      <c r="D6984" t="s">
        <v>8</v>
      </c>
      <c r="E6984" s="4" t="str">
        <f>HYPERLINK("https://ibp.a2mac1.com/costing(costing:projects/details/9760/part/8415731)","Rear Window Seal")</f>
        <v>Rear Window Seal</v>
      </c>
      <c r="F6984" t="s">
        <v>7120</v>
      </c>
    </row>
    <row r="6985" spans="1:6" x14ac:dyDescent="0.15">
      <c r="A6985">
        <v>12085140</v>
      </c>
      <c r="B6985">
        <v>8415731</v>
      </c>
      <c r="C6985" t="s">
        <v>114</v>
      </c>
      <c r="D6985" t="s">
        <v>10</v>
      </c>
      <c r="E6985" s="4" t="str">
        <f>HYPERLINK("https://ibp.a2mac1.com/costing(costing:projects/details/9760/process/12085140)","Automated Process")</f>
        <v>Automated Process</v>
      </c>
      <c r="F6985" t="s">
        <v>7186</v>
      </c>
    </row>
    <row r="6986" spans="1:6" x14ac:dyDescent="0.15">
      <c r="A6986">
        <v>8754638</v>
      </c>
      <c r="B6986">
        <v>12085140</v>
      </c>
      <c r="C6986" t="s">
        <v>22</v>
      </c>
      <c r="D6986" t="s">
        <v>114</v>
      </c>
      <c r="E6986" s="4" t="str">
        <f>HYPERLINK("https://ibp.a2mac1.com/costing(costing:projects/details/9760/material/8754638)","TPE")</f>
        <v>TPE</v>
      </c>
      <c r="F6986" t="s">
        <v>7188</v>
      </c>
    </row>
    <row r="6987" spans="1:6" x14ac:dyDescent="0.15">
      <c r="A6987">
        <v>12212232</v>
      </c>
      <c r="B6987">
        <v>12085140</v>
      </c>
      <c r="C6987" t="s">
        <v>163</v>
      </c>
      <c r="D6987" t="s">
        <v>114</v>
      </c>
      <c r="E6987" s="4" t="str">
        <f>HYPERLINK("https://ibp.a2mac1.com/costing(costing:projects/details/9760/equipment/12212232)","DC machine - General")</f>
        <v>DC machine - General</v>
      </c>
      <c r="F6987" t="s">
        <v>7188</v>
      </c>
    </row>
    <row r="6988" spans="1:6" x14ac:dyDescent="0.15">
      <c r="A6988">
        <v>8415732</v>
      </c>
      <c r="B6988">
        <v>8415602</v>
      </c>
      <c r="C6988" t="s">
        <v>10</v>
      </c>
      <c r="D6988" t="s">
        <v>8</v>
      </c>
      <c r="E6988" s="4" t="str">
        <f>HYPERLINK("https://ibp.a2mac1.com/costing(costing:projects/details/9760/part/8415732)","2nd Rear Window Seal")</f>
        <v>2nd Rear Window Seal</v>
      </c>
      <c r="F6988" t="s">
        <v>7120</v>
      </c>
    </row>
    <row r="6989" spans="1:6" x14ac:dyDescent="0.15">
      <c r="A6989">
        <v>12085141</v>
      </c>
      <c r="B6989">
        <v>8415732</v>
      </c>
      <c r="C6989" t="s">
        <v>114</v>
      </c>
      <c r="D6989" t="s">
        <v>10</v>
      </c>
      <c r="E6989" s="4" t="str">
        <f>HYPERLINK("https://ibp.a2mac1.com/costing(costing:projects/details/9760/process/12085141)","Automated Process")</f>
        <v>Automated Process</v>
      </c>
      <c r="F6989" t="s">
        <v>7190</v>
      </c>
    </row>
    <row r="6990" spans="1:6" x14ac:dyDescent="0.15">
      <c r="A6990">
        <v>8754639</v>
      </c>
      <c r="B6990">
        <v>12085141</v>
      </c>
      <c r="C6990" t="s">
        <v>22</v>
      </c>
      <c r="D6990" t="s">
        <v>114</v>
      </c>
      <c r="E6990" s="4" t="str">
        <f>HYPERLINK("https://ibp.a2mac1.com/costing(costing:projects/details/9760/material/8754639)","TPE")</f>
        <v>TPE</v>
      </c>
      <c r="F6990" t="s">
        <v>7191</v>
      </c>
    </row>
    <row r="6991" spans="1:6" x14ac:dyDescent="0.15">
      <c r="A6991">
        <v>12212233</v>
      </c>
      <c r="B6991">
        <v>12085141</v>
      </c>
      <c r="C6991" t="s">
        <v>163</v>
      </c>
      <c r="D6991" t="s">
        <v>114</v>
      </c>
      <c r="E6991" s="4" t="str">
        <f>HYPERLINK("https://ibp.a2mac1.com/costing(costing:projects/details/9760/equipment/12212233)","DC machine - General")</f>
        <v>DC machine - General</v>
      </c>
      <c r="F6991" t="s">
        <v>7191</v>
      </c>
    </row>
    <row r="6992" spans="1:6" x14ac:dyDescent="0.15">
      <c r="A6992">
        <v>8754339</v>
      </c>
      <c r="B6992">
        <v>8415602</v>
      </c>
      <c r="C6992" t="s">
        <v>311</v>
      </c>
      <c r="D6992" t="s">
        <v>8</v>
      </c>
      <c r="E6992" s="4" t="str">
        <f>HYPERLINK("https://ibp.a2mac1.com/costing(costing:projects/details/9760/component/8754339)","Other fastener &gt; Attachment")</f>
        <v>Other fastener &gt; Attachment</v>
      </c>
      <c r="F6992" t="s">
        <v>7120</v>
      </c>
    </row>
    <row r="6993" spans="1:6" x14ac:dyDescent="0.15">
      <c r="A6993">
        <v>8415603</v>
      </c>
      <c r="B6993">
        <v>8415577</v>
      </c>
      <c r="C6993" t="s">
        <v>8</v>
      </c>
      <c r="D6993" t="s">
        <v>8</v>
      </c>
      <c r="E6993" s="4" t="str">
        <f>HYPERLINK("https://ibp.a2mac1.com/costing(costing:projects/details/9760/assembly/8415603)","Aerodynamic Shield")</f>
        <v>Aerodynamic Shield</v>
      </c>
      <c r="F6993" t="s">
        <v>6896</v>
      </c>
    </row>
    <row r="6994" spans="1:6" x14ac:dyDescent="0.15">
      <c r="A6994">
        <v>8415749</v>
      </c>
      <c r="B6994">
        <v>8415603</v>
      </c>
      <c r="C6994" t="s">
        <v>8</v>
      </c>
      <c r="D6994" t="s">
        <v>8</v>
      </c>
      <c r="E6994" s="4" t="str">
        <f>HYPERLINK("https://ibp.a2mac1.com/costing(costing:projects/details/9760/assembly/8415749)","Shield Under Front Bumper System")</f>
        <v>Shield Under Front Bumper System</v>
      </c>
      <c r="F6994" t="s">
        <v>7194</v>
      </c>
    </row>
    <row r="6995" spans="1:6" x14ac:dyDescent="0.15">
      <c r="A6995">
        <v>8416064</v>
      </c>
      <c r="B6995">
        <v>8415749</v>
      </c>
      <c r="C6995" t="s">
        <v>10</v>
      </c>
      <c r="D6995" t="s">
        <v>8</v>
      </c>
      <c r="E6995" s="4" t="str">
        <f>HYPERLINK("https://ibp.a2mac1.com/costing(costing:projects/details/9760/part/8416064)","Main Shield")</f>
        <v>Main Shield</v>
      </c>
      <c r="F6995" t="s">
        <v>7195</v>
      </c>
    </row>
    <row r="6996" spans="1:6" x14ac:dyDescent="0.15">
      <c r="A6996">
        <v>12085377</v>
      </c>
      <c r="B6996">
        <v>8416064</v>
      </c>
      <c r="C6996" t="s">
        <v>114</v>
      </c>
      <c r="D6996" t="s">
        <v>10</v>
      </c>
      <c r="E6996" s="4" t="str">
        <f>HYPERLINK("https://ibp.a2mac1.com/costing(costing:projects/details/9760/process/12085377)","Automated Process")</f>
        <v>Automated Process</v>
      </c>
      <c r="F6996" t="s">
        <v>7196</v>
      </c>
    </row>
    <row r="6997" spans="1:6" x14ac:dyDescent="0.15">
      <c r="A6997">
        <v>8755046</v>
      </c>
      <c r="B6997">
        <v>12085377</v>
      </c>
      <c r="C6997" t="s">
        <v>22</v>
      </c>
      <c r="D6997" t="s">
        <v>114</v>
      </c>
      <c r="E6997" s="4" t="str">
        <f>HYPERLINK("https://ibp.a2mac1.com/costing(costing:projects/details/9760/material/8755046)","PP-EPDM-MD35-TD20")</f>
        <v>PP-EPDM-MD35-TD20</v>
      </c>
      <c r="F6997" t="s">
        <v>7199</v>
      </c>
    </row>
    <row r="6998" spans="1:6" x14ac:dyDescent="0.15">
      <c r="A6998">
        <v>12212473</v>
      </c>
      <c r="B6998">
        <v>12085377</v>
      </c>
      <c r="C6998" t="s">
        <v>163</v>
      </c>
      <c r="D6998" t="s">
        <v>114</v>
      </c>
      <c r="E6998" s="4" t="str">
        <f>HYPERLINK("https://ibp.a2mac1.com/costing(costing:projects/details/9760/equipment/12212473)","DC machine - General")</f>
        <v>DC machine - General</v>
      </c>
      <c r="F6998" t="s">
        <v>7199</v>
      </c>
    </row>
    <row r="6999" spans="1:6" x14ac:dyDescent="0.15">
      <c r="A6999">
        <v>8754465</v>
      </c>
      <c r="B6999">
        <v>8415749</v>
      </c>
      <c r="C6999" t="s">
        <v>311</v>
      </c>
      <c r="D6999" t="s">
        <v>8</v>
      </c>
      <c r="E6999" s="4" t="str">
        <f>HYPERLINK("https://ibp.a2mac1.com/costing(costing:projects/details/9760/component/8754465)","Screw &gt; Various shape screw with captive washer")</f>
        <v>Screw &gt; Various shape screw with captive washer</v>
      </c>
      <c r="F6999" t="s">
        <v>7195</v>
      </c>
    </row>
    <row r="7000" spans="1:6" x14ac:dyDescent="0.15">
      <c r="A7000">
        <v>8415736</v>
      </c>
      <c r="B7000">
        <v>8415603</v>
      </c>
      <c r="C7000" t="s">
        <v>10</v>
      </c>
      <c r="D7000" t="s">
        <v>8</v>
      </c>
      <c r="E7000" s="4" t="str">
        <f>HYPERLINK("https://ibp.a2mac1.com/costing(costing:projects/details/9760/part/8415736)","Front Behind the Front Axle")</f>
        <v>Front Behind the Front Axle</v>
      </c>
      <c r="F7000" t="s">
        <v>7194</v>
      </c>
    </row>
    <row r="7001" spans="1:6" x14ac:dyDescent="0.15">
      <c r="A7001">
        <v>12085142</v>
      </c>
      <c r="B7001">
        <v>8415736</v>
      </c>
      <c r="C7001" t="s">
        <v>114</v>
      </c>
      <c r="D7001" t="s">
        <v>10</v>
      </c>
      <c r="E7001" s="4" t="str">
        <f>HYPERLINK("https://ibp.a2mac1.com/costing(costing:projects/details/9760/process/12085142)","Automated Process")</f>
        <v>Automated Process</v>
      </c>
      <c r="F7001" t="s">
        <v>7202</v>
      </c>
    </row>
    <row r="7002" spans="1:6" x14ac:dyDescent="0.15">
      <c r="A7002">
        <v>8754641</v>
      </c>
      <c r="B7002">
        <v>12085142</v>
      </c>
      <c r="C7002" t="s">
        <v>22</v>
      </c>
      <c r="D7002" t="s">
        <v>114</v>
      </c>
      <c r="E7002" s="4" t="str">
        <f>HYPERLINK("https://ibp.a2mac1.com/costing(costing:projects/details/9760/material/8754641)","PET")</f>
        <v>PET</v>
      </c>
      <c r="F7002" t="s">
        <v>7205</v>
      </c>
    </row>
    <row r="7003" spans="1:6" x14ac:dyDescent="0.15">
      <c r="A7003">
        <v>12212234</v>
      </c>
      <c r="B7003">
        <v>12085142</v>
      </c>
      <c r="C7003" t="s">
        <v>163</v>
      </c>
      <c r="D7003" t="s">
        <v>114</v>
      </c>
      <c r="E7003" s="4" t="str">
        <f>HYPERLINK("https://ibp.a2mac1.com/costing(costing:projects/details/9760/equipment/12212234)","DC machine - General")</f>
        <v>DC machine - General</v>
      </c>
      <c r="F7003" t="s">
        <v>7205</v>
      </c>
    </row>
    <row r="7004" spans="1:6" x14ac:dyDescent="0.15">
      <c r="A7004">
        <v>8415737</v>
      </c>
      <c r="B7004">
        <v>8415603</v>
      </c>
      <c r="C7004" t="s">
        <v>10</v>
      </c>
      <c r="D7004" t="s">
        <v>8</v>
      </c>
      <c r="E7004" s="4" t="str">
        <f>HYPERLINK("https://ibp.a2mac1.com/costing(costing:projects/details/9760/part/8415737)","Middle Left")</f>
        <v>Middle Left</v>
      </c>
      <c r="F7004" t="s">
        <v>7194</v>
      </c>
    </row>
    <row r="7005" spans="1:6" x14ac:dyDescent="0.15">
      <c r="A7005">
        <v>12085143</v>
      </c>
      <c r="B7005">
        <v>8415737</v>
      </c>
      <c r="C7005" t="s">
        <v>114</v>
      </c>
      <c r="D7005" t="s">
        <v>10</v>
      </c>
      <c r="E7005" s="4" t="str">
        <f>HYPERLINK("https://ibp.a2mac1.com/costing(costing:projects/details/9760/process/12085143)","Automated Process")</f>
        <v>Automated Process</v>
      </c>
      <c r="F7005" t="s">
        <v>7207</v>
      </c>
    </row>
    <row r="7006" spans="1:6" x14ac:dyDescent="0.15">
      <c r="A7006">
        <v>8754642</v>
      </c>
      <c r="B7006">
        <v>12085143</v>
      </c>
      <c r="C7006" t="s">
        <v>22</v>
      </c>
      <c r="D7006" t="s">
        <v>114</v>
      </c>
      <c r="E7006" s="4" t="str">
        <f>HYPERLINK("https://ibp.a2mac1.com/costing(costing:projects/details/9760/material/8754642)","PET")</f>
        <v>PET</v>
      </c>
      <c r="F7006" t="s">
        <v>7210</v>
      </c>
    </row>
    <row r="7007" spans="1:6" x14ac:dyDescent="0.15">
      <c r="A7007">
        <v>12212235</v>
      </c>
      <c r="B7007">
        <v>12085143</v>
      </c>
      <c r="C7007" t="s">
        <v>163</v>
      </c>
      <c r="D7007" t="s">
        <v>114</v>
      </c>
      <c r="E7007" s="4" t="str">
        <f>HYPERLINK("https://ibp.a2mac1.com/costing(costing:projects/details/9760/equipment/12212235)","DC machine - General")</f>
        <v>DC machine - General</v>
      </c>
      <c r="F7007" t="s">
        <v>7210</v>
      </c>
    </row>
    <row r="7008" spans="1:6" x14ac:dyDescent="0.15">
      <c r="A7008">
        <v>8415738</v>
      </c>
      <c r="B7008">
        <v>8415603</v>
      </c>
      <c r="C7008" t="s">
        <v>10</v>
      </c>
      <c r="D7008" t="s">
        <v>8</v>
      </c>
      <c r="E7008" s="4" t="str">
        <f>HYPERLINK("https://ibp.a2mac1.com/costing(costing:projects/details/9760/part/8415738)","Middle Right")</f>
        <v>Middle Right</v>
      </c>
      <c r="F7008" t="s">
        <v>7194</v>
      </c>
    </row>
    <row r="7009" spans="1:6" x14ac:dyDescent="0.15">
      <c r="A7009">
        <v>12085144</v>
      </c>
      <c r="B7009">
        <v>8415738</v>
      </c>
      <c r="C7009" t="s">
        <v>114</v>
      </c>
      <c r="D7009" t="s">
        <v>10</v>
      </c>
      <c r="E7009" s="4" t="str">
        <f>HYPERLINK("https://ibp.a2mac1.com/costing(costing:projects/details/9760/process/12085144)","Automated Process")</f>
        <v>Automated Process</v>
      </c>
      <c r="F7009" t="s">
        <v>7212</v>
      </c>
    </row>
    <row r="7010" spans="1:6" x14ac:dyDescent="0.15">
      <c r="A7010">
        <v>8754643</v>
      </c>
      <c r="B7010">
        <v>12085144</v>
      </c>
      <c r="C7010" t="s">
        <v>22</v>
      </c>
      <c r="D7010" t="s">
        <v>114</v>
      </c>
      <c r="E7010" s="4" t="str">
        <f>HYPERLINK("https://ibp.a2mac1.com/costing(costing:projects/details/9760/material/8754643)","PET")</f>
        <v>PET</v>
      </c>
      <c r="F7010" t="s">
        <v>7215</v>
      </c>
    </row>
    <row r="7011" spans="1:6" x14ac:dyDescent="0.15">
      <c r="A7011">
        <v>12212236</v>
      </c>
      <c r="B7011">
        <v>12085144</v>
      </c>
      <c r="C7011" t="s">
        <v>163</v>
      </c>
      <c r="D7011" t="s">
        <v>114</v>
      </c>
      <c r="E7011" s="4" t="str">
        <f>HYPERLINK("https://ibp.a2mac1.com/costing(costing:projects/details/9760/equipment/12212236)","DC machine - General")</f>
        <v>DC machine - General</v>
      </c>
      <c r="F7011" t="s">
        <v>7215</v>
      </c>
    </row>
    <row r="7012" spans="1:6" x14ac:dyDescent="0.15">
      <c r="A7012">
        <v>8415739</v>
      </c>
      <c r="B7012">
        <v>8415603</v>
      </c>
      <c r="C7012" t="s">
        <v>10</v>
      </c>
      <c r="D7012" t="s">
        <v>8</v>
      </c>
      <c r="E7012" s="4" t="str">
        <f>HYPERLINK("https://ibp.a2mac1.com/costing(costing:projects/details/9760/part/8415739)","Front the rear axle")</f>
        <v>Front the rear axle</v>
      </c>
      <c r="F7012" t="s">
        <v>7194</v>
      </c>
    </row>
    <row r="7013" spans="1:6" x14ac:dyDescent="0.15">
      <c r="A7013">
        <v>12085145</v>
      </c>
      <c r="B7013">
        <v>8415739</v>
      </c>
      <c r="C7013" t="s">
        <v>114</v>
      </c>
      <c r="D7013" t="s">
        <v>10</v>
      </c>
      <c r="E7013" s="4" t="str">
        <f>HYPERLINK("https://ibp.a2mac1.com/costing(costing:projects/details/9760/process/12085145)","Automated Process")</f>
        <v>Automated Process</v>
      </c>
      <c r="F7013" t="s">
        <v>7217</v>
      </c>
    </row>
    <row r="7014" spans="1:6" x14ac:dyDescent="0.15">
      <c r="A7014">
        <v>8754644</v>
      </c>
      <c r="B7014">
        <v>12085145</v>
      </c>
      <c r="C7014" t="s">
        <v>22</v>
      </c>
      <c r="D7014" t="s">
        <v>114</v>
      </c>
      <c r="E7014" s="4" t="str">
        <f>HYPERLINK("https://ibp.a2mac1.com/costing(costing:projects/details/9760/material/8754644)","PP")</f>
        <v>PP</v>
      </c>
      <c r="F7014" t="s">
        <v>7220</v>
      </c>
    </row>
    <row r="7015" spans="1:6" x14ac:dyDescent="0.15">
      <c r="A7015">
        <v>12212237</v>
      </c>
      <c r="B7015">
        <v>12085145</v>
      </c>
      <c r="C7015" t="s">
        <v>163</v>
      </c>
      <c r="D7015" t="s">
        <v>114</v>
      </c>
      <c r="E7015" s="4" t="str">
        <f>HYPERLINK("https://ibp.a2mac1.com/costing(costing:projects/details/9760/equipment/12212237)","DC machine - General")</f>
        <v>DC machine - General</v>
      </c>
      <c r="F7015" t="s">
        <v>7220</v>
      </c>
    </row>
    <row r="7016" spans="1:6" x14ac:dyDescent="0.15">
      <c r="A7016">
        <v>8415740</v>
      </c>
      <c r="B7016">
        <v>8415603</v>
      </c>
      <c r="C7016" t="s">
        <v>10</v>
      </c>
      <c r="D7016" t="s">
        <v>8</v>
      </c>
      <c r="E7016" s="4" t="str">
        <f>HYPERLINK("https://ibp.a2mac1.com/costing(costing:projects/details/9760/part/8415740)","Rear Under Trunk")</f>
        <v>Rear Under Trunk</v>
      </c>
      <c r="F7016" t="s">
        <v>7194</v>
      </c>
    </row>
    <row r="7017" spans="1:6" x14ac:dyDescent="0.15">
      <c r="A7017">
        <v>12085146</v>
      </c>
      <c r="B7017">
        <v>8415740</v>
      </c>
      <c r="C7017" t="s">
        <v>114</v>
      </c>
      <c r="D7017" t="s">
        <v>10</v>
      </c>
      <c r="E7017" s="4" t="str">
        <f>HYPERLINK("https://ibp.a2mac1.com/costing(costing:projects/details/9760/process/12085146)","Automated Process")</f>
        <v>Automated Process</v>
      </c>
      <c r="F7017" t="s">
        <v>7222</v>
      </c>
    </row>
    <row r="7018" spans="1:6" x14ac:dyDescent="0.15">
      <c r="A7018">
        <v>8754645</v>
      </c>
      <c r="B7018">
        <v>12085146</v>
      </c>
      <c r="C7018" t="s">
        <v>22</v>
      </c>
      <c r="D7018" t="s">
        <v>114</v>
      </c>
      <c r="E7018" s="4" t="str">
        <f>HYPERLINK("https://ibp.a2mac1.com/costing(costing:projects/details/9760/material/8754645)","PP")</f>
        <v>PP</v>
      </c>
      <c r="F7018" t="s">
        <v>7225</v>
      </c>
    </row>
    <row r="7019" spans="1:6" x14ac:dyDescent="0.15">
      <c r="A7019">
        <v>12212238</v>
      </c>
      <c r="B7019">
        <v>12085146</v>
      </c>
      <c r="C7019" t="s">
        <v>163</v>
      </c>
      <c r="D7019" t="s">
        <v>114</v>
      </c>
      <c r="E7019" s="4" t="str">
        <f>HYPERLINK("https://ibp.a2mac1.com/costing(costing:projects/details/9760/equipment/12212238)","DC machine - General")</f>
        <v>DC machine - General</v>
      </c>
      <c r="F7019" t="s">
        <v>7225</v>
      </c>
    </row>
    <row r="7020" spans="1:6" x14ac:dyDescent="0.15">
      <c r="A7020">
        <v>8415741</v>
      </c>
      <c r="B7020">
        <v>8415603</v>
      </c>
      <c r="C7020" t="s">
        <v>10</v>
      </c>
      <c r="D7020" t="s">
        <v>8</v>
      </c>
      <c r="E7020" s="4" t="str">
        <f>HYPERLINK("https://ibp.a2mac1.com/costing(costing:projects/details/9760/part/8415741)","Support")</f>
        <v>Support</v>
      </c>
      <c r="F7020" t="s">
        <v>7194</v>
      </c>
    </row>
    <row r="7021" spans="1:6" x14ac:dyDescent="0.15">
      <c r="A7021">
        <v>12085147</v>
      </c>
      <c r="B7021">
        <v>8415741</v>
      </c>
      <c r="C7021" t="s">
        <v>114</v>
      </c>
      <c r="D7021" t="s">
        <v>10</v>
      </c>
      <c r="E7021" s="4" t="str">
        <f>HYPERLINK("https://ibp.a2mac1.com/costing(costing:projects/details/9760/process/12085147)","Automated Process")</f>
        <v>Automated Process</v>
      </c>
      <c r="F7021" t="s">
        <v>7227</v>
      </c>
    </row>
    <row r="7022" spans="1:6" x14ac:dyDescent="0.15">
      <c r="A7022">
        <v>8754646</v>
      </c>
      <c r="B7022">
        <v>12085147</v>
      </c>
      <c r="C7022" t="s">
        <v>22</v>
      </c>
      <c r="D7022" t="s">
        <v>114</v>
      </c>
      <c r="E7022" s="4" t="str">
        <f>HYPERLINK("https://ibp.a2mac1.com/costing(costing:projects/details/9760/material/8754646)","Steel sheet (default)")</f>
        <v>Steel sheet (default)</v>
      </c>
      <c r="F7022" t="s">
        <v>7229</v>
      </c>
    </row>
    <row r="7023" spans="1:6" x14ac:dyDescent="0.15">
      <c r="A7023">
        <v>12212239</v>
      </c>
      <c r="B7023">
        <v>12085147</v>
      </c>
      <c r="C7023" t="s">
        <v>163</v>
      </c>
      <c r="D7023" t="s">
        <v>114</v>
      </c>
      <c r="E7023" s="4" t="str">
        <f>HYPERLINK("https://ibp.a2mac1.com/costing(costing:projects/details/9760/equipment/12212239)","DC machine - General")</f>
        <v>DC machine - General</v>
      </c>
      <c r="F7023" t="s">
        <v>7229</v>
      </c>
    </row>
    <row r="7024" spans="1:6" x14ac:dyDescent="0.15">
      <c r="A7024">
        <v>8415742</v>
      </c>
      <c r="B7024">
        <v>8415603</v>
      </c>
      <c r="C7024" t="s">
        <v>10</v>
      </c>
      <c r="D7024" t="s">
        <v>8</v>
      </c>
      <c r="E7024" s="4" t="str">
        <f>HYPERLINK("https://ibp.a2mac1.com/costing(costing:projects/details/9760/part/8415742)","Support 2")</f>
        <v>Support 2</v>
      </c>
      <c r="F7024" t="s">
        <v>7194</v>
      </c>
    </row>
    <row r="7025" spans="1:6" x14ac:dyDescent="0.15">
      <c r="A7025">
        <v>12085148</v>
      </c>
      <c r="B7025">
        <v>8415742</v>
      </c>
      <c r="C7025" t="s">
        <v>114</v>
      </c>
      <c r="D7025" t="s">
        <v>10</v>
      </c>
      <c r="E7025" s="4" t="str">
        <f>HYPERLINK("https://ibp.a2mac1.com/costing(costing:projects/details/9760/process/12085148)","Automated Process")</f>
        <v>Automated Process</v>
      </c>
      <c r="F7025" t="s">
        <v>7231</v>
      </c>
    </row>
    <row r="7026" spans="1:6" x14ac:dyDescent="0.15">
      <c r="A7026">
        <v>8754647</v>
      </c>
      <c r="B7026">
        <v>12085148</v>
      </c>
      <c r="C7026" t="s">
        <v>22</v>
      </c>
      <c r="D7026" t="s">
        <v>114</v>
      </c>
      <c r="E7026" s="4" t="str">
        <f>HYPERLINK("https://ibp.a2mac1.com/costing(costing:projects/details/9760/material/8754647)","Steel sheet (default)")</f>
        <v>Steel sheet (default)</v>
      </c>
      <c r="F7026" t="s">
        <v>7234</v>
      </c>
    </row>
    <row r="7027" spans="1:6" x14ac:dyDescent="0.15">
      <c r="A7027">
        <v>12212240</v>
      </c>
      <c r="B7027">
        <v>12085148</v>
      </c>
      <c r="C7027" t="s">
        <v>163</v>
      </c>
      <c r="D7027" t="s">
        <v>114</v>
      </c>
      <c r="E7027" s="4" t="str">
        <f>HYPERLINK("https://ibp.a2mac1.com/costing(costing:projects/details/9760/equipment/12212240)","DC machine - General")</f>
        <v>DC machine - General</v>
      </c>
      <c r="F7027" t="s">
        <v>7234</v>
      </c>
    </row>
    <row r="7028" spans="1:6" x14ac:dyDescent="0.15">
      <c r="A7028">
        <v>8415743</v>
      </c>
      <c r="B7028">
        <v>8415603</v>
      </c>
      <c r="C7028" t="s">
        <v>10</v>
      </c>
      <c r="D7028" t="s">
        <v>8</v>
      </c>
      <c r="E7028" s="4" t="str">
        <f>HYPERLINK("https://ibp.a2mac1.com/costing(costing:projects/details/9760/part/8415743)","Support 3")</f>
        <v>Support 3</v>
      </c>
      <c r="F7028" t="s">
        <v>7194</v>
      </c>
    </row>
    <row r="7029" spans="1:6" x14ac:dyDescent="0.15">
      <c r="A7029">
        <v>12085149</v>
      </c>
      <c r="B7029">
        <v>8415743</v>
      </c>
      <c r="C7029" t="s">
        <v>114</v>
      </c>
      <c r="D7029" t="s">
        <v>10</v>
      </c>
      <c r="E7029" s="4" t="str">
        <f>HYPERLINK("https://ibp.a2mac1.com/costing(costing:projects/details/9760/process/12085149)","Automated Process")</f>
        <v>Automated Process</v>
      </c>
      <c r="F7029" t="s">
        <v>7236</v>
      </c>
    </row>
    <row r="7030" spans="1:6" x14ac:dyDescent="0.15">
      <c r="A7030">
        <v>8754648</v>
      </c>
      <c r="B7030">
        <v>12085149</v>
      </c>
      <c r="C7030" t="s">
        <v>22</v>
      </c>
      <c r="D7030" t="s">
        <v>114</v>
      </c>
      <c r="E7030" s="4" t="str">
        <f>HYPERLINK("https://ibp.a2mac1.com/costing(costing:projects/details/9760/material/8754648)","Steel sheet (default)")</f>
        <v>Steel sheet (default)</v>
      </c>
      <c r="F7030" t="s">
        <v>7239</v>
      </c>
    </row>
    <row r="7031" spans="1:6" x14ac:dyDescent="0.15">
      <c r="A7031">
        <v>12212241</v>
      </c>
      <c r="B7031">
        <v>12085149</v>
      </c>
      <c r="C7031" t="s">
        <v>163</v>
      </c>
      <c r="D7031" t="s">
        <v>114</v>
      </c>
      <c r="E7031" s="4" t="str">
        <f>HYPERLINK("https://ibp.a2mac1.com/costing(costing:projects/details/9760/equipment/12212241)","DC machine - General")</f>
        <v>DC machine - General</v>
      </c>
      <c r="F7031" t="s">
        <v>7239</v>
      </c>
    </row>
    <row r="7032" spans="1:6" x14ac:dyDescent="0.15">
      <c r="A7032">
        <v>8415744</v>
      </c>
      <c r="B7032">
        <v>8415603</v>
      </c>
      <c r="C7032" t="s">
        <v>10</v>
      </c>
      <c r="D7032" t="s">
        <v>8</v>
      </c>
      <c r="E7032" s="4" t="str">
        <f>HYPERLINK("https://ibp.a2mac1.com/costing(costing:projects/details/9760/part/8415744)","Support 4")</f>
        <v>Support 4</v>
      </c>
      <c r="F7032" t="s">
        <v>7194</v>
      </c>
    </row>
    <row r="7033" spans="1:6" x14ac:dyDescent="0.15">
      <c r="A7033">
        <v>12085150</v>
      </c>
      <c r="B7033">
        <v>8415744</v>
      </c>
      <c r="C7033" t="s">
        <v>114</v>
      </c>
      <c r="D7033" t="s">
        <v>10</v>
      </c>
      <c r="E7033" s="4" t="str">
        <f>HYPERLINK("https://ibp.a2mac1.com/costing(costing:projects/details/9760/process/12085150)","Automated Process")</f>
        <v>Automated Process</v>
      </c>
      <c r="F7033" t="s">
        <v>7241</v>
      </c>
    </row>
    <row r="7034" spans="1:6" x14ac:dyDescent="0.15">
      <c r="A7034">
        <v>8754649</v>
      </c>
      <c r="B7034">
        <v>12085150</v>
      </c>
      <c r="C7034" t="s">
        <v>22</v>
      </c>
      <c r="D7034" t="s">
        <v>114</v>
      </c>
      <c r="E7034" s="4" t="str">
        <f>HYPERLINK("https://ibp.a2mac1.com/costing(costing:projects/details/9760/material/8754649)","Steel sheet (default)")</f>
        <v>Steel sheet (default)</v>
      </c>
      <c r="F7034" t="s">
        <v>7244</v>
      </c>
    </row>
    <row r="7035" spans="1:6" x14ac:dyDescent="0.15">
      <c r="A7035">
        <v>12212242</v>
      </c>
      <c r="B7035">
        <v>12085150</v>
      </c>
      <c r="C7035" t="s">
        <v>163</v>
      </c>
      <c r="D7035" t="s">
        <v>114</v>
      </c>
      <c r="E7035" s="4" t="str">
        <f>HYPERLINK("https://ibp.a2mac1.com/costing(costing:projects/details/9760/equipment/12212242)","DC machine - General")</f>
        <v>DC machine - General</v>
      </c>
      <c r="F7035" t="s">
        <v>7244</v>
      </c>
    </row>
    <row r="7036" spans="1:6" x14ac:dyDescent="0.15">
      <c r="A7036">
        <v>8415745</v>
      </c>
      <c r="B7036">
        <v>8415603</v>
      </c>
      <c r="C7036" t="s">
        <v>10</v>
      </c>
      <c r="D7036" t="s">
        <v>8</v>
      </c>
      <c r="E7036" s="4" t="str">
        <f>HYPERLINK("https://ibp.a2mac1.com/costing(costing:projects/details/9760/part/8415745)","Support 5")</f>
        <v>Support 5</v>
      </c>
      <c r="F7036" t="s">
        <v>7194</v>
      </c>
    </row>
    <row r="7037" spans="1:6" x14ac:dyDescent="0.15">
      <c r="A7037">
        <v>12085151</v>
      </c>
      <c r="B7037">
        <v>8415745</v>
      </c>
      <c r="C7037" t="s">
        <v>114</v>
      </c>
      <c r="D7037" t="s">
        <v>10</v>
      </c>
      <c r="E7037" s="4" t="str">
        <f>HYPERLINK("https://ibp.a2mac1.com/costing(costing:projects/details/9760/process/12085151)","Automated Process")</f>
        <v>Automated Process</v>
      </c>
      <c r="F7037" t="s">
        <v>7246</v>
      </c>
    </row>
    <row r="7038" spans="1:6" x14ac:dyDescent="0.15">
      <c r="A7038">
        <v>8754650</v>
      </c>
      <c r="B7038">
        <v>12085151</v>
      </c>
      <c r="C7038" t="s">
        <v>22</v>
      </c>
      <c r="D7038" t="s">
        <v>114</v>
      </c>
      <c r="E7038" s="4" t="str">
        <f>HYPERLINK("https://ibp.a2mac1.com/costing(costing:projects/details/9760/material/8754650)","Steel sheet (default)")</f>
        <v>Steel sheet (default)</v>
      </c>
      <c r="F7038" t="s">
        <v>7248</v>
      </c>
    </row>
    <row r="7039" spans="1:6" x14ac:dyDescent="0.15">
      <c r="A7039">
        <v>12212243</v>
      </c>
      <c r="B7039">
        <v>12085151</v>
      </c>
      <c r="C7039" t="s">
        <v>163</v>
      </c>
      <c r="D7039" t="s">
        <v>114</v>
      </c>
      <c r="E7039" s="4" t="str">
        <f>HYPERLINK("https://ibp.a2mac1.com/costing(costing:projects/details/9760/equipment/12212243)","DC machine - General")</f>
        <v>DC machine - General</v>
      </c>
      <c r="F7039" t="s">
        <v>7248</v>
      </c>
    </row>
    <row r="7040" spans="1:6" x14ac:dyDescent="0.15">
      <c r="A7040">
        <v>8415746</v>
      </c>
      <c r="B7040">
        <v>8415603</v>
      </c>
      <c r="C7040" t="s">
        <v>10</v>
      </c>
      <c r="D7040" t="s">
        <v>8</v>
      </c>
      <c r="E7040" s="4" t="str">
        <f>HYPERLINK("https://ibp.a2mac1.com/costing(costing:projects/details/9760/part/8415746)","Support 6")</f>
        <v>Support 6</v>
      </c>
      <c r="F7040" t="s">
        <v>7194</v>
      </c>
    </row>
    <row r="7041" spans="1:6" x14ac:dyDescent="0.15">
      <c r="A7041">
        <v>12085152</v>
      </c>
      <c r="B7041">
        <v>8415746</v>
      </c>
      <c r="C7041" t="s">
        <v>114</v>
      </c>
      <c r="D7041" t="s">
        <v>10</v>
      </c>
      <c r="E7041" s="4" t="str">
        <f>HYPERLINK("https://ibp.a2mac1.com/costing(costing:projects/details/9760/process/12085152)","Automated Process")</f>
        <v>Automated Process</v>
      </c>
      <c r="F7041" t="s">
        <v>7250</v>
      </c>
    </row>
    <row r="7042" spans="1:6" x14ac:dyDescent="0.15">
      <c r="A7042">
        <v>8754651</v>
      </c>
      <c r="B7042">
        <v>12085152</v>
      </c>
      <c r="C7042" t="s">
        <v>22</v>
      </c>
      <c r="D7042" t="s">
        <v>114</v>
      </c>
      <c r="E7042" s="4" t="str">
        <f>HYPERLINK("https://ibp.a2mac1.com/costing(costing:projects/details/9760/material/8754651)","Steel sheet (default)")</f>
        <v>Steel sheet (default)</v>
      </c>
      <c r="F7042" t="s">
        <v>7251</v>
      </c>
    </row>
    <row r="7043" spans="1:6" x14ac:dyDescent="0.15">
      <c r="A7043">
        <v>12212244</v>
      </c>
      <c r="B7043">
        <v>12085152</v>
      </c>
      <c r="C7043" t="s">
        <v>163</v>
      </c>
      <c r="D7043" t="s">
        <v>114</v>
      </c>
      <c r="E7043" s="4" t="str">
        <f>HYPERLINK("https://ibp.a2mac1.com/costing(costing:projects/details/9760/equipment/12212244)","DC machine - General")</f>
        <v>DC machine - General</v>
      </c>
      <c r="F7043" t="s">
        <v>7251</v>
      </c>
    </row>
    <row r="7044" spans="1:6" x14ac:dyDescent="0.15">
      <c r="A7044">
        <v>8415747</v>
      </c>
      <c r="B7044">
        <v>8415603</v>
      </c>
      <c r="C7044" t="s">
        <v>10</v>
      </c>
      <c r="D7044" t="s">
        <v>8</v>
      </c>
      <c r="E7044" s="4" t="str">
        <f>HYPERLINK("https://ibp.a2mac1.com/costing(costing:projects/details/9760/part/8415747)","Support 7")</f>
        <v>Support 7</v>
      </c>
      <c r="F7044" t="s">
        <v>7194</v>
      </c>
    </row>
    <row r="7045" spans="1:6" x14ac:dyDescent="0.15">
      <c r="A7045">
        <v>12085153</v>
      </c>
      <c r="B7045">
        <v>8415747</v>
      </c>
      <c r="C7045" t="s">
        <v>114</v>
      </c>
      <c r="D7045" t="s">
        <v>10</v>
      </c>
      <c r="E7045" s="4" t="str">
        <f>HYPERLINK("https://ibp.a2mac1.com/costing(costing:projects/details/9760/process/12085153)","Automated Process")</f>
        <v>Automated Process</v>
      </c>
      <c r="F7045" t="s">
        <v>7253</v>
      </c>
    </row>
    <row r="7046" spans="1:6" x14ac:dyDescent="0.15">
      <c r="A7046">
        <v>8754652</v>
      </c>
      <c r="B7046">
        <v>12085153</v>
      </c>
      <c r="C7046" t="s">
        <v>22</v>
      </c>
      <c r="D7046" t="s">
        <v>114</v>
      </c>
      <c r="E7046" s="4" t="str">
        <f>HYPERLINK("https://ibp.a2mac1.com/costing(costing:projects/details/9760/material/8754652)","Steel sheet (default)")</f>
        <v>Steel sheet (default)</v>
      </c>
      <c r="F7046" t="s">
        <v>7256</v>
      </c>
    </row>
    <row r="7047" spans="1:6" x14ac:dyDescent="0.15">
      <c r="A7047">
        <v>12212245</v>
      </c>
      <c r="B7047">
        <v>12085153</v>
      </c>
      <c r="C7047" t="s">
        <v>163</v>
      </c>
      <c r="D7047" t="s">
        <v>114</v>
      </c>
      <c r="E7047" s="4" t="str">
        <f>HYPERLINK("https://ibp.a2mac1.com/costing(costing:projects/details/9760/equipment/12212245)","DC machine - General")</f>
        <v>DC machine - General</v>
      </c>
      <c r="F7047" t="s">
        <v>7256</v>
      </c>
    </row>
    <row r="7048" spans="1:6" x14ac:dyDescent="0.15">
      <c r="A7048">
        <v>8415748</v>
      </c>
      <c r="B7048">
        <v>8415603</v>
      </c>
      <c r="C7048" t="s">
        <v>10</v>
      </c>
      <c r="D7048" t="s">
        <v>8</v>
      </c>
      <c r="E7048" s="4" t="str">
        <f>HYPERLINK("https://ibp.a2mac1.com/costing(costing:projects/details/9760/part/8415748)","Support 8")</f>
        <v>Support 8</v>
      </c>
      <c r="F7048" t="s">
        <v>7194</v>
      </c>
    </row>
    <row r="7049" spans="1:6" x14ac:dyDescent="0.15">
      <c r="A7049">
        <v>12085154</v>
      </c>
      <c r="B7049">
        <v>8415748</v>
      </c>
      <c r="C7049" t="s">
        <v>114</v>
      </c>
      <c r="D7049" t="s">
        <v>10</v>
      </c>
      <c r="E7049" s="4" t="str">
        <f>HYPERLINK("https://ibp.a2mac1.com/costing(costing:projects/details/9760/process/12085154)","Automated Process")</f>
        <v>Automated Process</v>
      </c>
      <c r="F7049" t="s">
        <v>7258</v>
      </c>
    </row>
    <row r="7050" spans="1:6" x14ac:dyDescent="0.15">
      <c r="A7050">
        <v>8754653</v>
      </c>
      <c r="B7050">
        <v>12085154</v>
      </c>
      <c r="C7050" t="s">
        <v>22</v>
      </c>
      <c r="D7050" t="s">
        <v>114</v>
      </c>
      <c r="E7050" s="4" t="str">
        <f>HYPERLINK("https://ibp.a2mac1.com/costing(costing:projects/details/9760/material/8754653)","Steel sheet (default)")</f>
        <v>Steel sheet (default)</v>
      </c>
      <c r="F7050" t="s">
        <v>7260</v>
      </c>
    </row>
    <row r="7051" spans="1:6" x14ac:dyDescent="0.15">
      <c r="A7051">
        <v>12212246</v>
      </c>
      <c r="B7051">
        <v>12085154</v>
      </c>
      <c r="C7051" t="s">
        <v>163</v>
      </c>
      <c r="D7051" t="s">
        <v>114</v>
      </c>
      <c r="E7051" s="4" t="str">
        <f>HYPERLINK("https://ibp.a2mac1.com/costing(costing:projects/details/9760/equipment/12212246)","DC machine - General")</f>
        <v>DC machine - General</v>
      </c>
      <c r="F7051" t="s">
        <v>7260</v>
      </c>
    </row>
    <row r="7052" spans="1:6" x14ac:dyDescent="0.15">
      <c r="A7052">
        <v>8754340</v>
      </c>
      <c r="B7052">
        <v>8415603</v>
      </c>
      <c r="C7052" t="s">
        <v>311</v>
      </c>
      <c r="D7052" t="s">
        <v>8</v>
      </c>
      <c r="E7052" s="4" t="str">
        <f>HYPERLINK("https://ibp.a2mac1.com/costing(costing:projects/details/9760/component/8754340)","Screw &gt; Torx screw with captive washer")</f>
        <v>Screw &gt; Torx screw with captive washer</v>
      </c>
      <c r="F7052" t="s">
        <v>7194</v>
      </c>
    </row>
    <row r="7053" spans="1:6" x14ac:dyDescent="0.15">
      <c r="A7053">
        <v>8754341</v>
      </c>
      <c r="B7053">
        <v>8415603</v>
      </c>
      <c r="C7053" t="s">
        <v>311</v>
      </c>
      <c r="D7053" t="s">
        <v>8</v>
      </c>
      <c r="E7053" s="4" t="str">
        <f>HYPERLINK("https://ibp.a2mac1.com/costing(costing:projects/details/9760/component/8754341)","Rivet &gt; Head rivet")</f>
        <v>Rivet &gt; Head rivet</v>
      </c>
      <c r="F7053" t="s">
        <v>7194</v>
      </c>
    </row>
    <row r="7054" spans="1:6" x14ac:dyDescent="0.15">
      <c r="A7054">
        <v>8754342</v>
      </c>
      <c r="B7054">
        <v>8415603</v>
      </c>
      <c r="C7054" t="s">
        <v>311</v>
      </c>
      <c r="D7054" t="s">
        <v>8</v>
      </c>
      <c r="E7054" s="4" t="str">
        <f>HYPERLINK("https://ibp.a2mac1.com/costing(costing:projects/details/9760/component/8754342)","Screw &gt; Hexagon socket head cap screw with captive washer")</f>
        <v>Screw &gt; Hexagon socket head cap screw with captive washer</v>
      </c>
      <c r="F7054" t="s">
        <v>7194</v>
      </c>
    </row>
    <row r="7055" spans="1:6" x14ac:dyDescent="0.15">
      <c r="A7055">
        <v>8754343</v>
      </c>
      <c r="B7055">
        <v>8415603</v>
      </c>
      <c r="C7055" t="s">
        <v>311</v>
      </c>
      <c r="D7055" t="s">
        <v>8</v>
      </c>
      <c r="E7055" s="4" t="str">
        <f>HYPERLINK("https://ibp.a2mac1.com/costing(costing:projects/details/9760/component/8754343)","Panel holder &gt; Clips in rectangular hole")</f>
        <v>Panel holder &gt; Clips in rectangular hole</v>
      </c>
      <c r="F7055" t="s">
        <v>7194</v>
      </c>
    </row>
    <row r="7056" spans="1:6" x14ac:dyDescent="0.15">
      <c r="A7056">
        <v>8754344</v>
      </c>
      <c r="B7056">
        <v>8415603</v>
      </c>
      <c r="C7056" t="s">
        <v>311</v>
      </c>
      <c r="D7056" t="s">
        <v>8</v>
      </c>
      <c r="E7056" s="4" t="str">
        <f>HYPERLINK("https://ibp.a2mac1.com/costing(costing:projects/details/9760/component/8754344)","Screw &gt; Various shape screw with captive washer")</f>
        <v>Screw &gt; Various shape screw with captive washer</v>
      </c>
      <c r="F7056" t="s">
        <v>7194</v>
      </c>
    </row>
    <row r="7057" spans="1:6" x14ac:dyDescent="0.15">
      <c r="A7057">
        <v>8754345</v>
      </c>
      <c r="B7057">
        <v>8415603</v>
      </c>
      <c r="C7057" t="s">
        <v>311</v>
      </c>
      <c r="D7057" t="s">
        <v>8</v>
      </c>
      <c r="E7057" s="4" t="str">
        <f>HYPERLINK("https://ibp.a2mac1.com/costing(costing:projects/details/9760/component/8754345)","Screw &gt; Hexagon screw with flange")</f>
        <v>Screw &gt; Hexagon screw with flange</v>
      </c>
      <c r="F7057" t="s">
        <v>7194</v>
      </c>
    </row>
    <row r="7058" spans="1:6" x14ac:dyDescent="0.15">
      <c r="A7058">
        <v>8754346</v>
      </c>
      <c r="B7058">
        <v>8415603</v>
      </c>
      <c r="C7058" t="s">
        <v>311</v>
      </c>
      <c r="D7058" t="s">
        <v>8</v>
      </c>
      <c r="E7058" s="4" t="str">
        <f>HYPERLINK("https://ibp.a2mac1.com/costing(costing:projects/details/9760/component/8754346)","Screw &gt; Hexagon screw with flange")</f>
        <v>Screw &gt; Hexagon screw with flange</v>
      </c>
      <c r="F7058" t="s">
        <v>7194</v>
      </c>
    </row>
    <row r="7059" spans="1:6" x14ac:dyDescent="0.15">
      <c r="A7059">
        <v>8754347</v>
      </c>
      <c r="B7059">
        <v>8415603</v>
      </c>
      <c r="C7059" t="s">
        <v>311</v>
      </c>
      <c r="D7059" t="s">
        <v>8</v>
      </c>
      <c r="E7059" s="4" t="str">
        <f>HYPERLINK("https://ibp.a2mac1.com/costing(costing:projects/details/9760/component/8754347)","Screw &gt; Hexagon screw with flange")</f>
        <v>Screw &gt; Hexagon screw with flange</v>
      </c>
      <c r="F7059" t="s">
        <v>7194</v>
      </c>
    </row>
    <row r="7060" spans="1:6" x14ac:dyDescent="0.15">
      <c r="A7060">
        <v>8754348</v>
      </c>
      <c r="B7060">
        <v>8415603</v>
      </c>
      <c r="C7060" t="s">
        <v>311</v>
      </c>
      <c r="D7060" t="s">
        <v>8</v>
      </c>
      <c r="E7060" s="4" t="str">
        <f>HYPERLINK("https://ibp.a2mac1.com/costing(costing:projects/details/9760/component/8754348)","Screw &gt; Hexagon screw with flange")</f>
        <v>Screw &gt; Hexagon screw with flange</v>
      </c>
      <c r="F7060" t="s">
        <v>7194</v>
      </c>
    </row>
    <row r="7061" spans="1:6" x14ac:dyDescent="0.15">
      <c r="A7061">
        <v>8754349</v>
      </c>
      <c r="B7061">
        <v>8415603</v>
      </c>
      <c r="C7061" t="s">
        <v>311</v>
      </c>
      <c r="D7061" t="s">
        <v>8</v>
      </c>
      <c r="E7061" s="4" t="str">
        <f>HYPERLINK("https://ibp.a2mac1.com/costing(costing:projects/details/9760/component/8754349)","Screw &gt; Hexagon screw with flange")</f>
        <v>Screw &gt; Hexagon screw with flange</v>
      </c>
      <c r="F7061" t="s">
        <v>7194</v>
      </c>
    </row>
    <row r="7062" spans="1:6" x14ac:dyDescent="0.15">
      <c r="A7062">
        <v>8754350</v>
      </c>
      <c r="B7062">
        <v>8415603</v>
      </c>
      <c r="C7062" t="s">
        <v>311</v>
      </c>
      <c r="D7062" t="s">
        <v>8</v>
      </c>
      <c r="E7062" s="4" t="str">
        <f>HYPERLINK("https://ibp.a2mac1.com/costing(costing:projects/details/9760/component/8754350)","Screw &gt; Hexagon screw with flange")</f>
        <v>Screw &gt; Hexagon screw with flange</v>
      </c>
      <c r="F7062" t="s">
        <v>7194</v>
      </c>
    </row>
    <row r="7063" spans="1:6" x14ac:dyDescent="0.15">
      <c r="A7063">
        <v>8754351</v>
      </c>
      <c r="B7063">
        <v>8415603</v>
      </c>
      <c r="C7063" t="s">
        <v>311</v>
      </c>
      <c r="D7063" t="s">
        <v>8</v>
      </c>
      <c r="E7063" s="4" t="str">
        <f>HYPERLINK("https://ibp.a2mac1.com/costing(costing:projects/details/9760/component/8754351)","Screw &gt; Hexagon screw with flange")</f>
        <v>Screw &gt; Hexagon screw with flange</v>
      </c>
      <c r="F7063" t="s">
        <v>7194</v>
      </c>
    </row>
    <row r="7064" spans="1:6" x14ac:dyDescent="0.15">
      <c r="A7064">
        <v>8754352</v>
      </c>
      <c r="B7064">
        <v>8415603</v>
      </c>
      <c r="C7064" t="s">
        <v>311</v>
      </c>
      <c r="D7064" t="s">
        <v>8</v>
      </c>
      <c r="E7064" s="4" t="str">
        <f>HYPERLINK("https://ibp.a2mac1.com/costing(costing:projects/details/9760/component/8754352)","Screw &gt; Hexagon screw with flange")</f>
        <v>Screw &gt; Hexagon screw with flange</v>
      </c>
      <c r="F7064" t="s">
        <v>7194</v>
      </c>
    </row>
    <row r="7065" spans="1:6" x14ac:dyDescent="0.15">
      <c r="A7065">
        <v>8415604</v>
      </c>
      <c r="B7065">
        <v>8415577</v>
      </c>
      <c r="C7065" t="s">
        <v>8</v>
      </c>
      <c r="D7065" t="s">
        <v>8</v>
      </c>
      <c r="E7065" s="4" t="str">
        <f>HYPERLINK("https://ibp.a2mac1.com/costing(costing:projects/details/9760/assembly/8415604)","Frontend Cooling")</f>
        <v>Frontend Cooling</v>
      </c>
      <c r="F7065" t="s">
        <v>6896</v>
      </c>
    </row>
    <row r="7066" spans="1:6" x14ac:dyDescent="0.15">
      <c r="A7066">
        <v>8415750</v>
      </c>
      <c r="B7066">
        <v>8415604</v>
      </c>
      <c r="C7066" t="s">
        <v>10</v>
      </c>
      <c r="D7066" t="s">
        <v>8</v>
      </c>
      <c r="E7066" s="4" t="str">
        <f>HYPERLINK("https://ibp.a2mac1.com/costing(costing:projects/details/9760/part/8415750)","Front End Complete System Views")</f>
        <v>Front End Complete System Views</v>
      </c>
      <c r="F7066" t="s">
        <v>7263</v>
      </c>
    </row>
    <row r="7067" spans="1:6" x14ac:dyDescent="0.15">
      <c r="A7067">
        <v>8415751</v>
      </c>
      <c r="B7067">
        <v>8415604</v>
      </c>
      <c r="C7067" t="s">
        <v>10</v>
      </c>
      <c r="D7067" t="s">
        <v>8</v>
      </c>
      <c r="E7067" s="4" t="str">
        <f>HYPERLINK("https://ibp.a2mac1.com/costing(costing:projects/details/9760/part/8415751)","Upper Cross Member")</f>
        <v>Upper Cross Member</v>
      </c>
      <c r="F7067" t="s">
        <v>7263</v>
      </c>
    </row>
    <row r="7068" spans="1:6" x14ac:dyDescent="0.15">
      <c r="A7068">
        <v>12085156</v>
      </c>
      <c r="B7068">
        <v>8415751</v>
      </c>
      <c r="C7068" t="s">
        <v>114</v>
      </c>
      <c r="D7068" t="s">
        <v>10</v>
      </c>
      <c r="E7068" s="4" t="str">
        <f>HYPERLINK("https://ibp.a2mac1.com/costing(costing:projects/details/9760/process/12085156)","Injection molding")</f>
        <v>Injection molding</v>
      </c>
      <c r="F7068" t="s">
        <v>7265</v>
      </c>
    </row>
    <row r="7069" spans="1:6" x14ac:dyDescent="0.15">
      <c r="A7069">
        <v>8754654</v>
      </c>
      <c r="B7069">
        <v>12085156</v>
      </c>
      <c r="C7069" t="s">
        <v>22</v>
      </c>
      <c r="D7069" t="s">
        <v>114</v>
      </c>
      <c r="E7069" s="4" t="str">
        <f>HYPERLINK("https://ibp.a2mac1.com/costing(costing:projects/details/9760/material/8754654)","PP-GF40")</f>
        <v>PP-GF40</v>
      </c>
      <c r="F7069" t="s">
        <v>7268</v>
      </c>
    </row>
    <row r="7070" spans="1:6" x14ac:dyDescent="0.15">
      <c r="A7070">
        <v>12212248</v>
      </c>
      <c r="B7070">
        <v>12085156</v>
      </c>
      <c r="C7070" t="s">
        <v>163</v>
      </c>
      <c r="D7070" t="s">
        <v>114</v>
      </c>
      <c r="E7070" s="4" t="str">
        <f>HYPERLINK("https://ibp.a2mac1.com/costing(costing:projects/details/9760/equipment/12212248)","No.13 - Injection Press - 1000T - 191kW - 1230x1230 - Max Volume 7815cm3 ")</f>
        <v xml:space="preserve">No.13 - Injection Press - 1000T - 191kW - 1230x1230 - Max Volume 7815cm3 </v>
      </c>
      <c r="F7070" t="s">
        <v>7268</v>
      </c>
    </row>
    <row r="7071" spans="1:6" x14ac:dyDescent="0.15">
      <c r="A7071">
        <v>12085155</v>
      </c>
      <c r="B7071">
        <v>8415751</v>
      </c>
      <c r="C7071" t="s">
        <v>114</v>
      </c>
      <c r="D7071" t="s">
        <v>10</v>
      </c>
      <c r="E7071" s="4" t="str">
        <f>HYPERLINK("https://ibp.a2mac1.com/costing(costing:projects/details/9760/process/12085155)","Handling/Visual Inspection/Packaging")</f>
        <v>Handling/Visual Inspection/Packaging</v>
      </c>
      <c r="F7071" t="s">
        <v>7265</v>
      </c>
    </row>
    <row r="7072" spans="1:6" x14ac:dyDescent="0.15">
      <c r="A7072">
        <v>12212247</v>
      </c>
      <c r="B7072">
        <v>12085155</v>
      </c>
      <c r="C7072" t="s">
        <v>163</v>
      </c>
      <c r="D7072" t="s">
        <v>114</v>
      </c>
      <c r="E7072" s="4" t="str">
        <f>HYPERLINK("https://ibp.a2mac1.com/costing(costing:projects/details/9760/equipment/12212247)","Packaging")</f>
        <v>Packaging</v>
      </c>
      <c r="F7072" t="s">
        <v>7270</v>
      </c>
    </row>
    <row r="7073" spans="1:6" x14ac:dyDescent="0.15">
      <c r="A7073">
        <v>8415752</v>
      </c>
      <c r="B7073">
        <v>8415604</v>
      </c>
      <c r="C7073" t="s">
        <v>10</v>
      </c>
      <c r="D7073" t="s">
        <v>8</v>
      </c>
      <c r="E7073" s="4" t="str">
        <f>HYPERLINK("https://ibp.a2mac1.com/costing(costing:projects/details/9760/part/8415752)","Vertical Center Cross Member")</f>
        <v>Vertical Center Cross Member</v>
      </c>
      <c r="F7073" t="s">
        <v>7263</v>
      </c>
    </row>
    <row r="7074" spans="1:6" x14ac:dyDescent="0.15">
      <c r="A7074">
        <v>12085157</v>
      </c>
      <c r="B7074">
        <v>8415752</v>
      </c>
      <c r="C7074" t="s">
        <v>114</v>
      </c>
      <c r="D7074" t="s">
        <v>10</v>
      </c>
      <c r="E7074" s="4" t="str">
        <f>HYPERLINK("https://ibp.a2mac1.com/costing(costing:projects/details/9760/process/12085157)","Stamping")</f>
        <v>Stamping</v>
      </c>
      <c r="F7074" t="s">
        <v>7272</v>
      </c>
    </row>
    <row r="7075" spans="1:6" x14ac:dyDescent="0.15">
      <c r="A7075">
        <v>8754655</v>
      </c>
      <c r="B7075">
        <v>12085157</v>
      </c>
      <c r="C7075" t="s">
        <v>22</v>
      </c>
      <c r="D7075" t="s">
        <v>114</v>
      </c>
      <c r="E7075" s="4" t="str">
        <f>HYPERLINK("https://ibp.a2mac1.com/costing(costing:projects/details/9760/material/8754655)","Steel sheet (default)")</f>
        <v>Steel sheet (default)</v>
      </c>
      <c r="F7075" t="s">
        <v>7275</v>
      </c>
    </row>
    <row r="7076" spans="1:6" x14ac:dyDescent="0.15">
      <c r="A7076">
        <v>12212249</v>
      </c>
      <c r="B7076">
        <v>12085157</v>
      </c>
      <c r="C7076" t="s">
        <v>163</v>
      </c>
      <c r="D7076" t="s">
        <v>114</v>
      </c>
      <c r="E7076" s="4" t="str">
        <f>HYPERLINK("https://ibp.a2mac1.com/costing(costing:projects/details/9760/equipment/12212249)","Equipment (Stamping)")</f>
        <v>Equipment (Stamping)</v>
      </c>
      <c r="F7076" t="s">
        <v>7275</v>
      </c>
    </row>
    <row r="7077" spans="1:6" x14ac:dyDescent="0.15">
      <c r="A7077">
        <v>8415753</v>
      </c>
      <c r="B7077">
        <v>8415604</v>
      </c>
      <c r="C7077" t="s">
        <v>10</v>
      </c>
      <c r="D7077" t="s">
        <v>8</v>
      </c>
      <c r="E7077" s="4" t="str">
        <f>HYPERLINK("https://ibp.a2mac1.com/costing(costing:projects/details/9760/part/8415753)","Upper Left and Right if Similar")</f>
        <v>Upper Left and Right if Similar</v>
      </c>
      <c r="F7077" t="s">
        <v>7263</v>
      </c>
    </row>
    <row r="7078" spans="1:6" x14ac:dyDescent="0.15">
      <c r="A7078">
        <v>12085158</v>
      </c>
      <c r="B7078">
        <v>8415753</v>
      </c>
      <c r="C7078" t="s">
        <v>114</v>
      </c>
      <c r="D7078" t="s">
        <v>10</v>
      </c>
      <c r="E7078" s="4" t="str">
        <f>HYPERLINK("https://ibp.a2mac1.com/costing(costing:projects/details/9760/process/12085158)","Stamping")</f>
        <v>Stamping</v>
      </c>
      <c r="F7078" t="s">
        <v>7277</v>
      </c>
    </row>
    <row r="7079" spans="1:6" x14ac:dyDescent="0.15">
      <c r="A7079">
        <v>8754656</v>
      </c>
      <c r="B7079">
        <v>12085158</v>
      </c>
      <c r="C7079" t="s">
        <v>22</v>
      </c>
      <c r="D7079" t="s">
        <v>114</v>
      </c>
      <c r="E7079" s="4" t="str">
        <f>HYPERLINK("https://ibp.a2mac1.com/costing(costing:projects/details/9760/material/8754656)","Steel sheet (default)")</f>
        <v>Steel sheet (default)</v>
      </c>
      <c r="F7079" t="s">
        <v>7279</v>
      </c>
    </row>
    <row r="7080" spans="1:6" x14ac:dyDescent="0.15">
      <c r="A7080">
        <v>12212250</v>
      </c>
      <c r="B7080">
        <v>12085158</v>
      </c>
      <c r="C7080" t="s">
        <v>163</v>
      </c>
      <c r="D7080" t="s">
        <v>114</v>
      </c>
      <c r="E7080" s="4" t="str">
        <f>HYPERLINK("https://ibp.a2mac1.com/costing(costing:projects/details/9760/equipment/12212250)","Equipment (Stamping)")</f>
        <v>Equipment (Stamping)</v>
      </c>
      <c r="F7080" t="s">
        <v>7279</v>
      </c>
    </row>
    <row r="7081" spans="1:6" x14ac:dyDescent="0.15">
      <c r="A7081">
        <v>8415754</v>
      </c>
      <c r="B7081">
        <v>8415604</v>
      </c>
      <c r="C7081" t="s">
        <v>10</v>
      </c>
      <c r="D7081" t="s">
        <v>8</v>
      </c>
      <c r="E7081" s="4" t="str">
        <f>HYPERLINK("https://ibp.a2mac1.com/costing(costing:projects/details/9760/part/8415754)","Upper Right")</f>
        <v>Upper Right</v>
      </c>
      <c r="F7081" t="s">
        <v>7263</v>
      </c>
    </row>
    <row r="7082" spans="1:6" x14ac:dyDescent="0.15">
      <c r="A7082">
        <v>12085159</v>
      </c>
      <c r="B7082">
        <v>8415754</v>
      </c>
      <c r="C7082" t="s">
        <v>114</v>
      </c>
      <c r="D7082" t="s">
        <v>10</v>
      </c>
      <c r="E7082" s="4" t="str">
        <f>HYPERLINK("https://ibp.a2mac1.com/costing(costing:projects/details/9760/process/12085159)","Stamping")</f>
        <v>Stamping</v>
      </c>
      <c r="F7082" t="s">
        <v>7281</v>
      </c>
    </row>
    <row r="7083" spans="1:6" x14ac:dyDescent="0.15">
      <c r="A7083">
        <v>8754657</v>
      </c>
      <c r="B7083">
        <v>12085159</v>
      </c>
      <c r="C7083" t="s">
        <v>22</v>
      </c>
      <c r="D7083" t="s">
        <v>114</v>
      </c>
      <c r="E7083" s="4" t="str">
        <f>HYPERLINK("https://ibp.a2mac1.com/costing(costing:projects/details/9760/material/8754657)","Steel sheet (default)")</f>
        <v>Steel sheet (default)</v>
      </c>
      <c r="F7083" t="s">
        <v>7282</v>
      </c>
    </row>
    <row r="7084" spans="1:6" x14ac:dyDescent="0.15">
      <c r="A7084">
        <v>12212251</v>
      </c>
      <c r="B7084">
        <v>12085159</v>
      </c>
      <c r="C7084" t="s">
        <v>163</v>
      </c>
      <c r="D7084" t="s">
        <v>114</v>
      </c>
      <c r="E7084" s="4" t="str">
        <f>HYPERLINK("https://ibp.a2mac1.com/costing(costing:projects/details/9760/equipment/12212251)","Equipment (Stamping)")</f>
        <v>Equipment (Stamping)</v>
      </c>
      <c r="F7084" t="s">
        <v>7282</v>
      </c>
    </row>
    <row r="7085" spans="1:6" x14ac:dyDescent="0.15">
      <c r="A7085">
        <v>8415755</v>
      </c>
      <c r="B7085">
        <v>8415604</v>
      </c>
      <c r="C7085" t="s">
        <v>10</v>
      </c>
      <c r="D7085" t="s">
        <v>8</v>
      </c>
      <c r="E7085" s="4" t="str">
        <f>HYPERLINK("https://ibp.a2mac1.com/costing(costing:projects/details/9760/part/8415755)","Upper Cross Member Support")</f>
        <v>Upper Cross Member Support</v>
      </c>
      <c r="F7085" t="s">
        <v>7263</v>
      </c>
    </row>
    <row r="7086" spans="1:6" x14ac:dyDescent="0.15">
      <c r="A7086">
        <v>12085160</v>
      </c>
      <c r="B7086">
        <v>8415755</v>
      </c>
      <c r="C7086" t="s">
        <v>114</v>
      </c>
      <c r="D7086" t="s">
        <v>10</v>
      </c>
      <c r="E7086" s="4" t="str">
        <f>HYPERLINK("https://ibp.a2mac1.com/costing(costing:projects/details/9760/process/12085160)","Stamping")</f>
        <v>Stamping</v>
      </c>
      <c r="F7086" t="s">
        <v>7284</v>
      </c>
    </row>
    <row r="7087" spans="1:6" x14ac:dyDescent="0.15">
      <c r="A7087">
        <v>8754658</v>
      </c>
      <c r="B7087">
        <v>12085160</v>
      </c>
      <c r="C7087" t="s">
        <v>22</v>
      </c>
      <c r="D7087" t="s">
        <v>114</v>
      </c>
      <c r="E7087" s="4" t="str">
        <f>HYPERLINK("https://ibp.a2mac1.com/costing(costing:projects/details/9760/material/8754658)","Steel sheet (default)")</f>
        <v>Steel sheet (default)</v>
      </c>
      <c r="F7087" t="s">
        <v>7286</v>
      </c>
    </row>
    <row r="7088" spans="1:6" x14ac:dyDescent="0.15">
      <c r="A7088">
        <v>12212252</v>
      </c>
      <c r="B7088">
        <v>12085160</v>
      </c>
      <c r="C7088" t="s">
        <v>163</v>
      </c>
      <c r="D7088" t="s">
        <v>114</v>
      </c>
      <c r="E7088" s="4" t="str">
        <f>HYPERLINK("https://ibp.a2mac1.com/costing(costing:projects/details/9760/equipment/12212252)","Equipment (Stamping)")</f>
        <v>Equipment (Stamping)</v>
      </c>
      <c r="F7088" t="s">
        <v>7286</v>
      </c>
    </row>
    <row r="7089" spans="1:6" x14ac:dyDescent="0.15">
      <c r="A7089">
        <v>8415756</v>
      </c>
      <c r="B7089">
        <v>8415604</v>
      </c>
      <c r="C7089" t="s">
        <v>10</v>
      </c>
      <c r="D7089" t="s">
        <v>8</v>
      </c>
      <c r="E7089" s="4" t="str">
        <f>HYPERLINK("https://ibp.a2mac1.com/costing(costing:projects/details/9760/part/8415756)","2nd Upper Cross Member Support")</f>
        <v>2nd Upper Cross Member Support</v>
      </c>
      <c r="F7089" t="s">
        <v>7263</v>
      </c>
    </row>
    <row r="7090" spans="1:6" x14ac:dyDescent="0.15">
      <c r="A7090">
        <v>12085161</v>
      </c>
      <c r="B7090">
        <v>8415756</v>
      </c>
      <c r="C7090" t="s">
        <v>114</v>
      </c>
      <c r="D7090" t="s">
        <v>10</v>
      </c>
      <c r="E7090" s="4" t="str">
        <f>HYPERLINK("https://ibp.a2mac1.com/costing(costing:projects/details/9760/process/12085161)","Stamping")</f>
        <v>Stamping</v>
      </c>
      <c r="F7090" t="s">
        <v>7288</v>
      </c>
    </row>
    <row r="7091" spans="1:6" x14ac:dyDescent="0.15">
      <c r="A7091">
        <v>8754659</v>
      </c>
      <c r="B7091">
        <v>12085161</v>
      </c>
      <c r="C7091" t="s">
        <v>22</v>
      </c>
      <c r="D7091" t="s">
        <v>114</v>
      </c>
      <c r="E7091" s="4" t="str">
        <f>HYPERLINK("https://ibp.a2mac1.com/costing(costing:projects/details/9760/material/8754659)","Steel sheet (default)")</f>
        <v>Steel sheet (default)</v>
      </c>
      <c r="F7091" t="s">
        <v>7291</v>
      </c>
    </row>
    <row r="7092" spans="1:6" x14ac:dyDescent="0.15">
      <c r="A7092">
        <v>12212253</v>
      </c>
      <c r="B7092">
        <v>12085161</v>
      </c>
      <c r="C7092" t="s">
        <v>163</v>
      </c>
      <c r="D7092" t="s">
        <v>114</v>
      </c>
      <c r="E7092" s="4" t="str">
        <f>HYPERLINK("https://ibp.a2mac1.com/costing(costing:projects/details/9760/equipment/12212253)","Equipment (Stamping)")</f>
        <v>Equipment (Stamping)</v>
      </c>
      <c r="F7092" t="s">
        <v>7291</v>
      </c>
    </row>
    <row r="7093" spans="1:6" x14ac:dyDescent="0.15">
      <c r="A7093">
        <v>8754353</v>
      </c>
      <c r="B7093">
        <v>8415604</v>
      </c>
      <c r="C7093" t="s">
        <v>311</v>
      </c>
      <c r="D7093" t="s">
        <v>8</v>
      </c>
      <c r="E7093" s="4" t="str">
        <f>HYPERLINK("https://ibp.a2mac1.com/costing(costing:projects/details/9760/component/8754353)","Screw &gt; Hexagon screw with captive washer")</f>
        <v>Screw &gt; Hexagon screw with captive washer</v>
      </c>
      <c r="F7093" t="s">
        <v>7263</v>
      </c>
    </row>
    <row r="7094" spans="1:6" x14ac:dyDescent="0.15">
      <c r="A7094">
        <v>8754354</v>
      </c>
      <c r="B7094">
        <v>8415604</v>
      </c>
      <c r="C7094" t="s">
        <v>311</v>
      </c>
      <c r="D7094" t="s">
        <v>8</v>
      </c>
      <c r="E7094" s="4" t="str">
        <f>HYPERLINK("https://ibp.a2mac1.com/costing(costing:projects/details/9760/component/8754354)","Screw &gt; Hexagon screw with captive washer")</f>
        <v>Screw &gt; Hexagon screw with captive washer</v>
      </c>
      <c r="F7094" t="s">
        <v>7263</v>
      </c>
    </row>
    <row r="7095" spans="1:6" x14ac:dyDescent="0.15">
      <c r="A7095">
        <v>8754355</v>
      </c>
      <c r="B7095">
        <v>8415604</v>
      </c>
      <c r="C7095" t="s">
        <v>311</v>
      </c>
      <c r="D7095" t="s">
        <v>8</v>
      </c>
      <c r="E7095" s="4" t="str">
        <f>HYPERLINK("https://ibp.a2mac1.com/costing(costing:projects/details/9760/component/8754355)","Screw &gt; Hexagon screw with captive washer")</f>
        <v>Screw &gt; Hexagon screw with captive washer</v>
      </c>
      <c r="F7095" t="s">
        <v>7263</v>
      </c>
    </row>
    <row r="7096" spans="1:6" x14ac:dyDescent="0.15">
      <c r="A7096">
        <v>8754356</v>
      </c>
      <c r="B7096">
        <v>8415604</v>
      </c>
      <c r="C7096" t="s">
        <v>311</v>
      </c>
      <c r="D7096" t="s">
        <v>8</v>
      </c>
      <c r="E7096" s="4" t="str">
        <f>HYPERLINK("https://ibp.a2mac1.com/costing(costing:projects/details/9760/component/8754356)","Screw &gt; Hexagon screw with captive washer")</f>
        <v>Screw &gt; Hexagon screw with captive washer</v>
      </c>
      <c r="F7096" t="s">
        <v>7263</v>
      </c>
    </row>
    <row r="7097" spans="1:6" x14ac:dyDescent="0.15">
      <c r="A7097">
        <v>8754357</v>
      </c>
      <c r="B7097">
        <v>8415604</v>
      </c>
      <c r="C7097" t="s">
        <v>311</v>
      </c>
      <c r="D7097" t="s">
        <v>8</v>
      </c>
      <c r="E7097" s="4" t="str">
        <f>HYPERLINK("https://ibp.a2mac1.com/costing(costing:projects/details/9760/component/8754357)","Screw &gt; Hexagon screw with captive washer")</f>
        <v>Screw &gt; Hexagon screw with captive washer</v>
      </c>
      <c r="F7097" t="s">
        <v>7263</v>
      </c>
    </row>
    <row r="7098" spans="1:6" x14ac:dyDescent="0.15">
      <c r="A7098">
        <v>8754358</v>
      </c>
      <c r="B7098">
        <v>8415604</v>
      </c>
      <c r="C7098" t="s">
        <v>311</v>
      </c>
      <c r="D7098" t="s">
        <v>8</v>
      </c>
      <c r="E7098" s="4" t="str">
        <f>HYPERLINK("https://ibp.a2mac1.com/costing(costing:projects/details/9760/component/8754358)","Screw &gt; Hexagon screw with captive washer")</f>
        <v>Screw &gt; Hexagon screw with captive washer</v>
      </c>
      <c r="F7098" t="s">
        <v>7263</v>
      </c>
    </row>
    <row r="7099" spans="1:6" x14ac:dyDescent="0.15">
      <c r="A7099">
        <v>8415605</v>
      </c>
      <c r="B7099">
        <v>8415577</v>
      </c>
      <c r="C7099" t="s">
        <v>8</v>
      </c>
      <c r="D7099" t="s">
        <v>8</v>
      </c>
      <c r="E7099" s="4" t="str">
        <f>HYPERLINK("https://ibp.a2mac1.com/costing(costing:projects/details/9760/assembly/8415605)","Sound Insulation on Body")</f>
        <v>Sound Insulation on Body</v>
      </c>
      <c r="F7099" t="s">
        <v>6896</v>
      </c>
    </row>
    <row r="7100" spans="1:6" x14ac:dyDescent="0.15">
      <c r="A7100">
        <v>8415757</v>
      </c>
      <c r="B7100">
        <v>8415605</v>
      </c>
      <c r="C7100" t="s">
        <v>8</v>
      </c>
      <c r="D7100" t="s">
        <v>8</v>
      </c>
      <c r="E7100" s="4" t="str">
        <f>HYPERLINK("https://ibp.a2mac1.com/costing(costing:projects/details/9760/assembly/8415757)","Sound Deadener")</f>
        <v>Sound Deadener</v>
      </c>
      <c r="F7100" t="s">
        <v>7294</v>
      </c>
    </row>
    <row r="7101" spans="1:6" x14ac:dyDescent="0.15">
      <c r="A7101">
        <v>8416065</v>
      </c>
      <c r="B7101">
        <v>8415757</v>
      </c>
      <c r="C7101" t="s">
        <v>8</v>
      </c>
      <c r="D7101" t="s">
        <v>8</v>
      </c>
      <c r="E7101" s="4" t="str">
        <f>HYPERLINK("https://ibp.a2mac1.com/costing(costing:projects/details/9760/assembly/8416065)","After Paint")</f>
        <v>After Paint</v>
      </c>
      <c r="F7101" t="s">
        <v>7295</v>
      </c>
    </row>
    <row r="7102" spans="1:6" x14ac:dyDescent="0.15">
      <c r="A7102">
        <v>8416396</v>
      </c>
      <c r="B7102">
        <v>8416065</v>
      </c>
      <c r="C7102" t="s">
        <v>10</v>
      </c>
      <c r="D7102" t="s">
        <v>8</v>
      </c>
      <c r="E7102" s="4" t="str">
        <f>HYPERLINK("https://ibp.a2mac1.com/costing(costing:projects/details/9760/part/8416396)","Area 1")</f>
        <v>Area 1</v>
      </c>
      <c r="F7102" t="s">
        <v>7296</v>
      </c>
    </row>
    <row r="7103" spans="1:6" x14ac:dyDescent="0.15">
      <c r="A7103">
        <v>8416397</v>
      </c>
      <c r="B7103">
        <v>8416065</v>
      </c>
      <c r="C7103" t="s">
        <v>10</v>
      </c>
      <c r="D7103" t="s">
        <v>8</v>
      </c>
      <c r="E7103" s="4" t="str">
        <f>HYPERLINK("https://ibp.a2mac1.com/costing(costing:projects/details/9760/part/8416397)","Area 2")</f>
        <v>Area 2</v>
      </c>
      <c r="F7103" t="s">
        <v>7296</v>
      </c>
    </row>
    <row r="7104" spans="1:6" x14ac:dyDescent="0.15">
      <c r="A7104">
        <v>8416398</v>
      </c>
      <c r="B7104">
        <v>8416065</v>
      </c>
      <c r="C7104" t="s">
        <v>10</v>
      </c>
      <c r="D7104" t="s">
        <v>8</v>
      </c>
      <c r="E7104" s="4" t="str">
        <f>HYPERLINK("https://ibp.a2mac1.com/costing(costing:projects/details/9760/part/8416398)","Area 3")</f>
        <v>Area 3</v>
      </c>
      <c r="F7104" t="s">
        <v>7296</v>
      </c>
    </row>
    <row r="7105" spans="1:6" x14ac:dyDescent="0.15">
      <c r="A7105">
        <v>8416399</v>
      </c>
      <c r="B7105">
        <v>8416065</v>
      </c>
      <c r="C7105" t="s">
        <v>10</v>
      </c>
      <c r="D7105" t="s">
        <v>8</v>
      </c>
      <c r="E7105" s="4" t="str">
        <f>HYPERLINK("https://ibp.a2mac1.com/costing(costing:projects/details/9760/part/8416399)","Area 4")</f>
        <v>Area 4</v>
      </c>
      <c r="F7105" t="s">
        <v>7296</v>
      </c>
    </row>
    <row r="7106" spans="1:6" x14ac:dyDescent="0.15">
      <c r="A7106">
        <v>8416400</v>
      </c>
      <c r="B7106">
        <v>8416065</v>
      </c>
      <c r="C7106" t="s">
        <v>10</v>
      </c>
      <c r="D7106" t="s">
        <v>8</v>
      </c>
      <c r="E7106" s="4" t="str">
        <f>HYPERLINK("https://ibp.a2mac1.com/costing(costing:projects/details/9760/part/8416400)","Area 5")</f>
        <v>Area 5</v>
      </c>
      <c r="F7106" t="s">
        <v>7296</v>
      </c>
    </row>
    <row r="7107" spans="1:6" x14ac:dyDescent="0.15">
      <c r="A7107">
        <v>8416401</v>
      </c>
      <c r="B7107">
        <v>8416065</v>
      </c>
      <c r="C7107" t="s">
        <v>10</v>
      </c>
      <c r="D7107" t="s">
        <v>8</v>
      </c>
      <c r="E7107" s="4" t="str">
        <f>HYPERLINK("https://ibp.a2mac1.com/costing(costing:projects/details/9760/part/8416401)","Area 6")</f>
        <v>Area 6</v>
      </c>
      <c r="F7107" t="s">
        <v>7296</v>
      </c>
    </row>
    <row r="7108" spans="1:6" x14ac:dyDescent="0.15">
      <c r="A7108">
        <v>8416402</v>
      </c>
      <c r="B7108">
        <v>8416065</v>
      </c>
      <c r="C7108" t="s">
        <v>10</v>
      </c>
      <c r="D7108" t="s">
        <v>8</v>
      </c>
      <c r="E7108" s="4" t="str">
        <f>HYPERLINK("https://ibp.a2mac1.com/costing(costing:projects/details/9760/part/8416402)","Area 7")</f>
        <v>Area 7</v>
      </c>
      <c r="F7108" t="s">
        <v>7296</v>
      </c>
    </row>
    <row r="7109" spans="1:6" x14ac:dyDescent="0.15">
      <c r="A7109">
        <v>8416403</v>
      </c>
      <c r="B7109">
        <v>8416065</v>
      </c>
      <c r="C7109" t="s">
        <v>10</v>
      </c>
      <c r="D7109" t="s">
        <v>8</v>
      </c>
      <c r="E7109" s="4" t="str">
        <f>HYPERLINK("https://ibp.a2mac1.com/costing(costing:projects/details/9760/part/8416403)","Area 8")</f>
        <v>Area 8</v>
      </c>
      <c r="F7109" t="s">
        <v>7296</v>
      </c>
    </row>
    <row r="7110" spans="1:6" x14ac:dyDescent="0.15">
      <c r="A7110">
        <v>8416404</v>
      </c>
      <c r="B7110">
        <v>8416065</v>
      </c>
      <c r="C7110" t="s">
        <v>10</v>
      </c>
      <c r="D7110" t="s">
        <v>8</v>
      </c>
      <c r="E7110" s="4" t="str">
        <f>HYPERLINK("https://ibp.a2mac1.com/costing(costing:projects/details/9760/part/8416404)","Area 9")</f>
        <v>Area 9</v>
      </c>
      <c r="F7110" t="s">
        <v>7296</v>
      </c>
    </row>
    <row r="7111" spans="1:6" x14ac:dyDescent="0.15">
      <c r="A7111">
        <v>8416405</v>
      </c>
      <c r="B7111">
        <v>8416065</v>
      </c>
      <c r="C7111" t="s">
        <v>10</v>
      </c>
      <c r="D7111" t="s">
        <v>8</v>
      </c>
      <c r="E7111" s="4" t="str">
        <f>HYPERLINK("https://ibp.a2mac1.com/costing(costing:projects/details/9760/part/8416405)","Area 10")</f>
        <v>Area 10</v>
      </c>
      <c r="F7111" t="s">
        <v>7296</v>
      </c>
    </row>
    <row r="7112" spans="1:6" x14ac:dyDescent="0.15">
      <c r="A7112">
        <v>8416406</v>
      </c>
      <c r="B7112">
        <v>8416065</v>
      </c>
      <c r="C7112" t="s">
        <v>10</v>
      </c>
      <c r="D7112" t="s">
        <v>8</v>
      </c>
      <c r="E7112" s="4" t="str">
        <f>HYPERLINK("https://ibp.a2mac1.com/costing(costing:projects/details/9760/part/8416406)","Area 11")</f>
        <v>Area 11</v>
      </c>
      <c r="F7112" t="s">
        <v>7296</v>
      </c>
    </row>
    <row r="7113" spans="1:6" x14ac:dyDescent="0.15">
      <c r="A7113">
        <v>8416407</v>
      </c>
      <c r="B7113">
        <v>8416065</v>
      </c>
      <c r="C7113" t="s">
        <v>10</v>
      </c>
      <c r="D7113" t="s">
        <v>8</v>
      </c>
      <c r="E7113" s="4" t="str">
        <f>HYPERLINK("https://ibp.a2mac1.com/costing(costing:projects/details/9760/part/8416407)","Area 12")</f>
        <v>Area 12</v>
      </c>
      <c r="F7113" t="s">
        <v>7296</v>
      </c>
    </row>
    <row r="7114" spans="1:6" x14ac:dyDescent="0.15">
      <c r="A7114">
        <v>8415606</v>
      </c>
      <c r="B7114">
        <v>8415577</v>
      </c>
      <c r="C7114" t="s">
        <v>8</v>
      </c>
      <c r="D7114" t="s">
        <v>8</v>
      </c>
      <c r="E7114" s="4" t="str">
        <f>HYPERLINK("https://ibp.a2mac1.com/costing(costing:projects/details/9760/assembly/8415606)","Body In White (With Paint)")</f>
        <v>Body In White (With Paint)</v>
      </c>
      <c r="F7114" t="s">
        <v>6896</v>
      </c>
    </row>
    <row r="7115" spans="1:6" x14ac:dyDescent="0.15">
      <c r="A7115">
        <v>8415758</v>
      </c>
      <c r="B7115">
        <v>8415606</v>
      </c>
      <c r="C7115" t="s">
        <v>8</v>
      </c>
      <c r="D7115" t="s">
        <v>8</v>
      </c>
      <c r="E7115" s="4" t="str">
        <f>HYPERLINK("https://ibp.a2mac1.com/costing(costing:projects/details/9760/assembly/8415758)","Upper body")</f>
        <v>Upper body</v>
      </c>
      <c r="F7115" t="s">
        <v>7315</v>
      </c>
    </row>
    <row r="7116" spans="1:6" x14ac:dyDescent="0.15">
      <c r="A7116">
        <v>8416066</v>
      </c>
      <c r="B7116">
        <v>8415758</v>
      </c>
      <c r="C7116" t="s">
        <v>8</v>
      </c>
      <c r="D7116" t="s">
        <v>8</v>
      </c>
      <c r="E7116" s="4" t="str">
        <f>HYPERLINK("https://ibp.a2mac1.com/costing(costing:projects/details/9760/assembly/8416066)","Roof assy")</f>
        <v>Roof assy</v>
      </c>
      <c r="F7116" t="s">
        <v>7316</v>
      </c>
    </row>
    <row r="7117" spans="1:6" x14ac:dyDescent="0.15">
      <c r="A7117">
        <v>8416408</v>
      </c>
      <c r="B7117">
        <v>8416066</v>
      </c>
      <c r="C7117" t="s">
        <v>8</v>
      </c>
      <c r="D7117" t="s">
        <v>8</v>
      </c>
      <c r="E7117" s="4" t="str">
        <f>HYPERLINK("https://ibp.a2mac1.com/costing(costing:projects/details/9760/assembly/8416408)","Cross members")</f>
        <v>Cross members</v>
      </c>
      <c r="F7117" t="s">
        <v>7317</v>
      </c>
    </row>
    <row r="7118" spans="1:6" x14ac:dyDescent="0.15">
      <c r="A7118">
        <v>8416577</v>
      </c>
      <c r="B7118">
        <v>8416408</v>
      </c>
      <c r="C7118" t="s">
        <v>8</v>
      </c>
      <c r="D7118" t="s">
        <v>8</v>
      </c>
      <c r="E7118" s="4" t="str">
        <f>HYPERLINK("https://ibp.a2mac1.com/costing(costing:projects/details/9760/assembly/8416577)","Front cross member assy")</f>
        <v>Front cross member assy</v>
      </c>
      <c r="F7118" t="s">
        <v>7318</v>
      </c>
    </row>
    <row r="7119" spans="1:6" x14ac:dyDescent="0.15">
      <c r="A7119">
        <v>8416860</v>
      </c>
      <c r="B7119">
        <v>8416577</v>
      </c>
      <c r="C7119" t="s">
        <v>8</v>
      </c>
      <c r="D7119" t="s">
        <v>8</v>
      </c>
      <c r="E7119" s="4" t="str">
        <f>HYPERLINK("https://ibp.a2mac1.com/costing(costing:projects/details/9760/assembly/8416860)","Cross member")</f>
        <v>Cross member</v>
      </c>
      <c r="F7119" t="s">
        <v>7319</v>
      </c>
    </row>
    <row r="7120" spans="1:6" x14ac:dyDescent="0.15">
      <c r="A7120">
        <v>8417266</v>
      </c>
      <c r="B7120">
        <v>8416860</v>
      </c>
      <c r="C7120" t="s">
        <v>10</v>
      </c>
      <c r="D7120" t="s">
        <v>8</v>
      </c>
      <c r="E7120" s="4" t="str">
        <f>HYPERLINK("https://ibp.a2mac1.com/costing(costing:projects/details/9760/part/8417266)","Part 01 (single/main)")</f>
        <v>Part 01 (single/main)</v>
      </c>
      <c r="F7120" t="s">
        <v>7320</v>
      </c>
    </row>
    <row r="7121" spans="1:6" x14ac:dyDescent="0.15">
      <c r="A7121">
        <v>12086444</v>
      </c>
      <c r="B7121">
        <v>8417266</v>
      </c>
      <c r="C7121" t="s">
        <v>114</v>
      </c>
      <c r="D7121" t="s">
        <v>10</v>
      </c>
      <c r="E7121" s="4" t="str">
        <f>HYPERLINK("https://ibp.a2mac1.com/costing(costing:projects/details/9760/process/12086444)","MANUFACTURING  PROCESS")</f>
        <v>MANUFACTURING  PROCESS</v>
      </c>
      <c r="F7121" t="s">
        <v>7321</v>
      </c>
    </row>
    <row r="7122" spans="1:6" x14ac:dyDescent="0.15">
      <c r="A7122">
        <v>8756047</v>
      </c>
      <c r="B7122">
        <v>12086444</v>
      </c>
      <c r="C7122" t="s">
        <v>22</v>
      </c>
      <c r="D7122" t="s">
        <v>114</v>
      </c>
      <c r="E7122" s="4" t="str">
        <f>HYPERLINK("https://ibp.a2mac1.com/costing(costing:projects/details/9760/material/8756047)","Standard Structural Steel sheet")</f>
        <v>Standard Structural Steel sheet</v>
      </c>
      <c r="F7122" t="s">
        <v>7324</v>
      </c>
    </row>
    <row r="7123" spans="1:6" x14ac:dyDescent="0.15">
      <c r="A7123">
        <v>12213589</v>
      </c>
      <c r="B7123">
        <v>12086444</v>
      </c>
      <c r="C7123" t="s">
        <v>163</v>
      </c>
      <c r="D7123" t="s">
        <v>114</v>
      </c>
      <c r="E7123" s="4" t="str">
        <f>HYPERLINK("https://ibp.a2mac1.com/costing(costing:projects/details/9760/equipment/12213589)","Manufacturing Equipment")</f>
        <v>Manufacturing Equipment</v>
      </c>
      <c r="F7123" t="s">
        <v>7324</v>
      </c>
    </row>
    <row r="7124" spans="1:6" x14ac:dyDescent="0.15">
      <c r="A7124">
        <v>8417267</v>
      </c>
      <c r="B7124">
        <v>8416860</v>
      </c>
      <c r="C7124" t="s">
        <v>10</v>
      </c>
      <c r="D7124" t="s">
        <v>8</v>
      </c>
      <c r="E7124" s="4" t="str">
        <f>HYPERLINK("https://ibp.a2mac1.com/costing(costing:projects/details/9760/part/8417267)","Part 02")</f>
        <v>Part 02</v>
      </c>
      <c r="F7124" t="s">
        <v>7320</v>
      </c>
    </row>
    <row r="7125" spans="1:6" x14ac:dyDescent="0.15">
      <c r="A7125">
        <v>12086445</v>
      </c>
      <c r="B7125">
        <v>8417267</v>
      </c>
      <c r="C7125" t="s">
        <v>114</v>
      </c>
      <c r="D7125" t="s">
        <v>10</v>
      </c>
      <c r="E7125" s="4" t="str">
        <f>HYPERLINK("https://ibp.a2mac1.com/costing(costing:projects/details/9760/process/12086445)","MANUFACTURING  PROCESS")</f>
        <v>MANUFACTURING  PROCESS</v>
      </c>
      <c r="F7125" t="s">
        <v>7327</v>
      </c>
    </row>
    <row r="7126" spans="1:6" x14ac:dyDescent="0.15">
      <c r="A7126">
        <v>8756048</v>
      </c>
      <c r="B7126">
        <v>12086445</v>
      </c>
      <c r="C7126" t="s">
        <v>22</v>
      </c>
      <c r="D7126" t="s">
        <v>114</v>
      </c>
      <c r="E7126" s="4" t="str">
        <f>HYPERLINK("https://ibp.a2mac1.com/costing(costing:projects/details/9760/material/8756048)","Standard Structural Steel sheet")</f>
        <v>Standard Structural Steel sheet</v>
      </c>
      <c r="F7126" t="s">
        <v>7330</v>
      </c>
    </row>
    <row r="7127" spans="1:6" x14ac:dyDescent="0.15">
      <c r="A7127">
        <v>12213590</v>
      </c>
      <c r="B7127">
        <v>12086445</v>
      </c>
      <c r="C7127" t="s">
        <v>163</v>
      </c>
      <c r="D7127" t="s">
        <v>114</v>
      </c>
      <c r="E7127" s="4" t="str">
        <f>HYPERLINK("https://ibp.a2mac1.com/costing(costing:projects/details/9760/equipment/12213590)","Manufacturing Equipment")</f>
        <v>Manufacturing Equipment</v>
      </c>
      <c r="F7127" t="s">
        <v>7330</v>
      </c>
    </row>
    <row r="7128" spans="1:6" x14ac:dyDescent="0.15">
      <c r="A7128">
        <v>8416861</v>
      </c>
      <c r="B7128">
        <v>8416577</v>
      </c>
      <c r="C7128" t="s">
        <v>8</v>
      </c>
      <c r="D7128" t="s">
        <v>8</v>
      </c>
      <c r="E7128" s="4" t="str">
        <f>HYPERLINK("https://ibp.a2mac1.com/costing(costing:projects/details/9760/assembly/8416861)","Reinforcements")</f>
        <v>Reinforcements</v>
      </c>
      <c r="F7128" t="s">
        <v>7319</v>
      </c>
    </row>
    <row r="7129" spans="1:6" x14ac:dyDescent="0.15">
      <c r="A7129">
        <v>8417268</v>
      </c>
      <c r="B7129">
        <v>8416861</v>
      </c>
      <c r="C7129" t="s">
        <v>10</v>
      </c>
      <c r="D7129" t="s">
        <v>8</v>
      </c>
      <c r="E7129" s="4" t="str">
        <f>HYPERLINK("https://ibp.a2mac1.com/costing(costing:projects/details/9760/part/8417268)","Part 01 (single/main)")</f>
        <v>Part 01 (single/main)</v>
      </c>
      <c r="F7129" t="s">
        <v>7333</v>
      </c>
    </row>
    <row r="7130" spans="1:6" x14ac:dyDescent="0.15">
      <c r="A7130">
        <v>12086446</v>
      </c>
      <c r="B7130">
        <v>8417268</v>
      </c>
      <c r="C7130" t="s">
        <v>114</v>
      </c>
      <c r="D7130" t="s">
        <v>10</v>
      </c>
      <c r="E7130" s="4" t="str">
        <f>HYPERLINK("https://ibp.a2mac1.com/costing(costing:projects/details/9760/process/12086446)","MANUFACTURING  PROCESS")</f>
        <v>MANUFACTURING  PROCESS</v>
      </c>
      <c r="F7130" t="s">
        <v>7334</v>
      </c>
    </row>
    <row r="7131" spans="1:6" x14ac:dyDescent="0.15">
      <c r="A7131">
        <v>8756049</v>
      </c>
      <c r="B7131">
        <v>12086446</v>
      </c>
      <c r="C7131" t="s">
        <v>22</v>
      </c>
      <c r="D7131" t="s">
        <v>114</v>
      </c>
      <c r="E7131" s="4" t="str">
        <f>HYPERLINK("https://ibp.a2mac1.com/costing(costing:projects/details/9760/material/8756049)","Standard Structural Steel sheet")</f>
        <v>Standard Structural Steel sheet</v>
      </c>
      <c r="F7131" t="s">
        <v>7337</v>
      </c>
    </row>
    <row r="7132" spans="1:6" x14ac:dyDescent="0.15">
      <c r="A7132">
        <v>12213591</v>
      </c>
      <c r="B7132">
        <v>12086446</v>
      </c>
      <c r="C7132" t="s">
        <v>163</v>
      </c>
      <c r="D7132" t="s">
        <v>114</v>
      </c>
      <c r="E7132" s="4" t="str">
        <f>HYPERLINK("https://ibp.a2mac1.com/costing(costing:projects/details/9760/equipment/12213591)","Manufacturing Equipment")</f>
        <v>Manufacturing Equipment</v>
      </c>
      <c r="F7132" t="s">
        <v>7337</v>
      </c>
    </row>
    <row r="7133" spans="1:6" x14ac:dyDescent="0.15">
      <c r="A7133">
        <v>8416862</v>
      </c>
      <c r="B7133">
        <v>8416577</v>
      </c>
      <c r="C7133" t="s">
        <v>8</v>
      </c>
      <c r="D7133" t="s">
        <v>8</v>
      </c>
      <c r="E7133" s="4" t="str">
        <f>HYPERLINK("https://ibp.a2mac1.com/costing(costing:projects/details/9760/assembly/8416862)","Gussets")</f>
        <v>Gussets</v>
      </c>
      <c r="F7133" t="s">
        <v>7319</v>
      </c>
    </row>
    <row r="7134" spans="1:6" x14ac:dyDescent="0.15">
      <c r="A7134">
        <v>8417269</v>
      </c>
      <c r="B7134">
        <v>8416862</v>
      </c>
      <c r="C7134" t="s">
        <v>10</v>
      </c>
      <c r="D7134" t="s">
        <v>8</v>
      </c>
      <c r="E7134" s="4" t="str">
        <f>HYPERLINK("https://ibp.a2mac1.com/costing(costing:projects/details/9760/part/8417269)","Part 01 (single/main)")</f>
        <v>Part 01 (single/main)</v>
      </c>
      <c r="F7134" t="s">
        <v>7340</v>
      </c>
    </row>
    <row r="7135" spans="1:6" x14ac:dyDescent="0.15">
      <c r="A7135">
        <v>12086447</v>
      </c>
      <c r="B7135">
        <v>8417269</v>
      </c>
      <c r="C7135" t="s">
        <v>114</v>
      </c>
      <c r="D7135" t="s">
        <v>10</v>
      </c>
      <c r="E7135" s="4" t="str">
        <f>HYPERLINK("https://ibp.a2mac1.com/costing(costing:projects/details/9760/process/12086447)","MANUFACTURING  PROCESS")</f>
        <v>MANUFACTURING  PROCESS</v>
      </c>
      <c r="F7135" t="s">
        <v>7341</v>
      </c>
    </row>
    <row r="7136" spans="1:6" x14ac:dyDescent="0.15">
      <c r="A7136">
        <v>8756050</v>
      </c>
      <c r="B7136">
        <v>12086447</v>
      </c>
      <c r="C7136" t="s">
        <v>22</v>
      </c>
      <c r="D7136" t="s">
        <v>114</v>
      </c>
      <c r="E7136" s="4" t="str">
        <f>HYPERLINK("https://ibp.a2mac1.com/costing(costing:projects/details/9760/material/8756050)","Standard Structural Steel sheet")</f>
        <v>Standard Structural Steel sheet</v>
      </c>
      <c r="F7136" t="s">
        <v>7344</v>
      </c>
    </row>
    <row r="7137" spans="1:6" x14ac:dyDescent="0.15">
      <c r="A7137">
        <v>12213592</v>
      </c>
      <c r="B7137">
        <v>12086447</v>
      </c>
      <c r="C7137" t="s">
        <v>163</v>
      </c>
      <c r="D7137" t="s">
        <v>114</v>
      </c>
      <c r="E7137" s="4" t="str">
        <f>HYPERLINK("https://ibp.a2mac1.com/costing(costing:projects/details/9760/equipment/12213592)","Manufacturing Equipment")</f>
        <v>Manufacturing Equipment</v>
      </c>
      <c r="F7137" t="s">
        <v>7344</v>
      </c>
    </row>
    <row r="7138" spans="1:6" x14ac:dyDescent="0.15">
      <c r="A7138">
        <v>8416863</v>
      </c>
      <c r="B7138">
        <v>8416577</v>
      </c>
      <c r="C7138" t="s">
        <v>8</v>
      </c>
      <c r="D7138" t="s">
        <v>8</v>
      </c>
      <c r="E7138" s="4" t="str">
        <f>HYPERLINK("https://ibp.a2mac1.com/costing(costing:projects/details/9760/assembly/8416863)","Fixing parts")</f>
        <v>Fixing parts</v>
      </c>
      <c r="F7138" t="s">
        <v>7319</v>
      </c>
    </row>
    <row r="7139" spans="1:6" x14ac:dyDescent="0.15">
      <c r="A7139">
        <v>8417270</v>
      </c>
      <c r="B7139">
        <v>8416863</v>
      </c>
      <c r="C7139" t="s">
        <v>10</v>
      </c>
      <c r="D7139" t="s">
        <v>8</v>
      </c>
      <c r="E7139" s="4" t="str">
        <f>HYPERLINK("https://ibp.a2mac1.com/costing(costing:projects/details/9760/part/8417270)","Part 01 (single/main)")</f>
        <v>Part 01 (single/main)</v>
      </c>
      <c r="F7139" t="s">
        <v>7347</v>
      </c>
    </row>
    <row r="7140" spans="1:6" x14ac:dyDescent="0.15">
      <c r="A7140">
        <v>12086448</v>
      </c>
      <c r="B7140">
        <v>8417270</v>
      </c>
      <c r="C7140" t="s">
        <v>114</v>
      </c>
      <c r="D7140" t="s">
        <v>10</v>
      </c>
      <c r="E7140" s="4" t="str">
        <f>HYPERLINK("https://ibp.a2mac1.com/costing(costing:projects/details/9760/process/12086448)","MANUFACTURING  PROCESS")</f>
        <v>MANUFACTURING  PROCESS</v>
      </c>
      <c r="F7140" t="s">
        <v>7348</v>
      </c>
    </row>
    <row r="7141" spans="1:6" x14ac:dyDescent="0.15">
      <c r="A7141">
        <v>8756051</v>
      </c>
      <c r="B7141">
        <v>12086448</v>
      </c>
      <c r="C7141" t="s">
        <v>22</v>
      </c>
      <c r="D7141" t="s">
        <v>114</v>
      </c>
      <c r="E7141" s="4" t="str">
        <f>HYPERLINK("https://ibp.a2mac1.com/costing(costing:projects/details/9760/material/8756051)","Standard Structural Steel sheet")</f>
        <v>Standard Structural Steel sheet</v>
      </c>
      <c r="F7141" t="s">
        <v>7350</v>
      </c>
    </row>
    <row r="7142" spans="1:6" x14ac:dyDescent="0.15">
      <c r="A7142">
        <v>12213593</v>
      </c>
      <c r="B7142">
        <v>12086448</v>
      </c>
      <c r="C7142" t="s">
        <v>163</v>
      </c>
      <c r="D7142" t="s">
        <v>114</v>
      </c>
      <c r="E7142" s="4" t="str">
        <f>HYPERLINK("https://ibp.a2mac1.com/costing(costing:projects/details/9760/equipment/12213593)","Manufacturing Equipment")</f>
        <v>Manufacturing Equipment</v>
      </c>
      <c r="F7142" t="s">
        <v>7350</v>
      </c>
    </row>
    <row r="7143" spans="1:6" x14ac:dyDescent="0.15">
      <c r="A7143">
        <v>8416578</v>
      </c>
      <c r="B7143">
        <v>8416408</v>
      </c>
      <c r="C7143" t="s">
        <v>8</v>
      </c>
      <c r="D7143" t="s">
        <v>8</v>
      </c>
      <c r="E7143" s="4" t="str">
        <f>HYPERLINK("https://ibp.a2mac1.com/costing(costing:projects/details/9760/assembly/8416578)","Rear cross member assy")</f>
        <v>Rear cross member assy</v>
      </c>
      <c r="F7143" t="s">
        <v>7318</v>
      </c>
    </row>
    <row r="7144" spans="1:6" x14ac:dyDescent="0.15">
      <c r="A7144">
        <v>8416871</v>
      </c>
      <c r="B7144">
        <v>8416578</v>
      </c>
      <c r="C7144" t="s">
        <v>8</v>
      </c>
      <c r="D7144" t="s">
        <v>8</v>
      </c>
      <c r="E7144" s="4" t="str">
        <f>HYPERLINK("https://ibp.a2mac1.com/costing(costing:projects/details/9760/assembly/8416871)","Cross member")</f>
        <v>Cross member</v>
      </c>
      <c r="F7144" t="s">
        <v>7354</v>
      </c>
    </row>
    <row r="7145" spans="1:6" x14ac:dyDescent="0.15">
      <c r="A7145">
        <v>8417271</v>
      </c>
      <c r="B7145">
        <v>8416871</v>
      </c>
      <c r="C7145" t="s">
        <v>10</v>
      </c>
      <c r="D7145" t="s">
        <v>8</v>
      </c>
      <c r="E7145" s="4" t="str">
        <f>HYPERLINK("https://ibp.a2mac1.com/costing(costing:projects/details/9760/part/8417271)","Part 01 (single/main)")</f>
        <v>Part 01 (single/main)</v>
      </c>
      <c r="F7145" t="s">
        <v>7355</v>
      </c>
    </row>
    <row r="7146" spans="1:6" x14ac:dyDescent="0.15">
      <c r="A7146">
        <v>12086449</v>
      </c>
      <c r="B7146">
        <v>8417271</v>
      </c>
      <c r="C7146" t="s">
        <v>114</v>
      </c>
      <c r="D7146" t="s">
        <v>10</v>
      </c>
      <c r="E7146" s="4" t="str">
        <f>HYPERLINK("https://ibp.a2mac1.com/costing(costing:projects/details/9760/process/12086449)","MANUFACTURING  PROCESS")</f>
        <v>MANUFACTURING  PROCESS</v>
      </c>
      <c r="F7146" t="s">
        <v>7356</v>
      </c>
    </row>
    <row r="7147" spans="1:6" x14ac:dyDescent="0.15">
      <c r="A7147">
        <v>8756052</v>
      </c>
      <c r="B7147">
        <v>12086449</v>
      </c>
      <c r="C7147" t="s">
        <v>22</v>
      </c>
      <c r="D7147" t="s">
        <v>114</v>
      </c>
      <c r="E7147" s="4" t="str">
        <f>HYPERLINK("https://ibp.a2mac1.com/costing(costing:projects/details/9760/material/8756052)","Standard Structural Steel sheet")</f>
        <v>Standard Structural Steel sheet</v>
      </c>
      <c r="F7147" t="s">
        <v>7359</v>
      </c>
    </row>
    <row r="7148" spans="1:6" x14ac:dyDescent="0.15">
      <c r="A7148">
        <v>12213594</v>
      </c>
      <c r="B7148">
        <v>12086449</v>
      </c>
      <c r="C7148" t="s">
        <v>163</v>
      </c>
      <c r="D7148" t="s">
        <v>114</v>
      </c>
      <c r="E7148" s="4" t="str">
        <f>HYPERLINK("https://ibp.a2mac1.com/costing(costing:projects/details/9760/equipment/12213594)","Manufacturing Equipment")</f>
        <v>Manufacturing Equipment</v>
      </c>
      <c r="F7148" t="s">
        <v>7359</v>
      </c>
    </row>
    <row r="7149" spans="1:6" x14ac:dyDescent="0.15">
      <c r="A7149">
        <v>8417272</v>
      </c>
      <c r="B7149">
        <v>8416871</v>
      </c>
      <c r="C7149" t="s">
        <v>10</v>
      </c>
      <c r="D7149" t="s">
        <v>8</v>
      </c>
      <c r="E7149" s="4" t="str">
        <f>HYPERLINK("https://ibp.a2mac1.com/costing(costing:projects/details/9760/part/8417272)","Part 02")</f>
        <v>Part 02</v>
      </c>
      <c r="F7149" t="s">
        <v>7355</v>
      </c>
    </row>
    <row r="7150" spans="1:6" x14ac:dyDescent="0.15">
      <c r="A7150">
        <v>12086450</v>
      </c>
      <c r="B7150">
        <v>8417272</v>
      </c>
      <c r="C7150" t="s">
        <v>114</v>
      </c>
      <c r="D7150" t="s">
        <v>10</v>
      </c>
      <c r="E7150" s="4" t="str">
        <f>HYPERLINK("https://ibp.a2mac1.com/costing(costing:projects/details/9760/process/12086450)","MANUFACTURING  PROCESS")</f>
        <v>MANUFACTURING  PROCESS</v>
      </c>
      <c r="F7150" t="s">
        <v>7361</v>
      </c>
    </row>
    <row r="7151" spans="1:6" x14ac:dyDescent="0.15">
      <c r="A7151">
        <v>8756053</v>
      </c>
      <c r="B7151">
        <v>12086450</v>
      </c>
      <c r="C7151" t="s">
        <v>22</v>
      </c>
      <c r="D7151" t="s">
        <v>114</v>
      </c>
      <c r="E7151" s="4" t="str">
        <f>HYPERLINK("https://ibp.a2mac1.com/costing(costing:projects/details/9760/material/8756053)","Standard Structural Steel sheet")</f>
        <v>Standard Structural Steel sheet</v>
      </c>
      <c r="F7151" t="s">
        <v>7364</v>
      </c>
    </row>
    <row r="7152" spans="1:6" x14ac:dyDescent="0.15">
      <c r="A7152">
        <v>12213595</v>
      </c>
      <c r="B7152">
        <v>12086450</v>
      </c>
      <c r="C7152" t="s">
        <v>163</v>
      </c>
      <c r="D7152" t="s">
        <v>114</v>
      </c>
      <c r="E7152" s="4" t="str">
        <f>HYPERLINK("https://ibp.a2mac1.com/costing(costing:projects/details/9760/equipment/12213595)","Manufacturing Equipment")</f>
        <v>Manufacturing Equipment</v>
      </c>
      <c r="F7152" t="s">
        <v>7364</v>
      </c>
    </row>
    <row r="7153" spans="1:6" x14ac:dyDescent="0.15">
      <c r="A7153">
        <v>8416872</v>
      </c>
      <c r="B7153">
        <v>8416578</v>
      </c>
      <c r="C7153" t="s">
        <v>8</v>
      </c>
      <c r="D7153" t="s">
        <v>8</v>
      </c>
      <c r="E7153" s="4" t="str">
        <f>HYPERLINK("https://ibp.a2mac1.com/costing(costing:projects/details/9760/assembly/8416872)","Gussets")</f>
        <v>Gussets</v>
      </c>
      <c r="F7153" t="s">
        <v>7354</v>
      </c>
    </row>
    <row r="7154" spans="1:6" x14ac:dyDescent="0.15">
      <c r="A7154">
        <v>8417273</v>
      </c>
      <c r="B7154">
        <v>8416872</v>
      </c>
      <c r="C7154" t="s">
        <v>10</v>
      </c>
      <c r="D7154" t="s">
        <v>8</v>
      </c>
      <c r="E7154" s="4" t="str">
        <f>HYPERLINK("https://ibp.a2mac1.com/costing(costing:projects/details/9760/part/8417273)","Part 01 (single/main)")</f>
        <v>Part 01 (single/main)</v>
      </c>
      <c r="F7154" t="s">
        <v>7367</v>
      </c>
    </row>
    <row r="7155" spans="1:6" x14ac:dyDescent="0.15">
      <c r="A7155">
        <v>12086451</v>
      </c>
      <c r="B7155">
        <v>8417273</v>
      </c>
      <c r="C7155" t="s">
        <v>114</v>
      </c>
      <c r="D7155" t="s">
        <v>10</v>
      </c>
      <c r="E7155" s="4" t="str">
        <f>HYPERLINK("https://ibp.a2mac1.com/costing(costing:projects/details/9760/process/12086451)","MANUFACTURING  PROCESS")</f>
        <v>MANUFACTURING  PROCESS</v>
      </c>
      <c r="F7155" t="s">
        <v>7368</v>
      </c>
    </row>
    <row r="7156" spans="1:6" x14ac:dyDescent="0.15">
      <c r="A7156">
        <v>8756054</v>
      </c>
      <c r="B7156">
        <v>12086451</v>
      </c>
      <c r="C7156" t="s">
        <v>22</v>
      </c>
      <c r="D7156" t="s">
        <v>114</v>
      </c>
      <c r="E7156" s="4" t="str">
        <f>HYPERLINK("https://ibp.a2mac1.com/costing(costing:projects/details/9760/material/8756054)","Standard Structural Steel sheet")</f>
        <v>Standard Structural Steel sheet</v>
      </c>
      <c r="F7156" t="s">
        <v>7371</v>
      </c>
    </row>
    <row r="7157" spans="1:6" x14ac:dyDescent="0.15">
      <c r="A7157">
        <v>12213596</v>
      </c>
      <c r="B7157">
        <v>12086451</v>
      </c>
      <c r="C7157" t="s">
        <v>163</v>
      </c>
      <c r="D7157" t="s">
        <v>114</v>
      </c>
      <c r="E7157" s="4" t="str">
        <f>HYPERLINK("https://ibp.a2mac1.com/costing(costing:projects/details/9760/equipment/12213596)","Manufacturing Equipment")</f>
        <v>Manufacturing Equipment</v>
      </c>
      <c r="F7157" t="s">
        <v>7371</v>
      </c>
    </row>
    <row r="7158" spans="1:6" x14ac:dyDescent="0.15">
      <c r="A7158">
        <v>8416067</v>
      </c>
      <c r="B7158">
        <v>8415758</v>
      </c>
      <c r="C7158" t="s">
        <v>8</v>
      </c>
      <c r="D7158" t="s">
        <v>8</v>
      </c>
      <c r="E7158" s="4" t="str">
        <f>HYPERLINK("https://ibp.a2mac1.com/costing(costing:projects/details/9760/assembly/8416067)","Cowl assy")</f>
        <v>Cowl assy</v>
      </c>
      <c r="F7158" t="s">
        <v>7316</v>
      </c>
    </row>
    <row r="7159" spans="1:6" x14ac:dyDescent="0.15">
      <c r="A7159">
        <v>8416409</v>
      </c>
      <c r="B7159">
        <v>8416067</v>
      </c>
      <c r="C7159" t="s">
        <v>8</v>
      </c>
      <c r="D7159" t="s">
        <v>8</v>
      </c>
      <c r="E7159" s="4" t="str">
        <f>HYPERLINK("https://ibp.a2mac1.com/costing(costing:projects/details/9760/assembly/8416409)","Cowl member")</f>
        <v>Cowl member</v>
      </c>
      <c r="F7159" t="s">
        <v>7377</v>
      </c>
    </row>
    <row r="7160" spans="1:6" x14ac:dyDescent="0.15">
      <c r="A7160">
        <v>8416579</v>
      </c>
      <c r="B7160">
        <v>8416409</v>
      </c>
      <c r="C7160" t="s">
        <v>8</v>
      </c>
      <c r="D7160" t="s">
        <v>8</v>
      </c>
      <c r="E7160" s="4" t="str">
        <f>HYPERLINK("https://ibp.a2mac1.com/costing(costing:projects/details/9760/assembly/8416579)","Member")</f>
        <v>Member</v>
      </c>
      <c r="F7160" t="s">
        <v>7378</v>
      </c>
    </row>
    <row r="7161" spans="1:6" x14ac:dyDescent="0.15">
      <c r="A7161">
        <v>8416873</v>
      </c>
      <c r="B7161">
        <v>8416579</v>
      </c>
      <c r="C7161" t="s">
        <v>10</v>
      </c>
      <c r="D7161" t="s">
        <v>8</v>
      </c>
      <c r="E7161" s="4" t="str">
        <f>HYPERLINK("https://ibp.a2mac1.com/costing(costing:projects/details/9760/part/8416873)","Part 01 (single/main)")</f>
        <v>Part 01 (single/main)</v>
      </c>
      <c r="F7161" t="s">
        <v>7379</v>
      </c>
    </row>
    <row r="7162" spans="1:6" x14ac:dyDescent="0.15">
      <c r="A7162">
        <v>12086193</v>
      </c>
      <c r="B7162">
        <v>8416873</v>
      </c>
      <c r="C7162" t="s">
        <v>114</v>
      </c>
      <c r="D7162" t="s">
        <v>10</v>
      </c>
      <c r="E7162" s="4" t="str">
        <f>HYPERLINK("https://ibp.a2mac1.com/costing(costing:projects/details/9760/process/12086193)","MANUFACTURING  PROCESS")</f>
        <v>MANUFACTURING  PROCESS</v>
      </c>
      <c r="F7162" t="s">
        <v>7380</v>
      </c>
    </row>
    <row r="7163" spans="1:6" x14ac:dyDescent="0.15">
      <c r="A7163">
        <v>8755779</v>
      </c>
      <c r="B7163">
        <v>12086193</v>
      </c>
      <c r="C7163" t="s">
        <v>22</v>
      </c>
      <c r="D7163" t="s">
        <v>114</v>
      </c>
      <c r="E7163" s="4" t="str">
        <f>HYPERLINK("https://ibp.a2mac1.com/costing(costing:projects/details/9760/material/8755779)","Standard Structural Steel sheet")</f>
        <v>Standard Structural Steel sheet</v>
      </c>
      <c r="F7163" t="s">
        <v>7383</v>
      </c>
    </row>
    <row r="7164" spans="1:6" x14ac:dyDescent="0.15">
      <c r="A7164">
        <v>12213326</v>
      </c>
      <c r="B7164">
        <v>12086193</v>
      </c>
      <c r="C7164" t="s">
        <v>163</v>
      </c>
      <c r="D7164" t="s">
        <v>114</v>
      </c>
      <c r="E7164" s="4" t="str">
        <f>HYPERLINK("https://ibp.a2mac1.com/costing(costing:projects/details/9760/equipment/12213326)","Manufacturing Equipment")</f>
        <v>Manufacturing Equipment</v>
      </c>
      <c r="F7164" t="s">
        <v>7383</v>
      </c>
    </row>
    <row r="7165" spans="1:6" x14ac:dyDescent="0.15">
      <c r="A7165">
        <v>8416580</v>
      </c>
      <c r="B7165">
        <v>8416409</v>
      </c>
      <c r="C7165" t="s">
        <v>8</v>
      </c>
      <c r="D7165" t="s">
        <v>8</v>
      </c>
      <c r="E7165" s="4" t="str">
        <f>HYPERLINK("https://ibp.a2mac1.com/costing(costing:projects/details/9760/assembly/8416580)","Spacers")</f>
        <v>Spacers</v>
      </c>
      <c r="F7165" t="s">
        <v>7378</v>
      </c>
    </row>
    <row r="7166" spans="1:6" x14ac:dyDescent="0.15">
      <c r="A7166">
        <v>8416874</v>
      </c>
      <c r="B7166">
        <v>8416580</v>
      </c>
      <c r="C7166" t="s">
        <v>10</v>
      </c>
      <c r="D7166" t="s">
        <v>8</v>
      </c>
      <c r="E7166" s="4" t="str">
        <f>HYPERLINK("https://ibp.a2mac1.com/costing(costing:projects/details/9760/part/8416874)","Part 01 (single/main)")</f>
        <v>Part 01 (single/main)</v>
      </c>
      <c r="F7166" t="s">
        <v>7386</v>
      </c>
    </row>
    <row r="7167" spans="1:6" x14ac:dyDescent="0.15">
      <c r="A7167">
        <v>12086194</v>
      </c>
      <c r="B7167">
        <v>8416874</v>
      </c>
      <c r="C7167" t="s">
        <v>114</v>
      </c>
      <c r="D7167" t="s">
        <v>10</v>
      </c>
      <c r="E7167" s="4" t="str">
        <f>HYPERLINK("https://ibp.a2mac1.com/costing(costing:projects/details/9760/process/12086194)","MANUFACTURING  PROCESS")</f>
        <v>MANUFACTURING  PROCESS</v>
      </c>
      <c r="F7167" t="s">
        <v>7387</v>
      </c>
    </row>
    <row r="7168" spans="1:6" x14ac:dyDescent="0.15">
      <c r="A7168">
        <v>8755780</v>
      </c>
      <c r="B7168">
        <v>12086194</v>
      </c>
      <c r="C7168" t="s">
        <v>22</v>
      </c>
      <c r="D7168" t="s">
        <v>114</v>
      </c>
      <c r="E7168" s="4" t="str">
        <f>HYPERLINK("https://ibp.a2mac1.com/costing(costing:projects/details/9760/material/8755780)","Standard Structural Steel sheet")</f>
        <v>Standard Structural Steel sheet</v>
      </c>
      <c r="F7168" t="s">
        <v>7389</v>
      </c>
    </row>
    <row r="7169" spans="1:6" x14ac:dyDescent="0.15">
      <c r="A7169">
        <v>12213327</v>
      </c>
      <c r="B7169">
        <v>12086194</v>
      </c>
      <c r="C7169" t="s">
        <v>163</v>
      </c>
      <c r="D7169" t="s">
        <v>114</v>
      </c>
      <c r="E7169" s="4" t="str">
        <f>HYPERLINK("https://ibp.a2mac1.com/costing(costing:projects/details/9760/equipment/12213327)","Manufacturing Equipment")</f>
        <v>Manufacturing Equipment</v>
      </c>
      <c r="F7169" t="s">
        <v>7389</v>
      </c>
    </row>
    <row r="7170" spans="1:6" x14ac:dyDescent="0.15">
      <c r="A7170">
        <v>8416581</v>
      </c>
      <c r="B7170">
        <v>8416409</v>
      </c>
      <c r="C7170" t="s">
        <v>8</v>
      </c>
      <c r="D7170" t="s">
        <v>8</v>
      </c>
      <c r="E7170" s="4" t="str">
        <f>HYPERLINK("https://ibp.a2mac1.com/costing(costing:projects/details/9760/assembly/8416581)","Fixing parts")</f>
        <v>Fixing parts</v>
      </c>
      <c r="F7170" t="s">
        <v>7378</v>
      </c>
    </row>
    <row r="7171" spans="1:6" x14ac:dyDescent="0.15">
      <c r="A7171">
        <v>8416875</v>
      </c>
      <c r="B7171">
        <v>8416581</v>
      </c>
      <c r="C7171" t="s">
        <v>10</v>
      </c>
      <c r="D7171" t="s">
        <v>8</v>
      </c>
      <c r="E7171" s="4" t="str">
        <f>HYPERLINK("https://ibp.a2mac1.com/costing(costing:projects/details/9760/part/8416875)","Part 01 (single/main)")</f>
        <v>Part 01 (single/main)</v>
      </c>
      <c r="F7171" t="s">
        <v>7392</v>
      </c>
    </row>
    <row r="7172" spans="1:6" x14ac:dyDescent="0.15">
      <c r="A7172">
        <v>12086195</v>
      </c>
      <c r="B7172">
        <v>8416875</v>
      </c>
      <c r="C7172" t="s">
        <v>114</v>
      </c>
      <c r="D7172" t="s">
        <v>10</v>
      </c>
      <c r="E7172" s="4" t="str">
        <f>HYPERLINK("https://ibp.a2mac1.com/costing(costing:projects/details/9760/process/12086195)","MANUFACTURING  PROCESS")</f>
        <v>MANUFACTURING  PROCESS</v>
      </c>
      <c r="F7172" t="s">
        <v>7393</v>
      </c>
    </row>
    <row r="7173" spans="1:6" x14ac:dyDescent="0.15">
      <c r="A7173">
        <v>8755781</v>
      </c>
      <c r="B7173">
        <v>12086195</v>
      </c>
      <c r="C7173" t="s">
        <v>22</v>
      </c>
      <c r="D7173" t="s">
        <v>114</v>
      </c>
      <c r="E7173" s="4" t="str">
        <f>HYPERLINK("https://ibp.a2mac1.com/costing(costing:projects/details/9760/material/8755781)","Standard Structural Steel sheet")</f>
        <v>Standard Structural Steel sheet</v>
      </c>
      <c r="F7173" t="s">
        <v>7395</v>
      </c>
    </row>
    <row r="7174" spans="1:6" x14ac:dyDescent="0.15">
      <c r="A7174">
        <v>12213328</v>
      </c>
      <c r="B7174">
        <v>12086195</v>
      </c>
      <c r="C7174" t="s">
        <v>163</v>
      </c>
      <c r="D7174" t="s">
        <v>114</v>
      </c>
      <c r="E7174" s="4" t="str">
        <f>HYPERLINK("https://ibp.a2mac1.com/costing(costing:projects/details/9760/equipment/12213328)","Manufacturing Equipment")</f>
        <v>Manufacturing Equipment</v>
      </c>
      <c r="F7174" t="s">
        <v>7395</v>
      </c>
    </row>
    <row r="7175" spans="1:6" x14ac:dyDescent="0.15">
      <c r="A7175">
        <v>8416876</v>
      </c>
      <c r="B7175">
        <v>8416581</v>
      </c>
      <c r="C7175" t="s">
        <v>10</v>
      </c>
      <c r="D7175" t="s">
        <v>8</v>
      </c>
      <c r="E7175" s="4" t="str">
        <f>HYPERLINK("https://ibp.a2mac1.com/costing(costing:projects/details/9760/part/8416876)","Part 02")</f>
        <v>Part 02</v>
      </c>
      <c r="F7175" t="s">
        <v>7392</v>
      </c>
    </row>
    <row r="7176" spans="1:6" x14ac:dyDescent="0.15">
      <c r="A7176">
        <v>12086196</v>
      </c>
      <c r="B7176">
        <v>8416876</v>
      </c>
      <c r="C7176" t="s">
        <v>114</v>
      </c>
      <c r="D7176" t="s">
        <v>10</v>
      </c>
      <c r="E7176" s="4" t="str">
        <f>HYPERLINK("https://ibp.a2mac1.com/costing(costing:projects/details/9760/process/12086196)","MANUFACTURING  PROCESS")</f>
        <v>MANUFACTURING  PROCESS</v>
      </c>
      <c r="F7176" t="s">
        <v>7397</v>
      </c>
    </row>
    <row r="7177" spans="1:6" x14ac:dyDescent="0.15">
      <c r="A7177">
        <v>8755782</v>
      </c>
      <c r="B7177">
        <v>12086196</v>
      </c>
      <c r="C7177" t="s">
        <v>22</v>
      </c>
      <c r="D7177" t="s">
        <v>114</v>
      </c>
      <c r="E7177" s="4" t="str">
        <f>HYPERLINK("https://ibp.a2mac1.com/costing(costing:projects/details/9760/material/8755782)","Standard Structural Steel sheet")</f>
        <v>Standard Structural Steel sheet</v>
      </c>
      <c r="F7177" t="s">
        <v>7400</v>
      </c>
    </row>
    <row r="7178" spans="1:6" x14ac:dyDescent="0.15">
      <c r="A7178">
        <v>12213329</v>
      </c>
      <c r="B7178">
        <v>12086196</v>
      </c>
      <c r="C7178" t="s">
        <v>163</v>
      </c>
      <c r="D7178" t="s">
        <v>114</v>
      </c>
      <c r="E7178" s="4" t="str">
        <f>HYPERLINK("https://ibp.a2mac1.com/costing(costing:projects/details/9760/equipment/12213329)","Manufacturing Equipment")</f>
        <v>Manufacturing Equipment</v>
      </c>
      <c r="F7178" t="s">
        <v>7400</v>
      </c>
    </row>
    <row r="7179" spans="1:6" x14ac:dyDescent="0.15">
      <c r="A7179">
        <v>8416877</v>
      </c>
      <c r="B7179">
        <v>8416581</v>
      </c>
      <c r="C7179" t="s">
        <v>10</v>
      </c>
      <c r="D7179" t="s">
        <v>8</v>
      </c>
      <c r="E7179" s="4" t="str">
        <f>HYPERLINK("https://ibp.a2mac1.com/costing(costing:projects/details/9760/part/8416877)","Part 03")</f>
        <v>Part 03</v>
      </c>
      <c r="F7179" t="s">
        <v>7392</v>
      </c>
    </row>
    <row r="7180" spans="1:6" x14ac:dyDescent="0.15">
      <c r="A7180">
        <v>12086197</v>
      </c>
      <c r="B7180">
        <v>8416877</v>
      </c>
      <c r="C7180" t="s">
        <v>114</v>
      </c>
      <c r="D7180" t="s">
        <v>10</v>
      </c>
      <c r="E7180" s="4" t="str">
        <f>HYPERLINK("https://ibp.a2mac1.com/costing(costing:projects/details/9760/process/12086197)","MANUFACTURING  PROCESS")</f>
        <v>MANUFACTURING  PROCESS</v>
      </c>
      <c r="F7180" t="s">
        <v>7402</v>
      </c>
    </row>
    <row r="7181" spans="1:6" x14ac:dyDescent="0.15">
      <c r="A7181">
        <v>8755783</v>
      </c>
      <c r="B7181">
        <v>12086197</v>
      </c>
      <c r="C7181" t="s">
        <v>22</v>
      </c>
      <c r="D7181" t="s">
        <v>114</v>
      </c>
      <c r="E7181" s="4" t="str">
        <f>HYPERLINK("https://ibp.a2mac1.com/costing(costing:projects/details/9760/material/8755783)","Standard Structural Steel sheet")</f>
        <v>Standard Structural Steel sheet</v>
      </c>
      <c r="F7181" t="s">
        <v>7404</v>
      </c>
    </row>
    <row r="7182" spans="1:6" x14ac:dyDescent="0.15">
      <c r="A7182">
        <v>12213330</v>
      </c>
      <c r="B7182">
        <v>12086197</v>
      </c>
      <c r="C7182" t="s">
        <v>163</v>
      </c>
      <c r="D7182" t="s">
        <v>114</v>
      </c>
      <c r="E7182" s="4" t="str">
        <f>HYPERLINK("https://ibp.a2mac1.com/costing(costing:projects/details/9760/equipment/12213330)","Manufacturing Equipment")</f>
        <v>Manufacturing Equipment</v>
      </c>
      <c r="F7182" t="s">
        <v>7404</v>
      </c>
    </row>
    <row r="7183" spans="1:6" x14ac:dyDescent="0.15">
      <c r="A7183">
        <v>8416878</v>
      </c>
      <c r="B7183">
        <v>8416581</v>
      </c>
      <c r="C7183" t="s">
        <v>10</v>
      </c>
      <c r="D7183" t="s">
        <v>8</v>
      </c>
      <c r="E7183" s="4" t="str">
        <f>HYPERLINK("https://ibp.a2mac1.com/costing(costing:projects/details/9760/part/8416878)","Part 04")</f>
        <v>Part 04</v>
      </c>
      <c r="F7183" t="s">
        <v>7392</v>
      </c>
    </row>
    <row r="7184" spans="1:6" x14ac:dyDescent="0.15">
      <c r="A7184">
        <v>12086198</v>
      </c>
      <c r="B7184">
        <v>8416878</v>
      </c>
      <c r="C7184" t="s">
        <v>114</v>
      </c>
      <c r="D7184" t="s">
        <v>10</v>
      </c>
      <c r="E7184" s="4" t="str">
        <f>HYPERLINK("https://ibp.a2mac1.com/costing(costing:projects/details/9760/process/12086198)","MANUFACTURING  PROCESS")</f>
        <v>MANUFACTURING  PROCESS</v>
      </c>
      <c r="F7184" t="s">
        <v>7406</v>
      </c>
    </row>
    <row r="7185" spans="1:6" x14ac:dyDescent="0.15">
      <c r="A7185">
        <v>8755784</v>
      </c>
      <c r="B7185">
        <v>12086198</v>
      </c>
      <c r="C7185" t="s">
        <v>22</v>
      </c>
      <c r="D7185" t="s">
        <v>114</v>
      </c>
      <c r="E7185" s="4" t="str">
        <f>HYPERLINK("https://ibp.a2mac1.com/costing(costing:projects/details/9760/material/8755784)","Standard Structural Steel sheet")</f>
        <v>Standard Structural Steel sheet</v>
      </c>
      <c r="F7185" t="s">
        <v>7408</v>
      </c>
    </row>
    <row r="7186" spans="1:6" x14ac:dyDescent="0.15">
      <c r="A7186">
        <v>12213331</v>
      </c>
      <c r="B7186">
        <v>12086198</v>
      </c>
      <c r="C7186" t="s">
        <v>163</v>
      </c>
      <c r="D7186" t="s">
        <v>114</v>
      </c>
      <c r="E7186" s="4" t="str">
        <f>HYPERLINK("https://ibp.a2mac1.com/costing(costing:projects/details/9760/equipment/12213331)","Manufacturing Equipment")</f>
        <v>Manufacturing Equipment</v>
      </c>
      <c r="F7186" t="s">
        <v>7408</v>
      </c>
    </row>
    <row r="7187" spans="1:6" x14ac:dyDescent="0.15">
      <c r="A7187">
        <v>8416068</v>
      </c>
      <c r="B7187">
        <v>8415758</v>
      </c>
      <c r="C7187" t="s">
        <v>8</v>
      </c>
      <c r="D7187" t="s">
        <v>8</v>
      </c>
      <c r="E7187" s="4" t="str">
        <f>HYPERLINK("https://ibp.a2mac1.com/costing(costing:projects/details/9760/assembly/8416068)","Rear shelf panel assy")</f>
        <v>Rear shelf panel assy</v>
      </c>
      <c r="F7187" t="s">
        <v>7316</v>
      </c>
    </row>
    <row r="7188" spans="1:6" x14ac:dyDescent="0.15">
      <c r="A7188">
        <v>8416410</v>
      </c>
      <c r="B7188">
        <v>8416068</v>
      </c>
      <c r="C7188" t="s">
        <v>8</v>
      </c>
      <c r="D7188" t="s">
        <v>8</v>
      </c>
      <c r="E7188" s="4" t="str">
        <f>HYPERLINK("https://ibp.a2mac1.com/costing(costing:projects/details/9760/assembly/8416410)","Shelf panel")</f>
        <v>Shelf panel</v>
      </c>
      <c r="F7188" t="s">
        <v>7413</v>
      </c>
    </row>
    <row r="7189" spans="1:6" x14ac:dyDescent="0.15">
      <c r="A7189">
        <v>8416582</v>
      </c>
      <c r="B7189">
        <v>8416410</v>
      </c>
      <c r="C7189" t="s">
        <v>10</v>
      </c>
      <c r="D7189" t="s">
        <v>8</v>
      </c>
      <c r="E7189" s="4" t="str">
        <f>HYPERLINK("https://ibp.a2mac1.com/costing(costing:projects/details/9760/part/8416582)","Part 01 (single/main)")</f>
        <v>Part 01 (single/main)</v>
      </c>
      <c r="F7189" t="s">
        <v>7414</v>
      </c>
    </row>
    <row r="7190" spans="1:6" x14ac:dyDescent="0.15">
      <c r="A7190">
        <v>12085997</v>
      </c>
      <c r="B7190">
        <v>8416582</v>
      </c>
      <c r="C7190" t="s">
        <v>114</v>
      </c>
      <c r="D7190" t="s">
        <v>10</v>
      </c>
      <c r="E7190" s="4" t="str">
        <f>HYPERLINK("https://ibp.a2mac1.com/costing(costing:projects/details/9760/process/12085997)","MANUFACTURING  PROCESS")</f>
        <v>MANUFACTURING  PROCESS</v>
      </c>
      <c r="F7190" t="s">
        <v>7415</v>
      </c>
    </row>
    <row r="7191" spans="1:6" x14ac:dyDescent="0.15">
      <c r="A7191">
        <v>8755610</v>
      </c>
      <c r="B7191">
        <v>12085997</v>
      </c>
      <c r="C7191" t="s">
        <v>22</v>
      </c>
      <c r="D7191" t="s">
        <v>114</v>
      </c>
      <c r="E7191" s="4" t="str">
        <f>HYPERLINK("https://ibp.a2mac1.com/costing(costing:projects/details/9760/material/8755610)","Aluminum sheet body (default, e.g. EN-AW6063)")</f>
        <v>Aluminum sheet body (default, e.g. EN-AW6063)</v>
      </c>
      <c r="F7191" t="s">
        <v>7418</v>
      </c>
    </row>
    <row r="7192" spans="1:6" x14ac:dyDescent="0.15">
      <c r="A7192">
        <v>12213155</v>
      </c>
      <c r="B7192">
        <v>12085997</v>
      </c>
      <c r="C7192" t="s">
        <v>163</v>
      </c>
      <c r="D7192" t="s">
        <v>114</v>
      </c>
      <c r="E7192" s="4" t="str">
        <f>HYPERLINK("https://ibp.a2mac1.com/costing(costing:projects/details/9760/equipment/12213155)","Manufacturing Equipment")</f>
        <v>Manufacturing Equipment</v>
      </c>
      <c r="F7192" t="s">
        <v>7418</v>
      </c>
    </row>
    <row r="7193" spans="1:6" x14ac:dyDescent="0.15">
      <c r="A7193">
        <v>8416583</v>
      </c>
      <c r="B7193">
        <v>8416410</v>
      </c>
      <c r="C7193" t="s">
        <v>10</v>
      </c>
      <c r="D7193" t="s">
        <v>8</v>
      </c>
      <c r="E7193" s="4" t="str">
        <f>HYPERLINK("https://ibp.a2mac1.com/costing(costing:projects/details/9760/part/8416583)","Part 02")</f>
        <v>Part 02</v>
      </c>
      <c r="F7193" t="s">
        <v>7414</v>
      </c>
    </row>
    <row r="7194" spans="1:6" x14ac:dyDescent="0.15">
      <c r="A7194">
        <v>12085998</v>
      </c>
      <c r="B7194">
        <v>8416583</v>
      </c>
      <c r="C7194" t="s">
        <v>114</v>
      </c>
      <c r="D7194" t="s">
        <v>10</v>
      </c>
      <c r="E7194" s="4" t="str">
        <f>HYPERLINK("https://ibp.a2mac1.com/costing(costing:projects/details/9760/process/12085998)","MANUFACTURING  PROCESS")</f>
        <v>MANUFACTURING  PROCESS</v>
      </c>
      <c r="F7194" t="s">
        <v>7420</v>
      </c>
    </row>
    <row r="7195" spans="1:6" x14ac:dyDescent="0.15">
      <c r="A7195">
        <v>8755611</v>
      </c>
      <c r="B7195">
        <v>12085998</v>
      </c>
      <c r="C7195" t="s">
        <v>22</v>
      </c>
      <c r="D7195" t="s">
        <v>114</v>
      </c>
      <c r="E7195" s="4" t="str">
        <f>HYPERLINK("https://ibp.a2mac1.com/costing(costing:projects/details/9760/material/8755611)","Standard Structural Steel sheet")</f>
        <v>Standard Structural Steel sheet</v>
      </c>
      <c r="F7195" t="s">
        <v>7423</v>
      </c>
    </row>
    <row r="7196" spans="1:6" x14ac:dyDescent="0.15">
      <c r="A7196">
        <v>12213156</v>
      </c>
      <c r="B7196">
        <v>12085998</v>
      </c>
      <c r="C7196" t="s">
        <v>163</v>
      </c>
      <c r="D7196" t="s">
        <v>114</v>
      </c>
      <c r="E7196" s="4" t="str">
        <f>HYPERLINK("https://ibp.a2mac1.com/costing(costing:projects/details/9760/equipment/12213156)","Manufacturing Equipment")</f>
        <v>Manufacturing Equipment</v>
      </c>
      <c r="F7196" t="s">
        <v>7423</v>
      </c>
    </row>
    <row r="7197" spans="1:6" x14ac:dyDescent="0.15">
      <c r="A7197">
        <v>8416411</v>
      </c>
      <c r="B7197">
        <v>8416068</v>
      </c>
      <c r="C7197" t="s">
        <v>8</v>
      </c>
      <c r="D7197" t="s">
        <v>8</v>
      </c>
      <c r="E7197" s="4" t="str">
        <f>HYPERLINK("https://ibp.a2mac1.com/costing(costing:projects/details/9760/assembly/8416411)","Reinforcements")</f>
        <v>Reinforcements</v>
      </c>
      <c r="F7197" t="s">
        <v>7413</v>
      </c>
    </row>
    <row r="7198" spans="1:6" x14ac:dyDescent="0.15">
      <c r="A7198">
        <v>8416584</v>
      </c>
      <c r="B7198">
        <v>8416411</v>
      </c>
      <c r="C7198" t="s">
        <v>10</v>
      </c>
      <c r="D7198" t="s">
        <v>8</v>
      </c>
      <c r="E7198" s="4" t="str">
        <f>HYPERLINK("https://ibp.a2mac1.com/costing(costing:projects/details/9760/part/8416584)","Part 01 (single/main)")</f>
        <v>Part 01 (single/main)</v>
      </c>
      <c r="F7198" t="s">
        <v>7426</v>
      </c>
    </row>
    <row r="7199" spans="1:6" x14ac:dyDescent="0.15">
      <c r="A7199">
        <v>12085999</v>
      </c>
      <c r="B7199">
        <v>8416584</v>
      </c>
      <c r="C7199" t="s">
        <v>114</v>
      </c>
      <c r="D7199" t="s">
        <v>10</v>
      </c>
      <c r="E7199" s="4" t="str">
        <f>HYPERLINK("https://ibp.a2mac1.com/costing(costing:projects/details/9760/process/12085999)","MANUFACTURING  PROCESS")</f>
        <v>MANUFACTURING  PROCESS</v>
      </c>
      <c r="F7199" t="s">
        <v>7427</v>
      </c>
    </row>
    <row r="7200" spans="1:6" x14ac:dyDescent="0.15">
      <c r="A7200">
        <v>8755612</v>
      </c>
      <c r="B7200">
        <v>12085999</v>
      </c>
      <c r="C7200" t="s">
        <v>22</v>
      </c>
      <c r="D7200" t="s">
        <v>114</v>
      </c>
      <c r="E7200" s="4" t="str">
        <f>HYPERLINK("https://ibp.a2mac1.com/costing(costing:projects/details/9760/material/8755612)","Standard Structural Steel sheet")</f>
        <v>Standard Structural Steel sheet</v>
      </c>
      <c r="F7200" t="s">
        <v>7429</v>
      </c>
    </row>
    <row r="7201" spans="1:6" x14ac:dyDescent="0.15">
      <c r="A7201">
        <v>12213157</v>
      </c>
      <c r="B7201">
        <v>12085999</v>
      </c>
      <c r="C7201" t="s">
        <v>163</v>
      </c>
      <c r="D7201" t="s">
        <v>114</v>
      </c>
      <c r="E7201" s="4" t="str">
        <f>HYPERLINK("https://ibp.a2mac1.com/costing(costing:projects/details/9760/equipment/12213157)","Manufacturing Equipment")</f>
        <v>Manufacturing Equipment</v>
      </c>
      <c r="F7201" t="s">
        <v>7429</v>
      </c>
    </row>
    <row r="7202" spans="1:6" x14ac:dyDescent="0.15">
      <c r="A7202">
        <v>8416585</v>
      </c>
      <c r="B7202">
        <v>8416411</v>
      </c>
      <c r="C7202" t="s">
        <v>10</v>
      </c>
      <c r="D7202" t="s">
        <v>8</v>
      </c>
      <c r="E7202" s="4" t="str">
        <f>HYPERLINK("https://ibp.a2mac1.com/costing(costing:projects/details/9760/part/8416585)","Part 02")</f>
        <v>Part 02</v>
      </c>
      <c r="F7202" t="s">
        <v>7426</v>
      </c>
    </row>
    <row r="7203" spans="1:6" x14ac:dyDescent="0.15">
      <c r="A7203">
        <v>12086000</v>
      </c>
      <c r="B7203">
        <v>8416585</v>
      </c>
      <c r="C7203" t="s">
        <v>114</v>
      </c>
      <c r="D7203" t="s">
        <v>10</v>
      </c>
      <c r="E7203" s="4" t="str">
        <f>HYPERLINK("https://ibp.a2mac1.com/costing(costing:projects/details/9760/process/12086000)","MANUFACTURING  PROCESS")</f>
        <v>MANUFACTURING  PROCESS</v>
      </c>
      <c r="F7203" t="s">
        <v>7431</v>
      </c>
    </row>
    <row r="7204" spans="1:6" x14ac:dyDescent="0.15">
      <c r="A7204">
        <v>8755613</v>
      </c>
      <c r="B7204">
        <v>12086000</v>
      </c>
      <c r="C7204" t="s">
        <v>22</v>
      </c>
      <c r="D7204" t="s">
        <v>114</v>
      </c>
      <c r="E7204" s="4" t="str">
        <f>HYPERLINK("https://ibp.a2mac1.com/costing(costing:projects/details/9760/material/8755613)","Standard Structural Steel sheet")</f>
        <v>Standard Structural Steel sheet</v>
      </c>
      <c r="F7204" t="s">
        <v>7433</v>
      </c>
    </row>
    <row r="7205" spans="1:6" x14ac:dyDescent="0.15">
      <c r="A7205">
        <v>12213158</v>
      </c>
      <c r="B7205">
        <v>12086000</v>
      </c>
      <c r="C7205" t="s">
        <v>163</v>
      </c>
      <c r="D7205" t="s">
        <v>114</v>
      </c>
      <c r="E7205" s="4" t="str">
        <f>HYPERLINK("https://ibp.a2mac1.com/costing(costing:projects/details/9760/equipment/12213158)","Manufacturing Equipment")</f>
        <v>Manufacturing Equipment</v>
      </c>
      <c r="F7205" t="s">
        <v>7433</v>
      </c>
    </row>
    <row r="7206" spans="1:6" x14ac:dyDescent="0.15">
      <c r="A7206">
        <v>8416586</v>
      </c>
      <c r="B7206">
        <v>8416411</v>
      </c>
      <c r="C7206" t="s">
        <v>10</v>
      </c>
      <c r="D7206" t="s">
        <v>8</v>
      </c>
      <c r="E7206" s="4" t="str">
        <f>HYPERLINK("https://ibp.a2mac1.com/costing(costing:projects/details/9760/part/8416586)","Part 03")</f>
        <v>Part 03</v>
      </c>
      <c r="F7206" t="s">
        <v>7426</v>
      </c>
    </row>
    <row r="7207" spans="1:6" x14ac:dyDescent="0.15">
      <c r="A7207">
        <v>12086001</v>
      </c>
      <c r="B7207">
        <v>8416586</v>
      </c>
      <c r="C7207" t="s">
        <v>114</v>
      </c>
      <c r="D7207" t="s">
        <v>10</v>
      </c>
      <c r="E7207" s="4" t="str">
        <f>HYPERLINK("https://ibp.a2mac1.com/costing(costing:projects/details/9760/process/12086001)","MANUFACTURING  PROCESS")</f>
        <v>MANUFACTURING  PROCESS</v>
      </c>
      <c r="F7207" t="s">
        <v>7435</v>
      </c>
    </row>
    <row r="7208" spans="1:6" x14ac:dyDescent="0.15">
      <c r="A7208">
        <v>8755614</v>
      </c>
      <c r="B7208">
        <v>12086001</v>
      </c>
      <c r="C7208" t="s">
        <v>22</v>
      </c>
      <c r="D7208" t="s">
        <v>114</v>
      </c>
      <c r="E7208" s="4" t="str">
        <f>HYPERLINK("https://ibp.a2mac1.com/costing(costing:projects/details/9760/material/8755614)","Standard Structural Steel sheet")</f>
        <v>Standard Structural Steel sheet</v>
      </c>
      <c r="F7208" t="s">
        <v>7437</v>
      </c>
    </row>
    <row r="7209" spans="1:6" x14ac:dyDescent="0.15">
      <c r="A7209">
        <v>12213215</v>
      </c>
      <c r="B7209">
        <v>12086001</v>
      </c>
      <c r="C7209" t="s">
        <v>163</v>
      </c>
      <c r="D7209" t="s">
        <v>114</v>
      </c>
      <c r="E7209" s="4" t="str">
        <f>HYPERLINK("https://ibp.a2mac1.com/costing(costing:projects/details/9760/equipment/12213215)","Manufacturing Equipment")</f>
        <v>Manufacturing Equipment</v>
      </c>
      <c r="F7209" t="s">
        <v>7437</v>
      </c>
    </row>
    <row r="7210" spans="1:6" x14ac:dyDescent="0.15">
      <c r="A7210">
        <v>8416412</v>
      </c>
      <c r="B7210">
        <v>8416068</v>
      </c>
      <c r="C7210" t="s">
        <v>8</v>
      </c>
      <c r="D7210" t="s">
        <v>8</v>
      </c>
      <c r="E7210" s="4" t="str">
        <f>HYPERLINK("https://ibp.a2mac1.com/costing(costing:projects/details/9760/assembly/8416412)","Gussets")</f>
        <v>Gussets</v>
      </c>
      <c r="F7210" t="s">
        <v>7413</v>
      </c>
    </row>
    <row r="7211" spans="1:6" x14ac:dyDescent="0.15">
      <c r="A7211">
        <v>8416587</v>
      </c>
      <c r="B7211">
        <v>8416412</v>
      </c>
      <c r="C7211" t="s">
        <v>10</v>
      </c>
      <c r="D7211" t="s">
        <v>8</v>
      </c>
      <c r="E7211" s="4" t="str">
        <f>HYPERLINK("https://ibp.a2mac1.com/costing(costing:projects/details/9760/part/8416587)","Part 01 (single/main)")</f>
        <v>Part 01 (single/main)</v>
      </c>
      <c r="F7211" t="s">
        <v>7440</v>
      </c>
    </row>
    <row r="7212" spans="1:6" x14ac:dyDescent="0.15">
      <c r="A7212">
        <v>12086002</v>
      </c>
      <c r="B7212">
        <v>8416587</v>
      </c>
      <c r="C7212" t="s">
        <v>114</v>
      </c>
      <c r="D7212" t="s">
        <v>10</v>
      </c>
      <c r="E7212" s="4" t="str">
        <f>HYPERLINK("https://ibp.a2mac1.com/costing(costing:projects/details/9760/process/12086002)","MANUFACTURING  PROCESS")</f>
        <v>MANUFACTURING  PROCESS</v>
      </c>
      <c r="F7212" t="s">
        <v>7441</v>
      </c>
    </row>
    <row r="7213" spans="1:6" x14ac:dyDescent="0.15">
      <c r="A7213">
        <v>8755615</v>
      </c>
      <c r="B7213">
        <v>12086002</v>
      </c>
      <c r="C7213" t="s">
        <v>22</v>
      </c>
      <c r="D7213" t="s">
        <v>114</v>
      </c>
      <c r="E7213" s="4" t="str">
        <f>HYPERLINK("https://ibp.a2mac1.com/costing(costing:projects/details/9760/material/8755615)","Standard Structural Steel sheet")</f>
        <v>Standard Structural Steel sheet</v>
      </c>
      <c r="F7213" t="s">
        <v>7444</v>
      </c>
    </row>
    <row r="7214" spans="1:6" x14ac:dyDescent="0.15">
      <c r="A7214">
        <v>12213216</v>
      </c>
      <c r="B7214">
        <v>12086002</v>
      </c>
      <c r="C7214" t="s">
        <v>163</v>
      </c>
      <c r="D7214" t="s">
        <v>114</v>
      </c>
      <c r="E7214" s="4" t="str">
        <f>HYPERLINK("https://ibp.a2mac1.com/costing(costing:projects/details/9760/equipment/12213216)","Manufacturing Equipment")</f>
        <v>Manufacturing Equipment</v>
      </c>
      <c r="F7214" t="s">
        <v>7444</v>
      </c>
    </row>
    <row r="7215" spans="1:6" x14ac:dyDescent="0.15">
      <c r="A7215">
        <v>8416413</v>
      </c>
      <c r="B7215">
        <v>8416068</v>
      </c>
      <c r="C7215" t="s">
        <v>8</v>
      </c>
      <c r="D7215" t="s">
        <v>8</v>
      </c>
      <c r="E7215" s="4" t="str">
        <f>HYPERLINK("https://ibp.a2mac1.com/costing(costing:projects/details/9760/assembly/8416413)","Front cross member")</f>
        <v>Front cross member</v>
      </c>
      <c r="F7215" t="s">
        <v>7413</v>
      </c>
    </row>
    <row r="7216" spans="1:6" x14ac:dyDescent="0.15">
      <c r="A7216">
        <v>8416588</v>
      </c>
      <c r="B7216">
        <v>8416413</v>
      </c>
      <c r="C7216" t="s">
        <v>8</v>
      </c>
      <c r="D7216" t="s">
        <v>8</v>
      </c>
      <c r="E7216" s="4" t="str">
        <f>HYPERLINK("https://ibp.a2mac1.com/costing(costing:projects/details/9760/assembly/8416588)","Cross member")</f>
        <v>Cross member</v>
      </c>
      <c r="F7216" t="s">
        <v>7447</v>
      </c>
    </row>
    <row r="7217" spans="1:6" x14ac:dyDescent="0.15">
      <c r="A7217">
        <v>8416879</v>
      </c>
      <c r="B7217">
        <v>8416588</v>
      </c>
      <c r="C7217" t="s">
        <v>10</v>
      </c>
      <c r="D7217" t="s">
        <v>8</v>
      </c>
      <c r="E7217" s="4" t="str">
        <f>HYPERLINK("https://ibp.a2mac1.com/costing(costing:projects/details/9760/part/8416879)","Part 01 (single/main)")</f>
        <v>Part 01 (single/main)</v>
      </c>
      <c r="F7217" t="s">
        <v>7448</v>
      </c>
    </row>
    <row r="7218" spans="1:6" x14ac:dyDescent="0.15">
      <c r="A7218">
        <v>12086199</v>
      </c>
      <c r="B7218">
        <v>8416879</v>
      </c>
      <c r="C7218" t="s">
        <v>114</v>
      </c>
      <c r="D7218" t="s">
        <v>10</v>
      </c>
      <c r="E7218" s="4" t="str">
        <f>HYPERLINK("https://ibp.a2mac1.com/costing(costing:projects/details/9760/process/12086199)","MANUFACTURING  PROCESS")</f>
        <v>MANUFACTURING  PROCESS</v>
      </c>
      <c r="F7218" t="s">
        <v>7449</v>
      </c>
    </row>
    <row r="7219" spans="1:6" x14ac:dyDescent="0.15">
      <c r="A7219">
        <v>8755785</v>
      </c>
      <c r="B7219">
        <v>12086199</v>
      </c>
      <c r="C7219" t="s">
        <v>22</v>
      </c>
      <c r="D7219" t="s">
        <v>114</v>
      </c>
      <c r="E7219" s="4" t="str">
        <f>HYPERLINK("https://ibp.a2mac1.com/costing(costing:projects/details/9760/material/8755785)","Aluminum sheet body (default, e.g. EN-AW6063)")</f>
        <v>Aluminum sheet body (default, e.g. EN-AW6063)</v>
      </c>
      <c r="F7219" t="s">
        <v>7452</v>
      </c>
    </row>
    <row r="7220" spans="1:6" x14ac:dyDescent="0.15">
      <c r="A7220">
        <v>12213332</v>
      </c>
      <c r="B7220">
        <v>12086199</v>
      </c>
      <c r="C7220" t="s">
        <v>163</v>
      </c>
      <c r="D7220" t="s">
        <v>114</v>
      </c>
      <c r="E7220" s="4" t="str">
        <f>HYPERLINK("https://ibp.a2mac1.com/costing(costing:projects/details/9760/equipment/12213332)","Manufacturing Equipment")</f>
        <v>Manufacturing Equipment</v>
      </c>
      <c r="F7220" t="s">
        <v>7452</v>
      </c>
    </row>
    <row r="7221" spans="1:6" x14ac:dyDescent="0.15">
      <c r="A7221">
        <v>8416589</v>
      </c>
      <c r="B7221">
        <v>8416413</v>
      </c>
      <c r="C7221" t="s">
        <v>8</v>
      </c>
      <c r="D7221" t="s">
        <v>8</v>
      </c>
      <c r="E7221" s="4" t="str">
        <f>HYPERLINK("https://ibp.a2mac1.com/costing(costing:projects/details/9760/assembly/8416589)","Reinforcements")</f>
        <v>Reinforcements</v>
      </c>
      <c r="F7221" t="s">
        <v>7447</v>
      </c>
    </row>
    <row r="7222" spans="1:6" x14ac:dyDescent="0.15">
      <c r="A7222">
        <v>8416880</v>
      </c>
      <c r="B7222">
        <v>8416589</v>
      </c>
      <c r="C7222" t="s">
        <v>10</v>
      </c>
      <c r="D7222" t="s">
        <v>8</v>
      </c>
      <c r="E7222" s="4" t="str">
        <f>HYPERLINK("https://ibp.a2mac1.com/costing(costing:projects/details/9760/part/8416880)","Part 01 (single/main)")</f>
        <v>Part 01 (single/main)</v>
      </c>
      <c r="F7222" t="s">
        <v>7455</v>
      </c>
    </row>
    <row r="7223" spans="1:6" x14ac:dyDescent="0.15">
      <c r="A7223">
        <v>12086200</v>
      </c>
      <c r="B7223">
        <v>8416880</v>
      </c>
      <c r="C7223" t="s">
        <v>114</v>
      </c>
      <c r="D7223" t="s">
        <v>10</v>
      </c>
      <c r="E7223" s="4" t="str">
        <f>HYPERLINK("https://ibp.a2mac1.com/costing(costing:projects/details/9760/process/12086200)","MANUFACTURING  PROCESS")</f>
        <v>MANUFACTURING  PROCESS</v>
      </c>
      <c r="F7223" t="s">
        <v>7456</v>
      </c>
    </row>
    <row r="7224" spans="1:6" x14ac:dyDescent="0.15">
      <c r="A7224">
        <v>8755786</v>
      </c>
      <c r="B7224">
        <v>12086200</v>
      </c>
      <c r="C7224" t="s">
        <v>22</v>
      </c>
      <c r="D7224" t="s">
        <v>114</v>
      </c>
      <c r="E7224" s="4" t="str">
        <f>HYPERLINK("https://ibp.a2mac1.com/costing(costing:projects/details/9760/material/8755786)","Standard Structural Steel sheet")</f>
        <v>Standard Structural Steel sheet</v>
      </c>
      <c r="F7224" t="s">
        <v>7458</v>
      </c>
    </row>
    <row r="7225" spans="1:6" x14ac:dyDescent="0.15">
      <c r="A7225">
        <v>12213333</v>
      </c>
      <c r="B7225">
        <v>12086200</v>
      </c>
      <c r="C7225" t="s">
        <v>163</v>
      </c>
      <c r="D7225" t="s">
        <v>114</v>
      </c>
      <c r="E7225" s="4" t="str">
        <f>HYPERLINK("https://ibp.a2mac1.com/costing(costing:projects/details/9760/equipment/12213333)","Manufacturing Equipment")</f>
        <v>Manufacturing Equipment</v>
      </c>
      <c r="F7225" t="s">
        <v>7458</v>
      </c>
    </row>
    <row r="7226" spans="1:6" x14ac:dyDescent="0.15">
      <c r="A7226">
        <v>8416414</v>
      </c>
      <c r="B7226">
        <v>8416068</v>
      </c>
      <c r="C7226" t="s">
        <v>8</v>
      </c>
      <c r="D7226" t="s">
        <v>8</v>
      </c>
      <c r="E7226" s="4" t="str">
        <f>HYPERLINK("https://ibp.a2mac1.com/costing(costing:projects/details/9760/assembly/8416414)","Rear cross member")</f>
        <v>Rear cross member</v>
      </c>
      <c r="F7226" t="s">
        <v>7413</v>
      </c>
    </row>
    <row r="7227" spans="1:6" x14ac:dyDescent="0.15">
      <c r="A7227">
        <v>8416590</v>
      </c>
      <c r="B7227">
        <v>8416414</v>
      </c>
      <c r="C7227" t="s">
        <v>8</v>
      </c>
      <c r="D7227" t="s">
        <v>8</v>
      </c>
      <c r="E7227" s="4" t="str">
        <f>HYPERLINK("https://ibp.a2mac1.com/costing(costing:projects/details/9760/assembly/8416590)","Cross member")</f>
        <v>Cross member</v>
      </c>
      <c r="F7227" t="s">
        <v>7462</v>
      </c>
    </row>
    <row r="7228" spans="1:6" x14ac:dyDescent="0.15">
      <c r="A7228">
        <v>8416881</v>
      </c>
      <c r="B7228">
        <v>8416590</v>
      </c>
      <c r="C7228" t="s">
        <v>10</v>
      </c>
      <c r="D7228" t="s">
        <v>8</v>
      </c>
      <c r="E7228" s="4" t="str">
        <f>HYPERLINK("https://ibp.a2mac1.com/costing(costing:projects/details/9760/part/8416881)","Part 01 (single/main)")</f>
        <v>Part 01 (single/main)</v>
      </c>
      <c r="F7228" t="s">
        <v>7463</v>
      </c>
    </row>
    <row r="7229" spans="1:6" x14ac:dyDescent="0.15">
      <c r="A7229">
        <v>12086201</v>
      </c>
      <c r="B7229">
        <v>8416881</v>
      </c>
      <c r="C7229" t="s">
        <v>114</v>
      </c>
      <c r="D7229" t="s">
        <v>10</v>
      </c>
      <c r="E7229" s="4" t="str">
        <f>HYPERLINK("https://ibp.a2mac1.com/costing(costing:projects/details/9760/process/12086201)","MANUFACTURING  PROCESS")</f>
        <v>MANUFACTURING  PROCESS</v>
      </c>
      <c r="F7229" t="s">
        <v>7464</v>
      </c>
    </row>
    <row r="7230" spans="1:6" x14ac:dyDescent="0.15">
      <c r="A7230">
        <v>8755787</v>
      </c>
      <c r="B7230">
        <v>12086201</v>
      </c>
      <c r="C7230" t="s">
        <v>22</v>
      </c>
      <c r="D7230" t="s">
        <v>114</v>
      </c>
      <c r="E7230" s="4" t="str">
        <f>HYPERLINK("https://ibp.a2mac1.com/costing(costing:projects/details/9760/material/8755787)","Standard Structural Steel sheet")</f>
        <v>Standard Structural Steel sheet</v>
      </c>
      <c r="F7230" t="s">
        <v>7466</v>
      </c>
    </row>
    <row r="7231" spans="1:6" x14ac:dyDescent="0.15">
      <c r="A7231">
        <v>12213334</v>
      </c>
      <c r="B7231">
        <v>12086201</v>
      </c>
      <c r="C7231" t="s">
        <v>163</v>
      </c>
      <c r="D7231" t="s">
        <v>114</v>
      </c>
      <c r="E7231" s="4" t="str">
        <f>HYPERLINK("https://ibp.a2mac1.com/costing(costing:projects/details/9760/equipment/12213334)","Manufacturing Equipment")</f>
        <v>Manufacturing Equipment</v>
      </c>
      <c r="F7231" t="s">
        <v>7466</v>
      </c>
    </row>
    <row r="7232" spans="1:6" x14ac:dyDescent="0.15">
      <c r="A7232">
        <v>8416415</v>
      </c>
      <c r="B7232">
        <v>8416068</v>
      </c>
      <c r="C7232" t="s">
        <v>8</v>
      </c>
      <c r="D7232" t="s">
        <v>8</v>
      </c>
      <c r="E7232" s="4" t="str">
        <f>HYPERLINK("https://ibp.a2mac1.com/costing(costing:projects/details/9760/assembly/8416415)","Fixing parts")</f>
        <v>Fixing parts</v>
      </c>
      <c r="F7232" t="s">
        <v>7413</v>
      </c>
    </row>
    <row r="7233" spans="1:6" x14ac:dyDescent="0.15">
      <c r="A7233">
        <v>8416591</v>
      </c>
      <c r="B7233">
        <v>8416415</v>
      </c>
      <c r="C7233" t="s">
        <v>10</v>
      </c>
      <c r="D7233" t="s">
        <v>8</v>
      </c>
      <c r="E7233" s="4" t="str">
        <f>HYPERLINK("https://ibp.a2mac1.com/costing(costing:projects/details/9760/part/8416591)","Part 01 (single/main)")</f>
        <v>Part 01 (single/main)</v>
      </c>
      <c r="F7233" t="s">
        <v>7470</v>
      </c>
    </row>
    <row r="7234" spans="1:6" x14ac:dyDescent="0.15">
      <c r="A7234">
        <v>12086027</v>
      </c>
      <c r="B7234">
        <v>8416591</v>
      </c>
      <c r="C7234" t="s">
        <v>114</v>
      </c>
      <c r="D7234" t="s">
        <v>10</v>
      </c>
      <c r="E7234" s="4" t="str">
        <f>HYPERLINK("https://ibp.a2mac1.com/costing(costing:projects/details/9760/process/12086027)","MANUFACTURING  PROCESS")</f>
        <v>MANUFACTURING  PROCESS</v>
      </c>
      <c r="F7234" t="s">
        <v>7471</v>
      </c>
    </row>
    <row r="7235" spans="1:6" x14ac:dyDescent="0.15">
      <c r="A7235">
        <v>8755616</v>
      </c>
      <c r="B7235">
        <v>12086027</v>
      </c>
      <c r="C7235" t="s">
        <v>22</v>
      </c>
      <c r="D7235" t="s">
        <v>114</v>
      </c>
      <c r="E7235" s="4" t="str">
        <f>HYPERLINK("https://ibp.a2mac1.com/costing(costing:projects/details/9760/material/8755616)","Aluminum sheet body (default, e.g. EN-AW6063)")</f>
        <v>Aluminum sheet body (default, e.g. EN-AW6063)</v>
      </c>
      <c r="F7235" t="s">
        <v>7474</v>
      </c>
    </row>
    <row r="7236" spans="1:6" x14ac:dyDescent="0.15">
      <c r="A7236">
        <v>12213217</v>
      </c>
      <c r="B7236">
        <v>12086027</v>
      </c>
      <c r="C7236" t="s">
        <v>163</v>
      </c>
      <c r="D7236" t="s">
        <v>114</v>
      </c>
      <c r="E7236" s="4" t="str">
        <f>HYPERLINK("https://ibp.a2mac1.com/costing(costing:projects/details/9760/equipment/12213217)","Manufacturing Equipment")</f>
        <v>Manufacturing Equipment</v>
      </c>
      <c r="F7236" t="s">
        <v>7474</v>
      </c>
    </row>
    <row r="7237" spans="1:6" x14ac:dyDescent="0.15">
      <c r="A7237">
        <v>8416592</v>
      </c>
      <c r="B7237">
        <v>8416415</v>
      </c>
      <c r="C7237" t="s">
        <v>10</v>
      </c>
      <c r="D7237" t="s">
        <v>8</v>
      </c>
      <c r="E7237" s="4" t="str">
        <f>HYPERLINK("https://ibp.a2mac1.com/costing(costing:projects/details/9760/part/8416592)","Part 02")</f>
        <v>Part 02</v>
      </c>
      <c r="F7237" t="s">
        <v>7470</v>
      </c>
    </row>
    <row r="7238" spans="1:6" x14ac:dyDescent="0.15">
      <c r="A7238">
        <v>12086028</v>
      </c>
      <c r="B7238">
        <v>8416592</v>
      </c>
      <c r="C7238" t="s">
        <v>114</v>
      </c>
      <c r="D7238" t="s">
        <v>10</v>
      </c>
      <c r="E7238" s="4" t="str">
        <f>HYPERLINK("https://ibp.a2mac1.com/costing(costing:projects/details/9760/process/12086028)","MANUFACTURING  PROCESS")</f>
        <v>MANUFACTURING  PROCESS</v>
      </c>
      <c r="F7238" t="s">
        <v>7476</v>
      </c>
    </row>
    <row r="7239" spans="1:6" x14ac:dyDescent="0.15">
      <c r="A7239">
        <v>8755617</v>
      </c>
      <c r="B7239">
        <v>12086028</v>
      </c>
      <c r="C7239" t="s">
        <v>22</v>
      </c>
      <c r="D7239" t="s">
        <v>114</v>
      </c>
      <c r="E7239" s="4" t="str">
        <f>HYPERLINK("https://ibp.a2mac1.com/costing(costing:projects/details/9760/material/8755617)","Standard Structural Steel sheet")</f>
        <v>Standard Structural Steel sheet</v>
      </c>
      <c r="F7239" t="s">
        <v>7478</v>
      </c>
    </row>
    <row r="7240" spans="1:6" x14ac:dyDescent="0.15">
      <c r="A7240">
        <v>12213218</v>
      </c>
      <c r="B7240">
        <v>12086028</v>
      </c>
      <c r="C7240" t="s">
        <v>163</v>
      </c>
      <c r="D7240" t="s">
        <v>114</v>
      </c>
      <c r="E7240" s="4" t="str">
        <f>HYPERLINK("https://ibp.a2mac1.com/costing(costing:projects/details/9760/equipment/12213218)","Manufacturing Equipment")</f>
        <v>Manufacturing Equipment</v>
      </c>
      <c r="F7240" t="s">
        <v>7478</v>
      </c>
    </row>
    <row r="7241" spans="1:6" x14ac:dyDescent="0.15">
      <c r="A7241">
        <v>8416593</v>
      </c>
      <c r="B7241">
        <v>8416415</v>
      </c>
      <c r="C7241" t="s">
        <v>10</v>
      </c>
      <c r="D7241" t="s">
        <v>8</v>
      </c>
      <c r="E7241" s="4" t="str">
        <f>HYPERLINK("https://ibp.a2mac1.com/costing(costing:projects/details/9760/part/8416593)","Part 03")</f>
        <v>Part 03</v>
      </c>
      <c r="F7241" t="s">
        <v>7470</v>
      </c>
    </row>
    <row r="7242" spans="1:6" x14ac:dyDescent="0.15">
      <c r="A7242">
        <v>12086029</v>
      </c>
      <c r="B7242">
        <v>8416593</v>
      </c>
      <c r="C7242" t="s">
        <v>114</v>
      </c>
      <c r="D7242" t="s">
        <v>10</v>
      </c>
      <c r="E7242" s="4" t="str">
        <f>HYPERLINK("https://ibp.a2mac1.com/costing(costing:projects/details/9760/process/12086029)","MANUFACTURING  PROCESS")</f>
        <v>MANUFACTURING  PROCESS</v>
      </c>
      <c r="F7242" t="s">
        <v>7480</v>
      </c>
    </row>
    <row r="7243" spans="1:6" x14ac:dyDescent="0.15">
      <c r="A7243">
        <v>8755618</v>
      </c>
      <c r="B7243">
        <v>12086029</v>
      </c>
      <c r="C7243" t="s">
        <v>22</v>
      </c>
      <c r="D7243" t="s">
        <v>114</v>
      </c>
      <c r="E7243" s="4" t="str">
        <f>HYPERLINK("https://ibp.a2mac1.com/costing(costing:projects/details/9760/material/8755618)","Standard Structural Steel sheet")</f>
        <v>Standard Structural Steel sheet</v>
      </c>
      <c r="F7243" t="s">
        <v>7482</v>
      </c>
    </row>
    <row r="7244" spans="1:6" x14ac:dyDescent="0.15">
      <c r="A7244">
        <v>12213219</v>
      </c>
      <c r="B7244">
        <v>12086029</v>
      </c>
      <c r="C7244" t="s">
        <v>163</v>
      </c>
      <c r="D7244" t="s">
        <v>114</v>
      </c>
      <c r="E7244" s="4" t="str">
        <f>HYPERLINK("https://ibp.a2mac1.com/costing(costing:projects/details/9760/equipment/12213219)","Manufacturing Equipment")</f>
        <v>Manufacturing Equipment</v>
      </c>
      <c r="F7244" t="s">
        <v>7482</v>
      </c>
    </row>
    <row r="7245" spans="1:6" x14ac:dyDescent="0.15">
      <c r="A7245">
        <v>8416594</v>
      </c>
      <c r="B7245">
        <v>8416415</v>
      </c>
      <c r="C7245" t="s">
        <v>10</v>
      </c>
      <c r="D7245" t="s">
        <v>8</v>
      </c>
      <c r="E7245" s="4" t="str">
        <f>HYPERLINK("https://ibp.a2mac1.com/costing(costing:projects/details/9760/part/8416594)","Part 04")</f>
        <v>Part 04</v>
      </c>
      <c r="F7245" t="s">
        <v>7470</v>
      </c>
    </row>
    <row r="7246" spans="1:6" x14ac:dyDescent="0.15">
      <c r="A7246">
        <v>12086030</v>
      </c>
      <c r="B7246">
        <v>8416594</v>
      </c>
      <c r="C7246" t="s">
        <v>114</v>
      </c>
      <c r="D7246" t="s">
        <v>10</v>
      </c>
      <c r="E7246" s="4" t="str">
        <f>HYPERLINK("https://ibp.a2mac1.com/costing(costing:projects/details/9760/process/12086030)","MANUFACTURING  PROCESS")</f>
        <v>MANUFACTURING  PROCESS</v>
      </c>
      <c r="F7246" t="s">
        <v>7484</v>
      </c>
    </row>
    <row r="7247" spans="1:6" x14ac:dyDescent="0.15">
      <c r="A7247">
        <v>8755619</v>
      </c>
      <c r="B7247">
        <v>12086030</v>
      </c>
      <c r="C7247" t="s">
        <v>22</v>
      </c>
      <c r="D7247" t="s">
        <v>114</v>
      </c>
      <c r="E7247" s="4" t="str">
        <f>HYPERLINK("https://ibp.a2mac1.com/costing(costing:projects/details/9760/material/8755619)","Standard Structural Steel sheet")</f>
        <v>Standard Structural Steel sheet</v>
      </c>
      <c r="F7247" t="s">
        <v>7486</v>
      </c>
    </row>
    <row r="7248" spans="1:6" x14ac:dyDescent="0.15">
      <c r="A7248">
        <v>12213220</v>
      </c>
      <c r="B7248">
        <v>12086030</v>
      </c>
      <c r="C7248" t="s">
        <v>163</v>
      </c>
      <c r="D7248" t="s">
        <v>114</v>
      </c>
      <c r="E7248" s="4" t="str">
        <f>HYPERLINK("https://ibp.a2mac1.com/costing(costing:projects/details/9760/equipment/12213220)","Manufacturing Equipment")</f>
        <v>Manufacturing Equipment</v>
      </c>
      <c r="F7248" t="s">
        <v>7486</v>
      </c>
    </row>
    <row r="7249" spans="1:6" x14ac:dyDescent="0.15">
      <c r="A7249">
        <v>8416069</v>
      </c>
      <c r="B7249">
        <v>8415758</v>
      </c>
      <c r="C7249" t="s">
        <v>8</v>
      </c>
      <c r="D7249" t="s">
        <v>8</v>
      </c>
      <c r="E7249" s="4" t="str">
        <f>HYPERLINK("https://ibp.a2mac1.com/costing(costing:projects/details/9760/assembly/8416069)","Rear panel assy")</f>
        <v>Rear panel assy</v>
      </c>
      <c r="F7249" t="s">
        <v>7316</v>
      </c>
    </row>
    <row r="7250" spans="1:6" x14ac:dyDescent="0.15">
      <c r="A7250">
        <v>8416416</v>
      </c>
      <c r="B7250">
        <v>8416069</v>
      </c>
      <c r="C7250" t="s">
        <v>8</v>
      </c>
      <c r="D7250" t="s">
        <v>8</v>
      </c>
      <c r="E7250" s="4" t="str">
        <f>HYPERLINK("https://ibp.a2mac1.com/costing(costing:projects/details/9760/assembly/8416416)","Outer panel")</f>
        <v>Outer panel</v>
      </c>
      <c r="F7250" t="s">
        <v>7490</v>
      </c>
    </row>
    <row r="7251" spans="1:6" x14ac:dyDescent="0.15">
      <c r="A7251">
        <v>8416595</v>
      </c>
      <c r="B7251">
        <v>8416416</v>
      </c>
      <c r="C7251" t="s">
        <v>10</v>
      </c>
      <c r="D7251" t="s">
        <v>8</v>
      </c>
      <c r="E7251" s="4" t="str">
        <f>HYPERLINK("https://ibp.a2mac1.com/costing(costing:projects/details/9760/part/8416595)","Part 01 (single/main)")</f>
        <v>Part 01 (single/main)</v>
      </c>
      <c r="F7251" t="s">
        <v>7491</v>
      </c>
    </row>
    <row r="7252" spans="1:6" x14ac:dyDescent="0.15">
      <c r="A7252">
        <v>12086031</v>
      </c>
      <c r="B7252">
        <v>8416595</v>
      </c>
      <c r="C7252" t="s">
        <v>114</v>
      </c>
      <c r="D7252" t="s">
        <v>10</v>
      </c>
      <c r="E7252" s="4" t="str">
        <f>HYPERLINK("https://ibp.a2mac1.com/costing(costing:projects/details/9760/process/12086031)","MANUFACTURING  PROCESS")</f>
        <v>MANUFACTURING  PROCESS</v>
      </c>
      <c r="F7252" t="s">
        <v>7492</v>
      </c>
    </row>
    <row r="7253" spans="1:6" x14ac:dyDescent="0.15">
      <c r="A7253">
        <v>8755620</v>
      </c>
      <c r="B7253">
        <v>12086031</v>
      </c>
      <c r="C7253" t="s">
        <v>22</v>
      </c>
      <c r="D7253" t="s">
        <v>114</v>
      </c>
      <c r="E7253" s="4" t="str">
        <f>HYPERLINK("https://ibp.a2mac1.com/costing(costing:projects/details/9760/material/8755620)","Standard Structural Steel sheet")</f>
        <v>Standard Structural Steel sheet</v>
      </c>
      <c r="F7253" t="s">
        <v>7495</v>
      </c>
    </row>
    <row r="7254" spans="1:6" x14ac:dyDescent="0.15">
      <c r="A7254">
        <v>12213221</v>
      </c>
      <c r="B7254">
        <v>12086031</v>
      </c>
      <c r="C7254" t="s">
        <v>163</v>
      </c>
      <c r="D7254" t="s">
        <v>114</v>
      </c>
      <c r="E7254" s="4" t="str">
        <f>HYPERLINK("https://ibp.a2mac1.com/costing(costing:projects/details/9760/equipment/12213221)","Manufacturing Equipment")</f>
        <v>Manufacturing Equipment</v>
      </c>
      <c r="F7254" t="s">
        <v>7495</v>
      </c>
    </row>
    <row r="7255" spans="1:6" x14ac:dyDescent="0.15">
      <c r="A7255">
        <v>8416417</v>
      </c>
      <c r="B7255">
        <v>8416069</v>
      </c>
      <c r="C7255" t="s">
        <v>8</v>
      </c>
      <c r="D7255" t="s">
        <v>8</v>
      </c>
      <c r="E7255" s="4" t="str">
        <f>HYPERLINK("https://ibp.a2mac1.com/costing(costing:projects/details/9760/assembly/8416417)","Inner panel")</f>
        <v>Inner panel</v>
      </c>
      <c r="F7255" t="s">
        <v>7490</v>
      </c>
    </row>
    <row r="7256" spans="1:6" x14ac:dyDescent="0.15">
      <c r="A7256">
        <v>8416596</v>
      </c>
      <c r="B7256">
        <v>8416417</v>
      </c>
      <c r="C7256" t="s">
        <v>10</v>
      </c>
      <c r="D7256" t="s">
        <v>8</v>
      </c>
      <c r="E7256" s="4" t="str">
        <f>HYPERLINK("https://ibp.a2mac1.com/costing(costing:projects/details/9760/part/8416596)","Part 01 (single/main)")</f>
        <v>Part 01 (single/main)</v>
      </c>
      <c r="F7256" t="s">
        <v>7498</v>
      </c>
    </row>
    <row r="7257" spans="1:6" x14ac:dyDescent="0.15">
      <c r="A7257">
        <v>12086032</v>
      </c>
      <c r="B7257">
        <v>8416596</v>
      </c>
      <c r="C7257" t="s">
        <v>114</v>
      </c>
      <c r="D7257" t="s">
        <v>10</v>
      </c>
      <c r="E7257" s="4" t="str">
        <f>HYPERLINK("https://ibp.a2mac1.com/costing(costing:projects/details/9760/process/12086032)","MANUFACTURING  PROCESS")</f>
        <v>MANUFACTURING  PROCESS</v>
      </c>
      <c r="F7257" t="s">
        <v>7499</v>
      </c>
    </row>
    <row r="7258" spans="1:6" x14ac:dyDescent="0.15">
      <c r="A7258">
        <v>8755621</v>
      </c>
      <c r="B7258">
        <v>12086032</v>
      </c>
      <c r="C7258" t="s">
        <v>22</v>
      </c>
      <c r="D7258" t="s">
        <v>114</v>
      </c>
      <c r="E7258" s="4" t="str">
        <f>HYPERLINK("https://ibp.a2mac1.com/costing(costing:projects/details/9760/material/8755621)","Standard Structural Steel sheet")</f>
        <v>Standard Structural Steel sheet</v>
      </c>
      <c r="F7258" t="s">
        <v>7502</v>
      </c>
    </row>
    <row r="7259" spans="1:6" x14ac:dyDescent="0.15">
      <c r="A7259">
        <v>12213222</v>
      </c>
      <c r="B7259">
        <v>12086032</v>
      </c>
      <c r="C7259" t="s">
        <v>163</v>
      </c>
      <c r="D7259" t="s">
        <v>114</v>
      </c>
      <c r="E7259" s="4" t="str">
        <f>HYPERLINK("https://ibp.a2mac1.com/costing(costing:projects/details/9760/equipment/12213222)","Manufacturing Equipment")</f>
        <v>Manufacturing Equipment</v>
      </c>
      <c r="F7259" t="s">
        <v>7502</v>
      </c>
    </row>
    <row r="7260" spans="1:6" x14ac:dyDescent="0.15">
      <c r="A7260">
        <v>8416597</v>
      </c>
      <c r="B7260">
        <v>8416417</v>
      </c>
      <c r="C7260" t="s">
        <v>10</v>
      </c>
      <c r="D7260" t="s">
        <v>8</v>
      </c>
      <c r="E7260" s="4" t="str">
        <f>HYPERLINK("https://ibp.a2mac1.com/costing(costing:projects/details/9760/part/8416597)","Part 02")</f>
        <v>Part 02</v>
      </c>
      <c r="F7260" t="s">
        <v>7498</v>
      </c>
    </row>
    <row r="7261" spans="1:6" x14ac:dyDescent="0.15">
      <c r="A7261">
        <v>12086033</v>
      </c>
      <c r="B7261">
        <v>8416597</v>
      </c>
      <c r="C7261" t="s">
        <v>114</v>
      </c>
      <c r="D7261" t="s">
        <v>10</v>
      </c>
      <c r="E7261" s="4" t="str">
        <f>HYPERLINK("https://ibp.a2mac1.com/costing(costing:projects/details/9760/process/12086033)","MANUFACTURING  PROCESS")</f>
        <v>MANUFACTURING  PROCESS</v>
      </c>
      <c r="F7261" t="s">
        <v>7504</v>
      </c>
    </row>
    <row r="7262" spans="1:6" x14ac:dyDescent="0.15">
      <c r="A7262">
        <v>8755622</v>
      </c>
      <c r="B7262">
        <v>12086033</v>
      </c>
      <c r="C7262" t="s">
        <v>22</v>
      </c>
      <c r="D7262" t="s">
        <v>114</v>
      </c>
      <c r="E7262" s="4" t="str">
        <f>HYPERLINK("https://ibp.a2mac1.com/costing(costing:projects/details/9760/material/8755622)","Standard Structural Steel sheet")</f>
        <v>Standard Structural Steel sheet</v>
      </c>
      <c r="F7262" t="s">
        <v>7507</v>
      </c>
    </row>
    <row r="7263" spans="1:6" x14ac:dyDescent="0.15">
      <c r="A7263">
        <v>12213223</v>
      </c>
      <c r="B7263">
        <v>12086033</v>
      </c>
      <c r="C7263" t="s">
        <v>163</v>
      </c>
      <c r="D7263" t="s">
        <v>114</v>
      </c>
      <c r="E7263" s="4" t="str">
        <f>HYPERLINK("https://ibp.a2mac1.com/costing(costing:projects/details/9760/equipment/12213223)","Manufacturing Equipment")</f>
        <v>Manufacturing Equipment</v>
      </c>
      <c r="F7263" t="s">
        <v>7507</v>
      </c>
    </row>
    <row r="7264" spans="1:6" x14ac:dyDescent="0.15">
      <c r="A7264">
        <v>8416418</v>
      </c>
      <c r="B7264">
        <v>8416069</v>
      </c>
      <c r="C7264" t="s">
        <v>8</v>
      </c>
      <c r="D7264" t="s">
        <v>8</v>
      </c>
      <c r="E7264" s="4" t="str">
        <f>HYPERLINK("https://ibp.a2mac1.com/costing(costing:projects/details/9760/assembly/8416418)","Reinforcements")</f>
        <v>Reinforcements</v>
      </c>
      <c r="F7264" t="s">
        <v>7490</v>
      </c>
    </row>
    <row r="7265" spans="1:6" x14ac:dyDescent="0.15">
      <c r="A7265">
        <v>8416598</v>
      </c>
      <c r="B7265">
        <v>8416418</v>
      </c>
      <c r="C7265" t="s">
        <v>10</v>
      </c>
      <c r="D7265" t="s">
        <v>8</v>
      </c>
      <c r="E7265" s="4" t="str">
        <f>HYPERLINK("https://ibp.a2mac1.com/costing(costing:projects/details/9760/part/8416598)","Part 01 (single/main)")</f>
        <v>Part 01 (single/main)</v>
      </c>
      <c r="F7265" t="s">
        <v>7510</v>
      </c>
    </row>
    <row r="7266" spans="1:6" x14ac:dyDescent="0.15">
      <c r="A7266">
        <v>12086034</v>
      </c>
      <c r="B7266">
        <v>8416598</v>
      </c>
      <c r="C7266" t="s">
        <v>114</v>
      </c>
      <c r="D7266" t="s">
        <v>10</v>
      </c>
      <c r="E7266" s="4" t="str">
        <f>HYPERLINK("https://ibp.a2mac1.com/costing(costing:projects/details/9760/process/12086034)","MANUFACTURING  PROCESS")</f>
        <v>MANUFACTURING  PROCESS</v>
      </c>
      <c r="F7266" t="s">
        <v>7511</v>
      </c>
    </row>
    <row r="7267" spans="1:6" x14ac:dyDescent="0.15">
      <c r="A7267">
        <v>8755623</v>
      </c>
      <c r="B7267">
        <v>12086034</v>
      </c>
      <c r="C7267" t="s">
        <v>22</v>
      </c>
      <c r="D7267" t="s">
        <v>114</v>
      </c>
      <c r="E7267" s="4" t="str">
        <f>HYPERLINK("https://ibp.a2mac1.com/costing(costing:projects/details/9760/material/8755623)","Standard Structural Steel sheet")</f>
        <v>Standard Structural Steel sheet</v>
      </c>
      <c r="F7267" t="s">
        <v>7514</v>
      </c>
    </row>
    <row r="7268" spans="1:6" x14ac:dyDescent="0.15">
      <c r="A7268">
        <v>12213224</v>
      </c>
      <c r="B7268">
        <v>12086034</v>
      </c>
      <c r="C7268" t="s">
        <v>163</v>
      </c>
      <c r="D7268" t="s">
        <v>114</v>
      </c>
      <c r="E7268" s="4" t="str">
        <f>HYPERLINK("https://ibp.a2mac1.com/costing(costing:projects/details/9760/equipment/12213224)","Manufacturing Equipment")</f>
        <v>Manufacturing Equipment</v>
      </c>
      <c r="F7268" t="s">
        <v>7514</v>
      </c>
    </row>
    <row r="7269" spans="1:6" x14ac:dyDescent="0.15">
      <c r="A7269">
        <v>8416419</v>
      </c>
      <c r="B7269">
        <v>8416069</v>
      </c>
      <c r="C7269" t="s">
        <v>8</v>
      </c>
      <c r="D7269" t="s">
        <v>8</v>
      </c>
      <c r="E7269" s="4" t="str">
        <f>HYPERLINK("https://ibp.a2mac1.com/costing(costing:projects/details/9760/assembly/8416419)","Fixing parts")</f>
        <v>Fixing parts</v>
      </c>
      <c r="F7269" t="s">
        <v>7490</v>
      </c>
    </row>
    <row r="7270" spans="1:6" x14ac:dyDescent="0.15">
      <c r="A7270">
        <v>8416599</v>
      </c>
      <c r="B7270">
        <v>8416419</v>
      </c>
      <c r="C7270" t="s">
        <v>10</v>
      </c>
      <c r="D7270" t="s">
        <v>8</v>
      </c>
      <c r="E7270" s="4" t="str">
        <f>HYPERLINK("https://ibp.a2mac1.com/costing(costing:projects/details/9760/part/8416599)","Part 01 (single/main)")</f>
        <v>Part 01 (single/main)</v>
      </c>
      <c r="F7270" t="s">
        <v>7517</v>
      </c>
    </row>
    <row r="7271" spans="1:6" x14ac:dyDescent="0.15">
      <c r="A7271">
        <v>12086035</v>
      </c>
      <c r="B7271">
        <v>8416599</v>
      </c>
      <c r="C7271" t="s">
        <v>114</v>
      </c>
      <c r="D7271" t="s">
        <v>10</v>
      </c>
      <c r="E7271" s="4" t="str">
        <f>HYPERLINK("https://ibp.a2mac1.com/costing(costing:projects/details/9760/process/12086035)","MANUFACTURING  PROCESS")</f>
        <v>MANUFACTURING  PROCESS</v>
      </c>
      <c r="F7271" t="s">
        <v>7518</v>
      </c>
    </row>
    <row r="7272" spans="1:6" x14ac:dyDescent="0.15">
      <c r="A7272">
        <v>8755624</v>
      </c>
      <c r="B7272">
        <v>12086035</v>
      </c>
      <c r="C7272" t="s">
        <v>22</v>
      </c>
      <c r="D7272" t="s">
        <v>114</v>
      </c>
      <c r="E7272" s="4" t="str">
        <f>HYPERLINK("https://ibp.a2mac1.com/costing(costing:projects/details/9760/material/8755624)","Standard Structural Steel sheet")</f>
        <v>Standard Structural Steel sheet</v>
      </c>
      <c r="F7272" t="s">
        <v>7519</v>
      </c>
    </row>
    <row r="7273" spans="1:6" x14ac:dyDescent="0.15">
      <c r="A7273">
        <v>12213225</v>
      </c>
      <c r="B7273">
        <v>12086035</v>
      </c>
      <c r="C7273" t="s">
        <v>163</v>
      </c>
      <c r="D7273" t="s">
        <v>114</v>
      </c>
      <c r="E7273" s="4" t="str">
        <f>HYPERLINK("https://ibp.a2mac1.com/costing(costing:projects/details/9760/equipment/12213225)","Manufacturing Equipment")</f>
        <v>Manufacturing Equipment</v>
      </c>
      <c r="F7273" t="s">
        <v>7519</v>
      </c>
    </row>
    <row r="7274" spans="1:6" x14ac:dyDescent="0.15">
      <c r="A7274">
        <v>8416600</v>
      </c>
      <c r="B7274">
        <v>8416419</v>
      </c>
      <c r="C7274" t="s">
        <v>10</v>
      </c>
      <c r="D7274" t="s">
        <v>8</v>
      </c>
      <c r="E7274" s="4" t="str">
        <f>HYPERLINK("https://ibp.a2mac1.com/costing(costing:projects/details/9760/part/8416600)","Part 02")</f>
        <v>Part 02</v>
      </c>
      <c r="F7274" t="s">
        <v>7517</v>
      </c>
    </row>
    <row r="7275" spans="1:6" x14ac:dyDescent="0.15">
      <c r="A7275">
        <v>12086036</v>
      </c>
      <c r="B7275">
        <v>8416600</v>
      </c>
      <c r="C7275" t="s">
        <v>114</v>
      </c>
      <c r="D7275" t="s">
        <v>10</v>
      </c>
      <c r="E7275" s="4" t="str">
        <f>HYPERLINK("https://ibp.a2mac1.com/costing(costing:projects/details/9760/process/12086036)","MANUFACTURING  PROCESS")</f>
        <v>MANUFACTURING  PROCESS</v>
      </c>
      <c r="F7275" t="s">
        <v>7521</v>
      </c>
    </row>
    <row r="7276" spans="1:6" x14ac:dyDescent="0.15">
      <c r="A7276">
        <v>8755625</v>
      </c>
      <c r="B7276">
        <v>12086036</v>
      </c>
      <c r="C7276" t="s">
        <v>22</v>
      </c>
      <c r="D7276" t="s">
        <v>114</v>
      </c>
      <c r="E7276" s="4" t="str">
        <f>HYPERLINK("https://ibp.a2mac1.com/costing(costing:projects/details/9760/material/8755625)","Standard Structural Steel sheet")</f>
        <v>Standard Structural Steel sheet</v>
      </c>
      <c r="F7276" t="s">
        <v>7523</v>
      </c>
    </row>
    <row r="7277" spans="1:6" x14ac:dyDescent="0.15">
      <c r="A7277">
        <v>12213226</v>
      </c>
      <c r="B7277">
        <v>12086036</v>
      </c>
      <c r="C7277" t="s">
        <v>163</v>
      </c>
      <c r="D7277" t="s">
        <v>114</v>
      </c>
      <c r="E7277" s="4" t="str">
        <f>HYPERLINK("https://ibp.a2mac1.com/costing(costing:projects/details/9760/equipment/12213226)","Manufacturing Equipment")</f>
        <v>Manufacturing Equipment</v>
      </c>
      <c r="F7277" t="s">
        <v>7523</v>
      </c>
    </row>
    <row r="7278" spans="1:6" x14ac:dyDescent="0.15">
      <c r="A7278">
        <v>8416070</v>
      </c>
      <c r="B7278">
        <v>8415758</v>
      </c>
      <c r="C7278" t="s">
        <v>8</v>
      </c>
      <c r="D7278" t="s">
        <v>8</v>
      </c>
      <c r="E7278" s="4" t="str">
        <f>HYPERLINK("https://ibp.a2mac1.com/costing(costing:projects/details/9760/assembly/8416070)","Body side assy")</f>
        <v>Body side assy</v>
      </c>
      <c r="F7278" t="s">
        <v>7316</v>
      </c>
    </row>
    <row r="7279" spans="1:6" x14ac:dyDescent="0.15">
      <c r="A7279">
        <v>8416420</v>
      </c>
      <c r="B7279">
        <v>8416070</v>
      </c>
      <c r="C7279" t="s">
        <v>8</v>
      </c>
      <c r="D7279" t="s">
        <v>8</v>
      </c>
      <c r="E7279" s="4" t="str">
        <f>HYPERLINK("https://ibp.a2mac1.com/costing(costing:projects/details/9760/assembly/8416420)","Outer skin assy")</f>
        <v>Outer skin assy</v>
      </c>
      <c r="F7279" t="s">
        <v>7527</v>
      </c>
    </row>
    <row r="7280" spans="1:6" x14ac:dyDescent="0.15">
      <c r="A7280">
        <v>8416601</v>
      </c>
      <c r="B7280">
        <v>8416420</v>
      </c>
      <c r="C7280" t="s">
        <v>8</v>
      </c>
      <c r="D7280" t="s">
        <v>8</v>
      </c>
      <c r="E7280" s="4" t="str">
        <f>HYPERLINK("https://ibp.a2mac1.com/costing(costing:projects/details/9760/assembly/8416601)","Outer skin")</f>
        <v>Outer skin</v>
      </c>
      <c r="F7280" t="s">
        <v>7528</v>
      </c>
    </row>
    <row r="7281" spans="1:6" x14ac:dyDescent="0.15">
      <c r="A7281">
        <v>8416882</v>
      </c>
      <c r="B7281">
        <v>8416601</v>
      </c>
      <c r="C7281" t="s">
        <v>10</v>
      </c>
      <c r="D7281" t="s">
        <v>8</v>
      </c>
      <c r="E7281" s="4" t="str">
        <f>HYPERLINK("https://ibp.a2mac1.com/costing(costing:projects/details/9760/part/8416882)","Part 01 (single/main/front)")</f>
        <v>Part 01 (single/main/front)</v>
      </c>
      <c r="F7281" t="s">
        <v>7529</v>
      </c>
    </row>
    <row r="7282" spans="1:6" x14ac:dyDescent="0.15">
      <c r="A7282">
        <v>12086202</v>
      </c>
      <c r="B7282">
        <v>8416882</v>
      </c>
      <c r="C7282" t="s">
        <v>114</v>
      </c>
      <c r="D7282" t="s">
        <v>10</v>
      </c>
      <c r="E7282" s="4" t="str">
        <f>HYPERLINK("https://ibp.a2mac1.com/costing(costing:projects/details/9760/process/12086202)","MANUFACTURING  PROCESS")</f>
        <v>MANUFACTURING  PROCESS</v>
      </c>
      <c r="F7282" t="s">
        <v>7530</v>
      </c>
    </row>
    <row r="7283" spans="1:6" x14ac:dyDescent="0.15">
      <c r="A7283">
        <v>8755788</v>
      </c>
      <c r="B7283">
        <v>12086202</v>
      </c>
      <c r="C7283" t="s">
        <v>22</v>
      </c>
      <c r="D7283" t="s">
        <v>114</v>
      </c>
      <c r="E7283" s="4" t="str">
        <f>HYPERLINK("https://ibp.a2mac1.com/costing(costing:projects/details/9760/material/8755788)","Standard Structural Steel sheet")</f>
        <v>Standard Structural Steel sheet</v>
      </c>
      <c r="F7283" t="s">
        <v>7533</v>
      </c>
    </row>
    <row r="7284" spans="1:6" x14ac:dyDescent="0.15">
      <c r="A7284">
        <v>12213335</v>
      </c>
      <c r="B7284">
        <v>12086202</v>
      </c>
      <c r="C7284" t="s">
        <v>163</v>
      </c>
      <c r="D7284" t="s">
        <v>114</v>
      </c>
      <c r="E7284" s="4" t="str">
        <f>HYPERLINK("https://ibp.a2mac1.com/costing(costing:projects/details/9760/equipment/12213335)","Manufacturing Equipment")</f>
        <v>Manufacturing Equipment</v>
      </c>
      <c r="F7284" t="s">
        <v>7533</v>
      </c>
    </row>
    <row r="7285" spans="1:6" x14ac:dyDescent="0.15">
      <c r="A7285">
        <v>8416883</v>
      </c>
      <c r="B7285">
        <v>8416601</v>
      </c>
      <c r="C7285" t="s">
        <v>10</v>
      </c>
      <c r="D7285" t="s">
        <v>8</v>
      </c>
      <c r="E7285" s="4" t="str">
        <f>HYPERLINK("https://ibp.a2mac1.com/costing(costing:projects/details/9760/part/8416883)","Part 02")</f>
        <v>Part 02</v>
      </c>
      <c r="F7285" t="s">
        <v>7529</v>
      </c>
    </row>
    <row r="7286" spans="1:6" x14ac:dyDescent="0.15">
      <c r="A7286">
        <v>12086203</v>
      </c>
      <c r="B7286">
        <v>8416883</v>
      </c>
      <c r="C7286" t="s">
        <v>114</v>
      </c>
      <c r="D7286" t="s">
        <v>10</v>
      </c>
      <c r="E7286" s="4" t="str">
        <f>HYPERLINK("https://ibp.a2mac1.com/costing(costing:projects/details/9760/process/12086203)","MANUFACTURING  PROCESS")</f>
        <v>MANUFACTURING  PROCESS</v>
      </c>
      <c r="F7286" t="s">
        <v>7536</v>
      </c>
    </row>
    <row r="7287" spans="1:6" x14ac:dyDescent="0.15">
      <c r="A7287">
        <v>8755789</v>
      </c>
      <c r="B7287">
        <v>12086203</v>
      </c>
      <c r="C7287" t="s">
        <v>22</v>
      </c>
      <c r="D7287" t="s">
        <v>114</v>
      </c>
      <c r="E7287" s="4" t="str">
        <f>HYPERLINK("https://ibp.a2mac1.com/costing(costing:projects/details/9760/material/8755789)","Standard Structural Steel sheet")</f>
        <v>Standard Structural Steel sheet</v>
      </c>
      <c r="F7287" t="s">
        <v>7539</v>
      </c>
    </row>
    <row r="7288" spans="1:6" x14ac:dyDescent="0.15">
      <c r="A7288">
        <v>12213336</v>
      </c>
      <c r="B7288">
        <v>12086203</v>
      </c>
      <c r="C7288" t="s">
        <v>163</v>
      </c>
      <c r="D7288" t="s">
        <v>114</v>
      </c>
      <c r="E7288" s="4" t="str">
        <f>HYPERLINK("https://ibp.a2mac1.com/costing(costing:projects/details/9760/equipment/12213336)","Manufacturing Equipment")</f>
        <v>Manufacturing Equipment</v>
      </c>
      <c r="F7288" t="s">
        <v>7539</v>
      </c>
    </row>
    <row r="7289" spans="1:6" x14ac:dyDescent="0.15">
      <c r="A7289">
        <v>8416884</v>
      </c>
      <c r="B7289">
        <v>8416601</v>
      </c>
      <c r="C7289" t="s">
        <v>10</v>
      </c>
      <c r="D7289" t="s">
        <v>8</v>
      </c>
      <c r="E7289" s="4" t="str">
        <f>HYPERLINK("https://ibp.a2mac1.com/costing(costing:projects/details/9760/part/8416884)","Part 03")</f>
        <v>Part 03</v>
      </c>
      <c r="F7289" t="s">
        <v>7529</v>
      </c>
    </row>
    <row r="7290" spans="1:6" x14ac:dyDescent="0.15">
      <c r="A7290">
        <v>12086204</v>
      </c>
      <c r="B7290">
        <v>8416884</v>
      </c>
      <c r="C7290" t="s">
        <v>114</v>
      </c>
      <c r="D7290" t="s">
        <v>10</v>
      </c>
      <c r="E7290" s="4" t="str">
        <f>HYPERLINK("https://ibp.a2mac1.com/costing(costing:projects/details/9760/process/12086204)","MANUFACTURING  PROCESS")</f>
        <v>MANUFACTURING  PROCESS</v>
      </c>
      <c r="F7290" t="s">
        <v>7541</v>
      </c>
    </row>
    <row r="7291" spans="1:6" x14ac:dyDescent="0.15">
      <c r="A7291">
        <v>8755790</v>
      </c>
      <c r="B7291">
        <v>12086204</v>
      </c>
      <c r="C7291" t="s">
        <v>22</v>
      </c>
      <c r="D7291" t="s">
        <v>114</v>
      </c>
      <c r="E7291" s="4" t="str">
        <f>HYPERLINK("https://ibp.a2mac1.com/costing(costing:projects/details/9760/material/8755790)","Standard Structural Steel sheet")</f>
        <v>Standard Structural Steel sheet</v>
      </c>
      <c r="F7291" t="s">
        <v>7544</v>
      </c>
    </row>
    <row r="7292" spans="1:6" x14ac:dyDescent="0.15">
      <c r="A7292">
        <v>12213337</v>
      </c>
      <c r="B7292">
        <v>12086204</v>
      </c>
      <c r="C7292" t="s">
        <v>163</v>
      </c>
      <c r="D7292" t="s">
        <v>114</v>
      </c>
      <c r="E7292" s="4" t="str">
        <f>HYPERLINK("https://ibp.a2mac1.com/costing(costing:projects/details/9760/equipment/12213337)","Manufacturing Equipment")</f>
        <v>Manufacturing Equipment</v>
      </c>
      <c r="F7292" t="s">
        <v>7544</v>
      </c>
    </row>
    <row r="7293" spans="1:6" x14ac:dyDescent="0.15">
      <c r="A7293">
        <v>8416602</v>
      </c>
      <c r="B7293">
        <v>8416420</v>
      </c>
      <c r="C7293" t="s">
        <v>8</v>
      </c>
      <c r="D7293" t="s">
        <v>8</v>
      </c>
      <c r="E7293" s="4" t="str">
        <f>HYPERLINK("https://ibp.a2mac1.com/costing(costing:projects/details/9760/assembly/8416602)","Rear gutter area")</f>
        <v>Rear gutter area</v>
      </c>
      <c r="F7293" t="s">
        <v>7528</v>
      </c>
    </row>
    <row r="7294" spans="1:6" x14ac:dyDescent="0.15">
      <c r="A7294">
        <v>8416885</v>
      </c>
      <c r="B7294">
        <v>8416602</v>
      </c>
      <c r="C7294" t="s">
        <v>10</v>
      </c>
      <c r="D7294" t="s">
        <v>8</v>
      </c>
      <c r="E7294" s="4" t="str">
        <f>HYPERLINK("https://ibp.a2mac1.com/costing(costing:projects/details/9760/part/8416885)","Part 01 (single/main/upper)")</f>
        <v>Part 01 (single/main/upper)</v>
      </c>
      <c r="F7294" t="s">
        <v>7547</v>
      </c>
    </row>
    <row r="7295" spans="1:6" x14ac:dyDescent="0.15">
      <c r="A7295">
        <v>12086205</v>
      </c>
      <c r="B7295">
        <v>8416885</v>
      </c>
      <c r="C7295" t="s">
        <v>114</v>
      </c>
      <c r="D7295" t="s">
        <v>10</v>
      </c>
      <c r="E7295" s="4" t="str">
        <f>HYPERLINK("https://ibp.a2mac1.com/costing(costing:projects/details/9760/process/12086205)","MANUFACTURING  PROCESS")</f>
        <v>MANUFACTURING  PROCESS</v>
      </c>
      <c r="F7295" t="s">
        <v>7548</v>
      </c>
    </row>
    <row r="7296" spans="1:6" x14ac:dyDescent="0.15">
      <c r="A7296">
        <v>8755791</v>
      </c>
      <c r="B7296">
        <v>12086205</v>
      </c>
      <c r="C7296" t="s">
        <v>22</v>
      </c>
      <c r="D7296" t="s">
        <v>114</v>
      </c>
      <c r="E7296" s="4" t="str">
        <f>HYPERLINK("https://ibp.a2mac1.com/costing(costing:projects/details/9760/material/8755791)","Standard Structural Steel sheet")</f>
        <v>Standard Structural Steel sheet</v>
      </c>
      <c r="F7296" t="s">
        <v>7550</v>
      </c>
    </row>
    <row r="7297" spans="1:6" x14ac:dyDescent="0.15">
      <c r="A7297">
        <v>12213338</v>
      </c>
      <c r="B7297">
        <v>12086205</v>
      </c>
      <c r="C7297" t="s">
        <v>163</v>
      </c>
      <c r="D7297" t="s">
        <v>114</v>
      </c>
      <c r="E7297" s="4" t="str">
        <f>HYPERLINK("https://ibp.a2mac1.com/costing(costing:projects/details/9760/equipment/12213338)","Manufacturing Equipment")</f>
        <v>Manufacturing Equipment</v>
      </c>
      <c r="F7297" t="s">
        <v>7550</v>
      </c>
    </row>
    <row r="7298" spans="1:6" x14ac:dyDescent="0.15">
      <c r="A7298">
        <v>8416603</v>
      </c>
      <c r="B7298">
        <v>8416420</v>
      </c>
      <c r="C7298" t="s">
        <v>8</v>
      </c>
      <c r="D7298" t="s">
        <v>8</v>
      </c>
      <c r="E7298" s="4" t="str">
        <f>HYPERLINK("https://ibp.a2mac1.com/costing(costing:projects/details/9760/assembly/8416603)","Reinforcements")</f>
        <v>Reinforcements</v>
      </c>
      <c r="F7298" t="s">
        <v>7528</v>
      </c>
    </row>
    <row r="7299" spans="1:6" x14ac:dyDescent="0.15">
      <c r="A7299">
        <v>8416886</v>
      </c>
      <c r="B7299">
        <v>8416603</v>
      </c>
      <c r="C7299" t="s">
        <v>10</v>
      </c>
      <c r="D7299" t="s">
        <v>8</v>
      </c>
      <c r="E7299" s="4" t="str">
        <f>HYPERLINK("https://ibp.a2mac1.com/costing(costing:projects/details/9760/part/8416886)","Part 01 (single/main)")</f>
        <v>Part 01 (single/main)</v>
      </c>
      <c r="F7299" t="s">
        <v>7553</v>
      </c>
    </row>
    <row r="7300" spans="1:6" x14ac:dyDescent="0.15">
      <c r="A7300">
        <v>12086206</v>
      </c>
      <c r="B7300">
        <v>8416886</v>
      </c>
      <c r="C7300" t="s">
        <v>114</v>
      </c>
      <c r="D7300" t="s">
        <v>10</v>
      </c>
      <c r="E7300" s="4" t="str">
        <f>HYPERLINK("https://ibp.a2mac1.com/costing(costing:projects/details/9760/process/12086206)","MANUFACTURING  PROCESS")</f>
        <v>MANUFACTURING  PROCESS</v>
      </c>
      <c r="F7300" t="s">
        <v>7554</v>
      </c>
    </row>
    <row r="7301" spans="1:6" x14ac:dyDescent="0.15">
      <c r="A7301">
        <v>8755792</v>
      </c>
      <c r="B7301">
        <v>12086206</v>
      </c>
      <c r="C7301" t="s">
        <v>22</v>
      </c>
      <c r="D7301" t="s">
        <v>114</v>
      </c>
      <c r="E7301" s="4" t="str">
        <f>HYPERLINK("https://ibp.a2mac1.com/costing(costing:projects/details/9760/material/8755792)","Standard Structural Steel sheet")</f>
        <v>Standard Structural Steel sheet</v>
      </c>
      <c r="F7301" t="s">
        <v>7556</v>
      </c>
    </row>
    <row r="7302" spans="1:6" x14ac:dyDescent="0.15">
      <c r="A7302">
        <v>12213339</v>
      </c>
      <c r="B7302">
        <v>12086206</v>
      </c>
      <c r="C7302" t="s">
        <v>163</v>
      </c>
      <c r="D7302" t="s">
        <v>114</v>
      </c>
      <c r="E7302" s="4" t="str">
        <f>HYPERLINK("https://ibp.a2mac1.com/costing(costing:projects/details/9760/equipment/12213339)","Manufacturing Equipment")</f>
        <v>Manufacturing Equipment</v>
      </c>
      <c r="F7302" t="s">
        <v>7556</v>
      </c>
    </row>
    <row r="7303" spans="1:6" x14ac:dyDescent="0.15">
      <c r="A7303">
        <v>8416615</v>
      </c>
      <c r="B7303">
        <v>8416420</v>
      </c>
      <c r="C7303" t="s">
        <v>8</v>
      </c>
      <c r="D7303" t="s">
        <v>8</v>
      </c>
      <c r="E7303" s="4" t="str">
        <f>HYPERLINK("https://ibp.a2mac1.com/costing(costing:projects/details/9760/assembly/8416615)","Fixing parts")</f>
        <v>Fixing parts</v>
      </c>
      <c r="F7303" t="s">
        <v>7528</v>
      </c>
    </row>
    <row r="7304" spans="1:6" x14ac:dyDescent="0.15">
      <c r="A7304">
        <v>8416887</v>
      </c>
      <c r="B7304">
        <v>8416615</v>
      </c>
      <c r="C7304" t="s">
        <v>10</v>
      </c>
      <c r="D7304" t="s">
        <v>8</v>
      </c>
      <c r="E7304" s="4" t="str">
        <f>HYPERLINK("https://ibp.a2mac1.com/costing(costing:projects/details/9760/part/8416887)","Part 01 (single/main)")</f>
        <v>Part 01 (single/main)</v>
      </c>
      <c r="F7304" t="s">
        <v>7559</v>
      </c>
    </row>
    <row r="7305" spans="1:6" x14ac:dyDescent="0.15">
      <c r="A7305">
        <v>12086207</v>
      </c>
      <c r="B7305">
        <v>8416887</v>
      </c>
      <c r="C7305" t="s">
        <v>114</v>
      </c>
      <c r="D7305" t="s">
        <v>10</v>
      </c>
      <c r="E7305" s="4" t="str">
        <f>HYPERLINK("https://ibp.a2mac1.com/costing(costing:projects/details/9760/process/12086207)","MANUFACTURING  PROCESS")</f>
        <v>MANUFACTURING  PROCESS</v>
      </c>
      <c r="F7305" t="s">
        <v>7560</v>
      </c>
    </row>
    <row r="7306" spans="1:6" x14ac:dyDescent="0.15">
      <c r="A7306">
        <v>8755793</v>
      </c>
      <c r="B7306">
        <v>12086207</v>
      </c>
      <c r="C7306" t="s">
        <v>22</v>
      </c>
      <c r="D7306" t="s">
        <v>114</v>
      </c>
      <c r="E7306" s="4" t="str">
        <f>HYPERLINK("https://ibp.a2mac1.com/costing(costing:projects/details/9760/material/8755793)","Standard Structural Steel sheet")</f>
        <v>Standard Structural Steel sheet</v>
      </c>
      <c r="F7306" t="s">
        <v>7561</v>
      </c>
    </row>
    <row r="7307" spans="1:6" x14ac:dyDescent="0.15">
      <c r="A7307">
        <v>12213340</v>
      </c>
      <c r="B7307">
        <v>12086207</v>
      </c>
      <c r="C7307" t="s">
        <v>163</v>
      </c>
      <c r="D7307" t="s">
        <v>114</v>
      </c>
      <c r="E7307" s="4" t="str">
        <f>HYPERLINK("https://ibp.a2mac1.com/costing(costing:projects/details/9760/equipment/12213340)","Manufacturing Equipment")</f>
        <v>Manufacturing Equipment</v>
      </c>
      <c r="F7307" t="s">
        <v>7561</v>
      </c>
    </row>
    <row r="7308" spans="1:6" x14ac:dyDescent="0.15">
      <c r="A7308">
        <v>8416888</v>
      </c>
      <c r="B7308">
        <v>8416615</v>
      </c>
      <c r="C7308" t="s">
        <v>10</v>
      </c>
      <c r="D7308" t="s">
        <v>8</v>
      </c>
      <c r="E7308" s="4" t="str">
        <f>HYPERLINK("https://ibp.a2mac1.com/costing(costing:projects/details/9760/part/8416888)","Part 02")</f>
        <v>Part 02</v>
      </c>
      <c r="F7308" t="s">
        <v>7559</v>
      </c>
    </row>
    <row r="7309" spans="1:6" x14ac:dyDescent="0.15">
      <c r="A7309">
        <v>12086208</v>
      </c>
      <c r="B7309">
        <v>8416888</v>
      </c>
      <c r="C7309" t="s">
        <v>114</v>
      </c>
      <c r="D7309" t="s">
        <v>10</v>
      </c>
      <c r="E7309" s="4" t="str">
        <f>HYPERLINK("https://ibp.a2mac1.com/costing(costing:projects/details/9760/process/12086208)","MANUFACTURING  PROCESS")</f>
        <v>MANUFACTURING  PROCESS</v>
      </c>
      <c r="F7309" t="s">
        <v>7563</v>
      </c>
    </row>
    <row r="7310" spans="1:6" x14ac:dyDescent="0.15">
      <c r="A7310">
        <v>8755794</v>
      </c>
      <c r="B7310">
        <v>12086208</v>
      </c>
      <c r="C7310" t="s">
        <v>22</v>
      </c>
      <c r="D7310" t="s">
        <v>114</v>
      </c>
      <c r="E7310" s="4" t="str">
        <f>HYPERLINK("https://ibp.a2mac1.com/costing(costing:projects/details/9760/material/8755794)","Standard Structural Steel sheet")</f>
        <v>Standard Structural Steel sheet</v>
      </c>
      <c r="F7310" t="s">
        <v>7564</v>
      </c>
    </row>
    <row r="7311" spans="1:6" x14ac:dyDescent="0.15">
      <c r="A7311">
        <v>12213341</v>
      </c>
      <c r="B7311">
        <v>12086208</v>
      </c>
      <c r="C7311" t="s">
        <v>163</v>
      </c>
      <c r="D7311" t="s">
        <v>114</v>
      </c>
      <c r="E7311" s="4" t="str">
        <f>HYPERLINK("https://ibp.a2mac1.com/costing(costing:projects/details/9760/equipment/12213341)","Manufacturing Equipment")</f>
        <v>Manufacturing Equipment</v>
      </c>
      <c r="F7311" t="s">
        <v>7564</v>
      </c>
    </row>
    <row r="7312" spans="1:6" x14ac:dyDescent="0.15">
      <c r="A7312">
        <v>8416889</v>
      </c>
      <c r="B7312">
        <v>8416615</v>
      </c>
      <c r="C7312" t="s">
        <v>10</v>
      </c>
      <c r="D7312" t="s">
        <v>8</v>
      </c>
      <c r="E7312" s="4" t="str">
        <f>HYPERLINK("https://ibp.a2mac1.com/costing(costing:projects/details/9760/part/8416889)","Part 03")</f>
        <v>Part 03</v>
      </c>
      <c r="F7312" t="s">
        <v>7559</v>
      </c>
    </row>
    <row r="7313" spans="1:6" x14ac:dyDescent="0.15">
      <c r="A7313">
        <v>12086209</v>
      </c>
      <c r="B7313">
        <v>8416889</v>
      </c>
      <c r="C7313" t="s">
        <v>114</v>
      </c>
      <c r="D7313" t="s">
        <v>10</v>
      </c>
      <c r="E7313" s="4" t="str">
        <f>HYPERLINK("https://ibp.a2mac1.com/costing(costing:projects/details/9760/process/12086209)","MANUFACTURING  PROCESS")</f>
        <v>MANUFACTURING  PROCESS</v>
      </c>
      <c r="F7313" t="s">
        <v>7566</v>
      </c>
    </row>
    <row r="7314" spans="1:6" x14ac:dyDescent="0.15">
      <c r="A7314">
        <v>8755795</v>
      </c>
      <c r="B7314">
        <v>12086209</v>
      </c>
      <c r="C7314" t="s">
        <v>22</v>
      </c>
      <c r="D7314" t="s">
        <v>114</v>
      </c>
      <c r="E7314" s="4" t="str">
        <f>HYPERLINK("https://ibp.a2mac1.com/costing(costing:projects/details/9760/material/8755795)","Standard Structural Steel sheet")</f>
        <v>Standard Structural Steel sheet</v>
      </c>
      <c r="F7314" t="s">
        <v>7568</v>
      </c>
    </row>
    <row r="7315" spans="1:6" x14ac:dyDescent="0.15">
      <c r="A7315">
        <v>12213342</v>
      </c>
      <c r="B7315">
        <v>12086209</v>
      </c>
      <c r="C7315" t="s">
        <v>163</v>
      </c>
      <c r="D7315" t="s">
        <v>114</v>
      </c>
      <c r="E7315" s="4" t="str">
        <f>HYPERLINK("https://ibp.a2mac1.com/costing(costing:projects/details/9760/equipment/12213342)","Manufacturing Equipment")</f>
        <v>Manufacturing Equipment</v>
      </c>
      <c r="F7315" t="s">
        <v>7568</v>
      </c>
    </row>
    <row r="7316" spans="1:6" x14ac:dyDescent="0.15">
      <c r="A7316">
        <v>8416890</v>
      </c>
      <c r="B7316">
        <v>8416615</v>
      </c>
      <c r="C7316" t="s">
        <v>10</v>
      </c>
      <c r="D7316" t="s">
        <v>8</v>
      </c>
      <c r="E7316" s="4" t="str">
        <f>HYPERLINK("https://ibp.a2mac1.com/costing(costing:projects/details/9760/part/8416890)","Part 04")</f>
        <v>Part 04</v>
      </c>
      <c r="F7316" t="s">
        <v>7559</v>
      </c>
    </row>
    <row r="7317" spans="1:6" x14ac:dyDescent="0.15">
      <c r="A7317">
        <v>12086210</v>
      </c>
      <c r="B7317">
        <v>8416890</v>
      </c>
      <c r="C7317" t="s">
        <v>114</v>
      </c>
      <c r="D7317" t="s">
        <v>10</v>
      </c>
      <c r="E7317" s="4" t="str">
        <f>HYPERLINK("https://ibp.a2mac1.com/costing(costing:projects/details/9760/process/12086210)","MANUFACTURING  PROCESS")</f>
        <v>MANUFACTURING  PROCESS</v>
      </c>
      <c r="F7317" t="s">
        <v>7570</v>
      </c>
    </row>
    <row r="7318" spans="1:6" x14ac:dyDescent="0.15">
      <c r="A7318">
        <v>8755796</v>
      </c>
      <c r="B7318">
        <v>12086210</v>
      </c>
      <c r="C7318" t="s">
        <v>22</v>
      </c>
      <c r="D7318" t="s">
        <v>114</v>
      </c>
      <c r="E7318" s="4" t="str">
        <f>HYPERLINK("https://ibp.a2mac1.com/costing(costing:projects/details/9760/material/8755796)","Standard Structural Steel sheet")</f>
        <v>Standard Structural Steel sheet</v>
      </c>
      <c r="F7318" t="s">
        <v>7572</v>
      </c>
    </row>
    <row r="7319" spans="1:6" x14ac:dyDescent="0.15">
      <c r="A7319">
        <v>12213343</v>
      </c>
      <c r="B7319">
        <v>12086210</v>
      </c>
      <c r="C7319" t="s">
        <v>163</v>
      </c>
      <c r="D7319" t="s">
        <v>114</v>
      </c>
      <c r="E7319" s="4" t="str">
        <f>HYPERLINK("https://ibp.a2mac1.com/costing(costing:projects/details/9760/equipment/12213343)","Manufacturing Equipment")</f>
        <v>Manufacturing Equipment</v>
      </c>
      <c r="F7319" t="s">
        <v>7572</v>
      </c>
    </row>
    <row r="7320" spans="1:6" x14ac:dyDescent="0.15">
      <c r="A7320">
        <v>8416421</v>
      </c>
      <c r="B7320">
        <v>8416070</v>
      </c>
      <c r="C7320" t="s">
        <v>8</v>
      </c>
      <c r="D7320" t="s">
        <v>8</v>
      </c>
      <c r="E7320" s="4" t="str">
        <f>HYPERLINK("https://ibp.a2mac1.com/costing(costing:projects/details/9760/assembly/8416421)","Roof bow assy")</f>
        <v>Roof bow assy</v>
      </c>
      <c r="F7320" t="s">
        <v>7527</v>
      </c>
    </row>
    <row r="7321" spans="1:6" x14ac:dyDescent="0.15">
      <c r="A7321">
        <v>8416616</v>
      </c>
      <c r="B7321">
        <v>8416421</v>
      </c>
      <c r="C7321" t="s">
        <v>8</v>
      </c>
      <c r="D7321" t="s">
        <v>8</v>
      </c>
      <c r="E7321" s="4" t="str">
        <f>HYPERLINK("https://ibp.a2mac1.com/costing(costing:projects/details/9760/assembly/8416616)","Frame")</f>
        <v>Frame</v>
      </c>
      <c r="F7321" t="s">
        <v>7576</v>
      </c>
    </row>
    <row r="7322" spans="1:6" x14ac:dyDescent="0.15">
      <c r="A7322">
        <v>8416891</v>
      </c>
      <c r="B7322">
        <v>8416616</v>
      </c>
      <c r="C7322" t="s">
        <v>10</v>
      </c>
      <c r="D7322" t="s">
        <v>8</v>
      </c>
      <c r="E7322" s="4" t="str">
        <f>HYPERLINK("https://ibp.a2mac1.com/costing(costing:projects/details/9760/part/8416891)","Part 01 (single/main/front)")</f>
        <v>Part 01 (single/main/front)</v>
      </c>
      <c r="F7322" t="s">
        <v>7577</v>
      </c>
    </row>
    <row r="7323" spans="1:6" x14ac:dyDescent="0.15">
      <c r="A7323">
        <v>12086211</v>
      </c>
      <c r="B7323">
        <v>8416891</v>
      </c>
      <c r="C7323" t="s">
        <v>114</v>
      </c>
      <c r="D7323" t="s">
        <v>10</v>
      </c>
      <c r="E7323" s="4" t="str">
        <f>HYPERLINK("https://ibp.a2mac1.com/costing(costing:projects/details/9760/process/12086211)","MANUFACTURING  PROCESS")</f>
        <v>MANUFACTURING  PROCESS</v>
      </c>
      <c r="F7323" t="s">
        <v>7578</v>
      </c>
    </row>
    <row r="7324" spans="1:6" x14ac:dyDescent="0.15">
      <c r="A7324">
        <v>8755797</v>
      </c>
      <c r="B7324">
        <v>12086211</v>
      </c>
      <c r="C7324" t="s">
        <v>22</v>
      </c>
      <c r="D7324" t="s">
        <v>114</v>
      </c>
      <c r="E7324" s="4" t="str">
        <f>HYPERLINK("https://ibp.a2mac1.com/costing(costing:projects/details/9760/material/8755797)","Steel sheet (Hot Forming Steel)")</f>
        <v>Steel sheet (Hot Forming Steel)</v>
      </c>
      <c r="F7324" t="s">
        <v>7581</v>
      </c>
    </row>
    <row r="7325" spans="1:6" x14ac:dyDescent="0.15">
      <c r="A7325">
        <v>12213344</v>
      </c>
      <c r="B7325">
        <v>12086211</v>
      </c>
      <c r="C7325" t="s">
        <v>163</v>
      </c>
      <c r="D7325" t="s">
        <v>114</v>
      </c>
      <c r="E7325" s="4" t="str">
        <f>HYPERLINK("https://ibp.a2mac1.com/costing(costing:projects/details/9760/equipment/12213344)","Manufacturing Equipment")</f>
        <v>Manufacturing Equipment</v>
      </c>
      <c r="F7325" t="s">
        <v>7581</v>
      </c>
    </row>
    <row r="7326" spans="1:6" x14ac:dyDescent="0.15">
      <c r="A7326">
        <v>8416617</v>
      </c>
      <c r="B7326">
        <v>8416421</v>
      </c>
      <c r="C7326" t="s">
        <v>8</v>
      </c>
      <c r="D7326" t="s">
        <v>8</v>
      </c>
      <c r="E7326" s="4" t="str">
        <f>HYPERLINK("https://ibp.a2mac1.com/costing(costing:projects/details/9760/assembly/8416617)","Inner skin")</f>
        <v>Inner skin</v>
      </c>
      <c r="F7326" t="s">
        <v>7576</v>
      </c>
    </row>
    <row r="7327" spans="1:6" x14ac:dyDescent="0.15">
      <c r="A7327">
        <v>8416892</v>
      </c>
      <c r="B7327">
        <v>8416617</v>
      </c>
      <c r="C7327" t="s">
        <v>10</v>
      </c>
      <c r="D7327" t="s">
        <v>8</v>
      </c>
      <c r="E7327" s="4" t="str">
        <f>HYPERLINK("https://ibp.a2mac1.com/costing(costing:projects/details/9760/part/8416892)","Part 01 (single/main/front)")</f>
        <v>Part 01 (single/main/front)</v>
      </c>
      <c r="F7327" t="s">
        <v>7584</v>
      </c>
    </row>
    <row r="7328" spans="1:6" x14ac:dyDescent="0.15">
      <c r="A7328">
        <v>12086212</v>
      </c>
      <c r="B7328">
        <v>8416892</v>
      </c>
      <c r="C7328" t="s">
        <v>114</v>
      </c>
      <c r="D7328" t="s">
        <v>10</v>
      </c>
      <c r="E7328" s="4" t="str">
        <f>HYPERLINK("https://ibp.a2mac1.com/costing(costing:projects/details/9760/process/12086212)","MANUFACTURING  PROCESS")</f>
        <v>MANUFACTURING  PROCESS</v>
      </c>
      <c r="F7328" t="s">
        <v>7585</v>
      </c>
    </row>
    <row r="7329" spans="1:6" x14ac:dyDescent="0.15">
      <c r="A7329">
        <v>8755798</v>
      </c>
      <c r="B7329">
        <v>12086212</v>
      </c>
      <c r="C7329" t="s">
        <v>22</v>
      </c>
      <c r="D7329" t="s">
        <v>114</v>
      </c>
      <c r="E7329" s="4" t="str">
        <f>HYPERLINK("https://ibp.a2mac1.com/costing(costing:projects/details/9760/material/8755798)","Steel sheet (Hot Forming Steel)")</f>
        <v>Steel sheet (Hot Forming Steel)</v>
      </c>
      <c r="F7329" t="s">
        <v>7588</v>
      </c>
    </row>
    <row r="7330" spans="1:6" x14ac:dyDescent="0.15">
      <c r="A7330">
        <v>12213345</v>
      </c>
      <c r="B7330">
        <v>12086212</v>
      </c>
      <c r="C7330" t="s">
        <v>163</v>
      </c>
      <c r="D7330" t="s">
        <v>114</v>
      </c>
      <c r="E7330" s="4" t="str">
        <f>HYPERLINK("https://ibp.a2mac1.com/costing(costing:projects/details/9760/equipment/12213345)","Manufacturing Equipment")</f>
        <v>Manufacturing Equipment</v>
      </c>
      <c r="F7330" t="s">
        <v>7588</v>
      </c>
    </row>
    <row r="7331" spans="1:6" x14ac:dyDescent="0.15">
      <c r="A7331">
        <v>8416618</v>
      </c>
      <c r="B7331">
        <v>8416421</v>
      </c>
      <c r="C7331" t="s">
        <v>8</v>
      </c>
      <c r="D7331" t="s">
        <v>8</v>
      </c>
      <c r="E7331" s="4" t="str">
        <f>HYPERLINK("https://ibp.a2mac1.com/costing(costing:projects/details/9760/assembly/8416618)","Fixing parts")</f>
        <v>Fixing parts</v>
      </c>
      <c r="F7331" t="s">
        <v>7576</v>
      </c>
    </row>
    <row r="7332" spans="1:6" x14ac:dyDescent="0.15">
      <c r="A7332">
        <v>8416893</v>
      </c>
      <c r="B7332">
        <v>8416618</v>
      </c>
      <c r="C7332" t="s">
        <v>10</v>
      </c>
      <c r="D7332" t="s">
        <v>8</v>
      </c>
      <c r="E7332" s="4" t="str">
        <f>HYPERLINK("https://ibp.a2mac1.com/costing(costing:projects/details/9760/part/8416893)","Part 01 (single/main)")</f>
        <v>Part 01 (single/main)</v>
      </c>
      <c r="F7332" t="s">
        <v>7591</v>
      </c>
    </row>
    <row r="7333" spans="1:6" x14ac:dyDescent="0.15">
      <c r="A7333">
        <v>12086213</v>
      </c>
      <c r="B7333">
        <v>8416893</v>
      </c>
      <c r="C7333" t="s">
        <v>114</v>
      </c>
      <c r="D7333" t="s">
        <v>10</v>
      </c>
      <c r="E7333" s="4" t="str">
        <f>HYPERLINK("https://ibp.a2mac1.com/costing(costing:projects/details/9760/process/12086213)","MANUFACTURING  PROCESS")</f>
        <v>MANUFACTURING  PROCESS</v>
      </c>
      <c r="F7333" t="s">
        <v>7592</v>
      </c>
    </row>
    <row r="7334" spans="1:6" x14ac:dyDescent="0.15">
      <c r="A7334">
        <v>8755799</v>
      </c>
      <c r="B7334">
        <v>12086213</v>
      </c>
      <c r="C7334" t="s">
        <v>22</v>
      </c>
      <c r="D7334" t="s">
        <v>114</v>
      </c>
      <c r="E7334" s="4" t="str">
        <f>HYPERLINK("https://ibp.a2mac1.com/costing(costing:projects/details/9760/material/8755799)","Standard Structural Steel sheet")</f>
        <v>Standard Structural Steel sheet</v>
      </c>
      <c r="F7334" t="s">
        <v>7593</v>
      </c>
    </row>
    <row r="7335" spans="1:6" x14ac:dyDescent="0.15">
      <c r="A7335">
        <v>12213346</v>
      </c>
      <c r="B7335">
        <v>12086213</v>
      </c>
      <c r="C7335" t="s">
        <v>163</v>
      </c>
      <c r="D7335" t="s">
        <v>114</v>
      </c>
      <c r="E7335" s="4" t="str">
        <f>HYPERLINK("https://ibp.a2mac1.com/costing(costing:projects/details/9760/equipment/12213346)","Manufacturing Equipment")</f>
        <v>Manufacturing Equipment</v>
      </c>
      <c r="F7335" t="s">
        <v>7593</v>
      </c>
    </row>
    <row r="7336" spans="1:6" x14ac:dyDescent="0.15">
      <c r="A7336">
        <v>8416422</v>
      </c>
      <c r="B7336">
        <v>8416070</v>
      </c>
      <c r="C7336" t="s">
        <v>8</v>
      </c>
      <c r="D7336" t="s">
        <v>8</v>
      </c>
      <c r="E7336" s="4" t="str">
        <f>HYPERLINK("https://ibp.a2mac1.com/costing(costing:projects/details/9760/assembly/8416422)","A pillar outer frame")</f>
        <v>A pillar outer frame</v>
      </c>
      <c r="F7336" t="s">
        <v>7527</v>
      </c>
    </row>
    <row r="7337" spans="1:6" x14ac:dyDescent="0.15">
      <c r="A7337">
        <v>8416619</v>
      </c>
      <c r="B7337">
        <v>8416422</v>
      </c>
      <c r="C7337" t="s">
        <v>8</v>
      </c>
      <c r="D7337" t="s">
        <v>8</v>
      </c>
      <c r="E7337" s="4" t="str">
        <f>HYPERLINK("https://ibp.a2mac1.com/costing(costing:projects/details/9760/assembly/8416619)","Frame")</f>
        <v>Frame</v>
      </c>
      <c r="F7337" t="s">
        <v>7597</v>
      </c>
    </row>
    <row r="7338" spans="1:6" x14ac:dyDescent="0.15">
      <c r="A7338">
        <v>8416894</v>
      </c>
      <c r="B7338">
        <v>8416619</v>
      </c>
      <c r="C7338" t="s">
        <v>10</v>
      </c>
      <c r="D7338" t="s">
        <v>8</v>
      </c>
      <c r="E7338" s="4" t="str">
        <f>HYPERLINK("https://ibp.a2mac1.com/costing(costing:projects/details/9760/part/8416894)","Part 01 (single/main/upper)")</f>
        <v>Part 01 (single/main/upper)</v>
      </c>
      <c r="F7338" t="s">
        <v>7598</v>
      </c>
    </row>
    <row r="7339" spans="1:6" x14ac:dyDescent="0.15">
      <c r="A7339">
        <v>12086214</v>
      </c>
      <c r="B7339">
        <v>8416894</v>
      </c>
      <c r="C7339" t="s">
        <v>114</v>
      </c>
      <c r="D7339" t="s">
        <v>10</v>
      </c>
      <c r="E7339" s="4" t="str">
        <f>HYPERLINK("https://ibp.a2mac1.com/costing(costing:projects/details/9760/process/12086214)","MANUFACTURING  PROCESS")</f>
        <v>MANUFACTURING  PROCESS</v>
      </c>
      <c r="F7339" t="s">
        <v>7599</v>
      </c>
    </row>
    <row r="7340" spans="1:6" x14ac:dyDescent="0.15">
      <c r="A7340">
        <v>8755800</v>
      </c>
      <c r="B7340">
        <v>12086214</v>
      </c>
      <c r="C7340" t="s">
        <v>22</v>
      </c>
      <c r="D7340" t="s">
        <v>114</v>
      </c>
      <c r="E7340" s="4" t="str">
        <f>HYPERLINK("https://ibp.a2mac1.com/costing(costing:projects/details/9760/material/8755800)","Steel sheet (Hot Forming Steel)")</f>
        <v>Steel sheet (Hot Forming Steel)</v>
      </c>
      <c r="F7340" t="s">
        <v>7602</v>
      </c>
    </row>
    <row r="7341" spans="1:6" x14ac:dyDescent="0.15">
      <c r="A7341">
        <v>12213347</v>
      </c>
      <c r="B7341">
        <v>12086214</v>
      </c>
      <c r="C7341" t="s">
        <v>163</v>
      </c>
      <c r="D7341" t="s">
        <v>114</v>
      </c>
      <c r="E7341" s="4" t="str">
        <f>HYPERLINK("https://ibp.a2mac1.com/costing(costing:projects/details/9760/equipment/12213347)","Manufacturing Equipment")</f>
        <v>Manufacturing Equipment</v>
      </c>
      <c r="F7341" t="s">
        <v>7602</v>
      </c>
    </row>
    <row r="7342" spans="1:6" x14ac:dyDescent="0.15">
      <c r="A7342">
        <v>8416620</v>
      </c>
      <c r="B7342">
        <v>8416422</v>
      </c>
      <c r="C7342" t="s">
        <v>8</v>
      </c>
      <c r="D7342" t="s">
        <v>8</v>
      </c>
      <c r="E7342" s="4" t="str">
        <f>HYPERLINK("https://ibp.a2mac1.com/costing(costing:projects/details/9760/assembly/8416620)","Reinforcements")</f>
        <v>Reinforcements</v>
      </c>
      <c r="F7342" t="s">
        <v>7597</v>
      </c>
    </row>
    <row r="7343" spans="1:6" x14ac:dyDescent="0.15">
      <c r="A7343">
        <v>8416895</v>
      </c>
      <c r="B7343">
        <v>8416620</v>
      </c>
      <c r="C7343" t="s">
        <v>10</v>
      </c>
      <c r="D7343" t="s">
        <v>8</v>
      </c>
      <c r="E7343" s="4" t="str">
        <f>HYPERLINK("https://ibp.a2mac1.com/costing(costing:projects/details/9760/part/8416895)","Part 01 (single/main)")</f>
        <v>Part 01 (single/main)</v>
      </c>
      <c r="F7343" t="s">
        <v>7605</v>
      </c>
    </row>
    <row r="7344" spans="1:6" x14ac:dyDescent="0.15">
      <c r="A7344">
        <v>12086215</v>
      </c>
      <c r="B7344">
        <v>8416895</v>
      </c>
      <c r="C7344" t="s">
        <v>114</v>
      </c>
      <c r="D7344" t="s">
        <v>10</v>
      </c>
      <c r="E7344" s="4" t="str">
        <f>HYPERLINK("https://ibp.a2mac1.com/costing(costing:projects/details/9760/process/12086215)","MANUFACTURING  PROCESS")</f>
        <v>MANUFACTURING  PROCESS</v>
      </c>
      <c r="F7344" t="s">
        <v>7606</v>
      </c>
    </row>
    <row r="7345" spans="1:6" x14ac:dyDescent="0.15">
      <c r="A7345">
        <v>8755801</v>
      </c>
      <c r="B7345">
        <v>12086215</v>
      </c>
      <c r="C7345" t="s">
        <v>22</v>
      </c>
      <c r="D7345" t="s">
        <v>114</v>
      </c>
      <c r="E7345" s="4" t="str">
        <f>HYPERLINK("https://ibp.a2mac1.com/costing(costing:projects/details/9760/material/8755801)","Standard Structural Steel sheet")</f>
        <v>Standard Structural Steel sheet</v>
      </c>
      <c r="F7345" t="s">
        <v>7609</v>
      </c>
    </row>
    <row r="7346" spans="1:6" x14ac:dyDescent="0.15">
      <c r="A7346">
        <v>12213348</v>
      </c>
      <c r="B7346">
        <v>12086215</v>
      </c>
      <c r="C7346" t="s">
        <v>163</v>
      </c>
      <c r="D7346" t="s">
        <v>114</v>
      </c>
      <c r="E7346" s="4" t="str">
        <f>HYPERLINK("https://ibp.a2mac1.com/costing(costing:projects/details/9760/equipment/12213348)","Manufacturing Equipment")</f>
        <v>Manufacturing Equipment</v>
      </c>
      <c r="F7346" t="s">
        <v>7609</v>
      </c>
    </row>
    <row r="7347" spans="1:6" x14ac:dyDescent="0.15">
      <c r="A7347">
        <v>8416896</v>
      </c>
      <c r="B7347">
        <v>8416620</v>
      </c>
      <c r="C7347" t="s">
        <v>10</v>
      </c>
      <c r="D7347" t="s">
        <v>8</v>
      </c>
      <c r="E7347" s="4" t="str">
        <f>HYPERLINK("https://ibp.a2mac1.com/costing(costing:projects/details/9760/part/8416896)","Part 02")</f>
        <v>Part 02</v>
      </c>
      <c r="F7347" t="s">
        <v>7605</v>
      </c>
    </row>
    <row r="7348" spans="1:6" x14ac:dyDescent="0.15">
      <c r="A7348">
        <v>12086216</v>
      </c>
      <c r="B7348">
        <v>8416896</v>
      </c>
      <c r="C7348" t="s">
        <v>114</v>
      </c>
      <c r="D7348" t="s">
        <v>10</v>
      </c>
      <c r="E7348" s="4" t="str">
        <f>HYPERLINK("https://ibp.a2mac1.com/costing(costing:projects/details/9760/process/12086216)","MANUFACTURING  PROCESS")</f>
        <v>MANUFACTURING  PROCESS</v>
      </c>
      <c r="F7348" t="s">
        <v>7611</v>
      </c>
    </row>
    <row r="7349" spans="1:6" x14ac:dyDescent="0.15">
      <c r="A7349">
        <v>8755802</v>
      </c>
      <c r="B7349">
        <v>12086216</v>
      </c>
      <c r="C7349" t="s">
        <v>22</v>
      </c>
      <c r="D7349" t="s">
        <v>114</v>
      </c>
      <c r="E7349" s="4" t="str">
        <f>HYPERLINK("https://ibp.a2mac1.com/costing(costing:projects/details/9760/material/8755802)","Standard Structural Steel sheet")</f>
        <v>Standard Structural Steel sheet</v>
      </c>
      <c r="F7349" t="s">
        <v>7613</v>
      </c>
    </row>
    <row r="7350" spans="1:6" x14ac:dyDescent="0.15">
      <c r="A7350">
        <v>12213349</v>
      </c>
      <c r="B7350">
        <v>12086216</v>
      </c>
      <c r="C7350" t="s">
        <v>163</v>
      </c>
      <c r="D7350" t="s">
        <v>114</v>
      </c>
      <c r="E7350" s="4" t="str">
        <f>HYPERLINK("https://ibp.a2mac1.com/costing(costing:projects/details/9760/equipment/12213349)","Manufacturing Equipment")</f>
        <v>Manufacturing Equipment</v>
      </c>
      <c r="F7350" t="s">
        <v>7613</v>
      </c>
    </row>
    <row r="7351" spans="1:6" x14ac:dyDescent="0.15">
      <c r="A7351">
        <v>8416621</v>
      </c>
      <c r="B7351">
        <v>8416422</v>
      </c>
      <c r="C7351" t="s">
        <v>8</v>
      </c>
      <c r="D7351" t="s">
        <v>8</v>
      </c>
      <c r="E7351" s="4" t="str">
        <f>HYPERLINK("https://ibp.a2mac1.com/costing(costing:projects/details/9760/assembly/8416621)","Fixing parts")</f>
        <v>Fixing parts</v>
      </c>
      <c r="F7351" t="s">
        <v>7597</v>
      </c>
    </row>
    <row r="7352" spans="1:6" x14ac:dyDescent="0.15">
      <c r="A7352">
        <v>8416897</v>
      </c>
      <c r="B7352">
        <v>8416621</v>
      </c>
      <c r="C7352" t="s">
        <v>10</v>
      </c>
      <c r="D7352" t="s">
        <v>8</v>
      </c>
      <c r="E7352" s="4" t="str">
        <f>HYPERLINK("https://ibp.a2mac1.com/costing(costing:projects/details/9760/part/8416897)","Part 01 (single/main)")</f>
        <v>Part 01 (single/main)</v>
      </c>
      <c r="F7352" t="s">
        <v>7616</v>
      </c>
    </row>
    <row r="7353" spans="1:6" x14ac:dyDescent="0.15">
      <c r="A7353">
        <v>12086217</v>
      </c>
      <c r="B7353">
        <v>8416897</v>
      </c>
      <c r="C7353" t="s">
        <v>114</v>
      </c>
      <c r="D7353" t="s">
        <v>10</v>
      </c>
      <c r="E7353" s="4" t="str">
        <f>HYPERLINK("https://ibp.a2mac1.com/costing(costing:projects/details/9760/process/12086217)","MANUFACTURING  PROCESS")</f>
        <v>MANUFACTURING  PROCESS</v>
      </c>
      <c r="F7353" t="s">
        <v>7617</v>
      </c>
    </row>
    <row r="7354" spans="1:6" x14ac:dyDescent="0.15">
      <c r="A7354">
        <v>8755803</v>
      </c>
      <c r="B7354">
        <v>12086217</v>
      </c>
      <c r="C7354" t="s">
        <v>22</v>
      </c>
      <c r="D7354" t="s">
        <v>114</v>
      </c>
      <c r="E7354" s="4" t="str">
        <f>HYPERLINK("https://ibp.a2mac1.com/costing(costing:projects/details/9760/material/8755803)","Standard Structural Steel sheet")</f>
        <v>Standard Structural Steel sheet</v>
      </c>
      <c r="F7354" t="s">
        <v>7619</v>
      </c>
    </row>
    <row r="7355" spans="1:6" x14ac:dyDescent="0.15">
      <c r="A7355">
        <v>12213350</v>
      </c>
      <c r="B7355">
        <v>12086217</v>
      </c>
      <c r="C7355" t="s">
        <v>163</v>
      </c>
      <c r="D7355" t="s">
        <v>114</v>
      </c>
      <c r="E7355" s="4" t="str">
        <f>HYPERLINK("https://ibp.a2mac1.com/costing(costing:projects/details/9760/equipment/12213350)","Manufacturing Equipment")</f>
        <v>Manufacturing Equipment</v>
      </c>
      <c r="F7355" t="s">
        <v>7619</v>
      </c>
    </row>
    <row r="7356" spans="1:6" x14ac:dyDescent="0.15">
      <c r="A7356">
        <v>8416423</v>
      </c>
      <c r="B7356">
        <v>8416070</v>
      </c>
      <c r="C7356" t="s">
        <v>8</v>
      </c>
      <c r="D7356" t="s">
        <v>8</v>
      </c>
      <c r="E7356" s="4" t="str">
        <f>HYPERLINK("https://ibp.a2mac1.com/costing(costing:projects/details/9760/assembly/8416423)","B pillar assy")</f>
        <v>B pillar assy</v>
      </c>
      <c r="F7356" t="s">
        <v>7527</v>
      </c>
    </row>
    <row r="7357" spans="1:6" x14ac:dyDescent="0.15">
      <c r="A7357">
        <v>8416622</v>
      </c>
      <c r="B7357">
        <v>8416423</v>
      </c>
      <c r="C7357" t="s">
        <v>8</v>
      </c>
      <c r="D7357" t="s">
        <v>8</v>
      </c>
      <c r="E7357" s="4" t="str">
        <f>HYPERLINK("https://ibp.a2mac1.com/costing(costing:projects/details/9760/assembly/8416622)","Frame")</f>
        <v>Frame</v>
      </c>
      <c r="F7357" t="s">
        <v>7623</v>
      </c>
    </row>
    <row r="7358" spans="1:6" x14ac:dyDescent="0.15">
      <c r="A7358">
        <v>8416898</v>
      </c>
      <c r="B7358">
        <v>8416622</v>
      </c>
      <c r="C7358" t="s">
        <v>10</v>
      </c>
      <c r="D7358" t="s">
        <v>8</v>
      </c>
      <c r="E7358" s="4" t="str">
        <f>HYPERLINK("https://ibp.a2mac1.com/costing(costing:projects/details/9760/part/8416898)","Part 01 (single/main/upper)")</f>
        <v>Part 01 (single/main/upper)</v>
      </c>
      <c r="F7358" t="s">
        <v>7624</v>
      </c>
    </row>
    <row r="7359" spans="1:6" x14ac:dyDescent="0.15">
      <c r="A7359">
        <v>12086218</v>
      </c>
      <c r="B7359">
        <v>8416898</v>
      </c>
      <c r="C7359" t="s">
        <v>114</v>
      </c>
      <c r="D7359" t="s">
        <v>10</v>
      </c>
      <c r="E7359" s="4" t="str">
        <f>HYPERLINK("https://ibp.a2mac1.com/costing(costing:projects/details/9760/process/12086218)","MANUFACTURING  PROCESS")</f>
        <v>MANUFACTURING  PROCESS</v>
      </c>
      <c r="F7359" t="s">
        <v>7625</v>
      </c>
    </row>
    <row r="7360" spans="1:6" x14ac:dyDescent="0.15">
      <c r="A7360">
        <v>8755804</v>
      </c>
      <c r="B7360">
        <v>12086218</v>
      </c>
      <c r="C7360" t="s">
        <v>22</v>
      </c>
      <c r="D7360" t="s">
        <v>114</v>
      </c>
      <c r="E7360" s="4" t="str">
        <f>HYPERLINK("https://ibp.a2mac1.com/costing(costing:projects/details/9760/material/8755804)","Steel sheet (Hot Forming Steel)")</f>
        <v>Steel sheet (Hot Forming Steel)</v>
      </c>
      <c r="F7360" t="s">
        <v>7628</v>
      </c>
    </row>
    <row r="7361" spans="1:6" x14ac:dyDescent="0.15">
      <c r="A7361">
        <v>12213351</v>
      </c>
      <c r="B7361">
        <v>12086218</v>
      </c>
      <c r="C7361" t="s">
        <v>163</v>
      </c>
      <c r="D7361" t="s">
        <v>114</v>
      </c>
      <c r="E7361" s="4" t="str">
        <f>HYPERLINK("https://ibp.a2mac1.com/costing(costing:projects/details/9760/equipment/12213351)","Manufacturing Equipment")</f>
        <v>Manufacturing Equipment</v>
      </c>
      <c r="F7361" t="s">
        <v>7628</v>
      </c>
    </row>
    <row r="7362" spans="1:6" x14ac:dyDescent="0.15">
      <c r="A7362">
        <v>8416623</v>
      </c>
      <c r="B7362">
        <v>8416423</v>
      </c>
      <c r="C7362" t="s">
        <v>8</v>
      </c>
      <c r="D7362" t="s">
        <v>8</v>
      </c>
      <c r="E7362" s="4" t="str">
        <f>HYPERLINK("https://ibp.a2mac1.com/costing(costing:projects/details/9760/assembly/8416623)","Inner skin")</f>
        <v>Inner skin</v>
      </c>
      <c r="F7362" t="s">
        <v>7623</v>
      </c>
    </row>
    <row r="7363" spans="1:6" x14ac:dyDescent="0.15">
      <c r="A7363">
        <v>8416899</v>
      </c>
      <c r="B7363">
        <v>8416623</v>
      </c>
      <c r="C7363" t="s">
        <v>10</v>
      </c>
      <c r="D7363" t="s">
        <v>8</v>
      </c>
      <c r="E7363" s="4" t="str">
        <f>HYPERLINK("https://ibp.a2mac1.com/costing(costing:projects/details/9760/part/8416899)","Part 01 (single/main/front)")</f>
        <v>Part 01 (single/main/front)</v>
      </c>
      <c r="F7363" t="s">
        <v>7631</v>
      </c>
    </row>
    <row r="7364" spans="1:6" x14ac:dyDescent="0.15">
      <c r="A7364">
        <v>12086219</v>
      </c>
      <c r="B7364">
        <v>8416899</v>
      </c>
      <c r="C7364" t="s">
        <v>114</v>
      </c>
      <c r="D7364" t="s">
        <v>10</v>
      </c>
      <c r="E7364" s="4" t="str">
        <f>HYPERLINK("https://ibp.a2mac1.com/costing(costing:projects/details/9760/process/12086219)","MANUFACTURING  PROCESS")</f>
        <v>MANUFACTURING  PROCESS</v>
      </c>
      <c r="F7364" t="s">
        <v>7632</v>
      </c>
    </row>
    <row r="7365" spans="1:6" x14ac:dyDescent="0.15">
      <c r="A7365">
        <v>8755805</v>
      </c>
      <c r="B7365">
        <v>12086219</v>
      </c>
      <c r="C7365" t="s">
        <v>22</v>
      </c>
      <c r="D7365" t="s">
        <v>114</v>
      </c>
      <c r="E7365" s="4" t="str">
        <f>HYPERLINK("https://ibp.a2mac1.com/costing(costing:projects/details/9760/material/8755805)","Steel sheet (Hot Forming Steel)")</f>
        <v>Steel sheet (Hot Forming Steel)</v>
      </c>
      <c r="F7365" t="s">
        <v>7635</v>
      </c>
    </row>
    <row r="7366" spans="1:6" x14ac:dyDescent="0.15">
      <c r="A7366">
        <v>12213352</v>
      </c>
      <c r="B7366">
        <v>12086219</v>
      </c>
      <c r="C7366" t="s">
        <v>163</v>
      </c>
      <c r="D7366" t="s">
        <v>114</v>
      </c>
      <c r="E7366" s="4" t="str">
        <f>HYPERLINK("https://ibp.a2mac1.com/costing(costing:projects/details/9760/equipment/12213352)","Manufacturing Equipment")</f>
        <v>Manufacturing Equipment</v>
      </c>
      <c r="F7366" t="s">
        <v>7635</v>
      </c>
    </row>
    <row r="7367" spans="1:6" x14ac:dyDescent="0.15">
      <c r="A7367">
        <v>8416624</v>
      </c>
      <c r="B7367">
        <v>8416423</v>
      </c>
      <c r="C7367" t="s">
        <v>8</v>
      </c>
      <c r="D7367" t="s">
        <v>8</v>
      </c>
      <c r="E7367" s="4" t="str">
        <f>HYPERLINK("https://ibp.a2mac1.com/costing(costing:projects/details/9760/assembly/8416624)","Reinforcements")</f>
        <v>Reinforcements</v>
      </c>
      <c r="F7367" t="s">
        <v>7623</v>
      </c>
    </row>
    <row r="7368" spans="1:6" x14ac:dyDescent="0.15">
      <c r="A7368">
        <v>8416900</v>
      </c>
      <c r="B7368">
        <v>8416624</v>
      </c>
      <c r="C7368" t="s">
        <v>10</v>
      </c>
      <c r="D7368" t="s">
        <v>8</v>
      </c>
      <c r="E7368" s="4" t="str">
        <f>HYPERLINK("https://ibp.a2mac1.com/costing(costing:projects/details/9760/part/8416900)","Part 01 (single/main)")</f>
        <v>Part 01 (single/main)</v>
      </c>
      <c r="F7368" t="s">
        <v>7638</v>
      </c>
    </row>
    <row r="7369" spans="1:6" x14ac:dyDescent="0.15">
      <c r="A7369">
        <v>12086220</v>
      </c>
      <c r="B7369">
        <v>8416900</v>
      </c>
      <c r="C7369" t="s">
        <v>114</v>
      </c>
      <c r="D7369" t="s">
        <v>10</v>
      </c>
      <c r="E7369" s="4" t="str">
        <f>HYPERLINK("https://ibp.a2mac1.com/costing(costing:projects/details/9760/process/12086220)","MANUFACTURING  PROCESS")</f>
        <v>MANUFACTURING  PROCESS</v>
      </c>
      <c r="F7369" t="s">
        <v>7639</v>
      </c>
    </row>
    <row r="7370" spans="1:6" x14ac:dyDescent="0.15">
      <c r="A7370">
        <v>8755806</v>
      </c>
      <c r="B7370">
        <v>12086220</v>
      </c>
      <c r="C7370" t="s">
        <v>22</v>
      </c>
      <c r="D7370" t="s">
        <v>114</v>
      </c>
      <c r="E7370" s="4" t="str">
        <f>HYPERLINK("https://ibp.a2mac1.com/costing(costing:projects/details/9760/material/8755806)","Standard Structural Steel sheet")</f>
        <v>Standard Structural Steel sheet</v>
      </c>
      <c r="F7370" t="s">
        <v>7641</v>
      </c>
    </row>
    <row r="7371" spans="1:6" x14ac:dyDescent="0.15">
      <c r="A7371">
        <v>12213353</v>
      </c>
      <c r="B7371">
        <v>12086220</v>
      </c>
      <c r="C7371" t="s">
        <v>163</v>
      </c>
      <c r="D7371" t="s">
        <v>114</v>
      </c>
      <c r="E7371" s="4" t="str">
        <f>HYPERLINK("https://ibp.a2mac1.com/costing(costing:projects/details/9760/equipment/12213353)","Manufacturing Equipment")</f>
        <v>Manufacturing Equipment</v>
      </c>
      <c r="F7371" t="s">
        <v>7641</v>
      </c>
    </row>
    <row r="7372" spans="1:6" x14ac:dyDescent="0.15">
      <c r="A7372">
        <v>8416901</v>
      </c>
      <c r="B7372">
        <v>8416624</v>
      </c>
      <c r="C7372" t="s">
        <v>10</v>
      </c>
      <c r="D7372" t="s">
        <v>8</v>
      </c>
      <c r="E7372" s="4" t="str">
        <f>HYPERLINK("https://ibp.a2mac1.com/costing(costing:projects/details/9760/part/8416901)","Part 02")</f>
        <v>Part 02</v>
      </c>
      <c r="F7372" t="s">
        <v>7638</v>
      </c>
    </row>
    <row r="7373" spans="1:6" x14ac:dyDescent="0.15">
      <c r="A7373">
        <v>12086221</v>
      </c>
      <c r="B7373">
        <v>8416901</v>
      </c>
      <c r="C7373" t="s">
        <v>114</v>
      </c>
      <c r="D7373" t="s">
        <v>10</v>
      </c>
      <c r="E7373" s="4" t="str">
        <f>HYPERLINK("https://ibp.a2mac1.com/costing(costing:projects/details/9760/process/12086221)","MANUFACTURING  PROCESS")</f>
        <v>MANUFACTURING  PROCESS</v>
      </c>
      <c r="F7373" t="s">
        <v>7643</v>
      </c>
    </row>
    <row r="7374" spans="1:6" x14ac:dyDescent="0.15">
      <c r="A7374">
        <v>8755807</v>
      </c>
      <c r="B7374">
        <v>12086221</v>
      </c>
      <c r="C7374" t="s">
        <v>22</v>
      </c>
      <c r="D7374" t="s">
        <v>114</v>
      </c>
      <c r="E7374" s="4" t="str">
        <f>HYPERLINK("https://ibp.a2mac1.com/costing(costing:projects/details/9760/material/8755807)","Standard Structural Steel sheet")</f>
        <v>Standard Structural Steel sheet</v>
      </c>
      <c r="F7374" t="s">
        <v>7644</v>
      </c>
    </row>
    <row r="7375" spans="1:6" x14ac:dyDescent="0.15">
      <c r="A7375">
        <v>12213354</v>
      </c>
      <c r="B7375">
        <v>12086221</v>
      </c>
      <c r="C7375" t="s">
        <v>163</v>
      </c>
      <c r="D7375" t="s">
        <v>114</v>
      </c>
      <c r="E7375" s="4" t="str">
        <f>HYPERLINK("https://ibp.a2mac1.com/costing(costing:projects/details/9760/equipment/12213354)","Manufacturing Equipment")</f>
        <v>Manufacturing Equipment</v>
      </c>
      <c r="F7375" t="s">
        <v>7644</v>
      </c>
    </row>
    <row r="7376" spans="1:6" x14ac:dyDescent="0.15">
      <c r="A7376">
        <v>8416625</v>
      </c>
      <c r="B7376">
        <v>8416423</v>
      </c>
      <c r="C7376" t="s">
        <v>8</v>
      </c>
      <c r="D7376" t="s">
        <v>8</v>
      </c>
      <c r="E7376" s="4" t="str">
        <f>HYPERLINK("https://ibp.a2mac1.com/costing(costing:projects/details/9760/assembly/8416625)","Fixing parts")</f>
        <v>Fixing parts</v>
      </c>
      <c r="F7376" t="s">
        <v>7623</v>
      </c>
    </row>
    <row r="7377" spans="1:6" x14ac:dyDescent="0.15">
      <c r="A7377">
        <v>8416902</v>
      </c>
      <c r="B7377">
        <v>8416625</v>
      </c>
      <c r="C7377" t="s">
        <v>10</v>
      </c>
      <c r="D7377" t="s">
        <v>8</v>
      </c>
      <c r="E7377" s="4" t="str">
        <f>HYPERLINK("https://ibp.a2mac1.com/costing(costing:projects/details/9760/part/8416902)","Part 01 (single/main)")</f>
        <v>Part 01 (single/main)</v>
      </c>
      <c r="F7377" t="s">
        <v>7647</v>
      </c>
    </row>
    <row r="7378" spans="1:6" x14ac:dyDescent="0.15">
      <c r="A7378">
        <v>12086222</v>
      </c>
      <c r="B7378">
        <v>8416902</v>
      </c>
      <c r="C7378" t="s">
        <v>114</v>
      </c>
      <c r="D7378" t="s">
        <v>10</v>
      </c>
      <c r="E7378" s="4" t="str">
        <f>HYPERLINK("https://ibp.a2mac1.com/costing(costing:projects/details/9760/process/12086222)","MANUFACTURING  PROCESS")</f>
        <v>MANUFACTURING  PROCESS</v>
      </c>
      <c r="F7378" t="s">
        <v>7648</v>
      </c>
    </row>
    <row r="7379" spans="1:6" x14ac:dyDescent="0.15">
      <c r="A7379">
        <v>8755808</v>
      </c>
      <c r="B7379">
        <v>12086222</v>
      </c>
      <c r="C7379" t="s">
        <v>22</v>
      </c>
      <c r="D7379" t="s">
        <v>114</v>
      </c>
      <c r="E7379" s="4" t="str">
        <f>HYPERLINK("https://ibp.a2mac1.com/costing(costing:projects/details/9760/material/8755808)","Standard Structural Steel sheet")</f>
        <v>Standard Structural Steel sheet</v>
      </c>
      <c r="F7379" t="s">
        <v>7651</v>
      </c>
    </row>
    <row r="7380" spans="1:6" x14ac:dyDescent="0.15">
      <c r="A7380">
        <v>12213355</v>
      </c>
      <c r="B7380">
        <v>12086222</v>
      </c>
      <c r="C7380" t="s">
        <v>163</v>
      </c>
      <c r="D7380" t="s">
        <v>114</v>
      </c>
      <c r="E7380" s="4" t="str">
        <f>HYPERLINK("https://ibp.a2mac1.com/costing(costing:projects/details/9760/equipment/12213355)","Manufacturing Equipment")</f>
        <v>Manufacturing Equipment</v>
      </c>
      <c r="F7380" t="s">
        <v>7651</v>
      </c>
    </row>
    <row r="7381" spans="1:6" x14ac:dyDescent="0.15">
      <c r="A7381">
        <v>8416903</v>
      </c>
      <c r="B7381">
        <v>8416625</v>
      </c>
      <c r="C7381" t="s">
        <v>10</v>
      </c>
      <c r="D7381" t="s">
        <v>8</v>
      </c>
      <c r="E7381" s="4" t="str">
        <f>HYPERLINK("https://ibp.a2mac1.com/costing(costing:projects/details/9760/part/8416903)","Part 02")</f>
        <v>Part 02</v>
      </c>
      <c r="F7381" t="s">
        <v>7647</v>
      </c>
    </row>
    <row r="7382" spans="1:6" x14ac:dyDescent="0.15">
      <c r="A7382">
        <v>12086223</v>
      </c>
      <c r="B7382">
        <v>8416903</v>
      </c>
      <c r="C7382" t="s">
        <v>114</v>
      </c>
      <c r="D7382" t="s">
        <v>10</v>
      </c>
      <c r="E7382" s="4" t="str">
        <f>HYPERLINK("https://ibp.a2mac1.com/costing(costing:projects/details/9760/process/12086223)","MANUFACTURING  PROCESS")</f>
        <v>MANUFACTURING  PROCESS</v>
      </c>
      <c r="F7382" t="s">
        <v>7653</v>
      </c>
    </row>
    <row r="7383" spans="1:6" x14ac:dyDescent="0.15">
      <c r="A7383">
        <v>8755809</v>
      </c>
      <c r="B7383">
        <v>12086223</v>
      </c>
      <c r="C7383" t="s">
        <v>22</v>
      </c>
      <c r="D7383" t="s">
        <v>114</v>
      </c>
      <c r="E7383" s="4" t="str">
        <f>HYPERLINK("https://ibp.a2mac1.com/costing(costing:projects/details/9760/material/8755809)","Standard Structural Steel sheet")</f>
        <v>Standard Structural Steel sheet</v>
      </c>
      <c r="F7383" t="s">
        <v>7655</v>
      </c>
    </row>
    <row r="7384" spans="1:6" x14ac:dyDescent="0.15">
      <c r="A7384">
        <v>12213356</v>
      </c>
      <c r="B7384">
        <v>12086223</v>
      </c>
      <c r="C7384" t="s">
        <v>163</v>
      </c>
      <c r="D7384" t="s">
        <v>114</v>
      </c>
      <c r="E7384" s="4" t="str">
        <f>HYPERLINK("https://ibp.a2mac1.com/costing(costing:projects/details/9760/equipment/12213356)","Manufacturing Equipment")</f>
        <v>Manufacturing Equipment</v>
      </c>
      <c r="F7384" t="s">
        <v>7655</v>
      </c>
    </row>
    <row r="7385" spans="1:6" x14ac:dyDescent="0.15">
      <c r="A7385">
        <v>8416424</v>
      </c>
      <c r="B7385">
        <v>8416070</v>
      </c>
      <c r="C7385" t="s">
        <v>8</v>
      </c>
      <c r="D7385" t="s">
        <v>8</v>
      </c>
      <c r="E7385" s="4" t="str">
        <f>HYPERLINK("https://ibp.a2mac1.com/costing(costing:projects/details/9760/assembly/8416424)","C&amp;D pillar assy")</f>
        <v>C&amp;D pillar assy</v>
      </c>
      <c r="F7385" t="s">
        <v>7527</v>
      </c>
    </row>
    <row r="7386" spans="1:6" x14ac:dyDescent="0.15">
      <c r="A7386">
        <v>8416626</v>
      </c>
      <c r="B7386">
        <v>8416424</v>
      </c>
      <c r="C7386" t="s">
        <v>8</v>
      </c>
      <c r="D7386" t="s">
        <v>8</v>
      </c>
      <c r="E7386" s="4" t="str">
        <f>HYPERLINK("https://ibp.a2mac1.com/costing(costing:projects/details/9760/assembly/8416626)","Outer wheel shroud assy")</f>
        <v>Outer wheel shroud assy</v>
      </c>
      <c r="F7386" t="s">
        <v>7659</v>
      </c>
    </row>
    <row r="7387" spans="1:6" x14ac:dyDescent="0.15">
      <c r="A7387">
        <v>8416904</v>
      </c>
      <c r="B7387">
        <v>8416626</v>
      </c>
      <c r="C7387" t="s">
        <v>10</v>
      </c>
      <c r="D7387" t="s">
        <v>8</v>
      </c>
      <c r="E7387" s="4" t="str">
        <f>HYPERLINK("https://ibp.a2mac1.com/costing(costing:projects/details/9760/part/8416904)","Part 01 (single/main/upper)")</f>
        <v>Part 01 (single/main/upper)</v>
      </c>
      <c r="F7387" t="s">
        <v>7660</v>
      </c>
    </row>
    <row r="7388" spans="1:6" x14ac:dyDescent="0.15">
      <c r="A7388">
        <v>12086224</v>
      </c>
      <c r="B7388">
        <v>8416904</v>
      </c>
      <c r="C7388" t="s">
        <v>114</v>
      </c>
      <c r="D7388" t="s">
        <v>10</v>
      </c>
      <c r="E7388" s="4" t="str">
        <f>HYPERLINK("https://ibp.a2mac1.com/costing(costing:projects/details/9760/process/12086224)","MANUFACTURING  PROCESS")</f>
        <v>MANUFACTURING  PROCESS</v>
      </c>
      <c r="F7388" t="s">
        <v>7661</v>
      </c>
    </row>
    <row r="7389" spans="1:6" x14ac:dyDescent="0.15">
      <c r="A7389">
        <v>8755810</v>
      </c>
      <c r="B7389">
        <v>12086224</v>
      </c>
      <c r="C7389" t="s">
        <v>22</v>
      </c>
      <c r="D7389" t="s">
        <v>114</v>
      </c>
      <c r="E7389" s="4" t="str">
        <f>HYPERLINK("https://ibp.a2mac1.com/costing(costing:projects/details/9760/material/8755810)","Standard Structural Steel sheet")</f>
        <v>Standard Structural Steel sheet</v>
      </c>
      <c r="F7389" t="s">
        <v>7664</v>
      </c>
    </row>
    <row r="7390" spans="1:6" x14ac:dyDescent="0.15">
      <c r="A7390">
        <v>12213357</v>
      </c>
      <c r="B7390">
        <v>12086224</v>
      </c>
      <c r="C7390" t="s">
        <v>163</v>
      </c>
      <c r="D7390" t="s">
        <v>114</v>
      </c>
      <c r="E7390" s="4" t="str">
        <f>HYPERLINK("https://ibp.a2mac1.com/costing(costing:projects/details/9760/equipment/12213357)","Manufacturing Equipment")</f>
        <v>Manufacturing Equipment</v>
      </c>
      <c r="F7390" t="s">
        <v>7664</v>
      </c>
    </row>
    <row r="7391" spans="1:6" x14ac:dyDescent="0.15">
      <c r="A7391">
        <v>8416905</v>
      </c>
      <c r="B7391">
        <v>8416626</v>
      </c>
      <c r="C7391" t="s">
        <v>10</v>
      </c>
      <c r="D7391" t="s">
        <v>8</v>
      </c>
      <c r="E7391" s="4" t="str">
        <f>HYPERLINK("https://ibp.a2mac1.com/costing(costing:projects/details/9760/part/8416905)","Part 02")</f>
        <v>Part 02</v>
      </c>
      <c r="F7391" t="s">
        <v>7660</v>
      </c>
    </row>
    <row r="7392" spans="1:6" x14ac:dyDescent="0.15">
      <c r="A7392">
        <v>12086225</v>
      </c>
      <c r="B7392">
        <v>8416905</v>
      </c>
      <c r="C7392" t="s">
        <v>114</v>
      </c>
      <c r="D7392" t="s">
        <v>10</v>
      </c>
      <c r="E7392" s="4" t="str">
        <f>HYPERLINK("https://ibp.a2mac1.com/costing(costing:projects/details/9760/process/12086225)","MANUFACTURING  PROCESS")</f>
        <v>MANUFACTURING  PROCESS</v>
      </c>
      <c r="F7392" t="s">
        <v>7666</v>
      </c>
    </row>
    <row r="7393" spans="1:6" x14ac:dyDescent="0.15">
      <c r="A7393">
        <v>8755811</v>
      </c>
      <c r="B7393">
        <v>12086225</v>
      </c>
      <c r="C7393" t="s">
        <v>22</v>
      </c>
      <c r="D7393" t="s">
        <v>114</v>
      </c>
      <c r="E7393" s="4" t="str">
        <f>HYPERLINK("https://ibp.a2mac1.com/costing(costing:projects/details/9760/material/8755811)","Standard Structural Steel sheet")</f>
        <v>Standard Structural Steel sheet</v>
      </c>
      <c r="F7393" t="s">
        <v>7669</v>
      </c>
    </row>
    <row r="7394" spans="1:6" x14ac:dyDescent="0.15">
      <c r="A7394">
        <v>12213358</v>
      </c>
      <c r="B7394">
        <v>12086225</v>
      </c>
      <c r="C7394" t="s">
        <v>163</v>
      </c>
      <c r="D7394" t="s">
        <v>114</v>
      </c>
      <c r="E7394" s="4" t="str">
        <f>HYPERLINK("https://ibp.a2mac1.com/costing(costing:projects/details/9760/equipment/12213358)","Manufacturing Equipment")</f>
        <v>Manufacturing Equipment</v>
      </c>
      <c r="F7394" t="s">
        <v>7669</v>
      </c>
    </row>
    <row r="7395" spans="1:6" x14ac:dyDescent="0.15">
      <c r="A7395">
        <v>8416906</v>
      </c>
      <c r="B7395">
        <v>8416626</v>
      </c>
      <c r="C7395" t="s">
        <v>10</v>
      </c>
      <c r="D7395" t="s">
        <v>8</v>
      </c>
      <c r="E7395" s="4" t="str">
        <f>HYPERLINK("https://ibp.a2mac1.com/costing(costing:projects/details/9760/part/8416906)","Part 03")</f>
        <v>Part 03</v>
      </c>
      <c r="F7395" t="s">
        <v>7660</v>
      </c>
    </row>
    <row r="7396" spans="1:6" x14ac:dyDescent="0.15">
      <c r="A7396">
        <v>12086226</v>
      </c>
      <c r="B7396">
        <v>8416906</v>
      </c>
      <c r="C7396" t="s">
        <v>114</v>
      </c>
      <c r="D7396" t="s">
        <v>10</v>
      </c>
      <c r="E7396" s="4" t="str">
        <f>HYPERLINK("https://ibp.a2mac1.com/costing(costing:projects/details/9760/process/12086226)","MANUFACTURING  PROCESS")</f>
        <v>MANUFACTURING  PROCESS</v>
      </c>
      <c r="F7396" t="s">
        <v>7671</v>
      </c>
    </row>
    <row r="7397" spans="1:6" x14ac:dyDescent="0.15">
      <c r="A7397">
        <v>8755812</v>
      </c>
      <c r="B7397">
        <v>12086226</v>
      </c>
      <c r="C7397" t="s">
        <v>22</v>
      </c>
      <c r="D7397" t="s">
        <v>114</v>
      </c>
      <c r="E7397" s="4" t="str">
        <f>HYPERLINK("https://ibp.a2mac1.com/costing(costing:projects/details/9760/material/8755812)","Standard Structural Steel sheet")</f>
        <v>Standard Structural Steel sheet</v>
      </c>
      <c r="F7397" t="s">
        <v>7673</v>
      </c>
    </row>
    <row r="7398" spans="1:6" x14ac:dyDescent="0.15">
      <c r="A7398">
        <v>12213359</v>
      </c>
      <c r="B7398">
        <v>12086226</v>
      </c>
      <c r="C7398" t="s">
        <v>163</v>
      </c>
      <c r="D7398" t="s">
        <v>114</v>
      </c>
      <c r="E7398" s="4" t="str">
        <f>HYPERLINK("https://ibp.a2mac1.com/costing(costing:projects/details/9760/equipment/12213359)","Manufacturing Equipment")</f>
        <v>Manufacturing Equipment</v>
      </c>
      <c r="F7398" t="s">
        <v>7673</v>
      </c>
    </row>
    <row r="7399" spans="1:6" x14ac:dyDescent="0.15">
      <c r="A7399">
        <v>8416627</v>
      </c>
      <c r="B7399">
        <v>8416424</v>
      </c>
      <c r="C7399" t="s">
        <v>8</v>
      </c>
      <c r="D7399" t="s">
        <v>8</v>
      </c>
      <c r="E7399" s="4" t="str">
        <f>HYPERLINK("https://ibp.a2mac1.com/costing(costing:projects/details/9760/assembly/8416627)","Frame")</f>
        <v>Frame</v>
      </c>
      <c r="F7399" t="s">
        <v>7659</v>
      </c>
    </row>
    <row r="7400" spans="1:6" x14ac:dyDescent="0.15">
      <c r="A7400">
        <v>8416907</v>
      </c>
      <c r="B7400">
        <v>8416627</v>
      </c>
      <c r="C7400" t="s">
        <v>10</v>
      </c>
      <c r="D7400" t="s">
        <v>8</v>
      </c>
      <c r="E7400" s="4" t="str">
        <f>HYPERLINK("https://ibp.a2mac1.com/costing(costing:projects/details/9760/part/8416907)","Part 01 (single/main/upper)")</f>
        <v>Part 01 (single/main/upper)</v>
      </c>
      <c r="F7400" t="s">
        <v>7676</v>
      </c>
    </row>
    <row r="7401" spans="1:6" x14ac:dyDescent="0.15">
      <c r="A7401">
        <v>12086227</v>
      </c>
      <c r="B7401">
        <v>8416907</v>
      </c>
      <c r="C7401" t="s">
        <v>114</v>
      </c>
      <c r="D7401" t="s">
        <v>10</v>
      </c>
      <c r="E7401" s="4" t="str">
        <f>HYPERLINK("https://ibp.a2mac1.com/costing(costing:projects/details/9760/process/12086227)","MANUFACTURING  PROCESS")</f>
        <v>MANUFACTURING  PROCESS</v>
      </c>
      <c r="F7401" t="s">
        <v>7677</v>
      </c>
    </row>
    <row r="7402" spans="1:6" x14ac:dyDescent="0.15">
      <c r="A7402">
        <v>8755813</v>
      </c>
      <c r="B7402">
        <v>12086227</v>
      </c>
      <c r="C7402" t="s">
        <v>22</v>
      </c>
      <c r="D7402" t="s">
        <v>114</v>
      </c>
      <c r="E7402" s="4" t="str">
        <f>HYPERLINK("https://ibp.a2mac1.com/costing(costing:projects/details/9760/material/8755813)","Standard Structural Steel sheet")</f>
        <v>Standard Structural Steel sheet</v>
      </c>
      <c r="F7402" t="s">
        <v>7680</v>
      </c>
    </row>
    <row r="7403" spans="1:6" x14ac:dyDescent="0.15">
      <c r="A7403">
        <v>12213360</v>
      </c>
      <c r="B7403">
        <v>12086227</v>
      </c>
      <c r="C7403" t="s">
        <v>163</v>
      </c>
      <c r="D7403" t="s">
        <v>114</v>
      </c>
      <c r="E7403" s="4" t="str">
        <f>HYPERLINK("https://ibp.a2mac1.com/costing(costing:projects/details/9760/equipment/12213360)","Manufacturing Equipment")</f>
        <v>Manufacturing Equipment</v>
      </c>
      <c r="F7403" t="s">
        <v>7680</v>
      </c>
    </row>
    <row r="7404" spans="1:6" x14ac:dyDescent="0.15">
      <c r="A7404">
        <v>8416908</v>
      </c>
      <c r="B7404">
        <v>8416627</v>
      </c>
      <c r="C7404" t="s">
        <v>10</v>
      </c>
      <c r="D7404" t="s">
        <v>8</v>
      </c>
      <c r="E7404" s="4" t="str">
        <f>HYPERLINK("https://ibp.a2mac1.com/costing(costing:projects/details/9760/part/8416908)","Part 02")</f>
        <v>Part 02</v>
      </c>
      <c r="F7404" t="s">
        <v>7676</v>
      </c>
    </row>
    <row r="7405" spans="1:6" x14ac:dyDescent="0.15">
      <c r="A7405">
        <v>12086228</v>
      </c>
      <c r="B7405">
        <v>8416908</v>
      </c>
      <c r="C7405" t="s">
        <v>114</v>
      </c>
      <c r="D7405" t="s">
        <v>10</v>
      </c>
      <c r="E7405" s="4" t="str">
        <f>HYPERLINK("https://ibp.a2mac1.com/costing(costing:projects/details/9760/process/12086228)","MANUFACTURING  PROCESS")</f>
        <v>MANUFACTURING  PROCESS</v>
      </c>
      <c r="F7405" t="s">
        <v>7682</v>
      </c>
    </row>
    <row r="7406" spans="1:6" x14ac:dyDescent="0.15">
      <c r="A7406">
        <v>8755814</v>
      </c>
      <c r="B7406">
        <v>12086228</v>
      </c>
      <c r="C7406" t="s">
        <v>22</v>
      </c>
      <c r="D7406" t="s">
        <v>114</v>
      </c>
      <c r="E7406" s="4" t="str">
        <f>HYPERLINK("https://ibp.a2mac1.com/costing(costing:projects/details/9760/material/8755814)","Standard Structural Steel sheet")</f>
        <v>Standard Structural Steel sheet</v>
      </c>
      <c r="F7406" t="s">
        <v>7685</v>
      </c>
    </row>
    <row r="7407" spans="1:6" x14ac:dyDescent="0.15">
      <c r="A7407">
        <v>12213361</v>
      </c>
      <c r="B7407">
        <v>12086228</v>
      </c>
      <c r="C7407" t="s">
        <v>163</v>
      </c>
      <c r="D7407" t="s">
        <v>114</v>
      </c>
      <c r="E7407" s="4" t="str">
        <f>HYPERLINK("https://ibp.a2mac1.com/costing(costing:projects/details/9760/equipment/12213361)","Manufacturing Equipment")</f>
        <v>Manufacturing Equipment</v>
      </c>
      <c r="F7407" t="s">
        <v>7685</v>
      </c>
    </row>
    <row r="7408" spans="1:6" x14ac:dyDescent="0.15">
      <c r="A7408">
        <v>8416909</v>
      </c>
      <c r="B7408">
        <v>8416627</v>
      </c>
      <c r="C7408" t="s">
        <v>10</v>
      </c>
      <c r="D7408" t="s">
        <v>8</v>
      </c>
      <c r="E7408" s="4" t="str">
        <f>HYPERLINK("https://ibp.a2mac1.com/costing(costing:projects/details/9760/part/8416909)","Part 03")</f>
        <v>Part 03</v>
      </c>
      <c r="F7408" t="s">
        <v>7676</v>
      </c>
    </row>
    <row r="7409" spans="1:6" x14ac:dyDescent="0.15">
      <c r="A7409">
        <v>12086229</v>
      </c>
      <c r="B7409">
        <v>8416909</v>
      </c>
      <c r="C7409" t="s">
        <v>114</v>
      </c>
      <c r="D7409" t="s">
        <v>10</v>
      </c>
      <c r="E7409" s="4" t="str">
        <f>HYPERLINK("https://ibp.a2mac1.com/costing(costing:projects/details/9760/process/12086229)","MANUFACTURING  PROCESS")</f>
        <v>MANUFACTURING  PROCESS</v>
      </c>
      <c r="F7409" t="s">
        <v>7687</v>
      </c>
    </row>
    <row r="7410" spans="1:6" x14ac:dyDescent="0.15">
      <c r="A7410">
        <v>8755815</v>
      </c>
      <c r="B7410">
        <v>12086229</v>
      </c>
      <c r="C7410" t="s">
        <v>22</v>
      </c>
      <c r="D7410" t="s">
        <v>114</v>
      </c>
      <c r="E7410" s="4" t="str">
        <f>HYPERLINK("https://ibp.a2mac1.com/costing(costing:projects/details/9760/material/8755815)","Standard Structural Steel sheet")</f>
        <v>Standard Structural Steel sheet</v>
      </c>
      <c r="F7410" t="s">
        <v>7690</v>
      </c>
    </row>
    <row r="7411" spans="1:6" x14ac:dyDescent="0.15">
      <c r="A7411">
        <v>12213362</v>
      </c>
      <c r="B7411">
        <v>12086229</v>
      </c>
      <c r="C7411" t="s">
        <v>163</v>
      </c>
      <c r="D7411" t="s">
        <v>114</v>
      </c>
      <c r="E7411" s="4" t="str">
        <f>HYPERLINK("https://ibp.a2mac1.com/costing(costing:projects/details/9760/equipment/12213362)","Manufacturing Equipment")</f>
        <v>Manufacturing Equipment</v>
      </c>
      <c r="F7411" t="s">
        <v>7690</v>
      </c>
    </row>
    <row r="7412" spans="1:6" x14ac:dyDescent="0.15">
      <c r="A7412">
        <v>8416910</v>
      </c>
      <c r="B7412">
        <v>8416627</v>
      </c>
      <c r="C7412" t="s">
        <v>10</v>
      </c>
      <c r="D7412" t="s">
        <v>8</v>
      </c>
      <c r="E7412" s="4" t="str">
        <f>HYPERLINK("https://ibp.a2mac1.com/costing(costing:projects/details/9760/part/8416910)","Part 04")</f>
        <v>Part 04</v>
      </c>
      <c r="F7412" t="s">
        <v>7676</v>
      </c>
    </row>
    <row r="7413" spans="1:6" x14ac:dyDescent="0.15">
      <c r="A7413">
        <v>12086230</v>
      </c>
      <c r="B7413">
        <v>8416910</v>
      </c>
      <c r="C7413" t="s">
        <v>114</v>
      </c>
      <c r="D7413" t="s">
        <v>10</v>
      </c>
      <c r="E7413" s="4" t="str">
        <f>HYPERLINK("https://ibp.a2mac1.com/costing(costing:projects/details/9760/process/12086230)","MANUFACTURING  PROCESS")</f>
        <v>MANUFACTURING  PROCESS</v>
      </c>
      <c r="F7413" t="s">
        <v>7692</v>
      </c>
    </row>
    <row r="7414" spans="1:6" x14ac:dyDescent="0.15">
      <c r="A7414">
        <v>8755816</v>
      </c>
      <c r="B7414">
        <v>12086230</v>
      </c>
      <c r="C7414" t="s">
        <v>22</v>
      </c>
      <c r="D7414" t="s">
        <v>114</v>
      </c>
      <c r="E7414" s="4" t="str">
        <f>HYPERLINK("https://ibp.a2mac1.com/costing(costing:projects/details/9760/material/8755816)","Standard Structural Steel sheet")</f>
        <v>Standard Structural Steel sheet</v>
      </c>
      <c r="F7414" t="s">
        <v>7695</v>
      </c>
    </row>
    <row r="7415" spans="1:6" x14ac:dyDescent="0.15">
      <c r="A7415">
        <v>12213363</v>
      </c>
      <c r="B7415">
        <v>12086230</v>
      </c>
      <c r="C7415" t="s">
        <v>163</v>
      </c>
      <c r="D7415" t="s">
        <v>114</v>
      </c>
      <c r="E7415" s="4" t="str">
        <f>HYPERLINK("https://ibp.a2mac1.com/costing(costing:projects/details/9760/equipment/12213363)","Manufacturing Equipment")</f>
        <v>Manufacturing Equipment</v>
      </c>
      <c r="F7415" t="s">
        <v>7695</v>
      </c>
    </row>
    <row r="7416" spans="1:6" x14ac:dyDescent="0.15">
      <c r="A7416">
        <v>8416628</v>
      </c>
      <c r="B7416">
        <v>8416424</v>
      </c>
      <c r="C7416" t="s">
        <v>8</v>
      </c>
      <c r="D7416" t="s">
        <v>8</v>
      </c>
      <c r="E7416" s="4" t="str">
        <f>HYPERLINK("https://ibp.a2mac1.com/costing(costing:projects/details/9760/assembly/8416628)","Inner skin")</f>
        <v>Inner skin</v>
      </c>
      <c r="F7416" t="s">
        <v>7659</v>
      </c>
    </row>
    <row r="7417" spans="1:6" x14ac:dyDescent="0.15">
      <c r="A7417">
        <v>8416911</v>
      </c>
      <c r="B7417">
        <v>8416628</v>
      </c>
      <c r="C7417" t="s">
        <v>10</v>
      </c>
      <c r="D7417" t="s">
        <v>8</v>
      </c>
      <c r="E7417" s="4" t="str">
        <f>HYPERLINK("https://ibp.a2mac1.com/costing(costing:projects/details/9760/part/8416911)","Part 01 (single/main/upper)")</f>
        <v>Part 01 (single/main/upper)</v>
      </c>
      <c r="F7417" t="s">
        <v>7698</v>
      </c>
    </row>
    <row r="7418" spans="1:6" x14ac:dyDescent="0.15">
      <c r="A7418">
        <v>12086231</v>
      </c>
      <c r="B7418">
        <v>8416911</v>
      </c>
      <c r="C7418" t="s">
        <v>114</v>
      </c>
      <c r="D7418" t="s">
        <v>10</v>
      </c>
      <c r="E7418" s="4" t="str">
        <f>HYPERLINK("https://ibp.a2mac1.com/costing(costing:projects/details/9760/process/12086231)","MANUFACTURING  PROCESS")</f>
        <v>MANUFACTURING  PROCESS</v>
      </c>
      <c r="F7418" t="s">
        <v>7699</v>
      </c>
    </row>
    <row r="7419" spans="1:6" x14ac:dyDescent="0.15">
      <c r="A7419">
        <v>8755817</v>
      </c>
      <c r="B7419">
        <v>12086231</v>
      </c>
      <c r="C7419" t="s">
        <v>22</v>
      </c>
      <c r="D7419" t="s">
        <v>114</v>
      </c>
      <c r="E7419" s="4" t="str">
        <f>HYPERLINK("https://ibp.a2mac1.com/costing(costing:projects/details/9760/material/8755817)","Standard Structural Steel sheet")</f>
        <v>Standard Structural Steel sheet</v>
      </c>
      <c r="F7419" t="s">
        <v>7702</v>
      </c>
    </row>
    <row r="7420" spans="1:6" x14ac:dyDescent="0.15">
      <c r="A7420">
        <v>12213364</v>
      </c>
      <c r="B7420">
        <v>12086231</v>
      </c>
      <c r="C7420" t="s">
        <v>163</v>
      </c>
      <c r="D7420" t="s">
        <v>114</v>
      </c>
      <c r="E7420" s="4" t="str">
        <f>HYPERLINK("https://ibp.a2mac1.com/costing(costing:projects/details/9760/equipment/12213364)","Manufacturing Equipment")</f>
        <v>Manufacturing Equipment</v>
      </c>
      <c r="F7420" t="s">
        <v>7702</v>
      </c>
    </row>
    <row r="7421" spans="1:6" x14ac:dyDescent="0.15">
      <c r="A7421">
        <v>8416912</v>
      </c>
      <c r="B7421">
        <v>8416628</v>
      </c>
      <c r="C7421" t="s">
        <v>10</v>
      </c>
      <c r="D7421" t="s">
        <v>8</v>
      </c>
      <c r="E7421" s="4" t="str">
        <f>HYPERLINK("https://ibp.a2mac1.com/costing(costing:projects/details/9760/part/8416912)","Part 02")</f>
        <v>Part 02</v>
      </c>
      <c r="F7421" t="s">
        <v>7698</v>
      </c>
    </row>
    <row r="7422" spans="1:6" x14ac:dyDescent="0.15">
      <c r="A7422">
        <v>12086232</v>
      </c>
      <c r="B7422">
        <v>8416912</v>
      </c>
      <c r="C7422" t="s">
        <v>114</v>
      </c>
      <c r="D7422" t="s">
        <v>10</v>
      </c>
      <c r="E7422" s="4" t="str">
        <f>HYPERLINK("https://ibp.a2mac1.com/costing(costing:projects/details/9760/process/12086232)","MANUFACTURING  PROCESS")</f>
        <v>MANUFACTURING  PROCESS</v>
      </c>
      <c r="F7422" t="s">
        <v>7704</v>
      </c>
    </row>
    <row r="7423" spans="1:6" x14ac:dyDescent="0.15">
      <c r="A7423">
        <v>8755818</v>
      </c>
      <c r="B7423">
        <v>12086232</v>
      </c>
      <c r="C7423" t="s">
        <v>22</v>
      </c>
      <c r="D7423" t="s">
        <v>114</v>
      </c>
      <c r="E7423" s="4" t="str">
        <f>HYPERLINK("https://ibp.a2mac1.com/costing(costing:projects/details/9760/material/8755818)","Standard Structural Steel sheet")</f>
        <v>Standard Structural Steel sheet</v>
      </c>
      <c r="F7423" t="s">
        <v>7707</v>
      </c>
    </row>
    <row r="7424" spans="1:6" x14ac:dyDescent="0.15">
      <c r="A7424">
        <v>12213365</v>
      </c>
      <c r="B7424">
        <v>12086232</v>
      </c>
      <c r="C7424" t="s">
        <v>163</v>
      </c>
      <c r="D7424" t="s">
        <v>114</v>
      </c>
      <c r="E7424" s="4" t="str">
        <f>HYPERLINK("https://ibp.a2mac1.com/costing(costing:projects/details/9760/equipment/12213365)","Manufacturing Equipment")</f>
        <v>Manufacturing Equipment</v>
      </c>
      <c r="F7424" t="s">
        <v>7707</v>
      </c>
    </row>
    <row r="7425" spans="1:6" x14ac:dyDescent="0.15">
      <c r="A7425">
        <v>8416955</v>
      </c>
      <c r="B7425">
        <v>8416628</v>
      </c>
      <c r="C7425" t="s">
        <v>10</v>
      </c>
      <c r="D7425" t="s">
        <v>8</v>
      </c>
      <c r="E7425" s="4" t="str">
        <f>HYPERLINK("https://ibp.a2mac1.com/costing(costing:projects/details/9760/part/8416955)","Part 03")</f>
        <v>Part 03</v>
      </c>
      <c r="F7425" t="s">
        <v>7698</v>
      </c>
    </row>
    <row r="7426" spans="1:6" x14ac:dyDescent="0.15">
      <c r="A7426">
        <v>12086233</v>
      </c>
      <c r="B7426">
        <v>8416955</v>
      </c>
      <c r="C7426" t="s">
        <v>114</v>
      </c>
      <c r="D7426" t="s">
        <v>10</v>
      </c>
      <c r="E7426" s="4" t="str">
        <f>HYPERLINK("https://ibp.a2mac1.com/costing(costing:projects/details/9760/process/12086233)","MANUFACTURING  PROCESS")</f>
        <v>MANUFACTURING  PROCESS</v>
      </c>
      <c r="F7426" t="s">
        <v>7709</v>
      </c>
    </row>
    <row r="7427" spans="1:6" x14ac:dyDescent="0.15">
      <c r="A7427">
        <v>8755819</v>
      </c>
      <c r="B7427">
        <v>12086233</v>
      </c>
      <c r="C7427" t="s">
        <v>22</v>
      </c>
      <c r="D7427" t="s">
        <v>114</v>
      </c>
      <c r="E7427" s="4" t="str">
        <f>HYPERLINK("https://ibp.a2mac1.com/costing(costing:projects/details/9760/material/8755819)","Standard Structural Steel sheet")</f>
        <v>Standard Structural Steel sheet</v>
      </c>
      <c r="F7427" t="s">
        <v>7712</v>
      </c>
    </row>
    <row r="7428" spans="1:6" x14ac:dyDescent="0.15">
      <c r="A7428">
        <v>12213366</v>
      </c>
      <c r="B7428">
        <v>12086233</v>
      </c>
      <c r="C7428" t="s">
        <v>163</v>
      </c>
      <c r="D7428" t="s">
        <v>114</v>
      </c>
      <c r="E7428" s="4" t="str">
        <f>HYPERLINK("https://ibp.a2mac1.com/costing(costing:projects/details/9760/equipment/12213366)","Manufacturing Equipment")</f>
        <v>Manufacturing Equipment</v>
      </c>
      <c r="F7428" t="s">
        <v>7712</v>
      </c>
    </row>
    <row r="7429" spans="1:6" x14ac:dyDescent="0.15">
      <c r="A7429">
        <v>8416956</v>
      </c>
      <c r="B7429">
        <v>8416628</v>
      </c>
      <c r="C7429" t="s">
        <v>10</v>
      </c>
      <c r="D7429" t="s">
        <v>8</v>
      </c>
      <c r="E7429" s="4" t="str">
        <f>HYPERLINK("https://ibp.a2mac1.com/costing(costing:projects/details/9760/part/8416956)","Part 04")</f>
        <v>Part 04</v>
      </c>
      <c r="F7429" t="s">
        <v>7698</v>
      </c>
    </row>
    <row r="7430" spans="1:6" x14ac:dyDescent="0.15">
      <c r="A7430">
        <v>12086234</v>
      </c>
      <c r="B7430">
        <v>8416956</v>
      </c>
      <c r="C7430" t="s">
        <v>114</v>
      </c>
      <c r="D7430" t="s">
        <v>10</v>
      </c>
      <c r="E7430" s="4" t="str">
        <f>HYPERLINK("https://ibp.a2mac1.com/costing(costing:projects/details/9760/process/12086234)","MANUFACTURING  PROCESS")</f>
        <v>MANUFACTURING  PROCESS</v>
      </c>
      <c r="F7430" t="s">
        <v>7714</v>
      </c>
    </row>
    <row r="7431" spans="1:6" x14ac:dyDescent="0.15">
      <c r="A7431">
        <v>8755820</v>
      </c>
      <c r="B7431">
        <v>12086234</v>
      </c>
      <c r="C7431" t="s">
        <v>22</v>
      </c>
      <c r="D7431" t="s">
        <v>114</v>
      </c>
      <c r="E7431" s="4" t="str">
        <f>HYPERLINK("https://ibp.a2mac1.com/costing(costing:projects/details/9760/material/8755820)","Standard Structural Steel sheet")</f>
        <v>Standard Structural Steel sheet</v>
      </c>
      <c r="F7431" t="s">
        <v>7717</v>
      </c>
    </row>
    <row r="7432" spans="1:6" x14ac:dyDescent="0.15">
      <c r="A7432">
        <v>12213367</v>
      </c>
      <c r="B7432">
        <v>12086234</v>
      </c>
      <c r="C7432" t="s">
        <v>163</v>
      </c>
      <c r="D7432" t="s">
        <v>114</v>
      </c>
      <c r="E7432" s="4" t="str">
        <f>HYPERLINK("https://ibp.a2mac1.com/costing(costing:projects/details/9760/equipment/12213367)","Manufacturing Equipment")</f>
        <v>Manufacturing Equipment</v>
      </c>
      <c r="F7432" t="s">
        <v>7717</v>
      </c>
    </row>
    <row r="7433" spans="1:6" x14ac:dyDescent="0.15">
      <c r="A7433">
        <v>8416629</v>
      </c>
      <c r="B7433">
        <v>8416424</v>
      </c>
      <c r="C7433" t="s">
        <v>8</v>
      </c>
      <c r="D7433" t="s">
        <v>8</v>
      </c>
      <c r="E7433" s="4" t="str">
        <f>HYPERLINK("https://ibp.a2mac1.com/costing(costing:projects/details/9760/assembly/8416629)","Reinforcements")</f>
        <v>Reinforcements</v>
      </c>
      <c r="F7433" t="s">
        <v>7659</v>
      </c>
    </row>
    <row r="7434" spans="1:6" x14ac:dyDescent="0.15">
      <c r="A7434">
        <v>8416957</v>
      </c>
      <c r="B7434">
        <v>8416629</v>
      </c>
      <c r="C7434" t="s">
        <v>10</v>
      </c>
      <c r="D7434" t="s">
        <v>8</v>
      </c>
      <c r="E7434" s="4" t="str">
        <f>HYPERLINK("https://ibp.a2mac1.com/costing(costing:projects/details/9760/part/8416957)","Part 01 (single/main)")</f>
        <v>Part 01 (single/main)</v>
      </c>
      <c r="F7434" t="s">
        <v>7720</v>
      </c>
    </row>
    <row r="7435" spans="1:6" x14ac:dyDescent="0.15">
      <c r="A7435">
        <v>12086235</v>
      </c>
      <c r="B7435">
        <v>8416957</v>
      </c>
      <c r="C7435" t="s">
        <v>114</v>
      </c>
      <c r="D7435" t="s">
        <v>10</v>
      </c>
      <c r="E7435" s="4" t="str">
        <f>HYPERLINK("https://ibp.a2mac1.com/costing(costing:projects/details/9760/process/12086235)","MANUFACTURING  PROCESS")</f>
        <v>MANUFACTURING  PROCESS</v>
      </c>
      <c r="F7435" t="s">
        <v>7721</v>
      </c>
    </row>
    <row r="7436" spans="1:6" x14ac:dyDescent="0.15">
      <c r="A7436">
        <v>8755821</v>
      </c>
      <c r="B7436">
        <v>12086235</v>
      </c>
      <c r="C7436" t="s">
        <v>22</v>
      </c>
      <c r="D7436" t="s">
        <v>114</v>
      </c>
      <c r="E7436" s="4" t="str">
        <f>HYPERLINK("https://ibp.a2mac1.com/costing(costing:projects/details/9760/material/8755821)","Standard Structural Steel sheet")</f>
        <v>Standard Structural Steel sheet</v>
      </c>
      <c r="F7436" t="s">
        <v>7724</v>
      </c>
    </row>
    <row r="7437" spans="1:6" x14ac:dyDescent="0.15">
      <c r="A7437">
        <v>12213368</v>
      </c>
      <c r="B7437">
        <v>12086235</v>
      </c>
      <c r="C7437" t="s">
        <v>163</v>
      </c>
      <c r="D7437" t="s">
        <v>114</v>
      </c>
      <c r="E7437" s="4" t="str">
        <f>HYPERLINK("https://ibp.a2mac1.com/costing(costing:projects/details/9760/equipment/12213368)","Manufacturing Equipment")</f>
        <v>Manufacturing Equipment</v>
      </c>
      <c r="F7437" t="s">
        <v>7724</v>
      </c>
    </row>
    <row r="7438" spans="1:6" x14ac:dyDescent="0.15">
      <c r="A7438">
        <v>8416958</v>
      </c>
      <c r="B7438">
        <v>8416629</v>
      </c>
      <c r="C7438" t="s">
        <v>10</v>
      </c>
      <c r="D7438" t="s">
        <v>8</v>
      </c>
      <c r="E7438" s="4" t="str">
        <f>HYPERLINK("https://ibp.a2mac1.com/costing(costing:projects/details/9760/part/8416958)","Part 02")</f>
        <v>Part 02</v>
      </c>
      <c r="F7438" t="s">
        <v>7720</v>
      </c>
    </row>
    <row r="7439" spans="1:6" x14ac:dyDescent="0.15">
      <c r="A7439">
        <v>12086236</v>
      </c>
      <c r="B7439">
        <v>8416958</v>
      </c>
      <c r="C7439" t="s">
        <v>114</v>
      </c>
      <c r="D7439" t="s">
        <v>10</v>
      </c>
      <c r="E7439" s="4" t="str">
        <f>HYPERLINK("https://ibp.a2mac1.com/costing(costing:projects/details/9760/process/12086236)","MANUFACTURING  PROCESS")</f>
        <v>MANUFACTURING  PROCESS</v>
      </c>
      <c r="F7439" t="s">
        <v>7726</v>
      </c>
    </row>
    <row r="7440" spans="1:6" x14ac:dyDescent="0.15">
      <c r="A7440">
        <v>8755822</v>
      </c>
      <c r="B7440">
        <v>12086236</v>
      </c>
      <c r="C7440" t="s">
        <v>22</v>
      </c>
      <c r="D7440" t="s">
        <v>114</v>
      </c>
      <c r="E7440" s="4" t="str">
        <f>HYPERLINK("https://ibp.a2mac1.com/costing(costing:projects/details/9760/material/8755822)","Standard Structural Steel sheet")</f>
        <v>Standard Structural Steel sheet</v>
      </c>
      <c r="F7440" t="s">
        <v>7728</v>
      </c>
    </row>
    <row r="7441" spans="1:6" x14ac:dyDescent="0.15">
      <c r="A7441">
        <v>12213369</v>
      </c>
      <c r="B7441">
        <v>12086236</v>
      </c>
      <c r="C7441" t="s">
        <v>163</v>
      </c>
      <c r="D7441" t="s">
        <v>114</v>
      </c>
      <c r="E7441" s="4" t="str">
        <f>HYPERLINK("https://ibp.a2mac1.com/costing(costing:projects/details/9760/equipment/12213369)","Manufacturing Equipment")</f>
        <v>Manufacturing Equipment</v>
      </c>
      <c r="F7441" t="s">
        <v>7728</v>
      </c>
    </row>
    <row r="7442" spans="1:6" x14ac:dyDescent="0.15">
      <c r="A7442">
        <v>8416959</v>
      </c>
      <c r="B7442">
        <v>8416629</v>
      </c>
      <c r="C7442" t="s">
        <v>10</v>
      </c>
      <c r="D7442" t="s">
        <v>8</v>
      </c>
      <c r="E7442" s="4" t="str">
        <f>HYPERLINK("https://ibp.a2mac1.com/costing(costing:projects/details/9760/part/8416959)","Part 03")</f>
        <v>Part 03</v>
      </c>
      <c r="F7442" t="s">
        <v>7720</v>
      </c>
    </row>
    <row r="7443" spans="1:6" x14ac:dyDescent="0.15">
      <c r="A7443">
        <v>12086237</v>
      </c>
      <c r="B7443">
        <v>8416959</v>
      </c>
      <c r="C7443" t="s">
        <v>114</v>
      </c>
      <c r="D7443" t="s">
        <v>10</v>
      </c>
      <c r="E7443" s="4" t="str">
        <f>HYPERLINK("https://ibp.a2mac1.com/costing(costing:projects/details/9760/process/12086237)","MANUFACTURING  PROCESS")</f>
        <v>MANUFACTURING  PROCESS</v>
      </c>
      <c r="F7443" t="s">
        <v>7730</v>
      </c>
    </row>
    <row r="7444" spans="1:6" x14ac:dyDescent="0.15">
      <c r="A7444">
        <v>8755823</v>
      </c>
      <c r="B7444">
        <v>12086237</v>
      </c>
      <c r="C7444" t="s">
        <v>22</v>
      </c>
      <c r="D7444" t="s">
        <v>114</v>
      </c>
      <c r="E7444" s="4" t="str">
        <f>HYPERLINK("https://ibp.a2mac1.com/costing(costing:projects/details/9760/material/8755823)","Standard Structural Steel sheet")</f>
        <v>Standard Structural Steel sheet</v>
      </c>
      <c r="F7444" t="s">
        <v>7733</v>
      </c>
    </row>
    <row r="7445" spans="1:6" x14ac:dyDescent="0.15">
      <c r="A7445">
        <v>12213370</v>
      </c>
      <c r="B7445">
        <v>12086237</v>
      </c>
      <c r="C7445" t="s">
        <v>163</v>
      </c>
      <c r="D7445" t="s">
        <v>114</v>
      </c>
      <c r="E7445" s="4" t="str">
        <f>HYPERLINK("https://ibp.a2mac1.com/costing(costing:projects/details/9760/equipment/12213370)","Manufacturing Equipment")</f>
        <v>Manufacturing Equipment</v>
      </c>
      <c r="F7445" t="s">
        <v>7733</v>
      </c>
    </row>
    <row r="7446" spans="1:6" x14ac:dyDescent="0.15">
      <c r="A7446">
        <v>8416960</v>
      </c>
      <c r="B7446">
        <v>8416629</v>
      </c>
      <c r="C7446" t="s">
        <v>10</v>
      </c>
      <c r="D7446" t="s">
        <v>8</v>
      </c>
      <c r="E7446" s="4" t="str">
        <f>HYPERLINK("https://ibp.a2mac1.com/costing(costing:projects/details/9760/part/8416960)","Part 04")</f>
        <v>Part 04</v>
      </c>
      <c r="F7446" t="s">
        <v>7720</v>
      </c>
    </row>
    <row r="7447" spans="1:6" x14ac:dyDescent="0.15">
      <c r="A7447">
        <v>12086238</v>
      </c>
      <c r="B7447">
        <v>8416960</v>
      </c>
      <c r="C7447" t="s">
        <v>114</v>
      </c>
      <c r="D7447" t="s">
        <v>10</v>
      </c>
      <c r="E7447" s="4" t="str">
        <f>HYPERLINK("https://ibp.a2mac1.com/costing(costing:projects/details/9760/process/12086238)","MANUFACTURING  PROCESS")</f>
        <v>MANUFACTURING  PROCESS</v>
      </c>
      <c r="F7447" t="s">
        <v>7735</v>
      </c>
    </row>
    <row r="7448" spans="1:6" x14ac:dyDescent="0.15">
      <c r="A7448">
        <v>8755824</v>
      </c>
      <c r="B7448">
        <v>12086238</v>
      </c>
      <c r="C7448" t="s">
        <v>22</v>
      </c>
      <c r="D7448" t="s">
        <v>114</v>
      </c>
      <c r="E7448" s="4" t="str">
        <f>HYPERLINK("https://ibp.a2mac1.com/costing(costing:projects/details/9760/material/8755824)","Standard Structural Steel sheet")</f>
        <v>Standard Structural Steel sheet</v>
      </c>
      <c r="F7448" t="s">
        <v>7737</v>
      </c>
    </row>
    <row r="7449" spans="1:6" x14ac:dyDescent="0.15">
      <c r="A7449">
        <v>12213371</v>
      </c>
      <c r="B7449">
        <v>12086238</v>
      </c>
      <c r="C7449" t="s">
        <v>163</v>
      </c>
      <c r="D7449" t="s">
        <v>114</v>
      </c>
      <c r="E7449" s="4" t="str">
        <f>HYPERLINK("https://ibp.a2mac1.com/costing(costing:projects/details/9760/equipment/12213371)","Manufacturing Equipment")</f>
        <v>Manufacturing Equipment</v>
      </c>
      <c r="F7449" t="s">
        <v>7737</v>
      </c>
    </row>
    <row r="7450" spans="1:6" x14ac:dyDescent="0.15">
      <c r="A7450">
        <v>8416630</v>
      </c>
      <c r="B7450">
        <v>8416424</v>
      </c>
      <c r="C7450" t="s">
        <v>8</v>
      </c>
      <c r="D7450" t="s">
        <v>8</v>
      </c>
      <c r="E7450" s="4" t="str">
        <f>HYPERLINK("https://ibp.a2mac1.com/costing(costing:projects/details/9760/assembly/8416630)","Spacers")</f>
        <v>Spacers</v>
      </c>
      <c r="F7450" t="s">
        <v>7659</v>
      </c>
    </row>
    <row r="7451" spans="1:6" x14ac:dyDescent="0.15">
      <c r="A7451">
        <v>8416961</v>
      </c>
      <c r="B7451">
        <v>8416630</v>
      </c>
      <c r="C7451" t="s">
        <v>10</v>
      </c>
      <c r="D7451" t="s">
        <v>8</v>
      </c>
      <c r="E7451" s="4" t="str">
        <f>HYPERLINK("https://ibp.a2mac1.com/costing(costing:projects/details/9760/part/8416961)","Part 01 (single/main)")</f>
        <v>Part 01 (single/main)</v>
      </c>
      <c r="F7451" t="s">
        <v>7740</v>
      </c>
    </row>
    <row r="7452" spans="1:6" x14ac:dyDescent="0.15">
      <c r="A7452">
        <v>12086239</v>
      </c>
      <c r="B7452">
        <v>8416961</v>
      </c>
      <c r="C7452" t="s">
        <v>114</v>
      </c>
      <c r="D7452" t="s">
        <v>10</v>
      </c>
      <c r="E7452" s="4" t="str">
        <f>HYPERLINK("https://ibp.a2mac1.com/costing(costing:projects/details/9760/process/12086239)","MANUFACTURING  PROCESS")</f>
        <v>MANUFACTURING  PROCESS</v>
      </c>
      <c r="F7452" t="s">
        <v>7741</v>
      </c>
    </row>
    <row r="7453" spans="1:6" x14ac:dyDescent="0.15">
      <c r="A7453">
        <v>8755825</v>
      </c>
      <c r="B7453">
        <v>12086239</v>
      </c>
      <c r="C7453" t="s">
        <v>22</v>
      </c>
      <c r="D7453" t="s">
        <v>114</v>
      </c>
      <c r="E7453" s="4" t="str">
        <f>HYPERLINK("https://ibp.a2mac1.com/costing(costing:projects/details/9760/material/8755825)","Standard Structural Steel sheet")</f>
        <v>Standard Structural Steel sheet</v>
      </c>
      <c r="F7453" t="s">
        <v>7743</v>
      </c>
    </row>
    <row r="7454" spans="1:6" x14ac:dyDescent="0.15">
      <c r="A7454">
        <v>12213372</v>
      </c>
      <c r="B7454">
        <v>12086239</v>
      </c>
      <c r="C7454" t="s">
        <v>163</v>
      </c>
      <c r="D7454" t="s">
        <v>114</v>
      </c>
      <c r="E7454" s="4" t="str">
        <f>HYPERLINK("https://ibp.a2mac1.com/costing(costing:projects/details/9760/equipment/12213372)","Manufacturing Equipment")</f>
        <v>Manufacturing Equipment</v>
      </c>
      <c r="F7454" t="s">
        <v>7743</v>
      </c>
    </row>
    <row r="7455" spans="1:6" x14ac:dyDescent="0.15">
      <c r="A7455">
        <v>8416962</v>
      </c>
      <c r="B7455">
        <v>8416630</v>
      </c>
      <c r="C7455" t="s">
        <v>10</v>
      </c>
      <c r="D7455" t="s">
        <v>8</v>
      </c>
      <c r="E7455" s="4" t="str">
        <f>HYPERLINK("https://ibp.a2mac1.com/costing(costing:projects/details/9760/part/8416962)","Part 02")</f>
        <v>Part 02</v>
      </c>
      <c r="F7455" t="s">
        <v>7740</v>
      </c>
    </row>
    <row r="7456" spans="1:6" x14ac:dyDescent="0.15">
      <c r="A7456">
        <v>12086240</v>
      </c>
      <c r="B7456">
        <v>8416962</v>
      </c>
      <c r="C7456" t="s">
        <v>114</v>
      </c>
      <c r="D7456" t="s">
        <v>10</v>
      </c>
      <c r="E7456" s="4" t="str">
        <f>HYPERLINK("https://ibp.a2mac1.com/costing(costing:projects/details/9760/process/12086240)","MANUFACTURING  PROCESS")</f>
        <v>MANUFACTURING  PROCESS</v>
      </c>
      <c r="F7456" t="s">
        <v>7745</v>
      </c>
    </row>
    <row r="7457" spans="1:6" x14ac:dyDescent="0.15">
      <c r="A7457">
        <v>8755826</v>
      </c>
      <c r="B7457">
        <v>12086240</v>
      </c>
      <c r="C7457" t="s">
        <v>22</v>
      </c>
      <c r="D7457" t="s">
        <v>114</v>
      </c>
      <c r="E7457" s="4" t="str">
        <f>HYPERLINK("https://ibp.a2mac1.com/costing(costing:projects/details/9760/material/8755826)","Standard Structural Steel sheet")</f>
        <v>Standard Structural Steel sheet</v>
      </c>
      <c r="F7457" t="s">
        <v>7748</v>
      </c>
    </row>
    <row r="7458" spans="1:6" x14ac:dyDescent="0.15">
      <c r="A7458">
        <v>12213373</v>
      </c>
      <c r="B7458">
        <v>12086240</v>
      </c>
      <c r="C7458" t="s">
        <v>163</v>
      </c>
      <c r="D7458" t="s">
        <v>114</v>
      </c>
      <c r="E7458" s="4" t="str">
        <f>HYPERLINK("https://ibp.a2mac1.com/costing(costing:projects/details/9760/equipment/12213373)","Manufacturing Equipment")</f>
        <v>Manufacturing Equipment</v>
      </c>
      <c r="F7458" t="s">
        <v>7748</v>
      </c>
    </row>
    <row r="7459" spans="1:6" x14ac:dyDescent="0.15">
      <c r="A7459">
        <v>8416963</v>
      </c>
      <c r="B7459">
        <v>8416630</v>
      </c>
      <c r="C7459" t="s">
        <v>10</v>
      </c>
      <c r="D7459" t="s">
        <v>8</v>
      </c>
      <c r="E7459" s="4" t="str">
        <f>HYPERLINK("https://ibp.a2mac1.com/costing(costing:projects/details/9760/part/8416963)","Part 03")</f>
        <v>Part 03</v>
      </c>
      <c r="F7459" t="s">
        <v>7740</v>
      </c>
    </row>
    <row r="7460" spans="1:6" x14ac:dyDescent="0.15">
      <c r="A7460">
        <v>12086241</v>
      </c>
      <c r="B7460">
        <v>8416963</v>
      </c>
      <c r="C7460" t="s">
        <v>114</v>
      </c>
      <c r="D7460" t="s">
        <v>10</v>
      </c>
      <c r="E7460" s="4" t="str">
        <f>HYPERLINK("https://ibp.a2mac1.com/costing(costing:projects/details/9760/process/12086241)","MANUFACTURING  PROCESS")</f>
        <v>MANUFACTURING  PROCESS</v>
      </c>
      <c r="F7460" t="s">
        <v>7750</v>
      </c>
    </row>
    <row r="7461" spans="1:6" x14ac:dyDescent="0.15">
      <c r="A7461">
        <v>8755827</v>
      </c>
      <c r="B7461">
        <v>12086241</v>
      </c>
      <c r="C7461" t="s">
        <v>22</v>
      </c>
      <c r="D7461" t="s">
        <v>114</v>
      </c>
      <c r="E7461" s="4" t="str">
        <f>HYPERLINK("https://ibp.a2mac1.com/costing(costing:projects/details/9760/material/8755827)","Standard Structural Steel sheet")</f>
        <v>Standard Structural Steel sheet</v>
      </c>
      <c r="F7461" t="s">
        <v>7753</v>
      </c>
    </row>
    <row r="7462" spans="1:6" x14ac:dyDescent="0.15">
      <c r="A7462">
        <v>12213374</v>
      </c>
      <c r="B7462">
        <v>12086241</v>
      </c>
      <c r="C7462" t="s">
        <v>163</v>
      </c>
      <c r="D7462" t="s">
        <v>114</v>
      </c>
      <c r="E7462" s="4" t="str">
        <f>HYPERLINK("https://ibp.a2mac1.com/costing(costing:projects/details/9760/equipment/12213374)","Manufacturing Equipment")</f>
        <v>Manufacturing Equipment</v>
      </c>
      <c r="F7462" t="s">
        <v>7753</v>
      </c>
    </row>
    <row r="7463" spans="1:6" x14ac:dyDescent="0.15">
      <c r="A7463">
        <v>8416631</v>
      </c>
      <c r="B7463">
        <v>8416424</v>
      </c>
      <c r="C7463" t="s">
        <v>8</v>
      </c>
      <c r="D7463" t="s">
        <v>8</v>
      </c>
      <c r="E7463" s="4" t="str">
        <f>HYPERLINK("https://ibp.a2mac1.com/costing(costing:projects/details/9760/assembly/8416631)","Fixing parts")</f>
        <v>Fixing parts</v>
      </c>
      <c r="F7463" t="s">
        <v>7659</v>
      </c>
    </row>
    <row r="7464" spans="1:6" x14ac:dyDescent="0.15">
      <c r="A7464">
        <v>8416964</v>
      </c>
      <c r="B7464">
        <v>8416631</v>
      </c>
      <c r="C7464" t="s">
        <v>10</v>
      </c>
      <c r="D7464" t="s">
        <v>8</v>
      </c>
      <c r="E7464" s="4" t="str">
        <f>HYPERLINK("https://ibp.a2mac1.com/costing(costing:projects/details/9760/part/8416964)","Part 01 (single/main)")</f>
        <v>Part 01 (single/main)</v>
      </c>
      <c r="F7464" t="s">
        <v>7756</v>
      </c>
    </row>
    <row r="7465" spans="1:6" x14ac:dyDescent="0.15">
      <c r="A7465">
        <v>12086242</v>
      </c>
      <c r="B7465">
        <v>8416964</v>
      </c>
      <c r="C7465" t="s">
        <v>114</v>
      </c>
      <c r="D7465" t="s">
        <v>10</v>
      </c>
      <c r="E7465" s="4" t="str">
        <f>HYPERLINK("https://ibp.a2mac1.com/costing(costing:projects/details/9760/process/12086242)","MANUFACTURING  PROCESS")</f>
        <v>MANUFACTURING  PROCESS</v>
      </c>
      <c r="F7465" t="s">
        <v>7757</v>
      </c>
    </row>
    <row r="7466" spans="1:6" x14ac:dyDescent="0.15">
      <c r="A7466">
        <v>8755828</v>
      </c>
      <c r="B7466">
        <v>12086242</v>
      </c>
      <c r="C7466" t="s">
        <v>22</v>
      </c>
      <c r="D7466" t="s">
        <v>114</v>
      </c>
      <c r="E7466" s="4" t="str">
        <f>HYPERLINK("https://ibp.a2mac1.com/costing(costing:projects/details/9760/material/8755828)","Standard Structural Steel sheet")</f>
        <v>Standard Structural Steel sheet</v>
      </c>
      <c r="F7466" t="s">
        <v>7758</v>
      </c>
    </row>
    <row r="7467" spans="1:6" x14ac:dyDescent="0.15">
      <c r="A7467">
        <v>12213375</v>
      </c>
      <c r="B7467">
        <v>12086242</v>
      </c>
      <c r="C7467" t="s">
        <v>163</v>
      </c>
      <c r="D7467" t="s">
        <v>114</v>
      </c>
      <c r="E7467" s="4" t="str">
        <f>HYPERLINK("https://ibp.a2mac1.com/costing(costing:projects/details/9760/equipment/12213375)","Manufacturing Equipment")</f>
        <v>Manufacturing Equipment</v>
      </c>
      <c r="F7467" t="s">
        <v>7758</v>
      </c>
    </row>
    <row r="7468" spans="1:6" x14ac:dyDescent="0.15">
      <c r="A7468">
        <v>8416965</v>
      </c>
      <c r="B7468">
        <v>8416631</v>
      </c>
      <c r="C7468" t="s">
        <v>10</v>
      </c>
      <c r="D7468" t="s">
        <v>8</v>
      </c>
      <c r="E7468" s="4" t="str">
        <f>HYPERLINK("https://ibp.a2mac1.com/costing(costing:projects/details/9760/part/8416965)","Part 02")</f>
        <v>Part 02</v>
      </c>
      <c r="F7468" t="s">
        <v>7756</v>
      </c>
    </row>
    <row r="7469" spans="1:6" x14ac:dyDescent="0.15">
      <c r="A7469">
        <v>12086243</v>
      </c>
      <c r="B7469">
        <v>8416965</v>
      </c>
      <c r="C7469" t="s">
        <v>114</v>
      </c>
      <c r="D7469" t="s">
        <v>10</v>
      </c>
      <c r="E7469" s="4" t="str">
        <f>HYPERLINK("https://ibp.a2mac1.com/costing(costing:projects/details/9760/process/12086243)","MANUFACTURING  PROCESS")</f>
        <v>MANUFACTURING  PROCESS</v>
      </c>
      <c r="F7469" t="s">
        <v>7760</v>
      </c>
    </row>
    <row r="7470" spans="1:6" x14ac:dyDescent="0.15">
      <c r="A7470">
        <v>8755829</v>
      </c>
      <c r="B7470">
        <v>12086243</v>
      </c>
      <c r="C7470" t="s">
        <v>22</v>
      </c>
      <c r="D7470" t="s">
        <v>114</v>
      </c>
      <c r="E7470" s="4" t="str">
        <f>HYPERLINK("https://ibp.a2mac1.com/costing(costing:projects/details/9760/material/8755829)","Standard Structural Steel sheet")</f>
        <v>Standard Structural Steel sheet</v>
      </c>
      <c r="F7470" t="s">
        <v>7763</v>
      </c>
    </row>
    <row r="7471" spans="1:6" x14ac:dyDescent="0.15">
      <c r="A7471">
        <v>12213376</v>
      </c>
      <c r="B7471">
        <v>12086243</v>
      </c>
      <c r="C7471" t="s">
        <v>163</v>
      </c>
      <c r="D7471" t="s">
        <v>114</v>
      </c>
      <c r="E7471" s="4" t="str">
        <f>HYPERLINK("https://ibp.a2mac1.com/costing(costing:projects/details/9760/equipment/12213376)","Manufacturing Equipment")</f>
        <v>Manufacturing Equipment</v>
      </c>
      <c r="F7471" t="s">
        <v>7763</v>
      </c>
    </row>
    <row r="7472" spans="1:6" x14ac:dyDescent="0.15">
      <c r="A7472">
        <v>8416966</v>
      </c>
      <c r="B7472">
        <v>8416631</v>
      </c>
      <c r="C7472" t="s">
        <v>10</v>
      </c>
      <c r="D7472" t="s">
        <v>8</v>
      </c>
      <c r="E7472" s="4" t="str">
        <f>HYPERLINK("https://ibp.a2mac1.com/costing(costing:projects/details/9760/part/8416966)","Part 03")</f>
        <v>Part 03</v>
      </c>
      <c r="F7472" t="s">
        <v>7756</v>
      </c>
    </row>
    <row r="7473" spans="1:6" x14ac:dyDescent="0.15">
      <c r="A7473">
        <v>12086244</v>
      </c>
      <c r="B7473">
        <v>8416966</v>
      </c>
      <c r="C7473" t="s">
        <v>114</v>
      </c>
      <c r="D7473" t="s">
        <v>10</v>
      </c>
      <c r="E7473" s="4" t="str">
        <f>HYPERLINK("https://ibp.a2mac1.com/costing(costing:projects/details/9760/process/12086244)","MANUFACTURING  PROCESS")</f>
        <v>MANUFACTURING  PROCESS</v>
      </c>
      <c r="F7473" t="s">
        <v>7765</v>
      </c>
    </row>
    <row r="7474" spans="1:6" x14ac:dyDescent="0.15">
      <c r="A7474">
        <v>8755830</v>
      </c>
      <c r="B7474">
        <v>12086244</v>
      </c>
      <c r="C7474" t="s">
        <v>22</v>
      </c>
      <c r="D7474" t="s">
        <v>114</v>
      </c>
      <c r="E7474" s="4" t="str">
        <f>HYPERLINK("https://ibp.a2mac1.com/costing(costing:projects/details/9760/material/8755830)","Standard Structural Steel sheet")</f>
        <v>Standard Structural Steel sheet</v>
      </c>
      <c r="F7474" t="s">
        <v>7766</v>
      </c>
    </row>
    <row r="7475" spans="1:6" x14ac:dyDescent="0.15">
      <c r="A7475">
        <v>12213377</v>
      </c>
      <c r="B7475">
        <v>12086244</v>
      </c>
      <c r="C7475" t="s">
        <v>163</v>
      </c>
      <c r="D7475" t="s">
        <v>114</v>
      </c>
      <c r="E7475" s="4" t="str">
        <f>HYPERLINK("https://ibp.a2mac1.com/costing(costing:projects/details/9760/equipment/12213377)","Manufacturing Equipment")</f>
        <v>Manufacturing Equipment</v>
      </c>
      <c r="F7475" t="s">
        <v>7766</v>
      </c>
    </row>
    <row r="7476" spans="1:6" x14ac:dyDescent="0.15">
      <c r="A7476">
        <v>8416967</v>
      </c>
      <c r="B7476">
        <v>8416631</v>
      </c>
      <c r="C7476" t="s">
        <v>10</v>
      </c>
      <c r="D7476" t="s">
        <v>8</v>
      </c>
      <c r="E7476" s="4" t="str">
        <f>HYPERLINK("https://ibp.a2mac1.com/costing(costing:projects/details/9760/part/8416967)","Part 04")</f>
        <v>Part 04</v>
      </c>
      <c r="F7476" t="s">
        <v>7756</v>
      </c>
    </row>
    <row r="7477" spans="1:6" x14ac:dyDescent="0.15">
      <c r="A7477">
        <v>12086245</v>
      </c>
      <c r="B7477">
        <v>8416967</v>
      </c>
      <c r="C7477" t="s">
        <v>114</v>
      </c>
      <c r="D7477" t="s">
        <v>10</v>
      </c>
      <c r="E7477" s="4" t="str">
        <f>HYPERLINK("https://ibp.a2mac1.com/costing(costing:projects/details/9760/process/12086245)","MANUFACTURING  PROCESS")</f>
        <v>MANUFACTURING  PROCESS</v>
      </c>
      <c r="F7477" t="s">
        <v>7768</v>
      </c>
    </row>
    <row r="7478" spans="1:6" x14ac:dyDescent="0.15">
      <c r="A7478">
        <v>8755831</v>
      </c>
      <c r="B7478">
        <v>12086245</v>
      </c>
      <c r="C7478" t="s">
        <v>22</v>
      </c>
      <c r="D7478" t="s">
        <v>114</v>
      </c>
      <c r="E7478" s="4" t="str">
        <f>HYPERLINK("https://ibp.a2mac1.com/costing(costing:projects/details/9760/material/8755831)","Standard Structural Steel sheet")</f>
        <v>Standard Structural Steel sheet</v>
      </c>
      <c r="F7478" t="s">
        <v>7771</v>
      </c>
    </row>
    <row r="7479" spans="1:6" x14ac:dyDescent="0.15">
      <c r="A7479">
        <v>12213378</v>
      </c>
      <c r="B7479">
        <v>12086245</v>
      </c>
      <c r="C7479" t="s">
        <v>163</v>
      </c>
      <c r="D7479" t="s">
        <v>114</v>
      </c>
      <c r="E7479" s="4" t="str">
        <f>HYPERLINK("https://ibp.a2mac1.com/costing(costing:projects/details/9760/equipment/12213378)","Manufacturing Equipment")</f>
        <v>Manufacturing Equipment</v>
      </c>
      <c r="F7479" t="s">
        <v>7771</v>
      </c>
    </row>
    <row r="7480" spans="1:6" x14ac:dyDescent="0.15">
      <c r="A7480">
        <v>8416968</v>
      </c>
      <c r="B7480">
        <v>8416631</v>
      </c>
      <c r="C7480" t="s">
        <v>10</v>
      </c>
      <c r="D7480" t="s">
        <v>8</v>
      </c>
      <c r="E7480" s="4" t="str">
        <f>HYPERLINK("https://ibp.a2mac1.com/costing(costing:projects/details/9760/part/8416968)","Part 05")</f>
        <v>Part 05</v>
      </c>
      <c r="F7480" t="s">
        <v>7756</v>
      </c>
    </row>
    <row r="7481" spans="1:6" x14ac:dyDescent="0.15">
      <c r="A7481">
        <v>12086246</v>
      </c>
      <c r="B7481">
        <v>8416968</v>
      </c>
      <c r="C7481" t="s">
        <v>114</v>
      </c>
      <c r="D7481" t="s">
        <v>10</v>
      </c>
      <c r="E7481" s="4" t="str">
        <f>HYPERLINK("https://ibp.a2mac1.com/costing(costing:projects/details/9760/process/12086246)","MANUFACTURING  PROCESS")</f>
        <v>MANUFACTURING  PROCESS</v>
      </c>
      <c r="F7481" t="s">
        <v>7773</v>
      </c>
    </row>
    <row r="7482" spans="1:6" x14ac:dyDescent="0.15">
      <c r="A7482">
        <v>8755832</v>
      </c>
      <c r="B7482">
        <v>12086246</v>
      </c>
      <c r="C7482" t="s">
        <v>22</v>
      </c>
      <c r="D7482" t="s">
        <v>114</v>
      </c>
      <c r="E7482" s="4" t="str">
        <f>HYPERLINK("https://ibp.a2mac1.com/costing(costing:projects/details/9760/material/8755832)","Standard Structural Steel sheet")</f>
        <v>Standard Structural Steel sheet</v>
      </c>
      <c r="F7482" t="s">
        <v>7774</v>
      </c>
    </row>
    <row r="7483" spans="1:6" x14ac:dyDescent="0.15">
      <c r="A7483">
        <v>12213379</v>
      </c>
      <c r="B7483">
        <v>12086246</v>
      </c>
      <c r="C7483" t="s">
        <v>163</v>
      </c>
      <c r="D7483" t="s">
        <v>114</v>
      </c>
      <c r="E7483" s="4" t="str">
        <f>HYPERLINK("https://ibp.a2mac1.com/costing(costing:projects/details/9760/equipment/12213379)","Manufacturing Equipment")</f>
        <v>Manufacturing Equipment</v>
      </c>
      <c r="F7483" t="s">
        <v>7774</v>
      </c>
    </row>
    <row r="7484" spans="1:6" x14ac:dyDescent="0.15">
      <c r="A7484">
        <v>8416969</v>
      </c>
      <c r="B7484">
        <v>8416631</v>
      </c>
      <c r="C7484" t="s">
        <v>10</v>
      </c>
      <c r="D7484" t="s">
        <v>8</v>
      </c>
      <c r="E7484" s="4" t="str">
        <f>HYPERLINK("https://ibp.a2mac1.com/costing(costing:projects/details/9760/part/8416969)","Part 06")</f>
        <v>Part 06</v>
      </c>
      <c r="F7484" t="s">
        <v>7756</v>
      </c>
    </row>
    <row r="7485" spans="1:6" x14ac:dyDescent="0.15">
      <c r="A7485">
        <v>12086247</v>
      </c>
      <c r="B7485">
        <v>8416969</v>
      </c>
      <c r="C7485" t="s">
        <v>114</v>
      </c>
      <c r="D7485" t="s">
        <v>10</v>
      </c>
      <c r="E7485" s="4" t="str">
        <f>HYPERLINK("https://ibp.a2mac1.com/costing(costing:projects/details/9760/process/12086247)","MANUFACTURING  PROCESS")</f>
        <v>MANUFACTURING  PROCESS</v>
      </c>
      <c r="F7485" t="s">
        <v>7776</v>
      </c>
    </row>
    <row r="7486" spans="1:6" x14ac:dyDescent="0.15">
      <c r="A7486">
        <v>8755854</v>
      </c>
      <c r="B7486">
        <v>12086247</v>
      </c>
      <c r="C7486" t="s">
        <v>22</v>
      </c>
      <c r="D7486" t="s">
        <v>114</v>
      </c>
      <c r="E7486" s="4" t="str">
        <f>HYPERLINK("https://ibp.a2mac1.com/costing(costing:projects/details/9760/material/8755854)","Standard Structural Steel sheet")</f>
        <v>Standard Structural Steel sheet</v>
      </c>
      <c r="F7486" t="s">
        <v>7778</v>
      </c>
    </row>
    <row r="7487" spans="1:6" x14ac:dyDescent="0.15">
      <c r="A7487">
        <v>12213380</v>
      </c>
      <c r="B7487">
        <v>12086247</v>
      </c>
      <c r="C7487" t="s">
        <v>163</v>
      </c>
      <c r="D7487" t="s">
        <v>114</v>
      </c>
      <c r="E7487" s="4" t="str">
        <f>HYPERLINK("https://ibp.a2mac1.com/costing(costing:projects/details/9760/equipment/12213380)","Manufacturing Equipment")</f>
        <v>Manufacturing Equipment</v>
      </c>
      <c r="F7487" t="s">
        <v>7778</v>
      </c>
    </row>
    <row r="7488" spans="1:6" x14ac:dyDescent="0.15">
      <c r="A7488">
        <v>8416425</v>
      </c>
      <c r="B7488">
        <v>8416070</v>
      </c>
      <c r="C7488" t="s">
        <v>8</v>
      </c>
      <c r="D7488" t="s">
        <v>8</v>
      </c>
      <c r="E7488" s="4" t="str">
        <f>HYPERLINK("https://ibp.a2mac1.com/costing(costing:projects/details/9760/assembly/8416425)","Outer shotgun assy")</f>
        <v>Outer shotgun assy</v>
      </c>
      <c r="F7488" t="s">
        <v>7527</v>
      </c>
    </row>
    <row r="7489" spans="1:6" x14ac:dyDescent="0.15">
      <c r="A7489">
        <v>8416632</v>
      </c>
      <c r="B7489">
        <v>8416425</v>
      </c>
      <c r="C7489" t="s">
        <v>8</v>
      </c>
      <c r="D7489" t="s">
        <v>8</v>
      </c>
      <c r="E7489" s="4" t="str">
        <f>HYPERLINK("https://ibp.a2mac1.com/costing(costing:projects/details/9760/assembly/8416632)","Frame")</f>
        <v>Frame</v>
      </c>
      <c r="F7489" t="s">
        <v>7782</v>
      </c>
    </row>
    <row r="7490" spans="1:6" x14ac:dyDescent="0.15">
      <c r="A7490">
        <v>8416970</v>
      </c>
      <c r="B7490">
        <v>8416632</v>
      </c>
      <c r="C7490" t="s">
        <v>10</v>
      </c>
      <c r="D7490" t="s">
        <v>8</v>
      </c>
      <c r="E7490" s="4" t="str">
        <f>HYPERLINK("https://ibp.a2mac1.com/costing(costing:projects/details/9760/part/8416970)","Part 01 (single/main/front)")</f>
        <v>Part 01 (single/main/front)</v>
      </c>
      <c r="F7490" t="s">
        <v>7783</v>
      </c>
    </row>
    <row r="7491" spans="1:6" x14ac:dyDescent="0.15">
      <c r="A7491">
        <v>12086248</v>
      </c>
      <c r="B7491">
        <v>8416970</v>
      </c>
      <c r="C7491" t="s">
        <v>114</v>
      </c>
      <c r="D7491" t="s">
        <v>10</v>
      </c>
      <c r="E7491" s="4" t="str">
        <f>HYPERLINK("https://ibp.a2mac1.com/costing(costing:projects/details/9760/process/12086248)","MANUFACTURING  PROCESS")</f>
        <v>MANUFACTURING  PROCESS</v>
      </c>
      <c r="F7491" t="s">
        <v>7784</v>
      </c>
    </row>
    <row r="7492" spans="1:6" x14ac:dyDescent="0.15">
      <c r="A7492">
        <v>8755855</v>
      </c>
      <c r="B7492">
        <v>12086248</v>
      </c>
      <c r="C7492" t="s">
        <v>22</v>
      </c>
      <c r="D7492" t="s">
        <v>114</v>
      </c>
      <c r="E7492" s="4" t="str">
        <f>HYPERLINK("https://ibp.a2mac1.com/costing(costing:projects/details/9760/material/8755855)","Standard Structural Steel sheet")</f>
        <v>Standard Structural Steel sheet</v>
      </c>
      <c r="F7492" t="s">
        <v>7787</v>
      </c>
    </row>
    <row r="7493" spans="1:6" x14ac:dyDescent="0.15">
      <c r="A7493">
        <v>12213381</v>
      </c>
      <c r="B7493">
        <v>12086248</v>
      </c>
      <c r="C7493" t="s">
        <v>163</v>
      </c>
      <c r="D7493" t="s">
        <v>114</v>
      </c>
      <c r="E7493" s="4" t="str">
        <f>HYPERLINK("https://ibp.a2mac1.com/costing(costing:projects/details/9760/equipment/12213381)","Manufacturing Equipment")</f>
        <v>Manufacturing Equipment</v>
      </c>
      <c r="F7493" t="s">
        <v>7787</v>
      </c>
    </row>
    <row r="7494" spans="1:6" x14ac:dyDescent="0.15">
      <c r="A7494">
        <v>8416633</v>
      </c>
      <c r="B7494">
        <v>8416425</v>
      </c>
      <c r="C7494" t="s">
        <v>8</v>
      </c>
      <c r="D7494" t="s">
        <v>8</v>
      </c>
      <c r="E7494" s="4" t="str">
        <f>HYPERLINK("https://ibp.a2mac1.com/costing(costing:projects/details/9760/assembly/8416633)","Reinforcements")</f>
        <v>Reinforcements</v>
      </c>
      <c r="F7494" t="s">
        <v>7782</v>
      </c>
    </row>
    <row r="7495" spans="1:6" x14ac:dyDescent="0.15">
      <c r="A7495">
        <v>8416971</v>
      </c>
      <c r="B7495">
        <v>8416633</v>
      </c>
      <c r="C7495" t="s">
        <v>10</v>
      </c>
      <c r="D7495" t="s">
        <v>8</v>
      </c>
      <c r="E7495" s="4" t="str">
        <f>HYPERLINK("https://ibp.a2mac1.com/costing(costing:projects/details/9760/part/8416971)","Part 01 (single/main)")</f>
        <v>Part 01 (single/main)</v>
      </c>
      <c r="F7495" t="s">
        <v>7790</v>
      </c>
    </row>
    <row r="7496" spans="1:6" x14ac:dyDescent="0.15">
      <c r="A7496">
        <v>12086249</v>
      </c>
      <c r="B7496">
        <v>8416971</v>
      </c>
      <c r="C7496" t="s">
        <v>114</v>
      </c>
      <c r="D7496" t="s">
        <v>10</v>
      </c>
      <c r="E7496" s="4" t="str">
        <f>HYPERLINK("https://ibp.a2mac1.com/costing(costing:projects/details/9760/process/12086249)","MANUFACTURING  PROCESS")</f>
        <v>MANUFACTURING  PROCESS</v>
      </c>
      <c r="F7496" t="s">
        <v>7791</v>
      </c>
    </row>
    <row r="7497" spans="1:6" x14ac:dyDescent="0.15">
      <c r="A7497">
        <v>8755856</v>
      </c>
      <c r="B7497">
        <v>12086249</v>
      </c>
      <c r="C7497" t="s">
        <v>22</v>
      </c>
      <c r="D7497" t="s">
        <v>114</v>
      </c>
      <c r="E7497" s="4" t="str">
        <f>HYPERLINK("https://ibp.a2mac1.com/costing(costing:projects/details/9760/material/8755856)","Standard Structural Steel sheet")</f>
        <v>Standard Structural Steel sheet</v>
      </c>
      <c r="F7497" t="s">
        <v>7793</v>
      </c>
    </row>
    <row r="7498" spans="1:6" x14ac:dyDescent="0.15">
      <c r="A7498">
        <v>12213382</v>
      </c>
      <c r="B7498">
        <v>12086249</v>
      </c>
      <c r="C7498" t="s">
        <v>163</v>
      </c>
      <c r="D7498" t="s">
        <v>114</v>
      </c>
      <c r="E7498" s="4" t="str">
        <f>HYPERLINK("https://ibp.a2mac1.com/costing(costing:projects/details/9760/equipment/12213382)","Manufacturing Equipment")</f>
        <v>Manufacturing Equipment</v>
      </c>
      <c r="F7498" t="s">
        <v>7793</v>
      </c>
    </row>
    <row r="7499" spans="1:6" x14ac:dyDescent="0.15">
      <c r="A7499">
        <v>8416634</v>
      </c>
      <c r="B7499">
        <v>8416425</v>
      </c>
      <c r="C7499" t="s">
        <v>8</v>
      </c>
      <c r="D7499" t="s">
        <v>8</v>
      </c>
      <c r="E7499" s="4" t="str">
        <f>HYPERLINK("https://ibp.a2mac1.com/costing(costing:projects/details/9760/assembly/8416634)","Fixing parts")</f>
        <v>Fixing parts</v>
      </c>
      <c r="F7499" t="s">
        <v>7782</v>
      </c>
    </row>
    <row r="7500" spans="1:6" x14ac:dyDescent="0.15">
      <c r="A7500">
        <v>8416972</v>
      </c>
      <c r="B7500">
        <v>8416634</v>
      </c>
      <c r="C7500" t="s">
        <v>10</v>
      </c>
      <c r="D7500" t="s">
        <v>8</v>
      </c>
      <c r="E7500" s="4" t="str">
        <f>HYPERLINK("https://ibp.a2mac1.com/costing(costing:projects/details/9760/part/8416972)","Part 01 (single/main)")</f>
        <v>Part 01 (single/main)</v>
      </c>
      <c r="F7500" t="s">
        <v>7796</v>
      </c>
    </row>
    <row r="7501" spans="1:6" x14ac:dyDescent="0.15">
      <c r="A7501">
        <v>12086250</v>
      </c>
      <c r="B7501">
        <v>8416972</v>
      </c>
      <c r="C7501" t="s">
        <v>114</v>
      </c>
      <c r="D7501" t="s">
        <v>10</v>
      </c>
      <c r="E7501" s="4" t="str">
        <f>HYPERLINK("https://ibp.a2mac1.com/costing(costing:projects/details/9760/process/12086250)","MANUFACTURING  PROCESS")</f>
        <v>MANUFACTURING  PROCESS</v>
      </c>
      <c r="F7501" t="s">
        <v>7797</v>
      </c>
    </row>
    <row r="7502" spans="1:6" x14ac:dyDescent="0.15">
      <c r="A7502">
        <v>8755857</v>
      </c>
      <c r="B7502">
        <v>12086250</v>
      </c>
      <c r="C7502" t="s">
        <v>22</v>
      </c>
      <c r="D7502" t="s">
        <v>114</v>
      </c>
      <c r="E7502" s="4" t="str">
        <f>HYPERLINK("https://ibp.a2mac1.com/costing(costing:projects/details/9760/material/8755857)","Standard Structural Steel sheet")</f>
        <v>Standard Structural Steel sheet</v>
      </c>
      <c r="F7502" t="s">
        <v>7800</v>
      </c>
    </row>
    <row r="7503" spans="1:6" x14ac:dyDescent="0.15">
      <c r="A7503">
        <v>12213383</v>
      </c>
      <c r="B7503">
        <v>12086250</v>
      </c>
      <c r="C7503" t="s">
        <v>163</v>
      </c>
      <c r="D7503" t="s">
        <v>114</v>
      </c>
      <c r="E7503" s="4" t="str">
        <f>HYPERLINK("https://ibp.a2mac1.com/costing(costing:projects/details/9760/equipment/12213383)","Manufacturing Equipment")</f>
        <v>Manufacturing Equipment</v>
      </c>
      <c r="F7503" t="s">
        <v>7800</v>
      </c>
    </row>
    <row r="7504" spans="1:6" x14ac:dyDescent="0.15">
      <c r="A7504">
        <v>8416973</v>
      </c>
      <c r="B7504">
        <v>8416634</v>
      </c>
      <c r="C7504" t="s">
        <v>10</v>
      </c>
      <c r="D7504" t="s">
        <v>8</v>
      </c>
      <c r="E7504" s="4" t="str">
        <f>HYPERLINK("https://ibp.a2mac1.com/costing(costing:projects/details/9760/part/8416973)","Part 02")</f>
        <v>Part 02</v>
      </c>
      <c r="F7504" t="s">
        <v>7796</v>
      </c>
    </row>
    <row r="7505" spans="1:6" x14ac:dyDescent="0.15">
      <c r="A7505">
        <v>12086251</v>
      </c>
      <c r="B7505">
        <v>8416973</v>
      </c>
      <c r="C7505" t="s">
        <v>114</v>
      </c>
      <c r="D7505" t="s">
        <v>10</v>
      </c>
      <c r="E7505" s="4" t="str">
        <f>HYPERLINK("https://ibp.a2mac1.com/costing(costing:projects/details/9760/process/12086251)","MANUFACTURING  PROCESS")</f>
        <v>MANUFACTURING  PROCESS</v>
      </c>
      <c r="F7505" t="s">
        <v>7802</v>
      </c>
    </row>
    <row r="7506" spans="1:6" x14ac:dyDescent="0.15">
      <c r="A7506">
        <v>8755858</v>
      </c>
      <c r="B7506">
        <v>12086251</v>
      </c>
      <c r="C7506" t="s">
        <v>22</v>
      </c>
      <c r="D7506" t="s">
        <v>114</v>
      </c>
      <c r="E7506" s="4" t="str">
        <f>HYPERLINK("https://ibp.a2mac1.com/costing(costing:projects/details/9760/material/8755858)","Standard Structural Steel sheet")</f>
        <v>Standard Structural Steel sheet</v>
      </c>
      <c r="F7506" t="s">
        <v>7804</v>
      </c>
    </row>
    <row r="7507" spans="1:6" x14ac:dyDescent="0.15">
      <c r="A7507">
        <v>12213384</v>
      </c>
      <c r="B7507">
        <v>12086251</v>
      </c>
      <c r="C7507" t="s">
        <v>163</v>
      </c>
      <c r="D7507" t="s">
        <v>114</v>
      </c>
      <c r="E7507" s="4" t="str">
        <f>HYPERLINK("https://ibp.a2mac1.com/costing(costing:projects/details/9760/equipment/12213384)","Manufacturing Equipment")</f>
        <v>Manufacturing Equipment</v>
      </c>
      <c r="F7507" t="s">
        <v>7804</v>
      </c>
    </row>
    <row r="7508" spans="1:6" x14ac:dyDescent="0.15">
      <c r="A7508">
        <v>8416974</v>
      </c>
      <c r="B7508">
        <v>8416634</v>
      </c>
      <c r="C7508" t="s">
        <v>10</v>
      </c>
      <c r="D7508" t="s">
        <v>8</v>
      </c>
      <c r="E7508" s="4" t="str">
        <f>HYPERLINK("https://ibp.a2mac1.com/costing(costing:projects/details/9760/part/8416974)","Part 03")</f>
        <v>Part 03</v>
      </c>
      <c r="F7508" t="s">
        <v>7796</v>
      </c>
    </row>
    <row r="7509" spans="1:6" x14ac:dyDescent="0.15">
      <c r="A7509">
        <v>12086252</v>
      </c>
      <c r="B7509">
        <v>8416974</v>
      </c>
      <c r="C7509" t="s">
        <v>114</v>
      </c>
      <c r="D7509" t="s">
        <v>10</v>
      </c>
      <c r="E7509" s="4" t="str">
        <f>HYPERLINK("https://ibp.a2mac1.com/costing(costing:projects/details/9760/process/12086252)","MANUFACTURING  PROCESS")</f>
        <v>MANUFACTURING  PROCESS</v>
      </c>
      <c r="F7509" t="s">
        <v>7806</v>
      </c>
    </row>
    <row r="7510" spans="1:6" x14ac:dyDescent="0.15">
      <c r="A7510">
        <v>8755859</v>
      </c>
      <c r="B7510">
        <v>12086252</v>
      </c>
      <c r="C7510" t="s">
        <v>22</v>
      </c>
      <c r="D7510" t="s">
        <v>114</v>
      </c>
      <c r="E7510" s="4" t="str">
        <f>HYPERLINK("https://ibp.a2mac1.com/costing(costing:projects/details/9760/material/8755859)","Standard Structural Steel sheet")</f>
        <v>Standard Structural Steel sheet</v>
      </c>
      <c r="F7510" t="s">
        <v>7809</v>
      </c>
    </row>
    <row r="7511" spans="1:6" x14ac:dyDescent="0.15">
      <c r="A7511">
        <v>12213385</v>
      </c>
      <c r="B7511">
        <v>12086252</v>
      </c>
      <c r="C7511" t="s">
        <v>163</v>
      </c>
      <c r="D7511" t="s">
        <v>114</v>
      </c>
      <c r="E7511" s="4" t="str">
        <f>HYPERLINK("https://ibp.a2mac1.com/costing(costing:projects/details/9760/equipment/12213385)","Manufacturing Equipment")</f>
        <v>Manufacturing Equipment</v>
      </c>
      <c r="F7511" t="s">
        <v>7809</v>
      </c>
    </row>
    <row r="7512" spans="1:6" x14ac:dyDescent="0.15">
      <c r="A7512">
        <v>8416975</v>
      </c>
      <c r="B7512">
        <v>8416634</v>
      </c>
      <c r="C7512" t="s">
        <v>10</v>
      </c>
      <c r="D7512" t="s">
        <v>8</v>
      </c>
      <c r="E7512" s="4" t="str">
        <f>HYPERLINK("https://ibp.a2mac1.com/costing(costing:projects/details/9760/part/8416975)","Part 04")</f>
        <v>Part 04</v>
      </c>
      <c r="F7512" t="s">
        <v>7796</v>
      </c>
    </row>
    <row r="7513" spans="1:6" x14ac:dyDescent="0.15">
      <c r="A7513">
        <v>12086253</v>
      </c>
      <c r="B7513">
        <v>8416975</v>
      </c>
      <c r="C7513" t="s">
        <v>114</v>
      </c>
      <c r="D7513" t="s">
        <v>10</v>
      </c>
      <c r="E7513" s="4" t="str">
        <f>HYPERLINK("https://ibp.a2mac1.com/costing(costing:projects/details/9760/process/12086253)","MANUFACTURING  PROCESS")</f>
        <v>MANUFACTURING  PROCESS</v>
      </c>
      <c r="F7513" t="s">
        <v>7811</v>
      </c>
    </row>
    <row r="7514" spans="1:6" x14ac:dyDescent="0.15">
      <c r="A7514">
        <v>8755860</v>
      </c>
      <c r="B7514">
        <v>12086253</v>
      </c>
      <c r="C7514" t="s">
        <v>22</v>
      </c>
      <c r="D7514" t="s">
        <v>114</v>
      </c>
      <c r="E7514" s="4" t="str">
        <f>HYPERLINK("https://ibp.a2mac1.com/costing(costing:projects/details/9760/material/8755860)","Standard Structural Steel sheet")</f>
        <v>Standard Structural Steel sheet</v>
      </c>
      <c r="F7514" t="s">
        <v>7813</v>
      </c>
    </row>
    <row r="7515" spans="1:6" x14ac:dyDescent="0.15">
      <c r="A7515">
        <v>12213386</v>
      </c>
      <c r="B7515">
        <v>12086253</v>
      </c>
      <c r="C7515" t="s">
        <v>163</v>
      </c>
      <c r="D7515" t="s">
        <v>114</v>
      </c>
      <c r="E7515" s="4" t="str">
        <f>HYPERLINK("https://ibp.a2mac1.com/costing(costing:projects/details/9760/equipment/12213386)","Manufacturing Equipment")</f>
        <v>Manufacturing Equipment</v>
      </c>
      <c r="F7515" t="s">
        <v>7813</v>
      </c>
    </row>
    <row r="7516" spans="1:6" x14ac:dyDescent="0.15">
      <c r="A7516">
        <v>8416976</v>
      </c>
      <c r="B7516">
        <v>8416634</v>
      </c>
      <c r="C7516" t="s">
        <v>10</v>
      </c>
      <c r="D7516" t="s">
        <v>8</v>
      </c>
      <c r="E7516" s="4" t="str">
        <f>HYPERLINK("https://ibp.a2mac1.com/costing(costing:projects/details/9760/part/8416976)","Part 05")</f>
        <v>Part 05</v>
      </c>
      <c r="F7516" t="s">
        <v>7796</v>
      </c>
    </row>
    <row r="7517" spans="1:6" x14ac:dyDescent="0.15">
      <c r="A7517">
        <v>12086254</v>
      </c>
      <c r="B7517">
        <v>8416976</v>
      </c>
      <c r="C7517" t="s">
        <v>114</v>
      </c>
      <c r="D7517" t="s">
        <v>10</v>
      </c>
      <c r="E7517" s="4" t="str">
        <f>HYPERLINK("https://ibp.a2mac1.com/costing(costing:projects/details/9760/process/12086254)","MANUFACTURING  PROCESS")</f>
        <v>MANUFACTURING  PROCESS</v>
      </c>
      <c r="F7517" t="s">
        <v>7815</v>
      </c>
    </row>
    <row r="7518" spans="1:6" x14ac:dyDescent="0.15">
      <c r="A7518">
        <v>8755861</v>
      </c>
      <c r="B7518">
        <v>12086254</v>
      </c>
      <c r="C7518" t="s">
        <v>22</v>
      </c>
      <c r="D7518" t="s">
        <v>114</v>
      </c>
      <c r="E7518" s="4" t="str">
        <f>HYPERLINK("https://ibp.a2mac1.com/costing(costing:projects/details/9760/material/8755861)","Standard Structural Steel sheet")</f>
        <v>Standard Structural Steel sheet</v>
      </c>
      <c r="F7518" t="s">
        <v>7817</v>
      </c>
    </row>
    <row r="7519" spans="1:6" x14ac:dyDescent="0.15">
      <c r="A7519">
        <v>12213387</v>
      </c>
      <c r="B7519">
        <v>12086254</v>
      </c>
      <c r="C7519" t="s">
        <v>163</v>
      </c>
      <c r="D7519" t="s">
        <v>114</v>
      </c>
      <c r="E7519" s="4" t="str">
        <f>HYPERLINK("https://ibp.a2mac1.com/costing(costing:projects/details/9760/equipment/12213387)","Manufacturing Equipment")</f>
        <v>Manufacturing Equipment</v>
      </c>
      <c r="F7519" t="s">
        <v>7817</v>
      </c>
    </row>
    <row r="7520" spans="1:6" x14ac:dyDescent="0.15">
      <c r="A7520">
        <v>8416977</v>
      </c>
      <c r="B7520">
        <v>8416634</v>
      </c>
      <c r="C7520" t="s">
        <v>10</v>
      </c>
      <c r="D7520" t="s">
        <v>8</v>
      </c>
      <c r="E7520" s="4" t="str">
        <f>HYPERLINK("https://ibp.a2mac1.com/costing(costing:projects/details/9760/part/8416977)","Part 06")</f>
        <v>Part 06</v>
      </c>
      <c r="F7520" t="s">
        <v>7796</v>
      </c>
    </row>
    <row r="7521" spans="1:6" x14ac:dyDescent="0.15">
      <c r="A7521">
        <v>12086255</v>
      </c>
      <c r="B7521">
        <v>8416977</v>
      </c>
      <c r="C7521" t="s">
        <v>114</v>
      </c>
      <c r="D7521" t="s">
        <v>10</v>
      </c>
      <c r="E7521" s="4" t="str">
        <f>HYPERLINK("https://ibp.a2mac1.com/costing(costing:projects/details/9760/process/12086255)","MANUFACTURING  PROCESS")</f>
        <v>MANUFACTURING  PROCESS</v>
      </c>
      <c r="F7521" t="s">
        <v>7819</v>
      </c>
    </row>
    <row r="7522" spans="1:6" x14ac:dyDescent="0.15">
      <c r="A7522">
        <v>8755862</v>
      </c>
      <c r="B7522">
        <v>12086255</v>
      </c>
      <c r="C7522" t="s">
        <v>22</v>
      </c>
      <c r="D7522" t="s">
        <v>114</v>
      </c>
      <c r="E7522" s="4" t="str">
        <f>HYPERLINK("https://ibp.a2mac1.com/costing(costing:projects/details/9760/material/8755862)","Standard Structural Steel sheet")</f>
        <v>Standard Structural Steel sheet</v>
      </c>
      <c r="F7522" t="s">
        <v>7821</v>
      </c>
    </row>
    <row r="7523" spans="1:6" x14ac:dyDescent="0.15">
      <c r="A7523">
        <v>12213388</v>
      </c>
      <c r="B7523">
        <v>12086255</v>
      </c>
      <c r="C7523" t="s">
        <v>163</v>
      </c>
      <c r="D7523" t="s">
        <v>114</v>
      </c>
      <c r="E7523" s="4" t="str">
        <f>HYPERLINK("https://ibp.a2mac1.com/costing(costing:projects/details/9760/equipment/12213388)","Manufacturing Equipment")</f>
        <v>Manufacturing Equipment</v>
      </c>
      <c r="F7523" t="s">
        <v>7821</v>
      </c>
    </row>
    <row r="7524" spans="1:6" x14ac:dyDescent="0.15">
      <c r="A7524">
        <v>8416978</v>
      </c>
      <c r="B7524">
        <v>8416634</v>
      </c>
      <c r="C7524" t="s">
        <v>10</v>
      </c>
      <c r="D7524" t="s">
        <v>8</v>
      </c>
      <c r="E7524" s="4" t="str">
        <f>HYPERLINK("https://ibp.a2mac1.com/costing(costing:projects/details/9760/part/8416978)","Part 07")</f>
        <v>Part 07</v>
      </c>
      <c r="F7524" t="s">
        <v>7796</v>
      </c>
    </row>
    <row r="7525" spans="1:6" x14ac:dyDescent="0.15">
      <c r="A7525">
        <v>12086256</v>
      </c>
      <c r="B7525">
        <v>8416978</v>
      </c>
      <c r="C7525" t="s">
        <v>114</v>
      </c>
      <c r="D7525" t="s">
        <v>10</v>
      </c>
      <c r="E7525" s="4" t="str">
        <f>HYPERLINK("https://ibp.a2mac1.com/costing(costing:projects/details/9760/process/12086256)","MANUFACTURING  PROCESS")</f>
        <v>MANUFACTURING  PROCESS</v>
      </c>
      <c r="F7525" t="s">
        <v>7823</v>
      </c>
    </row>
    <row r="7526" spans="1:6" x14ac:dyDescent="0.15">
      <c r="A7526">
        <v>8755863</v>
      </c>
      <c r="B7526">
        <v>12086256</v>
      </c>
      <c r="C7526" t="s">
        <v>22</v>
      </c>
      <c r="D7526" t="s">
        <v>114</v>
      </c>
      <c r="E7526" s="4" t="str">
        <f>HYPERLINK("https://ibp.a2mac1.com/costing(costing:projects/details/9760/material/8755863)","Standard Structural Steel sheet")</f>
        <v>Standard Structural Steel sheet</v>
      </c>
      <c r="F7526" t="s">
        <v>7825</v>
      </c>
    </row>
    <row r="7527" spans="1:6" x14ac:dyDescent="0.15">
      <c r="A7527">
        <v>12213389</v>
      </c>
      <c r="B7527">
        <v>12086256</v>
      </c>
      <c r="C7527" t="s">
        <v>163</v>
      </c>
      <c r="D7527" t="s">
        <v>114</v>
      </c>
      <c r="E7527" s="4" t="str">
        <f>HYPERLINK("https://ibp.a2mac1.com/costing(costing:projects/details/9760/equipment/12213389)","Manufacturing Equipment")</f>
        <v>Manufacturing Equipment</v>
      </c>
      <c r="F7527" t="s">
        <v>7825</v>
      </c>
    </row>
    <row r="7528" spans="1:6" x14ac:dyDescent="0.15">
      <c r="A7528">
        <v>8415759</v>
      </c>
      <c r="B7528">
        <v>8415606</v>
      </c>
      <c r="C7528" t="s">
        <v>8</v>
      </c>
      <c r="D7528" t="s">
        <v>8</v>
      </c>
      <c r="E7528" s="4" t="str">
        <f>HYPERLINK("https://ibp.a2mac1.com/costing(costing:projects/details/9760/assembly/8415759)","Underbody")</f>
        <v>Underbody</v>
      </c>
      <c r="F7528" t="s">
        <v>7315</v>
      </c>
    </row>
    <row r="7529" spans="1:6" x14ac:dyDescent="0.15">
      <c r="A7529">
        <v>8416071</v>
      </c>
      <c r="B7529">
        <v>8415759</v>
      </c>
      <c r="C7529" t="s">
        <v>8</v>
      </c>
      <c r="D7529" t="s">
        <v>8</v>
      </c>
      <c r="E7529" s="4" t="str">
        <f>HYPERLINK("https://ibp.a2mac1.com/costing(costing:projects/details/9760/assembly/8416071)","Front unit")</f>
        <v>Front unit</v>
      </c>
      <c r="F7529" t="s">
        <v>7831</v>
      </c>
    </row>
    <row r="7530" spans="1:6" x14ac:dyDescent="0.15">
      <c r="A7530">
        <v>8416426</v>
      </c>
      <c r="B7530">
        <v>8416071</v>
      </c>
      <c r="C7530" t="s">
        <v>8</v>
      </c>
      <c r="D7530" t="s">
        <v>8</v>
      </c>
      <c r="E7530" s="4" t="str">
        <f>HYPERLINK("https://ibp.a2mac1.com/costing(costing:projects/details/9760/assembly/8416426)","Front wheel shroud assy")</f>
        <v>Front wheel shroud assy</v>
      </c>
      <c r="F7530" t="s">
        <v>7832</v>
      </c>
    </row>
    <row r="7531" spans="1:6" x14ac:dyDescent="0.15">
      <c r="A7531">
        <v>8416635</v>
      </c>
      <c r="B7531">
        <v>8416426</v>
      </c>
      <c r="C7531" t="s">
        <v>8</v>
      </c>
      <c r="D7531" t="s">
        <v>8</v>
      </c>
      <c r="E7531" s="4" t="str">
        <f>HYPERLINK("https://ibp.a2mac1.com/costing(costing:projects/details/9760/assembly/8416635)","Inner shotgun assy")</f>
        <v>Inner shotgun assy</v>
      </c>
      <c r="F7531" t="s">
        <v>7833</v>
      </c>
    </row>
    <row r="7532" spans="1:6" x14ac:dyDescent="0.15">
      <c r="A7532">
        <v>8416979</v>
      </c>
      <c r="B7532">
        <v>8416635</v>
      </c>
      <c r="C7532" t="s">
        <v>8</v>
      </c>
      <c r="D7532" t="s">
        <v>8</v>
      </c>
      <c r="E7532" s="4" t="str">
        <f>HYPERLINK("https://ibp.a2mac1.com/costing(costing:projects/details/9760/assembly/8416979)","Frame")</f>
        <v>Frame</v>
      </c>
      <c r="F7532" t="s">
        <v>7834</v>
      </c>
    </row>
    <row r="7533" spans="1:6" x14ac:dyDescent="0.15">
      <c r="A7533">
        <v>8417274</v>
      </c>
      <c r="B7533">
        <v>8416979</v>
      </c>
      <c r="C7533" t="s">
        <v>10</v>
      </c>
      <c r="D7533" t="s">
        <v>8</v>
      </c>
      <c r="E7533" s="4" t="str">
        <f>HYPERLINK("https://ibp.a2mac1.com/costing(costing:projects/details/9760/part/8417274)","Part 01 (single/main/upper)")</f>
        <v>Part 01 (single/main/upper)</v>
      </c>
      <c r="F7533" t="s">
        <v>7835</v>
      </c>
    </row>
    <row r="7534" spans="1:6" x14ac:dyDescent="0.15">
      <c r="A7534">
        <v>12086452</v>
      </c>
      <c r="B7534">
        <v>8417274</v>
      </c>
      <c r="C7534" t="s">
        <v>114</v>
      </c>
      <c r="D7534" t="s">
        <v>10</v>
      </c>
      <c r="E7534" s="4" t="str">
        <f>HYPERLINK("https://ibp.a2mac1.com/costing(costing:projects/details/9760/process/12086452)","MANUFACTURING  PROCESS")</f>
        <v>MANUFACTURING  PROCESS</v>
      </c>
      <c r="F7534" t="s">
        <v>7836</v>
      </c>
    </row>
    <row r="7535" spans="1:6" x14ac:dyDescent="0.15">
      <c r="A7535">
        <v>8756055</v>
      </c>
      <c r="B7535">
        <v>12086452</v>
      </c>
      <c r="C7535" t="s">
        <v>22</v>
      </c>
      <c r="D7535" t="s">
        <v>114</v>
      </c>
      <c r="E7535" s="4" t="str">
        <f>HYPERLINK("https://ibp.a2mac1.com/costing(costing:projects/details/9760/material/8756055)","Standard Structural Steel sheet")</f>
        <v>Standard Structural Steel sheet</v>
      </c>
      <c r="F7535" t="s">
        <v>7839</v>
      </c>
    </row>
    <row r="7536" spans="1:6" x14ac:dyDescent="0.15">
      <c r="A7536">
        <v>12213597</v>
      </c>
      <c r="B7536">
        <v>12086452</v>
      </c>
      <c r="C7536" t="s">
        <v>163</v>
      </c>
      <c r="D7536" t="s">
        <v>114</v>
      </c>
      <c r="E7536" s="4" t="str">
        <f>HYPERLINK("https://ibp.a2mac1.com/costing(costing:projects/details/9760/equipment/12213597)","Manufacturing Equipment")</f>
        <v>Manufacturing Equipment</v>
      </c>
      <c r="F7536" t="s">
        <v>7839</v>
      </c>
    </row>
    <row r="7537" spans="1:6" x14ac:dyDescent="0.15">
      <c r="A7537">
        <v>8417275</v>
      </c>
      <c r="B7537">
        <v>8416979</v>
      </c>
      <c r="C7537" t="s">
        <v>10</v>
      </c>
      <c r="D7537" t="s">
        <v>8</v>
      </c>
      <c r="E7537" s="4" t="str">
        <f>HYPERLINK("https://ibp.a2mac1.com/costing(costing:projects/details/9760/part/8417275)","Part 02")</f>
        <v>Part 02</v>
      </c>
      <c r="F7537" t="s">
        <v>7835</v>
      </c>
    </row>
    <row r="7538" spans="1:6" x14ac:dyDescent="0.15">
      <c r="A7538">
        <v>12086453</v>
      </c>
      <c r="B7538">
        <v>8417275</v>
      </c>
      <c r="C7538" t="s">
        <v>114</v>
      </c>
      <c r="D7538" t="s">
        <v>10</v>
      </c>
      <c r="E7538" s="4" t="str">
        <f>HYPERLINK("https://ibp.a2mac1.com/costing(costing:projects/details/9760/process/12086453)","MANUFACTURING  PROCESS")</f>
        <v>MANUFACTURING  PROCESS</v>
      </c>
      <c r="F7538" t="s">
        <v>7841</v>
      </c>
    </row>
    <row r="7539" spans="1:6" x14ac:dyDescent="0.15">
      <c r="A7539">
        <v>8756056</v>
      </c>
      <c r="B7539">
        <v>12086453</v>
      </c>
      <c r="C7539" t="s">
        <v>22</v>
      </c>
      <c r="D7539" t="s">
        <v>114</v>
      </c>
      <c r="E7539" s="4" t="str">
        <f>HYPERLINK("https://ibp.a2mac1.com/costing(costing:projects/details/9760/material/8756056)","Standard Structural Steel sheet")</f>
        <v>Standard Structural Steel sheet</v>
      </c>
      <c r="F7539" t="s">
        <v>7844</v>
      </c>
    </row>
    <row r="7540" spans="1:6" x14ac:dyDescent="0.15">
      <c r="A7540">
        <v>12213598</v>
      </c>
      <c r="B7540">
        <v>12086453</v>
      </c>
      <c r="C7540" t="s">
        <v>163</v>
      </c>
      <c r="D7540" t="s">
        <v>114</v>
      </c>
      <c r="E7540" s="4" t="str">
        <f>HYPERLINK("https://ibp.a2mac1.com/costing(costing:projects/details/9760/equipment/12213598)","Manufacturing Equipment")</f>
        <v>Manufacturing Equipment</v>
      </c>
      <c r="F7540" t="s">
        <v>7844</v>
      </c>
    </row>
    <row r="7541" spans="1:6" x14ac:dyDescent="0.15">
      <c r="A7541">
        <v>8416636</v>
      </c>
      <c r="B7541">
        <v>8416426</v>
      </c>
      <c r="C7541" t="s">
        <v>8</v>
      </c>
      <c r="D7541" t="s">
        <v>8</v>
      </c>
      <c r="E7541" s="4" t="str">
        <f>HYPERLINK("https://ibp.a2mac1.com/costing(costing:projects/details/9760/assembly/8416636)","Shock absorber bowl assy")</f>
        <v>Shock absorber bowl assy</v>
      </c>
      <c r="F7541" t="s">
        <v>7833</v>
      </c>
    </row>
    <row r="7542" spans="1:6" x14ac:dyDescent="0.15">
      <c r="A7542">
        <v>8416980</v>
      </c>
      <c r="B7542">
        <v>8416636</v>
      </c>
      <c r="C7542" t="s">
        <v>8</v>
      </c>
      <c r="D7542" t="s">
        <v>8</v>
      </c>
      <c r="E7542" s="4" t="str">
        <f>HYPERLINK("https://ibp.a2mac1.com/costing(costing:projects/details/9760/assembly/8416980)","Bowl")</f>
        <v>Bowl</v>
      </c>
      <c r="F7542" t="s">
        <v>7848</v>
      </c>
    </row>
    <row r="7543" spans="1:6" x14ac:dyDescent="0.15">
      <c r="A7543">
        <v>8417276</v>
      </c>
      <c r="B7543">
        <v>8416980</v>
      </c>
      <c r="C7543" t="s">
        <v>10</v>
      </c>
      <c r="D7543" t="s">
        <v>8</v>
      </c>
      <c r="E7543" s="4" t="str">
        <f>HYPERLINK("https://ibp.a2mac1.com/costing(costing:projects/details/9760/part/8417276)","Part 01 (single/main)")</f>
        <v>Part 01 (single/main)</v>
      </c>
      <c r="F7543" t="s">
        <v>7849</v>
      </c>
    </row>
    <row r="7544" spans="1:6" x14ac:dyDescent="0.15">
      <c r="A7544">
        <v>12086454</v>
      </c>
      <c r="B7544">
        <v>8417276</v>
      </c>
      <c r="C7544" t="s">
        <v>114</v>
      </c>
      <c r="D7544" t="s">
        <v>10</v>
      </c>
      <c r="E7544" s="4" t="str">
        <f>HYPERLINK("https://ibp.a2mac1.com/costing(costing:projects/details/9760/process/12086454)","MANUFACTURING  PROCESS")</f>
        <v>MANUFACTURING  PROCESS</v>
      </c>
      <c r="F7544" t="s">
        <v>7850</v>
      </c>
    </row>
    <row r="7545" spans="1:6" x14ac:dyDescent="0.15">
      <c r="A7545">
        <v>8756057</v>
      </c>
      <c r="B7545">
        <v>12086454</v>
      </c>
      <c r="C7545" t="s">
        <v>22</v>
      </c>
      <c r="D7545" t="s">
        <v>114</v>
      </c>
      <c r="E7545" s="4" t="str">
        <f>HYPERLINK("https://ibp.a2mac1.com/costing(costing:projects/details/9760/material/8756057)","Aluminum sheet body (default, e.g. EN-AW6063)")</f>
        <v>Aluminum sheet body (default, e.g. EN-AW6063)</v>
      </c>
      <c r="F7545" t="s">
        <v>7853</v>
      </c>
    </row>
    <row r="7546" spans="1:6" x14ac:dyDescent="0.15">
      <c r="A7546">
        <v>12213599</v>
      </c>
      <c r="B7546">
        <v>12086454</v>
      </c>
      <c r="C7546" t="s">
        <v>163</v>
      </c>
      <c r="D7546" t="s">
        <v>114</v>
      </c>
      <c r="E7546" s="4" t="str">
        <f>HYPERLINK("https://ibp.a2mac1.com/costing(costing:projects/details/9760/equipment/12213599)","Manufacturing Equipment")</f>
        <v>Manufacturing Equipment</v>
      </c>
      <c r="F7546" t="s">
        <v>7853</v>
      </c>
    </row>
    <row r="7547" spans="1:6" x14ac:dyDescent="0.15">
      <c r="A7547">
        <v>8416427</v>
      </c>
      <c r="B7547">
        <v>8416071</v>
      </c>
      <c r="C7547" t="s">
        <v>8</v>
      </c>
      <c r="D7547" t="s">
        <v>8</v>
      </c>
      <c r="E7547" s="4" t="str">
        <f>HYPERLINK("https://ibp.a2mac1.com/costing(costing:projects/details/9760/assembly/8416427)","Front side member assy")</f>
        <v>Front side member assy</v>
      </c>
      <c r="F7547" t="s">
        <v>7832</v>
      </c>
    </row>
    <row r="7548" spans="1:6" x14ac:dyDescent="0.15">
      <c r="A7548">
        <v>8416637</v>
      </c>
      <c r="B7548">
        <v>8416427</v>
      </c>
      <c r="C7548" t="s">
        <v>8</v>
      </c>
      <c r="D7548" t="s">
        <v>8</v>
      </c>
      <c r="E7548" s="4" t="str">
        <f>HYPERLINK("https://ibp.a2mac1.com/costing(costing:projects/details/9760/assembly/8416637)","Frame")</f>
        <v>Frame</v>
      </c>
      <c r="F7548" t="s">
        <v>7858</v>
      </c>
    </row>
    <row r="7549" spans="1:6" x14ac:dyDescent="0.15">
      <c r="A7549">
        <v>8416981</v>
      </c>
      <c r="B7549">
        <v>8416637</v>
      </c>
      <c r="C7549" t="s">
        <v>10</v>
      </c>
      <c r="D7549" t="s">
        <v>8</v>
      </c>
      <c r="E7549" s="4" t="str">
        <f>HYPERLINK("https://ibp.a2mac1.com/costing(costing:projects/details/9760/part/8416981)","Part 01 (main/single/front)")</f>
        <v>Part 01 (main/single/front)</v>
      </c>
      <c r="F7549" t="s">
        <v>7859</v>
      </c>
    </row>
    <row r="7550" spans="1:6" x14ac:dyDescent="0.15">
      <c r="A7550">
        <v>12086257</v>
      </c>
      <c r="B7550">
        <v>8416981</v>
      </c>
      <c r="C7550" t="s">
        <v>114</v>
      </c>
      <c r="D7550" t="s">
        <v>10</v>
      </c>
      <c r="E7550" s="4" t="str">
        <f>HYPERLINK("https://ibp.a2mac1.com/costing(costing:projects/details/9760/process/12086257)","MANUFACTURING  PROCESS")</f>
        <v>MANUFACTURING  PROCESS</v>
      </c>
      <c r="F7550" t="s">
        <v>7860</v>
      </c>
    </row>
    <row r="7551" spans="1:6" x14ac:dyDescent="0.15">
      <c r="A7551">
        <v>8755864</v>
      </c>
      <c r="B7551">
        <v>12086257</v>
      </c>
      <c r="C7551" t="s">
        <v>22</v>
      </c>
      <c r="D7551" t="s">
        <v>114</v>
      </c>
      <c r="E7551" s="4" t="str">
        <f>HYPERLINK("https://ibp.a2mac1.com/costing(costing:projects/details/9760/material/8755864)","Steel sheet (Hot Forming Steel)")</f>
        <v>Steel sheet (Hot Forming Steel)</v>
      </c>
      <c r="F7551" t="s">
        <v>7863</v>
      </c>
    </row>
    <row r="7552" spans="1:6" x14ac:dyDescent="0.15">
      <c r="A7552">
        <v>12213390</v>
      </c>
      <c r="B7552">
        <v>12086257</v>
      </c>
      <c r="C7552" t="s">
        <v>163</v>
      </c>
      <c r="D7552" t="s">
        <v>114</v>
      </c>
      <c r="E7552" s="4" t="str">
        <f>HYPERLINK("https://ibp.a2mac1.com/costing(costing:projects/details/9760/equipment/12213390)","Manufacturing Equipment")</f>
        <v>Manufacturing Equipment</v>
      </c>
      <c r="F7552" t="s">
        <v>7863</v>
      </c>
    </row>
    <row r="7553" spans="1:6" x14ac:dyDescent="0.15">
      <c r="A7553">
        <v>8416982</v>
      </c>
      <c r="B7553">
        <v>8416637</v>
      </c>
      <c r="C7553" t="s">
        <v>10</v>
      </c>
      <c r="D7553" t="s">
        <v>8</v>
      </c>
      <c r="E7553" s="4" t="str">
        <f>HYPERLINK("https://ibp.a2mac1.com/costing(costing:projects/details/9760/part/8416982)","Part 02")</f>
        <v>Part 02</v>
      </c>
      <c r="F7553" t="s">
        <v>7859</v>
      </c>
    </row>
    <row r="7554" spans="1:6" x14ac:dyDescent="0.15">
      <c r="A7554">
        <v>12086258</v>
      </c>
      <c r="B7554">
        <v>8416982</v>
      </c>
      <c r="C7554" t="s">
        <v>114</v>
      </c>
      <c r="D7554" t="s">
        <v>10</v>
      </c>
      <c r="E7554" s="4" t="str">
        <f>HYPERLINK("https://ibp.a2mac1.com/costing(costing:projects/details/9760/process/12086258)","MANUFACTURING  PROCESS")</f>
        <v>MANUFACTURING  PROCESS</v>
      </c>
      <c r="F7554" t="s">
        <v>7865</v>
      </c>
    </row>
    <row r="7555" spans="1:6" x14ac:dyDescent="0.15">
      <c r="A7555">
        <v>8755865</v>
      </c>
      <c r="B7555">
        <v>12086258</v>
      </c>
      <c r="C7555" t="s">
        <v>22</v>
      </c>
      <c r="D7555" t="s">
        <v>114</v>
      </c>
      <c r="E7555" s="4" t="str">
        <f>HYPERLINK("https://ibp.a2mac1.com/costing(costing:projects/details/9760/material/8755865)","Standard Structural Steel sheet")</f>
        <v>Standard Structural Steel sheet</v>
      </c>
      <c r="F7555" t="s">
        <v>7868</v>
      </c>
    </row>
    <row r="7556" spans="1:6" x14ac:dyDescent="0.15">
      <c r="A7556">
        <v>12213391</v>
      </c>
      <c r="B7556">
        <v>12086258</v>
      </c>
      <c r="C7556" t="s">
        <v>163</v>
      </c>
      <c r="D7556" t="s">
        <v>114</v>
      </c>
      <c r="E7556" s="4" t="str">
        <f>HYPERLINK("https://ibp.a2mac1.com/costing(costing:projects/details/9760/equipment/12213391)","Manufacturing Equipment")</f>
        <v>Manufacturing Equipment</v>
      </c>
      <c r="F7556" t="s">
        <v>7868</v>
      </c>
    </row>
    <row r="7557" spans="1:6" x14ac:dyDescent="0.15">
      <c r="A7557">
        <v>8416983</v>
      </c>
      <c r="B7557">
        <v>8416637</v>
      </c>
      <c r="C7557" t="s">
        <v>10</v>
      </c>
      <c r="D7557" t="s">
        <v>8</v>
      </c>
      <c r="E7557" s="4" t="str">
        <f>HYPERLINK("https://ibp.a2mac1.com/costing(costing:projects/details/9760/part/8416983)","Part 03")</f>
        <v>Part 03</v>
      </c>
      <c r="F7557" t="s">
        <v>7859</v>
      </c>
    </row>
    <row r="7558" spans="1:6" x14ac:dyDescent="0.15">
      <c r="A7558">
        <v>12086259</v>
      </c>
      <c r="B7558">
        <v>8416983</v>
      </c>
      <c r="C7558" t="s">
        <v>114</v>
      </c>
      <c r="D7558" t="s">
        <v>10</v>
      </c>
      <c r="E7558" s="4" t="str">
        <f>HYPERLINK("https://ibp.a2mac1.com/costing(costing:projects/details/9760/process/12086259)","MANUFACTURING  PROCESS")</f>
        <v>MANUFACTURING  PROCESS</v>
      </c>
      <c r="F7558" t="s">
        <v>7870</v>
      </c>
    </row>
    <row r="7559" spans="1:6" x14ac:dyDescent="0.15">
      <c r="A7559">
        <v>8755866</v>
      </c>
      <c r="B7559">
        <v>12086259</v>
      </c>
      <c r="C7559" t="s">
        <v>22</v>
      </c>
      <c r="D7559" t="s">
        <v>114</v>
      </c>
      <c r="E7559" s="4" t="str">
        <f>HYPERLINK("https://ibp.a2mac1.com/costing(costing:projects/details/9760/material/8755866)","Standard Structural Steel sheet")</f>
        <v>Standard Structural Steel sheet</v>
      </c>
      <c r="F7559" t="s">
        <v>7873</v>
      </c>
    </row>
    <row r="7560" spans="1:6" x14ac:dyDescent="0.15">
      <c r="A7560">
        <v>12213392</v>
      </c>
      <c r="B7560">
        <v>12086259</v>
      </c>
      <c r="C7560" t="s">
        <v>163</v>
      </c>
      <c r="D7560" t="s">
        <v>114</v>
      </c>
      <c r="E7560" s="4" t="str">
        <f>HYPERLINK("https://ibp.a2mac1.com/costing(costing:projects/details/9760/equipment/12213392)","Manufacturing Equipment")</f>
        <v>Manufacturing Equipment</v>
      </c>
      <c r="F7560" t="s">
        <v>7873</v>
      </c>
    </row>
    <row r="7561" spans="1:6" x14ac:dyDescent="0.15">
      <c r="A7561">
        <v>8416984</v>
      </c>
      <c r="B7561">
        <v>8416637</v>
      </c>
      <c r="C7561" t="s">
        <v>10</v>
      </c>
      <c r="D7561" t="s">
        <v>8</v>
      </c>
      <c r="E7561" s="4" t="str">
        <f>HYPERLINK("https://ibp.a2mac1.com/costing(costing:projects/details/9760/part/8416984)","Part 04")</f>
        <v>Part 04</v>
      </c>
      <c r="F7561" t="s">
        <v>7859</v>
      </c>
    </row>
    <row r="7562" spans="1:6" x14ac:dyDescent="0.15">
      <c r="A7562">
        <v>12086260</v>
      </c>
      <c r="B7562">
        <v>8416984</v>
      </c>
      <c r="C7562" t="s">
        <v>114</v>
      </c>
      <c r="D7562" t="s">
        <v>10</v>
      </c>
      <c r="E7562" s="4" t="str">
        <f>HYPERLINK("https://ibp.a2mac1.com/costing(costing:projects/details/9760/process/12086260)","MANUFACTURING  PROCESS")</f>
        <v>MANUFACTURING  PROCESS</v>
      </c>
      <c r="F7562" t="s">
        <v>7875</v>
      </c>
    </row>
    <row r="7563" spans="1:6" x14ac:dyDescent="0.15">
      <c r="A7563">
        <v>8755867</v>
      </c>
      <c r="B7563">
        <v>12086260</v>
      </c>
      <c r="C7563" t="s">
        <v>22</v>
      </c>
      <c r="D7563" t="s">
        <v>114</v>
      </c>
      <c r="E7563" s="4" t="str">
        <f>HYPERLINK("https://ibp.a2mac1.com/costing(costing:projects/details/9760/material/8755867)","Standard Structural Steel sheet")</f>
        <v>Standard Structural Steel sheet</v>
      </c>
      <c r="F7563" t="s">
        <v>7878</v>
      </c>
    </row>
    <row r="7564" spans="1:6" x14ac:dyDescent="0.15">
      <c r="A7564">
        <v>12213393</v>
      </c>
      <c r="B7564">
        <v>12086260</v>
      </c>
      <c r="C7564" t="s">
        <v>163</v>
      </c>
      <c r="D7564" t="s">
        <v>114</v>
      </c>
      <c r="E7564" s="4" t="str">
        <f>HYPERLINK("https://ibp.a2mac1.com/costing(costing:projects/details/9760/equipment/12213393)","Manufacturing Equipment")</f>
        <v>Manufacturing Equipment</v>
      </c>
      <c r="F7564" t="s">
        <v>7878</v>
      </c>
    </row>
    <row r="7565" spans="1:6" x14ac:dyDescent="0.15">
      <c r="A7565">
        <v>8416638</v>
      </c>
      <c r="B7565">
        <v>8416427</v>
      </c>
      <c r="C7565" t="s">
        <v>8</v>
      </c>
      <c r="D7565" t="s">
        <v>8</v>
      </c>
      <c r="E7565" s="4" t="str">
        <f>HYPERLINK("https://ibp.a2mac1.com/costing(costing:projects/details/9760/assembly/8416638)","Reinforcements")</f>
        <v>Reinforcements</v>
      </c>
      <c r="F7565" t="s">
        <v>7858</v>
      </c>
    </row>
    <row r="7566" spans="1:6" x14ac:dyDescent="0.15">
      <c r="A7566">
        <v>8416985</v>
      </c>
      <c r="B7566">
        <v>8416638</v>
      </c>
      <c r="C7566" t="s">
        <v>10</v>
      </c>
      <c r="D7566" t="s">
        <v>8</v>
      </c>
      <c r="E7566" s="4" t="str">
        <f>HYPERLINK("https://ibp.a2mac1.com/costing(costing:projects/details/9760/part/8416985)","Part 01 (single/main)")</f>
        <v>Part 01 (single/main)</v>
      </c>
      <c r="F7566" t="s">
        <v>7881</v>
      </c>
    </row>
    <row r="7567" spans="1:6" x14ac:dyDescent="0.15">
      <c r="A7567">
        <v>12086261</v>
      </c>
      <c r="B7567">
        <v>8416985</v>
      </c>
      <c r="C7567" t="s">
        <v>114</v>
      </c>
      <c r="D7567" t="s">
        <v>10</v>
      </c>
      <c r="E7567" s="4" t="str">
        <f>HYPERLINK("https://ibp.a2mac1.com/costing(costing:projects/details/9760/process/12086261)","MANUFACTURING  PROCESS")</f>
        <v>MANUFACTURING  PROCESS</v>
      </c>
      <c r="F7567" t="s">
        <v>7882</v>
      </c>
    </row>
    <row r="7568" spans="1:6" x14ac:dyDescent="0.15">
      <c r="A7568">
        <v>8755868</v>
      </c>
      <c r="B7568">
        <v>12086261</v>
      </c>
      <c r="C7568" t="s">
        <v>22</v>
      </c>
      <c r="D7568" t="s">
        <v>114</v>
      </c>
      <c r="E7568" s="4" t="str">
        <f>HYPERLINK("https://ibp.a2mac1.com/costing(costing:projects/details/9760/material/8755868)","Steel sheet (Hot Forming Steel)")</f>
        <v>Steel sheet (Hot Forming Steel)</v>
      </c>
      <c r="F7568" t="s">
        <v>7885</v>
      </c>
    </row>
    <row r="7569" spans="1:6" x14ac:dyDescent="0.15">
      <c r="A7569">
        <v>12213394</v>
      </c>
      <c r="B7569">
        <v>12086261</v>
      </c>
      <c r="C7569" t="s">
        <v>163</v>
      </c>
      <c r="D7569" t="s">
        <v>114</v>
      </c>
      <c r="E7569" s="4" t="str">
        <f>HYPERLINK("https://ibp.a2mac1.com/costing(costing:projects/details/9760/equipment/12213394)","Manufacturing Equipment")</f>
        <v>Manufacturing Equipment</v>
      </c>
      <c r="F7569" t="s">
        <v>7885</v>
      </c>
    </row>
    <row r="7570" spans="1:6" x14ac:dyDescent="0.15">
      <c r="A7570">
        <v>8416986</v>
      </c>
      <c r="B7570">
        <v>8416638</v>
      </c>
      <c r="C7570" t="s">
        <v>10</v>
      </c>
      <c r="D7570" t="s">
        <v>8</v>
      </c>
      <c r="E7570" s="4" t="str">
        <f>HYPERLINK("https://ibp.a2mac1.com/costing(costing:projects/details/9760/part/8416986)","Part 02")</f>
        <v>Part 02</v>
      </c>
      <c r="F7570" t="s">
        <v>7881</v>
      </c>
    </row>
    <row r="7571" spans="1:6" x14ac:dyDescent="0.15">
      <c r="A7571">
        <v>12086262</v>
      </c>
      <c r="B7571">
        <v>8416986</v>
      </c>
      <c r="C7571" t="s">
        <v>114</v>
      </c>
      <c r="D7571" t="s">
        <v>10</v>
      </c>
      <c r="E7571" s="4" t="str">
        <f>HYPERLINK("https://ibp.a2mac1.com/costing(costing:projects/details/9760/process/12086262)","MANUFACTURING  PROCESS")</f>
        <v>MANUFACTURING  PROCESS</v>
      </c>
      <c r="F7571" t="s">
        <v>7887</v>
      </c>
    </row>
    <row r="7572" spans="1:6" x14ac:dyDescent="0.15">
      <c r="A7572">
        <v>8755869</v>
      </c>
      <c r="B7572">
        <v>12086262</v>
      </c>
      <c r="C7572" t="s">
        <v>22</v>
      </c>
      <c r="D7572" t="s">
        <v>114</v>
      </c>
      <c r="E7572" s="4" t="str">
        <f>HYPERLINK("https://ibp.a2mac1.com/costing(costing:projects/details/9760/material/8755869)","Standard Structural Steel sheet")</f>
        <v>Standard Structural Steel sheet</v>
      </c>
      <c r="F7572" t="s">
        <v>7889</v>
      </c>
    </row>
    <row r="7573" spans="1:6" x14ac:dyDescent="0.15">
      <c r="A7573">
        <v>12213395</v>
      </c>
      <c r="B7573">
        <v>12086262</v>
      </c>
      <c r="C7573" t="s">
        <v>163</v>
      </c>
      <c r="D7573" t="s">
        <v>114</v>
      </c>
      <c r="E7573" s="4" t="str">
        <f>HYPERLINK("https://ibp.a2mac1.com/costing(costing:projects/details/9760/equipment/12213395)","Manufacturing Equipment")</f>
        <v>Manufacturing Equipment</v>
      </c>
      <c r="F7573" t="s">
        <v>7889</v>
      </c>
    </row>
    <row r="7574" spans="1:6" x14ac:dyDescent="0.15">
      <c r="A7574">
        <v>8416987</v>
      </c>
      <c r="B7574">
        <v>8416638</v>
      </c>
      <c r="C7574" t="s">
        <v>10</v>
      </c>
      <c r="D7574" t="s">
        <v>8</v>
      </c>
      <c r="E7574" s="4" t="str">
        <f>HYPERLINK("https://ibp.a2mac1.com/costing(costing:projects/details/9760/part/8416987)","Part 03")</f>
        <v>Part 03</v>
      </c>
      <c r="F7574" t="s">
        <v>7881</v>
      </c>
    </row>
    <row r="7575" spans="1:6" x14ac:dyDescent="0.15">
      <c r="A7575">
        <v>12086263</v>
      </c>
      <c r="B7575">
        <v>8416987</v>
      </c>
      <c r="C7575" t="s">
        <v>114</v>
      </c>
      <c r="D7575" t="s">
        <v>10</v>
      </c>
      <c r="E7575" s="4" t="str">
        <f>HYPERLINK("https://ibp.a2mac1.com/costing(costing:projects/details/9760/process/12086263)","MANUFACTURING  PROCESS")</f>
        <v>MANUFACTURING  PROCESS</v>
      </c>
      <c r="F7575" t="s">
        <v>7891</v>
      </c>
    </row>
    <row r="7576" spans="1:6" x14ac:dyDescent="0.15">
      <c r="A7576">
        <v>8755870</v>
      </c>
      <c r="B7576">
        <v>12086263</v>
      </c>
      <c r="C7576" t="s">
        <v>22</v>
      </c>
      <c r="D7576" t="s">
        <v>114</v>
      </c>
      <c r="E7576" s="4" t="str">
        <f>HYPERLINK("https://ibp.a2mac1.com/costing(costing:projects/details/9760/material/8755870)","Standard Structural Steel sheet")</f>
        <v>Standard Structural Steel sheet</v>
      </c>
      <c r="F7576" t="s">
        <v>7893</v>
      </c>
    </row>
    <row r="7577" spans="1:6" x14ac:dyDescent="0.15">
      <c r="A7577">
        <v>12213396</v>
      </c>
      <c r="B7577">
        <v>12086263</v>
      </c>
      <c r="C7577" t="s">
        <v>163</v>
      </c>
      <c r="D7577" t="s">
        <v>114</v>
      </c>
      <c r="E7577" s="4" t="str">
        <f>HYPERLINK("https://ibp.a2mac1.com/costing(costing:projects/details/9760/equipment/12213396)","Manufacturing Equipment")</f>
        <v>Manufacturing Equipment</v>
      </c>
      <c r="F7577" t="s">
        <v>7893</v>
      </c>
    </row>
    <row r="7578" spans="1:6" x14ac:dyDescent="0.15">
      <c r="A7578">
        <v>8416988</v>
      </c>
      <c r="B7578">
        <v>8416638</v>
      </c>
      <c r="C7578" t="s">
        <v>10</v>
      </c>
      <c r="D7578" t="s">
        <v>8</v>
      </c>
      <c r="E7578" s="4" t="str">
        <f>HYPERLINK("https://ibp.a2mac1.com/costing(costing:projects/details/9760/part/8416988)","Part 04")</f>
        <v>Part 04</v>
      </c>
      <c r="F7578" t="s">
        <v>7881</v>
      </c>
    </row>
    <row r="7579" spans="1:6" x14ac:dyDescent="0.15">
      <c r="A7579">
        <v>12086264</v>
      </c>
      <c r="B7579">
        <v>8416988</v>
      </c>
      <c r="C7579" t="s">
        <v>114</v>
      </c>
      <c r="D7579" t="s">
        <v>10</v>
      </c>
      <c r="E7579" s="4" t="str">
        <f>HYPERLINK("https://ibp.a2mac1.com/costing(costing:projects/details/9760/process/12086264)","MANUFACTURING  PROCESS")</f>
        <v>MANUFACTURING  PROCESS</v>
      </c>
      <c r="F7579" t="s">
        <v>7895</v>
      </c>
    </row>
    <row r="7580" spans="1:6" x14ac:dyDescent="0.15">
      <c r="A7580">
        <v>8755871</v>
      </c>
      <c r="B7580">
        <v>12086264</v>
      </c>
      <c r="C7580" t="s">
        <v>22</v>
      </c>
      <c r="D7580" t="s">
        <v>114</v>
      </c>
      <c r="E7580" s="4" t="str">
        <f>HYPERLINK("https://ibp.a2mac1.com/costing(costing:projects/details/9760/material/8755871)","Standard Structural Steel sheet")</f>
        <v>Standard Structural Steel sheet</v>
      </c>
      <c r="F7580" t="s">
        <v>7898</v>
      </c>
    </row>
    <row r="7581" spans="1:6" x14ac:dyDescent="0.15">
      <c r="A7581">
        <v>12213397</v>
      </c>
      <c r="B7581">
        <v>12086264</v>
      </c>
      <c r="C7581" t="s">
        <v>163</v>
      </c>
      <c r="D7581" t="s">
        <v>114</v>
      </c>
      <c r="E7581" s="4" t="str">
        <f>HYPERLINK("https://ibp.a2mac1.com/costing(costing:projects/details/9760/equipment/12213397)","Manufacturing Equipment")</f>
        <v>Manufacturing Equipment</v>
      </c>
      <c r="F7581" t="s">
        <v>7898</v>
      </c>
    </row>
    <row r="7582" spans="1:6" x14ac:dyDescent="0.15">
      <c r="A7582">
        <v>8416989</v>
      </c>
      <c r="B7582">
        <v>8416638</v>
      </c>
      <c r="C7582" t="s">
        <v>10</v>
      </c>
      <c r="D7582" t="s">
        <v>8</v>
      </c>
      <c r="E7582" s="4" t="str">
        <f>HYPERLINK("https://ibp.a2mac1.com/costing(costing:projects/details/9760/part/8416989)","Part 05")</f>
        <v>Part 05</v>
      </c>
      <c r="F7582" t="s">
        <v>7881</v>
      </c>
    </row>
    <row r="7583" spans="1:6" x14ac:dyDescent="0.15">
      <c r="A7583">
        <v>12086265</v>
      </c>
      <c r="B7583">
        <v>8416989</v>
      </c>
      <c r="C7583" t="s">
        <v>114</v>
      </c>
      <c r="D7583" t="s">
        <v>10</v>
      </c>
      <c r="E7583" s="4" t="str">
        <f>HYPERLINK("https://ibp.a2mac1.com/costing(costing:projects/details/9760/process/12086265)","MANUFACTURING  PROCESS")</f>
        <v>MANUFACTURING  PROCESS</v>
      </c>
      <c r="F7583" t="s">
        <v>7900</v>
      </c>
    </row>
    <row r="7584" spans="1:6" x14ac:dyDescent="0.15">
      <c r="A7584">
        <v>8755872</v>
      </c>
      <c r="B7584">
        <v>12086265</v>
      </c>
      <c r="C7584" t="s">
        <v>22</v>
      </c>
      <c r="D7584" t="s">
        <v>114</v>
      </c>
      <c r="E7584" s="4" t="str">
        <f>HYPERLINK("https://ibp.a2mac1.com/costing(costing:projects/details/9760/material/8755872)","Standard Structural Steel sheet")</f>
        <v>Standard Structural Steel sheet</v>
      </c>
      <c r="F7584" t="s">
        <v>7903</v>
      </c>
    </row>
    <row r="7585" spans="1:6" x14ac:dyDescent="0.15">
      <c r="A7585">
        <v>12213398</v>
      </c>
      <c r="B7585">
        <v>12086265</v>
      </c>
      <c r="C7585" t="s">
        <v>163</v>
      </c>
      <c r="D7585" t="s">
        <v>114</v>
      </c>
      <c r="E7585" s="4" t="str">
        <f>HYPERLINK("https://ibp.a2mac1.com/costing(costing:projects/details/9760/equipment/12213398)","Manufacturing Equipment")</f>
        <v>Manufacturing Equipment</v>
      </c>
      <c r="F7585" t="s">
        <v>7903</v>
      </c>
    </row>
    <row r="7586" spans="1:6" x14ac:dyDescent="0.15">
      <c r="A7586">
        <v>8416990</v>
      </c>
      <c r="B7586">
        <v>8416638</v>
      </c>
      <c r="C7586" t="s">
        <v>10</v>
      </c>
      <c r="D7586" t="s">
        <v>8</v>
      </c>
      <c r="E7586" s="4" t="str">
        <f>HYPERLINK("https://ibp.a2mac1.com/costing(costing:projects/details/9760/part/8416990)","Part 06")</f>
        <v>Part 06</v>
      </c>
      <c r="F7586" t="s">
        <v>7881</v>
      </c>
    </row>
    <row r="7587" spans="1:6" x14ac:dyDescent="0.15">
      <c r="A7587">
        <v>12086266</v>
      </c>
      <c r="B7587">
        <v>8416990</v>
      </c>
      <c r="C7587" t="s">
        <v>114</v>
      </c>
      <c r="D7587" t="s">
        <v>10</v>
      </c>
      <c r="E7587" s="4" t="str">
        <f>HYPERLINK("https://ibp.a2mac1.com/costing(costing:projects/details/9760/process/12086266)","MANUFACTURING  PROCESS")</f>
        <v>MANUFACTURING  PROCESS</v>
      </c>
      <c r="F7587" t="s">
        <v>7905</v>
      </c>
    </row>
    <row r="7588" spans="1:6" x14ac:dyDescent="0.15">
      <c r="A7588">
        <v>8755873</v>
      </c>
      <c r="B7588">
        <v>12086266</v>
      </c>
      <c r="C7588" t="s">
        <v>22</v>
      </c>
      <c r="D7588" t="s">
        <v>114</v>
      </c>
      <c r="E7588" s="4" t="str">
        <f>HYPERLINK("https://ibp.a2mac1.com/costing(costing:projects/details/9760/material/8755873)","Standard Structural Steel sheet")</f>
        <v>Standard Structural Steel sheet</v>
      </c>
      <c r="F7588" t="s">
        <v>7907</v>
      </c>
    </row>
    <row r="7589" spans="1:6" x14ac:dyDescent="0.15">
      <c r="A7589">
        <v>12213399</v>
      </c>
      <c r="B7589">
        <v>12086266</v>
      </c>
      <c r="C7589" t="s">
        <v>163</v>
      </c>
      <c r="D7589" t="s">
        <v>114</v>
      </c>
      <c r="E7589" s="4" t="str">
        <f>HYPERLINK("https://ibp.a2mac1.com/costing(costing:projects/details/9760/equipment/12213399)","Manufacturing Equipment")</f>
        <v>Manufacturing Equipment</v>
      </c>
      <c r="F7589" t="s">
        <v>7907</v>
      </c>
    </row>
    <row r="7590" spans="1:6" x14ac:dyDescent="0.15">
      <c r="A7590">
        <v>8416991</v>
      </c>
      <c r="B7590">
        <v>8416638</v>
      </c>
      <c r="C7590" t="s">
        <v>10</v>
      </c>
      <c r="D7590" t="s">
        <v>8</v>
      </c>
      <c r="E7590" s="4" t="str">
        <f>HYPERLINK("https://ibp.a2mac1.com/costing(costing:projects/details/9760/part/8416991)","Part 07")</f>
        <v>Part 07</v>
      </c>
      <c r="F7590" t="s">
        <v>7881</v>
      </c>
    </row>
    <row r="7591" spans="1:6" x14ac:dyDescent="0.15">
      <c r="A7591">
        <v>12086267</v>
      </c>
      <c r="B7591">
        <v>8416991</v>
      </c>
      <c r="C7591" t="s">
        <v>114</v>
      </c>
      <c r="D7591" t="s">
        <v>10</v>
      </c>
      <c r="E7591" s="4" t="str">
        <f>HYPERLINK("https://ibp.a2mac1.com/costing(costing:projects/details/9760/process/12086267)","MANUFACTURING  PROCESS")</f>
        <v>MANUFACTURING  PROCESS</v>
      </c>
      <c r="F7591" t="s">
        <v>7909</v>
      </c>
    </row>
    <row r="7592" spans="1:6" x14ac:dyDescent="0.15">
      <c r="A7592">
        <v>8755874</v>
      </c>
      <c r="B7592">
        <v>12086267</v>
      </c>
      <c r="C7592" t="s">
        <v>22</v>
      </c>
      <c r="D7592" t="s">
        <v>114</v>
      </c>
      <c r="E7592" s="4" t="str">
        <f>HYPERLINK("https://ibp.a2mac1.com/costing(costing:projects/details/9760/material/8755874)","Standard Structural Steel sheet")</f>
        <v>Standard Structural Steel sheet</v>
      </c>
      <c r="F7592" t="s">
        <v>7912</v>
      </c>
    </row>
    <row r="7593" spans="1:6" x14ac:dyDescent="0.15">
      <c r="A7593">
        <v>12213400</v>
      </c>
      <c r="B7593">
        <v>12086267</v>
      </c>
      <c r="C7593" t="s">
        <v>163</v>
      </c>
      <c r="D7593" t="s">
        <v>114</v>
      </c>
      <c r="E7593" s="4" t="str">
        <f>HYPERLINK("https://ibp.a2mac1.com/costing(costing:projects/details/9760/equipment/12213400)","Manufacturing Equipment")</f>
        <v>Manufacturing Equipment</v>
      </c>
      <c r="F7593" t="s">
        <v>7912</v>
      </c>
    </row>
    <row r="7594" spans="1:6" x14ac:dyDescent="0.15">
      <c r="A7594">
        <v>8416992</v>
      </c>
      <c r="B7594">
        <v>8416638</v>
      </c>
      <c r="C7594" t="s">
        <v>10</v>
      </c>
      <c r="D7594" t="s">
        <v>8</v>
      </c>
      <c r="E7594" s="4" t="str">
        <f>HYPERLINK("https://ibp.a2mac1.com/costing(costing:projects/details/9760/part/8416992)","Part 08")</f>
        <v>Part 08</v>
      </c>
      <c r="F7594" t="s">
        <v>7881</v>
      </c>
    </row>
    <row r="7595" spans="1:6" x14ac:dyDescent="0.15">
      <c r="A7595">
        <v>12086268</v>
      </c>
      <c r="B7595">
        <v>8416992</v>
      </c>
      <c r="C7595" t="s">
        <v>114</v>
      </c>
      <c r="D7595" t="s">
        <v>10</v>
      </c>
      <c r="E7595" s="4" t="str">
        <f>HYPERLINK("https://ibp.a2mac1.com/costing(costing:projects/details/9760/process/12086268)","MANUFACTURING  PROCESS")</f>
        <v>MANUFACTURING  PROCESS</v>
      </c>
      <c r="F7595" t="s">
        <v>7914</v>
      </c>
    </row>
    <row r="7596" spans="1:6" x14ac:dyDescent="0.15">
      <c r="A7596">
        <v>8755875</v>
      </c>
      <c r="B7596">
        <v>12086268</v>
      </c>
      <c r="C7596" t="s">
        <v>22</v>
      </c>
      <c r="D7596" t="s">
        <v>114</v>
      </c>
      <c r="E7596" s="4" t="str">
        <f>HYPERLINK("https://ibp.a2mac1.com/costing(costing:projects/details/9760/material/8755875)","Standard Structural Steel sheet")</f>
        <v>Standard Structural Steel sheet</v>
      </c>
      <c r="F7596" t="s">
        <v>7917</v>
      </c>
    </row>
    <row r="7597" spans="1:6" x14ac:dyDescent="0.15">
      <c r="A7597">
        <v>12213401</v>
      </c>
      <c r="B7597">
        <v>12086268</v>
      </c>
      <c r="C7597" t="s">
        <v>163</v>
      </c>
      <c r="D7597" t="s">
        <v>114</v>
      </c>
      <c r="E7597" s="4" t="str">
        <f>HYPERLINK("https://ibp.a2mac1.com/costing(costing:projects/details/9760/equipment/12213401)","Manufacturing Equipment")</f>
        <v>Manufacturing Equipment</v>
      </c>
      <c r="F7597" t="s">
        <v>7917</v>
      </c>
    </row>
    <row r="7598" spans="1:6" x14ac:dyDescent="0.15">
      <c r="A7598">
        <v>8416993</v>
      </c>
      <c r="B7598">
        <v>8416638</v>
      </c>
      <c r="C7598" t="s">
        <v>10</v>
      </c>
      <c r="D7598" t="s">
        <v>8</v>
      </c>
      <c r="E7598" s="4" t="str">
        <f>HYPERLINK("https://ibp.a2mac1.com/costing(costing:projects/details/9760/part/8416993)","Part 09")</f>
        <v>Part 09</v>
      </c>
      <c r="F7598" t="s">
        <v>7881</v>
      </c>
    </row>
    <row r="7599" spans="1:6" x14ac:dyDescent="0.15">
      <c r="A7599">
        <v>12086269</v>
      </c>
      <c r="B7599">
        <v>8416993</v>
      </c>
      <c r="C7599" t="s">
        <v>114</v>
      </c>
      <c r="D7599" t="s">
        <v>10</v>
      </c>
      <c r="E7599" s="4" t="str">
        <f>HYPERLINK("https://ibp.a2mac1.com/costing(costing:projects/details/9760/process/12086269)","MANUFACTURING  PROCESS")</f>
        <v>MANUFACTURING  PROCESS</v>
      </c>
      <c r="F7599" t="s">
        <v>7919</v>
      </c>
    </row>
    <row r="7600" spans="1:6" x14ac:dyDescent="0.15">
      <c r="A7600">
        <v>8755876</v>
      </c>
      <c r="B7600">
        <v>12086269</v>
      </c>
      <c r="C7600" t="s">
        <v>22</v>
      </c>
      <c r="D7600" t="s">
        <v>114</v>
      </c>
      <c r="E7600" s="4" t="str">
        <f>HYPERLINK("https://ibp.a2mac1.com/costing(costing:projects/details/9760/material/8755876)","Standard Structural Steel sheet")</f>
        <v>Standard Structural Steel sheet</v>
      </c>
      <c r="F7600" t="s">
        <v>7922</v>
      </c>
    </row>
    <row r="7601" spans="1:6" x14ac:dyDescent="0.15">
      <c r="A7601">
        <v>12213402</v>
      </c>
      <c r="B7601">
        <v>12086269</v>
      </c>
      <c r="C7601" t="s">
        <v>163</v>
      </c>
      <c r="D7601" t="s">
        <v>114</v>
      </c>
      <c r="E7601" s="4" t="str">
        <f>HYPERLINK("https://ibp.a2mac1.com/costing(costing:projects/details/9760/equipment/12213402)","Manufacturing Equipment")</f>
        <v>Manufacturing Equipment</v>
      </c>
      <c r="F7601" t="s">
        <v>7922</v>
      </c>
    </row>
    <row r="7602" spans="1:6" x14ac:dyDescent="0.15">
      <c r="A7602">
        <v>8416994</v>
      </c>
      <c r="B7602">
        <v>8416638</v>
      </c>
      <c r="C7602" t="s">
        <v>10</v>
      </c>
      <c r="D7602" t="s">
        <v>8</v>
      </c>
      <c r="E7602" s="4" t="str">
        <f>HYPERLINK("https://ibp.a2mac1.com/costing(costing:projects/details/9760/part/8416994)","Part 10")</f>
        <v>Part 10</v>
      </c>
      <c r="F7602" t="s">
        <v>7881</v>
      </c>
    </row>
    <row r="7603" spans="1:6" x14ac:dyDescent="0.15">
      <c r="A7603">
        <v>12086270</v>
      </c>
      <c r="B7603">
        <v>8416994</v>
      </c>
      <c r="C7603" t="s">
        <v>114</v>
      </c>
      <c r="D7603" t="s">
        <v>10</v>
      </c>
      <c r="E7603" s="4" t="str">
        <f>HYPERLINK("https://ibp.a2mac1.com/costing(costing:projects/details/9760/process/12086270)","MANUFACTURING  PROCESS")</f>
        <v>MANUFACTURING  PROCESS</v>
      </c>
      <c r="F7603" t="s">
        <v>7924</v>
      </c>
    </row>
    <row r="7604" spans="1:6" x14ac:dyDescent="0.15">
      <c r="A7604">
        <v>8755877</v>
      </c>
      <c r="B7604">
        <v>12086270</v>
      </c>
      <c r="C7604" t="s">
        <v>22</v>
      </c>
      <c r="D7604" t="s">
        <v>114</v>
      </c>
      <c r="E7604" s="4" t="str">
        <f>HYPERLINK("https://ibp.a2mac1.com/costing(costing:projects/details/9760/material/8755877)","Standard Structural Steel sheet")</f>
        <v>Standard Structural Steel sheet</v>
      </c>
      <c r="F7604" t="s">
        <v>7926</v>
      </c>
    </row>
    <row r="7605" spans="1:6" x14ac:dyDescent="0.15">
      <c r="A7605">
        <v>12213403</v>
      </c>
      <c r="B7605">
        <v>12086270</v>
      </c>
      <c r="C7605" t="s">
        <v>163</v>
      </c>
      <c r="D7605" t="s">
        <v>114</v>
      </c>
      <c r="E7605" s="4" t="str">
        <f>HYPERLINK("https://ibp.a2mac1.com/costing(costing:projects/details/9760/equipment/12213403)","Manufacturing Equipment")</f>
        <v>Manufacturing Equipment</v>
      </c>
      <c r="F7605" t="s">
        <v>7926</v>
      </c>
    </row>
    <row r="7606" spans="1:6" x14ac:dyDescent="0.15">
      <c r="A7606">
        <v>8416995</v>
      </c>
      <c r="B7606">
        <v>8416638</v>
      </c>
      <c r="C7606" t="s">
        <v>10</v>
      </c>
      <c r="D7606" t="s">
        <v>8</v>
      </c>
      <c r="E7606" s="4" t="str">
        <f>HYPERLINK("https://ibp.a2mac1.com/costing(costing:projects/details/9760/part/8416995)","Part 11")</f>
        <v>Part 11</v>
      </c>
      <c r="F7606" t="s">
        <v>7881</v>
      </c>
    </row>
    <row r="7607" spans="1:6" x14ac:dyDescent="0.15">
      <c r="A7607">
        <v>12086271</v>
      </c>
      <c r="B7607">
        <v>8416995</v>
      </c>
      <c r="C7607" t="s">
        <v>114</v>
      </c>
      <c r="D7607" t="s">
        <v>10</v>
      </c>
      <c r="E7607" s="4" t="str">
        <f>HYPERLINK("https://ibp.a2mac1.com/costing(costing:projects/details/9760/process/12086271)","MANUFACTURING  PROCESS")</f>
        <v>MANUFACTURING  PROCESS</v>
      </c>
      <c r="F7607" t="s">
        <v>7928</v>
      </c>
    </row>
    <row r="7608" spans="1:6" x14ac:dyDescent="0.15">
      <c r="A7608">
        <v>8755878</v>
      </c>
      <c r="B7608">
        <v>12086271</v>
      </c>
      <c r="C7608" t="s">
        <v>22</v>
      </c>
      <c r="D7608" t="s">
        <v>114</v>
      </c>
      <c r="E7608" s="4" t="str">
        <f>HYPERLINK("https://ibp.a2mac1.com/costing(costing:projects/details/9760/material/8755878)","Standard Structural Steel sheet")</f>
        <v>Standard Structural Steel sheet</v>
      </c>
      <c r="F7608" t="s">
        <v>7931</v>
      </c>
    </row>
    <row r="7609" spans="1:6" x14ac:dyDescent="0.15">
      <c r="A7609">
        <v>12213404</v>
      </c>
      <c r="B7609">
        <v>12086271</v>
      </c>
      <c r="C7609" t="s">
        <v>163</v>
      </c>
      <c r="D7609" t="s">
        <v>114</v>
      </c>
      <c r="E7609" s="4" t="str">
        <f>HYPERLINK("https://ibp.a2mac1.com/costing(costing:projects/details/9760/equipment/12213404)","Manufacturing Equipment")</f>
        <v>Manufacturing Equipment</v>
      </c>
      <c r="F7609" t="s">
        <v>7931</v>
      </c>
    </row>
    <row r="7610" spans="1:6" x14ac:dyDescent="0.15">
      <c r="A7610">
        <v>8416996</v>
      </c>
      <c r="B7610">
        <v>8416638</v>
      </c>
      <c r="C7610" t="s">
        <v>10</v>
      </c>
      <c r="D7610" t="s">
        <v>8</v>
      </c>
      <c r="E7610" s="4" t="str">
        <f>HYPERLINK("https://ibp.a2mac1.com/costing(costing:projects/details/9760/part/8416996)","Part 12")</f>
        <v>Part 12</v>
      </c>
      <c r="F7610" t="s">
        <v>7881</v>
      </c>
    </row>
    <row r="7611" spans="1:6" x14ac:dyDescent="0.15">
      <c r="A7611">
        <v>12086272</v>
      </c>
      <c r="B7611">
        <v>8416996</v>
      </c>
      <c r="C7611" t="s">
        <v>114</v>
      </c>
      <c r="D7611" t="s">
        <v>10</v>
      </c>
      <c r="E7611" s="4" t="str">
        <f>HYPERLINK("https://ibp.a2mac1.com/costing(costing:projects/details/9760/process/12086272)","MANUFACTURING  PROCESS")</f>
        <v>MANUFACTURING  PROCESS</v>
      </c>
      <c r="F7611" t="s">
        <v>7933</v>
      </c>
    </row>
    <row r="7612" spans="1:6" x14ac:dyDescent="0.15">
      <c r="A7612">
        <v>8755879</v>
      </c>
      <c r="B7612">
        <v>12086272</v>
      </c>
      <c r="C7612" t="s">
        <v>22</v>
      </c>
      <c r="D7612" t="s">
        <v>114</v>
      </c>
      <c r="E7612" s="4" t="str">
        <f>HYPERLINK("https://ibp.a2mac1.com/costing(costing:projects/details/9760/material/8755879)","Standard Structural Steel sheet")</f>
        <v>Standard Structural Steel sheet</v>
      </c>
      <c r="F7612" t="s">
        <v>7936</v>
      </c>
    </row>
    <row r="7613" spans="1:6" x14ac:dyDescent="0.15">
      <c r="A7613">
        <v>12213405</v>
      </c>
      <c r="B7613">
        <v>12086272</v>
      </c>
      <c r="C7613" t="s">
        <v>163</v>
      </c>
      <c r="D7613" t="s">
        <v>114</v>
      </c>
      <c r="E7613" s="4" t="str">
        <f>HYPERLINK("https://ibp.a2mac1.com/costing(costing:projects/details/9760/equipment/12213405)","Manufacturing Equipment")</f>
        <v>Manufacturing Equipment</v>
      </c>
      <c r="F7613" t="s">
        <v>7936</v>
      </c>
    </row>
    <row r="7614" spans="1:6" x14ac:dyDescent="0.15">
      <c r="A7614">
        <v>8416639</v>
      </c>
      <c r="B7614">
        <v>8416427</v>
      </c>
      <c r="C7614" t="s">
        <v>8</v>
      </c>
      <c r="D7614" t="s">
        <v>8</v>
      </c>
      <c r="E7614" s="4" t="str">
        <f>HYPERLINK("https://ibp.a2mac1.com/costing(costing:projects/details/9760/assembly/8416639)","Other fixing parts")</f>
        <v>Other fixing parts</v>
      </c>
      <c r="F7614" t="s">
        <v>7858</v>
      </c>
    </row>
    <row r="7615" spans="1:6" x14ac:dyDescent="0.15">
      <c r="A7615">
        <v>8417039</v>
      </c>
      <c r="B7615">
        <v>8416639</v>
      </c>
      <c r="C7615" t="s">
        <v>10</v>
      </c>
      <c r="D7615" t="s">
        <v>8</v>
      </c>
      <c r="E7615" s="4" t="str">
        <f>HYPERLINK("https://ibp.a2mac1.com/costing(costing:projects/details/9760/part/8417039)","Part 01 (single/main)")</f>
        <v>Part 01 (single/main)</v>
      </c>
      <c r="F7615" t="s">
        <v>7939</v>
      </c>
    </row>
    <row r="7616" spans="1:6" x14ac:dyDescent="0.15">
      <c r="A7616">
        <v>12086273</v>
      </c>
      <c r="B7616">
        <v>8417039</v>
      </c>
      <c r="C7616" t="s">
        <v>114</v>
      </c>
      <c r="D7616" t="s">
        <v>10</v>
      </c>
      <c r="E7616" s="4" t="str">
        <f>HYPERLINK("https://ibp.a2mac1.com/costing(costing:projects/details/9760/process/12086273)","MANUFACTURING  PROCESS")</f>
        <v>MANUFACTURING  PROCESS</v>
      </c>
      <c r="F7616" t="s">
        <v>7940</v>
      </c>
    </row>
    <row r="7617" spans="1:6" x14ac:dyDescent="0.15">
      <c r="A7617">
        <v>8755880</v>
      </c>
      <c r="B7617">
        <v>12086273</v>
      </c>
      <c r="C7617" t="s">
        <v>22</v>
      </c>
      <c r="D7617" t="s">
        <v>114</v>
      </c>
      <c r="E7617" s="4" t="str">
        <f>HYPERLINK("https://ibp.a2mac1.com/costing(costing:projects/details/9760/material/8755880)","Standard Structural Steel sheet")</f>
        <v>Standard Structural Steel sheet</v>
      </c>
      <c r="F7617" t="s">
        <v>7943</v>
      </c>
    </row>
    <row r="7618" spans="1:6" x14ac:dyDescent="0.15">
      <c r="A7618">
        <v>12213406</v>
      </c>
      <c r="B7618">
        <v>12086273</v>
      </c>
      <c r="C7618" t="s">
        <v>163</v>
      </c>
      <c r="D7618" t="s">
        <v>114</v>
      </c>
      <c r="E7618" s="4" t="str">
        <f>HYPERLINK("https://ibp.a2mac1.com/costing(costing:projects/details/9760/equipment/12213406)","Manufacturing Equipment")</f>
        <v>Manufacturing Equipment</v>
      </c>
      <c r="F7618" t="s">
        <v>7943</v>
      </c>
    </row>
    <row r="7619" spans="1:6" x14ac:dyDescent="0.15">
      <c r="A7619">
        <v>8417040</v>
      </c>
      <c r="B7619">
        <v>8416639</v>
      </c>
      <c r="C7619" t="s">
        <v>10</v>
      </c>
      <c r="D7619" t="s">
        <v>8</v>
      </c>
      <c r="E7619" s="4" t="str">
        <f>HYPERLINK("https://ibp.a2mac1.com/costing(costing:projects/details/9760/part/8417040)","Part 02")</f>
        <v>Part 02</v>
      </c>
      <c r="F7619" t="s">
        <v>7939</v>
      </c>
    </row>
    <row r="7620" spans="1:6" x14ac:dyDescent="0.15">
      <c r="A7620">
        <v>12086274</v>
      </c>
      <c r="B7620">
        <v>8417040</v>
      </c>
      <c r="C7620" t="s">
        <v>114</v>
      </c>
      <c r="D7620" t="s">
        <v>10</v>
      </c>
      <c r="E7620" s="4" t="str">
        <f>HYPERLINK("https://ibp.a2mac1.com/costing(costing:projects/details/9760/process/12086274)","MANUFACTURING  PROCESS")</f>
        <v>MANUFACTURING  PROCESS</v>
      </c>
      <c r="F7620" t="s">
        <v>7945</v>
      </c>
    </row>
    <row r="7621" spans="1:6" x14ac:dyDescent="0.15">
      <c r="A7621">
        <v>8755881</v>
      </c>
      <c r="B7621">
        <v>12086274</v>
      </c>
      <c r="C7621" t="s">
        <v>22</v>
      </c>
      <c r="D7621" t="s">
        <v>114</v>
      </c>
      <c r="E7621" s="4" t="str">
        <f>HYPERLINK("https://ibp.a2mac1.com/costing(costing:projects/details/9760/material/8755881)","Standard Structural Steel sheet")</f>
        <v>Standard Structural Steel sheet</v>
      </c>
      <c r="F7621" t="s">
        <v>7948</v>
      </c>
    </row>
    <row r="7622" spans="1:6" x14ac:dyDescent="0.15">
      <c r="A7622">
        <v>12213407</v>
      </c>
      <c r="B7622">
        <v>12086274</v>
      </c>
      <c r="C7622" t="s">
        <v>163</v>
      </c>
      <c r="D7622" t="s">
        <v>114</v>
      </c>
      <c r="E7622" s="4" t="str">
        <f>HYPERLINK("https://ibp.a2mac1.com/costing(costing:projects/details/9760/equipment/12213407)","Manufacturing Equipment")</f>
        <v>Manufacturing Equipment</v>
      </c>
      <c r="F7622" t="s">
        <v>7948</v>
      </c>
    </row>
    <row r="7623" spans="1:6" x14ac:dyDescent="0.15">
      <c r="A7623">
        <v>8417041</v>
      </c>
      <c r="B7623">
        <v>8416639</v>
      </c>
      <c r="C7623" t="s">
        <v>10</v>
      </c>
      <c r="D7623" t="s">
        <v>8</v>
      </c>
      <c r="E7623" s="4" t="str">
        <f>HYPERLINK("https://ibp.a2mac1.com/costing(costing:projects/details/9760/part/8417041)","Part 03")</f>
        <v>Part 03</v>
      </c>
      <c r="F7623" t="s">
        <v>7939</v>
      </c>
    </row>
    <row r="7624" spans="1:6" x14ac:dyDescent="0.15">
      <c r="A7624">
        <v>12086275</v>
      </c>
      <c r="B7624">
        <v>8417041</v>
      </c>
      <c r="C7624" t="s">
        <v>114</v>
      </c>
      <c r="D7624" t="s">
        <v>10</v>
      </c>
      <c r="E7624" s="4" t="str">
        <f>HYPERLINK("https://ibp.a2mac1.com/costing(costing:projects/details/9760/process/12086275)","MANUFACTURING  PROCESS")</f>
        <v>MANUFACTURING  PROCESS</v>
      </c>
      <c r="F7624" t="s">
        <v>7950</v>
      </c>
    </row>
    <row r="7625" spans="1:6" x14ac:dyDescent="0.15">
      <c r="A7625">
        <v>8755882</v>
      </c>
      <c r="B7625">
        <v>12086275</v>
      </c>
      <c r="C7625" t="s">
        <v>22</v>
      </c>
      <c r="D7625" t="s">
        <v>114</v>
      </c>
      <c r="E7625" s="4" t="str">
        <f>HYPERLINK("https://ibp.a2mac1.com/costing(costing:projects/details/9760/material/8755882)","Standard Structural Steel sheet")</f>
        <v>Standard Structural Steel sheet</v>
      </c>
      <c r="F7625" t="s">
        <v>7952</v>
      </c>
    </row>
    <row r="7626" spans="1:6" x14ac:dyDescent="0.15">
      <c r="A7626">
        <v>12213484</v>
      </c>
      <c r="B7626">
        <v>12086275</v>
      </c>
      <c r="C7626" t="s">
        <v>163</v>
      </c>
      <c r="D7626" t="s">
        <v>114</v>
      </c>
      <c r="E7626" s="4" t="str">
        <f>HYPERLINK("https://ibp.a2mac1.com/costing(costing:projects/details/9760/equipment/12213484)","Manufacturing Equipment")</f>
        <v>Manufacturing Equipment</v>
      </c>
      <c r="F7626" t="s">
        <v>7952</v>
      </c>
    </row>
    <row r="7627" spans="1:6" x14ac:dyDescent="0.15">
      <c r="A7627">
        <v>8417042</v>
      </c>
      <c r="B7627">
        <v>8416639</v>
      </c>
      <c r="C7627" t="s">
        <v>10</v>
      </c>
      <c r="D7627" t="s">
        <v>8</v>
      </c>
      <c r="E7627" s="4" t="str">
        <f>HYPERLINK("https://ibp.a2mac1.com/costing(costing:projects/details/9760/part/8417042)","Part 04")</f>
        <v>Part 04</v>
      </c>
      <c r="F7627" t="s">
        <v>7939</v>
      </c>
    </row>
    <row r="7628" spans="1:6" x14ac:dyDescent="0.15">
      <c r="A7628">
        <v>12086276</v>
      </c>
      <c r="B7628">
        <v>8417042</v>
      </c>
      <c r="C7628" t="s">
        <v>114</v>
      </c>
      <c r="D7628" t="s">
        <v>10</v>
      </c>
      <c r="E7628" s="4" t="str">
        <f>HYPERLINK("https://ibp.a2mac1.com/costing(costing:projects/details/9760/process/12086276)","MANUFACTURING  PROCESS")</f>
        <v>MANUFACTURING  PROCESS</v>
      </c>
      <c r="F7628" t="s">
        <v>7954</v>
      </c>
    </row>
    <row r="7629" spans="1:6" x14ac:dyDescent="0.15">
      <c r="A7629">
        <v>8755883</v>
      </c>
      <c r="B7629">
        <v>12086276</v>
      </c>
      <c r="C7629" t="s">
        <v>22</v>
      </c>
      <c r="D7629" t="s">
        <v>114</v>
      </c>
      <c r="E7629" s="4" t="str">
        <f>HYPERLINK("https://ibp.a2mac1.com/costing(costing:projects/details/9760/material/8755883)","Standard Structural Steel sheet")</f>
        <v>Standard Structural Steel sheet</v>
      </c>
      <c r="F7629" t="s">
        <v>7956</v>
      </c>
    </row>
    <row r="7630" spans="1:6" x14ac:dyDescent="0.15">
      <c r="A7630">
        <v>12213485</v>
      </c>
      <c r="B7630">
        <v>12086276</v>
      </c>
      <c r="C7630" t="s">
        <v>163</v>
      </c>
      <c r="D7630" t="s">
        <v>114</v>
      </c>
      <c r="E7630" s="4" t="str">
        <f>HYPERLINK("https://ibp.a2mac1.com/costing(costing:projects/details/9760/equipment/12213485)","Manufacturing Equipment")</f>
        <v>Manufacturing Equipment</v>
      </c>
      <c r="F7630" t="s">
        <v>7956</v>
      </c>
    </row>
    <row r="7631" spans="1:6" x14ac:dyDescent="0.15">
      <c r="A7631">
        <v>8417043</v>
      </c>
      <c r="B7631">
        <v>8416639</v>
      </c>
      <c r="C7631" t="s">
        <v>10</v>
      </c>
      <c r="D7631" t="s">
        <v>8</v>
      </c>
      <c r="E7631" s="4" t="str">
        <f>HYPERLINK("https://ibp.a2mac1.com/costing(costing:projects/details/9760/part/8417043)","Part 05")</f>
        <v>Part 05</v>
      </c>
      <c r="F7631" t="s">
        <v>7939</v>
      </c>
    </row>
    <row r="7632" spans="1:6" x14ac:dyDescent="0.15">
      <c r="A7632">
        <v>12086277</v>
      </c>
      <c r="B7632">
        <v>8417043</v>
      </c>
      <c r="C7632" t="s">
        <v>114</v>
      </c>
      <c r="D7632" t="s">
        <v>10</v>
      </c>
      <c r="E7632" s="4" t="str">
        <f>HYPERLINK("https://ibp.a2mac1.com/costing(costing:projects/details/9760/process/12086277)","MANUFACTURING  PROCESS")</f>
        <v>MANUFACTURING  PROCESS</v>
      </c>
      <c r="F7632" t="s">
        <v>7958</v>
      </c>
    </row>
    <row r="7633" spans="1:6" x14ac:dyDescent="0.15">
      <c r="A7633">
        <v>8755884</v>
      </c>
      <c r="B7633">
        <v>12086277</v>
      </c>
      <c r="C7633" t="s">
        <v>22</v>
      </c>
      <c r="D7633" t="s">
        <v>114</v>
      </c>
      <c r="E7633" s="4" t="str">
        <f>HYPERLINK("https://ibp.a2mac1.com/costing(costing:projects/details/9760/material/8755884)","Aluminum sheet body (default, e.g. EN-AW6063)")</f>
        <v>Aluminum sheet body (default, e.g. EN-AW6063)</v>
      </c>
      <c r="F7633" t="s">
        <v>7960</v>
      </c>
    </row>
    <row r="7634" spans="1:6" x14ac:dyDescent="0.15">
      <c r="A7634">
        <v>12213486</v>
      </c>
      <c r="B7634">
        <v>12086277</v>
      </c>
      <c r="C7634" t="s">
        <v>163</v>
      </c>
      <c r="D7634" t="s">
        <v>114</v>
      </c>
      <c r="E7634" s="4" t="str">
        <f>HYPERLINK("https://ibp.a2mac1.com/costing(costing:projects/details/9760/equipment/12213486)","Manufacturing Equipment")</f>
        <v>Manufacturing Equipment</v>
      </c>
      <c r="F7634" t="s">
        <v>7960</v>
      </c>
    </row>
    <row r="7635" spans="1:6" x14ac:dyDescent="0.15">
      <c r="A7635">
        <v>8417044</v>
      </c>
      <c r="B7635">
        <v>8416639</v>
      </c>
      <c r="C7635" t="s">
        <v>10</v>
      </c>
      <c r="D7635" t="s">
        <v>8</v>
      </c>
      <c r="E7635" s="4" t="str">
        <f>HYPERLINK("https://ibp.a2mac1.com/costing(costing:projects/details/9760/part/8417044)","Part 06")</f>
        <v>Part 06</v>
      </c>
      <c r="F7635" t="s">
        <v>7939</v>
      </c>
    </row>
    <row r="7636" spans="1:6" x14ac:dyDescent="0.15">
      <c r="A7636">
        <v>12086278</v>
      </c>
      <c r="B7636">
        <v>8417044</v>
      </c>
      <c r="C7636" t="s">
        <v>114</v>
      </c>
      <c r="D7636" t="s">
        <v>10</v>
      </c>
      <c r="E7636" s="4" t="str">
        <f>HYPERLINK("https://ibp.a2mac1.com/costing(costing:projects/details/9760/process/12086278)","MANUFACTURING  PROCESS")</f>
        <v>MANUFACTURING  PROCESS</v>
      </c>
      <c r="F7636" t="s">
        <v>7962</v>
      </c>
    </row>
    <row r="7637" spans="1:6" x14ac:dyDescent="0.15">
      <c r="A7637">
        <v>8755885</v>
      </c>
      <c r="B7637">
        <v>12086278</v>
      </c>
      <c r="C7637" t="s">
        <v>22</v>
      </c>
      <c r="D7637" t="s">
        <v>114</v>
      </c>
      <c r="E7637" s="4" t="str">
        <f>HYPERLINK("https://ibp.a2mac1.com/costing(costing:projects/details/9760/material/8755885)","Standard Structural Steel sheet")</f>
        <v>Standard Structural Steel sheet</v>
      </c>
      <c r="F7637" t="s">
        <v>7965</v>
      </c>
    </row>
    <row r="7638" spans="1:6" x14ac:dyDescent="0.15">
      <c r="A7638">
        <v>12213487</v>
      </c>
      <c r="B7638">
        <v>12086278</v>
      </c>
      <c r="C7638" t="s">
        <v>163</v>
      </c>
      <c r="D7638" t="s">
        <v>114</v>
      </c>
      <c r="E7638" s="4" t="str">
        <f>HYPERLINK("https://ibp.a2mac1.com/costing(costing:projects/details/9760/equipment/12213487)","Manufacturing Equipment")</f>
        <v>Manufacturing Equipment</v>
      </c>
      <c r="F7638" t="s">
        <v>7965</v>
      </c>
    </row>
    <row r="7639" spans="1:6" x14ac:dyDescent="0.15">
      <c r="A7639">
        <v>8417045</v>
      </c>
      <c r="B7639">
        <v>8416639</v>
      </c>
      <c r="C7639" t="s">
        <v>10</v>
      </c>
      <c r="D7639" t="s">
        <v>8</v>
      </c>
      <c r="E7639" s="4" t="str">
        <f>HYPERLINK("https://ibp.a2mac1.com/costing(costing:projects/details/9760/part/8417045)","Part 07")</f>
        <v>Part 07</v>
      </c>
      <c r="F7639" t="s">
        <v>7939</v>
      </c>
    </row>
    <row r="7640" spans="1:6" x14ac:dyDescent="0.15">
      <c r="A7640">
        <v>12086279</v>
      </c>
      <c r="B7640">
        <v>8417045</v>
      </c>
      <c r="C7640" t="s">
        <v>114</v>
      </c>
      <c r="D7640" t="s">
        <v>10</v>
      </c>
      <c r="E7640" s="4" t="str">
        <f>HYPERLINK("https://ibp.a2mac1.com/costing(costing:projects/details/9760/process/12086279)","MANUFACTURING  PROCESS")</f>
        <v>MANUFACTURING  PROCESS</v>
      </c>
      <c r="F7640" t="s">
        <v>7967</v>
      </c>
    </row>
    <row r="7641" spans="1:6" x14ac:dyDescent="0.15">
      <c r="A7641">
        <v>8755886</v>
      </c>
      <c r="B7641">
        <v>12086279</v>
      </c>
      <c r="C7641" t="s">
        <v>22</v>
      </c>
      <c r="D7641" t="s">
        <v>114</v>
      </c>
      <c r="E7641" s="4" t="str">
        <f>HYPERLINK("https://ibp.a2mac1.com/costing(costing:projects/details/9760/material/8755886)","Standard Structural Steel sheet")</f>
        <v>Standard Structural Steel sheet</v>
      </c>
      <c r="F7641" t="s">
        <v>7970</v>
      </c>
    </row>
    <row r="7642" spans="1:6" x14ac:dyDescent="0.15">
      <c r="A7642">
        <v>12213488</v>
      </c>
      <c r="B7642">
        <v>12086279</v>
      </c>
      <c r="C7642" t="s">
        <v>163</v>
      </c>
      <c r="D7642" t="s">
        <v>114</v>
      </c>
      <c r="E7642" s="4" t="str">
        <f>HYPERLINK("https://ibp.a2mac1.com/costing(costing:projects/details/9760/equipment/12213488)","Manufacturing Equipment")</f>
        <v>Manufacturing Equipment</v>
      </c>
      <c r="F7642" t="s">
        <v>7970</v>
      </c>
    </row>
    <row r="7643" spans="1:6" x14ac:dyDescent="0.15">
      <c r="A7643">
        <v>8416428</v>
      </c>
      <c r="B7643">
        <v>8416071</v>
      </c>
      <c r="C7643" t="s">
        <v>8</v>
      </c>
      <c r="D7643" t="s">
        <v>8</v>
      </c>
      <c r="E7643" s="4" t="str">
        <f>HYPERLINK("https://ibp.a2mac1.com/costing(costing:projects/details/9760/assembly/8416428)","Dash panel assy")</f>
        <v>Dash panel assy</v>
      </c>
      <c r="F7643" t="s">
        <v>7832</v>
      </c>
    </row>
    <row r="7644" spans="1:6" x14ac:dyDescent="0.15">
      <c r="A7644">
        <v>8416640</v>
      </c>
      <c r="B7644">
        <v>8416428</v>
      </c>
      <c r="C7644" t="s">
        <v>8</v>
      </c>
      <c r="D7644" t="s">
        <v>8</v>
      </c>
      <c r="E7644" s="4" t="str">
        <f>HYPERLINK("https://ibp.a2mac1.com/costing(costing:projects/details/9760/assembly/8416640)","Dash panel")</f>
        <v>Dash panel</v>
      </c>
      <c r="F7644" t="s">
        <v>7974</v>
      </c>
    </row>
    <row r="7645" spans="1:6" x14ac:dyDescent="0.15">
      <c r="A7645">
        <v>8417046</v>
      </c>
      <c r="B7645">
        <v>8416640</v>
      </c>
      <c r="C7645" t="s">
        <v>10</v>
      </c>
      <c r="D7645" t="s">
        <v>8</v>
      </c>
      <c r="E7645" s="4" t="str">
        <f>HYPERLINK("https://ibp.a2mac1.com/costing(costing:projects/details/9760/part/8417046)","Part 01 (single/main/upper)")</f>
        <v>Part 01 (single/main/upper)</v>
      </c>
      <c r="F7645" t="s">
        <v>7975</v>
      </c>
    </row>
    <row r="7646" spans="1:6" x14ac:dyDescent="0.15">
      <c r="A7646">
        <v>12086280</v>
      </c>
      <c r="B7646">
        <v>8417046</v>
      </c>
      <c r="C7646" t="s">
        <v>114</v>
      </c>
      <c r="D7646" t="s">
        <v>10</v>
      </c>
      <c r="E7646" s="4" t="str">
        <f>HYPERLINK("https://ibp.a2mac1.com/costing(costing:projects/details/9760/process/12086280)","MANUFACTURING  PROCESS")</f>
        <v>MANUFACTURING  PROCESS</v>
      </c>
      <c r="F7646" t="s">
        <v>7976</v>
      </c>
    </row>
    <row r="7647" spans="1:6" x14ac:dyDescent="0.15">
      <c r="A7647">
        <v>8755887</v>
      </c>
      <c r="B7647">
        <v>12086280</v>
      </c>
      <c r="C7647" t="s">
        <v>22</v>
      </c>
      <c r="D7647" t="s">
        <v>114</v>
      </c>
      <c r="E7647" s="4" t="str">
        <f>HYPERLINK("https://ibp.a2mac1.com/costing(costing:projects/details/9760/material/8755887)","Standard Structural Steel sheet")</f>
        <v>Standard Structural Steel sheet</v>
      </c>
      <c r="F7647" t="s">
        <v>7979</v>
      </c>
    </row>
    <row r="7648" spans="1:6" x14ac:dyDescent="0.15">
      <c r="A7648">
        <v>12213489</v>
      </c>
      <c r="B7648">
        <v>12086280</v>
      </c>
      <c r="C7648" t="s">
        <v>163</v>
      </c>
      <c r="D7648" t="s">
        <v>114</v>
      </c>
      <c r="E7648" s="4" t="str">
        <f>HYPERLINK("https://ibp.a2mac1.com/costing(costing:projects/details/9760/equipment/12213489)","Manufacturing Equipment")</f>
        <v>Manufacturing Equipment</v>
      </c>
      <c r="F7648" t="s">
        <v>7979</v>
      </c>
    </row>
    <row r="7649" spans="1:6" x14ac:dyDescent="0.15">
      <c r="A7649">
        <v>8417047</v>
      </c>
      <c r="B7649">
        <v>8416640</v>
      </c>
      <c r="C7649" t="s">
        <v>10</v>
      </c>
      <c r="D7649" t="s">
        <v>8</v>
      </c>
      <c r="E7649" s="4" t="str">
        <f>HYPERLINK("https://ibp.a2mac1.com/costing(costing:projects/details/9760/part/8417047)","Part 02 (lower)")</f>
        <v>Part 02 (lower)</v>
      </c>
      <c r="F7649" t="s">
        <v>7975</v>
      </c>
    </row>
    <row r="7650" spans="1:6" x14ac:dyDescent="0.15">
      <c r="A7650">
        <v>12086281</v>
      </c>
      <c r="B7650">
        <v>8417047</v>
      </c>
      <c r="C7650" t="s">
        <v>114</v>
      </c>
      <c r="D7650" t="s">
        <v>10</v>
      </c>
      <c r="E7650" s="4" t="str">
        <f>HYPERLINK("https://ibp.a2mac1.com/costing(costing:projects/details/9760/process/12086281)","MANUFACTURING  PROCESS")</f>
        <v>MANUFACTURING  PROCESS</v>
      </c>
      <c r="F7650" t="s">
        <v>7981</v>
      </c>
    </row>
    <row r="7651" spans="1:6" x14ac:dyDescent="0.15">
      <c r="A7651">
        <v>8755888</v>
      </c>
      <c r="B7651">
        <v>12086281</v>
      </c>
      <c r="C7651" t="s">
        <v>22</v>
      </c>
      <c r="D7651" t="s">
        <v>114</v>
      </c>
      <c r="E7651" s="4" t="str">
        <f>HYPERLINK("https://ibp.a2mac1.com/costing(costing:projects/details/9760/material/8755888)","Standard Structural Steel sheet")</f>
        <v>Standard Structural Steel sheet</v>
      </c>
      <c r="F7651" t="s">
        <v>7984</v>
      </c>
    </row>
    <row r="7652" spans="1:6" x14ac:dyDescent="0.15">
      <c r="A7652">
        <v>12213490</v>
      </c>
      <c r="B7652">
        <v>12086281</v>
      </c>
      <c r="C7652" t="s">
        <v>163</v>
      </c>
      <c r="D7652" t="s">
        <v>114</v>
      </c>
      <c r="E7652" s="4" t="str">
        <f>HYPERLINK("https://ibp.a2mac1.com/costing(costing:projects/details/9760/equipment/12213490)","Manufacturing Equipment")</f>
        <v>Manufacturing Equipment</v>
      </c>
      <c r="F7652" t="s">
        <v>7984</v>
      </c>
    </row>
    <row r="7653" spans="1:6" x14ac:dyDescent="0.15">
      <c r="A7653">
        <v>8416641</v>
      </c>
      <c r="B7653">
        <v>8416428</v>
      </c>
      <c r="C7653" t="s">
        <v>8</v>
      </c>
      <c r="D7653" t="s">
        <v>8</v>
      </c>
      <c r="E7653" s="4" t="str">
        <f>HYPERLINK("https://ibp.a2mac1.com/costing(costing:projects/details/9760/assembly/8416641)","Reinforcements")</f>
        <v>Reinforcements</v>
      </c>
      <c r="F7653" t="s">
        <v>7974</v>
      </c>
    </row>
    <row r="7654" spans="1:6" x14ac:dyDescent="0.15">
      <c r="A7654">
        <v>8417048</v>
      </c>
      <c r="B7654">
        <v>8416641</v>
      </c>
      <c r="C7654" t="s">
        <v>10</v>
      </c>
      <c r="D7654" t="s">
        <v>8</v>
      </c>
      <c r="E7654" s="4" t="str">
        <f>HYPERLINK("https://ibp.a2mac1.com/costing(costing:projects/details/9760/part/8417048)","Part 01 (single/main)")</f>
        <v>Part 01 (single/main)</v>
      </c>
      <c r="F7654" t="s">
        <v>7987</v>
      </c>
    </row>
    <row r="7655" spans="1:6" x14ac:dyDescent="0.15">
      <c r="A7655">
        <v>12086282</v>
      </c>
      <c r="B7655">
        <v>8417048</v>
      </c>
      <c r="C7655" t="s">
        <v>114</v>
      </c>
      <c r="D7655" t="s">
        <v>10</v>
      </c>
      <c r="E7655" s="4" t="str">
        <f>HYPERLINK("https://ibp.a2mac1.com/costing(costing:projects/details/9760/process/12086282)","MANUFACTURING  PROCESS")</f>
        <v>MANUFACTURING  PROCESS</v>
      </c>
      <c r="F7655" t="s">
        <v>7988</v>
      </c>
    </row>
    <row r="7656" spans="1:6" x14ac:dyDescent="0.15">
      <c r="A7656">
        <v>8755889</v>
      </c>
      <c r="B7656">
        <v>12086282</v>
      </c>
      <c r="C7656" t="s">
        <v>22</v>
      </c>
      <c r="D7656" t="s">
        <v>114</v>
      </c>
      <c r="E7656" s="4" t="str">
        <f>HYPERLINK("https://ibp.a2mac1.com/costing(costing:projects/details/9760/material/8755889)","Steel sheet (Hot Forming Steel)")</f>
        <v>Steel sheet (Hot Forming Steel)</v>
      </c>
      <c r="F7656" t="s">
        <v>7991</v>
      </c>
    </row>
    <row r="7657" spans="1:6" x14ac:dyDescent="0.15">
      <c r="A7657">
        <v>12213491</v>
      </c>
      <c r="B7657">
        <v>12086282</v>
      </c>
      <c r="C7657" t="s">
        <v>163</v>
      </c>
      <c r="D7657" t="s">
        <v>114</v>
      </c>
      <c r="E7657" s="4" t="str">
        <f>HYPERLINK("https://ibp.a2mac1.com/costing(costing:projects/details/9760/equipment/12213491)","Manufacturing Equipment")</f>
        <v>Manufacturing Equipment</v>
      </c>
      <c r="F7657" t="s">
        <v>7991</v>
      </c>
    </row>
    <row r="7658" spans="1:6" x14ac:dyDescent="0.15">
      <c r="A7658">
        <v>8417049</v>
      </c>
      <c r="B7658">
        <v>8416641</v>
      </c>
      <c r="C7658" t="s">
        <v>10</v>
      </c>
      <c r="D7658" t="s">
        <v>8</v>
      </c>
      <c r="E7658" s="4" t="str">
        <f>HYPERLINK("https://ibp.a2mac1.com/costing(costing:projects/details/9760/part/8417049)","Part 02")</f>
        <v>Part 02</v>
      </c>
      <c r="F7658" t="s">
        <v>7987</v>
      </c>
    </row>
    <row r="7659" spans="1:6" x14ac:dyDescent="0.15">
      <c r="A7659">
        <v>12086292</v>
      </c>
      <c r="B7659">
        <v>8417049</v>
      </c>
      <c r="C7659" t="s">
        <v>114</v>
      </c>
      <c r="D7659" t="s">
        <v>10</v>
      </c>
      <c r="E7659" s="4" t="str">
        <f>HYPERLINK("https://ibp.a2mac1.com/costing(costing:projects/details/9760/process/12086292)","MANUFACTURING  PROCESS")</f>
        <v>MANUFACTURING  PROCESS</v>
      </c>
      <c r="F7659" t="s">
        <v>7993</v>
      </c>
    </row>
    <row r="7660" spans="1:6" x14ac:dyDescent="0.15">
      <c r="A7660">
        <v>8755890</v>
      </c>
      <c r="B7660">
        <v>12086292</v>
      </c>
      <c r="C7660" t="s">
        <v>22</v>
      </c>
      <c r="D7660" t="s">
        <v>114</v>
      </c>
      <c r="E7660" s="4" t="str">
        <f>HYPERLINK("https://ibp.a2mac1.com/costing(costing:projects/details/9760/material/8755890)","Standard Structural Steel sheet")</f>
        <v>Standard Structural Steel sheet</v>
      </c>
      <c r="F7660" t="s">
        <v>7996</v>
      </c>
    </row>
    <row r="7661" spans="1:6" x14ac:dyDescent="0.15">
      <c r="A7661">
        <v>12213492</v>
      </c>
      <c r="B7661">
        <v>12086292</v>
      </c>
      <c r="C7661" t="s">
        <v>163</v>
      </c>
      <c r="D7661" t="s">
        <v>114</v>
      </c>
      <c r="E7661" s="4" t="str">
        <f>HYPERLINK("https://ibp.a2mac1.com/costing(costing:projects/details/9760/equipment/12213492)","Manufacturing Equipment")</f>
        <v>Manufacturing Equipment</v>
      </c>
      <c r="F7661" t="s">
        <v>7996</v>
      </c>
    </row>
    <row r="7662" spans="1:6" x14ac:dyDescent="0.15">
      <c r="A7662">
        <v>8416642</v>
      </c>
      <c r="B7662">
        <v>8416428</v>
      </c>
      <c r="C7662" t="s">
        <v>8</v>
      </c>
      <c r="D7662" t="s">
        <v>8</v>
      </c>
      <c r="E7662" s="4" t="str">
        <f>HYPERLINK("https://ibp.a2mac1.com/costing(costing:projects/details/9760/assembly/8416642)","Cross member assy")</f>
        <v>Cross member assy</v>
      </c>
      <c r="F7662" t="s">
        <v>7974</v>
      </c>
    </row>
    <row r="7663" spans="1:6" x14ac:dyDescent="0.15">
      <c r="A7663">
        <v>8417050</v>
      </c>
      <c r="B7663">
        <v>8416642</v>
      </c>
      <c r="C7663" t="s">
        <v>8</v>
      </c>
      <c r="D7663" t="s">
        <v>8</v>
      </c>
      <c r="E7663" s="4" t="str">
        <f>HYPERLINK("https://ibp.a2mac1.com/costing(costing:projects/details/9760/assembly/8417050)","Cross member")</f>
        <v>Cross member</v>
      </c>
      <c r="F7663" t="s">
        <v>7999</v>
      </c>
    </row>
    <row r="7664" spans="1:6" x14ac:dyDescent="0.15">
      <c r="A7664">
        <v>8417277</v>
      </c>
      <c r="B7664">
        <v>8417050</v>
      </c>
      <c r="C7664" t="s">
        <v>10</v>
      </c>
      <c r="D7664" t="s">
        <v>8</v>
      </c>
      <c r="E7664" s="4" t="str">
        <f>HYPERLINK("https://ibp.a2mac1.com/costing(costing:projects/details/9760/part/8417277)","Part 01 (single/main)")</f>
        <v>Part 01 (single/main)</v>
      </c>
      <c r="F7664" t="s">
        <v>8000</v>
      </c>
    </row>
    <row r="7665" spans="1:6" x14ac:dyDescent="0.15">
      <c r="A7665">
        <v>12086455</v>
      </c>
      <c r="B7665">
        <v>8417277</v>
      </c>
      <c r="C7665" t="s">
        <v>114</v>
      </c>
      <c r="D7665" t="s">
        <v>10</v>
      </c>
      <c r="E7665" s="4" t="str">
        <f>HYPERLINK("https://ibp.a2mac1.com/costing(costing:projects/details/9760/process/12086455)","MANUFACTURING  PROCESS")</f>
        <v>MANUFACTURING  PROCESS</v>
      </c>
      <c r="F7665" t="s">
        <v>8001</v>
      </c>
    </row>
    <row r="7666" spans="1:6" x14ac:dyDescent="0.15">
      <c r="A7666">
        <v>8756058</v>
      </c>
      <c r="B7666">
        <v>12086455</v>
      </c>
      <c r="C7666" t="s">
        <v>22</v>
      </c>
      <c r="D7666" t="s">
        <v>114</v>
      </c>
      <c r="E7666" s="4" t="str">
        <f>HYPERLINK("https://ibp.a2mac1.com/costing(costing:projects/details/9760/material/8756058)","Steel sheet (Hot Forming Steel)")</f>
        <v>Steel sheet (Hot Forming Steel)</v>
      </c>
      <c r="F7666" t="s">
        <v>8004</v>
      </c>
    </row>
    <row r="7667" spans="1:6" x14ac:dyDescent="0.15">
      <c r="A7667">
        <v>12213600</v>
      </c>
      <c r="B7667">
        <v>12086455</v>
      </c>
      <c r="C7667" t="s">
        <v>163</v>
      </c>
      <c r="D7667" t="s">
        <v>114</v>
      </c>
      <c r="E7667" s="4" t="str">
        <f>HYPERLINK("https://ibp.a2mac1.com/costing(costing:projects/details/9760/equipment/12213600)","Manufacturing Equipment")</f>
        <v>Manufacturing Equipment</v>
      </c>
      <c r="F7667" t="s">
        <v>8004</v>
      </c>
    </row>
    <row r="7668" spans="1:6" x14ac:dyDescent="0.15">
      <c r="A7668">
        <v>8416643</v>
      </c>
      <c r="B7668">
        <v>8416428</v>
      </c>
      <c r="C7668" t="s">
        <v>8</v>
      </c>
      <c r="D7668" t="s">
        <v>8</v>
      </c>
      <c r="E7668" s="4" t="str">
        <f>HYPERLINK("https://ibp.a2mac1.com/costing(costing:projects/details/9760/assembly/8416643)","A-pillar gussets")</f>
        <v>A-pillar gussets</v>
      </c>
      <c r="F7668" t="s">
        <v>7974</v>
      </c>
    </row>
    <row r="7669" spans="1:6" x14ac:dyDescent="0.15">
      <c r="A7669">
        <v>8417051</v>
      </c>
      <c r="B7669">
        <v>8416643</v>
      </c>
      <c r="C7669" t="s">
        <v>10</v>
      </c>
      <c r="D7669" t="s">
        <v>8</v>
      </c>
      <c r="E7669" s="4" t="str">
        <f>HYPERLINK("https://ibp.a2mac1.com/costing(costing:projects/details/9760/part/8417051)","Part 01 (single/main)")</f>
        <v>Part 01 (single/main)</v>
      </c>
      <c r="F7669" t="s">
        <v>8007</v>
      </c>
    </row>
    <row r="7670" spans="1:6" x14ac:dyDescent="0.15">
      <c r="A7670">
        <v>12086293</v>
      </c>
      <c r="B7670">
        <v>8417051</v>
      </c>
      <c r="C7670" t="s">
        <v>114</v>
      </c>
      <c r="D7670" t="s">
        <v>10</v>
      </c>
      <c r="E7670" s="4" t="str">
        <f>HYPERLINK("https://ibp.a2mac1.com/costing(costing:projects/details/9760/process/12086293)","MANUFACTURING  PROCESS")</f>
        <v>MANUFACTURING  PROCESS</v>
      </c>
      <c r="F7670" t="s">
        <v>8008</v>
      </c>
    </row>
    <row r="7671" spans="1:6" x14ac:dyDescent="0.15">
      <c r="A7671">
        <v>8755891</v>
      </c>
      <c r="B7671">
        <v>12086293</v>
      </c>
      <c r="C7671" t="s">
        <v>22</v>
      </c>
      <c r="D7671" t="s">
        <v>114</v>
      </c>
      <c r="E7671" s="4" t="str">
        <f>HYPERLINK("https://ibp.a2mac1.com/costing(costing:projects/details/9760/material/8755891)","Steel sheet (Hot Forming Steel)")</f>
        <v>Steel sheet (Hot Forming Steel)</v>
      </c>
      <c r="F7671" t="s">
        <v>8011</v>
      </c>
    </row>
    <row r="7672" spans="1:6" x14ac:dyDescent="0.15">
      <c r="A7672">
        <v>12213493</v>
      </c>
      <c r="B7672">
        <v>12086293</v>
      </c>
      <c r="C7672" t="s">
        <v>163</v>
      </c>
      <c r="D7672" t="s">
        <v>114</v>
      </c>
      <c r="E7672" s="4" t="str">
        <f>HYPERLINK("https://ibp.a2mac1.com/costing(costing:projects/details/9760/equipment/12213493)","Manufacturing Equipment")</f>
        <v>Manufacturing Equipment</v>
      </c>
      <c r="F7672" t="s">
        <v>8011</v>
      </c>
    </row>
    <row r="7673" spans="1:6" x14ac:dyDescent="0.15">
      <c r="A7673">
        <v>8416644</v>
      </c>
      <c r="B7673">
        <v>8416428</v>
      </c>
      <c r="C7673" t="s">
        <v>8</v>
      </c>
      <c r="D7673" t="s">
        <v>8</v>
      </c>
      <c r="E7673" s="4" t="str">
        <f>HYPERLINK("https://ibp.a2mac1.com/costing(costing:projects/details/9760/assembly/8416644)","Fixing parts")</f>
        <v>Fixing parts</v>
      </c>
      <c r="F7673" t="s">
        <v>7974</v>
      </c>
    </row>
    <row r="7674" spans="1:6" x14ac:dyDescent="0.15">
      <c r="A7674">
        <v>8417052</v>
      </c>
      <c r="B7674">
        <v>8416644</v>
      </c>
      <c r="C7674" t="s">
        <v>10</v>
      </c>
      <c r="D7674" t="s">
        <v>8</v>
      </c>
      <c r="E7674" s="4" t="str">
        <f>HYPERLINK("https://ibp.a2mac1.com/costing(costing:projects/details/9760/part/8417052)","Part 01 (single/main)")</f>
        <v>Part 01 (single/main)</v>
      </c>
      <c r="F7674" t="s">
        <v>8014</v>
      </c>
    </row>
    <row r="7675" spans="1:6" x14ac:dyDescent="0.15">
      <c r="A7675">
        <v>12086294</v>
      </c>
      <c r="B7675">
        <v>8417052</v>
      </c>
      <c r="C7675" t="s">
        <v>114</v>
      </c>
      <c r="D7675" t="s">
        <v>10</v>
      </c>
      <c r="E7675" s="4" t="str">
        <f>HYPERLINK("https://ibp.a2mac1.com/costing(costing:projects/details/9760/process/12086294)","MANUFACTURING  PROCESS")</f>
        <v>MANUFACTURING  PROCESS</v>
      </c>
      <c r="F7675" t="s">
        <v>8015</v>
      </c>
    </row>
    <row r="7676" spans="1:6" x14ac:dyDescent="0.15">
      <c r="A7676">
        <v>8755892</v>
      </c>
      <c r="B7676">
        <v>12086294</v>
      </c>
      <c r="C7676" t="s">
        <v>22</v>
      </c>
      <c r="D7676" t="s">
        <v>114</v>
      </c>
      <c r="E7676" s="4" t="str">
        <f>HYPERLINK("https://ibp.a2mac1.com/costing(costing:projects/details/9760/material/8755892)","Standard Structural Steel sheet")</f>
        <v>Standard Structural Steel sheet</v>
      </c>
      <c r="F7676" t="s">
        <v>8017</v>
      </c>
    </row>
    <row r="7677" spans="1:6" x14ac:dyDescent="0.15">
      <c r="A7677">
        <v>12213494</v>
      </c>
      <c r="B7677">
        <v>12086294</v>
      </c>
      <c r="C7677" t="s">
        <v>163</v>
      </c>
      <c r="D7677" t="s">
        <v>114</v>
      </c>
      <c r="E7677" s="4" t="str">
        <f>HYPERLINK("https://ibp.a2mac1.com/costing(costing:projects/details/9760/equipment/12213494)","Manufacturing Equipment")</f>
        <v>Manufacturing Equipment</v>
      </c>
      <c r="F7677" t="s">
        <v>8017</v>
      </c>
    </row>
    <row r="7678" spans="1:6" x14ac:dyDescent="0.15">
      <c r="A7678">
        <v>8417053</v>
      </c>
      <c r="B7678">
        <v>8416644</v>
      </c>
      <c r="C7678" t="s">
        <v>10</v>
      </c>
      <c r="D7678" t="s">
        <v>8</v>
      </c>
      <c r="E7678" s="4" t="str">
        <f>HYPERLINK("https://ibp.a2mac1.com/costing(costing:projects/details/9760/part/8417053)","Part 02")</f>
        <v>Part 02</v>
      </c>
      <c r="F7678" t="s">
        <v>8014</v>
      </c>
    </row>
    <row r="7679" spans="1:6" x14ac:dyDescent="0.15">
      <c r="A7679">
        <v>12086295</v>
      </c>
      <c r="B7679">
        <v>8417053</v>
      </c>
      <c r="C7679" t="s">
        <v>114</v>
      </c>
      <c r="D7679" t="s">
        <v>10</v>
      </c>
      <c r="E7679" s="4" t="str">
        <f>HYPERLINK("https://ibp.a2mac1.com/costing(costing:projects/details/9760/process/12086295)","MANUFACTURING  PROCESS")</f>
        <v>MANUFACTURING  PROCESS</v>
      </c>
      <c r="F7679" t="s">
        <v>8019</v>
      </c>
    </row>
    <row r="7680" spans="1:6" x14ac:dyDescent="0.15">
      <c r="A7680">
        <v>8755893</v>
      </c>
      <c r="B7680">
        <v>12086295</v>
      </c>
      <c r="C7680" t="s">
        <v>22</v>
      </c>
      <c r="D7680" t="s">
        <v>114</v>
      </c>
      <c r="E7680" s="4" t="str">
        <f>HYPERLINK("https://ibp.a2mac1.com/costing(costing:projects/details/9760/material/8755893)","Standard Structural Steel sheet")</f>
        <v>Standard Structural Steel sheet</v>
      </c>
      <c r="F7680" t="s">
        <v>8021</v>
      </c>
    </row>
    <row r="7681" spans="1:6" x14ac:dyDescent="0.15">
      <c r="A7681">
        <v>12213495</v>
      </c>
      <c r="B7681">
        <v>12086295</v>
      </c>
      <c r="C7681" t="s">
        <v>163</v>
      </c>
      <c r="D7681" t="s">
        <v>114</v>
      </c>
      <c r="E7681" s="4" t="str">
        <f>HYPERLINK("https://ibp.a2mac1.com/costing(costing:projects/details/9760/equipment/12213495)","Manufacturing Equipment")</f>
        <v>Manufacturing Equipment</v>
      </c>
      <c r="F7681" t="s">
        <v>8021</v>
      </c>
    </row>
    <row r="7682" spans="1:6" x14ac:dyDescent="0.15">
      <c r="A7682">
        <v>8416429</v>
      </c>
      <c r="B7682">
        <v>8416071</v>
      </c>
      <c r="C7682" t="s">
        <v>8</v>
      </c>
      <c r="D7682" t="s">
        <v>8</v>
      </c>
      <c r="E7682" s="4" t="str">
        <f>HYPERLINK("https://ibp.a2mac1.com/costing(costing:projects/details/9760/assembly/8416429)","A pillar inner skin")</f>
        <v>A pillar inner skin</v>
      </c>
      <c r="F7682" t="s">
        <v>7832</v>
      </c>
    </row>
    <row r="7683" spans="1:6" x14ac:dyDescent="0.15">
      <c r="A7683">
        <v>8416645</v>
      </c>
      <c r="B7683">
        <v>8416429</v>
      </c>
      <c r="C7683" t="s">
        <v>8</v>
      </c>
      <c r="D7683" t="s">
        <v>8</v>
      </c>
      <c r="E7683" s="4" t="str">
        <f>HYPERLINK("https://ibp.a2mac1.com/costing(costing:projects/details/9760/assembly/8416645)","Inner skin")</f>
        <v>Inner skin</v>
      </c>
      <c r="F7683" t="s">
        <v>8025</v>
      </c>
    </row>
    <row r="7684" spans="1:6" x14ac:dyDescent="0.15">
      <c r="A7684">
        <v>8417054</v>
      </c>
      <c r="B7684">
        <v>8416645</v>
      </c>
      <c r="C7684" t="s">
        <v>10</v>
      </c>
      <c r="D7684" t="s">
        <v>8</v>
      </c>
      <c r="E7684" s="4" t="str">
        <f>HYPERLINK("https://ibp.a2mac1.com/costing(costing:projects/details/9760/part/8417054)","Part 01 (single/main/front)")</f>
        <v>Part 01 (single/main/front)</v>
      </c>
      <c r="F7684" t="s">
        <v>8026</v>
      </c>
    </row>
    <row r="7685" spans="1:6" x14ac:dyDescent="0.15">
      <c r="A7685">
        <v>12086296</v>
      </c>
      <c r="B7685">
        <v>8417054</v>
      </c>
      <c r="C7685" t="s">
        <v>114</v>
      </c>
      <c r="D7685" t="s">
        <v>10</v>
      </c>
      <c r="E7685" s="4" t="str">
        <f>HYPERLINK("https://ibp.a2mac1.com/costing(costing:projects/details/9760/process/12086296)","MANUFACTURING  PROCESS")</f>
        <v>MANUFACTURING  PROCESS</v>
      </c>
      <c r="F7685" t="s">
        <v>8027</v>
      </c>
    </row>
    <row r="7686" spans="1:6" x14ac:dyDescent="0.15">
      <c r="A7686">
        <v>8755894</v>
      </c>
      <c r="B7686">
        <v>12086296</v>
      </c>
      <c r="C7686" t="s">
        <v>22</v>
      </c>
      <c r="D7686" t="s">
        <v>114</v>
      </c>
      <c r="E7686" s="4" t="str">
        <f>HYPERLINK("https://ibp.a2mac1.com/costing(costing:projects/details/9760/material/8755894)","Steel sheet (Hot Forming Steel)")</f>
        <v>Steel sheet (Hot Forming Steel)</v>
      </c>
      <c r="F7686" t="s">
        <v>8030</v>
      </c>
    </row>
    <row r="7687" spans="1:6" x14ac:dyDescent="0.15">
      <c r="A7687">
        <v>12213496</v>
      </c>
      <c r="B7687">
        <v>12086296</v>
      </c>
      <c r="C7687" t="s">
        <v>163</v>
      </c>
      <c r="D7687" t="s">
        <v>114</v>
      </c>
      <c r="E7687" s="4" t="str">
        <f>HYPERLINK("https://ibp.a2mac1.com/costing(costing:projects/details/9760/equipment/12213496)","Manufacturing Equipment")</f>
        <v>Manufacturing Equipment</v>
      </c>
      <c r="F7687" t="s">
        <v>8030</v>
      </c>
    </row>
    <row r="7688" spans="1:6" x14ac:dyDescent="0.15">
      <c r="A7688">
        <v>8417055</v>
      </c>
      <c r="B7688">
        <v>8416645</v>
      </c>
      <c r="C7688" t="s">
        <v>10</v>
      </c>
      <c r="D7688" t="s">
        <v>8</v>
      </c>
      <c r="E7688" s="4" t="str">
        <f>HYPERLINK("https://ibp.a2mac1.com/costing(costing:projects/details/9760/part/8417055)","Part 02")</f>
        <v>Part 02</v>
      </c>
      <c r="F7688" t="s">
        <v>8026</v>
      </c>
    </row>
    <row r="7689" spans="1:6" x14ac:dyDescent="0.15">
      <c r="A7689">
        <v>12086297</v>
      </c>
      <c r="B7689">
        <v>8417055</v>
      </c>
      <c r="C7689" t="s">
        <v>114</v>
      </c>
      <c r="D7689" t="s">
        <v>10</v>
      </c>
      <c r="E7689" s="4" t="str">
        <f>HYPERLINK("https://ibp.a2mac1.com/costing(costing:projects/details/9760/process/12086297)","MANUFACTURING  PROCESS")</f>
        <v>MANUFACTURING  PROCESS</v>
      </c>
      <c r="F7689" t="s">
        <v>8032</v>
      </c>
    </row>
    <row r="7690" spans="1:6" x14ac:dyDescent="0.15">
      <c r="A7690">
        <v>8755895</v>
      </c>
      <c r="B7690">
        <v>12086297</v>
      </c>
      <c r="C7690" t="s">
        <v>22</v>
      </c>
      <c r="D7690" t="s">
        <v>114</v>
      </c>
      <c r="E7690" s="4" t="str">
        <f>HYPERLINK("https://ibp.a2mac1.com/costing(costing:projects/details/9760/material/8755895)","Standard Structural Steel sheet")</f>
        <v>Standard Structural Steel sheet</v>
      </c>
      <c r="F7690" t="s">
        <v>8034</v>
      </c>
    </row>
    <row r="7691" spans="1:6" x14ac:dyDescent="0.15">
      <c r="A7691">
        <v>12213497</v>
      </c>
      <c r="B7691">
        <v>12086297</v>
      </c>
      <c r="C7691" t="s">
        <v>163</v>
      </c>
      <c r="D7691" t="s">
        <v>114</v>
      </c>
      <c r="E7691" s="4" t="str">
        <f>HYPERLINK("https://ibp.a2mac1.com/costing(costing:projects/details/9760/equipment/12213497)","Manufacturing Equipment")</f>
        <v>Manufacturing Equipment</v>
      </c>
      <c r="F7691" t="s">
        <v>8034</v>
      </c>
    </row>
    <row r="7692" spans="1:6" x14ac:dyDescent="0.15">
      <c r="A7692">
        <v>8416646</v>
      </c>
      <c r="B7692">
        <v>8416429</v>
      </c>
      <c r="C7692" t="s">
        <v>8</v>
      </c>
      <c r="D7692" t="s">
        <v>8</v>
      </c>
      <c r="E7692" s="4" t="str">
        <f>HYPERLINK("https://ibp.a2mac1.com/costing(costing:projects/details/9760/assembly/8416646)","Reinforcements")</f>
        <v>Reinforcements</v>
      </c>
      <c r="F7692" t="s">
        <v>8025</v>
      </c>
    </row>
    <row r="7693" spans="1:6" x14ac:dyDescent="0.15">
      <c r="A7693">
        <v>8417056</v>
      </c>
      <c r="B7693">
        <v>8416646</v>
      </c>
      <c r="C7693" t="s">
        <v>10</v>
      </c>
      <c r="D7693" t="s">
        <v>8</v>
      </c>
      <c r="E7693" s="4" t="str">
        <f>HYPERLINK("https://ibp.a2mac1.com/costing(costing:projects/details/9760/part/8417056)","Part 01 (single/main)")</f>
        <v>Part 01 (single/main)</v>
      </c>
      <c r="F7693" t="s">
        <v>8037</v>
      </c>
    </row>
    <row r="7694" spans="1:6" x14ac:dyDescent="0.15">
      <c r="A7694">
        <v>12086298</v>
      </c>
      <c r="B7694">
        <v>8417056</v>
      </c>
      <c r="C7694" t="s">
        <v>114</v>
      </c>
      <c r="D7694" t="s">
        <v>10</v>
      </c>
      <c r="E7694" s="4" t="str">
        <f>HYPERLINK("https://ibp.a2mac1.com/costing(costing:projects/details/9760/process/12086298)","MANUFACTURING  PROCESS")</f>
        <v>MANUFACTURING  PROCESS</v>
      </c>
      <c r="F7694" t="s">
        <v>8038</v>
      </c>
    </row>
    <row r="7695" spans="1:6" x14ac:dyDescent="0.15">
      <c r="A7695">
        <v>8755938</v>
      </c>
      <c r="B7695">
        <v>12086298</v>
      </c>
      <c r="C7695" t="s">
        <v>22</v>
      </c>
      <c r="D7695" t="s">
        <v>114</v>
      </c>
      <c r="E7695" s="4" t="str">
        <f>HYPERLINK("https://ibp.a2mac1.com/costing(costing:projects/details/9760/material/8755938)","Standard Structural Steel sheet")</f>
        <v>Standard Structural Steel sheet</v>
      </c>
      <c r="F7695" t="s">
        <v>8041</v>
      </c>
    </row>
    <row r="7696" spans="1:6" x14ac:dyDescent="0.15">
      <c r="A7696">
        <v>12213498</v>
      </c>
      <c r="B7696">
        <v>12086298</v>
      </c>
      <c r="C7696" t="s">
        <v>163</v>
      </c>
      <c r="D7696" t="s">
        <v>114</v>
      </c>
      <c r="E7696" s="4" t="str">
        <f>HYPERLINK("https://ibp.a2mac1.com/costing(costing:projects/details/9760/equipment/12213498)","Manufacturing Equipment")</f>
        <v>Manufacturing Equipment</v>
      </c>
      <c r="F7696" t="s">
        <v>8041</v>
      </c>
    </row>
    <row r="7697" spans="1:6" x14ac:dyDescent="0.15">
      <c r="A7697">
        <v>8417057</v>
      </c>
      <c r="B7697">
        <v>8416646</v>
      </c>
      <c r="C7697" t="s">
        <v>10</v>
      </c>
      <c r="D7697" t="s">
        <v>8</v>
      </c>
      <c r="E7697" s="4" t="str">
        <f>HYPERLINK("https://ibp.a2mac1.com/costing(costing:projects/details/9760/part/8417057)","Part 02")</f>
        <v>Part 02</v>
      </c>
      <c r="F7697" t="s">
        <v>8037</v>
      </c>
    </row>
    <row r="7698" spans="1:6" x14ac:dyDescent="0.15">
      <c r="A7698">
        <v>12086299</v>
      </c>
      <c r="B7698">
        <v>8417057</v>
      </c>
      <c r="C7698" t="s">
        <v>114</v>
      </c>
      <c r="D7698" t="s">
        <v>10</v>
      </c>
      <c r="E7698" s="4" t="str">
        <f>HYPERLINK("https://ibp.a2mac1.com/costing(costing:projects/details/9760/process/12086299)","MANUFACTURING  PROCESS")</f>
        <v>MANUFACTURING  PROCESS</v>
      </c>
      <c r="F7698" t="s">
        <v>8043</v>
      </c>
    </row>
    <row r="7699" spans="1:6" x14ac:dyDescent="0.15">
      <c r="A7699">
        <v>8755939</v>
      </c>
      <c r="B7699">
        <v>12086299</v>
      </c>
      <c r="C7699" t="s">
        <v>22</v>
      </c>
      <c r="D7699" t="s">
        <v>114</v>
      </c>
      <c r="E7699" s="4" t="str">
        <f>HYPERLINK("https://ibp.a2mac1.com/costing(costing:projects/details/9760/material/8755939)","Standard Structural Steel sheet")</f>
        <v>Standard Structural Steel sheet</v>
      </c>
      <c r="F7699" t="s">
        <v>8046</v>
      </c>
    </row>
    <row r="7700" spans="1:6" x14ac:dyDescent="0.15">
      <c r="A7700">
        <v>12213499</v>
      </c>
      <c r="B7700">
        <v>12086299</v>
      </c>
      <c r="C7700" t="s">
        <v>163</v>
      </c>
      <c r="D7700" t="s">
        <v>114</v>
      </c>
      <c r="E7700" s="4" t="str">
        <f>HYPERLINK("https://ibp.a2mac1.com/costing(costing:projects/details/9760/equipment/12213499)","Manufacturing Equipment")</f>
        <v>Manufacturing Equipment</v>
      </c>
      <c r="F7700" t="s">
        <v>8046</v>
      </c>
    </row>
    <row r="7701" spans="1:6" x14ac:dyDescent="0.15">
      <c r="A7701">
        <v>8416647</v>
      </c>
      <c r="B7701">
        <v>8416429</v>
      </c>
      <c r="C7701" t="s">
        <v>8</v>
      </c>
      <c r="D7701" t="s">
        <v>8</v>
      </c>
      <c r="E7701" s="4" t="str">
        <f>HYPERLINK("https://ibp.a2mac1.com/costing(costing:projects/details/9760/assembly/8416647)","Fixing parts")</f>
        <v>Fixing parts</v>
      </c>
      <c r="F7701" t="s">
        <v>8025</v>
      </c>
    </row>
    <row r="7702" spans="1:6" x14ac:dyDescent="0.15">
      <c r="A7702">
        <v>8417058</v>
      </c>
      <c r="B7702">
        <v>8416647</v>
      </c>
      <c r="C7702" t="s">
        <v>10</v>
      </c>
      <c r="D7702" t="s">
        <v>8</v>
      </c>
      <c r="E7702" s="4" t="str">
        <f>HYPERLINK("https://ibp.a2mac1.com/costing(costing:projects/details/9760/part/8417058)","Part 01 (single/main)")</f>
        <v>Part 01 (single/main)</v>
      </c>
      <c r="F7702" t="s">
        <v>8049</v>
      </c>
    </row>
    <row r="7703" spans="1:6" x14ac:dyDescent="0.15">
      <c r="A7703">
        <v>12086300</v>
      </c>
      <c r="B7703">
        <v>8417058</v>
      </c>
      <c r="C7703" t="s">
        <v>114</v>
      </c>
      <c r="D7703" t="s">
        <v>10</v>
      </c>
      <c r="E7703" s="4" t="str">
        <f>HYPERLINK("https://ibp.a2mac1.com/costing(costing:projects/details/9760/process/12086300)","MANUFACTURING  PROCESS")</f>
        <v>MANUFACTURING  PROCESS</v>
      </c>
      <c r="F7703" t="s">
        <v>8050</v>
      </c>
    </row>
    <row r="7704" spans="1:6" x14ac:dyDescent="0.15">
      <c r="A7704">
        <v>8755940</v>
      </c>
      <c r="B7704">
        <v>12086300</v>
      </c>
      <c r="C7704" t="s">
        <v>22</v>
      </c>
      <c r="D7704" t="s">
        <v>114</v>
      </c>
      <c r="E7704" s="4" t="str">
        <f>HYPERLINK("https://ibp.a2mac1.com/costing(costing:projects/details/9760/material/8755940)","Standard Structural Steel sheet")</f>
        <v>Standard Structural Steel sheet</v>
      </c>
      <c r="F7704" t="s">
        <v>8052</v>
      </c>
    </row>
    <row r="7705" spans="1:6" x14ac:dyDescent="0.15">
      <c r="A7705">
        <v>12213500</v>
      </c>
      <c r="B7705">
        <v>12086300</v>
      </c>
      <c r="C7705" t="s">
        <v>163</v>
      </c>
      <c r="D7705" t="s">
        <v>114</v>
      </c>
      <c r="E7705" s="4" t="str">
        <f>HYPERLINK("https://ibp.a2mac1.com/costing(costing:projects/details/9760/equipment/12213500)","Manufacturing Equipment")</f>
        <v>Manufacturing Equipment</v>
      </c>
      <c r="F7705" t="s">
        <v>8052</v>
      </c>
    </row>
    <row r="7706" spans="1:6" x14ac:dyDescent="0.15">
      <c r="A7706">
        <v>8417059</v>
      </c>
      <c r="B7706">
        <v>8416647</v>
      </c>
      <c r="C7706" t="s">
        <v>10</v>
      </c>
      <c r="D7706" t="s">
        <v>8</v>
      </c>
      <c r="E7706" s="4" t="str">
        <f>HYPERLINK("https://ibp.a2mac1.com/costing(costing:projects/details/9760/part/8417059)","Part 02")</f>
        <v>Part 02</v>
      </c>
      <c r="F7706" t="s">
        <v>8049</v>
      </c>
    </row>
    <row r="7707" spans="1:6" x14ac:dyDescent="0.15">
      <c r="A7707">
        <v>12086301</v>
      </c>
      <c r="B7707">
        <v>8417059</v>
      </c>
      <c r="C7707" t="s">
        <v>114</v>
      </c>
      <c r="D7707" t="s">
        <v>10</v>
      </c>
      <c r="E7707" s="4" t="str">
        <f>HYPERLINK("https://ibp.a2mac1.com/costing(costing:projects/details/9760/process/12086301)","MANUFACTURING  PROCESS")</f>
        <v>MANUFACTURING  PROCESS</v>
      </c>
      <c r="F7707" t="s">
        <v>8054</v>
      </c>
    </row>
    <row r="7708" spans="1:6" x14ac:dyDescent="0.15">
      <c r="A7708">
        <v>8755941</v>
      </c>
      <c r="B7708">
        <v>12086301</v>
      </c>
      <c r="C7708" t="s">
        <v>22</v>
      </c>
      <c r="D7708" t="s">
        <v>114</v>
      </c>
      <c r="E7708" s="4" t="str">
        <f>HYPERLINK("https://ibp.a2mac1.com/costing(costing:projects/details/9760/material/8755941)","Standard Structural Steel sheet")</f>
        <v>Standard Structural Steel sheet</v>
      </c>
      <c r="F7708" t="s">
        <v>8057</v>
      </c>
    </row>
    <row r="7709" spans="1:6" x14ac:dyDescent="0.15">
      <c r="A7709">
        <v>12213501</v>
      </c>
      <c r="B7709">
        <v>12086301</v>
      </c>
      <c r="C7709" t="s">
        <v>163</v>
      </c>
      <c r="D7709" t="s">
        <v>114</v>
      </c>
      <c r="E7709" s="4" t="str">
        <f>HYPERLINK("https://ibp.a2mac1.com/costing(costing:projects/details/9760/equipment/12213501)","Manufacturing Equipment")</f>
        <v>Manufacturing Equipment</v>
      </c>
      <c r="F7709" t="s">
        <v>8057</v>
      </c>
    </row>
    <row r="7710" spans="1:6" x14ac:dyDescent="0.15">
      <c r="A7710">
        <v>8416430</v>
      </c>
      <c r="B7710">
        <v>8416071</v>
      </c>
      <c r="C7710" t="s">
        <v>8</v>
      </c>
      <c r="D7710" t="s">
        <v>8</v>
      </c>
      <c r="E7710" s="4" t="str">
        <f>HYPERLINK("https://ibp.a2mac1.com/costing(costing:projects/details/9760/assembly/8416430)","Load paths under dash panel")</f>
        <v>Load paths under dash panel</v>
      </c>
      <c r="F7710" t="s">
        <v>7832</v>
      </c>
    </row>
    <row r="7711" spans="1:6" x14ac:dyDescent="0.15">
      <c r="A7711">
        <v>8416648</v>
      </c>
      <c r="B7711">
        <v>8416430</v>
      </c>
      <c r="C7711" t="s">
        <v>8</v>
      </c>
      <c r="D7711" t="s">
        <v>8</v>
      </c>
      <c r="E7711" s="4" t="str">
        <f>HYPERLINK("https://ibp.a2mac1.com/costing(costing:projects/details/9760/assembly/8416648)","Left area")</f>
        <v>Left area</v>
      </c>
      <c r="F7711" t="s">
        <v>8061</v>
      </c>
    </row>
    <row r="7712" spans="1:6" x14ac:dyDescent="0.15">
      <c r="A7712">
        <v>8417060</v>
      </c>
      <c r="B7712">
        <v>8416648</v>
      </c>
      <c r="C7712" t="s">
        <v>8</v>
      </c>
      <c r="D7712" t="s">
        <v>8</v>
      </c>
      <c r="E7712" s="4" t="str">
        <f>HYPERLINK("https://ibp.a2mac1.com/costing(costing:projects/details/9760/assembly/8417060)","Frame")</f>
        <v>Frame</v>
      </c>
      <c r="F7712" t="s">
        <v>8062</v>
      </c>
    </row>
    <row r="7713" spans="1:6" x14ac:dyDescent="0.15">
      <c r="A7713">
        <v>8417278</v>
      </c>
      <c r="B7713">
        <v>8417060</v>
      </c>
      <c r="C7713" t="s">
        <v>10</v>
      </c>
      <c r="D7713" t="s">
        <v>8</v>
      </c>
      <c r="E7713" s="4" t="str">
        <f>HYPERLINK("https://ibp.a2mac1.com/costing(costing:projects/details/9760/part/8417278)","Part 01 (single/main)")</f>
        <v>Part 01 (single/main)</v>
      </c>
      <c r="F7713" t="s">
        <v>8063</v>
      </c>
    </row>
    <row r="7714" spans="1:6" x14ac:dyDescent="0.15">
      <c r="A7714">
        <v>12086456</v>
      </c>
      <c r="B7714">
        <v>8417278</v>
      </c>
      <c r="C7714" t="s">
        <v>114</v>
      </c>
      <c r="D7714" t="s">
        <v>10</v>
      </c>
      <c r="E7714" s="4" t="str">
        <f>HYPERLINK("https://ibp.a2mac1.com/costing(costing:projects/details/9760/process/12086456)","MANUFACTURING  PROCESS")</f>
        <v>MANUFACTURING  PROCESS</v>
      </c>
      <c r="F7714" t="s">
        <v>8064</v>
      </c>
    </row>
    <row r="7715" spans="1:6" x14ac:dyDescent="0.15">
      <c r="A7715">
        <v>8756059</v>
      </c>
      <c r="B7715">
        <v>12086456</v>
      </c>
      <c r="C7715" t="s">
        <v>22</v>
      </c>
      <c r="D7715" t="s">
        <v>114</v>
      </c>
      <c r="E7715" s="4" t="str">
        <f>HYPERLINK("https://ibp.a2mac1.com/costing(costing:projects/details/9760/material/8756059)","Standard Structural Steel sheet")</f>
        <v>Standard Structural Steel sheet</v>
      </c>
      <c r="F7715" t="s">
        <v>8067</v>
      </c>
    </row>
    <row r="7716" spans="1:6" x14ac:dyDescent="0.15">
      <c r="A7716">
        <v>12213601</v>
      </c>
      <c r="B7716">
        <v>12086456</v>
      </c>
      <c r="C7716" t="s">
        <v>163</v>
      </c>
      <c r="D7716" t="s">
        <v>114</v>
      </c>
      <c r="E7716" s="4" t="str">
        <f>HYPERLINK("https://ibp.a2mac1.com/costing(costing:projects/details/9760/equipment/12213601)","Manufacturing Equipment")</f>
        <v>Manufacturing Equipment</v>
      </c>
      <c r="F7716" t="s">
        <v>8067</v>
      </c>
    </row>
    <row r="7717" spans="1:6" x14ac:dyDescent="0.15">
      <c r="A7717">
        <v>8417279</v>
      </c>
      <c r="B7717">
        <v>8417060</v>
      </c>
      <c r="C7717" t="s">
        <v>10</v>
      </c>
      <c r="D7717" t="s">
        <v>8</v>
      </c>
      <c r="E7717" s="4" t="str">
        <f>HYPERLINK("https://ibp.a2mac1.com/costing(costing:projects/details/9760/part/8417279)","Part 02")</f>
        <v>Part 02</v>
      </c>
      <c r="F7717" t="s">
        <v>8063</v>
      </c>
    </row>
    <row r="7718" spans="1:6" x14ac:dyDescent="0.15">
      <c r="A7718">
        <v>12086457</v>
      </c>
      <c r="B7718">
        <v>8417279</v>
      </c>
      <c r="C7718" t="s">
        <v>114</v>
      </c>
      <c r="D7718" t="s">
        <v>10</v>
      </c>
      <c r="E7718" s="4" t="str">
        <f>HYPERLINK("https://ibp.a2mac1.com/costing(costing:projects/details/9760/process/12086457)","MANUFACTURING  PROCESS")</f>
        <v>MANUFACTURING  PROCESS</v>
      </c>
      <c r="F7718" t="s">
        <v>8069</v>
      </c>
    </row>
    <row r="7719" spans="1:6" x14ac:dyDescent="0.15">
      <c r="A7719">
        <v>8756060</v>
      </c>
      <c r="B7719">
        <v>12086457</v>
      </c>
      <c r="C7719" t="s">
        <v>22</v>
      </c>
      <c r="D7719" t="s">
        <v>114</v>
      </c>
      <c r="E7719" s="4" t="str">
        <f>HYPERLINK("https://ibp.a2mac1.com/costing(costing:projects/details/9760/material/8756060)","Standard Structural Steel sheet")</f>
        <v>Standard Structural Steel sheet</v>
      </c>
      <c r="F7719" t="s">
        <v>8072</v>
      </c>
    </row>
    <row r="7720" spans="1:6" x14ac:dyDescent="0.15">
      <c r="A7720">
        <v>12213602</v>
      </c>
      <c r="B7720">
        <v>12086457</v>
      </c>
      <c r="C7720" t="s">
        <v>163</v>
      </c>
      <c r="D7720" t="s">
        <v>114</v>
      </c>
      <c r="E7720" s="4" t="str">
        <f>HYPERLINK("https://ibp.a2mac1.com/costing(costing:projects/details/9760/equipment/12213602)","Manufacturing Equipment")</f>
        <v>Manufacturing Equipment</v>
      </c>
      <c r="F7720" t="s">
        <v>8072</v>
      </c>
    </row>
    <row r="7721" spans="1:6" x14ac:dyDescent="0.15">
      <c r="A7721">
        <v>8417061</v>
      </c>
      <c r="B7721">
        <v>8416648</v>
      </c>
      <c r="C7721" t="s">
        <v>8</v>
      </c>
      <c r="D7721" t="s">
        <v>8</v>
      </c>
      <c r="E7721" s="4" t="str">
        <f>HYPERLINK("https://ibp.a2mac1.com/costing(costing:projects/details/9760/assembly/8417061)","Reinforcements")</f>
        <v>Reinforcements</v>
      </c>
      <c r="F7721" t="s">
        <v>8062</v>
      </c>
    </row>
    <row r="7722" spans="1:6" x14ac:dyDescent="0.15">
      <c r="A7722">
        <v>8417280</v>
      </c>
      <c r="B7722">
        <v>8417061</v>
      </c>
      <c r="C7722" t="s">
        <v>10</v>
      </c>
      <c r="D7722" t="s">
        <v>8</v>
      </c>
      <c r="E7722" s="4" t="str">
        <f>HYPERLINK("https://ibp.a2mac1.com/costing(costing:projects/details/9760/part/8417280)","Part 01 (single/main)")</f>
        <v>Part 01 (single/main)</v>
      </c>
      <c r="F7722" t="s">
        <v>8075</v>
      </c>
    </row>
    <row r="7723" spans="1:6" x14ac:dyDescent="0.15">
      <c r="A7723">
        <v>12086458</v>
      </c>
      <c r="B7723">
        <v>8417280</v>
      </c>
      <c r="C7723" t="s">
        <v>114</v>
      </c>
      <c r="D7723" t="s">
        <v>10</v>
      </c>
      <c r="E7723" s="4" t="str">
        <f>HYPERLINK("https://ibp.a2mac1.com/costing(costing:projects/details/9760/process/12086458)","MANUFACTURING  PROCESS")</f>
        <v>MANUFACTURING  PROCESS</v>
      </c>
      <c r="F7723" t="s">
        <v>8076</v>
      </c>
    </row>
    <row r="7724" spans="1:6" x14ac:dyDescent="0.15">
      <c r="A7724">
        <v>8756061</v>
      </c>
      <c r="B7724">
        <v>12086458</v>
      </c>
      <c r="C7724" t="s">
        <v>22</v>
      </c>
      <c r="D7724" t="s">
        <v>114</v>
      </c>
      <c r="E7724" s="4" t="str">
        <f>HYPERLINK("https://ibp.a2mac1.com/costing(costing:projects/details/9760/material/8756061)","Standard Structural Steel sheet")</f>
        <v>Standard Structural Steel sheet</v>
      </c>
      <c r="F7724" t="s">
        <v>8079</v>
      </c>
    </row>
    <row r="7725" spans="1:6" x14ac:dyDescent="0.15">
      <c r="A7725">
        <v>12213603</v>
      </c>
      <c r="B7725">
        <v>12086458</v>
      </c>
      <c r="C7725" t="s">
        <v>163</v>
      </c>
      <c r="D7725" t="s">
        <v>114</v>
      </c>
      <c r="E7725" s="4" t="str">
        <f>HYPERLINK("https://ibp.a2mac1.com/costing(costing:projects/details/9760/equipment/12213603)","Manufacturing Equipment")</f>
        <v>Manufacturing Equipment</v>
      </c>
      <c r="F7725" t="s">
        <v>8079</v>
      </c>
    </row>
    <row r="7726" spans="1:6" x14ac:dyDescent="0.15">
      <c r="A7726">
        <v>8417062</v>
      </c>
      <c r="B7726">
        <v>8416648</v>
      </c>
      <c r="C7726" t="s">
        <v>8</v>
      </c>
      <c r="D7726" t="s">
        <v>8</v>
      </c>
      <c r="E7726" s="4" t="str">
        <f>HYPERLINK("https://ibp.a2mac1.com/costing(costing:projects/details/9760/assembly/8417062)","Fixing parts")</f>
        <v>Fixing parts</v>
      </c>
      <c r="F7726" t="s">
        <v>8062</v>
      </c>
    </row>
    <row r="7727" spans="1:6" x14ac:dyDescent="0.15">
      <c r="A7727">
        <v>8417281</v>
      </c>
      <c r="B7727">
        <v>8417062</v>
      </c>
      <c r="C7727" t="s">
        <v>10</v>
      </c>
      <c r="D7727" t="s">
        <v>8</v>
      </c>
      <c r="E7727" s="4" t="str">
        <f>HYPERLINK("https://ibp.a2mac1.com/costing(costing:projects/details/9760/part/8417281)","Part 01 (single/main)")</f>
        <v>Part 01 (single/main)</v>
      </c>
      <c r="F7727" t="s">
        <v>8082</v>
      </c>
    </row>
    <row r="7728" spans="1:6" x14ac:dyDescent="0.15">
      <c r="A7728">
        <v>12086459</v>
      </c>
      <c r="B7728">
        <v>8417281</v>
      </c>
      <c r="C7728" t="s">
        <v>114</v>
      </c>
      <c r="D7728" t="s">
        <v>10</v>
      </c>
      <c r="E7728" s="4" t="str">
        <f>HYPERLINK("https://ibp.a2mac1.com/costing(costing:projects/details/9760/process/12086459)","MANUFACTURING  PROCESS")</f>
        <v>MANUFACTURING  PROCESS</v>
      </c>
      <c r="F7728" t="s">
        <v>8083</v>
      </c>
    </row>
    <row r="7729" spans="1:6" x14ac:dyDescent="0.15">
      <c r="A7729">
        <v>8756062</v>
      </c>
      <c r="B7729">
        <v>12086459</v>
      </c>
      <c r="C7729" t="s">
        <v>22</v>
      </c>
      <c r="D7729" t="s">
        <v>114</v>
      </c>
      <c r="E7729" s="4" t="str">
        <f>HYPERLINK("https://ibp.a2mac1.com/costing(costing:projects/details/9760/material/8756062)","Standard Structural Steel sheet")</f>
        <v>Standard Structural Steel sheet</v>
      </c>
      <c r="F7729" t="s">
        <v>8086</v>
      </c>
    </row>
    <row r="7730" spans="1:6" x14ac:dyDescent="0.15">
      <c r="A7730">
        <v>12213604</v>
      </c>
      <c r="B7730">
        <v>12086459</v>
      </c>
      <c r="C7730" t="s">
        <v>163</v>
      </c>
      <c r="D7730" t="s">
        <v>114</v>
      </c>
      <c r="E7730" s="4" t="str">
        <f>HYPERLINK("https://ibp.a2mac1.com/costing(costing:projects/details/9760/equipment/12213604)","Manufacturing Equipment")</f>
        <v>Manufacturing Equipment</v>
      </c>
      <c r="F7730" t="s">
        <v>8086</v>
      </c>
    </row>
    <row r="7731" spans="1:6" x14ac:dyDescent="0.15">
      <c r="A7731">
        <v>8417282</v>
      </c>
      <c r="B7731">
        <v>8417062</v>
      </c>
      <c r="C7731" t="s">
        <v>10</v>
      </c>
      <c r="D7731" t="s">
        <v>8</v>
      </c>
      <c r="E7731" s="4" t="str">
        <f>HYPERLINK("https://ibp.a2mac1.com/costing(costing:projects/details/9760/part/8417282)","Part 02")</f>
        <v>Part 02</v>
      </c>
      <c r="F7731" t="s">
        <v>8082</v>
      </c>
    </row>
    <row r="7732" spans="1:6" x14ac:dyDescent="0.15">
      <c r="A7732">
        <v>12086460</v>
      </c>
      <c r="B7732">
        <v>8417282</v>
      </c>
      <c r="C7732" t="s">
        <v>114</v>
      </c>
      <c r="D7732" t="s">
        <v>10</v>
      </c>
      <c r="E7732" s="4" t="str">
        <f>HYPERLINK("https://ibp.a2mac1.com/costing(costing:projects/details/9760/process/12086460)","MANUFACTURING  PROCESS")</f>
        <v>MANUFACTURING  PROCESS</v>
      </c>
      <c r="F7732" t="s">
        <v>8088</v>
      </c>
    </row>
    <row r="7733" spans="1:6" x14ac:dyDescent="0.15">
      <c r="A7733">
        <v>8756063</v>
      </c>
      <c r="B7733">
        <v>12086460</v>
      </c>
      <c r="C7733" t="s">
        <v>22</v>
      </c>
      <c r="D7733" t="s">
        <v>114</v>
      </c>
      <c r="E7733" s="4" t="str">
        <f>HYPERLINK("https://ibp.a2mac1.com/costing(costing:projects/details/9760/material/8756063)","Standard Structural Steel sheet")</f>
        <v>Standard Structural Steel sheet</v>
      </c>
      <c r="F7733" t="s">
        <v>8089</v>
      </c>
    </row>
    <row r="7734" spans="1:6" x14ac:dyDescent="0.15">
      <c r="A7734">
        <v>12213605</v>
      </c>
      <c r="B7734">
        <v>12086460</v>
      </c>
      <c r="C7734" t="s">
        <v>163</v>
      </c>
      <c r="D7734" t="s">
        <v>114</v>
      </c>
      <c r="E7734" s="4" t="str">
        <f>HYPERLINK("https://ibp.a2mac1.com/costing(costing:projects/details/9760/equipment/12213605)","Manufacturing Equipment")</f>
        <v>Manufacturing Equipment</v>
      </c>
      <c r="F7734" t="s">
        <v>8089</v>
      </c>
    </row>
    <row r="7735" spans="1:6" x14ac:dyDescent="0.15">
      <c r="A7735">
        <v>8417283</v>
      </c>
      <c r="B7735">
        <v>8417062</v>
      </c>
      <c r="C7735" t="s">
        <v>10</v>
      </c>
      <c r="D7735" t="s">
        <v>8</v>
      </c>
      <c r="E7735" s="4" t="str">
        <f>HYPERLINK("https://ibp.a2mac1.com/costing(costing:projects/details/9760/part/8417283)","Part 03")</f>
        <v>Part 03</v>
      </c>
      <c r="F7735" t="s">
        <v>8082</v>
      </c>
    </row>
    <row r="7736" spans="1:6" x14ac:dyDescent="0.15">
      <c r="A7736">
        <v>12086461</v>
      </c>
      <c r="B7736">
        <v>8417283</v>
      </c>
      <c r="C7736" t="s">
        <v>114</v>
      </c>
      <c r="D7736" t="s">
        <v>10</v>
      </c>
      <c r="E7736" s="4" t="str">
        <f>HYPERLINK("https://ibp.a2mac1.com/costing(costing:projects/details/9760/process/12086461)","MANUFACTURING  PROCESS")</f>
        <v>MANUFACTURING  PROCESS</v>
      </c>
      <c r="F7736" t="s">
        <v>8091</v>
      </c>
    </row>
    <row r="7737" spans="1:6" x14ac:dyDescent="0.15">
      <c r="A7737">
        <v>8756064</v>
      </c>
      <c r="B7737">
        <v>12086461</v>
      </c>
      <c r="C7737" t="s">
        <v>22</v>
      </c>
      <c r="D7737" t="s">
        <v>114</v>
      </c>
      <c r="E7737" s="4" t="str">
        <f>HYPERLINK("https://ibp.a2mac1.com/costing(costing:projects/details/9760/material/8756064)","Standard Structural Steel sheet")</f>
        <v>Standard Structural Steel sheet</v>
      </c>
      <c r="F7737" t="s">
        <v>8094</v>
      </c>
    </row>
    <row r="7738" spans="1:6" x14ac:dyDescent="0.15">
      <c r="A7738">
        <v>12213606</v>
      </c>
      <c r="B7738">
        <v>12086461</v>
      </c>
      <c r="C7738" t="s">
        <v>163</v>
      </c>
      <c r="D7738" t="s">
        <v>114</v>
      </c>
      <c r="E7738" s="4" t="str">
        <f>HYPERLINK("https://ibp.a2mac1.com/costing(costing:projects/details/9760/equipment/12213606)","Manufacturing Equipment")</f>
        <v>Manufacturing Equipment</v>
      </c>
      <c r="F7738" t="s">
        <v>8094</v>
      </c>
    </row>
    <row r="7739" spans="1:6" x14ac:dyDescent="0.15">
      <c r="A7739">
        <v>8416072</v>
      </c>
      <c r="B7739">
        <v>8415759</v>
      </c>
      <c r="C7739" t="s">
        <v>8</v>
      </c>
      <c r="D7739" t="s">
        <v>8</v>
      </c>
      <c r="E7739" s="4" t="str">
        <f>HYPERLINK("https://ibp.a2mac1.com/costing(costing:projects/details/9760/assembly/8416072)","Central unit")</f>
        <v>Central unit</v>
      </c>
      <c r="F7739" t="s">
        <v>7831</v>
      </c>
    </row>
    <row r="7740" spans="1:6" x14ac:dyDescent="0.15">
      <c r="A7740">
        <v>8416431</v>
      </c>
      <c r="B7740">
        <v>8416072</v>
      </c>
      <c r="C7740" t="s">
        <v>8</v>
      </c>
      <c r="D7740" t="s">
        <v>8</v>
      </c>
      <c r="E7740" s="4" t="str">
        <f>HYPERLINK("https://ibp.a2mac1.com/costing(costing:projects/details/9760/assembly/8416431)","Rocker inner frame")</f>
        <v>Rocker inner frame</v>
      </c>
      <c r="F7740" t="s">
        <v>8100</v>
      </c>
    </row>
    <row r="7741" spans="1:6" x14ac:dyDescent="0.15">
      <c r="A7741">
        <v>8416649</v>
      </c>
      <c r="B7741">
        <v>8416431</v>
      </c>
      <c r="C7741" t="s">
        <v>8</v>
      </c>
      <c r="D7741" t="s">
        <v>8</v>
      </c>
      <c r="E7741" s="4" t="str">
        <f>HYPERLINK("https://ibp.a2mac1.com/costing(costing:projects/details/9760/assembly/8416649)","Frame")</f>
        <v>Frame</v>
      </c>
      <c r="F7741" t="s">
        <v>8101</v>
      </c>
    </row>
    <row r="7742" spans="1:6" x14ac:dyDescent="0.15">
      <c r="A7742">
        <v>8417063</v>
      </c>
      <c r="B7742">
        <v>8416649</v>
      </c>
      <c r="C7742" t="s">
        <v>10</v>
      </c>
      <c r="D7742" t="s">
        <v>8</v>
      </c>
      <c r="E7742" s="4" t="str">
        <f>HYPERLINK("https://ibp.a2mac1.com/costing(costing:projects/details/9760/part/8417063)","Part 01 (single/main)")</f>
        <v>Part 01 (single/main)</v>
      </c>
      <c r="F7742" t="s">
        <v>8102</v>
      </c>
    </row>
    <row r="7743" spans="1:6" x14ac:dyDescent="0.15">
      <c r="A7743">
        <v>12086302</v>
      </c>
      <c r="B7743">
        <v>8417063</v>
      </c>
      <c r="C7743" t="s">
        <v>114</v>
      </c>
      <c r="D7743" t="s">
        <v>10</v>
      </c>
      <c r="E7743" s="4" t="str">
        <f>HYPERLINK("https://ibp.a2mac1.com/costing(costing:projects/details/9760/process/12086302)","MANUFACTURING  PROCESS")</f>
        <v>MANUFACTURING  PROCESS</v>
      </c>
      <c r="F7743" t="s">
        <v>8103</v>
      </c>
    </row>
    <row r="7744" spans="1:6" x14ac:dyDescent="0.15">
      <c r="A7744">
        <v>8755942</v>
      </c>
      <c r="B7744">
        <v>12086302</v>
      </c>
      <c r="C7744" t="s">
        <v>22</v>
      </c>
      <c r="D7744" t="s">
        <v>114</v>
      </c>
      <c r="E7744" s="4" t="str">
        <f>HYPERLINK("https://ibp.a2mac1.com/costing(costing:projects/details/9760/material/8755942)","Aluminum sheet body (default, e.g. EN-AW6063)")</f>
        <v>Aluminum sheet body (default, e.g. EN-AW6063)</v>
      </c>
      <c r="F7744" t="s">
        <v>8106</v>
      </c>
    </row>
    <row r="7745" spans="1:6" x14ac:dyDescent="0.15">
      <c r="A7745">
        <v>12213502</v>
      </c>
      <c r="B7745">
        <v>12086302</v>
      </c>
      <c r="C7745" t="s">
        <v>163</v>
      </c>
      <c r="D7745" t="s">
        <v>114</v>
      </c>
      <c r="E7745" s="4" t="str">
        <f>HYPERLINK("https://ibp.a2mac1.com/costing(costing:projects/details/9760/equipment/12213502)","Manufacturing Equipment")</f>
        <v>Manufacturing Equipment</v>
      </c>
      <c r="F7745" t="s">
        <v>8106</v>
      </c>
    </row>
    <row r="7746" spans="1:6" x14ac:dyDescent="0.15">
      <c r="A7746">
        <v>8416650</v>
      </c>
      <c r="B7746">
        <v>8416431</v>
      </c>
      <c r="C7746" t="s">
        <v>8</v>
      </c>
      <c r="D7746" t="s">
        <v>8</v>
      </c>
      <c r="E7746" s="4" t="str">
        <f>HYPERLINK("https://ibp.a2mac1.com/costing(costing:projects/details/9760/assembly/8416650)","Reinforcements")</f>
        <v>Reinforcements</v>
      </c>
      <c r="F7746" t="s">
        <v>8101</v>
      </c>
    </row>
    <row r="7747" spans="1:6" x14ac:dyDescent="0.15">
      <c r="A7747">
        <v>8417064</v>
      </c>
      <c r="B7747">
        <v>8416650</v>
      </c>
      <c r="C7747" t="s">
        <v>10</v>
      </c>
      <c r="D7747" t="s">
        <v>8</v>
      </c>
      <c r="E7747" s="4" t="str">
        <f>HYPERLINK("https://ibp.a2mac1.com/costing(costing:projects/details/9760/part/8417064)","Part 01 (single/main)")</f>
        <v>Part 01 (single/main)</v>
      </c>
      <c r="F7747" t="s">
        <v>8109</v>
      </c>
    </row>
    <row r="7748" spans="1:6" x14ac:dyDescent="0.15">
      <c r="A7748">
        <v>12086303</v>
      </c>
      <c r="B7748">
        <v>8417064</v>
      </c>
      <c r="C7748" t="s">
        <v>114</v>
      </c>
      <c r="D7748" t="s">
        <v>10</v>
      </c>
      <c r="E7748" s="4" t="str">
        <f>HYPERLINK("https://ibp.a2mac1.com/costing(costing:projects/details/9760/process/12086303)","MANUFACTURING  PROCESS")</f>
        <v>MANUFACTURING  PROCESS</v>
      </c>
      <c r="F7748" t="s">
        <v>8110</v>
      </c>
    </row>
    <row r="7749" spans="1:6" x14ac:dyDescent="0.15">
      <c r="A7749">
        <v>8755943</v>
      </c>
      <c r="B7749">
        <v>12086303</v>
      </c>
      <c r="C7749" t="s">
        <v>22</v>
      </c>
      <c r="D7749" t="s">
        <v>114</v>
      </c>
      <c r="E7749" s="4" t="str">
        <f>HYPERLINK("https://ibp.a2mac1.com/costing(costing:projects/details/9760/material/8755943)","Standard Structural Steel sheet")</f>
        <v>Standard Structural Steel sheet</v>
      </c>
      <c r="F7749" t="s">
        <v>8113</v>
      </c>
    </row>
    <row r="7750" spans="1:6" x14ac:dyDescent="0.15">
      <c r="A7750">
        <v>12213503</v>
      </c>
      <c r="B7750">
        <v>12086303</v>
      </c>
      <c r="C7750" t="s">
        <v>163</v>
      </c>
      <c r="D7750" t="s">
        <v>114</v>
      </c>
      <c r="E7750" s="4" t="str">
        <f>HYPERLINK("https://ibp.a2mac1.com/costing(costing:projects/details/9760/equipment/12213503)","Manufacturing Equipment")</f>
        <v>Manufacturing Equipment</v>
      </c>
      <c r="F7750" t="s">
        <v>8113</v>
      </c>
    </row>
    <row r="7751" spans="1:6" x14ac:dyDescent="0.15">
      <c r="A7751">
        <v>8417065</v>
      </c>
      <c r="B7751">
        <v>8416650</v>
      </c>
      <c r="C7751" t="s">
        <v>10</v>
      </c>
      <c r="D7751" t="s">
        <v>8</v>
      </c>
      <c r="E7751" s="4" t="str">
        <f>HYPERLINK("https://ibp.a2mac1.com/costing(costing:projects/details/9760/part/8417065)","Part 02")</f>
        <v>Part 02</v>
      </c>
      <c r="F7751" t="s">
        <v>8109</v>
      </c>
    </row>
    <row r="7752" spans="1:6" x14ac:dyDescent="0.15">
      <c r="A7752">
        <v>12086304</v>
      </c>
      <c r="B7752">
        <v>8417065</v>
      </c>
      <c r="C7752" t="s">
        <v>114</v>
      </c>
      <c r="D7752" t="s">
        <v>10</v>
      </c>
      <c r="E7752" s="4" t="str">
        <f>HYPERLINK("https://ibp.a2mac1.com/costing(costing:projects/details/9760/process/12086304)","MANUFACTURING  PROCESS")</f>
        <v>MANUFACTURING  PROCESS</v>
      </c>
      <c r="F7752" t="s">
        <v>8115</v>
      </c>
    </row>
    <row r="7753" spans="1:6" x14ac:dyDescent="0.15">
      <c r="A7753">
        <v>8755944</v>
      </c>
      <c r="B7753">
        <v>12086304</v>
      </c>
      <c r="C7753" t="s">
        <v>22</v>
      </c>
      <c r="D7753" t="s">
        <v>114</v>
      </c>
      <c r="E7753" s="4" t="str">
        <f>HYPERLINK("https://ibp.a2mac1.com/costing(costing:projects/details/9760/material/8755944)","Standard Structural Steel sheet")</f>
        <v>Standard Structural Steel sheet</v>
      </c>
      <c r="F7753" t="s">
        <v>8117</v>
      </c>
    </row>
    <row r="7754" spans="1:6" x14ac:dyDescent="0.15">
      <c r="A7754">
        <v>12213504</v>
      </c>
      <c r="B7754">
        <v>12086304</v>
      </c>
      <c r="C7754" t="s">
        <v>163</v>
      </c>
      <c r="D7754" t="s">
        <v>114</v>
      </c>
      <c r="E7754" s="4" t="str">
        <f>HYPERLINK("https://ibp.a2mac1.com/costing(costing:projects/details/9760/equipment/12213504)","Manufacturing Equipment")</f>
        <v>Manufacturing Equipment</v>
      </c>
      <c r="F7754" t="s">
        <v>8117</v>
      </c>
    </row>
    <row r="7755" spans="1:6" x14ac:dyDescent="0.15">
      <c r="A7755">
        <v>8417066</v>
      </c>
      <c r="B7755">
        <v>8416650</v>
      </c>
      <c r="C7755" t="s">
        <v>10</v>
      </c>
      <c r="D7755" t="s">
        <v>8</v>
      </c>
      <c r="E7755" s="4" t="str">
        <f>HYPERLINK("https://ibp.a2mac1.com/costing(costing:projects/details/9760/part/8417066)","Part 03")</f>
        <v>Part 03</v>
      </c>
      <c r="F7755" t="s">
        <v>8109</v>
      </c>
    </row>
    <row r="7756" spans="1:6" x14ac:dyDescent="0.15">
      <c r="A7756">
        <v>12086305</v>
      </c>
      <c r="B7756">
        <v>8417066</v>
      </c>
      <c r="C7756" t="s">
        <v>114</v>
      </c>
      <c r="D7756" t="s">
        <v>10</v>
      </c>
      <c r="E7756" s="4" t="str">
        <f>HYPERLINK("https://ibp.a2mac1.com/costing(costing:projects/details/9760/process/12086305)","MANUFACTURING  PROCESS")</f>
        <v>MANUFACTURING  PROCESS</v>
      </c>
      <c r="F7756" t="s">
        <v>8119</v>
      </c>
    </row>
    <row r="7757" spans="1:6" x14ac:dyDescent="0.15">
      <c r="A7757">
        <v>8755945</v>
      </c>
      <c r="B7757">
        <v>12086305</v>
      </c>
      <c r="C7757" t="s">
        <v>22</v>
      </c>
      <c r="D7757" t="s">
        <v>114</v>
      </c>
      <c r="E7757" s="4" t="str">
        <f>HYPERLINK("https://ibp.a2mac1.com/costing(costing:projects/details/9760/material/8755945)","Standard Structural Steel sheet")</f>
        <v>Standard Structural Steel sheet</v>
      </c>
      <c r="F7757" t="s">
        <v>8121</v>
      </c>
    </row>
    <row r="7758" spans="1:6" x14ac:dyDescent="0.15">
      <c r="A7758">
        <v>12213505</v>
      </c>
      <c r="B7758">
        <v>12086305</v>
      </c>
      <c r="C7758" t="s">
        <v>163</v>
      </c>
      <c r="D7758" t="s">
        <v>114</v>
      </c>
      <c r="E7758" s="4" t="str">
        <f>HYPERLINK("https://ibp.a2mac1.com/costing(costing:projects/details/9760/equipment/12213505)","Manufacturing Equipment")</f>
        <v>Manufacturing Equipment</v>
      </c>
      <c r="F7758" t="s">
        <v>8121</v>
      </c>
    </row>
    <row r="7759" spans="1:6" x14ac:dyDescent="0.15">
      <c r="A7759">
        <v>8416651</v>
      </c>
      <c r="B7759">
        <v>8416431</v>
      </c>
      <c r="C7759" t="s">
        <v>8</v>
      </c>
      <c r="D7759" t="s">
        <v>8</v>
      </c>
      <c r="E7759" s="4" t="str">
        <f>HYPERLINK("https://ibp.a2mac1.com/costing(costing:projects/details/9760/assembly/8416651)","Fixing parts")</f>
        <v>Fixing parts</v>
      </c>
      <c r="F7759" t="s">
        <v>8101</v>
      </c>
    </row>
    <row r="7760" spans="1:6" x14ac:dyDescent="0.15">
      <c r="A7760">
        <v>8417067</v>
      </c>
      <c r="B7760">
        <v>8416651</v>
      </c>
      <c r="C7760" t="s">
        <v>10</v>
      </c>
      <c r="D7760" t="s">
        <v>8</v>
      </c>
      <c r="E7760" s="4" t="str">
        <f>HYPERLINK("https://ibp.a2mac1.com/costing(costing:projects/details/9760/part/8417067)","Part 01 (single/main)")</f>
        <v>Part 01 (single/main)</v>
      </c>
      <c r="F7760" t="s">
        <v>8124</v>
      </c>
    </row>
    <row r="7761" spans="1:6" x14ac:dyDescent="0.15">
      <c r="A7761">
        <v>12086306</v>
      </c>
      <c r="B7761">
        <v>8417067</v>
      </c>
      <c r="C7761" t="s">
        <v>114</v>
      </c>
      <c r="D7761" t="s">
        <v>10</v>
      </c>
      <c r="E7761" s="4" t="str">
        <f>HYPERLINK("https://ibp.a2mac1.com/costing(costing:projects/details/9760/process/12086306)","MANUFACTURING  PROCESS")</f>
        <v>MANUFACTURING  PROCESS</v>
      </c>
      <c r="F7761" t="s">
        <v>8125</v>
      </c>
    </row>
    <row r="7762" spans="1:6" x14ac:dyDescent="0.15">
      <c r="A7762">
        <v>8755946</v>
      </c>
      <c r="B7762">
        <v>12086306</v>
      </c>
      <c r="C7762" t="s">
        <v>22</v>
      </c>
      <c r="D7762" t="s">
        <v>114</v>
      </c>
      <c r="E7762" s="4" t="str">
        <f>HYPERLINK("https://ibp.a2mac1.com/costing(costing:projects/details/9760/material/8755946)","Standard Structural Steel sheet")</f>
        <v>Standard Structural Steel sheet</v>
      </c>
      <c r="F7762" t="s">
        <v>8128</v>
      </c>
    </row>
    <row r="7763" spans="1:6" x14ac:dyDescent="0.15">
      <c r="A7763">
        <v>12213506</v>
      </c>
      <c r="B7763">
        <v>12086306</v>
      </c>
      <c r="C7763" t="s">
        <v>163</v>
      </c>
      <c r="D7763" t="s">
        <v>114</v>
      </c>
      <c r="E7763" s="4" t="str">
        <f>HYPERLINK("https://ibp.a2mac1.com/costing(costing:projects/details/9760/equipment/12213506)","Manufacturing Equipment")</f>
        <v>Manufacturing Equipment</v>
      </c>
      <c r="F7763" t="s">
        <v>8128</v>
      </c>
    </row>
    <row r="7764" spans="1:6" x14ac:dyDescent="0.15">
      <c r="A7764">
        <v>8417068</v>
      </c>
      <c r="B7764">
        <v>8416651</v>
      </c>
      <c r="C7764" t="s">
        <v>10</v>
      </c>
      <c r="D7764" t="s">
        <v>8</v>
      </c>
      <c r="E7764" s="4" t="str">
        <f>HYPERLINK("https://ibp.a2mac1.com/costing(costing:projects/details/9760/part/8417068)","Part 02")</f>
        <v>Part 02</v>
      </c>
      <c r="F7764" t="s">
        <v>8124</v>
      </c>
    </row>
    <row r="7765" spans="1:6" x14ac:dyDescent="0.15">
      <c r="A7765">
        <v>12086307</v>
      </c>
      <c r="B7765">
        <v>8417068</v>
      </c>
      <c r="C7765" t="s">
        <v>114</v>
      </c>
      <c r="D7765" t="s">
        <v>10</v>
      </c>
      <c r="E7765" s="4" t="str">
        <f>HYPERLINK("https://ibp.a2mac1.com/costing(costing:projects/details/9760/process/12086307)","MANUFACTURING  PROCESS")</f>
        <v>MANUFACTURING  PROCESS</v>
      </c>
      <c r="F7765" t="s">
        <v>8130</v>
      </c>
    </row>
    <row r="7766" spans="1:6" x14ac:dyDescent="0.15">
      <c r="A7766">
        <v>8755947</v>
      </c>
      <c r="B7766">
        <v>12086307</v>
      </c>
      <c r="C7766" t="s">
        <v>22</v>
      </c>
      <c r="D7766" t="s">
        <v>114</v>
      </c>
      <c r="E7766" s="4" t="str">
        <f>HYPERLINK("https://ibp.a2mac1.com/costing(costing:projects/details/9760/material/8755947)","Standard Structural Steel sheet")</f>
        <v>Standard Structural Steel sheet</v>
      </c>
      <c r="F7766" t="s">
        <v>8133</v>
      </c>
    </row>
    <row r="7767" spans="1:6" x14ac:dyDescent="0.15">
      <c r="A7767">
        <v>12213507</v>
      </c>
      <c r="B7767">
        <v>12086307</v>
      </c>
      <c r="C7767" t="s">
        <v>163</v>
      </c>
      <c r="D7767" t="s">
        <v>114</v>
      </c>
      <c r="E7767" s="4" t="str">
        <f>HYPERLINK("https://ibp.a2mac1.com/costing(costing:projects/details/9760/equipment/12213507)","Manufacturing Equipment")</f>
        <v>Manufacturing Equipment</v>
      </c>
      <c r="F7767" t="s">
        <v>8133</v>
      </c>
    </row>
    <row r="7768" spans="1:6" x14ac:dyDescent="0.15">
      <c r="A7768">
        <v>8417069</v>
      </c>
      <c r="B7768">
        <v>8416651</v>
      </c>
      <c r="C7768" t="s">
        <v>10</v>
      </c>
      <c r="D7768" t="s">
        <v>8</v>
      </c>
      <c r="E7768" s="4" t="str">
        <f>HYPERLINK("https://ibp.a2mac1.com/costing(costing:projects/details/9760/part/8417069)","Part 03")</f>
        <v>Part 03</v>
      </c>
      <c r="F7768" t="s">
        <v>8124</v>
      </c>
    </row>
    <row r="7769" spans="1:6" x14ac:dyDescent="0.15">
      <c r="A7769">
        <v>12086308</v>
      </c>
      <c r="B7769">
        <v>8417069</v>
      </c>
      <c r="C7769" t="s">
        <v>114</v>
      </c>
      <c r="D7769" t="s">
        <v>10</v>
      </c>
      <c r="E7769" s="4" t="str">
        <f>HYPERLINK("https://ibp.a2mac1.com/costing(costing:projects/details/9760/process/12086308)","MANUFACTURING  PROCESS")</f>
        <v>MANUFACTURING  PROCESS</v>
      </c>
      <c r="F7769" t="s">
        <v>8135</v>
      </c>
    </row>
    <row r="7770" spans="1:6" x14ac:dyDescent="0.15">
      <c r="A7770">
        <v>8755948</v>
      </c>
      <c r="B7770">
        <v>12086308</v>
      </c>
      <c r="C7770" t="s">
        <v>22</v>
      </c>
      <c r="D7770" t="s">
        <v>114</v>
      </c>
      <c r="E7770" s="4" t="str">
        <f>HYPERLINK("https://ibp.a2mac1.com/costing(costing:projects/details/9760/material/8755948)","Standard Structural Steel sheet")</f>
        <v>Standard Structural Steel sheet</v>
      </c>
      <c r="F7770" t="s">
        <v>8137</v>
      </c>
    </row>
    <row r="7771" spans="1:6" x14ac:dyDescent="0.15">
      <c r="A7771">
        <v>12213508</v>
      </c>
      <c r="B7771">
        <v>12086308</v>
      </c>
      <c r="C7771" t="s">
        <v>163</v>
      </c>
      <c r="D7771" t="s">
        <v>114</v>
      </c>
      <c r="E7771" s="4" t="str">
        <f>HYPERLINK("https://ibp.a2mac1.com/costing(costing:projects/details/9760/equipment/12213508)","Manufacturing Equipment")</f>
        <v>Manufacturing Equipment</v>
      </c>
      <c r="F7771" t="s">
        <v>8137</v>
      </c>
    </row>
    <row r="7772" spans="1:6" x14ac:dyDescent="0.15">
      <c r="A7772">
        <v>8417070</v>
      </c>
      <c r="B7772">
        <v>8416651</v>
      </c>
      <c r="C7772" t="s">
        <v>10</v>
      </c>
      <c r="D7772" t="s">
        <v>8</v>
      </c>
      <c r="E7772" s="4" t="str">
        <f>HYPERLINK("https://ibp.a2mac1.com/costing(costing:projects/details/9760/part/8417070)","Part 04")</f>
        <v>Part 04</v>
      </c>
      <c r="F7772" t="s">
        <v>8124</v>
      </c>
    </row>
    <row r="7773" spans="1:6" x14ac:dyDescent="0.15">
      <c r="A7773">
        <v>12086309</v>
      </c>
      <c r="B7773">
        <v>8417070</v>
      </c>
      <c r="C7773" t="s">
        <v>114</v>
      </c>
      <c r="D7773" t="s">
        <v>10</v>
      </c>
      <c r="E7773" s="4" t="str">
        <f>HYPERLINK("https://ibp.a2mac1.com/costing(costing:projects/details/9760/process/12086309)","MANUFACTURING  PROCESS")</f>
        <v>MANUFACTURING  PROCESS</v>
      </c>
      <c r="F7773" t="s">
        <v>8139</v>
      </c>
    </row>
    <row r="7774" spans="1:6" x14ac:dyDescent="0.15">
      <c r="A7774">
        <v>8755949</v>
      </c>
      <c r="B7774">
        <v>12086309</v>
      </c>
      <c r="C7774" t="s">
        <v>22</v>
      </c>
      <c r="D7774" t="s">
        <v>114</v>
      </c>
      <c r="E7774" s="4" t="str">
        <f>HYPERLINK("https://ibp.a2mac1.com/costing(costing:projects/details/9760/material/8755949)","Aluminum sheet body (default, e.g. EN-AW6063)")</f>
        <v>Aluminum sheet body (default, e.g. EN-AW6063)</v>
      </c>
      <c r="F7774" t="s">
        <v>8141</v>
      </c>
    </row>
    <row r="7775" spans="1:6" x14ac:dyDescent="0.15">
      <c r="A7775">
        <v>12213509</v>
      </c>
      <c r="B7775">
        <v>12086309</v>
      </c>
      <c r="C7775" t="s">
        <v>163</v>
      </c>
      <c r="D7775" t="s">
        <v>114</v>
      </c>
      <c r="E7775" s="4" t="str">
        <f>HYPERLINK("https://ibp.a2mac1.com/costing(costing:projects/details/9760/equipment/12213509)","Manufacturing Equipment")</f>
        <v>Manufacturing Equipment</v>
      </c>
      <c r="F7775" t="s">
        <v>8141</v>
      </c>
    </row>
    <row r="7776" spans="1:6" x14ac:dyDescent="0.15">
      <c r="A7776">
        <v>8417071</v>
      </c>
      <c r="B7776">
        <v>8416651</v>
      </c>
      <c r="C7776" t="s">
        <v>10</v>
      </c>
      <c r="D7776" t="s">
        <v>8</v>
      </c>
      <c r="E7776" s="4" t="str">
        <f>HYPERLINK("https://ibp.a2mac1.com/costing(costing:projects/details/9760/part/8417071)","Part 05")</f>
        <v>Part 05</v>
      </c>
      <c r="F7776" t="s">
        <v>8124</v>
      </c>
    </row>
    <row r="7777" spans="1:6" x14ac:dyDescent="0.15">
      <c r="A7777">
        <v>12086310</v>
      </c>
      <c r="B7777">
        <v>8417071</v>
      </c>
      <c r="C7777" t="s">
        <v>114</v>
      </c>
      <c r="D7777" t="s">
        <v>10</v>
      </c>
      <c r="E7777" s="4" t="str">
        <f>HYPERLINK("https://ibp.a2mac1.com/costing(costing:projects/details/9760/process/12086310)","MANUFACTURING  PROCESS")</f>
        <v>MANUFACTURING  PROCESS</v>
      </c>
      <c r="F7777" t="s">
        <v>8143</v>
      </c>
    </row>
    <row r="7778" spans="1:6" x14ac:dyDescent="0.15">
      <c r="A7778">
        <v>8755950</v>
      </c>
      <c r="B7778">
        <v>12086310</v>
      </c>
      <c r="C7778" t="s">
        <v>22</v>
      </c>
      <c r="D7778" t="s">
        <v>114</v>
      </c>
      <c r="E7778" s="4" t="str">
        <f>HYPERLINK("https://ibp.a2mac1.com/costing(costing:projects/details/9760/material/8755950)","Standard Structural Steel sheet")</f>
        <v>Standard Structural Steel sheet</v>
      </c>
      <c r="F7778" t="s">
        <v>8145</v>
      </c>
    </row>
    <row r="7779" spans="1:6" x14ac:dyDescent="0.15">
      <c r="A7779">
        <v>12213510</v>
      </c>
      <c r="B7779">
        <v>12086310</v>
      </c>
      <c r="C7779" t="s">
        <v>163</v>
      </c>
      <c r="D7779" t="s">
        <v>114</v>
      </c>
      <c r="E7779" s="4" t="str">
        <f>HYPERLINK("https://ibp.a2mac1.com/costing(costing:projects/details/9760/equipment/12213510)","Manufacturing Equipment")</f>
        <v>Manufacturing Equipment</v>
      </c>
      <c r="F7779" t="s">
        <v>8145</v>
      </c>
    </row>
    <row r="7780" spans="1:6" x14ac:dyDescent="0.15">
      <c r="A7780">
        <v>8417072</v>
      </c>
      <c r="B7780">
        <v>8416651</v>
      </c>
      <c r="C7780" t="s">
        <v>10</v>
      </c>
      <c r="D7780" t="s">
        <v>8</v>
      </c>
      <c r="E7780" s="4" t="str">
        <f>HYPERLINK("https://ibp.a2mac1.com/costing(costing:projects/details/9760/part/8417072)","Part 06")</f>
        <v>Part 06</v>
      </c>
      <c r="F7780" t="s">
        <v>8124</v>
      </c>
    </row>
    <row r="7781" spans="1:6" x14ac:dyDescent="0.15">
      <c r="A7781">
        <v>12086311</v>
      </c>
      <c r="B7781">
        <v>8417072</v>
      </c>
      <c r="C7781" t="s">
        <v>114</v>
      </c>
      <c r="D7781" t="s">
        <v>10</v>
      </c>
      <c r="E7781" s="4" t="str">
        <f>HYPERLINK("https://ibp.a2mac1.com/costing(costing:projects/details/9760/process/12086311)","MANUFACTURING  PROCESS")</f>
        <v>MANUFACTURING  PROCESS</v>
      </c>
      <c r="F7781" t="s">
        <v>8147</v>
      </c>
    </row>
    <row r="7782" spans="1:6" x14ac:dyDescent="0.15">
      <c r="A7782">
        <v>8755951</v>
      </c>
      <c r="B7782">
        <v>12086311</v>
      </c>
      <c r="C7782" t="s">
        <v>22</v>
      </c>
      <c r="D7782" t="s">
        <v>114</v>
      </c>
      <c r="E7782" s="4" t="str">
        <f>HYPERLINK("https://ibp.a2mac1.com/costing(costing:projects/details/9760/material/8755951)","Aluminum sheet body (default, e.g. EN-AW6063)")</f>
        <v>Aluminum sheet body (default, e.g. EN-AW6063)</v>
      </c>
      <c r="F7782" t="s">
        <v>8148</v>
      </c>
    </row>
    <row r="7783" spans="1:6" x14ac:dyDescent="0.15">
      <c r="A7783">
        <v>12213511</v>
      </c>
      <c r="B7783">
        <v>12086311</v>
      </c>
      <c r="C7783" t="s">
        <v>163</v>
      </c>
      <c r="D7783" t="s">
        <v>114</v>
      </c>
      <c r="E7783" s="4" t="str">
        <f>HYPERLINK("https://ibp.a2mac1.com/costing(costing:projects/details/9760/equipment/12213511)","Manufacturing Equipment")</f>
        <v>Manufacturing Equipment</v>
      </c>
      <c r="F7783" t="s">
        <v>8148</v>
      </c>
    </row>
    <row r="7784" spans="1:6" x14ac:dyDescent="0.15">
      <c r="A7784">
        <v>8417073</v>
      </c>
      <c r="B7784">
        <v>8416651</v>
      </c>
      <c r="C7784" t="s">
        <v>10</v>
      </c>
      <c r="D7784" t="s">
        <v>8</v>
      </c>
      <c r="E7784" s="4" t="str">
        <f>HYPERLINK("https://ibp.a2mac1.com/costing(costing:projects/details/9760/part/8417073)","Part 07")</f>
        <v>Part 07</v>
      </c>
      <c r="F7784" t="s">
        <v>8124</v>
      </c>
    </row>
    <row r="7785" spans="1:6" x14ac:dyDescent="0.15">
      <c r="A7785">
        <v>12086312</v>
      </c>
      <c r="B7785">
        <v>8417073</v>
      </c>
      <c r="C7785" t="s">
        <v>114</v>
      </c>
      <c r="D7785" t="s">
        <v>10</v>
      </c>
      <c r="E7785" s="4" t="str">
        <f>HYPERLINK("https://ibp.a2mac1.com/costing(costing:projects/details/9760/process/12086312)","MANUFACTURING  PROCESS")</f>
        <v>MANUFACTURING  PROCESS</v>
      </c>
      <c r="F7785" t="s">
        <v>8150</v>
      </c>
    </row>
    <row r="7786" spans="1:6" x14ac:dyDescent="0.15">
      <c r="A7786">
        <v>8755952</v>
      </c>
      <c r="B7786">
        <v>12086312</v>
      </c>
      <c r="C7786" t="s">
        <v>22</v>
      </c>
      <c r="D7786" t="s">
        <v>114</v>
      </c>
      <c r="E7786" s="4" t="str">
        <f>HYPERLINK("https://ibp.a2mac1.com/costing(costing:projects/details/9760/material/8755952)","Standard Structural Steel sheet")</f>
        <v>Standard Structural Steel sheet</v>
      </c>
      <c r="F7786" t="s">
        <v>8151</v>
      </c>
    </row>
    <row r="7787" spans="1:6" x14ac:dyDescent="0.15">
      <c r="A7787">
        <v>12213512</v>
      </c>
      <c r="B7787">
        <v>12086312</v>
      </c>
      <c r="C7787" t="s">
        <v>163</v>
      </c>
      <c r="D7787" t="s">
        <v>114</v>
      </c>
      <c r="E7787" s="4" t="str">
        <f>HYPERLINK("https://ibp.a2mac1.com/costing(costing:projects/details/9760/equipment/12213512)","Manufacturing Equipment")</f>
        <v>Manufacturing Equipment</v>
      </c>
      <c r="F7787" t="s">
        <v>8151</v>
      </c>
    </row>
    <row r="7788" spans="1:6" x14ac:dyDescent="0.15">
      <c r="A7788">
        <v>8417074</v>
      </c>
      <c r="B7788">
        <v>8416651</v>
      </c>
      <c r="C7788" t="s">
        <v>10</v>
      </c>
      <c r="D7788" t="s">
        <v>8</v>
      </c>
      <c r="E7788" s="4" t="str">
        <f>HYPERLINK("https://ibp.a2mac1.com/costing(costing:projects/details/9760/part/8417074)","Part 08")</f>
        <v>Part 08</v>
      </c>
      <c r="F7788" t="s">
        <v>8124</v>
      </c>
    </row>
    <row r="7789" spans="1:6" x14ac:dyDescent="0.15">
      <c r="A7789">
        <v>12086313</v>
      </c>
      <c r="B7789">
        <v>8417074</v>
      </c>
      <c r="C7789" t="s">
        <v>114</v>
      </c>
      <c r="D7789" t="s">
        <v>10</v>
      </c>
      <c r="E7789" s="4" t="str">
        <f>HYPERLINK("https://ibp.a2mac1.com/costing(costing:projects/details/9760/process/12086313)","MANUFACTURING  PROCESS")</f>
        <v>MANUFACTURING  PROCESS</v>
      </c>
      <c r="F7789" t="s">
        <v>8153</v>
      </c>
    </row>
    <row r="7790" spans="1:6" x14ac:dyDescent="0.15">
      <c r="A7790">
        <v>8755953</v>
      </c>
      <c r="B7790">
        <v>12086313</v>
      </c>
      <c r="C7790" t="s">
        <v>22</v>
      </c>
      <c r="D7790" t="s">
        <v>114</v>
      </c>
      <c r="E7790" s="4" t="str">
        <f>HYPERLINK("https://ibp.a2mac1.com/costing(costing:projects/details/9760/material/8755953)","Standard Structural Steel sheet")</f>
        <v>Standard Structural Steel sheet</v>
      </c>
      <c r="F7790" t="s">
        <v>8154</v>
      </c>
    </row>
    <row r="7791" spans="1:6" x14ac:dyDescent="0.15">
      <c r="A7791">
        <v>12213513</v>
      </c>
      <c r="B7791">
        <v>12086313</v>
      </c>
      <c r="C7791" t="s">
        <v>163</v>
      </c>
      <c r="D7791" t="s">
        <v>114</v>
      </c>
      <c r="E7791" s="4" t="str">
        <f>HYPERLINK("https://ibp.a2mac1.com/costing(costing:projects/details/9760/equipment/12213513)","Manufacturing Equipment")</f>
        <v>Manufacturing Equipment</v>
      </c>
      <c r="F7791" t="s">
        <v>8154</v>
      </c>
    </row>
    <row r="7792" spans="1:6" x14ac:dyDescent="0.15">
      <c r="A7792">
        <v>8417075</v>
      </c>
      <c r="B7792">
        <v>8416651</v>
      </c>
      <c r="C7792" t="s">
        <v>10</v>
      </c>
      <c r="D7792" t="s">
        <v>8</v>
      </c>
      <c r="E7792" s="4" t="str">
        <f>HYPERLINK("https://ibp.a2mac1.com/costing(costing:projects/details/9760/part/8417075)","Part 09")</f>
        <v>Part 09</v>
      </c>
      <c r="F7792" t="s">
        <v>8124</v>
      </c>
    </row>
    <row r="7793" spans="1:6" x14ac:dyDescent="0.15">
      <c r="A7793">
        <v>12086314</v>
      </c>
      <c r="B7793">
        <v>8417075</v>
      </c>
      <c r="C7793" t="s">
        <v>114</v>
      </c>
      <c r="D7793" t="s">
        <v>10</v>
      </c>
      <c r="E7793" s="4" t="str">
        <f>HYPERLINK("https://ibp.a2mac1.com/costing(costing:projects/details/9760/process/12086314)","MANUFACTURING  PROCESS")</f>
        <v>MANUFACTURING  PROCESS</v>
      </c>
      <c r="F7793" t="s">
        <v>8156</v>
      </c>
    </row>
    <row r="7794" spans="1:6" x14ac:dyDescent="0.15">
      <c r="A7794">
        <v>8755954</v>
      </c>
      <c r="B7794">
        <v>12086314</v>
      </c>
      <c r="C7794" t="s">
        <v>22</v>
      </c>
      <c r="D7794" t="s">
        <v>114</v>
      </c>
      <c r="E7794" s="4" t="str">
        <f>HYPERLINK("https://ibp.a2mac1.com/costing(costing:projects/details/9760/material/8755954)","Standard Structural Steel sheet")</f>
        <v>Standard Structural Steel sheet</v>
      </c>
      <c r="F7794" t="s">
        <v>8157</v>
      </c>
    </row>
    <row r="7795" spans="1:6" x14ac:dyDescent="0.15">
      <c r="A7795">
        <v>12213514</v>
      </c>
      <c r="B7795">
        <v>12086314</v>
      </c>
      <c r="C7795" t="s">
        <v>163</v>
      </c>
      <c r="D7795" t="s">
        <v>114</v>
      </c>
      <c r="E7795" s="4" t="str">
        <f>HYPERLINK("https://ibp.a2mac1.com/costing(costing:projects/details/9760/equipment/12213514)","Manufacturing Equipment")</f>
        <v>Manufacturing Equipment</v>
      </c>
      <c r="F7795" t="s">
        <v>8157</v>
      </c>
    </row>
    <row r="7796" spans="1:6" x14ac:dyDescent="0.15">
      <c r="A7796">
        <v>8417076</v>
      </c>
      <c r="B7796">
        <v>8416651</v>
      </c>
      <c r="C7796" t="s">
        <v>10</v>
      </c>
      <c r="D7796" t="s">
        <v>8</v>
      </c>
      <c r="E7796" s="4" t="str">
        <f>HYPERLINK("https://ibp.a2mac1.com/costing(costing:projects/details/9760/part/8417076)","Part 10")</f>
        <v>Part 10</v>
      </c>
      <c r="F7796" t="s">
        <v>8124</v>
      </c>
    </row>
    <row r="7797" spans="1:6" x14ac:dyDescent="0.15">
      <c r="A7797">
        <v>12086315</v>
      </c>
      <c r="B7797">
        <v>8417076</v>
      </c>
      <c r="C7797" t="s">
        <v>114</v>
      </c>
      <c r="D7797" t="s">
        <v>10</v>
      </c>
      <c r="E7797" s="4" t="str">
        <f>HYPERLINK("https://ibp.a2mac1.com/costing(costing:projects/details/9760/process/12086315)","MANUFACTURING  PROCESS")</f>
        <v>MANUFACTURING  PROCESS</v>
      </c>
      <c r="F7797" t="s">
        <v>8159</v>
      </c>
    </row>
    <row r="7798" spans="1:6" x14ac:dyDescent="0.15">
      <c r="A7798">
        <v>8755955</v>
      </c>
      <c r="B7798">
        <v>12086315</v>
      </c>
      <c r="C7798" t="s">
        <v>22</v>
      </c>
      <c r="D7798" t="s">
        <v>114</v>
      </c>
      <c r="E7798" s="4" t="str">
        <f>HYPERLINK("https://ibp.a2mac1.com/costing(costing:projects/details/9760/material/8755955)","Standard Structural Steel sheet")</f>
        <v>Standard Structural Steel sheet</v>
      </c>
      <c r="F7798" t="s">
        <v>8161</v>
      </c>
    </row>
    <row r="7799" spans="1:6" x14ac:dyDescent="0.15">
      <c r="A7799">
        <v>12213515</v>
      </c>
      <c r="B7799">
        <v>12086315</v>
      </c>
      <c r="C7799" t="s">
        <v>163</v>
      </c>
      <c r="D7799" t="s">
        <v>114</v>
      </c>
      <c r="E7799" s="4" t="str">
        <f>HYPERLINK("https://ibp.a2mac1.com/costing(costing:projects/details/9760/equipment/12213515)","Manufacturing Equipment")</f>
        <v>Manufacturing Equipment</v>
      </c>
      <c r="F7799" t="s">
        <v>8161</v>
      </c>
    </row>
    <row r="7800" spans="1:6" x14ac:dyDescent="0.15">
      <c r="A7800">
        <v>8417077</v>
      </c>
      <c r="B7800">
        <v>8416651</v>
      </c>
      <c r="C7800" t="s">
        <v>10</v>
      </c>
      <c r="D7800" t="s">
        <v>8</v>
      </c>
      <c r="E7800" s="4" t="str">
        <f>HYPERLINK("https://ibp.a2mac1.com/costing(costing:projects/details/9760/part/8417077)","Part 11")</f>
        <v>Part 11</v>
      </c>
      <c r="F7800" t="s">
        <v>8124</v>
      </c>
    </row>
    <row r="7801" spans="1:6" x14ac:dyDescent="0.15">
      <c r="A7801">
        <v>12086316</v>
      </c>
      <c r="B7801">
        <v>8417077</v>
      </c>
      <c r="C7801" t="s">
        <v>114</v>
      </c>
      <c r="D7801" t="s">
        <v>10</v>
      </c>
      <c r="E7801" s="4" t="str">
        <f>HYPERLINK("https://ibp.a2mac1.com/costing(costing:projects/details/9760/process/12086316)","MANUFACTURING  PROCESS")</f>
        <v>MANUFACTURING  PROCESS</v>
      </c>
      <c r="F7801" t="s">
        <v>8163</v>
      </c>
    </row>
    <row r="7802" spans="1:6" x14ac:dyDescent="0.15">
      <c r="A7802">
        <v>8755956</v>
      </c>
      <c r="B7802">
        <v>12086316</v>
      </c>
      <c r="C7802" t="s">
        <v>22</v>
      </c>
      <c r="D7802" t="s">
        <v>114</v>
      </c>
      <c r="E7802" s="4" t="str">
        <f>HYPERLINK("https://ibp.a2mac1.com/costing(costing:projects/details/9760/material/8755956)","Standard Structural Steel sheet")</f>
        <v>Standard Structural Steel sheet</v>
      </c>
      <c r="F7802" t="s">
        <v>8164</v>
      </c>
    </row>
    <row r="7803" spans="1:6" x14ac:dyDescent="0.15">
      <c r="A7803">
        <v>12213516</v>
      </c>
      <c r="B7803">
        <v>12086316</v>
      </c>
      <c r="C7803" t="s">
        <v>163</v>
      </c>
      <c r="D7803" t="s">
        <v>114</v>
      </c>
      <c r="E7803" s="4" t="str">
        <f>HYPERLINK("https://ibp.a2mac1.com/costing(costing:projects/details/9760/equipment/12213516)","Manufacturing Equipment")</f>
        <v>Manufacturing Equipment</v>
      </c>
      <c r="F7803" t="s">
        <v>8164</v>
      </c>
    </row>
    <row r="7804" spans="1:6" x14ac:dyDescent="0.15">
      <c r="A7804">
        <v>8417078</v>
      </c>
      <c r="B7804">
        <v>8416651</v>
      </c>
      <c r="C7804" t="s">
        <v>10</v>
      </c>
      <c r="D7804" t="s">
        <v>8</v>
      </c>
      <c r="E7804" s="4" t="str">
        <f>HYPERLINK("https://ibp.a2mac1.com/costing(costing:projects/details/9760/part/8417078)","Part 12")</f>
        <v>Part 12</v>
      </c>
      <c r="F7804" t="s">
        <v>8124</v>
      </c>
    </row>
    <row r="7805" spans="1:6" x14ac:dyDescent="0.15">
      <c r="A7805">
        <v>12086317</v>
      </c>
      <c r="B7805">
        <v>8417078</v>
      </c>
      <c r="C7805" t="s">
        <v>114</v>
      </c>
      <c r="D7805" t="s">
        <v>10</v>
      </c>
      <c r="E7805" s="4" t="str">
        <f>HYPERLINK("https://ibp.a2mac1.com/costing(costing:projects/details/9760/process/12086317)","MANUFACTURING  PROCESS")</f>
        <v>MANUFACTURING  PROCESS</v>
      </c>
      <c r="F7805" t="s">
        <v>8166</v>
      </c>
    </row>
    <row r="7806" spans="1:6" x14ac:dyDescent="0.15">
      <c r="A7806">
        <v>8755957</v>
      </c>
      <c r="B7806">
        <v>12086317</v>
      </c>
      <c r="C7806" t="s">
        <v>22</v>
      </c>
      <c r="D7806" t="s">
        <v>114</v>
      </c>
      <c r="E7806" s="4" t="str">
        <f>HYPERLINK("https://ibp.a2mac1.com/costing(costing:projects/details/9760/material/8755957)","Standard Structural Steel sheet")</f>
        <v>Standard Structural Steel sheet</v>
      </c>
      <c r="F7806" t="s">
        <v>8168</v>
      </c>
    </row>
    <row r="7807" spans="1:6" x14ac:dyDescent="0.15">
      <c r="A7807">
        <v>12213517</v>
      </c>
      <c r="B7807">
        <v>12086317</v>
      </c>
      <c r="C7807" t="s">
        <v>163</v>
      </c>
      <c r="D7807" t="s">
        <v>114</v>
      </c>
      <c r="E7807" s="4" t="str">
        <f>HYPERLINK("https://ibp.a2mac1.com/costing(costing:projects/details/9760/equipment/12213517)","Manufacturing Equipment")</f>
        <v>Manufacturing Equipment</v>
      </c>
      <c r="F7807" t="s">
        <v>8168</v>
      </c>
    </row>
    <row r="7808" spans="1:6" x14ac:dyDescent="0.15">
      <c r="A7808">
        <v>8417079</v>
      </c>
      <c r="B7808">
        <v>8416651</v>
      </c>
      <c r="C7808" t="s">
        <v>10</v>
      </c>
      <c r="D7808" t="s">
        <v>8</v>
      </c>
      <c r="E7808" s="4" t="str">
        <f>HYPERLINK("https://ibp.a2mac1.com/costing(costing:projects/details/9760/part/8417079)","Part 13")</f>
        <v>Part 13</v>
      </c>
      <c r="F7808" t="s">
        <v>8124</v>
      </c>
    </row>
    <row r="7809" spans="1:6" x14ac:dyDescent="0.15">
      <c r="A7809">
        <v>12086318</v>
      </c>
      <c r="B7809">
        <v>8417079</v>
      </c>
      <c r="C7809" t="s">
        <v>114</v>
      </c>
      <c r="D7809" t="s">
        <v>10</v>
      </c>
      <c r="E7809" s="4" t="str">
        <f>HYPERLINK("https://ibp.a2mac1.com/costing(costing:projects/details/9760/process/12086318)","MANUFACTURING  PROCESS")</f>
        <v>MANUFACTURING  PROCESS</v>
      </c>
      <c r="F7809" t="s">
        <v>8170</v>
      </c>
    </row>
    <row r="7810" spans="1:6" x14ac:dyDescent="0.15">
      <c r="A7810">
        <v>8755958</v>
      </c>
      <c r="B7810">
        <v>12086318</v>
      </c>
      <c r="C7810" t="s">
        <v>22</v>
      </c>
      <c r="D7810" t="s">
        <v>114</v>
      </c>
      <c r="E7810" s="4" t="str">
        <f>HYPERLINK("https://ibp.a2mac1.com/costing(costing:projects/details/9760/material/8755958)","Standard Structural Steel sheet")</f>
        <v>Standard Structural Steel sheet</v>
      </c>
      <c r="F7810" t="s">
        <v>8173</v>
      </c>
    </row>
    <row r="7811" spans="1:6" x14ac:dyDescent="0.15">
      <c r="A7811">
        <v>12213518</v>
      </c>
      <c r="B7811">
        <v>12086318</v>
      </c>
      <c r="C7811" t="s">
        <v>163</v>
      </c>
      <c r="D7811" t="s">
        <v>114</v>
      </c>
      <c r="E7811" s="4" t="str">
        <f>HYPERLINK("https://ibp.a2mac1.com/costing(costing:projects/details/9760/equipment/12213518)","Manufacturing Equipment")</f>
        <v>Manufacturing Equipment</v>
      </c>
      <c r="F7811" t="s">
        <v>8173</v>
      </c>
    </row>
    <row r="7812" spans="1:6" x14ac:dyDescent="0.15">
      <c r="A7812">
        <v>8416073</v>
      </c>
      <c r="B7812">
        <v>8415759</v>
      </c>
      <c r="C7812" t="s">
        <v>8</v>
      </c>
      <c r="D7812" t="s">
        <v>8</v>
      </c>
      <c r="E7812" s="4" t="str">
        <f>HYPERLINK("https://ibp.a2mac1.com/costing(costing:projects/details/9760/assembly/8416073)","Rear unit")</f>
        <v>Rear unit</v>
      </c>
      <c r="F7812" t="s">
        <v>7831</v>
      </c>
    </row>
    <row r="7813" spans="1:6" x14ac:dyDescent="0.15">
      <c r="A7813">
        <v>8416432</v>
      </c>
      <c r="B7813">
        <v>8416073</v>
      </c>
      <c r="C7813" t="s">
        <v>8</v>
      </c>
      <c r="D7813" t="s">
        <v>8</v>
      </c>
      <c r="E7813" s="4" t="str">
        <f>HYPERLINK("https://ibp.a2mac1.com/costing(costing:projects/details/9760/assembly/8416432)","Rear floor assy")</f>
        <v>Rear floor assy</v>
      </c>
      <c r="F7813" t="s">
        <v>8178</v>
      </c>
    </row>
    <row r="7814" spans="1:6" x14ac:dyDescent="0.15">
      <c r="A7814">
        <v>8416652</v>
      </c>
      <c r="B7814">
        <v>8416432</v>
      </c>
      <c r="C7814" t="s">
        <v>8</v>
      </c>
      <c r="D7814" t="s">
        <v>8</v>
      </c>
      <c r="E7814" s="4" t="str">
        <f>HYPERLINK("https://ibp.a2mac1.com/costing(costing:projects/details/9760/assembly/8416652)","Rear floor panel")</f>
        <v>Rear floor panel</v>
      </c>
      <c r="F7814" t="s">
        <v>8179</v>
      </c>
    </row>
    <row r="7815" spans="1:6" x14ac:dyDescent="0.15">
      <c r="A7815">
        <v>8417080</v>
      </c>
      <c r="B7815">
        <v>8416652</v>
      </c>
      <c r="C7815" t="s">
        <v>8</v>
      </c>
      <c r="D7815" t="s">
        <v>8</v>
      </c>
      <c r="E7815" s="4" t="str">
        <f>HYPERLINK("https://ibp.a2mac1.com/costing(costing:projects/details/9760/assembly/8417080)","Panel")</f>
        <v>Panel</v>
      </c>
      <c r="F7815" t="s">
        <v>8180</v>
      </c>
    </row>
    <row r="7816" spans="1:6" x14ac:dyDescent="0.15">
      <c r="A7816">
        <v>8417284</v>
      </c>
      <c r="B7816">
        <v>8417080</v>
      </c>
      <c r="C7816" t="s">
        <v>10</v>
      </c>
      <c r="D7816" t="s">
        <v>8</v>
      </c>
      <c r="E7816" s="4" t="str">
        <f>HYPERLINK("https://ibp.a2mac1.com/costing(costing:projects/details/9760/part/8417284)","Part 02")</f>
        <v>Part 02</v>
      </c>
      <c r="F7816" t="s">
        <v>8181</v>
      </c>
    </row>
    <row r="7817" spans="1:6" x14ac:dyDescent="0.15">
      <c r="A7817">
        <v>12086462</v>
      </c>
      <c r="B7817">
        <v>8417284</v>
      </c>
      <c r="C7817" t="s">
        <v>114</v>
      </c>
      <c r="D7817" t="s">
        <v>10</v>
      </c>
      <c r="E7817" s="4" t="str">
        <f>HYPERLINK("https://ibp.a2mac1.com/costing(costing:projects/details/9760/process/12086462)","MANUFACTURING  PROCESS")</f>
        <v>MANUFACTURING  PROCESS</v>
      </c>
      <c r="F7817" t="s">
        <v>8182</v>
      </c>
    </row>
    <row r="7818" spans="1:6" x14ac:dyDescent="0.15">
      <c r="A7818">
        <v>8756065</v>
      </c>
      <c r="B7818">
        <v>12086462</v>
      </c>
      <c r="C7818" t="s">
        <v>22</v>
      </c>
      <c r="D7818" t="s">
        <v>114</v>
      </c>
      <c r="E7818" s="4" t="str">
        <f>HYPERLINK("https://ibp.a2mac1.com/costing(costing:projects/details/9760/material/8756065)","Standard Structural Steel sheet")</f>
        <v>Standard Structural Steel sheet</v>
      </c>
      <c r="F7818" t="s">
        <v>8185</v>
      </c>
    </row>
    <row r="7819" spans="1:6" x14ac:dyDescent="0.15">
      <c r="A7819">
        <v>12213607</v>
      </c>
      <c r="B7819">
        <v>12086462</v>
      </c>
      <c r="C7819" t="s">
        <v>163</v>
      </c>
      <c r="D7819" t="s">
        <v>114</v>
      </c>
      <c r="E7819" s="4" t="str">
        <f>HYPERLINK("https://ibp.a2mac1.com/costing(costing:projects/details/9760/equipment/12213607)","Manufacturing Equipment")</f>
        <v>Manufacturing Equipment</v>
      </c>
      <c r="F7819" t="s">
        <v>8185</v>
      </c>
    </row>
    <row r="7820" spans="1:6" x14ac:dyDescent="0.15">
      <c r="A7820">
        <v>8417122</v>
      </c>
      <c r="B7820">
        <v>8416652</v>
      </c>
      <c r="C7820" t="s">
        <v>8</v>
      </c>
      <c r="D7820" t="s">
        <v>8</v>
      </c>
      <c r="E7820" s="4" t="str">
        <f>HYPERLINK("https://ibp.a2mac1.com/costing(costing:projects/details/9760/assembly/8417122)","Fixing parts")</f>
        <v>Fixing parts</v>
      </c>
      <c r="F7820" t="s">
        <v>8180</v>
      </c>
    </row>
    <row r="7821" spans="1:6" x14ac:dyDescent="0.15">
      <c r="A7821">
        <v>8417285</v>
      </c>
      <c r="B7821">
        <v>8417122</v>
      </c>
      <c r="C7821" t="s">
        <v>10</v>
      </c>
      <c r="D7821" t="s">
        <v>8</v>
      </c>
      <c r="E7821" s="4" t="str">
        <f>HYPERLINK("https://ibp.a2mac1.com/costing(costing:projects/details/9760/part/8417285)","Part 02")</f>
        <v>Part 02</v>
      </c>
      <c r="F7821" t="s">
        <v>8188</v>
      </c>
    </row>
    <row r="7822" spans="1:6" x14ac:dyDescent="0.15">
      <c r="A7822">
        <v>12086463</v>
      </c>
      <c r="B7822">
        <v>8417285</v>
      </c>
      <c r="C7822" t="s">
        <v>114</v>
      </c>
      <c r="D7822" t="s">
        <v>10</v>
      </c>
      <c r="E7822" s="4" t="str">
        <f>HYPERLINK("https://ibp.a2mac1.com/costing(costing:projects/details/9760/process/12086463)","MANUFACTURING  PROCESS")</f>
        <v>MANUFACTURING  PROCESS</v>
      </c>
      <c r="F7822" t="s">
        <v>8189</v>
      </c>
    </row>
    <row r="7823" spans="1:6" x14ac:dyDescent="0.15">
      <c r="A7823">
        <v>8756066</v>
      </c>
      <c r="B7823">
        <v>12086463</v>
      </c>
      <c r="C7823" t="s">
        <v>22</v>
      </c>
      <c r="D7823" t="s">
        <v>114</v>
      </c>
      <c r="E7823" s="4" t="str">
        <f>HYPERLINK("https://ibp.a2mac1.com/costing(costing:projects/details/9760/material/8756066)","Standard Structural Steel sheet")</f>
        <v>Standard Structural Steel sheet</v>
      </c>
      <c r="F7823" t="s">
        <v>8190</v>
      </c>
    </row>
    <row r="7824" spans="1:6" x14ac:dyDescent="0.15">
      <c r="A7824">
        <v>12213608</v>
      </c>
      <c r="B7824">
        <v>12086463</v>
      </c>
      <c r="C7824" t="s">
        <v>163</v>
      </c>
      <c r="D7824" t="s">
        <v>114</v>
      </c>
      <c r="E7824" s="4" t="str">
        <f>HYPERLINK("https://ibp.a2mac1.com/costing(costing:projects/details/9760/equipment/12213608)","Manufacturing Equipment")</f>
        <v>Manufacturing Equipment</v>
      </c>
      <c r="F7824" t="s">
        <v>8190</v>
      </c>
    </row>
    <row r="7825" spans="1:6" x14ac:dyDescent="0.15">
      <c r="A7825">
        <v>8416433</v>
      </c>
      <c r="B7825">
        <v>8416073</v>
      </c>
      <c r="C7825" t="s">
        <v>8</v>
      </c>
      <c r="D7825" t="s">
        <v>8</v>
      </c>
      <c r="E7825" s="4" t="str">
        <f>HYPERLINK("https://ibp.a2mac1.com/costing(costing:projects/details/9760/assembly/8416433)","Rear side member assy")</f>
        <v>Rear side member assy</v>
      </c>
      <c r="F7825" t="s">
        <v>8178</v>
      </c>
    </row>
    <row r="7826" spans="1:6" x14ac:dyDescent="0.15">
      <c r="A7826">
        <v>8416653</v>
      </c>
      <c r="B7826">
        <v>8416433</v>
      </c>
      <c r="C7826" t="s">
        <v>8</v>
      </c>
      <c r="D7826" t="s">
        <v>8</v>
      </c>
      <c r="E7826" s="4" t="str">
        <f>HYPERLINK("https://ibp.a2mac1.com/costing(costing:projects/details/9760/assembly/8416653)","Frame")</f>
        <v>Frame</v>
      </c>
      <c r="F7826" t="s">
        <v>8195</v>
      </c>
    </row>
    <row r="7827" spans="1:6" x14ac:dyDescent="0.15">
      <c r="A7827">
        <v>8417123</v>
      </c>
      <c r="B7827">
        <v>8416653</v>
      </c>
      <c r="C7827" t="s">
        <v>10</v>
      </c>
      <c r="D7827" t="s">
        <v>8</v>
      </c>
      <c r="E7827" s="4" t="str">
        <f>HYPERLINK("https://ibp.a2mac1.com/costing(costing:projects/details/9760/part/8417123)","Part 01 (single/main)")</f>
        <v>Part 01 (single/main)</v>
      </c>
      <c r="F7827" t="s">
        <v>8196</v>
      </c>
    </row>
    <row r="7828" spans="1:6" x14ac:dyDescent="0.15">
      <c r="A7828">
        <v>12086319</v>
      </c>
      <c r="B7828">
        <v>8417123</v>
      </c>
      <c r="C7828" t="s">
        <v>114</v>
      </c>
      <c r="D7828" t="s">
        <v>10</v>
      </c>
      <c r="E7828" s="4" t="str">
        <f>HYPERLINK("https://ibp.a2mac1.com/costing(costing:projects/details/9760/process/12086319)","MANUFACTURING  PROCESS")</f>
        <v>MANUFACTURING  PROCESS</v>
      </c>
      <c r="F7828" t="s">
        <v>8197</v>
      </c>
    </row>
    <row r="7829" spans="1:6" x14ac:dyDescent="0.15">
      <c r="A7829">
        <v>8755959</v>
      </c>
      <c r="B7829">
        <v>12086319</v>
      </c>
      <c r="C7829" t="s">
        <v>22</v>
      </c>
      <c r="D7829" t="s">
        <v>114</v>
      </c>
      <c r="E7829" s="4" t="str">
        <f>HYPERLINK("https://ibp.a2mac1.com/costing(costing:projects/details/9760/material/8755959)","Aluminum sheet body (default, e.g. EN-AW6063)")</f>
        <v>Aluminum sheet body (default, e.g. EN-AW6063)</v>
      </c>
      <c r="F7829" t="s">
        <v>8200</v>
      </c>
    </row>
    <row r="7830" spans="1:6" x14ac:dyDescent="0.15">
      <c r="A7830">
        <v>12213519</v>
      </c>
      <c r="B7830">
        <v>12086319</v>
      </c>
      <c r="C7830" t="s">
        <v>163</v>
      </c>
      <c r="D7830" t="s">
        <v>114</v>
      </c>
      <c r="E7830" s="4" t="str">
        <f>HYPERLINK("https://ibp.a2mac1.com/costing(costing:projects/details/9760/equipment/12213519)","Manufacturing Equipment")</f>
        <v>Manufacturing Equipment</v>
      </c>
      <c r="F7830" t="s">
        <v>8200</v>
      </c>
    </row>
    <row r="7831" spans="1:6" x14ac:dyDescent="0.15">
      <c r="A7831">
        <v>8417124</v>
      </c>
      <c r="B7831">
        <v>8416653</v>
      </c>
      <c r="C7831" t="s">
        <v>10</v>
      </c>
      <c r="D7831" t="s">
        <v>8</v>
      </c>
      <c r="E7831" s="4" t="str">
        <f>HYPERLINK("https://ibp.a2mac1.com/costing(costing:projects/details/9760/part/8417124)","Part 02")</f>
        <v>Part 02</v>
      </c>
      <c r="F7831" t="s">
        <v>8196</v>
      </c>
    </row>
    <row r="7832" spans="1:6" x14ac:dyDescent="0.15">
      <c r="A7832">
        <v>12086320</v>
      </c>
      <c r="B7832">
        <v>8417124</v>
      </c>
      <c r="C7832" t="s">
        <v>114</v>
      </c>
      <c r="D7832" t="s">
        <v>10</v>
      </c>
      <c r="E7832" s="4" t="str">
        <f>HYPERLINK("https://ibp.a2mac1.com/costing(costing:projects/details/9760/process/12086320)","MANUFACTURING  PROCESS")</f>
        <v>MANUFACTURING  PROCESS</v>
      </c>
      <c r="F7832" t="s">
        <v>8202</v>
      </c>
    </row>
    <row r="7833" spans="1:6" x14ac:dyDescent="0.15">
      <c r="A7833">
        <v>8755960</v>
      </c>
      <c r="B7833">
        <v>12086320</v>
      </c>
      <c r="C7833" t="s">
        <v>22</v>
      </c>
      <c r="D7833" t="s">
        <v>114</v>
      </c>
      <c r="E7833" s="4" t="str">
        <f>HYPERLINK("https://ibp.a2mac1.com/costing(costing:projects/details/9760/material/8755960)","Aluminum sheet body (default, e.g. EN-AW6063)")</f>
        <v>Aluminum sheet body (default, e.g. EN-AW6063)</v>
      </c>
      <c r="F7833" t="s">
        <v>8205</v>
      </c>
    </row>
    <row r="7834" spans="1:6" x14ac:dyDescent="0.15">
      <c r="A7834">
        <v>12213520</v>
      </c>
      <c r="B7834">
        <v>12086320</v>
      </c>
      <c r="C7834" t="s">
        <v>163</v>
      </c>
      <c r="D7834" t="s">
        <v>114</v>
      </c>
      <c r="E7834" s="4" t="str">
        <f>HYPERLINK("https://ibp.a2mac1.com/costing(costing:projects/details/9760/equipment/12213520)","Manufacturing Equipment")</f>
        <v>Manufacturing Equipment</v>
      </c>
      <c r="F7834" t="s">
        <v>8205</v>
      </c>
    </row>
    <row r="7835" spans="1:6" x14ac:dyDescent="0.15">
      <c r="A7835">
        <v>8416654</v>
      </c>
      <c r="B7835">
        <v>8416433</v>
      </c>
      <c r="C7835" t="s">
        <v>8</v>
      </c>
      <c r="D7835" t="s">
        <v>8</v>
      </c>
      <c r="E7835" s="4" t="str">
        <f>HYPERLINK("https://ibp.a2mac1.com/costing(costing:projects/details/9760/assembly/8416654)","Fixing parts")</f>
        <v>Fixing parts</v>
      </c>
      <c r="F7835" t="s">
        <v>8195</v>
      </c>
    </row>
    <row r="7836" spans="1:6" x14ac:dyDescent="0.15">
      <c r="A7836">
        <v>8417125</v>
      </c>
      <c r="B7836">
        <v>8416654</v>
      </c>
      <c r="C7836" t="s">
        <v>10</v>
      </c>
      <c r="D7836" t="s">
        <v>8</v>
      </c>
      <c r="E7836" s="4" t="str">
        <f>HYPERLINK("https://ibp.a2mac1.com/costing(costing:projects/details/9760/part/8417125)","Part 01 (single/main)")</f>
        <v>Part 01 (single/main)</v>
      </c>
      <c r="F7836" t="s">
        <v>8208</v>
      </c>
    </row>
    <row r="7837" spans="1:6" x14ac:dyDescent="0.15">
      <c r="A7837">
        <v>12086321</v>
      </c>
      <c r="B7837">
        <v>8417125</v>
      </c>
      <c r="C7837" t="s">
        <v>114</v>
      </c>
      <c r="D7837" t="s">
        <v>10</v>
      </c>
      <c r="E7837" s="4" t="str">
        <f>HYPERLINK("https://ibp.a2mac1.com/costing(costing:projects/details/9760/process/12086321)","MANUFACTURING  PROCESS")</f>
        <v>MANUFACTURING  PROCESS</v>
      </c>
      <c r="F7837" t="s">
        <v>8209</v>
      </c>
    </row>
    <row r="7838" spans="1:6" x14ac:dyDescent="0.15">
      <c r="A7838">
        <v>8755961</v>
      </c>
      <c r="B7838">
        <v>12086321</v>
      </c>
      <c r="C7838" t="s">
        <v>22</v>
      </c>
      <c r="D7838" t="s">
        <v>114</v>
      </c>
      <c r="E7838" s="4" t="str">
        <f>HYPERLINK("https://ibp.a2mac1.com/costing(costing:projects/details/9760/material/8755961)","Aluminum sheet body (default, e.g. EN-AW6063)")</f>
        <v>Aluminum sheet body (default, e.g. EN-AW6063)</v>
      </c>
      <c r="F7838" t="s">
        <v>8211</v>
      </c>
    </row>
    <row r="7839" spans="1:6" x14ac:dyDescent="0.15">
      <c r="A7839">
        <v>12213521</v>
      </c>
      <c r="B7839">
        <v>12086321</v>
      </c>
      <c r="C7839" t="s">
        <v>163</v>
      </c>
      <c r="D7839" t="s">
        <v>114</v>
      </c>
      <c r="E7839" s="4" t="str">
        <f>HYPERLINK("https://ibp.a2mac1.com/costing(costing:projects/details/9760/equipment/12213521)","Manufacturing Equipment")</f>
        <v>Manufacturing Equipment</v>
      </c>
      <c r="F7839" t="s">
        <v>8211</v>
      </c>
    </row>
    <row r="7840" spans="1:6" x14ac:dyDescent="0.15">
      <c r="A7840">
        <v>12085081</v>
      </c>
      <c r="B7840">
        <v>8415606</v>
      </c>
      <c r="C7840" t="s">
        <v>114</v>
      </c>
      <c r="D7840" t="s">
        <v>8</v>
      </c>
      <c r="E7840" s="4" t="str">
        <f>HYPERLINK("https://ibp.a2mac1.com/costing(costing:projects/details/9760/process/12085081)","Assembly")</f>
        <v>Assembly</v>
      </c>
      <c r="F7840" t="s">
        <v>7315</v>
      </c>
    </row>
    <row r="7841" spans="1:6" x14ac:dyDescent="0.15">
      <c r="A7841">
        <v>8754466</v>
      </c>
      <c r="B7841">
        <v>12085081</v>
      </c>
      <c r="C7841" t="s">
        <v>8218</v>
      </c>
      <c r="D7841" t="s">
        <v>114</v>
      </c>
      <c r="E7841" s="4" t="str">
        <f>HYPERLINK("https://ibp.a2mac1.com/costing(costing:projects/details/9760/consumable/8754466)","Fasteners &amp; adhesives")</f>
        <v>Fasteners &amp; adhesives</v>
      </c>
      <c r="F7841" t="s">
        <v>8219</v>
      </c>
    </row>
    <row r="7842" spans="1:6" x14ac:dyDescent="0.15">
      <c r="A7842">
        <v>12212173</v>
      </c>
      <c r="B7842">
        <v>12085081</v>
      </c>
      <c r="C7842" t="s">
        <v>163</v>
      </c>
      <c r="D7842" t="s">
        <v>114</v>
      </c>
      <c r="E7842" s="4" t="str">
        <f>HYPERLINK("https://ibp.a2mac1.com/costing(costing:projects/details/9760/equipment/12212173)","BIW Shop")</f>
        <v>BIW Shop</v>
      </c>
      <c r="F7842" t="s">
        <v>8219</v>
      </c>
    </row>
    <row r="7843" spans="1:6" x14ac:dyDescent="0.15">
      <c r="A7843">
        <v>12085082</v>
      </c>
      <c r="B7843">
        <v>8415606</v>
      </c>
      <c r="C7843" t="s">
        <v>114</v>
      </c>
      <c r="D7843" t="s">
        <v>8</v>
      </c>
      <c r="E7843" s="4" t="str">
        <f>HYPERLINK("https://ibp.a2mac1.com/costing(costing:projects/details/9760/process/12085082)","Partial Cost for BIW Painting ")</f>
        <v xml:space="preserve">Partial Cost for BIW Painting </v>
      </c>
      <c r="F7843" t="s">
        <v>7315</v>
      </c>
    </row>
    <row r="7844" spans="1:6" x14ac:dyDescent="0.15">
      <c r="A7844">
        <v>8415588</v>
      </c>
      <c r="B7844">
        <v>8415577</v>
      </c>
      <c r="C7844" t="s">
        <v>10</v>
      </c>
      <c r="D7844" t="s">
        <v>8</v>
      </c>
      <c r="E7844" s="4" t="str">
        <f>HYPERLINK("https://ibp.a2mac1.com/costing(costing:projects/details/9760/part/8415588)","Mass Vibration Absorber")</f>
        <v>Mass Vibration Absorber</v>
      </c>
      <c r="F7844" t="s">
        <v>6896</v>
      </c>
    </row>
    <row r="7845" spans="1:6" x14ac:dyDescent="0.15">
      <c r="A7845">
        <v>12085067</v>
      </c>
      <c r="B7845">
        <v>8415588</v>
      </c>
      <c r="C7845" t="s">
        <v>114</v>
      </c>
      <c r="D7845" t="s">
        <v>10</v>
      </c>
      <c r="E7845" s="4" t="str">
        <f>HYPERLINK("https://ibp.a2mac1.com/costing(costing:projects/details/9760/process/12085067)","Oven")</f>
        <v>Oven</v>
      </c>
      <c r="F7845" t="s">
        <v>8225</v>
      </c>
    </row>
    <row r="7846" spans="1:6" x14ac:dyDescent="0.15">
      <c r="A7846">
        <v>8754459</v>
      </c>
      <c r="B7846">
        <v>12085067</v>
      </c>
      <c r="C7846" t="s">
        <v>22</v>
      </c>
      <c r="D7846" t="s">
        <v>114</v>
      </c>
      <c r="E7846" s="4" t="str">
        <f>HYPERLINK("https://ibp.a2mac1.com/costing(costing:projects/details/9760/material/8754459)","Cast Steel (default, e.g. 42CrMo4 / 4140)")</f>
        <v>Cast Steel (default, e.g. 42CrMo4 / 4140)</v>
      </c>
      <c r="F7846" t="s">
        <v>8228</v>
      </c>
    </row>
    <row r="7847" spans="1:6" x14ac:dyDescent="0.15">
      <c r="A7847">
        <v>12212159</v>
      </c>
      <c r="B7847">
        <v>12085067</v>
      </c>
      <c r="C7847" t="s">
        <v>163</v>
      </c>
      <c r="D7847" t="s">
        <v>114</v>
      </c>
      <c r="E7847" s="4" t="str">
        <f>HYPERLINK("https://ibp.a2mac1.com/costing(costing:projects/details/9760/equipment/12212159)","No.03 - GW0.5-250-1 - 0.5T ")</f>
        <v xml:space="preserve">No.03 - GW0.5-250-1 - 0.5T </v>
      </c>
      <c r="F7847" t="s">
        <v>8228</v>
      </c>
    </row>
    <row r="7848" spans="1:6" x14ac:dyDescent="0.15">
      <c r="A7848">
        <v>12085068</v>
      </c>
      <c r="B7848">
        <v>8415588</v>
      </c>
      <c r="C7848" t="s">
        <v>114</v>
      </c>
      <c r="D7848" t="s">
        <v>10</v>
      </c>
      <c r="E7848" s="4" t="str">
        <f>HYPERLINK("https://ibp.a2mac1.com/costing(costing:projects/details/9760/process/12085068)","Casting")</f>
        <v>Casting</v>
      </c>
      <c r="F7848" t="s">
        <v>8225</v>
      </c>
    </row>
    <row r="7849" spans="1:6" x14ac:dyDescent="0.15">
      <c r="A7849">
        <v>12212160</v>
      </c>
      <c r="B7849">
        <v>12085068</v>
      </c>
      <c r="C7849" t="s">
        <v>163</v>
      </c>
      <c r="D7849" t="s">
        <v>114</v>
      </c>
      <c r="E7849" s="4" t="str">
        <f>HYPERLINK("https://ibp.a2mac1.com/costing(costing:projects/details/9760/equipment/12212160)","No.01 - Moulding - 500x400x250 - 10kg/Mould With Cooling &amp; Sand Recycling Sys ")</f>
        <v xml:space="preserve">No.01 - Moulding - 500x400x250 - 10kg/Mould With Cooling &amp; Sand Recycling Sys </v>
      </c>
      <c r="F7849" t="s">
        <v>8229</v>
      </c>
    </row>
    <row r="7850" spans="1:6" x14ac:dyDescent="0.15">
      <c r="A7850">
        <v>12085069</v>
      </c>
      <c r="B7850">
        <v>8415588</v>
      </c>
      <c r="C7850" t="s">
        <v>114</v>
      </c>
      <c r="D7850" t="s">
        <v>10</v>
      </c>
      <c r="E7850" s="4" t="str">
        <f>HYPERLINK("https://ibp.a2mac1.com/costing(costing:projects/details/9760/process/12085069)","SprueRemoval")</f>
        <v>SprueRemoval</v>
      </c>
      <c r="F7850" t="s">
        <v>8225</v>
      </c>
    </row>
    <row r="7851" spans="1:6" x14ac:dyDescent="0.15">
      <c r="A7851">
        <v>12212161</v>
      </c>
      <c r="B7851">
        <v>12085069</v>
      </c>
      <c r="C7851" t="s">
        <v>163</v>
      </c>
      <c r="D7851" t="s">
        <v>114</v>
      </c>
      <c r="E7851" s="4" t="str">
        <f>HYPERLINK("https://ibp.a2mac1.com/costing(costing:projects/details/9760/equipment/12212161)","No.01 - Headcutter - 500x400x400 - 15kg/Mould ")</f>
        <v xml:space="preserve">No.01 - Headcutter - 500x400x400 - 15kg/Mould </v>
      </c>
      <c r="F7851" t="s">
        <v>8230</v>
      </c>
    </row>
    <row r="7852" spans="1:6" x14ac:dyDescent="0.15">
      <c r="A7852">
        <v>12085070</v>
      </c>
      <c r="B7852">
        <v>8415588</v>
      </c>
      <c r="C7852" t="s">
        <v>114</v>
      </c>
      <c r="D7852" t="s">
        <v>10</v>
      </c>
      <c r="E7852" s="4" t="str">
        <f>HYPERLINK("https://ibp.a2mac1.com/costing(costing:projects/details/9760/process/12085070)","Trimming")</f>
        <v>Trimming</v>
      </c>
      <c r="F7852" t="s">
        <v>8225</v>
      </c>
    </row>
    <row r="7853" spans="1:6" x14ac:dyDescent="0.15">
      <c r="A7853">
        <v>12212162</v>
      </c>
      <c r="B7853">
        <v>12085070</v>
      </c>
      <c r="C7853" t="s">
        <v>163</v>
      </c>
      <c r="D7853" t="s">
        <v>114</v>
      </c>
      <c r="E7853" s="4" t="str">
        <f>HYPERLINK("https://ibp.a2mac1.com/costing(costing:projects/details/9760/equipment/12212162)","No.01 - Bodytrimming - 500x400x400 - 15kg/Mould ")</f>
        <v xml:space="preserve">No.01 - Bodytrimming - 500x400x400 - 15kg/Mould </v>
      </c>
      <c r="F7853" t="s">
        <v>8231</v>
      </c>
    </row>
    <row r="7854" spans="1:6" x14ac:dyDescent="0.15">
      <c r="A7854">
        <v>12085071</v>
      </c>
      <c r="B7854">
        <v>8415588</v>
      </c>
      <c r="C7854" t="s">
        <v>114</v>
      </c>
      <c r="D7854" t="s">
        <v>10</v>
      </c>
      <c r="E7854" s="4" t="str">
        <f>HYPERLINK("https://ibp.a2mac1.com/costing(costing:projects/details/9760/process/12085071)","DimChecking")</f>
        <v>DimChecking</v>
      </c>
      <c r="F7854" t="s">
        <v>8225</v>
      </c>
    </row>
    <row r="7855" spans="1:6" x14ac:dyDescent="0.15">
      <c r="A7855">
        <v>12212163</v>
      </c>
      <c r="B7855">
        <v>12085071</v>
      </c>
      <c r="C7855" t="s">
        <v>163</v>
      </c>
      <c r="D7855" t="s">
        <v>114</v>
      </c>
      <c r="E7855" s="4" t="str">
        <f>HYPERLINK("https://ibp.a2mac1.com/costing(costing:projects/details/9760/equipment/12212163)","No.01 - Dimchecking - 500x400x400 - 15kg/Mould ")</f>
        <v xml:space="preserve">No.01 - Dimchecking - 500x400x400 - 15kg/Mould </v>
      </c>
      <c r="F7855" t="s">
        <v>8232</v>
      </c>
    </row>
    <row r="7856" spans="1:6" x14ac:dyDescent="0.15">
      <c r="A7856">
        <v>12085072</v>
      </c>
      <c r="B7856">
        <v>8415588</v>
      </c>
      <c r="C7856" t="s">
        <v>114</v>
      </c>
      <c r="D7856" t="s">
        <v>10</v>
      </c>
      <c r="E7856" s="4" t="str">
        <f>HYPERLINK("https://ibp.a2mac1.com/costing(costing:projects/details/9760/process/12085072)","Checking")</f>
        <v>Checking</v>
      </c>
      <c r="F7856" t="s">
        <v>8225</v>
      </c>
    </row>
    <row r="7857" spans="1:6" x14ac:dyDescent="0.15">
      <c r="A7857">
        <v>12212164</v>
      </c>
      <c r="B7857">
        <v>12085072</v>
      </c>
      <c r="C7857" t="s">
        <v>163</v>
      </c>
      <c r="D7857" t="s">
        <v>114</v>
      </c>
      <c r="E7857" s="4" t="str">
        <f>HYPERLINK("https://ibp.a2mac1.com/costing(costing:projects/details/9760/equipment/12212164)","No.01 - 1600x1200x800  ")</f>
        <v xml:space="preserve">No.01 - 1600x1200x800  </v>
      </c>
      <c r="F7857" t="s">
        <v>8233</v>
      </c>
    </row>
    <row r="7858" spans="1:6" x14ac:dyDescent="0.15">
      <c r="A7858">
        <v>12085073</v>
      </c>
      <c r="B7858">
        <v>8415588</v>
      </c>
      <c r="C7858" t="s">
        <v>114</v>
      </c>
      <c r="D7858" t="s">
        <v>10</v>
      </c>
      <c r="E7858" s="4" t="str">
        <f>HYPERLINK("https://ibp.a2mac1.com/costing(costing:projects/details/9760/process/12085073)","CoreMolding3")</f>
        <v>CoreMolding3</v>
      </c>
      <c r="F7858" t="s">
        <v>8225</v>
      </c>
    </row>
    <row r="7859" spans="1:6" x14ac:dyDescent="0.15">
      <c r="A7859">
        <v>12212165</v>
      </c>
      <c r="B7859">
        <v>12085073</v>
      </c>
      <c r="C7859" t="s">
        <v>163</v>
      </c>
      <c r="D7859" t="s">
        <v>114</v>
      </c>
      <c r="E7859" s="4" t="str">
        <f>HYPERLINK("https://ibp.a2mac1.com/costing(costing:projects/details/9760/equipment/12212165)","No.03 - 350x320x120  ")</f>
        <v xml:space="preserve">No.03 - 350x320x120  </v>
      </c>
      <c r="F7859" t="s">
        <v>8234</v>
      </c>
    </row>
    <row r="7860" spans="1:6" x14ac:dyDescent="0.15">
      <c r="A7860">
        <v>8415589</v>
      </c>
      <c r="B7860">
        <v>8415577</v>
      </c>
      <c r="C7860" t="s">
        <v>10</v>
      </c>
      <c r="D7860" t="s">
        <v>8</v>
      </c>
      <c r="E7860" s="4" t="str">
        <f>HYPERLINK("https://ibp.a2mac1.com/costing(costing:projects/details/9760/part/8415589)","2nd Mass Vibration Absorber")</f>
        <v>2nd Mass Vibration Absorber</v>
      </c>
      <c r="F7860" t="s">
        <v>6896</v>
      </c>
    </row>
    <row r="7861" spans="1:6" x14ac:dyDescent="0.15">
      <c r="A7861">
        <v>12085074</v>
      </c>
      <c r="B7861">
        <v>8415589</v>
      </c>
      <c r="C7861" t="s">
        <v>114</v>
      </c>
      <c r="D7861" t="s">
        <v>10</v>
      </c>
      <c r="E7861" s="4" t="str">
        <f>HYPERLINK("https://ibp.a2mac1.com/costing(costing:projects/details/9760/process/12085074)","Oven")</f>
        <v>Oven</v>
      </c>
      <c r="F7861" t="s">
        <v>8236</v>
      </c>
    </row>
    <row r="7862" spans="1:6" x14ac:dyDescent="0.15">
      <c r="A7862">
        <v>8754460</v>
      </c>
      <c r="B7862">
        <v>12085074</v>
      </c>
      <c r="C7862" t="s">
        <v>22</v>
      </c>
      <c r="D7862" t="s">
        <v>114</v>
      </c>
      <c r="E7862" s="4" t="str">
        <f>HYPERLINK("https://ibp.a2mac1.com/costing(costing:projects/details/9760/material/8754460)","Cast Steel (default, e.g. 42CrMo4 / 4140)")</f>
        <v>Cast Steel (default, e.g. 42CrMo4 / 4140)</v>
      </c>
      <c r="F7862" t="s">
        <v>8237</v>
      </c>
    </row>
    <row r="7863" spans="1:6" x14ac:dyDescent="0.15">
      <c r="A7863">
        <v>12212166</v>
      </c>
      <c r="B7863">
        <v>12085074</v>
      </c>
      <c r="C7863" t="s">
        <v>163</v>
      </c>
      <c r="D7863" t="s">
        <v>114</v>
      </c>
      <c r="E7863" s="4" t="str">
        <f>HYPERLINK("https://ibp.a2mac1.com/costing(costing:projects/details/9760/equipment/12212166)","No.03 - GW0.5-250-1 - 0.5T ")</f>
        <v xml:space="preserve">No.03 - GW0.5-250-1 - 0.5T </v>
      </c>
      <c r="F7863" t="s">
        <v>8237</v>
      </c>
    </row>
    <row r="7864" spans="1:6" x14ac:dyDescent="0.15">
      <c r="A7864">
        <v>12085075</v>
      </c>
      <c r="B7864">
        <v>8415589</v>
      </c>
      <c r="C7864" t="s">
        <v>114</v>
      </c>
      <c r="D7864" t="s">
        <v>10</v>
      </c>
      <c r="E7864" s="4" t="str">
        <f>HYPERLINK("https://ibp.a2mac1.com/costing(costing:projects/details/9760/process/12085075)","Casting")</f>
        <v>Casting</v>
      </c>
      <c r="F7864" t="s">
        <v>8236</v>
      </c>
    </row>
    <row r="7865" spans="1:6" x14ac:dyDescent="0.15">
      <c r="A7865">
        <v>12212167</v>
      </c>
      <c r="B7865">
        <v>12085075</v>
      </c>
      <c r="C7865" t="s">
        <v>163</v>
      </c>
      <c r="D7865" t="s">
        <v>114</v>
      </c>
      <c r="E7865" s="4" t="str">
        <f>HYPERLINK("https://ibp.a2mac1.com/costing(costing:projects/details/9760/equipment/12212167)","No.01 - Moulding - 500x400x250 - 10kg/Mould With Cooling &amp; Sand Recycling Sys ")</f>
        <v xml:space="preserve">No.01 - Moulding - 500x400x250 - 10kg/Mould With Cooling &amp; Sand Recycling Sys </v>
      </c>
      <c r="F7865" t="s">
        <v>8238</v>
      </c>
    </row>
    <row r="7866" spans="1:6" x14ac:dyDescent="0.15">
      <c r="A7866">
        <v>12085076</v>
      </c>
      <c r="B7866">
        <v>8415589</v>
      </c>
      <c r="C7866" t="s">
        <v>114</v>
      </c>
      <c r="D7866" t="s">
        <v>10</v>
      </c>
      <c r="E7866" s="4" t="str">
        <f>HYPERLINK("https://ibp.a2mac1.com/costing(costing:projects/details/9760/process/12085076)","SprueRemoval")</f>
        <v>SprueRemoval</v>
      </c>
      <c r="F7866" t="s">
        <v>8236</v>
      </c>
    </row>
    <row r="7867" spans="1:6" x14ac:dyDescent="0.15">
      <c r="A7867">
        <v>12212168</v>
      </c>
      <c r="B7867">
        <v>12085076</v>
      </c>
      <c r="C7867" t="s">
        <v>163</v>
      </c>
      <c r="D7867" t="s">
        <v>114</v>
      </c>
      <c r="E7867" s="4" t="str">
        <f>HYPERLINK("https://ibp.a2mac1.com/costing(costing:projects/details/9760/equipment/12212168)","No.01 - Headcutter - 500x400x400 - 15kg/Mould ")</f>
        <v xml:space="preserve">No.01 - Headcutter - 500x400x400 - 15kg/Mould </v>
      </c>
      <c r="F7867" t="s">
        <v>8239</v>
      </c>
    </row>
    <row r="7868" spans="1:6" x14ac:dyDescent="0.15">
      <c r="A7868">
        <v>12085077</v>
      </c>
      <c r="B7868">
        <v>8415589</v>
      </c>
      <c r="C7868" t="s">
        <v>114</v>
      </c>
      <c r="D7868" t="s">
        <v>10</v>
      </c>
      <c r="E7868" s="4" t="str">
        <f>HYPERLINK("https://ibp.a2mac1.com/costing(costing:projects/details/9760/process/12085077)","Trimming")</f>
        <v>Trimming</v>
      </c>
      <c r="F7868" t="s">
        <v>8236</v>
      </c>
    </row>
    <row r="7869" spans="1:6" x14ac:dyDescent="0.15">
      <c r="A7869">
        <v>12212169</v>
      </c>
      <c r="B7869">
        <v>12085077</v>
      </c>
      <c r="C7869" t="s">
        <v>163</v>
      </c>
      <c r="D7869" t="s">
        <v>114</v>
      </c>
      <c r="E7869" s="4" t="str">
        <f>HYPERLINK("https://ibp.a2mac1.com/costing(costing:projects/details/9760/equipment/12212169)","No.01 - Bodytrimming - 500x400x400 - 15kg/Mould ")</f>
        <v xml:space="preserve">No.01 - Bodytrimming - 500x400x400 - 15kg/Mould </v>
      </c>
      <c r="F7869" t="s">
        <v>8240</v>
      </c>
    </row>
    <row r="7870" spans="1:6" x14ac:dyDescent="0.15">
      <c r="A7870">
        <v>12085078</v>
      </c>
      <c r="B7870">
        <v>8415589</v>
      </c>
      <c r="C7870" t="s">
        <v>114</v>
      </c>
      <c r="D7870" t="s">
        <v>10</v>
      </c>
      <c r="E7870" s="4" t="str">
        <f>HYPERLINK("https://ibp.a2mac1.com/costing(costing:projects/details/9760/process/12085078)","DimChecking")</f>
        <v>DimChecking</v>
      </c>
      <c r="F7870" t="s">
        <v>8236</v>
      </c>
    </row>
    <row r="7871" spans="1:6" x14ac:dyDescent="0.15">
      <c r="A7871">
        <v>12212170</v>
      </c>
      <c r="B7871">
        <v>12085078</v>
      </c>
      <c r="C7871" t="s">
        <v>163</v>
      </c>
      <c r="D7871" t="s">
        <v>114</v>
      </c>
      <c r="E7871" s="4" t="str">
        <f>HYPERLINK("https://ibp.a2mac1.com/costing(costing:projects/details/9760/equipment/12212170)","No.01 - Dimchecking - 500x400x400 - 15kg/Mould ")</f>
        <v xml:space="preserve">No.01 - Dimchecking - 500x400x400 - 15kg/Mould </v>
      </c>
      <c r="F7871" t="s">
        <v>8241</v>
      </c>
    </row>
    <row r="7872" spans="1:6" x14ac:dyDescent="0.15">
      <c r="A7872">
        <v>12085079</v>
      </c>
      <c r="B7872">
        <v>8415589</v>
      </c>
      <c r="C7872" t="s">
        <v>114</v>
      </c>
      <c r="D7872" t="s">
        <v>10</v>
      </c>
      <c r="E7872" s="4" t="str">
        <f>HYPERLINK("https://ibp.a2mac1.com/costing(costing:projects/details/9760/process/12085079)","Checking")</f>
        <v>Checking</v>
      </c>
      <c r="F7872" t="s">
        <v>8236</v>
      </c>
    </row>
    <row r="7873" spans="1:6" x14ac:dyDescent="0.15">
      <c r="A7873">
        <v>12212171</v>
      </c>
      <c r="B7873">
        <v>12085079</v>
      </c>
      <c r="C7873" t="s">
        <v>163</v>
      </c>
      <c r="D7873" t="s">
        <v>114</v>
      </c>
      <c r="E7873" s="4" t="str">
        <f>HYPERLINK("https://ibp.a2mac1.com/costing(costing:projects/details/9760/equipment/12212171)","No.01 - 1600x1200x800  ")</f>
        <v xml:space="preserve">No.01 - 1600x1200x800  </v>
      </c>
      <c r="F7873" t="s">
        <v>8242</v>
      </c>
    </row>
    <row r="7874" spans="1:6" x14ac:dyDescent="0.15">
      <c r="A7874">
        <v>12085080</v>
      </c>
      <c r="B7874">
        <v>8415589</v>
      </c>
      <c r="C7874" t="s">
        <v>114</v>
      </c>
      <c r="D7874" t="s">
        <v>10</v>
      </c>
      <c r="E7874" s="4" t="str">
        <f>HYPERLINK("https://ibp.a2mac1.com/costing(costing:projects/details/9760/process/12085080)","CoreMolding3")</f>
        <v>CoreMolding3</v>
      </c>
      <c r="F7874" t="s">
        <v>8236</v>
      </c>
    </row>
    <row r="7875" spans="1:6" x14ac:dyDescent="0.15">
      <c r="A7875">
        <v>12212172</v>
      </c>
      <c r="B7875">
        <v>12085080</v>
      </c>
      <c r="C7875" t="s">
        <v>163</v>
      </c>
      <c r="D7875" t="s">
        <v>114</v>
      </c>
      <c r="E7875" s="4" t="str">
        <f>HYPERLINK("https://ibp.a2mac1.com/costing(costing:projects/details/9760/equipment/12212172)","No.03 - 350x320x120  ")</f>
        <v xml:space="preserve">No.03 - 350x320x120  </v>
      </c>
      <c r="F7875" t="s">
        <v>8243</v>
      </c>
    </row>
    <row r="7876" spans="1:6" x14ac:dyDescent="0.15">
      <c r="A7876">
        <v>8754301</v>
      </c>
      <c r="B7876">
        <v>8415577</v>
      </c>
      <c r="C7876" t="s">
        <v>311</v>
      </c>
      <c r="D7876" t="s">
        <v>8</v>
      </c>
      <c r="E7876" s="4" t="str">
        <f>HYPERLINK("https://ibp.a2mac1.com/costing(costing:projects/details/9760/component/8754301)","Screw &gt; Torx socket head cap screw")</f>
        <v>Screw &gt; Torx socket head cap screw</v>
      </c>
      <c r="F7876" t="s">
        <v>6896</v>
      </c>
    </row>
    <row r="7877" spans="1:6" x14ac:dyDescent="0.15">
      <c r="A7877">
        <v>8754302</v>
      </c>
      <c r="B7877">
        <v>8415577</v>
      </c>
      <c r="C7877" t="s">
        <v>311</v>
      </c>
      <c r="D7877" t="s">
        <v>8</v>
      </c>
      <c r="E7877" s="4" t="str">
        <f>HYPERLINK("https://ibp.a2mac1.com/costing(costing:projects/details/9760/component/8754302)","Screw &gt; Torx socket head cap screw")</f>
        <v>Screw &gt; Torx socket head cap screw</v>
      </c>
      <c r="F7877" t="s">
        <v>6896</v>
      </c>
    </row>
    <row r="7878" spans="1:6" x14ac:dyDescent="0.15">
      <c r="A7878">
        <v>8415578</v>
      </c>
      <c r="B7878">
        <v>8415575</v>
      </c>
      <c r="C7878" t="s">
        <v>8</v>
      </c>
      <c r="D7878" t="s">
        <v>8</v>
      </c>
      <c r="E7878" s="4" t="str">
        <f>HYPERLINK("https://ibp.a2mac1.com/costing(costing:projects/details/9760/assembly/8415578)","Fenders")</f>
        <v>Fenders</v>
      </c>
      <c r="F7878" t="s">
        <v>4952</v>
      </c>
    </row>
    <row r="7879" spans="1:6" x14ac:dyDescent="0.15">
      <c r="A7879">
        <v>8415607</v>
      </c>
      <c r="B7879">
        <v>8415578</v>
      </c>
      <c r="C7879" t="s">
        <v>8</v>
      </c>
      <c r="D7879" t="s">
        <v>8</v>
      </c>
      <c r="E7879" s="4" t="str">
        <f>HYPERLINK("https://ibp.a2mac1.com/costing(costing:projects/details/9760/assembly/8415607)","Front Fenders")</f>
        <v>Front Fenders</v>
      </c>
      <c r="F7879" t="s">
        <v>8246</v>
      </c>
    </row>
    <row r="7880" spans="1:6" x14ac:dyDescent="0.15">
      <c r="A7880">
        <v>8415760</v>
      </c>
      <c r="B7880">
        <v>8415607</v>
      </c>
      <c r="C7880" t="s">
        <v>8</v>
      </c>
      <c r="D7880" t="s">
        <v>8</v>
      </c>
      <c r="E7880" s="4" t="str">
        <f>HYPERLINK("https://ibp.a2mac1.com/costing(costing:projects/details/9760/assembly/8415760)","Left Fender")</f>
        <v>Left Fender</v>
      </c>
      <c r="F7880" t="s">
        <v>8247</v>
      </c>
    </row>
    <row r="7881" spans="1:6" x14ac:dyDescent="0.15">
      <c r="A7881">
        <v>8416074</v>
      </c>
      <c r="B7881">
        <v>8415760</v>
      </c>
      <c r="C7881" t="s">
        <v>10</v>
      </c>
      <c r="D7881" t="s">
        <v>8</v>
      </c>
      <c r="E7881" s="4" t="str">
        <f>HYPERLINK("https://ibp.a2mac1.com/costing(costing:projects/details/9760/part/8416074)","Panel&gt;Part 02")</f>
        <v>Panel&gt;Part 02</v>
      </c>
      <c r="F7881" t="s">
        <v>8248</v>
      </c>
    </row>
    <row r="7882" spans="1:6" x14ac:dyDescent="0.15">
      <c r="A7882">
        <v>12085378</v>
      </c>
      <c r="B7882">
        <v>8416074</v>
      </c>
      <c r="C7882" t="s">
        <v>114</v>
      </c>
      <c r="D7882" t="s">
        <v>10</v>
      </c>
      <c r="E7882" s="4" t="str">
        <f>HYPERLINK("https://ibp.a2mac1.com/costing(costing:projects/details/9760/process/12085378)","MANUFACTURING  PROCESS")</f>
        <v>MANUFACTURING  PROCESS</v>
      </c>
      <c r="F7882" t="s">
        <v>8249</v>
      </c>
    </row>
    <row r="7883" spans="1:6" x14ac:dyDescent="0.15">
      <c r="A7883">
        <v>8755047</v>
      </c>
      <c r="B7883">
        <v>12085378</v>
      </c>
      <c r="C7883" t="s">
        <v>22</v>
      </c>
      <c r="D7883" t="s">
        <v>114</v>
      </c>
      <c r="E7883" s="4" t="str">
        <f>HYPERLINK("https://ibp.a2mac1.com/costing(costing:projects/details/9760/material/8755047)","Standard Structural Steel sheet")</f>
        <v>Standard Structural Steel sheet</v>
      </c>
      <c r="F7883" t="s">
        <v>8252</v>
      </c>
    </row>
    <row r="7884" spans="1:6" x14ac:dyDescent="0.15">
      <c r="A7884">
        <v>12212474</v>
      </c>
      <c r="B7884">
        <v>12085378</v>
      </c>
      <c r="C7884" t="s">
        <v>163</v>
      </c>
      <c r="D7884" t="s">
        <v>114</v>
      </c>
      <c r="E7884" s="4" t="str">
        <f>HYPERLINK("https://ibp.a2mac1.com/costing(costing:projects/details/9760/equipment/12212474)","Manufacturing Equipment")</f>
        <v>Manufacturing Equipment</v>
      </c>
      <c r="F7884" t="s">
        <v>8252</v>
      </c>
    </row>
    <row r="7885" spans="1:6" x14ac:dyDescent="0.15">
      <c r="A7885">
        <v>8416075</v>
      </c>
      <c r="B7885">
        <v>8415760</v>
      </c>
      <c r="C7885" t="s">
        <v>10</v>
      </c>
      <c r="D7885" t="s">
        <v>8</v>
      </c>
      <c r="E7885" s="4" t="str">
        <f>HYPERLINK("https://ibp.a2mac1.com/costing(costing:projects/details/9760/part/8416075)","Reinforcements&gt;Part 01 (single/main)")</f>
        <v>Reinforcements&gt;Part 01 (single/main)</v>
      </c>
      <c r="F7885" t="s">
        <v>8248</v>
      </c>
    </row>
    <row r="7886" spans="1:6" x14ac:dyDescent="0.15">
      <c r="A7886">
        <v>12085379</v>
      </c>
      <c r="B7886">
        <v>8416075</v>
      </c>
      <c r="C7886" t="s">
        <v>114</v>
      </c>
      <c r="D7886" t="s">
        <v>10</v>
      </c>
      <c r="E7886" s="4" t="str">
        <f>HYPERLINK("https://ibp.a2mac1.com/costing(costing:projects/details/9760/process/12085379)","MANUFACTURING  PROCESS")</f>
        <v>MANUFACTURING  PROCESS</v>
      </c>
      <c r="F7886" t="s">
        <v>8253</v>
      </c>
    </row>
    <row r="7887" spans="1:6" x14ac:dyDescent="0.15">
      <c r="A7887">
        <v>8755048</v>
      </c>
      <c r="B7887">
        <v>12085379</v>
      </c>
      <c r="C7887" t="s">
        <v>22</v>
      </c>
      <c r="D7887" t="s">
        <v>114</v>
      </c>
      <c r="E7887" s="4" t="str">
        <f>HYPERLINK("https://ibp.a2mac1.com/costing(costing:projects/details/9760/material/8755048)","Standard Structural Steel sheet")</f>
        <v>Standard Structural Steel sheet</v>
      </c>
      <c r="F7887" t="s">
        <v>8255</v>
      </c>
    </row>
    <row r="7888" spans="1:6" x14ac:dyDescent="0.15">
      <c r="A7888">
        <v>12212475</v>
      </c>
      <c r="B7888">
        <v>12085379</v>
      </c>
      <c r="C7888" t="s">
        <v>163</v>
      </c>
      <c r="D7888" t="s">
        <v>114</v>
      </c>
      <c r="E7888" s="4" t="str">
        <f>HYPERLINK("https://ibp.a2mac1.com/costing(costing:projects/details/9760/equipment/12212475)","Manufacturing Equipment")</f>
        <v>Manufacturing Equipment</v>
      </c>
      <c r="F7888" t="s">
        <v>8255</v>
      </c>
    </row>
    <row r="7889" spans="1:6" x14ac:dyDescent="0.15">
      <c r="A7889">
        <v>8416076</v>
      </c>
      <c r="B7889">
        <v>8415760</v>
      </c>
      <c r="C7889" t="s">
        <v>10</v>
      </c>
      <c r="D7889" t="s">
        <v>8</v>
      </c>
      <c r="E7889" s="4" t="str">
        <f>HYPERLINK("https://ibp.a2mac1.com/costing(costing:projects/details/9760/part/8416076)","Reinforcements&gt;Part 02")</f>
        <v>Reinforcements&gt;Part 02</v>
      </c>
      <c r="F7889" t="s">
        <v>8248</v>
      </c>
    </row>
    <row r="7890" spans="1:6" x14ac:dyDescent="0.15">
      <c r="A7890">
        <v>12085380</v>
      </c>
      <c r="B7890">
        <v>8416076</v>
      </c>
      <c r="C7890" t="s">
        <v>114</v>
      </c>
      <c r="D7890" t="s">
        <v>10</v>
      </c>
      <c r="E7890" s="4" t="str">
        <f>HYPERLINK("https://ibp.a2mac1.com/costing(costing:projects/details/9760/process/12085380)","MANUFACTURING  PROCESS")</f>
        <v>MANUFACTURING  PROCESS</v>
      </c>
      <c r="F7890" t="s">
        <v>8256</v>
      </c>
    </row>
    <row r="7891" spans="1:6" x14ac:dyDescent="0.15">
      <c r="A7891">
        <v>8755049</v>
      </c>
      <c r="B7891">
        <v>12085380</v>
      </c>
      <c r="C7891" t="s">
        <v>22</v>
      </c>
      <c r="D7891" t="s">
        <v>114</v>
      </c>
      <c r="E7891" s="4" t="str">
        <f>HYPERLINK("https://ibp.a2mac1.com/costing(costing:projects/details/9760/material/8755049)","Standard Structural Steel sheet")</f>
        <v>Standard Structural Steel sheet</v>
      </c>
      <c r="F7891" t="s">
        <v>8258</v>
      </c>
    </row>
    <row r="7892" spans="1:6" x14ac:dyDescent="0.15">
      <c r="A7892">
        <v>12212476</v>
      </c>
      <c r="B7892">
        <v>12085380</v>
      </c>
      <c r="C7892" t="s">
        <v>163</v>
      </c>
      <c r="D7892" t="s">
        <v>114</v>
      </c>
      <c r="E7892" s="4" t="str">
        <f>HYPERLINK("https://ibp.a2mac1.com/costing(costing:projects/details/9760/equipment/12212476)","Manufacturing Equipment")</f>
        <v>Manufacturing Equipment</v>
      </c>
      <c r="F7892" t="s">
        <v>8258</v>
      </c>
    </row>
    <row r="7893" spans="1:6" x14ac:dyDescent="0.15">
      <c r="A7893">
        <v>8416077</v>
      </c>
      <c r="B7893">
        <v>8415760</v>
      </c>
      <c r="C7893" t="s">
        <v>10</v>
      </c>
      <c r="D7893" t="s">
        <v>8</v>
      </c>
      <c r="E7893" s="4" t="str">
        <f>HYPERLINK("https://ibp.a2mac1.com/costing(costing:projects/details/9760/part/8416077)","Fixing parts&gt;Part 01 (single/main)")</f>
        <v>Fixing parts&gt;Part 01 (single/main)</v>
      </c>
      <c r="F7893" t="s">
        <v>8248</v>
      </c>
    </row>
    <row r="7894" spans="1:6" x14ac:dyDescent="0.15">
      <c r="A7894">
        <v>12085381</v>
      </c>
      <c r="B7894">
        <v>8416077</v>
      </c>
      <c r="C7894" t="s">
        <v>114</v>
      </c>
      <c r="D7894" t="s">
        <v>10</v>
      </c>
      <c r="E7894" s="4" t="str">
        <f>HYPERLINK("https://ibp.a2mac1.com/costing(costing:projects/details/9760/process/12085381)","MANUFACTURING  PROCESS")</f>
        <v>MANUFACTURING  PROCESS</v>
      </c>
      <c r="F7894" t="s">
        <v>8259</v>
      </c>
    </row>
    <row r="7895" spans="1:6" x14ac:dyDescent="0.15">
      <c r="A7895">
        <v>8755050</v>
      </c>
      <c r="B7895">
        <v>12085381</v>
      </c>
      <c r="C7895" t="s">
        <v>22</v>
      </c>
      <c r="D7895" t="s">
        <v>114</v>
      </c>
      <c r="E7895" s="4" t="str">
        <f>HYPERLINK("https://ibp.a2mac1.com/costing(costing:projects/details/9760/material/8755050)","Standard Structural Steel sheet")</f>
        <v>Standard Structural Steel sheet</v>
      </c>
      <c r="F7895" t="s">
        <v>8261</v>
      </c>
    </row>
    <row r="7896" spans="1:6" x14ac:dyDescent="0.15">
      <c r="A7896">
        <v>12212477</v>
      </c>
      <c r="B7896">
        <v>12085381</v>
      </c>
      <c r="C7896" t="s">
        <v>163</v>
      </c>
      <c r="D7896" t="s">
        <v>114</v>
      </c>
      <c r="E7896" s="4" t="str">
        <f>HYPERLINK("https://ibp.a2mac1.com/costing(costing:projects/details/9760/equipment/12212477)","Manufacturing Equipment")</f>
        <v>Manufacturing Equipment</v>
      </c>
      <c r="F7896" t="s">
        <v>8261</v>
      </c>
    </row>
    <row r="7897" spans="1:6" x14ac:dyDescent="0.15">
      <c r="A7897">
        <v>8416078</v>
      </c>
      <c r="B7897">
        <v>8415760</v>
      </c>
      <c r="C7897" t="s">
        <v>10</v>
      </c>
      <c r="D7897" t="s">
        <v>8</v>
      </c>
      <c r="E7897" s="4" t="str">
        <f>HYPERLINK("https://ibp.a2mac1.com/costing(costing:projects/details/9760/part/8416078)","Fixing parts&gt;Part 02")</f>
        <v>Fixing parts&gt;Part 02</v>
      </c>
      <c r="F7897" t="s">
        <v>8248</v>
      </c>
    </row>
    <row r="7898" spans="1:6" x14ac:dyDescent="0.15">
      <c r="A7898">
        <v>12085382</v>
      </c>
      <c r="B7898">
        <v>8416078</v>
      </c>
      <c r="C7898" t="s">
        <v>114</v>
      </c>
      <c r="D7898" t="s">
        <v>10</v>
      </c>
      <c r="E7898" s="4" t="str">
        <f>HYPERLINK("https://ibp.a2mac1.com/costing(costing:projects/details/9760/process/12085382)","MANUFACTURING  PROCESS")</f>
        <v>MANUFACTURING  PROCESS</v>
      </c>
      <c r="F7898" t="s">
        <v>8262</v>
      </c>
    </row>
    <row r="7899" spans="1:6" x14ac:dyDescent="0.15">
      <c r="A7899">
        <v>8755051</v>
      </c>
      <c r="B7899">
        <v>12085382</v>
      </c>
      <c r="C7899" t="s">
        <v>22</v>
      </c>
      <c r="D7899" t="s">
        <v>114</v>
      </c>
      <c r="E7899" s="4" t="str">
        <f>HYPERLINK("https://ibp.a2mac1.com/costing(costing:projects/details/9760/material/8755051)","Standard Structural Steel sheet")</f>
        <v>Standard Structural Steel sheet</v>
      </c>
      <c r="F7899" t="s">
        <v>8265</v>
      </c>
    </row>
    <row r="7900" spans="1:6" x14ac:dyDescent="0.15">
      <c r="A7900">
        <v>12212478</v>
      </c>
      <c r="B7900">
        <v>12085382</v>
      </c>
      <c r="C7900" t="s">
        <v>163</v>
      </c>
      <c r="D7900" t="s">
        <v>114</v>
      </c>
      <c r="E7900" s="4" t="str">
        <f>HYPERLINK("https://ibp.a2mac1.com/costing(costing:projects/details/9760/equipment/12212478)","Manufacturing Equipment")</f>
        <v>Manufacturing Equipment</v>
      </c>
      <c r="F7900" t="s">
        <v>8265</v>
      </c>
    </row>
    <row r="7901" spans="1:6" x14ac:dyDescent="0.15">
      <c r="A7901">
        <v>8416079</v>
      </c>
      <c r="B7901">
        <v>8415760</v>
      </c>
      <c r="C7901" t="s">
        <v>10</v>
      </c>
      <c r="D7901" t="s">
        <v>8</v>
      </c>
      <c r="E7901" s="4" t="str">
        <f>HYPERLINK("https://ibp.a2mac1.com/costing(costing:projects/details/9760/part/8416079)","Fixing parts&gt;Part 03")</f>
        <v>Fixing parts&gt;Part 03</v>
      </c>
      <c r="F7901" t="s">
        <v>8248</v>
      </c>
    </row>
    <row r="7902" spans="1:6" x14ac:dyDescent="0.15">
      <c r="A7902">
        <v>12085383</v>
      </c>
      <c r="B7902">
        <v>8416079</v>
      </c>
      <c r="C7902" t="s">
        <v>114</v>
      </c>
      <c r="D7902" t="s">
        <v>10</v>
      </c>
      <c r="E7902" s="4" t="str">
        <f>HYPERLINK("https://ibp.a2mac1.com/costing(costing:projects/details/9760/process/12085383)","MANUFACTURING  PROCESS")</f>
        <v>MANUFACTURING  PROCESS</v>
      </c>
      <c r="F7902" t="s">
        <v>8266</v>
      </c>
    </row>
    <row r="7903" spans="1:6" x14ac:dyDescent="0.15">
      <c r="A7903">
        <v>8755052</v>
      </c>
      <c r="B7903">
        <v>12085383</v>
      </c>
      <c r="C7903" t="s">
        <v>22</v>
      </c>
      <c r="D7903" t="s">
        <v>114</v>
      </c>
      <c r="E7903" s="4" t="str">
        <f>HYPERLINK("https://ibp.a2mac1.com/costing(costing:projects/details/9760/material/8755052)","Standard Structural Steel sheet")</f>
        <v>Standard Structural Steel sheet</v>
      </c>
      <c r="F7903" t="s">
        <v>8268</v>
      </c>
    </row>
    <row r="7904" spans="1:6" x14ac:dyDescent="0.15">
      <c r="A7904">
        <v>12212479</v>
      </c>
      <c r="B7904">
        <v>12085383</v>
      </c>
      <c r="C7904" t="s">
        <v>163</v>
      </c>
      <c r="D7904" t="s">
        <v>114</v>
      </c>
      <c r="E7904" s="4" t="str">
        <f>HYPERLINK("https://ibp.a2mac1.com/costing(costing:projects/details/9760/equipment/12212479)","Manufacturing Equipment")</f>
        <v>Manufacturing Equipment</v>
      </c>
      <c r="F7904" t="s">
        <v>8268</v>
      </c>
    </row>
    <row r="7905" spans="1:6" x14ac:dyDescent="0.15">
      <c r="A7905">
        <v>8416080</v>
      </c>
      <c r="B7905">
        <v>8415760</v>
      </c>
      <c r="C7905" t="s">
        <v>10</v>
      </c>
      <c r="D7905" t="s">
        <v>8</v>
      </c>
      <c r="E7905" s="4" t="str">
        <f>HYPERLINK("https://ibp.a2mac1.com/costing(costing:projects/details/9760/part/8416080)","Panel&gt;Part 01 (single/main/front)")</f>
        <v>Panel&gt;Part 01 (single/main/front)</v>
      </c>
      <c r="F7905" t="s">
        <v>8248</v>
      </c>
    </row>
    <row r="7906" spans="1:6" x14ac:dyDescent="0.15">
      <c r="A7906">
        <v>12085384</v>
      </c>
      <c r="B7906">
        <v>8416080</v>
      </c>
      <c r="C7906" t="s">
        <v>114</v>
      </c>
      <c r="D7906" t="s">
        <v>10</v>
      </c>
      <c r="E7906" s="4" t="str">
        <f>HYPERLINK("https://ibp.a2mac1.com/costing(costing:projects/details/9760/process/12085384)","MANUFACTURING  PROCESS")</f>
        <v>MANUFACTURING  PROCESS</v>
      </c>
      <c r="F7906" t="s">
        <v>8269</v>
      </c>
    </row>
    <row r="7907" spans="1:6" x14ac:dyDescent="0.15">
      <c r="A7907">
        <v>8755053</v>
      </c>
      <c r="B7907">
        <v>12085384</v>
      </c>
      <c r="C7907" t="s">
        <v>22</v>
      </c>
      <c r="D7907" t="s">
        <v>114</v>
      </c>
      <c r="E7907" s="4" t="str">
        <f>HYPERLINK("https://ibp.a2mac1.com/costing(costing:projects/details/9760/material/8755053)","Standard Structural Steel sheet")</f>
        <v>Standard Structural Steel sheet</v>
      </c>
      <c r="F7907" t="s">
        <v>8272</v>
      </c>
    </row>
    <row r="7908" spans="1:6" x14ac:dyDescent="0.15">
      <c r="A7908">
        <v>12212480</v>
      </c>
      <c r="B7908">
        <v>12085384</v>
      </c>
      <c r="C7908" t="s">
        <v>163</v>
      </c>
      <c r="D7908" t="s">
        <v>114</v>
      </c>
      <c r="E7908" s="4" t="str">
        <f>HYPERLINK("https://ibp.a2mac1.com/costing(costing:projects/details/9760/equipment/12212480)","Manufacturing Equipment")</f>
        <v>Manufacturing Equipment</v>
      </c>
      <c r="F7908" t="s">
        <v>8272</v>
      </c>
    </row>
    <row r="7909" spans="1:6" x14ac:dyDescent="0.15">
      <c r="A7909">
        <v>12085163</v>
      </c>
      <c r="B7909">
        <v>8415760</v>
      </c>
      <c r="C7909" t="s">
        <v>114</v>
      </c>
      <c r="D7909" t="s">
        <v>8</v>
      </c>
      <c r="E7909" s="4" t="str">
        <f>HYPERLINK("https://ibp.a2mac1.com/costing(costing:projects/details/9760/process/12085163)","Painting")</f>
        <v>Painting</v>
      </c>
      <c r="F7909" t="s">
        <v>8248</v>
      </c>
    </row>
    <row r="7910" spans="1:6" x14ac:dyDescent="0.15">
      <c r="A7910">
        <v>8754660</v>
      </c>
      <c r="B7910">
        <v>12085163</v>
      </c>
      <c r="C7910" t="s">
        <v>22</v>
      </c>
      <c r="D7910" t="s">
        <v>114</v>
      </c>
      <c r="E7910" s="4" t="str">
        <f>HYPERLINK("https://ibp.a2mac1.com/costing(costing:projects/details/9760/material/8754660)","Paint - Base")</f>
        <v>Paint - Base</v>
      </c>
      <c r="F7910" t="s">
        <v>8274</v>
      </c>
    </row>
    <row r="7911" spans="1:6" x14ac:dyDescent="0.15">
      <c r="A7911">
        <v>8754661</v>
      </c>
      <c r="B7911">
        <v>12085163</v>
      </c>
      <c r="C7911" t="s">
        <v>22</v>
      </c>
      <c r="D7911" t="s">
        <v>114</v>
      </c>
      <c r="E7911" s="4" t="str">
        <f>HYPERLINK("https://ibp.a2mac1.com/costing(costing:projects/details/9760/material/8754661)","Paint - Primer")</f>
        <v>Paint - Primer</v>
      </c>
      <c r="F7911" t="s">
        <v>8274</v>
      </c>
    </row>
    <row r="7912" spans="1:6" x14ac:dyDescent="0.15">
      <c r="A7912">
        <v>8754662</v>
      </c>
      <c r="B7912">
        <v>12085163</v>
      </c>
      <c r="C7912" t="s">
        <v>22</v>
      </c>
      <c r="D7912" t="s">
        <v>114</v>
      </c>
      <c r="E7912" s="4" t="str">
        <f>HYPERLINK("https://ibp.a2mac1.com/costing(costing:projects/details/9760/material/8754662)","Paint - Clear Coat")</f>
        <v>Paint - Clear Coat</v>
      </c>
      <c r="F7912" t="s">
        <v>8274</v>
      </c>
    </row>
    <row r="7913" spans="1:6" x14ac:dyDescent="0.15">
      <c r="A7913">
        <v>12212255</v>
      </c>
      <c r="B7913">
        <v>12085163</v>
      </c>
      <c r="C7913" t="s">
        <v>163</v>
      </c>
      <c r="D7913" t="s">
        <v>114</v>
      </c>
      <c r="E7913" s="4" t="str">
        <f>HYPERLINK("https://ibp.a2mac1.com/costing(costing:projects/details/9760/equipment/12212255)","No.04 - 60000x6000x3500 - Automatic Painting Line - with 12x100kW on line ovens ")</f>
        <v xml:space="preserve">No.04 - 60000x6000x3500 - Automatic Painting Line - with 12x100kW on line ovens </v>
      </c>
      <c r="F7913" t="s">
        <v>8274</v>
      </c>
    </row>
    <row r="7914" spans="1:6" x14ac:dyDescent="0.15">
      <c r="A7914">
        <v>12212256</v>
      </c>
      <c r="B7914">
        <v>12085163</v>
      </c>
      <c r="C7914" t="s">
        <v>163</v>
      </c>
      <c r="D7914" t="s">
        <v>114</v>
      </c>
      <c r="E7914" s="4" t="str">
        <f>HYPERLINK("https://ibp.a2mac1.com/costing(costing:projects/details/9760/equipment/12212256)","Loading + Unloading, Retouching, Checking")</f>
        <v>Loading + Unloading, Retouching, Checking</v>
      </c>
      <c r="F7914" t="s">
        <v>8274</v>
      </c>
    </row>
    <row r="7915" spans="1:6" x14ac:dyDescent="0.15">
      <c r="A7915">
        <v>12085162</v>
      </c>
      <c r="B7915">
        <v>8415760</v>
      </c>
      <c r="C7915" t="s">
        <v>114</v>
      </c>
      <c r="D7915" t="s">
        <v>8</v>
      </c>
      <c r="E7915" s="4" t="str">
        <f>HYPERLINK("https://ibp.a2mac1.com/costing(costing:projects/details/9760/process/12085162)","Assembly")</f>
        <v>Assembly</v>
      </c>
      <c r="F7915" t="s">
        <v>8248</v>
      </c>
    </row>
    <row r="7916" spans="1:6" x14ac:dyDescent="0.15">
      <c r="A7916">
        <v>12212254</v>
      </c>
      <c r="B7916">
        <v>12085162</v>
      </c>
      <c r="C7916" t="s">
        <v>163</v>
      </c>
      <c r="D7916" t="s">
        <v>114</v>
      </c>
      <c r="E7916" s="4" t="str">
        <f>HYPERLINK("https://ibp.a2mac1.com/costing(costing:projects/details/9760/equipment/12212254)","Assembly Station ")</f>
        <v xml:space="preserve">Assembly Station </v>
      </c>
      <c r="F7916" t="s">
        <v>8275</v>
      </c>
    </row>
    <row r="7917" spans="1:6" x14ac:dyDescent="0.15">
      <c r="A7917">
        <v>8415761</v>
      </c>
      <c r="B7917">
        <v>8415607</v>
      </c>
      <c r="C7917" t="s">
        <v>8</v>
      </c>
      <c r="D7917" t="s">
        <v>8</v>
      </c>
      <c r="E7917" s="4" t="str">
        <f>HYPERLINK("https://ibp.a2mac1.com/costing(costing:projects/details/9760/assembly/8415761)","Right Fender")</f>
        <v>Right Fender</v>
      </c>
      <c r="F7917" t="s">
        <v>8247</v>
      </c>
    </row>
    <row r="7918" spans="1:6" x14ac:dyDescent="0.15">
      <c r="A7918">
        <v>8416081</v>
      </c>
      <c r="B7918">
        <v>8415761</v>
      </c>
      <c r="C7918" t="s">
        <v>10</v>
      </c>
      <c r="D7918" t="s">
        <v>8</v>
      </c>
      <c r="E7918" s="4" t="str">
        <f>HYPERLINK("https://ibp.a2mac1.com/costing(costing:projects/details/9760/part/8416081)","Panel&gt;Part 02")</f>
        <v>Panel&gt;Part 02</v>
      </c>
      <c r="F7918" t="s">
        <v>8278</v>
      </c>
    </row>
    <row r="7919" spans="1:6" x14ac:dyDescent="0.15">
      <c r="A7919">
        <v>12085385</v>
      </c>
      <c r="B7919">
        <v>8416081</v>
      </c>
      <c r="C7919" t="s">
        <v>114</v>
      </c>
      <c r="D7919" t="s">
        <v>10</v>
      </c>
      <c r="E7919" s="4" t="str">
        <f>HYPERLINK("https://ibp.a2mac1.com/costing(costing:projects/details/9760/process/12085385)","MANUFACTURING  PROCESS")</f>
        <v>MANUFACTURING  PROCESS</v>
      </c>
      <c r="F7919" t="s">
        <v>8279</v>
      </c>
    </row>
    <row r="7920" spans="1:6" x14ac:dyDescent="0.15">
      <c r="A7920">
        <v>8755054</v>
      </c>
      <c r="B7920">
        <v>12085385</v>
      </c>
      <c r="C7920" t="s">
        <v>22</v>
      </c>
      <c r="D7920" t="s">
        <v>114</v>
      </c>
      <c r="E7920" s="4" t="str">
        <f>HYPERLINK("https://ibp.a2mac1.com/costing(costing:projects/details/9760/material/8755054)","Standard Structural Steel sheet")</f>
        <v>Standard Structural Steel sheet</v>
      </c>
      <c r="F7920" t="s">
        <v>8280</v>
      </c>
    </row>
    <row r="7921" spans="1:6" x14ac:dyDescent="0.15">
      <c r="A7921">
        <v>12212481</v>
      </c>
      <c r="B7921">
        <v>12085385</v>
      </c>
      <c r="C7921" t="s">
        <v>163</v>
      </c>
      <c r="D7921" t="s">
        <v>114</v>
      </c>
      <c r="E7921" s="4" t="str">
        <f>HYPERLINK("https://ibp.a2mac1.com/costing(costing:projects/details/9760/equipment/12212481)","Manufacturing Equipment")</f>
        <v>Manufacturing Equipment</v>
      </c>
      <c r="F7921" t="s">
        <v>8280</v>
      </c>
    </row>
    <row r="7922" spans="1:6" x14ac:dyDescent="0.15">
      <c r="A7922">
        <v>8416082</v>
      </c>
      <c r="B7922">
        <v>8415761</v>
      </c>
      <c r="C7922" t="s">
        <v>10</v>
      </c>
      <c r="D7922" t="s">
        <v>8</v>
      </c>
      <c r="E7922" s="4" t="str">
        <f>HYPERLINK("https://ibp.a2mac1.com/costing(costing:projects/details/9760/part/8416082)","Reinforcements&gt;Part 01 (single/main)")</f>
        <v>Reinforcements&gt;Part 01 (single/main)</v>
      </c>
      <c r="F7922" t="s">
        <v>8278</v>
      </c>
    </row>
    <row r="7923" spans="1:6" x14ac:dyDescent="0.15">
      <c r="A7923">
        <v>12085386</v>
      </c>
      <c r="B7923">
        <v>8416082</v>
      </c>
      <c r="C7923" t="s">
        <v>114</v>
      </c>
      <c r="D7923" t="s">
        <v>10</v>
      </c>
      <c r="E7923" s="4" t="str">
        <f>HYPERLINK("https://ibp.a2mac1.com/costing(costing:projects/details/9760/process/12085386)","MANUFACTURING  PROCESS")</f>
        <v>MANUFACTURING  PROCESS</v>
      </c>
      <c r="F7923" t="s">
        <v>8281</v>
      </c>
    </row>
    <row r="7924" spans="1:6" x14ac:dyDescent="0.15">
      <c r="A7924">
        <v>8755055</v>
      </c>
      <c r="B7924">
        <v>12085386</v>
      </c>
      <c r="C7924" t="s">
        <v>22</v>
      </c>
      <c r="D7924" t="s">
        <v>114</v>
      </c>
      <c r="E7924" s="4" t="str">
        <f>HYPERLINK("https://ibp.a2mac1.com/costing(costing:projects/details/9760/material/8755055)","Standard Structural Steel sheet")</f>
        <v>Standard Structural Steel sheet</v>
      </c>
      <c r="F7924" t="s">
        <v>8282</v>
      </c>
    </row>
    <row r="7925" spans="1:6" x14ac:dyDescent="0.15">
      <c r="A7925">
        <v>12212482</v>
      </c>
      <c r="B7925">
        <v>12085386</v>
      </c>
      <c r="C7925" t="s">
        <v>163</v>
      </c>
      <c r="D7925" t="s">
        <v>114</v>
      </c>
      <c r="E7925" s="4" t="str">
        <f>HYPERLINK("https://ibp.a2mac1.com/costing(costing:projects/details/9760/equipment/12212482)","Manufacturing Equipment")</f>
        <v>Manufacturing Equipment</v>
      </c>
      <c r="F7925" t="s">
        <v>8282</v>
      </c>
    </row>
    <row r="7926" spans="1:6" x14ac:dyDescent="0.15">
      <c r="A7926">
        <v>8416083</v>
      </c>
      <c r="B7926">
        <v>8415761</v>
      </c>
      <c r="C7926" t="s">
        <v>10</v>
      </c>
      <c r="D7926" t="s">
        <v>8</v>
      </c>
      <c r="E7926" s="4" t="str">
        <f>HYPERLINK("https://ibp.a2mac1.com/costing(costing:projects/details/9760/part/8416083)","Reinforcements&gt;Part 02")</f>
        <v>Reinforcements&gt;Part 02</v>
      </c>
      <c r="F7926" t="s">
        <v>8278</v>
      </c>
    </row>
    <row r="7927" spans="1:6" x14ac:dyDescent="0.15">
      <c r="A7927">
        <v>12085387</v>
      </c>
      <c r="B7927">
        <v>8416083</v>
      </c>
      <c r="C7927" t="s">
        <v>114</v>
      </c>
      <c r="D7927" t="s">
        <v>10</v>
      </c>
      <c r="E7927" s="4" t="str">
        <f>HYPERLINK("https://ibp.a2mac1.com/costing(costing:projects/details/9760/process/12085387)","MANUFACTURING  PROCESS")</f>
        <v>MANUFACTURING  PROCESS</v>
      </c>
      <c r="F7927" t="s">
        <v>8283</v>
      </c>
    </row>
    <row r="7928" spans="1:6" x14ac:dyDescent="0.15">
      <c r="A7928">
        <v>8755056</v>
      </c>
      <c r="B7928">
        <v>12085387</v>
      </c>
      <c r="C7928" t="s">
        <v>22</v>
      </c>
      <c r="D7928" t="s">
        <v>114</v>
      </c>
      <c r="E7928" s="4" t="str">
        <f>HYPERLINK("https://ibp.a2mac1.com/costing(costing:projects/details/9760/material/8755056)","Standard Structural Steel sheet")</f>
        <v>Standard Structural Steel sheet</v>
      </c>
      <c r="F7928" t="s">
        <v>8284</v>
      </c>
    </row>
    <row r="7929" spans="1:6" x14ac:dyDescent="0.15">
      <c r="A7929">
        <v>12212483</v>
      </c>
      <c r="B7929">
        <v>12085387</v>
      </c>
      <c r="C7929" t="s">
        <v>163</v>
      </c>
      <c r="D7929" t="s">
        <v>114</v>
      </c>
      <c r="E7929" s="4" t="str">
        <f>HYPERLINK("https://ibp.a2mac1.com/costing(costing:projects/details/9760/equipment/12212483)","Manufacturing Equipment")</f>
        <v>Manufacturing Equipment</v>
      </c>
      <c r="F7929" t="s">
        <v>8284</v>
      </c>
    </row>
    <row r="7930" spans="1:6" x14ac:dyDescent="0.15">
      <c r="A7930">
        <v>8416084</v>
      </c>
      <c r="B7930">
        <v>8415761</v>
      </c>
      <c r="C7930" t="s">
        <v>10</v>
      </c>
      <c r="D7930" t="s">
        <v>8</v>
      </c>
      <c r="E7930" s="4" t="str">
        <f>HYPERLINK("https://ibp.a2mac1.com/costing(costing:projects/details/9760/part/8416084)","Fixing parts&gt;Part 01 (single/main)")</f>
        <v>Fixing parts&gt;Part 01 (single/main)</v>
      </c>
      <c r="F7930" t="s">
        <v>8278</v>
      </c>
    </row>
    <row r="7931" spans="1:6" x14ac:dyDescent="0.15">
      <c r="A7931">
        <v>12085388</v>
      </c>
      <c r="B7931">
        <v>8416084</v>
      </c>
      <c r="C7931" t="s">
        <v>114</v>
      </c>
      <c r="D7931" t="s">
        <v>10</v>
      </c>
      <c r="E7931" s="4" t="str">
        <f>HYPERLINK("https://ibp.a2mac1.com/costing(costing:projects/details/9760/process/12085388)","MANUFACTURING  PROCESS")</f>
        <v>MANUFACTURING  PROCESS</v>
      </c>
      <c r="F7931" t="s">
        <v>8285</v>
      </c>
    </row>
    <row r="7932" spans="1:6" x14ac:dyDescent="0.15">
      <c r="A7932">
        <v>8755057</v>
      </c>
      <c r="B7932">
        <v>12085388</v>
      </c>
      <c r="C7932" t="s">
        <v>22</v>
      </c>
      <c r="D7932" t="s">
        <v>114</v>
      </c>
      <c r="E7932" s="4" t="str">
        <f>HYPERLINK("https://ibp.a2mac1.com/costing(costing:projects/details/9760/material/8755057)","Standard Structural Steel sheet")</f>
        <v>Standard Structural Steel sheet</v>
      </c>
      <c r="F7932" t="s">
        <v>8286</v>
      </c>
    </row>
    <row r="7933" spans="1:6" x14ac:dyDescent="0.15">
      <c r="A7933">
        <v>12212484</v>
      </c>
      <c r="B7933">
        <v>12085388</v>
      </c>
      <c r="C7933" t="s">
        <v>163</v>
      </c>
      <c r="D7933" t="s">
        <v>114</v>
      </c>
      <c r="E7933" s="4" t="str">
        <f>HYPERLINK("https://ibp.a2mac1.com/costing(costing:projects/details/9760/equipment/12212484)","Manufacturing Equipment")</f>
        <v>Manufacturing Equipment</v>
      </c>
      <c r="F7933" t="s">
        <v>8286</v>
      </c>
    </row>
    <row r="7934" spans="1:6" x14ac:dyDescent="0.15">
      <c r="A7934">
        <v>8416085</v>
      </c>
      <c r="B7934">
        <v>8415761</v>
      </c>
      <c r="C7934" t="s">
        <v>10</v>
      </c>
      <c r="D7934" t="s">
        <v>8</v>
      </c>
      <c r="E7934" s="4" t="str">
        <f>HYPERLINK("https://ibp.a2mac1.com/costing(costing:projects/details/9760/part/8416085)","Fixing parts&gt;Part 02")</f>
        <v>Fixing parts&gt;Part 02</v>
      </c>
      <c r="F7934" t="s">
        <v>8278</v>
      </c>
    </row>
    <row r="7935" spans="1:6" x14ac:dyDescent="0.15">
      <c r="A7935">
        <v>12085389</v>
      </c>
      <c r="B7935">
        <v>8416085</v>
      </c>
      <c r="C7935" t="s">
        <v>114</v>
      </c>
      <c r="D7935" t="s">
        <v>10</v>
      </c>
      <c r="E7935" s="4" t="str">
        <f>HYPERLINK("https://ibp.a2mac1.com/costing(costing:projects/details/9760/process/12085389)","MANUFACTURING  PROCESS")</f>
        <v>MANUFACTURING  PROCESS</v>
      </c>
      <c r="F7935" t="s">
        <v>8287</v>
      </c>
    </row>
    <row r="7936" spans="1:6" x14ac:dyDescent="0.15">
      <c r="A7936">
        <v>8755058</v>
      </c>
      <c r="B7936">
        <v>12085389</v>
      </c>
      <c r="C7936" t="s">
        <v>22</v>
      </c>
      <c r="D7936" t="s">
        <v>114</v>
      </c>
      <c r="E7936" s="4" t="str">
        <f>HYPERLINK("https://ibp.a2mac1.com/costing(costing:projects/details/9760/material/8755058)","Standard Structural Steel sheet")</f>
        <v>Standard Structural Steel sheet</v>
      </c>
      <c r="F7936" t="s">
        <v>8288</v>
      </c>
    </row>
    <row r="7937" spans="1:6" x14ac:dyDescent="0.15">
      <c r="A7937">
        <v>12212485</v>
      </c>
      <c r="B7937">
        <v>12085389</v>
      </c>
      <c r="C7937" t="s">
        <v>163</v>
      </c>
      <c r="D7937" t="s">
        <v>114</v>
      </c>
      <c r="E7937" s="4" t="str">
        <f>HYPERLINK("https://ibp.a2mac1.com/costing(costing:projects/details/9760/equipment/12212485)","Manufacturing Equipment")</f>
        <v>Manufacturing Equipment</v>
      </c>
      <c r="F7937" t="s">
        <v>8288</v>
      </c>
    </row>
    <row r="7938" spans="1:6" x14ac:dyDescent="0.15">
      <c r="A7938">
        <v>8416086</v>
      </c>
      <c r="B7938">
        <v>8415761</v>
      </c>
      <c r="C7938" t="s">
        <v>10</v>
      </c>
      <c r="D7938" t="s">
        <v>8</v>
      </c>
      <c r="E7938" s="4" t="str">
        <f>HYPERLINK("https://ibp.a2mac1.com/costing(costing:projects/details/9760/part/8416086)","Fixing parts&gt;Part 03")</f>
        <v>Fixing parts&gt;Part 03</v>
      </c>
      <c r="F7938" t="s">
        <v>8278</v>
      </c>
    </row>
    <row r="7939" spans="1:6" x14ac:dyDescent="0.15">
      <c r="A7939">
        <v>12085390</v>
      </c>
      <c r="B7939">
        <v>8416086</v>
      </c>
      <c r="C7939" t="s">
        <v>114</v>
      </c>
      <c r="D7939" t="s">
        <v>10</v>
      </c>
      <c r="E7939" s="4" t="str">
        <f>HYPERLINK("https://ibp.a2mac1.com/costing(costing:projects/details/9760/process/12085390)","MANUFACTURING  PROCESS")</f>
        <v>MANUFACTURING  PROCESS</v>
      </c>
      <c r="F7939" t="s">
        <v>8289</v>
      </c>
    </row>
    <row r="7940" spans="1:6" x14ac:dyDescent="0.15">
      <c r="A7940">
        <v>8755059</v>
      </c>
      <c r="B7940">
        <v>12085390</v>
      </c>
      <c r="C7940" t="s">
        <v>22</v>
      </c>
      <c r="D7940" t="s">
        <v>114</v>
      </c>
      <c r="E7940" s="4" t="str">
        <f>HYPERLINK("https://ibp.a2mac1.com/costing(costing:projects/details/9760/material/8755059)","Standard Structural Steel sheet")</f>
        <v>Standard Structural Steel sheet</v>
      </c>
      <c r="F7940" t="s">
        <v>8290</v>
      </c>
    </row>
    <row r="7941" spans="1:6" x14ac:dyDescent="0.15">
      <c r="A7941">
        <v>12212486</v>
      </c>
      <c r="B7941">
        <v>12085390</v>
      </c>
      <c r="C7941" t="s">
        <v>163</v>
      </c>
      <c r="D7941" t="s">
        <v>114</v>
      </c>
      <c r="E7941" s="4" t="str">
        <f>HYPERLINK("https://ibp.a2mac1.com/costing(costing:projects/details/9760/equipment/12212486)","Manufacturing Equipment")</f>
        <v>Manufacturing Equipment</v>
      </c>
      <c r="F7941" t="s">
        <v>8290</v>
      </c>
    </row>
    <row r="7942" spans="1:6" x14ac:dyDescent="0.15">
      <c r="A7942">
        <v>8416087</v>
      </c>
      <c r="B7942">
        <v>8415761</v>
      </c>
      <c r="C7942" t="s">
        <v>10</v>
      </c>
      <c r="D7942" t="s">
        <v>8</v>
      </c>
      <c r="E7942" s="4" t="str">
        <f>HYPERLINK("https://ibp.a2mac1.com/costing(costing:projects/details/9760/part/8416087)","Panel&gt;Part 01 (single/main/front)")</f>
        <v>Panel&gt;Part 01 (single/main/front)</v>
      </c>
      <c r="F7942" t="s">
        <v>8278</v>
      </c>
    </row>
    <row r="7943" spans="1:6" x14ac:dyDescent="0.15">
      <c r="A7943">
        <v>12085391</v>
      </c>
      <c r="B7943">
        <v>8416087</v>
      </c>
      <c r="C7943" t="s">
        <v>114</v>
      </c>
      <c r="D7943" t="s">
        <v>10</v>
      </c>
      <c r="E7943" s="4" t="str">
        <f>HYPERLINK("https://ibp.a2mac1.com/costing(costing:projects/details/9760/process/12085391)","MANUFACTURING  PROCESS")</f>
        <v>MANUFACTURING  PROCESS</v>
      </c>
      <c r="F7943" t="s">
        <v>8291</v>
      </c>
    </row>
    <row r="7944" spans="1:6" x14ac:dyDescent="0.15">
      <c r="A7944">
        <v>8755060</v>
      </c>
      <c r="B7944">
        <v>12085391</v>
      </c>
      <c r="C7944" t="s">
        <v>22</v>
      </c>
      <c r="D7944" t="s">
        <v>114</v>
      </c>
      <c r="E7944" s="4" t="str">
        <f>HYPERLINK("https://ibp.a2mac1.com/costing(costing:projects/details/9760/material/8755060)","Standard Structural Steel sheet")</f>
        <v>Standard Structural Steel sheet</v>
      </c>
      <c r="F7944" t="s">
        <v>8292</v>
      </c>
    </row>
    <row r="7945" spans="1:6" x14ac:dyDescent="0.15">
      <c r="A7945">
        <v>12212487</v>
      </c>
      <c r="B7945">
        <v>12085391</v>
      </c>
      <c r="C7945" t="s">
        <v>163</v>
      </c>
      <c r="D7945" t="s">
        <v>114</v>
      </c>
      <c r="E7945" s="4" t="str">
        <f>HYPERLINK("https://ibp.a2mac1.com/costing(costing:projects/details/9760/equipment/12212487)","Manufacturing Equipment")</f>
        <v>Manufacturing Equipment</v>
      </c>
      <c r="F7945" t="s">
        <v>8292</v>
      </c>
    </row>
    <row r="7946" spans="1:6" x14ac:dyDescent="0.15">
      <c r="A7946">
        <v>12085164</v>
      </c>
      <c r="B7946">
        <v>8415761</v>
      </c>
      <c r="C7946" t="s">
        <v>114</v>
      </c>
      <c r="D7946" t="s">
        <v>8</v>
      </c>
      <c r="E7946" s="4" t="str">
        <f>HYPERLINK("https://ibp.a2mac1.com/costing(costing:projects/details/9760/process/12085164)","Painting")</f>
        <v>Painting</v>
      </c>
      <c r="F7946" t="s">
        <v>8278</v>
      </c>
    </row>
    <row r="7947" spans="1:6" x14ac:dyDescent="0.15">
      <c r="A7947">
        <v>8754663</v>
      </c>
      <c r="B7947">
        <v>12085164</v>
      </c>
      <c r="C7947" t="s">
        <v>22</v>
      </c>
      <c r="D7947" t="s">
        <v>114</v>
      </c>
      <c r="E7947" s="4" t="str">
        <f>HYPERLINK("https://ibp.a2mac1.com/costing(costing:projects/details/9760/material/8754663)","Paint - Base")</f>
        <v>Paint - Base</v>
      </c>
      <c r="F7947" t="s">
        <v>8293</v>
      </c>
    </row>
    <row r="7948" spans="1:6" x14ac:dyDescent="0.15">
      <c r="A7948">
        <v>8754664</v>
      </c>
      <c r="B7948">
        <v>12085164</v>
      </c>
      <c r="C7948" t="s">
        <v>22</v>
      </c>
      <c r="D7948" t="s">
        <v>114</v>
      </c>
      <c r="E7948" s="4" t="str">
        <f>HYPERLINK("https://ibp.a2mac1.com/costing(costing:projects/details/9760/material/8754664)","Paint - Primer")</f>
        <v>Paint - Primer</v>
      </c>
      <c r="F7948" t="s">
        <v>8293</v>
      </c>
    </row>
    <row r="7949" spans="1:6" x14ac:dyDescent="0.15">
      <c r="A7949">
        <v>8754665</v>
      </c>
      <c r="B7949">
        <v>12085164</v>
      </c>
      <c r="C7949" t="s">
        <v>22</v>
      </c>
      <c r="D7949" t="s">
        <v>114</v>
      </c>
      <c r="E7949" s="4" t="str">
        <f>HYPERLINK("https://ibp.a2mac1.com/costing(costing:projects/details/9760/material/8754665)","Paint - Clear Coat")</f>
        <v>Paint - Clear Coat</v>
      </c>
      <c r="F7949" t="s">
        <v>8293</v>
      </c>
    </row>
    <row r="7950" spans="1:6" x14ac:dyDescent="0.15">
      <c r="A7950">
        <v>12212257</v>
      </c>
      <c r="B7950">
        <v>12085164</v>
      </c>
      <c r="C7950" t="s">
        <v>163</v>
      </c>
      <c r="D7950" t="s">
        <v>114</v>
      </c>
      <c r="E7950" s="4" t="str">
        <f>HYPERLINK("https://ibp.a2mac1.com/costing(costing:projects/details/9760/equipment/12212257)","No.04 - 60000x6000x3500 - Automatic Painting Line - with 12x100kW on line ovens ")</f>
        <v xml:space="preserve">No.04 - 60000x6000x3500 - Automatic Painting Line - with 12x100kW on line ovens </v>
      </c>
      <c r="F7950" t="s">
        <v>8293</v>
      </c>
    </row>
    <row r="7951" spans="1:6" x14ac:dyDescent="0.15">
      <c r="A7951">
        <v>12212258</v>
      </c>
      <c r="B7951">
        <v>12085164</v>
      </c>
      <c r="C7951" t="s">
        <v>163</v>
      </c>
      <c r="D7951" t="s">
        <v>114</v>
      </c>
      <c r="E7951" s="4" t="str">
        <f>HYPERLINK("https://ibp.a2mac1.com/costing(costing:projects/details/9760/equipment/12212258)","Loading + Unloading, Retouching, Checking")</f>
        <v>Loading + Unloading, Retouching, Checking</v>
      </c>
      <c r="F7951" t="s">
        <v>8293</v>
      </c>
    </row>
    <row r="7952" spans="1:6" x14ac:dyDescent="0.15">
      <c r="A7952">
        <v>12085165</v>
      </c>
      <c r="B7952">
        <v>8415761</v>
      </c>
      <c r="C7952" t="s">
        <v>114</v>
      </c>
      <c r="D7952" t="s">
        <v>8</v>
      </c>
      <c r="E7952" s="4" t="str">
        <f>HYPERLINK("https://ibp.a2mac1.com/costing(costing:projects/details/9760/process/12085165)","Assembly")</f>
        <v>Assembly</v>
      </c>
      <c r="F7952" t="s">
        <v>8278</v>
      </c>
    </row>
    <row r="7953" spans="1:6" x14ac:dyDescent="0.15">
      <c r="A7953">
        <v>12212259</v>
      </c>
      <c r="B7953">
        <v>12085165</v>
      </c>
      <c r="C7953" t="s">
        <v>163</v>
      </c>
      <c r="D7953" t="s">
        <v>114</v>
      </c>
      <c r="E7953" s="4" t="str">
        <f>HYPERLINK("https://ibp.a2mac1.com/costing(costing:projects/details/9760/equipment/12212259)","Assembly Station ")</f>
        <v xml:space="preserve">Assembly Station </v>
      </c>
      <c r="F7953" t="s">
        <v>8294</v>
      </c>
    </row>
    <row r="7954" spans="1:6" x14ac:dyDescent="0.15">
      <c r="A7954">
        <v>8415762</v>
      </c>
      <c r="B7954">
        <v>8415607</v>
      </c>
      <c r="C7954" t="s">
        <v>8</v>
      </c>
      <c r="D7954" t="s">
        <v>8</v>
      </c>
      <c r="E7954" s="4" t="str">
        <f>HYPERLINK("https://ibp.a2mac1.com/costing(costing:projects/details/9760/assembly/8415762)","Front Fastener")</f>
        <v>Front Fastener</v>
      </c>
      <c r="F7954" t="s">
        <v>8247</v>
      </c>
    </row>
    <row r="7955" spans="1:6" x14ac:dyDescent="0.15">
      <c r="A7955">
        <v>8416088</v>
      </c>
      <c r="B7955">
        <v>8415762</v>
      </c>
      <c r="C7955" t="s">
        <v>10</v>
      </c>
      <c r="D7955" t="s">
        <v>8</v>
      </c>
      <c r="E7955" s="4" t="str">
        <f>HYPERLINK("https://ibp.a2mac1.com/costing(costing:projects/details/9760/part/8416088)","&gt;Bolt-on parts&gt;Bolt-on panels&gt;Fender&gt;Brackets&gt;Part 01 (single/main)")</f>
        <v>&gt;Bolt-on parts&gt;Bolt-on panels&gt;Fender&gt;Brackets&gt;Part 01 (single/main)</v>
      </c>
      <c r="F7955" t="s">
        <v>8296</v>
      </c>
    </row>
    <row r="7956" spans="1:6" x14ac:dyDescent="0.15">
      <c r="A7956">
        <v>12085392</v>
      </c>
      <c r="B7956">
        <v>8416088</v>
      </c>
      <c r="C7956" t="s">
        <v>114</v>
      </c>
      <c r="D7956" t="s">
        <v>10</v>
      </c>
      <c r="E7956" s="4" t="str">
        <f>HYPERLINK("https://ibp.a2mac1.com/costing(costing:projects/details/9760/process/12085392)","Stamping")</f>
        <v>Stamping</v>
      </c>
      <c r="F7956" t="s">
        <v>8297</v>
      </c>
    </row>
    <row r="7957" spans="1:6" x14ac:dyDescent="0.15">
      <c r="A7957">
        <v>8755061</v>
      </c>
      <c r="B7957">
        <v>12085392</v>
      </c>
      <c r="C7957" t="s">
        <v>22</v>
      </c>
      <c r="D7957" t="s">
        <v>114</v>
      </c>
      <c r="E7957" s="4" t="str">
        <f>HYPERLINK("https://ibp.a2mac1.com/costing(costing:projects/details/9760/material/8755061)","Standard Structural Steel sheet")</f>
        <v>Standard Structural Steel sheet</v>
      </c>
      <c r="F7957" t="s">
        <v>8299</v>
      </c>
    </row>
    <row r="7958" spans="1:6" x14ac:dyDescent="0.15">
      <c r="A7958">
        <v>12212488</v>
      </c>
      <c r="B7958">
        <v>12085392</v>
      </c>
      <c r="C7958" t="s">
        <v>163</v>
      </c>
      <c r="D7958" t="s">
        <v>114</v>
      </c>
      <c r="E7958" s="4" t="str">
        <f>HYPERLINK("https://ibp.a2mac1.com/costing(costing:projects/details/9760/equipment/12212488)","Manufacturing Equipment")</f>
        <v>Manufacturing Equipment</v>
      </c>
      <c r="F7958" t="s">
        <v>8299</v>
      </c>
    </row>
    <row r="7959" spans="1:6" x14ac:dyDescent="0.15">
      <c r="A7959">
        <v>8416089</v>
      </c>
      <c r="B7959">
        <v>8415762</v>
      </c>
      <c r="C7959" t="s">
        <v>10</v>
      </c>
      <c r="D7959" t="s">
        <v>8</v>
      </c>
      <c r="E7959" s="4" t="str">
        <f>HYPERLINK("https://ibp.a2mac1.com/costing(costing:projects/details/9760/part/8416089)","&gt;Bolt-on parts&gt;Bolt-on panels&gt;Fender&gt;Fixing parts&gt;Part 04")</f>
        <v>&gt;Bolt-on parts&gt;Bolt-on panels&gt;Fender&gt;Fixing parts&gt;Part 04</v>
      </c>
      <c r="F7959" t="s">
        <v>8296</v>
      </c>
    </row>
    <row r="7960" spans="1:6" x14ac:dyDescent="0.15">
      <c r="A7960">
        <v>12085393</v>
      </c>
      <c r="B7960">
        <v>8416089</v>
      </c>
      <c r="C7960" t="s">
        <v>114</v>
      </c>
      <c r="D7960" t="s">
        <v>10</v>
      </c>
      <c r="E7960" s="4" t="str">
        <f>HYPERLINK("https://ibp.a2mac1.com/costing(costing:projects/details/9760/process/12085393)","Stamping")</f>
        <v>Stamping</v>
      </c>
      <c r="F7960" t="s">
        <v>8300</v>
      </c>
    </row>
    <row r="7961" spans="1:6" x14ac:dyDescent="0.15">
      <c r="A7961">
        <v>8755062</v>
      </c>
      <c r="B7961">
        <v>12085393</v>
      </c>
      <c r="C7961" t="s">
        <v>22</v>
      </c>
      <c r="D7961" t="s">
        <v>114</v>
      </c>
      <c r="E7961" s="4" t="str">
        <f>HYPERLINK("https://ibp.a2mac1.com/costing(costing:projects/details/9760/material/8755062)","Standard Structural Steel sheet")</f>
        <v>Standard Structural Steel sheet</v>
      </c>
      <c r="F7961" t="s">
        <v>8301</v>
      </c>
    </row>
    <row r="7962" spans="1:6" x14ac:dyDescent="0.15">
      <c r="A7962">
        <v>12212489</v>
      </c>
      <c r="B7962">
        <v>12085393</v>
      </c>
      <c r="C7962" t="s">
        <v>163</v>
      </c>
      <c r="D7962" t="s">
        <v>114</v>
      </c>
      <c r="E7962" s="4" t="str">
        <f>HYPERLINK("https://ibp.a2mac1.com/costing(costing:projects/details/9760/equipment/12212489)","Manufacturing Equipment")</f>
        <v>Manufacturing Equipment</v>
      </c>
      <c r="F7962" t="s">
        <v>8301</v>
      </c>
    </row>
    <row r="7963" spans="1:6" x14ac:dyDescent="0.15">
      <c r="A7963">
        <v>8415763</v>
      </c>
      <c r="B7963">
        <v>8415607</v>
      </c>
      <c r="C7963" t="s">
        <v>8</v>
      </c>
      <c r="D7963" t="s">
        <v>8</v>
      </c>
      <c r="E7963" s="4" t="str">
        <f>HYPERLINK("https://ibp.a2mac1.com/costing(costing:projects/details/9760/assembly/8415763)","Front Fastener right")</f>
        <v>Front Fastener right</v>
      </c>
      <c r="F7963" t="s">
        <v>8247</v>
      </c>
    </row>
    <row r="7964" spans="1:6" x14ac:dyDescent="0.15">
      <c r="A7964">
        <v>8416090</v>
      </c>
      <c r="B7964">
        <v>8415763</v>
      </c>
      <c r="C7964" t="s">
        <v>10</v>
      </c>
      <c r="D7964" t="s">
        <v>8</v>
      </c>
      <c r="E7964" s="4" t="str">
        <f>HYPERLINK("https://ibp.a2mac1.com/costing(costing:projects/details/9760/part/8416090)","&gt;Bolt-on parts&gt;Bolt-on panels&gt;Fender&gt;Brackets&gt;Part 01 (single/main)")</f>
        <v>&gt;Bolt-on parts&gt;Bolt-on panels&gt;Fender&gt;Brackets&gt;Part 01 (single/main)</v>
      </c>
      <c r="F7964" t="s">
        <v>8303</v>
      </c>
    </row>
    <row r="7965" spans="1:6" x14ac:dyDescent="0.15">
      <c r="A7965">
        <v>12085394</v>
      </c>
      <c r="B7965">
        <v>8416090</v>
      </c>
      <c r="C7965" t="s">
        <v>114</v>
      </c>
      <c r="D7965" t="s">
        <v>10</v>
      </c>
      <c r="E7965" s="4" t="str">
        <f>HYPERLINK("https://ibp.a2mac1.com/costing(costing:projects/details/9760/process/12085394)","Stamping")</f>
        <v>Stamping</v>
      </c>
      <c r="F7965" t="s">
        <v>8304</v>
      </c>
    </row>
    <row r="7966" spans="1:6" x14ac:dyDescent="0.15">
      <c r="A7966">
        <v>8755063</v>
      </c>
      <c r="B7966">
        <v>12085394</v>
      </c>
      <c r="C7966" t="s">
        <v>22</v>
      </c>
      <c r="D7966" t="s">
        <v>114</v>
      </c>
      <c r="E7966" s="4" t="str">
        <f>HYPERLINK("https://ibp.a2mac1.com/costing(costing:projects/details/9760/material/8755063)","Standard Structural Steel sheet")</f>
        <v>Standard Structural Steel sheet</v>
      </c>
      <c r="F7966" t="s">
        <v>8305</v>
      </c>
    </row>
    <row r="7967" spans="1:6" x14ac:dyDescent="0.15">
      <c r="A7967">
        <v>12212490</v>
      </c>
      <c r="B7967">
        <v>12085394</v>
      </c>
      <c r="C7967" t="s">
        <v>163</v>
      </c>
      <c r="D7967" t="s">
        <v>114</v>
      </c>
      <c r="E7967" s="4" t="str">
        <f>HYPERLINK("https://ibp.a2mac1.com/costing(costing:projects/details/9760/equipment/12212490)","Manufacturing Equipment")</f>
        <v>Manufacturing Equipment</v>
      </c>
      <c r="F7967" t="s">
        <v>8305</v>
      </c>
    </row>
    <row r="7968" spans="1:6" x14ac:dyDescent="0.15">
      <c r="A7968">
        <v>8416091</v>
      </c>
      <c r="B7968">
        <v>8415763</v>
      </c>
      <c r="C7968" t="s">
        <v>10</v>
      </c>
      <c r="D7968" t="s">
        <v>8</v>
      </c>
      <c r="E7968" s="4" t="str">
        <f>HYPERLINK("https://ibp.a2mac1.com/costing(costing:projects/details/9760/part/8416091)","&gt;Bolt-on parts&gt;Bolt-on panels&gt;Fender&gt;Fixing parts&gt;Part 04")</f>
        <v>&gt;Bolt-on parts&gt;Bolt-on panels&gt;Fender&gt;Fixing parts&gt;Part 04</v>
      </c>
      <c r="F7968" t="s">
        <v>8303</v>
      </c>
    </row>
    <row r="7969" spans="1:6" x14ac:dyDescent="0.15">
      <c r="A7969">
        <v>12085395</v>
      </c>
      <c r="B7969">
        <v>8416091</v>
      </c>
      <c r="C7969" t="s">
        <v>114</v>
      </c>
      <c r="D7969" t="s">
        <v>10</v>
      </c>
      <c r="E7969" s="4" t="str">
        <f>HYPERLINK("https://ibp.a2mac1.com/costing(costing:projects/details/9760/process/12085395)","Stamping")</f>
        <v>Stamping</v>
      </c>
      <c r="F7969" t="s">
        <v>8306</v>
      </c>
    </row>
    <row r="7970" spans="1:6" x14ac:dyDescent="0.15">
      <c r="A7970">
        <v>8755064</v>
      </c>
      <c r="B7970">
        <v>12085395</v>
      </c>
      <c r="C7970" t="s">
        <v>22</v>
      </c>
      <c r="D7970" t="s">
        <v>114</v>
      </c>
      <c r="E7970" s="4" t="str">
        <f>HYPERLINK("https://ibp.a2mac1.com/costing(costing:projects/details/9760/material/8755064)","Standard Structural Steel sheet")</f>
        <v>Standard Structural Steel sheet</v>
      </c>
      <c r="F7970" t="s">
        <v>8307</v>
      </c>
    </row>
    <row r="7971" spans="1:6" x14ac:dyDescent="0.15">
      <c r="A7971">
        <v>12212491</v>
      </c>
      <c r="B7971">
        <v>12085395</v>
      </c>
      <c r="C7971" t="s">
        <v>163</v>
      </c>
      <c r="D7971" t="s">
        <v>114</v>
      </c>
      <c r="E7971" s="4" t="str">
        <f>HYPERLINK("https://ibp.a2mac1.com/costing(costing:projects/details/9760/equipment/12212491)","Manufacturing Equipment")</f>
        <v>Manufacturing Equipment</v>
      </c>
      <c r="F7971" t="s">
        <v>8307</v>
      </c>
    </row>
    <row r="7972" spans="1:6" x14ac:dyDescent="0.15">
      <c r="A7972">
        <v>8415764</v>
      </c>
      <c r="B7972">
        <v>8415607</v>
      </c>
      <c r="C7972" t="s">
        <v>10</v>
      </c>
      <c r="D7972" t="s">
        <v>8</v>
      </c>
      <c r="E7972" s="4" t="str">
        <f>HYPERLINK("https://ibp.a2mac1.com/costing(costing:projects/details/9760/part/8415764)","Trim Bezels")</f>
        <v>Trim Bezels</v>
      </c>
      <c r="F7972" t="s">
        <v>8247</v>
      </c>
    </row>
    <row r="7973" spans="1:6" x14ac:dyDescent="0.15">
      <c r="A7973">
        <v>12085167</v>
      </c>
      <c r="B7973">
        <v>8415764</v>
      </c>
      <c r="C7973" t="s">
        <v>114</v>
      </c>
      <c r="D7973" t="s">
        <v>10</v>
      </c>
      <c r="E7973" s="4" t="str">
        <f>HYPERLINK("https://ibp.a2mac1.com/costing(costing:projects/details/9760/process/12085167)","Injection molding")</f>
        <v>Injection molding</v>
      </c>
      <c r="F7973" t="s">
        <v>8309</v>
      </c>
    </row>
    <row r="7974" spans="1:6" x14ac:dyDescent="0.15">
      <c r="A7974">
        <v>8754666</v>
      </c>
      <c r="B7974">
        <v>12085167</v>
      </c>
      <c r="C7974" t="s">
        <v>22</v>
      </c>
      <c r="D7974" t="s">
        <v>114</v>
      </c>
      <c r="E7974" s="4" t="str">
        <f>HYPERLINK("https://ibp.a2mac1.com/costing(costing:projects/details/9760/material/8754666)","PP-EPDM-TD25")</f>
        <v>PP-EPDM-TD25</v>
      </c>
      <c r="F7974" t="s">
        <v>8312</v>
      </c>
    </row>
    <row r="7975" spans="1:6" x14ac:dyDescent="0.15">
      <c r="A7975">
        <v>12212261</v>
      </c>
      <c r="B7975">
        <v>12085167</v>
      </c>
      <c r="C7975" t="s">
        <v>163</v>
      </c>
      <c r="D7975" t="s">
        <v>114</v>
      </c>
      <c r="E7975" s="4" t="str">
        <f>HYPERLINK("https://ibp.a2mac1.com/costing(costing:projects/details/9760/equipment/12212261)","No.04 - Injection Press - 100T - 33kW - 400x400 - Max Volume 260cm3 ")</f>
        <v xml:space="preserve">No.04 - Injection Press - 100T - 33kW - 400x400 - Max Volume 260cm3 </v>
      </c>
      <c r="F7975" t="s">
        <v>8312</v>
      </c>
    </row>
    <row r="7976" spans="1:6" x14ac:dyDescent="0.15">
      <c r="A7976">
        <v>12085166</v>
      </c>
      <c r="B7976">
        <v>8415764</v>
      </c>
      <c r="C7976" t="s">
        <v>114</v>
      </c>
      <c r="D7976" t="s">
        <v>10</v>
      </c>
      <c r="E7976" s="4" t="str">
        <f>HYPERLINK("https://ibp.a2mac1.com/costing(costing:projects/details/9760/process/12085166)","Handling/Visual Inspection/Packaging")</f>
        <v>Handling/Visual Inspection/Packaging</v>
      </c>
      <c r="F7976" t="s">
        <v>8309</v>
      </c>
    </row>
    <row r="7977" spans="1:6" x14ac:dyDescent="0.15">
      <c r="A7977">
        <v>12212260</v>
      </c>
      <c r="B7977">
        <v>12085166</v>
      </c>
      <c r="C7977" t="s">
        <v>163</v>
      </c>
      <c r="D7977" t="s">
        <v>114</v>
      </c>
      <c r="E7977" s="4" t="str">
        <f>HYPERLINK("https://ibp.a2mac1.com/costing(costing:projects/details/9760/equipment/12212260)","Packaging")</f>
        <v>Packaging</v>
      </c>
      <c r="F7977" t="s">
        <v>8314</v>
      </c>
    </row>
    <row r="7978" spans="1:6" x14ac:dyDescent="0.15">
      <c r="A7978">
        <v>8415765</v>
      </c>
      <c r="B7978">
        <v>8415607</v>
      </c>
      <c r="C7978" t="s">
        <v>10</v>
      </c>
      <c r="D7978" t="s">
        <v>8</v>
      </c>
      <c r="E7978" s="4" t="str">
        <f>HYPERLINK("https://ibp.a2mac1.com/costing(costing:projects/details/9760/part/8415765)","Rear Covers")</f>
        <v>Rear Covers</v>
      </c>
      <c r="F7978" t="s">
        <v>8247</v>
      </c>
    </row>
    <row r="7979" spans="1:6" x14ac:dyDescent="0.15">
      <c r="A7979">
        <v>12085168</v>
      </c>
      <c r="B7979">
        <v>8415765</v>
      </c>
      <c r="C7979" t="s">
        <v>114</v>
      </c>
      <c r="D7979" t="s">
        <v>10</v>
      </c>
      <c r="E7979" s="4" t="str">
        <f>HYPERLINK("https://ibp.a2mac1.com/costing(costing:projects/details/9760/process/12085168)","Injection molding")</f>
        <v>Injection molding</v>
      </c>
      <c r="F7979" t="s">
        <v>8317</v>
      </c>
    </row>
    <row r="7980" spans="1:6" x14ac:dyDescent="0.15">
      <c r="A7980">
        <v>8754667</v>
      </c>
      <c r="B7980">
        <v>12085168</v>
      </c>
      <c r="C7980" t="s">
        <v>22</v>
      </c>
      <c r="D7980" t="s">
        <v>114</v>
      </c>
      <c r="E7980" s="4" t="str">
        <f>HYPERLINK("https://ibp.a2mac1.com/costing(costing:projects/details/9760/material/8754667)","PP-EPDM-MD35-TD20")</f>
        <v>PP-EPDM-MD35-TD20</v>
      </c>
      <c r="F7980" t="s">
        <v>8320</v>
      </c>
    </row>
    <row r="7981" spans="1:6" x14ac:dyDescent="0.15">
      <c r="A7981">
        <v>12212262</v>
      </c>
      <c r="B7981">
        <v>12085168</v>
      </c>
      <c r="C7981" t="s">
        <v>163</v>
      </c>
      <c r="D7981" t="s">
        <v>114</v>
      </c>
      <c r="E7981" s="4" t="str">
        <f>HYPERLINK("https://ibp.a2mac1.com/costing(costing:projects/details/9760/equipment/12212262)","No.09 - Injection Press - 400T - 72kW - 650x650 - Max Volume 1497cm3 ")</f>
        <v xml:space="preserve">No.09 - Injection Press - 400T - 72kW - 650x650 - Max Volume 1497cm3 </v>
      </c>
      <c r="F7981" t="s">
        <v>8320</v>
      </c>
    </row>
    <row r="7982" spans="1:6" x14ac:dyDescent="0.15">
      <c r="A7982">
        <v>12085169</v>
      </c>
      <c r="B7982">
        <v>8415765</v>
      </c>
      <c r="C7982" t="s">
        <v>114</v>
      </c>
      <c r="D7982" t="s">
        <v>10</v>
      </c>
      <c r="E7982" s="4" t="str">
        <f>HYPERLINK("https://ibp.a2mac1.com/costing(costing:projects/details/9760/process/12085169)","Handling/Visual Inspection/Packaging")</f>
        <v>Handling/Visual Inspection/Packaging</v>
      </c>
      <c r="F7982" t="s">
        <v>8317</v>
      </c>
    </row>
    <row r="7983" spans="1:6" x14ac:dyDescent="0.15">
      <c r="A7983">
        <v>12212263</v>
      </c>
      <c r="B7983">
        <v>12085169</v>
      </c>
      <c r="C7983" t="s">
        <v>163</v>
      </c>
      <c r="D7983" t="s">
        <v>114</v>
      </c>
      <c r="E7983" s="4" t="str">
        <f>HYPERLINK("https://ibp.a2mac1.com/costing(costing:projects/details/9760/equipment/12212263)","Packaging")</f>
        <v>Packaging</v>
      </c>
      <c r="F7983" t="s">
        <v>8322</v>
      </c>
    </row>
    <row r="7984" spans="1:6" x14ac:dyDescent="0.15">
      <c r="A7984">
        <v>8415766</v>
      </c>
      <c r="B7984">
        <v>8415607</v>
      </c>
      <c r="C7984" t="s">
        <v>10</v>
      </c>
      <c r="D7984" t="s">
        <v>8</v>
      </c>
      <c r="E7984" s="4" t="str">
        <f>HYPERLINK("https://ibp.a2mac1.com/costing(costing:projects/details/9760/part/8415766)","Trim Panels")</f>
        <v>Trim Panels</v>
      </c>
      <c r="F7984" t="s">
        <v>8247</v>
      </c>
    </row>
    <row r="7985" spans="1:6" x14ac:dyDescent="0.15">
      <c r="A7985">
        <v>12085172</v>
      </c>
      <c r="B7985">
        <v>8415766</v>
      </c>
      <c r="C7985" t="s">
        <v>114</v>
      </c>
      <c r="D7985" t="s">
        <v>10</v>
      </c>
      <c r="E7985" s="4" t="str">
        <f>HYPERLINK("https://ibp.a2mac1.com/costing(costing:projects/details/9760/process/12085172)","Injection molding")</f>
        <v>Injection molding</v>
      </c>
      <c r="F7985" t="s">
        <v>8324</v>
      </c>
    </row>
    <row r="7986" spans="1:6" x14ac:dyDescent="0.15">
      <c r="A7986">
        <v>8754671</v>
      </c>
      <c r="B7986">
        <v>12085172</v>
      </c>
      <c r="C7986" t="s">
        <v>22</v>
      </c>
      <c r="D7986" t="s">
        <v>114</v>
      </c>
      <c r="E7986" s="4" t="str">
        <f>HYPERLINK("https://ibp.a2mac1.com/costing(costing:projects/details/9760/material/8754671)","PP-EPDM-TD25")</f>
        <v>PP-EPDM-TD25</v>
      </c>
      <c r="F7986" t="s">
        <v>8327</v>
      </c>
    </row>
    <row r="7987" spans="1:6" x14ac:dyDescent="0.15">
      <c r="A7987">
        <v>12212267</v>
      </c>
      <c r="B7987">
        <v>12085172</v>
      </c>
      <c r="C7987" t="s">
        <v>163</v>
      </c>
      <c r="D7987" t="s">
        <v>114</v>
      </c>
      <c r="E7987" s="4" t="str">
        <f>HYPERLINK("https://ibp.a2mac1.com/costing(costing:projects/details/9760/equipment/12212267)","No.09 - Injection Press - 400T - 72kW - 650x650 - Max Volume 1497cm3 ")</f>
        <v xml:space="preserve">No.09 - Injection Press - 400T - 72kW - 650x650 - Max Volume 1497cm3 </v>
      </c>
      <c r="F7987" t="s">
        <v>8327</v>
      </c>
    </row>
    <row r="7988" spans="1:6" x14ac:dyDescent="0.15">
      <c r="A7988">
        <v>12085171</v>
      </c>
      <c r="B7988">
        <v>8415766</v>
      </c>
      <c r="C7988" t="s">
        <v>114</v>
      </c>
      <c r="D7988" t="s">
        <v>10</v>
      </c>
      <c r="E7988" s="4" t="str">
        <f>HYPERLINK("https://ibp.a2mac1.com/costing(costing:projects/details/9760/process/12085171)","Handling/Visual Inspection/Packaging")</f>
        <v>Handling/Visual Inspection/Packaging</v>
      </c>
      <c r="F7988" t="s">
        <v>8324</v>
      </c>
    </row>
    <row r="7989" spans="1:6" x14ac:dyDescent="0.15">
      <c r="A7989">
        <v>12212266</v>
      </c>
      <c r="B7989">
        <v>12085171</v>
      </c>
      <c r="C7989" t="s">
        <v>163</v>
      </c>
      <c r="D7989" t="s">
        <v>114</v>
      </c>
      <c r="E7989" s="4" t="str">
        <f>HYPERLINK("https://ibp.a2mac1.com/costing(costing:projects/details/9760/equipment/12212266)","Packaging")</f>
        <v>Packaging</v>
      </c>
      <c r="F7989" t="s">
        <v>8329</v>
      </c>
    </row>
    <row r="7990" spans="1:6" x14ac:dyDescent="0.15">
      <c r="A7990">
        <v>12085170</v>
      </c>
      <c r="B7990">
        <v>8415766</v>
      </c>
      <c r="C7990" t="s">
        <v>114</v>
      </c>
      <c r="D7990" t="s">
        <v>10</v>
      </c>
      <c r="E7990" s="4" t="str">
        <f>HYPERLINK("https://ibp.a2mac1.com/costing(costing:projects/details/9760/process/12085170)","Painting")</f>
        <v>Painting</v>
      </c>
      <c r="F7990" t="s">
        <v>8324</v>
      </c>
    </row>
    <row r="7991" spans="1:6" x14ac:dyDescent="0.15">
      <c r="A7991">
        <v>8754668</v>
      </c>
      <c r="B7991">
        <v>12085170</v>
      </c>
      <c r="C7991" t="s">
        <v>22</v>
      </c>
      <c r="D7991" t="s">
        <v>114</v>
      </c>
      <c r="E7991" s="4" t="str">
        <f>HYPERLINK("https://ibp.a2mac1.com/costing(costing:projects/details/9760/material/8754668)","Paint - Base")</f>
        <v>Paint - Base</v>
      </c>
      <c r="F7991" t="s">
        <v>8330</v>
      </c>
    </row>
    <row r="7992" spans="1:6" x14ac:dyDescent="0.15">
      <c r="A7992">
        <v>8754669</v>
      </c>
      <c r="B7992">
        <v>12085170</v>
      </c>
      <c r="C7992" t="s">
        <v>22</v>
      </c>
      <c r="D7992" t="s">
        <v>114</v>
      </c>
      <c r="E7992" s="4" t="str">
        <f>HYPERLINK("https://ibp.a2mac1.com/costing(costing:projects/details/9760/material/8754669)","Paint - Primer")</f>
        <v>Paint - Primer</v>
      </c>
      <c r="F7992" t="s">
        <v>8330</v>
      </c>
    </row>
    <row r="7993" spans="1:6" x14ac:dyDescent="0.15">
      <c r="A7993">
        <v>8754670</v>
      </c>
      <c r="B7993">
        <v>12085170</v>
      </c>
      <c r="C7993" t="s">
        <v>22</v>
      </c>
      <c r="D7993" t="s">
        <v>114</v>
      </c>
      <c r="E7993" s="4" t="str">
        <f>HYPERLINK("https://ibp.a2mac1.com/costing(costing:projects/details/9760/material/8754670)","Paint - Clear Coat")</f>
        <v>Paint - Clear Coat</v>
      </c>
      <c r="F7993" t="s">
        <v>8330</v>
      </c>
    </row>
    <row r="7994" spans="1:6" x14ac:dyDescent="0.15">
      <c r="A7994">
        <v>12212264</v>
      </c>
      <c r="B7994">
        <v>12085170</v>
      </c>
      <c r="C7994" t="s">
        <v>163</v>
      </c>
      <c r="D7994" t="s">
        <v>114</v>
      </c>
      <c r="E7994" s="4" t="str">
        <f>HYPERLINK("https://ibp.a2mac1.com/costing(costing:projects/details/9760/equipment/12212264)","No.04 - 60000x6000x3500 - Automatic Painting Line - with 12x100kW on line ovens ")</f>
        <v xml:space="preserve">No.04 - 60000x6000x3500 - Automatic Painting Line - with 12x100kW on line ovens </v>
      </c>
      <c r="F7994" t="s">
        <v>8330</v>
      </c>
    </row>
    <row r="7995" spans="1:6" x14ac:dyDescent="0.15">
      <c r="A7995">
        <v>12212265</v>
      </c>
      <c r="B7995">
        <v>12085170</v>
      </c>
      <c r="C7995" t="s">
        <v>163</v>
      </c>
      <c r="D7995" t="s">
        <v>114</v>
      </c>
      <c r="E7995" s="4" t="str">
        <f>HYPERLINK("https://ibp.a2mac1.com/costing(costing:projects/details/9760/equipment/12212265)","Loading + Unloading, Retouching, Checking")</f>
        <v>Loading + Unloading, Retouching, Checking</v>
      </c>
      <c r="F7995" t="s">
        <v>8330</v>
      </c>
    </row>
    <row r="7996" spans="1:6" x14ac:dyDescent="0.15">
      <c r="A7996">
        <v>8415767</v>
      </c>
      <c r="B7996">
        <v>8415607</v>
      </c>
      <c r="C7996" t="s">
        <v>10</v>
      </c>
      <c r="D7996" t="s">
        <v>8</v>
      </c>
      <c r="E7996" s="4" t="str">
        <f>HYPERLINK("https://ibp.a2mac1.com/costing(costing:projects/details/9760/part/8415767)","Fenders Reinforcement")</f>
        <v>Fenders Reinforcement</v>
      </c>
      <c r="F7996" t="s">
        <v>8247</v>
      </c>
    </row>
    <row r="7997" spans="1:6" x14ac:dyDescent="0.15">
      <c r="A7997">
        <v>12085173</v>
      </c>
      <c r="B7997">
        <v>8415767</v>
      </c>
      <c r="C7997" t="s">
        <v>114</v>
      </c>
      <c r="D7997" t="s">
        <v>10</v>
      </c>
      <c r="E7997" s="4" t="str">
        <f>HYPERLINK("https://ibp.a2mac1.com/costing(costing:projects/details/9760/process/12085173)","Injection molding")</f>
        <v>Injection molding</v>
      </c>
      <c r="F7997" t="s">
        <v>8332</v>
      </c>
    </row>
    <row r="7998" spans="1:6" x14ac:dyDescent="0.15">
      <c r="A7998">
        <v>8754672</v>
      </c>
      <c r="B7998">
        <v>12085173</v>
      </c>
      <c r="C7998" t="s">
        <v>22</v>
      </c>
      <c r="D7998" t="s">
        <v>114</v>
      </c>
      <c r="E7998" s="4" t="str">
        <f>HYPERLINK("https://ibp.a2mac1.com/costing(costing:projects/details/9760/material/8754672)","PP-GF20")</f>
        <v>PP-GF20</v>
      </c>
      <c r="F7998" t="s">
        <v>8335</v>
      </c>
    </row>
    <row r="7999" spans="1:6" x14ac:dyDescent="0.15">
      <c r="A7999">
        <v>12212268</v>
      </c>
      <c r="B7999">
        <v>12085173</v>
      </c>
      <c r="C7999" t="s">
        <v>163</v>
      </c>
      <c r="D7999" t="s">
        <v>114</v>
      </c>
      <c r="E7999" s="4" t="str">
        <f>HYPERLINK("https://ibp.a2mac1.com/costing(costing:projects/details/9760/equipment/12212268)","No.06 - Injection Press - 200T - 45kW - 510x510 - Max Volume 624cm3 ")</f>
        <v xml:space="preserve">No.06 - Injection Press - 200T - 45kW - 510x510 - Max Volume 624cm3 </v>
      </c>
      <c r="F7999" t="s">
        <v>8335</v>
      </c>
    </row>
    <row r="8000" spans="1:6" x14ac:dyDescent="0.15">
      <c r="A8000">
        <v>12085174</v>
      </c>
      <c r="B8000">
        <v>8415767</v>
      </c>
      <c r="C8000" t="s">
        <v>114</v>
      </c>
      <c r="D8000" t="s">
        <v>10</v>
      </c>
      <c r="E8000" s="4" t="str">
        <f>HYPERLINK("https://ibp.a2mac1.com/costing(costing:projects/details/9760/process/12085174)","Handling/Visual Inspection/Packaging")</f>
        <v>Handling/Visual Inspection/Packaging</v>
      </c>
      <c r="F8000" t="s">
        <v>8332</v>
      </c>
    </row>
    <row r="8001" spans="1:6" x14ac:dyDescent="0.15">
      <c r="A8001">
        <v>12212269</v>
      </c>
      <c r="B8001">
        <v>12085174</v>
      </c>
      <c r="C8001" t="s">
        <v>163</v>
      </c>
      <c r="D8001" t="s">
        <v>114</v>
      </c>
      <c r="E8001" s="4" t="str">
        <f>HYPERLINK("https://ibp.a2mac1.com/costing(costing:projects/details/9760/equipment/12212269)","Packaging")</f>
        <v>Packaging</v>
      </c>
      <c r="F8001" t="s">
        <v>8337</v>
      </c>
    </row>
    <row r="8002" spans="1:6" x14ac:dyDescent="0.15">
      <c r="A8002">
        <v>12085083</v>
      </c>
      <c r="B8002">
        <v>8415607</v>
      </c>
      <c r="C8002" t="s">
        <v>114</v>
      </c>
      <c r="D8002" t="s">
        <v>8</v>
      </c>
      <c r="E8002" s="4" t="str">
        <f>HYPERLINK("https://ibp.a2mac1.com/costing(costing:projects/details/9760/process/12085083)","Assembly")</f>
        <v>Assembly</v>
      </c>
      <c r="F8002" t="s">
        <v>8247</v>
      </c>
    </row>
    <row r="8003" spans="1:6" x14ac:dyDescent="0.15">
      <c r="A8003">
        <v>12212174</v>
      </c>
      <c r="B8003">
        <v>12085083</v>
      </c>
      <c r="C8003" t="s">
        <v>163</v>
      </c>
      <c r="D8003" t="s">
        <v>114</v>
      </c>
      <c r="E8003" s="4" t="str">
        <f>HYPERLINK("https://ibp.a2mac1.com/costing(costing:projects/details/9760/equipment/12212174)","Assembly Station ")</f>
        <v xml:space="preserve">Assembly Station </v>
      </c>
      <c r="F8003" t="s">
        <v>8340</v>
      </c>
    </row>
    <row r="8004" spans="1:6" x14ac:dyDescent="0.15">
      <c r="A8004">
        <v>8754359</v>
      </c>
      <c r="B8004">
        <v>8415607</v>
      </c>
      <c r="C8004" t="s">
        <v>311</v>
      </c>
      <c r="D8004" t="s">
        <v>8</v>
      </c>
      <c r="E8004" s="4" t="str">
        <f>HYPERLINK("https://ibp.a2mac1.com/costing(costing:projects/details/9760/component/8754359)","Nut &gt; Clipping nut for soft materials screw")</f>
        <v>Nut &gt; Clipping nut for soft materials screw</v>
      </c>
      <c r="F8004" t="s">
        <v>8247</v>
      </c>
    </row>
    <row r="8005" spans="1:6" x14ac:dyDescent="0.15">
      <c r="A8005">
        <v>8754360</v>
      </c>
      <c r="B8005">
        <v>8415607</v>
      </c>
      <c r="C8005" t="s">
        <v>311</v>
      </c>
      <c r="D8005" t="s">
        <v>8</v>
      </c>
      <c r="E8005" s="4" t="str">
        <f>HYPERLINK("https://ibp.a2mac1.com/costing(costing:projects/details/9760/component/8754360)","Panel holder &gt; Clips in round hole")</f>
        <v>Panel holder &gt; Clips in round hole</v>
      </c>
      <c r="F8005" t="s">
        <v>8247</v>
      </c>
    </row>
    <row r="8006" spans="1:6" x14ac:dyDescent="0.15">
      <c r="A8006">
        <v>8754361</v>
      </c>
      <c r="B8006">
        <v>8415607</v>
      </c>
      <c r="C8006" t="s">
        <v>311</v>
      </c>
      <c r="D8006" t="s">
        <v>8</v>
      </c>
      <c r="E8006" s="4" t="str">
        <f>HYPERLINK("https://ibp.a2mac1.com/costing(costing:projects/details/9760/component/8754361)","Screw &gt; Hexagon screw with flange")</f>
        <v>Screw &gt; Hexagon screw with flange</v>
      </c>
      <c r="F8006" t="s">
        <v>8247</v>
      </c>
    </row>
    <row r="8007" spans="1:6" x14ac:dyDescent="0.15">
      <c r="A8007">
        <v>8754362</v>
      </c>
      <c r="B8007">
        <v>8415607</v>
      </c>
      <c r="C8007" t="s">
        <v>311</v>
      </c>
      <c r="D8007" t="s">
        <v>8</v>
      </c>
      <c r="E8007" s="4" t="str">
        <f>HYPERLINK("https://ibp.a2mac1.com/costing(costing:projects/details/9760/component/8754362)","Screw &gt; Hexagon screw with flange")</f>
        <v>Screw &gt; Hexagon screw with flange</v>
      </c>
      <c r="F8007" t="s">
        <v>8247</v>
      </c>
    </row>
    <row r="8008" spans="1:6" x14ac:dyDescent="0.15">
      <c r="A8008">
        <v>8754363</v>
      </c>
      <c r="B8008">
        <v>8415607</v>
      </c>
      <c r="C8008" t="s">
        <v>311</v>
      </c>
      <c r="D8008" t="s">
        <v>8</v>
      </c>
      <c r="E8008" s="4" t="str">
        <f>HYPERLINK("https://ibp.a2mac1.com/costing(costing:projects/details/9760/component/8754363)","Screw &gt; Hexagon screw with flange")</f>
        <v>Screw &gt; Hexagon screw with flange</v>
      </c>
      <c r="F8008" t="s">
        <v>8247</v>
      </c>
    </row>
    <row r="8009" spans="1:6" x14ac:dyDescent="0.15">
      <c r="A8009">
        <v>8754364</v>
      </c>
      <c r="B8009">
        <v>8415607</v>
      </c>
      <c r="C8009" t="s">
        <v>311</v>
      </c>
      <c r="D8009" t="s">
        <v>8</v>
      </c>
      <c r="E8009" s="4" t="str">
        <f>HYPERLINK("https://ibp.a2mac1.com/costing(costing:projects/details/9760/component/8754364)","Screw &gt; Hexagon screw with flange")</f>
        <v>Screw &gt; Hexagon screw with flange</v>
      </c>
      <c r="F8009" t="s">
        <v>8247</v>
      </c>
    </row>
    <row r="8010" spans="1:6" x14ac:dyDescent="0.15">
      <c r="A8010">
        <v>8415579</v>
      </c>
      <c r="B8010">
        <v>8415575</v>
      </c>
      <c r="C8010" t="s">
        <v>8</v>
      </c>
      <c r="D8010" t="s">
        <v>8</v>
      </c>
      <c r="E8010" s="4" t="str">
        <f>HYPERLINK("https://ibp.a2mac1.com/costing(costing:projects/details/9760/assembly/8415579)","Bumpers")</f>
        <v>Bumpers</v>
      </c>
      <c r="F8010" t="s">
        <v>4952</v>
      </c>
    </row>
    <row r="8011" spans="1:6" x14ac:dyDescent="0.15">
      <c r="A8011">
        <v>8415608</v>
      </c>
      <c r="B8011">
        <v>8415579</v>
      </c>
      <c r="C8011" t="s">
        <v>8</v>
      </c>
      <c r="D8011" t="s">
        <v>8</v>
      </c>
      <c r="E8011" s="4" t="str">
        <f>HYPERLINK("https://ibp.a2mac1.com/costing(costing:projects/details/9760/assembly/8415608)","Front Bumper")</f>
        <v>Front Bumper</v>
      </c>
      <c r="F8011" t="s">
        <v>8344</v>
      </c>
    </row>
    <row r="8012" spans="1:6" x14ac:dyDescent="0.15">
      <c r="A8012">
        <v>8415768</v>
      </c>
      <c r="B8012">
        <v>8415608</v>
      </c>
      <c r="C8012" t="s">
        <v>8</v>
      </c>
      <c r="D8012" t="s">
        <v>8</v>
      </c>
      <c r="E8012" s="4" t="str">
        <f>HYPERLINK("https://ibp.a2mac1.com/costing(costing:projects/details/9760/assembly/8415768)","Bumper")</f>
        <v>Bumper</v>
      </c>
      <c r="F8012" t="s">
        <v>8345</v>
      </c>
    </row>
    <row r="8013" spans="1:6" x14ac:dyDescent="0.15">
      <c r="A8013">
        <v>8416099</v>
      </c>
      <c r="B8013">
        <v>8415768</v>
      </c>
      <c r="C8013" t="s">
        <v>8</v>
      </c>
      <c r="D8013" t="s">
        <v>8</v>
      </c>
      <c r="E8013" s="4" t="str">
        <f>HYPERLINK("https://ibp.a2mac1.com/costing(costing:projects/details/9760/assembly/8416099)","Bezel System")</f>
        <v>Bezel System</v>
      </c>
      <c r="F8013" t="s">
        <v>8346</v>
      </c>
    </row>
    <row r="8014" spans="1:6" x14ac:dyDescent="0.15">
      <c r="A8014">
        <v>8416434</v>
      </c>
      <c r="B8014">
        <v>8416099</v>
      </c>
      <c r="C8014" t="s">
        <v>10</v>
      </c>
      <c r="D8014" t="s">
        <v>8</v>
      </c>
      <c r="E8014" s="4" t="str">
        <f>HYPERLINK("https://ibp.a2mac1.com/costing(costing:projects/details/9760/part/8416434)","Trim")</f>
        <v>Trim</v>
      </c>
      <c r="F8014" t="s">
        <v>8347</v>
      </c>
    </row>
    <row r="8015" spans="1:6" x14ac:dyDescent="0.15">
      <c r="A8015">
        <v>12085806</v>
      </c>
      <c r="B8015">
        <v>8416434</v>
      </c>
      <c r="C8015" t="s">
        <v>114</v>
      </c>
      <c r="D8015" t="s">
        <v>10</v>
      </c>
      <c r="E8015" s="4" t="str">
        <f>HYPERLINK("https://ibp.a2mac1.com/costing(costing:projects/details/9760/process/12085806)","Automated Process")</f>
        <v>Automated Process</v>
      </c>
      <c r="F8015" t="s">
        <v>8348</v>
      </c>
    </row>
    <row r="8016" spans="1:6" x14ac:dyDescent="0.15">
      <c r="A8016">
        <v>8755438</v>
      </c>
      <c r="B8016">
        <v>12085806</v>
      </c>
      <c r="C8016" t="s">
        <v>22</v>
      </c>
      <c r="D8016" t="s">
        <v>114</v>
      </c>
      <c r="E8016" s="4" t="str">
        <f>HYPERLINK("https://ibp.a2mac1.com/costing(costing:projects/details/9760/material/8755438)","PP-EPDM-MD35-TD20")</f>
        <v>PP-EPDM-MD35-TD20</v>
      </c>
      <c r="F8016" t="s">
        <v>8351</v>
      </c>
    </row>
    <row r="8017" spans="1:6" x14ac:dyDescent="0.15">
      <c r="A8017">
        <v>12212936</v>
      </c>
      <c r="B8017">
        <v>12085806</v>
      </c>
      <c r="C8017" t="s">
        <v>163</v>
      </c>
      <c r="D8017" t="s">
        <v>114</v>
      </c>
      <c r="E8017" s="4" t="str">
        <f>HYPERLINK("https://ibp.a2mac1.com/costing(costing:projects/details/9760/equipment/12212936)","DC machine - General")</f>
        <v>DC machine - General</v>
      </c>
      <c r="F8017" t="s">
        <v>8351</v>
      </c>
    </row>
    <row r="8018" spans="1:6" x14ac:dyDescent="0.15">
      <c r="A8018">
        <v>8416435</v>
      </c>
      <c r="B8018">
        <v>8416099</v>
      </c>
      <c r="C8018" t="s">
        <v>10</v>
      </c>
      <c r="D8018" t="s">
        <v>8</v>
      </c>
      <c r="E8018" s="4" t="str">
        <f>HYPERLINK("https://ibp.a2mac1.com/costing(costing:projects/details/9760/part/8416435)","Left Side Trim")</f>
        <v>Left Side Trim</v>
      </c>
      <c r="F8018" t="s">
        <v>8347</v>
      </c>
    </row>
    <row r="8019" spans="1:6" x14ac:dyDescent="0.15">
      <c r="A8019">
        <v>12085807</v>
      </c>
      <c r="B8019">
        <v>8416435</v>
      </c>
      <c r="C8019" t="s">
        <v>114</v>
      </c>
      <c r="D8019" t="s">
        <v>10</v>
      </c>
      <c r="E8019" s="4" t="str">
        <f>HYPERLINK("https://ibp.a2mac1.com/costing(costing:projects/details/9760/process/12085807)","Automated Process")</f>
        <v>Automated Process</v>
      </c>
      <c r="F8019" t="s">
        <v>8353</v>
      </c>
    </row>
    <row r="8020" spans="1:6" x14ac:dyDescent="0.15">
      <c r="A8020">
        <v>8755439</v>
      </c>
      <c r="B8020">
        <v>12085807</v>
      </c>
      <c r="C8020" t="s">
        <v>22</v>
      </c>
      <c r="D8020" t="s">
        <v>114</v>
      </c>
      <c r="E8020" s="4" t="str">
        <f>HYPERLINK("https://ibp.a2mac1.com/costing(costing:projects/details/9760/material/8755439)","PMMA-ASA")</f>
        <v>PMMA-ASA</v>
      </c>
      <c r="F8020" t="s">
        <v>8356</v>
      </c>
    </row>
    <row r="8021" spans="1:6" x14ac:dyDescent="0.15">
      <c r="A8021">
        <v>12212937</v>
      </c>
      <c r="B8021">
        <v>12085807</v>
      </c>
      <c r="C8021" t="s">
        <v>163</v>
      </c>
      <c r="D8021" t="s">
        <v>114</v>
      </c>
      <c r="E8021" s="4" t="str">
        <f>HYPERLINK("https://ibp.a2mac1.com/costing(costing:projects/details/9760/equipment/12212937)","DC machine - General")</f>
        <v>DC machine - General</v>
      </c>
      <c r="F8021" t="s">
        <v>8356</v>
      </c>
    </row>
    <row r="8022" spans="1:6" x14ac:dyDescent="0.15">
      <c r="A8022">
        <v>8416436</v>
      </c>
      <c r="B8022">
        <v>8416099</v>
      </c>
      <c r="C8022" t="s">
        <v>10</v>
      </c>
      <c r="D8022" t="s">
        <v>8</v>
      </c>
      <c r="E8022" s="4" t="str">
        <f>HYPERLINK("https://ibp.a2mac1.com/costing(costing:projects/details/9760/part/8416436)","Right Side Trim")</f>
        <v>Right Side Trim</v>
      </c>
      <c r="F8022" t="s">
        <v>8347</v>
      </c>
    </row>
    <row r="8023" spans="1:6" x14ac:dyDescent="0.15">
      <c r="A8023">
        <v>12085808</v>
      </c>
      <c r="B8023">
        <v>8416436</v>
      </c>
      <c r="C8023" t="s">
        <v>114</v>
      </c>
      <c r="D8023" t="s">
        <v>10</v>
      </c>
      <c r="E8023" s="4" t="str">
        <f>HYPERLINK("https://ibp.a2mac1.com/costing(costing:projects/details/9760/process/12085808)","Automated Process")</f>
        <v>Automated Process</v>
      </c>
      <c r="F8023" t="s">
        <v>8358</v>
      </c>
    </row>
    <row r="8024" spans="1:6" x14ac:dyDescent="0.15">
      <c r="A8024">
        <v>8755440</v>
      </c>
      <c r="B8024">
        <v>12085808</v>
      </c>
      <c r="C8024" t="s">
        <v>22</v>
      </c>
      <c r="D8024" t="s">
        <v>114</v>
      </c>
      <c r="E8024" s="4" t="str">
        <f>HYPERLINK("https://ibp.a2mac1.com/costing(costing:projects/details/9760/material/8755440)","PMMA-ASA")</f>
        <v>PMMA-ASA</v>
      </c>
      <c r="F8024" t="s">
        <v>8359</v>
      </c>
    </row>
    <row r="8025" spans="1:6" x14ac:dyDescent="0.15">
      <c r="A8025">
        <v>12212938</v>
      </c>
      <c r="B8025">
        <v>12085808</v>
      </c>
      <c r="C8025" t="s">
        <v>163</v>
      </c>
      <c r="D8025" t="s">
        <v>114</v>
      </c>
      <c r="E8025" s="4" t="str">
        <f>HYPERLINK("https://ibp.a2mac1.com/costing(costing:projects/details/9760/equipment/12212938)","DC machine - General")</f>
        <v>DC machine - General</v>
      </c>
      <c r="F8025" t="s">
        <v>8359</v>
      </c>
    </row>
    <row r="8026" spans="1:6" x14ac:dyDescent="0.15">
      <c r="A8026">
        <v>8416437</v>
      </c>
      <c r="B8026">
        <v>8416099</v>
      </c>
      <c r="C8026" t="s">
        <v>10</v>
      </c>
      <c r="D8026" t="s">
        <v>8</v>
      </c>
      <c r="E8026" s="4" t="str">
        <f>HYPERLINK("https://ibp.a2mac1.com/costing(costing:projects/details/9760/part/8416437)","Trim Bezel Side")</f>
        <v>Trim Bezel Side</v>
      </c>
      <c r="F8026" t="s">
        <v>8347</v>
      </c>
    </row>
    <row r="8027" spans="1:6" x14ac:dyDescent="0.15">
      <c r="A8027">
        <v>12085809</v>
      </c>
      <c r="B8027">
        <v>8416437</v>
      </c>
      <c r="C8027" t="s">
        <v>114</v>
      </c>
      <c r="D8027" t="s">
        <v>10</v>
      </c>
      <c r="E8027" s="4" t="str">
        <f>HYPERLINK("https://ibp.a2mac1.com/costing(costing:projects/details/9760/process/12085809)","Automated Process")</f>
        <v>Automated Process</v>
      </c>
      <c r="F8027" t="s">
        <v>8361</v>
      </c>
    </row>
    <row r="8028" spans="1:6" x14ac:dyDescent="0.15">
      <c r="A8028">
        <v>8755441</v>
      </c>
      <c r="B8028">
        <v>12085809</v>
      </c>
      <c r="C8028" t="s">
        <v>22</v>
      </c>
      <c r="D8028" t="s">
        <v>114</v>
      </c>
      <c r="E8028" s="4" t="str">
        <f>HYPERLINK("https://ibp.a2mac1.com/costing(costing:projects/details/9760/material/8755441)","PP-EPDM-MD35-TD20")</f>
        <v>PP-EPDM-MD35-TD20</v>
      </c>
      <c r="F8028" t="s">
        <v>8363</v>
      </c>
    </row>
    <row r="8029" spans="1:6" x14ac:dyDescent="0.15">
      <c r="A8029">
        <v>12212939</v>
      </c>
      <c r="B8029">
        <v>12085809</v>
      </c>
      <c r="C8029" t="s">
        <v>163</v>
      </c>
      <c r="D8029" t="s">
        <v>114</v>
      </c>
      <c r="E8029" s="4" t="str">
        <f>HYPERLINK("https://ibp.a2mac1.com/costing(costing:projects/details/9760/equipment/12212939)","DC machine - General")</f>
        <v>DC machine - General</v>
      </c>
      <c r="F8029" t="s">
        <v>8363</v>
      </c>
    </row>
    <row r="8030" spans="1:6" x14ac:dyDescent="0.15">
      <c r="A8030">
        <v>8416438</v>
      </c>
      <c r="B8030">
        <v>8416099</v>
      </c>
      <c r="C8030" t="s">
        <v>10</v>
      </c>
      <c r="D8030" t="s">
        <v>8</v>
      </c>
      <c r="E8030" s="4" t="str">
        <f>HYPERLINK("https://ibp.a2mac1.com/costing(costing:projects/details/9760/part/8416438)","2nd Trim Bezel Side")</f>
        <v>2nd Trim Bezel Side</v>
      </c>
      <c r="F8030" t="s">
        <v>8347</v>
      </c>
    </row>
    <row r="8031" spans="1:6" x14ac:dyDescent="0.15">
      <c r="A8031">
        <v>12085810</v>
      </c>
      <c r="B8031">
        <v>8416438</v>
      </c>
      <c r="C8031" t="s">
        <v>114</v>
      </c>
      <c r="D8031" t="s">
        <v>10</v>
      </c>
      <c r="E8031" s="4" t="str">
        <f>HYPERLINK("https://ibp.a2mac1.com/costing(costing:projects/details/9760/process/12085810)","Automated Process")</f>
        <v>Automated Process</v>
      </c>
      <c r="F8031" t="s">
        <v>8366</v>
      </c>
    </row>
    <row r="8032" spans="1:6" x14ac:dyDescent="0.15">
      <c r="A8032">
        <v>8755442</v>
      </c>
      <c r="B8032">
        <v>12085810</v>
      </c>
      <c r="C8032" t="s">
        <v>22</v>
      </c>
      <c r="D8032" t="s">
        <v>114</v>
      </c>
      <c r="E8032" s="4" t="str">
        <f>HYPERLINK("https://ibp.a2mac1.com/costing(costing:projects/details/9760/material/8755442)","PP-EPDM-MD35-TD20")</f>
        <v>PP-EPDM-MD35-TD20</v>
      </c>
      <c r="F8032" t="s">
        <v>8367</v>
      </c>
    </row>
    <row r="8033" spans="1:6" x14ac:dyDescent="0.15">
      <c r="A8033">
        <v>12212940</v>
      </c>
      <c r="B8033">
        <v>12085810</v>
      </c>
      <c r="C8033" t="s">
        <v>163</v>
      </c>
      <c r="D8033" t="s">
        <v>114</v>
      </c>
      <c r="E8033" s="4" t="str">
        <f>HYPERLINK("https://ibp.a2mac1.com/costing(costing:projects/details/9760/equipment/12212940)","DC machine - General")</f>
        <v>DC machine - General</v>
      </c>
      <c r="F8033" t="s">
        <v>8367</v>
      </c>
    </row>
    <row r="8034" spans="1:6" x14ac:dyDescent="0.15">
      <c r="A8034">
        <v>8416100</v>
      </c>
      <c r="B8034">
        <v>8415768</v>
      </c>
      <c r="C8034" t="s">
        <v>8</v>
      </c>
      <c r="D8034" t="s">
        <v>8</v>
      </c>
      <c r="E8034" s="4" t="str">
        <f>HYPERLINK("https://ibp.a2mac1.com/costing(costing:projects/details/9760/assembly/8416100)","Mounting Bracket")</f>
        <v>Mounting Bracket</v>
      </c>
      <c r="F8034" t="s">
        <v>8346</v>
      </c>
    </row>
    <row r="8035" spans="1:6" x14ac:dyDescent="0.15">
      <c r="A8035">
        <v>8416439</v>
      </c>
      <c r="B8035">
        <v>8416100</v>
      </c>
      <c r="C8035" t="s">
        <v>10</v>
      </c>
      <c r="D8035" t="s">
        <v>8</v>
      </c>
      <c r="E8035" s="4" t="str">
        <f>HYPERLINK("https://ibp.a2mac1.com/costing(costing:projects/details/9760/part/8416439)","Lateral 2")</f>
        <v>Lateral 2</v>
      </c>
      <c r="F8035" t="s">
        <v>8370</v>
      </c>
    </row>
    <row r="8036" spans="1:6" x14ac:dyDescent="0.15">
      <c r="A8036">
        <v>12085811</v>
      </c>
      <c r="B8036">
        <v>8416439</v>
      </c>
      <c r="C8036" t="s">
        <v>114</v>
      </c>
      <c r="D8036" t="s">
        <v>10</v>
      </c>
      <c r="E8036" s="4" t="str">
        <f>HYPERLINK("https://ibp.a2mac1.com/costing(costing:projects/details/9760/process/12085811)","Automated Process")</f>
        <v>Automated Process</v>
      </c>
      <c r="F8036" t="s">
        <v>8371</v>
      </c>
    </row>
    <row r="8037" spans="1:6" x14ac:dyDescent="0.15">
      <c r="A8037">
        <v>8755443</v>
      </c>
      <c r="B8037">
        <v>12085811</v>
      </c>
      <c r="C8037" t="s">
        <v>22</v>
      </c>
      <c r="D8037" t="s">
        <v>114</v>
      </c>
      <c r="E8037" s="4" t="str">
        <f>HYPERLINK("https://ibp.a2mac1.com/costing(costing:projects/details/9760/material/8755443)","PP")</f>
        <v>PP</v>
      </c>
      <c r="F8037" t="s">
        <v>8372</v>
      </c>
    </row>
    <row r="8038" spans="1:6" x14ac:dyDescent="0.15">
      <c r="A8038">
        <v>12212941</v>
      </c>
      <c r="B8038">
        <v>12085811</v>
      </c>
      <c r="C8038" t="s">
        <v>163</v>
      </c>
      <c r="D8038" t="s">
        <v>114</v>
      </c>
      <c r="E8038" s="4" t="str">
        <f>HYPERLINK("https://ibp.a2mac1.com/costing(costing:projects/details/9760/equipment/12212941)","DC machine - General")</f>
        <v>DC machine - General</v>
      </c>
      <c r="F8038" t="s">
        <v>8372</v>
      </c>
    </row>
    <row r="8039" spans="1:6" x14ac:dyDescent="0.15">
      <c r="A8039">
        <v>8416440</v>
      </c>
      <c r="B8039">
        <v>8416100</v>
      </c>
      <c r="C8039" t="s">
        <v>10</v>
      </c>
      <c r="D8039" t="s">
        <v>8</v>
      </c>
      <c r="E8039" s="4" t="str">
        <f>HYPERLINK("https://ibp.a2mac1.com/costing(costing:projects/details/9760/part/8416440)","Right 2")</f>
        <v>Right 2</v>
      </c>
      <c r="F8039" t="s">
        <v>8370</v>
      </c>
    </row>
    <row r="8040" spans="1:6" x14ac:dyDescent="0.15">
      <c r="A8040">
        <v>12085812</v>
      </c>
      <c r="B8040">
        <v>8416440</v>
      </c>
      <c r="C8040" t="s">
        <v>114</v>
      </c>
      <c r="D8040" t="s">
        <v>10</v>
      </c>
      <c r="E8040" s="4" t="str">
        <f>HYPERLINK("https://ibp.a2mac1.com/costing(costing:projects/details/9760/process/12085812)","Automated Process")</f>
        <v>Automated Process</v>
      </c>
      <c r="F8040" t="s">
        <v>8375</v>
      </c>
    </row>
    <row r="8041" spans="1:6" x14ac:dyDescent="0.15">
      <c r="A8041">
        <v>8755444</v>
      </c>
      <c r="B8041">
        <v>12085812</v>
      </c>
      <c r="C8041" t="s">
        <v>22</v>
      </c>
      <c r="D8041" t="s">
        <v>114</v>
      </c>
      <c r="E8041" s="4" t="str">
        <f>HYPERLINK("https://ibp.a2mac1.com/costing(costing:projects/details/9760/material/8755444)","PP")</f>
        <v>PP</v>
      </c>
      <c r="F8041" t="s">
        <v>8376</v>
      </c>
    </row>
    <row r="8042" spans="1:6" x14ac:dyDescent="0.15">
      <c r="A8042">
        <v>12212942</v>
      </c>
      <c r="B8042">
        <v>12085812</v>
      </c>
      <c r="C8042" t="s">
        <v>163</v>
      </c>
      <c r="D8042" t="s">
        <v>114</v>
      </c>
      <c r="E8042" s="4" t="str">
        <f>HYPERLINK("https://ibp.a2mac1.com/costing(costing:projects/details/9760/equipment/12212942)","DC machine - General")</f>
        <v>DC machine - General</v>
      </c>
      <c r="F8042" t="s">
        <v>8376</v>
      </c>
    </row>
    <row r="8043" spans="1:6" x14ac:dyDescent="0.15">
      <c r="A8043">
        <v>8416441</v>
      </c>
      <c r="B8043">
        <v>8416100</v>
      </c>
      <c r="C8043" t="s">
        <v>10</v>
      </c>
      <c r="D8043" t="s">
        <v>8</v>
      </c>
      <c r="E8043" s="4" t="str">
        <f>HYPERLINK("https://ibp.a2mac1.com/costing(costing:projects/details/9760/part/8416441)","Upper left")</f>
        <v>Upper left</v>
      </c>
      <c r="F8043" t="s">
        <v>8370</v>
      </c>
    </row>
    <row r="8044" spans="1:6" x14ac:dyDescent="0.15">
      <c r="A8044">
        <v>12085813</v>
      </c>
      <c r="B8044">
        <v>8416441</v>
      </c>
      <c r="C8044" t="s">
        <v>114</v>
      </c>
      <c r="D8044" t="s">
        <v>10</v>
      </c>
      <c r="E8044" s="4" t="str">
        <f>HYPERLINK("https://ibp.a2mac1.com/costing(costing:projects/details/9760/process/12085813)","Automated Process")</f>
        <v>Automated Process</v>
      </c>
      <c r="F8044" t="s">
        <v>8378</v>
      </c>
    </row>
    <row r="8045" spans="1:6" x14ac:dyDescent="0.15">
      <c r="A8045">
        <v>8755445</v>
      </c>
      <c r="B8045">
        <v>12085813</v>
      </c>
      <c r="C8045" t="s">
        <v>22</v>
      </c>
      <c r="D8045" t="s">
        <v>114</v>
      </c>
      <c r="E8045" s="4" t="str">
        <f>HYPERLINK("https://ibp.a2mac1.com/costing(costing:projects/details/9760/material/8755445)","PP-EPDM-MD35-TD20")</f>
        <v>PP-EPDM-MD35-TD20</v>
      </c>
      <c r="F8045" t="s">
        <v>8380</v>
      </c>
    </row>
    <row r="8046" spans="1:6" x14ac:dyDescent="0.15">
      <c r="A8046">
        <v>12212943</v>
      </c>
      <c r="B8046">
        <v>12085813</v>
      </c>
      <c r="C8046" t="s">
        <v>163</v>
      </c>
      <c r="D8046" t="s">
        <v>114</v>
      </c>
      <c r="E8046" s="4" t="str">
        <f>HYPERLINK("https://ibp.a2mac1.com/costing(costing:projects/details/9760/equipment/12212943)","DC machine - General")</f>
        <v>DC machine - General</v>
      </c>
      <c r="F8046" t="s">
        <v>8380</v>
      </c>
    </row>
    <row r="8047" spans="1:6" x14ac:dyDescent="0.15">
      <c r="A8047">
        <v>8416442</v>
      </c>
      <c r="B8047">
        <v>8416100</v>
      </c>
      <c r="C8047" t="s">
        <v>10</v>
      </c>
      <c r="D8047" t="s">
        <v>8</v>
      </c>
      <c r="E8047" s="4" t="str">
        <f>HYPERLINK("https://ibp.a2mac1.com/costing(costing:projects/details/9760/part/8416442)","Upper right")</f>
        <v>Upper right</v>
      </c>
      <c r="F8047" t="s">
        <v>8370</v>
      </c>
    </row>
    <row r="8048" spans="1:6" x14ac:dyDescent="0.15">
      <c r="A8048">
        <v>12085814</v>
      </c>
      <c r="B8048">
        <v>8416442</v>
      </c>
      <c r="C8048" t="s">
        <v>114</v>
      </c>
      <c r="D8048" t="s">
        <v>10</v>
      </c>
      <c r="E8048" s="4" t="str">
        <f>HYPERLINK("https://ibp.a2mac1.com/costing(costing:projects/details/9760/process/12085814)","Automated Process")</f>
        <v>Automated Process</v>
      </c>
      <c r="F8048" t="s">
        <v>8382</v>
      </c>
    </row>
    <row r="8049" spans="1:6" x14ac:dyDescent="0.15">
      <c r="A8049">
        <v>8755446</v>
      </c>
      <c r="B8049">
        <v>12085814</v>
      </c>
      <c r="C8049" t="s">
        <v>22</v>
      </c>
      <c r="D8049" t="s">
        <v>114</v>
      </c>
      <c r="E8049" s="4" t="str">
        <f>HYPERLINK("https://ibp.a2mac1.com/costing(costing:projects/details/9760/material/8755446)","PP-EPDM-MD35-TD20")</f>
        <v>PP-EPDM-MD35-TD20</v>
      </c>
      <c r="F8049" t="s">
        <v>8383</v>
      </c>
    </row>
    <row r="8050" spans="1:6" x14ac:dyDescent="0.15">
      <c r="A8050">
        <v>12212944</v>
      </c>
      <c r="B8050">
        <v>12085814</v>
      </c>
      <c r="C8050" t="s">
        <v>163</v>
      </c>
      <c r="D8050" t="s">
        <v>114</v>
      </c>
      <c r="E8050" s="4" t="str">
        <f>HYPERLINK("https://ibp.a2mac1.com/costing(costing:projects/details/9760/equipment/12212944)","DC machine - General")</f>
        <v>DC machine - General</v>
      </c>
      <c r="F8050" t="s">
        <v>8383</v>
      </c>
    </row>
    <row r="8051" spans="1:6" x14ac:dyDescent="0.15">
      <c r="A8051">
        <v>8754675</v>
      </c>
      <c r="B8051">
        <v>8416100</v>
      </c>
      <c r="C8051" t="s">
        <v>311</v>
      </c>
      <c r="D8051" t="s">
        <v>8</v>
      </c>
      <c r="E8051" s="4" t="str">
        <f>HYPERLINK("https://ibp.a2mac1.com/costing(costing:projects/details/9760/component/8754675)","Rivet &gt; Pop rivet")</f>
        <v>Rivet &gt; Pop rivet</v>
      </c>
      <c r="F8051" t="s">
        <v>8370</v>
      </c>
    </row>
    <row r="8052" spans="1:6" x14ac:dyDescent="0.15">
      <c r="A8052">
        <v>8754676</v>
      </c>
      <c r="B8052">
        <v>8416100</v>
      </c>
      <c r="C8052" t="s">
        <v>311</v>
      </c>
      <c r="D8052" t="s">
        <v>8</v>
      </c>
      <c r="E8052" s="4" t="str">
        <f>HYPERLINK("https://ibp.a2mac1.com/costing(costing:projects/details/9760/component/8754676)","Rivet &gt; Pop rivet")</f>
        <v>Rivet &gt; Pop rivet</v>
      </c>
      <c r="F8052" t="s">
        <v>8370</v>
      </c>
    </row>
    <row r="8053" spans="1:6" x14ac:dyDescent="0.15">
      <c r="A8053">
        <v>8754677</v>
      </c>
      <c r="B8053">
        <v>8416100</v>
      </c>
      <c r="C8053" t="s">
        <v>311</v>
      </c>
      <c r="D8053" t="s">
        <v>8</v>
      </c>
      <c r="E8053" s="4" t="str">
        <f>HYPERLINK("https://ibp.a2mac1.com/costing(costing:projects/details/9760/component/8754677)","Rivet &gt; Pop rivet")</f>
        <v>Rivet &gt; Pop rivet</v>
      </c>
      <c r="F8053" t="s">
        <v>8370</v>
      </c>
    </row>
    <row r="8054" spans="1:6" x14ac:dyDescent="0.15">
      <c r="A8054">
        <v>8754678</v>
      </c>
      <c r="B8054">
        <v>8416100</v>
      </c>
      <c r="C8054" t="s">
        <v>311</v>
      </c>
      <c r="D8054" t="s">
        <v>8</v>
      </c>
      <c r="E8054" s="4" t="str">
        <f>HYPERLINK("https://ibp.a2mac1.com/costing(costing:projects/details/9760/component/8754678)","Rivet &gt; Pop rivet")</f>
        <v>Rivet &gt; Pop rivet</v>
      </c>
      <c r="F8054" t="s">
        <v>8370</v>
      </c>
    </row>
    <row r="8055" spans="1:6" x14ac:dyDescent="0.15">
      <c r="A8055">
        <v>8416101</v>
      </c>
      <c r="B8055">
        <v>8415768</v>
      </c>
      <c r="C8055" t="s">
        <v>8</v>
      </c>
      <c r="D8055" t="s">
        <v>8</v>
      </c>
      <c r="E8055" s="4" t="str">
        <f>HYPERLINK("https://ibp.a2mac1.com/costing(costing:projects/details/9760/assembly/8416101)","Brake Ventilation System")</f>
        <v>Brake Ventilation System</v>
      </c>
      <c r="F8055" t="s">
        <v>8346</v>
      </c>
    </row>
    <row r="8056" spans="1:6" x14ac:dyDescent="0.15">
      <c r="A8056">
        <v>8416443</v>
      </c>
      <c r="B8056">
        <v>8416101</v>
      </c>
      <c r="C8056" t="s">
        <v>10</v>
      </c>
      <c r="D8056" t="s">
        <v>8</v>
      </c>
      <c r="E8056" s="4" t="str">
        <f>HYPERLINK("https://ibp.a2mac1.com/costing(costing:projects/details/9760/part/8416443)","Left Deflector")</f>
        <v>Left Deflector</v>
      </c>
      <c r="F8056" t="s">
        <v>8386</v>
      </c>
    </row>
    <row r="8057" spans="1:6" x14ac:dyDescent="0.15">
      <c r="A8057">
        <v>12085815</v>
      </c>
      <c r="B8057">
        <v>8416443</v>
      </c>
      <c r="C8057" t="s">
        <v>114</v>
      </c>
      <c r="D8057" t="s">
        <v>10</v>
      </c>
      <c r="E8057" s="4" t="str">
        <f>HYPERLINK("https://ibp.a2mac1.com/costing(costing:projects/details/9760/process/12085815)","Automated Process")</f>
        <v>Automated Process</v>
      </c>
      <c r="F8057" t="s">
        <v>8387</v>
      </c>
    </row>
    <row r="8058" spans="1:6" x14ac:dyDescent="0.15">
      <c r="A8058">
        <v>8755447</v>
      </c>
      <c r="B8058">
        <v>12085815</v>
      </c>
      <c r="C8058" t="s">
        <v>22</v>
      </c>
      <c r="D8058" t="s">
        <v>114</v>
      </c>
      <c r="E8058" s="4" t="str">
        <f>HYPERLINK("https://ibp.a2mac1.com/costing(costing:projects/details/9760/material/8755447)","PP")</f>
        <v>PP</v>
      </c>
      <c r="F8058" t="s">
        <v>8390</v>
      </c>
    </row>
    <row r="8059" spans="1:6" x14ac:dyDescent="0.15">
      <c r="A8059">
        <v>12212945</v>
      </c>
      <c r="B8059">
        <v>12085815</v>
      </c>
      <c r="C8059" t="s">
        <v>163</v>
      </c>
      <c r="D8059" t="s">
        <v>114</v>
      </c>
      <c r="E8059" s="4" t="str">
        <f>HYPERLINK("https://ibp.a2mac1.com/costing(costing:projects/details/9760/equipment/12212945)","DC machine - General")</f>
        <v>DC machine - General</v>
      </c>
      <c r="F8059" t="s">
        <v>8390</v>
      </c>
    </row>
    <row r="8060" spans="1:6" x14ac:dyDescent="0.15">
      <c r="A8060">
        <v>8416444</v>
      </c>
      <c r="B8060">
        <v>8416101</v>
      </c>
      <c r="C8060" t="s">
        <v>10</v>
      </c>
      <c r="D8060" t="s">
        <v>8</v>
      </c>
      <c r="E8060" s="4" t="str">
        <f>HYPERLINK("https://ibp.a2mac1.com/costing(costing:projects/details/9760/part/8416444)","Left Deflector 2")</f>
        <v>Left Deflector 2</v>
      </c>
      <c r="F8060" t="s">
        <v>8386</v>
      </c>
    </row>
    <row r="8061" spans="1:6" x14ac:dyDescent="0.15">
      <c r="A8061">
        <v>12085816</v>
      </c>
      <c r="B8061">
        <v>8416444</v>
      </c>
      <c r="C8061" t="s">
        <v>114</v>
      </c>
      <c r="D8061" t="s">
        <v>10</v>
      </c>
      <c r="E8061" s="4" t="str">
        <f>HYPERLINK("https://ibp.a2mac1.com/costing(costing:projects/details/9760/process/12085816)","Automated Process")</f>
        <v>Automated Process</v>
      </c>
      <c r="F8061" t="s">
        <v>8392</v>
      </c>
    </row>
    <row r="8062" spans="1:6" x14ac:dyDescent="0.15">
      <c r="A8062">
        <v>8755448</v>
      </c>
      <c r="B8062">
        <v>12085816</v>
      </c>
      <c r="C8062" t="s">
        <v>22</v>
      </c>
      <c r="D8062" t="s">
        <v>114</v>
      </c>
      <c r="E8062" s="4" t="str">
        <f>HYPERLINK("https://ibp.a2mac1.com/costing(costing:projects/details/9760/material/8755448)","PP-EPDM-MD35-TD20")</f>
        <v>PP-EPDM-MD35-TD20</v>
      </c>
      <c r="F8062" t="s">
        <v>8395</v>
      </c>
    </row>
    <row r="8063" spans="1:6" x14ac:dyDescent="0.15">
      <c r="A8063">
        <v>12212946</v>
      </c>
      <c r="B8063">
        <v>12085816</v>
      </c>
      <c r="C8063" t="s">
        <v>163</v>
      </c>
      <c r="D8063" t="s">
        <v>114</v>
      </c>
      <c r="E8063" s="4" t="str">
        <f>HYPERLINK("https://ibp.a2mac1.com/costing(costing:projects/details/9760/equipment/12212946)","DC machine - General")</f>
        <v>DC machine - General</v>
      </c>
      <c r="F8063" t="s">
        <v>8395</v>
      </c>
    </row>
    <row r="8064" spans="1:6" x14ac:dyDescent="0.15">
      <c r="A8064">
        <v>8416445</v>
      </c>
      <c r="B8064">
        <v>8416101</v>
      </c>
      <c r="C8064" t="s">
        <v>10</v>
      </c>
      <c r="D8064" t="s">
        <v>8</v>
      </c>
      <c r="E8064" s="4" t="str">
        <f>HYPERLINK("https://ibp.a2mac1.com/costing(costing:projects/details/9760/part/8416445)","Right Deflector")</f>
        <v>Right Deflector</v>
      </c>
      <c r="F8064" t="s">
        <v>8386</v>
      </c>
    </row>
    <row r="8065" spans="1:6" x14ac:dyDescent="0.15">
      <c r="A8065">
        <v>12085817</v>
      </c>
      <c r="B8065">
        <v>8416445</v>
      </c>
      <c r="C8065" t="s">
        <v>114</v>
      </c>
      <c r="D8065" t="s">
        <v>10</v>
      </c>
      <c r="E8065" s="4" t="str">
        <f>HYPERLINK("https://ibp.a2mac1.com/costing(costing:projects/details/9760/process/12085817)","Automated Process")</f>
        <v>Automated Process</v>
      </c>
      <c r="F8065" t="s">
        <v>8397</v>
      </c>
    </row>
    <row r="8066" spans="1:6" x14ac:dyDescent="0.15">
      <c r="A8066">
        <v>8755449</v>
      </c>
      <c r="B8066">
        <v>12085817</v>
      </c>
      <c r="C8066" t="s">
        <v>22</v>
      </c>
      <c r="D8066" t="s">
        <v>114</v>
      </c>
      <c r="E8066" s="4" t="str">
        <f>HYPERLINK("https://ibp.a2mac1.com/costing(costing:projects/details/9760/material/8755449)","PP")</f>
        <v>PP</v>
      </c>
      <c r="F8066" t="s">
        <v>8400</v>
      </c>
    </row>
    <row r="8067" spans="1:6" x14ac:dyDescent="0.15">
      <c r="A8067">
        <v>12212947</v>
      </c>
      <c r="B8067">
        <v>12085817</v>
      </c>
      <c r="C8067" t="s">
        <v>163</v>
      </c>
      <c r="D8067" t="s">
        <v>114</v>
      </c>
      <c r="E8067" s="4" t="str">
        <f>HYPERLINK("https://ibp.a2mac1.com/costing(costing:projects/details/9760/equipment/12212947)","DC machine - General")</f>
        <v>DC machine - General</v>
      </c>
      <c r="F8067" t="s">
        <v>8400</v>
      </c>
    </row>
    <row r="8068" spans="1:6" x14ac:dyDescent="0.15">
      <c r="A8068">
        <v>8416446</v>
      </c>
      <c r="B8068">
        <v>8416101</v>
      </c>
      <c r="C8068" t="s">
        <v>10</v>
      </c>
      <c r="D8068" t="s">
        <v>8</v>
      </c>
      <c r="E8068" s="4" t="str">
        <f>HYPERLINK("https://ibp.a2mac1.com/costing(costing:projects/details/9760/part/8416446)","Right Deflector 2")</f>
        <v>Right Deflector 2</v>
      </c>
      <c r="F8068" t="s">
        <v>8386</v>
      </c>
    </row>
    <row r="8069" spans="1:6" x14ac:dyDescent="0.15">
      <c r="A8069">
        <v>12085818</v>
      </c>
      <c r="B8069">
        <v>8416446</v>
      </c>
      <c r="C8069" t="s">
        <v>114</v>
      </c>
      <c r="D8069" t="s">
        <v>10</v>
      </c>
      <c r="E8069" s="4" t="str">
        <f>HYPERLINK("https://ibp.a2mac1.com/costing(costing:projects/details/9760/process/12085818)","Automated Process")</f>
        <v>Automated Process</v>
      </c>
      <c r="F8069" t="s">
        <v>8402</v>
      </c>
    </row>
    <row r="8070" spans="1:6" x14ac:dyDescent="0.15">
      <c r="A8070">
        <v>8755450</v>
      </c>
      <c r="B8070">
        <v>12085818</v>
      </c>
      <c r="C8070" t="s">
        <v>22</v>
      </c>
      <c r="D8070" t="s">
        <v>114</v>
      </c>
      <c r="E8070" s="4" t="str">
        <f>HYPERLINK("https://ibp.a2mac1.com/costing(costing:projects/details/9760/material/8755450)","PP-EPDM-MD35-TD20")</f>
        <v>PP-EPDM-MD35-TD20</v>
      </c>
      <c r="F8070" t="s">
        <v>8403</v>
      </c>
    </row>
    <row r="8071" spans="1:6" x14ac:dyDescent="0.15">
      <c r="A8071">
        <v>12212948</v>
      </c>
      <c r="B8071">
        <v>12085818</v>
      </c>
      <c r="C8071" t="s">
        <v>163</v>
      </c>
      <c r="D8071" t="s">
        <v>114</v>
      </c>
      <c r="E8071" s="4" t="str">
        <f>HYPERLINK("https://ibp.a2mac1.com/costing(costing:projects/details/9760/equipment/12212948)","DC machine - General")</f>
        <v>DC machine - General</v>
      </c>
      <c r="F8071" t="s">
        <v>8403</v>
      </c>
    </row>
    <row r="8072" spans="1:6" x14ac:dyDescent="0.15">
      <c r="A8072">
        <v>8754679</v>
      </c>
      <c r="B8072">
        <v>8416101</v>
      </c>
      <c r="C8072" t="s">
        <v>311</v>
      </c>
      <c r="D8072" t="s">
        <v>8</v>
      </c>
      <c r="E8072" s="4" t="str">
        <f>HYPERLINK("https://ibp.a2mac1.com/costing(costing:projects/details/9760/component/8754679)","Rivet &gt; Head rivet")</f>
        <v>Rivet &gt; Head rivet</v>
      </c>
      <c r="F8072" t="s">
        <v>8386</v>
      </c>
    </row>
    <row r="8073" spans="1:6" x14ac:dyDescent="0.15">
      <c r="A8073">
        <v>8754680</v>
      </c>
      <c r="B8073">
        <v>8416101</v>
      </c>
      <c r="C8073" t="s">
        <v>311</v>
      </c>
      <c r="D8073" t="s">
        <v>8</v>
      </c>
      <c r="E8073" s="4" t="str">
        <f>HYPERLINK("https://ibp.a2mac1.com/costing(costing:projects/details/9760/component/8754680)","Screw &gt; Torx screw with flange")</f>
        <v>Screw &gt; Torx screw with flange</v>
      </c>
      <c r="F8073" t="s">
        <v>8386</v>
      </c>
    </row>
    <row r="8074" spans="1:6" x14ac:dyDescent="0.15">
      <c r="A8074">
        <v>8754681</v>
      </c>
      <c r="B8074">
        <v>8416101</v>
      </c>
      <c r="C8074" t="s">
        <v>311</v>
      </c>
      <c r="D8074" t="s">
        <v>8</v>
      </c>
      <c r="E8074" s="4" t="str">
        <f>HYPERLINK("https://ibp.a2mac1.com/costing(costing:projects/details/9760/component/8754681)","Rivet &gt; Head rivet")</f>
        <v>Rivet &gt; Head rivet</v>
      </c>
      <c r="F8074" t="s">
        <v>8386</v>
      </c>
    </row>
    <row r="8075" spans="1:6" x14ac:dyDescent="0.15">
      <c r="A8075">
        <v>8754682</v>
      </c>
      <c r="B8075">
        <v>8416101</v>
      </c>
      <c r="C8075" t="s">
        <v>311</v>
      </c>
      <c r="D8075" t="s">
        <v>8</v>
      </c>
      <c r="E8075" s="4" t="str">
        <f>HYPERLINK("https://ibp.a2mac1.com/costing(costing:projects/details/9760/component/8754682)","Screw &gt; Torx screw with flange")</f>
        <v>Screw &gt; Torx screw with flange</v>
      </c>
      <c r="F8075" t="s">
        <v>8386</v>
      </c>
    </row>
    <row r="8076" spans="1:6" x14ac:dyDescent="0.15">
      <c r="A8076">
        <v>8416092</v>
      </c>
      <c r="B8076">
        <v>8415768</v>
      </c>
      <c r="C8076" t="s">
        <v>10</v>
      </c>
      <c r="D8076" t="s">
        <v>8</v>
      </c>
      <c r="E8076" s="4" t="str">
        <f>HYPERLINK("https://ibp.a2mac1.com/costing(costing:projects/details/9760/part/8416092)","Bumper")</f>
        <v>Bumper</v>
      </c>
      <c r="F8076" t="s">
        <v>8346</v>
      </c>
    </row>
    <row r="8077" spans="1:6" x14ac:dyDescent="0.15">
      <c r="A8077">
        <v>12085396</v>
      </c>
      <c r="B8077">
        <v>8416092</v>
      </c>
      <c r="C8077" t="s">
        <v>114</v>
      </c>
      <c r="D8077" t="s">
        <v>10</v>
      </c>
      <c r="E8077" s="4" t="str">
        <f>HYPERLINK("https://ibp.a2mac1.com/costing(costing:projects/details/9760/process/12085396)","Automated Process")</f>
        <v>Automated Process</v>
      </c>
      <c r="F8077" t="s">
        <v>8406</v>
      </c>
    </row>
    <row r="8078" spans="1:6" x14ac:dyDescent="0.15">
      <c r="A8078">
        <v>8755065</v>
      </c>
      <c r="B8078">
        <v>12085396</v>
      </c>
      <c r="C8078" t="s">
        <v>22</v>
      </c>
      <c r="D8078" t="s">
        <v>114</v>
      </c>
      <c r="E8078" s="4" t="str">
        <f>HYPERLINK("https://ibp.a2mac1.com/costing(costing:projects/details/9760/material/8755065)","PP-EPDM-MD35-TD20")</f>
        <v>PP-EPDM-MD35-TD20</v>
      </c>
      <c r="F8078" t="s">
        <v>8409</v>
      </c>
    </row>
    <row r="8079" spans="1:6" x14ac:dyDescent="0.15">
      <c r="A8079">
        <v>12212492</v>
      </c>
      <c r="B8079">
        <v>12085396</v>
      </c>
      <c r="C8079" t="s">
        <v>163</v>
      </c>
      <c r="D8079" t="s">
        <v>114</v>
      </c>
      <c r="E8079" s="4" t="str">
        <f>HYPERLINK("https://ibp.a2mac1.com/costing(costing:projects/details/9760/equipment/12212492)","DC machine - General")</f>
        <v>DC machine - General</v>
      </c>
      <c r="F8079" t="s">
        <v>8409</v>
      </c>
    </row>
    <row r="8080" spans="1:6" x14ac:dyDescent="0.15">
      <c r="A8080">
        <v>8416093</v>
      </c>
      <c r="B8080">
        <v>8415768</v>
      </c>
      <c r="C8080" t="s">
        <v>10</v>
      </c>
      <c r="D8080" t="s">
        <v>8</v>
      </c>
      <c r="E8080" s="4" t="str">
        <f>HYPERLINK("https://ibp.a2mac1.com/costing(costing:projects/details/9760/part/8416093)","Lower Trim")</f>
        <v>Lower Trim</v>
      </c>
      <c r="F8080" t="s">
        <v>8346</v>
      </c>
    </row>
    <row r="8081" spans="1:6" x14ac:dyDescent="0.15">
      <c r="A8081">
        <v>12085397</v>
      </c>
      <c r="B8081">
        <v>8416093</v>
      </c>
      <c r="C8081" t="s">
        <v>114</v>
      </c>
      <c r="D8081" t="s">
        <v>10</v>
      </c>
      <c r="E8081" s="4" t="str">
        <f>HYPERLINK("https://ibp.a2mac1.com/costing(costing:projects/details/9760/process/12085397)","Automated Process")</f>
        <v>Automated Process</v>
      </c>
      <c r="F8081" t="s">
        <v>8411</v>
      </c>
    </row>
    <row r="8082" spans="1:6" x14ac:dyDescent="0.15">
      <c r="A8082">
        <v>8755066</v>
      </c>
      <c r="B8082">
        <v>12085397</v>
      </c>
      <c r="C8082" t="s">
        <v>22</v>
      </c>
      <c r="D8082" t="s">
        <v>114</v>
      </c>
      <c r="E8082" s="4" t="str">
        <f>HYPERLINK("https://ibp.a2mac1.com/costing(costing:projects/details/9760/material/8755066)","PP-EPDM-MD35-TD20")</f>
        <v>PP-EPDM-MD35-TD20</v>
      </c>
      <c r="F8082" t="s">
        <v>8414</v>
      </c>
    </row>
    <row r="8083" spans="1:6" x14ac:dyDescent="0.15">
      <c r="A8083">
        <v>12212493</v>
      </c>
      <c r="B8083">
        <v>12085397</v>
      </c>
      <c r="C8083" t="s">
        <v>163</v>
      </c>
      <c r="D8083" t="s">
        <v>114</v>
      </c>
      <c r="E8083" s="4" t="str">
        <f>HYPERLINK("https://ibp.a2mac1.com/costing(costing:projects/details/9760/equipment/12212493)","DC machine - General")</f>
        <v>DC machine - General</v>
      </c>
      <c r="F8083" t="s">
        <v>8414</v>
      </c>
    </row>
    <row r="8084" spans="1:6" x14ac:dyDescent="0.15">
      <c r="A8084">
        <v>8416094</v>
      </c>
      <c r="B8084">
        <v>8415768</v>
      </c>
      <c r="C8084" t="s">
        <v>10</v>
      </c>
      <c r="D8084" t="s">
        <v>8</v>
      </c>
      <c r="E8084" s="4" t="str">
        <f>HYPERLINK("https://ibp.a2mac1.com/costing(costing:projects/details/9760/part/8416094)","License Plate Support")</f>
        <v>License Plate Support</v>
      </c>
      <c r="F8084" t="s">
        <v>8346</v>
      </c>
    </row>
    <row r="8085" spans="1:6" x14ac:dyDescent="0.15">
      <c r="A8085">
        <v>12085398</v>
      </c>
      <c r="B8085">
        <v>8416094</v>
      </c>
      <c r="C8085" t="s">
        <v>114</v>
      </c>
      <c r="D8085" t="s">
        <v>10</v>
      </c>
      <c r="E8085" s="4" t="str">
        <f>HYPERLINK("https://ibp.a2mac1.com/costing(costing:projects/details/9760/process/12085398)","Automated Process")</f>
        <v>Automated Process</v>
      </c>
      <c r="F8085" t="s">
        <v>8416</v>
      </c>
    </row>
    <row r="8086" spans="1:6" x14ac:dyDescent="0.15">
      <c r="A8086">
        <v>8755067</v>
      </c>
      <c r="B8086">
        <v>12085398</v>
      </c>
      <c r="C8086" t="s">
        <v>22</v>
      </c>
      <c r="D8086" t="s">
        <v>114</v>
      </c>
      <c r="E8086" s="4" t="str">
        <f>HYPERLINK("https://ibp.a2mac1.com/costing(costing:projects/details/9760/material/8755067)","PP-EPDM-MD35-TD20")</f>
        <v>PP-EPDM-MD35-TD20</v>
      </c>
      <c r="F8086" t="s">
        <v>8418</v>
      </c>
    </row>
    <row r="8087" spans="1:6" x14ac:dyDescent="0.15">
      <c r="A8087">
        <v>12212494</v>
      </c>
      <c r="B8087">
        <v>12085398</v>
      </c>
      <c r="C8087" t="s">
        <v>163</v>
      </c>
      <c r="D8087" t="s">
        <v>114</v>
      </c>
      <c r="E8087" s="4" t="str">
        <f>HYPERLINK("https://ibp.a2mac1.com/costing(costing:projects/details/9760/equipment/12212494)","DC machine - General")</f>
        <v>DC machine - General</v>
      </c>
      <c r="F8087" t="s">
        <v>8418</v>
      </c>
    </row>
    <row r="8088" spans="1:6" x14ac:dyDescent="0.15">
      <c r="A8088">
        <v>8416095</v>
      </c>
      <c r="B8088">
        <v>8415768</v>
      </c>
      <c r="C8088" t="s">
        <v>10</v>
      </c>
      <c r="D8088" t="s">
        <v>8</v>
      </c>
      <c r="E8088" s="4" t="str">
        <f>HYPERLINK("https://ibp.a2mac1.com/costing(costing:projects/details/9760/part/8416095)","Towing Hook Fastener Cover")</f>
        <v>Towing Hook Fastener Cover</v>
      </c>
      <c r="F8088" t="s">
        <v>8346</v>
      </c>
    </row>
    <row r="8089" spans="1:6" x14ac:dyDescent="0.15">
      <c r="A8089">
        <v>12085399</v>
      </c>
      <c r="B8089">
        <v>8416095</v>
      </c>
      <c r="C8089" t="s">
        <v>114</v>
      </c>
      <c r="D8089" t="s">
        <v>10</v>
      </c>
      <c r="E8089" s="4" t="str">
        <f>HYPERLINK("https://ibp.a2mac1.com/costing(costing:projects/details/9760/process/12085399)","Automated Process")</f>
        <v>Automated Process</v>
      </c>
      <c r="F8089" t="s">
        <v>8420</v>
      </c>
    </row>
    <row r="8090" spans="1:6" x14ac:dyDescent="0.15">
      <c r="A8090">
        <v>8755068</v>
      </c>
      <c r="B8090">
        <v>12085399</v>
      </c>
      <c r="C8090" t="s">
        <v>22</v>
      </c>
      <c r="D8090" t="s">
        <v>114</v>
      </c>
      <c r="E8090" s="4" t="str">
        <f>HYPERLINK("https://ibp.a2mac1.com/costing(costing:projects/details/9760/material/8755068)","PP")</f>
        <v>PP</v>
      </c>
      <c r="F8090" t="s">
        <v>8422</v>
      </c>
    </row>
    <row r="8091" spans="1:6" x14ac:dyDescent="0.15">
      <c r="A8091">
        <v>12212495</v>
      </c>
      <c r="B8091">
        <v>12085399</v>
      </c>
      <c r="C8091" t="s">
        <v>163</v>
      </c>
      <c r="D8091" t="s">
        <v>114</v>
      </c>
      <c r="E8091" s="4" t="str">
        <f>HYPERLINK("https://ibp.a2mac1.com/costing(costing:projects/details/9760/equipment/12212495)","DC machine - General")</f>
        <v>DC machine - General</v>
      </c>
      <c r="F8091" t="s">
        <v>8422</v>
      </c>
    </row>
    <row r="8092" spans="1:6" x14ac:dyDescent="0.15">
      <c r="A8092">
        <v>8416096</v>
      </c>
      <c r="B8092">
        <v>8415768</v>
      </c>
      <c r="C8092" t="s">
        <v>10</v>
      </c>
      <c r="D8092" t="s">
        <v>8</v>
      </c>
      <c r="E8092" s="4" t="str">
        <f>HYPERLINK("https://ibp.a2mac1.com/costing(costing:projects/details/9760/part/8416096)","Front Bumper Harness")</f>
        <v>Front Bumper Harness</v>
      </c>
      <c r="F8092" t="s">
        <v>8346</v>
      </c>
    </row>
    <row r="8093" spans="1:6" x14ac:dyDescent="0.15">
      <c r="A8093">
        <v>12085400</v>
      </c>
      <c r="B8093">
        <v>8416096</v>
      </c>
      <c r="C8093" t="s">
        <v>114</v>
      </c>
      <c r="D8093" t="s">
        <v>10</v>
      </c>
      <c r="E8093" s="4" t="str">
        <f>HYPERLINK("https://ibp.a2mac1.com/costing(costing:projects/details/9760/process/12085400)","Process")</f>
        <v>Process</v>
      </c>
      <c r="F8093" t="s">
        <v>8424</v>
      </c>
    </row>
    <row r="8094" spans="1:6" x14ac:dyDescent="0.15">
      <c r="A8094">
        <v>12212496</v>
      </c>
      <c r="B8094">
        <v>12085400</v>
      </c>
      <c r="C8094" t="s">
        <v>163</v>
      </c>
      <c r="D8094" t="s">
        <v>114</v>
      </c>
      <c r="E8094" s="4" t="str">
        <f>HYPERLINK("https://ibp.a2mac1.com/costing(costing:projects/details/9760/equipment/12212496)","Dummy Machine (Wireharness production line)")</f>
        <v>Dummy Machine (Wireharness production line)</v>
      </c>
      <c r="F8094" t="s">
        <v>8425</v>
      </c>
    </row>
    <row r="8095" spans="1:6" x14ac:dyDescent="0.15">
      <c r="A8095">
        <v>8754673</v>
      </c>
      <c r="B8095">
        <v>8416096</v>
      </c>
      <c r="C8095" t="s">
        <v>311</v>
      </c>
      <c r="D8095" t="s">
        <v>10</v>
      </c>
      <c r="E8095" s="4" t="str">
        <f>HYPERLINK("https://ibp.a2mac1.com/costing(costing:projects/details/9760/component/8754673)","Copper")</f>
        <v>Copper</v>
      </c>
      <c r="F8095" t="s">
        <v>8424</v>
      </c>
    </row>
    <row r="8096" spans="1:6" x14ac:dyDescent="0.15">
      <c r="A8096">
        <v>8754674</v>
      </c>
      <c r="B8096">
        <v>8416096</v>
      </c>
      <c r="C8096" t="s">
        <v>311</v>
      </c>
      <c r="D8096" t="s">
        <v>10</v>
      </c>
      <c r="E8096" s="4" t="str">
        <f>HYPERLINK("https://ibp.a2mac1.com/costing(costing:projects/details/9760/component/8754674)","Material")</f>
        <v>Material</v>
      </c>
      <c r="F8096" t="s">
        <v>8424</v>
      </c>
    </row>
    <row r="8097" spans="1:6" x14ac:dyDescent="0.15">
      <c r="A8097">
        <v>8416097</v>
      </c>
      <c r="B8097">
        <v>8415768</v>
      </c>
      <c r="C8097" t="s">
        <v>10</v>
      </c>
      <c r="D8097" t="s">
        <v>8</v>
      </c>
      <c r="E8097" s="4" t="str">
        <f>HYPERLINK("https://ibp.a2mac1.com/costing(costing:projects/details/9760/part/8416097)","Pedestrian Impact Sensor")</f>
        <v>Pedestrian Impact Sensor</v>
      </c>
      <c r="F8097" t="s">
        <v>8346</v>
      </c>
    </row>
    <row r="8098" spans="1:6" x14ac:dyDescent="0.15">
      <c r="A8098">
        <v>8416098</v>
      </c>
      <c r="B8098">
        <v>8415768</v>
      </c>
      <c r="C8098" t="s">
        <v>10</v>
      </c>
      <c r="D8098" t="s">
        <v>8</v>
      </c>
      <c r="E8098" s="4" t="str">
        <f>HYPERLINK("https://ibp.a2mac1.com/costing(costing:projects/details/9760/part/8416098)","Pedestrian Impact Sensor Pressure Line")</f>
        <v>Pedestrian Impact Sensor Pressure Line</v>
      </c>
      <c r="F8098" t="s">
        <v>8346</v>
      </c>
    </row>
    <row r="8099" spans="1:6" x14ac:dyDescent="0.15">
      <c r="A8099">
        <v>8754467</v>
      </c>
      <c r="B8099">
        <v>8415768</v>
      </c>
      <c r="C8099" t="s">
        <v>311</v>
      </c>
      <c r="D8099" t="s">
        <v>8</v>
      </c>
      <c r="E8099" s="4" t="str">
        <f>HYPERLINK("https://ibp.a2mac1.com/costing(costing:projects/details/9760/component/8754467)","Screw &gt; Various shape screw with captive washer")</f>
        <v>Screw &gt; Various shape screw with captive washer</v>
      </c>
      <c r="F8099" t="s">
        <v>8346</v>
      </c>
    </row>
    <row r="8100" spans="1:6" x14ac:dyDescent="0.15">
      <c r="A8100">
        <v>8754468</v>
      </c>
      <c r="B8100">
        <v>8415768</v>
      </c>
      <c r="C8100" t="s">
        <v>311</v>
      </c>
      <c r="D8100" t="s">
        <v>8</v>
      </c>
      <c r="E8100" s="4" t="str">
        <f>HYPERLINK("https://ibp.a2mac1.com/costing(costing:projects/details/9760/component/8754468)","Screw &gt; Torx screw with flange")</f>
        <v>Screw &gt; Torx screw with flange</v>
      </c>
      <c r="F8100" t="s">
        <v>8346</v>
      </c>
    </row>
    <row r="8101" spans="1:6" x14ac:dyDescent="0.15">
      <c r="A8101">
        <v>8754469</v>
      </c>
      <c r="B8101">
        <v>8415768</v>
      </c>
      <c r="C8101" t="s">
        <v>311</v>
      </c>
      <c r="D8101" t="s">
        <v>8</v>
      </c>
      <c r="E8101" s="4" t="str">
        <f>HYPERLINK("https://ibp.a2mac1.com/costing(costing:projects/details/9760/component/8754469)","Rivet &gt; Pop rivet")</f>
        <v>Rivet &gt; Pop rivet</v>
      </c>
      <c r="F8101" t="s">
        <v>8346</v>
      </c>
    </row>
    <row r="8102" spans="1:6" x14ac:dyDescent="0.15">
      <c r="A8102">
        <v>8754470</v>
      </c>
      <c r="B8102">
        <v>8415768</v>
      </c>
      <c r="C8102" t="s">
        <v>311</v>
      </c>
      <c r="D8102" t="s">
        <v>8</v>
      </c>
      <c r="E8102" s="4" t="str">
        <f>HYPERLINK("https://ibp.a2mac1.com/costing(costing:projects/details/9760/component/8754470)","Tube/cluster support &gt; Tube/cluster strap support in hole")</f>
        <v>Tube/cluster support &gt; Tube/cluster strap support in hole</v>
      </c>
      <c r="F8102" t="s">
        <v>8346</v>
      </c>
    </row>
    <row r="8103" spans="1:6" x14ac:dyDescent="0.15">
      <c r="A8103">
        <v>8415769</v>
      </c>
      <c r="B8103">
        <v>8415608</v>
      </c>
      <c r="C8103" t="s">
        <v>8</v>
      </c>
      <c r="D8103" t="s">
        <v>8</v>
      </c>
      <c r="E8103" s="4" t="str">
        <f>HYPERLINK("https://ibp.a2mac1.com/costing(costing:projects/details/9760/assembly/8415769)","Wheel Arch Liner")</f>
        <v>Wheel Arch Liner</v>
      </c>
      <c r="F8103" t="s">
        <v>8345</v>
      </c>
    </row>
    <row r="8104" spans="1:6" x14ac:dyDescent="0.15">
      <c r="A8104">
        <v>8416104</v>
      </c>
      <c r="B8104">
        <v>8415769</v>
      </c>
      <c r="C8104" t="s">
        <v>8</v>
      </c>
      <c r="D8104" t="s">
        <v>8</v>
      </c>
      <c r="E8104" s="4" t="str">
        <f>HYPERLINK("https://ibp.a2mac1.com/costing(costing:projects/details/9760/assembly/8416104)","Left")</f>
        <v>Left</v>
      </c>
      <c r="F8104" t="s">
        <v>8430</v>
      </c>
    </row>
    <row r="8105" spans="1:6" x14ac:dyDescent="0.15">
      <c r="A8105">
        <v>8416447</v>
      </c>
      <c r="B8105">
        <v>8416104</v>
      </c>
      <c r="C8105" t="s">
        <v>10</v>
      </c>
      <c r="D8105" t="s">
        <v>8</v>
      </c>
      <c r="E8105" s="4" t="str">
        <f>HYPERLINK("https://ibp.a2mac1.com/costing(costing:projects/details/9760/part/8416447)","Wheel Arch Liner")</f>
        <v>Wheel Arch Liner</v>
      </c>
      <c r="F8105" t="s">
        <v>8431</v>
      </c>
    </row>
    <row r="8106" spans="1:6" x14ac:dyDescent="0.15">
      <c r="A8106">
        <v>12085819</v>
      </c>
      <c r="B8106">
        <v>8416447</v>
      </c>
      <c r="C8106" t="s">
        <v>114</v>
      </c>
      <c r="D8106" t="s">
        <v>10</v>
      </c>
      <c r="E8106" s="4" t="str">
        <f>HYPERLINK("https://ibp.a2mac1.com/costing(costing:projects/details/9760/process/12085819)","Automated Process")</f>
        <v>Automated Process</v>
      </c>
      <c r="F8106" t="s">
        <v>8432</v>
      </c>
    </row>
    <row r="8107" spans="1:6" x14ac:dyDescent="0.15">
      <c r="A8107">
        <v>8755451</v>
      </c>
      <c r="B8107">
        <v>12085819</v>
      </c>
      <c r="C8107" t="s">
        <v>22</v>
      </c>
      <c r="D8107" t="s">
        <v>114</v>
      </c>
      <c r="E8107" s="4" t="str">
        <f>HYPERLINK("https://ibp.a2mac1.com/costing(costing:projects/details/9760/material/8755451)","PP-PET")</f>
        <v>PP-PET</v>
      </c>
      <c r="F8107" t="s">
        <v>8435</v>
      </c>
    </row>
    <row r="8108" spans="1:6" x14ac:dyDescent="0.15">
      <c r="A8108">
        <v>12212949</v>
      </c>
      <c r="B8108">
        <v>12085819</v>
      </c>
      <c r="C8108" t="s">
        <v>163</v>
      </c>
      <c r="D8108" t="s">
        <v>114</v>
      </c>
      <c r="E8108" s="4" t="str">
        <f>HYPERLINK("https://ibp.a2mac1.com/costing(costing:projects/details/9760/equipment/12212949)","DC machine - General")</f>
        <v>DC machine - General</v>
      </c>
      <c r="F8108" t="s">
        <v>8435</v>
      </c>
    </row>
    <row r="8109" spans="1:6" x14ac:dyDescent="0.15">
      <c r="A8109">
        <v>8754683</v>
      </c>
      <c r="B8109">
        <v>8416104</v>
      </c>
      <c r="C8109" t="s">
        <v>311</v>
      </c>
      <c r="D8109" t="s">
        <v>8</v>
      </c>
      <c r="E8109" s="4" t="str">
        <f>HYPERLINK("https://ibp.a2mac1.com/costing(costing:projects/details/9760/component/8754683)","Nut &gt; Pinching nut for metric screw")</f>
        <v>Nut &gt; Pinching nut for metric screw</v>
      </c>
      <c r="F8109" t="s">
        <v>8431</v>
      </c>
    </row>
    <row r="8110" spans="1:6" x14ac:dyDescent="0.15">
      <c r="A8110">
        <v>8416105</v>
      </c>
      <c r="B8110">
        <v>8415769</v>
      </c>
      <c r="C8110" t="s">
        <v>8</v>
      </c>
      <c r="D8110" t="s">
        <v>8</v>
      </c>
      <c r="E8110" s="4" t="str">
        <f>HYPERLINK("https://ibp.a2mac1.com/costing(costing:projects/details/9760/assembly/8416105)","Right")</f>
        <v>Right</v>
      </c>
      <c r="F8110" t="s">
        <v>8430</v>
      </c>
    </row>
    <row r="8111" spans="1:6" x14ac:dyDescent="0.15">
      <c r="A8111">
        <v>8416448</v>
      </c>
      <c r="B8111">
        <v>8416105</v>
      </c>
      <c r="C8111" t="s">
        <v>10</v>
      </c>
      <c r="D8111" t="s">
        <v>8</v>
      </c>
      <c r="E8111" s="4" t="str">
        <f>HYPERLINK("https://ibp.a2mac1.com/costing(costing:projects/details/9760/part/8416448)","Wheel Arch Liner")</f>
        <v>Wheel Arch Liner</v>
      </c>
      <c r="F8111" t="s">
        <v>8440</v>
      </c>
    </row>
    <row r="8112" spans="1:6" x14ac:dyDescent="0.15">
      <c r="A8112">
        <v>12085820</v>
      </c>
      <c r="B8112">
        <v>8416448</v>
      </c>
      <c r="C8112" t="s">
        <v>114</v>
      </c>
      <c r="D8112" t="s">
        <v>10</v>
      </c>
      <c r="E8112" s="4" t="str">
        <f>HYPERLINK("https://ibp.a2mac1.com/costing(costing:projects/details/9760/process/12085820)","Automated Process")</f>
        <v>Automated Process</v>
      </c>
      <c r="F8112" t="s">
        <v>8441</v>
      </c>
    </row>
    <row r="8113" spans="1:6" x14ac:dyDescent="0.15">
      <c r="A8113">
        <v>8755452</v>
      </c>
      <c r="B8113">
        <v>12085820</v>
      </c>
      <c r="C8113" t="s">
        <v>22</v>
      </c>
      <c r="D8113" t="s">
        <v>114</v>
      </c>
      <c r="E8113" s="4" t="str">
        <f>HYPERLINK("https://ibp.a2mac1.com/costing(costing:projects/details/9760/material/8755452)","PP-PET")</f>
        <v>PP-PET</v>
      </c>
      <c r="F8113" t="s">
        <v>8444</v>
      </c>
    </row>
    <row r="8114" spans="1:6" x14ac:dyDescent="0.15">
      <c r="A8114">
        <v>12212950</v>
      </c>
      <c r="B8114">
        <v>12085820</v>
      </c>
      <c r="C8114" t="s">
        <v>163</v>
      </c>
      <c r="D8114" t="s">
        <v>114</v>
      </c>
      <c r="E8114" s="4" t="str">
        <f>HYPERLINK("https://ibp.a2mac1.com/costing(costing:projects/details/9760/equipment/12212950)","DC machine - General")</f>
        <v>DC machine - General</v>
      </c>
      <c r="F8114" t="s">
        <v>8444</v>
      </c>
    </row>
    <row r="8115" spans="1:6" x14ac:dyDescent="0.15">
      <c r="A8115">
        <v>8754684</v>
      </c>
      <c r="B8115">
        <v>8416105</v>
      </c>
      <c r="C8115" t="s">
        <v>311</v>
      </c>
      <c r="D8115" t="s">
        <v>8</v>
      </c>
      <c r="E8115" s="4" t="str">
        <f>HYPERLINK("https://ibp.a2mac1.com/costing(costing:projects/details/9760/component/8754684)","Nut &gt; Pinching nut for metric screw")</f>
        <v>Nut &gt; Pinching nut for metric screw</v>
      </c>
      <c r="F8115" t="s">
        <v>8440</v>
      </c>
    </row>
    <row r="8116" spans="1:6" x14ac:dyDescent="0.15">
      <c r="A8116">
        <v>8416102</v>
      </c>
      <c r="B8116">
        <v>8415769</v>
      </c>
      <c r="C8116" t="s">
        <v>10</v>
      </c>
      <c r="D8116" t="s">
        <v>8</v>
      </c>
      <c r="E8116" s="4" t="str">
        <f>HYPERLINK("https://ibp.a2mac1.com/costing(costing:projects/details/9760/part/8416102)","Rigidity Part")</f>
        <v>Rigidity Part</v>
      </c>
      <c r="F8116" t="s">
        <v>8430</v>
      </c>
    </row>
    <row r="8117" spans="1:6" x14ac:dyDescent="0.15">
      <c r="A8117">
        <v>12085401</v>
      </c>
      <c r="B8117">
        <v>8416102</v>
      </c>
      <c r="C8117" t="s">
        <v>114</v>
      </c>
      <c r="D8117" t="s">
        <v>10</v>
      </c>
      <c r="E8117" s="4" t="str">
        <f>HYPERLINK("https://ibp.a2mac1.com/costing(costing:projects/details/9760/process/12085401)","Automated Process")</f>
        <v>Automated Process</v>
      </c>
      <c r="F8117" t="s">
        <v>8447</v>
      </c>
    </row>
    <row r="8118" spans="1:6" x14ac:dyDescent="0.15">
      <c r="A8118">
        <v>8755069</v>
      </c>
      <c r="B8118">
        <v>12085401</v>
      </c>
      <c r="C8118" t="s">
        <v>22</v>
      </c>
      <c r="D8118" t="s">
        <v>114</v>
      </c>
      <c r="E8118" s="4" t="str">
        <f>HYPERLINK("https://ibp.a2mac1.com/costing(costing:projects/details/9760/material/8755069)","PP-EPDM-MD35-TD20")</f>
        <v>PP-EPDM-MD35-TD20</v>
      </c>
      <c r="F8118" t="s">
        <v>8450</v>
      </c>
    </row>
    <row r="8119" spans="1:6" x14ac:dyDescent="0.15">
      <c r="A8119">
        <v>12212497</v>
      </c>
      <c r="B8119">
        <v>12085401</v>
      </c>
      <c r="C8119" t="s">
        <v>163</v>
      </c>
      <c r="D8119" t="s">
        <v>114</v>
      </c>
      <c r="E8119" s="4" t="str">
        <f>HYPERLINK("https://ibp.a2mac1.com/costing(costing:projects/details/9760/equipment/12212497)","DC machine - General")</f>
        <v>DC machine - General</v>
      </c>
      <c r="F8119" t="s">
        <v>8450</v>
      </c>
    </row>
    <row r="8120" spans="1:6" x14ac:dyDescent="0.15">
      <c r="A8120">
        <v>8416103</v>
      </c>
      <c r="B8120">
        <v>8415769</v>
      </c>
      <c r="C8120" t="s">
        <v>10</v>
      </c>
      <c r="D8120" t="s">
        <v>8</v>
      </c>
      <c r="E8120" s="4" t="str">
        <f>HYPERLINK("https://ibp.a2mac1.com/costing(costing:projects/details/9760/part/8416103)","Rigidity 2nd Part")</f>
        <v>Rigidity 2nd Part</v>
      </c>
      <c r="F8120" t="s">
        <v>8430</v>
      </c>
    </row>
    <row r="8121" spans="1:6" x14ac:dyDescent="0.15">
      <c r="A8121">
        <v>12085402</v>
      </c>
      <c r="B8121">
        <v>8416103</v>
      </c>
      <c r="C8121" t="s">
        <v>114</v>
      </c>
      <c r="D8121" t="s">
        <v>10</v>
      </c>
      <c r="E8121" s="4" t="str">
        <f>HYPERLINK("https://ibp.a2mac1.com/costing(costing:projects/details/9760/process/12085402)","Automated Process")</f>
        <v>Automated Process</v>
      </c>
      <c r="F8121" t="s">
        <v>8452</v>
      </c>
    </row>
    <row r="8122" spans="1:6" x14ac:dyDescent="0.15">
      <c r="A8122">
        <v>8755070</v>
      </c>
      <c r="B8122">
        <v>12085402</v>
      </c>
      <c r="C8122" t="s">
        <v>22</v>
      </c>
      <c r="D8122" t="s">
        <v>114</v>
      </c>
      <c r="E8122" s="4" t="str">
        <f>HYPERLINK("https://ibp.a2mac1.com/costing(costing:projects/details/9760/material/8755070)","PP-EPDM-MD35-TD20")</f>
        <v>PP-EPDM-MD35-TD20</v>
      </c>
      <c r="F8122" t="s">
        <v>8454</v>
      </c>
    </row>
    <row r="8123" spans="1:6" x14ac:dyDescent="0.15">
      <c r="A8123">
        <v>12212498</v>
      </c>
      <c r="B8123">
        <v>12085402</v>
      </c>
      <c r="C8123" t="s">
        <v>163</v>
      </c>
      <c r="D8123" t="s">
        <v>114</v>
      </c>
      <c r="E8123" s="4" t="str">
        <f>HYPERLINK("https://ibp.a2mac1.com/costing(costing:projects/details/9760/equipment/12212498)","DC machine - General")</f>
        <v>DC machine - General</v>
      </c>
      <c r="F8123" t="s">
        <v>8454</v>
      </c>
    </row>
    <row r="8124" spans="1:6" x14ac:dyDescent="0.15">
      <c r="A8124">
        <v>8754471</v>
      </c>
      <c r="B8124">
        <v>8415769</v>
      </c>
      <c r="C8124" t="s">
        <v>311</v>
      </c>
      <c r="D8124" t="s">
        <v>8</v>
      </c>
      <c r="E8124" s="4" t="str">
        <f>HYPERLINK("https://ibp.a2mac1.com/costing(costing:projects/details/9760/component/8754471)","Screw &gt; Various shape screw with captive washer")</f>
        <v>Screw &gt; Various shape screw with captive washer</v>
      </c>
      <c r="F8124" t="s">
        <v>8430</v>
      </c>
    </row>
    <row r="8125" spans="1:6" x14ac:dyDescent="0.15">
      <c r="A8125">
        <v>8754472</v>
      </c>
      <c r="B8125">
        <v>8415769</v>
      </c>
      <c r="C8125" t="s">
        <v>311</v>
      </c>
      <c r="D8125" t="s">
        <v>8</v>
      </c>
      <c r="E8125" s="4" t="str">
        <f>HYPERLINK("https://ibp.a2mac1.com/costing(costing:projects/details/9760/component/8754472)","Screw &gt; Various shape screw with captive washer")</f>
        <v>Screw &gt; Various shape screw with captive washer</v>
      </c>
      <c r="F8125" t="s">
        <v>8430</v>
      </c>
    </row>
    <row r="8126" spans="1:6" x14ac:dyDescent="0.15">
      <c r="A8126">
        <v>8415770</v>
      </c>
      <c r="B8126">
        <v>8415608</v>
      </c>
      <c r="C8126" t="s">
        <v>8</v>
      </c>
      <c r="D8126" t="s">
        <v>8</v>
      </c>
      <c r="E8126" s="4" t="str">
        <f>HYPERLINK("https://ibp.a2mac1.com/costing(costing:projects/details/9760/assembly/8415770)","Energy Absorbers System")</f>
        <v>Energy Absorbers System</v>
      </c>
      <c r="F8126" t="s">
        <v>8345</v>
      </c>
    </row>
    <row r="8127" spans="1:6" x14ac:dyDescent="0.15">
      <c r="A8127">
        <v>8416106</v>
      </c>
      <c r="B8127">
        <v>8415770</v>
      </c>
      <c r="C8127" t="s">
        <v>10</v>
      </c>
      <c r="D8127" t="s">
        <v>8</v>
      </c>
      <c r="E8127" s="4" t="str">
        <f>HYPERLINK("https://ibp.a2mac1.com/costing(costing:projects/details/9760/part/8416106)","Upper Energy Absorber")</f>
        <v>Upper Energy Absorber</v>
      </c>
      <c r="F8127" t="s">
        <v>8457</v>
      </c>
    </row>
    <row r="8128" spans="1:6" x14ac:dyDescent="0.15">
      <c r="A8128">
        <v>12085404</v>
      </c>
      <c r="B8128">
        <v>8416106</v>
      </c>
      <c r="C8128" t="s">
        <v>114</v>
      </c>
      <c r="D8128" t="s">
        <v>10</v>
      </c>
      <c r="E8128" s="4" t="str">
        <f>HYPERLINK("https://ibp.a2mac1.com/costing(costing:projects/details/9760/process/12085404)","Press")</f>
        <v>Press</v>
      </c>
      <c r="F8128" t="s">
        <v>8458</v>
      </c>
    </row>
    <row r="8129" spans="1:6" x14ac:dyDescent="0.15">
      <c r="A8129">
        <v>8755071</v>
      </c>
      <c r="B8129">
        <v>12085404</v>
      </c>
      <c r="C8129" t="s">
        <v>22</v>
      </c>
      <c r="D8129" t="s">
        <v>114</v>
      </c>
      <c r="E8129" s="4" t="str">
        <f>HYPERLINK("https://ibp.a2mac1.com/costing(costing:projects/details/9760/material/8755071)","EPP")</f>
        <v>EPP</v>
      </c>
      <c r="F8129" t="s">
        <v>8461</v>
      </c>
    </row>
    <row r="8130" spans="1:6" x14ac:dyDescent="0.15">
      <c r="A8130">
        <v>12212500</v>
      </c>
      <c r="B8130">
        <v>12085404</v>
      </c>
      <c r="C8130" t="s">
        <v>163</v>
      </c>
      <c r="D8130" t="s">
        <v>114</v>
      </c>
      <c r="E8130" s="4" t="str">
        <f>HYPERLINK("https://ibp.a2mac1.com/costing(costing:projects/details/9760/equipment/12212500)","EPP-EPS PressNo. 05 - 1800x1300")</f>
        <v>EPP-EPS PressNo. 05 - 1800x1300</v>
      </c>
      <c r="F8130" t="s">
        <v>8461</v>
      </c>
    </row>
    <row r="8131" spans="1:6" x14ac:dyDescent="0.15">
      <c r="A8131">
        <v>12085403</v>
      </c>
      <c r="B8131">
        <v>8416106</v>
      </c>
      <c r="C8131" t="s">
        <v>114</v>
      </c>
      <c r="D8131" t="s">
        <v>10</v>
      </c>
      <c r="E8131" s="4" t="str">
        <f>HYPERLINK("https://ibp.a2mac1.com/costing(costing:projects/details/9760/process/12085403)","Steam facility")</f>
        <v>Steam facility</v>
      </c>
      <c r="F8131" t="s">
        <v>8458</v>
      </c>
    </row>
    <row r="8132" spans="1:6" x14ac:dyDescent="0.15">
      <c r="A8132">
        <v>12212499</v>
      </c>
      <c r="B8132">
        <v>12085403</v>
      </c>
      <c r="C8132" t="s">
        <v>163</v>
      </c>
      <c r="D8132" t="s">
        <v>114</v>
      </c>
      <c r="E8132" s="4" t="str">
        <f>HYPERLINK("https://ibp.a2mac1.com/costing(costing:projects/details/9760/equipment/12212499)","EPP-EPS Foaming - Steam Facility")</f>
        <v>EPP-EPS Foaming - Steam Facility</v>
      </c>
      <c r="F8132" t="s">
        <v>8462</v>
      </c>
    </row>
    <row r="8133" spans="1:6" x14ac:dyDescent="0.15">
      <c r="A8133">
        <v>8415771</v>
      </c>
      <c r="B8133">
        <v>8415608</v>
      </c>
      <c r="C8133" t="s">
        <v>8</v>
      </c>
      <c r="D8133" t="s">
        <v>8</v>
      </c>
      <c r="E8133" s="4" t="str">
        <f>HYPERLINK("https://ibp.a2mac1.com/costing(costing:projects/details/9760/assembly/8415771)","Upper Cross Member System")</f>
        <v>Upper Cross Member System</v>
      </c>
      <c r="F8133" t="s">
        <v>8345</v>
      </c>
    </row>
    <row r="8134" spans="1:6" x14ac:dyDescent="0.15">
      <c r="A8134">
        <v>8416107</v>
      </c>
      <c r="B8134">
        <v>8415771</v>
      </c>
      <c r="C8134" t="s">
        <v>10</v>
      </c>
      <c r="D8134" t="s">
        <v>8</v>
      </c>
      <c r="E8134" s="4" t="str">
        <f>HYPERLINK("https://ibp.a2mac1.com/costing(costing:projects/details/9760/part/8416107)","Upper Cross Member")</f>
        <v>Upper Cross Member</v>
      </c>
      <c r="F8134" t="s">
        <v>8465</v>
      </c>
    </row>
    <row r="8135" spans="1:6" x14ac:dyDescent="0.15">
      <c r="A8135">
        <v>12085406</v>
      </c>
      <c r="B8135">
        <v>8416107</v>
      </c>
      <c r="C8135" t="s">
        <v>114</v>
      </c>
      <c r="D8135" t="s">
        <v>10</v>
      </c>
      <c r="E8135" s="4" t="str">
        <f>HYPERLINK("https://ibp.a2mac1.com/costing(costing:projects/details/9760/process/12085406)","Aluminum extrusion")</f>
        <v>Aluminum extrusion</v>
      </c>
      <c r="F8135" t="s">
        <v>8466</v>
      </c>
    </row>
    <row r="8136" spans="1:6" x14ac:dyDescent="0.15">
      <c r="A8136">
        <v>8755073</v>
      </c>
      <c r="B8136">
        <v>12085406</v>
      </c>
      <c r="C8136" t="s">
        <v>22</v>
      </c>
      <c r="D8136" t="s">
        <v>114</v>
      </c>
      <c r="E8136" s="4" t="str">
        <f>HYPERLINK("https://ibp.a2mac1.com/costing(costing:projects/details/9760/material/8755073)","Aluminum for extrusion (default, e.g. EN-AW6016)")</f>
        <v>Aluminum for extrusion (default, e.g. EN-AW6016)</v>
      </c>
      <c r="F8136" t="s">
        <v>8469</v>
      </c>
    </row>
    <row r="8137" spans="1:6" x14ac:dyDescent="0.15">
      <c r="A8137">
        <v>12212502</v>
      </c>
      <c r="B8137">
        <v>12085406</v>
      </c>
      <c r="C8137" t="s">
        <v>163</v>
      </c>
      <c r="D8137" t="s">
        <v>114</v>
      </c>
      <c r="E8137" s="4" t="str">
        <f>HYPERLINK("https://ibp.a2mac1.com/costing(costing:projects/details/9760/equipment/12212502)","No.02 - Extrusion Press Line - 900T ")</f>
        <v xml:space="preserve">No.02 - Extrusion Press Line - 900T </v>
      </c>
      <c r="F8137" t="s">
        <v>8469</v>
      </c>
    </row>
    <row r="8138" spans="1:6" x14ac:dyDescent="0.15">
      <c r="A8138">
        <v>12085405</v>
      </c>
      <c r="B8138">
        <v>8416107</v>
      </c>
      <c r="C8138" t="s">
        <v>114</v>
      </c>
      <c r="D8138" t="s">
        <v>10</v>
      </c>
      <c r="E8138" s="4" t="str">
        <f>HYPERLINK("https://ibp.a2mac1.com/costing(costing:projects/details/9760/process/12085405)","Reinforcement - Aluminum extrusion")</f>
        <v>Reinforcement - Aluminum extrusion</v>
      </c>
      <c r="F8138" t="s">
        <v>8466</v>
      </c>
    </row>
    <row r="8139" spans="1:6" x14ac:dyDescent="0.15">
      <c r="A8139">
        <v>8755072</v>
      </c>
      <c r="B8139">
        <v>12085405</v>
      </c>
      <c r="C8139" t="s">
        <v>22</v>
      </c>
      <c r="D8139" t="s">
        <v>114</v>
      </c>
      <c r="E8139" s="4" t="str">
        <f>HYPERLINK("https://ibp.a2mac1.com/costing(costing:projects/details/9760/material/8755072)","Aluminum for extrusion (default, e.g. EN-AW6016)")</f>
        <v>Aluminum for extrusion (default, e.g. EN-AW6016)</v>
      </c>
      <c r="F8139" t="s">
        <v>8472</v>
      </c>
    </row>
    <row r="8140" spans="1:6" x14ac:dyDescent="0.15">
      <c r="A8140">
        <v>12212501</v>
      </c>
      <c r="B8140">
        <v>12085405</v>
      </c>
      <c r="C8140" t="s">
        <v>163</v>
      </c>
      <c r="D8140" t="s">
        <v>114</v>
      </c>
      <c r="E8140" s="4" t="str">
        <f>HYPERLINK("https://ibp.a2mac1.com/costing(costing:projects/details/9760/equipment/12212501)","No.01 - Extrusion Press Line - 600T ")</f>
        <v xml:space="preserve">No.01 - Extrusion Press Line - 600T </v>
      </c>
      <c r="F8140" t="s">
        <v>8472</v>
      </c>
    </row>
    <row r="8141" spans="1:6" x14ac:dyDescent="0.15">
      <c r="A8141">
        <v>8416108</v>
      </c>
      <c r="B8141">
        <v>8415771</v>
      </c>
      <c r="C8141" t="s">
        <v>10</v>
      </c>
      <c r="D8141" t="s">
        <v>8</v>
      </c>
      <c r="E8141" s="4" t="str">
        <f>HYPERLINK("https://ibp.a2mac1.com/costing(costing:projects/details/9760/part/8416108)","Left Support")</f>
        <v>Left Support</v>
      </c>
      <c r="F8141" t="s">
        <v>8465</v>
      </c>
    </row>
    <row r="8142" spans="1:6" x14ac:dyDescent="0.15">
      <c r="A8142">
        <v>12085409</v>
      </c>
      <c r="B8142">
        <v>8416108</v>
      </c>
      <c r="C8142" t="s">
        <v>114</v>
      </c>
      <c r="D8142" t="s">
        <v>10</v>
      </c>
      <c r="E8142" s="4" t="str">
        <f>HYPERLINK("https://ibp.a2mac1.com/costing(costing:projects/details/9760/process/12085409)","Crash Box - Aluminum extrusion")</f>
        <v>Crash Box - Aluminum extrusion</v>
      </c>
      <c r="F8142" t="s">
        <v>8474</v>
      </c>
    </row>
    <row r="8143" spans="1:6" x14ac:dyDescent="0.15">
      <c r="A8143">
        <v>8755076</v>
      </c>
      <c r="B8143">
        <v>12085409</v>
      </c>
      <c r="C8143" t="s">
        <v>22</v>
      </c>
      <c r="D8143" t="s">
        <v>114</v>
      </c>
      <c r="E8143" s="4" t="str">
        <f>HYPERLINK("https://ibp.a2mac1.com/costing(costing:projects/details/9760/material/8755076)","Aluminum for extrusion (default, e.g. EN-AW6016)")</f>
        <v>Aluminum for extrusion (default, e.g. EN-AW6016)</v>
      </c>
      <c r="F8143" t="s">
        <v>8477</v>
      </c>
    </row>
    <row r="8144" spans="1:6" x14ac:dyDescent="0.15">
      <c r="A8144">
        <v>12212505</v>
      </c>
      <c r="B8144">
        <v>12085409</v>
      </c>
      <c r="C8144" t="s">
        <v>163</v>
      </c>
      <c r="D8144" t="s">
        <v>114</v>
      </c>
      <c r="E8144" s="4" t="str">
        <f>HYPERLINK("https://ibp.a2mac1.com/costing(costing:projects/details/9760/equipment/12212505)","No.03 - Extrusion Press Line - 1200T ")</f>
        <v xml:space="preserve">No.03 - Extrusion Press Line - 1200T </v>
      </c>
      <c r="F8144" t="s">
        <v>8477</v>
      </c>
    </row>
    <row r="8145" spans="1:6" x14ac:dyDescent="0.15">
      <c r="A8145">
        <v>12085408</v>
      </c>
      <c r="B8145">
        <v>8416108</v>
      </c>
      <c r="C8145" t="s">
        <v>114</v>
      </c>
      <c r="D8145" t="s">
        <v>10</v>
      </c>
      <c r="E8145" s="4" t="str">
        <f>HYPERLINK("https://ibp.a2mac1.com/costing(costing:projects/details/9760/process/12085408)","Rear Plate - Aluminum extrusion")</f>
        <v>Rear Plate - Aluminum extrusion</v>
      </c>
      <c r="F8145" t="s">
        <v>8474</v>
      </c>
    </row>
    <row r="8146" spans="1:6" x14ac:dyDescent="0.15">
      <c r="A8146">
        <v>8755075</v>
      </c>
      <c r="B8146">
        <v>12085408</v>
      </c>
      <c r="C8146" t="s">
        <v>22</v>
      </c>
      <c r="D8146" t="s">
        <v>114</v>
      </c>
      <c r="E8146" s="4" t="str">
        <f>HYPERLINK("https://ibp.a2mac1.com/costing(costing:projects/details/9760/material/8755075)","Aluminum for extrusion (default, e.g. EN-AW6016)")</f>
        <v>Aluminum for extrusion (default, e.g. EN-AW6016)</v>
      </c>
      <c r="F8146" t="s">
        <v>8479</v>
      </c>
    </row>
    <row r="8147" spans="1:6" x14ac:dyDescent="0.15">
      <c r="A8147">
        <v>12212504</v>
      </c>
      <c r="B8147">
        <v>12085408</v>
      </c>
      <c r="C8147" t="s">
        <v>163</v>
      </c>
      <c r="D8147" t="s">
        <v>114</v>
      </c>
      <c r="E8147" s="4" t="str">
        <f>HYPERLINK("https://ibp.a2mac1.com/costing(costing:projects/details/9760/equipment/12212504)","No.02 - Extrusion Press Line - 900T ")</f>
        <v xml:space="preserve">No.02 - Extrusion Press Line - 900T </v>
      </c>
      <c r="F8147" t="s">
        <v>8479</v>
      </c>
    </row>
    <row r="8148" spans="1:6" x14ac:dyDescent="0.15">
      <c r="A8148">
        <v>12085407</v>
      </c>
      <c r="B8148">
        <v>8416108</v>
      </c>
      <c r="C8148" t="s">
        <v>114</v>
      </c>
      <c r="D8148" t="s">
        <v>10</v>
      </c>
      <c r="E8148" s="4" t="str">
        <f>HYPERLINK("https://ibp.a2mac1.com/costing(costing:projects/details/9760/process/12085407)","Reinforcement - Stamping")</f>
        <v>Reinforcement - Stamping</v>
      </c>
      <c r="F8148" t="s">
        <v>8474</v>
      </c>
    </row>
    <row r="8149" spans="1:6" x14ac:dyDescent="0.15">
      <c r="A8149">
        <v>8755074</v>
      </c>
      <c r="B8149">
        <v>12085407</v>
      </c>
      <c r="C8149" t="s">
        <v>22</v>
      </c>
      <c r="D8149" t="s">
        <v>114</v>
      </c>
      <c r="E8149" s="4" t="str">
        <f>HYPERLINK("https://ibp.a2mac1.com/costing(costing:projects/details/9760/material/8755074)","Aluminum sheet (default, e.g. EN AW1050A)")</f>
        <v>Aluminum sheet (default, e.g. EN AW1050A)</v>
      </c>
      <c r="F8149" t="s">
        <v>8482</v>
      </c>
    </row>
    <row r="8150" spans="1:6" x14ac:dyDescent="0.15">
      <c r="A8150">
        <v>12212503</v>
      </c>
      <c r="B8150">
        <v>12085407</v>
      </c>
      <c r="C8150" t="s">
        <v>163</v>
      </c>
      <c r="D8150" t="s">
        <v>114</v>
      </c>
      <c r="E8150" s="4" t="str">
        <f>HYPERLINK("https://ibp.a2mac1.com/costing(costing:projects/details/9760/equipment/12212503)","No.04 - Progressive Press - 630T ")</f>
        <v xml:space="preserve">No.04 - Progressive Press - 630T </v>
      </c>
      <c r="F8150" t="s">
        <v>8482</v>
      </c>
    </row>
    <row r="8151" spans="1:6" x14ac:dyDescent="0.15">
      <c r="A8151">
        <v>8416109</v>
      </c>
      <c r="B8151">
        <v>8415771</v>
      </c>
      <c r="C8151" t="s">
        <v>10</v>
      </c>
      <c r="D8151" t="s">
        <v>8</v>
      </c>
      <c r="E8151" s="4" t="str">
        <f>HYPERLINK("https://ibp.a2mac1.com/costing(costing:projects/details/9760/part/8416109)","Right Support")</f>
        <v>Right Support</v>
      </c>
      <c r="F8151" t="s">
        <v>8465</v>
      </c>
    </row>
    <row r="8152" spans="1:6" x14ac:dyDescent="0.15">
      <c r="A8152">
        <v>12085410</v>
      </c>
      <c r="B8152">
        <v>8416109</v>
      </c>
      <c r="C8152" t="s">
        <v>114</v>
      </c>
      <c r="D8152" t="s">
        <v>10</v>
      </c>
      <c r="E8152" s="4" t="str">
        <f>HYPERLINK("https://ibp.a2mac1.com/costing(costing:projects/details/9760/process/12085410)","Crash Box - Aluminum extrusion")</f>
        <v>Crash Box - Aluminum extrusion</v>
      </c>
      <c r="F8152" t="s">
        <v>8484</v>
      </c>
    </row>
    <row r="8153" spans="1:6" x14ac:dyDescent="0.15">
      <c r="A8153">
        <v>8755077</v>
      </c>
      <c r="B8153">
        <v>12085410</v>
      </c>
      <c r="C8153" t="s">
        <v>22</v>
      </c>
      <c r="D8153" t="s">
        <v>114</v>
      </c>
      <c r="E8153" s="4" t="str">
        <f>HYPERLINK("https://ibp.a2mac1.com/costing(costing:projects/details/9760/material/8755077)","Aluminum for extrusion (default, e.g. EN-AW6016)")</f>
        <v>Aluminum for extrusion (default, e.g. EN-AW6016)</v>
      </c>
      <c r="F8153" t="s">
        <v>8485</v>
      </c>
    </row>
    <row r="8154" spans="1:6" x14ac:dyDescent="0.15">
      <c r="A8154">
        <v>12212506</v>
      </c>
      <c r="B8154">
        <v>12085410</v>
      </c>
      <c r="C8154" t="s">
        <v>163</v>
      </c>
      <c r="D8154" t="s">
        <v>114</v>
      </c>
      <c r="E8154" s="4" t="str">
        <f>HYPERLINK("https://ibp.a2mac1.com/costing(costing:projects/details/9760/equipment/12212506)","No.03 - Extrusion Press Line - 1200T ")</f>
        <v xml:space="preserve">No.03 - Extrusion Press Line - 1200T </v>
      </c>
      <c r="F8154" t="s">
        <v>8485</v>
      </c>
    </row>
    <row r="8155" spans="1:6" x14ac:dyDescent="0.15">
      <c r="A8155">
        <v>12085411</v>
      </c>
      <c r="B8155">
        <v>8416109</v>
      </c>
      <c r="C8155" t="s">
        <v>114</v>
      </c>
      <c r="D8155" t="s">
        <v>10</v>
      </c>
      <c r="E8155" s="4" t="str">
        <f>HYPERLINK("https://ibp.a2mac1.com/costing(costing:projects/details/9760/process/12085411)","Rear Plate - Aluminum extrusion")</f>
        <v>Rear Plate - Aluminum extrusion</v>
      </c>
      <c r="F8155" t="s">
        <v>8484</v>
      </c>
    </row>
    <row r="8156" spans="1:6" x14ac:dyDescent="0.15">
      <c r="A8156">
        <v>8755078</v>
      </c>
      <c r="B8156">
        <v>12085411</v>
      </c>
      <c r="C8156" t="s">
        <v>22</v>
      </c>
      <c r="D8156" t="s">
        <v>114</v>
      </c>
      <c r="E8156" s="4" t="str">
        <f>HYPERLINK("https://ibp.a2mac1.com/costing(costing:projects/details/9760/material/8755078)","Aluminum for extrusion (default, e.g. EN-AW6016)")</f>
        <v>Aluminum for extrusion (default, e.g. EN-AW6016)</v>
      </c>
      <c r="F8156" t="s">
        <v>8486</v>
      </c>
    </row>
    <row r="8157" spans="1:6" x14ac:dyDescent="0.15">
      <c r="A8157">
        <v>12212507</v>
      </c>
      <c r="B8157">
        <v>12085411</v>
      </c>
      <c r="C8157" t="s">
        <v>163</v>
      </c>
      <c r="D8157" t="s">
        <v>114</v>
      </c>
      <c r="E8157" s="4" t="str">
        <f>HYPERLINK("https://ibp.a2mac1.com/costing(costing:projects/details/9760/equipment/12212507)","No.02 - Extrusion Press Line - 900T ")</f>
        <v xml:space="preserve">No.02 - Extrusion Press Line - 900T </v>
      </c>
      <c r="F8157" t="s">
        <v>8486</v>
      </c>
    </row>
    <row r="8158" spans="1:6" x14ac:dyDescent="0.15">
      <c r="A8158">
        <v>12085412</v>
      </c>
      <c r="B8158">
        <v>8416109</v>
      </c>
      <c r="C8158" t="s">
        <v>114</v>
      </c>
      <c r="D8158" t="s">
        <v>10</v>
      </c>
      <c r="E8158" s="4" t="str">
        <f>HYPERLINK("https://ibp.a2mac1.com/costing(costing:projects/details/9760/process/12085412)","Reinforcement - Stamping")</f>
        <v>Reinforcement - Stamping</v>
      </c>
      <c r="F8158" t="s">
        <v>8484</v>
      </c>
    </row>
    <row r="8159" spans="1:6" x14ac:dyDescent="0.15">
      <c r="A8159">
        <v>8755079</v>
      </c>
      <c r="B8159">
        <v>12085412</v>
      </c>
      <c r="C8159" t="s">
        <v>22</v>
      </c>
      <c r="D8159" t="s">
        <v>114</v>
      </c>
      <c r="E8159" s="4" t="str">
        <f>HYPERLINK("https://ibp.a2mac1.com/costing(costing:projects/details/9760/material/8755079)","Aluminum sheet (default, e.g. EN AW1050A)")</f>
        <v>Aluminum sheet (default, e.g. EN AW1050A)</v>
      </c>
      <c r="F8159" t="s">
        <v>8487</v>
      </c>
    </row>
    <row r="8160" spans="1:6" x14ac:dyDescent="0.15">
      <c r="A8160">
        <v>12212508</v>
      </c>
      <c r="B8160">
        <v>12085412</v>
      </c>
      <c r="C8160" t="s">
        <v>163</v>
      </c>
      <c r="D8160" t="s">
        <v>114</v>
      </c>
      <c r="E8160" s="4" t="str">
        <f>HYPERLINK("https://ibp.a2mac1.com/costing(costing:projects/details/9760/equipment/12212508)","No.04 - Progressive Press - 630T ")</f>
        <v xml:space="preserve">No.04 - Progressive Press - 630T </v>
      </c>
      <c r="F8160" t="s">
        <v>8487</v>
      </c>
    </row>
    <row r="8161" spans="1:6" x14ac:dyDescent="0.15">
      <c r="A8161">
        <v>8754473</v>
      </c>
      <c r="B8161">
        <v>8415771</v>
      </c>
      <c r="C8161" t="s">
        <v>311</v>
      </c>
      <c r="D8161" t="s">
        <v>8</v>
      </c>
      <c r="E8161" s="4" t="str">
        <f>HYPERLINK("https://ibp.a2mac1.com/costing(costing:projects/details/9760/component/8754473)","Screw &gt; Hexagon screw with flange and captive washer")</f>
        <v>Screw &gt; Hexagon screw with flange and captive washer</v>
      </c>
      <c r="F8161" t="s">
        <v>8465</v>
      </c>
    </row>
    <row r="8162" spans="1:6" x14ac:dyDescent="0.15">
      <c r="A8162">
        <v>8754474</v>
      </c>
      <c r="B8162">
        <v>8415771</v>
      </c>
      <c r="C8162" t="s">
        <v>311</v>
      </c>
      <c r="D8162" t="s">
        <v>8</v>
      </c>
      <c r="E8162" s="4" t="str">
        <f>HYPERLINK("https://ibp.a2mac1.com/costing(costing:projects/details/9760/component/8754474)","Screw &gt; Hexagon screw with flange")</f>
        <v>Screw &gt; Hexagon screw with flange</v>
      </c>
      <c r="F8162" t="s">
        <v>8465</v>
      </c>
    </row>
    <row r="8163" spans="1:6" x14ac:dyDescent="0.15">
      <c r="A8163">
        <v>8754475</v>
      </c>
      <c r="B8163">
        <v>8415771</v>
      </c>
      <c r="C8163" t="s">
        <v>311</v>
      </c>
      <c r="D8163" t="s">
        <v>8</v>
      </c>
      <c r="E8163" s="4" t="str">
        <f>HYPERLINK("https://ibp.a2mac1.com/costing(costing:projects/details/9760/component/8754475)","Screw &gt; Hexagon screw with flange")</f>
        <v>Screw &gt; Hexagon screw with flange</v>
      </c>
      <c r="F8163" t="s">
        <v>8465</v>
      </c>
    </row>
    <row r="8164" spans="1:6" x14ac:dyDescent="0.15">
      <c r="A8164">
        <v>8415772</v>
      </c>
      <c r="B8164">
        <v>8415608</v>
      </c>
      <c r="C8164" t="s">
        <v>8</v>
      </c>
      <c r="D8164" t="s">
        <v>8</v>
      </c>
      <c r="E8164" s="4" t="str">
        <f>HYPERLINK("https://ibp.a2mac1.com/costing(costing:projects/details/9760/assembly/8415772)","Support")</f>
        <v>Support</v>
      </c>
      <c r="F8164" t="s">
        <v>8345</v>
      </c>
    </row>
    <row r="8165" spans="1:6" x14ac:dyDescent="0.15">
      <c r="A8165">
        <v>8416110</v>
      </c>
      <c r="B8165">
        <v>8415772</v>
      </c>
      <c r="C8165" t="s">
        <v>10</v>
      </c>
      <c r="D8165" t="s">
        <v>8</v>
      </c>
      <c r="E8165" s="4" t="str">
        <f>HYPERLINK("https://ibp.a2mac1.com/costing(costing:projects/details/9760/part/8416110)","Fasteners on Fender")</f>
        <v>Fasteners on Fender</v>
      </c>
      <c r="F8165" t="s">
        <v>8490</v>
      </c>
    </row>
    <row r="8166" spans="1:6" x14ac:dyDescent="0.15">
      <c r="A8166">
        <v>12085413</v>
      </c>
      <c r="B8166">
        <v>8416110</v>
      </c>
      <c r="C8166" t="s">
        <v>114</v>
      </c>
      <c r="D8166" t="s">
        <v>10</v>
      </c>
      <c r="E8166" s="4" t="str">
        <f>HYPERLINK("https://ibp.a2mac1.com/costing(costing:projects/details/9760/process/12085413)","Automated Process")</f>
        <v>Automated Process</v>
      </c>
      <c r="F8166" t="s">
        <v>8491</v>
      </c>
    </row>
    <row r="8167" spans="1:6" x14ac:dyDescent="0.15">
      <c r="A8167">
        <v>8755080</v>
      </c>
      <c r="B8167">
        <v>12085413</v>
      </c>
      <c r="C8167" t="s">
        <v>22</v>
      </c>
      <c r="D8167" t="s">
        <v>114</v>
      </c>
      <c r="E8167" s="4" t="str">
        <f>HYPERLINK("https://ibp.a2mac1.com/costing(costing:projects/details/9760/material/8755080)","POM")</f>
        <v>POM</v>
      </c>
      <c r="F8167" t="s">
        <v>8492</v>
      </c>
    </row>
    <row r="8168" spans="1:6" x14ac:dyDescent="0.15">
      <c r="A8168">
        <v>12212509</v>
      </c>
      <c r="B8168">
        <v>12085413</v>
      </c>
      <c r="C8168" t="s">
        <v>163</v>
      </c>
      <c r="D8168" t="s">
        <v>114</v>
      </c>
      <c r="E8168" s="4" t="str">
        <f>HYPERLINK("https://ibp.a2mac1.com/costing(costing:projects/details/9760/equipment/12212509)","DC machine - General")</f>
        <v>DC machine - General</v>
      </c>
      <c r="F8168" t="s">
        <v>8492</v>
      </c>
    </row>
    <row r="8169" spans="1:6" x14ac:dyDescent="0.15">
      <c r="A8169">
        <v>8416111</v>
      </c>
      <c r="B8169">
        <v>8415772</v>
      </c>
      <c r="C8169" t="s">
        <v>10</v>
      </c>
      <c r="D8169" t="s">
        <v>8</v>
      </c>
      <c r="E8169" s="4" t="str">
        <f>HYPERLINK("https://ibp.a2mac1.com/costing(costing:projects/details/9760/part/8416111)","Upper Center Fastener")</f>
        <v>Upper Center Fastener</v>
      </c>
      <c r="F8169" t="s">
        <v>8490</v>
      </c>
    </row>
    <row r="8170" spans="1:6" x14ac:dyDescent="0.15">
      <c r="A8170">
        <v>12085414</v>
      </c>
      <c r="B8170">
        <v>8416111</v>
      </c>
      <c r="C8170" t="s">
        <v>114</v>
      </c>
      <c r="D8170" t="s">
        <v>10</v>
      </c>
      <c r="E8170" s="4" t="str">
        <f>HYPERLINK("https://ibp.a2mac1.com/costing(costing:projects/details/9760/process/12085414)","Automated Process")</f>
        <v>Automated Process</v>
      </c>
      <c r="F8170" t="s">
        <v>8494</v>
      </c>
    </row>
    <row r="8171" spans="1:6" x14ac:dyDescent="0.15">
      <c r="A8171">
        <v>8755081</v>
      </c>
      <c r="B8171">
        <v>12085414</v>
      </c>
      <c r="C8171" t="s">
        <v>22</v>
      </c>
      <c r="D8171" t="s">
        <v>114</v>
      </c>
      <c r="E8171" s="4" t="str">
        <f>HYPERLINK("https://ibp.a2mac1.com/costing(costing:projects/details/9760/material/8755081)","PP")</f>
        <v>PP</v>
      </c>
      <c r="F8171" t="s">
        <v>8497</v>
      </c>
    </row>
    <row r="8172" spans="1:6" x14ac:dyDescent="0.15">
      <c r="A8172">
        <v>12212510</v>
      </c>
      <c r="B8172">
        <v>12085414</v>
      </c>
      <c r="C8172" t="s">
        <v>163</v>
      </c>
      <c r="D8172" t="s">
        <v>114</v>
      </c>
      <c r="E8172" s="4" t="str">
        <f>HYPERLINK("https://ibp.a2mac1.com/costing(costing:projects/details/9760/equipment/12212510)","DC machine - General")</f>
        <v>DC machine - General</v>
      </c>
      <c r="F8172" t="s">
        <v>8497</v>
      </c>
    </row>
    <row r="8173" spans="1:6" x14ac:dyDescent="0.15">
      <c r="A8173">
        <v>8416112</v>
      </c>
      <c r="B8173">
        <v>8415772</v>
      </c>
      <c r="C8173" t="s">
        <v>10</v>
      </c>
      <c r="D8173" t="s">
        <v>8</v>
      </c>
      <c r="E8173" s="4" t="str">
        <f>HYPERLINK("https://ibp.a2mac1.com/costing(costing:projects/details/9760/part/8416112)","2nd Fasteners on Fender")</f>
        <v>2nd Fasteners on Fender</v>
      </c>
      <c r="F8173" t="s">
        <v>8490</v>
      </c>
    </row>
    <row r="8174" spans="1:6" x14ac:dyDescent="0.15">
      <c r="A8174">
        <v>12085415</v>
      </c>
      <c r="B8174">
        <v>8416112</v>
      </c>
      <c r="C8174" t="s">
        <v>114</v>
      </c>
      <c r="D8174" t="s">
        <v>10</v>
      </c>
      <c r="E8174" s="4" t="str">
        <f>HYPERLINK("https://ibp.a2mac1.com/costing(costing:projects/details/9760/process/12085415)","Automated Process")</f>
        <v>Automated Process</v>
      </c>
      <c r="F8174" t="s">
        <v>8499</v>
      </c>
    </row>
    <row r="8175" spans="1:6" x14ac:dyDescent="0.15">
      <c r="A8175">
        <v>8755082</v>
      </c>
      <c r="B8175">
        <v>12085415</v>
      </c>
      <c r="C8175" t="s">
        <v>22</v>
      </c>
      <c r="D8175" t="s">
        <v>114</v>
      </c>
      <c r="E8175" s="4" t="str">
        <f>HYPERLINK("https://ibp.a2mac1.com/costing(costing:projects/details/9760/material/8755082)","POM")</f>
        <v>POM</v>
      </c>
      <c r="F8175" t="s">
        <v>8500</v>
      </c>
    </row>
    <row r="8176" spans="1:6" x14ac:dyDescent="0.15">
      <c r="A8176">
        <v>12212511</v>
      </c>
      <c r="B8176">
        <v>12085415</v>
      </c>
      <c r="C8176" t="s">
        <v>163</v>
      </c>
      <c r="D8176" t="s">
        <v>114</v>
      </c>
      <c r="E8176" s="4" t="str">
        <f>HYPERLINK("https://ibp.a2mac1.com/costing(costing:projects/details/9760/equipment/12212511)","DC machine - General")</f>
        <v>DC machine - General</v>
      </c>
      <c r="F8176" t="s">
        <v>8500</v>
      </c>
    </row>
    <row r="8177" spans="1:6" x14ac:dyDescent="0.15">
      <c r="A8177">
        <v>8754476</v>
      </c>
      <c r="B8177">
        <v>8415772</v>
      </c>
      <c r="C8177" t="s">
        <v>311</v>
      </c>
      <c r="D8177" t="s">
        <v>8</v>
      </c>
      <c r="E8177" s="4" t="str">
        <f>HYPERLINK("https://ibp.a2mac1.com/costing(costing:projects/details/9760/component/8754476)","Screw &gt; Hexagon screw with captive washer")</f>
        <v>Screw &gt; Hexagon screw with captive washer</v>
      </c>
      <c r="F8177" t="s">
        <v>8490</v>
      </c>
    </row>
    <row r="8178" spans="1:6" x14ac:dyDescent="0.15">
      <c r="A8178">
        <v>8754477</v>
      </c>
      <c r="B8178">
        <v>8415772</v>
      </c>
      <c r="C8178" t="s">
        <v>311</v>
      </c>
      <c r="D8178" t="s">
        <v>8</v>
      </c>
      <c r="E8178" s="4" t="str">
        <f>HYPERLINK("https://ibp.a2mac1.com/costing(costing:projects/details/9760/component/8754477)","Screw &gt; Hexagon screw with captive washer")</f>
        <v>Screw &gt; Hexagon screw with captive washer</v>
      </c>
      <c r="F8178" t="s">
        <v>8490</v>
      </c>
    </row>
    <row r="8179" spans="1:6" x14ac:dyDescent="0.15">
      <c r="A8179">
        <v>8754478</v>
      </c>
      <c r="B8179">
        <v>8415772</v>
      </c>
      <c r="C8179" t="s">
        <v>311</v>
      </c>
      <c r="D8179" t="s">
        <v>8</v>
      </c>
      <c r="E8179" s="4" t="str">
        <f>HYPERLINK("https://ibp.a2mac1.com/costing(costing:projects/details/9760/component/8754478)","Screw &gt; Torx socket head cap screw with captive washer")</f>
        <v>Screw &gt; Torx socket head cap screw with captive washer</v>
      </c>
      <c r="F8179" t="s">
        <v>8490</v>
      </c>
    </row>
    <row r="8180" spans="1:6" x14ac:dyDescent="0.15">
      <c r="A8180">
        <v>8415609</v>
      </c>
      <c r="B8180">
        <v>8415579</v>
      </c>
      <c r="C8180" t="s">
        <v>8</v>
      </c>
      <c r="D8180" t="s">
        <v>8</v>
      </c>
      <c r="E8180" s="4" t="str">
        <f>HYPERLINK("https://ibp.a2mac1.com/costing(costing:projects/details/9760/assembly/8415609)","Rear bumper")</f>
        <v>Rear bumper</v>
      </c>
      <c r="F8180" t="s">
        <v>8344</v>
      </c>
    </row>
    <row r="8181" spans="1:6" x14ac:dyDescent="0.15">
      <c r="A8181">
        <v>8415773</v>
      </c>
      <c r="B8181">
        <v>8415609</v>
      </c>
      <c r="C8181" t="s">
        <v>8</v>
      </c>
      <c r="D8181" t="s">
        <v>8</v>
      </c>
      <c r="E8181" s="4" t="str">
        <f>HYPERLINK("https://ibp.a2mac1.com/costing(costing:projects/details/9760/assembly/8415773)","Rear Cross Member")</f>
        <v>Rear Cross Member</v>
      </c>
      <c r="F8181" t="s">
        <v>8504</v>
      </c>
    </row>
    <row r="8182" spans="1:6" x14ac:dyDescent="0.15">
      <c r="A8182">
        <v>8416113</v>
      </c>
      <c r="B8182">
        <v>8415773</v>
      </c>
      <c r="C8182" t="s">
        <v>10</v>
      </c>
      <c r="D8182" t="s">
        <v>8</v>
      </c>
      <c r="E8182" s="4" t="str">
        <f>HYPERLINK("https://ibp.a2mac1.com/costing(costing:projects/details/9760/part/8416113)","Rear Cross Member")</f>
        <v>Rear Cross Member</v>
      </c>
      <c r="F8182" t="s">
        <v>8505</v>
      </c>
    </row>
    <row r="8183" spans="1:6" x14ac:dyDescent="0.15">
      <c r="A8183">
        <v>12085416</v>
      </c>
      <c r="B8183">
        <v>8416113</v>
      </c>
      <c r="C8183" t="s">
        <v>114</v>
      </c>
      <c r="D8183" t="s">
        <v>10</v>
      </c>
      <c r="E8183" s="4" t="str">
        <f>HYPERLINK("https://ibp.a2mac1.com/costing(costing:projects/details/9760/process/12085416)","Aluminum extrusion")</f>
        <v>Aluminum extrusion</v>
      </c>
      <c r="F8183" t="s">
        <v>8506</v>
      </c>
    </row>
    <row r="8184" spans="1:6" x14ac:dyDescent="0.15">
      <c r="A8184">
        <v>8755083</v>
      </c>
      <c r="B8184">
        <v>12085416</v>
      </c>
      <c r="C8184" t="s">
        <v>22</v>
      </c>
      <c r="D8184" t="s">
        <v>114</v>
      </c>
      <c r="E8184" s="4" t="str">
        <f>HYPERLINK("https://ibp.a2mac1.com/costing(costing:projects/details/9760/material/8755083)","Aluminum for extrusion (default, e.g. EN-AW6016)")</f>
        <v>Aluminum for extrusion (default, e.g. EN-AW6016)</v>
      </c>
      <c r="F8184" t="s">
        <v>8508</v>
      </c>
    </row>
    <row r="8185" spans="1:6" x14ac:dyDescent="0.15">
      <c r="A8185">
        <v>12212512</v>
      </c>
      <c r="B8185">
        <v>12085416</v>
      </c>
      <c r="C8185" t="s">
        <v>163</v>
      </c>
      <c r="D8185" t="s">
        <v>114</v>
      </c>
      <c r="E8185" s="4" t="str">
        <f>HYPERLINK("https://ibp.a2mac1.com/costing(costing:projects/details/9760/equipment/12212512)","No.13 - Extrusion Press Line - 6500T ")</f>
        <v xml:space="preserve">No.13 - Extrusion Press Line - 6500T </v>
      </c>
      <c r="F8185" t="s">
        <v>8508</v>
      </c>
    </row>
    <row r="8186" spans="1:6" x14ac:dyDescent="0.15">
      <c r="A8186">
        <v>8416114</v>
      </c>
      <c r="B8186">
        <v>8415773</v>
      </c>
      <c r="C8186" t="s">
        <v>10</v>
      </c>
      <c r="D8186" t="s">
        <v>8</v>
      </c>
      <c r="E8186" s="4" t="str">
        <f>HYPERLINK("https://ibp.a2mac1.com/costing(costing:projects/details/9760/part/8416114)","Crashbox")</f>
        <v>Crashbox</v>
      </c>
      <c r="F8186" t="s">
        <v>8505</v>
      </c>
    </row>
    <row r="8187" spans="1:6" x14ac:dyDescent="0.15">
      <c r="A8187">
        <v>12085417</v>
      </c>
      <c r="B8187">
        <v>8416114</v>
      </c>
      <c r="C8187" t="s">
        <v>114</v>
      </c>
      <c r="D8187" t="s">
        <v>10</v>
      </c>
      <c r="E8187" s="4" t="str">
        <f>HYPERLINK("https://ibp.a2mac1.com/costing(costing:projects/details/9760/process/12085417)","Aluminum extrusion")</f>
        <v>Aluminum extrusion</v>
      </c>
      <c r="F8187" t="s">
        <v>8509</v>
      </c>
    </row>
    <row r="8188" spans="1:6" x14ac:dyDescent="0.15">
      <c r="A8188">
        <v>8755084</v>
      </c>
      <c r="B8188">
        <v>12085417</v>
      </c>
      <c r="C8188" t="s">
        <v>22</v>
      </c>
      <c r="D8188" t="s">
        <v>114</v>
      </c>
      <c r="E8188" s="4" t="str">
        <f>HYPERLINK("https://ibp.a2mac1.com/costing(costing:projects/details/9760/material/8755084)","Aluminum for extrusion (default, e.g. EN-AW6016)")</f>
        <v>Aluminum for extrusion (default, e.g. EN-AW6016)</v>
      </c>
      <c r="F8188" t="s">
        <v>8511</v>
      </c>
    </row>
    <row r="8189" spans="1:6" x14ac:dyDescent="0.15">
      <c r="A8189">
        <v>12212549</v>
      </c>
      <c r="B8189">
        <v>12085417</v>
      </c>
      <c r="C8189" t="s">
        <v>163</v>
      </c>
      <c r="D8189" t="s">
        <v>114</v>
      </c>
      <c r="E8189" s="4" t="str">
        <f>HYPERLINK("https://ibp.a2mac1.com/costing(costing:projects/details/9760/equipment/12212549)","No.02 - Extrusion Press Line - 900T ")</f>
        <v xml:space="preserve">No.02 - Extrusion Press Line - 900T </v>
      </c>
      <c r="F8189" t="s">
        <v>8511</v>
      </c>
    </row>
    <row r="8190" spans="1:6" x14ac:dyDescent="0.15">
      <c r="A8190">
        <v>8416115</v>
      </c>
      <c r="B8190">
        <v>8415773</v>
      </c>
      <c r="C8190" t="s">
        <v>10</v>
      </c>
      <c r="D8190" t="s">
        <v>8</v>
      </c>
      <c r="E8190" s="4" t="str">
        <f>HYPERLINK("https://ibp.a2mac1.com/costing(costing:projects/details/9760/part/8416115)","Rear Plate")</f>
        <v>Rear Plate</v>
      </c>
      <c r="F8190" t="s">
        <v>8505</v>
      </c>
    </row>
    <row r="8191" spans="1:6" x14ac:dyDescent="0.15">
      <c r="A8191">
        <v>12085418</v>
      </c>
      <c r="B8191">
        <v>8416115</v>
      </c>
      <c r="C8191" t="s">
        <v>114</v>
      </c>
      <c r="D8191" t="s">
        <v>10</v>
      </c>
      <c r="E8191" s="4" t="str">
        <f>HYPERLINK("https://ibp.a2mac1.com/costing(costing:projects/details/9760/process/12085418)","Stamping")</f>
        <v>Stamping</v>
      </c>
      <c r="F8191" t="s">
        <v>8512</v>
      </c>
    </row>
    <row r="8192" spans="1:6" x14ac:dyDescent="0.15">
      <c r="A8192">
        <v>8755085</v>
      </c>
      <c r="B8192">
        <v>12085418</v>
      </c>
      <c r="C8192" t="s">
        <v>22</v>
      </c>
      <c r="D8192" t="s">
        <v>114</v>
      </c>
      <c r="E8192" s="4" t="str">
        <f>HYPERLINK("https://ibp.a2mac1.com/costing(costing:projects/details/9760/material/8755085)","Aluminum sheet (default, e.g. EN AW1050A)")</f>
        <v>Aluminum sheet (default, e.g. EN AW1050A)</v>
      </c>
      <c r="F8192" t="s">
        <v>8514</v>
      </c>
    </row>
    <row r="8193" spans="1:6" x14ac:dyDescent="0.15">
      <c r="A8193">
        <v>12212550</v>
      </c>
      <c r="B8193">
        <v>12085418</v>
      </c>
      <c r="C8193" t="s">
        <v>163</v>
      </c>
      <c r="D8193" t="s">
        <v>114</v>
      </c>
      <c r="E8193" s="4" t="str">
        <f>HYPERLINK("https://ibp.a2mac1.com/costing(costing:projects/details/9760/equipment/12212550)","No.01 - Progressive Press - 250T ")</f>
        <v xml:space="preserve">No.01 - Progressive Press - 250T </v>
      </c>
      <c r="F8193" t="s">
        <v>8514</v>
      </c>
    </row>
    <row r="8194" spans="1:6" x14ac:dyDescent="0.15">
      <c r="A8194">
        <v>12085175</v>
      </c>
      <c r="B8194">
        <v>8415773</v>
      </c>
      <c r="C8194" t="s">
        <v>114</v>
      </c>
      <c r="D8194" t="s">
        <v>8</v>
      </c>
      <c r="E8194" s="4" t="str">
        <f>HYPERLINK("https://ibp.a2mac1.com/costing(costing:projects/details/9760/process/12085175)","Arc welding")</f>
        <v>Arc welding</v>
      </c>
      <c r="F8194" t="s">
        <v>8505</v>
      </c>
    </row>
    <row r="8195" spans="1:6" x14ac:dyDescent="0.15">
      <c r="A8195">
        <v>8754685</v>
      </c>
      <c r="B8195">
        <v>12085175</v>
      </c>
      <c r="C8195" t="s">
        <v>22</v>
      </c>
      <c r="D8195" t="s">
        <v>114</v>
      </c>
      <c r="E8195" s="4" t="str">
        <f>HYPERLINK("https://ibp.a2mac1.com/costing(costing:projects/details/9760/material/8754685)","Aluminum for casting (default, e.g. A380/ADC10/EN-AC46500)")</f>
        <v>Aluminum for casting (default, e.g. A380/ADC10/EN-AC46500)</v>
      </c>
      <c r="F8195" t="s">
        <v>8517</v>
      </c>
    </row>
    <row r="8196" spans="1:6" x14ac:dyDescent="0.15">
      <c r="A8196">
        <v>12212270</v>
      </c>
      <c r="B8196">
        <v>12085175</v>
      </c>
      <c r="C8196" t="s">
        <v>163</v>
      </c>
      <c r="D8196" t="s">
        <v>114</v>
      </c>
      <c r="E8196" s="4" t="str">
        <f>HYPERLINK("https://ibp.a2mac1.com/costing(costing:projects/details/9760/equipment/12212270)","No.10 - TIG - Turntable 1 KUKA - Robot Unload ")</f>
        <v xml:space="preserve">No.10 - TIG - Turntable 1 KUKA - Robot Unload </v>
      </c>
      <c r="F8196" t="s">
        <v>8517</v>
      </c>
    </row>
    <row r="8197" spans="1:6" x14ac:dyDescent="0.15">
      <c r="A8197">
        <v>12085176</v>
      </c>
      <c r="B8197">
        <v>8415773</v>
      </c>
      <c r="C8197" t="s">
        <v>114</v>
      </c>
      <c r="D8197" t="s">
        <v>8</v>
      </c>
      <c r="E8197" s="4" t="str">
        <f>HYPERLINK("https://ibp.a2mac1.com/costing(costing:projects/details/9760/process/12085176)","Cleaning")</f>
        <v>Cleaning</v>
      </c>
      <c r="F8197" t="s">
        <v>8505</v>
      </c>
    </row>
    <row r="8198" spans="1:6" x14ac:dyDescent="0.15">
      <c r="A8198">
        <v>12212271</v>
      </c>
      <c r="B8198">
        <v>12085176</v>
      </c>
      <c r="C8198" t="s">
        <v>163</v>
      </c>
      <c r="D8198" t="s">
        <v>114</v>
      </c>
      <c r="E8198" s="4" t="str">
        <f>HYPERLINK("https://ibp.a2mac1.com/costing(costing:projects/details/9760/equipment/12212271)","No.05 - Cleaning - Batch - 2000x2000x1200 - 500kg/batch - 3000kg/h ")</f>
        <v xml:space="preserve">No.05 - Cleaning - Batch - 2000x2000x1200 - 500kg/batch - 3000kg/h </v>
      </c>
      <c r="F8198" t="s">
        <v>8518</v>
      </c>
    </row>
    <row r="8199" spans="1:6" x14ac:dyDescent="0.15">
      <c r="A8199">
        <v>12085177</v>
      </c>
      <c r="B8199">
        <v>8415773</v>
      </c>
      <c r="C8199" t="s">
        <v>114</v>
      </c>
      <c r="D8199" t="s">
        <v>8</v>
      </c>
      <c r="E8199" s="4" t="str">
        <f>HYPERLINK("https://ibp.a2mac1.com/costing(costing:projects/details/9760/process/12085177)","Visual/Inspection/Packaging")</f>
        <v>Visual/Inspection/Packaging</v>
      </c>
      <c r="F8199" t="s">
        <v>8505</v>
      </c>
    </row>
    <row r="8200" spans="1:6" x14ac:dyDescent="0.15">
      <c r="A8200">
        <v>12212272</v>
      </c>
      <c r="B8200">
        <v>12085177</v>
      </c>
      <c r="C8200" t="s">
        <v>163</v>
      </c>
      <c r="D8200" t="s">
        <v>114</v>
      </c>
      <c r="E8200" s="4" t="str">
        <f>HYPERLINK("https://ibp.a2mac1.com/costing(costing:projects/details/9760/equipment/12212272)","Packaging ")</f>
        <v xml:space="preserve">Packaging </v>
      </c>
      <c r="F8200" t="s">
        <v>8519</v>
      </c>
    </row>
    <row r="8201" spans="1:6" x14ac:dyDescent="0.15">
      <c r="A8201">
        <v>8415774</v>
      </c>
      <c r="B8201">
        <v>8415609</v>
      </c>
      <c r="C8201" t="s">
        <v>8</v>
      </c>
      <c r="D8201" t="s">
        <v>8</v>
      </c>
      <c r="E8201" s="4" t="str">
        <f>HYPERLINK("https://ibp.a2mac1.com/costing(costing:projects/details/9760/assembly/8415774)","Bumper")</f>
        <v>Bumper</v>
      </c>
      <c r="F8201" t="s">
        <v>8504</v>
      </c>
    </row>
    <row r="8202" spans="1:6" x14ac:dyDescent="0.15">
      <c r="A8202">
        <v>8416120</v>
      </c>
      <c r="B8202">
        <v>8415774</v>
      </c>
      <c r="C8202" t="s">
        <v>8</v>
      </c>
      <c r="D8202" t="s">
        <v>8</v>
      </c>
      <c r="E8202" s="4" t="str">
        <f>HYPERLINK("https://ibp.a2mac1.com/costing(costing:projects/details/9760/assembly/8416120)","Bumper Upper Trim")</f>
        <v>Bumper Upper Trim</v>
      </c>
      <c r="F8202" t="s">
        <v>8521</v>
      </c>
    </row>
    <row r="8203" spans="1:6" x14ac:dyDescent="0.15">
      <c r="A8203">
        <v>8416449</v>
      </c>
      <c r="B8203">
        <v>8416120</v>
      </c>
      <c r="C8203" t="s">
        <v>10</v>
      </c>
      <c r="D8203" t="s">
        <v>8</v>
      </c>
      <c r="E8203" s="4" t="str">
        <f>HYPERLINK("https://ibp.a2mac1.com/costing(costing:projects/details/9760/part/8416449)","Lateral Bezel")</f>
        <v>Lateral Bezel</v>
      </c>
      <c r="F8203" t="s">
        <v>8522</v>
      </c>
    </row>
    <row r="8204" spans="1:6" x14ac:dyDescent="0.15">
      <c r="A8204">
        <v>12085821</v>
      </c>
      <c r="B8204">
        <v>8416449</v>
      </c>
      <c r="C8204" t="s">
        <v>114</v>
      </c>
      <c r="D8204" t="s">
        <v>10</v>
      </c>
      <c r="E8204" s="4" t="str">
        <f>HYPERLINK("https://ibp.a2mac1.com/costing(costing:projects/details/9760/process/12085821)","Automated Process")</f>
        <v>Automated Process</v>
      </c>
      <c r="F8204" t="s">
        <v>8523</v>
      </c>
    </row>
    <row r="8205" spans="1:6" x14ac:dyDescent="0.15">
      <c r="A8205">
        <v>8755453</v>
      </c>
      <c r="B8205">
        <v>12085821</v>
      </c>
      <c r="C8205" t="s">
        <v>22</v>
      </c>
      <c r="D8205" t="s">
        <v>114</v>
      </c>
      <c r="E8205" s="4" t="str">
        <f>HYPERLINK("https://ibp.a2mac1.com/costing(costing:projects/details/9760/material/8755453)","PP-EPDM")</f>
        <v>PP-EPDM</v>
      </c>
      <c r="F8205" t="s">
        <v>8525</v>
      </c>
    </row>
    <row r="8206" spans="1:6" x14ac:dyDescent="0.15">
      <c r="A8206">
        <v>12212951</v>
      </c>
      <c r="B8206">
        <v>12085821</v>
      </c>
      <c r="C8206" t="s">
        <v>163</v>
      </c>
      <c r="D8206" t="s">
        <v>114</v>
      </c>
      <c r="E8206" s="4" t="str">
        <f>HYPERLINK("https://ibp.a2mac1.com/costing(costing:projects/details/9760/equipment/12212951)","DC machine - General")</f>
        <v>DC machine - General</v>
      </c>
      <c r="F8206" t="s">
        <v>8525</v>
      </c>
    </row>
    <row r="8207" spans="1:6" x14ac:dyDescent="0.15">
      <c r="A8207">
        <v>8416450</v>
      </c>
      <c r="B8207">
        <v>8416120</v>
      </c>
      <c r="C8207" t="s">
        <v>10</v>
      </c>
      <c r="D8207" t="s">
        <v>8</v>
      </c>
      <c r="E8207" s="4" t="str">
        <f>HYPERLINK("https://ibp.a2mac1.com/costing(costing:projects/details/9760/part/8416450)","Lateral Bezel 2")</f>
        <v>Lateral Bezel 2</v>
      </c>
      <c r="F8207" t="s">
        <v>8522</v>
      </c>
    </row>
    <row r="8208" spans="1:6" x14ac:dyDescent="0.15">
      <c r="A8208">
        <v>12085822</v>
      </c>
      <c r="B8208">
        <v>8416450</v>
      </c>
      <c r="C8208" t="s">
        <v>114</v>
      </c>
      <c r="D8208" t="s">
        <v>10</v>
      </c>
      <c r="E8208" s="4" t="str">
        <f>HYPERLINK("https://ibp.a2mac1.com/costing(costing:projects/details/9760/process/12085822)","Automated Process")</f>
        <v>Automated Process</v>
      </c>
      <c r="F8208" t="s">
        <v>8527</v>
      </c>
    </row>
    <row r="8209" spans="1:6" x14ac:dyDescent="0.15">
      <c r="A8209">
        <v>8755454</v>
      </c>
      <c r="B8209">
        <v>12085822</v>
      </c>
      <c r="C8209" t="s">
        <v>22</v>
      </c>
      <c r="D8209" t="s">
        <v>114</v>
      </c>
      <c r="E8209" s="4" t="str">
        <f>HYPERLINK("https://ibp.a2mac1.com/costing(costing:projects/details/9760/material/8755454)","PP-EPDM")</f>
        <v>PP-EPDM</v>
      </c>
      <c r="F8209" t="s">
        <v>8528</v>
      </c>
    </row>
    <row r="8210" spans="1:6" x14ac:dyDescent="0.15">
      <c r="A8210">
        <v>12212952</v>
      </c>
      <c r="B8210">
        <v>12085822</v>
      </c>
      <c r="C8210" t="s">
        <v>163</v>
      </c>
      <c r="D8210" t="s">
        <v>114</v>
      </c>
      <c r="E8210" s="4" t="str">
        <f>HYPERLINK("https://ibp.a2mac1.com/costing(costing:projects/details/9760/equipment/12212952)","DC machine - General")</f>
        <v>DC machine - General</v>
      </c>
      <c r="F8210" t="s">
        <v>8528</v>
      </c>
    </row>
    <row r="8211" spans="1:6" x14ac:dyDescent="0.15">
      <c r="A8211">
        <v>8416121</v>
      </c>
      <c r="B8211">
        <v>8415774</v>
      </c>
      <c r="C8211" t="s">
        <v>8</v>
      </c>
      <c r="D8211" t="s">
        <v>8</v>
      </c>
      <c r="E8211" s="4" t="str">
        <f>HYPERLINK("https://ibp.a2mac1.com/costing(costing:projects/details/9760/assembly/8416121)","Bumper Lower Trim")</f>
        <v>Bumper Lower Trim</v>
      </c>
      <c r="F8211" t="s">
        <v>8521</v>
      </c>
    </row>
    <row r="8212" spans="1:6" x14ac:dyDescent="0.15">
      <c r="A8212">
        <v>8416451</v>
      </c>
      <c r="B8212">
        <v>8416121</v>
      </c>
      <c r="C8212" t="s">
        <v>10</v>
      </c>
      <c r="D8212" t="s">
        <v>8</v>
      </c>
      <c r="E8212" s="4" t="str">
        <f>HYPERLINK("https://ibp.a2mac1.com/costing(costing:projects/details/9760/part/8416451)","Left")</f>
        <v>Left</v>
      </c>
      <c r="F8212" t="s">
        <v>8531</v>
      </c>
    </row>
    <row r="8213" spans="1:6" x14ac:dyDescent="0.15">
      <c r="A8213">
        <v>12085823</v>
      </c>
      <c r="B8213">
        <v>8416451</v>
      </c>
      <c r="C8213" t="s">
        <v>114</v>
      </c>
      <c r="D8213" t="s">
        <v>10</v>
      </c>
      <c r="E8213" s="4" t="str">
        <f>HYPERLINK("https://ibp.a2mac1.com/costing(costing:projects/details/9760/process/12085823)","Automated Process")</f>
        <v>Automated Process</v>
      </c>
      <c r="F8213" t="s">
        <v>8532</v>
      </c>
    </row>
    <row r="8214" spans="1:6" x14ac:dyDescent="0.15">
      <c r="A8214">
        <v>8755455</v>
      </c>
      <c r="B8214">
        <v>12085823</v>
      </c>
      <c r="C8214" t="s">
        <v>22</v>
      </c>
      <c r="D8214" t="s">
        <v>114</v>
      </c>
      <c r="E8214" s="4" t="str">
        <f>HYPERLINK("https://ibp.a2mac1.com/costing(costing:projects/details/9760/material/8755455)","PP-EPDM")</f>
        <v>PP-EPDM</v>
      </c>
      <c r="F8214" t="s">
        <v>8533</v>
      </c>
    </row>
    <row r="8215" spans="1:6" x14ac:dyDescent="0.15">
      <c r="A8215">
        <v>12212953</v>
      </c>
      <c r="B8215">
        <v>12085823</v>
      </c>
      <c r="C8215" t="s">
        <v>163</v>
      </c>
      <c r="D8215" t="s">
        <v>114</v>
      </c>
      <c r="E8215" s="4" t="str">
        <f>HYPERLINK("https://ibp.a2mac1.com/costing(costing:projects/details/9760/equipment/12212953)","DC machine - General")</f>
        <v>DC machine - General</v>
      </c>
      <c r="F8215" t="s">
        <v>8533</v>
      </c>
    </row>
    <row r="8216" spans="1:6" x14ac:dyDescent="0.15">
      <c r="A8216">
        <v>8416452</v>
      </c>
      <c r="B8216">
        <v>8416121</v>
      </c>
      <c r="C8216" t="s">
        <v>10</v>
      </c>
      <c r="D8216" t="s">
        <v>8</v>
      </c>
      <c r="E8216" s="4" t="str">
        <f>HYPERLINK("https://ibp.a2mac1.com/costing(costing:projects/details/9760/part/8416452)","Right")</f>
        <v>Right</v>
      </c>
      <c r="F8216" t="s">
        <v>8531</v>
      </c>
    </row>
    <row r="8217" spans="1:6" x14ac:dyDescent="0.15">
      <c r="A8217">
        <v>12085824</v>
      </c>
      <c r="B8217">
        <v>8416452</v>
      </c>
      <c r="C8217" t="s">
        <v>114</v>
      </c>
      <c r="D8217" t="s">
        <v>10</v>
      </c>
      <c r="E8217" s="4" t="str">
        <f>HYPERLINK("https://ibp.a2mac1.com/costing(costing:projects/details/9760/process/12085824)","Automated Process")</f>
        <v>Automated Process</v>
      </c>
      <c r="F8217" t="s">
        <v>8535</v>
      </c>
    </row>
    <row r="8218" spans="1:6" x14ac:dyDescent="0.15">
      <c r="A8218">
        <v>8755456</v>
      </c>
      <c r="B8218">
        <v>12085824</v>
      </c>
      <c r="C8218" t="s">
        <v>22</v>
      </c>
      <c r="D8218" t="s">
        <v>114</v>
      </c>
      <c r="E8218" s="4" t="str">
        <f>HYPERLINK("https://ibp.a2mac1.com/costing(costing:projects/details/9760/material/8755456)","PP-EPDM")</f>
        <v>PP-EPDM</v>
      </c>
      <c r="F8218" t="s">
        <v>8536</v>
      </c>
    </row>
    <row r="8219" spans="1:6" x14ac:dyDescent="0.15">
      <c r="A8219">
        <v>12212954</v>
      </c>
      <c r="B8219">
        <v>12085824</v>
      </c>
      <c r="C8219" t="s">
        <v>163</v>
      </c>
      <c r="D8219" t="s">
        <v>114</v>
      </c>
      <c r="E8219" s="4" t="str">
        <f>HYPERLINK("https://ibp.a2mac1.com/costing(costing:projects/details/9760/equipment/12212954)","DC machine - General")</f>
        <v>DC machine - General</v>
      </c>
      <c r="F8219" t="s">
        <v>8536</v>
      </c>
    </row>
    <row r="8220" spans="1:6" x14ac:dyDescent="0.15">
      <c r="A8220">
        <v>8416453</v>
      </c>
      <c r="B8220">
        <v>8416121</v>
      </c>
      <c r="C8220" t="s">
        <v>10</v>
      </c>
      <c r="D8220" t="s">
        <v>8</v>
      </c>
      <c r="E8220" s="4" t="str">
        <f>HYPERLINK("https://ibp.a2mac1.com/costing(costing:projects/details/9760/part/8416453)","Central Single")</f>
        <v>Central Single</v>
      </c>
      <c r="F8220" t="s">
        <v>8531</v>
      </c>
    </row>
    <row r="8221" spans="1:6" x14ac:dyDescent="0.15">
      <c r="A8221">
        <v>12085825</v>
      </c>
      <c r="B8221">
        <v>8416453</v>
      </c>
      <c r="C8221" t="s">
        <v>114</v>
      </c>
      <c r="D8221" t="s">
        <v>10</v>
      </c>
      <c r="E8221" s="4" t="str">
        <f>HYPERLINK("https://ibp.a2mac1.com/costing(costing:projects/details/9760/process/12085825)","Automated Process")</f>
        <v>Automated Process</v>
      </c>
      <c r="F8221" t="s">
        <v>8538</v>
      </c>
    </row>
    <row r="8222" spans="1:6" x14ac:dyDescent="0.15">
      <c r="A8222">
        <v>8755457</v>
      </c>
      <c r="B8222">
        <v>12085825</v>
      </c>
      <c r="C8222" t="s">
        <v>22</v>
      </c>
      <c r="D8222" t="s">
        <v>114</v>
      </c>
      <c r="E8222" s="4" t="str">
        <f>HYPERLINK("https://ibp.a2mac1.com/costing(costing:projects/details/9760/material/8755457)","PP-EPDM")</f>
        <v>PP-EPDM</v>
      </c>
      <c r="F8222" t="s">
        <v>8541</v>
      </c>
    </row>
    <row r="8223" spans="1:6" x14ac:dyDescent="0.15">
      <c r="A8223">
        <v>12212955</v>
      </c>
      <c r="B8223">
        <v>12085825</v>
      </c>
      <c r="C8223" t="s">
        <v>163</v>
      </c>
      <c r="D8223" t="s">
        <v>114</v>
      </c>
      <c r="E8223" s="4" t="str">
        <f>HYPERLINK("https://ibp.a2mac1.com/costing(costing:projects/details/9760/equipment/12212955)","DC machine - General")</f>
        <v>DC machine - General</v>
      </c>
      <c r="F8223" t="s">
        <v>8541</v>
      </c>
    </row>
    <row r="8224" spans="1:6" x14ac:dyDescent="0.15">
      <c r="A8224">
        <v>8416454</v>
      </c>
      <c r="B8224">
        <v>8416121</v>
      </c>
      <c r="C8224" t="s">
        <v>10</v>
      </c>
      <c r="D8224" t="s">
        <v>8</v>
      </c>
      <c r="E8224" s="4" t="str">
        <f>HYPERLINK("https://ibp.a2mac1.com/costing(costing:projects/details/9760/part/8416454)","Central 2")</f>
        <v>Central 2</v>
      </c>
      <c r="F8224" t="s">
        <v>8531</v>
      </c>
    </row>
    <row r="8225" spans="1:6" x14ac:dyDescent="0.15">
      <c r="A8225">
        <v>12085826</v>
      </c>
      <c r="B8225">
        <v>8416454</v>
      </c>
      <c r="C8225" t="s">
        <v>114</v>
      </c>
      <c r="D8225" t="s">
        <v>10</v>
      </c>
      <c r="E8225" s="4" t="str">
        <f>HYPERLINK("https://ibp.a2mac1.com/costing(costing:projects/details/9760/process/12085826)","Automated Process")</f>
        <v>Automated Process</v>
      </c>
      <c r="F8225" t="s">
        <v>8543</v>
      </c>
    </row>
    <row r="8226" spans="1:6" x14ac:dyDescent="0.15">
      <c r="A8226">
        <v>8755458</v>
      </c>
      <c r="B8226">
        <v>12085826</v>
      </c>
      <c r="C8226" t="s">
        <v>22</v>
      </c>
      <c r="D8226" t="s">
        <v>114</v>
      </c>
      <c r="E8226" s="4" t="str">
        <f>HYPERLINK("https://ibp.a2mac1.com/costing(costing:projects/details/9760/material/8755458)","PP-EPDM")</f>
        <v>PP-EPDM</v>
      </c>
      <c r="F8226" t="s">
        <v>8546</v>
      </c>
    </row>
    <row r="8227" spans="1:6" x14ac:dyDescent="0.15">
      <c r="A8227">
        <v>12212956</v>
      </c>
      <c r="B8227">
        <v>12085826</v>
      </c>
      <c r="C8227" t="s">
        <v>163</v>
      </c>
      <c r="D8227" t="s">
        <v>114</v>
      </c>
      <c r="E8227" s="4" t="str">
        <f>HYPERLINK("https://ibp.a2mac1.com/costing(costing:projects/details/9760/equipment/12212956)","DC machine - General")</f>
        <v>DC machine - General</v>
      </c>
      <c r="F8227" t="s">
        <v>8546</v>
      </c>
    </row>
    <row r="8228" spans="1:6" x14ac:dyDescent="0.15">
      <c r="A8228">
        <v>8754688</v>
      </c>
      <c r="B8228">
        <v>8416121</v>
      </c>
      <c r="C8228" t="s">
        <v>311</v>
      </c>
      <c r="D8228" t="s">
        <v>8</v>
      </c>
      <c r="E8228" s="4" t="str">
        <f>HYPERLINK("https://ibp.a2mac1.com/costing(costing:projects/details/9760/component/8754688)","Screw &gt; Torx socket head cap screw with flange and captive washer")</f>
        <v>Screw &gt; Torx socket head cap screw with flange and captive washer</v>
      </c>
      <c r="F8228" t="s">
        <v>8531</v>
      </c>
    </row>
    <row r="8229" spans="1:6" x14ac:dyDescent="0.15">
      <c r="A8229">
        <v>8416116</v>
      </c>
      <c r="B8229">
        <v>8415774</v>
      </c>
      <c r="C8229" t="s">
        <v>10</v>
      </c>
      <c r="D8229" t="s">
        <v>8</v>
      </c>
      <c r="E8229" s="4" t="str">
        <f>HYPERLINK("https://ibp.a2mac1.com/costing(costing:projects/details/9760/part/8416116)","Bumper")</f>
        <v>Bumper</v>
      </c>
      <c r="F8229" t="s">
        <v>8521</v>
      </c>
    </row>
    <row r="8230" spans="1:6" x14ac:dyDescent="0.15">
      <c r="A8230">
        <v>12085419</v>
      </c>
      <c r="B8230">
        <v>8416116</v>
      </c>
      <c r="C8230" t="s">
        <v>114</v>
      </c>
      <c r="D8230" t="s">
        <v>10</v>
      </c>
      <c r="E8230" s="4" t="str">
        <f>HYPERLINK("https://ibp.a2mac1.com/costing(costing:projects/details/9760/process/12085419)","Automated Process")</f>
        <v>Automated Process</v>
      </c>
      <c r="F8230" t="s">
        <v>8549</v>
      </c>
    </row>
    <row r="8231" spans="1:6" x14ac:dyDescent="0.15">
      <c r="A8231">
        <v>8755086</v>
      </c>
      <c r="B8231">
        <v>12085419</v>
      </c>
      <c r="C8231" t="s">
        <v>22</v>
      </c>
      <c r="D8231" t="s">
        <v>114</v>
      </c>
      <c r="E8231" s="4" t="str">
        <f>HYPERLINK("https://ibp.a2mac1.com/costing(costing:projects/details/9760/material/8755086)","PP-EPDM-MD35-TD20")</f>
        <v>PP-EPDM-MD35-TD20</v>
      </c>
      <c r="F8231" t="s">
        <v>8552</v>
      </c>
    </row>
    <row r="8232" spans="1:6" x14ac:dyDescent="0.15">
      <c r="A8232">
        <v>12212551</v>
      </c>
      <c r="B8232">
        <v>12085419</v>
      </c>
      <c r="C8232" t="s">
        <v>163</v>
      </c>
      <c r="D8232" t="s">
        <v>114</v>
      </c>
      <c r="E8232" s="4" t="str">
        <f>HYPERLINK("https://ibp.a2mac1.com/costing(costing:projects/details/9760/equipment/12212551)","DC machine - General")</f>
        <v>DC machine - General</v>
      </c>
      <c r="F8232" t="s">
        <v>8552</v>
      </c>
    </row>
    <row r="8233" spans="1:6" x14ac:dyDescent="0.15">
      <c r="A8233">
        <v>8416117</v>
      </c>
      <c r="B8233">
        <v>8415774</v>
      </c>
      <c r="C8233" t="s">
        <v>10</v>
      </c>
      <c r="D8233" t="s">
        <v>8</v>
      </c>
      <c r="E8233" s="4" t="str">
        <f>HYPERLINK("https://ibp.a2mac1.com/costing(costing:projects/details/9760/part/8416117)","Rear Bumper Harness")</f>
        <v>Rear Bumper Harness</v>
      </c>
      <c r="F8233" t="s">
        <v>8521</v>
      </c>
    </row>
    <row r="8234" spans="1:6" x14ac:dyDescent="0.15">
      <c r="A8234">
        <v>12085420</v>
      </c>
      <c r="B8234">
        <v>8416117</v>
      </c>
      <c r="C8234" t="s">
        <v>114</v>
      </c>
      <c r="D8234" t="s">
        <v>10</v>
      </c>
      <c r="E8234" s="4" t="str">
        <f>HYPERLINK("https://ibp.a2mac1.com/costing(costing:projects/details/9760/process/12085420)","Process")</f>
        <v>Process</v>
      </c>
      <c r="F8234" t="s">
        <v>8554</v>
      </c>
    </row>
    <row r="8235" spans="1:6" x14ac:dyDescent="0.15">
      <c r="A8235">
        <v>12212552</v>
      </c>
      <c r="B8235">
        <v>12085420</v>
      </c>
      <c r="C8235" t="s">
        <v>163</v>
      </c>
      <c r="D8235" t="s">
        <v>114</v>
      </c>
      <c r="E8235" s="4" t="str">
        <f>HYPERLINK("https://ibp.a2mac1.com/costing(costing:projects/details/9760/equipment/12212552)","Dummy Machine (Wireharness production line)")</f>
        <v>Dummy Machine (Wireharness production line)</v>
      </c>
      <c r="F8235" t="s">
        <v>8555</v>
      </c>
    </row>
    <row r="8236" spans="1:6" x14ac:dyDescent="0.15">
      <c r="A8236">
        <v>8754686</v>
      </c>
      <c r="B8236">
        <v>8416117</v>
      </c>
      <c r="C8236" t="s">
        <v>311</v>
      </c>
      <c r="D8236" t="s">
        <v>10</v>
      </c>
      <c r="E8236" s="4" t="str">
        <f>HYPERLINK("https://ibp.a2mac1.com/costing(costing:projects/details/9760/component/8754686)","Material")</f>
        <v>Material</v>
      </c>
      <c r="F8236" t="s">
        <v>8554</v>
      </c>
    </row>
    <row r="8237" spans="1:6" x14ac:dyDescent="0.15">
      <c r="A8237">
        <v>8754687</v>
      </c>
      <c r="B8237">
        <v>8416117</v>
      </c>
      <c r="C8237" t="s">
        <v>311</v>
      </c>
      <c r="D8237" t="s">
        <v>10</v>
      </c>
      <c r="E8237" s="4" t="str">
        <f>HYPERLINK("https://ibp.a2mac1.com/costing(costing:projects/details/9760/component/8754687)","Copper")</f>
        <v>Copper</v>
      </c>
      <c r="F8237" t="s">
        <v>8554</v>
      </c>
    </row>
    <row r="8238" spans="1:6" x14ac:dyDescent="0.15">
      <c r="A8238">
        <v>8416118</v>
      </c>
      <c r="B8238">
        <v>8415774</v>
      </c>
      <c r="C8238" t="s">
        <v>10</v>
      </c>
      <c r="D8238" t="s">
        <v>8</v>
      </c>
      <c r="E8238" s="4" t="str">
        <f>HYPERLINK("https://ibp.a2mac1.com/costing(costing:projects/details/9760/part/8416118)","Grille")</f>
        <v>Grille</v>
      </c>
      <c r="F8238" t="s">
        <v>8521</v>
      </c>
    </row>
    <row r="8239" spans="1:6" x14ac:dyDescent="0.15">
      <c r="A8239">
        <v>12085421</v>
      </c>
      <c r="B8239">
        <v>8416118</v>
      </c>
      <c r="C8239" t="s">
        <v>114</v>
      </c>
      <c r="D8239" t="s">
        <v>10</v>
      </c>
      <c r="E8239" s="4" t="str">
        <f>HYPERLINK("https://ibp.a2mac1.com/costing(costing:projects/details/9760/process/12085421)","Automated Process")</f>
        <v>Automated Process</v>
      </c>
      <c r="F8239" t="s">
        <v>8557</v>
      </c>
    </row>
    <row r="8240" spans="1:6" x14ac:dyDescent="0.15">
      <c r="A8240">
        <v>8755087</v>
      </c>
      <c r="B8240">
        <v>12085421</v>
      </c>
      <c r="C8240" t="s">
        <v>22</v>
      </c>
      <c r="D8240" t="s">
        <v>114</v>
      </c>
      <c r="E8240" s="4" t="str">
        <f>HYPERLINK("https://ibp.a2mac1.com/costing(costing:projects/details/9760/material/8755087)","PP-EPDM")</f>
        <v>PP-EPDM</v>
      </c>
      <c r="F8240" t="s">
        <v>8559</v>
      </c>
    </row>
    <row r="8241" spans="1:6" x14ac:dyDescent="0.15">
      <c r="A8241">
        <v>12212553</v>
      </c>
      <c r="B8241">
        <v>12085421</v>
      </c>
      <c r="C8241" t="s">
        <v>163</v>
      </c>
      <c r="D8241" t="s">
        <v>114</v>
      </c>
      <c r="E8241" s="4" t="str">
        <f>HYPERLINK("https://ibp.a2mac1.com/costing(costing:projects/details/9760/equipment/12212553)","DC machine - General")</f>
        <v>DC machine - General</v>
      </c>
      <c r="F8241" t="s">
        <v>8559</v>
      </c>
    </row>
    <row r="8242" spans="1:6" x14ac:dyDescent="0.15">
      <c r="A8242">
        <v>8416119</v>
      </c>
      <c r="B8242">
        <v>8415774</v>
      </c>
      <c r="C8242" t="s">
        <v>10</v>
      </c>
      <c r="D8242" t="s">
        <v>8</v>
      </c>
      <c r="E8242" s="4" t="str">
        <f>HYPERLINK("https://ibp.a2mac1.com/costing(costing:projects/details/9760/part/8416119)","2nd Grille")</f>
        <v>2nd Grille</v>
      </c>
      <c r="F8242" t="s">
        <v>8521</v>
      </c>
    </row>
    <row r="8243" spans="1:6" x14ac:dyDescent="0.15">
      <c r="A8243">
        <v>12085422</v>
      </c>
      <c r="B8243">
        <v>8416119</v>
      </c>
      <c r="C8243" t="s">
        <v>114</v>
      </c>
      <c r="D8243" t="s">
        <v>10</v>
      </c>
      <c r="E8243" s="4" t="str">
        <f>HYPERLINK("https://ibp.a2mac1.com/costing(costing:projects/details/9760/process/12085422)","Automated Process")</f>
        <v>Automated Process</v>
      </c>
      <c r="F8243" t="s">
        <v>8561</v>
      </c>
    </row>
    <row r="8244" spans="1:6" x14ac:dyDescent="0.15">
      <c r="A8244">
        <v>8755088</v>
      </c>
      <c r="B8244">
        <v>12085422</v>
      </c>
      <c r="C8244" t="s">
        <v>22</v>
      </c>
      <c r="D8244" t="s">
        <v>114</v>
      </c>
      <c r="E8244" s="4" t="str">
        <f>HYPERLINK("https://ibp.a2mac1.com/costing(costing:projects/details/9760/material/8755088)","PP-EPDM")</f>
        <v>PP-EPDM</v>
      </c>
      <c r="F8244" t="s">
        <v>8562</v>
      </c>
    </row>
    <row r="8245" spans="1:6" x14ac:dyDescent="0.15">
      <c r="A8245">
        <v>12212554</v>
      </c>
      <c r="B8245">
        <v>12085422</v>
      </c>
      <c r="C8245" t="s">
        <v>163</v>
      </c>
      <c r="D8245" t="s">
        <v>114</v>
      </c>
      <c r="E8245" s="4" t="str">
        <f>HYPERLINK("https://ibp.a2mac1.com/costing(costing:projects/details/9760/equipment/12212554)","DC machine - General")</f>
        <v>DC machine - General</v>
      </c>
      <c r="F8245" t="s">
        <v>8562</v>
      </c>
    </row>
    <row r="8246" spans="1:6" x14ac:dyDescent="0.15">
      <c r="A8246">
        <v>8754479</v>
      </c>
      <c r="B8246">
        <v>8415774</v>
      </c>
      <c r="C8246" t="s">
        <v>311</v>
      </c>
      <c r="D8246" t="s">
        <v>8</v>
      </c>
      <c r="E8246" s="4" t="str">
        <f>HYPERLINK("https://ibp.a2mac1.com/costing(costing:projects/details/9760/component/8754479)","Nut &gt; Clipping nut for metal sheet screw")</f>
        <v>Nut &gt; Clipping nut for metal sheet screw</v>
      </c>
      <c r="F8246" t="s">
        <v>8521</v>
      </c>
    </row>
    <row r="8247" spans="1:6" x14ac:dyDescent="0.15">
      <c r="A8247">
        <v>8754480</v>
      </c>
      <c r="B8247">
        <v>8415774</v>
      </c>
      <c r="C8247" t="s">
        <v>311</v>
      </c>
      <c r="D8247" t="s">
        <v>8</v>
      </c>
      <c r="E8247" s="4" t="str">
        <f>HYPERLINK("https://ibp.a2mac1.com/costing(costing:projects/details/9760/component/8754480)","Tube/cluster support &gt; Tube/cluster strap support in hole")</f>
        <v>Tube/cluster support &gt; Tube/cluster strap support in hole</v>
      </c>
      <c r="F8247" t="s">
        <v>8521</v>
      </c>
    </row>
    <row r="8248" spans="1:6" x14ac:dyDescent="0.15">
      <c r="A8248">
        <v>8754481</v>
      </c>
      <c r="B8248">
        <v>8415774</v>
      </c>
      <c r="C8248" t="s">
        <v>311</v>
      </c>
      <c r="D8248" t="s">
        <v>8</v>
      </c>
      <c r="E8248" s="4" t="str">
        <f>HYPERLINK("https://ibp.a2mac1.com/costing(costing:projects/details/9760/component/8754481)","Screw &gt; Torx socket head cap screw with flange")</f>
        <v>Screw &gt; Torx socket head cap screw with flange</v>
      </c>
      <c r="F8248" t="s">
        <v>8521</v>
      </c>
    </row>
    <row r="8249" spans="1:6" x14ac:dyDescent="0.15">
      <c r="A8249">
        <v>8754482</v>
      </c>
      <c r="B8249">
        <v>8415774</v>
      </c>
      <c r="C8249" t="s">
        <v>311</v>
      </c>
      <c r="D8249" t="s">
        <v>8</v>
      </c>
      <c r="E8249" s="4" t="str">
        <f>HYPERLINK("https://ibp.a2mac1.com/costing(costing:projects/details/9760/component/8754482)","Screw &gt; Torx socket head cap screw with flange")</f>
        <v>Screw &gt; Torx socket head cap screw with flange</v>
      </c>
      <c r="F8249" t="s">
        <v>8521</v>
      </c>
    </row>
    <row r="8250" spans="1:6" x14ac:dyDescent="0.15">
      <c r="A8250">
        <v>8415775</v>
      </c>
      <c r="B8250">
        <v>8415609</v>
      </c>
      <c r="C8250" t="s">
        <v>8</v>
      </c>
      <c r="D8250" t="s">
        <v>8</v>
      </c>
      <c r="E8250" s="4" t="str">
        <f>HYPERLINK("https://ibp.a2mac1.com/costing(costing:projects/details/9760/assembly/8415775)","Bumper Bracket on Body")</f>
        <v>Bumper Bracket on Body</v>
      </c>
      <c r="F8250" t="s">
        <v>8504</v>
      </c>
    </row>
    <row r="8251" spans="1:6" x14ac:dyDescent="0.15">
      <c r="A8251">
        <v>8416122</v>
      </c>
      <c r="B8251">
        <v>8415775</v>
      </c>
      <c r="C8251" t="s">
        <v>10</v>
      </c>
      <c r="D8251" t="s">
        <v>8</v>
      </c>
      <c r="E8251" s="4" t="str">
        <f>HYPERLINK("https://ibp.a2mac1.com/costing(costing:projects/details/9760/part/8416122)","Left Side Fastener")</f>
        <v>Left Side Fastener</v>
      </c>
      <c r="F8251" t="s">
        <v>8565</v>
      </c>
    </row>
    <row r="8252" spans="1:6" x14ac:dyDescent="0.15">
      <c r="A8252">
        <v>12085423</v>
      </c>
      <c r="B8252">
        <v>8416122</v>
      </c>
      <c r="C8252" t="s">
        <v>114</v>
      </c>
      <c r="D8252" t="s">
        <v>10</v>
      </c>
      <c r="E8252" s="4" t="str">
        <f>HYPERLINK("https://ibp.a2mac1.com/costing(costing:projects/details/9760/process/12085423)","Automated Process")</f>
        <v>Automated Process</v>
      </c>
      <c r="F8252" t="s">
        <v>8566</v>
      </c>
    </row>
    <row r="8253" spans="1:6" x14ac:dyDescent="0.15">
      <c r="A8253">
        <v>8755089</v>
      </c>
      <c r="B8253">
        <v>12085423</v>
      </c>
      <c r="C8253" t="s">
        <v>22</v>
      </c>
      <c r="D8253" t="s">
        <v>114</v>
      </c>
      <c r="E8253" s="4" t="str">
        <f>HYPERLINK("https://ibp.a2mac1.com/costing(costing:projects/details/9760/material/8755089)","PP")</f>
        <v>PP</v>
      </c>
      <c r="F8253" t="s">
        <v>8569</v>
      </c>
    </row>
    <row r="8254" spans="1:6" x14ac:dyDescent="0.15">
      <c r="A8254">
        <v>12212555</v>
      </c>
      <c r="B8254">
        <v>12085423</v>
      </c>
      <c r="C8254" t="s">
        <v>163</v>
      </c>
      <c r="D8254" t="s">
        <v>114</v>
      </c>
      <c r="E8254" s="4" t="str">
        <f>HYPERLINK("https://ibp.a2mac1.com/costing(costing:projects/details/9760/equipment/12212555)","DC machine - General")</f>
        <v>DC machine - General</v>
      </c>
      <c r="F8254" t="s">
        <v>8569</v>
      </c>
    </row>
    <row r="8255" spans="1:6" x14ac:dyDescent="0.15">
      <c r="A8255">
        <v>8416123</v>
      </c>
      <c r="B8255">
        <v>8415775</v>
      </c>
      <c r="C8255" t="s">
        <v>10</v>
      </c>
      <c r="D8255" t="s">
        <v>8</v>
      </c>
      <c r="E8255" s="4" t="str">
        <f>HYPERLINK("https://ibp.a2mac1.com/costing(costing:projects/details/9760/part/8416123)","Right Side Fastener")</f>
        <v>Right Side Fastener</v>
      </c>
      <c r="F8255" t="s">
        <v>8565</v>
      </c>
    </row>
    <row r="8256" spans="1:6" x14ac:dyDescent="0.15">
      <c r="A8256">
        <v>12085424</v>
      </c>
      <c r="B8256">
        <v>8416123</v>
      </c>
      <c r="C8256" t="s">
        <v>114</v>
      </c>
      <c r="D8256" t="s">
        <v>10</v>
      </c>
      <c r="E8256" s="4" t="str">
        <f>HYPERLINK("https://ibp.a2mac1.com/costing(costing:projects/details/9760/process/12085424)","Automated Process")</f>
        <v>Automated Process</v>
      </c>
      <c r="F8256" t="s">
        <v>8571</v>
      </c>
    </row>
    <row r="8257" spans="1:6" x14ac:dyDescent="0.15">
      <c r="A8257">
        <v>8755090</v>
      </c>
      <c r="B8257">
        <v>12085424</v>
      </c>
      <c r="C8257" t="s">
        <v>22</v>
      </c>
      <c r="D8257" t="s">
        <v>114</v>
      </c>
      <c r="E8257" s="4" t="str">
        <f>HYPERLINK("https://ibp.a2mac1.com/costing(costing:projects/details/9760/material/8755090)","PP")</f>
        <v>PP</v>
      </c>
      <c r="F8257" t="s">
        <v>8574</v>
      </c>
    </row>
    <row r="8258" spans="1:6" x14ac:dyDescent="0.15">
      <c r="A8258">
        <v>12212556</v>
      </c>
      <c r="B8258">
        <v>12085424</v>
      </c>
      <c r="C8258" t="s">
        <v>163</v>
      </c>
      <c r="D8258" t="s">
        <v>114</v>
      </c>
      <c r="E8258" s="4" t="str">
        <f>HYPERLINK("https://ibp.a2mac1.com/costing(costing:projects/details/9760/equipment/12212556)","DC machine - General")</f>
        <v>DC machine - General</v>
      </c>
      <c r="F8258" t="s">
        <v>8574</v>
      </c>
    </row>
    <row r="8259" spans="1:6" x14ac:dyDescent="0.15">
      <c r="A8259">
        <v>8416124</v>
      </c>
      <c r="B8259">
        <v>8415775</v>
      </c>
      <c r="C8259" t="s">
        <v>10</v>
      </c>
      <c r="D8259" t="s">
        <v>8</v>
      </c>
      <c r="E8259" s="4" t="str">
        <f>HYPERLINK("https://ibp.a2mac1.com/costing(costing:projects/details/9760/part/8416124)","Upper Bracket   Reinforcement")</f>
        <v>Upper Bracket   Reinforcement</v>
      </c>
      <c r="F8259" t="s">
        <v>8565</v>
      </c>
    </row>
    <row r="8260" spans="1:6" x14ac:dyDescent="0.15">
      <c r="A8260">
        <v>12085425</v>
      </c>
      <c r="B8260">
        <v>8416124</v>
      </c>
      <c r="C8260" t="s">
        <v>114</v>
      </c>
      <c r="D8260" t="s">
        <v>10</v>
      </c>
      <c r="E8260" s="4" t="str">
        <f>HYPERLINK("https://ibp.a2mac1.com/costing(costing:projects/details/9760/process/12085425)","Automated Process")</f>
        <v>Automated Process</v>
      </c>
      <c r="F8260" t="s">
        <v>8576</v>
      </c>
    </row>
    <row r="8261" spans="1:6" x14ac:dyDescent="0.15">
      <c r="A8261">
        <v>8755091</v>
      </c>
      <c r="B8261">
        <v>12085425</v>
      </c>
      <c r="C8261" t="s">
        <v>22</v>
      </c>
      <c r="D8261" t="s">
        <v>114</v>
      </c>
      <c r="E8261" s="4" t="str">
        <f>HYPERLINK("https://ibp.a2mac1.com/costing(costing:projects/details/9760/material/8755091)","PP")</f>
        <v>PP</v>
      </c>
      <c r="F8261" t="s">
        <v>8579</v>
      </c>
    </row>
    <row r="8262" spans="1:6" x14ac:dyDescent="0.15">
      <c r="A8262">
        <v>12212557</v>
      </c>
      <c r="B8262">
        <v>12085425</v>
      </c>
      <c r="C8262" t="s">
        <v>163</v>
      </c>
      <c r="D8262" t="s">
        <v>114</v>
      </c>
      <c r="E8262" s="4" t="str">
        <f>HYPERLINK("https://ibp.a2mac1.com/costing(costing:projects/details/9760/equipment/12212557)","DC machine - General")</f>
        <v>DC machine - General</v>
      </c>
      <c r="F8262" t="s">
        <v>8579</v>
      </c>
    </row>
    <row r="8263" spans="1:6" x14ac:dyDescent="0.15">
      <c r="A8263">
        <v>8416125</v>
      </c>
      <c r="B8263">
        <v>8415775</v>
      </c>
      <c r="C8263" t="s">
        <v>10</v>
      </c>
      <c r="D8263" t="s">
        <v>8</v>
      </c>
      <c r="E8263" s="4" t="str">
        <f>HYPERLINK("https://ibp.a2mac1.com/costing(costing:projects/details/9760/part/8416125)","Left Mounting Bracket Under Lighting")</f>
        <v>Left Mounting Bracket Under Lighting</v>
      </c>
      <c r="F8263" t="s">
        <v>8565</v>
      </c>
    </row>
    <row r="8264" spans="1:6" x14ac:dyDescent="0.15">
      <c r="A8264">
        <v>12085426</v>
      </c>
      <c r="B8264">
        <v>8416125</v>
      </c>
      <c r="C8264" t="s">
        <v>114</v>
      </c>
      <c r="D8264" t="s">
        <v>10</v>
      </c>
      <c r="E8264" s="4" t="str">
        <f>HYPERLINK("https://ibp.a2mac1.com/costing(costing:projects/details/9760/process/12085426)","Automated Process")</f>
        <v>Automated Process</v>
      </c>
      <c r="F8264" t="s">
        <v>8581</v>
      </c>
    </row>
    <row r="8265" spans="1:6" x14ac:dyDescent="0.15">
      <c r="A8265">
        <v>8755092</v>
      </c>
      <c r="B8265">
        <v>12085426</v>
      </c>
      <c r="C8265" t="s">
        <v>22</v>
      </c>
      <c r="D8265" t="s">
        <v>114</v>
      </c>
      <c r="E8265" s="4" t="str">
        <f>HYPERLINK("https://ibp.a2mac1.com/costing(costing:projects/details/9760/material/8755092)","PP")</f>
        <v>PP</v>
      </c>
      <c r="F8265" t="s">
        <v>8584</v>
      </c>
    </row>
    <row r="8266" spans="1:6" x14ac:dyDescent="0.15">
      <c r="A8266">
        <v>12212558</v>
      </c>
      <c r="B8266">
        <v>12085426</v>
      </c>
      <c r="C8266" t="s">
        <v>163</v>
      </c>
      <c r="D8266" t="s">
        <v>114</v>
      </c>
      <c r="E8266" s="4" t="str">
        <f>HYPERLINK("https://ibp.a2mac1.com/costing(costing:projects/details/9760/equipment/12212558)","DC machine - General")</f>
        <v>DC machine - General</v>
      </c>
      <c r="F8266" t="s">
        <v>8584</v>
      </c>
    </row>
    <row r="8267" spans="1:6" x14ac:dyDescent="0.15">
      <c r="A8267">
        <v>8416126</v>
      </c>
      <c r="B8267">
        <v>8415775</v>
      </c>
      <c r="C8267" t="s">
        <v>10</v>
      </c>
      <c r="D8267" t="s">
        <v>8</v>
      </c>
      <c r="E8267" s="4" t="str">
        <f>HYPERLINK("https://ibp.a2mac1.com/costing(costing:projects/details/9760/part/8416126)","Right Mounting Bracket Under Lighting")</f>
        <v>Right Mounting Bracket Under Lighting</v>
      </c>
      <c r="F8267" t="s">
        <v>8565</v>
      </c>
    </row>
    <row r="8268" spans="1:6" x14ac:dyDescent="0.15">
      <c r="A8268">
        <v>12085427</v>
      </c>
      <c r="B8268">
        <v>8416126</v>
      </c>
      <c r="C8268" t="s">
        <v>114</v>
      </c>
      <c r="D8268" t="s">
        <v>10</v>
      </c>
      <c r="E8268" s="4" t="str">
        <f>HYPERLINK("https://ibp.a2mac1.com/costing(costing:projects/details/9760/process/12085427)","Automated Process")</f>
        <v>Automated Process</v>
      </c>
      <c r="F8268" t="s">
        <v>8586</v>
      </c>
    </row>
    <row r="8269" spans="1:6" x14ac:dyDescent="0.15">
      <c r="A8269">
        <v>8755093</v>
      </c>
      <c r="B8269">
        <v>12085427</v>
      </c>
      <c r="C8269" t="s">
        <v>22</v>
      </c>
      <c r="D8269" t="s">
        <v>114</v>
      </c>
      <c r="E8269" s="4" t="str">
        <f>HYPERLINK("https://ibp.a2mac1.com/costing(costing:projects/details/9760/material/8755093)","PP")</f>
        <v>PP</v>
      </c>
      <c r="F8269" t="s">
        <v>8589</v>
      </c>
    </row>
    <row r="8270" spans="1:6" x14ac:dyDescent="0.15">
      <c r="A8270">
        <v>12212559</v>
      </c>
      <c r="B8270">
        <v>12085427</v>
      </c>
      <c r="C8270" t="s">
        <v>163</v>
      </c>
      <c r="D8270" t="s">
        <v>114</v>
      </c>
      <c r="E8270" s="4" t="str">
        <f>HYPERLINK("https://ibp.a2mac1.com/costing(costing:projects/details/9760/equipment/12212559)","DC machine - General")</f>
        <v>DC machine - General</v>
      </c>
      <c r="F8270" t="s">
        <v>8589</v>
      </c>
    </row>
    <row r="8271" spans="1:6" x14ac:dyDescent="0.15">
      <c r="A8271">
        <v>8754483</v>
      </c>
      <c r="B8271">
        <v>8415775</v>
      </c>
      <c r="C8271" t="s">
        <v>311</v>
      </c>
      <c r="D8271" t="s">
        <v>8</v>
      </c>
      <c r="E8271" s="4" t="str">
        <f>HYPERLINK("https://ibp.a2mac1.com/costing(costing:projects/details/9760/component/8754483)","Screw &gt; Torx socket head cap screw with flange")</f>
        <v>Screw &gt; Torx socket head cap screw with flange</v>
      </c>
      <c r="F8271" t="s">
        <v>8565</v>
      </c>
    </row>
    <row r="8272" spans="1:6" x14ac:dyDescent="0.15">
      <c r="A8272">
        <v>8754484</v>
      </c>
      <c r="B8272">
        <v>8415775</v>
      </c>
      <c r="C8272" t="s">
        <v>311</v>
      </c>
      <c r="D8272" t="s">
        <v>8</v>
      </c>
      <c r="E8272" s="4" t="str">
        <f>HYPERLINK("https://ibp.a2mac1.com/costing(costing:projects/details/9760/component/8754484)","Nut &gt; Clipping nut for soft materials screw")</f>
        <v>Nut &gt; Clipping nut for soft materials screw</v>
      </c>
      <c r="F8272" t="s">
        <v>8565</v>
      </c>
    </row>
    <row r="8273" spans="1:6" x14ac:dyDescent="0.15">
      <c r="A8273">
        <v>8754485</v>
      </c>
      <c r="B8273">
        <v>8415775</v>
      </c>
      <c r="C8273" t="s">
        <v>311</v>
      </c>
      <c r="D8273" t="s">
        <v>8</v>
      </c>
      <c r="E8273" s="4" t="str">
        <f>HYPERLINK("https://ibp.a2mac1.com/costing(costing:projects/details/9760/component/8754485)","Nut &gt; Hexagonal nut with captive washer")</f>
        <v>Nut &gt; Hexagonal nut with captive washer</v>
      </c>
      <c r="F8273" t="s">
        <v>8565</v>
      </c>
    </row>
    <row r="8274" spans="1:6" x14ac:dyDescent="0.15">
      <c r="A8274">
        <v>8754486</v>
      </c>
      <c r="B8274">
        <v>8415775</v>
      </c>
      <c r="C8274" t="s">
        <v>311</v>
      </c>
      <c r="D8274" t="s">
        <v>8</v>
      </c>
      <c r="E8274" s="4" t="str">
        <f>HYPERLINK("https://ibp.a2mac1.com/costing(costing:projects/details/9760/component/8754486)","Screw &gt; Torx socket head cap screw with flange")</f>
        <v>Screw &gt; Torx socket head cap screw with flange</v>
      </c>
      <c r="F8274" t="s">
        <v>8565</v>
      </c>
    </row>
    <row r="8275" spans="1:6" x14ac:dyDescent="0.15">
      <c r="A8275">
        <v>8754487</v>
      </c>
      <c r="B8275">
        <v>8415775</v>
      </c>
      <c r="C8275" t="s">
        <v>311</v>
      </c>
      <c r="D8275" t="s">
        <v>8</v>
      </c>
      <c r="E8275" s="4" t="str">
        <f>HYPERLINK("https://ibp.a2mac1.com/costing(costing:projects/details/9760/component/8754487)","Screw &gt; Torx socket head cap screw with flange")</f>
        <v>Screw &gt; Torx socket head cap screw with flange</v>
      </c>
      <c r="F8275" t="s">
        <v>8565</v>
      </c>
    </row>
    <row r="8276" spans="1:6" x14ac:dyDescent="0.15">
      <c r="A8276">
        <v>8415776</v>
      </c>
      <c r="B8276">
        <v>8415609</v>
      </c>
      <c r="C8276" t="s">
        <v>8</v>
      </c>
      <c r="D8276" t="s">
        <v>8</v>
      </c>
      <c r="E8276" s="4" t="str">
        <f>HYPERLINK("https://ibp.a2mac1.com/costing(costing:projects/details/9760/assembly/8415776)","Wheel Arch Liner")</f>
        <v>Wheel Arch Liner</v>
      </c>
      <c r="F8276" t="s">
        <v>8504</v>
      </c>
    </row>
    <row r="8277" spans="1:6" x14ac:dyDescent="0.15">
      <c r="A8277">
        <v>8416129</v>
      </c>
      <c r="B8277">
        <v>8415776</v>
      </c>
      <c r="C8277" t="s">
        <v>8</v>
      </c>
      <c r="D8277" t="s">
        <v>8</v>
      </c>
      <c r="E8277" s="4" t="str">
        <f>HYPERLINK("https://ibp.a2mac1.com/costing(costing:projects/details/9760/assembly/8416129)","Left Side")</f>
        <v>Left Side</v>
      </c>
      <c r="F8277" t="s">
        <v>8592</v>
      </c>
    </row>
    <row r="8278" spans="1:6" x14ac:dyDescent="0.15">
      <c r="A8278">
        <v>8416455</v>
      </c>
      <c r="B8278">
        <v>8416129</v>
      </c>
      <c r="C8278" t="s">
        <v>10</v>
      </c>
      <c r="D8278" t="s">
        <v>8</v>
      </c>
      <c r="E8278" s="4" t="str">
        <f>HYPERLINK("https://ibp.a2mac1.com/costing(costing:projects/details/9760/part/8416455)","Wheel Arch Liner")</f>
        <v>Wheel Arch Liner</v>
      </c>
      <c r="F8278" t="s">
        <v>8593</v>
      </c>
    </row>
    <row r="8279" spans="1:6" x14ac:dyDescent="0.15">
      <c r="A8279">
        <v>12085827</v>
      </c>
      <c r="B8279">
        <v>8416455</v>
      </c>
      <c r="C8279" t="s">
        <v>114</v>
      </c>
      <c r="D8279" t="s">
        <v>10</v>
      </c>
      <c r="E8279" s="4" t="str">
        <f>HYPERLINK("https://ibp.a2mac1.com/costing(costing:projects/details/9760/process/12085827)","Automated Process")</f>
        <v>Automated Process</v>
      </c>
      <c r="F8279" t="s">
        <v>8594</v>
      </c>
    </row>
    <row r="8280" spans="1:6" x14ac:dyDescent="0.15">
      <c r="A8280">
        <v>8755459</v>
      </c>
      <c r="B8280">
        <v>12085827</v>
      </c>
      <c r="C8280" t="s">
        <v>22</v>
      </c>
      <c r="D8280" t="s">
        <v>114</v>
      </c>
      <c r="E8280" s="4" t="str">
        <f>HYPERLINK("https://ibp.a2mac1.com/costing(costing:projects/details/9760/material/8755459)","PP-PET")</f>
        <v>PP-PET</v>
      </c>
      <c r="F8280" t="s">
        <v>8597</v>
      </c>
    </row>
    <row r="8281" spans="1:6" x14ac:dyDescent="0.15">
      <c r="A8281">
        <v>12212957</v>
      </c>
      <c r="B8281">
        <v>12085827</v>
      </c>
      <c r="C8281" t="s">
        <v>163</v>
      </c>
      <c r="D8281" t="s">
        <v>114</v>
      </c>
      <c r="E8281" s="4" t="str">
        <f>HYPERLINK("https://ibp.a2mac1.com/costing(costing:projects/details/9760/equipment/12212957)","DC machine - General")</f>
        <v>DC machine - General</v>
      </c>
      <c r="F8281" t="s">
        <v>8597</v>
      </c>
    </row>
    <row r="8282" spans="1:6" x14ac:dyDescent="0.15">
      <c r="A8282">
        <v>8754689</v>
      </c>
      <c r="B8282">
        <v>8416129</v>
      </c>
      <c r="C8282" t="s">
        <v>311</v>
      </c>
      <c r="D8282" t="s">
        <v>8</v>
      </c>
      <c r="E8282" s="4" t="str">
        <f>HYPERLINK("https://ibp.a2mac1.com/costing(costing:projects/details/9760/component/8754689)","Nut &gt; Clipping nut for soft materials screw")</f>
        <v>Nut &gt; Clipping nut for soft materials screw</v>
      </c>
      <c r="F8282" t="s">
        <v>8593</v>
      </c>
    </row>
    <row r="8283" spans="1:6" x14ac:dyDescent="0.15">
      <c r="A8283">
        <v>8416130</v>
      </c>
      <c r="B8283">
        <v>8415776</v>
      </c>
      <c r="C8283" t="s">
        <v>8</v>
      </c>
      <c r="D8283" t="s">
        <v>8</v>
      </c>
      <c r="E8283" s="4" t="str">
        <f>HYPERLINK("https://ibp.a2mac1.com/costing(costing:projects/details/9760/assembly/8416130)","Right Side")</f>
        <v>Right Side</v>
      </c>
      <c r="F8283" t="s">
        <v>8592</v>
      </c>
    </row>
    <row r="8284" spans="1:6" x14ac:dyDescent="0.15">
      <c r="A8284">
        <v>8416456</v>
      </c>
      <c r="B8284">
        <v>8416130</v>
      </c>
      <c r="C8284" t="s">
        <v>10</v>
      </c>
      <c r="D8284" t="s">
        <v>8</v>
      </c>
      <c r="E8284" s="4" t="str">
        <f>HYPERLINK("https://ibp.a2mac1.com/costing(costing:projects/details/9760/part/8416456)","Wheel Arch Liner")</f>
        <v>Wheel Arch Liner</v>
      </c>
      <c r="F8284" t="s">
        <v>8600</v>
      </c>
    </row>
    <row r="8285" spans="1:6" x14ac:dyDescent="0.15">
      <c r="A8285">
        <v>12085828</v>
      </c>
      <c r="B8285">
        <v>8416456</v>
      </c>
      <c r="C8285" t="s">
        <v>114</v>
      </c>
      <c r="D8285" t="s">
        <v>10</v>
      </c>
      <c r="E8285" s="4" t="str">
        <f>HYPERLINK("https://ibp.a2mac1.com/costing(costing:projects/details/9760/process/12085828)","Automated Process")</f>
        <v>Automated Process</v>
      </c>
      <c r="F8285" t="s">
        <v>8601</v>
      </c>
    </row>
    <row r="8286" spans="1:6" x14ac:dyDescent="0.15">
      <c r="A8286">
        <v>8755460</v>
      </c>
      <c r="B8286">
        <v>12085828</v>
      </c>
      <c r="C8286" t="s">
        <v>22</v>
      </c>
      <c r="D8286" t="s">
        <v>114</v>
      </c>
      <c r="E8286" s="4" t="str">
        <f>HYPERLINK("https://ibp.a2mac1.com/costing(costing:projects/details/9760/material/8755460)","PP-PET")</f>
        <v>PP-PET</v>
      </c>
      <c r="F8286" t="s">
        <v>8604</v>
      </c>
    </row>
    <row r="8287" spans="1:6" x14ac:dyDescent="0.15">
      <c r="A8287">
        <v>12212958</v>
      </c>
      <c r="B8287">
        <v>12085828</v>
      </c>
      <c r="C8287" t="s">
        <v>163</v>
      </c>
      <c r="D8287" t="s">
        <v>114</v>
      </c>
      <c r="E8287" s="4" t="str">
        <f>HYPERLINK("https://ibp.a2mac1.com/costing(costing:projects/details/9760/equipment/12212958)","DC machine - General")</f>
        <v>DC machine - General</v>
      </c>
      <c r="F8287" t="s">
        <v>8604</v>
      </c>
    </row>
    <row r="8288" spans="1:6" x14ac:dyDescent="0.15">
      <c r="A8288">
        <v>8754690</v>
      </c>
      <c r="B8288">
        <v>8416130</v>
      </c>
      <c r="C8288" t="s">
        <v>311</v>
      </c>
      <c r="D8288" t="s">
        <v>8</v>
      </c>
      <c r="E8288" s="4" t="str">
        <f>HYPERLINK("https://ibp.a2mac1.com/costing(costing:projects/details/9760/component/8754690)","Washer &gt; Lock interior washer")</f>
        <v>Washer &gt; Lock interior washer</v>
      </c>
      <c r="F8288" t="s">
        <v>8600</v>
      </c>
    </row>
    <row r="8289" spans="1:6" x14ac:dyDescent="0.15">
      <c r="A8289">
        <v>8416127</v>
      </c>
      <c r="B8289">
        <v>8415776</v>
      </c>
      <c r="C8289" t="s">
        <v>10</v>
      </c>
      <c r="D8289" t="s">
        <v>8</v>
      </c>
      <c r="E8289" s="4" t="str">
        <f>HYPERLINK("https://ibp.a2mac1.com/costing(costing:projects/details/9760/part/8416127)","Air Guide")</f>
        <v>Air Guide</v>
      </c>
      <c r="F8289" t="s">
        <v>8592</v>
      </c>
    </row>
    <row r="8290" spans="1:6" x14ac:dyDescent="0.15">
      <c r="A8290">
        <v>12085428</v>
      </c>
      <c r="B8290">
        <v>8416127</v>
      </c>
      <c r="C8290" t="s">
        <v>114</v>
      </c>
      <c r="D8290" t="s">
        <v>10</v>
      </c>
      <c r="E8290" s="4" t="str">
        <f>HYPERLINK("https://ibp.a2mac1.com/costing(costing:projects/details/9760/process/12085428)","Automated Process")</f>
        <v>Automated Process</v>
      </c>
      <c r="F8290" t="s">
        <v>8607</v>
      </c>
    </row>
    <row r="8291" spans="1:6" x14ac:dyDescent="0.15">
      <c r="A8291">
        <v>8755094</v>
      </c>
      <c r="B8291">
        <v>12085428</v>
      </c>
      <c r="C8291" t="s">
        <v>22</v>
      </c>
      <c r="D8291" t="s">
        <v>114</v>
      </c>
      <c r="E8291" s="4" t="str">
        <f>HYPERLINK("https://ibp.a2mac1.com/costing(costing:projects/details/9760/material/8755094)","PP-EPDM")</f>
        <v>PP-EPDM</v>
      </c>
      <c r="F8291" t="s">
        <v>8610</v>
      </c>
    </row>
    <row r="8292" spans="1:6" x14ac:dyDescent="0.15">
      <c r="A8292">
        <v>8755095</v>
      </c>
      <c r="B8292">
        <v>12085428</v>
      </c>
      <c r="C8292" t="s">
        <v>22</v>
      </c>
      <c r="D8292" t="s">
        <v>114</v>
      </c>
      <c r="E8292" s="4" t="str">
        <f>HYPERLINK("https://ibp.a2mac1.com/costing(costing:projects/details/9760/material/8755095)","TPV")</f>
        <v>TPV</v>
      </c>
      <c r="F8292" t="s">
        <v>8610</v>
      </c>
    </row>
    <row r="8293" spans="1:6" x14ac:dyDescent="0.15">
      <c r="A8293">
        <v>12212560</v>
      </c>
      <c r="B8293">
        <v>12085428</v>
      </c>
      <c r="C8293" t="s">
        <v>163</v>
      </c>
      <c r="D8293" t="s">
        <v>114</v>
      </c>
      <c r="E8293" s="4" t="str">
        <f>HYPERLINK("https://ibp.a2mac1.com/costing(costing:projects/details/9760/equipment/12212560)","DC machine - General")</f>
        <v>DC machine - General</v>
      </c>
      <c r="F8293" t="s">
        <v>8610</v>
      </c>
    </row>
    <row r="8294" spans="1:6" x14ac:dyDescent="0.15">
      <c r="A8294">
        <v>8416128</v>
      </c>
      <c r="B8294">
        <v>8415776</v>
      </c>
      <c r="C8294" t="s">
        <v>10</v>
      </c>
      <c r="D8294" t="s">
        <v>8</v>
      </c>
      <c r="E8294" s="4" t="str">
        <f>HYPERLINK("https://ibp.a2mac1.com/costing(costing:projects/details/9760/part/8416128)","Air Guide 2")</f>
        <v>Air Guide 2</v>
      </c>
      <c r="F8294" t="s">
        <v>8592</v>
      </c>
    </row>
    <row r="8295" spans="1:6" x14ac:dyDescent="0.15">
      <c r="A8295">
        <v>12085429</v>
      </c>
      <c r="B8295">
        <v>8416128</v>
      </c>
      <c r="C8295" t="s">
        <v>114</v>
      </c>
      <c r="D8295" t="s">
        <v>10</v>
      </c>
      <c r="E8295" s="4" t="str">
        <f>HYPERLINK("https://ibp.a2mac1.com/costing(costing:projects/details/9760/process/12085429)","Automated Process")</f>
        <v>Automated Process</v>
      </c>
      <c r="F8295" t="s">
        <v>8613</v>
      </c>
    </row>
    <row r="8296" spans="1:6" x14ac:dyDescent="0.15">
      <c r="A8296">
        <v>8755096</v>
      </c>
      <c r="B8296">
        <v>12085429</v>
      </c>
      <c r="C8296" t="s">
        <v>22</v>
      </c>
      <c r="D8296" t="s">
        <v>114</v>
      </c>
      <c r="E8296" s="4" t="str">
        <f>HYPERLINK("https://ibp.a2mac1.com/costing(costing:projects/details/9760/material/8755096)","PP-EPDM")</f>
        <v>PP-EPDM</v>
      </c>
      <c r="F8296" t="s">
        <v>8614</v>
      </c>
    </row>
    <row r="8297" spans="1:6" x14ac:dyDescent="0.15">
      <c r="A8297">
        <v>8755097</v>
      </c>
      <c r="B8297">
        <v>12085429</v>
      </c>
      <c r="C8297" t="s">
        <v>22</v>
      </c>
      <c r="D8297" t="s">
        <v>114</v>
      </c>
      <c r="E8297" s="4" t="str">
        <f>HYPERLINK("https://ibp.a2mac1.com/costing(costing:projects/details/9760/material/8755097)","TPV")</f>
        <v>TPV</v>
      </c>
      <c r="F8297" t="s">
        <v>8614</v>
      </c>
    </row>
    <row r="8298" spans="1:6" x14ac:dyDescent="0.15">
      <c r="A8298">
        <v>12212561</v>
      </c>
      <c r="B8298">
        <v>12085429</v>
      </c>
      <c r="C8298" t="s">
        <v>163</v>
      </c>
      <c r="D8298" t="s">
        <v>114</v>
      </c>
      <c r="E8298" s="4" t="str">
        <f>HYPERLINK("https://ibp.a2mac1.com/costing(costing:projects/details/9760/equipment/12212561)","DC machine - General")</f>
        <v>DC machine - General</v>
      </c>
      <c r="F8298" t="s">
        <v>8614</v>
      </c>
    </row>
    <row r="8299" spans="1:6" x14ac:dyDescent="0.15">
      <c r="A8299">
        <v>8754365</v>
      </c>
      <c r="B8299">
        <v>8415609</v>
      </c>
      <c r="C8299" t="s">
        <v>311</v>
      </c>
      <c r="D8299" t="s">
        <v>8</v>
      </c>
      <c r="E8299" s="4" t="str">
        <f>HYPERLINK("https://ibp.a2mac1.com/costing(costing:projects/details/9760/component/8754365)","Nut &gt; Hexagonal nut with collar")</f>
        <v>Nut &gt; Hexagonal nut with collar</v>
      </c>
      <c r="F8299" t="s">
        <v>8504</v>
      </c>
    </row>
    <row r="8300" spans="1:6" x14ac:dyDescent="0.15">
      <c r="A8300">
        <v>8415580</v>
      </c>
      <c r="B8300">
        <v>8415575</v>
      </c>
      <c r="C8300" t="s">
        <v>8</v>
      </c>
      <c r="D8300" t="s">
        <v>8</v>
      </c>
      <c r="E8300" s="4" t="str">
        <f>HYPERLINK("https://ibp.a2mac1.com/costing(costing:projects/details/9760/assembly/8415580)","Exterior Lighting")</f>
        <v>Exterior Lighting</v>
      </c>
      <c r="F8300" t="s">
        <v>4952</v>
      </c>
    </row>
    <row r="8301" spans="1:6" x14ac:dyDescent="0.15">
      <c r="A8301">
        <v>8415610</v>
      </c>
      <c r="B8301">
        <v>8415580</v>
      </c>
      <c r="C8301" t="s">
        <v>8</v>
      </c>
      <c r="D8301" t="s">
        <v>8</v>
      </c>
      <c r="E8301" s="4" t="str">
        <f>HYPERLINK("https://ibp.a2mac1.com/costing(costing:projects/details/9760/assembly/8415610)","Headlamp System")</f>
        <v>Headlamp System</v>
      </c>
      <c r="F8301" t="s">
        <v>8619</v>
      </c>
    </row>
    <row r="8302" spans="1:6" x14ac:dyDescent="0.15">
      <c r="A8302">
        <v>8415778</v>
      </c>
      <c r="B8302">
        <v>8415610</v>
      </c>
      <c r="C8302" t="s">
        <v>8</v>
      </c>
      <c r="D8302" t="s">
        <v>8</v>
      </c>
      <c r="E8302" s="4" t="str">
        <f>HYPERLINK("https://ibp.a2mac1.com/costing(costing:projects/details/9760/assembly/8415778)","Headlamp")</f>
        <v>Headlamp</v>
      </c>
      <c r="F8302" t="s">
        <v>8620</v>
      </c>
    </row>
    <row r="8303" spans="1:6" x14ac:dyDescent="0.15">
      <c r="A8303">
        <v>8416131</v>
      </c>
      <c r="B8303">
        <v>8415778</v>
      </c>
      <c r="C8303" t="s">
        <v>8</v>
      </c>
      <c r="D8303" t="s">
        <v>8</v>
      </c>
      <c r="E8303" s="4" t="str">
        <f>HYPERLINK("https://ibp.a2mac1.com/costing(costing:projects/details/9760/assembly/8416131)","Left Headlamp")</f>
        <v>Left Headlamp</v>
      </c>
      <c r="F8303" t="s">
        <v>8621</v>
      </c>
    </row>
    <row r="8304" spans="1:6" x14ac:dyDescent="0.15">
      <c r="A8304">
        <v>12085430</v>
      </c>
      <c r="B8304">
        <v>8416131</v>
      </c>
      <c r="C8304" t="s">
        <v>114</v>
      </c>
      <c r="D8304" t="s">
        <v>8</v>
      </c>
      <c r="E8304" s="4" t="str">
        <f>HYPERLINK("https://ibp.a2mac1.com/costing(costing:projects/details/9760/process/12085430)","Process")</f>
        <v>Process</v>
      </c>
      <c r="F8304" t="s">
        <v>8622</v>
      </c>
    </row>
    <row r="8305" spans="1:6" x14ac:dyDescent="0.15">
      <c r="A8305">
        <v>12212562</v>
      </c>
      <c r="B8305">
        <v>12085430</v>
      </c>
      <c r="C8305" t="s">
        <v>163</v>
      </c>
      <c r="D8305" t="s">
        <v>114</v>
      </c>
      <c r="E8305" s="4" t="str">
        <f>HYPERLINK("https://ibp.a2mac1.com/costing(costing:projects/details/9760/equipment/12212562)","Dummy Machine (PCBA+Final Assembly Line)")</f>
        <v>Dummy Machine (PCBA+Final Assembly Line)</v>
      </c>
      <c r="F8305" t="s">
        <v>8623</v>
      </c>
    </row>
    <row r="8306" spans="1:6" x14ac:dyDescent="0.15">
      <c r="A8306">
        <v>8754691</v>
      </c>
      <c r="B8306">
        <v>8416131</v>
      </c>
      <c r="C8306" t="s">
        <v>311</v>
      </c>
      <c r="D8306" t="s">
        <v>8</v>
      </c>
      <c r="E8306" s="4" t="str">
        <f>HYPERLINK("https://ibp.a2mac1.com/costing(costing:projects/details/9760/component/8754691)","Mechanics")</f>
        <v>Mechanics</v>
      </c>
      <c r="F8306" t="s">
        <v>8622</v>
      </c>
    </row>
    <row r="8307" spans="1:6" x14ac:dyDescent="0.15">
      <c r="A8307">
        <v>8754692</v>
      </c>
      <c r="B8307">
        <v>8416131</v>
      </c>
      <c r="C8307" t="s">
        <v>311</v>
      </c>
      <c r="D8307" t="s">
        <v>8</v>
      </c>
      <c r="E8307" s="4" t="str">
        <f>HYPERLINK("https://ibp.a2mac1.com/costing(costing:projects/details/9760/component/8754692)","Electronics")</f>
        <v>Electronics</v>
      </c>
      <c r="F8307" t="s">
        <v>8622</v>
      </c>
    </row>
    <row r="8308" spans="1:6" x14ac:dyDescent="0.15">
      <c r="A8308">
        <v>8416132</v>
      </c>
      <c r="B8308">
        <v>8415778</v>
      </c>
      <c r="C8308" t="s">
        <v>8</v>
      </c>
      <c r="D8308" t="s">
        <v>8</v>
      </c>
      <c r="E8308" s="4" t="str">
        <f>HYPERLINK("https://ibp.a2mac1.com/costing(costing:projects/details/9760/assembly/8416132)","Right Headlamp")</f>
        <v>Right Headlamp</v>
      </c>
      <c r="F8308" t="s">
        <v>8621</v>
      </c>
    </row>
    <row r="8309" spans="1:6" x14ac:dyDescent="0.15">
      <c r="A8309">
        <v>12085431</v>
      </c>
      <c r="B8309">
        <v>8416132</v>
      </c>
      <c r="C8309" t="s">
        <v>114</v>
      </c>
      <c r="D8309" t="s">
        <v>8</v>
      </c>
      <c r="E8309" s="4" t="str">
        <f>HYPERLINK("https://ibp.a2mac1.com/costing(costing:projects/details/9760/process/12085431)","Process")</f>
        <v>Process</v>
      </c>
      <c r="F8309" t="s">
        <v>8625</v>
      </c>
    </row>
    <row r="8310" spans="1:6" x14ac:dyDescent="0.15">
      <c r="A8310">
        <v>12212563</v>
      </c>
      <c r="B8310">
        <v>12085431</v>
      </c>
      <c r="C8310" t="s">
        <v>163</v>
      </c>
      <c r="D8310" t="s">
        <v>114</v>
      </c>
      <c r="E8310" s="4" t="str">
        <f>HYPERLINK("https://ibp.a2mac1.com/costing(costing:projects/details/9760/equipment/12212563)","Dummy Machine (PCBA+Final Assembly Line)")</f>
        <v>Dummy Machine (PCBA+Final Assembly Line)</v>
      </c>
      <c r="F8310" t="s">
        <v>8626</v>
      </c>
    </row>
    <row r="8311" spans="1:6" x14ac:dyDescent="0.15">
      <c r="A8311">
        <v>8754693</v>
      </c>
      <c r="B8311">
        <v>8416132</v>
      </c>
      <c r="C8311" t="s">
        <v>311</v>
      </c>
      <c r="D8311" t="s">
        <v>8</v>
      </c>
      <c r="E8311" s="4" t="str">
        <f>HYPERLINK("https://ibp.a2mac1.com/costing(costing:projects/details/9760/component/8754693)","Mechanics")</f>
        <v>Mechanics</v>
      </c>
      <c r="F8311" t="s">
        <v>8625</v>
      </c>
    </row>
    <row r="8312" spans="1:6" x14ac:dyDescent="0.15">
      <c r="A8312">
        <v>8754694</v>
      </c>
      <c r="B8312">
        <v>8416132</v>
      </c>
      <c r="C8312" t="s">
        <v>311</v>
      </c>
      <c r="D8312" t="s">
        <v>8</v>
      </c>
      <c r="E8312" s="4" t="str">
        <f>HYPERLINK("https://ibp.a2mac1.com/costing(costing:projects/details/9760/component/8754694)","Electronics")</f>
        <v>Electronics</v>
      </c>
      <c r="F8312" t="s">
        <v>8625</v>
      </c>
    </row>
    <row r="8313" spans="1:6" x14ac:dyDescent="0.15">
      <c r="A8313">
        <v>8754488</v>
      </c>
      <c r="B8313">
        <v>8415778</v>
      </c>
      <c r="C8313" t="s">
        <v>311</v>
      </c>
      <c r="D8313" t="s">
        <v>8</v>
      </c>
      <c r="E8313" s="4" t="str">
        <f>HYPERLINK("https://ibp.a2mac1.com/costing(costing:projects/details/9760/component/8754488)","Round head Screw M5x10")</f>
        <v>Round head Screw M5x10</v>
      </c>
      <c r="F8313" t="s">
        <v>8621</v>
      </c>
    </row>
    <row r="8314" spans="1:6" x14ac:dyDescent="0.15">
      <c r="A8314">
        <v>8754489</v>
      </c>
      <c r="B8314">
        <v>8415778</v>
      </c>
      <c r="C8314" t="s">
        <v>311</v>
      </c>
      <c r="D8314" t="s">
        <v>8</v>
      </c>
      <c r="E8314" s="4" t="str">
        <f>HYPERLINK("https://ibp.a2mac1.com/costing(costing:projects/details/9760/component/8754489)","Round head Screw M18x35")</f>
        <v>Round head Screw M18x35</v>
      </c>
      <c r="F8314" t="s">
        <v>8621</v>
      </c>
    </row>
    <row r="8315" spans="1:6" x14ac:dyDescent="0.15">
      <c r="A8315">
        <v>8415779</v>
      </c>
      <c r="B8315">
        <v>8415610</v>
      </c>
      <c r="C8315" t="s">
        <v>8</v>
      </c>
      <c r="D8315" t="s">
        <v>8</v>
      </c>
      <c r="E8315" s="4" t="str">
        <f>HYPERLINK("https://ibp.a2mac1.com/costing(costing:projects/details/9760/assembly/8415779)","Headlamp ECU")</f>
        <v>Headlamp ECU</v>
      </c>
      <c r="F8315" t="s">
        <v>8620</v>
      </c>
    </row>
    <row r="8316" spans="1:6" x14ac:dyDescent="0.15">
      <c r="A8316">
        <v>8416133</v>
      </c>
      <c r="B8316">
        <v>8415779</v>
      </c>
      <c r="C8316" t="s">
        <v>8</v>
      </c>
      <c r="D8316" t="s">
        <v>8</v>
      </c>
      <c r="E8316" s="4" t="str">
        <f>HYPERLINK("https://ibp.a2mac1.com/costing(costing:projects/details/9760/assembly/8416133)","Headlight ECU")</f>
        <v>Headlight ECU</v>
      </c>
      <c r="F8316" t="s">
        <v>8630</v>
      </c>
    </row>
    <row r="8317" spans="1:6" x14ac:dyDescent="0.15">
      <c r="A8317">
        <v>12085432</v>
      </c>
      <c r="B8317">
        <v>8416133</v>
      </c>
      <c r="C8317" t="s">
        <v>114</v>
      </c>
      <c r="D8317" t="s">
        <v>8</v>
      </c>
      <c r="E8317" s="4" t="str">
        <f>HYPERLINK("https://ibp.a2mac1.com/costing(costing:projects/details/9760/process/12085432)","Process")</f>
        <v>Process</v>
      </c>
      <c r="F8317" t="s">
        <v>8631</v>
      </c>
    </row>
    <row r="8318" spans="1:6" x14ac:dyDescent="0.15">
      <c r="A8318">
        <v>12212564</v>
      </c>
      <c r="B8318">
        <v>12085432</v>
      </c>
      <c r="C8318" t="s">
        <v>163</v>
      </c>
      <c r="D8318" t="s">
        <v>114</v>
      </c>
      <c r="E8318" s="4" t="str">
        <f>HYPERLINK("https://ibp.a2mac1.com/costing(costing:projects/details/9760/equipment/12212564)","Dummy Machine (PCBA+Final Assembly Line)")</f>
        <v>Dummy Machine (PCBA+Final Assembly Line)</v>
      </c>
      <c r="F8318" t="s">
        <v>8632</v>
      </c>
    </row>
    <row r="8319" spans="1:6" x14ac:dyDescent="0.15">
      <c r="A8319">
        <v>8754695</v>
      </c>
      <c r="B8319">
        <v>8416133</v>
      </c>
      <c r="C8319" t="s">
        <v>311</v>
      </c>
      <c r="D8319" t="s">
        <v>8</v>
      </c>
      <c r="E8319" s="4" t="str">
        <f>HYPERLINK("https://ibp.a2mac1.com/costing(costing:projects/details/9760/component/8754695)","Mechanics")</f>
        <v>Mechanics</v>
      </c>
      <c r="F8319" t="s">
        <v>8631</v>
      </c>
    </row>
    <row r="8320" spans="1:6" x14ac:dyDescent="0.15">
      <c r="A8320">
        <v>8754696</v>
      </c>
      <c r="B8320">
        <v>8416133</v>
      </c>
      <c r="C8320" t="s">
        <v>311</v>
      </c>
      <c r="D8320" t="s">
        <v>8</v>
      </c>
      <c r="E8320" s="4" t="str">
        <f>HYPERLINK("https://ibp.a2mac1.com/costing(costing:projects/details/9760/component/8754696)","Electronics")</f>
        <v>Electronics</v>
      </c>
      <c r="F8320" t="s">
        <v>8631</v>
      </c>
    </row>
    <row r="8321" spans="1:6" x14ac:dyDescent="0.15">
      <c r="A8321">
        <v>8754490</v>
      </c>
      <c r="B8321">
        <v>8415779</v>
      </c>
      <c r="C8321" t="s">
        <v>311</v>
      </c>
      <c r="D8321" t="s">
        <v>8</v>
      </c>
      <c r="E8321" s="4" t="str">
        <f>HYPERLINK("https://ibp.a2mac1.com/costing(costing:projects/details/9760/component/8754490)","Round head Screw M4x13")</f>
        <v>Round head Screw M4x13</v>
      </c>
      <c r="F8321" t="s">
        <v>8630</v>
      </c>
    </row>
    <row r="8322" spans="1:6" x14ac:dyDescent="0.15">
      <c r="A8322">
        <v>8415777</v>
      </c>
      <c r="B8322">
        <v>8415610</v>
      </c>
      <c r="C8322" t="s">
        <v>10</v>
      </c>
      <c r="D8322" t="s">
        <v>8</v>
      </c>
      <c r="E8322" s="4" t="str">
        <f>HYPERLINK("https://ibp.a2mac1.com/costing(costing:projects/details/9760/part/8415777)","Desiccant")</f>
        <v>Desiccant</v>
      </c>
      <c r="F8322" t="s">
        <v>8620</v>
      </c>
    </row>
    <row r="8323" spans="1:6" x14ac:dyDescent="0.15">
      <c r="A8323">
        <v>8415611</v>
      </c>
      <c r="B8323">
        <v>8415580</v>
      </c>
      <c r="C8323" t="s">
        <v>8</v>
      </c>
      <c r="D8323" t="s">
        <v>8</v>
      </c>
      <c r="E8323" s="4" t="str">
        <f>HYPERLINK("https://ibp.a2mac1.com/costing(costing:projects/details/9760/assembly/8415611)","Rear Lamp System")</f>
        <v>Rear Lamp System</v>
      </c>
      <c r="F8323" t="s">
        <v>8619</v>
      </c>
    </row>
    <row r="8324" spans="1:6" x14ac:dyDescent="0.15">
      <c r="A8324">
        <v>8415780</v>
      </c>
      <c r="B8324">
        <v>8415611</v>
      </c>
      <c r="C8324" t="s">
        <v>8</v>
      </c>
      <c r="D8324" t="s">
        <v>8</v>
      </c>
      <c r="E8324" s="4" t="str">
        <f>HYPERLINK("https://ibp.a2mac1.com/costing(costing:projects/details/9760/assembly/8415780)","Rear Lamp on Trunk Lid   Tailgate System View")</f>
        <v>Rear Lamp on Trunk Lid   Tailgate System View</v>
      </c>
      <c r="F8324" t="s">
        <v>8638</v>
      </c>
    </row>
    <row r="8325" spans="1:6" x14ac:dyDescent="0.15">
      <c r="A8325">
        <v>12085178</v>
      </c>
      <c r="B8325">
        <v>8415780</v>
      </c>
      <c r="C8325" t="s">
        <v>114</v>
      </c>
      <c r="D8325" t="s">
        <v>8</v>
      </c>
      <c r="E8325" s="4" t="str">
        <f>HYPERLINK("https://ibp.a2mac1.com/costing(costing:projects/details/9760/process/12085178)","Process")</f>
        <v>Process</v>
      </c>
      <c r="F8325" t="s">
        <v>8639</v>
      </c>
    </row>
    <row r="8326" spans="1:6" x14ac:dyDescent="0.15">
      <c r="A8326">
        <v>12212273</v>
      </c>
      <c r="B8326">
        <v>12085178</v>
      </c>
      <c r="C8326" t="s">
        <v>163</v>
      </c>
      <c r="D8326" t="s">
        <v>114</v>
      </c>
      <c r="E8326" s="4" t="str">
        <f>HYPERLINK("https://ibp.a2mac1.com/costing(costing:projects/details/9760/equipment/12212273)","Dummy Machine (PCBA+Final Assembly Line)")</f>
        <v>Dummy Machine (PCBA+Final Assembly Line)</v>
      </c>
      <c r="F8326" t="s">
        <v>8640</v>
      </c>
    </row>
    <row r="8327" spans="1:6" x14ac:dyDescent="0.15">
      <c r="A8327">
        <v>8754491</v>
      </c>
      <c r="B8327">
        <v>8415780</v>
      </c>
      <c r="C8327" t="s">
        <v>311</v>
      </c>
      <c r="D8327" t="s">
        <v>8</v>
      </c>
      <c r="E8327" s="4" t="str">
        <f>HYPERLINK("https://ibp.a2mac1.com/costing(costing:projects/details/9760/component/8754491)","Mechanics")</f>
        <v>Mechanics</v>
      </c>
      <c r="F8327" t="s">
        <v>8639</v>
      </c>
    </row>
    <row r="8328" spans="1:6" x14ac:dyDescent="0.15">
      <c r="A8328">
        <v>8754492</v>
      </c>
      <c r="B8328">
        <v>8415780</v>
      </c>
      <c r="C8328" t="s">
        <v>311</v>
      </c>
      <c r="D8328" t="s">
        <v>8</v>
      </c>
      <c r="E8328" s="4" t="str">
        <f>HYPERLINK("https://ibp.a2mac1.com/costing(costing:projects/details/9760/component/8754492)","Electronics")</f>
        <v>Electronics</v>
      </c>
      <c r="F8328" t="s">
        <v>8639</v>
      </c>
    </row>
    <row r="8329" spans="1:6" x14ac:dyDescent="0.15">
      <c r="A8329">
        <v>8415785</v>
      </c>
      <c r="B8329">
        <v>8415611</v>
      </c>
      <c r="C8329" t="s">
        <v>8</v>
      </c>
      <c r="D8329" t="s">
        <v>8</v>
      </c>
      <c r="E8329" s="4" t="str">
        <f>HYPERLINK("https://ibp.a2mac1.com/costing(costing:projects/details/9760/assembly/8415785)","Rear Lamp on Body")</f>
        <v>Rear Lamp on Body</v>
      </c>
      <c r="F8329" t="s">
        <v>8638</v>
      </c>
    </row>
    <row r="8330" spans="1:6" x14ac:dyDescent="0.15">
      <c r="A8330">
        <v>8416134</v>
      </c>
      <c r="B8330">
        <v>8415785</v>
      </c>
      <c r="C8330" t="s">
        <v>8</v>
      </c>
      <c r="D8330" t="s">
        <v>8</v>
      </c>
      <c r="E8330" s="4" t="str">
        <f>HYPERLINK("https://ibp.a2mac1.com/costing(costing:projects/details/9760/assembly/8416134)","Rear Left Lamp on Body")</f>
        <v>Rear Left Lamp on Body</v>
      </c>
      <c r="F8330" t="s">
        <v>8642</v>
      </c>
    </row>
    <row r="8331" spans="1:6" x14ac:dyDescent="0.15">
      <c r="A8331">
        <v>12085433</v>
      </c>
      <c r="B8331">
        <v>8416134</v>
      </c>
      <c r="C8331" t="s">
        <v>114</v>
      </c>
      <c r="D8331" t="s">
        <v>8</v>
      </c>
      <c r="E8331" s="4" t="str">
        <f>HYPERLINK("https://ibp.a2mac1.com/costing(costing:projects/details/9760/process/12085433)","Process")</f>
        <v>Process</v>
      </c>
      <c r="F8331" t="s">
        <v>8643</v>
      </c>
    </row>
    <row r="8332" spans="1:6" x14ac:dyDescent="0.15">
      <c r="A8332">
        <v>12212565</v>
      </c>
      <c r="B8332">
        <v>12085433</v>
      </c>
      <c r="C8332" t="s">
        <v>163</v>
      </c>
      <c r="D8332" t="s">
        <v>114</v>
      </c>
      <c r="E8332" s="4" t="str">
        <f>HYPERLINK("https://ibp.a2mac1.com/costing(costing:projects/details/9760/equipment/12212565)","Dummy Machine (PCBA+Final Assembly Line)")</f>
        <v>Dummy Machine (PCBA+Final Assembly Line)</v>
      </c>
      <c r="F8332" t="s">
        <v>8644</v>
      </c>
    </row>
    <row r="8333" spans="1:6" x14ac:dyDescent="0.15">
      <c r="A8333">
        <v>8754697</v>
      </c>
      <c r="B8333">
        <v>8416134</v>
      </c>
      <c r="C8333" t="s">
        <v>311</v>
      </c>
      <c r="D8333" t="s">
        <v>8</v>
      </c>
      <c r="E8333" s="4" t="str">
        <f>HYPERLINK("https://ibp.a2mac1.com/costing(costing:projects/details/9760/component/8754697)","Mechanics")</f>
        <v>Mechanics</v>
      </c>
      <c r="F8333" t="s">
        <v>8643</v>
      </c>
    </row>
    <row r="8334" spans="1:6" x14ac:dyDescent="0.15">
      <c r="A8334">
        <v>8754698</v>
      </c>
      <c r="B8334">
        <v>8416134</v>
      </c>
      <c r="C8334" t="s">
        <v>311</v>
      </c>
      <c r="D8334" t="s">
        <v>8</v>
      </c>
      <c r="E8334" s="4" t="str">
        <f>HYPERLINK("https://ibp.a2mac1.com/costing(costing:projects/details/9760/component/8754698)","Electronics")</f>
        <v>Electronics</v>
      </c>
      <c r="F8334" t="s">
        <v>8643</v>
      </c>
    </row>
    <row r="8335" spans="1:6" x14ac:dyDescent="0.15">
      <c r="A8335">
        <v>8416135</v>
      </c>
      <c r="B8335">
        <v>8415785</v>
      </c>
      <c r="C8335" t="s">
        <v>8</v>
      </c>
      <c r="D8335" t="s">
        <v>8</v>
      </c>
      <c r="E8335" s="4" t="str">
        <f>HYPERLINK("https://ibp.a2mac1.com/costing(costing:projects/details/9760/assembly/8416135)","Rear Right Lamp on Body")</f>
        <v>Rear Right Lamp on Body</v>
      </c>
      <c r="F8335" t="s">
        <v>8642</v>
      </c>
    </row>
    <row r="8336" spans="1:6" x14ac:dyDescent="0.15">
      <c r="A8336">
        <v>12085434</v>
      </c>
      <c r="B8336">
        <v>8416135</v>
      </c>
      <c r="C8336" t="s">
        <v>114</v>
      </c>
      <c r="D8336" t="s">
        <v>8</v>
      </c>
      <c r="E8336" s="4" t="str">
        <f>HYPERLINK("https://ibp.a2mac1.com/costing(costing:projects/details/9760/process/12085434)","Process")</f>
        <v>Process</v>
      </c>
      <c r="F8336" t="s">
        <v>8646</v>
      </c>
    </row>
    <row r="8337" spans="1:6" x14ac:dyDescent="0.15">
      <c r="A8337">
        <v>12212566</v>
      </c>
      <c r="B8337">
        <v>12085434</v>
      </c>
      <c r="C8337" t="s">
        <v>163</v>
      </c>
      <c r="D8337" t="s">
        <v>114</v>
      </c>
      <c r="E8337" s="4" t="str">
        <f>HYPERLINK("https://ibp.a2mac1.com/costing(costing:projects/details/9760/equipment/12212566)","Dummy Machine (PCBA+Final Assembly Line)")</f>
        <v>Dummy Machine (PCBA+Final Assembly Line)</v>
      </c>
      <c r="F8337" t="s">
        <v>8647</v>
      </c>
    </row>
    <row r="8338" spans="1:6" x14ac:dyDescent="0.15">
      <c r="A8338">
        <v>8754699</v>
      </c>
      <c r="B8338">
        <v>8416135</v>
      </c>
      <c r="C8338" t="s">
        <v>311</v>
      </c>
      <c r="D8338" t="s">
        <v>8</v>
      </c>
      <c r="E8338" s="4" t="str">
        <f>HYPERLINK("https://ibp.a2mac1.com/costing(costing:projects/details/9760/component/8754699)","Mechanics")</f>
        <v>Mechanics</v>
      </c>
      <c r="F8338" t="s">
        <v>8646</v>
      </c>
    </row>
    <row r="8339" spans="1:6" x14ac:dyDescent="0.15">
      <c r="A8339">
        <v>8754700</v>
      </c>
      <c r="B8339">
        <v>8416135</v>
      </c>
      <c r="C8339" t="s">
        <v>311</v>
      </c>
      <c r="D8339" t="s">
        <v>8</v>
      </c>
      <c r="E8339" s="4" t="str">
        <f>HYPERLINK("https://ibp.a2mac1.com/costing(costing:projects/details/9760/component/8754700)","Electronics")</f>
        <v>Electronics</v>
      </c>
      <c r="F8339" t="s">
        <v>8646</v>
      </c>
    </row>
    <row r="8340" spans="1:6" x14ac:dyDescent="0.15">
      <c r="A8340">
        <v>8754493</v>
      </c>
      <c r="B8340">
        <v>8415785</v>
      </c>
      <c r="C8340" t="s">
        <v>311</v>
      </c>
      <c r="D8340" t="s">
        <v>8</v>
      </c>
      <c r="E8340" s="4" t="str">
        <f>HYPERLINK("https://ibp.a2mac1.com/costing(costing:projects/details/9760/component/8754493)","Other fastener &gt; Attachment")</f>
        <v>Other fastener &gt; Attachment</v>
      </c>
      <c r="F8340" t="s">
        <v>8642</v>
      </c>
    </row>
    <row r="8341" spans="1:6" x14ac:dyDescent="0.15">
      <c r="A8341">
        <v>8754494</v>
      </c>
      <c r="B8341">
        <v>8415785</v>
      </c>
      <c r="C8341" t="s">
        <v>311</v>
      </c>
      <c r="D8341" t="s">
        <v>8</v>
      </c>
      <c r="E8341" s="4" t="str">
        <f>HYPERLINK("https://ibp.a2mac1.com/costing(costing:projects/details/9760/component/8754494)","Round head Screw M6x18")</f>
        <v>Round head Screw M6x18</v>
      </c>
      <c r="F8341" t="s">
        <v>8642</v>
      </c>
    </row>
    <row r="8342" spans="1:6" x14ac:dyDescent="0.15">
      <c r="A8342">
        <v>8415781</v>
      </c>
      <c r="B8342">
        <v>8415611</v>
      </c>
      <c r="C8342" t="s">
        <v>10</v>
      </c>
      <c r="D8342" t="s">
        <v>8</v>
      </c>
      <c r="E8342" s="4" t="str">
        <f>HYPERLINK("https://ibp.a2mac1.com/costing(costing:projects/details/9760/part/8415781)","Tail Light Bezel")</f>
        <v>Tail Light Bezel</v>
      </c>
      <c r="F8342" t="s">
        <v>8638</v>
      </c>
    </row>
    <row r="8343" spans="1:6" x14ac:dyDescent="0.15">
      <c r="A8343">
        <v>8415782</v>
      </c>
      <c r="B8343">
        <v>8415611</v>
      </c>
      <c r="C8343" t="s">
        <v>10</v>
      </c>
      <c r="D8343" t="s">
        <v>8</v>
      </c>
      <c r="E8343" s="4" t="str">
        <f>HYPERLINK("https://ibp.a2mac1.com/costing(costing:projects/details/9760/part/8415782)","Tail Light Bezel Right")</f>
        <v>Tail Light Bezel Right</v>
      </c>
      <c r="F8343" t="s">
        <v>8638</v>
      </c>
    </row>
    <row r="8344" spans="1:6" x14ac:dyDescent="0.15">
      <c r="A8344">
        <v>8415783</v>
      </c>
      <c r="B8344">
        <v>8415611</v>
      </c>
      <c r="C8344" t="s">
        <v>10</v>
      </c>
      <c r="D8344" t="s">
        <v>8</v>
      </c>
      <c r="E8344" s="4" t="str">
        <f>HYPERLINK("https://ibp.a2mac1.com/costing(costing:projects/details/9760/part/8415783)","Tail Light Bezel on Tailgate")</f>
        <v>Tail Light Bezel on Tailgate</v>
      </c>
      <c r="F8344" t="s">
        <v>8638</v>
      </c>
    </row>
    <row r="8345" spans="1:6" x14ac:dyDescent="0.15">
      <c r="A8345">
        <v>8415784</v>
      </c>
      <c r="B8345">
        <v>8415611</v>
      </c>
      <c r="C8345" t="s">
        <v>10</v>
      </c>
      <c r="D8345" t="s">
        <v>8</v>
      </c>
      <c r="E8345" s="4" t="str">
        <f>HYPERLINK("https://ibp.a2mac1.com/costing(costing:projects/details/9760/part/8415784)","2nd Tail Light Bezel on Tailgate")</f>
        <v>2nd Tail Light Bezel on Tailgate</v>
      </c>
      <c r="F8345" t="s">
        <v>8638</v>
      </c>
    </row>
    <row r="8346" spans="1:6" x14ac:dyDescent="0.15">
      <c r="A8346">
        <v>8754366</v>
      </c>
      <c r="B8346">
        <v>8415611</v>
      </c>
      <c r="C8346" t="s">
        <v>311</v>
      </c>
      <c r="D8346" t="s">
        <v>8</v>
      </c>
      <c r="E8346" s="4" t="str">
        <f>HYPERLINK("https://ibp.a2mac1.com/costing(costing:projects/details/9760/component/8754366)","Nut &gt; Clipping nut for soft materials screw")</f>
        <v>Nut &gt; Clipping nut for soft materials screw</v>
      </c>
      <c r="F8346" t="s">
        <v>8638</v>
      </c>
    </row>
    <row r="8347" spans="1:6" x14ac:dyDescent="0.15">
      <c r="A8347">
        <v>8415612</v>
      </c>
      <c r="B8347">
        <v>8415580</v>
      </c>
      <c r="C8347" t="s">
        <v>8</v>
      </c>
      <c r="D8347" t="s">
        <v>8</v>
      </c>
      <c r="E8347" s="4" t="str">
        <f>HYPERLINK("https://ibp.a2mac1.com/costing(costing:projects/details/9760/assembly/8415612)","Third Stop Lamp System")</f>
        <v>Third Stop Lamp System</v>
      </c>
      <c r="F8347" t="s">
        <v>8619</v>
      </c>
    </row>
    <row r="8348" spans="1:6" x14ac:dyDescent="0.15">
      <c r="A8348">
        <v>8415786</v>
      </c>
      <c r="B8348">
        <v>8415612</v>
      </c>
      <c r="C8348" t="s">
        <v>8</v>
      </c>
      <c r="D8348" t="s">
        <v>8</v>
      </c>
      <c r="E8348" s="4" t="str">
        <f>HYPERLINK("https://ibp.a2mac1.com/costing(costing:projects/details/9760/assembly/8415786)","Third Stop Lamp")</f>
        <v>Third Stop Lamp</v>
      </c>
      <c r="F8348" t="s">
        <v>8656</v>
      </c>
    </row>
    <row r="8349" spans="1:6" x14ac:dyDescent="0.15">
      <c r="A8349">
        <v>12085179</v>
      </c>
      <c r="B8349">
        <v>8415786</v>
      </c>
      <c r="C8349" t="s">
        <v>114</v>
      </c>
      <c r="D8349" t="s">
        <v>8</v>
      </c>
      <c r="E8349" s="4" t="str">
        <f>HYPERLINK("https://ibp.a2mac1.com/costing(costing:projects/details/9760/process/12085179)","Process")</f>
        <v>Process</v>
      </c>
      <c r="F8349" t="s">
        <v>8657</v>
      </c>
    </row>
    <row r="8350" spans="1:6" x14ac:dyDescent="0.15">
      <c r="A8350">
        <v>12212274</v>
      </c>
      <c r="B8350">
        <v>12085179</v>
      </c>
      <c r="C8350" t="s">
        <v>163</v>
      </c>
      <c r="D8350" t="s">
        <v>114</v>
      </c>
      <c r="E8350" s="4" t="str">
        <f>HYPERLINK("https://ibp.a2mac1.com/costing(costing:projects/details/9760/equipment/12212274)","Dummy Machine (PCBA+Final Assembly Line)")</f>
        <v>Dummy Machine (PCBA+Final Assembly Line)</v>
      </c>
      <c r="F8350" t="s">
        <v>8658</v>
      </c>
    </row>
    <row r="8351" spans="1:6" x14ac:dyDescent="0.15">
      <c r="A8351">
        <v>8754495</v>
      </c>
      <c r="B8351">
        <v>8415786</v>
      </c>
      <c r="C8351" t="s">
        <v>311</v>
      </c>
      <c r="D8351" t="s">
        <v>8</v>
      </c>
      <c r="E8351" s="4" t="str">
        <f>HYPERLINK("https://ibp.a2mac1.com/costing(costing:projects/details/9760/component/8754495)","Mechanics")</f>
        <v>Mechanics</v>
      </c>
      <c r="F8351" t="s">
        <v>8657</v>
      </c>
    </row>
    <row r="8352" spans="1:6" x14ac:dyDescent="0.15">
      <c r="A8352">
        <v>8754496</v>
      </c>
      <c r="B8352">
        <v>8415786</v>
      </c>
      <c r="C8352" t="s">
        <v>311</v>
      </c>
      <c r="D8352" t="s">
        <v>8</v>
      </c>
      <c r="E8352" s="4" t="str">
        <f>HYPERLINK("https://ibp.a2mac1.com/costing(costing:projects/details/9760/component/8754496)","Electronics")</f>
        <v>Electronics</v>
      </c>
      <c r="F8352" t="s">
        <v>8657</v>
      </c>
    </row>
    <row r="8353" spans="1:6" x14ac:dyDescent="0.15">
      <c r="A8353">
        <v>8415787</v>
      </c>
      <c r="B8353">
        <v>8415612</v>
      </c>
      <c r="C8353" t="s">
        <v>10</v>
      </c>
      <c r="D8353" t="s">
        <v>8</v>
      </c>
      <c r="E8353" s="4" t="str">
        <f>HYPERLINK("https://ibp.a2mac1.com/costing(costing:projects/details/9760/part/8415787)","Bezel")</f>
        <v>Bezel</v>
      </c>
      <c r="F8353" t="s">
        <v>8656</v>
      </c>
    </row>
    <row r="8354" spans="1:6" x14ac:dyDescent="0.15">
      <c r="A8354">
        <v>8754367</v>
      </c>
      <c r="B8354">
        <v>8415612</v>
      </c>
      <c r="C8354" t="s">
        <v>311</v>
      </c>
      <c r="D8354" t="s">
        <v>8</v>
      </c>
      <c r="E8354" s="4" t="str">
        <f>HYPERLINK("https://ibp.a2mac1.com/costing(costing:projects/details/9760/component/8754367)","Panel holder &gt; Clips for panel side")</f>
        <v>Panel holder &gt; Clips for panel side</v>
      </c>
      <c r="F8354" t="s">
        <v>8656</v>
      </c>
    </row>
    <row r="8355" spans="1:6" x14ac:dyDescent="0.15">
      <c r="A8355">
        <v>8754368</v>
      </c>
      <c r="B8355">
        <v>8415612</v>
      </c>
      <c r="C8355" t="s">
        <v>311</v>
      </c>
      <c r="D8355" t="s">
        <v>8</v>
      </c>
      <c r="E8355" s="4" t="str">
        <f>HYPERLINK("https://ibp.a2mac1.com/costing(costing:projects/details/9760/component/8754368)","Round head Screw M3.5x10")</f>
        <v>Round head Screw M3.5x10</v>
      </c>
      <c r="F8355" t="s">
        <v>8656</v>
      </c>
    </row>
    <row r="8356" spans="1:6" x14ac:dyDescent="0.15">
      <c r="A8356">
        <v>8415613</v>
      </c>
      <c r="B8356">
        <v>8415580</v>
      </c>
      <c r="C8356" t="s">
        <v>8</v>
      </c>
      <c r="D8356" t="s">
        <v>8</v>
      </c>
      <c r="E8356" s="4" t="str">
        <f>HYPERLINK("https://ibp.a2mac1.com/costing(costing:projects/details/9760/assembly/8415613)","License Plate Light System")</f>
        <v>License Plate Light System</v>
      </c>
      <c r="F8356" t="s">
        <v>8619</v>
      </c>
    </row>
    <row r="8357" spans="1:6" x14ac:dyDescent="0.15">
      <c r="A8357">
        <v>8415788</v>
      </c>
      <c r="B8357">
        <v>8415613</v>
      </c>
      <c r="C8357" t="s">
        <v>10</v>
      </c>
      <c r="D8357" t="s">
        <v>8</v>
      </c>
      <c r="E8357" s="4" t="str">
        <f>HYPERLINK("https://ibp.a2mac1.com/costing(costing:projects/details/9760/part/8415788)","License Plate Light")</f>
        <v>License Plate Light</v>
      </c>
      <c r="F8357" t="s">
        <v>8663</v>
      </c>
    </row>
    <row r="8358" spans="1:6" x14ac:dyDescent="0.15">
      <c r="A8358">
        <v>8415614</v>
      </c>
      <c r="B8358">
        <v>8415580</v>
      </c>
      <c r="C8358" t="s">
        <v>8</v>
      </c>
      <c r="D8358" t="s">
        <v>8</v>
      </c>
      <c r="E8358" s="4" t="str">
        <f>HYPERLINK("https://ibp.a2mac1.com/costing(costing:projects/details/9760/assembly/8415614)","Dynamic Adjustment Bar")</f>
        <v>Dynamic Adjustment Bar</v>
      </c>
      <c r="F8358" t="s">
        <v>8619</v>
      </c>
    </row>
    <row r="8359" spans="1:6" x14ac:dyDescent="0.15">
      <c r="A8359">
        <v>8415789</v>
      </c>
      <c r="B8359">
        <v>8415614</v>
      </c>
      <c r="C8359" t="s">
        <v>8</v>
      </c>
      <c r="D8359" t="s">
        <v>8</v>
      </c>
      <c r="E8359" s="4" t="str">
        <f>HYPERLINK("https://ibp.a2mac1.com/costing(costing:projects/details/9760/assembly/8415789)","Dynamic Adjustment on Front Axle")</f>
        <v>Dynamic Adjustment on Front Axle</v>
      </c>
      <c r="F8359" t="s">
        <v>8667</v>
      </c>
    </row>
    <row r="8360" spans="1:6" x14ac:dyDescent="0.15">
      <c r="A8360">
        <v>8416136</v>
      </c>
      <c r="B8360">
        <v>8415789</v>
      </c>
      <c r="C8360" t="s">
        <v>10</v>
      </c>
      <c r="D8360" t="s">
        <v>8</v>
      </c>
      <c r="E8360" s="4" t="str">
        <f>HYPERLINK("https://ibp.a2mac1.com/costing(costing:projects/details/9760/part/8416136)","Ride height sensor")</f>
        <v>Ride height sensor</v>
      </c>
      <c r="F8360" t="s">
        <v>8668</v>
      </c>
    </row>
    <row r="8361" spans="1:6" x14ac:dyDescent="0.15">
      <c r="A8361">
        <v>8416137</v>
      </c>
      <c r="B8361">
        <v>8415789</v>
      </c>
      <c r="C8361" t="s">
        <v>10</v>
      </c>
      <c r="D8361" t="s">
        <v>8</v>
      </c>
      <c r="E8361" s="4" t="str">
        <f>HYPERLINK("https://ibp.a2mac1.com/costing(costing:projects/details/9760/part/8416137)","Front Link Rod")</f>
        <v>Front Link Rod</v>
      </c>
      <c r="F8361" t="s">
        <v>8668</v>
      </c>
    </row>
    <row r="8362" spans="1:6" x14ac:dyDescent="0.15">
      <c r="A8362">
        <v>8416138</v>
      </c>
      <c r="B8362">
        <v>8415789</v>
      </c>
      <c r="C8362" t="s">
        <v>10</v>
      </c>
      <c r="D8362" t="s">
        <v>8</v>
      </c>
      <c r="E8362" s="4" t="str">
        <f>HYPERLINK("https://ibp.a2mac1.com/costing(costing:projects/details/9760/part/8416138)","Support on Body K-Frame")</f>
        <v>Support on Body K-Frame</v>
      </c>
      <c r="F8362" t="s">
        <v>8668</v>
      </c>
    </row>
    <row r="8363" spans="1:6" x14ac:dyDescent="0.15">
      <c r="A8363">
        <v>8416139</v>
      </c>
      <c r="B8363">
        <v>8415789</v>
      </c>
      <c r="C8363" t="s">
        <v>10</v>
      </c>
      <c r="D8363" t="s">
        <v>8</v>
      </c>
      <c r="E8363" s="4" t="str">
        <f>HYPERLINK("https://ibp.a2mac1.com/costing(costing:projects/details/9760/part/8416139)","2nd Support on Body K-Frame")</f>
        <v>2nd Support on Body K-Frame</v>
      </c>
      <c r="F8363" t="s">
        <v>8668</v>
      </c>
    </row>
    <row r="8364" spans="1:6" x14ac:dyDescent="0.15">
      <c r="A8364">
        <v>8416140</v>
      </c>
      <c r="B8364">
        <v>8415789</v>
      </c>
      <c r="C8364" t="s">
        <v>10</v>
      </c>
      <c r="D8364" t="s">
        <v>8</v>
      </c>
      <c r="E8364" s="4" t="str">
        <f>HYPERLINK("https://ibp.a2mac1.com/costing(costing:projects/details/9760/part/8416140)","Support on Arm")</f>
        <v>Support on Arm</v>
      </c>
      <c r="F8364" t="s">
        <v>8668</v>
      </c>
    </row>
    <row r="8365" spans="1:6" x14ac:dyDescent="0.15">
      <c r="A8365">
        <v>8416141</v>
      </c>
      <c r="B8365">
        <v>8415789</v>
      </c>
      <c r="C8365" t="s">
        <v>10</v>
      </c>
      <c r="D8365" t="s">
        <v>8</v>
      </c>
      <c r="E8365" s="4" t="str">
        <f>HYPERLINK("https://ibp.a2mac1.com/costing(costing:projects/details/9760/part/8416141)","Front Link Rod Support")</f>
        <v>Front Link Rod Support</v>
      </c>
      <c r="F8365" t="s">
        <v>8668</v>
      </c>
    </row>
    <row r="8366" spans="1:6" x14ac:dyDescent="0.15">
      <c r="A8366">
        <v>8754497</v>
      </c>
      <c r="B8366">
        <v>8415789</v>
      </c>
      <c r="C8366" t="s">
        <v>311</v>
      </c>
      <c r="D8366" t="s">
        <v>8</v>
      </c>
      <c r="E8366" s="4" t="str">
        <f>HYPERLINK("https://ibp.a2mac1.com/costing(costing:projects/details/9760/component/8754497)","Round head Screw M5x14")</f>
        <v>Round head Screw M5x14</v>
      </c>
      <c r="F8366" t="s">
        <v>8668</v>
      </c>
    </row>
    <row r="8367" spans="1:6" x14ac:dyDescent="0.15">
      <c r="A8367">
        <v>8754498</v>
      </c>
      <c r="B8367">
        <v>8415789</v>
      </c>
      <c r="C8367" t="s">
        <v>311</v>
      </c>
      <c r="D8367" t="s">
        <v>8</v>
      </c>
      <c r="E8367" s="4" t="str">
        <f>HYPERLINK("https://ibp.a2mac1.com/costing(costing:projects/details/9760/component/8754498)","Round head Screw M5x12")</f>
        <v>Round head Screw M5x12</v>
      </c>
      <c r="F8367" t="s">
        <v>8668</v>
      </c>
    </row>
    <row r="8368" spans="1:6" x14ac:dyDescent="0.15">
      <c r="A8368">
        <v>8754499</v>
      </c>
      <c r="B8368">
        <v>8415789</v>
      </c>
      <c r="C8368" t="s">
        <v>311</v>
      </c>
      <c r="D8368" t="s">
        <v>8</v>
      </c>
      <c r="E8368" s="4" t="str">
        <f>HYPERLINK("https://ibp.a2mac1.com/costing(costing:projects/details/9760/component/8754499)","Round head Screw M6x12")</f>
        <v>Round head Screw M6x12</v>
      </c>
      <c r="F8368" t="s">
        <v>8668</v>
      </c>
    </row>
    <row r="8369" spans="1:6" x14ac:dyDescent="0.15">
      <c r="A8369">
        <v>8754500</v>
      </c>
      <c r="B8369">
        <v>8415789</v>
      </c>
      <c r="C8369" t="s">
        <v>311</v>
      </c>
      <c r="D8369" t="s">
        <v>8</v>
      </c>
      <c r="E8369" s="4" t="str">
        <f>HYPERLINK("https://ibp.a2mac1.com/costing(costing:projects/details/9760/component/8754500)","Round head Screw M6x10")</f>
        <v>Round head Screw M6x10</v>
      </c>
      <c r="F8369" t="s">
        <v>8668</v>
      </c>
    </row>
    <row r="8370" spans="1:6" x14ac:dyDescent="0.15">
      <c r="A8370">
        <v>8754501</v>
      </c>
      <c r="B8370">
        <v>8415789</v>
      </c>
      <c r="C8370" t="s">
        <v>311</v>
      </c>
      <c r="D8370" t="s">
        <v>8</v>
      </c>
      <c r="E8370" s="4" t="str">
        <f>HYPERLINK("https://ibp.a2mac1.com/costing(costing:projects/details/9760/component/8754501)","Round head Screw M6x16")</f>
        <v>Round head Screw M6x16</v>
      </c>
      <c r="F8370" t="s">
        <v>8668</v>
      </c>
    </row>
    <row r="8371" spans="1:6" x14ac:dyDescent="0.15">
      <c r="A8371">
        <v>8415790</v>
      </c>
      <c r="B8371">
        <v>8415614</v>
      </c>
      <c r="C8371" t="s">
        <v>8</v>
      </c>
      <c r="D8371" t="s">
        <v>8</v>
      </c>
      <c r="E8371" s="4" t="str">
        <f>HYPERLINK("https://ibp.a2mac1.com/costing(costing:projects/details/9760/assembly/8415790)","Dynamic Adjustment on Rear Axle")</f>
        <v>Dynamic Adjustment on Rear Axle</v>
      </c>
      <c r="F8371" t="s">
        <v>8667</v>
      </c>
    </row>
    <row r="8372" spans="1:6" x14ac:dyDescent="0.15">
      <c r="A8372">
        <v>8416142</v>
      </c>
      <c r="B8372">
        <v>8415790</v>
      </c>
      <c r="C8372" t="s">
        <v>10</v>
      </c>
      <c r="D8372" t="s">
        <v>8</v>
      </c>
      <c r="E8372" s="4" t="str">
        <f>HYPERLINK("https://ibp.a2mac1.com/costing(costing:projects/details/9760/part/8416142)","Ride height sensor")</f>
        <v>Ride height sensor</v>
      </c>
      <c r="F8372" t="s">
        <v>8678</v>
      </c>
    </row>
    <row r="8373" spans="1:6" x14ac:dyDescent="0.15">
      <c r="A8373">
        <v>8416143</v>
      </c>
      <c r="B8373">
        <v>8415790</v>
      </c>
      <c r="C8373" t="s">
        <v>10</v>
      </c>
      <c r="D8373" t="s">
        <v>8</v>
      </c>
      <c r="E8373" s="4" t="str">
        <f>HYPERLINK("https://ibp.a2mac1.com/costing(costing:projects/details/9760/part/8416143)","Rear Link Rod")</f>
        <v>Rear Link Rod</v>
      </c>
      <c r="F8373" t="s">
        <v>8678</v>
      </c>
    </row>
    <row r="8374" spans="1:6" x14ac:dyDescent="0.15">
      <c r="A8374">
        <v>8416144</v>
      </c>
      <c r="B8374">
        <v>8415790</v>
      </c>
      <c r="C8374" t="s">
        <v>10</v>
      </c>
      <c r="D8374" t="s">
        <v>8</v>
      </c>
      <c r="E8374" s="4" t="str">
        <f>HYPERLINK("https://ibp.a2mac1.com/costing(costing:projects/details/9760/part/8416144)","Support on Body K-Frame")</f>
        <v>Support on Body K-Frame</v>
      </c>
      <c r="F8374" t="s">
        <v>8678</v>
      </c>
    </row>
    <row r="8375" spans="1:6" x14ac:dyDescent="0.15">
      <c r="A8375">
        <v>8754502</v>
      </c>
      <c r="B8375">
        <v>8415790</v>
      </c>
      <c r="C8375" t="s">
        <v>311</v>
      </c>
      <c r="D8375" t="s">
        <v>8</v>
      </c>
      <c r="E8375" s="4" t="str">
        <f>HYPERLINK("https://ibp.a2mac1.com/costing(costing:projects/details/9760/component/8754502)","Round head Screw M5x14")</f>
        <v>Round head Screw M5x14</v>
      </c>
      <c r="F8375" t="s">
        <v>8678</v>
      </c>
    </row>
    <row r="8376" spans="1:6" x14ac:dyDescent="0.15">
      <c r="A8376">
        <v>8754503</v>
      </c>
      <c r="B8376">
        <v>8415790</v>
      </c>
      <c r="C8376" t="s">
        <v>311</v>
      </c>
      <c r="D8376" t="s">
        <v>8</v>
      </c>
      <c r="E8376" s="4" t="str">
        <f>HYPERLINK("https://ibp.a2mac1.com/costing(costing:projects/details/9760/component/8754503)","Stud &gt; Knee screwed dowel")</f>
        <v>Stud &gt; Knee screwed dowel</v>
      </c>
      <c r="F8376" t="s">
        <v>8678</v>
      </c>
    </row>
    <row r="8377" spans="1:6" x14ac:dyDescent="0.15">
      <c r="A8377">
        <v>8754504</v>
      </c>
      <c r="B8377">
        <v>8415790</v>
      </c>
      <c r="C8377" t="s">
        <v>311</v>
      </c>
      <c r="D8377" t="s">
        <v>8</v>
      </c>
      <c r="E8377" s="4" t="str">
        <f>HYPERLINK("https://ibp.a2mac1.com/costing(costing:projects/details/9760/component/8754504)","Round head Screw M6x16")</f>
        <v>Round head Screw M6x16</v>
      </c>
      <c r="F8377" t="s">
        <v>8678</v>
      </c>
    </row>
    <row r="8378" spans="1:6" x14ac:dyDescent="0.15">
      <c r="A8378">
        <v>8415615</v>
      </c>
      <c r="B8378">
        <v>8415580</v>
      </c>
      <c r="C8378" t="s">
        <v>8</v>
      </c>
      <c r="D8378" t="s">
        <v>8</v>
      </c>
      <c r="E8378" s="4" t="str">
        <f>HYPERLINK("https://ibp.a2mac1.com/costing(costing:projects/details/9760/assembly/8415615)","Rear Fog Lamp System")</f>
        <v>Rear Fog Lamp System</v>
      </c>
      <c r="F8378" t="s">
        <v>8619</v>
      </c>
    </row>
    <row r="8379" spans="1:6" x14ac:dyDescent="0.15">
      <c r="A8379">
        <v>8415791</v>
      </c>
      <c r="B8379">
        <v>8415615</v>
      </c>
      <c r="C8379" t="s">
        <v>8</v>
      </c>
      <c r="D8379" t="s">
        <v>8</v>
      </c>
      <c r="E8379" s="4" t="str">
        <f>HYPERLINK("https://ibp.a2mac1.com/costing(costing:projects/details/9760/assembly/8415791)","Rear Fog Lamp")</f>
        <v>Rear Fog Lamp</v>
      </c>
      <c r="F8379" t="s">
        <v>8684</v>
      </c>
    </row>
    <row r="8380" spans="1:6" x14ac:dyDescent="0.15">
      <c r="A8380">
        <v>8416145</v>
      </c>
      <c r="B8380">
        <v>8415791</v>
      </c>
      <c r="C8380" t="s">
        <v>8</v>
      </c>
      <c r="D8380" t="s">
        <v>8</v>
      </c>
      <c r="E8380" s="4" t="str">
        <f>HYPERLINK("https://ibp.a2mac1.com/costing(costing:projects/details/9760/assembly/8416145)","Rear Left Fog Lamp")</f>
        <v>Rear Left Fog Lamp</v>
      </c>
      <c r="F8380" t="s">
        <v>8685</v>
      </c>
    </row>
    <row r="8381" spans="1:6" x14ac:dyDescent="0.15">
      <c r="A8381">
        <v>12085435</v>
      </c>
      <c r="B8381">
        <v>8416145</v>
      </c>
      <c r="C8381" t="s">
        <v>114</v>
      </c>
      <c r="D8381" t="s">
        <v>8</v>
      </c>
      <c r="E8381" s="4" t="str">
        <f>HYPERLINK("https://ibp.a2mac1.com/costing(costing:projects/details/9760/process/12085435)","Process")</f>
        <v>Process</v>
      </c>
      <c r="F8381" t="s">
        <v>8686</v>
      </c>
    </row>
    <row r="8382" spans="1:6" x14ac:dyDescent="0.15">
      <c r="A8382">
        <v>12212567</v>
      </c>
      <c r="B8382">
        <v>12085435</v>
      </c>
      <c r="C8382" t="s">
        <v>163</v>
      </c>
      <c r="D8382" t="s">
        <v>114</v>
      </c>
      <c r="E8382" s="4" t="str">
        <f>HYPERLINK("https://ibp.a2mac1.com/costing(costing:projects/details/9760/equipment/12212567)","Dummy Machine (PCBA+Final Assembly Line)")</f>
        <v>Dummy Machine (PCBA+Final Assembly Line)</v>
      </c>
      <c r="F8382" t="s">
        <v>8687</v>
      </c>
    </row>
    <row r="8383" spans="1:6" x14ac:dyDescent="0.15">
      <c r="A8383">
        <v>8754701</v>
      </c>
      <c r="B8383">
        <v>8416145</v>
      </c>
      <c r="C8383" t="s">
        <v>311</v>
      </c>
      <c r="D8383" t="s">
        <v>8</v>
      </c>
      <c r="E8383" s="4" t="str">
        <f>HYPERLINK("https://ibp.a2mac1.com/costing(costing:projects/details/9760/component/8754701)","Electronics")</f>
        <v>Electronics</v>
      </c>
      <c r="F8383" t="s">
        <v>8686</v>
      </c>
    </row>
    <row r="8384" spans="1:6" x14ac:dyDescent="0.15">
      <c r="A8384">
        <v>8754702</v>
      </c>
      <c r="B8384">
        <v>8416145</v>
      </c>
      <c r="C8384" t="s">
        <v>311</v>
      </c>
      <c r="D8384" t="s">
        <v>8</v>
      </c>
      <c r="E8384" s="4" t="str">
        <f>HYPERLINK("https://ibp.a2mac1.com/costing(costing:projects/details/9760/component/8754702)","Mechanics")</f>
        <v>Mechanics</v>
      </c>
      <c r="F8384" t="s">
        <v>8686</v>
      </c>
    </row>
    <row r="8385" spans="1:6" x14ac:dyDescent="0.15">
      <c r="A8385">
        <v>8416146</v>
      </c>
      <c r="B8385">
        <v>8415791</v>
      </c>
      <c r="C8385" t="s">
        <v>8</v>
      </c>
      <c r="D8385" t="s">
        <v>8</v>
      </c>
      <c r="E8385" s="4" t="str">
        <f>HYPERLINK("https://ibp.a2mac1.com/costing(costing:projects/details/9760/assembly/8416146)","Rear Right Fog Lamp")</f>
        <v>Rear Right Fog Lamp</v>
      </c>
      <c r="F8385" t="s">
        <v>8685</v>
      </c>
    </row>
    <row r="8386" spans="1:6" x14ac:dyDescent="0.15">
      <c r="A8386">
        <v>12085436</v>
      </c>
      <c r="B8386">
        <v>8416146</v>
      </c>
      <c r="C8386" t="s">
        <v>114</v>
      </c>
      <c r="D8386" t="s">
        <v>8</v>
      </c>
      <c r="E8386" s="4" t="str">
        <f>HYPERLINK("https://ibp.a2mac1.com/costing(costing:projects/details/9760/process/12085436)","Process")</f>
        <v>Process</v>
      </c>
      <c r="F8386" t="s">
        <v>8689</v>
      </c>
    </row>
    <row r="8387" spans="1:6" x14ac:dyDescent="0.15">
      <c r="A8387">
        <v>12212568</v>
      </c>
      <c r="B8387">
        <v>12085436</v>
      </c>
      <c r="C8387" t="s">
        <v>163</v>
      </c>
      <c r="D8387" t="s">
        <v>114</v>
      </c>
      <c r="E8387" s="4" t="str">
        <f>HYPERLINK("https://ibp.a2mac1.com/costing(costing:projects/details/9760/equipment/12212568)","Dummy Machine (PCBA+Final Assembly Line)")</f>
        <v>Dummy Machine (PCBA+Final Assembly Line)</v>
      </c>
      <c r="F8387" t="s">
        <v>8690</v>
      </c>
    </row>
    <row r="8388" spans="1:6" x14ac:dyDescent="0.15">
      <c r="A8388">
        <v>8754703</v>
      </c>
      <c r="B8388">
        <v>8416146</v>
      </c>
      <c r="C8388" t="s">
        <v>311</v>
      </c>
      <c r="D8388" t="s">
        <v>8</v>
      </c>
      <c r="E8388" s="4" t="str">
        <f>HYPERLINK("https://ibp.a2mac1.com/costing(costing:projects/details/9760/component/8754703)","Electronics")</f>
        <v>Electronics</v>
      </c>
      <c r="F8388" t="s">
        <v>8689</v>
      </c>
    </row>
    <row r="8389" spans="1:6" x14ac:dyDescent="0.15">
      <c r="A8389">
        <v>8754704</v>
      </c>
      <c r="B8389">
        <v>8416146</v>
      </c>
      <c r="C8389" t="s">
        <v>311</v>
      </c>
      <c r="D8389" t="s">
        <v>8</v>
      </c>
      <c r="E8389" s="4" t="str">
        <f>HYPERLINK("https://ibp.a2mac1.com/costing(costing:projects/details/9760/component/8754704)","Mechanics")</f>
        <v>Mechanics</v>
      </c>
      <c r="F8389" t="s">
        <v>8689</v>
      </c>
    </row>
    <row r="8390" spans="1:6" x14ac:dyDescent="0.15">
      <c r="A8390">
        <v>8754505</v>
      </c>
      <c r="B8390">
        <v>8415791</v>
      </c>
      <c r="C8390" t="s">
        <v>311</v>
      </c>
      <c r="D8390" t="s">
        <v>8</v>
      </c>
      <c r="E8390" s="4" t="str">
        <f>HYPERLINK("https://ibp.a2mac1.com/costing(costing:projects/details/9760/component/8754505)","Round head Screw M4x18")</f>
        <v>Round head Screw M4x18</v>
      </c>
      <c r="F8390" t="s">
        <v>8685</v>
      </c>
    </row>
    <row r="8391" spans="1:6" x14ac:dyDescent="0.15">
      <c r="A8391">
        <v>8754506</v>
      </c>
      <c r="B8391">
        <v>8415791</v>
      </c>
      <c r="C8391" t="s">
        <v>311</v>
      </c>
      <c r="D8391" t="s">
        <v>8</v>
      </c>
      <c r="E8391" s="4" t="str">
        <f>HYPERLINK("https://ibp.a2mac1.com/costing(costing:projects/details/9760/component/8754506)","Round head Screw M4x18")</f>
        <v>Round head Screw M4x18</v>
      </c>
      <c r="F8391" t="s">
        <v>8685</v>
      </c>
    </row>
    <row r="8392" spans="1:6" x14ac:dyDescent="0.15">
      <c r="A8392">
        <v>8415581</v>
      </c>
      <c r="B8392">
        <v>8415575</v>
      </c>
      <c r="C8392" t="s">
        <v>8</v>
      </c>
      <c r="D8392" t="s">
        <v>8</v>
      </c>
      <c r="E8392" s="4" t="str">
        <f>HYPERLINK("https://ibp.a2mac1.com/costing(costing:projects/details/9760/assembly/8415581)","Windshield Wiper")</f>
        <v>Windshield Wiper</v>
      </c>
      <c r="F8392" t="s">
        <v>4952</v>
      </c>
    </row>
    <row r="8393" spans="1:6" x14ac:dyDescent="0.15">
      <c r="A8393">
        <v>8415616</v>
      </c>
      <c r="B8393">
        <v>8415581</v>
      </c>
      <c r="C8393" t="s">
        <v>8</v>
      </c>
      <c r="D8393" t="s">
        <v>8</v>
      </c>
      <c r="E8393" s="4" t="str">
        <f>HYPERLINK("https://ibp.a2mac1.com/costing(costing:projects/details/9760/assembly/8415616)","Front")</f>
        <v>Front</v>
      </c>
      <c r="F8393" t="s">
        <v>8695</v>
      </c>
    </row>
    <row r="8394" spans="1:6" x14ac:dyDescent="0.15">
      <c r="A8394">
        <v>8415792</v>
      </c>
      <c r="B8394">
        <v>8415616</v>
      </c>
      <c r="C8394" t="s">
        <v>8</v>
      </c>
      <c r="D8394" t="s">
        <v>8</v>
      </c>
      <c r="E8394" s="4" t="str">
        <f>HYPERLINK("https://ibp.a2mac1.com/costing(costing:projects/details/9760/assembly/8415792)","Wiper Motor")</f>
        <v>Wiper Motor</v>
      </c>
      <c r="F8394" t="s">
        <v>8696</v>
      </c>
    </row>
    <row r="8395" spans="1:6" x14ac:dyDescent="0.15">
      <c r="A8395">
        <v>12085180</v>
      </c>
      <c r="B8395">
        <v>8415792</v>
      </c>
      <c r="C8395" t="s">
        <v>114</v>
      </c>
      <c r="D8395" t="s">
        <v>8</v>
      </c>
      <c r="E8395" s="4" t="str">
        <f>HYPERLINK("https://ibp.a2mac1.com/costing(costing:projects/details/9760/process/12085180)","Process")</f>
        <v>Process</v>
      </c>
      <c r="F8395" t="s">
        <v>8697</v>
      </c>
    </row>
    <row r="8396" spans="1:6" x14ac:dyDescent="0.15">
      <c r="A8396">
        <v>12212275</v>
      </c>
      <c r="B8396">
        <v>12085180</v>
      </c>
      <c r="C8396" t="s">
        <v>163</v>
      </c>
      <c r="D8396" t="s">
        <v>114</v>
      </c>
      <c r="E8396" s="4" t="str">
        <f>HYPERLINK("https://ibp.a2mac1.com/costing(costing:projects/details/9760/equipment/12212275)","Dummy Machine (PCBA+Final Assembly Line)")</f>
        <v>Dummy Machine (PCBA+Final Assembly Line)</v>
      </c>
      <c r="F8396" t="s">
        <v>8698</v>
      </c>
    </row>
    <row r="8397" spans="1:6" x14ac:dyDescent="0.15">
      <c r="A8397">
        <v>8754507</v>
      </c>
      <c r="B8397">
        <v>8415792</v>
      </c>
      <c r="C8397" t="s">
        <v>311</v>
      </c>
      <c r="D8397" t="s">
        <v>8</v>
      </c>
      <c r="E8397" s="4" t="str">
        <f>HYPERLINK("https://ibp.a2mac1.com/costing(costing:projects/details/9760/component/8754507)","Electronics")</f>
        <v>Electronics</v>
      </c>
      <c r="F8397" t="s">
        <v>8697</v>
      </c>
    </row>
    <row r="8398" spans="1:6" x14ac:dyDescent="0.15">
      <c r="A8398">
        <v>8754508</v>
      </c>
      <c r="B8398">
        <v>8415792</v>
      </c>
      <c r="C8398" t="s">
        <v>311</v>
      </c>
      <c r="D8398" t="s">
        <v>8</v>
      </c>
      <c r="E8398" s="4" t="str">
        <f>HYPERLINK("https://ibp.a2mac1.com/costing(costing:projects/details/9760/component/8754508)","Mechanics")</f>
        <v>Mechanics</v>
      </c>
      <c r="F8398" t="s">
        <v>8697</v>
      </c>
    </row>
    <row r="8399" spans="1:6" x14ac:dyDescent="0.15">
      <c r="A8399">
        <v>8415794</v>
      </c>
      <c r="B8399">
        <v>8415616</v>
      </c>
      <c r="C8399" t="s">
        <v>8</v>
      </c>
      <c r="D8399" t="s">
        <v>8</v>
      </c>
      <c r="E8399" s="4" t="str">
        <f>HYPERLINK("https://ibp.a2mac1.com/costing(costing:projects/details/9760/assembly/8415794)","Wiper Linkage")</f>
        <v>Wiper Linkage</v>
      </c>
      <c r="F8399" t="s">
        <v>8696</v>
      </c>
    </row>
    <row r="8400" spans="1:6" x14ac:dyDescent="0.15">
      <c r="A8400">
        <v>8416147</v>
      </c>
      <c r="B8400">
        <v>8415794</v>
      </c>
      <c r="C8400" t="s">
        <v>10</v>
      </c>
      <c r="D8400" t="s">
        <v>8</v>
      </c>
      <c r="E8400" s="4" t="str">
        <f>HYPERLINK("https://ibp.a2mac1.com/costing(costing:projects/details/9760/part/8416147)","Body Cast Frame")</f>
        <v>Body Cast Frame</v>
      </c>
      <c r="F8400" t="s">
        <v>8700</v>
      </c>
    </row>
    <row r="8401" spans="1:6" x14ac:dyDescent="0.15">
      <c r="A8401">
        <v>12085439</v>
      </c>
      <c r="B8401">
        <v>8416147</v>
      </c>
      <c r="C8401" t="s">
        <v>114</v>
      </c>
      <c r="D8401" t="s">
        <v>10</v>
      </c>
      <c r="E8401" s="4" t="str">
        <f>HYPERLINK("https://ibp.a2mac1.com/costing(costing:projects/details/9760/process/12085439)","Furnace heating")</f>
        <v>Furnace heating</v>
      </c>
      <c r="F8401" t="s">
        <v>8701</v>
      </c>
    </row>
    <row r="8402" spans="1:6" x14ac:dyDescent="0.15">
      <c r="A8402">
        <v>8755098</v>
      </c>
      <c r="B8402">
        <v>12085439</v>
      </c>
      <c r="C8402" t="s">
        <v>22</v>
      </c>
      <c r="D8402" t="s">
        <v>114</v>
      </c>
      <c r="E8402" s="4" t="str">
        <f>HYPERLINK("https://ibp.a2mac1.com/costing(costing:projects/details/9760/material/8755098)","Aluminum for casting (default, e.g. A380/ADC10/EN-AC46500)")</f>
        <v>Aluminum for casting (default, e.g. A380/ADC10/EN-AC46500)</v>
      </c>
      <c r="F8402" t="s">
        <v>8703</v>
      </c>
    </row>
    <row r="8403" spans="1:6" x14ac:dyDescent="0.15">
      <c r="A8403">
        <v>12212571</v>
      </c>
      <c r="B8403">
        <v>12085439</v>
      </c>
      <c r="C8403" t="s">
        <v>163</v>
      </c>
      <c r="D8403" t="s">
        <v>114</v>
      </c>
      <c r="E8403" s="4" t="str">
        <f>HYPERLINK("https://ibp.a2mac1.com/costing(costing:projects/details/9760/equipment/12212571)","No.02 - T,TF 40/11 ")</f>
        <v xml:space="preserve">No.02 - T,TF 40/11 </v>
      </c>
      <c r="F8403" t="s">
        <v>8703</v>
      </c>
    </row>
    <row r="8404" spans="1:6" x14ac:dyDescent="0.15">
      <c r="A8404">
        <v>12085437</v>
      </c>
      <c r="B8404">
        <v>8416147</v>
      </c>
      <c r="C8404" t="s">
        <v>114</v>
      </c>
      <c r="D8404" t="s">
        <v>10</v>
      </c>
      <c r="E8404" s="4" t="str">
        <f>HYPERLINK("https://ibp.a2mac1.com/costing(costing:projects/details/9760/process/12085437)","Transport with laddle")</f>
        <v>Transport with laddle</v>
      </c>
      <c r="F8404" t="s">
        <v>8701</v>
      </c>
    </row>
    <row r="8405" spans="1:6" x14ac:dyDescent="0.15">
      <c r="A8405">
        <v>12212569</v>
      </c>
      <c r="B8405">
        <v>12085437</v>
      </c>
      <c r="C8405" t="s">
        <v>163</v>
      </c>
      <c r="D8405" t="s">
        <v>114</v>
      </c>
      <c r="E8405" s="4" t="str">
        <f>HYPERLINK("https://ibp.a2mac1.com/costing(costing:projects/details/9760/equipment/12212569)","No.01 - Buhler ladel Model 4,5L ")</f>
        <v xml:space="preserve">No.01 - Buhler ladel Model 4,5L </v>
      </c>
      <c r="F8405" t="s">
        <v>8704</v>
      </c>
    </row>
    <row r="8406" spans="1:6" x14ac:dyDescent="0.15">
      <c r="A8406">
        <v>12085438</v>
      </c>
      <c r="B8406">
        <v>8416147</v>
      </c>
      <c r="C8406" t="s">
        <v>114</v>
      </c>
      <c r="D8406" t="s">
        <v>10</v>
      </c>
      <c r="E8406" s="4" t="str">
        <f>HYPERLINK("https://ibp.a2mac1.com/costing(costing:projects/details/9760/process/12085438)","Pressing (Cold Chamber)")</f>
        <v>Pressing (Cold Chamber)</v>
      </c>
      <c r="F8406" t="s">
        <v>8701</v>
      </c>
    </row>
    <row r="8407" spans="1:6" x14ac:dyDescent="0.15">
      <c r="A8407">
        <v>12212570</v>
      </c>
      <c r="B8407">
        <v>12085438</v>
      </c>
      <c r="C8407" t="s">
        <v>163</v>
      </c>
      <c r="D8407" t="s">
        <v>114</v>
      </c>
      <c r="E8407" s="4" t="str">
        <f>HYPERLINK("https://ibp.a2mac1.com/costing(costing:projects/details/9760/equipment/12212570)","No.06 - Idra - OL 1300 S ")</f>
        <v xml:space="preserve">No.06 - Idra - OL 1300 S </v>
      </c>
      <c r="F8407" t="s">
        <v>8705</v>
      </c>
    </row>
    <row r="8408" spans="1:6" x14ac:dyDescent="0.15">
      <c r="A8408">
        <v>8416148</v>
      </c>
      <c r="B8408">
        <v>8415794</v>
      </c>
      <c r="C8408" t="s">
        <v>10</v>
      </c>
      <c r="D8408" t="s">
        <v>8</v>
      </c>
      <c r="E8408" s="4" t="str">
        <f>HYPERLINK("https://ibp.a2mac1.com/costing(costing:projects/details/9760/part/8416148)","Link 1")</f>
        <v>Link 1</v>
      </c>
      <c r="F8408" t="s">
        <v>8700</v>
      </c>
    </row>
    <row r="8409" spans="1:6" x14ac:dyDescent="0.15">
      <c r="A8409">
        <v>12085442</v>
      </c>
      <c r="B8409">
        <v>8416148</v>
      </c>
      <c r="C8409" t="s">
        <v>114</v>
      </c>
      <c r="D8409" t="s">
        <v>10</v>
      </c>
      <c r="E8409" s="4" t="str">
        <f>HYPERLINK("https://ibp.a2mac1.com/costing(costing:projects/details/9760/process/12085442)","Stamping")</f>
        <v>Stamping</v>
      </c>
      <c r="F8409" t="s">
        <v>8706</v>
      </c>
    </row>
    <row r="8410" spans="1:6" x14ac:dyDescent="0.15">
      <c r="A8410">
        <v>8755099</v>
      </c>
      <c r="B8410">
        <v>12085442</v>
      </c>
      <c r="C8410" t="s">
        <v>22</v>
      </c>
      <c r="D8410" t="s">
        <v>114</v>
      </c>
      <c r="E8410" s="4" t="str">
        <f>HYPERLINK("https://ibp.a2mac1.com/costing(costing:projects/details/9760/material/8755099)","Steel sheet (default)")</f>
        <v>Steel sheet (default)</v>
      </c>
      <c r="F8410" t="s">
        <v>8709</v>
      </c>
    </row>
    <row r="8411" spans="1:6" x14ac:dyDescent="0.15">
      <c r="A8411">
        <v>12212574</v>
      </c>
      <c r="B8411">
        <v>12085442</v>
      </c>
      <c r="C8411" t="s">
        <v>163</v>
      </c>
      <c r="D8411" t="s">
        <v>114</v>
      </c>
      <c r="E8411" s="4" t="str">
        <f>HYPERLINK("https://ibp.a2mac1.com/costing(costing:projects/details/9760/equipment/12212574)","No.02 - Progressive Press - 400T ")</f>
        <v xml:space="preserve">No.02 - Progressive Press - 400T </v>
      </c>
      <c r="F8411" t="s">
        <v>8709</v>
      </c>
    </row>
    <row r="8412" spans="1:6" x14ac:dyDescent="0.15">
      <c r="A8412">
        <v>12085441</v>
      </c>
      <c r="B8412">
        <v>8416148</v>
      </c>
      <c r="C8412" t="s">
        <v>114</v>
      </c>
      <c r="D8412" t="s">
        <v>10</v>
      </c>
      <c r="E8412" s="4" t="str">
        <f>HYPERLINK("https://ibp.a2mac1.com/costing(costing:projects/details/9760/process/12085441)","Cleaning")</f>
        <v>Cleaning</v>
      </c>
      <c r="F8412" t="s">
        <v>8706</v>
      </c>
    </row>
    <row r="8413" spans="1:6" x14ac:dyDescent="0.15">
      <c r="A8413">
        <v>12212573</v>
      </c>
      <c r="B8413">
        <v>12085441</v>
      </c>
      <c r="C8413" t="s">
        <v>163</v>
      </c>
      <c r="D8413" t="s">
        <v>114</v>
      </c>
      <c r="E8413" s="4" t="str">
        <f>HYPERLINK("https://ibp.a2mac1.com/costing(costing:projects/details/9760/equipment/12212573)","No.05 - Cleaning - Batch - 2000x2000x1200 - 500kg/batch - 3000kg/h ")</f>
        <v xml:space="preserve">No.05 - Cleaning - Batch - 2000x2000x1200 - 500kg/batch - 3000kg/h </v>
      </c>
      <c r="F8413" t="s">
        <v>8710</v>
      </c>
    </row>
    <row r="8414" spans="1:6" x14ac:dyDescent="0.15">
      <c r="A8414">
        <v>12085440</v>
      </c>
      <c r="B8414">
        <v>8416148</v>
      </c>
      <c r="C8414" t="s">
        <v>114</v>
      </c>
      <c r="D8414" t="s">
        <v>10</v>
      </c>
      <c r="E8414" s="4" t="str">
        <f>HYPERLINK("https://ibp.a2mac1.com/costing(costing:projects/details/9760/process/12085440)","Packaging")</f>
        <v>Packaging</v>
      </c>
      <c r="F8414" t="s">
        <v>8706</v>
      </c>
    </row>
    <row r="8415" spans="1:6" x14ac:dyDescent="0.15">
      <c r="A8415">
        <v>12212572</v>
      </c>
      <c r="B8415">
        <v>12085440</v>
      </c>
      <c r="C8415" t="s">
        <v>163</v>
      </c>
      <c r="D8415" t="s">
        <v>114</v>
      </c>
      <c r="E8415" s="4" t="str">
        <f>HYPERLINK("https://ibp.a2mac1.com/costing(costing:projects/details/9760/equipment/12212572)","Packaging ")</f>
        <v xml:space="preserve">Packaging </v>
      </c>
      <c r="F8415" t="s">
        <v>8711</v>
      </c>
    </row>
    <row r="8416" spans="1:6" x14ac:dyDescent="0.15">
      <c r="A8416">
        <v>8416149</v>
      </c>
      <c r="B8416">
        <v>8415794</v>
      </c>
      <c r="C8416" t="s">
        <v>10</v>
      </c>
      <c r="D8416" t="s">
        <v>8</v>
      </c>
      <c r="E8416" s="4" t="str">
        <f>HYPERLINK("https://ibp.a2mac1.com/costing(costing:projects/details/9760/part/8416149)","Link 2")</f>
        <v>Link 2</v>
      </c>
      <c r="F8416" t="s">
        <v>8700</v>
      </c>
    </row>
    <row r="8417" spans="1:6" x14ac:dyDescent="0.15">
      <c r="A8417">
        <v>12085443</v>
      </c>
      <c r="B8417">
        <v>8416149</v>
      </c>
      <c r="C8417" t="s">
        <v>114</v>
      </c>
      <c r="D8417" t="s">
        <v>10</v>
      </c>
      <c r="E8417" s="4" t="str">
        <f>HYPERLINK("https://ibp.a2mac1.com/costing(costing:projects/details/9760/process/12085443)","Stamping")</f>
        <v>Stamping</v>
      </c>
      <c r="F8417" t="s">
        <v>8712</v>
      </c>
    </row>
    <row r="8418" spans="1:6" x14ac:dyDescent="0.15">
      <c r="A8418">
        <v>8755100</v>
      </c>
      <c r="B8418">
        <v>12085443</v>
      </c>
      <c r="C8418" t="s">
        <v>22</v>
      </c>
      <c r="D8418" t="s">
        <v>114</v>
      </c>
      <c r="E8418" s="4" t="str">
        <f>HYPERLINK("https://ibp.a2mac1.com/costing(costing:projects/details/9760/material/8755100)","Steel sheet (default)")</f>
        <v>Steel sheet (default)</v>
      </c>
      <c r="F8418" t="s">
        <v>8715</v>
      </c>
    </row>
    <row r="8419" spans="1:6" x14ac:dyDescent="0.15">
      <c r="A8419">
        <v>12212575</v>
      </c>
      <c r="B8419">
        <v>12085443</v>
      </c>
      <c r="C8419" t="s">
        <v>163</v>
      </c>
      <c r="D8419" t="s">
        <v>114</v>
      </c>
      <c r="E8419" s="4" t="str">
        <f>HYPERLINK("https://ibp.a2mac1.com/costing(costing:projects/details/9760/equipment/12212575)","No.01 - Progressive Press - 250T ")</f>
        <v xml:space="preserve">No.01 - Progressive Press - 250T </v>
      </c>
      <c r="F8419" t="s">
        <v>8715</v>
      </c>
    </row>
    <row r="8420" spans="1:6" x14ac:dyDescent="0.15">
      <c r="A8420">
        <v>12085445</v>
      </c>
      <c r="B8420">
        <v>8416149</v>
      </c>
      <c r="C8420" t="s">
        <v>114</v>
      </c>
      <c r="D8420" t="s">
        <v>10</v>
      </c>
      <c r="E8420" s="4" t="str">
        <f>HYPERLINK("https://ibp.a2mac1.com/costing(costing:projects/details/9760/process/12085445)","Cleaning")</f>
        <v>Cleaning</v>
      </c>
      <c r="F8420" t="s">
        <v>8712</v>
      </c>
    </row>
    <row r="8421" spans="1:6" x14ac:dyDescent="0.15">
      <c r="A8421">
        <v>12212577</v>
      </c>
      <c r="B8421">
        <v>12085445</v>
      </c>
      <c r="C8421" t="s">
        <v>163</v>
      </c>
      <c r="D8421" t="s">
        <v>114</v>
      </c>
      <c r="E8421" s="4" t="str">
        <f>HYPERLINK("https://ibp.a2mac1.com/costing(costing:projects/details/9760/equipment/12212577)","No.05 - Cleaning - Batch - 2000x2000x1200 - 500kg/batch - 3000kg/h ")</f>
        <v xml:space="preserve">No.05 - Cleaning - Batch - 2000x2000x1200 - 500kg/batch - 3000kg/h </v>
      </c>
      <c r="F8421" t="s">
        <v>8716</v>
      </c>
    </row>
    <row r="8422" spans="1:6" x14ac:dyDescent="0.15">
      <c r="A8422">
        <v>12085444</v>
      </c>
      <c r="B8422">
        <v>8416149</v>
      </c>
      <c r="C8422" t="s">
        <v>114</v>
      </c>
      <c r="D8422" t="s">
        <v>10</v>
      </c>
      <c r="E8422" s="4" t="str">
        <f>HYPERLINK("https://ibp.a2mac1.com/costing(costing:projects/details/9760/process/12085444)","Packaging")</f>
        <v>Packaging</v>
      </c>
      <c r="F8422" t="s">
        <v>8712</v>
      </c>
    </row>
    <row r="8423" spans="1:6" x14ac:dyDescent="0.15">
      <c r="A8423">
        <v>12212576</v>
      </c>
      <c r="B8423">
        <v>12085444</v>
      </c>
      <c r="C8423" t="s">
        <v>163</v>
      </c>
      <c r="D8423" t="s">
        <v>114</v>
      </c>
      <c r="E8423" s="4" t="str">
        <f>HYPERLINK("https://ibp.a2mac1.com/costing(costing:projects/details/9760/equipment/12212576)","Packaging ")</f>
        <v xml:space="preserve">Packaging </v>
      </c>
      <c r="F8423" t="s">
        <v>8717</v>
      </c>
    </row>
    <row r="8424" spans="1:6" x14ac:dyDescent="0.15">
      <c r="A8424">
        <v>8416150</v>
      </c>
      <c r="B8424">
        <v>8415794</v>
      </c>
      <c r="C8424" t="s">
        <v>10</v>
      </c>
      <c r="D8424" t="s">
        <v>8</v>
      </c>
      <c r="E8424" s="4" t="str">
        <f>HYPERLINK("https://ibp.a2mac1.com/costing(costing:projects/details/9760/part/8416150)","Link 3")</f>
        <v>Link 3</v>
      </c>
      <c r="F8424" t="s">
        <v>8700</v>
      </c>
    </row>
    <row r="8425" spans="1:6" x14ac:dyDescent="0.15">
      <c r="A8425">
        <v>12085446</v>
      </c>
      <c r="B8425">
        <v>8416150</v>
      </c>
      <c r="C8425" t="s">
        <v>114</v>
      </c>
      <c r="D8425" t="s">
        <v>10</v>
      </c>
      <c r="E8425" s="4" t="str">
        <f>HYPERLINK("https://ibp.a2mac1.com/costing(costing:projects/details/9760/process/12085446)","Stamping")</f>
        <v>Stamping</v>
      </c>
      <c r="F8425" t="s">
        <v>8718</v>
      </c>
    </row>
    <row r="8426" spans="1:6" x14ac:dyDescent="0.15">
      <c r="A8426">
        <v>8755101</v>
      </c>
      <c r="B8426">
        <v>12085446</v>
      </c>
      <c r="C8426" t="s">
        <v>22</v>
      </c>
      <c r="D8426" t="s">
        <v>114</v>
      </c>
      <c r="E8426" s="4" t="str">
        <f>HYPERLINK("https://ibp.a2mac1.com/costing(costing:projects/details/9760/material/8755101)","Steel sheet (default)")</f>
        <v>Steel sheet (default)</v>
      </c>
      <c r="F8426" t="s">
        <v>8719</v>
      </c>
    </row>
    <row r="8427" spans="1:6" x14ac:dyDescent="0.15">
      <c r="A8427">
        <v>12212578</v>
      </c>
      <c r="B8427">
        <v>12085446</v>
      </c>
      <c r="C8427" t="s">
        <v>163</v>
      </c>
      <c r="D8427" t="s">
        <v>114</v>
      </c>
      <c r="E8427" s="4" t="str">
        <f>HYPERLINK("https://ibp.a2mac1.com/costing(costing:projects/details/9760/equipment/12212578)","No.02 - Progressive Press - 400T ")</f>
        <v xml:space="preserve">No.02 - Progressive Press - 400T </v>
      </c>
      <c r="F8427" t="s">
        <v>8719</v>
      </c>
    </row>
    <row r="8428" spans="1:6" x14ac:dyDescent="0.15">
      <c r="A8428">
        <v>12085447</v>
      </c>
      <c r="B8428">
        <v>8416150</v>
      </c>
      <c r="C8428" t="s">
        <v>114</v>
      </c>
      <c r="D8428" t="s">
        <v>10</v>
      </c>
      <c r="E8428" s="4" t="str">
        <f>HYPERLINK("https://ibp.a2mac1.com/costing(costing:projects/details/9760/process/12085447)","Cleaning")</f>
        <v>Cleaning</v>
      </c>
      <c r="F8428" t="s">
        <v>8718</v>
      </c>
    </row>
    <row r="8429" spans="1:6" x14ac:dyDescent="0.15">
      <c r="A8429">
        <v>12212579</v>
      </c>
      <c r="B8429">
        <v>12085447</v>
      </c>
      <c r="C8429" t="s">
        <v>163</v>
      </c>
      <c r="D8429" t="s">
        <v>114</v>
      </c>
      <c r="E8429" s="4" t="str">
        <f>HYPERLINK("https://ibp.a2mac1.com/costing(costing:projects/details/9760/equipment/12212579)","No.05 - Cleaning - Batch - 2000x2000x1200 - 500kg/batch - 3000kg/h ")</f>
        <v xml:space="preserve">No.05 - Cleaning - Batch - 2000x2000x1200 - 500kg/batch - 3000kg/h </v>
      </c>
      <c r="F8429" t="s">
        <v>8720</v>
      </c>
    </row>
    <row r="8430" spans="1:6" x14ac:dyDescent="0.15">
      <c r="A8430">
        <v>12085448</v>
      </c>
      <c r="B8430">
        <v>8416150</v>
      </c>
      <c r="C8430" t="s">
        <v>114</v>
      </c>
      <c r="D8430" t="s">
        <v>10</v>
      </c>
      <c r="E8430" s="4" t="str">
        <f>HYPERLINK("https://ibp.a2mac1.com/costing(costing:projects/details/9760/process/12085448)","Packaging")</f>
        <v>Packaging</v>
      </c>
      <c r="F8430" t="s">
        <v>8718</v>
      </c>
    </row>
    <row r="8431" spans="1:6" x14ac:dyDescent="0.15">
      <c r="A8431">
        <v>12212580</v>
      </c>
      <c r="B8431">
        <v>12085448</v>
      </c>
      <c r="C8431" t="s">
        <v>163</v>
      </c>
      <c r="D8431" t="s">
        <v>114</v>
      </c>
      <c r="E8431" s="4" t="str">
        <f>HYPERLINK("https://ibp.a2mac1.com/costing(costing:projects/details/9760/equipment/12212580)","Packaging ")</f>
        <v xml:space="preserve">Packaging </v>
      </c>
      <c r="F8431" t="s">
        <v>8721</v>
      </c>
    </row>
    <row r="8432" spans="1:6" x14ac:dyDescent="0.15">
      <c r="A8432">
        <v>8416151</v>
      </c>
      <c r="B8432">
        <v>8415794</v>
      </c>
      <c r="C8432" t="s">
        <v>10</v>
      </c>
      <c r="D8432" t="s">
        <v>8</v>
      </c>
      <c r="E8432" s="4" t="str">
        <f>HYPERLINK("https://ibp.a2mac1.com/costing(costing:projects/details/9760/part/8416151)","Link 4")</f>
        <v>Link 4</v>
      </c>
      <c r="F8432" t="s">
        <v>8700</v>
      </c>
    </row>
    <row r="8433" spans="1:6" x14ac:dyDescent="0.15">
      <c r="A8433">
        <v>12085449</v>
      </c>
      <c r="B8433">
        <v>8416151</v>
      </c>
      <c r="C8433" t="s">
        <v>114</v>
      </c>
      <c r="D8433" t="s">
        <v>10</v>
      </c>
      <c r="E8433" s="4" t="str">
        <f>HYPERLINK("https://ibp.a2mac1.com/costing(costing:projects/details/9760/process/12085449)","Stamping")</f>
        <v>Stamping</v>
      </c>
      <c r="F8433" t="s">
        <v>8722</v>
      </c>
    </row>
    <row r="8434" spans="1:6" x14ac:dyDescent="0.15">
      <c r="A8434">
        <v>8755102</v>
      </c>
      <c r="B8434">
        <v>12085449</v>
      </c>
      <c r="C8434" t="s">
        <v>22</v>
      </c>
      <c r="D8434" t="s">
        <v>114</v>
      </c>
      <c r="E8434" s="4" t="str">
        <f>HYPERLINK("https://ibp.a2mac1.com/costing(costing:projects/details/9760/material/8755102)","Steel sheet (default)")</f>
        <v>Steel sheet (default)</v>
      </c>
      <c r="F8434" t="s">
        <v>8723</v>
      </c>
    </row>
    <row r="8435" spans="1:6" x14ac:dyDescent="0.15">
      <c r="A8435">
        <v>12212581</v>
      </c>
      <c r="B8435">
        <v>12085449</v>
      </c>
      <c r="C8435" t="s">
        <v>163</v>
      </c>
      <c r="D8435" t="s">
        <v>114</v>
      </c>
      <c r="E8435" s="4" t="str">
        <f>HYPERLINK("https://ibp.a2mac1.com/costing(costing:projects/details/9760/equipment/12212581)","No.02 - Progressive Press - 400T ")</f>
        <v xml:space="preserve">No.02 - Progressive Press - 400T </v>
      </c>
      <c r="F8435" t="s">
        <v>8723</v>
      </c>
    </row>
    <row r="8436" spans="1:6" x14ac:dyDescent="0.15">
      <c r="A8436">
        <v>12085450</v>
      </c>
      <c r="B8436">
        <v>8416151</v>
      </c>
      <c r="C8436" t="s">
        <v>114</v>
      </c>
      <c r="D8436" t="s">
        <v>10</v>
      </c>
      <c r="E8436" s="4" t="str">
        <f>HYPERLINK("https://ibp.a2mac1.com/costing(costing:projects/details/9760/process/12085450)","Cleaning")</f>
        <v>Cleaning</v>
      </c>
      <c r="F8436" t="s">
        <v>8722</v>
      </c>
    </row>
    <row r="8437" spans="1:6" x14ac:dyDescent="0.15">
      <c r="A8437">
        <v>12212582</v>
      </c>
      <c r="B8437">
        <v>12085450</v>
      </c>
      <c r="C8437" t="s">
        <v>163</v>
      </c>
      <c r="D8437" t="s">
        <v>114</v>
      </c>
      <c r="E8437" s="4" t="str">
        <f>HYPERLINK("https://ibp.a2mac1.com/costing(costing:projects/details/9760/equipment/12212582)","No.05 - Cleaning - Batch - 2000x2000x1200 - 500kg/batch - 3000kg/h ")</f>
        <v xml:space="preserve">No.05 - Cleaning - Batch - 2000x2000x1200 - 500kg/batch - 3000kg/h </v>
      </c>
      <c r="F8437" t="s">
        <v>8724</v>
      </c>
    </row>
    <row r="8438" spans="1:6" x14ac:dyDescent="0.15">
      <c r="A8438">
        <v>12085451</v>
      </c>
      <c r="B8438">
        <v>8416151</v>
      </c>
      <c r="C8438" t="s">
        <v>114</v>
      </c>
      <c r="D8438" t="s">
        <v>10</v>
      </c>
      <c r="E8438" s="4" t="str">
        <f>HYPERLINK("https://ibp.a2mac1.com/costing(costing:projects/details/9760/process/12085451)","Packaging")</f>
        <v>Packaging</v>
      </c>
      <c r="F8438" t="s">
        <v>8722</v>
      </c>
    </row>
    <row r="8439" spans="1:6" x14ac:dyDescent="0.15">
      <c r="A8439">
        <v>12212583</v>
      </c>
      <c r="B8439">
        <v>12085451</v>
      </c>
      <c r="C8439" t="s">
        <v>163</v>
      </c>
      <c r="D8439" t="s">
        <v>114</v>
      </c>
      <c r="E8439" s="4" t="str">
        <f>HYPERLINK("https://ibp.a2mac1.com/costing(costing:projects/details/9760/equipment/12212583)","Packaging ")</f>
        <v xml:space="preserve">Packaging </v>
      </c>
      <c r="F8439" t="s">
        <v>8725</v>
      </c>
    </row>
    <row r="8440" spans="1:6" x14ac:dyDescent="0.15">
      <c r="A8440">
        <v>8416152</v>
      </c>
      <c r="B8440">
        <v>8415794</v>
      </c>
      <c r="C8440" t="s">
        <v>10</v>
      </c>
      <c r="D8440" t="s">
        <v>8</v>
      </c>
      <c r="E8440" s="4" t="str">
        <f>HYPERLINK("https://ibp.a2mac1.com/costing(costing:projects/details/9760/part/8416152)","Fastners")</f>
        <v>Fastners</v>
      </c>
      <c r="F8440" t="s">
        <v>8700</v>
      </c>
    </row>
    <row r="8441" spans="1:6" x14ac:dyDescent="0.15">
      <c r="A8441">
        <v>8416153</v>
      </c>
      <c r="B8441">
        <v>8415794</v>
      </c>
      <c r="C8441" t="s">
        <v>10</v>
      </c>
      <c r="D8441" t="s">
        <v>8</v>
      </c>
      <c r="E8441" s="4" t="str">
        <f>HYPERLINK("https://ibp.a2mac1.com/costing(costing:projects/details/9760/part/8416153)","Attaching plate")</f>
        <v>Attaching plate</v>
      </c>
      <c r="F8441" t="s">
        <v>8700</v>
      </c>
    </row>
    <row r="8442" spans="1:6" x14ac:dyDescent="0.15">
      <c r="A8442">
        <v>12085452</v>
      </c>
      <c r="B8442">
        <v>8416153</v>
      </c>
      <c r="C8442" t="s">
        <v>114</v>
      </c>
      <c r="D8442" t="s">
        <v>10</v>
      </c>
      <c r="E8442" s="4" t="str">
        <f>HYPERLINK("https://ibp.a2mac1.com/costing(costing:projects/details/9760/process/12085452)","Stamping")</f>
        <v>Stamping</v>
      </c>
      <c r="F8442" t="s">
        <v>8726</v>
      </c>
    </row>
    <row r="8443" spans="1:6" x14ac:dyDescent="0.15">
      <c r="A8443">
        <v>8755103</v>
      </c>
      <c r="B8443">
        <v>12085452</v>
      </c>
      <c r="C8443" t="s">
        <v>22</v>
      </c>
      <c r="D8443" t="s">
        <v>114</v>
      </c>
      <c r="E8443" s="4" t="str">
        <f>HYPERLINK("https://ibp.a2mac1.com/costing(costing:projects/details/9760/material/8755103)","Steel sheet (default)")</f>
        <v>Steel sheet (default)</v>
      </c>
      <c r="F8443" t="s">
        <v>8728</v>
      </c>
    </row>
    <row r="8444" spans="1:6" x14ac:dyDescent="0.15">
      <c r="A8444">
        <v>12212584</v>
      </c>
      <c r="B8444">
        <v>12085452</v>
      </c>
      <c r="C8444" t="s">
        <v>163</v>
      </c>
      <c r="D8444" t="s">
        <v>114</v>
      </c>
      <c r="E8444" s="4" t="str">
        <f>HYPERLINK("https://ibp.a2mac1.com/costing(costing:projects/details/9760/equipment/12212584)","No.01 - Progressive Press - 250T ")</f>
        <v xml:space="preserve">No.01 - Progressive Press - 250T </v>
      </c>
      <c r="F8444" t="s">
        <v>8728</v>
      </c>
    </row>
    <row r="8445" spans="1:6" x14ac:dyDescent="0.15">
      <c r="A8445">
        <v>12085453</v>
      </c>
      <c r="B8445">
        <v>8416153</v>
      </c>
      <c r="C8445" t="s">
        <v>114</v>
      </c>
      <c r="D8445" t="s">
        <v>10</v>
      </c>
      <c r="E8445" s="4" t="str">
        <f>HYPERLINK("https://ibp.a2mac1.com/costing(costing:projects/details/9760/process/12085453)","Cleaning")</f>
        <v>Cleaning</v>
      </c>
      <c r="F8445" t="s">
        <v>8726</v>
      </c>
    </row>
    <row r="8446" spans="1:6" x14ac:dyDescent="0.15">
      <c r="A8446">
        <v>12212585</v>
      </c>
      <c r="B8446">
        <v>12085453</v>
      </c>
      <c r="C8446" t="s">
        <v>163</v>
      </c>
      <c r="D8446" t="s">
        <v>114</v>
      </c>
      <c r="E8446" s="4" t="str">
        <f>HYPERLINK("https://ibp.a2mac1.com/costing(costing:projects/details/9760/equipment/12212585)","No.05 - Cleaning - Batch - 2000x2000x1200 - 500kg/batch - 3000kg/h ")</f>
        <v xml:space="preserve">No.05 - Cleaning - Batch - 2000x2000x1200 - 500kg/batch - 3000kg/h </v>
      </c>
      <c r="F8446" t="s">
        <v>8729</v>
      </c>
    </row>
    <row r="8447" spans="1:6" x14ac:dyDescent="0.15">
      <c r="A8447">
        <v>12085454</v>
      </c>
      <c r="B8447">
        <v>8416153</v>
      </c>
      <c r="C8447" t="s">
        <v>114</v>
      </c>
      <c r="D8447" t="s">
        <v>10</v>
      </c>
      <c r="E8447" s="4" t="str">
        <f>HYPERLINK("https://ibp.a2mac1.com/costing(costing:projects/details/9760/process/12085454)","Packaging")</f>
        <v>Packaging</v>
      </c>
      <c r="F8447" t="s">
        <v>8726</v>
      </c>
    </row>
    <row r="8448" spans="1:6" x14ac:dyDescent="0.15">
      <c r="A8448">
        <v>12212586</v>
      </c>
      <c r="B8448">
        <v>12085454</v>
      </c>
      <c r="C8448" t="s">
        <v>163</v>
      </c>
      <c r="D8448" t="s">
        <v>114</v>
      </c>
      <c r="E8448" s="4" t="str">
        <f>HYPERLINK("https://ibp.a2mac1.com/costing(costing:projects/details/9760/equipment/12212586)","Packaging ")</f>
        <v xml:space="preserve">Packaging </v>
      </c>
      <c r="F8448" t="s">
        <v>8730</v>
      </c>
    </row>
    <row r="8449" spans="1:6" x14ac:dyDescent="0.15">
      <c r="A8449">
        <v>12085181</v>
      </c>
      <c r="B8449">
        <v>8415794</v>
      </c>
      <c r="C8449" t="s">
        <v>114</v>
      </c>
      <c r="D8449" t="s">
        <v>8</v>
      </c>
      <c r="E8449" s="4" t="str">
        <f>HYPERLINK("https://ibp.a2mac1.com/costing(costing:projects/details/9760/process/12085181)","Assembly")</f>
        <v>Assembly</v>
      </c>
      <c r="F8449" t="s">
        <v>8700</v>
      </c>
    </row>
    <row r="8450" spans="1:6" x14ac:dyDescent="0.15">
      <c r="A8450">
        <v>12212276</v>
      </c>
      <c r="B8450">
        <v>12085181</v>
      </c>
      <c r="C8450" t="s">
        <v>163</v>
      </c>
      <c r="D8450" t="s">
        <v>114</v>
      </c>
      <c r="E8450" s="4" t="str">
        <f>HYPERLINK("https://ibp.a2mac1.com/costing(costing:projects/details/9760/equipment/12212276)","Assembly Station ")</f>
        <v xml:space="preserve">Assembly Station </v>
      </c>
      <c r="F8450" t="s">
        <v>8731</v>
      </c>
    </row>
    <row r="8451" spans="1:6" x14ac:dyDescent="0.15">
      <c r="A8451">
        <v>8415795</v>
      </c>
      <c r="B8451">
        <v>8415616</v>
      </c>
      <c r="C8451" t="s">
        <v>8</v>
      </c>
      <c r="D8451" t="s">
        <v>8</v>
      </c>
      <c r="E8451" s="4" t="str">
        <f>HYPERLINK("https://ibp.a2mac1.com/costing(costing:projects/details/9760/assembly/8415795)","Wiper Blades")</f>
        <v>Wiper Blades</v>
      </c>
      <c r="F8451" t="s">
        <v>8696</v>
      </c>
    </row>
    <row r="8452" spans="1:6" x14ac:dyDescent="0.15">
      <c r="A8452">
        <v>8416154</v>
      </c>
      <c r="B8452">
        <v>8415795</v>
      </c>
      <c r="C8452" t="s">
        <v>10</v>
      </c>
      <c r="D8452" t="s">
        <v>8</v>
      </c>
      <c r="E8452" s="4" t="str">
        <f>HYPERLINK("https://ibp.a2mac1.com/costing(costing:projects/details/9760/part/8416154)","Driver Side")</f>
        <v>Driver Side</v>
      </c>
      <c r="F8452" t="s">
        <v>8734</v>
      </c>
    </row>
    <row r="8453" spans="1:6" x14ac:dyDescent="0.15">
      <c r="A8453">
        <v>8416155</v>
      </c>
      <c r="B8453">
        <v>8415795</v>
      </c>
      <c r="C8453" t="s">
        <v>10</v>
      </c>
      <c r="D8453" t="s">
        <v>8</v>
      </c>
      <c r="E8453" s="4" t="str">
        <f>HYPERLINK("https://ibp.a2mac1.com/costing(costing:projects/details/9760/part/8416155)","Passenger Side")</f>
        <v>Passenger Side</v>
      </c>
      <c r="F8453" t="s">
        <v>8734</v>
      </c>
    </row>
    <row r="8454" spans="1:6" x14ac:dyDescent="0.15">
      <c r="A8454">
        <v>8415796</v>
      </c>
      <c r="B8454">
        <v>8415616</v>
      </c>
      <c r="C8454" t="s">
        <v>8</v>
      </c>
      <c r="D8454" t="s">
        <v>8</v>
      </c>
      <c r="E8454" s="4" t="str">
        <f>HYPERLINK("https://ibp.a2mac1.com/costing(costing:projects/details/9760/assembly/8415796)","Wiper Arm")</f>
        <v>Wiper Arm</v>
      </c>
      <c r="F8454" t="s">
        <v>8696</v>
      </c>
    </row>
    <row r="8455" spans="1:6" x14ac:dyDescent="0.15">
      <c r="A8455">
        <v>8416156</v>
      </c>
      <c r="B8455">
        <v>8415796</v>
      </c>
      <c r="C8455" t="s">
        <v>10</v>
      </c>
      <c r="D8455" t="s">
        <v>8</v>
      </c>
      <c r="E8455" s="4" t="str">
        <f>HYPERLINK("https://ibp.a2mac1.com/costing(costing:projects/details/9760/part/8416156)","Driver Side")</f>
        <v>Driver Side</v>
      </c>
      <c r="F8455" t="s">
        <v>8741</v>
      </c>
    </row>
    <row r="8456" spans="1:6" x14ac:dyDescent="0.15">
      <c r="A8456">
        <v>8416157</v>
      </c>
      <c r="B8456">
        <v>8415796</v>
      </c>
      <c r="C8456" t="s">
        <v>10</v>
      </c>
      <c r="D8456" t="s">
        <v>8</v>
      </c>
      <c r="E8456" s="4" t="str">
        <f>HYPERLINK("https://ibp.a2mac1.com/costing(costing:projects/details/9760/part/8416157)","Passenger Side")</f>
        <v>Passenger Side</v>
      </c>
      <c r="F8456" t="s">
        <v>8741</v>
      </c>
    </row>
    <row r="8457" spans="1:6" x14ac:dyDescent="0.15">
      <c r="A8457">
        <v>8416158</v>
      </c>
      <c r="B8457">
        <v>8415796</v>
      </c>
      <c r="C8457" t="s">
        <v>10</v>
      </c>
      <c r="D8457" t="s">
        <v>8</v>
      </c>
      <c r="E8457" s="4" t="str">
        <f>HYPERLINK("https://ibp.a2mac1.com/costing(costing:projects/details/9760/part/8416158)","Fastener Cover")</f>
        <v>Fastener Cover</v>
      </c>
      <c r="F8457" t="s">
        <v>8741</v>
      </c>
    </row>
    <row r="8458" spans="1:6" x14ac:dyDescent="0.15">
      <c r="A8458">
        <v>8754509</v>
      </c>
      <c r="B8458">
        <v>8415796</v>
      </c>
      <c r="C8458" t="s">
        <v>311</v>
      </c>
      <c r="D8458" t="s">
        <v>8</v>
      </c>
      <c r="E8458" s="4" t="str">
        <f>HYPERLINK("https://ibp.a2mac1.com/costing(costing:projects/details/9760/component/8754509)","Nut &gt; Hexagonal nut with collar")</f>
        <v>Nut &gt; Hexagonal nut with collar</v>
      </c>
      <c r="F8458" t="s">
        <v>8741</v>
      </c>
    </row>
    <row r="8459" spans="1:6" x14ac:dyDescent="0.15">
      <c r="A8459">
        <v>8754510</v>
      </c>
      <c r="B8459">
        <v>8415796</v>
      </c>
      <c r="C8459" t="s">
        <v>311</v>
      </c>
      <c r="D8459" t="s">
        <v>8</v>
      </c>
      <c r="E8459" s="4" t="str">
        <f>HYPERLINK("https://ibp.a2mac1.com/costing(costing:projects/details/9760/component/8754510)","Nut &gt; Hexagonal nut with collar")</f>
        <v>Nut &gt; Hexagonal nut with collar</v>
      </c>
      <c r="F8459" t="s">
        <v>8741</v>
      </c>
    </row>
    <row r="8460" spans="1:6" x14ac:dyDescent="0.15">
      <c r="A8460">
        <v>8415793</v>
      </c>
      <c r="B8460">
        <v>8415616</v>
      </c>
      <c r="C8460" t="s">
        <v>10</v>
      </c>
      <c r="D8460" t="s">
        <v>8</v>
      </c>
      <c r="E8460" s="4" t="str">
        <f>HYPERLINK("https://ibp.a2mac1.com/costing(costing:projects/details/9760/part/8415793)","Motor Cover")</f>
        <v>Motor Cover</v>
      </c>
      <c r="F8460" t="s">
        <v>8696</v>
      </c>
    </row>
    <row r="8461" spans="1:6" x14ac:dyDescent="0.15">
      <c r="A8461">
        <v>12085084</v>
      </c>
      <c r="B8461">
        <v>8415616</v>
      </c>
      <c r="C8461" t="s">
        <v>114</v>
      </c>
      <c r="D8461" t="s">
        <v>8</v>
      </c>
      <c r="E8461" s="4" t="str">
        <f>HYPERLINK("https://ibp.a2mac1.com/costing(costing:projects/details/9760/process/12085084)","Assembly")</f>
        <v>Assembly</v>
      </c>
      <c r="F8461" t="s">
        <v>8696</v>
      </c>
    </row>
    <row r="8462" spans="1:6" x14ac:dyDescent="0.15">
      <c r="A8462">
        <v>12212175</v>
      </c>
      <c r="B8462">
        <v>12085084</v>
      </c>
      <c r="C8462" t="s">
        <v>163</v>
      </c>
      <c r="D8462" t="s">
        <v>114</v>
      </c>
      <c r="E8462" s="4" t="str">
        <f>HYPERLINK("https://ibp.a2mac1.com/costing(costing:projects/details/9760/equipment/12212175)","Assembly Station ")</f>
        <v xml:space="preserve">Assembly Station </v>
      </c>
      <c r="F8462" t="s">
        <v>8749</v>
      </c>
    </row>
    <row r="8463" spans="1:6" x14ac:dyDescent="0.15">
      <c r="A8463">
        <v>8754369</v>
      </c>
      <c r="B8463">
        <v>8415616</v>
      </c>
      <c r="C8463" t="s">
        <v>311</v>
      </c>
      <c r="D8463" t="s">
        <v>8</v>
      </c>
      <c r="E8463" s="4" t="str">
        <f>HYPERLINK("https://ibp.a2mac1.com/costing(costing:projects/details/9760/component/8754369)","Screw &gt; Hexagon screw")</f>
        <v>Screw &gt; Hexagon screw</v>
      </c>
      <c r="F8463" t="s">
        <v>8696</v>
      </c>
    </row>
    <row r="8464" spans="1:6" x14ac:dyDescent="0.15">
      <c r="A8464">
        <v>8754370</v>
      </c>
      <c r="B8464">
        <v>8415616</v>
      </c>
      <c r="C8464" t="s">
        <v>311</v>
      </c>
      <c r="D8464" t="s">
        <v>8</v>
      </c>
      <c r="E8464" s="4" t="str">
        <f>HYPERLINK("https://ibp.a2mac1.com/costing(costing:projects/details/9760/component/8754370)","Spacer/Axle &gt; Flange")</f>
        <v>Spacer/Axle &gt; Flange</v>
      </c>
      <c r="F8464" t="s">
        <v>8696</v>
      </c>
    </row>
    <row r="8465" spans="1:6" x14ac:dyDescent="0.15">
      <c r="A8465">
        <v>8415617</v>
      </c>
      <c r="B8465">
        <v>8415581</v>
      </c>
      <c r="C8465" t="s">
        <v>8</v>
      </c>
      <c r="D8465" t="s">
        <v>8</v>
      </c>
      <c r="E8465" s="4" t="str">
        <f>HYPERLINK("https://ibp.a2mac1.com/costing(costing:projects/details/9760/assembly/8415617)","Washer")</f>
        <v>Washer</v>
      </c>
      <c r="F8465" t="s">
        <v>8695</v>
      </c>
    </row>
    <row r="8466" spans="1:6" x14ac:dyDescent="0.15">
      <c r="A8466">
        <v>8415797</v>
      </c>
      <c r="B8466">
        <v>8415617</v>
      </c>
      <c r="C8466" t="s">
        <v>10</v>
      </c>
      <c r="D8466" t="s">
        <v>8</v>
      </c>
      <c r="E8466" s="4" t="str">
        <f>HYPERLINK("https://ibp.a2mac1.com/costing(costing:projects/details/9760/part/8415797)","Tank")</f>
        <v>Tank</v>
      </c>
      <c r="F8466" t="s">
        <v>8751</v>
      </c>
    </row>
    <row r="8467" spans="1:6" x14ac:dyDescent="0.15">
      <c r="A8467">
        <v>12085182</v>
      </c>
      <c r="B8467">
        <v>8415797</v>
      </c>
      <c r="C8467" t="s">
        <v>114</v>
      </c>
      <c r="D8467" t="s">
        <v>10</v>
      </c>
      <c r="E8467" s="4" t="str">
        <f>HYPERLINK("https://ibp.a2mac1.com/costing(costing:projects/details/9760/process/12085182)","Automated Process")</f>
        <v>Automated Process</v>
      </c>
      <c r="F8467" t="s">
        <v>8752</v>
      </c>
    </row>
    <row r="8468" spans="1:6" x14ac:dyDescent="0.15">
      <c r="A8468">
        <v>8754705</v>
      </c>
      <c r="B8468">
        <v>12085182</v>
      </c>
      <c r="C8468" t="s">
        <v>22</v>
      </c>
      <c r="D8468" t="s">
        <v>114</v>
      </c>
      <c r="E8468" s="4" t="str">
        <f>HYPERLINK("https://ibp.a2mac1.com/costing(costing:projects/details/9760/material/8754705)","PP")</f>
        <v>PP</v>
      </c>
      <c r="F8468" t="s">
        <v>8755</v>
      </c>
    </row>
    <row r="8469" spans="1:6" x14ac:dyDescent="0.15">
      <c r="A8469">
        <v>12212277</v>
      </c>
      <c r="B8469">
        <v>12085182</v>
      </c>
      <c r="C8469" t="s">
        <v>163</v>
      </c>
      <c r="D8469" t="s">
        <v>114</v>
      </c>
      <c r="E8469" s="4" t="str">
        <f>HYPERLINK("https://ibp.a2mac1.com/costing(costing:projects/details/9760/equipment/12212277)","DC machine - General")</f>
        <v>DC machine - General</v>
      </c>
      <c r="F8469" t="s">
        <v>8755</v>
      </c>
    </row>
    <row r="8470" spans="1:6" x14ac:dyDescent="0.15">
      <c r="A8470">
        <v>8415798</v>
      </c>
      <c r="B8470">
        <v>8415617</v>
      </c>
      <c r="C8470" t="s">
        <v>10</v>
      </c>
      <c r="D8470" t="s">
        <v>8</v>
      </c>
      <c r="E8470" s="4" t="str">
        <f>HYPERLINK("https://ibp.a2mac1.com/costing(costing:projects/details/9760/part/8415798)","Filler Pipe")</f>
        <v>Filler Pipe</v>
      </c>
      <c r="F8470" t="s">
        <v>8751</v>
      </c>
    </row>
    <row r="8471" spans="1:6" x14ac:dyDescent="0.15">
      <c r="A8471">
        <v>12085183</v>
      </c>
      <c r="B8471">
        <v>8415798</v>
      </c>
      <c r="C8471" t="s">
        <v>114</v>
      </c>
      <c r="D8471" t="s">
        <v>10</v>
      </c>
      <c r="E8471" s="4" t="str">
        <f>HYPERLINK("https://ibp.a2mac1.com/costing(costing:projects/details/9760/process/12085183)","Automated Process")</f>
        <v>Automated Process</v>
      </c>
      <c r="F8471" t="s">
        <v>8757</v>
      </c>
    </row>
    <row r="8472" spans="1:6" x14ac:dyDescent="0.15">
      <c r="A8472">
        <v>8754706</v>
      </c>
      <c r="B8472">
        <v>12085183</v>
      </c>
      <c r="C8472" t="s">
        <v>22</v>
      </c>
      <c r="D8472" t="s">
        <v>114</v>
      </c>
      <c r="E8472" s="4" t="str">
        <f>HYPERLINK("https://ibp.a2mac1.com/costing(costing:projects/details/9760/material/8754706)","PE")</f>
        <v>PE</v>
      </c>
      <c r="F8472" t="s">
        <v>8758</v>
      </c>
    </row>
    <row r="8473" spans="1:6" x14ac:dyDescent="0.15">
      <c r="A8473">
        <v>12212278</v>
      </c>
      <c r="B8473">
        <v>12085183</v>
      </c>
      <c r="C8473" t="s">
        <v>163</v>
      </c>
      <c r="D8473" t="s">
        <v>114</v>
      </c>
      <c r="E8473" s="4" t="str">
        <f>HYPERLINK("https://ibp.a2mac1.com/costing(costing:projects/details/9760/equipment/12212278)","DC machine - General")</f>
        <v>DC machine - General</v>
      </c>
      <c r="F8473" t="s">
        <v>8758</v>
      </c>
    </row>
    <row r="8474" spans="1:6" x14ac:dyDescent="0.15">
      <c r="A8474">
        <v>8415799</v>
      </c>
      <c r="B8474">
        <v>8415617</v>
      </c>
      <c r="C8474" t="s">
        <v>10</v>
      </c>
      <c r="D8474" t="s">
        <v>8</v>
      </c>
      <c r="E8474" s="4" t="str">
        <f>HYPERLINK("https://ibp.a2mac1.com/costing(costing:projects/details/9760/part/8415799)","Filler Pipe Support")</f>
        <v>Filler Pipe Support</v>
      </c>
      <c r="F8474" t="s">
        <v>8751</v>
      </c>
    </row>
    <row r="8475" spans="1:6" x14ac:dyDescent="0.15">
      <c r="A8475">
        <v>12085184</v>
      </c>
      <c r="B8475">
        <v>8415799</v>
      </c>
      <c r="C8475" t="s">
        <v>114</v>
      </c>
      <c r="D8475" t="s">
        <v>10</v>
      </c>
      <c r="E8475" s="4" t="str">
        <f>HYPERLINK("https://ibp.a2mac1.com/costing(costing:projects/details/9760/process/12085184)","Automated Process")</f>
        <v>Automated Process</v>
      </c>
      <c r="F8475" t="s">
        <v>8760</v>
      </c>
    </row>
    <row r="8476" spans="1:6" x14ac:dyDescent="0.15">
      <c r="A8476">
        <v>8754707</v>
      </c>
      <c r="B8476">
        <v>12085184</v>
      </c>
      <c r="C8476" t="s">
        <v>22</v>
      </c>
      <c r="D8476" t="s">
        <v>114</v>
      </c>
      <c r="E8476" s="4" t="str">
        <f>HYPERLINK("https://ibp.a2mac1.com/costing(costing:projects/details/9760/material/8754707)","PP")</f>
        <v>PP</v>
      </c>
      <c r="F8476" t="s">
        <v>8761</v>
      </c>
    </row>
    <row r="8477" spans="1:6" x14ac:dyDescent="0.15">
      <c r="A8477">
        <v>12212279</v>
      </c>
      <c r="B8477">
        <v>12085184</v>
      </c>
      <c r="C8477" t="s">
        <v>163</v>
      </c>
      <c r="D8477" t="s">
        <v>114</v>
      </c>
      <c r="E8477" s="4" t="str">
        <f>HYPERLINK("https://ibp.a2mac1.com/costing(costing:projects/details/9760/equipment/12212279)","DC machine - General")</f>
        <v>DC machine - General</v>
      </c>
      <c r="F8477" t="s">
        <v>8761</v>
      </c>
    </row>
    <row r="8478" spans="1:6" x14ac:dyDescent="0.15">
      <c r="A8478">
        <v>8415800</v>
      </c>
      <c r="B8478">
        <v>8415617</v>
      </c>
      <c r="C8478" t="s">
        <v>10</v>
      </c>
      <c r="D8478" t="s">
        <v>8</v>
      </c>
      <c r="E8478" s="4" t="str">
        <f>HYPERLINK("https://ibp.a2mac1.com/costing(costing:projects/details/9760/part/8415800)","Windshield Washer Pump")</f>
        <v>Windshield Washer Pump</v>
      </c>
      <c r="F8478" t="s">
        <v>8751</v>
      </c>
    </row>
    <row r="8479" spans="1:6" x14ac:dyDescent="0.15">
      <c r="A8479">
        <v>8415801</v>
      </c>
      <c r="B8479">
        <v>8415617</v>
      </c>
      <c r="C8479" t="s">
        <v>10</v>
      </c>
      <c r="D8479" t="s">
        <v>8</v>
      </c>
      <c r="E8479" s="4" t="str">
        <f>HYPERLINK("https://ibp.a2mac1.com/costing(costing:projects/details/9760/part/8415801)","Windshield Washer Jets")</f>
        <v>Windshield Washer Jets</v>
      </c>
      <c r="F8479" t="s">
        <v>8751</v>
      </c>
    </row>
    <row r="8480" spans="1:6" x14ac:dyDescent="0.15">
      <c r="A8480">
        <v>12085185</v>
      </c>
      <c r="B8480">
        <v>8415801</v>
      </c>
      <c r="C8480" t="s">
        <v>114</v>
      </c>
      <c r="D8480" t="s">
        <v>10</v>
      </c>
      <c r="E8480" s="4" t="str">
        <f>HYPERLINK("https://ibp.a2mac1.com/costing(costing:projects/details/9760/process/12085185)","Automated Process")</f>
        <v>Automated Process</v>
      </c>
      <c r="F8480" t="s">
        <v>8765</v>
      </c>
    </row>
    <row r="8481" spans="1:6" x14ac:dyDescent="0.15">
      <c r="A8481">
        <v>8754708</v>
      </c>
      <c r="B8481">
        <v>12085185</v>
      </c>
      <c r="C8481" t="s">
        <v>22</v>
      </c>
      <c r="D8481" t="s">
        <v>114</v>
      </c>
      <c r="E8481" s="4" t="str">
        <f>HYPERLINK("https://ibp.a2mac1.com/costing(costing:projects/details/9760/material/8754708)","POM")</f>
        <v>POM</v>
      </c>
      <c r="F8481" t="s">
        <v>8766</v>
      </c>
    </row>
    <row r="8482" spans="1:6" x14ac:dyDescent="0.15">
      <c r="A8482">
        <v>12212280</v>
      </c>
      <c r="B8482">
        <v>12085185</v>
      </c>
      <c r="C8482" t="s">
        <v>163</v>
      </c>
      <c r="D8482" t="s">
        <v>114</v>
      </c>
      <c r="E8482" s="4" t="str">
        <f>HYPERLINK("https://ibp.a2mac1.com/costing(costing:projects/details/9760/equipment/12212280)","DC machine - General")</f>
        <v>DC machine - General</v>
      </c>
      <c r="F8482" t="s">
        <v>8766</v>
      </c>
    </row>
    <row r="8483" spans="1:6" x14ac:dyDescent="0.15">
      <c r="A8483">
        <v>8415802</v>
      </c>
      <c r="B8483">
        <v>8415617</v>
      </c>
      <c r="C8483" t="s">
        <v>10</v>
      </c>
      <c r="D8483" t="s">
        <v>8</v>
      </c>
      <c r="E8483" s="4" t="str">
        <f>HYPERLINK("https://ibp.a2mac1.com/costing(costing:projects/details/9760/part/8415802)","Front Single Pipe")</f>
        <v>Front Single Pipe</v>
      </c>
      <c r="F8483" t="s">
        <v>8751</v>
      </c>
    </row>
    <row r="8484" spans="1:6" x14ac:dyDescent="0.15">
      <c r="A8484">
        <v>12085186</v>
      </c>
      <c r="B8484">
        <v>8415802</v>
      </c>
      <c r="C8484" t="s">
        <v>114</v>
      </c>
      <c r="D8484" t="s">
        <v>10</v>
      </c>
      <c r="E8484" s="4" t="str">
        <f>HYPERLINK("https://ibp.a2mac1.com/costing(costing:projects/details/9760/process/12085186)","Automated Process")</f>
        <v>Automated Process</v>
      </c>
      <c r="F8484" t="s">
        <v>8768</v>
      </c>
    </row>
    <row r="8485" spans="1:6" x14ac:dyDescent="0.15">
      <c r="A8485">
        <v>8754709</v>
      </c>
      <c r="B8485">
        <v>12085186</v>
      </c>
      <c r="C8485" t="s">
        <v>22</v>
      </c>
      <c r="D8485" t="s">
        <v>114</v>
      </c>
      <c r="E8485" s="4" t="str">
        <f>HYPERLINK("https://ibp.a2mac1.com/costing(costing:projects/details/9760/material/8754709)","EPDM")</f>
        <v>EPDM</v>
      </c>
      <c r="F8485" t="s">
        <v>8769</v>
      </c>
    </row>
    <row r="8486" spans="1:6" x14ac:dyDescent="0.15">
      <c r="A8486">
        <v>12212281</v>
      </c>
      <c r="B8486">
        <v>12085186</v>
      </c>
      <c r="C8486" t="s">
        <v>163</v>
      </c>
      <c r="D8486" t="s">
        <v>114</v>
      </c>
      <c r="E8486" s="4" t="str">
        <f>HYPERLINK("https://ibp.a2mac1.com/costing(costing:projects/details/9760/equipment/12212281)","DC machine - General")</f>
        <v>DC machine - General</v>
      </c>
      <c r="F8486" t="s">
        <v>8769</v>
      </c>
    </row>
    <row r="8487" spans="1:6" x14ac:dyDescent="0.15">
      <c r="A8487">
        <v>8415803</v>
      </c>
      <c r="B8487">
        <v>8415617</v>
      </c>
      <c r="C8487" t="s">
        <v>10</v>
      </c>
      <c r="D8487" t="s">
        <v>8</v>
      </c>
      <c r="E8487" s="4" t="str">
        <f>HYPERLINK("https://ibp.a2mac1.com/costing(costing:projects/details/9760/part/8415803)","2nd Front Single Pipe")</f>
        <v>2nd Front Single Pipe</v>
      </c>
      <c r="F8487" t="s">
        <v>8751</v>
      </c>
    </row>
    <row r="8488" spans="1:6" x14ac:dyDescent="0.15">
      <c r="A8488">
        <v>12085187</v>
      </c>
      <c r="B8488">
        <v>8415803</v>
      </c>
      <c r="C8488" t="s">
        <v>114</v>
      </c>
      <c r="D8488" t="s">
        <v>10</v>
      </c>
      <c r="E8488" s="4" t="str">
        <f>HYPERLINK("https://ibp.a2mac1.com/costing(costing:projects/details/9760/process/12085187)","Automated Process")</f>
        <v>Automated Process</v>
      </c>
      <c r="F8488" t="s">
        <v>8771</v>
      </c>
    </row>
    <row r="8489" spans="1:6" x14ac:dyDescent="0.15">
      <c r="A8489">
        <v>8754710</v>
      </c>
      <c r="B8489">
        <v>12085187</v>
      </c>
      <c r="C8489" t="s">
        <v>22</v>
      </c>
      <c r="D8489" t="s">
        <v>114</v>
      </c>
      <c r="E8489" s="4" t="str">
        <f>HYPERLINK("https://ibp.a2mac1.com/costing(costing:projects/details/9760/material/8754710)","EPDM")</f>
        <v>EPDM</v>
      </c>
      <c r="F8489" t="s">
        <v>8772</v>
      </c>
    </row>
    <row r="8490" spans="1:6" x14ac:dyDescent="0.15">
      <c r="A8490">
        <v>12212282</v>
      </c>
      <c r="B8490">
        <v>12085187</v>
      </c>
      <c r="C8490" t="s">
        <v>163</v>
      </c>
      <c r="D8490" t="s">
        <v>114</v>
      </c>
      <c r="E8490" s="4" t="str">
        <f>HYPERLINK("https://ibp.a2mac1.com/costing(costing:projects/details/9760/equipment/12212282)","DC machine - General")</f>
        <v>DC machine - General</v>
      </c>
      <c r="F8490" t="s">
        <v>8772</v>
      </c>
    </row>
    <row r="8491" spans="1:6" x14ac:dyDescent="0.15">
      <c r="A8491">
        <v>8415804</v>
      </c>
      <c r="B8491">
        <v>8415617</v>
      </c>
      <c r="C8491" t="s">
        <v>10</v>
      </c>
      <c r="D8491" t="s">
        <v>8</v>
      </c>
      <c r="E8491" s="4" t="str">
        <f>HYPERLINK("https://ibp.a2mac1.com/costing(costing:projects/details/9760/part/8415804)","Pipe on Hood Scuttle Grille")</f>
        <v>Pipe on Hood Scuttle Grille</v>
      </c>
      <c r="F8491" t="s">
        <v>8751</v>
      </c>
    </row>
    <row r="8492" spans="1:6" x14ac:dyDescent="0.15">
      <c r="A8492">
        <v>12085188</v>
      </c>
      <c r="B8492">
        <v>8415804</v>
      </c>
      <c r="C8492" t="s">
        <v>114</v>
      </c>
      <c r="D8492" t="s">
        <v>10</v>
      </c>
      <c r="E8492" s="4" t="str">
        <f>HYPERLINK("https://ibp.a2mac1.com/costing(costing:projects/details/9760/process/12085188)","Automated Process")</f>
        <v>Automated Process</v>
      </c>
      <c r="F8492" t="s">
        <v>8774</v>
      </c>
    </row>
    <row r="8493" spans="1:6" x14ac:dyDescent="0.15">
      <c r="A8493">
        <v>8754711</v>
      </c>
      <c r="B8493">
        <v>12085188</v>
      </c>
      <c r="C8493" t="s">
        <v>22</v>
      </c>
      <c r="D8493" t="s">
        <v>114</v>
      </c>
      <c r="E8493" s="4" t="str">
        <f>HYPERLINK("https://ibp.a2mac1.com/costing(costing:projects/details/9760/material/8754711)","EPDM")</f>
        <v>EPDM</v>
      </c>
      <c r="F8493" t="s">
        <v>8775</v>
      </c>
    </row>
    <row r="8494" spans="1:6" x14ac:dyDescent="0.15">
      <c r="A8494">
        <v>12212283</v>
      </c>
      <c r="B8494">
        <v>12085188</v>
      </c>
      <c r="C8494" t="s">
        <v>163</v>
      </c>
      <c r="D8494" t="s">
        <v>114</v>
      </c>
      <c r="E8494" s="4" t="str">
        <f>HYPERLINK("https://ibp.a2mac1.com/costing(costing:projects/details/9760/equipment/12212283)","DC machine - General")</f>
        <v>DC machine - General</v>
      </c>
      <c r="F8494" t="s">
        <v>8775</v>
      </c>
    </row>
    <row r="8495" spans="1:6" x14ac:dyDescent="0.15">
      <c r="A8495">
        <v>8415805</v>
      </c>
      <c r="B8495">
        <v>8415617</v>
      </c>
      <c r="C8495" t="s">
        <v>10</v>
      </c>
      <c r="D8495" t="s">
        <v>8</v>
      </c>
      <c r="E8495" s="4" t="str">
        <f>HYPERLINK("https://ibp.a2mac1.com/costing(costing:projects/details/9760/part/8415805)","Tank Cap")</f>
        <v>Tank Cap</v>
      </c>
      <c r="F8495" t="s">
        <v>8751</v>
      </c>
    </row>
    <row r="8496" spans="1:6" x14ac:dyDescent="0.15">
      <c r="A8496">
        <v>12085189</v>
      </c>
      <c r="B8496">
        <v>8415805</v>
      </c>
      <c r="C8496" t="s">
        <v>114</v>
      </c>
      <c r="D8496" t="s">
        <v>10</v>
      </c>
      <c r="E8496" s="4" t="str">
        <f>HYPERLINK("https://ibp.a2mac1.com/costing(costing:projects/details/9760/process/12085189)","Automated Process")</f>
        <v>Automated Process</v>
      </c>
      <c r="F8496" t="s">
        <v>8777</v>
      </c>
    </row>
    <row r="8497" spans="1:6" x14ac:dyDescent="0.15">
      <c r="A8497">
        <v>8754712</v>
      </c>
      <c r="B8497">
        <v>12085189</v>
      </c>
      <c r="C8497" t="s">
        <v>22</v>
      </c>
      <c r="D8497" t="s">
        <v>114</v>
      </c>
      <c r="E8497" s="4" t="str">
        <f>HYPERLINK("https://ibp.a2mac1.com/costing(costing:projects/details/9760/material/8754712)","PP")</f>
        <v>PP</v>
      </c>
      <c r="F8497" t="s">
        <v>8778</v>
      </c>
    </row>
    <row r="8498" spans="1:6" x14ac:dyDescent="0.15">
      <c r="A8498">
        <v>12212284</v>
      </c>
      <c r="B8498">
        <v>12085189</v>
      </c>
      <c r="C8498" t="s">
        <v>163</v>
      </c>
      <c r="D8498" t="s">
        <v>114</v>
      </c>
      <c r="E8498" s="4" t="str">
        <f>HYPERLINK("https://ibp.a2mac1.com/costing(costing:projects/details/9760/equipment/12212284)","DC machine - General")</f>
        <v>DC machine - General</v>
      </c>
      <c r="F8498" t="s">
        <v>8778</v>
      </c>
    </row>
    <row r="8499" spans="1:6" x14ac:dyDescent="0.15">
      <c r="A8499">
        <v>8754371</v>
      </c>
      <c r="B8499">
        <v>8415617</v>
      </c>
      <c r="C8499" t="s">
        <v>311</v>
      </c>
      <c r="D8499" t="s">
        <v>8</v>
      </c>
      <c r="E8499" s="4" t="str">
        <f>HYPERLINK("https://ibp.a2mac1.com/costing(costing:projects/details/9760/component/8754371)","Screw &gt; Hexagon screw with captive washer")</f>
        <v>Screw &gt; Hexagon screw with captive washer</v>
      </c>
      <c r="F8499" t="s">
        <v>8751</v>
      </c>
    </row>
    <row r="8500" spans="1:6" x14ac:dyDescent="0.15">
      <c r="A8500">
        <v>8754372</v>
      </c>
      <c r="B8500">
        <v>8415617</v>
      </c>
      <c r="C8500" t="s">
        <v>311</v>
      </c>
      <c r="D8500" t="s">
        <v>8</v>
      </c>
      <c r="E8500" s="4" t="str">
        <f>HYPERLINK("https://ibp.a2mac1.com/costing(costing:projects/details/9760/component/8754372)","Tube/cluster support &gt; Tube/cluster clipped support in hole")</f>
        <v>Tube/cluster support &gt; Tube/cluster clipped support in hole</v>
      </c>
      <c r="F8500" t="s">
        <v>8751</v>
      </c>
    </row>
    <row r="8501" spans="1:6" x14ac:dyDescent="0.15">
      <c r="A8501">
        <v>8754373</v>
      </c>
      <c r="B8501">
        <v>8415617</v>
      </c>
      <c r="C8501" t="s">
        <v>311</v>
      </c>
      <c r="D8501" t="s">
        <v>8</v>
      </c>
      <c r="E8501" s="4" t="str">
        <f>HYPERLINK("https://ibp.a2mac1.com/costing(costing:projects/details/9760/component/8754373)","Tube/cluster support &gt; Tube/cluster clipped support in hole")</f>
        <v>Tube/cluster support &gt; Tube/cluster clipped support in hole</v>
      </c>
      <c r="F8501" t="s">
        <v>8751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0863-F243-409A-B582-407263786CCB}">
  <dimension ref="A1:BF2450"/>
  <sheetViews>
    <sheetView workbookViewId="0"/>
  </sheetViews>
  <sheetFormatPr baseColWidth="10" defaultColWidth="8.83203125" defaultRowHeight="13" x14ac:dyDescent="0.15"/>
  <cols>
    <col min="1" max="1" width="6.5" customWidth="1"/>
    <col min="2" max="2" width="3.1640625" customWidth="1"/>
    <col min="3" max="3" width="18.83203125" customWidth="1"/>
    <col min="4" max="4" width="11.5" customWidth="1"/>
    <col min="5" max="5" width="16.5" customWidth="1"/>
    <col min="6" max="6" width="19.5" customWidth="1"/>
    <col min="7" max="7" width="20.33203125" customWidth="1"/>
    <col min="8" max="8" width="16.83203125" customWidth="1"/>
    <col min="9" max="10" width="10.5" customWidth="1"/>
    <col min="11" max="11" width="20.83203125" customWidth="1"/>
    <col min="12" max="12" width="21.6640625" customWidth="1"/>
    <col min="13" max="13" width="23" customWidth="1"/>
    <col min="14" max="14" width="21.1640625" customWidth="1"/>
    <col min="15" max="16" width="9.33203125" customWidth="1"/>
    <col min="17" max="20" width="10.5" customWidth="1"/>
    <col min="21" max="22" width="9" customWidth="1"/>
    <col min="23" max="24" width="8.5" customWidth="1"/>
    <col min="25" max="25" width="13" customWidth="1"/>
    <col min="26" max="26" width="21.6640625" customWidth="1"/>
    <col min="27" max="27" width="25.5" customWidth="1"/>
    <col min="28" max="28" width="24.6640625" customWidth="1"/>
    <col min="29" max="29" width="24" customWidth="1"/>
    <col min="30" max="30" width="27" customWidth="1"/>
    <col min="31" max="31" width="12.6640625" customWidth="1"/>
    <col min="32" max="32" width="11.6640625" customWidth="1"/>
    <col min="33" max="33" width="12.33203125" customWidth="1"/>
    <col min="34" max="34" width="15.33203125" customWidth="1"/>
    <col min="35" max="35" width="11.5" customWidth="1"/>
    <col min="36" max="36" width="13.33203125" customWidth="1"/>
    <col min="37" max="37" width="17.5" customWidth="1"/>
    <col min="38" max="38" width="22.5" customWidth="1"/>
    <col min="39" max="39" width="31.83203125" customWidth="1"/>
    <col min="40" max="40" width="23.33203125" customWidth="1"/>
    <col min="41" max="41" width="17" customWidth="1"/>
    <col min="42" max="42" width="20.5" customWidth="1"/>
    <col min="43" max="43" width="20.6640625" customWidth="1"/>
    <col min="44" max="44" width="13.5" customWidth="1"/>
    <col min="45" max="45" width="8.33203125" customWidth="1"/>
    <col min="46" max="46" width="9.1640625" customWidth="1"/>
    <col min="47" max="47" width="19.5" customWidth="1"/>
    <col min="48" max="48" width="14.83203125" customWidth="1"/>
    <col min="49" max="49" width="15" customWidth="1"/>
    <col min="50" max="50" width="12" customWidth="1"/>
    <col min="51" max="52" width="12.5" customWidth="1"/>
    <col min="53" max="54" width="12.83203125" customWidth="1"/>
    <col min="55" max="55" width="12.5" customWidth="1"/>
    <col min="56" max="56" width="17" customWidth="1"/>
    <col min="57" max="57" width="31.1640625" customWidth="1"/>
    <col min="58" max="58" width="14.33203125" customWidth="1"/>
  </cols>
  <sheetData>
    <row r="1" spans="1:58" ht="17" x14ac:dyDescent="0.15">
      <c r="A1" s="6" t="s">
        <v>14</v>
      </c>
      <c r="B1" s="6"/>
      <c r="C1" s="6"/>
      <c r="D1" s="6"/>
      <c r="E1" s="6" t="s">
        <v>15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 t="s">
        <v>36</v>
      </c>
      <c r="AA1" s="6"/>
      <c r="AB1" s="6"/>
      <c r="AC1" s="6"/>
      <c r="AD1" s="6"/>
      <c r="AE1" s="6" t="s">
        <v>42</v>
      </c>
      <c r="AF1" s="6"/>
      <c r="AG1" s="6"/>
      <c r="AH1" s="6"/>
      <c r="AI1" s="6"/>
      <c r="AJ1" s="6" t="s">
        <v>48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 t="s">
        <v>64</v>
      </c>
      <c r="AZ1" s="6"/>
      <c r="BA1" s="6"/>
      <c r="BB1" s="6"/>
      <c r="BC1" s="6"/>
      <c r="BD1" s="6"/>
      <c r="BE1" s="6"/>
      <c r="BF1" s="6"/>
    </row>
    <row r="2" spans="1:58" ht="16" x14ac:dyDescent="0.15">
      <c r="A2" s="7"/>
      <c r="B2" s="7"/>
      <c r="C2" s="7"/>
      <c r="D2" s="7"/>
      <c r="E2" s="7" t="s">
        <v>22</v>
      </c>
      <c r="F2" s="7"/>
      <c r="G2" s="7"/>
      <c r="H2" s="7"/>
      <c r="I2" s="7"/>
      <c r="J2" s="7"/>
      <c r="K2" s="7"/>
      <c r="L2" s="7" t="s">
        <v>25</v>
      </c>
      <c r="M2" s="7"/>
      <c r="N2" s="2" t="s">
        <v>26</v>
      </c>
      <c r="O2" s="7" t="s">
        <v>33</v>
      </c>
      <c r="P2" s="7"/>
      <c r="Q2" s="7"/>
      <c r="R2" s="7"/>
      <c r="S2" s="7"/>
      <c r="T2" s="7"/>
      <c r="U2" s="7"/>
      <c r="V2" s="7"/>
      <c r="W2" s="7"/>
      <c r="X2" s="7"/>
      <c r="Y2" s="2" t="s">
        <v>34</v>
      </c>
      <c r="Z2" s="7" t="s">
        <v>22</v>
      </c>
      <c r="AA2" s="7"/>
      <c r="AB2" s="7"/>
      <c r="AC2" s="2" t="s">
        <v>25</v>
      </c>
      <c r="AD2" s="2" t="s">
        <v>34</v>
      </c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58" x14ac:dyDescent="0.15">
      <c r="A3" s="1" t="s">
        <v>4</v>
      </c>
      <c r="B3" s="1" t="s">
        <v>12</v>
      </c>
      <c r="C3" s="1" t="s">
        <v>13</v>
      </c>
      <c r="D3" s="1" t="s">
        <v>14</v>
      </c>
      <c r="E3" s="1" t="s">
        <v>16</v>
      </c>
      <c r="F3" s="1" t="s">
        <v>17</v>
      </c>
      <c r="G3" s="1" t="s">
        <v>18</v>
      </c>
      <c r="H3" s="1" t="s">
        <v>19</v>
      </c>
      <c r="I3" s="8" t="s">
        <v>20</v>
      </c>
      <c r="J3" s="8"/>
      <c r="K3" s="1" t="s">
        <v>21</v>
      </c>
      <c r="L3" s="1" t="s">
        <v>23</v>
      </c>
      <c r="M3" s="1" t="s">
        <v>24</v>
      </c>
      <c r="N3" s="1" t="s">
        <v>27</v>
      </c>
      <c r="O3" s="8" t="s">
        <v>28</v>
      </c>
      <c r="P3" s="8"/>
      <c r="Q3" s="8" t="s">
        <v>29</v>
      </c>
      <c r="R3" s="8"/>
      <c r="S3" s="8" t="s">
        <v>30</v>
      </c>
      <c r="T3" s="8"/>
      <c r="U3" s="8" t="s">
        <v>31</v>
      </c>
      <c r="V3" s="8"/>
      <c r="W3" s="8" t="s">
        <v>32</v>
      </c>
      <c r="X3" s="8"/>
      <c r="Y3" s="1" t="s">
        <v>35</v>
      </c>
      <c r="Z3" s="1" t="s">
        <v>37</v>
      </c>
      <c r="AA3" s="1" t="s">
        <v>38</v>
      </c>
      <c r="AB3" s="1" t="s">
        <v>39</v>
      </c>
      <c r="AC3" s="1" t="s">
        <v>40</v>
      </c>
      <c r="AD3" s="1" t="s">
        <v>41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49</v>
      </c>
      <c r="AK3" s="1" t="s">
        <v>50</v>
      </c>
      <c r="AL3" s="1" t="s">
        <v>51</v>
      </c>
      <c r="AM3" s="1" t="s">
        <v>52</v>
      </c>
      <c r="AN3" s="1" t="s">
        <v>53</v>
      </c>
      <c r="AO3" s="1" t="s">
        <v>54</v>
      </c>
      <c r="AP3" s="1" t="s">
        <v>55</v>
      </c>
      <c r="AQ3" s="1" t="s">
        <v>56</v>
      </c>
      <c r="AR3" s="1" t="s">
        <v>57</v>
      </c>
      <c r="AS3" s="1" t="s">
        <v>58</v>
      </c>
      <c r="AT3" s="1" t="s">
        <v>59</v>
      </c>
      <c r="AU3" s="1" t="s">
        <v>60</v>
      </c>
      <c r="AV3" s="1" t="s">
        <v>61</v>
      </c>
      <c r="AW3" s="1" t="s">
        <v>62</v>
      </c>
      <c r="AX3" s="1" t="s">
        <v>63</v>
      </c>
      <c r="AY3" s="8" t="s">
        <v>65</v>
      </c>
      <c r="AZ3" s="8"/>
      <c r="BA3" s="8" t="s">
        <v>66</v>
      </c>
      <c r="BB3" s="8"/>
      <c r="BC3" s="1" t="s">
        <v>67</v>
      </c>
      <c r="BD3" s="1" t="s">
        <v>68</v>
      </c>
      <c r="BE3" s="1" t="s">
        <v>69</v>
      </c>
      <c r="BF3" s="1" t="s">
        <v>70</v>
      </c>
    </row>
    <row r="4" spans="1:58" x14ac:dyDescent="0.15">
      <c r="A4" s="4" t="str">
        <f>HYPERLINK("https://ibp.a2mac1.com/costing(costing:projects/details/9760/part/8410601)","Coolant")</f>
        <v>Coolant</v>
      </c>
      <c r="B4">
        <v>8410601</v>
      </c>
      <c r="C4">
        <v>8410600</v>
      </c>
      <c r="E4">
        <v>10.658200000000001</v>
      </c>
      <c r="F4">
        <v>0</v>
      </c>
      <c r="G4">
        <v>0</v>
      </c>
      <c r="H4">
        <v>0</v>
      </c>
      <c r="I4" t="s">
        <v>71</v>
      </c>
      <c r="J4">
        <v>0</v>
      </c>
      <c r="K4">
        <v>10.658200000000001</v>
      </c>
      <c r="L4">
        <v>0</v>
      </c>
      <c r="M4">
        <v>0</v>
      </c>
      <c r="N4">
        <v>10.658200000000001</v>
      </c>
      <c r="O4" t="s">
        <v>71</v>
      </c>
      <c r="P4">
        <v>0</v>
      </c>
      <c r="Q4" t="s">
        <v>71</v>
      </c>
      <c r="R4">
        <v>0</v>
      </c>
      <c r="S4" t="s">
        <v>71</v>
      </c>
      <c r="T4">
        <v>0</v>
      </c>
      <c r="U4" t="s">
        <v>71</v>
      </c>
      <c r="V4">
        <v>0</v>
      </c>
      <c r="W4" t="s">
        <v>71</v>
      </c>
      <c r="X4">
        <v>0</v>
      </c>
      <c r="Y4">
        <v>10.658200000000001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>
        <v>15.226000000000001</v>
      </c>
      <c r="AK4" t="s">
        <v>72</v>
      </c>
      <c r="AM4">
        <v>200000</v>
      </c>
      <c r="AN4" t="s">
        <v>73</v>
      </c>
      <c r="AO4">
        <v>1</v>
      </c>
      <c r="AP4">
        <v>0</v>
      </c>
      <c r="AQ4">
        <v>16666.666666666668</v>
      </c>
      <c r="AR4" t="s">
        <v>74</v>
      </c>
      <c r="AS4" t="s">
        <v>75</v>
      </c>
      <c r="AX4" t="s">
        <v>76</v>
      </c>
      <c r="AY4" t="s">
        <v>71</v>
      </c>
      <c r="AZ4">
        <v>0</v>
      </c>
      <c r="BA4" t="s">
        <v>71</v>
      </c>
      <c r="BB4">
        <v>0</v>
      </c>
      <c r="BD4">
        <v>10.658200000000001</v>
      </c>
    </row>
    <row r="5" spans="1:58" x14ac:dyDescent="0.15">
      <c r="A5" s="4" t="str">
        <f>HYPERLINK("https://ibp.a2mac1.com/costing(costing:projects/details/9760/part/8410602)","Brake Fluid")</f>
        <v>Brake Fluid</v>
      </c>
      <c r="B5">
        <v>8410602</v>
      </c>
      <c r="C5">
        <v>8410600</v>
      </c>
      <c r="E5">
        <v>10.241400000000001</v>
      </c>
      <c r="F5">
        <v>0</v>
      </c>
      <c r="G5">
        <v>0</v>
      </c>
      <c r="H5">
        <v>0</v>
      </c>
      <c r="I5" t="s">
        <v>71</v>
      </c>
      <c r="J5">
        <v>0</v>
      </c>
      <c r="K5">
        <v>10.241400000000001</v>
      </c>
      <c r="L5">
        <v>0</v>
      </c>
      <c r="M5">
        <v>0</v>
      </c>
      <c r="N5">
        <v>10.241400000000001</v>
      </c>
      <c r="O5" t="s">
        <v>71</v>
      </c>
      <c r="P5">
        <v>0</v>
      </c>
      <c r="Q5" t="s">
        <v>71</v>
      </c>
      <c r="R5">
        <v>0</v>
      </c>
      <c r="S5" t="s">
        <v>71</v>
      </c>
      <c r="T5">
        <v>0</v>
      </c>
      <c r="U5" t="s">
        <v>71</v>
      </c>
      <c r="V5">
        <v>0</v>
      </c>
      <c r="W5" t="s">
        <v>71</v>
      </c>
      <c r="X5">
        <v>0</v>
      </c>
      <c r="Y5">
        <v>10.241400000000001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>
        <v>2.6259999999999999</v>
      </c>
      <c r="AK5" t="s">
        <v>72</v>
      </c>
      <c r="AM5">
        <v>200000</v>
      </c>
      <c r="AN5" t="s">
        <v>73</v>
      </c>
      <c r="AO5">
        <v>1</v>
      </c>
      <c r="AP5">
        <v>0</v>
      </c>
      <c r="AQ5">
        <v>16666.666666666668</v>
      </c>
      <c r="AR5" t="s">
        <v>77</v>
      </c>
      <c r="AS5" t="s">
        <v>75</v>
      </c>
      <c r="AX5" t="s">
        <v>76</v>
      </c>
      <c r="AY5" t="s">
        <v>71</v>
      </c>
      <c r="AZ5">
        <v>0</v>
      </c>
      <c r="BA5" t="s">
        <v>71</v>
      </c>
      <c r="BB5">
        <v>0</v>
      </c>
      <c r="BD5">
        <v>10.241400000000001</v>
      </c>
    </row>
    <row r="6" spans="1:58" x14ac:dyDescent="0.15">
      <c r="A6" s="4" t="str">
        <f>HYPERLINK("https://ibp.a2mac1.com/costing(costing:projects/details/9760/part/8410603)","Air Conditioning Refrigerant")</f>
        <v>Air Conditioning Refrigerant</v>
      </c>
      <c r="B6">
        <v>8410603</v>
      </c>
      <c r="C6">
        <v>8410600</v>
      </c>
      <c r="E6">
        <v>2.875</v>
      </c>
      <c r="F6">
        <v>0</v>
      </c>
      <c r="G6">
        <v>0</v>
      </c>
      <c r="H6">
        <v>0</v>
      </c>
      <c r="I6" t="s">
        <v>71</v>
      </c>
      <c r="J6">
        <v>0</v>
      </c>
      <c r="K6">
        <v>2.875</v>
      </c>
      <c r="L6">
        <v>0</v>
      </c>
      <c r="M6">
        <v>0</v>
      </c>
      <c r="N6">
        <v>2.875</v>
      </c>
      <c r="O6" t="s">
        <v>71</v>
      </c>
      <c r="P6">
        <v>0</v>
      </c>
      <c r="Q6" t="s">
        <v>71</v>
      </c>
      <c r="R6">
        <v>0</v>
      </c>
      <c r="S6" t="s">
        <v>71</v>
      </c>
      <c r="T6">
        <v>0</v>
      </c>
      <c r="U6" t="s">
        <v>71</v>
      </c>
      <c r="V6">
        <v>0</v>
      </c>
      <c r="W6" t="s">
        <v>71</v>
      </c>
      <c r="X6">
        <v>0</v>
      </c>
      <c r="Y6">
        <v>2.875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>
        <v>1.1499999999999999</v>
      </c>
      <c r="AK6" t="s">
        <v>72</v>
      </c>
      <c r="AL6" t="s">
        <v>78</v>
      </c>
      <c r="AM6">
        <v>200000</v>
      </c>
      <c r="AN6" t="s">
        <v>73</v>
      </c>
      <c r="AO6">
        <v>1</v>
      </c>
      <c r="AP6">
        <v>0</v>
      </c>
      <c r="AQ6">
        <v>16666.666666666668</v>
      </c>
      <c r="AR6" t="s">
        <v>79</v>
      </c>
      <c r="AS6" t="s">
        <v>75</v>
      </c>
      <c r="AX6" t="s">
        <v>76</v>
      </c>
      <c r="AY6" t="s">
        <v>71</v>
      </c>
      <c r="AZ6">
        <v>0</v>
      </c>
      <c r="BA6" t="s">
        <v>71</v>
      </c>
      <c r="BB6">
        <v>0</v>
      </c>
      <c r="BD6">
        <v>2.875</v>
      </c>
    </row>
    <row r="7" spans="1:58" x14ac:dyDescent="0.15">
      <c r="A7" s="4" t="str">
        <f>HYPERLINK("https://ibp.a2mac1.com/costing(costing:projects/details/9760/part/8410604)","Window Washing Fluid")</f>
        <v>Window Washing Fluid</v>
      </c>
      <c r="B7">
        <v>8410604</v>
      </c>
      <c r="C7">
        <v>8410600</v>
      </c>
      <c r="E7">
        <v>1.1229</v>
      </c>
      <c r="F7">
        <v>0</v>
      </c>
      <c r="G7">
        <v>0</v>
      </c>
      <c r="H7">
        <v>0</v>
      </c>
      <c r="I7" t="s">
        <v>71</v>
      </c>
      <c r="J7">
        <v>0</v>
      </c>
      <c r="K7">
        <v>1.1229</v>
      </c>
      <c r="L7">
        <v>0</v>
      </c>
      <c r="M7">
        <v>0</v>
      </c>
      <c r="N7">
        <v>1.1229</v>
      </c>
      <c r="O7" t="s">
        <v>71</v>
      </c>
      <c r="P7">
        <v>0</v>
      </c>
      <c r="Q7" t="s">
        <v>71</v>
      </c>
      <c r="R7">
        <v>0</v>
      </c>
      <c r="S7" t="s">
        <v>71</v>
      </c>
      <c r="T7">
        <v>0</v>
      </c>
      <c r="U7" t="s">
        <v>71</v>
      </c>
      <c r="V7">
        <v>0</v>
      </c>
      <c r="W7" t="s">
        <v>71</v>
      </c>
      <c r="X7">
        <v>0</v>
      </c>
      <c r="Y7">
        <v>1.1229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>
        <v>2.9550000000000001</v>
      </c>
      <c r="AK7" t="s">
        <v>72</v>
      </c>
      <c r="AM7">
        <v>200000</v>
      </c>
      <c r="AN7" t="s">
        <v>73</v>
      </c>
      <c r="AO7">
        <v>1</v>
      </c>
      <c r="AP7">
        <v>0</v>
      </c>
      <c r="AQ7">
        <v>16666.666666666668</v>
      </c>
      <c r="AR7" t="s">
        <v>80</v>
      </c>
      <c r="AS7" t="s">
        <v>75</v>
      </c>
      <c r="AX7" t="s">
        <v>76</v>
      </c>
      <c r="AY7" t="s">
        <v>71</v>
      </c>
      <c r="AZ7">
        <v>0</v>
      </c>
      <c r="BA7" t="s">
        <v>71</v>
      </c>
      <c r="BB7">
        <v>0</v>
      </c>
      <c r="BD7">
        <v>1.1229</v>
      </c>
    </row>
    <row r="8" spans="1:58" x14ac:dyDescent="0.15">
      <c r="A8" s="4" t="str">
        <f>HYPERLINK("https://ibp.a2mac1.com/costing(costing:projects/details/9760/part/8410605)","Front Differential Oil/Angular Member")</f>
        <v>Front Differential Oil/Angular Member</v>
      </c>
      <c r="B8">
        <v>8410605</v>
      </c>
      <c r="C8">
        <v>8410600</v>
      </c>
      <c r="E8">
        <v>5.9753999999999996</v>
      </c>
      <c r="F8">
        <v>0</v>
      </c>
      <c r="G8">
        <v>0</v>
      </c>
      <c r="H8">
        <v>0</v>
      </c>
      <c r="I8" t="s">
        <v>71</v>
      </c>
      <c r="J8">
        <v>0</v>
      </c>
      <c r="K8">
        <v>5.9753999999999996</v>
      </c>
      <c r="L8">
        <v>0</v>
      </c>
      <c r="M8">
        <v>0</v>
      </c>
      <c r="N8">
        <v>5.9753999999999996</v>
      </c>
      <c r="O8" t="s">
        <v>71</v>
      </c>
      <c r="P8">
        <v>0</v>
      </c>
      <c r="Q8" t="s">
        <v>71</v>
      </c>
      <c r="R8">
        <v>0</v>
      </c>
      <c r="S8" t="s">
        <v>71</v>
      </c>
      <c r="T8">
        <v>0</v>
      </c>
      <c r="U8" t="s">
        <v>71</v>
      </c>
      <c r="V8">
        <v>0</v>
      </c>
      <c r="W8" t="s">
        <v>71</v>
      </c>
      <c r="X8">
        <v>0</v>
      </c>
      <c r="Y8">
        <v>5.9753999999999996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v>1.38</v>
      </c>
      <c r="AK8" t="s">
        <v>72</v>
      </c>
      <c r="AM8">
        <v>200000</v>
      </c>
      <c r="AN8" t="s">
        <v>73</v>
      </c>
      <c r="AO8">
        <v>1</v>
      </c>
      <c r="AP8">
        <v>0</v>
      </c>
      <c r="AQ8">
        <v>16666.666666666668</v>
      </c>
      <c r="AR8" t="s">
        <v>81</v>
      </c>
      <c r="AS8" t="s">
        <v>75</v>
      </c>
      <c r="AX8" t="s">
        <v>76</v>
      </c>
      <c r="AY8" t="s">
        <v>71</v>
      </c>
      <c r="AZ8">
        <v>0</v>
      </c>
      <c r="BA8" t="s">
        <v>71</v>
      </c>
      <c r="BB8">
        <v>0</v>
      </c>
      <c r="BD8">
        <v>5.9753999999999996</v>
      </c>
    </row>
    <row r="9" spans="1:58" x14ac:dyDescent="0.15">
      <c r="A9" s="4" t="str">
        <f>HYPERLINK("https://ibp.a2mac1.com/costing(costing:projects/details/9760/part/8410606)","Rear Differential Oil")</f>
        <v>Rear Differential Oil</v>
      </c>
      <c r="B9">
        <v>8410606</v>
      </c>
      <c r="C9">
        <v>8410600</v>
      </c>
      <c r="E9">
        <v>7.4345999999999997</v>
      </c>
      <c r="F9">
        <v>0</v>
      </c>
      <c r="G9">
        <v>0</v>
      </c>
      <c r="H9">
        <v>0</v>
      </c>
      <c r="I9" t="s">
        <v>71</v>
      </c>
      <c r="J9">
        <v>0</v>
      </c>
      <c r="K9">
        <v>7.4345999999999997</v>
      </c>
      <c r="L9">
        <v>0</v>
      </c>
      <c r="M9">
        <v>0</v>
      </c>
      <c r="N9">
        <v>7.4345999999999997</v>
      </c>
      <c r="O9" t="s">
        <v>71</v>
      </c>
      <c r="P9">
        <v>0</v>
      </c>
      <c r="Q9" t="s">
        <v>71</v>
      </c>
      <c r="R9">
        <v>0</v>
      </c>
      <c r="S9" t="s">
        <v>71</v>
      </c>
      <c r="T9">
        <v>0</v>
      </c>
      <c r="U9" t="s">
        <v>71</v>
      </c>
      <c r="V9">
        <v>0</v>
      </c>
      <c r="W9" t="s">
        <v>71</v>
      </c>
      <c r="X9">
        <v>0</v>
      </c>
      <c r="Y9">
        <v>7.4345999999999997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>
        <v>1.7170000000000001</v>
      </c>
      <c r="AK9" t="s">
        <v>72</v>
      </c>
      <c r="AM9">
        <v>200000</v>
      </c>
      <c r="AN9" t="s">
        <v>73</v>
      </c>
      <c r="AO9">
        <v>1</v>
      </c>
      <c r="AP9">
        <v>0</v>
      </c>
      <c r="AQ9">
        <v>16666.666666666668</v>
      </c>
      <c r="AR9" t="s">
        <v>82</v>
      </c>
      <c r="AS9" t="s">
        <v>75</v>
      </c>
      <c r="AX9" t="s">
        <v>76</v>
      </c>
      <c r="AY9" t="s">
        <v>71</v>
      </c>
      <c r="AZ9">
        <v>0</v>
      </c>
      <c r="BA9" t="s">
        <v>71</v>
      </c>
      <c r="BB9">
        <v>0</v>
      </c>
      <c r="BD9">
        <v>7.4345999999999997</v>
      </c>
    </row>
    <row r="10" spans="1:58" x14ac:dyDescent="0.15">
      <c r="A10" s="4" t="str">
        <f>HYPERLINK("https://ibp.a2mac1.com/costing(costing:projects/details/9760/part/8410610)","Brake Pedal")</f>
        <v>Brake Pedal</v>
      </c>
      <c r="B10">
        <v>8410610</v>
      </c>
      <c r="C10">
        <v>8410608</v>
      </c>
      <c r="D10" t="s">
        <v>94</v>
      </c>
      <c r="E10">
        <v>3.85</v>
      </c>
      <c r="F10">
        <v>0</v>
      </c>
      <c r="G10">
        <v>0</v>
      </c>
      <c r="H10">
        <v>0</v>
      </c>
      <c r="I10" t="s">
        <v>71</v>
      </c>
      <c r="J10">
        <v>0</v>
      </c>
      <c r="K10">
        <v>3.85</v>
      </c>
      <c r="L10">
        <v>0</v>
      </c>
      <c r="M10">
        <v>0</v>
      </c>
      <c r="N10">
        <v>3.85</v>
      </c>
      <c r="O10" t="s">
        <v>71</v>
      </c>
      <c r="P10">
        <v>0</v>
      </c>
      <c r="Q10" t="s">
        <v>71</v>
      </c>
      <c r="R10">
        <v>0</v>
      </c>
      <c r="S10" t="s">
        <v>71</v>
      </c>
      <c r="T10">
        <v>0</v>
      </c>
      <c r="U10" t="s">
        <v>71</v>
      </c>
      <c r="V10">
        <v>0</v>
      </c>
      <c r="W10" t="s">
        <v>71</v>
      </c>
      <c r="X10">
        <v>0</v>
      </c>
      <c r="Y10">
        <v>3.85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135</v>
      </c>
      <c r="AF10">
        <v>206</v>
      </c>
      <c r="AG10">
        <v>324</v>
      </c>
      <c r="AI10">
        <v>0.83</v>
      </c>
      <c r="AK10" t="s">
        <v>95</v>
      </c>
      <c r="AL10" t="s">
        <v>96</v>
      </c>
      <c r="AM10">
        <v>200000</v>
      </c>
      <c r="AN10" t="s">
        <v>97</v>
      </c>
      <c r="AO10">
        <v>1</v>
      </c>
      <c r="AP10">
        <v>0</v>
      </c>
      <c r="AQ10">
        <v>16666.666666666668</v>
      </c>
      <c r="AR10" t="s">
        <v>98</v>
      </c>
      <c r="AS10" t="s">
        <v>75</v>
      </c>
      <c r="AX10" t="s">
        <v>76</v>
      </c>
      <c r="AY10" t="s">
        <v>71</v>
      </c>
      <c r="AZ10">
        <v>0</v>
      </c>
      <c r="BA10" t="s">
        <v>71</v>
      </c>
      <c r="BB10">
        <v>0</v>
      </c>
      <c r="BD10">
        <v>3.85</v>
      </c>
    </row>
    <row r="11" spans="1:58" x14ac:dyDescent="0.15">
      <c r="A11" s="4" t="str">
        <f>HYPERLINK("https://ibp.a2mac1.com/costing(costing:projects/details/9760/part/8410611)","Pedal Pad")</f>
        <v>Pedal Pad</v>
      </c>
      <c r="B11">
        <v>8410611</v>
      </c>
      <c r="C11">
        <v>8410608</v>
      </c>
      <c r="D11" t="s">
        <v>99</v>
      </c>
      <c r="E11">
        <v>0.33</v>
      </c>
      <c r="F11">
        <v>0</v>
      </c>
      <c r="G11">
        <v>0</v>
      </c>
      <c r="H11">
        <v>0</v>
      </c>
      <c r="I11" t="s">
        <v>71</v>
      </c>
      <c r="J11">
        <v>0</v>
      </c>
      <c r="K11">
        <v>0.33</v>
      </c>
      <c r="L11">
        <v>0</v>
      </c>
      <c r="M11">
        <v>0</v>
      </c>
      <c r="N11">
        <v>0.33</v>
      </c>
      <c r="O11" t="s">
        <v>71</v>
      </c>
      <c r="P11">
        <v>0</v>
      </c>
      <c r="Q11" t="s">
        <v>71</v>
      </c>
      <c r="R11">
        <v>0</v>
      </c>
      <c r="S11" t="s">
        <v>71</v>
      </c>
      <c r="T11">
        <v>0</v>
      </c>
      <c r="U11" t="s">
        <v>71</v>
      </c>
      <c r="V11">
        <v>0</v>
      </c>
      <c r="W11" t="s">
        <v>71</v>
      </c>
      <c r="X11">
        <v>0</v>
      </c>
      <c r="Y11">
        <v>0.33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45</v>
      </c>
      <c r="AF11">
        <v>108</v>
      </c>
      <c r="AG11">
        <v>66</v>
      </c>
      <c r="AI11">
        <v>4.7E-2</v>
      </c>
      <c r="AK11" t="s">
        <v>100</v>
      </c>
      <c r="AL11" t="s">
        <v>101</v>
      </c>
      <c r="AM11">
        <v>200000</v>
      </c>
      <c r="AN11" t="s">
        <v>97</v>
      </c>
      <c r="AO11">
        <v>1</v>
      </c>
      <c r="AP11">
        <v>0</v>
      </c>
      <c r="AQ11">
        <v>16666.666666666668</v>
      </c>
      <c r="AR11" t="s">
        <v>102</v>
      </c>
      <c r="AS11" t="s">
        <v>75</v>
      </c>
      <c r="AX11" t="s">
        <v>76</v>
      </c>
      <c r="AY11" t="s">
        <v>71</v>
      </c>
      <c r="AZ11">
        <v>0</v>
      </c>
      <c r="BA11" t="s">
        <v>71</v>
      </c>
      <c r="BB11">
        <v>0</v>
      </c>
      <c r="BD11">
        <v>0.33</v>
      </c>
    </row>
    <row r="12" spans="1:58" x14ac:dyDescent="0.15">
      <c r="A12" s="4" t="str">
        <f>HYPERLINK("https://ibp.a2mac1.com/costing(costing:projects/details/9760/part/8410612)","Pedal Pad Bezel")</f>
        <v>Pedal Pad Bezel</v>
      </c>
      <c r="B12">
        <v>8410612</v>
      </c>
      <c r="C12">
        <v>8410608</v>
      </c>
      <c r="D12" t="s">
        <v>103</v>
      </c>
      <c r="E12">
        <v>0.25</v>
      </c>
      <c r="F12">
        <v>0</v>
      </c>
      <c r="G12">
        <v>0</v>
      </c>
      <c r="H12">
        <v>0</v>
      </c>
      <c r="I12" t="s">
        <v>71</v>
      </c>
      <c r="J12">
        <v>0</v>
      </c>
      <c r="K12">
        <v>0.25</v>
      </c>
      <c r="L12">
        <v>0</v>
      </c>
      <c r="M12">
        <v>0</v>
      </c>
      <c r="N12">
        <v>0.25</v>
      </c>
      <c r="O12" t="s">
        <v>71</v>
      </c>
      <c r="P12">
        <v>0</v>
      </c>
      <c r="Q12" t="s">
        <v>71</v>
      </c>
      <c r="R12">
        <v>0</v>
      </c>
      <c r="S12" t="s">
        <v>71</v>
      </c>
      <c r="T12">
        <v>0</v>
      </c>
      <c r="U12" t="s">
        <v>71</v>
      </c>
      <c r="V12">
        <v>0</v>
      </c>
      <c r="W12" t="s">
        <v>71</v>
      </c>
      <c r="X12">
        <v>0</v>
      </c>
      <c r="Y12">
        <v>0.25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12</v>
      </c>
      <c r="AF12">
        <v>108</v>
      </c>
      <c r="AG12">
        <v>68</v>
      </c>
      <c r="AI12">
        <v>5.7000000000000002E-2</v>
      </c>
      <c r="AK12" t="s">
        <v>100</v>
      </c>
      <c r="AL12" t="s">
        <v>104</v>
      </c>
      <c r="AM12">
        <v>200000</v>
      </c>
      <c r="AN12" t="s">
        <v>97</v>
      </c>
      <c r="AO12">
        <v>1</v>
      </c>
      <c r="AP12">
        <v>0</v>
      </c>
      <c r="AQ12">
        <v>16666.666666666668</v>
      </c>
      <c r="AR12" t="s">
        <v>105</v>
      </c>
      <c r="AS12" t="s">
        <v>75</v>
      </c>
      <c r="AX12" t="s">
        <v>76</v>
      </c>
      <c r="AY12" t="s">
        <v>71</v>
      </c>
      <c r="AZ12">
        <v>0</v>
      </c>
      <c r="BA12" t="s">
        <v>71</v>
      </c>
      <c r="BB12">
        <v>0</v>
      </c>
      <c r="BD12">
        <v>0.25</v>
      </c>
    </row>
    <row r="13" spans="1:58" x14ac:dyDescent="0.15">
      <c r="A13" s="4" t="str">
        <f>HYPERLINK("https://ibp.a2mac1.com/costing(costing:projects/details/9760/part/8410613)","Pedal Support")</f>
        <v>Pedal Support</v>
      </c>
      <c r="B13">
        <v>8410613</v>
      </c>
      <c r="C13">
        <v>8410608</v>
      </c>
      <c r="D13" t="s">
        <v>106</v>
      </c>
      <c r="E13">
        <v>2.4</v>
      </c>
      <c r="F13">
        <v>0</v>
      </c>
      <c r="G13">
        <v>0</v>
      </c>
      <c r="H13">
        <v>0</v>
      </c>
      <c r="I13" t="s">
        <v>71</v>
      </c>
      <c r="J13">
        <v>0</v>
      </c>
      <c r="K13">
        <v>2.4</v>
      </c>
      <c r="L13">
        <v>0</v>
      </c>
      <c r="M13">
        <v>0</v>
      </c>
      <c r="N13">
        <v>2.4</v>
      </c>
      <c r="O13" t="s">
        <v>71</v>
      </c>
      <c r="P13">
        <v>0</v>
      </c>
      <c r="Q13" t="s">
        <v>71</v>
      </c>
      <c r="R13">
        <v>0</v>
      </c>
      <c r="S13" t="s">
        <v>71</v>
      </c>
      <c r="T13">
        <v>0</v>
      </c>
      <c r="U13" t="s">
        <v>71</v>
      </c>
      <c r="V13">
        <v>0</v>
      </c>
      <c r="W13" t="s">
        <v>71</v>
      </c>
      <c r="X13">
        <v>0</v>
      </c>
      <c r="Y13">
        <v>2.4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140</v>
      </c>
      <c r="AF13">
        <v>140</v>
      </c>
      <c r="AG13">
        <v>216</v>
      </c>
      <c r="AI13">
        <v>0.503</v>
      </c>
      <c r="AK13" t="s">
        <v>107</v>
      </c>
      <c r="AL13" t="s">
        <v>108</v>
      </c>
      <c r="AM13">
        <v>200000</v>
      </c>
      <c r="AN13" t="s">
        <v>97</v>
      </c>
      <c r="AO13">
        <v>1</v>
      </c>
      <c r="AP13">
        <v>0</v>
      </c>
      <c r="AQ13">
        <v>16666.666666666668</v>
      </c>
      <c r="AR13" t="s">
        <v>109</v>
      </c>
      <c r="AS13" t="s">
        <v>75</v>
      </c>
      <c r="AX13" t="s">
        <v>76</v>
      </c>
      <c r="AY13" t="s">
        <v>71</v>
      </c>
      <c r="AZ13">
        <v>0</v>
      </c>
      <c r="BA13" t="s">
        <v>71</v>
      </c>
      <c r="BB13">
        <v>0</v>
      </c>
      <c r="BD13">
        <v>2.4</v>
      </c>
    </row>
    <row r="14" spans="1:58" x14ac:dyDescent="0.15">
      <c r="A14" s="4" t="str">
        <f>HYPERLINK("https://ibp.a2mac1.com/costing(costing:projects/details/9760/part/8410614)","Stop Light Sensor")</f>
        <v>Stop Light Sensor</v>
      </c>
      <c r="B14">
        <v>8410614</v>
      </c>
      <c r="C14">
        <v>8410608</v>
      </c>
      <c r="E14">
        <v>1.6</v>
      </c>
      <c r="F14">
        <v>0</v>
      </c>
      <c r="G14">
        <v>0</v>
      </c>
      <c r="H14">
        <v>0</v>
      </c>
      <c r="I14" t="s">
        <v>71</v>
      </c>
      <c r="J14">
        <v>0</v>
      </c>
      <c r="K14">
        <v>1.6</v>
      </c>
      <c r="L14">
        <v>0</v>
      </c>
      <c r="M14">
        <v>0</v>
      </c>
      <c r="N14">
        <v>1.6</v>
      </c>
      <c r="O14" t="s">
        <v>71</v>
      </c>
      <c r="P14">
        <v>0</v>
      </c>
      <c r="Q14" t="s">
        <v>71</v>
      </c>
      <c r="R14">
        <v>0</v>
      </c>
      <c r="S14" t="s">
        <v>71</v>
      </c>
      <c r="T14">
        <v>0</v>
      </c>
      <c r="U14" t="s">
        <v>71</v>
      </c>
      <c r="V14">
        <v>0</v>
      </c>
      <c r="W14" t="s">
        <v>71</v>
      </c>
      <c r="X14">
        <v>0</v>
      </c>
      <c r="Y14">
        <v>1.6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21</v>
      </c>
      <c r="AF14">
        <v>27</v>
      </c>
      <c r="AG14">
        <v>79</v>
      </c>
      <c r="AI14">
        <v>1.7000000000000001E-2</v>
      </c>
      <c r="AK14" t="s">
        <v>95</v>
      </c>
      <c r="AL14" t="s">
        <v>110</v>
      </c>
      <c r="AM14">
        <v>200000</v>
      </c>
      <c r="AN14" t="s">
        <v>97</v>
      </c>
      <c r="AO14">
        <v>1</v>
      </c>
      <c r="AP14">
        <v>0</v>
      </c>
      <c r="AQ14">
        <v>16666.666666666668</v>
      </c>
      <c r="AR14" t="s">
        <v>111</v>
      </c>
      <c r="AS14" t="s">
        <v>75</v>
      </c>
      <c r="AX14" t="s">
        <v>76</v>
      </c>
      <c r="AY14" t="s">
        <v>71</v>
      </c>
      <c r="AZ14">
        <v>0</v>
      </c>
      <c r="BA14" t="s">
        <v>71</v>
      </c>
      <c r="BB14">
        <v>0</v>
      </c>
      <c r="BD14">
        <v>1.6</v>
      </c>
    </row>
    <row r="15" spans="1:58" x14ac:dyDescent="0.15">
      <c r="A15" s="4" t="str">
        <f>HYPERLINK("https://ibp.a2mac1.com/costing(costing:projects/details/9760/part/8410615)","Sensor Bracket")</f>
        <v>Sensor Bracket</v>
      </c>
      <c r="B15">
        <v>8410615</v>
      </c>
      <c r="C15">
        <v>8410608</v>
      </c>
      <c r="E15">
        <v>0.05</v>
      </c>
      <c r="F15">
        <v>0</v>
      </c>
      <c r="G15">
        <v>0</v>
      </c>
      <c r="H15">
        <v>0</v>
      </c>
      <c r="I15" t="s">
        <v>71</v>
      </c>
      <c r="J15">
        <v>0</v>
      </c>
      <c r="K15">
        <v>0.05</v>
      </c>
      <c r="L15">
        <v>0</v>
      </c>
      <c r="M15">
        <v>0</v>
      </c>
      <c r="N15">
        <v>0.05</v>
      </c>
      <c r="O15" t="s">
        <v>71</v>
      </c>
      <c r="P15">
        <v>0</v>
      </c>
      <c r="Q15" t="s">
        <v>71</v>
      </c>
      <c r="R15">
        <v>0</v>
      </c>
      <c r="S15" t="s">
        <v>71</v>
      </c>
      <c r="T15">
        <v>0</v>
      </c>
      <c r="U15" t="s">
        <v>71</v>
      </c>
      <c r="V15">
        <v>0</v>
      </c>
      <c r="W15" t="s">
        <v>71</v>
      </c>
      <c r="X15">
        <v>0</v>
      </c>
      <c r="Y15">
        <v>0.05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15</v>
      </c>
      <c r="AF15">
        <v>25</v>
      </c>
      <c r="AG15">
        <v>25</v>
      </c>
      <c r="AI15">
        <v>2E-3</v>
      </c>
      <c r="AK15" t="s">
        <v>100</v>
      </c>
      <c r="AL15" t="s">
        <v>112</v>
      </c>
      <c r="AM15">
        <v>200000</v>
      </c>
      <c r="AN15" t="s">
        <v>97</v>
      </c>
      <c r="AO15">
        <v>1</v>
      </c>
      <c r="AP15">
        <v>0</v>
      </c>
      <c r="AQ15">
        <v>16666.666666666668</v>
      </c>
      <c r="AR15" t="s">
        <v>113</v>
      </c>
      <c r="AS15" t="s">
        <v>75</v>
      </c>
      <c r="AX15" t="s">
        <v>76</v>
      </c>
      <c r="AY15" t="s">
        <v>71</v>
      </c>
      <c r="AZ15">
        <v>0</v>
      </c>
      <c r="BA15" t="s">
        <v>71</v>
      </c>
      <c r="BB15">
        <v>0</v>
      </c>
      <c r="BD15">
        <v>0.05</v>
      </c>
    </row>
    <row r="16" spans="1:58" x14ac:dyDescent="0.15">
      <c r="A16" s="4" t="str">
        <f>HYPERLINK("https://ibp.a2mac1.com/costing(costing:projects/details/9760/part/8410616)","Accelerator Pedal")</f>
        <v>Accelerator Pedal</v>
      </c>
      <c r="B16">
        <v>8410616</v>
      </c>
      <c r="C16">
        <v>8410609</v>
      </c>
      <c r="D16" t="s">
        <v>182</v>
      </c>
      <c r="E16">
        <v>10.199999999999999</v>
      </c>
      <c r="F16">
        <v>0</v>
      </c>
      <c r="G16">
        <v>0</v>
      </c>
      <c r="H16">
        <v>0</v>
      </c>
      <c r="I16" t="s">
        <v>71</v>
      </c>
      <c r="J16">
        <v>0</v>
      </c>
      <c r="K16">
        <v>10.199999999999999</v>
      </c>
      <c r="L16">
        <v>0</v>
      </c>
      <c r="M16">
        <v>0</v>
      </c>
      <c r="N16">
        <v>10.199999999999999</v>
      </c>
      <c r="O16" t="s">
        <v>71</v>
      </c>
      <c r="P16">
        <v>0</v>
      </c>
      <c r="Q16" t="s">
        <v>71</v>
      </c>
      <c r="R16">
        <v>0</v>
      </c>
      <c r="S16" t="s">
        <v>71</v>
      </c>
      <c r="T16">
        <v>0</v>
      </c>
      <c r="U16" t="s">
        <v>71</v>
      </c>
      <c r="V16">
        <v>0</v>
      </c>
      <c r="W16" t="s">
        <v>71</v>
      </c>
      <c r="X16">
        <v>0</v>
      </c>
      <c r="Y16">
        <v>10.199999999999999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215</v>
      </c>
      <c r="AF16">
        <v>108</v>
      </c>
      <c r="AG16">
        <v>200</v>
      </c>
      <c r="AI16">
        <v>0.39600000000000002</v>
      </c>
      <c r="AK16" t="s">
        <v>95</v>
      </c>
      <c r="AL16" t="s">
        <v>183</v>
      </c>
      <c r="AM16">
        <v>200000</v>
      </c>
      <c r="AN16" t="s">
        <v>97</v>
      </c>
      <c r="AO16">
        <v>1</v>
      </c>
      <c r="AP16">
        <v>0</v>
      </c>
      <c r="AQ16">
        <v>16666.666666666668</v>
      </c>
      <c r="AR16" t="s">
        <v>184</v>
      </c>
      <c r="AS16" t="s">
        <v>75</v>
      </c>
      <c r="AX16" t="s">
        <v>76</v>
      </c>
      <c r="AY16" t="s">
        <v>71</v>
      </c>
      <c r="AZ16">
        <v>0</v>
      </c>
      <c r="BA16" t="s">
        <v>71</v>
      </c>
      <c r="BB16">
        <v>0</v>
      </c>
      <c r="BD16">
        <v>10.199999999999999</v>
      </c>
    </row>
    <row r="17" spans="1:56" x14ac:dyDescent="0.15">
      <c r="A17" s="4" t="str">
        <f>HYPERLINK("https://ibp.a2mac1.com/costing(costing:projects/details/9760/part/8410874)","Receiver/Drier")</f>
        <v>Receiver/Drier</v>
      </c>
      <c r="B17">
        <v>8410874</v>
      </c>
      <c r="C17">
        <v>8410832</v>
      </c>
      <c r="E17">
        <v>7.9999900000000004</v>
      </c>
      <c r="F17">
        <v>0</v>
      </c>
      <c r="G17">
        <v>0</v>
      </c>
      <c r="H17">
        <v>0</v>
      </c>
      <c r="I17" t="s">
        <v>71</v>
      </c>
      <c r="J17">
        <v>0</v>
      </c>
      <c r="K17">
        <v>7.9999900000000004</v>
      </c>
      <c r="L17">
        <v>0</v>
      </c>
      <c r="M17">
        <v>0</v>
      </c>
      <c r="N17">
        <v>7.9999900000000004</v>
      </c>
      <c r="O17" t="s">
        <v>71</v>
      </c>
      <c r="P17">
        <v>0</v>
      </c>
      <c r="Q17" t="s">
        <v>71</v>
      </c>
      <c r="R17">
        <v>0</v>
      </c>
      <c r="S17" t="s">
        <v>71</v>
      </c>
      <c r="T17">
        <v>0</v>
      </c>
      <c r="U17" t="s">
        <v>71</v>
      </c>
      <c r="V17">
        <v>0</v>
      </c>
      <c r="W17" t="s">
        <v>71</v>
      </c>
      <c r="X17">
        <v>0</v>
      </c>
      <c r="Y17">
        <v>7.9999900000000004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126</v>
      </c>
      <c r="AF17">
        <v>106</v>
      </c>
      <c r="AG17">
        <v>239</v>
      </c>
      <c r="AH17">
        <v>0</v>
      </c>
      <c r="AI17">
        <v>0.95</v>
      </c>
      <c r="AK17" t="s">
        <v>95</v>
      </c>
      <c r="AM17">
        <v>200000</v>
      </c>
      <c r="AN17" t="s">
        <v>97</v>
      </c>
      <c r="AO17">
        <v>1</v>
      </c>
      <c r="AP17">
        <v>0</v>
      </c>
      <c r="AQ17">
        <v>16666.666666666668</v>
      </c>
      <c r="AR17" t="s">
        <v>190</v>
      </c>
      <c r="AS17" t="s">
        <v>75</v>
      </c>
      <c r="AX17" t="s">
        <v>76</v>
      </c>
      <c r="AY17" t="s">
        <v>71</v>
      </c>
      <c r="AZ17">
        <v>0</v>
      </c>
      <c r="BA17" t="s">
        <v>71</v>
      </c>
      <c r="BB17">
        <v>0</v>
      </c>
      <c r="BD17">
        <v>7.9999900000000004</v>
      </c>
    </row>
    <row r="18" spans="1:56" x14ac:dyDescent="0.15">
      <c r="A18" s="4" t="str">
        <f>HYPERLINK("https://ibp.a2mac1.com/costing(costing:projects/details/9760/part/8410875)","Right Support")</f>
        <v>Right Support</v>
      </c>
      <c r="B18">
        <v>8410875</v>
      </c>
      <c r="C18">
        <v>8410833</v>
      </c>
      <c r="E18">
        <v>0.24998999999999999</v>
      </c>
      <c r="F18">
        <v>0</v>
      </c>
      <c r="G18">
        <v>0</v>
      </c>
      <c r="H18">
        <v>0</v>
      </c>
      <c r="I18" t="s">
        <v>71</v>
      </c>
      <c r="J18">
        <v>0</v>
      </c>
      <c r="K18">
        <v>0.24998999999999999</v>
      </c>
      <c r="L18">
        <v>0</v>
      </c>
      <c r="M18">
        <v>0</v>
      </c>
      <c r="N18">
        <v>0.24998999999999999</v>
      </c>
      <c r="O18" t="s">
        <v>71</v>
      </c>
      <c r="P18">
        <v>0</v>
      </c>
      <c r="Q18" t="s">
        <v>71</v>
      </c>
      <c r="R18">
        <v>0</v>
      </c>
      <c r="S18" t="s">
        <v>71</v>
      </c>
      <c r="T18">
        <v>0</v>
      </c>
      <c r="U18" t="s">
        <v>71</v>
      </c>
      <c r="V18">
        <v>0</v>
      </c>
      <c r="W18" t="s">
        <v>71</v>
      </c>
      <c r="X18">
        <v>0</v>
      </c>
      <c r="Y18">
        <v>0.24998999999999999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21</v>
      </c>
      <c r="AF18">
        <v>84</v>
      </c>
      <c r="AG18">
        <v>66</v>
      </c>
      <c r="AH18">
        <v>0</v>
      </c>
      <c r="AI18">
        <v>0.104</v>
      </c>
      <c r="AK18" t="s">
        <v>100</v>
      </c>
      <c r="AM18">
        <v>200000</v>
      </c>
      <c r="AN18" t="s">
        <v>97</v>
      </c>
      <c r="AO18">
        <v>1</v>
      </c>
      <c r="AP18">
        <v>0</v>
      </c>
      <c r="AQ18">
        <v>16666.666666666668</v>
      </c>
      <c r="AR18" t="s">
        <v>193</v>
      </c>
      <c r="AS18" t="s">
        <v>75</v>
      </c>
      <c r="AX18" t="s">
        <v>76</v>
      </c>
      <c r="AY18" t="s">
        <v>71</v>
      </c>
      <c r="AZ18">
        <v>0</v>
      </c>
      <c r="BA18" t="s">
        <v>71</v>
      </c>
      <c r="BB18">
        <v>0</v>
      </c>
      <c r="BD18">
        <v>0.24998999999999999</v>
      </c>
    </row>
    <row r="19" spans="1:56" x14ac:dyDescent="0.15">
      <c r="A19" s="4" t="str">
        <f>HYPERLINK("https://ibp.a2mac1.com/costing(costing:projects/details/9760/part/8410898)","Compressor - Exchanger Line")</f>
        <v>Compressor - Exchanger Line</v>
      </c>
      <c r="B19">
        <v>8410898</v>
      </c>
      <c r="C19">
        <v>8410876</v>
      </c>
      <c r="E19">
        <v>4.6518199999999998</v>
      </c>
      <c r="F19">
        <v>0</v>
      </c>
      <c r="G19">
        <v>0</v>
      </c>
      <c r="H19">
        <v>0</v>
      </c>
      <c r="I19" t="s">
        <v>71</v>
      </c>
      <c r="J19">
        <v>0</v>
      </c>
      <c r="K19">
        <v>4.6518199999999998</v>
      </c>
      <c r="L19">
        <v>0</v>
      </c>
      <c r="M19">
        <v>0</v>
      </c>
      <c r="N19">
        <v>4.6518199999999998</v>
      </c>
      <c r="O19" t="s">
        <v>71</v>
      </c>
      <c r="P19">
        <v>0</v>
      </c>
      <c r="Q19" t="s">
        <v>71</v>
      </c>
      <c r="R19">
        <v>0</v>
      </c>
      <c r="S19" t="s">
        <v>71</v>
      </c>
      <c r="T19">
        <v>0</v>
      </c>
      <c r="U19" t="s">
        <v>71</v>
      </c>
      <c r="V19">
        <v>0</v>
      </c>
      <c r="W19" t="s">
        <v>71</v>
      </c>
      <c r="X19">
        <v>0</v>
      </c>
      <c r="Y19">
        <v>4.6518199999999998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0.308</v>
      </c>
      <c r="AK19" t="s">
        <v>95</v>
      </c>
      <c r="AM19">
        <v>200000</v>
      </c>
      <c r="AN19" t="s">
        <v>97</v>
      </c>
      <c r="AO19">
        <v>1</v>
      </c>
      <c r="AP19">
        <v>0</v>
      </c>
      <c r="AQ19">
        <v>16666.666666666668</v>
      </c>
      <c r="AR19" t="s">
        <v>197</v>
      </c>
      <c r="AS19" t="s">
        <v>75</v>
      </c>
      <c r="AX19" t="s">
        <v>76</v>
      </c>
      <c r="AY19" t="s">
        <v>71</v>
      </c>
      <c r="AZ19">
        <v>0</v>
      </c>
      <c r="BA19" t="s">
        <v>71</v>
      </c>
      <c r="BB19">
        <v>0</v>
      </c>
      <c r="BD19">
        <v>4.6518199999999998</v>
      </c>
    </row>
    <row r="20" spans="1:56" x14ac:dyDescent="0.15">
      <c r="A20" s="4" t="str">
        <f>HYPERLINK("https://ibp.a2mac1.com/costing(costing:projects/details/9760/part/8410899)","Condenser - Valve Line")</f>
        <v>Condenser - Valve Line</v>
      </c>
      <c r="B20">
        <v>8410899</v>
      </c>
      <c r="C20">
        <v>8410876</v>
      </c>
      <c r="E20">
        <v>2.89133</v>
      </c>
      <c r="F20">
        <v>0</v>
      </c>
      <c r="G20">
        <v>0</v>
      </c>
      <c r="H20">
        <v>0</v>
      </c>
      <c r="I20" t="s">
        <v>71</v>
      </c>
      <c r="J20">
        <v>0</v>
      </c>
      <c r="K20">
        <v>2.89133</v>
      </c>
      <c r="L20">
        <v>0</v>
      </c>
      <c r="M20">
        <v>0</v>
      </c>
      <c r="N20">
        <v>2.89133</v>
      </c>
      <c r="O20" t="s">
        <v>71</v>
      </c>
      <c r="P20">
        <v>0</v>
      </c>
      <c r="Q20" t="s">
        <v>71</v>
      </c>
      <c r="R20">
        <v>0</v>
      </c>
      <c r="S20" t="s">
        <v>71</v>
      </c>
      <c r="T20">
        <v>0</v>
      </c>
      <c r="U20" t="s">
        <v>71</v>
      </c>
      <c r="V20">
        <v>0</v>
      </c>
      <c r="W20" t="s">
        <v>71</v>
      </c>
      <c r="X20">
        <v>0</v>
      </c>
      <c r="Y20">
        <v>2.89133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0.14000000000000001</v>
      </c>
      <c r="AK20" t="s">
        <v>95</v>
      </c>
      <c r="AM20">
        <v>200000</v>
      </c>
      <c r="AN20" t="s">
        <v>97</v>
      </c>
      <c r="AO20">
        <v>1</v>
      </c>
      <c r="AP20">
        <v>0</v>
      </c>
      <c r="AQ20">
        <v>16666.666666666668</v>
      </c>
      <c r="AR20" t="s">
        <v>198</v>
      </c>
      <c r="AS20" t="s">
        <v>75</v>
      </c>
      <c r="AX20" t="s">
        <v>76</v>
      </c>
      <c r="AY20" t="s">
        <v>71</v>
      </c>
      <c r="AZ20">
        <v>0</v>
      </c>
      <c r="BA20" t="s">
        <v>71</v>
      </c>
      <c r="BB20">
        <v>0</v>
      </c>
      <c r="BD20">
        <v>2.89133</v>
      </c>
    </row>
    <row r="21" spans="1:56" x14ac:dyDescent="0.15">
      <c r="A21" s="4" t="str">
        <f>HYPERLINK("https://ibp.a2mac1.com/costing(costing:projects/details/9760/part/8410900)","Valve - Evaporator Line")</f>
        <v>Valve - Evaporator Line</v>
      </c>
      <c r="B21">
        <v>8410900</v>
      </c>
      <c r="C21">
        <v>8410876</v>
      </c>
      <c r="E21">
        <v>2.3464100000000001</v>
      </c>
      <c r="F21">
        <v>0</v>
      </c>
      <c r="G21">
        <v>0</v>
      </c>
      <c r="H21">
        <v>0</v>
      </c>
      <c r="I21" t="s">
        <v>71</v>
      </c>
      <c r="J21">
        <v>0</v>
      </c>
      <c r="K21">
        <v>2.3464100000000001</v>
      </c>
      <c r="L21">
        <v>0</v>
      </c>
      <c r="M21">
        <v>0</v>
      </c>
      <c r="N21">
        <v>2.3464100000000001</v>
      </c>
      <c r="O21" t="s">
        <v>71</v>
      </c>
      <c r="P21">
        <v>0</v>
      </c>
      <c r="Q21" t="s">
        <v>71</v>
      </c>
      <c r="R21">
        <v>0</v>
      </c>
      <c r="S21" t="s">
        <v>71</v>
      </c>
      <c r="T21">
        <v>0</v>
      </c>
      <c r="U21" t="s">
        <v>71</v>
      </c>
      <c r="V21">
        <v>0</v>
      </c>
      <c r="W21" t="s">
        <v>71</v>
      </c>
      <c r="X21">
        <v>0</v>
      </c>
      <c r="Y21">
        <v>2.3464100000000001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8.7999999999999995E-2</v>
      </c>
      <c r="AK21" t="s">
        <v>95</v>
      </c>
      <c r="AM21">
        <v>200000</v>
      </c>
      <c r="AN21" t="s">
        <v>97</v>
      </c>
      <c r="AO21">
        <v>1</v>
      </c>
      <c r="AP21">
        <v>0</v>
      </c>
      <c r="AQ21">
        <v>16666.666666666668</v>
      </c>
      <c r="AR21" t="s">
        <v>199</v>
      </c>
      <c r="AS21" t="s">
        <v>75</v>
      </c>
      <c r="AX21" t="s">
        <v>76</v>
      </c>
      <c r="AY21" t="s">
        <v>71</v>
      </c>
      <c r="AZ21">
        <v>0</v>
      </c>
      <c r="BA21" t="s">
        <v>71</v>
      </c>
      <c r="BB21">
        <v>0</v>
      </c>
      <c r="BD21">
        <v>2.3464100000000001</v>
      </c>
    </row>
    <row r="22" spans="1:56" x14ac:dyDescent="0.15">
      <c r="A22" s="4" t="str">
        <f>HYPERLINK("https://ibp.a2mac1.com/costing(costing:projects/details/9760/part/8410901)","Valve - Evaporator 2 Line")</f>
        <v>Valve - Evaporator 2 Line</v>
      </c>
      <c r="B22">
        <v>8410901</v>
      </c>
      <c r="C22">
        <v>8410876</v>
      </c>
      <c r="E22">
        <v>2.4721600000000001</v>
      </c>
      <c r="F22">
        <v>0</v>
      </c>
      <c r="G22">
        <v>0</v>
      </c>
      <c r="H22">
        <v>0</v>
      </c>
      <c r="I22" t="s">
        <v>71</v>
      </c>
      <c r="J22">
        <v>0</v>
      </c>
      <c r="K22">
        <v>2.4721600000000001</v>
      </c>
      <c r="L22">
        <v>0</v>
      </c>
      <c r="M22">
        <v>0</v>
      </c>
      <c r="N22">
        <v>2.4721600000000001</v>
      </c>
      <c r="O22" t="s">
        <v>71</v>
      </c>
      <c r="P22">
        <v>0</v>
      </c>
      <c r="Q22" t="s">
        <v>71</v>
      </c>
      <c r="R22">
        <v>0</v>
      </c>
      <c r="S22" t="s">
        <v>71</v>
      </c>
      <c r="T22">
        <v>0</v>
      </c>
      <c r="U22" t="s">
        <v>71</v>
      </c>
      <c r="V22">
        <v>0</v>
      </c>
      <c r="W22" t="s">
        <v>71</v>
      </c>
      <c r="X22">
        <v>0</v>
      </c>
      <c r="Y22">
        <v>2.4721600000000001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0.1</v>
      </c>
      <c r="AK22" t="s">
        <v>95</v>
      </c>
      <c r="AM22">
        <v>200000</v>
      </c>
      <c r="AN22" t="s">
        <v>97</v>
      </c>
      <c r="AO22">
        <v>1</v>
      </c>
      <c r="AP22">
        <v>0</v>
      </c>
      <c r="AQ22">
        <v>16666.666666666668</v>
      </c>
      <c r="AR22" t="s">
        <v>200</v>
      </c>
      <c r="AS22" t="s">
        <v>75</v>
      </c>
      <c r="AX22" t="s">
        <v>76</v>
      </c>
      <c r="AY22" t="s">
        <v>71</v>
      </c>
      <c r="AZ22">
        <v>0</v>
      </c>
      <c r="BA22" t="s">
        <v>71</v>
      </c>
      <c r="BB22">
        <v>0</v>
      </c>
      <c r="BD22">
        <v>2.4721600000000001</v>
      </c>
    </row>
    <row r="23" spans="1:56" x14ac:dyDescent="0.15">
      <c r="A23" s="4" t="str">
        <f>HYPERLINK("https://ibp.a2mac1.com/costing(costing:projects/details/9760/part/8410902)","Compressor - Receiver Line")</f>
        <v>Compressor - Receiver Line</v>
      </c>
      <c r="B23">
        <v>8410902</v>
      </c>
      <c r="C23">
        <v>8410877</v>
      </c>
      <c r="E23">
        <v>4.66228</v>
      </c>
      <c r="F23">
        <v>0</v>
      </c>
      <c r="G23">
        <v>0</v>
      </c>
      <c r="H23">
        <v>0</v>
      </c>
      <c r="I23" t="s">
        <v>71</v>
      </c>
      <c r="J23">
        <v>0</v>
      </c>
      <c r="K23">
        <v>4.66228</v>
      </c>
      <c r="L23">
        <v>0</v>
      </c>
      <c r="M23">
        <v>0</v>
      </c>
      <c r="N23">
        <v>4.66228</v>
      </c>
      <c r="O23" t="s">
        <v>71</v>
      </c>
      <c r="P23">
        <v>0</v>
      </c>
      <c r="Q23" t="s">
        <v>71</v>
      </c>
      <c r="R23">
        <v>0</v>
      </c>
      <c r="S23" t="s">
        <v>71</v>
      </c>
      <c r="T23">
        <v>0</v>
      </c>
      <c r="U23" t="s">
        <v>71</v>
      </c>
      <c r="V23">
        <v>0</v>
      </c>
      <c r="W23" t="s">
        <v>71</v>
      </c>
      <c r="X23">
        <v>0</v>
      </c>
      <c r="Y23">
        <v>4.66228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0.309</v>
      </c>
      <c r="AK23" t="s">
        <v>95</v>
      </c>
      <c r="AM23">
        <v>200000</v>
      </c>
      <c r="AN23" t="s">
        <v>97</v>
      </c>
      <c r="AO23">
        <v>1</v>
      </c>
      <c r="AP23">
        <v>0</v>
      </c>
      <c r="AQ23">
        <v>16666.666666666668</v>
      </c>
      <c r="AR23" t="s">
        <v>203</v>
      </c>
      <c r="AS23" t="s">
        <v>75</v>
      </c>
      <c r="AX23" t="s">
        <v>76</v>
      </c>
      <c r="AY23" t="s">
        <v>71</v>
      </c>
      <c r="AZ23">
        <v>0</v>
      </c>
      <c r="BA23" t="s">
        <v>71</v>
      </c>
      <c r="BB23">
        <v>0</v>
      </c>
      <c r="BD23">
        <v>4.66228</v>
      </c>
    </row>
    <row r="24" spans="1:56" x14ac:dyDescent="0.15">
      <c r="A24" s="4" t="str">
        <f>HYPERLINK("https://ibp.a2mac1.com/costing(costing:projects/details/9760/part/8410903)","Condenser - Valve Line")</f>
        <v>Condenser - Valve Line</v>
      </c>
      <c r="B24">
        <v>8410903</v>
      </c>
      <c r="C24">
        <v>8410877</v>
      </c>
      <c r="E24">
        <v>3.9182800000000002</v>
      </c>
      <c r="F24">
        <v>0</v>
      </c>
      <c r="G24">
        <v>0</v>
      </c>
      <c r="H24">
        <v>0</v>
      </c>
      <c r="I24" t="s">
        <v>71</v>
      </c>
      <c r="J24">
        <v>0</v>
      </c>
      <c r="K24">
        <v>3.9182800000000002</v>
      </c>
      <c r="L24">
        <v>0</v>
      </c>
      <c r="M24">
        <v>0</v>
      </c>
      <c r="N24">
        <v>3.9182800000000002</v>
      </c>
      <c r="O24" t="s">
        <v>71</v>
      </c>
      <c r="P24">
        <v>0</v>
      </c>
      <c r="Q24" t="s">
        <v>71</v>
      </c>
      <c r="R24">
        <v>0</v>
      </c>
      <c r="S24" t="s">
        <v>71</v>
      </c>
      <c r="T24">
        <v>0</v>
      </c>
      <c r="U24" t="s">
        <v>71</v>
      </c>
      <c r="V24">
        <v>0</v>
      </c>
      <c r="W24" t="s">
        <v>71</v>
      </c>
      <c r="X24">
        <v>0</v>
      </c>
      <c r="Y24">
        <v>3.9182800000000002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0.23799999999999999</v>
      </c>
      <c r="AK24" t="s">
        <v>95</v>
      </c>
      <c r="AM24">
        <v>200000</v>
      </c>
      <c r="AN24" t="s">
        <v>97</v>
      </c>
      <c r="AO24">
        <v>1</v>
      </c>
      <c r="AP24">
        <v>0</v>
      </c>
      <c r="AQ24">
        <v>16666.666666666668</v>
      </c>
      <c r="AR24" t="s">
        <v>204</v>
      </c>
      <c r="AS24" t="s">
        <v>75</v>
      </c>
      <c r="AX24" t="s">
        <v>76</v>
      </c>
      <c r="AY24" t="s">
        <v>71</v>
      </c>
      <c r="AZ24">
        <v>0</v>
      </c>
      <c r="BA24" t="s">
        <v>71</v>
      </c>
      <c r="BB24">
        <v>0</v>
      </c>
      <c r="BD24">
        <v>3.9182800000000002</v>
      </c>
    </row>
    <row r="25" spans="1:56" x14ac:dyDescent="0.15">
      <c r="A25" s="4" t="str">
        <f>HYPERLINK("https://ibp.a2mac1.com/costing(costing:projects/details/9760/part/8410904)","Evaporator - Manifold")</f>
        <v>Evaporator - Manifold</v>
      </c>
      <c r="B25">
        <v>8410904</v>
      </c>
      <c r="C25">
        <v>8410877</v>
      </c>
      <c r="E25">
        <v>2.5036100000000001</v>
      </c>
      <c r="F25">
        <v>0</v>
      </c>
      <c r="G25">
        <v>0</v>
      </c>
      <c r="H25">
        <v>0</v>
      </c>
      <c r="I25" t="s">
        <v>71</v>
      </c>
      <c r="J25">
        <v>0</v>
      </c>
      <c r="K25">
        <v>2.5036100000000001</v>
      </c>
      <c r="L25">
        <v>0</v>
      </c>
      <c r="M25">
        <v>0</v>
      </c>
      <c r="N25">
        <v>2.5036100000000001</v>
      </c>
      <c r="O25" t="s">
        <v>71</v>
      </c>
      <c r="P25">
        <v>0</v>
      </c>
      <c r="Q25" t="s">
        <v>71</v>
      </c>
      <c r="R25">
        <v>0</v>
      </c>
      <c r="S25" t="s">
        <v>71</v>
      </c>
      <c r="T25">
        <v>0</v>
      </c>
      <c r="U25" t="s">
        <v>71</v>
      </c>
      <c r="V25">
        <v>0</v>
      </c>
      <c r="W25" t="s">
        <v>71</v>
      </c>
      <c r="X25">
        <v>0</v>
      </c>
      <c r="Y25">
        <v>2.5036100000000001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0.10299999999999999</v>
      </c>
      <c r="AK25" t="s">
        <v>95</v>
      </c>
      <c r="AM25">
        <v>200000</v>
      </c>
      <c r="AN25" t="s">
        <v>97</v>
      </c>
      <c r="AO25">
        <v>1</v>
      </c>
      <c r="AP25">
        <v>0</v>
      </c>
      <c r="AQ25">
        <v>16666.666666666668</v>
      </c>
      <c r="AR25" t="s">
        <v>205</v>
      </c>
      <c r="AS25" t="s">
        <v>75</v>
      </c>
      <c r="AX25" t="s">
        <v>76</v>
      </c>
      <c r="AY25" t="s">
        <v>71</v>
      </c>
      <c r="AZ25">
        <v>0</v>
      </c>
      <c r="BA25" t="s">
        <v>71</v>
      </c>
      <c r="BB25">
        <v>0</v>
      </c>
      <c r="BD25">
        <v>2.5036100000000001</v>
      </c>
    </row>
    <row r="26" spans="1:56" x14ac:dyDescent="0.15">
      <c r="A26" s="4" t="str">
        <f>HYPERLINK("https://ibp.a2mac1.com/costing(costing:projects/details/9760/part/8410905)","Coupling Manifold - Evaporator")</f>
        <v>Coupling Manifold - Evaporator</v>
      </c>
      <c r="B26">
        <v>8410905</v>
      </c>
      <c r="C26">
        <v>8410877</v>
      </c>
      <c r="E26">
        <v>3.3838499999999998</v>
      </c>
      <c r="F26">
        <v>0</v>
      </c>
      <c r="G26">
        <v>0</v>
      </c>
      <c r="H26">
        <v>0</v>
      </c>
      <c r="I26" t="s">
        <v>71</v>
      </c>
      <c r="J26">
        <v>0</v>
      </c>
      <c r="K26">
        <v>3.3838499999999998</v>
      </c>
      <c r="L26">
        <v>0</v>
      </c>
      <c r="M26">
        <v>0</v>
      </c>
      <c r="N26">
        <v>3.3838499999999998</v>
      </c>
      <c r="O26" t="s">
        <v>71</v>
      </c>
      <c r="P26">
        <v>0</v>
      </c>
      <c r="Q26" t="s">
        <v>71</v>
      </c>
      <c r="R26">
        <v>0</v>
      </c>
      <c r="S26" t="s">
        <v>71</v>
      </c>
      <c r="T26">
        <v>0</v>
      </c>
      <c r="U26" t="s">
        <v>71</v>
      </c>
      <c r="V26">
        <v>0</v>
      </c>
      <c r="W26" t="s">
        <v>71</v>
      </c>
      <c r="X26">
        <v>0</v>
      </c>
      <c r="Y26">
        <v>3.3838499999999998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0.187</v>
      </c>
      <c r="AK26" t="s">
        <v>95</v>
      </c>
      <c r="AM26">
        <v>200000</v>
      </c>
      <c r="AN26" t="s">
        <v>97</v>
      </c>
      <c r="AO26">
        <v>1</v>
      </c>
      <c r="AP26">
        <v>0</v>
      </c>
      <c r="AQ26">
        <v>16666.666666666668</v>
      </c>
      <c r="AR26" t="s">
        <v>206</v>
      </c>
      <c r="AS26" t="s">
        <v>75</v>
      </c>
      <c r="AX26" t="s">
        <v>76</v>
      </c>
      <c r="AY26" t="s">
        <v>71</v>
      </c>
      <c r="AZ26">
        <v>0</v>
      </c>
      <c r="BA26" t="s">
        <v>71</v>
      </c>
      <c r="BB26">
        <v>0</v>
      </c>
      <c r="BD26">
        <v>3.3838499999999998</v>
      </c>
    </row>
    <row r="27" spans="1:56" x14ac:dyDescent="0.15">
      <c r="A27" s="4" t="str">
        <f>HYPERLINK("https://ibp.a2mac1.com/costing(costing:projects/details/9760/part/8410878)","AC Line Support 1")</f>
        <v>AC Line Support 1</v>
      </c>
      <c r="B27">
        <v>8410878</v>
      </c>
      <c r="C27">
        <v>8410835</v>
      </c>
      <c r="D27" t="s">
        <v>210</v>
      </c>
      <c r="E27">
        <v>0.12844</v>
      </c>
      <c r="F27">
        <v>0</v>
      </c>
      <c r="G27">
        <v>0</v>
      </c>
      <c r="H27">
        <v>0</v>
      </c>
      <c r="I27" t="s">
        <v>71</v>
      </c>
      <c r="J27">
        <v>0</v>
      </c>
      <c r="K27">
        <v>0.12844</v>
      </c>
      <c r="L27">
        <v>0</v>
      </c>
      <c r="M27">
        <v>0</v>
      </c>
      <c r="N27">
        <v>0.12844</v>
      </c>
      <c r="O27" t="s">
        <v>71</v>
      </c>
      <c r="P27">
        <v>0</v>
      </c>
      <c r="Q27" t="s">
        <v>71</v>
      </c>
      <c r="R27">
        <v>0</v>
      </c>
      <c r="S27" t="s">
        <v>71</v>
      </c>
      <c r="T27">
        <v>0</v>
      </c>
      <c r="U27" t="s">
        <v>71</v>
      </c>
      <c r="V27">
        <v>0</v>
      </c>
      <c r="W27" t="s">
        <v>71</v>
      </c>
      <c r="X27">
        <v>0</v>
      </c>
      <c r="Y27">
        <v>0.12844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57</v>
      </c>
      <c r="AF27">
        <v>56</v>
      </c>
      <c r="AG27">
        <v>20</v>
      </c>
      <c r="AH27">
        <v>0</v>
      </c>
      <c r="AI27">
        <v>2.1000000000000001E-2</v>
      </c>
      <c r="AK27" t="s">
        <v>100</v>
      </c>
      <c r="AM27">
        <v>200000</v>
      </c>
      <c r="AN27" t="s">
        <v>97</v>
      </c>
      <c r="AO27">
        <v>1</v>
      </c>
      <c r="AP27">
        <v>0</v>
      </c>
      <c r="AQ27">
        <v>16666.666666666668</v>
      </c>
      <c r="AR27" t="s">
        <v>211</v>
      </c>
      <c r="AS27" t="s">
        <v>75</v>
      </c>
      <c r="AX27" t="s">
        <v>76</v>
      </c>
      <c r="AY27" t="s">
        <v>71</v>
      </c>
      <c r="AZ27">
        <v>0</v>
      </c>
      <c r="BA27" t="s">
        <v>71</v>
      </c>
      <c r="BB27">
        <v>0</v>
      </c>
      <c r="BD27">
        <v>0.12844</v>
      </c>
    </row>
    <row r="28" spans="1:56" x14ac:dyDescent="0.15">
      <c r="A28" s="4" t="str">
        <f>HYPERLINK("https://ibp.a2mac1.com/costing(costing:projects/details/9760/part/8410879)","AC Line Support 2")</f>
        <v>AC Line Support 2</v>
      </c>
      <c r="B28">
        <v>8410879</v>
      </c>
      <c r="C28">
        <v>8410835</v>
      </c>
      <c r="D28" t="s">
        <v>210</v>
      </c>
      <c r="E28">
        <v>0.15434</v>
      </c>
      <c r="F28">
        <v>0</v>
      </c>
      <c r="G28">
        <v>0</v>
      </c>
      <c r="H28">
        <v>0</v>
      </c>
      <c r="I28" t="s">
        <v>71</v>
      </c>
      <c r="J28">
        <v>0</v>
      </c>
      <c r="K28">
        <v>0.15434</v>
      </c>
      <c r="L28">
        <v>0</v>
      </c>
      <c r="M28">
        <v>0</v>
      </c>
      <c r="N28">
        <v>0.15434</v>
      </c>
      <c r="O28" t="s">
        <v>71</v>
      </c>
      <c r="P28">
        <v>0</v>
      </c>
      <c r="Q28" t="s">
        <v>71</v>
      </c>
      <c r="R28">
        <v>0</v>
      </c>
      <c r="S28" t="s">
        <v>71</v>
      </c>
      <c r="T28">
        <v>0</v>
      </c>
      <c r="U28" t="s">
        <v>71</v>
      </c>
      <c r="V28">
        <v>0</v>
      </c>
      <c r="W28" t="s">
        <v>71</v>
      </c>
      <c r="X28">
        <v>0</v>
      </c>
      <c r="Y28">
        <v>0.15434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34</v>
      </c>
      <c r="AF28">
        <v>83</v>
      </c>
      <c r="AG28">
        <v>61</v>
      </c>
      <c r="AH28">
        <v>0</v>
      </c>
      <c r="AI28">
        <v>3.7999999999999999E-2</v>
      </c>
      <c r="AK28" t="s">
        <v>100</v>
      </c>
      <c r="AM28">
        <v>200000</v>
      </c>
      <c r="AN28" t="s">
        <v>97</v>
      </c>
      <c r="AO28">
        <v>1</v>
      </c>
      <c r="AP28">
        <v>0</v>
      </c>
      <c r="AQ28">
        <v>16666.666666666668</v>
      </c>
      <c r="AR28" t="s">
        <v>212</v>
      </c>
      <c r="AS28" t="s">
        <v>75</v>
      </c>
      <c r="AX28" t="s">
        <v>76</v>
      </c>
      <c r="AY28" t="s">
        <v>71</v>
      </c>
      <c r="AZ28">
        <v>0</v>
      </c>
      <c r="BA28" t="s">
        <v>71</v>
      </c>
      <c r="BB28">
        <v>0</v>
      </c>
      <c r="BD28">
        <v>0.15434</v>
      </c>
    </row>
    <row r="29" spans="1:56" x14ac:dyDescent="0.15">
      <c r="A29" s="4" t="str">
        <f>HYPERLINK("https://ibp.a2mac1.com/costing(costing:projects/details/9760/part/8410880)","Valve Actuator 1")</f>
        <v>Valve Actuator 1</v>
      </c>
      <c r="B29">
        <v>8410880</v>
      </c>
      <c r="C29">
        <v>8410836</v>
      </c>
      <c r="E29">
        <v>3.4999899999999999</v>
      </c>
      <c r="F29">
        <v>0</v>
      </c>
      <c r="G29">
        <v>0</v>
      </c>
      <c r="H29">
        <v>0</v>
      </c>
      <c r="I29" t="s">
        <v>71</v>
      </c>
      <c r="J29">
        <v>0</v>
      </c>
      <c r="K29">
        <v>3.4999899999999999</v>
      </c>
      <c r="L29">
        <v>0</v>
      </c>
      <c r="M29">
        <v>0</v>
      </c>
      <c r="N29">
        <v>3.4999899999999999</v>
      </c>
      <c r="O29" t="s">
        <v>71</v>
      </c>
      <c r="P29">
        <v>0</v>
      </c>
      <c r="Q29" t="s">
        <v>71</v>
      </c>
      <c r="R29">
        <v>0</v>
      </c>
      <c r="S29" t="s">
        <v>71</v>
      </c>
      <c r="T29">
        <v>0</v>
      </c>
      <c r="U29" t="s">
        <v>71</v>
      </c>
      <c r="V29">
        <v>0</v>
      </c>
      <c r="W29" t="s">
        <v>71</v>
      </c>
      <c r="X29">
        <v>0</v>
      </c>
      <c r="Y29">
        <v>3.4999899999999999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34</v>
      </c>
      <c r="AF29">
        <v>55</v>
      </c>
      <c r="AG29">
        <v>24</v>
      </c>
      <c r="AH29">
        <v>0</v>
      </c>
      <c r="AI29">
        <v>7.5999999999999998E-2</v>
      </c>
      <c r="AK29" t="s">
        <v>95</v>
      </c>
      <c r="AM29">
        <v>200000</v>
      </c>
      <c r="AN29" t="s">
        <v>97</v>
      </c>
      <c r="AO29">
        <v>1</v>
      </c>
      <c r="AP29">
        <v>0</v>
      </c>
      <c r="AQ29">
        <v>16666.666666666668</v>
      </c>
      <c r="AR29" t="s">
        <v>215</v>
      </c>
      <c r="AS29" t="s">
        <v>75</v>
      </c>
      <c r="AX29" t="s">
        <v>76</v>
      </c>
      <c r="AY29" t="s">
        <v>71</v>
      </c>
      <c r="AZ29">
        <v>0</v>
      </c>
      <c r="BA29" t="s">
        <v>71</v>
      </c>
      <c r="BB29">
        <v>0</v>
      </c>
      <c r="BD29">
        <v>3.4999899999999999</v>
      </c>
    </row>
    <row r="30" spans="1:56" x14ac:dyDescent="0.15">
      <c r="A30" s="4" t="str">
        <f>HYPERLINK("https://ibp.a2mac1.com/costing(costing:projects/details/9760/part/8410881)","Valve Actuator 2")</f>
        <v>Valve Actuator 2</v>
      </c>
      <c r="B30">
        <v>8410881</v>
      </c>
      <c r="C30">
        <v>8410836</v>
      </c>
      <c r="E30">
        <v>3.4999899999999999</v>
      </c>
      <c r="F30">
        <v>0</v>
      </c>
      <c r="G30">
        <v>0</v>
      </c>
      <c r="H30">
        <v>0</v>
      </c>
      <c r="I30" t="s">
        <v>71</v>
      </c>
      <c r="J30">
        <v>0</v>
      </c>
      <c r="K30">
        <v>3.4999899999999999</v>
      </c>
      <c r="L30">
        <v>0</v>
      </c>
      <c r="M30">
        <v>0</v>
      </c>
      <c r="N30">
        <v>3.4999899999999999</v>
      </c>
      <c r="O30" t="s">
        <v>71</v>
      </c>
      <c r="P30">
        <v>0</v>
      </c>
      <c r="Q30" t="s">
        <v>71</v>
      </c>
      <c r="R30">
        <v>0</v>
      </c>
      <c r="S30" t="s">
        <v>71</v>
      </c>
      <c r="T30">
        <v>0</v>
      </c>
      <c r="U30" t="s">
        <v>71</v>
      </c>
      <c r="V30">
        <v>0</v>
      </c>
      <c r="W30" t="s">
        <v>71</v>
      </c>
      <c r="X30">
        <v>0</v>
      </c>
      <c r="Y30">
        <v>3.4999899999999999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34</v>
      </c>
      <c r="AF30">
        <v>55</v>
      </c>
      <c r="AG30">
        <v>26</v>
      </c>
      <c r="AH30">
        <v>0</v>
      </c>
      <c r="AI30">
        <v>7.6999999999999999E-2</v>
      </c>
      <c r="AK30" t="s">
        <v>95</v>
      </c>
      <c r="AM30">
        <v>200000</v>
      </c>
      <c r="AN30" t="s">
        <v>97</v>
      </c>
      <c r="AO30">
        <v>1</v>
      </c>
      <c r="AP30">
        <v>0</v>
      </c>
      <c r="AQ30">
        <v>16666.666666666668</v>
      </c>
      <c r="AR30" t="s">
        <v>216</v>
      </c>
      <c r="AS30" t="s">
        <v>75</v>
      </c>
      <c r="AX30" t="s">
        <v>76</v>
      </c>
      <c r="AY30" t="s">
        <v>71</v>
      </c>
      <c r="AZ30">
        <v>0</v>
      </c>
      <c r="BA30" t="s">
        <v>71</v>
      </c>
      <c r="BB30">
        <v>0</v>
      </c>
      <c r="BD30">
        <v>3.4999899999999999</v>
      </c>
    </row>
    <row r="31" spans="1:56" x14ac:dyDescent="0.15">
      <c r="A31" s="4" t="str">
        <f>HYPERLINK("https://ibp.a2mac1.com/costing(costing:projects/details/9760/part/8410882)","Valve Actuator 3")</f>
        <v>Valve Actuator 3</v>
      </c>
      <c r="B31">
        <v>8410882</v>
      </c>
      <c r="C31">
        <v>8410836</v>
      </c>
      <c r="E31">
        <v>4.4999900000000004</v>
      </c>
      <c r="F31">
        <v>0</v>
      </c>
      <c r="G31">
        <v>0</v>
      </c>
      <c r="H31">
        <v>0</v>
      </c>
      <c r="I31" t="s">
        <v>71</v>
      </c>
      <c r="J31">
        <v>0</v>
      </c>
      <c r="K31">
        <v>4.4999900000000004</v>
      </c>
      <c r="L31">
        <v>0</v>
      </c>
      <c r="M31">
        <v>0</v>
      </c>
      <c r="N31">
        <v>4.4999900000000004</v>
      </c>
      <c r="O31" t="s">
        <v>71</v>
      </c>
      <c r="P31">
        <v>0</v>
      </c>
      <c r="Q31" t="s">
        <v>71</v>
      </c>
      <c r="R31">
        <v>0</v>
      </c>
      <c r="S31" t="s">
        <v>71</v>
      </c>
      <c r="T31">
        <v>0</v>
      </c>
      <c r="U31" t="s">
        <v>71</v>
      </c>
      <c r="V31">
        <v>0</v>
      </c>
      <c r="W31" t="s">
        <v>71</v>
      </c>
      <c r="X31">
        <v>0</v>
      </c>
      <c r="Y31">
        <v>4.4999900000000004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56</v>
      </c>
      <c r="AF31">
        <v>41</v>
      </c>
      <c r="AG31">
        <v>71</v>
      </c>
      <c r="AH31">
        <v>0</v>
      </c>
      <c r="AI31">
        <v>0.112</v>
      </c>
      <c r="AK31" t="s">
        <v>95</v>
      </c>
      <c r="AM31">
        <v>200000</v>
      </c>
      <c r="AN31" t="s">
        <v>97</v>
      </c>
      <c r="AO31">
        <v>1</v>
      </c>
      <c r="AP31">
        <v>0</v>
      </c>
      <c r="AQ31">
        <v>16666.666666666668</v>
      </c>
      <c r="AR31" t="s">
        <v>217</v>
      </c>
      <c r="AS31" t="s">
        <v>75</v>
      </c>
      <c r="AX31" t="s">
        <v>76</v>
      </c>
      <c r="AY31" t="s">
        <v>71</v>
      </c>
      <c r="AZ31">
        <v>0</v>
      </c>
      <c r="BA31" t="s">
        <v>71</v>
      </c>
      <c r="BB31">
        <v>0</v>
      </c>
      <c r="BD31">
        <v>4.4999900000000004</v>
      </c>
    </row>
    <row r="32" spans="1:56" x14ac:dyDescent="0.15">
      <c r="A32" s="4" t="str">
        <f>HYPERLINK("https://ibp.a2mac1.com/costing(costing:projects/details/9760/part/8410883)","Valve Actuator 4")</f>
        <v>Valve Actuator 4</v>
      </c>
      <c r="B32">
        <v>8410883</v>
      </c>
      <c r="C32">
        <v>8410836</v>
      </c>
      <c r="E32">
        <v>3.4999899999999999</v>
      </c>
      <c r="F32">
        <v>0</v>
      </c>
      <c r="G32">
        <v>0</v>
      </c>
      <c r="H32">
        <v>0</v>
      </c>
      <c r="I32" t="s">
        <v>71</v>
      </c>
      <c r="J32">
        <v>0</v>
      </c>
      <c r="K32">
        <v>3.4999899999999999</v>
      </c>
      <c r="L32">
        <v>0</v>
      </c>
      <c r="M32">
        <v>0</v>
      </c>
      <c r="N32">
        <v>3.4999899999999999</v>
      </c>
      <c r="O32" t="s">
        <v>71</v>
      </c>
      <c r="P32">
        <v>0</v>
      </c>
      <c r="Q32" t="s">
        <v>71</v>
      </c>
      <c r="R32">
        <v>0</v>
      </c>
      <c r="S32" t="s">
        <v>71</v>
      </c>
      <c r="T32">
        <v>0</v>
      </c>
      <c r="U32" t="s">
        <v>71</v>
      </c>
      <c r="V32">
        <v>0</v>
      </c>
      <c r="W32" t="s">
        <v>71</v>
      </c>
      <c r="X32">
        <v>0</v>
      </c>
      <c r="Y32">
        <v>3.4999899999999999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34</v>
      </c>
      <c r="AF32">
        <v>55</v>
      </c>
      <c r="AG32">
        <v>26</v>
      </c>
      <c r="AH32">
        <v>0</v>
      </c>
      <c r="AI32">
        <v>7.6999999999999999E-2</v>
      </c>
      <c r="AK32" t="s">
        <v>95</v>
      </c>
      <c r="AM32">
        <v>200000</v>
      </c>
      <c r="AN32" t="s">
        <v>97</v>
      </c>
      <c r="AO32">
        <v>1</v>
      </c>
      <c r="AP32">
        <v>0</v>
      </c>
      <c r="AQ32">
        <v>16666.666666666668</v>
      </c>
      <c r="AR32" t="s">
        <v>218</v>
      </c>
      <c r="AS32" t="s">
        <v>75</v>
      </c>
      <c r="AX32" t="s">
        <v>76</v>
      </c>
      <c r="AY32" t="s">
        <v>71</v>
      </c>
      <c r="AZ32">
        <v>0</v>
      </c>
      <c r="BA32" t="s">
        <v>71</v>
      </c>
      <c r="BB32">
        <v>0</v>
      </c>
      <c r="BD32">
        <v>3.4999899999999999</v>
      </c>
    </row>
    <row r="33" spans="1:56" x14ac:dyDescent="0.15">
      <c r="A33" s="4" t="str">
        <f>HYPERLINK("https://ibp.a2mac1.com/costing(costing:projects/details/9760/part/8410884)","Valve Actuator 5")</f>
        <v>Valve Actuator 5</v>
      </c>
      <c r="B33">
        <v>8410884</v>
      </c>
      <c r="C33">
        <v>8410836</v>
      </c>
      <c r="E33">
        <v>3.4999899999999999</v>
      </c>
      <c r="F33">
        <v>0</v>
      </c>
      <c r="G33">
        <v>0</v>
      </c>
      <c r="H33">
        <v>0</v>
      </c>
      <c r="I33" t="s">
        <v>71</v>
      </c>
      <c r="J33">
        <v>0</v>
      </c>
      <c r="K33">
        <v>3.4999899999999999</v>
      </c>
      <c r="L33">
        <v>0</v>
      </c>
      <c r="M33">
        <v>0</v>
      </c>
      <c r="N33">
        <v>3.4999899999999999</v>
      </c>
      <c r="O33" t="s">
        <v>71</v>
      </c>
      <c r="P33">
        <v>0</v>
      </c>
      <c r="Q33" t="s">
        <v>71</v>
      </c>
      <c r="R33">
        <v>0</v>
      </c>
      <c r="S33" t="s">
        <v>71</v>
      </c>
      <c r="T33">
        <v>0</v>
      </c>
      <c r="U33" t="s">
        <v>71</v>
      </c>
      <c r="V33">
        <v>0</v>
      </c>
      <c r="W33" t="s">
        <v>71</v>
      </c>
      <c r="X33">
        <v>0</v>
      </c>
      <c r="Y33">
        <v>3.4999899999999999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41</v>
      </c>
      <c r="AF33">
        <v>71</v>
      </c>
      <c r="AG33">
        <v>56</v>
      </c>
      <c r="AH33">
        <v>0</v>
      </c>
      <c r="AI33">
        <v>0.112</v>
      </c>
      <c r="AK33" t="s">
        <v>95</v>
      </c>
      <c r="AM33">
        <v>200000</v>
      </c>
      <c r="AN33" t="s">
        <v>97</v>
      </c>
      <c r="AO33">
        <v>1</v>
      </c>
      <c r="AP33">
        <v>0</v>
      </c>
      <c r="AQ33">
        <v>16666.666666666668</v>
      </c>
      <c r="AR33" t="s">
        <v>219</v>
      </c>
      <c r="AS33" t="s">
        <v>75</v>
      </c>
      <c r="AX33" t="s">
        <v>76</v>
      </c>
      <c r="AY33" t="s">
        <v>71</v>
      </c>
      <c r="AZ33">
        <v>0</v>
      </c>
      <c r="BA33" t="s">
        <v>71</v>
      </c>
      <c r="BB33">
        <v>0</v>
      </c>
      <c r="BD33">
        <v>3.4999899999999999</v>
      </c>
    </row>
    <row r="34" spans="1:56" x14ac:dyDescent="0.15">
      <c r="A34" s="4" t="str">
        <f>HYPERLINK("https://ibp.a2mac1.com/costing(costing:projects/details/9760/part/8410885)","Valve Actuator 6")</f>
        <v>Valve Actuator 6</v>
      </c>
      <c r="B34">
        <v>8410885</v>
      </c>
      <c r="C34">
        <v>8410836</v>
      </c>
      <c r="E34">
        <v>3.4999899999999999</v>
      </c>
      <c r="F34">
        <v>0</v>
      </c>
      <c r="G34">
        <v>0</v>
      </c>
      <c r="H34">
        <v>0</v>
      </c>
      <c r="I34" t="s">
        <v>71</v>
      </c>
      <c r="J34">
        <v>0</v>
      </c>
      <c r="K34">
        <v>3.4999899999999999</v>
      </c>
      <c r="L34">
        <v>0</v>
      </c>
      <c r="M34">
        <v>0</v>
      </c>
      <c r="N34">
        <v>3.4999899999999999</v>
      </c>
      <c r="O34" t="s">
        <v>71</v>
      </c>
      <c r="P34">
        <v>0</v>
      </c>
      <c r="Q34" t="s">
        <v>71</v>
      </c>
      <c r="R34">
        <v>0</v>
      </c>
      <c r="S34" t="s">
        <v>71</v>
      </c>
      <c r="T34">
        <v>0</v>
      </c>
      <c r="U34" t="s">
        <v>71</v>
      </c>
      <c r="V34">
        <v>0</v>
      </c>
      <c r="W34" t="s">
        <v>71</v>
      </c>
      <c r="X34">
        <v>0</v>
      </c>
      <c r="Y34">
        <v>3.4999899999999999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41</v>
      </c>
      <c r="AF34">
        <v>71</v>
      </c>
      <c r="AG34">
        <v>56</v>
      </c>
      <c r="AH34">
        <v>0</v>
      </c>
      <c r="AI34">
        <v>0.112</v>
      </c>
      <c r="AK34" t="s">
        <v>95</v>
      </c>
      <c r="AM34">
        <v>200000</v>
      </c>
      <c r="AN34" t="s">
        <v>97</v>
      </c>
      <c r="AO34">
        <v>1</v>
      </c>
      <c r="AP34">
        <v>0</v>
      </c>
      <c r="AQ34">
        <v>16666.666666666668</v>
      </c>
      <c r="AR34" t="s">
        <v>220</v>
      </c>
      <c r="AS34" t="s">
        <v>75</v>
      </c>
      <c r="AX34" t="s">
        <v>76</v>
      </c>
      <c r="AY34" t="s">
        <v>71</v>
      </c>
      <c r="AZ34">
        <v>0</v>
      </c>
      <c r="BA34" t="s">
        <v>71</v>
      </c>
      <c r="BB34">
        <v>0</v>
      </c>
      <c r="BD34">
        <v>3.4999899999999999</v>
      </c>
    </row>
    <row r="35" spans="1:56" x14ac:dyDescent="0.15">
      <c r="A35" s="4" t="str">
        <f>HYPERLINK("https://ibp.a2mac1.com/costing(costing:projects/details/9760/part/8410886)","Valve Actuator Support")</f>
        <v>Valve Actuator Support</v>
      </c>
      <c r="B35">
        <v>8410886</v>
      </c>
      <c r="C35">
        <v>8410836</v>
      </c>
      <c r="E35">
        <v>0.15129000000000001</v>
      </c>
      <c r="F35">
        <v>0</v>
      </c>
      <c r="G35">
        <v>0</v>
      </c>
      <c r="H35">
        <v>0</v>
      </c>
      <c r="I35" t="s">
        <v>71</v>
      </c>
      <c r="J35">
        <v>0</v>
      </c>
      <c r="K35">
        <v>0.15129000000000001</v>
      </c>
      <c r="L35">
        <v>0</v>
      </c>
      <c r="M35">
        <v>0</v>
      </c>
      <c r="N35">
        <v>0.15129000000000001</v>
      </c>
      <c r="O35" t="s">
        <v>71</v>
      </c>
      <c r="P35">
        <v>0</v>
      </c>
      <c r="Q35" t="s">
        <v>71</v>
      </c>
      <c r="R35">
        <v>0</v>
      </c>
      <c r="S35" t="s">
        <v>71</v>
      </c>
      <c r="T35">
        <v>0</v>
      </c>
      <c r="U35" t="s">
        <v>71</v>
      </c>
      <c r="V35">
        <v>0</v>
      </c>
      <c r="W35" t="s">
        <v>71</v>
      </c>
      <c r="X35">
        <v>0</v>
      </c>
      <c r="Y35">
        <v>0.15129000000000001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35</v>
      </c>
      <c r="AF35">
        <v>53</v>
      </c>
      <c r="AG35">
        <v>35</v>
      </c>
      <c r="AH35">
        <v>0</v>
      </c>
      <c r="AI35">
        <v>3.5999999999999997E-2</v>
      </c>
      <c r="AK35" t="s">
        <v>100</v>
      </c>
      <c r="AM35">
        <v>200000</v>
      </c>
      <c r="AN35" t="s">
        <v>97</v>
      </c>
      <c r="AO35">
        <v>1</v>
      </c>
      <c r="AP35">
        <v>0</v>
      </c>
      <c r="AQ35">
        <v>16666.666666666668</v>
      </c>
      <c r="AR35" t="s">
        <v>221</v>
      </c>
      <c r="AS35" t="s">
        <v>75</v>
      </c>
      <c r="AX35" t="s">
        <v>76</v>
      </c>
      <c r="AY35" t="s">
        <v>71</v>
      </c>
      <c r="AZ35">
        <v>0</v>
      </c>
      <c r="BA35" t="s">
        <v>71</v>
      </c>
      <c r="BB35">
        <v>0</v>
      </c>
      <c r="BD35">
        <v>0.15129000000000001</v>
      </c>
    </row>
    <row r="36" spans="1:56" x14ac:dyDescent="0.15">
      <c r="A36" s="4" t="str">
        <f>HYPERLINK("https://ibp.a2mac1.com/costing(costing:projects/details/9760/part/8410887)","Valve Actuator Support 2")</f>
        <v>Valve Actuator Support 2</v>
      </c>
      <c r="B36">
        <v>8410887</v>
      </c>
      <c r="C36">
        <v>8410836</v>
      </c>
      <c r="E36">
        <v>0.15282000000000001</v>
      </c>
      <c r="F36">
        <v>0</v>
      </c>
      <c r="G36">
        <v>0</v>
      </c>
      <c r="H36">
        <v>0</v>
      </c>
      <c r="I36" t="s">
        <v>71</v>
      </c>
      <c r="J36">
        <v>0</v>
      </c>
      <c r="K36">
        <v>0.15282000000000001</v>
      </c>
      <c r="L36">
        <v>0</v>
      </c>
      <c r="M36">
        <v>0</v>
      </c>
      <c r="N36">
        <v>0.15282000000000001</v>
      </c>
      <c r="O36" t="s">
        <v>71</v>
      </c>
      <c r="P36">
        <v>0</v>
      </c>
      <c r="Q36" t="s">
        <v>71</v>
      </c>
      <c r="R36">
        <v>0</v>
      </c>
      <c r="S36" t="s">
        <v>71</v>
      </c>
      <c r="T36">
        <v>0</v>
      </c>
      <c r="U36" t="s">
        <v>71</v>
      </c>
      <c r="V36">
        <v>0</v>
      </c>
      <c r="W36" t="s">
        <v>71</v>
      </c>
      <c r="X36">
        <v>0</v>
      </c>
      <c r="Y36">
        <v>0.15282000000000001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35</v>
      </c>
      <c r="AF36">
        <v>40</v>
      </c>
      <c r="AG36">
        <v>39</v>
      </c>
      <c r="AH36">
        <v>0</v>
      </c>
      <c r="AI36">
        <v>3.6999999999999998E-2</v>
      </c>
      <c r="AK36" t="s">
        <v>100</v>
      </c>
      <c r="AM36">
        <v>200000</v>
      </c>
      <c r="AN36" t="s">
        <v>97</v>
      </c>
      <c r="AO36">
        <v>1</v>
      </c>
      <c r="AP36">
        <v>0</v>
      </c>
      <c r="AQ36">
        <v>16666.666666666668</v>
      </c>
      <c r="AR36" t="s">
        <v>222</v>
      </c>
      <c r="AS36" t="s">
        <v>75</v>
      </c>
      <c r="AX36" t="s">
        <v>76</v>
      </c>
      <c r="AY36" t="s">
        <v>71</v>
      </c>
      <c r="AZ36">
        <v>0</v>
      </c>
      <c r="BA36" t="s">
        <v>71</v>
      </c>
      <c r="BB36">
        <v>0</v>
      </c>
      <c r="BD36">
        <v>0.15282000000000001</v>
      </c>
    </row>
    <row r="37" spans="1:56" x14ac:dyDescent="0.15">
      <c r="A37" s="4" t="str">
        <f>HYPERLINK("https://ibp.a2mac1.com/costing(costing:projects/details/9760/part/8410888)","Valve Actuator Support 3")</f>
        <v>Valve Actuator Support 3</v>
      </c>
      <c r="B37">
        <v>8410888</v>
      </c>
      <c r="C37">
        <v>8410836</v>
      </c>
      <c r="E37">
        <v>0.15282000000000001</v>
      </c>
      <c r="F37">
        <v>0</v>
      </c>
      <c r="G37">
        <v>0</v>
      </c>
      <c r="H37">
        <v>0</v>
      </c>
      <c r="I37" t="s">
        <v>71</v>
      </c>
      <c r="J37">
        <v>0</v>
      </c>
      <c r="K37">
        <v>0.15282000000000001</v>
      </c>
      <c r="L37">
        <v>0</v>
      </c>
      <c r="M37">
        <v>0</v>
      </c>
      <c r="N37">
        <v>0.15282000000000001</v>
      </c>
      <c r="O37" t="s">
        <v>71</v>
      </c>
      <c r="P37">
        <v>0</v>
      </c>
      <c r="Q37" t="s">
        <v>71</v>
      </c>
      <c r="R37">
        <v>0</v>
      </c>
      <c r="S37" t="s">
        <v>71</v>
      </c>
      <c r="T37">
        <v>0</v>
      </c>
      <c r="U37" t="s">
        <v>71</v>
      </c>
      <c r="V37">
        <v>0</v>
      </c>
      <c r="W37" t="s">
        <v>71</v>
      </c>
      <c r="X37">
        <v>0</v>
      </c>
      <c r="Y37">
        <v>0.15282000000000001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35</v>
      </c>
      <c r="AF37">
        <v>41</v>
      </c>
      <c r="AG37">
        <v>39</v>
      </c>
      <c r="AH37">
        <v>0</v>
      </c>
      <c r="AI37">
        <v>3.6999999999999998E-2</v>
      </c>
      <c r="AK37" t="s">
        <v>100</v>
      </c>
      <c r="AM37">
        <v>200000</v>
      </c>
      <c r="AN37" t="s">
        <v>97</v>
      </c>
      <c r="AO37">
        <v>1</v>
      </c>
      <c r="AP37">
        <v>0</v>
      </c>
      <c r="AQ37">
        <v>16666.666666666668</v>
      </c>
      <c r="AR37" t="s">
        <v>223</v>
      </c>
      <c r="AS37" t="s">
        <v>75</v>
      </c>
      <c r="AX37" t="s">
        <v>76</v>
      </c>
      <c r="AY37" t="s">
        <v>71</v>
      </c>
      <c r="AZ37">
        <v>0</v>
      </c>
      <c r="BA37" t="s">
        <v>71</v>
      </c>
      <c r="BB37">
        <v>0</v>
      </c>
      <c r="BD37">
        <v>0.15282000000000001</v>
      </c>
    </row>
    <row r="38" spans="1:56" x14ac:dyDescent="0.15">
      <c r="A38" s="4" t="str">
        <f>HYPERLINK("https://ibp.a2mac1.com/costing(costing:projects/details/9760/part/8410889)","Valve 1")</f>
        <v>Valve 1</v>
      </c>
      <c r="B38">
        <v>8410889</v>
      </c>
      <c r="C38">
        <v>8410836</v>
      </c>
      <c r="E38">
        <v>5</v>
      </c>
      <c r="F38">
        <v>0</v>
      </c>
      <c r="G38">
        <v>0</v>
      </c>
      <c r="H38">
        <v>0</v>
      </c>
      <c r="I38" t="s">
        <v>71</v>
      </c>
      <c r="J38">
        <v>0</v>
      </c>
      <c r="K38">
        <v>5</v>
      </c>
      <c r="L38">
        <v>0</v>
      </c>
      <c r="M38">
        <v>0</v>
      </c>
      <c r="N38">
        <v>5</v>
      </c>
      <c r="O38" t="s">
        <v>71</v>
      </c>
      <c r="P38">
        <v>0</v>
      </c>
      <c r="Q38" t="s">
        <v>71</v>
      </c>
      <c r="R38">
        <v>0</v>
      </c>
      <c r="S38" t="s">
        <v>71</v>
      </c>
      <c r="T38">
        <v>0</v>
      </c>
      <c r="U38" t="s">
        <v>71</v>
      </c>
      <c r="V38">
        <v>0</v>
      </c>
      <c r="W38" t="s">
        <v>71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36</v>
      </c>
      <c r="AF38">
        <v>36</v>
      </c>
      <c r="AG38">
        <v>64</v>
      </c>
      <c r="AH38">
        <v>0</v>
      </c>
      <c r="AI38">
        <v>7.0000000000000007E-2</v>
      </c>
      <c r="AK38" t="s">
        <v>95</v>
      </c>
      <c r="AM38">
        <v>200000</v>
      </c>
      <c r="AN38" t="s">
        <v>97</v>
      </c>
      <c r="AO38">
        <v>1</v>
      </c>
      <c r="AP38">
        <v>0</v>
      </c>
      <c r="AQ38">
        <v>16666.666666666668</v>
      </c>
      <c r="AR38" t="s">
        <v>224</v>
      </c>
      <c r="AS38" t="s">
        <v>75</v>
      </c>
      <c r="AX38" t="s">
        <v>76</v>
      </c>
      <c r="AY38" t="s">
        <v>71</v>
      </c>
      <c r="AZ38">
        <v>0</v>
      </c>
      <c r="BA38" t="s">
        <v>71</v>
      </c>
      <c r="BB38">
        <v>0</v>
      </c>
      <c r="BD38">
        <v>5</v>
      </c>
    </row>
    <row r="39" spans="1:56" x14ac:dyDescent="0.15">
      <c r="A39" s="4" t="str">
        <f>HYPERLINK("https://ibp.a2mac1.com/costing(costing:projects/details/9760/part/8410890)","Valve 2")</f>
        <v>Valve 2</v>
      </c>
      <c r="B39">
        <v>8410890</v>
      </c>
      <c r="C39">
        <v>8410836</v>
      </c>
      <c r="E39">
        <v>5</v>
      </c>
      <c r="F39">
        <v>0</v>
      </c>
      <c r="G39">
        <v>0</v>
      </c>
      <c r="H39">
        <v>0</v>
      </c>
      <c r="I39" t="s">
        <v>71</v>
      </c>
      <c r="J39">
        <v>0</v>
      </c>
      <c r="K39">
        <v>5</v>
      </c>
      <c r="L39">
        <v>0</v>
      </c>
      <c r="M39">
        <v>0</v>
      </c>
      <c r="N39">
        <v>5</v>
      </c>
      <c r="O39" t="s">
        <v>71</v>
      </c>
      <c r="P39">
        <v>0</v>
      </c>
      <c r="Q39" t="s">
        <v>71</v>
      </c>
      <c r="R39">
        <v>0</v>
      </c>
      <c r="S39" t="s">
        <v>71</v>
      </c>
      <c r="T39">
        <v>0</v>
      </c>
      <c r="U39" t="s">
        <v>71</v>
      </c>
      <c r="V39">
        <v>0</v>
      </c>
      <c r="W39" t="s">
        <v>71</v>
      </c>
      <c r="X39">
        <v>0</v>
      </c>
      <c r="Y39">
        <v>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36</v>
      </c>
      <c r="AF39">
        <v>36</v>
      </c>
      <c r="AG39">
        <v>64</v>
      </c>
      <c r="AH39">
        <v>0</v>
      </c>
      <c r="AI39">
        <v>6.9000000000000006E-2</v>
      </c>
      <c r="AK39" t="s">
        <v>95</v>
      </c>
      <c r="AM39">
        <v>200000</v>
      </c>
      <c r="AN39" t="s">
        <v>97</v>
      </c>
      <c r="AO39">
        <v>1</v>
      </c>
      <c r="AP39">
        <v>0</v>
      </c>
      <c r="AQ39">
        <v>16666.666666666668</v>
      </c>
      <c r="AR39" t="s">
        <v>225</v>
      </c>
      <c r="AS39" t="s">
        <v>75</v>
      </c>
      <c r="AX39" t="s">
        <v>76</v>
      </c>
      <c r="AY39" t="s">
        <v>71</v>
      </c>
      <c r="AZ39">
        <v>0</v>
      </c>
      <c r="BA39" t="s">
        <v>71</v>
      </c>
      <c r="BB39">
        <v>0</v>
      </c>
      <c r="BD39">
        <v>5</v>
      </c>
    </row>
    <row r="40" spans="1:56" x14ac:dyDescent="0.15">
      <c r="A40" s="4" t="str">
        <f>HYPERLINK("https://ibp.a2mac1.com/costing(costing:projects/details/9760/part/8410891)","Valve 3")</f>
        <v>Valve 3</v>
      </c>
      <c r="B40">
        <v>8410891</v>
      </c>
      <c r="C40">
        <v>8410836</v>
      </c>
      <c r="E40">
        <v>5</v>
      </c>
      <c r="F40">
        <v>0</v>
      </c>
      <c r="G40">
        <v>0</v>
      </c>
      <c r="H40">
        <v>0</v>
      </c>
      <c r="I40" t="s">
        <v>71</v>
      </c>
      <c r="J40">
        <v>0</v>
      </c>
      <c r="K40">
        <v>5</v>
      </c>
      <c r="L40">
        <v>0</v>
      </c>
      <c r="M40">
        <v>0</v>
      </c>
      <c r="N40">
        <v>5</v>
      </c>
      <c r="O40" t="s">
        <v>71</v>
      </c>
      <c r="P40">
        <v>0</v>
      </c>
      <c r="Q40" t="s">
        <v>71</v>
      </c>
      <c r="R40">
        <v>0</v>
      </c>
      <c r="S40" t="s">
        <v>71</v>
      </c>
      <c r="T40">
        <v>0</v>
      </c>
      <c r="U40" t="s">
        <v>71</v>
      </c>
      <c r="V40">
        <v>0</v>
      </c>
      <c r="W40" t="s">
        <v>71</v>
      </c>
      <c r="X40">
        <v>0</v>
      </c>
      <c r="Y40">
        <v>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36</v>
      </c>
      <c r="AF40">
        <v>36</v>
      </c>
      <c r="AG40">
        <v>60</v>
      </c>
      <c r="AH40">
        <v>0</v>
      </c>
      <c r="AI40">
        <v>7.0000000000000007E-2</v>
      </c>
      <c r="AK40" t="s">
        <v>95</v>
      </c>
      <c r="AM40">
        <v>200000</v>
      </c>
      <c r="AN40" t="s">
        <v>97</v>
      </c>
      <c r="AO40">
        <v>1</v>
      </c>
      <c r="AP40">
        <v>0</v>
      </c>
      <c r="AQ40">
        <v>16666.666666666668</v>
      </c>
      <c r="AR40" t="s">
        <v>226</v>
      </c>
      <c r="AS40" t="s">
        <v>75</v>
      </c>
      <c r="AX40" t="s">
        <v>76</v>
      </c>
      <c r="AY40" t="s">
        <v>71</v>
      </c>
      <c r="AZ40">
        <v>0</v>
      </c>
      <c r="BA40" t="s">
        <v>71</v>
      </c>
      <c r="BB40">
        <v>0</v>
      </c>
      <c r="BD40">
        <v>5</v>
      </c>
    </row>
    <row r="41" spans="1:56" x14ac:dyDescent="0.15">
      <c r="A41" s="4" t="str">
        <f>HYPERLINK("https://ibp.a2mac1.com/costing(costing:projects/details/9760/part/8410892)","Valve 4")</f>
        <v>Valve 4</v>
      </c>
      <c r="B41">
        <v>8410892</v>
      </c>
      <c r="C41">
        <v>8410836</v>
      </c>
      <c r="E41">
        <v>5</v>
      </c>
      <c r="F41">
        <v>0</v>
      </c>
      <c r="G41">
        <v>0</v>
      </c>
      <c r="H41">
        <v>0</v>
      </c>
      <c r="I41" t="s">
        <v>71</v>
      </c>
      <c r="J41">
        <v>0</v>
      </c>
      <c r="K41">
        <v>5</v>
      </c>
      <c r="L41">
        <v>0</v>
      </c>
      <c r="M41">
        <v>0</v>
      </c>
      <c r="N41">
        <v>5</v>
      </c>
      <c r="O41" t="s">
        <v>71</v>
      </c>
      <c r="P41">
        <v>0</v>
      </c>
      <c r="Q41" t="s">
        <v>71</v>
      </c>
      <c r="R41">
        <v>0</v>
      </c>
      <c r="S41" t="s">
        <v>71</v>
      </c>
      <c r="T41">
        <v>0</v>
      </c>
      <c r="U41" t="s">
        <v>71</v>
      </c>
      <c r="V41">
        <v>0</v>
      </c>
      <c r="W41" t="s">
        <v>71</v>
      </c>
      <c r="X41">
        <v>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24</v>
      </c>
      <c r="AF41">
        <v>24</v>
      </c>
      <c r="AG41">
        <v>61</v>
      </c>
      <c r="AH41">
        <v>0</v>
      </c>
      <c r="AI41">
        <v>4.3999999999999997E-2</v>
      </c>
      <c r="AK41" t="s">
        <v>95</v>
      </c>
      <c r="AM41">
        <v>200000</v>
      </c>
      <c r="AN41" t="s">
        <v>97</v>
      </c>
      <c r="AO41">
        <v>1</v>
      </c>
      <c r="AP41">
        <v>0</v>
      </c>
      <c r="AQ41">
        <v>16666.666666666668</v>
      </c>
      <c r="AR41" t="s">
        <v>227</v>
      </c>
      <c r="AS41" t="s">
        <v>75</v>
      </c>
      <c r="AX41" t="s">
        <v>76</v>
      </c>
      <c r="AY41" t="s">
        <v>71</v>
      </c>
      <c r="AZ41">
        <v>0</v>
      </c>
      <c r="BA41" t="s">
        <v>71</v>
      </c>
      <c r="BB41">
        <v>0</v>
      </c>
      <c r="BD41">
        <v>5</v>
      </c>
    </row>
    <row r="42" spans="1:56" x14ac:dyDescent="0.15">
      <c r="A42" s="4" t="str">
        <f>HYPERLINK("https://ibp.a2mac1.com/costing(costing:projects/details/9760/part/8410893)","Manifold")</f>
        <v>Manifold</v>
      </c>
      <c r="B42">
        <v>8410893</v>
      </c>
      <c r="C42">
        <v>8410836</v>
      </c>
      <c r="E42">
        <v>7.4915360099999999</v>
      </c>
      <c r="F42">
        <v>0</v>
      </c>
      <c r="G42">
        <v>0</v>
      </c>
      <c r="H42">
        <v>5.5493969190519996</v>
      </c>
      <c r="I42" t="s">
        <v>176</v>
      </c>
      <c r="J42">
        <v>0.29133751149999998</v>
      </c>
      <c r="K42">
        <v>13.332270440552</v>
      </c>
      <c r="L42">
        <v>20.507761656945529</v>
      </c>
      <c r="M42">
        <v>71.777165799309358</v>
      </c>
      <c r="N42">
        <v>85.109436239861353</v>
      </c>
      <c r="O42" t="s">
        <v>177</v>
      </c>
      <c r="P42">
        <v>0.79993622643312001</v>
      </c>
      <c r="Q42" t="s">
        <v>177</v>
      </c>
      <c r="R42">
        <v>4.3066299479585615</v>
      </c>
      <c r="S42" t="s">
        <v>178</v>
      </c>
      <c r="T42">
        <v>10.213132348783363</v>
      </c>
      <c r="U42" t="s">
        <v>90</v>
      </c>
      <c r="V42">
        <v>0</v>
      </c>
      <c r="W42" t="s">
        <v>90</v>
      </c>
      <c r="X42">
        <v>0</v>
      </c>
      <c r="Y42">
        <v>100.4291347630364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65</v>
      </c>
      <c r="AF42">
        <v>312</v>
      </c>
      <c r="AG42">
        <v>275</v>
      </c>
      <c r="AH42">
        <v>0</v>
      </c>
      <c r="AI42">
        <v>2.7160000000000002</v>
      </c>
      <c r="AK42" t="s">
        <v>95</v>
      </c>
      <c r="AM42">
        <v>200000</v>
      </c>
      <c r="AN42" t="s">
        <v>97</v>
      </c>
      <c r="AO42">
        <v>1</v>
      </c>
      <c r="AP42">
        <v>0</v>
      </c>
      <c r="AQ42">
        <v>16666.666666666668</v>
      </c>
      <c r="AR42" t="s">
        <v>266</v>
      </c>
      <c r="AS42" t="s">
        <v>75</v>
      </c>
      <c r="AX42" t="s">
        <v>76</v>
      </c>
      <c r="AY42" t="s">
        <v>176</v>
      </c>
      <c r="AZ42">
        <v>0</v>
      </c>
      <c r="BA42" t="s">
        <v>176</v>
      </c>
      <c r="BB42">
        <v>0</v>
      </c>
    </row>
    <row r="43" spans="1:56" x14ac:dyDescent="0.15">
      <c r="A43" s="4" t="str">
        <f>HYPERLINK("https://ibp.a2mac1.com/costing(costing:projects/details/9760/part/8410894)","Manifold Support")</f>
        <v>Manifold Support</v>
      </c>
      <c r="B43">
        <v>8410894</v>
      </c>
      <c r="C43">
        <v>8410836</v>
      </c>
      <c r="D43" t="s">
        <v>210</v>
      </c>
      <c r="E43">
        <v>0.50014999999999998</v>
      </c>
      <c r="F43">
        <v>0</v>
      </c>
      <c r="G43">
        <v>0</v>
      </c>
      <c r="H43">
        <v>0</v>
      </c>
      <c r="I43" t="s">
        <v>71</v>
      </c>
      <c r="J43">
        <v>0</v>
      </c>
      <c r="K43">
        <v>0.50014999999999998</v>
      </c>
      <c r="L43">
        <v>0</v>
      </c>
      <c r="M43">
        <v>0</v>
      </c>
      <c r="N43">
        <v>0.50014999999999998</v>
      </c>
      <c r="O43" t="s">
        <v>71</v>
      </c>
      <c r="P43">
        <v>0</v>
      </c>
      <c r="Q43" t="s">
        <v>71</v>
      </c>
      <c r="R43">
        <v>0</v>
      </c>
      <c r="S43" t="s">
        <v>71</v>
      </c>
      <c r="T43">
        <v>0</v>
      </c>
      <c r="U43" t="s">
        <v>71</v>
      </c>
      <c r="V43">
        <v>0</v>
      </c>
      <c r="W43" t="s">
        <v>71</v>
      </c>
      <c r="X43">
        <v>0</v>
      </c>
      <c r="Y43">
        <v>0.50014999999999998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67</v>
      </c>
      <c r="AF43">
        <v>53</v>
      </c>
      <c r="AG43">
        <v>86</v>
      </c>
      <c r="AH43">
        <v>0</v>
      </c>
      <c r="AI43">
        <v>0.26500000000000001</v>
      </c>
      <c r="AK43" t="s">
        <v>100</v>
      </c>
      <c r="AM43">
        <v>200000</v>
      </c>
      <c r="AN43" t="s">
        <v>97</v>
      </c>
      <c r="AO43">
        <v>1</v>
      </c>
      <c r="AP43">
        <v>0</v>
      </c>
      <c r="AQ43">
        <v>16666.666666666668</v>
      </c>
      <c r="AR43" t="s">
        <v>267</v>
      </c>
      <c r="AS43" t="s">
        <v>75</v>
      </c>
      <c r="AX43" t="s">
        <v>76</v>
      </c>
      <c r="AY43" t="s">
        <v>71</v>
      </c>
      <c r="AZ43">
        <v>0</v>
      </c>
      <c r="BA43" t="s">
        <v>71</v>
      </c>
      <c r="BB43">
        <v>0</v>
      </c>
      <c r="BD43">
        <v>0.50014999999999998</v>
      </c>
    </row>
    <row r="44" spans="1:56" x14ac:dyDescent="0.15">
      <c r="A44" s="4" t="str">
        <f>HYPERLINK("https://ibp.a2mac1.com/costing(costing:projects/details/9760/part/8410895)","Manifold Support 2")</f>
        <v>Manifold Support 2</v>
      </c>
      <c r="B44">
        <v>8410895</v>
      </c>
      <c r="C44">
        <v>8410836</v>
      </c>
      <c r="D44" t="s">
        <v>210</v>
      </c>
      <c r="E44">
        <v>0.47120000000000001</v>
      </c>
      <c r="F44">
        <v>0</v>
      </c>
      <c r="G44">
        <v>0</v>
      </c>
      <c r="H44">
        <v>0</v>
      </c>
      <c r="I44" t="s">
        <v>71</v>
      </c>
      <c r="J44">
        <v>0</v>
      </c>
      <c r="K44">
        <v>0.47120000000000001</v>
      </c>
      <c r="L44">
        <v>0</v>
      </c>
      <c r="M44">
        <v>0</v>
      </c>
      <c r="N44">
        <v>0.47120000000000001</v>
      </c>
      <c r="O44" t="s">
        <v>71</v>
      </c>
      <c r="P44">
        <v>0</v>
      </c>
      <c r="Q44" t="s">
        <v>71</v>
      </c>
      <c r="R44">
        <v>0</v>
      </c>
      <c r="S44" t="s">
        <v>71</v>
      </c>
      <c r="T44">
        <v>0</v>
      </c>
      <c r="U44" t="s">
        <v>71</v>
      </c>
      <c r="V44">
        <v>0</v>
      </c>
      <c r="W44" t="s">
        <v>71</v>
      </c>
      <c r="X44">
        <v>0</v>
      </c>
      <c r="Y44">
        <v>0.47120000000000001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64</v>
      </c>
      <c r="AF44">
        <v>73</v>
      </c>
      <c r="AG44">
        <v>96</v>
      </c>
      <c r="AH44">
        <v>0</v>
      </c>
      <c r="AI44">
        <v>0.246</v>
      </c>
      <c r="AK44" t="s">
        <v>100</v>
      </c>
      <c r="AM44">
        <v>200000</v>
      </c>
      <c r="AN44" t="s">
        <v>97</v>
      </c>
      <c r="AO44">
        <v>1</v>
      </c>
      <c r="AP44">
        <v>0</v>
      </c>
      <c r="AQ44">
        <v>16666.666666666668</v>
      </c>
      <c r="AR44" t="s">
        <v>268</v>
      </c>
      <c r="AS44" t="s">
        <v>75</v>
      </c>
      <c r="AX44" t="s">
        <v>76</v>
      </c>
      <c r="AY44" t="s">
        <v>71</v>
      </c>
      <c r="AZ44">
        <v>0</v>
      </c>
      <c r="BA44" t="s">
        <v>71</v>
      </c>
      <c r="BB44">
        <v>0</v>
      </c>
      <c r="BD44">
        <v>0.47120000000000001</v>
      </c>
    </row>
    <row r="45" spans="1:56" x14ac:dyDescent="0.15">
      <c r="A45" s="4" t="str">
        <f>HYPERLINK("https://ibp.a2mac1.com/costing(costing:projects/details/9760/part/8410896)","Manifold Support 3")</f>
        <v>Manifold Support 3</v>
      </c>
      <c r="B45">
        <v>8410896</v>
      </c>
      <c r="C45">
        <v>8410836</v>
      </c>
      <c r="D45" t="s">
        <v>210</v>
      </c>
      <c r="E45">
        <v>0.57021999999999995</v>
      </c>
      <c r="F45">
        <v>0</v>
      </c>
      <c r="G45">
        <v>0</v>
      </c>
      <c r="H45">
        <v>0</v>
      </c>
      <c r="I45" t="s">
        <v>71</v>
      </c>
      <c r="J45">
        <v>0</v>
      </c>
      <c r="K45">
        <v>0.57021999999999995</v>
      </c>
      <c r="L45">
        <v>0</v>
      </c>
      <c r="M45">
        <v>0</v>
      </c>
      <c r="N45">
        <v>0.57021999999999995</v>
      </c>
      <c r="O45" t="s">
        <v>71</v>
      </c>
      <c r="P45">
        <v>0</v>
      </c>
      <c r="Q45" t="s">
        <v>71</v>
      </c>
      <c r="R45">
        <v>0</v>
      </c>
      <c r="S45" t="s">
        <v>71</v>
      </c>
      <c r="T45">
        <v>0</v>
      </c>
      <c r="U45" t="s">
        <v>71</v>
      </c>
      <c r="V45">
        <v>0</v>
      </c>
      <c r="W45" t="s">
        <v>71</v>
      </c>
      <c r="X45">
        <v>0</v>
      </c>
      <c r="Y45">
        <v>0.57021999999999995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53</v>
      </c>
      <c r="AF45">
        <v>67</v>
      </c>
      <c r="AG45">
        <v>86</v>
      </c>
      <c r="AH45">
        <v>0</v>
      </c>
      <c r="AI45">
        <v>0.311</v>
      </c>
      <c r="AK45" t="s">
        <v>100</v>
      </c>
      <c r="AM45">
        <v>200000</v>
      </c>
      <c r="AN45" t="s">
        <v>97</v>
      </c>
      <c r="AO45">
        <v>1</v>
      </c>
      <c r="AP45">
        <v>0</v>
      </c>
      <c r="AQ45">
        <v>16666.666666666668</v>
      </c>
      <c r="AR45" t="s">
        <v>269</v>
      </c>
      <c r="AS45" t="s">
        <v>75</v>
      </c>
      <c r="AX45" t="s">
        <v>76</v>
      </c>
      <c r="AY45" t="s">
        <v>71</v>
      </c>
      <c r="AZ45">
        <v>0</v>
      </c>
      <c r="BA45" t="s">
        <v>71</v>
      </c>
      <c r="BB45">
        <v>0</v>
      </c>
      <c r="BD45">
        <v>0.57021999999999995</v>
      </c>
    </row>
    <row r="46" spans="1:56" x14ac:dyDescent="0.15">
      <c r="A46" s="4" t="str">
        <f>HYPERLINK("https://ibp.a2mac1.com/costing(costing:projects/details/9760/part/8410897)","Valve Harness")</f>
        <v>Valve Harness</v>
      </c>
      <c r="B46">
        <v>8410897</v>
      </c>
      <c r="C46">
        <v>8410836</v>
      </c>
      <c r="E46">
        <v>5.1755599999999999</v>
      </c>
      <c r="F46">
        <v>0</v>
      </c>
      <c r="G46">
        <v>0</v>
      </c>
      <c r="H46">
        <v>0</v>
      </c>
      <c r="I46" t="s">
        <v>71</v>
      </c>
      <c r="J46">
        <v>0</v>
      </c>
      <c r="K46">
        <v>5.1755599999999999</v>
      </c>
      <c r="L46">
        <v>0</v>
      </c>
      <c r="M46">
        <v>0</v>
      </c>
      <c r="N46">
        <v>5.1755599999999999</v>
      </c>
      <c r="O46" t="s">
        <v>71</v>
      </c>
      <c r="P46">
        <v>0</v>
      </c>
      <c r="Q46" t="s">
        <v>71</v>
      </c>
      <c r="R46">
        <v>0</v>
      </c>
      <c r="S46" t="s">
        <v>71</v>
      </c>
      <c r="T46">
        <v>0</v>
      </c>
      <c r="U46" t="s">
        <v>71</v>
      </c>
      <c r="V46">
        <v>0</v>
      </c>
      <c r="W46" t="s">
        <v>71</v>
      </c>
      <c r="X46">
        <v>0</v>
      </c>
      <c r="Y46">
        <v>5.1755599999999999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0.13</v>
      </c>
      <c r="AK46" t="s">
        <v>95</v>
      </c>
      <c r="AM46">
        <v>200000</v>
      </c>
      <c r="AN46" t="s">
        <v>97</v>
      </c>
      <c r="AO46">
        <v>1</v>
      </c>
      <c r="AP46">
        <v>0</v>
      </c>
      <c r="AQ46">
        <v>16666.666666666668</v>
      </c>
      <c r="AR46" t="s">
        <v>270</v>
      </c>
      <c r="AS46" t="s">
        <v>75</v>
      </c>
      <c r="AX46" t="s">
        <v>76</v>
      </c>
      <c r="AY46" t="s">
        <v>71</v>
      </c>
      <c r="AZ46">
        <v>0</v>
      </c>
      <c r="BA46" t="s">
        <v>71</v>
      </c>
      <c r="BB46">
        <v>0</v>
      </c>
      <c r="BD46">
        <v>5.1755599999999999</v>
      </c>
    </row>
    <row r="47" spans="1:56" x14ac:dyDescent="0.15">
      <c r="A47" s="4" t="str">
        <f>HYPERLINK("https://ibp.a2mac1.com/costing(costing:projects/details/9760/part/8410824)","Pressure Sensor")</f>
        <v>Pressure Sensor</v>
      </c>
      <c r="B47">
        <v>8410824</v>
      </c>
      <c r="C47">
        <v>8410753</v>
      </c>
      <c r="E47">
        <v>5.4999900000000004</v>
      </c>
      <c r="F47">
        <v>0</v>
      </c>
      <c r="G47">
        <v>0</v>
      </c>
      <c r="H47">
        <v>0</v>
      </c>
      <c r="I47" t="s">
        <v>71</v>
      </c>
      <c r="J47">
        <v>0</v>
      </c>
      <c r="K47">
        <v>5.4999900000000004</v>
      </c>
      <c r="L47">
        <v>0</v>
      </c>
      <c r="M47">
        <v>0</v>
      </c>
      <c r="N47">
        <v>5.4999900000000004</v>
      </c>
      <c r="O47" t="s">
        <v>71</v>
      </c>
      <c r="P47">
        <v>0</v>
      </c>
      <c r="Q47" t="s">
        <v>71</v>
      </c>
      <c r="R47">
        <v>0</v>
      </c>
      <c r="S47" t="s">
        <v>71</v>
      </c>
      <c r="T47">
        <v>0</v>
      </c>
      <c r="U47" t="s">
        <v>71</v>
      </c>
      <c r="V47">
        <v>0</v>
      </c>
      <c r="W47" t="s">
        <v>71</v>
      </c>
      <c r="X47">
        <v>0</v>
      </c>
      <c r="Y47">
        <v>5.4999900000000004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26</v>
      </c>
      <c r="AF47">
        <v>24</v>
      </c>
      <c r="AG47">
        <v>57</v>
      </c>
      <c r="AH47">
        <v>0</v>
      </c>
      <c r="AI47">
        <v>0.02</v>
      </c>
      <c r="AK47" t="s">
        <v>272</v>
      </c>
      <c r="AM47">
        <v>200000</v>
      </c>
      <c r="AN47" t="s">
        <v>73</v>
      </c>
      <c r="AO47">
        <v>1</v>
      </c>
      <c r="AP47">
        <v>0</v>
      </c>
      <c r="AQ47">
        <v>16666.666666666668</v>
      </c>
      <c r="AR47" t="s">
        <v>273</v>
      </c>
      <c r="AS47" t="s">
        <v>75</v>
      </c>
      <c r="AX47" t="s">
        <v>76</v>
      </c>
      <c r="AY47" t="s">
        <v>71</v>
      </c>
      <c r="AZ47">
        <v>0</v>
      </c>
      <c r="BA47" t="s">
        <v>71</v>
      </c>
      <c r="BB47">
        <v>0</v>
      </c>
      <c r="BD47">
        <v>5.4999900000000004</v>
      </c>
    </row>
    <row r="48" spans="1:56" x14ac:dyDescent="0.15">
      <c r="A48" s="4" t="str">
        <f>HYPERLINK("https://ibp.a2mac1.com/costing(costing:projects/details/9760/part/8410825)","Pressure Sensor 2")</f>
        <v>Pressure Sensor 2</v>
      </c>
      <c r="B48">
        <v>8410825</v>
      </c>
      <c r="C48">
        <v>8410753</v>
      </c>
      <c r="E48">
        <v>4.4999900000000004</v>
      </c>
      <c r="F48">
        <v>0</v>
      </c>
      <c r="G48">
        <v>0</v>
      </c>
      <c r="H48">
        <v>0</v>
      </c>
      <c r="I48" t="s">
        <v>71</v>
      </c>
      <c r="J48">
        <v>0</v>
      </c>
      <c r="K48">
        <v>4.4999900000000004</v>
      </c>
      <c r="L48">
        <v>0</v>
      </c>
      <c r="M48">
        <v>0</v>
      </c>
      <c r="N48">
        <v>4.4999900000000004</v>
      </c>
      <c r="O48" t="s">
        <v>71</v>
      </c>
      <c r="P48">
        <v>0</v>
      </c>
      <c r="Q48" t="s">
        <v>71</v>
      </c>
      <c r="R48">
        <v>0</v>
      </c>
      <c r="S48" t="s">
        <v>71</v>
      </c>
      <c r="T48">
        <v>0</v>
      </c>
      <c r="U48" t="s">
        <v>71</v>
      </c>
      <c r="V48">
        <v>0</v>
      </c>
      <c r="W48" t="s">
        <v>71</v>
      </c>
      <c r="X48">
        <v>0</v>
      </c>
      <c r="Y48">
        <v>4.4999900000000004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26</v>
      </c>
      <c r="AF48">
        <v>24</v>
      </c>
      <c r="AG48">
        <v>0</v>
      </c>
      <c r="AH48">
        <v>0</v>
      </c>
      <c r="AI48">
        <v>1.9E-2</v>
      </c>
      <c r="AK48" t="s">
        <v>95</v>
      </c>
      <c r="AM48">
        <v>200000</v>
      </c>
      <c r="AN48" t="s">
        <v>97</v>
      </c>
      <c r="AO48">
        <v>1</v>
      </c>
      <c r="AP48">
        <v>0</v>
      </c>
      <c r="AQ48">
        <v>16666.666666666668</v>
      </c>
      <c r="AR48" t="s">
        <v>274</v>
      </c>
      <c r="AS48" t="s">
        <v>75</v>
      </c>
      <c r="AX48" t="s">
        <v>76</v>
      </c>
      <c r="AY48" t="s">
        <v>71</v>
      </c>
      <c r="AZ48">
        <v>0</v>
      </c>
      <c r="BA48" t="s">
        <v>71</v>
      </c>
      <c r="BB48">
        <v>0</v>
      </c>
      <c r="BD48">
        <v>4.4999900000000004</v>
      </c>
    </row>
    <row r="49" spans="1:56" x14ac:dyDescent="0.15">
      <c r="A49" s="4" t="str">
        <f>HYPERLINK("https://ibp.a2mac1.com/costing(costing:projects/details/9760/part/8410826)","Temperature Sensor")</f>
        <v>Temperature Sensor</v>
      </c>
      <c r="B49">
        <v>8410826</v>
      </c>
      <c r="C49">
        <v>8410753</v>
      </c>
      <c r="E49">
        <v>4.4999900000000004</v>
      </c>
      <c r="F49">
        <v>0</v>
      </c>
      <c r="G49">
        <v>0</v>
      </c>
      <c r="H49">
        <v>0</v>
      </c>
      <c r="I49" t="s">
        <v>71</v>
      </c>
      <c r="J49">
        <v>0</v>
      </c>
      <c r="K49">
        <v>4.4999900000000004</v>
      </c>
      <c r="L49">
        <v>0</v>
      </c>
      <c r="M49">
        <v>0</v>
      </c>
      <c r="N49">
        <v>4.4999900000000004</v>
      </c>
      <c r="O49" t="s">
        <v>71</v>
      </c>
      <c r="P49">
        <v>0</v>
      </c>
      <c r="Q49" t="s">
        <v>71</v>
      </c>
      <c r="R49">
        <v>0</v>
      </c>
      <c r="S49" t="s">
        <v>71</v>
      </c>
      <c r="T49">
        <v>0</v>
      </c>
      <c r="U49" t="s">
        <v>71</v>
      </c>
      <c r="V49">
        <v>0</v>
      </c>
      <c r="W49" t="s">
        <v>71</v>
      </c>
      <c r="X49">
        <v>0</v>
      </c>
      <c r="Y49">
        <v>4.4999900000000004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14</v>
      </c>
      <c r="AF49">
        <v>16</v>
      </c>
      <c r="AG49">
        <v>53</v>
      </c>
      <c r="AH49">
        <v>0</v>
      </c>
      <c r="AI49">
        <v>1.2999999999999999E-2</v>
      </c>
      <c r="AK49" t="s">
        <v>95</v>
      </c>
      <c r="AM49">
        <v>200000</v>
      </c>
      <c r="AN49" t="s">
        <v>97</v>
      </c>
      <c r="AO49">
        <v>1</v>
      </c>
      <c r="AP49">
        <v>0</v>
      </c>
      <c r="AQ49">
        <v>16666.666666666668</v>
      </c>
      <c r="AR49" t="s">
        <v>275</v>
      </c>
      <c r="AS49" t="s">
        <v>75</v>
      </c>
      <c r="AX49" t="s">
        <v>76</v>
      </c>
      <c r="AY49" t="s">
        <v>71</v>
      </c>
      <c r="AZ49">
        <v>0</v>
      </c>
      <c r="BA49" t="s">
        <v>71</v>
      </c>
      <c r="BB49">
        <v>0</v>
      </c>
      <c r="BD49">
        <v>4.4999900000000004</v>
      </c>
    </row>
    <row r="50" spans="1:56" x14ac:dyDescent="0.15">
      <c r="A50" s="4" t="str">
        <f>HYPERLINK("https://ibp.a2mac1.com/costing(costing:projects/details/9760/part/8410827)","Temperature Sensor 2")</f>
        <v>Temperature Sensor 2</v>
      </c>
      <c r="B50">
        <v>8410827</v>
      </c>
      <c r="C50">
        <v>8410753</v>
      </c>
      <c r="E50">
        <v>4.4999900000000004</v>
      </c>
      <c r="F50">
        <v>0</v>
      </c>
      <c r="G50">
        <v>0</v>
      </c>
      <c r="H50">
        <v>0</v>
      </c>
      <c r="I50" t="s">
        <v>71</v>
      </c>
      <c r="J50">
        <v>0</v>
      </c>
      <c r="K50">
        <v>4.4999900000000004</v>
      </c>
      <c r="L50">
        <v>0</v>
      </c>
      <c r="M50">
        <v>0</v>
      </c>
      <c r="N50">
        <v>4.4999900000000004</v>
      </c>
      <c r="O50" t="s">
        <v>71</v>
      </c>
      <c r="P50">
        <v>0</v>
      </c>
      <c r="Q50" t="s">
        <v>71</v>
      </c>
      <c r="R50">
        <v>0</v>
      </c>
      <c r="S50" t="s">
        <v>71</v>
      </c>
      <c r="T50">
        <v>0</v>
      </c>
      <c r="U50" t="s">
        <v>71</v>
      </c>
      <c r="V50">
        <v>0</v>
      </c>
      <c r="W50" t="s">
        <v>71</v>
      </c>
      <c r="X50">
        <v>0</v>
      </c>
      <c r="Y50">
        <v>4.4999900000000004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14</v>
      </c>
      <c r="AF50">
        <v>16</v>
      </c>
      <c r="AG50">
        <v>53</v>
      </c>
      <c r="AH50">
        <v>0</v>
      </c>
      <c r="AI50">
        <v>1.2999999999999999E-2</v>
      </c>
      <c r="AK50" t="s">
        <v>95</v>
      </c>
      <c r="AM50">
        <v>200000</v>
      </c>
      <c r="AN50" t="s">
        <v>97</v>
      </c>
      <c r="AO50">
        <v>1</v>
      </c>
      <c r="AP50">
        <v>0</v>
      </c>
      <c r="AQ50">
        <v>16666.666666666668</v>
      </c>
      <c r="AR50" t="s">
        <v>276</v>
      </c>
      <c r="AS50" t="s">
        <v>75</v>
      </c>
      <c r="AX50" t="s">
        <v>76</v>
      </c>
      <c r="AY50" t="s">
        <v>71</v>
      </c>
      <c r="AZ50">
        <v>0</v>
      </c>
      <c r="BA50" t="s">
        <v>71</v>
      </c>
      <c r="BB50">
        <v>0</v>
      </c>
      <c r="BD50">
        <v>4.4999900000000004</v>
      </c>
    </row>
    <row r="51" spans="1:56" x14ac:dyDescent="0.15">
      <c r="A51" s="4" t="str">
        <f>HYPERLINK("https://ibp.a2mac1.com/costing(costing:projects/details/9760/part/8410828)","Temperature Sensor 3")</f>
        <v>Temperature Sensor 3</v>
      </c>
      <c r="B51">
        <v>8410828</v>
      </c>
      <c r="C51">
        <v>8410753</v>
      </c>
      <c r="E51">
        <v>4.4999900000000004</v>
      </c>
      <c r="F51">
        <v>0</v>
      </c>
      <c r="G51">
        <v>0</v>
      </c>
      <c r="H51">
        <v>0</v>
      </c>
      <c r="I51" t="s">
        <v>71</v>
      </c>
      <c r="J51">
        <v>0</v>
      </c>
      <c r="K51">
        <v>4.4999900000000004</v>
      </c>
      <c r="L51">
        <v>0</v>
      </c>
      <c r="M51">
        <v>0</v>
      </c>
      <c r="N51">
        <v>4.4999900000000004</v>
      </c>
      <c r="O51" t="s">
        <v>71</v>
      </c>
      <c r="P51">
        <v>0</v>
      </c>
      <c r="Q51" t="s">
        <v>71</v>
      </c>
      <c r="R51">
        <v>0</v>
      </c>
      <c r="S51" t="s">
        <v>71</v>
      </c>
      <c r="T51">
        <v>0</v>
      </c>
      <c r="U51" t="s">
        <v>71</v>
      </c>
      <c r="V51">
        <v>0</v>
      </c>
      <c r="W51" t="s">
        <v>71</v>
      </c>
      <c r="X51">
        <v>0</v>
      </c>
      <c r="Y51">
        <v>4.4999900000000004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14</v>
      </c>
      <c r="AF51">
        <v>16</v>
      </c>
      <c r="AG51">
        <v>52</v>
      </c>
      <c r="AH51">
        <v>0</v>
      </c>
      <c r="AI51">
        <v>1.2999999999999999E-2</v>
      </c>
      <c r="AK51" t="s">
        <v>95</v>
      </c>
      <c r="AM51">
        <v>200000</v>
      </c>
      <c r="AN51" t="s">
        <v>97</v>
      </c>
      <c r="AO51">
        <v>1</v>
      </c>
      <c r="AP51">
        <v>0</v>
      </c>
      <c r="AQ51">
        <v>16666.666666666668</v>
      </c>
      <c r="AR51" t="s">
        <v>277</v>
      </c>
      <c r="AS51" t="s">
        <v>75</v>
      </c>
      <c r="AX51" t="s">
        <v>76</v>
      </c>
      <c r="AY51" t="s">
        <v>71</v>
      </c>
      <c r="AZ51">
        <v>0</v>
      </c>
      <c r="BA51" t="s">
        <v>71</v>
      </c>
      <c r="BB51">
        <v>0</v>
      </c>
      <c r="BD51">
        <v>4.4999900000000004</v>
      </c>
    </row>
    <row r="52" spans="1:56" x14ac:dyDescent="0.15">
      <c r="A52" s="4" t="str">
        <f>HYPERLINK("https://ibp.a2mac1.com/costing(costing:projects/details/9760/part/8410829)","Compressor")</f>
        <v>Compressor</v>
      </c>
      <c r="B52">
        <v>8410829</v>
      </c>
      <c r="C52">
        <v>8410753</v>
      </c>
      <c r="E52">
        <v>125.78999</v>
      </c>
      <c r="F52">
        <v>0</v>
      </c>
      <c r="G52">
        <v>0</v>
      </c>
      <c r="H52">
        <v>0</v>
      </c>
      <c r="I52" t="s">
        <v>71</v>
      </c>
      <c r="J52">
        <v>0</v>
      </c>
      <c r="K52">
        <v>125.78999</v>
      </c>
      <c r="L52">
        <v>0</v>
      </c>
      <c r="M52">
        <v>0</v>
      </c>
      <c r="N52">
        <v>125.78999</v>
      </c>
      <c r="O52" t="s">
        <v>71</v>
      </c>
      <c r="P52">
        <v>0</v>
      </c>
      <c r="Q52" t="s">
        <v>71</v>
      </c>
      <c r="R52">
        <v>0</v>
      </c>
      <c r="S52" t="s">
        <v>71</v>
      </c>
      <c r="T52">
        <v>0</v>
      </c>
      <c r="U52" t="s">
        <v>71</v>
      </c>
      <c r="V52">
        <v>0</v>
      </c>
      <c r="W52" t="s">
        <v>71</v>
      </c>
      <c r="X52">
        <v>0</v>
      </c>
      <c r="Y52">
        <v>125.78999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157</v>
      </c>
      <c r="AF52">
        <v>243</v>
      </c>
      <c r="AG52">
        <v>203</v>
      </c>
      <c r="AH52">
        <v>0</v>
      </c>
      <c r="AI52">
        <v>6.5540000000000003</v>
      </c>
      <c r="AK52" t="s">
        <v>95</v>
      </c>
      <c r="AM52">
        <v>200000</v>
      </c>
      <c r="AN52" t="s">
        <v>97</v>
      </c>
      <c r="AO52">
        <v>1</v>
      </c>
      <c r="AP52">
        <v>0</v>
      </c>
      <c r="AQ52">
        <v>16666.666666666668</v>
      </c>
      <c r="AR52" t="s">
        <v>278</v>
      </c>
      <c r="AS52" t="s">
        <v>75</v>
      </c>
      <c r="AX52" t="s">
        <v>76</v>
      </c>
      <c r="AY52" t="s">
        <v>71</v>
      </c>
      <c r="AZ52">
        <v>0</v>
      </c>
      <c r="BA52" t="s">
        <v>71</v>
      </c>
      <c r="BB52">
        <v>0</v>
      </c>
      <c r="BD52">
        <v>125.78999</v>
      </c>
    </row>
    <row r="53" spans="1:56" x14ac:dyDescent="0.15">
      <c r="A53" s="4" t="str">
        <f>HYPERLINK("https://ibp.a2mac1.com/costing(costing:projects/details/9760/part/8410830)","Condenser")</f>
        <v>Condenser</v>
      </c>
      <c r="B53">
        <v>8410830</v>
      </c>
      <c r="C53">
        <v>8410753</v>
      </c>
      <c r="E53">
        <v>28.719989999999999</v>
      </c>
      <c r="F53">
        <v>0</v>
      </c>
      <c r="G53">
        <v>0</v>
      </c>
      <c r="H53">
        <v>0</v>
      </c>
      <c r="I53" t="s">
        <v>71</v>
      </c>
      <c r="J53">
        <v>0</v>
      </c>
      <c r="K53">
        <v>28.719989999999999</v>
      </c>
      <c r="L53">
        <v>0</v>
      </c>
      <c r="M53">
        <v>0</v>
      </c>
      <c r="N53">
        <v>28.719989999999999</v>
      </c>
      <c r="O53" t="s">
        <v>71</v>
      </c>
      <c r="P53">
        <v>0</v>
      </c>
      <c r="Q53" t="s">
        <v>71</v>
      </c>
      <c r="R53">
        <v>0</v>
      </c>
      <c r="S53" t="s">
        <v>71</v>
      </c>
      <c r="T53">
        <v>0</v>
      </c>
      <c r="U53" t="s">
        <v>71</v>
      </c>
      <c r="V53">
        <v>0</v>
      </c>
      <c r="W53" t="s">
        <v>71</v>
      </c>
      <c r="X53">
        <v>0</v>
      </c>
      <c r="Y53">
        <v>28.719989999999999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65</v>
      </c>
      <c r="AF53">
        <v>750</v>
      </c>
      <c r="AG53">
        <v>470</v>
      </c>
      <c r="AH53">
        <v>0</v>
      </c>
      <c r="AI53">
        <v>2.2120000000000002</v>
      </c>
      <c r="AK53" t="s">
        <v>95</v>
      </c>
      <c r="AM53">
        <v>200000</v>
      </c>
      <c r="AN53" t="s">
        <v>97</v>
      </c>
      <c r="AO53">
        <v>1</v>
      </c>
      <c r="AP53">
        <v>0</v>
      </c>
      <c r="AQ53">
        <v>16666.666666666668</v>
      </c>
      <c r="AR53" t="s">
        <v>279</v>
      </c>
      <c r="AS53" t="s">
        <v>75</v>
      </c>
      <c r="AX53" t="s">
        <v>76</v>
      </c>
      <c r="AY53" t="s">
        <v>71</v>
      </c>
      <c r="AZ53">
        <v>0</v>
      </c>
      <c r="BA53" t="s">
        <v>71</v>
      </c>
      <c r="BB53">
        <v>0</v>
      </c>
      <c r="BD53">
        <v>28.719989999999999</v>
      </c>
    </row>
    <row r="54" spans="1:56" x14ac:dyDescent="0.15">
      <c r="A54" s="4" t="str">
        <f>HYPERLINK("https://ibp.a2mac1.com/costing(costing:projects/details/9760/part/8410831)","Coolant/Refrigerant Exchanger")</f>
        <v>Coolant/Refrigerant Exchanger</v>
      </c>
      <c r="B54">
        <v>8410831</v>
      </c>
      <c r="C54">
        <v>8410753</v>
      </c>
      <c r="E54">
        <v>13.459989999999999</v>
      </c>
      <c r="F54">
        <v>0</v>
      </c>
      <c r="G54">
        <v>0</v>
      </c>
      <c r="H54">
        <v>0</v>
      </c>
      <c r="I54" t="s">
        <v>71</v>
      </c>
      <c r="J54">
        <v>0</v>
      </c>
      <c r="K54">
        <v>13.459989999999999</v>
      </c>
      <c r="L54">
        <v>0</v>
      </c>
      <c r="M54">
        <v>0</v>
      </c>
      <c r="N54">
        <v>13.459989999999999</v>
      </c>
      <c r="O54" t="s">
        <v>71</v>
      </c>
      <c r="P54">
        <v>0</v>
      </c>
      <c r="Q54" t="s">
        <v>71</v>
      </c>
      <c r="R54">
        <v>0</v>
      </c>
      <c r="S54" t="s">
        <v>71</v>
      </c>
      <c r="T54">
        <v>0</v>
      </c>
      <c r="U54" t="s">
        <v>71</v>
      </c>
      <c r="V54">
        <v>0</v>
      </c>
      <c r="W54" t="s">
        <v>71</v>
      </c>
      <c r="X54">
        <v>0</v>
      </c>
      <c r="Y54">
        <v>13.459989999999999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102</v>
      </c>
      <c r="AF54">
        <v>89</v>
      </c>
      <c r="AG54">
        <v>175</v>
      </c>
      <c r="AH54">
        <v>0</v>
      </c>
      <c r="AI54">
        <v>0.76400000000000001</v>
      </c>
      <c r="AK54" t="s">
        <v>95</v>
      </c>
      <c r="AM54">
        <v>200000</v>
      </c>
      <c r="AN54" t="s">
        <v>97</v>
      </c>
      <c r="AO54">
        <v>1</v>
      </c>
      <c r="AP54">
        <v>0</v>
      </c>
      <c r="AQ54">
        <v>16666.666666666668</v>
      </c>
      <c r="AR54" t="s">
        <v>280</v>
      </c>
      <c r="AS54" t="s">
        <v>75</v>
      </c>
      <c r="AX54" t="s">
        <v>76</v>
      </c>
      <c r="AY54" t="s">
        <v>71</v>
      </c>
      <c r="AZ54">
        <v>0</v>
      </c>
      <c r="BA54" t="s">
        <v>71</v>
      </c>
      <c r="BB54">
        <v>0</v>
      </c>
      <c r="BD54">
        <v>13.459989999999999</v>
      </c>
    </row>
    <row r="55" spans="1:56" x14ac:dyDescent="0.15">
      <c r="A55" s="4" t="str">
        <f>HYPERLINK("https://ibp.a2mac1.com/costing(costing:projects/details/9760/part/8410917)","Battery")</f>
        <v>Battery</v>
      </c>
      <c r="B55">
        <v>8410917</v>
      </c>
      <c r="C55">
        <v>8410908</v>
      </c>
      <c r="E55">
        <v>73</v>
      </c>
      <c r="F55">
        <v>0</v>
      </c>
      <c r="G55">
        <v>0</v>
      </c>
      <c r="H55">
        <v>0</v>
      </c>
      <c r="I55" t="s">
        <v>71</v>
      </c>
      <c r="J55">
        <v>0</v>
      </c>
      <c r="K55">
        <v>73</v>
      </c>
      <c r="L55">
        <v>0</v>
      </c>
      <c r="M55">
        <v>0</v>
      </c>
      <c r="N55">
        <v>73</v>
      </c>
      <c r="O55" t="s">
        <v>71</v>
      </c>
      <c r="P55">
        <v>0</v>
      </c>
      <c r="Q55" t="s">
        <v>71</v>
      </c>
      <c r="R55">
        <v>0</v>
      </c>
      <c r="S55" t="s">
        <v>71</v>
      </c>
      <c r="T55">
        <v>0</v>
      </c>
      <c r="U55" t="s">
        <v>71</v>
      </c>
      <c r="V55">
        <v>0</v>
      </c>
      <c r="W55" t="s">
        <v>71</v>
      </c>
      <c r="X55">
        <v>0</v>
      </c>
      <c r="Y55">
        <v>73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182</v>
      </c>
      <c r="AF55">
        <v>172</v>
      </c>
      <c r="AG55">
        <v>176</v>
      </c>
      <c r="AI55">
        <v>3.4209999999999998</v>
      </c>
      <c r="AK55" t="s">
        <v>284</v>
      </c>
      <c r="AL55" t="s">
        <v>285</v>
      </c>
      <c r="AM55">
        <v>200000</v>
      </c>
      <c r="AN55" t="s">
        <v>97</v>
      </c>
      <c r="AO55">
        <v>1</v>
      </c>
      <c r="AP55">
        <v>0</v>
      </c>
      <c r="AQ55">
        <v>16666.666666666668</v>
      </c>
      <c r="AR55" t="s">
        <v>286</v>
      </c>
      <c r="AS55" t="s">
        <v>75</v>
      </c>
      <c r="AX55" t="s">
        <v>76</v>
      </c>
      <c r="AY55" t="s">
        <v>71</v>
      </c>
      <c r="AZ55">
        <v>0</v>
      </c>
      <c r="BA55" t="s">
        <v>71</v>
      </c>
      <c r="BB55">
        <v>0</v>
      </c>
      <c r="BD55">
        <v>73</v>
      </c>
    </row>
    <row r="56" spans="1:56" x14ac:dyDescent="0.15">
      <c r="A56" s="4" t="str">
        <f>HYPERLINK("https://ibp.a2mac1.com/costing(costing:projects/details/9760/part/8410918)","Battery Terminal +")</f>
        <v>Battery Terminal +</v>
      </c>
      <c r="B56">
        <v>8410918</v>
      </c>
      <c r="C56">
        <v>8410908</v>
      </c>
      <c r="E56">
        <v>1</v>
      </c>
      <c r="F56">
        <v>0</v>
      </c>
      <c r="G56">
        <v>0</v>
      </c>
      <c r="H56">
        <v>0</v>
      </c>
      <c r="I56" t="s">
        <v>71</v>
      </c>
      <c r="J56">
        <v>0</v>
      </c>
      <c r="K56">
        <v>1</v>
      </c>
      <c r="L56">
        <v>0</v>
      </c>
      <c r="M56">
        <v>0</v>
      </c>
      <c r="N56">
        <v>1</v>
      </c>
      <c r="O56" t="s">
        <v>71</v>
      </c>
      <c r="P56">
        <v>0</v>
      </c>
      <c r="Q56" t="s">
        <v>71</v>
      </c>
      <c r="R56">
        <v>0</v>
      </c>
      <c r="S56" t="s">
        <v>71</v>
      </c>
      <c r="T56">
        <v>0</v>
      </c>
      <c r="U56" t="s">
        <v>71</v>
      </c>
      <c r="V56">
        <v>0</v>
      </c>
      <c r="W56" t="s">
        <v>71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20</v>
      </c>
      <c r="AF56">
        <v>25</v>
      </c>
      <c r="AG56">
        <v>46</v>
      </c>
      <c r="AI56">
        <v>1E-3</v>
      </c>
      <c r="AK56" t="s">
        <v>284</v>
      </c>
      <c r="AL56" t="s">
        <v>104</v>
      </c>
      <c r="AM56">
        <v>200000</v>
      </c>
      <c r="AN56" t="s">
        <v>97</v>
      </c>
      <c r="AO56">
        <v>1</v>
      </c>
      <c r="AP56">
        <v>0</v>
      </c>
      <c r="AQ56">
        <v>16666.666666666668</v>
      </c>
      <c r="AR56" t="s">
        <v>287</v>
      </c>
      <c r="AS56" t="s">
        <v>75</v>
      </c>
      <c r="AX56" t="s">
        <v>76</v>
      </c>
      <c r="AY56" t="s">
        <v>71</v>
      </c>
      <c r="AZ56">
        <v>0</v>
      </c>
      <c r="BA56" t="s">
        <v>71</v>
      </c>
      <c r="BB56">
        <v>0</v>
      </c>
      <c r="BD56">
        <v>1</v>
      </c>
    </row>
    <row r="57" spans="1:56" x14ac:dyDescent="0.15">
      <c r="A57" s="4" t="str">
        <f>HYPERLINK("https://ibp.a2mac1.com/costing(costing:projects/details/9760/part/8410919)","Battery Terminal + Lid")</f>
        <v>Battery Terminal + Lid</v>
      </c>
      <c r="B57">
        <v>8410919</v>
      </c>
      <c r="C57">
        <v>8410908</v>
      </c>
      <c r="E57">
        <v>0.188</v>
      </c>
      <c r="F57">
        <v>0</v>
      </c>
      <c r="G57">
        <v>0</v>
      </c>
      <c r="H57">
        <v>0</v>
      </c>
      <c r="I57" t="s">
        <v>71</v>
      </c>
      <c r="J57">
        <v>0</v>
      </c>
      <c r="K57">
        <v>0.188</v>
      </c>
      <c r="L57">
        <v>0</v>
      </c>
      <c r="M57">
        <v>0</v>
      </c>
      <c r="N57">
        <v>0.188</v>
      </c>
      <c r="O57" t="s">
        <v>71</v>
      </c>
      <c r="P57">
        <v>0</v>
      </c>
      <c r="Q57" t="s">
        <v>71</v>
      </c>
      <c r="R57">
        <v>0</v>
      </c>
      <c r="S57" t="s">
        <v>71</v>
      </c>
      <c r="T57">
        <v>0</v>
      </c>
      <c r="U57" t="s">
        <v>71</v>
      </c>
      <c r="V57">
        <v>0</v>
      </c>
      <c r="W57" t="s">
        <v>71</v>
      </c>
      <c r="X57">
        <v>0</v>
      </c>
      <c r="Y57">
        <v>0.188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22</v>
      </c>
      <c r="AF57">
        <v>61</v>
      </c>
      <c r="AG57">
        <v>68</v>
      </c>
      <c r="AI57">
        <v>2.3E-2</v>
      </c>
      <c r="AK57" t="s">
        <v>288</v>
      </c>
      <c r="AL57" t="s">
        <v>289</v>
      </c>
      <c r="AM57">
        <v>200000</v>
      </c>
      <c r="AN57" t="s">
        <v>97</v>
      </c>
      <c r="AO57">
        <v>1</v>
      </c>
      <c r="AP57">
        <v>0</v>
      </c>
      <c r="AQ57">
        <v>16666.666666666668</v>
      </c>
      <c r="AR57" t="s">
        <v>290</v>
      </c>
      <c r="AS57" t="s">
        <v>75</v>
      </c>
      <c r="AX57" t="s">
        <v>76</v>
      </c>
      <c r="AY57" t="s">
        <v>71</v>
      </c>
      <c r="AZ57">
        <v>0</v>
      </c>
      <c r="BA57" t="s">
        <v>71</v>
      </c>
      <c r="BB57">
        <v>0</v>
      </c>
      <c r="BD57">
        <v>0.188</v>
      </c>
    </row>
    <row r="58" spans="1:56" x14ac:dyDescent="0.15">
      <c r="A58" s="4" t="str">
        <f>HYPERLINK("https://ibp.a2mac1.com/costing(costing:projects/details/9760/part/8410920)","Battery Terminal + Insulator")</f>
        <v>Battery Terminal + Insulator</v>
      </c>
      <c r="B58">
        <v>8410920</v>
      </c>
      <c r="C58">
        <v>8410908</v>
      </c>
      <c r="E58">
        <v>0.13200000000000001</v>
      </c>
      <c r="F58">
        <v>0</v>
      </c>
      <c r="G58">
        <v>0</v>
      </c>
      <c r="H58">
        <v>0</v>
      </c>
      <c r="I58" t="s">
        <v>71</v>
      </c>
      <c r="J58">
        <v>0</v>
      </c>
      <c r="K58">
        <v>0.13200000000000001</v>
      </c>
      <c r="L58">
        <v>0</v>
      </c>
      <c r="M58">
        <v>0</v>
      </c>
      <c r="N58">
        <v>0.13200000000000001</v>
      </c>
      <c r="O58" t="s">
        <v>71</v>
      </c>
      <c r="P58">
        <v>0</v>
      </c>
      <c r="Q58" t="s">
        <v>71</v>
      </c>
      <c r="R58">
        <v>0</v>
      </c>
      <c r="S58" t="s">
        <v>71</v>
      </c>
      <c r="T58">
        <v>0</v>
      </c>
      <c r="U58" t="s">
        <v>71</v>
      </c>
      <c r="V58">
        <v>0</v>
      </c>
      <c r="W58" t="s">
        <v>71</v>
      </c>
      <c r="X58">
        <v>0</v>
      </c>
      <c r="Y58">
        <v>0.13200000000000001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22</v>
      </c>
      <c r="AF58">
        <v>61</v>
      </c>
      <c r="AG58">
        <v>68</v>
      </c>
      <c r="AI58">
        <v>1.4E-2</v>
      </c>
      <c r="AK58" t="s">
        <v>288</v>
      </c>
      <c r="AL58" t="s">
        <v>289</v>
      </c>
      <c r="AM58">
        <v>200000</v>
      </c>
      <c r="AN58" t="s">
        <v>97</v>
      </c>
      <c r="AO58">
        <v>1</v>
      </c>
      <c r="AP58">
        <v>0</v>
      </c>
      <c r="AQ58">
        <v>16666.666666666668</v>
      </c>
      <c r="AR58" t="s">
        <v>291</v>
      </c>
      <c r="AS58" t="s">
        <v>75</v>
      </c>
      <c r="AX58" t="s">
        <v>76</v>
      </c>
      <c r="AY58" t="s">
        <v>71</v>
      </c>
      <c r="AZ58">
        <v>0</v>
      </c>
      <c r="BA58" t="s">
        <v>71</v>
      </c>
      <c r="BB58">
        <v>0</v>
      </c>
      <c r="BD58">
        <v>0.13200000000000001</v>
      </c>
    </row>
    <row r="59" spans="1:56" x14ac:dyDescent="0.15">
      <c r="A59" s="4" t="str">
        <f>HYPERLINK("https://ibp.a2mac1.com/costing(costing:projects/details/9760/part/8410921)","Battery Terminal -")</f>
        <v>Battery Terminal -</v>
      </c>
      <c r="B59">
        <v>8410921</v>
      </c>
      <c r="C59">
        <v>8410908</v>
      </c>
      <c r="E59">
        <v>2.5</v>
      </c>
      <c r="F59">
        <v>0</v>
      </c>
      <c r="G59">
        <v>0</v>
      </c>
      <c r="H59">
        <v>0</v>
      </c>
      <c r="I59" t="s">
        <v>71</v>
      </c>
      <c r="J59">
        <v>0</v>
      </c>
      <c r="K59">
        <v>2.5</v>
      </c>
      <c r="L59">
        <v>0</v>
      </c>
      <c r="M59">
        <v>0</v>
      </c>
      <c r="N59">
        <v>2.5</v>
      </c>
      <c r="O59" t="s">
        <v>71</v>
      </c>
      <c r="P59">
        <v>0</v>
      </c>
      <c r="Q59" t="s">
        <v>71</v>
      </c>
      <c r="R59">
        <v>0</v>
      </c>
      <c r="S59" t="s">
        <v>71</v>
      </c>
      <c r="T59">
        <v>0</v>
      </c>
      <c r="U59" t="s">
        <v>71</v>
      </c>
      <c r="V59">
        <v>0</v>
      </c>
      <c r="W59" t="s">
        <v>71</v>
      </c>
      <c r="X59">
        <v>0</v>
      </c>
      <c r="Y59">
        <v>2.5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17</v>
      </c>
      <c r="AF59">
        <v>45</v>
      </c>
      <c r="AG59">
        <v>52</v>
      </c>
      <c r="AI59">
        <v>0.13500000000000001</v>
      </c>
      <c r="AK59" t="s">
        <v>284</v>
      </c>
      <c r="AL59" t="s">
        <v>292</v>
      </c>
      <c r="AM59">
        <v>200000</v>
      </c>
      <c r="AN59" t="s">
        <v>97</v>
      </c>
      <c r="AO59">
        <v>1</v>
      </c>
      <c r="AP59">
        <v>0</v>
      </c>
      <c r="AQ59">
        <v>16666.666666666668</v>
      </c>
      <c r="AR59" t="s">
        <v>293</v>
      </c>
      <c r="AS59" t="s">
        <v>75</v>
      </c>
      <c r="AX59" t="s">
        <v>76</v>
      </c>
      <c r="AY59" t="s">
        <v>71</v>
      </c>
      <c r="AZ59">
        <v>0</v>
      </c>
      <c r="BA59" t="s">
        <v>71</v>
      </c>
      <c r="BB59">
        <v>0</v>
      </c>
      <c r="BD59">
        <v>2.5</v>
      </c>
    </row>
    <row r="60" spans="1:56" x14ac:dyDescent="0.15">
      <c r="A60" s="4" t="str">
        <f>HYPERLINK("https://ibp.a2mac1.com/costing(costing:projects/details/9760/part/8410922)","Battery Terminal + Auxiliary Starter")</f>
        <v>Battery Terminal + Auxiliary Starter</v>
      </c>
      <c r="B60">
        <v>8410922</v>
      </c>
      <c r="C60">
        <v>8410908</v>
      </c>
      <c r="E60">
        <v>0.45600000000000002</v>
      </c>
      <c r="F60">
        <v>0</v>
      </c>
      <c r="G60">
        <v>0</v>
      </c>
      <c r="H60">
        <v>0</v>
      </c>
      <c r="I60" t="s">
        <v>71</v>
      </c>
      <c r="J60">
        <v>0</v>
      </c>
      <c r="K60">
        <v>0.45600000000000002</v>
      </c>
      <c r="L60">
        <v>0</v>
      </c>
      <c r="M60">
        <v>0</v>
      </c>
      <c r="N60">
        <v>0.45600000000000002</v>
      </c>
      <c r="O60" t="s">
        <v>71</v>
      </c>
      <c r="P60">
        <v>0</v>
      </c>
      <c r="Q60" t="s">
        <v>71</v>
      </c>
      <c r="R60">
        <v>0</v>
      </c>
      <c r="S60" t="s">
        <v>71</v>
      </c>
      <c r="T60">
        <v>0</v>
      </c>
      <c r="U60" t="s">
        <v>71</v>
      </c>
      <c r="V60">
        <v>0</v>
      </c>
      <c r="W60" t="s">
        <v>71</v>
      </c>
      <c r="X60">
        <v>0</v>
      </c>
      <c r="Y60">
        <v>0.45600000000000002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29</v>
      </c>
      <c r="AF60">
        <v>46</v>
      </c>
      <c r="AG60">
        <v>73</v>
      </c>
      <c r="AI60">
        <v>2.7E-2</v>
      </c>
      <c r="AK60" t="s">
        <v>288</v>
      </c>
      <c r="AL60" t="s">
        <v>294</v>
      </c>
      <c r="AM60">
        <v>200000</v>
      </c>
      <c r="AN60" t="s">
        <v>97</v>
      </c>
      <c r="AO60">
        <v>1</v>
      </c>
      <c r="AP60">
        <v>0</v>
      </c>
      <c r="AQ60">
        <v>16666.666666666668</v>
      </c>
      <c r="AR60" t="s">
        <v>295</v>
      </c>
      <c r="AS60" t="s">
        <v>75</v>
      </c>
      <c r="AX60" t="s">
        <v>76</v>
      </c>
      <c r="AY60" t="s">
        <v>71</v>
      </c>
      <c r="AZ60">
        <v>0</v>
      </c>
      <c r="BA60" t="s">
        <v>71</v>
      </c>
      <c r="BB60">
        <v>0</v>
      </c>
      <c r="BD60">
        <v>0.45600000000000002</v>
      </c>
    </row>
    <row r="61" spans="1:56" x14ac:dyDescent="0.15">
      <c r="A61" s="4" t="str">
        <f>HYPERLINK("https://ibp.a2mac1.com/costing(costing:projects/details/9760/part/8410923)","Battery Terminal + Auxiliary Starter Lid")</f>
        <v>Battery Terminal + Auxiliary Starter Lid</v>
      </c>
      <c r="B61">
        <v>8410923</v>
      </c>
      <c r="C61">
        <v>8410908</v>
      </c>
      <c r="E61">
        <v>0.12</v>
      </c>
      <c r="F61">
        <v>0</v>
      </c>
      <c r="G61">
        <v>0</v>
      </c>
      <c r="H61">
        <v>0</v>
      </c>
      <c r="I61" t="s">
        <v>71</v>
      </c>
      <c r="J61">
        <v>0</v>
      </c>
      <c r="K61">
        <v>0.12</v>
      </c>
      <c r="L61">
        <v>0</v>
      </c>
      <c r="M61">
        <v>0</v>
      </c>
      <c r="N61">
        <v>0.12</v>
      </c>
      <c r="O61" t="s">
        <v>71</v>
      </c>
      <c r="P61">
        <v>0</v>
      </c>
      <c r="Q61" t="s">
        <v>71</v>
      </c>
      <c r="R61">
        <v>0</v>
      </c>
      <c r="S61" t="s">
        <v>71</v>
      </c>
      <c r="T61">
        <v>0</v>
      </c>
      <c r="U61" t="s">
        <v>71</v>
      </c>
      <c r="V61">
        <v>0</v>
      </c>
      <c r="W61" t="s">
        <v>71</v>
      </c>
      <c r="X61">
        <v>0</v>
      </c>
      <c r="Y61">
        <v>0.12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29</v>
      </c>
      <c r="AF61">
        <v>30</v>
      </c>
      <c r="AG61">
        <v>87</v>
      </c>
      <c r="AI61">
        <v>1.2E-2</v>
      </c>
      <c r="AK61" t="s">
        <v>288</v>
      </c>
      <c r="AL61" t="s">
        <v>289</v>
      </c>
      <c r="AM61">
        <v>200000</v>
      </c>
      <c r="AN61" t="s">
        <v>97</v>
      </c>
      <c r="AO61">
        <v>1</v>
      </c>
      <c r="AP61">
        <v>0</v>
      </c>
      <c r="AQ61">
        <v>16666.666666666668</v>
      </c>
      <c r="AR61" t="s">
        <v>296</v>
      </c>
      <c r="AS61" t="s">
        <v>75</v>
      </c>
      <c r="AX61" t="s">
        <v>76</v>
      </c>
      <c r="AY61" t="s">
        <v>71</v>
      </c>
      <c r="AZ61">
        <v>0</v>
      </c>
      <c r="BA61" t="s">
        <v>71</v>
      </c>
      <c r="BB61">
        <v>0</v>
      </c>
      <c r="BD61">
        <v>0.12</v>
      </c>
    </row>
    <row r="62" spans="1:56" x14ac:dyDescent="0.15">
      <c r="A62" s="4" t="str">
        <f>HYPERLINK("https://ibp.a2mac1.com/costing(costing:projects/details/9760/part/8410924)","Battery Terminal + Auxiliary Starter Lid 2")</f>
        <v>Battery Terminal + Auxiliary Starter Lid 2</v>
      </c>
      <c r="B62">
        <v>8410924</v>
      </c>
      <c r="C62">
        <v>8410908</v>
      </c>
      <c r="E62">
        <v>0.188</v>
      </c>
      <c r="F62">
        <v>0</v>
      </c>
      <c r="G62">
        <v>0</v>
      </c>
      <c r="H62">
        <v>0</v>
      </c>
      <c r="I62" t="s">
        <v>71</v>
      </c>
      <c r="J62">
        <v>0</v>
      </c>
      <c r="K62">
        <v>0.188</v>
      </c>
      <c r="L62">
        <v>0</v>
      </c>
      <c r="M62">
        <v>0</v>
      </c>
      <c r="N62">
        <v>0.188</v>
      </c>
      <c r="O62" t="s">
        <v>71</v>
      </c>
      <c r="P62">
        <v>0</v>
      </c>
      <c r="Q62" t="s">
        <v>71</v>
      </c>
      <c r="R62">
        <v>0</v>
      </c>
      <c r="S62" t="s">
        <v>71</v>
      </c>
      <c r="T62">
        <v>0</v>
      </c>
      <c r="U62" t="s">
        <v>71</v>
      </c>
      <c r="V62">
        <v>0</v>
      </c>
      <c r="W62" t="s">
        <v>71</v>
      </c>
      <c r="X62">
        <v>0</v>
      </c>
      <c r="Y62">
        <v>0.188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28</v>
      </c>
      <c r="AF62">
        <v>50</v>
      </c>
      <c r="AG62">
        <v>121</v>
      </c>
      <c r="AI62">
        <v>2.3E-2</v>
      </c>
      <c r="AK62" t="s">
        <v>288</v>
      </c>
      <c r="AL62" t="s">
        <v>289</v>
      </c>
      <c r="AM62">
        <v>200000</v>
      </c>
      <c r="AN62" t="s">
        <v>97</v>
      </c>
      <c r="AO62">
        <v>1</v>
      </c>
      <c r="AP62">
        <v>0</v>
      </c>
      <c r="AQ62">
        <v>16666.666666666668</v>
      </c>
      <c r="AR62" t="s">
        <v>297</v>
      </c>
      <c r="AS62" t="s">
        <v>75</v>
      </c>
      <c r="AX62" t="s">
        <v>76</v>
      </c>
      <c r="AY62" t="s">
        <v>71</v>
      </c>
      <c r="AZ62">
        <v>0</v>
      </c>
      <c r="BA62" t="s">
        <v>71</v>
      </c>
      <c r="BB62">
        <v>0</v>
      </c>
      <c r="BD62">
        <v>0.188</v>
      </c>
    </row>
    <row r="63" spans="1:56" x14ac:dyDescent="0.15">
      <c r="A63" s="4" t="str">
        <f>HYPERLINK("https://ibp.a2mac1.com/costing(costing:projects/details/9760/part/8411001)","ADAS ECU Coolant Inlet Hose")</f>
        <v>ADAS ECU Coolant Inlet Hose</v>
      </c>
      <c r="B63">
        <v>8411001</v>
      </c>
      <c r="C63">
        <v>8410941</v>
      </c>
      <c r="E63">
        <v>0.67200000000000004</v>
      </c>
      <c r="F63">
        <v>0</v>
      </c>
      <c r="G63">
        <v>0</v>
      </c>
      <c r="H63">
        <v>0</v>
      </c>
      <c r="I63" t="s">
        <v>71</v>
      </c>
      <c r="J63">
        <v>0</v>
      </c>
      <c r="K63">
        <v>0.67200000000000004</v>
      </c>
      <c r="L63">
        <v>0</v>
      </c>
      <c r="M63">
        <v>0</v>
      </c>
      <c r="N63">
        <v>0.67200000000000004</v>
      </c>
      <c r="O63" t="s">
        <v>71</v>
      </c>
      <c r="P63">
        <v>0</v>
      </c>
      <c r="Q63" t="s">
        <v>71</v>
      </c>
      <c r="R63">
        <v>0</v>
      </c>
      <c r="S63" t="s">
        <v>71</v>
      </c>
      <c r="T63">
        <v>0</v>
      </c>
      <c r="U63" t="s">
        <v>71</v>
      </c>
      <c r="V63">
        <v>0</v>
      </c>
      <c r="W63" t="s">
        <v>71</v>
      </c>
      <c r="X63">
        <v>0</v>
      </c>
      <c r="Y63">
        <v>0.67200000000000004</v>
      </c>
      <c r="Z63">
        <v>0</v>
      </c>
      <c r="AA63">
        <v>0</v>
      </c>
      <c r="AB63">
        <v>0</v>
      </c>
      <c r="AC63">
        <v>0</v>
      </c>
      <c r="AD63">
        <v>0</v>
      </c>
      <c r="AI63">
        <v>3.5000000000000003E-2</v>
      </c>
      <c r="AK63" t="s">
        <v>288</v>
      </c>
      <c r="AL63" t="s">
        <v>397</v>
      </c>
      <c r="AM63">
        <v>200000</v>
      </c>
      <c r="AN63" t="s">
        <v>97</v>
      </c>
      <c r="AO63">
        <v>1</v>
      </c>
      <c r="AP63">
        <v>0</v>
      </c>
      <c r="AQ63">
        <v>16666.666666666668</v>
      </c>
      <c r="AR63" t="s">
        <v>398</v>
      </c>
      <c r="AS63" t="s">
        <v>75</v>
      </c>
      <c r="AX63" t="s">
        <v>76</v>
      </c>
      <c r="AY63" t="s">
        <v>71</v>
      </c>
      <c r="AZ63">
        <v>0</v>
      </c>
      <c r="BA63" t="s">
        <v>71</v>
      </c>
      <c r="BB63">
        <v>0</v>
      </c>
      <c r="BD63">
        <v>0.67200000000000004</v>
      </c>
    </row>
    <row r="64" spans="1:56" x14ac:dyDescent="0.15">
      <c r="A64" s="4" t="str">
        <f>HYPERLINK("https://ibp.a2mac1.com/costing(costing:projects/details/9760/part/8411002)","ADAS ECU Coolant Inlet Hose 2")</f>
        <v>ADAS ECU Coolant Inlet Hose 2</v>
      </c>
      <c r="B64">
        <v>8411002</v>
      </c>
      <c r="C64">
        <v>8410941</v>
      </c>
      <c r="E64">
        <v>0.26300000000000001</v>
      </c>
      <c r="F64">
        <v>0</v>
      </c>
      <c r="G64">
        <v>0</v>
      </c>
      <c r="H64">
        <v>0</v>
      </c>
      <c r="I64" t="s">
        <v>71</v>
      </c>
      <c r="J64">
        <v>0</v>
      </c>
      <c r="K64">
        <v>0.26300000000000001</v>
      </c>
      <c r="L64">
        <v>0</v>
      </c>
      <c r="M64">
        <v>0</v>
      </c>
      <c r="N64">
        <v>0.26300000000000001</v>
      </c>
      <c r="O64" t="s">
        <v>71</v>
      </c>
      <c r="P64">
        <v>0</v>
      </c>
      <c r="Q64" t="s">
        <v>71</v>
      </c>
      <c r="R64">
        <v>0</v>
      </c>
      <c r="S64" t="s">
        <v>71</v>
      </c>
      <c r="T64">
        <v>0</v>
      </c>
      <c r="U64" t="s">
        <v>71</v>
      </c>
      <c r="V64">
        <v>0</v>
      </c>
      <c r="W64" t="s">
        <v>71</v>
      </c>
      <c r="X64">
        <v>0</v>
      </c>
      <c r="Y64">
        <v>0.26300000000000001</v>
      </c>
      <c r="Z64">
        <v>0</v>
      </c>
      <c r="AA64">
        <v>0</v>
      </c>
      <c r="AB64">
        <v>0</v>
      </c>
      <c r="AC64">
        <v>0</v>
      </c>
      <c r="AD64">
        <v>0</v>
      </c>
      <c r="AI64">
        <v>3.2000000000000001E-2</v>
      </c>
      <c r="AK64" t="s">
        <v>288</v>
      </c>
      <c r="AL64" t="s">
        <v>399</v>
      </c>
      <c r="AM64">
        <v>200000</v>
      </c>
      <c r="AN64" t="s">
        <v>97</v>
      </c>
      <c r="AO64">
        <v>1</v>
      </c>
      <c r="AP64">
        <v>0</v>
      </c>
      <c r="AQ64">
        <v>16666.666666666668</v>
      </c>
      <c r="AR64" t="s">
        <v>400</v>
      </c>
      <c r="AS64" t="s">
        <v>75</v>
      </c>
      <c r="AX64" t="s">
        <v>76</v>
      </c>
      <c r="AY64" t="s">
        <v>71</v>
      </c>
      <c r="AZ64">
        <v>0</v>
      </c>
      <c r="BA64" t="s">
        <v>71</v>
      </c>
      <c r="BB64">
        <v>0</v>
      </c>
      <c r="BD64">
        <v>0.26300000000000001</v>
      </c>
    </row>
    <row r="65" spans="1:56" x14ac:dyDescent="0.15">
      <c r="A65" s="4" t="str">
        <f>HYPERLINK("https://ibp.a2mac1.com/costing(costing:projects/details/9760/part/8411003)","ADAS ECU Coolant Outlet Hose")</f>
        <v>ADAS ECU Coolant Outlet Hose</v>
      </c>
      <c r="B65">
        <v>8411003</v>
      </c>
      <c r="C65">
        <v>8410941</v>
      </c>
      <c r="E65">
        <v>0.65600000000000003</v>
      </c>
      <c r="F65">
        <v>0</v>
      </c>
      <c r="G65">
        <v>0</v>
      </c>
      <c r="H65">
        <v>0</v>
      </c>
      <c r="I65" t="s">
        <v>71</v>
      </c>
      <c r="J65">
        <v>0</v>
      </c>
      <c r="K65">
        <v>0.65600000000000003</v>
      </c>
      <c r="L65">
        <v>0</v>
      </c>
      <c r="M65">
        <v>0</v>
      </c>
      <c r="N65">
        <v>0.65600000000000003</v>
      </c>
      <c r="O65" t="s">
        <v>71</v>
      </c>
      <c r="P65">
        <v>0</v>
      </c>
      <c r="Q65" t="s">
        <v>71</v>
      </c>
      <c r="R65">
        <v>0</v>
      </c>
      <c r="S65" t="s">
        <v>71</v>
      </c>
      <c r="T65">
        <v>0</v>
      </c>
      <c r="U65" t="s">
        <v>71</v>
      </c>
      <c r="V65">
        <v>0</v>
      </c>
      <c r="W65" t="s">
        <v>71</v>
      </c>
      <c r="X65">
        <v>0</v>
      </c>
      <c r="Y65">
        <v>0.65600000000000003</v>
      </c>
      <c r="Z65">
        <v>0</v>
      </c>
      <c r="AA65">
        <v>0</v>
      </c>
      <c r="AB65">
        <v>0</v>
      </c>
      <c r="AC65">
        <v>0</v>
      </c>
      <c r="AD65">
        <v>0</v>
      </c>
      <c r="AI65">
        <v>3.4000000000000002E-2</v>
      </c>
      <c r="AK65" t="s">
        <v>288</v>
      </c>
      <c r="AL65" t="s">
        <v>401</v>
      </c>
      <c r="AM65">
        <v>200000</v>
      </c>
      <c r="AN65" t="s">
        <v>97</v>
      </c>
      <c r="AO65">
        <v>1</v>
      </c>
      <c r="AP65">
        <v>0</v>
      </c>
      <c r="AQ65">
        <v>16666.666666666668</v>
      </c>
      <c r="AR65" t="s">
        <v>402</v>
      </c>
      <c r="AS65" t="s">
        <v>75</v>
      </c>
      <c r="AX65" t="s">
        <v>76</v>
      </c>
      <c r="AY65" t="s">
        <v>71</v>
      </c>
      <c r="AZ65">
        <v>0</v>
      </c>
      <c r="BA65" t="s">
        <v>71</v>
      </c>
      <c r="BB65">
        <v>0</v>
      </c>
      <c r="BD65">
        <v>0.65600000000000003</v>
      </c>
    </row>
    <row r="66" spans="1:56" x14ac:dyDescent="0.15">
      <c r="A66" s="4" t="str">
        <f>HYPERLINK("https://ibp.a2mac1.com/costing(costing:projects/details/9760/part/8411004)","ADAS ECU Coolant Outlet Hose 2")</f>
        <v>ADAS ECU Coolant Outlet Hose 2</v>
      </c>
      <c r="B66">
        <v>8411004</v>
      </c>
      <c r="C66">
        <v>8410941</v>
      </c>
      <c r="E66">
        <v>0.26800000000000002</v>
      </c>
      <c r="F66">
        <v>0</v>
      </c>
      <c r="G66">
        <v>0</v>
      </c>
      <c r="H66">
        <v>0</v>
      </c>
      <c r="I66" t="s">
        <v>71</v>
      </c>
      <c r="J66">
        <v>0</v>
      </c>
      <c r="K66">
        <v>0.26800000000000002</v>
      </c>
      <c r="L66">
        <v>0</v>
      </c>
      <c r="M66">
        <v>0</v>
      </c>
      <c r="N66">
        <v>0.26800000000000002</v>
      </c>
      <c r="O66" t="s">
        <v>71</v>
      </c>
      <c r="P66">
        <v>0</v>
      </c>
      <c r="Q66" t="s">
        <v>71</v>
      </c>
      <c r="R66">
        <v>0</v>
      </c>
      <c r="S66" t="s">
        <v>71</v>
      </c>
      <c r="T66">
        <v>0</v>
      </c>
      <c r="U66" t="s">
        <v>71</v>
      </c>
      <c r="V66">
        <v>0</v>
      </c>
      <c r="W66" t="s">
        <v>71</v>
      </c>
      <c r="X66">
        <v>0</v>
      </c>
      <c r="Y66">
        <v>0.26800000000000002</v>
      </c>
      <c r="Z66">
        <v>0</v>
      </c>
      <c r="AA66">
        <v>0</v>
      </c>
      <c r="AB66">
        <v>0</v>
      </c>
      <c r="AC66">
        <v>0</v>
      </c>
      <c r="AD66">
        <v>0</v>
      </c>
      <c r="AI66">
        <v>3.3000000000000002E-2</v>
      </c>
      <c r="AK66" t="s">
        <v>288</v>
      </c>
      <c r="AL66" t="s">
        <v>403</v>
      </c>
      <c r="AM66">
        <v>200000</v>
      </c>
      <c r="AN66" t="s">
        <v>97</v>
      </c>
      <c r="AO66">
        <v>1</v>
      </c>
      <c r="AP66">
        <v>0</v>
      </c>
      <c r="AQ66">
        <v>16666.666666666668</v>
      </c>
      <c r="AR66" t="s">
        <v>404</v>
      </c>
      <c r="AS66" t="s">
        <v>75</v>
      </c>
      <c r="AX66" t="s">
        <v>76</v>
      </c>
      <c r="AY66" t="s">
        <v>71</v>
      </c>
      <c r="AZ66">
        <v>0</v>
      </c>
      <c r="BA66" t="s">
        <v>71</v>
      </c>
      <c r="BB66">
        <v>0</v>
      </c>
      <c r="BD66">
        <v>0.26800000000000002</v>
      </c>
    </row>
    <row r="67" spans="1:56" x14ac:dyDescent="0.15">
      <c r="A67" s="4" t="str">
        <f>HYPERLINK("https://ibp.a2mac1.com/costing(costing:projects/details/9760/part/8411005)","Coolant Coupling on Body")</f>
        <v>Coolant Coupling on Body</v>
      </c>
      <c r="B67">
        <v>8411005</v>
      </c>
      <c r="C67">
        <v>8410941</v>
      </c>
      <c r="E67">
        <v>0.95199999999999996</v>
      </c>
      <c r="F67">
        <v>0</v>
      </c>
      <c r="G67">
        <v>0</v>
      </c>
      <c r="H67">
        <v>0</v>
      </c>
      <c r="I67" t="s">
        <v>71</v>
      </c>
      <c r="J67">
        <v>0</v>
      </c>
      <c r="K67">
        <v>0.95199999999999996</v>
      </c>
      <c r="L67">
        <v>0</v>
      </c>
      <c r="M67">
        <v>0</v>
      </c>
      <c r="N67">
        <v>0.95199999999999996</v>
      </c>
      <c r="O67" t="s">
        <v>71</v>
      </c>
      <c r="P67">
        <v>0</v>
      </c>
      <c r="Q67" t="s">
        <v>71</v>
      </c>
      <c r="R67">
        <v>0</v>
      </c>
      <c r="S67" t="s">
        <v>71</v>
      </c>
      <c r="T67">
        <v>0</v>
      </c>
      <c r="U67" t="s">
        <v>71</v>
      </c>
      <c r="V67">
        <v>0</v>
      </c>
      <c r="W67" t="s">
        <v>71</v>
      </c>
      <c r="X67">
        <v>0</v>
      </c>
      <c r="Y67">
        <v>0.95199999999999996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88</v>
      </c>
      <c r="AF67">
        <v>54</v>
      </c>
      <c r="AG67">
        <v>107</v>
      </c>
      <c r="AI67">
        <v>5.8000000000000003E-2</v>
      </c>
      <c r="AK67" t="s">
        <v>288</v>
      </c>
      <c r="AL67" t="s">
        <v>405</v>
      </c>
      <c r="AM67">
        <v>200000</v>
      </c>
      <c r="AN67" t="s">
        <v>97</v>
      </c>
      <c r="AO67">
        <v>1</v>
      </c>
      <c r="AP67">
        <v>0</v>
      </c>
      <c r="AQ67">
        <v>16666.666666666668</v>
      </c>
      <c r="AR67" t="s">
        <v>406</v>
      </c>
      <c r="AS67" t="s">
        <v>75</v>
      </c>
      <c r="AX67" t="s">
        <v>76</v>
      </c>
      <c r="AY67" t="s">
        <v>71</v>
      </c>
      <c r="AZ67">
        <v>0</v>
      </c>
      <c r="BA67" t="s">
        <v>71</v>
      </c>
      <c r="BB67">
        <v>0</v>
      </c>
      <c r="BD67">
        <v>0.95199999999999996</v>
      </c>
    </row>
    <row r="68" spans="1:56" x14ac:dyDescent="0.15">
      <c r="A68" s="4" t="str">
        <f>HYPERLINK("https://ibp.a2mac1.com/costing(costing:projects/details/9760/part/8411007)","Protection")</f>
        <v>Protection</v>
      </c>
      <c r="B68">
        <v>8411007</v>
      </c>
      <c r="C68">
        <v>8410942</v>
      </c>
      <c r="E68">
        <v>6.0999999999999999E-2</v>
      </c>
      <c r="F68">
        <v>0</v>
      </c>
      <c r="G68">
        <v>0</v>
      </c>
      <c r="H68">
        <v>0</v>
      </c>
      <c r="I68" t="s">
        <v>71</v>
      </c>
      <c r="J68">
        <v>0</v>
      </c>
      <c r="K68">
        <v>6.0999999999999999E-2</v>
      </c>
      <c r="L68">
        <v>0</v>
      </c>
      <c r="M68">
        <v>0</v>
      </c>
      <c r="N68">
        <v>6.0999999999999999E-2</v>
      </c>
      <c r="O68" t="s">
        <v>71</v>
      </c>
      <c r="P68">
        <v>0</v>
      </c>
      <c r="Q68" t="s">
        <v>71</v>
      </c>
      <c r="R68">
        <v>0</v>
      </c>
      <c r="S68" t="s">
        <v>71</v>
      </c>
      <c r="T68">
        <v>0</v>
      </c>
      <c r="U68" t="s">
        <v>71</v>
      </c>
      <c r="V68">
        <v>0</v>
      </c>
      <c r="W68" t="s">
        <v>71</v>
      </c>
      <c r="X68">
        <v>0</v>
      </c>
      <c r="Y68">
        <v>6.0999999999999999E-2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44</v>
      </c>
      <c r="AF68">
        <v>155</v>
      </c>
      <c r="AG68">
        <v>51</v>
      </c>
      <c r="AI68">
        <v>3.5000000000000003E-2</v>
      </c>
      <c r="AK68" t="s">
        <v>288</v>
      </c>
      <c r="AL68" t="s">
        <v>412</v>
      </c>
      <c r="AM68">
        <v>200000</v>
      </c>
      <c r="AN68" t="s">
        <v>97</v>
      </c>
      <c r="AO68">
        <v>1</v>
      </c>
      <c r="AP68">
        <v>0</v>
      </c>
      <c r="AQ68">
        <v>16666.666666666668</v>
      </c>
      <c r="AR68" t="s">
        <v>413</v>
      </c>
      <c r="AS68" t="s">
        <v>75</v>
      </c>
      <c r="AX68" t="s">
        <v>76</v>
      </c>
      <c r="AY68" t="s">
        <v>71</v>
      </c>
      <c r="AZ68">
        <v>0</v>
      </c>
      <c r="BA68" t="s">
        <v>71</v>
      </c>
      <c r="BB68">
        <v>0</v>
      </c>
      <c r="BD68">
        <v>6.0999999999999999E-2</v>
      </c>
    </row>
    <row r="69" spans="1:56" x14ac:dyDescent="0.15">
      <c r="A69" s="4" t="str">
        <f>HYPERLINK("https://ibp.a2mac1.com/costing(costing:projects/details/9760/part/8410936)","Steering Wheel ECU")</f>
        <v>Steering Wheel ECU</v>
      </c>
      <c r="B69">
        <v>8410936</v>
      </c>
      <c r="C69">
        <v>8410910</v>
      </c>
      <c r="E69">
        <v>4.3</v>
      </c>
      <c r="F69">
        <v>0</v>
      </c>
      <c r="G69">
        <v>0</v>
      </c>
      <c r="H69">
        <v>0</v>
      </c>
      <c r="I69" t="s">
        <v>71</v>
      </c>
      <c r="J69">
        <v>0</v>
      </c>
      <c r="K69">
        <v>4.3</v>
      </c>
      <c r="L69">
        <v>0</v>
      </c>
      <c r="M69">
        <v>0</v>
      </c>
      <c r="N69">
        <v>4.3</v>
      </c>
      <c r="O69" t="s">
        <v>71</v>
      </c>
      <c r="P69">
        <v>0</v>
      </c>
      <c r="Q69" t="s">
        <v>71</v>
      </c>
      <c r="R69">
        <v>0</v>
      </c>
      <c r="S69" t="s">
        <v>71</v>
      </c>
      <c r="T69">
        <v>0</v>
      </c>
      <c r="U69" t="s">
        <v>71</v>
      </c>
      <c r="V69">
        <v>0</v>
      </c>
      <c r="W69" t="s">
        <v>71</v>
      </c>
      <c r="X69">
        <v>0</v>
      </c>
      <c r="Y69">
        <v>4.3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19</v>
      </c>
      <c r="AF69">
        <v>42</v>
      </c>
      <c r="AG69">
        <v>67</v>
      </c>
      <c r="AI69">
        <v>2.7E-2</v>
      </c>
      <c r="AK69" t="s">
        <v>365</v>
      </c>
      <c r="AM69">
        <v>200000</v>
      </c>
      <c r="AN69" t="s">
        <v>97</v>
      </c>
      <c r="AO69">
        <v>1</v>
      </c>
      <c r="AP69">
        <v>0</v>
      </c>
      <c r="AQ69">
        <v>16666.666666666668</v>
      </c>
      <c r="AR69" t="s">
        <v>417</v>
      </c>
      <c r="AS69" t="s">
        <v>75</v>
      </c>
      <c r="AX69" t="s">
        <v>76</v>
      </c>
      <c r="AY69" t="s">
        <v>71</v>
      </c>
      <c r="AZ69">
        <v>0</v>
      </c>
      <c r="BA69" t="s">
        <v>71</v>
      </c>
      <c r="BB69">
        <v>0</v>
      </c>
      <c r="BD69">
        <v>4.3</v>
      </c>
    </row>
    <row r="70" spans="1:56" x14ac:dyDescent="0.15">
      <c r="A70" s="4" t="str">
        <f>HYPERLINK("https://ibp.a2mac1.com/costing(costing:projects/details/9760/part/8411008)","Cover")</f>
        <v>Cover</v>
      </c>
      <c r="B70">
        <v>8411008</v>
      </c>
      <c r="C70">
        <v>8410946</v>
      </c>
      <c r="E70">
        <v>1.98</v>
      </c>
      <c r="F70">
        <v>0</v>
      </c>
      <c r="G70">
        <v>0</v>
      </c>
      <c r="H70">
        <v>0</v>
      </c>
      <c r="I70" t="s">
        <v>71</v>
      </c>
      <c r="J70">
        <v>0</v>
      </c>
      <c r="K70">
        <v>1.98</v>
      </c>
      <c r="L70">
        <v>0</v>
      </c>
      <c r="M70">
        <v>0</v>
      </c>
      <c r="N70">
        <v>1.98</v>
      </c>
      <c r="O70" t="s">
        <v>71</v>
      </c>
      <c r="P70">
        <v>0</v>
      </c>
      <c r="Q70" t="s">
        <v>71</v>
      </c>
      <c r="R70">
        <v>0</v>
      </c>
      <c r="S70" t="s">
        <v>71</v>
      </c>
      <c r="T70">
        <v>0</v>
      </c>
      <c r="U70" t="s">
        <v>71</v>
      </c>
      <c r="V70">
        <v>0</v>
      </c>
      <c r="W70" t="s">
        <v>71</v>
      </c>
      <c r="X70">
        <v>0</v>
      </c>
      <c r="Y70">
        <v>1.98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120</v>
      </c>
      <c r="AF70">
        <v>305</v>
      </c>
      <c r="AG70">
        <v>290</v>
      </c>
      <c r="AI70">
        <v>0.29499999999999998</v>
      </c>
      <c r="AK70" t="s">
        <v>288</v>
      </c>
      <c r="AL70" t="s">
        <v>435</v>
      </c>
      <c r="AM70">
        <v>200000</v>
      </c>
      <c r="AN70" t="s">
        <v>97</v>
      </c>
      <c r="AO70">
        <v>1</v>
      </c>
      <c r="AP70">
        <v>0</v>
      </c>
      <c r="AQ70">
        <v>16666.666666666668</v>
      </c>
      <c r="AR70" t="s">
        <v>436</v>
      </c>
      <c r="AS70" t="s">
        <v>75</v>
      </c>
      <c r="AX70" t="s">
        <v>76</v>
      </c>
      <c r="AY70" t="s">
        <v>71</v>
      </c>
      <c r="AZ70">
        <v>0</v>
      </c>
      <c r="BA70" t="s">
        <v>71</v>
      </c>
      <c r="BB70">
        <v>0</v>
      </c>
      <c r="BD70">
        <v>1.98</v>
      </c>
    </row>
    <row r="71" spans="1:56" x14ac:dyDescent="0.15">
      <c r="A71" s="4" t="str">
        <f>HYPERLINK("https://ibp.a2mac1.com/costing(costing:projects/details/9760/part/8411009)","Support 1")</f>
        <v>Support 1</v>
      </c>
      <c r="B71">
        <v>8411009</v>
      </c>
      <c r="C71">
        <v>8410954</v>
      </c>
      <c r="E71">
        <v>5.42</v>
      </c>
      <c r="F71">
        <v>0</v>
      </c>
      <c r="G71">
        <v>0</v>
      </c>
      <c r="H71">
        <v>0</v>
      </c>
      <c r="I71" t="s">
        <v>71</v>
      </c>
      <c r="J71">
        <v>0</v>
      </c>
      <c r="K71">
        <v>5.42</v>
      </c>
      <c r="L71">
        <v>0</v>
      </c>
      <c r="M71">
        <v>0</v>
      </c>
      <c r="N71">
        <v>5.42</v>
      </c>
      <c r="O71" t="s">
        <v>71</v>
      </c>
      <c r="P71">
        <v>0</v>
      </c>
      <c r="Q71" t="s">
        <v>71</v>
      </c>
      <c r="R71">
        <v>0</v>
      </c>
      <c r="S71" t="s">
        <v>71</v>
      </c>
      <c r="T71">
        <v>0</v>
      </c>
      <c r="U71" t="s">
        <v>71</v>
      </c>
      <c r="V71">
        <v>0</v>
      </c>
      <c r="W71" t="s">
        <v>71</v>
      </c>
      <c r="X71">
        <v>0</v>
      </c>
      <c r="Y71">
        <v>5.42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27</v>
      </c>
      <c r="AF71">
        <v>111</v>
      </c>
      <c r="AG71">
        <v>160</v>
      </c>
      <c r="AI71">
        <v>0.22900000000000001</v>
      </c>
      <c r="AK71" t="s">
        <v>288</v>
      </c>
      <c r="AL71" t="s">
        <v>96</v>
      </c>
      <c r="AM71">
        <v>200000</v>
      </c>
      <c r="AN71" t="s">
        <v>97</v>
      </c>
      <c r="AO71">
        <v>1</v>
      </c>
      <c r="AP71">
        <v>0</v>
      </c>
      <c r="AQ71">
        <v>16666.666666666668</v>
      </c>
      <c r="AR71" t="s">
        <v>442</v>
      </c>
      <c r="AS71" t="s">
        <v>75</v>
      </c>
      <c r="AX71" t="s">
        <v>76</v>
      </c>
      <c r="AY71" t="s">
        <v>71</v>
      </c>
      <c r="AZ71">
        <v>0</v>
      </c>
      <c r="BA71" t="s">
        <v>71</v>
      </c>
      <c r="BB71">
        <v>0</v>
      </c>
      <c r="BD71">
        <v>5.42</v>
      </c>
    </row>
    <row r="72" spans="1:56" x14ac:dyDescent="0.15">
      <c r="A72" s="4" t="str">
        <f>HYPERLINK("https://ibp.a2mac1.com/costing(costing:projects/details/9760/part/8411010)","Support 2")</f>
        <v>Support 2</v>
      </c>
      <c r="B72">
        <v>8411010</v>
      </c>
      <c r="C72">
        <v>8410954</v>
      </c>
      <c r="E72">
        <v>2.71</v>
      </c>
      <c r="F72">
        <v>0</v>
      </c>
      <c r="G72">
        <v>0</v>
      </c>
      <c r="H72">
        <v>0</v>
      </c>
      <c r="I72" t="s">
        <v>71</v>
      </c>
      <c r="J72">
        <v>0</v>
      </c>
      <c r="K72">
        <v>2.71</v>
      </c>
      <c r="L72">
        <v>0</v>
      </c>
      <c r="M72">
        <v>0</v>
      </c>
      <c r="N72">
        <v>2.71</v>
      </c>
      <c r="O72" t="s">
        <v>71</v>
      </c>
      <c r="P72">
        <v>0</v>
      </c>
      <c r="Q72" t="s">
        <v>71</v>
      </c>
      <c r="R72">
        <v>0</v>
      </c>
      <c r="S72" t="s">
        <v>71</v>
      </c>
      <c r="T72">
        <v>0</v>
      </c>
      <c r="U72" t="s">
        <v>71</v>
      </c>
      <c r="V72">
        <v>0</v>
      </c>
      <c r="W72" t="s">
        <v>71</v>
      </c>
      <c r="X72">
        <v>0</v>
      </c>
      <c r="Y72">
        <v>2.71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26</v>
      </c>
      <c r="AF72">
        <v>111</v>
      </c>
      <c r="AG72">
        <v>160</v>
      </c>
      <c r="AI72">
        <v>0.23</v>
      </c>
      <c r="AK72" t="s">
        <v>288</v>
      </c>
      <c r="AL72" t="s">
        <v>96</v>
      </c>
      <c r="AM72">
        <v>200000</v>
      </c>
      <c r="AN72" t="s">
        <v>97</v>
      </c>
      <c r="AO72">
        <v>1</v>
      </c>
      <c r="AP72">
        <v>0</v>
      </c>
      <c r="AQ72">
        <v>16666.666666666668</v>
      </c>
      <c r="AR72" t="s">
        <v>443</v>
      </c>
      <c r="AS72" t="s">
        <v>75</v>
      </c>
      <c r="AX72" t="s">
        <v>76</v>
      </c>
      <c r="AY72" t="s">
        <v>71</v>
      </c>
      <c r="AZ72">
        <v>0</v>
      </c>
      <c r="BA72" t="s">
        <v>71</v>
      </c>
      <c r="BB72">
        <v>0</v>
      </c>
      <c r="BD72">
        <v>2.71</v>
      </c>
    </row>
    <row r="73" spans="1:56" x14ac:dyDescent="0.15">
      <c r="A73" s="4" t="str">
        <f>HYPERLINK("https://ibp.a2mac1.com/costing(costing:projects/details/9760/part/8411011)","Support 1")</f>
        <v>Support 1</v>
      </c>
      <c r="B73">
        <v>8411011</v>
      </c>
      <c r="C73">
        <v>8410955</v>
      </c>
      <c r="E73">
        <v>0.28000000000000003</v>
      </c>
      <c r="F73">
        <v>0</v>
      </c>
      <c r="G73">
        <v>0</v>
      </c>
      <c r="H73">
        <v>0</v>
      </c>
      <c r="I73" t="s">
        <v>71</v>
      </c>
      <c r="J73">
        <v>0</v>
      </c>
      <c r="K73">
        <v>0.28000000000000003</v>
      </c>
      <c r="L73">
        <v>0</v>
      </c>
      <c r="M73">
        <v>0</v>
      </c>
      <c r="N73">
        <v>0.28000000000000003</v>
      </c>
      <c r="O73" t="s">
        <v>71</v>
      </c>
      <c r="P73">
        <v>0</v>
      </c>
      <c r="Q73" t="s">
        <v>71</v>
      </c>
      <c r="R73">
        <v>0</v>
      </c>
      <c r="S73" t="s">
        <v>71</v>
      </c>
      <c r="T73">
        <v>0</v>
      </c>
      <c r="U73" t="s">
        <v>71</v>
      </c>
      <c r="V73">
        <v>0</v>
      </c>
      <c r="W73" t="s">
        <v>71</v>
      </c>
      <c r="X73">
        <v>0</v>
      </c>
      <c r="Y73">
        <v>0.28000000000000003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70</v>
      </c>
      <c r="AF73">
        <v>130</v>
      </c>
      <c r="AG73">
        <v>24</v>
      </c>
      <c r="AI73">
        <v>2.1000000000000001E-2</v>
      </c>
      <c r="AK73" t="s">
        <v>288</v>
      </c>
      <c r="AL73" t="s">
        <v>446</v>
      </c>
      <c r="AM73">
        <v>200000</v>
      </c>
      <c r="AN73" t="s">
        <v>97</v>
      </c>
      <c r="AO73">
        <v>1</v>
      </c>
      <c r="AP73">
        <v>0</v>
      </c>
      <c r="AQ73">
        <v>16666.666666666668</v>
      </c>
      <c r="AR73" t="s">
        <v>447</v>
      </c>
      <c r="AS73" t="s">
        <v>75</v>
      </c>
      <c r="AX73" t="s">
        <v>76</v>
      </c>
      <c r="AY73" t="s">
        <v>71</v>
      </c>
      <c r="AZ73">
        <v>0</v>
      </c>
      <c r="BA73" t="s">
        <v>71</v>
      </c>
      <c r="BB73">
        <v>0</v>
      </c>
      <c r="BD73">
        <v>0.28000000000000003</v>
      </c>
    </row>
    <row r="74" spans="1:56" x14ac:dyDescent="0.15">
      <c r="A74" s="4" t="str">
        <f>HYPERLINK("https://ibp.a2mac1.com/costing(costing:projects/details/9760/part/8411012)","Support 2")</f>
        <v>Support 2</v>
      </c>
      <c r="B74">
        <v>8411012</v>
      </c>
      <c r="C74">
        <v>8410955</v>
      </c>
      <c r="E74">
        <v>0.28000000000000003</v>
      </c>
      <c r="F74">
        <v>0</v>
      </c>
      <c r="G74">
        <v>0</v>
      </c>
      <c r="H74">
        <v>0</v>
      </c>
      <c r="I74" t="s">
        <v>71</v>
      </c>
      <c r="J74">
        <v>0</v>
      </c>
      <c r="K74">
        <v>0.28000000000000003</v>
      </c>
      <c r="L74">
        <v>0</v>
      </c>
      <c r="M74">
        <v>0</v>
      </c>
      <c r="N74">
        <v>0.28000000000000003</v>
      </c>
      <c r="O74" t="s">
        <v>71</v>
      </c>
      <c r="P74">
        <v>0</v>
      </c>
      <c r="Q74" t="s">
        <v>71</v>
      </c>
      <c r="R74">
        <v>0</v>
      </c>
      <c r="S74" t="s">
        <v>71</v>
      </c>
      <c r="T74">
        <v>0</v>
      </c>
      <c r="U74" t="s">
        <v>71</v>
      </c>
      <c r="V74">
        <v>0</v>
      </c>
      <c r="W74" t="s">
        <v>71</v>
      </c>
      <c r="X74">
        <v>0</v>
      </c>
      <c r="Y74">
        <v>0.28000000000000003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80</v>
      </c>
      <c r="AF74">
        <v>64</v>
      </c>
      <c r="AG74">
        <v>59</v>
      </c>
      <c r="AI74">
        <v>0.02</v>
      </c>
      <c r="AK74" t="s">
        <v>288</v>
      </c>
      <c r="AL74" t="s">
        <v>448</v>
      </c>
      <c r="AM74">
        <v>200000</v>
      </c>
      <c r="AN74" t="s">
        <v>97</v>
      </c>
      <c r="AO74">
        <v>1</v>
      </c>
      <c r="AP74">
        <v>0</v>
      </c>
      <c r="AQ74">
        <v>16666.666666666668</v>
      </c>
      <c r="AR74" t="s">
        <v>449</v>
      </c>
      <c r="AS74" t="s">
        <v>75</v>
      </c>
      <c r="AX74" t="s">
        <v>76</v>
      </c>
      <c r="AY74" t="s">
        <v>71</v>
      </c>
      <c r="AZ74">
        <v>0</v>
      </c>
      <c r="BA74" t="s">
        <v>71</v>
      </c>
      <c r="BB74">
        <v>0</v>
      </c>
      <c r="BD74">
        <v>0.28000000000000003</v>
      </c>
    </row>
    <row r="75" spans="1:56" x14ac:dyDescent="0.15">
      <c r="A75" s="4" t="str">
        <f>HYPERLINK("https://ibp.a2mac1.com/costing(costing:projects/details/9760/part/8410947)","Support on Rear K Frame")</f>
        <v>Support on Rear K Frame</v>
      </c>
      <c r="B75">
        <v>8410947</v>
      </c>
      <c r="C75">
        <v>8410914</v>
      </c>
      <c r="E75">
        <v>2.35</v>
      </c>
      <c r="F75">
        <v>0</v>
      </c>
      <c r="G75">
        <v>0</v>
      </c>
      <c r="H75">
        <v>0</v>
      </c>
      <c r="I75" t="s">
        <v>71</v>
      </c>
      <c r="J75">
        <v>0</v>
      </c>
      <c r="K75">
        <v>2.35</v>
      </c>
      <c r="L75">
        <v>0</v>
      </c>
      <c r="M75">
        <v>0</v>
      </c>
      <c r="N75">
        <v>2.35</v>
      </c>
      <c r="O75" t="s">
        <v>71</v>
      </c>
      <c r="P75">
        <v>0</v>
      </c>
      <c r="Q75" t="s">
        <v>71</v>
      </c>
      <c r="R75">
        <v>0</v>
      </c>
      <c r="S75" t="s">
        <v>71</v>
      </c>
      <c r="T75">
        <v>0</v>
      </c>
      <c r="U75" t="s">
        <v>71</v>
      </c>
      <c r="V75">
        <v>0</v>
      </c>
      <c r="W75" t="s">
        <v>71</v>
      </c>
      <c r="X75">
        <v>0</v>
      </c>
      <c r="Y75">
        <v>2.35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27</v>
      </c>
      <c r="AF75">
        <v>60</v>
      </c>
      <c r="AG75">
        <v>54</v>
      </c>
      <c r="AI75">
        <v>2.4E-2</v>
      </c>
      <c r="AK75" t="s">
        <v>288</v>
      </c>
      <c r="AL75" t="s">
        <v>96</v>
      </c>
      <c r="AM75">
        <v>200000</v>
      </c>
      <c r="AN75" t="s">
        <v>97</v>
      </c>
      <c r="AO75">
        <v>1</v>
      </c>
      <c r="AP75">
        <v>0</v>
      </c>
      <c r="AQ75">
        <v>16666.666666666668</v>
      </c>
      <c r="AR75" t="s">
        <v>451</v>
      </c>
      <c r="AS75" t="s">
        <v>75</v>
      </c>
      <c r="AX75" t="s">
        <v>76</v>
      </c>
      <c r="AY75" t="s">
        <v>71</v>
      </c>
      <c r="AZ75">
        <v>0</v>
      </c>
      <c r="BA75" t="s">
        <v>71</v>
      </c>
      <c r="BB75">
        <v>0</v>
      </c>
      <c r="BD75">
        <v>2.35</v>
      </c>
    </row>
    <row r="76" spans="1:56" x14ac:dyDescent="0.15">
      <c r="A76" s="4" t="str">
        <f>HYPERLINK("https://ibp.a2mac1.com/costing(costing:projects/details/9760/part/8410948)","2rd support on Rear K Frame")</f>
        <v>2rd support on Rear K Frame</v>
      </c>
      <c r="B76">
        <v>8410948</v>
      </c>
      <c r="C76">
        <v>8410914</v>
      </c>
      <c r="E76">
        <v>2.35</v>
      </c>
      <c r="F76">
        <v>0</v>
      </c>
      <c r="G76">
        <v>0</v>
      </c>
      <c r="H76">
        <v>0</v>
      </c>
      <c r="I76" t="s">
        <v>71</v>
      </c>
      <c r="J76">
        <v>0</v>
      </c>
      <c r="K76">
        <v>2.35</v>
      </c>
      <c r="L76">
        <v>0</v>
      </c>
      <c r="M76">
        <v>0</v>
      </c>
      <c r="N76">
        <v>2.35</v>
      </c>
      <c r="O76" t="s">
        <v>71</v>
      </c>
      <c r="P76">
        <v>0</v>
      </c>
      <c r="Q76" t="s">
        <v>71</v>
      </c>
      <c r="R76">
        <v>0</v>
      </c>
      <c r="S76" t="s">
        <v>71</v>
      </c>
      <c r="T76">
        <v>0</v>
      </c>
      <c r="U76" t="s">
        <v>71</v>
      </c>
      <c r="V76">
        <v>0</v>
      </c>
      <c r="W76" t="s">
        <v>71</v>
      </c>
      <c r="X76">
        <v>0</v>
      </c>
      <c r="Y76">
        <v>2.35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27</v>
      </c>
      <c r="AF76">
        <v>60</v>
      </c>
      <c r="AG76">
        <v>54</v>
      </c>
      <c r="AI76">
        <v>2.4E-2</v>
      </c>
      <c r="AK76" t="s">
        <v>288</v>
      </c>
      <c r="AL76" t="s">
        <v>96</v>
      </c>
      <c r="AM76">
        <v>200000</v>
      </c>
      <c r="AN76" t="s">
        <v>97</v>
      </c>
      <c r="AO76">
        <v>1</v>
      </c>
      <c r="AP76">
        <v>0</v>
      </c>
      <c r="AQ76">
        <v>16666.666666666668</v>
      </c>
      <c r="AR76" t="s">
        <v>452</v>
      </c>
      <c r="AS76" t="s">
        <v>75</v>
      </c>
      <c r="AX76" t="s">
        <v>76</v>
      </c>
      <c r="AY76" t="s">
        <v>71</v>
      </c>
      <c r="AZ76">
        <v>0</v>
      </c>
      <c r="BA76" t="s">
        <v>71</v>
      </c>
      <c r="BB76">
        <v>0</v>
      </c>
      <c r="BD76">
        <v>2.35</v>
      </c>
    </row>
    <row r="77" spans="1:56" x14ac:dyDescent="0.15">
      <c r="A77" s="4" t="str">
        <f>HYPERLINK("https://ibp.a2mac1.com/costing(costing:projects/details/9760/part/8410949)","3rd support on Rear K Frame")</f>
        <v>3rd support on Rear K Frame</v>
      </c>
      <c r="B77">
        <v>8410949</v>
      </c>
      <c r="C77">
        <v>8410914</v>
      </c>
      <c r="E77">
        <v>2.35</v>
      </c>
      <c r="F77">
        <v>0</v>
      </c>
      <c r="G77">
        <v>0</v>
      </c>
      <c r="H77">
        <v>0</v>
      </c>
      <c r="I77" t="s">
        <v>71</v>
      </c>
      <c r="J77">
        <v>0</v>
      </c>
      <c r="K77">
        <v>2.35</v>
      </c>
      <c r="L77">
        <v>0</v>
      </c>
      <c r="M77">
        <v>0</v>
      </c>
      <c r="N77">
        <v>2.35</v>
      </c>
      <c r="O77" t="s">
        <v>71</v>
      </c>
      <c r="P77">
        <v>0</v>
      </c>
      <c r="Q77" t="s">
        <v>71</v>
      </c>
      <c r="R77">
        <v>0</v>
      </c>
      <c r="S77" t="s">
        <v>71</v>
      </c>
      <c r="T77">
        <v>0</v>
      </c>
      <c r="U77" t="s">
        <v>71</v>
      </c>
      <c r="V77">
        <v>0</v>
      </c>
      <c r="W77" t="s">
        <v>71</v>
      </c>
      <c r="X77">
        <v>0</v>
      </c>
      <c r="Y77">
        <v>2.35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24</v>
      </c>
      <c r="AF77">
        <v>58</v>
      </c>
      <c r="AG77">
        <v>37</v>
      </c>
      <c r="AI77">
        <v>2.4E-2</v>
      </c>
      <c r="AK77" t="s">
        <v>288</v>
      </c>
      <c r="AL77" t="s">
        <v>96</v>
      </c>
      <c r="AM77">
        <v>200000</v>
      </c>
      <c r="AN77" t="s">
        <v>97</v>
      </c>
      <c r="AO77">
        <v>1</v>
      </c>
      <c r="AP77">
        <v>0</v>
      </c>
      <c r="AQ77">
        <v>16666.666666666668</v>
      </c>
      <c r="AR77" t="s">
        <v>453</v>
      </c>
      <c r="AS77" t="s">
        <v>75</v>
      </c>
      <c r="AX77" t="s">
        <v>76</v>
      </c>
      <c r="AY77" t="s">
        <v>71</v>
      </c>
      <c r="AZ77">
        <v>0</v>
      </c>
      <c r="BA77" t="s">
        <v>71</v>
      </c>
      <c r="BB77">
        <v>0</v>
      </c>
      <c r="BD77">
        <v>2.35</v>
      </c>
    </row>
    <row r="78" spans="1:56" x14ac:dyDescent="0.15">
      <c r="A78" s="4" t="str">
        <f>HYPERLINK("https://ibp.a2mac1.com/costing(costing:projects/details/9760/part/8410950)","4th support on Rear K Frame")</f>
        <v>4th support on Rear K Frame</v>
      </c>
      <c r="B78">
        <v>8410950</v>
      </c>
      <c r="C78">
        <v>8410914</v>
      </c>
      <c r="E78">
        <v>2.35</v>
      </c>
      <c r="F78">
        <v>0</v>
      </c>
      <c r="G78">
        <v>0</v>
      </c>
      <c r="H78">
        <v>0</v>
      </c>
      <c r="I78" t="s">
        <v>71</v>
      </c>
      <c r="J78">
        <v>0</v>
      </c>
      <c r="K78">
        <v>2.35</v>
      </c>
      <c r="L78">
        <v>0</v>
      </c>
      <c r="M78">
        <v>0</v>
      </c>
      <c r="N78">
        <v>2.35</v>
      </c>
      <c r="O78" t="s">
        <v>71</v>
      </c>
      <c r="P78">
        <v>0</v>
      </c>
      <c r="Q78" t="s">
        <v>71</v>
      </c>
      <c r="R78">
        <v>0</v>
      </c>
      <c r="S78" t="s">
        <v>71</v>
      </c>
      <c r="T78">
        <v>0</v>
      </c>
      <c r="U78" t="s">
        <v>71</v>
      </c>
      <c r="V78">
        <v>0</v>
      </c>
      <c r="W78" t="s">
        <v>71</v>
      </c>
      <c r="X78">
        <v>0</v>
      </c>
      <c r="Y78">
        <v>2.35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22</v>
      </c>
      <c r="AF78">
        <v>58</v>
      </c>
      <c r="AG78">
        <v>37</v>
      </c>
      <c r="AI78">
        <v>2.4E-2</v>
      </c>
      <c r="AK78" t="s">
        <v>288</v>
      </c>
      <c r="AL78" t="s">
        <v>96</v>
      </c>
      <c r="AM78">
        <v>200000</v>
      </c>
      <c r="AN78" t="s">
        <v>97</v>
      </c>
      <c r="AO78">
        <v>1</v>
      </c>
      <c r="AP78">
        <v>0</v>
      </c>
      <c r="AQ78">
        <v>16666.666666666668</v>
      </c>
      <c r="AR78" t="s">
        <v>454</v>
      </c>
      <c r="AS78" t="s">
        <v>75</v>
      </c>
      <c r="AX78" t="s">
        <v>76</v>
      </c>
      <c r="AY78" t="s">
        <v>71</v>
      </c>
      <c r="AZ78">
        <v>0</v>
      </c>
      <c r="BA78" t="s">
        <v>71</v>
      </c>
      <c r="BB78">
        <v>0</v>
      </c>
      <c r="BD78">
        <v>2.35</v>
      </c>
    </row>
    <row r="79" spans="1:56" x14ac:dyDescent="0.15">
      <c r="A79" s="4" t="str">
        <f>HYPERLINK("https://ibp.a2mac1.com/costing(costing:projects/details/9760/part/8410951)","5rd support on Rear K Frame")</f>
        <v>5rd support on Rear K Frame</v>
      </c>
      <c r="B79">
        <v>8410951</v>
      </c>
      <c r="C79">
        <v>8410914</v>
      </c>
      <c r="E79">
        <v>2.44</v>
      </c>
      <c r="F79">
        <v>0</v>
      </c>
      <c r="G79">
        <v>0</v>
      </c>
      <c r="H79">
        <v>0</v>
      </c>
      <c r="I79" t="s">
        <v>71</v>
      </c>
      <c r="J79">
        <v>0</v>
      </c>
      <c r="K79">
        <v>2.44</v>
      </c>
      <c r="L79">
        <v>0</v>
      </c>
      <c r="M79">
        <v>0</v>
      </c>
      <c r="N79">
        <v>2.44</v>
      </c>
      <c r="O79" t="s">
        <v>71</v>
      </c>
      <c r="P79">
        <v>0</v>
      </c>
      <c r="Q79" t="s">
        <v>71</v>
      </c>
      <c r="R79">
        <v>0</v>
      </c>
      <c r="S79" t="s">
        <v>71</v>
      </c>
      <c r="T79">
        <v>0</v>
      </c>
      <c r="U79" t="s">
        <v>71</v>
      </c>
      <c r="V79">
        <v>0</v>
      </c>
      <c r="W79" t="s">
        <v>71</v>
      </c>
      <c r="X79">
        <v>0</v>
      </c>
      <c r="Y79">
        <v>2.44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35</v>
      </c>
      <c r="AF79">
        <v>97</v>
      </c>
      <c r="AG79">
        <v>87</v>
      </c>
      <c r="AI79">
        <v>7.3999999999999996E-2</v>
      </c>
      <c r="AK79" t="s">
        <v>288</v>
      </c>
      <c r="AL79" t="s">
        <v>96</v>
      </c>
      <c r="AM79">
        <v>200000</v>
      </c>
      <c r="AN79" t="s">
        <v>97</v>
      </c>
      <c r="AO79">
        <v>1</v>
      </c>
      <c r="AP79">
        <v>0</v>
      </c>
      <c r="AQ79">
        <v>16666.666666666668</v>
      </c>
      <c r="AR79" t="s">
        <v>455</v>
      </c>
      <c r="AS79" t="s">
        <v>75</v>
      </c>
      <c r="AX79" t="s">
        <v>76</v>
      </c>
      <c r="AY79" t="s">
        <v>71</v>
      </c>
      <c r="AZ79">
        <v>0</v>
      </c>
      <c r="BA79" t="s">
        <v>71</v>
      </c>
      <c r="BB79">
        <v>0</v>
      </c>
      <c r="BD79">
        <v>2.44</v>
      </c>
    </row>
    <row r="80" spans="1:56" x14ac:dyDescent="0.15">
      <c r="A80" s="4" t="str">
        <f>HYPERLINK("https://ibp.a2mac1.com/costing(costing:projects/details/9760/part/8410952)","6th support on Rear K Frame")</f>
        <v>6th support on Rear K Frame</v>
      </c>
      <c r="B80">
        <v>8410952</v>
      </c>
      <c r="C80">
        <v>8410914</v>
      </c>
      <c r="E80">
        <v>2.44</v>
      </c>
      <c r="F80">
        <v>0</v>
      </c>
      <c r="G80">
        <v>0</v>
      </c>
      <c r="H80">
        <v>0</v>
      </c>
      <c r="I80" t="s">
        <v>71</v>
      </c>
      <c r="J80">
        <v>0</v>
      </c>
      <c r="K80">
        <v>2.44</v>
      </c>
      <c r="L80">
        <v>0</v>
      </c>
      <c r="M80">
        <v>0</v>
      </c>
      <c r="N80">
        <v>2.44</v>
      </c>
      <c r="O80" t="s">
        <v>71</v>
      </c>
      <c r="P80">
        <v>0</v>
      </c>
      <c r="Q80" t="s">
        <v>71</v>
      </c>
      <c r="R80">
        <v>0</v>
      </c>
      <c r="S80" t="s">
        <v>71</v>
      </c>
      <c r="T80">
        <v>0</v>
      </c>
      <c r="U80" t="s">
        <v>71</v>
      </c>
      <c r="V80">
        <v>0</v>
      </c>
      <c r="W80" t="s">
        <v>71</v>
      </c>
      <c r="X80">
        <v>0</v>
      </c>
      <c r="Y80">
        <v>2.44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35</v>
      </c>
      <c r="AF80">
        <v>97</v>
      </c>
      <c r="AG80">
        <v>87</v>
      </c>
      <c r="AI80">
        <v>7.3999999999999996E-2</v>
      </c>
      <c r="AK80" t="s">
        <v>288</v>
      </c>
      <c r="AL80" t="s">
        <v>96</v>
      </c>
      <c r="AM80">
        <v>200000</v>
      </c>
      <c r="AN80" t="s">
        <v>97</v>
      </c>
      <c r="AO80">
        <v>1</v>
      </c>
      <c r="AP80">
        <v>0</v>
      </c>
      <c r="AQ80">
        <v>16666.666666666668</v>
      </c>
      <c r="AR80" t="s">
        <v>456</v>
      </c>
      <c r="AS80" t="s">
        <v>75</v>
      </c>
      <c r="AX80" t="s">
        <v>76</v>
      </c>
      <c r="AY80" t="s">
        <v>71</v>
      </c>
      <c r="AZ80">
        <v>0</v>
      </c>
      <c r="BA80" t="s">
        <v>71</v>
      </c>
      <c r="BB80">
        <v>0</v>
      </c>
      <c r="BD80">
        <v>2.44</v>
      </c>
    </row>
    <row r="81" spans="1:56" x14ac:dyDescent="0.15">
      <c r="A81" s="4" t="str">
        <f>HYPERLINK("https://ibp.a2mac1.com/costing(costing:projects/details/9760/part/8410953)","2nd Support on IP")</f>
        <v>2nd Support on IP</v>
      </c>
      <c r="B81">
        <v>8410953</v>
      </c>
      <c r="C81">
        <v>8410914</v>
      </c>
      <c r="E81">
        <v>0.12</v>
      </c>
      <c r="F81">
        <v>0</v>
      </c>
      <c r="G81">
        <v>0</v>
      </c>
      <c r="H81">
        <v>0</v>
      </c>
      <c r="I81" t="s">
        <v>71</v>
      </c>
      <c r="J81">
        <v>0</v>
      </c>
      <c r="K81">
        <v>0.12</v>
      </c>
      <c r="L81">
        <v>0</v>
      </c>
      <c r="M81">
        <v>0</v>
      </c>
      <c r="N81">
        <v>0.12</v>
      </c>
      <c r="O81" t="s">
        <v>71</v>
      </c>
      <c r="P81">
        <v>0</v>
      </c>
      <c r="Q81" t="s">
        <v>71</v>
      </c>
      <c r="R81">
        <v>0</v>
      </c>
      <c r="S81" t="s">
        <v>71</v>
      </c>
      <c r="T81">
        <v>0</v>
      </c>
      <c r="U81" t="s">
        <v>71</v>
      </c>
      <c r="V81">
        <v>0</v>
      </c>
      <c r="W81" t="s">
        <v>71</v>
      </c>
      <c r="X81">
        <v>0</v>
      </c>
      <c r="Y81">
        <v>0.12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26</v>
      </c>
      <c r="AF81">
        <v>63</v>
      </c>
      <c r="AG81">
        <v>45</v>
      </c>
      <c r="AI81">
        <v>8.9999999999999993E-3</v>
      </c>
      <c r="AK81" t="s">
        <v>288</v>
      </c>
      <c r="AL81" t="s">
        <v>412</v>
      </c>
      <c r="AM81">
        <v>200000</v>
      </c>
      <c r="AN81" t="s">
        <v>97</v>
      </c>
      <c r="AO81">
        <v>1</v>
      </c>
      <c r="AP81">
        <v>0</v>
      </c>
      <c r="AQ81">
        <v>16666.666666666668</v>
      </c>
      <c r="AR81" t="s">
        <v>457</v>
      </c>
      <c r="AS81" t="s">
        <v>75</v>
      </c>
      <c r="AX81" t="s">
        <v>76</v>
      </c>
      <c r="AY81" t="s">
        <v>71</v>
      </c>
      <c r="AZ81">
        <v>0</v>
      </c>
      <c r="BA81" t="s">
        <v>71</v>
      </c>
      <c r="BB81">
        <v>0</v>
      </c>
      <c r="BD81">
        <v>0.12</v>
      </c>
    </row>
    <row r="82" spans="1:56" x14ac:dyDescent="0.15">
      <c r="A82" s="4" t="str">
        <f>HYPERLINK("https://ibp.a2mac1.com/costing(costing:projects/details/9760/part/8410956)","On Left A Pillar and Right if Similar")</f>
        <v>On Left A Pillar and Right if Similar</v>
      </c>
      <c r="B82">
        <v>8410956</v>
      </c>
      <c r="C82">
        <v>8410915</v>
      </c>
      <c r="E82">
        <v>1.42</v>
      </c>
      <c r="F82">
        <v>0</v>
      </c>
      <c r="G82">
        <v>0</v>
      </c>
      <c r="H82">
        <v>0</v>
      </c>
      <c r="I82" t="s">
        <v>71</v>
      </c>
      <c r="J82">
        <v>0</v>
      </c>
      <c r="K82">
        <v>1.42</v>
      </c>
      <c r="L82">
        <v>0</v>
      </c>
      <c r="M82">
        <v>0</v>
      </c>
      <c r="N82">
        <v>1.42</v>
      </c>
      <c r="O82" t="s">
        <v>71</v>
      </c>
      <c r="P82">
        <v>0</v>
      </c>
      <c r="Q82" t="s">
        <v>71</v>
      </c>
      <c r="R82">
        <v>0</v>
      </c>
      <c r="S82" t="s">
        <v>71</v>
      </c>
      <c r="T82">
        <v>0</v>
      </c>
      <c r="U82" t="s">
        <v>71</v>
      </c>
      <c r="V82">
        <v>0</v>
      </c>
      <c r="W82" t="s">
        <v>71</v>
      </c>
      <c r="X82">
        <v>0</v>
      </c>
      <c r="Y82">
        <v>1.42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78</v>
      </c>
      <c r="AF82">
        <v>231</v>
      </c>
      <c r="AG82">
        <v>203</v>
      </c>
      <c r="AI82">
        <v>0.13</v>
      </c>
      <c r="AK82" t="s">
        <v>288</v>
      </c>
      <c r="AL82" t="s">
        <v>448</v>
      </c>
      <c r="AM82">
        <v>200000</v>
      </c>
      <c r="AN82" t="s">
        <v>97</v>
      </c>
      <c r="AO82">
        <v>1</v>
      </c>
      <c r="AP82">
        <v>0</v>
      </c>
      <c r="AQ82">
        <v>16666.666666666668</v>
      </c>
      <c r="AR82" t="s">
        <v>461</v>
      </c>
      <c r="AS82" t="s">
        <v>75</v>
      </c>
      <c r="AX82" t="s">
        <v>76</v>
      </c>
      <c r="AY82" t="s">
        <v>71</v>
      </c>
      <c r="AZ82">
        <v>0</v>
      </c>
      <c r="BA82" t="s">
        <v>71</v>
      </c>
      <c r="BB82">
        <v>0</v>
      </c>
      <c r="BD82">
        <v>1.42</v>
      </c>
    </row>
    <row r="83" spans="1:56" x14ac:dyDescent="0.15">
      <c r="A83" s="4" t="str">
        <f>HYPERLINK("https://ibp.a2mac1.com/costing(costing:projects/details/9760/part/8410957)","On Right A Pillar")</f>
        <v>On Right A Pillar</v>
      </c>
      <c r="B83">
        <v>8410957</v>
      </c>
      <c r="C83">
        <v>8410915</v>
      </c>
      <c r="E83">
        <v>1.45</v>
      </c>
      <c r="F83">
        <v>0</v>
      </c>
      <c r="G83">
        <v>0</v>
      </c>
      <c r="H83">
        <v>0</v>
      </c>
      <c r="I83" t="s">
        <v>71</v>
      </c>
      <c r="J83">
        <v>0</v>
      </c>
      <c r="K83">
        <v>1.45</v>
      </c>
      <c r="L83">
        <v>0</v>
      </c>
      <c r="M83">
        <v>0</v>
      </c>
      <c r="N83">
        <v>1.45</v>
      </c>
      <c r="O83" t="s">
        <v>71</v>
      </c>
      <c r="P83">
        <v>0</v>
      </c>
      <c r="Q83" t="s">
        <v>71</v>
      </c>
      <c r="R83">
        <v>0</v>
      </c>
      <c r="S83" t="s">
        <v>71</v>
      </c>
      <c r="T83">
        <v>0</v>
      </c>
      <c r="U83" t="s">
        <v>71</v>
      </c>
      <c r="V83">
        <v>0</v>
      </c>
      <c r="W83" t="s">
        <v>71</v>
      </c>
      <c r="X83">
        <v>0</v>
      </c>
      <c r="Y83">
        <v>1.45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90</v>
      </c>
      <c r="AF83">
        <v>208</v>
      </c>
      <c r="AG83">
        <v>255</v>
      </c>
      <c r="AI83">
        <v>0.13400000000000001</v>
      </c>
      <c r="AK83" t="s">
        <v>288</v>
      </c>
      <c r="AL83" t="s">
        <v>448</v>
      </c>
      <c r="AM83">
        <v>200000</v>
      </c>
      <c r="AN83" t="s">
        <v>97</v>
      </c>
      <c r="AO83">
        <v>1</v>
      </c>
      <c r="AP83">
        <v>0</v>
      </c>
      <c r="AQ83">
        <v>16666.666666666668</v>
      </c>
      <c r="AR83" t="s">
        <v>462</v>
      </c>
      <c r="AS83" t="s">
        <v>75</v>
      </c>
      <c r="AX83" t="s">
        <v>76</v>
      </c>
      <c r="AY83" t="s">
        <v>71</v>
      </c>
      <c r="AZ83">
        <v>0</v>
      </c>
      <c r="BA83" t="s">
        <v>71</v>
      </c>
      <c r="BB83">
        <v>0</v>
      </c>
      <c r="BD83">
        <v>1.45</v>
      </c>
    </row>
    <row r="84" spans="1:56" x14ac:dyDescent="0.15">
      <c r="A84" s="4" t="str">
        <f>HYPERLINK("https://ibp.a2mac1.com/costing(costing:projects/details/9760/part/8410958)","Guide on K-Frame")</f>
        <v>Guide on K-Frame</v>
      </c>
      <c r="B84">
        <v>8410958</v>
      </c>
      <c r="C84">
        <v>8410915</v>
      </c>
      <c r="E84">
        <v>0.34</v>
      </c>
      <c r="F84">
        <v>0</v>
      </c>
      <c r="G84">
        <v>0</v>
      </c>
      <c r="H84">
        <v>0</v>
      </c>
      <c r="I84" t="s">
        <v>71</v>
      </c>
      <c r="J84">
        <v>0</v>
      </c>
      <c r="K84">
        <v>0.34</v>
      </c>
      <c r="L84">
        <v>0</v>
      </c>
      <c r="M84">
        <v>0</v>
      </c>
      <c r="N84">
        <v>0.34</v>
      </c>
      <c r="O84" t="s">
        <v>71</v>
      </c>
      <c r="P84">
        <v>0</v>
      </c>
      <c r="Q84" t="s">
        <v>71</v>
      </c>
      <c r="R84">
        <v>0</v>
      </c>
      <c r="S84" t="s">
        <v>71</v>
      </c>
      <c r="T84">
        <v>0</v>
      </c>
      <c r="U84" t="s">
        <v>71</v>
      </c>
      <c r="V84">
        <v>0</v>
      </c>
      <c r="W84" t="s">
        <v>71</v>
      </c>
      <c r="X84">
        <v>0</v>
      </c>
      <c r="Y84">
        <v>0.34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43</v>
      </c>
      <c r="AF84">
        <v>82</v>
      </c>
      <c r="AG84">
        <v>115</v>
      </c>
      <c r="AI84">
        <v>2.7E-2</v>
      </c>
      <c r="AK84" t="s">
        <v>288</v>
      </c>
      <c r="AL84" t="s">
        <v>446</v>
      </c>
      <c r="AM84">
        <v>200000</v>
      </c>
      <c r="AN84" t="s">
        <v>97</v>
      </c>
      <c r="AO84">
        <v>1</v>
      </c>
      <c r="AP84">
        <v>0</v>
      </c>
      <c r="AQ84">
        <v>16666.666666666668</v>
      </c>
      <c r="AR84" t="s">
        <v>463</v>
      </c>
      <c r="AS84" t="s">
        <v>75</v>
      </c>
      <c r="AX84" t="s">
        <v>76</v>
      </c>
      <c r="AY84" t="s">
        <v>71</v>
      </c>
      <c r="AZ84">
        <v>0</v>
      </c>
      <c r="BA84" t="s">
        <v>71</v>
      </c>
      <c r="BB84">
        <v>0</v>
      </c>
      <c r="BD84">
        <v>0.34</v>
      </c>
    </row>
    <row r="85" spans="1:56" x14ac:dyDescent="0.15">
      <c r="A85" s="4" t="str">
        <f>HYPERLINK("https://ibp.a2mac1.com/costing(costing:projects/details/9760/part/8410993)","Accessories Connector")</f>
        <v>Accessories Connector</v>
      </c>
      <c r="B85">
        <v>8410993</v>
      </c>
      <c r="C85">
        <v>8410916</v>
      </c>
      <c r="E85">
        <v>0.25</v>
      </c>
      <c r="F85">
        <v>0</v>
      </c>
      <c r="G85">
        <v>0</v>
      </c>
      <c r="H85">
        <v>0</v>
      </c>
      <c r="I85" t="s">
        <v>71</v>
      </c>
      <c r="J85">
        <v>0</v>
      </c>
      <c r="K85">
        <v>0.25</v>
      </c>
      <c r="L85">
        <v>0</v>
      </c>
      <c r="M85">
        <v>0</v>
      </c>
      <c r="N85">
        <v>0.25</v>
      </c>
      <c r="O85" t="s">
        <v>71</v>
      </c>
      <c r="P85">
        <v>0</v>
      </c>
      <c r="Q85" t="s">
        <v>71</v>
      </c>
      <c r="R85">
        <v>0</v>
      </c>
      <c r="S85" t="s">
        <v>71</v>
      </c>
      <c r="T85">
        <v>0</v>
      </c>
      <c r="U85" t="s">
        <v>71</v>
      </c>
      <c r="V85">
        <v>0</v>
      </c>
      <c r="W85" t="s">
        <v>71</v>
      </c>
      <c r="X85">
        <v>0</v>
      </c>
      <c r="Y85">
        <v>0.25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31</v>
      </c>
      <c r="AF85">
        <v>69</v>
      </c>
      <c r="AG85">
        <v>65</v>
      </c>
      <c r="AI85">
        <v>2.7E-2</v>
      </c>
      <c r="AK85" t="s">
        <v>284</v>
      </c>
      <c r="AL85" t="s">
        <v>466</v>
      </c>
      <c r="AM85">
        <v>200000</v>
      </c>
      <c r="AN85" t="s">
        <v>97</v>
      </c>
      <c r="AO85">
        <v>1</v>
      </c>
      <c r="AP85">
        <v>0</v>
      </c>
      <c r="AQ85">
        <v>16666.666666666668</v>
      </c>
      <c r="AR85" t="s">
        <v>467</v>
      </c>
      <c r="AS85" t="s">
        <v>75</v>
      </c>
      <c r="AX85" t="s">
        <v>76</v>
      </c>
      <c r="AY85" t="s">
        <v>71</v>
      </c>
      <c r="AZ85">
        <v>0</v>
      </c>
      <c r="BA85" t="s">
        <v>71</v>
      </c>
      <c r="BB85">
        <v>0</v>
      </c>
      <c r="BD85">
        <v>0.25</v>
      </c>
    </row>
    <row r="86" spans="1:56" x14ac:dyDescent="0.15">
      <c r="A86" s="4" t="str">
        <f>HYPERLINK("https://ibp.a2mac1.com/costing(costing:projects/details/9760/part/8410994)","Connector Cover")</f>
        <v>Connector Cover</v>
      </c>
      <c r="B86">
        <v>8410994</v>
      </c>
      <c r="C86">
        <v>8410916</v>
      </c>
      <c r="E86">
        <v>0.06</v>
      </c>
      <c r="F86">
        <v>0</v>
      </c>
      <c r="G86">
        <v>0</v>
      </c>
      <c r="H86">
        <v>0</v>
      </c>
      <c r="I86" t="s">
        <v>71</v>
      </c>
      <c r="J86">
        <v>0</v>
      </c>
      <c r="K86">
        <v>0.06</v>
      </c>
      <c r="L86">
        <v>0</v>
      </c>
      <c r="M86">
        <v>0</v>
      </c>
      <c r="N86">
        <v>0.06</v>
      </c>
      <c r="O86" t="s">
        <v>71</v>
      </c>
      <c r="P86">
        <v>0</v>
      </c>
      <c r="Q86" t="s">
        <v>71</v>
      </c>
      <c r="R86">
        <v>0</v>
      </c>
      <c r="S86" t="s">
        <v>71</v>
      </c>
      <c r="T86">
        <v>0</v>
      </c>
      <c r="U86" t="s">
        <v>71</v>
      </c>
      <c r="V86">
        <v>0</v>
      </c>
      <c r="W86" t="s">
        <v>71</v>
      </c>
      <c r="X86">
        <v>0</v>
      </c>
      <c r="Y86">
        <v>0.06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7</v>
      </c>
      <c r="AF86">
        <v>28</v>
      </c>
      <c r="AG86">
        <v>15</v>
      </c>
      <c r="AI86">
        <v>2E-3</v>
      </c>
      <c r="AK86" t="s">
        <v>284</v>
      </c>
      <c r="AL86" t="s">
        <v>468</v>
      </c>
      <c r="AM86">
        <v>200000</v>
      </c>
      <c r="AN86" t="s">
        <v>97</v>
      </c>
      <c r="AO86">
        <v>1</v>
      </c>
      <c r="AP86">
        <v>0</v>
      </c>
      <c r="AQ86">
        <v>16666.666666666668</v>
      </c>
      <c r="AR86" t="s">
        <v>469</v>
      </c>
      <c r="AS86" t="s">
        <v>75</v>
      </c>
      <c r="AX86" t="s">
        <v>76</v>
      </c>
      <c r="AY86" t="s">
        <v>71</v>
      </c>
      <c r="AZ86">
        <v>0</v>
      </c>
      <c r="BA86" t="s">
        <v>71</v>
      </c>
      <c r="BB86">
        <v>0</v>
      </c>
      <c r="BD86">
        <v>0.06</v>
      </c>
    </row>
    <row r="87" spans="1:56" x14ac:dyDescent="0.15">
      <c r="A87" s="4" t="str">
        <f>HYPERLINK("https://ibp.a2mac1.com/costing(costing:projects/details/9760/part/8410907)","Option Connector plug")</f>
        <v>Option Connector plug</v>
      </c>
      <c r="B87">
        <v>8410907</v>
      </c>
      <c r="C87">
        <v>8410906</v>
      </c>
      <c r="E87">
        <v>0.05</v>
      </c>
      <c r="F87">
        <v>0</v>
      </c>
      <c r="G87">
        <v>0</v>
      </c>
      <c r="H87">
        <v>0</v>
      </c>
      <c r="I87" t="s">
        <v>71</v>
      </c>
      <c r="J87">
        <v>0</v>
      </c>
      <c r="K87">
        <v>0.05</v>
      </c>
      <c r="L87">
        <v>0</v>
      </c>
      <c r="M87">
        <v>0</v>
      </c>
      <c r="N87">
        <v>0.05</v>
      </c>
      <c r="O87" t="s">
        <v>71</v>
      </c>
      <c r="P87">
        <v>0</v>
      </c>
      <c r="Q87" t="s">
        <v>71</v>
      </c>
      <c r="R87">
        <v>0</v>
      </c>
      <c r="S87" t="s">
        <v>71</v>
      </c>
      <c r="T87">
        <v>0</v>
      </c>
      <c r="U87" t="s">
        <v>71</v>
      </c>
      <c r="V87">
        <v>0</v>
      </c>
      <c r="W87" t="s">
        <v>71</v>
      </c>
      <c r="X87">
        <v>0</v>
      </c>
      <c r="Y87">
        <v>0.05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31</v>
      </c>
      <c r="AF87">
        <v>19</v>
      </c>
      <c r="AG87">
        <v>13</v>
      </c>
      <c r="AI87">
        <v>1E-3</v>
      </c>
      <c r="AK87" t="s">
        <v>284</v>
      </c>
      <c r="AL87" t="s">
        <v>289</v>
      </c>
      <c r="AM87">
        <v>200000</v>
      </c>
      <c r="AN87" t="s">
        <v>97</v>
      </c>
      <c r="AO87">
        <v>1</v>
      </c>
      <c r="AP87">
        <v>0</v>
      </c>
      <c r="AQ87">
        <v>16666.666666666668</v>
      </c>
      <c r="AR87" t="s">
        <v>471</v>
      </c>
      <c r="AS87" t="s">
        <v>75</v>
      </c>
      <c r="AX87" t="s">
        <v>76</v>
      </c>
      <c r="AY87" t="s">
        <v>71</v>
      </c>
      <c r="AZ87">
        <v>0</v>
      </c>
      <c r="BA87" t="s">
        <v>71</v>
      </c>
      <c r="BB87">
        <v>0</v>
      </c>
      <c r="BD87">
        <v>0.05</v>
      </c>
    </row>
    <row r="88" spans="1:56" x14ac:dyDescent="0.15">
      <c r="A88" s="4" t="str">
        <f>HYPERLINK("https://ibp.a2mac1.com/costing(costing:projects/details/9760/part/8411066)","Shock Absorber Part")</f>
        <v>Shock Absorber Part</v>
      </c>
      <c r="B88">
        <v>8411066</v>
      </c>
      <c r="C88">
        <v>8411029</v>
      </c>
      <c r="D88" t="s">
        <v>482</v>
      </c>
      <c r="E88">
        <v>47.047499999999999</v>
      </c>
      <c r="F88">
        <v>0</v>
      </c>
      <c r="G88">
        <v>0</v>
      </c>
      <c r="H88">
        <v>9.4094999999999997E-4</v>
      </c>
      <c r="I88" t="s">
        <v>176</v>
      </c>
      <c r="J88">
        <v>1.6466624999999999</v>
      </c>
      <c r="K88">
        <v>48.695103449999998</v>
      </c>
      <c r="L88">
        <v>3.7563841656872663</v>
      </c>
      <c r="M88">
        <v>22.5383049941236</v>
      </c>
      <c r="N88">
        <v>71.233408444123597</v>
      </c>
      <c r="O88" t="s">
        <v>90</v>
      </c>
      <c r="P88">
        <v>0</v>
      </c>
      <c r="Q88" t="s">
        <v>90</v>
      </c>
      <c r="R88">
        <v>0</v>
      </c>
      <c r="S88" t="s">
        <v>90</v>
      </c>
      <c r="T88">
        <v>0</v>
      </c>
      <c r="U88" t="s">
        <v>90</v>
      </c>
      <c r="V88">
        <v>0</v>
      </c>
      <c r="W88" t="s">
        <v>90</v>
      </c>
      <c r="X88">
        <v>0</v>
      </c>
      <c r="Y88">
        <v>71.233408444123597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175</v>
      </c>
      <c r="AF88">
        <v>180</v>
      </c>
      <c r="AG88">
        <v>520</v>
      </c>
      <c r="AH88">
        <v>0</v>
      </c>
      <c r="AI88">
        <v>7.33</v>
      </c>
      <c r="AK88" t="s">
        <v>483</v>
      </c>
      <c r="AM88">
        <v>400000</v>
      </c>
      <c r="AN88" t="s">
        <v>73</v>
      </c>
      <c r="AO88">
        <v>1</v>
      </c>
      <c r="AP88">
        <v>0</v>
      </c>
      <c r="AQ88">
        <v>33333.333333333336</v>
      </c>
      <c r="AR88" t="s">
        <v>9</v>
      </c>
      <c r="AS88" t="s">
        <v>75</v>
      </c>
      <c r="AX88" t="s">
        <v>76</v>
      </c>
      <c r="AY88" t="s">
        <v>176</v>
      </c>
      <c r="AZ88">
        <v>0</v>
      </c>
      <c r="BA88" t="s">
        <v>176</v>
      </c>
      <c r="BB88">
        <v>0</v>
      </c>
    </row>
    <row r="89" spans="1:56" x14ac:dyDescent="0.15">
      <c r="A89" s="4" t="str">
        <f>HYPERLINK("https://ibp.a2mac1.com/costing(costing:projects/details/9760/part/8411027)","Lower leg")</f>
        <v>Lower leg</v>
      </c>
      <c r="B89">
        <v>8411027</v>
      </c>
      <c r="C89">
        <v>8411018</v>
      </c>
      <c r="D89" t="s">
        <v>487</v>
      </c>
      <c r="E89">
        <v>9.56</v>
      </c>
      <c r="F89">
        <v>0</v>
      </c>
      <c r="G89">
        <v>0</v>
      </c>
      <c r="H89">
        <v>0</v>
      </c>
      <c r="I89" t="s">
        <v>71</v>
      </c>
      <c r="J89">
        <v>0</v>
      </c>
      <c r="K89">
        <v>9.56</v>
      </c>
      <c r="L89">
        <v>0</v>
      </c>
      <c r="M89">
        <v>0</v>
      </c>
      <c r="N89">
        <v>9.56</v>
      </c>
      <c r="O89" t="s">
        <v>71</v>
      </c>
      <c r="P89">
        <v>0</v>
      </c>
      <c r="Q89" t="s">
        <v>71</v>
      </c>
      <c r="R89">
        <v>0</v>
      </c>
      <c r="S89" t="s">
        <v>71</v>
      </c>
      <c r="T89">
        <v>0</v>
      </c>
      <c r="U89" t="s">
        <v>71</v>
      </c>
      <c r="V89">
        <v>0</v>
      </c>
      <c r="W89" t="s">
        <v>71</v>
      </c>
      <c r="X89">
        <v>0</v>
      </c>
      <c r="Y89">
        <v>9.56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185</v>
      </c>
      <c r="AF89">
        <v>95</v>
      </c>
      <c r="AG89">
        <v>325</v>
      </c>
      <c r="AH89">
        <v>0</v>
      </c>
      <c r="AI89">
        <v>1.3180000000000001</v>
      </c>
      <c r="AK89" t="s">
        <v>100</v>
      </c>
      <c r="AM89">
        <v>200000</v>
      </c>
      <c r="AN89" t="s">
        <v>97</v>
      </c>
      <c r="AO89">
        <v>1</v>
      </c>
      <c r="AP89">
        <v>0</v>
      </c>
      <c r="AQ89">
        <v>16666.666666666668</v>
      </c>
      <c r="AR89" t="s">
        <v>488</v>
      </c>
      <c r="AS89" t="s">
        <v>75</v>
      </c>
      <c r="AX89" t="s">
        <v>76</v>
      </c>
      <c r="AY89" t="s">
        <v>71</v>
      </c>
      <c r="AZ89">
        <v>0</v>
      </c>
      <c r="BA89" t="s">
        <v>71</v>
      </c>
      <c r="BB89">
        <v>0</v>
      </c>
      <c r="BD89">
        <v>9.56</v>
      </c>
    </row>
    <row r="90" spans="1:56" x14ac:dyDescent="0.15">
      <c r="A90" s="4" t="str">
        <f>HYPERLINK("https://ibp.a2mac1.com/costing(costing:projects/details/9760/part/8411028)","Lower Leg 2")</f>
        <v>Lower Leg 2</v>
      </c>
      <c r="B90">
        <v>8411028</v>
      </c>
      <c r="C90">
        <v>8411018</v>
      </c>
      <c r="D90" t="s">
        <v>487</v>
      </c>
      <c r="E90">
        <v>9.56</v>
      </c>
      <c r="F90">
        <v>0</v>
      </c>
      <c r="G90">
        <v>0</v>
      </c>
      <c r="H90">
        <v>0</v>
      </c>
      <c r="I90" t="s">
        <v>71</v>
      </c>
      <c r="J90">
        <v>0</v>
      </c>
      <c r="K90">
        <v>9.56</v>
      </c>
      <c r="L90">
        <v>0</v>
      </c>
      <c r="M90">
        <v>0</v>
      </c>
      <c r="N90">
        <v>9.56</v>
      </c>
      <c r="O90" t="s">
        <v>71</v>
      </c>
      <c r="P90">
        <v>0</v>
      </c>
      <c r="Q90" t="s">
        <v>71</v>
      </c>
      <c r="R90">
        <v>0</v>
      </c>
      <c r="S90" t="s">
        <v>71</v>
      </c>
      <c r="T90">
        <v>0</v>
      </c>
      <c r="U90" t="s">
        <v>71</v>
      </c>
      <c r="V90">
        <v>0</v>
      </c>
      <c r="W90" t="s">
        <v>71</v>
      </c>
      <c r="X90">
        <v>0</v>
      </c>
      <c r="Y90">
        <v>9.56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185</v>
      </c>
      <c r="AF90">
        <v>95</v>
      </c>
      <c r="AG90">
        <v>325</v>
      </c>
      <c r="AH90">
        <v>0</v>
      </c>
      <c r="AI90">
        <v>1.298</v>
      </c>
      <c r="AK90" t="s">
        <v>100</v>
      </c>
      <c r="AM90">
        <v>200000</v>
      </c>
      <c r="AN90" t="s">
        <v>97</v>
      </c>
      <c r="AO90">
        <v>1</v>
      </c>
      <c r="AP90">
        <v>0</v>
      </c>
      <c r="AQ90">
        <v>16666.666666666668</v>
      </c>
      <c r="AR90" t="s">
        <v>489</v>
      </c>
      <c r="AS90" t="s">
        <v>75</v>
      </c>
      <c r="AX90" t="s">
        <v>76</v>
      </c>
      <c r="AY90" t="s">
        <v>71</v>
      </c>
      <c r="AZ90">
        <v>0</v>
      </c>
      <c r="BA90" t="s">
        <v>71</v>
      </c>
      <c r="BB90">
        <v>0</v>
      </c>
      <c r="BD90">
        <v>9.56</v>
      </c>
    </row>
    <row r="91" spans="1:56" x14ac:dyDescent="0.15">
      <c r="A91" s="4" t="str">
        <f>HYPERLINK("https://ibp.a2mac1.com/costing(costing:projects/details/9760/part/8411067)","Strut Parts")</f>
        <v>Strut Parts</v>
      </c>
      <c r="B91">
        <v>8411067</v>
      </c>
      <c r="C91">
        <v>8411031</v>
      </c>
      <c r="D91" t="s">
        <v>496</v>
      </c>
      <c r="E91">
        <v>9.99</v>
      </c>
      <c r="F91">
        <v>0</v>
      </c>
      <c r="G91">
        <v>0</v>
      </c>
      <c r="H91">
        <v>1.998E-4</v>
      </c>
      <c r="I91" t="s">
        <v>176</v>
      </c>
      <c r="J91">
        <v>0.34965000000000002</v>
      </c>
      <c r="K91">
        <v>10.3398498</v>
      </c>
      <c r="L91">
        <v>5.2248581494894477</v>
      </c>
      <c r="M91">
        <v>18.28700352321307</v>
      </c>
      <c r="N91">
        <v>28.626853323213069</v>
      </c>
      <c r="O91" t="s">
        <v>177</v>
      </c>
      <c r="P91">
        <v>0.62039098800000003</v>
      </c>
      <c r="Q91" t="s">
        <v>177</v>
      </c>
      <c r="R91">
        <v>1.097220211392784</v>
      </c>
      <c r="S91" t="s">
        <v>178</v>
      </c>
      <c r="T91">
        <v>3.4352223987855681</v>
      </c>
      <c r="U91" t="s">
        <v>90</v>
      </c>
      <c r="V91">
        <v>0</v>
      </c>
      <c r="W91" t="s">
        <v>90</v>
      </c>
      <c r="X91">
        <v>0</v>
      </c>
      <c r="Y91">
        <v>33.779686921391423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110</v>
      </c>
      <c r="AF91">
        <v>70</v>
      </c>
      <c r="AG91">
        <v>660</v>
      </c>
      <c r="AH91">
        <v>0</v>
      </c>
      <c r="AI91">
        <v>3.1789999999999998</v>
      </c>
      <c r="AK91" t="s">
        <v>95</v>
      </c>
      <c r="AM91">
        <v>400000</v>
      </c>
      <c r="AN91" t="s">
        <v>97</v>
      </c>
      <c r="AO91">
        <v>1</v>
      </c>
      <c r="AP91">
        <v>0</v>
      </c>
      <c r="AQ91">
        <v>33333.333333333336</v>
      </c>
      <c r="AR91" t="s">
        <v>497</v>
      </c>
      <c r="AS91" t="s">
        <v>75</v>
      </c>
      <c r="AX91" t="s">
        <v>76</v>
      </c>
      <c r="AY91" t="s">
        <v>176</v>
      </c>
      <c r="AZ91">
        <v>0</v>
      </c>
      <c r="BA91" t="s">
        <v>176</v>
      </c>
      <c r="BB91">
        <v>0</v>
      </c>
    </row>
    <row r="92" spans="1:56" x14ac:dyDescent="0.15">
      <c r="A92" s="4" t="str">
        <f>HYPERLINK("https://ibp.a2mac1.com/costing(costing:projects/details/9760/part/8411068)","Dust Cover Shock Absorber")</f>
        <v>Dust Cover Shock Absorber</v>
      </c>
      <c r="B92">
        <v>8411068</v>
      </c>
      <c r="C92">
        <v>8411031</v>
      </c>
      <c r="D92" t="s">
        <v>498</v>
      </c>
      <c r="E92">
        <v>0.21</v>
      </c>
      <c r="F92">
        <v>0</v>
      </c>
      <c r="G92">
        <v>0</v>
      </c>
      <c r="H92">
        <v>0</v>
      </c>
      <c r="I92" t="s">
        <v>71</v>
      </c>
      <c r="J92">
        <v>0</v>
      </c>
      <c r="K92">
        <v>0.21</v>
      </c>
      <c r="L92">
        <v>0</v>
      </c>
      <c r="M92">
        <v>0</v>
      </c>
      <c r="N92">
        <v>0.21</v>
      </c>
      <c r="O92" t="s">
        <v>71</v>
      </c>
      <c r="P92">
        <v>0</v>
      </c>
      <c r="Q92" t="s">
        <v>71</v>
      </c>
      <c r="R92">
        <v>0</v>
      </c>
      <c r="S92" t="s">
        <v>71</v>
      </c>
      <c r="T92">
        <v>0</v>
      </c>
      <c r="U92" t="s">
        <v>71</v>
      </c>
      <c r="V92">
        <v>0</v>
      </c>
      <c r="W92" t="s">
        <v>71</v>
      </c>
      <c r="X92">
        <v>0</v>
      </c>
      <c r="Y92">
        <v>0.21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72</v>
      </c>
      <c r="AF92">
        <v>72</v>
      </c>
      <c r="AG92">
        <v>198</v>
      </c>
      <c r="AH92">
        <v>0</v>
      </c>
      <c r="AI92">
        <v>4.5999999999999999E-2</v>
      </c>
      <c r="AK92" t="s">
        <v>100</v>
      </c>
      <c r="AM92">
        <v>400000</v>
      </c>
      <c r="AN92" t="s">
        <v>97</v>
      </c>
      <c r="AO92">
        <v>1</v>
      </c>
      <c r="AP92">
        <v>0</v>
      </c>
      <c r="AQ92">
        <v>33333.333333333336</v>
      </c>
      <c r="AR92" t="s">
        <v>499</v>
      </c>
      <c r="AS92" t="s">
        <v>75</v>
      </c>
      <c r="AX92" t="s">
        <v>76</v>
      </c>
      <c r="AY92" t="s">
        <v>71</v>
      </c>
      <c r="AZ92">
        <v>0</v>
      </c>
      <c r="BA92" t="s">
        <v>71</v>
      </c>
      <c r="BB92">
        <v>0</v>
      </c>
      <c r="BD92">
        <v>0.21</v>
      </c>
    </row>
    <row r="93" spans="1:56" x14ac:dyDescent="0.15">
      <c r="A93" s="4" t="str">
        <f>HYPERLINK("https://ibp.a2mac1.com/costing(costing:projects/details/9760/part/8411069)","Dust Cover")</f>
        <v>Dust Cover</v>
      </c>
      <c r="B93">
        <v>8411069</v>
      </c>
      <c r="C93">
        <v>8411031</v>
      </c>
      <c r="D93" t="s">
        <v>500</v>
      </c>
      <c r="E93">
        <v>0.21</v>
      </c>
      <c r="F93">
        <v>0</v>
      </c>
      <c r="G93">
        <v>0</v>
      </c>
      <c r="H93">
        <v>0</v>
      </c>
      <c r="I93" t="s">
        <v>71</v>
      </c>
      <c r="J93">
        <v>0</v>
      </c>
      <c r="K93">
        <v>0.21</v>
      </c>
      <c r="L93">
        <v>0</v>
      </c>
      <c r="M93">
        <v>0</v>
      </c>
      <c r="N93">
        <v>0.21</v>
      </c>
      <c r="O93" t="s">
        <v>71</v>
      </c>
      <c r="P93">
        <v>0</v>
      </c>
      <c r="Q93" t="s">
        <v>71</v>
      </c>
      <c r="R93">
        <v>0</v>
      </c>
      <c r="S93" t="s">
        <v>71</v>
      </c>
      <c r="T93">
        <v>0</v>
      </c>
      <c r="U93" t="s">
        <v>71</v>
      </c>
      <c r="V93">
        <v>0</v>
      </c>
      <c r="W93" t="s">
        <v>71</v>
      </c>
      <c r="X93">
        <v>0</v>
      </c>
      <c r="Y93">
        <v>0.21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61</v>
      </c>
      <c r="AF93">
        <v>61</v>
      </c>
      <c r="AG93">
        <v>100</v>
      </c>
      <c r="AH93">
        <v>0</v>
      </c>
      <c r="AI93">
        <v>5.3999999999999999E-2</v>
      </c>
      <c r="AK93" t="s">
        <v>100</v>
      </c>
      <c r="AM93">
        <v>400000</v>
      </c>
      <c r="AN93" t="s">
        <v>97</v>
      </c>
      <c r="AO93">
        <v>1</v>
      </c>
      <c r="AP93">
        <v>0</v>
      </c>
      <c r="AQ93">
        <v>33333.333333333336</v>
      </c>
      <c r="AR93" t="s">
        <v>501</v>
      </c>
      <c r="AS93" t="s">
        <v>75</v>
      </c>
      <c r="AX93" t="s">
        <v>76</v>
      </c>
      <c r="AY93" t="s">
        <v>71</v>
      </c>
      <c r="AZ93">
        <v>0</v>
      </c>
      <c r="BA93" t="s">
        <v>71</v>
      </c>
      <c r="BB93">
        <v>0</v>
      </c>
      <c r="BD93">
        <v>0.21</v>
      </c>
    </row>
    <row r="94" spans="1:56" x14ac:dyDescent="0.15">
      <c r="A94" s="4" t="str">
        <f>HYPERLINK("https://ibp.a2mac1.com/costing(costing:projects/details/9760/part/8411070)","Strut Stopper")</f>
        <v>Strut Stopper</v>
      </c>
      <c r="B94">
        <v>8411070</v>
      </c>
      <c r="C94">
        <v>8411031</v>
      </c>
      <c r="D94" t="s">
        <v>502</v>
      </c>
      <c r="E94">
        <v>0.22</v>
      </c>
      <c r="F94">
        <v>0</v>
      </c>
      <c r="G94">
        <v>0</v>
      </c>
      <c r="H94">
        <v>0</v>
      </c>
      <c r="I94" t="s">
        <v>71</v>
      </c>
      <c r="J94">
        <v>0</v>
      </c>
      <c r="K94">
        <v>0.22</v>
      </c>
      <c r="L94">
        <v>0</v>
      </c>
      <c r="M94">
        <v>0</v>
      </c>
      <c r="N94">
        <v>0.22</v>
      </c>
      <c r="O94" t="s">
        <v>71</v>
      </c>
      <c r="P94">
        <v>0</v>
      </c>
      <c r="Q94" t="s">
        <v>71</v>
      </c>
      <c r="R94">
        <v>0</v>
      </c>
      <c r="S94" t="s">
        <v>71</v>
      </c>
      <c r="T94">
        <v>0</v>
      </c>
      <c r="U94" t="s">
        <v>71</v>
      </c>
      <c r="V94">
        <v>0</v>
      </c>
      <c r="W94" t="s">
        <v>71</v>
      </c>
      <c r="X94">
        <v>0</v>
      </c>
      <c r="Y94">
        <v>0.22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64</v>
      </c>
      <c r="AF94">
        <v>64</v>
      </c>
      <c r="AG94">
        <v>58</v>
      </c>
      <c r="AH94">
        <v>0</v>
      </c>
      <c r="AI94">
        <v>5.1999999999999998E-2</v>
      </c>
      <c r="AK94" t="s">
        <v>100</v>
      </c>
      <c r="AM94">
        <v>400000</v>
      </c>
      <c r="AN94" t="s">
        <v>97</v>
      </c>
      <c r="AO94">
        <v>1</v>
      </c>
      <c r="AP94">
        <v>0</v>
      </c>
      <c r="AQ94">
        <v>33333.333333333336</v>
      </c>
      <c r="AR94" t="s">
        <v>503</v>
      </c>
      <c r="AS94" t="s">
        <v>75</v>
      </c>
      <c r="AX94" t="s">
        <v>76</v>
      </c>
      <c r="AY94" t="s">
        <v>71</v>
      </c>
      <c r="AZ94">
        <v>0</v>
      </c>
      <c r="BA94" t="s">
        <v>71</v>
      </c>
      <c r="BB94">
        <v>0</v>
      </c>
      <c r="BD94">
        <v>0.22</v>
      </c>
    </row>
    <row r="95" spans="1:56" x14ac:dyDescent="0.15">
      <c r="A95" s="4" t="str">
        <f>HYPERLINK("https://ibp.a2mac1.com/costing(costing:projects/details/9760/part/8411071)","Stopper Protection")</f>
        <v>Stopper Protection</v>
      </c>
      <c r="B95">
        <v>8411071</v>
      </c>
      <c r="C95">
        <v>8411031</v>
      </c>
      <c r="D95" t="s">
        <v>504</v>
      </c>
      <c r="E95">
        <v>0.23</v>
      </c>
      <c r="F95">
        <v>0</v>
      </c>
      <c r="G95">
        <v>0</v>
      </c>
      <c r="H95">
        <v>0</v>
      </c>
      <c r="I95" t="s">
        <v>71</v>
      </c>
      <c r="J95">
        <v>0</v>
      </c>
      <c r="K95">
        <v>0.23</v>
      </c>
      <c r="L95">
        <v>0</v>
      </c>
      <c r="M95">
        <v>0</v>
      </c>
      <c r="N95">
        <v>0.23</v>
      </c>
      <c r="O95" t="s">
        <v>71</v>
      </c>
      <c r="P95">
        <v>0</v>
      </c>
      <c r="Q95" t="s">
        <v>71</v>
      </c>
      <c r="R95">
        <v>0</v>
      </c>
      <c r="S95" t="s">
        <v>71</v>
      </c>
      <c r="T95">
        <v>0</v>
      </c>
      <c r="U95" t="s">
        <v>71</v>
      </c>
      <c r="V95">
        <v>0</v>
      </c>
      <c r="W95" t="s">
        <v>71</v>
      </c>
      <c r="X95">
        <v>0</v>
      </c>
      <c r="Y95">
        <v>0.23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58</v>
      </c>
      <c r="AF95">
        <v>58</v>
      </c>
      <c r="AG95">
        <v>8</v>
      </c>
      <c r="AH95">
        <v>0</v>
      </c>
      <c r="AI95">
        <v>2.3E-2</v>
      </c>
      <c r="AK95" t="s">
        <v>100</v>
      </c>
      <c r="AM95">
        <v>400000</v>
      </c>
      <c r="AN95" t="s">
        <v>97</v>
      </c>
      <c r="AO95">
        <v>1</v>
      </c>
      <c r="AP95">
        <v>0</v>
      </c>
      <c r="AQ95">
        <v>33333.333333333336</v>
      </c>
      <c r="AR95" t="s">
        <v>505</v>
      </c>
      <c r="AS95" t="s">
        <v>75</v>
      </c>
      <c r="AX95" t="s">
        <v>76</v>
      </c>
      <c r="AY95" t="s">
        <v>71</v>
      </c>
      <c r="AZ95">
        <v>0</v>
      </c>
      <c r="BA95" t="s">
        <v>71</v>
      </c>
      <c r="BB95">
        <v>0</v>
      </c>
      <c r="BD95">
        <v>0.23</v>
      </c>
    </row>
    <row r="96" spans="1:56" x14ac:dyDescent="0.15">
      <c r="A96" s="4" t="str">
        <f>HYPERLINK("https://ibp.a2mac1.com/costing(costing:projects/details/9760/part/8411072)","Upper Fastener")</f>
        <v>Upper Fastener</v>
      </c>
      <c r="B96">
        <v>8411072</v>
      </c>
      <c r="C96">
        <v>8411031</v>
      </c>
      <c r="D96" t="s">
        <v>506</v>
      </c>
      <c r="E96">
        <v>3.87</v>
      </c>
      <c r="F96">
        <v>0</v>
      </c>
      <c r="G96">
        <v>0</v>
      </c>
      <c r="H96">
        <v>0</v>
      </c>
      <c r="I96" t="s">
        <v>71</v>
      </c>
      <c r="J96">
        <v>0</v>
      </c>
      <c r="K96">
        <v>3.87</v>
      </c>
      <c r="L96">
        <v>0</v>
      </c>
      <c r="M96">
        <v>0</v>
      </c>
      <c r="N96">
        <v>3.87</v>
      </c>
      <c r="O96" t="s">
        <v>71</v>
      </c>
      <c r="P96">
        <v>0</v>
      </c>
      <c r="Q96" t="s">
        <v>71</v>
      </c>
      <c r="R96">
        <v>0</v>
      </c>
      <c r="S96" t="s">
        <v>71</v>
      </c>
      <c r="T96">
        <v>0</v>
      </c>
      <c r="U96" t="s">
        <v>71</v>
      </c>
      <c r="V96">
        <v>0</v>
      </c>
      <c r="W96" t="s">
        <v>71</v>
      </c>
      <c r="X96">
        <v>0</v>
      </c>
      <c r="Y96">
        <v>3.87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71</v>
      </c>
      <c r="AF96">
        <v>170</v>
      </c>
      <c r="AG96">
        <v>53</v>
      </c>
      <c r="AH96">
        <v>0</v>
      </c>
      <c r="AI96">
        <v>0.39400000000000002</v>
      </c>
      <c r="AK96" t="s">
        <v>100</v>
      </c>
      <c r="AM96">
        <v>400000</v>
      </c>
      <c r="AN96" t="s">
        <v>97</v>
      </c>
      <c r="AO96">
        <v>1</v>
      </c>
      <c r="AP96">
        <v>0</v>
      </c>
      <c r="AQ96">
        <v>33333.333333333336</v>
      </c>
      <c r="AR96" t="s">
        <v>507</v>
      </c>
      <c r="AS96" t="s">
        <v>75</v>
      </c>
      <c r="AX96" t="s">
        <v>76</v>
      </c>
      <c r="AY96" t="s">
        <v>71</v>
      </c>
      <c r="AZ96">
        <v>0</v>
      </c>
      <c r="BA96" t="s">
        <v>71</v>
      </c>
      <c r="BB96">
        <v>0</v>
      </c>
      <c r="BD96">
        <v>3.87</v>
      </c>
    </row>
    <row r="97" spans="1:56" x14ac:dyDescent="0.15">
      <c r="A97" s="4" t="str">
        <f>HYPERLINK("https://ibp.a2mac1.com/costing(costing:projects/details/9760/part/8411073)","Tower Cover")</f>
        <v>Tower Cover</v>
      </c>
      <c r="B97">
        <v>8411073</v>
      </c>
      <c r="C97">
        <v>8411031</v>
      </c>
      <c r="D97" t="s">
        <v>508</v>
      </c>
      <c r="E97">
        <v>0.05</v>
      </c>
      <c r="F97">
        <v>0</v>
      </c>
      <c r="G97">
        <v>0</v>
      </c>
      <c r="H97">
        <v>0</v>
      </c>
      <c r="I97" t="s">
        <v>71</v>
      </c>
      <c r="J97">
        <v>0</v>
      </c>
      <c r="K97">
        <v>0.05</v>
      </c>
      <c r="L97">
        <v>0</v>
      </c>
      <c r="M97">
        <v>0</v>
      </c>
      <c r="N97">
        <v>0.05</v>
      </c>
      <c r="O97" t="s">
        <v>71</v>
      </c>
      <c r="P97">
        <v>0</v>
      </c>
      <c r="Q97" t="s">
        <v>71</v>
      </c>
      <c r="R97">
        <v>0</v>
      </c>
      <c r="S97" t="s">
        <v>71</v>
      </c>
      <c r="T97">
        <v>0</v>
      </c>
      <c r="U97" t="s">
        <v>71</v>
      </c>
      <c r="V97">
        <v>0</v>
      </c>
      <c r="W97" t="s">
        <v>71</v>
      </c>
      <c r="X97">
        <v>0</v>
      </c>
      <c r="Y97">
        <v>0.05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64</v>
      </c>
      <c r="AF97">
        <v>64</v>
      </c>
      <c r="AG97">
        <v>14</v>
      </c>
      <c r="AH97">
        <v>0</v>
      </c>
      <c r="AI97">
        <v>5.0000000000000001E-3</v>
      </c>
      <c r="AK97" t="s">
        <v>100</v>
      </c>
      <c r="AM97">
        <v>400000</v>
      </c>
      <c r="AN97" t="s">
        <v>97</v>
      </c>
      <c r="AO97">
        <v>1</v>
      </c>
      <c r="AP97">
        <v>0</v>
      </c>
      <c r="AQ97">
        <v>33333.333333333336</v>
      </c>
      <c r="AR97" t="s">
        <v>509</v>
      </c>
      <c r="AS97" t="s">
        <v>75</v>
      </c>
      <c r="AX97" t="s">
        <v>76</v>
      </c>
      <c r="AY97" t="s">
        <v>71</v>
      </c>
      <c r="AZ97">
        <v>0</v>
      </c>
      <c r="BA97" t="s">
        <v>71</v>
      </c>
      <c r="BB97">
        <v>0</v>
      </c>
      <c r="BD97">
        <v>0.05</v>
      </c>
    </row>
    <row r="98" spans="1:56" x14ac:dyDescent="0.15">
      <c r="A98" s="4" t="str">
        <f>HYPERLINK("https://ibp.a2mac1.com/costing(costing:projects/details/9760/part/8411030)","Coil Spring")</f>
        <v>Coil Spring</v>
      </c>
      <c r="B98">
        <v>8411030</v>
      </c>
      <c r="C98">
        <v>8411019</v>
      </c>
      <c r="D98" t="s">
        <v>517</v>
      </c>
      <c r="E98">
        <v>70.5</v>
      </c>
      <c r="F98">
        <v>0</v>
      </c>
      <c r="G98">
        <v>0</v>
      </c>
      <c r="H98">
        <v>1.41E-3</v>
      </c>
      <c r="I98" t="s">
        <v>176</v>
      </c>
      <c r="J98">
        <v>2.4674999999999998</v>
      </c>
      <c r="K98">
        <v>72.968909999999994</v>
      </c>
      <c r="L98">
        <v>1.722293546258864</v>
      </c>
      <c r="M98">
        <v>10.333761277553185</v>
      </c>
      <c r="N98">
        <v>83.302671277553188</v>
      </c>
      <c r="O98" t="s">
        <v>177</v>
      </c>
      <c r="P98">
        <v>4.3781346000000001</v>
      </c>
      <c r="Q98" t="s">
        <v>177</v>
      </c>
      <c r="R98">
        <v>0.62002567665319108</v>
      </c>
      <c r="S98" t="s">
        <v>178</v>
      </c>
      <c r="T98">
        <v>9.9963205533063828</v>
      </c>
      <c r="U98" t="s">
        <v>90</v>
      </c>
      <c r="V98">
        <v>0</v>
      </c>
      <c r="W98" t="s">
        <v>90</v>
      </c>
      <c r="X98">
        <v>0</v>
      </c>
      <c r="Y98">
        <v>98.297152107512758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190</v>
      </c>
      <c r="AF98">
        <v>190</v>
      </c>
      <c r="AG98">
        <v>410</v>
      </c>
      <c r="AH98">
        <v>0</v>
      </c>
      <c r="AI98">
        <v>2.762</v>
      </c>
      <c r="AK98" t="s">
        <v>100</v>
      </c>
      <c r="AM98">
        <v>400000</v>
      </c>
      <c r="AN98" t="s">
        <v>97</v>
      </c>
      <c r="AO98">
        <v>2</v>
      </c>
      <c r="AP98">
        <v>0</v>
      </c>
      <c r="AQ98">
        <v>33333.333333333336</v>
      </c>
      <c r="AR98" t="s">
        <v>518</v>
      </c>
      <c r="AS98" t="s">
        <v>75</v>
      </c>
      <c r="AX98" t="s">
        <v>76</v>
      </c>
      <c r="AY98" t="s">
        <v>176</v>
      </c>
      <c r="AZ98">
        <v>0</v>
      </c>
      <c r="BA98" t="s">
        <v>176</v>
      </c>
      <c r="BB98">
        <v>0</v>
      </c>
    </row>
    <row r="99" spans="1:56" x14ac:dyDescent="0.15">
      <c r="A99" s="4" t="str">
        <f>HYPERLINK("https://ibp.a2mac1.com/costing(costing:projects/details/9760/part/8411074)","Front Sensor")</f>
        <v>Front Sensor</v>
      </c>
      <c r="B99">
        <v>8411074</v>
      </c>
      <c r="C99">
        <v>8411038</v>
      </c>
      <c r="E99">
        <v>8</v>
      </c>
      <c r="F99">
        <v>0</v>
      </c>
      <c r="G99">
        <v>0</v>
      </c>
      <c r="H99">
        <v>0</v>
      </c>
      <c r="I99" t="s">
        <v>71</v>
      </c>
      <c r="J99">
        <v>0</v>
      </c>
      <c r="K99">
        <v>8</v>
      </c>
      <c r="L99">
        <v>0</v>
      </c>
      <c r="M99">
        <v>0</v>
      </c>
      <c r="N99">
        <v>8</v>
      </c>
      <c r="O99" t="s">
        <v>71</v>
      </c>
      <c r="P99">
        <v>0</v>
      </c>
      <c r="Q99" t="s">
        <v>71</v>
      </c>
      <c r="R99">
        <v>0</v>
      </c>
      <c r="S99" t="s">
        <v>71</v>
      </c>
      <c r="T99">
        <v>0</v>
      </c>
      <c r="U99" t="s">
        <v>71</v>
      </c>
      <c r="V99">
        <v>0</v>
      </c>
      <c r="W99" t="s">
        <v>71</v>
      </c>
      <c r="X99">
        <v>0</v>
      </c>
      <c r="Y99">
        <v>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65</v>
      </c>
      <c r="AF99">
        <v>50</v>
      </c>
      <c r="AG99">
        <v>44</v>
      </c>
      <c r="AH99">
        <v>0</v>
      </c>
      <c r="AI99">
        <v>0.1</v>
      </c>
      <c r="AK99" t="s">
        <v>95</v>
      </c>
      <c r="AM99">
        <v>400000</v>
      </c>
      <c r="AN99" t="s">
        <v>97</v>
      </c>
      <c r="AO99">
        <v>2</v>
      </c>
      <c r="AP99">
        <v>0</v>
      </c>
      <c r="AQ99">
        <v>33333.333333333336</v>
      </c>
      <c r="AR99" t="s">
        <v>522</v>
      </c>
      <c r="AS99" t="s">
        <v>75</v>
      </c>
      <c r="AX99" t="s">
        <v>76</v>
      </c>
      <c r="AY99" t="s">
        <v>71</v>
      </c>
      <c r="AZ99">
        <v>0</v>
      </c>
      <c r="BA99" t="s">
        <v>71</v>
      </c>
      <c r="BB99">
        <v>0</v>
      </c>
      <c r="BD99">
        <v>4</v>
      </c>
    </row>
    <row r="100" spans="1:56" x14ac:dyDescent="0.15">
      <c r="A100" s="4" t="str">
        <f>HYPERLINK("https://ibp.a2mac1.com/costing(costing:projects/details/9760/part/8411075)","Rear Sensor")</f>
        <v>Rear Sensor</v>
      </c>
      <c r="B100">
        <v>8411075</v>
      </c>
      <c r="C100">
        <v>8411038</v>
      </c>
      <c r="E100">
        <v>8</v>
      </c>
      <c r="F100">
        <v>0</v>
      </c>
      <c r="G100">
        <v>0</v>
      </c>
      <c r="H100">
        <v>0</v>
      </c>
      <c r="I100" t="s">
        <v>71</v>
      </c>
      <c r="J100">
        <v>0</v>
      </c>
      <c r="K100">
        <v>8</v>
      </c>
      <c r="L100">
        <v>0</v>
      </c>
      <c r="M100">
        <v>0</v>
      </c>
      <c r="N100">
        <v>8</v>
      </c>
      <c r="O100" t="s">
        <v>71</v>
      </c>
      <c r="P100">
        <v>0</v>
      </c>
      <c r="Q100" t="s">
        <v>71</v>
      </c>
      <c r="R100">
        <v>0</v>
      </c>
      <c r="S100" t="s">
        <v>71</v>
      </c>
      <c r="T100">
        <v>0</v>
      </c>
      <c r="U100" t="s">
        <v>71</v>
      </c>
      <c r="V100">
        <v>0</v>
      </c>
      <c r="W100" t="s">
        <v>71</v>
      </c>
      <c r="X100">
        <v>0</v>
      </c>
      <c r="Y100">
        <v>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66</v>
      </c>
      <c r="AF100">
        <v>50</v>
      </c>
      <c r="AG100">
        <v>44</v>
      </c>
      <c r="AH100">
        <v>0</v>
      </c>
      <c r="AI100">
        <v>9.9000000000000005E-2</v>
      </c>
      <c r="AK100" t="s">
        <v>95</v>
      </c>
      <c r="AM100">
        <v>400000</v>
      </c>
      <c r="AN100" t="s">
        <v>97</v>
      </c>
      <c r="AO100">
        <v>2</v>
      </c>
      <c r="AP100">
        <v>0</v>
      </c>
      <c r="AQ100">
        <v>33333.333333333336</v>
      </c>
      <c r="AR100" t="s">
        <v>523</v>
      </c>
      <c r="AS100" t="s">
        <v>75</v>
      </c>
      <c r="AX100" t="s">
        <v>76</v>
      </c>
      <c r="AY100" t="s">
        <v>71</v>
      </c>
      <c r="AZ100">
        <v>0</v>
      </c>
      <c r="BA100" t="s">
        <v>71</v>
      </c>
      <c r="BB100">
        <v>0</v>
      </c>
      <c r="BD100">
        <v>4</v>
      </c>
    </row>
    <row r="101" spans="1:56" x14ac:dyDescent="0.15">
      <c r="A101" s="4" t="str">
        <f>HYPERLINK("https://ibp.a2mac1.com/costing(costing:projects/details/9760/part/8411076)","Front Vertical Acceleration Sensors (and Rear if Identical)")</f>
        <v>Front Vertical Acceleration Sensors (and Rear if Identical)</v>
      </c>
      <c r="B101">
        <v>8411076</v>
      </c>
      <c r="C101">
        <v>8411038</v>
      </c>
      <c r="E101">
        <v>16</v>
      </c>
      <c r="F101">
        <v>0</v>
      </c>
      <c r="G101">
        <v>0</v>
      </c>
      <c r="H101">
        <v>0</v>
      </c>
      <c r="I101" t="s">
        <v>71</v>
      </c>
      <c r="J101">
        <v>0</v>
      </c>
      <c r="K101">
        <v>16</v>
      </c>
      <c r="L101">
        <v>0</v>
      </c>
      <c r="M101">
        <v>0</v>
      </c>
      <c r="N101">
        <v>16</v>
      </c>
      <c r="O101" t="s">
        <v>71</v>
      </c>
      <c r="P101">
        <v>0</v>
      </c>
      <c r="Q101" t="s">
        <v>71</v>
      </c>
      <c r="R101">
        <v>0</v>
      </c>
      <c r="S101" t="s">
        <v>71</v>
      </c>
      <c r="T101">
        <v>0</v>
      </c>
      <c r="U101" t="s">
        <v>71</v>
      </c>
      <c r="V101">
        <v>0</v>
      </c>
      <c r="W101" t="s">
        <v>71</v>
      </c>
      <c r="X101">
        <v>0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25</v>
      </c>
      <c r="AF101">
        <v>36</v>
      </c>
      <c r="AG101">
        <v>34</v>
      </c>
      <c r="AH101">
        <v>0</v>
      </c>
      <c r="AI101">
        <v>1.35E-2</v>
      </c>
      <c r="AK101" t="s">
        <v>95</v>
      </c>
      <c r="AM101">
        <v>400000</v>
      </c>
      <c r="AN101" t="s">
        <v>97</v>
      </c>
      <c r="AO101">
        <v>2</v>
      </c>
      <c r="AP101">
        <v>0</v>
      </c>
      <c r="AQ101">
        <v>33333.333333333336</v>
      </c>
      <c r="AR101" t="s">
        <v>524</v>
      </c>
      <c r="AS101" t="s">
        <v>75</v>
      </c>
      <c r="AX101" t="s">
        <v>76</v>
      </c>
      <c r="AY101" t="s">
        <v>71</v>
      </c>
      <c r="AZ101">
        <v>0</v>
      </c>
      <c r="BA101" t="s">
        <v>71</v>
      </c>
      <c r="BB101">
        <v>0</v>
      </c>
      <c r="BD101">
        <v>8</v>
      </c>
    </row>
    <row r="102" spans="1:56" x14ac:dyDescent="0.15">
      <c r="A102" s="4" t="str">
        <f>HYPERLINK("https://ibp.a2mac1.com/costing(costing:projects/details/9760/part/8411077)","Rear Vertical Acceleration Sensors")</f>
        <v>Rear Vertical Acceleration Sensors</v>
      </c>
      <c r="B102">
        <v>8411077</v>
      </c>
      <c r="C102">
        <v>8411038</v>
      </c>
      <c r="E102">
        <v>4</v>
      </c>
      <c r="F102">
        <v>0</v>
      </c>
      <c r="G102">
        <v>0</v>
      </c>
      <c r="H102">
        <v>0</v>
      </c>
      <c r="I102" t="s">
        <v>71</v>
      </c>
      <c r="J102">
        <v>0</v>
      </c>
      <c r="K102">
        <v>4</v>
      </c>
      <c r="L102">
        <v>0</v>
      </c>
      <c r="M102">
        <v>0</v>
      </c>
      <c r="N102">
        <v>4</v>
      </c>
      <c r="O102" t="s">
        <v>71</v>
      </c>
      <c r="P102">
        <v>0</v>
      </c>
      <c r="Q102" t="s">
        <v>71</v>
      </c>
      <c r="R102">
        <v>0</v>
      </c>
      <c r="S102" t="s">
        <v>71</v>
      </c>
      <c r="T102">
        <v>0</v>
      </c>
      <c r="U102" t="s">
        <v>71</v>
      </c>
      <c r="V102">
        <v>0</v>
      </c>
      <c r="W102" t="s">
        <v>71</v>
      </c>
      <c r="X102">
        <v>0</v>
      </c>
      <c r="Y102">
        <v>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25</v>
      </c>
      <c r="AF102">
        <v>36</v>
      </c>
      <c r="AG102">
        <v>34</v>
      </c>
      <c r="AH102">
        <v>0</v>
      </c>
      <c r="AI102">
        <v>1.2999999999999999E-2</v>
      </c>
      <c r="AK102" t="s">
        <v>95</v>
      </c>
      <c r="AM102">
        <v>200000</v>
      </c>
      <c r="AN102" t="s">
        <v>97</v>
      </c>
      <c r="AO102">
        <v>1</v>
      </c>
      <c r="AP102">
        <v>0</v>
      </c>
      <c r="AQ102">
        <v>16666.666666666668</v>
      </c>
      <c r="AR102" t="s">
        <v>525</v>
      </c>
      <c r="AS102" t="s">
        <v>75</v>
      </c>
      <c r="AX102" t="s">
        <v>76</v>
      </c>
      <c r="AY102" t="s">
        <v>71</v>
      </c>
      <c r="AZ102">
        <v>0</v>
      </c>
      <c r="BA102" t="s">
        <v>71</v>
      </c>
      <c r="BB102">
        <v>0</v>
      </c>
      <c r="BD102">
        <v>4</v>
      </c>
    </row>
    <row r="103" spans="1:56" x14ac:dyDescent="0.15">
      <c r="A103" s="4" t="str">
        <f>HYPERLINK("https://ibp.a2mac1.com/costing(costing:projects/details/9760/part/8411078)","IN Pipe Distributor")</f>
        <v>IN Pipe Distributor</v>
      </c>
      <c r="B103">
        <v>8411078</v>
      </c>
      <c r="C103">
        <v>8411039</v>
      </c>
      <c r="D103" t="s">
        <v>528</v>
      </c>
      <c r="E103">
        <v>0.39</v>
      </c>
      <c r="F103">
        <v>0</v>
      </c>
      <c r="G103">
        <v>0</v>
      </c>
      <c r="H103">
        <v>0</v>
      </c>
      <c r="I103" t="s">
        <v>71</v>
      </c>
      <c r="J103">
        <v>0</v>
      </c>
      <c r="K103">
        <v>0.39</v>
      </c>
      <c r="L103">
        <v>0</v>
      </c>
      <c r="M103">
        <v>0</v>
      </c>
      <c r="N103">
        <v>0.39</v>
      </c>
      <c r="O103" t="s">
        <v>71</v>
      </c>
      <c r="P103">
        <v>0</v>
      </c>
      <c r="Q103" t="s">
        <v>71</v>
      </c>
      <c r="R103">
        <v>0</v>
      </c>
      <c r="S103" t="s">
        <v>71</v>
      </c>
      <c r="T103">
        <v>0</v>
      </c>
      <c r="U103" t="s">
        <v>71</v>
      </c>
      <c r="V103">
        <v>0</v>
      </c>
      <c r="W103" t="s">
        <v>71</v>
      </c>
      <c r="X103">
        <v>0</v>
      </c>
      <c r="Y103">
        <v>0.39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1.0999999999999999E-2</v>
      </c>
      <c r="AK103" t="s">
        <v>95</v>
      </c>
      <c r="AM103">
        <v>200000</v>
      </c>
      <c r="AN103" t="s">
        <v>97</v>
      </c>
      <c r="AO103">
        <v>1</v>
      </c>
      <c r="AP103">
        <v>0</v>
      </c>
      <c r="AQ103">
        <v>16666.666666666668</v>
      </c>
      <c r="AR103" t="s">
        <v>529</v>
      </c>
      <c r="AS103" t="s">
        <v>75</v>
      </c>
      <c r="AX103" t="s">
        <v>76</v>
      </c>
      <c r="AY103" t="s">
        <v>71</v>
      </c>
      <c r="AZ103">
        <v>0</v>
      </c>
      <c r="BA103" t="s">
        <v>71</v>
      </c>
      <c r="BB103">
        <v>0</v>
      </c>
      <c r="BD103">
        <v>0.39</v>
      </c>
    </row>
    <row r="104" spans="1:56" x14ac:dyDescent="0.15">
      <c r="A104" s="4" t="str">
        <f>HYPERLINK("https://ibp.a2mac1.com/costing(costing:projects/details/9760/part/8411079)","Front Left Shock Absorber Pipe")</f>
        <v>Front Left Shock Absorber Pipe</v>
      </c>
      <c r="B104">
        <v>8411079</v>
      </c>
      <c r="C104">
        <v>8411039</v>
      </c>
      <c r="D104" t="s">
        <v>530</v>
      </c>
      <c r="E104">
        <v>7.74</v>
      </c>
      <c r="F104">
        <v>0</v>
      </c>
      <c r="G104">
        <v>0</v>
      </c>
      <c r="H104">
        <v>0</v>
      </c>
      <c r="I104" t="s">
        <v>71</v>
      </c>
      <c r="J104">
        <v>0</v>
      </c>
      <c r="K104">
        <v>7.74</v>
      </c>
      <c r="L104">
        <v>0</v>
      </c>
      <c r="M104">
        <v>0</v>
      </c>
      <c r="N104">
        <v>7.74</v>
      </c>
      <c r="O104" t="s">
        <v>71</v>
      </c>
      <c r="P104">
        <v>0</v>
      </c>
      <c r="Q104" t="s">
        <v>71</v>
      </c>
      <c r="R104">
        <v>0</v>
      </c>
      <c r="S104" t="s">
        <v>71</v>
      </c>
      <c r="T104">
        <v>0</v>
      </c>
      <c r="U104" t="s">
        <v>71</v>
      </c>
      <c r="V104">
        <v>0</v>
      </c>
      <c r="W104" t="s">
        <v>71</v>
      </c>
      <c r="X104">
        <v>0</v>
      </c>
      <c r="Y104">
        <v>7.74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0.115</v>
      </c>
      <c r="AK104" t="s">
        <v>95</v>
      </c>
      <c r="AM104">
        <v>200000</v>
      </c>
      <c r="AN104" t="s">
        <v>97</v>
      </c>
      <c r="AO104">
        <v>1</v>
      </c>
      <c r="AP104">
        <v>0</v>
      </c>
      <c r="AQ104">
        <v>16666.666666666668</v>
      </c>
      <c r="AR104" t="s">
        <v>531</v>
      </c>
      <c r="AS104" t="s">
        <v>75</v>
      </c>
      <c r="AX104" t="s">
        <v>76</v>
      </c>
      <c r="AY104" t="s">
        <v>71</v>
      </c>
      <c r="AZ104">
        <v>0</v>
      </c>
      <c r="BA104" t="s">
        <v>71</v>
      </c>
      <c r="BB104">
        <v>0</v>
      </c>
      <c r="BD104">
        <v>7.74</v>
      </c>
    </row>
    <row r="105" spans="1:56" x14ac:dyDescent="0.15">
      <c r="A105" s="4" t="str">
        <f>HYPERLINK("https://ibp.a2mac1.com/costing(costing:projects/details/9760/part/8411080)","Front Right Shock Absorber Pipe")</f>
        <v>Front Right Shock Absorber Pipe</v>
      </c>
      <c r="B105">
        <v>8411080</v>
      </c>
      <c r="C105">
        <v>8411039</v>
      </c>
      <c r="D105" t="s">
        <v>530</v>
      </c>
      <c r="E105">
        <v>9.23</v>
      </c>
      <c r="F105">
        <v>0</v>
      </c>
      <c r="G105">
        <v>0</v>
      </c>
      <c r="H105">
        <v>0</v>
      </c>
      <c r="I105" t="s">
        <v>71</v>
      </c>
      <c r="J105">
        <v>0</v>
      </c>
      <c r="K105">
        <v>9.23</v>
      </c>
      <c r="L105">
        <v>0</v>
      </c>
      <c r="M105">
        <v>0</v>
      </c>
      <c r="N105">
        <v>9.23</v>
      </c>
      <c r="O105" t="s">
        <v>71</v>
      </c>
      <c r="P105">
        <v>0</v>
      </c>
      <c r="Q105" t="s">
        <v>71</v>
      </c>
      <c r="R105">
        <v>0</v>
      </c>
      <c r="S105" t="s">
        <v>71</v>
      </c>
      <c r="T105">
        <v>0</v>
      </c>
      <c r="U105" t="s">
        <v>71</v>
      </c>
      <c r="V105">
        <v>0</v>
      </c>
      <c r="W105" t="s">
        <v>71</v>
      </c>
      <c r="X105">
        <v>0</v>
      </c>
      <c r="Y105">
        <v>9.23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0.14199999999999999</v>
      </c>
      <c r="AK105" t="s">
        <v>95</v>
      </c>
      <c r="AM105">
        <v>200000</v>
      </c>
      <c r="AN105" t="s">
        <v>97</v>
      </c>
      <c r="AO105">
        <v>1</v>
      </c>
      <c r="AP105">
        <v>0</v>
      </c>
      <c r="AQ105">
        <v>16666.666666666668</v>
      </c>
      <c r="AR105" t="s">
        <v>532</v>
      </c>
      <c r="AS105" t="s">
        <v>75</v>
      </c>
      <c r="AX105" t="s">
        <v>76</v>
      </c>
      <c r="AY105" t="s">
        <v>71</v>
      </c>
      <c r="AZ105">
        <v>0</v>
      </c>
      <c r="BA105" t="s">
        <v>71</v>
      </c>
      <c r="BB105">
        <v>0</v>
      </c>
      <c r="BD105">
        <v>9.23</v>
      </c>
    </row>
    <row r="106" spans="1:56" x14ac:dyDescent="0.15">
      <c r="A106" s="4" t="str">
        <f>HYPERLINK("https://ibp.a2mac1.com/costing(costing:projects/details/9760/part/8411081)","Rear Left Shock Absorber Pipe")</f>
        <v>Rear Left Shock Absorber Pipe</v>
      </c>
      <c r="B106">
        <v>8411081</v>
      </c>
      <c r="C106">
        <v>8411039</v>
      </c>
      <c r="D106" t="s">
        <v>530</v>
      </c>
      <c r="E106">
        <v>2.65</v>
      </c>
      <c r="F106">
        <v>0</v>
      </c>
      <c r="G106">
        <v>0</v>
      </c>
      <c r="H106">
        <v>0</v>
      </c>
      <c r="I106" t="s">
        <v>71</v>
      </c>
      <c r="J106">
        <v>0</v>
      </c>
      <c r="K106">
        <v>2.65</v>
      </c>
      <c r="L106">
        <v>0</v>
      </c>
      <c r="M106">
        <v>0</v>
      </c>
      <c r="N106">
        <v>2.65</v>
      </c>
      <c r="O106" t="s">
        <v>71</v>
      </c>
      <c r="P106">
        <v>0</v>
      </c>
      <c r="Q106" t="s">
        <v>71</v>
      </c>
      <c r="R106">
        <v>0</v>
      </c>
      <c r="S106" t="s">
        <v>71</v>
      </c>
      <c r="T106">
        <v>0</v>
      </c>
      <c r="U106" t="s">
        <v>71</v>
      </c>
      <c r="V106">
        <v>0</v>
      </c>
      <c r="W106" t="s">
        <v>71</v>
      </c>
      <c r="X106">
        <v>0</v>
      </c>
      <c r="Y106">
        <v>2.65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2.7E-2</v>
      </c>
      <c r="AK106" t="s">
        <v>95</v>
      </c>
      <c r="AM106">
        <v>200000</v>
      </c>
      <c r="AN106" t="s">
        <v>97</v>
      </c>
      <c r="AO106">
        <v>1</v>
      </c>
      <c r="AP106">
        <v>0</v>
      </c>
      <c r="AQ106">
        <v>16666.666666666668</v>
      </c>
      <c r="AR106" t="s">
        <v>533</v>
      </c>
      <c r="AS106" t="s">
        <v>75</v>
      </c>
      <c r="AX106" t="s">
        <v>76</v>
      </c>
      <c r="AY106" t="s">
        <v>71</v>
      </c>
      <c r="AZ106">
        <v>0</v>
      </c>
      <c r="BA106" t="s">
        <v>71</v>
      </c>
      <c r="BB106">
        <v>0</v>
      </c>
      <c r="BD106">
        <v>2.65</v>
      </c>
    </row>
    <row r="107" spans="1:56" x14ac:dyDescent="0.15">
      <c r="A107" s="4" t="str">
        <f>HYPERLINK("https://ibp.a2mac1.com/costing(costing:projects/details/9760/part/8411082)","Rear Right Shock Absorber Pipe")</f>
        <v>Rear Right Shock Absorber Pipe</v>
      </c>
      <c r="B107">
        <v>8411082</v>
      </c>
      <c r="C107">
        <v>8411039</v>
      </c>
      <c r="D107" t="s">
        <v>530</v>
      </c>
      <c r="E107">
        <v>5.14</v>
      </c>
      <c r="F107">
        <v>0</v>
      </c>
      <c r="G107">
        <v>0</v>
      </c>
      <c r="H107">
        <v>0</v>
      </c>
      <c r="I107" t="s">
        <v>71</v>
      </c>
      <c r="J107">
        <v>0</v>
      </c>
      <c r="K107">
        <v>5.14</v>
      </c>
      <c r="L107">
        <v>0</v>
      </c>
      <c r="M107">
        <v>0</v>
      </c>
      <c r="N107">
        <v>5.14</v>
      </c>
      <c r="O107" t="s">
        <v>71</v>
      </c>
      <c r="P107">
        <v>0</v>
      </c>
      <c r="Q107" t="s">
        <v>71</v>
      </c>
      <c r="R107">
        <v>0</v>
      </c>
      <c r="S107" t="s">
        <v>71</v>
      </c>
      <c r="T107">
        <v>0</v>
      </c>
      <c r="U107" t="s">
        <v>71</v>
      </c>
      <c r="V107">
        <v>0</v>
      </c>
      <c r="W107" t="s">
        <v>71</v>
      </c>
      <c r="X107">
        <v>0</v>
      </c>
      <c r="Y107">
        <v>5.14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7.2999999999999995E-2</v>
      </c>
      <c r="AK107" t="s">
        <v>95</v>
      </c>
      <c r="AM107">
        <v>200000</v>
      </c>
      <c r="AN107" t="s">
        <v>97</v>
      </c>
      <c r="AO107">
        <v>1</v>
      </c>
      <c r="AP107">
        <v>0</v>
      </c>
      <c r="AQ107">
        <v>16666.666666666668</v>
      </c>
      <c r="AR107" t="s">
        <v>534</v>
      </c>
      <c r="AS107" t="s">
        <v>75</v>
      </c>
      <c r="AX107" t="s">
        <v>76</v>
      </c>
      <c r="AY107" t="s">
        <v>71</v>
      </c>
      <c r="AZ107">
        <v>0</v>
      </c>
      <c r="BA107" t="s">
        <v>71</v>
      </c>
      <c r="BB107">
        <v>0</v>
      </c>
      <c r="BD107">
        <v>5.14</v>
      </c>
    </row>
    <row r="108" spans="1:56" x14ac:dyDescent="0.15">
      <c r="A108" s="4" t="str">
        <f>HYPERLINK("https://ibp.a2mac1.com/costing(costing:projects/details/9760/part/8411083)","Air Bottle/Distributor Pipe")</f>
        <v>Air Bottle/Distributor Pipe</v>
      </c>
      <c r="B108">
        <v>8411083</v>
      </c>
      <c r="C108">
        <v>8411039</v>
      </c>
      <c r="D108" t="s">
        <v>530</v>
      </c>
      <c r="E108">
        <v>4.3499999999999996</v>
      </c>
      <c r="F108">
        <v>0</v>
      </c>
      <c r="G108">
        <v>0</v>
      </c>
      <c r="H108">
        <v>0</v>
      </c>
      <c r="I108" t="s">
        <v>71</v>
      </c>
      <c r="J108">
        <v>0</v>
      </c>
      <c r="K108">
        <v>4.3499999999999996</v>
      </c>
      <c r="L108">
        <v>0</v>
      </c>
      <c r="M108">
        <v>0</v>
      </c>
      <c r="N108">
        <v>4.3499999999999996</v>
      </c>
      <c r="O108" t="s">
        <v>71</v>
      </c>
      <c r="P108">
        <v>0</v>
      </c>
      <c r="Q108" t="s">
        <v>71</v>
      </c>
      <c r="R108">
        <v>0</v>
      </c>
      <c r="S108" t="s">
        <v>71</v>
      </c>
      <c r="T108">
        <v>0</v>
      </c>
      <c r="U108" t="s">
        <v>71</v>
      </c>
      <c r="V108">
        <v>0</v>
      </c>
      <c r="W108" t="s">
        <v>71</v>
      </c>
      <c r="X108">
        <v>0</v>
      </c>
      <c r="Y108">
        <v>4.3499999999999996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4.5999999999999999E-2</v>
      </c>
      <c r="AK108" t="s">
        <v>95</v>
      </c>
      <c r="AM108">
        <v>200000</v>
      </c>
      <c r="AN108" t="s">
        <v>97</v>
      </c>
      <c r="AO108">
        <v>1</v>
      </c>
      <c r="AP108">
        <v>0</v>
      </c>
      <c r="AQ108">
        <v>16666.666666666668</v>
      </c>
      <c r="AR108" t="s">
        <v>535</v>
      </c>
      <c r="AS108" t="s">
        <v>75</v>
      </c>
      <c r="AX108" t="s">
        <v>76</v>
      </c>
      <c r="AY108" t="s">
        <v>71</v>
      </c>
      <c r="AZ108">
        <v>0</v>
      </c>
      <c r="BA108" t="s">
        <v>71</v>
      </c>
      <c r="BB108">
        <v>0</v>
      </c>
      <c r="BD108">
        <v>4.3499999999999996</v>
      </c>
    </row>
    <row r="109" spans="1:56" x14ac:dyDescent="0.15">
      <c r="A109" s="4" t="str">
        <f>HYPERLINK("https://ibp.a2mac1.com/costing(costing:projects/details/9760/part/8411084)","Out pipe")</f>
        <v>Out pipe</v>
      </c>
      <c r="B109">
        <v>8411084</v>
      </c>
      <c r="C109">
        <v>8411039</v>
      </c>
      <c r="D109" t="s">
        <v>528</v>
      </c>
      <c r="E109">
        <v>1.21</v>
      </c>
      <c r="F109">
        <v>0</v>
      </c>
      <c r="G109">
        <v>0</v>
      </c>
      <c r="H109">
        <v>0</v>
      </c>
      <c r="I109" t="s">
        <v>71</v>
      </c>
      <c r="J109">
        <v>0</v>
      </c>
      <c r="K109">
        <v>1.21</v>
      </c>
      <c r="L109">
        <v>0</v>
      </c>
      <c r="M109">
        <v>0</v>
      </c>
      <c r="N109">
        <v>1.21</v>
      </c>
      <c r="O109" t="s">
        <v>71</v>
      </c>
      <c r="P109">
        <v>0</v>
      </c>
      <c r="Q109" t="s">
        <v>71</v>
      </c>
      <c r="R109">
        <v>0</v>
      </c>
      <c r="S109" t="s">
        <v>71</v>
      </c>
      <c r="T109">
        <v>0</v>
      </c>
      <c r="U109" t="s">
        <v>71</v>
      </c>
      <c r="V109">
        <v>0</v>
      </c>
      <c r="W109" t="s">
        <v>71</v>
      </c>
      <c r="X109">
        <v>0</v>
      </c>
      <c r="Y109">
        <v>1.21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8.2000000000000003E-2</v>
      </c>
      <c r="AK109" t="s">
        <v>95</v>
      </c>
      <c r="AM109">
        <v>200000</v>
      </c>
      <c r="AN109" t="s">
        <v>97</v>
      </c>
      <c r="AO109">
        <v>1</v>
      </c>
      <c r="AP109">
        <v>0</v>
      </c>
      <c r="AQ109">
        <v>16666.666666666668</v>
      </c>
      <c r="AR109" t="s">
        <v>536</v>
      </c>
      <c r="AS109" t="s">
        <v>75</v>
      </c>
      <c r="AX109" t="s">
        <v>76</v>
      </c>
      <c r="AY109" t="s">
        <v>71</v>
      </c>
      <c r="AZ109">
        <v>0</v>
      </c>
      <c r="BA109" t="s">
        <v>71</v>
      </c>
      <c r="BB109">
        <v>0</v>
      </c>
      <c r="BD109">
        <v>1.21</v>
      </c>
    </row>
    <row r="110" spans="1:56" x14ac:dyDescent="0.15">
      <c r="A110" s="4" t="str">
        <f>HYPERLINK("https://ibp.a2mac1.com/costing(costing:projects/details/9760/part/8411085)","Dehumidifier IN Pipe")</f>
        <v>Dehumidifier IN Pipe</v>
      </c>
      <c r="B110">
        <v>8411085</v>
      </c>
      <c r="C110">
        <v>8411039</v>
      </c>
      <c r="D110" t="s">
        <v>530</v>
      </c>
      <c r="E110">
        <v>2.63</v>
      </c>
      <c r="F110">
        <v>0</v>
      </c>
      <c r="G110">
        <v>0</v>
      </c>
      <c r="H110">
        <v>0</v>
      </c>
      <c r="I110" t="s">
        <v>71</v>
      </c>
      <c r="J110">
        <v>0</v>
      </c>
      <c r="K110">
        <v>2.63</v>
      </c>
      <c r="L110">
        <v>0</v>
      </c>
      <c r="M110">
        <v>0</v>
      </c>
      <c r="N110">
        <v>2.63</v>
      </c>
      <c r="O110" t="s">
        <v>71</v>
      </c>
      <c r="P110">
        <v>0</v>
      </c>
      <c r="Q110" t="s">
        <v>71</v>
      </c>
      <c r="R110">
        <v>0</v>
      </c>
      <c r="S110" t="s">
        <v>71</v>
      </c>
      <c r="T110">
        <v>0</v>
      </c>
      <c r="U110" t="s">
        <v>71</v>
      </c>
      <c r="V110">
        <v>0</v>
      </c>
      <c r="W110" t="s">
        <v>71</v>
      </c>
      <c r="X110">
        <v>0</v>
      </c>
      <c r="Y110">
        <v>2.63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2.3E-2</v>
      </c>
      <c r="AK110" t="s">
        <v>95</v>
      </c>
      <c r="AM110">
        <v>200000</v>
      </c>
      <c r="AN110" t="s">
        <v>97</v>
      </c>
      <c r="AO110">
        <v>1</v>
      </c>
      <c r="AP110">
        <v>0</v>
      </c>
      <c r="AQ110">
        <v>16666.666666666668</v>
      </c>
      <c r="AR110" t="s">
        <v>537</v>
      </c>
      <c r="AS110" t="s">
        <v>75</v>
      </c>
      <c r="AX110" t="s">
        <v>76</v>
      </c>
      <c r="AY110" t="s">
        <v>71</v>
      </c>
      <c r="AZ110">
        <v>0</v>
      </c>
      <c r="BA110" t="s">
        <v>71</v>
      </c>
      <c r="BB110">
        <v>0</v>
      </c>
      <c r="BD110">
        <v>2.63</v>
      </c>
    </row>
    <row r="111" spans="1:56" x14ac:dyDescent="0.15">
      <c r="A111" s="4" t="str">
        <f>HYPERLINK("https://ibp.a2mac1.com/costing(costing:projects/details/9760/part/8411086)","Dehumidifier OUT Pipe")</f>
        <v>Dehumidifier OUT Pipe</v>
      </c>
      <c r="B111">
        <v>8411086</v>
      </c>
      <c r="C111">
        <v>8411039</v>
      </c>
      <c r="D111" t="s">
        <v>530</v>
      </c>
      <c r="E111">
        <v>2.48</v>
      </c>
      <c r="F111">
        <v>0</v>
      </c>
      <c r="G111">
        <v>0</v>
      </c>
      <c r="H111">
        <v>0</v>
      </c>
      <c r="I111" t="s">
        <v>71</v>
      </c>
      <c r="J111">
        <v>0</v>
      </c>
      <c r="K111">
        <v>2.48</v>
      </c>
      <c r="L111">
        <v>0</v>
      </c>
      <c r="M111">
        <v>0</v>
      </c>
      <c r="N111">
        <v>2.48</v>
      </c>
      <c r="O111" t="s">
        <v>71</v>
      </c>
      <c r="P111">
        <v>0</v>
      </c>
      <c r="Q111" t="s">
        <v>71</v>
      </c>
      <c r="R111">
        <v>0</v>
      </c>
      <c r="S111" t="s">
        <v>71</v>
      </c>
      <c r="T111">
        <v>0</v>
      </c>
      <c r="U111" t="s">
        <v>71</v>
      </c>
      <c r="V111">
        <v>0</v>
      </c>
      <c r="W111" t="s">
        <v>71</v>
      </c>
      <c r="X111">
        <v>0</v>
      </c>
      <c r="Y111">
        <v>2.48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2.1999999999999999E-2</v>
      </c>
      <c r="AK111" t="s">
        <v>95</v>
      </c>
      <c r="AM111">
        <v>200000</v>
      </c>
      <c r="AN111" t="s">
        <v>97</v>
      </c>
      <c r="AO111">
        <v>1</v>
      </c>
      <c r="AP111">
        <v>0</v>
      </c>
      <c r="AQ111">
        <v>16666.666666666668</v>
      </c>
      <c r="AR111" t="s">
        <v>538</v>
      </c>
      <c r="AS111" t="s">
        <v>75</v>
      </c>
      <c r="AX111" t="s">
        <v>76</v>
      </c>
      <c r="AY111" t="s">
        <v>71</v>
      </c>
      <c r="AZ111">
        <v>0</v>
      </c>
      <c r="BA111" t="s">
        <v>71</v>
      </c>
      <c r="BB111">
        <v>0</v>
      </c>
      <c r="BD111">
        <v>2.48</v>
      </c>
    </row>
    <row r="112" spans="1:56" x14ac:dyDescent="0.15">
      <c r="A112" s="4" t="str">
        <f>HYPERLINK("https://ibp.a2mac1.com/costing(costing:projects/details/9760/part/8411087)","Front Left Shock Absorber Air Valve")</f>
        <v>Front Left Shock Absorber Air Valve</v>
      </c>
      <c r="B112">
        <v>8411087</v>
      </c>
      <c r="C112">
        <v>8411039</v>
      </c>
      <c r="E112">
        <v>0.8</v>
      </c>
      <c r="F112">
        <v>0</v>
      </c>
      <c r="G112">
        <v>0</v>
      </c>
      <c r="H112">
        <v>0</v>
      </c>
      <c r="I112" t="s">
        <v>71</v>
      </c>
      <c r="J112">
        <v>0</v>
      </c>
      <c r="K112">
        <v>0.8</v>
      </c>
      <c r="L112">
        <v>0</v>
      </c>
      <c r="M112">
        <v>0</v>
      </c>
      <c r="N112">
        <v>0.8</v>
      </c>
      <c r="O112" t="s">
        <v>71</v>
      </c>
      <c r="P112">
        <v>0</v>
      </c>
      <c r="Q112" t="s">
        <v>71</v>
      </c>
      <c r="R112">
        <v>0</v>
      </c>
      <c r="S112" t="s">
        <v>71</v>
      </c>
      <c r="T112">
        <v>0</v>
      </c>
      <c r="U112" t="s">
        <v>71</v>
      </c>
      <c r="V112">
        <v>0</v>
      </c>
      <c r="W112" t="s">
        <v>71</v>
      </c>
      <c r="X112">
        <v>0</v>
      </c>
      <c r="Y112">
        <v>0.8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16</v>
      </c>
      <c r="AF112">
        <v>18</v>
      </c>
      <c r="AG112">
        <v>35</v>
      </c>
      <c r="AH112">
        <v>0</v>
      </c>
      <c r="AI112">
        <v>4.2000000000000003E-2</v>
      </c>
      <c r="AK112" t="s">
        <v>95</v>
      </c>
      <c r="AM112">
        <v>200000</v>
      </c>
      <c r="AN112" t="s">
        <v>97</v>
      </c>
      <c r="AO112">
        <v>1</v>
      </c>
      <c r="AP112">
        <v>0</v>
      </c>
      <c r="AQ112">
        <v>16666.666666666668</v>
      </c>
      <c r="AR112" t="s">
        <v>539</v>
      </c>
      <c r="AS112" t="s">
        <v>75</v>
      </c>
      <c r="AX112" t="s">
        <v>76</v>
      </c>
      <c r="AY112" t="s">
        <v>71</v>
      </c>
      <c r="AZ112">
        <v>0</v>
      </c>
      <c r="BA112" t="s">
        <v>71</v>
      </c>
      <c r="BB112">
        <v>0</v>
      </c>
      <c r="BD112">
        <v>0.8</v>
      </c>
    </row>
    <row r="113" spans="1:56" x14ac:dyDescent="0.15">
      <c r="A113" s="4" t="str">
        <f>HYPERLINK("https://ibp.a2mac1.com/costing(costing:projects/details/9760/part/8411088)","Front Right Shock Absorber Air Valve")</f>
        <v>Front Right Shock Absorber Air Valve</v>
      </c>
      <c r="B113">
        <v>8411088</v>
      </c>
      <c r="C113">
        <v>8411039</v>
      </c>
      <c r="E113">
        <v>0.8</v>
      </c>
      <c r="F113">
        <v>0</v>
      </c>
      <c r="G113">
        <v>0</v>
      </c>
      <c r="H113">
        <v>0</v>
      </c>
      <c r="I113" t="s">
        <v>71</v>
      </c>
      <c r="J113">
        <v>0</v>
      </c>
      <c r="K113">
        <v>0.8</v>
      </c>
      <c r="L113">
        <v>0</v>
      </c>
      <c r="M113">
        <v>0</v>
      </c>
      <c r="N113">
        <v>0.8</v>
      </c>
      <c r="O113" t="s">
        <v>71</v>
      </c>
      <c r="P113">
        <v>0</v>
      </c>
      <c r="Q113" t="s">
        <v>71</v>
      </c>
      <c r="R113">
        <v>0</v>
      </c>
      <c r="S113" t="s">
        <v>71</v>
      </c>
      <c r="T113">
        <v>0</v>
      </c>
      <c r="U113" t="s">
        <v>71</v>
      </c>
      <c r="V113">
        <v>0</v>
      </c>
      <c r="W113" t="s">
        <v>71</v>
      </c>
      <c r="X113">
        <v>0</v>
      </c>
      <c r="Y113">
        <v>0.8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16</v>
      </c>
      <c r="AF113">
        <v>18</v>
      </c>
      <c r="AG113">
        <v>35</v>
      </c>
      <c r="AH113">
        <v>0</v>
      </c>
      <c r="AI113">
        <v>4.2000000000000003E-2</v>
      </c>
      <c r="AK113" t="s">
        <v>95</v>
      </c>
      <c r="AM113">
        <v>200000</v>
      </c>
      <c r="AN113" t="s">
        <v>97</v>
      </c>
      <c r="AO113">
        <v>1</v>
      </c>
      <c r="AP113">
        <v>0</v>
      </c>
      <c r="AQ113">
        <v>16666.666666666668</v>
      </c>
      <c r="AR113" t="s">
        <v>540</v>
      </c>
      <c r="AS113" t="s">
        <v>75</v>
      </c>
      <c r="AX113" t="s">
        <v>76</v>
      </c>
      <c r="AY113" t="s">
        <v>71</v>
      </c>
      <c r="AZ113">
        <v>0</v>
      </c>
      <c r="BA113" t="s">
        <v>71</v>
      </c>
      <c r="BB113">
        <v>0</v>
      </c>
      <c r="BD113">
        <v>0.8</v>
      </c>
    </row>
    <row r="114" spans="1:56" x14ac:dyDescent="0.15">
      <c r="A114" s="4" t="str">
        <f>HYPERLINK("https://ibp.a2mac1.com/costing(costing:projects/details/9760/part/8411032)","Suspension Air Filter")</f>
        <v>Suspension Air Filter</v>
      </c>
      <c r="B114">
        <v>8411032</v>
      </c>
      <c r="C114">
        <v>8411020</v>
      </c>
      <c r="E114">
        <v>1.5740700000000001</v>
      </c>
      <c r="F114">
        <v>0</v>
      </c>
      <c r="G114">
        <v>0</v>
      </c>
      <c r="H114">
        <v>0</v>
      </c>
      <c r="I114" t="s">
        <v>71</v>
      </c>
      <c r="J114">
        <v>0</v>
      </c>
      <c r="K114">
        <v>1.5740700000000001</v>
      </c>
      <c r="L114">
        <v>0</v>
      </c>
      <c r="M114">
        <v>0</v>
      </c>
      <c r="N114">
        <v>1.5740700000000001</v>
      </c>
      <c r="O114" t="s">
        <v>71</v>
      </c>
      <c r="P114">
        <v>0</v>
      </c>
      <c r="Q114" t="s">
        <v>71</v>
      </c>
      <c r="R114">
        <v>0</v>
      </c>
      <c r="S114" t="s">
        <v>71</v>
      </c>
      <c r="T114">
        <v>0</v>
      </c>
      <c r="U114" t="s">
        <v>71</v>
      </c>
      <c r="V114">
        <v>0</v>
      </c>
      <c r="W114" t="s">
        <v>71</v>
      </c>
      <c r="X114">
        <v>0</v>
      </c>
      <c r="Y114">
        <v>1.5740700000000001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48</v>
      </c>
      <c r="AF114">
        <v>48</v>
      </c>
      <c r="AG114">
        <v>70</v>
      </c>
      <c r="AH114">
        <v>0</v>
      </c>
      <c r="AI114">
        <v>3.5999999999999997E-2</v>
      </c>
      <c r="AK114" t="s">
        <v>100</v>
      </c>
      <c r="AM114">
        <v>200000</v>
      </c>
      <c r="AN114" t="s">
        <v>97</v>
      </c>
      <c r="AO114">
        <v>1</v>
      </c>
      <c r="AP114">
        <v>0</v>
      </c>
      <c r="AQ114">
        <v>16666.666666666668</v>
      </c>
      <c r="AR114" t="s">
        <v>542</v>
      </c>
      <c r="AS114" t="s">
        <v>75</v>
      </c>
      <c r="AX114" t="s">
        <v>76</v>
      </c>
      <c r="AY114" t="s">
        <v>71</v>
      </c>
      <c r="AZ114">
        <v>0</v>
      </c>
      <c r="BA114" t="s">
        <v>71</v>
      </c>
      <c r="BB114">
        <v>0</v>
      </c>
      <c r="BD114">
        <v>1.5740700000000001</v>
      </c>
    </row>
    <row r="115" spans="1:56" x14ac:dyDescent="0.15">
      <c r="A115" s="4" t="str">
        <f>HYPERLINK("https://ibp.a2mac1.com/costing(costing:projects/details/9760/part/8411033)","Compressor")</f>
        <v>Compressor</v>
      </c>
      <c r="B115">
        <v>8411033</v>
      </c>
      <c r="C115">
        <v>8411020</v>
      </c>
      <c r="E115">
        <v>129.02000000000001</v>
      </c>
      <c r="F115">
        <v>0</v>
      </c>
      <c r="G115">
        <v>0</v>
      </c>
      <c r="H115">
        <v>0</v>
      </c>
      <c r="I115" t="s">
        <v>71</v>
      </c>
      <c r="J115">
        <v>0</v>
      </c>
      <c r="K115">
        <v>129.02000000000001</v>
      </c>
      <c r="L115">
        <v>0</v>
      </c>
      <c r="M115">
        <v>0</v>
      </c>
      <c r="N115">
        <v>129.02000000000001</v>
      </c>
      <c r="O115" t="s">
        <v>71</v>
      </c>
      <c r="P115">
        <v>0</v>
      </c>
      <c r="Q115" t="s">
        <v>71</v>
      </c>
      <c r="R115">
        <v>0</v>
      </c>
      <c r="S115" t="s">
        <v>71</v>
      </c>
      <c r="T115">
        <v>0</v>
      </c>
      <c r="U115" t="s">
        <v>71</v>
      </c>
      <c r="V115">
        <v>0</v>
      </c>
      <c r="W115" t="s">
        <v>71</v>
      </c>
      <c r="X115">
        <v>0</v>
      </c>
      <c r="Y115">
        <v>129.02000000000001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146</v>
      </c>
      <c r="AF115">
        <v>169</v>
      </c>
      <c r="AG115">
        <v>123</v>
      </c>
      <c r="AH115">
        <v>0</v>
      </c>
      <c r="AI115">
        <v>3.6030000000000002</v>
      </c>
      <c r="AK115" t="s">
        <v>95</v>
      </c>
      <c r="AM115">
        <v>200000</v>
      </c>
      <c r="AN115" t="s">
        <v>97</v>
      </c>
      <c r="AO115">
        <v>1</v>
      </c>
      <c r="AP115">
        <v>0</v>
      </c>
      <c r="AQ115">
        <v>16666.666666666668</v>
      </c>
      <c r="AR115" t="s">
        <v>543</v>
      </c>
      <c r="AS115" t="s">
        <v>75</v>
      </c>
      <c r="AX115" t="s">
        <v>76</v>
      </c>
      <c r="AY115" t="s">
        <v>71</v>
      </c>
      <c r="AZ115">
        <v>0</v>
      </c>
      <c r="BA115" t="s">
        <v>71</v>
      </c>
      <c r="BB115">
        <v>0</v>
      </c>
      <c r="BD115">
        <v>129.02000000000001</v>
      </c>
    </row>
    <row r="116" spans="1:56" x14ac:dyDescent="0.15">
      <c r="A116" s="4" t="str">
        <f>HYPERLINK("https://ibp.a2mac1.com/costing(costing:projects/details/9760/part/8411034)","Compressor Support on body")</f>
        <v>Compressor Support on body</v>
      </c>
      <c r="B116">
        <v>8411034</v>
      </c>
      <c r="C116">
        <v>8411020</v>
      </c>
      <c r="D116" t="s">
        <v>544</v>
      </c>
      <c r="E116">
        <v>1.86652</v>
      </c>
      <c r="F116">
        <v>0</v>
      </c>
      <c r="G116">
        <v>0</v>
      </c>
      <c r="H116">
        <v>0</v>
      </c>
      <c r="I116" t="s">
        <v>71</v>
      </c>
      <c r="J116">
        <v>0</v>
      </c>
      <c r="K116">
        <v>1.86652</v>
      </c>
      <c r="L116">
        <v>0</v>
      </c>
      <c r="M116">
        <v>0</v>
      </c>
      <c r="N116">
        <v>1.86652</v>
      </c>
      <c r="O116" t="s">
        <v>71</v>
      </c>
      <c r="P116">
        <v>0</v>
      </c>
      <c r="Q116" t="s">
        <v>71</v>
      </c>
      <c r="R116">
        <v>0</v>
      </c>
      <c r="S116" t="s">
        <v>71</v>
      </c>
      <c r="T116">
        <v>0</v>
      </c>
      <c r="U116" t="s">
        <v>71</v>
      </c>
      <c r="V116">
        <v>0</v>
      </c>
      <c r="W116" t="s">
        <v>71</v>
      </c>
      <c r="X116">
        <v>0</v>
      </c>
      <c r="Y116">
        <v>1.86652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195</v>
      </c>
      <c r="AF116">
        <v>200</v>
      </c>
      <c r="AG116">
        <v>35</v>
      </c>
      <c r="AH116">
        <v>0</v>
      </c>
      <c r="AI116">
        <v>0.42299999999999999</v>
      </c>
      <c r="AK116" t="s">
        <v>100</v>
      </c>
      <c r="AM116">
        <v>200000</v>
      </c>
      <c r="AN116" t="s">
        <v>97</v>
      </c>
      <c r="AO116">
        <v>1</v>
      </c>
      <c r="AP116">
        <v>0</v>
      </c>
      <c r="AQ116">
        <v>16666.666666666668</v>
      </c>
      <c r="AR116" t="s">
        <v>545</v>
      </c>
      <c r="AS116" t="s">
        <v>75</v>
      </c>
      <c r="AX116" t="s">
        <v>76</v>
      </c>
      <c r="AY116" t="s">
        <v>71</v>
      </c>
      <c r="AZ116">
        <v>0</v>
      </c>
      <c r="BA116" t="s">
        <v>71</v>
      </c>
      <c r="BB116">
        <v>0</v>
      </c>
      <c r="BD116">
        <v>1.86652</v>
      </c>
    </row>
    <row r="117" spans="1:56" x14ac:dyDescent="0.15">
      <c r="A117" s="4" t="str">
        <f>HYPERLINK("https://ibp.a2mac1.com/costing(costing:projects/details/9760/part/8411035)","Air Bottle")</f>
        <v>Air Bottle</v>
      </c>
      <c r="B117">
        <v>8411035</v>
      </c>
      <c r="C117">
        <v>8411020</v>
      </c>
      <c r="D117" t="s">
        <v>549</v>
      </c>
      <c r="E117">
        <v>15.53</v>
      </c>
      <c r="F117">
        <v>0</v>
      </c>
      <c r="G117">
        <v>0</v>
      </c>
      <c r="H117">
        <v>3.1060000000000001E-4</v>
      </c>
      <c r="I117" t="s">
        <v>176</v>
      </c>
      <c r="J117">
        <v>0.54354999999999998</v>
      </c>
      <c r="K117">
        <v>16.0738606</v>
      </c>
      <c r="L117">
        <v>1.1750064635841386</v>
      </c>
      <c r="M117">
        <v>4.1125226225444855</v>
      </c>
      <c r="N117">
        <v>20.186383222544485</v>
      </c>
      <c r="O117" t="s">
        <v>177</v>
      </c>
      <c r="P117">
        <v>0.96443163600000004</v>
      </c>
      <c r="Q117" t="s">
        <v>177</v>
      </c>
      <c r="R117">
        <v>0.24675135735266912</v>
      </c>
      <c r="S117" t="s">
        <v>178</v>
      </c>
      <c r="T117">
        <v>2.4223659867053384</v>
      </c>
      <c r="U117" t="s">
        <v>90</v>
      </c>
      <c r="V117">
        <v>0</v>
      </c>
      <c r="W117" t="s">
        <v>90</v>
      </c>
      <c r="X117">
        <v>0</v>
      </c>
      <c r="Y117">
        <v>23.819932202602494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275</v>
      </c>
      <c r="AF117">
        <v>451</v>
      </c>
      <c r="AG117">
        <v>201</v>
      </c>
      <c r="AH117">
        <v>0</v>
      </c>
      <c r="AI117">
        <v>1.746</v>
      </c>
      <c r="AK117" t="s">
        <v>95</v>
      </c>
      <c r="AM117">
        <v>200000</v>
      </c>
      <c r="AN117" t="s">
        <v>97</v>
      </c>
      <c r="AO117">
        <v>1</v>
      </c>
      <c r="AP117">
        <v>0</v>
      </c>
      <c r="AQ117">
        <v>16666.666666666668</v>
      </c>
      <c r="AR117" t="s">
        <v>550</v>
      </c>
      <c r="AS117" t="s">
        <v>75</v>
      </c>
      <c r="AX117" t="s">
        <v>76</v>
      </c>
      <c r="AY117" t="s">
        <v>176</v>
      </c>
      <c r="AZ117">
        <v>0</v>
      </c>
      <c r="BA117" t="s">
        <v>176</v>
      </c>
      <c r="BB117">
        <v>0</v>
      </c>
    </row>
    <row r="118" spans="1:56" x14ac:dyDescent="0.15">
      <c r="A118" s="4" t="str">
        <f>HYPERLINK("https://ibp.a2mac1.com/costing(costing:projects/details/9760/part/8411036)","In/Out Air Pipes Connector")</f>
        <v>In/Out Air Pipes Connector</v>
      </c>
      <c r="B118">
        <v>8411036</v>
      </c>
      <c r="C118">
        <v>8411020</v>
      </c>
      <c r="D118" t="s">
        <v>551</v>
      </c>
      <c r="E118">
        <v>0.23</v>
      </c>
      <c r="F118">
        <v>0</v>
      </c>
      <c r="G118">
        <v>0</v>
      </c>
      <c r="H118">
        <v>0</v>
      </c>
      <c r="I118" t="s">
        <v>71</v>
      </c>
      <c r="J118">
        <v>0</v>
      </c>
      <c r="K118">
        <v>0.23</v>
      </c>
      <c r="L118">
        <v>0</v>
      </c>
      <c r="M118">
        <v>0</v>
      </c>
      <c r="N118">
        <v>0.23</v>
      </c>
      <c r="O118" t="s">
        <v>71</v>
      </c>
      <c r="P118">
        <v>0</v>
      </c>
      <c r="Q118" t="s">
        <v>71</v>
      </c>
      <c r="R118">
        <v>0</v>
      </c>
      <c r="S118" t="s">
        <v>71</v>
      </c>
      <c r="T118">
        <v>0</v>
      </c>
      <c r="U118" t="s">
        <v>71</v>
      </c>
      <c r="V118">
        <v>0</v>
      </c>
      <c r="W118" t="s">
        <v>71</v>
      </c>
      <c r="X118">
        <v>0</v>
      </c>
      <c r="Y118">
        <v>0.23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38</v>
      </c>
      <c r="AF118">
        <v>36</v>
      </c>
      <c r="AG118">
        <v>24</v>
      </c>
      <c r="AH118">
        <v>0</v>
      </c>
      <c r="AI118">
        <v>1.4E-2</v>
      </c>
      <c r="AK118" t="s">
        <v>100</v>
      </c>
      <c r="AM118">
        <v>200000</v>
      </c>
      <c r="AN118" t="s">
        <v>97</v>
      </c>
      <c r="AO118">
        <v>1</v>
      </c>
      <c r="AP118">
        <v>0</v>
      </c>
      <c r="AQ118">
        <v>16666.666666666668</v>
      </c>
      <c r="AR118" t="s">
        <v>552</v>
      </c>
      <c r="AS118" t="s">
        <v>75</v>
      </c>
      <c r="AX118" t="s">
        <v>76</v>
      </c>
      <c r="AY118" t="s">
        <v>71</v>
      </c>
      <c r="AZ118">
        <v>0</v>
      </c>
      <c r="BA118" t="s">
        <v>71</v>
      </c>
      <c r="BB118">
        <v>0</v>
      </c>
      <c r="BD118">
        <v>0.23</v>
      </c>
    </row>
    <row r="119" spans="1:56" x14ac:dyDescent="0.15">
      <c r="A119" s="4" t="str">
        <f>HYPERLINK("https://ibp.a2mac1.com/costing(costing:projects/details/9760/part/8411037)","Dehumidifier")</f>
        <v>Dehumidifier</v>
      </c>
      <c r="B119">
        <v>8411037</v>
      </c>
      <c r="C119">
        <v>8411020</v>
      </c>
      <c r="D119" t="s">
        <v>553</v>
      </c>
      <c r="E119">
        <v>4.99</v>
      </c>
      <c r="F119">
        <v>0</v>
      </c>
      <c r="G119">
        <v>0</v>
      </c>
      <c r="H119">
        <v>0</v>
      </c>
      <c r="I119" t="s">
        <v>71</v>
      </c>
      <c r="J119">
        <v>0</v>
      </c>
      <c r="K119">
        <v>4.99</v>
      </c>
      <c r="L119">
        <v>0</v>
      </c>
      <c r="M119">
        <v>0</v>
      </c>
      <c r="N119">
        <v>4.99</v>
      </c>
      <c r="O119" t="s">
        <v>71</v>
      </c>
      <c r="P119">
        <v>0</v>
      </c>
      <c r="Q119" t="s">
        <v>71</v>
      </c>
      <c r="R119">
        <v>0</v>
      </c>
      <c r="S119" t="s">
        <v>71</v>
      </c>
      <c r="T119">
        <v>0</v>
      </c>
      <c r="U119" t="s">
        <v>71</v>
      </c>
      <c r="V119">
        <v>0</v>
      </c>
      <c r="W119" t="s">
        <v>71</v>
      </c>
      <c r="X119">
        <v>0</v>
      </c>
      <c r="Y119">
        <v>4.99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59</v>
      </c>
      <c r="AF119">
        <v>125</v>
      </c>
      <c r="AG119">
        <v>117</v>
      </c>
      <c r="AH119">
        <v>0</v>
      </c>
      <c r="AI119">
        <v>0.44600000000000001</v>
      </c>
      <c r="AK119" t="s">
        <v>95</v>
      </c>
      <c r="AM119">
        <v>200000</v>
      </c>
      <c r="AN119" t="s">
        <v>97</v>
      </c>
      <c r="AO119">
        <v>1</v>
      </c>
      <c r="AP119">
        <v>0</v>
      </c>
      <c r="AQ119">
        <v>16666.666666666668</v>
      </c>
      <c r="AR119" t="s">
        <v>554</v>
      </c>
      <c r="AS119" t="s">
        <v>75</v>
      </c>
      <c r="AX119" t="s">
        <v>76</v>
      </c>
      <c r="AY119" t="s">
        <v>71</v>
      </c>
      <c r="AZ119">
        <v>0</v>
      </c>
      <c r="BA119" t="s">
        <v>71</v>
      </c>
      <c r="BB119">
        <v>0</v>
      </c>
      <c r="BD119">
        <v>4.99</v>
      </c>
    </row>
    <row r="120" spans="1:56" x14ac:dyDescent="0.15">
      <c r="A120" s="4" t="str">
        <f>HYPERLINK("https://ibp.a2mac1.com/costing(costing:projects/details/9760/part/8411089)","Rear Reinforcement")</f>
        <v>Rear Reinforcement</v>
      </c>
      <c r="B120">
        <v>8411089</v>
      </c>
      <c r="C120">
        <v>8411040</v>
      </c>
      <c r="D120" t="s">
        <v>560</v>
      </c>
      <c r="E120">
        <v>1.68</v>
      </c>
      <c r="F120">
        <v>0</v>
      </c>
      <c r="G120">
        <v>0</v>
      </c>
      <c r="H120">
        <v>0</v>
      </c>
      <c r="I120" t="s">
        <v>71</v>
      </c>
      <c r="J120">
        <v>0</v>
      </c>
      <c r="K120">
        <v>1.68</v>
      </c>
      <c r="L120">
        <v>0</v>
      </c>
      <c r="M120">
        <v>0</v>
      </c>
      <c r="N120">
        <v>1.68</v>
      </c>
      <c r="O120" t="s">
        <v>71</v>
      </c>
      <c r="P120">
        <v>0</v>
      </c>
      <c r="Q120" t="s">
        <v>71</v>
      </c>
      <c r="R120">
        <v>0</v>
      </c>
      <c r="S120" t="s">
        <v>71</v>
      </c>
      <c r="T120">
        <v>0</v>
      </c>
      <c r="U120" t="s">
        <v>71</v>
      </c>
      <c r="V120">
        <v>0</v>
      </c>
      <c r="W120" t="s">
        <v>71</v>
      </c>
      <c r="X120">
        <v>0</v>
      </c>
      <c r="Y120">
        <v>1.68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134</v>
      </c>
      <c r="AF120">
        <v>278</v>
      </c>
      <c r="AG120">
        <v>47</v>
      </c>
      <c r="AH120">
        <v>0</v>
      </c>
      <c r="AI120">
        <v>0.45300000000000001</v>
      </c>
      <c r="AK120" t="s">
        <v>100</v>
      </c>
      <c r="AM120">
        <v>200000</v>
      </c>
      <c r="AN120" t="s">
        <v>97</v>
      </c>
      <c r="AO120">
        <v>1</v>
      </c>
      <c r="AP120">
        <v>0</v>
      </c>
      <c r="AQ120">
        <v>16666.666666666668</v>
      </c>
      <c r="AR120" t="s">
        <v>561</v>
      </c>
      <c r="AS120" t="s">
        <v>75</v>
      </c>
      <c r="AX120" t="s">
        <v>76</v>
      </c>
      <c r="AY120" t="s">
        <v>71</v>
      </c>
      <c r="AZ120">
        <v>0</v>
      </c>
      <c r="BA120" t="s">
        <v>71</v>
      </c>
      <c r="BB120">
        <v>0</v>
      </c>
      <c r="BD120">
        <v>1.68</v>
      </c>
    </row>
    <row r="121" spans="1:56" x14ac:dyDescent="0.15">
      <c r="A121" s="4" t="str">
        <f>HYPERLINK("https://ibp.a2mac1.com/costing(costing:projects/details/9760/part/8411090)","2nd Rear Reinforcement")</f>
        <v>2nd Rear Reinforcement</v>
      </c>
      <c r="B121">
        <v>8411090</v>
      </c>
      <c r="C121">
        <v>8411040</v>
      </c>
      <c r="D121" t="s">
        <v>560</v>
      </c>
      <c r="E121">
        <v>1.63</v>
      </c>
      <c r="F121">
        <v>0</v>
      </c>
      <c r="G121">
        <v>0</v>
      </c>
      <c r="H121">
        <v>0</v>
      </c>
      <c r="I121" t="s">
        <v>71</v>
      </c>
      <c r="J121">
        <v>0</v>
      </c>
      <c r="K121">
        <v>1.63</v>
      </c>
      <c r="L121">
        <v>0</v>
      </c>
      <c r="M121">
        <v>0</v>
      </c>
      <c r="N121">
        <v>1.63</v>
      </c>
      <c r="O121" t="s">
        <v>71</v>
      </c>
      <c r="P121">
        <v>0</v>
      </c>
      <c r="Q121" t="s">
        <v>71</v>
      </c>
      <c r="R121">
        <v>0</v>
      </c>
      <c r="S121" t="s">
        <v>71</v>
      </c>
      <c r="T121">
        <v>0</v>
      </c>
      <c r="U121" t="s">
        <v>71</v>
      </c>
      <c r="V121">
        <v>0</v>
      </c>
      <c r="W121" t="s">
        <v>71</v>
      </c>
      <c r="X121">
        <v>0</v>
      </c>
      <c r="Y121">
        <v>1.63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133</v>
      </c>
      <c r="AF121">
        <v>278</v>
      </c>
      <c r="AG121">
        <v>14</v>
      </c>
      <c r="AH121">
        <v>0</v>
      </c>
      <c r="AI121">
        <v>0.437</v>
      </c>
      <c r="AK121" t="s">
        <v>100</v>
      </c>
      <c r="AM121">
        <v>200000</v>
      </c>
      <c r="AN121" t="s">
        <v>97</v>
      </c>
      <c r="AO121">
        <v>1</v>
      </c>
      <c r="AP121">
        <v>0</v>
      </c>
      <c r="AQ121">
        <v>16666.666666666668</v>
      </c>
      <c r="AR121" t="s">
        <v>562</v>
      </c>
      <c r="AS121" t="s">
        <v>75</v>
      </c>
      <c r="AX121" t="s">
        <v>76</v>
      </c>
      <c r="AY121" t="s">
        <v>71</v>
      </c>
      <c r="AZ121">
        <v>0</v>
      </c>
      <c r="BA121" t="s">
        <v>71</v>
      </c>
      <c r="BB121">
        <v>0</v>
      </c>
      <c r="BD121">
        <v>1.63</v>
      </c>
    </row>
    <row r="122" spans="1:56" x14ac:dyDescent="0.15">
      <c r="A122" s="4" t="str">
        <f>HYPERLINK("https://ibp.a2mac1.com/costing(costing:projects/details/9760/part/8411091)","Front Reinforcement")</f>
        <v>Front Reinforcement</v>
      </c>
      <c r="B122">
        <v>8411091</v>
      </c>
      <c r="C122">
        <v>8411040</v>
      </c>
      <c r="D122" t="s">
        <v>563</v>
      </c>
      <c r="E122">
        <v>6.83</v>
      </c>
      <c r="F122">
        <v>0</v>
      </c>
      <c r="G122">
        <v>0</v>
      </c>
      <c r="H122">
        <v>0</v>
      </c>
      <c r="I122" t="s">
        <v>71</v>
      </c>
      <c r="J122">
        <v>0</v>
      </c>
      <c r="K122">
        <v>6.83</v>
      </c>
      <c r="L122">
        <v>0</v>
      </c>
      <c r="M122">
        <v>0</v>
      </c>
      <c r="N122">
        <v>6.83</v>
      </c>
      <c r="O122" t="s">
        <v>71</v>
      </c>
      <c r="P122">
        <v>0</v>
      </c>
      <c r="Q122" t="s">
        <v>71</v>
      </c>
      <c r="R122">
        <v>0</v>
      </c>
      <c r="S122" t="s">
        <v>71</v>
      </c>
      <c r="T122">
        <v>0</v>
      </c>
      <c r="U122" t="s">
        <v>71</v>
      </c>
      <c r="V122">
        <v>0</v>
      </c>
      <c r="W122" t="s">
        <v>71</v>
      </c>
      <c r="X122">
        <v>0</v>
      </c>
      <c r="Y122">
        <v>6.83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537</v>
      </c>
      <c r="AF122">
        <v>585</v>
      </c>
      <c r="AG122">
        <v>55</v>
      </c>
      <c r="AH122">
        <v>0</v>
      </c>
      <c r="AI122">
        <v>2.2599999999999998</v>
      </c>
      <c r="AK122" t="s">
        <v>100</v>
      </c>
      <c r="AM122">
        <v>200000</v>
      </c>
      <c r="AN122" t="s">
        <v>97</v>
      </c>
      <c r="AO122">
        <v>1</v>
      </c>
      <c r="AP122">
        <v>0</v>
      </c>
      <c r="AQ122">
        <v>16666.666666666668</v>
      </c>
      <c r="AR122" t="s">
        <v>564</v>
      </c>
      <c r="AS122" t="s">
        <v>75</v>
      </c>
      <c r="AX122" t="s">
        <v>76</v>
      </c>
      <c r="AY122" t="s">
        <v>71</v>
      </c>
      <c r="AZ122">
        <v>0</v>
      </c>
      <c r="BA122" t="s">
        <v>71</v>
      </c>
      <c r="BB122">
        <v>0</v>
      </c>
      <c r="BD122">
        <v>6.83</v>
      </c>
    </row>
    <row r="123" spans="1:56" x14ac:dyDescent="0.15">
      <c r="A123" s="4" t="str">
        <f>HYPERLINK("https://ibp.a2mac1.com/costing(costing:projects/details/9760/part/8411207)","Upper Left Triangle")</f>
        <v>Upper Left Triangle</v>
      </c>
      <c r="B123">
        <v>8411207</v>
      </c>
      <c r="C123">
        <v>8411096</v>
      </c>
      <c r="D123" t="s">
        <v>571</v>
      </c>
      <c r="E123">
        <v>8.1</v>
      </c>
      <c r="F123">
        <v>0</v>
      </c>
      <c r="G123">
        <v>0</v>
      </c>
      <c r="H123">
        <v>1.6200000000000001E-4</v>
      </c>
      <c r="I123" t="s">
        <v>176</v>
      </c>
      <c r="J123">
        <v>0.28349999999999997</v>
      </c>
      <c r="K123">
        <v>8.3836619999999993</v>
      </c>
      <c r="L123">
        <v>1.7267758930095738</v>
      </c>
      <c r="M123">
        <v>6.0437156255335083</v>
      </c>
      <c r="N123">
        <v>14.427377625533508</v>
      </c>
      <c r="O123" t="s">
        <v>177</v>
      </c>
      <c r="P123">
        <v>0.50301971999999995</v>
      </c>
      <c r="Q123" t="s">
        <v>177</v>
      </c>
      <c r="R123">
        <v>0.36262293753201053</v>
      </c>
      <c r="S123" t="s">
        <v>178</v>
      </c>
      <c r="T123">
        <v>1.7312853150640211</v>
      </c>
      <c r="U123" t="s">
        <v>90</v>
      </c>
      <c r="V123">
        <v>0</v>
      </c>
      <c r="W123" t="s">
        <v>90</v>
      </c>
      <c r="X123">
        <v>0</v>
      </c>
      <c r="Y123">
        <v>17.024305598129541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295</v>
      </c>
      <c r="AF123">
        <v>310</v>
      </c>
      <c r="AG123">
        <v>65</v>
      </c>
      <c r="AH123">
        <v>0</v>
      </c>
      <c r="AI123">
        <v>1.522</v>
      </c>
      <c r="AK123" t="s">
        <v>95</v>
      </c>
      <c r="AM123">
        <v>200000</v>
      </c>
      <c r="AN123" t="s">
        <v>97</v>
      </c>
      <c r="AO123">
        <v>1</v>
      </c>
      <c r="AP123">
        <v>0</v>
      </c>
      <c r="AQ123">
        <v>16666.666666666668</v>
      </c>
      <c r="AR123" t="s">
        <v>572</v>
      </c>
      <c r="AS123" t="s">
        <v>75</v>
      </c>
      <c r="AX123" t="s">
        <v>76</v>
      </c>
      <c r="AY123" t="s">
        <v>176</v>
      </c>
      <c r="AZ123">
        <v>0</v>
      </c>
      <c r="BA123" t="s">
        <v>176</v>
      </c>
      <c r="BB123">
        <v>0</v>
      </c>
    </row>
    <row r="124" spans="1:56" x14ac:dyDescent="0.15">
      <c r="A124" s="4" t="str">
        <f>HYPERLINK("https://ibp.a2mac1.com/costing(costing:projects/details/9760/part/8411209)","Upper Right Triangle")</f>
        <v>Upper Right Triangle</v>
      </c>
      <c r="B124">
        <v>8411209</v>
      </c>
      <c r="C124">
        <v>8411096</v>
      </c>
      <c r="D124" t="s">
        <v>571</v>
      </c>
      <c r="E124">
        <v>8.1</v>
      </c>
      <c r="F124">
        <v>0</v>
      </c>
      <c r="G124">
        <v>0</v>
      </c>
      <c r="H124">
        <v>1.6200000000000001E-4</v>
      </c>
      <c r="I124" t="s">
        <v>176</v>
      </c>
      <c r="J124">
        <v>0.28349999999999997</v>
      </c>
      <c r="K124">
        <v>8.3836619999999993</v>
      </c>
      <c r="L124">
        <v>1.7267758930095738</v>
      </c>
      <c r="M124">
        <v>6.0437156255335083</v>
      </c>
      <c r="N124">
        <v>14.427377625533508</v>
      </c>
      <c r="O124" t="s">
        <v>177</v>
      </c>
      <c r="P124">
        <v>0.50301971999999995</v>
      </c>
      <c r="Q124" t="s">
        <v>177</v>
      </c>
      <c r="R124">
        <v>0.36262293753201053</v>
      </c>
      <c r="S124" t="s">
        <v>178</v>
      </c>
      <c r="T124">
        <v>1.7312853150640211</v>
      </c>
      <c r="U124" t="s">
        <v>90</v>
      </c>
      <c r="V124">
        <v>0</v>
      </c>
      <c r="W124" t="s">
        <v>90</v>
      </c>
      <c r="X124">
        <v>0</v>
      </c>
      <c r="Y124">
        <v>17.024305598129541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295</v>
      </c>
      <c r="AF124">
        <v>310</v>
      </c>
      <c r="AG124">
        <v>65</v>
      </c>
      <c r="AH124">
        <v>0</v>
      </c>
      <c r="AI124">
        <v>1.53</v>
      </c>
      <c r="AK124" t="s">
        <v>95</v>
      </c>
      <c r="AM124">
        <v>200000</v>
      </c>
      <c r="AN124" t="s">
        <v>97</v>
      </c>
      <c r="AO124">
        <v>1</v>
      </c>
      <c r="AP124">
        <v>0</v>
      </c>
      <c r="AQ124">
        <v>16666.666666666668</v>
      </c>
      <c r="AR124" t="s">
        <v>575</v>
      </c>
      <c r="AS124" t="s">
        <v>75</v>
      </c>
      <c r="AX124" t="s">
        <v>76</v>
      </c>
      <c r="AY124" t="s">
        <v>176</v>
      </c>
      <c r="AZ124">
        <v>0</v>
      </c>
      <c r="BA124" t="s">
        <v>176</v>
      </c>
      <c r="BB124">
        <v>0</v>
      </c>
    </row>
    <row r="125" spans="1:56" x14ac:dyDescent="0.15">
      <c r="A125" s="4" t="str">
        <f>HYPERLINK("https://ibp.a2mac1.com/costing(costing:projects/details/9760/part/8411092)","Lower Arm")</f>
        <v>Lower Arm</v>
      </c>
      <c r="B125">
        <v>8411092</v>
      </c>
      <c r="C125">
        <v>8411041</v>
      </c>
      <c r="D125" t="s">
        <v>580</v>
      </c>
      <c r="E125">
        <v>11.97</v>
      </c>
      <c r="F125">
        <v>0</v>
      </c>
      <c r="G125">
        <v>0</v>
      </c>
      <c r="H125">
        <v>2.3939999999999999E-4</v>
      </c>
      <c r="I125" t="s">
        <v>176</v>
      </c>
      <c r="J125">
        <v>0.41894999999999999</v>
      </c>
      <c r="K125">
        <v>12.389189399999999</v>
      </c>
      <c r="L125">
        <v>1.1890642834421115</v>
      </c>
      <c r="M125">
        <v>4.1617249920473904</v>
      </c>
      <c r="N125">
        <v>16.550914392047389</v>
      </c>
      <c r="O125" t="s">
        <v>177</v>
      </c>
      <c r="P125">
        <v>0.74335136400000001</v>
      </c>
      <c r="Q125" t="s">
        <v>177</v>
      </c>
      <c r="R125">
        <v>0.24970349952284343</v>
      </c>
      <c r="S125" t="s">
        <v>178</v>
      </c>
      <c r="T125">
        <v>1.9861097270456869</v>
      </c>
      <c r="U125" t="s">
        <v>90</v>
      </c>
      <c r="V125">
        <v>0</v>
      </c>
      <c r="W125" t="s">
        <v>90</v>
      </c>
      <c r="X125">
        <v>0</v>
      </c>
      <c r="Y125">
        <v>19.530078982615919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173</v>
      </c>
      <c r="AF125">
        <v>520</v>
      </c>
      <c r="AG125">
        <v>113</v>
      </c>
      <c r="AH125">
        <v>0</v>
      </c>
      <c r="AI125">
        <v>2.5310000000000001</v>
      </c>
      <c r="AK125" t="s">
        <v>95</v>
      </c>
      <c r="AM125">
        <v>200000</v>
      </c>
      <c r="AN125" t="s">
        <v>97</v>
      </c>
      <c r="AO125">
        <v>1</v>
      </c>
      <c r="AP125">
        <v>0</v>
      </c>
      <c r="AQ125">
        <v>16666.666666666668</v>
      </c>
      <c r="AR125" t="s">
        <v>581</v>
      </c>
      <c r="AS125" t="s">
        <v>75</v>
      </c>
      <c r="AX125" t="s">
        <v>76</v>
      </c>
      <c r="AY125" t="s">
        <v>176</v>
      </c>
      <c r="AZ125">
        <v>0</v>
      </c>
      <c r="BA125" t="s">
        <v>176</v>
      </c>
      <c r="BB125">
        <v>0</v>
      </c>
    </row>
    <row r="126" spans="1:56" x14ac:dyDescent="0.15">
      <c r="A126" s="4" t="str">
        <f>HYPERLINK("https://ibp.a2mac1.com/costing(costing:projects/details/9760/part/8411093)","Lower Arm 2")</f>
        <v>Lower Arm 2</v>
      </c>
      <c r="B126">
        <v>8411093</v>
      </c>
      <c r="C126">
        <v>8411041</v>
      </c>
      <c r="D126" t="s">
        <v>580</v>
      </c>
      <c r="E126">
        <v>11.97</v>
      </c>
      <c r="F126">
        <v>0</v>
      </c>
      <c r="G126">
        <v>0</v>
      </c>
      <c r="H126">
        <v>2.3939999999999999E-4</v>
      </c>
      <c r="I126" t="s">
        <v>176</v>
      </c>
      <c r="J126">
        <v>0.41894999999999999</v>
      </c>
      <c r="K126">
        <v>12.389189399999999</v>
      </c>
      <c r="L126">
        <v>1.1890642834421115</v>
      </c>
      <c r="M126">
        <v>4.1617249920473904</v>
      </c>
      <c r="N126">
        <v>16.550914392047389</v>
      </c>
      <c r="O126" t="s">
        <v>177</v>
      </c>
      <c r="P126">
        <v>0.74335136400000001</v>
      </c>
      <c r="Q126" t="s">
        <v>177</v>
      </c>
      <c r="R126">
        <v>0.24970349952284343</v>
      </c>
      <c r="S126" t="s">
        <v>178</v>
      </c>
      <c r="T126">
        <v>1.9861097270456869</v>
      </c>
      <c r="U126" t="s">
        <v>90</v>
      </c>
      <c r="V126">
        <v>0</v>
      </c>
      <c r="W126" t="s">
        <v>90</v>
      </c>
      <c r="X126">
        <v>0</v>
      </c>
      <c r="Y126">
        <v>19.530078982615919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173</v>
      </c>
      <c r="AF126">
        <v>520</v>
      </c>
      <c r="AG126">
        <v>113</v>
      </c>
      <c r="AH126">
        <v>0</v>
      </c>
      <c r="AI126">
        <v>2.5289999999999999</v>
      </c>
      <c r="AK126" t="s">
        <v>95</v>
      </c>
      <c r="AM126">
        <v>200000</v>
      </c>
      <c r="AN126" t="s">
        <v>97</v>
      </c>
      <c r="AO126">
        <v>1</v>
      </c>
      <c r="AP126">
        <v>0</v>
      </c>
      <c r="AQ126">
        <v>16666.666666666668</v>
      </c>
      <c r="AR126" t="s">
        <v>584</v>
      </c>
      <c r="AS126" t="s">
        <v>75</v>
      </c>
      <c r="AX126" t="s">
        <v>76</v>
      </c>
      <c r="AY126" t="s">
        <v>176</v>
      </c>
      <c r="AZ126">
        <v>0</v>
      </c>
      <c r="BA126" t="s">
        <v>176</v>
      </c>
      <c r="BB126">
        <v>0</v>
      </c>
    </row>
    <row r="127" spans="1:56" x14ac:dyDescent="0.15">
      <c r="A127" s="4" t="str">
        <f>HYPERLINK("https://ibp.a2mac1.com/costing(costing:projects/details/9760/part/8411094)","2nd Lower Arm (Rear)")</f>
        <v>2nd Lower Arm (Rear)</v>
      </c>
      <c r="B127">
        <v>8411094</v>
      </c>
      <c r="C127">
        <v>8411041</v>
      </c>
      <c r="D127" t="s">
        <v>580</v>
      </c>
      <c r="E127">
        <v>11.19</v>
      </c>
      <c r="F127">
        <v>0</v>
      </c>
      <c r="G127">
        <v>0</v>
      </c>
      <c r="H127">
        <v>2.2379999999999999E-4</v>
      </c>
      <c r="I127" t="s">
        <v>176</v>
      </c>
      <c r="J127">
        <v>0.39165</v>
      </c>
      <c r="K127">
        <v>11.5818738</v>
      </c>
      <c r="L127">
        <v>1.2136654681935641</v>
      </c>
      <c r="M127">
        <v>4.2478291386774742</v>
      </c>
      <c r="N127">
        <v>15.829702938677475</v>
      </c>
      <c r="O127" t="s">
        <v>177</v>
      </c>
      <c r="P127">
        <v>0.69491242799999997</v>
      </c>
      <c r="Q127" t="s">
        <v>177</v>
      </c>
      <c r="R127">
        <v>0.25486974832064846</v>
      </c>
      <c r="S127" t="s">
        <v>178</v>
      </c>
      <c r="T127">
        <v>1.8995643526412969</v>
      </c>
      <c r="U127" t="s">
        <v>90</v>
      </c>
      <c r="V127">
        <v>0</v>
      </c>
      <c r="W127" t="s">
        <v>90</v>
      </c>
      <c r="X127">
        <v>0</v>
      </c>
      <c r="Y127">
        <v>18.67904946763942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71</v>
      </c>
      <c r="AF127">
        <v>445</v>
      </c>
      <c r="AG127">
        <v>114</v>
      </c>
      <c r="AH127">
        <v>0</v>
      </c>
      <c r="AI127">
        <v>2.1309999999999998</v>
      </c>
      <c r="AK127" t="s">
        <v>95</v>
      </c>
      <c r="AM127">
        <v>200000</v>
      </c>
      <c r="AN127" t="s">
        <v>97</v>
      </c>
      <c r="AO127">
        <v>1</v>
      </c>
      <c r="AP127">
        <v>0</v>
      </c>
      <c r="AQ127">
        <v>16666.666666666668</v>
      </c>
      <c r="AR127" t="s">
        <v>587</v>
      </c>
      <c r="AS127" t="s">
        <v>75</v>
      </c>
      <c r="AX127" t="s">
        <v>76</v>
      </c>
      <c r="AY127" t="s">
        <v>176</v>
      </c>
      <c r="AZ127">
        <v>0</v>
      </c>
      <c r="BA127" t="s">
        <v>176</v>
      </c>
      <c r="BB127">
        <v>0</v>
      </c>
    </row>
    <row r="128" spans="1:56" x14ac:dyDescent="0.15">
      <c r="A128" s="4" t="str">
        <f>HYPERLINK("https://ibp.a2mac1.com/costing(costing:projects/details/9760/part/8411095)","2nd Lower Arm (Rear) 2")</f>
        <v>2nd Lower Arm (Rear) 2</v>
      </c>
      <c r="B128">
        <v>8411095</v>
      </c>
      <c r="C128">
        <v>8411041</v>
      </c>
      <c r="D128" t="s">
        <v>580</v>
      </c>
      <c r="E128">
        <v>11.19</v>
      </c>
      <c r="F128">
        <v>0</v>
      </c>
      <c r="G128">
        <v>0</v>
      </c>
      <c r="H128">
        <v>2.2379999999999999E-4</v>
      </c>
      <c r="I128" t="s">
        <v>176</v>
      </c>
      <c r="J128">
        <v>0.39165</v>
      </c>
      <c r="K128">
        <v>11.5818738</v>
      </c>
      <c r="L128">
        <v>1.2136654681935641</v>
      </c>
      <c r="M128">
        <v>4.2478291386774742</v>
      </c>
      <c r="N128">
        <v>15.829702938677475</v>
      </c>
      <c r="O128" t="s">
        <v>177</v>
      </c>
      <c r="P128">
        <v>0.69491242799999997</v>
      </c>
      <c r="Q128" t="s">
        <v>177</v>
      </c>
      <c r="R128">
        <v>0.25486974832064846</v>
      </c>
      <c r="S128" t="s">
        <v>178</v>
      </c>
      <c r="T128">
        <v>1.8995643526412969</v>
      </c>
      <c r="U128" t="s">
        <v>90</v>
      </c>
      <c r="V128">
        <v>0</v>
      </c>
      <c r="W128" t="s">
        <v>90</v>
      </c>
      <c r="X128">
        <v>0</v>
      </c>
      <c r="Y128">
        <v>18.67904946763942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71</v>
      </c>
      <c r="AF128">
        <v>445</v>
      </c>
      <c r="AG128">
        <v>114</v>
      </c>
      <c r="AH128">
        <v>0</v>
      </c>
      <c r="AI128">
        <v>2.1349999999999998</v>
      </c>
      <c r="AK128" t="s">
        <v>95</v>
      </c>
      <c r="AM128">
        <v>200000</v>
      </c>
      <c r="AN128" t="s">
        <v>97</v>
      </c>
      <c r="AO128">
        <v>1</v>
      </c>
      <c r="AP128">
        <v>0</v>
      </c>
      <c r="AQ128">
        <v>16666.666666666668</v>
      </c>
      <c r="AR128" t="s">
        <v>590</v>
      </c>
      <c r="AS128" t="s">
        <v>75</v>
      </c>
      <c r="AX128" t="s">
        <v>76</v>
      </c>
      <c r="AY128" t="s">
        <v>176</v>
      </c>
      <c r="AZ128">
        <v>0</v>
      </c>
      <c r="BA128" t="s">
        <v>176</v>
      </c>
      <c r="BB128">
        <v>0</v>
      </c>
    </row>
    <row r="129" spans="1:56" x14ac:dyDescent="0.15">
      <c r="A129" s="4" t="str">
        <f>HYPERLINK("https://ibp.a2mac1.com/costing(costing:projects/details/9760/part/8411211)","Left")</f>
        <v>Left</v>
      </c>
      <c r="B129">
        <v>8411211</v>
      </c>
      <c r="C129">
        <v>8411098</v>
      </c>
      <c r="D129" t="s">
        <v>594</v>
      </c>
      <c r="E129">
        <v>6.16</v>
      </c>
      <c r="F129">
        <v>0</v>
      </c>
      <c r="G129">
        <v>0</v>
      </c>
      <c r="H129">
        <v>0</v>
      </c>
      <c r="I129" t="s">
        <v>71</v>
      </c>
      <c r="J129">
        <v>0</v>
      </c>
      <c r="K129">
        <v>6.16</v>
      </c>
      <c r="L129">
        <v>0</v>
      </c>
      <c r="M129">
        <v>0</v>
      </c>
      <c r="N129">
        <v>6.16</v>
      </c>
      <c r="O129" t="s">
        <v>71</v>
      </c>
      <c r="P129">
        <v>0</v>
      </c>
      <c r="Q129" t="s">
        <v>71</v>
      </c>
      <c r="R129">
        <v>0</v>
      </c>
      <c r="S129" t="s">
        <v>71</v>
      </c>
      <c r="T129">
        <v>0</v>
      </c>
      <c r="U129" t="s">
        <v>71</v>
      </c>
      <c r="V129">
        <v>0</v>
      </c>
      <c r="W129" t="s">
        <v>71</v>
      </c>
      <c r="X129">
        <v>0</v>
      </c>
      <c r="Y129">
        <v>6.16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67</v>
      </c>
      <c r="AF129">
        <v>73</v>
      </c>
      <c r="AG129">
        <v>223</v>
      </c>
      <c r="AH129">
        <v>0</v>
      </c>
      <c r="AI129">
        <v>0.35399999999999998</v>
      </c>
      <c r="AK129" t="s">
        <v>95</v>
      </c>
      <c r="AM129">
        <v>200000</v>
      </c>
      <c r="AN129" t="s">
        <v>97</v>
      </c>
      <c r="AO129">
        <v>1</v>
      </c>
      <c r="AP129">
        <v>0</v>
      </c>
      <c r="AQ129">
        <v>16666.666666666668</v>
      </c>
      <c r="AR129" t="s">
        <v>595</v>
      </c>
      <c r="AS129" t="s">
        <v>75</v>
      </c>
      <c r="AX129" t="s">
        <v>76</v>
      </c>
      <c r="AY129" t="s">
        <v>71</v>
      </c>
      <c r="AZ129">
        <v>0</v>
      </c>
      <c r="BA129" t="s">
        <v>71</v>
      </c>
      <c r="BB129">
        <v>0</v>
      </c>
      <c r="BD129">
        <v>6.16</v>
      </c>
    </row>
    <row r="130" spans="1:56" x14ac:dyDescent="0.15">
      <c r="A130" s="4" t="str">
        <f>HYPERLINK("https://ibp.a2mac1.com/costing(costing:projects/details/9760/part/8411213)","Right")</f>
        <v>Right</v>
      </c>
      <c r="B130">
        <v>8411213</v>
      </c>
      <c r="C130">
        <v>8411098</v>
      </c>
      <c r="D130" t="s">
        <v>594</v>
      </c>
      <c r="E130">
        <v>6.16</v>
      </c>
      <c r="F130">
        <v>0</v>
      </c>
      <c r="G130">
        <v>0</v>
      </c>
      <c r="H130">
        <v>0</v>
      </c>
      <c r="I130" t="s">
        <v>71</v>
      </c>
      <c r="J130">
        <v>0</v>
      </c>
      <c r="K130">
        <v>6.16</v>
      </c>
      <c r="L130">
        <v>0</v>
      </c>
      <c r="M130">
        <v>0</v>
      </c>
      <c r="N130">
        <v>6.16</v>
      </c>
      <c r="O130" t="s">
        <v>71</v>
      </c>
      <c r="P130">
        <v>0</v>
      </c>
      <c r="Q130" t="s">
        <v>71</v>
      </c>
      <c r="R130">
        <v>0</v>
      </c>
      <c r="S130" t="s">
        <v>71</v>
      </c>
      <c r="T130">
        <v>0</v>
      </c>
      <c r="U130" t="s">
        <v>71</v>
      </c>
      <c r="V130">
        <v>0</v>
      </c>
      <c r="W130" t="s">
        <v>71</v>
      </c>
      <c r="X130">
        <v>0</v>
      </c>
      <c r="Y130">
        <v>6.16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67</v>
      </c>
      <c r="AF130">
        <v>73</v>
      </c>
      <c r="AG130">
        <v>223</v>
      </c>
      <c r="AH130">
        <v>0</v>
      </c>
      <c r="AI130">
        <v>0.35499999999999998</v>
      </c>
      <c r="AK130" t="s">
        <v>95</v>
      </c>
      <c r="AM130">
        <v>200000</v>
      </c>
      <c r="AN130" t="s">
        <v>97</v>
      </c>
      <c r="AO130">
        <v>1</v>
      </c>
      <c r="AP130">
        <v>0</v>
      </c>
      <c r="AQ130">
        <v>16666.666666666668</v>
      </c>
      <c r="AR130" t="s">
        <v>596</v>
      </c>
      <c r="AS130" t="s">
        <v>75</v>
      </c>
      <c r="AX130" t="s">
        <v>76</v>
      </c>
      <c r="AY130" t="s">
        <v>71</v>
      </c>
      <c r="AZ130">
        <v>0</v>
      </c>
      <c r="BA130" t="s">
        <v>71</v>
      </c>
      <c r="BB130">
        <v>0</v>
      </c>
      <c r="BD130">
        <v>6.16</v>
      </c>
    </row>
    <row r="131" spans="1:56" x14ac:dyDescent="0.15">
      <c r="A131" s="4" t="str">
        <f>HYPERLINK("https://ibp.a2mac1.com/costing(costing:projects/details/9760/part/8411097)","Stabilizer Bar")</f>
        <v>Stabilizer Bar</v>
      </c>
      <c r="B131">
        <v>8411097</v>
      </c>
      <c r="C131">
        <v>8411042</v>
      </c>
      <c r="D131" t="s">
        <v>602</v>
      </c>
      <c r="E131">
        <v>16</v>
      </c>
      <c r="F131">
        <v>0</v>
      </c>
      <c r="G131">
        <v>0</v>
      </c>
      <c r="H131">
        <v>3.2000000000000003E-4</v>
      </c>
      <c r="I131" t="s">
        <v>176</v>
      </c>
      <c r="J131">
        <v>0.56000000000000005</v>
      </c>
      <c r="K131">
        <v>16.560320000000001</v>
      </c>
      <c r="L131">
        <v>1.6810879784711621</v>
      </c>
      <c r="M131">
        <v>5.8838079246490667</v>
      </c>
      <c r="N131">
        <v>22.444127924649067</v>
      </c>
      <c r="O131" t="s">
        <v>177</v>
      </c>
      <c r="P131">
        <v>0.99361920000000004</v>
      </c>
      <c r="Q131" t="s">
        <v>177</v>
      </c>
      <c r="R131">
        <v>0.353028475478944</v>
      </c>
      <c r="S131" t="s">
        <v>178</v>
      </c>
      <c r="T131">
        <v>2.6932953509578881</v>
      </c>
      <c r="U131" t="s">
        <v>90</v>
      </c>
      <c r="V131">
        <v>0</v>
      </c>
      <c r="W131" t="s">
        <v>90</v>
      </c>
      <c r="X131">
        <v>0</v>
      </c>
      <c r="Y131">
        <v>26.484070951085901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285</v>
      </c>
      <c r="AF131">
        <v>1090</v>
      </c>
      <c r="AG131">
        <v>132</v>
      </c>
      <c r="AH131">
        <v>0</v>
      </c>
      <c r="AI131">
        <v>5.891</v>
      </c>
      <c r="AK131" t="s">
        <v>95</v>
      </c>
      <c r="AM131">
        <v>200000</v>
      </c>
      <c r="AN131" t="s">
        <v>97</v>
      </c>
      <c r="AO131">
        <v>1</v>
      </c>
      <c r="AP131">
        <v>0</v>
      </c>
      <c r="AQ131">
        <v>16666.666666666668</v>
      </c>
      <c r="AR131" t="s">
        <v>603</v>
      </c>
      <c r="AS131" t="s">
        <v>75</v>
      </c>
      <c r="AX131" t="s">
        <v>76</v>
      </c>
      <c r="AY131" t="s">
        <v>176</v>
      </c>
      <c r="AZ131">
        <v>0</v>
      </c>
      <c r="BA131" t="s">
        <v>176</v>
      </c>
      <c r="BB131">
        <v>0</v>
      </c>
    </row>
    <row r="132" spans="1:56" x14ac:dyDescent="0.15">
      <c r="A132" s="4" t="str">
        <f>HYPERLINK("https://ibp.a2mac1.com/costing(costing:projects/details/9760/part/8411215)","Left Steering Knuckle")</f>
        <v>Left Steering Knuckle</v>
      </c>
      <c r="B132">
        <v>8411215</v>
      </c>
      <c r="C132">
        <v>8411101</v>
      </c>
      <c r="D132" t="s">
        <v>610</v>
      </c>
      <c r="E132">
        <v>15.54</v>
      </c>
      <c r="F132">
        <v>0</v>
      </c>
      <c r="G132">
        <v>0</v>
      </c>
      <c r="H132">
        <v>3.1080000000000002E-4</v>
      </c>
      <c r="I132" t="s">
        <v>176</v>
      </c>
      <c r="J132">
        <v>0.54390000000000005</v>
      </c>
      <c r="K132">
        <v>16.084210800000001</v>
      </c>
      <c r="L132">
        <v>3.7371073167968505</v>
      </c>
      <c r="M132">
        <v>13.079875608788976</v>
      </c>
      <c r="N132">
        <v>29.164086408788975</v>
      </c>
      <c r="O132" t="s">
        <v>177</v>
      </c>
      <c r="P132">
        <v>0.96505264800000001</v>
      </c>
      <c r="Q132" t="s">
        <v>177</v>
      </c>
      <c r="R132">
        <v>0.7847925365273386</v>
      </c>
      <c r="S132" t="s">
        <v>178</v>
      </c>
      <c r="T132">
        <v>3.4996903690546772</v>
      </c>
      <c r="U132" t="s">
        <v>90</v>
      </c>
      <c r="V132">
        <v>0</v>
      </c>
      <c r="W132" t="s">
        <v>90</v>
      </c>
      <c r="X132">
        <v>0</v>
      </c>
      <c r="Y132">
        <v>34.413621962370996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170</v>
      </c>
      <c r="AF132">
        <v>270</v>
      </c>
      <c r="AG132">
        <v>618</v>
      </c>
      <c r="AH132">
        <v>0</v>
      </c>
      <c r="AI132">
        <v>5.6520000000000001</v>
      </c>
      <c r="AK132" t="s">
        <v>95</v>
      </c>
      <c r="AM132">
        <v>200000</v>
      </c>
      <c r="AN132" t="s">
        <v>97</v>
      </c>
      <c r="AO132">
        <v>1</v>
      </c>
      <c r="AP132">
        <v>0</v>
      </c>
      <c r="AQ132">
        <v>16666.666666666668</v>
      </c>
      <c r="AR132" t="s">
        <v>611</v>
      </c>
      <c r="AS132" t="s">
        <v>75</v>
      </c>
      <c r="AX132" t="s">
        <v>76</v>
      </c>
      <c r="AY132" t="s">
        <v>176</v>
      </c>
      <c r="AZ132">
        <v>0</v>
      </c>
      <c r="BA132" t="s">
        <v>176</v>
      </c>
      <c r="BB132">
        <v>0</v>
      </c>
    </row>
    <row r="133" spans="1:56" x14ac:dyDescent="0.15">
      <c r="A133" s="4" t="str">
        <f>HYPERLINK("https://ibp.a2mac1.com/costing(costing:projects/details/9760/part/8411217)","Right Steering Knuckle")</f>
        <v>Right Steering Knuckle</v>
      </c>
      <c r="B133">
        <v>8411217</v>
      </c>
      <c r="C133">
        <v>8411101</v>
      </c>
      <c r="D133" t="s">
        <v>614</v>
      </c>
      <c r="E133">
        <v>15.54</v>
      </c>
      <c r="F133">
        <v>0</v>
      </c>
      <c r="G133">
        <v>0</v>
      </c>
      <c r="H133">
        <v>3.1080000000000002E-4</v>
      </c>
      <c r="I133" t="s">
        <v>176</v>
      </c>
      <c r="J133">
        <v>0.54390000000000005</v>
      </c>
      <c r="K133">
        <v>16.084210800000001</v>
      </c>
      <c r="L133">
        <v>3.7371073167968505</v>
      </c>
      <c r="M133">
        <v>13.079875608788976</v>
      </c>
      <c r="N133">
        <v>29.164086408788975</v>
      </c>
      <c r="O133" t="s">
        <v>177</v>
      </c>
      <c r="P133">
        <v>0.96505264800000001</v>
      </c>
      <c r="Q133" t="s">
        <v>177</v>
      </c>
      <c r="R133">
        <v>0.7847925365273386</v>
      </c>
      <c r="S133" t="s">
        <v>178</v>
      </c>
      <c r="T133">
        <v>3.4996903690546772</v>
      </c>
      <c r="U133" t="s">
        <v>90</v>
      </c>
      <c r="V133">
        <v>0</v>
      </c>
      <c r="W133" t="s">
        <v>90</v>
      </c>
      <c r="X133">
        <v>0</v>
      </c>
      <c r="Y133">
        <v>34.413621962370996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170</v>
      </c>
      <c r="AF133">
        <v>270</v>
      </c>
      <c r="AG133">
        <v>618</v>
      </c>
      <c r="AH133">
        <v>0</v>
      </c>
      <c r="AI133">
        <v>5.6859999999999999</v>
      </c>
      <c r="AK133" t="s">
        <v>95</v>
      </c>
      <c r="AM133">
        <v>200000</v>
      </c>
      <c r="AN133" t="s">
        <v>97</v>
      </c>
      <c r="AO133">
        <v>1</v>
      </c>
      <c r="AP133">
        <v>0</v>
      </c>
      <c r="AQ133">
        <v>16666.666666666668</v>
      </c>
      <c r="AR133" t="s">
        <v>615</v>
      </c>
      <c r="AS133" t="s">
        <v>75</v>
      </c>
      <c r="AX133" t="s">
        <v>76</v>
      </c>
      <c r="AY133" t="s">
        <v>176</v>
      </c>
      <c r="AZ133">
        <v>0</v>
      </c>
      <c r="BA133" t="s">
        <v>176</v>
      </c>
      <c r="BB133">
        <v>0</v>
      </c>
    </row>
    <row r="134" spans="1:56" x14ac:dyDescent="0.15">
      <c r="A134" s="4" t="str">
        <f>HYPERLINK("https://ibp.a2mac1.com/costing(costing:projects/details/9760/part/8411099)","Hub and Bearing")</f>
        <v>Hub and Bearing</v>
      </c>
      <c r="B134">
        <v>8411099</v>
      </c>
      <c r="C134">
        <v>8411043</v>
      </c>
      <c r="D134" t="s">
        <v>620</v>
      </c>
      <c r="E134">
        <v>13.54</v>
      </c>
      <c r="F134">
        <v>0</v>
      </c>
      <c r="G134">
        <v>0</v>
      </c>
      <c r="H134">
        <v>2.7080000000000002E-4</v>
      </c>
      <c r="I134" t="s">
        <v>176</v>
      </c>
      <c r="J134">
        <v>0.47389999999999999</v>
      </c>
      <c r="K134">
        <v>14.0141708</v>
      </c>
      <c r="L134">
        <v>6.6821573929450109</v>
      </c>
      <c r="M134">
        <v>23.387550875307536</v>
      </c>
      <c r="N134">
        <v>37.401721675307535</v>
      </c>
      <c r="O134" t="s">
        <v>177</v>
      </c>
      <c r="P134">
        <v>0.84085024799999997</v>
      </c>
      <c r="Q134" t="s">
        <v>177</v>
      </c>
      <c r="R134">
        <v>1.4032530525184523</v>
      </c>
      <c r="S134" t="s">
        <v>178</v>
      </c>
      <c r="T134">
        <v>4.4882066010369046</v>
      </c>
      <c r="U134" t="s">
        <v>90</v>
      </c>
      <c r="V134">
        <v>0</v>
      </c>
      <c r="W134" t="s">
        <v>90</v>
      </c>
      <c r="X134">
        <v>0</v>
      </c>
      <c r="Y134">
        <v>44.134031576862895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106</v>
      </c>
      <c r="AF134">
        <v>140</v>
      </c>
      <c r="AG134">
        <v>140</v>
      </c>
      <c r="AH134">
        <v>0</v>
      </c>
      <c r="AI134">
        <v>3.5215000000000001</v>
      </c>
      <c r="AK134" t="s">
        <v>95</v>
      </c>
      <c r="AM134">
        <v>400000</v>
      </c>
      <c r="AN134" t="s">
        <v>97</v>
      </c>
      <c r="AO134">
        <v>2</v>
      </c>
      <c r="AP134">
        <v>0</v>
      </c>
      <c r="AQ134">
        <v>33333.333333333336</v>
      </c>
      <c r="AR134" t="s">
        <v>621</v>
      </c>
      <c r="AS134" t="s">
        <v>75</v>
      </c>
      <c r="AX134" t="s">
        <v>76</v>
      </c>
      <c r="AY134" t="s">
        <v>176</v>
      </c>
      <c r="AZ134">
        <v>0</v>
      </c>
      <c r="BA134" t="s">
        <v>176</v>
      </c>
      <c r="BB134">
        <v>0</v>
      </c>
    </row>
    <row r="135" spans="1:56" x14ac:dyDescent="0.15">
      <c r="A135" s="4" t="str">
        <f>HYPERLINK("https://ibp.a2mac1.com/costing(costing:projects/details/9760/part/8411100)","Seal")</f>
        <v>Seal</v>
      </c>
      <c r="B135">
        <v>8411100</v>
      </c>
      <c r="C135">
        <v>8411043</v>
      </c>
      <c r="D135" t="s">
        <v>622</v>
      </c>
      <c r="E135">
        <v>0.16</v>
      </c>
      <c r="F135">
        <v>0</v>
      </c>
      <c r="G135">
        <v>0</v>
      </c>
      <c r="H135">
        <v>0</v>
      </c>
      <c r="I135" t="s">
        <v>71</v>
      </c>
      <c r="J135">
        <v>0</v>
      </c>
      <c r="K135">
        <v>0.16</v>
      </c>
      <c r="L135">
        <v>0</v>
      </c>
      <c r="M135">
        <v>0</v>
      </c>
      <c r="N135">
        <v>0.16</v>
      </c>
      <c r="O135" t="s">
        <v>71</v>
      </c>
      <c r="P135">
        <v>0</v>
      </c>
      <c r="Q135" t="s">
        <v>71</v>
      </c>
      <c r="R135">
        <v>0</v>
      </c>
      <c r="S135" t="s">
        <v>71</v>
      </c>
      <c r="T135">
        <v>0</v>
      </c>
      <c r="U135" t="s">
        <v>71</v>
      </c>
      <c r="V135">
        <v>0</v>
      </c>
      <c r="W135" t="s">
        <v>71</v>
      </c>
      <c r="X135">
        <v>0</v>
      </c>
      <c r="Y135">
        <v>0.16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16</v>
      </c>
      <c r="AF135">
        <v>73</v>
      </c>
      <c r="AG135">
        <v>73</v>
      </c>
      <c r="AH135">
        <v>0</v>
      </c>
      <c r="AI135">
        <v>1.4999999999999999E-2</v>
      </c>
      <c r="AK135" t="s">
        <v>100</v>
      </c>
      <c r="AM135">
        <v>400000</v>
      </c>
      <c r="AN135" t="s">
        <v>97</v>
      </c>
      <c r="AO135">
        <v>2</v>
      </c>
      <c r="AP135">
        <v>0</v>
      </c>
      <c r="AQ135">
        <v>33333.333333333336</v>
      </c>
      <c r="AR135" t="s">
        <v>623</v>
      </c>
      <c r="AS135" t="s">
        <v>75</v>
      </c>
      <c r="AX135" t="s">
        <v>76</v>
      </c>
      <c r="AY135" t="s">
        <v>71</v>
      </c>
      <c r="AZ135">
        <v>0</v>
      </c>
      <c r="BA135" t="s">
        <v>71</v>
      </c>
      <c r="BB135">
        <v>0</v>
      </c>
      <c r="BD135">
        <v>0.08</v>
      </c>
    </row>
    <row r="136" spans="1:56" x14ac:dyDescent="0.15">
      <c r="A136" s="4" t="str">
        <f>HYPERLINK("https://ibp.a2mac1.com/costing(costing:projects/details/9760/part/8411102)","K-Frame Parts")</f>
        <v>K-Frame Parts</v>
      </c>
      <c r="B136">
        <v>8411102</v>
      </c>
      <c r="C136">
        <v>8411044</v>
      </c>
      <c r="D136" t="s">
        <v>544</v>
      </c>
      <c r="E136">
        <v>63.72</v>
      </c>
      <c r="F136">
        <v>0</v>
      </c>
      <c r="G136">
        <v>0</v>
      </c>
      <c r="H136">
        <v>1.2744E-3</v>
      </c>
      <c r="I136" t="s">
        <v>176</v>
      </c>
      <c r="J136">
        <v>2.2302</v>
      </c>
      <c r="K136">
        <v>65.951474399999995</v>
      </c>
      <c r="L136">
        <v>1.3624405514628237</v>
      </c>
      <c r="M136">
        <v>8.1746433087769432</v>
      </c>
      <c r="N136">
        <v>74.126117708776945</v>
      </c>
      <c r="O136" t="s">
        <v>90</v>
      </c>
      <c r="P136">
        <v>0</v>
      </c>
      <c r="Q136" t="s">
        <v>90</v>
      </c>
      <c r="R136">
        <v>0</v>
      </c>
      <c r="S136" t="s">
        <v>90</v>
      </c>
      <c r="T136">
        <v>0</v>
      </c>
      <c r="U136" t="s">
        <v>90</v>
      </c>
      <c r="V136">
        <v>0</v>
      </c>
      <c r="W136" t="s">
        <v>90</v>
      </c>
      <c r="X136">
        <v>0</v>
      </c>
      <c r="Y136">
        <v>74.126117708776945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985</v>
      </c>
      <c r="AF136">
        <v>1235</v>
      </c>
      <c r="AG136">
        <v>280</v>
      </c>
      <c r="AH136">
        <v>0</v>
      </c>
      <c r="AI136">
        <v>28.838000000000001</v>
      </c>
      <c r="AK136" t="s">
        <v>483</v>
      </c>
      <c r="AM136">
        <v>200000</v>
      </c>
      <c r="AN136" t="s">
        <v>73</v>
      </c>
      <c r="AO136">
        <v>1</v>
      </c>
      <c r="AP136">
        <v>0</v>
      </c>
      <c r="AQ136">
        <v>16666.666666666668</v>
      </c>
      <c r="AR136" t="s">
        <v>9</v>
      </c>
      <c r="AS136" t="s">
        <v>75</v>
      </c>
      <c r="AX136" t="s">
        <v>76</v>
      </c>
      <c r="AY136" t="s">
        <v>176</v>
      </c>
      <c r="AZ136">
        <v>0</v>
      </c>
      <c r="BA136" t="s">
        <v>176</v>
      </c>
      <c r="BB136">
        <v>0</v>
      </c>
    </row>
    <row r="137" spans="1:56" x14ac:dyDescent="0.15">
      <c r="A137" s="4" t="str">
        <f>HYPERLINK("https://ibp.a2mac1.com/costing(costing:projects/details/9760/part/8411103)","Front Reinforcement Left and Right")</f>
        <v>Front Reinforcement Left and Right</v>
      </c>
      <c r="B137">
        <v>8411103</v>
      </c>
      <c r="C137">
        <v>8411049</v>
      </c>
      <c r="D137" t="s">
        <v>635</v>
      </c>
      <c r="E137">
        <v>3.1</v>
      </c>
      <c r="F137">
        <v>0</v>
      </c>
      <c r="G137">
        <v>0</v>
      </c>
      <c r="H137">
        <v>0</v>
      </c>
      <c r="I137" t="s">
        <v>71</v>
      </c>
      <c r="J137">
        <v>0</v>
      </c>
      <c r="K137">
        <v>3.1</v>
      </c>
      <c r="L137">
        <v>0</v>
      </c>
      <c r="M137">
        <v>0</v>
      </c>
      <c r="N137">
        <v>3.1</v>
      </c>
      <c r="O137" t="s">
        <v>71</v>
      </c>
      <c r="P137">
        <v>0</v>
      </c>
      <c r="Q137" t="s">
        <v>71</v>
      </c>
      <c r="R137">
        <v>0</v>
      </c>
      <c r="S137" t="s">
        <v>71</v>
      </c>
      <c r="T137">
        <v>0</v>
      </c>
      <c r="U137" t="s">
        <v>71</v>
      </c>
      <c r="V137">
        <v>0</v>
      </c>
      <c r="W137" t="s">
        <v>71</v>
      </c>
      <c r="X137">
        <v>0</v>
      </c>
      <c r="Y137">
        <v>3.1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225</v>
      </c>
      <c r="AF137">
        <v>128</v>
      </c>
      <c r="AG137">
        <v>53</v>
      </c>
      <c r="AH137">
        <v>0</v>
      </c>
      <c r="AI137">
        <v>0.40550000000000003</v>
      </c>
      <c r="AK137" t="s">
        <v>100</v>
      </c>
      <c r="AM137">
        <v>400000</v>
      </c>
      <c r="AN137" t="s">
        <v>97</v>
      </c>
      <c r="AO137">
        <v>2</v>
      </c>
      <c r="AP137">
        <v>0</v>
      </c>
      <c r="AQ137">
        <v>33333.333333333336</v>
      </c>
      <c r="AR137" t="s">
        <v>636</v>
      </c>
      <c r="AS137" t="s">
        <v>75</v>
      </c>
      <c r="AX137" t="s">
        <v>76</v>
      </c>
      <c r="AY137" t="s">
        <v>71</v>
      </c>
      <c r="AZ137">
        <v>0</v>
      </c>
      <c r="BA137" t="s">
        <v>71</v>
      </c>
      <c r="BB137">
        <v>0</v>
      </c>
      <c r="BD137">
        <v>1.55</v>
      </c>
    </row>
    <row r="138" spans="1:56" x14ac:dyDescent="0.15">
      <c r="A138" s="4" t="str">
        <f>HYPERLINK("https://ibp.a2mac1.com/costing(costing:projects/details/9760/part/8411219)","Left Upper Transversal Arm")</f>
        <v>Left Upper Transversal Arm</v>
      </c>
      <c r="B138">
        <v>8411219</v>
      </c>
      <c r="C138">
        <v>8411106</v>
      </c>
      <c r="D138" t="s">
        <v>640</v>
      </c>
      <c r="E138">
        <v>9.59</v>
      </c>
      <c r="F138">
        <v>0</v>
      </c>
      <c r="G138">
        <v>0</v>
      </c>
      <c r="H138">
        <v>0</v>
      </c>
      <c r="I138" t="s">
        <v>71</v>
      </c>
      <c r="J138">
        <v>0</v>
      </c>
      <c r="K138">
        <v>9.59</v>
      </c>
      <c r="L138">
        <v>0</v>
      </c>
      <c r="M138">
        <v>0</v>
      </c>
      <c r="N138">
        <v>9.59</v>
      </c>
      <c r="O138" t="s">
        <v>71</v>
      </c>
      <c r="P138">
        <v>0</v>
      </c>
      <c r="Q138" t="s">
        <v>71</v>
      </c>
      <c r="R138">
        <v>0</v>
      </c>
      <c r="S138" t="s">
        <v>71</v>
      </c>
      <c r="T138">
        <v>0</v>
      </c>
      <c r="U138" t="s">
        <v>71</v>
      </c>
      <c r="V138">
        <v>0</v>
      </c>
      <c r="W138" t="s">
        <v>71</v>
      </c>
      <c r="X138">
        <v>0</v>
      </c>
      <c r="Y138">
        <v>9.59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75</v>
      </c>
      <c r="AF138">
        <v>365</v>
      </c>
      <c r="AG138">
        <v>125</v>
      </c>
      <c r="AH138">
        <v>0</v>
      </c>
      <c r="AI138">
        <v>0.95099999999999996</v>
      </c>
      <c r="AK138" t="s">
        <v>95</v>
      </c>
      <c r="AM138">
        <v>200000</v>
      </c>
      <c r="AN138" t="s">
        <v>97</v>
      </c>
      <c r="AO138">
        <v>1</v>
      </c>
      <c r="AP138">
        <v>0</v>
      </c>
      <c r="AQ138">
        <v>16666.666666666668</v>
      </c>
      <c r="AR138" t="s">
        <v>641</v>
      </c>
      <c r="AS138" t="s">
        <v>75</v>
      </c>
      <c r="AX138" t="s">
        <v>76</v>
      </c>
      <c r="AY138" t="s">
        <v>71</v>
      </c>
      <c r="AZ138">
        <v>0</v>
      </c>
      <c r="BA138" t="s">
        <v>71</v>
      </c>
      <c r="BB138">
        <v>0</v>
      </c>
      <c r="BD138">
        <v>9.59</v>
      </c>
    </row>
    <row r="139" spans="1:56" x14ac:dyDescent="0.15">
      <c r="A139" s="4" t="str">
        <f>HYPERLINK("https://ibp.a2mac1.com/costing(costing:projects/details/9760/part/8411221)","Right Upper Transversal Arm")</f>
        <v>Right Upper Transversal Arm</v>
      </c>
      <c r="B139">
        <v>8411221</v>
      </c>
      <c r="C139">
        <v>8411106</v>
      </c>
      <c r="D139" t="s">
        <v>640</v>
      </c>
      <c r="E139">
        <v>9.59</v>
      </c>
      <c r="F139">
        <v>0</v>
      </c>
      <c r="G139">
        <v>0</v>
      </c>
      <c r="H139">
        <v>0</v>
      </c>
      <c r="I139" t="s">
        <v>71</v>
      </c>
      <c r="J139">
        <v>0</v>
      </c>
      <c r="K139">
        <v>9.59</v>
      </c>
      <c r="L139">
        <v>0</v>
      </c>
      <c r="M139">
        <v>0</v>
      </c>
      <c r="N139">
        <v>9.59</v>
      </c>
      <c r="O139" t="s">
        <v>71</v>
      </c>
      <c r="P139">
        <v>0</v>
      </c>
      <c r="Q139" t="s">
        <v>71</v>
      </c>
      <c r="R139">
        <v>0</v>
      </c>
      <c r="S139" t="s">
        <v>71</v>
      </c>
      <c r="T139">
        <v>0</v>
      </c>
      <c r="U139" t="s">
        <v>71</v>
      </c>
      <c r="V139">
        <v>0</v>
      </c>
      <c r="W139" t="s">
        <v>71</v>
      </c>
      <c r="X139">
        <v>0</v>
      </c>
      <c r="Y139">
        <v>9.59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75</v>
      </c>
      <c r="AF139">
        <v>365</v>
      </c>
      <c r="AG139">
        <v>125</v>
      </c>
      <c r="AH139">
        <v>0</v>
      </c>
      <c r="AI139">
        <v>0.94299999999999995</v>
      </c>
      <c r="AK139" t="s">
        <v>95</v>
      </c>
      <c r="AM139">
        <v>200000</v>
      </c>
      <c r="AN139" t="s">
        <v>97</v>
      </c>
      <c r="AO139">
        <v>1</v>
      </c>
      <c r="AP139">
        <v>0</v>
      </c>
      <c r="AQ139">
        <v>16666.666666666668</v>
      </c>
      <c r="AR139" t="s">
        <v>642</v>
      </c>
      <c r="AS139" t="s">
        <v>75</v>
      </c>
      <c r="AX139" t="s">
        <v>76</v>
      </c>
      <c r="AY139" t="s">
        <v>71</v>
      </c>
      <c r="AZ139">
        <v>0</v>
      </c>
      <c r="BA139" t="s">
        <v>71</v>
      </c>
      <c r="BB139">
        <v>0</v>
      </c>
      <c r="BD139">
        <v>9.59</v>
      </c>
    </row>
    <row r="140" spans="1:56" x14ac:dyDescent="0.15">
      <c r="A140" s="4" t="str">
        <f>HYPERLINK("https://ibp.a2mac1.com/costing(costing:projects/details/9760/part/8411223)","Upper Left Transversal Arm Secondary")</f>
        <v>Upper Left Transversal Arm Secondary</v>
      </c>
      <c r="B140">
        <v>8411223</v>
      </c>
      <c r="C140">
        <v>8411107</v>
      </c>
      <c r="D140" t="s">
        <v>645</v>
      </c>
      <c r="E140">
        <v>6.63</v>
      </c>
      <c r="F140">
        <v>0</v>
      </c>
      <c r="G140">
        <v>0</v>
      </c>
      <c r="H140">
        <v>0</v>
      </c>
      <c r="I140" t="s">
        <v>71</v>
      </c>
      <c r="J140">
        <v>0</v>
      </c>
      <c r="K140">
        <v>6.63</v>
      </c>
      <c r="L140">
        <v>0</v>
      </c>
      <c r="M140">
        <v>0</v>
      </c>
      <c r="N140">
        <v>6.63</v>
      </c>
      <c r="O140" t="s">
        <v>71</v>
      </c>
      <c r="P140">
        <v>0</v>
      </c>
      <c r="Q140" t="s">
        <v>71</v>
      </c>
      <c r="R140">
        <v>0</v>
      </c>
      <c r="S140" t="s">
        <v>71</v>
      </c>
      <c r="T140">
        <v>0</v>
      </c>
      <c r="U140" t="s">
        <v>71</v>
      </c>
      <c r="V140">
        <v>0</v>
      </c>
      <c r="W140" t="s">
        <v>71</v>
      </c>
      <c r="X140">
        <v>0</v>
      </c>
      <c r="Y140">
        <v>6.63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56</v>
      </c>
      <c r="AF140">
        <v>360</v>
      </c>
      <c r="AG140">
        <v>74</v>
      </c>
      <c r="AH140">
        <v>0</v>
      </c>
      <c r="AI140">
        <v>0.76400000000000001</v>
      </c>
      <c r="AK140" t="s">
        <v>95</v>
      </c>
      <c r="AM140">
        <v>200000</v>
      </c>
      <c r="AN140" t="s">
        <v>97</v>
      </c>
      <c r="AO140">
        <v>1</v>
      </c>
      <c r="AP140">
        <v>0</v>
      </c>
      <c r="AQ140">
        <v>16666.666666666668</v>
      </c>
      <c r="AR140" t="s">
        <v>646</v>
      </c>
      <c r="AS140" t="s">
        <v>75</v>
      </c>
      <c r="AX140" t="s">
        <v>76</v>
      </c>
      <c r="AY140" t="s">
        <v>71</v>
      </c>
      <c r="AZ140">
        <v>0</v>
      </c>
      <c r="BA140" t="s">
        <v>71</v>
      </c>
      <c r="BB140">
        <v>0</v>
      </c>
      <c r="BD140">
        <v>6.63</v>
      </c>
    </row>
    <row r="141" spans="1:56" x14ac:dyDescent="0.15">
      <c r="A141" s="4" t="str">
        <f>HYPERLINK("https://ibp.a2mac1.com/costing(costing:projects/details/9760/part/8411225)","Upper Right Transversal Arm Secondary")</f>
        <v>Upper Right Transversal Arm Secondary</v>
      </c>
      <c r="B141">
        <v>8411225</v>
      </c>
      <c r="C141">
        <v>8411107</v>
      </c>
      <c r="D141" t="s">
        <v>645</v>
      </c>
      <c r="E141">
        <v>6.63</v>
      </c>
      <c r="F141">
        <v>0</v>
      </c>
      <c r="G141">
        <v>0</v>
      </c>
      <c r="H141">
        <v>0</v>
      </c>
      <c r="I141" t="s">
        <v>71</v>
      </c>
      <c r="J141">
        <v>0</v>
      </c>
      <c r="K141">
        <v>6.63</v>
      </c>
      <c r="L141">
        <v>0</v>
      </c>
      <c r="M141">
        <v>0</v>
      </c>
      <c r="N141">
        <v>6.63</v>
      </c>
      <c r="O141" t="s">
        <v>71</v>
      </c>
      <c r="P141">
        <v>0</v>
      </c>
      <c r="Q141" t="s">
        <v>71</v>
      </c>
      <c r="R141">
        <v>0</v>
      </c>
      <c r="S141" t="s">
        <v>71</v>
      </c>
      <c r="T141">
        <v>0</v>
      </c>
      <c r="U141" t="s">
        <v>71</v>
      </c>
      <c r="V141">
        <v>0</v>
      </c>
      <c r="W141" t="s">
        <v>71</v>
      </c>
      <c r="X141">
        <v>0</v>
      </c>
      <c r="Y141">
        <v>6.63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56</v>
      </c>
      <c r="AF141">
        <v>360</v>
      </c>
      <c r="AG141">
        <v>74</v>
      </c>
      <c r="AH141">
        <v>0</v>
      </c>
      <c r="AI141">
        <v>0.75800000000000001</v>
      </c>
      <c r="AK141" t="s">
        <v>95</v>
      </c>
      <c r="AM141">
        <v>200000</v>
      </c>
      <c r="AN141" t="s">
        <v>97</v>
      </c>
      <c r="AO141">
        <v>1</v>
      </c>
      <c r="AP141">
        <v>0</v>
      </c>
      <c r="AQ141">
        <v>16666.666666666668</v>
      </c>
      <c r="AR141" t="s">
        <v>647</v>
      </c>
      <c r="AS141" t="s">
        <v>75</v>
      </c>
      <c r="AX141" t="s">
        <v>76</v>
      </c>
      <c r="AY141" t="s">
        <v>71</v>
      </c>
      <c r="AZ141">
        <v>0</v>
      </c>
      <c r="BA141" t="s">
        <v>71</v>
      </c>
      <c r="BB141">
        <v>0</v>
      </c>
      <c r="BD141">
        <v>6.63</v>
      </c>
    </row>
    <row r="142" spans="1:56" x14ac:dyDescent="0.15">
      <c r="A142" s="4" t="str">
        <f>HYPERLINK("https://ibp.a2mac1.com/costing(costing:projects/details/9760/part/8411227)","Lower Left Transversal Arm")</f>
        <v>Lower Left Transversal Arm</v>
      </c>
      <c r="B142">
        <v>8411227</v>
      </c>
      <c r="C142">
        <v>8411126</v>
      </c>
      <c r="D142" t="s">
        <v>650</v>
      </c>
      <c r="E142">
        <v>4.8</v>
      </c>
      <c r="F142">
        <v>0</v>
      </c>
      <c r="G142">
        <v>0</v>
      </c>
      <c r="H142">
        <v>0</v>
      </c>
      <c r="I142" t="s">
        <v>71</v>
      </c>
      <c r="J142">
        <v>0</v>
      </c>
      <c r="K142">
        <v>4.8</v>
      </c>
      <c r="L142">
        <v>0</v>
      </c>
      <c r="M142">
        <v>0</v>
      </c>
      <c r="N142">
        <v>4.8</v>
      </c>
      <c r="O142" t="s">
        <v>71</v>
      </c>
      <c r="P142">
        <v>0</v>
      </c>
      <c r="Q142" t="s">
        <v>71</v>
      </c>
      <c r="R142">
        <v>0</v>
      </c>
      <c r="S142" t="s">
        <v>71</v>
      </c>
      <c r="T142">
        <v>0</v>
      </c>
      <c r="U142" t="s">
        <v>71</v>
      </c>
      <c r="V142">
        <v>0</v>
      </c>
      <c r="W142" t="s">
        <v>71</v>
      </c>
      <c r="X142">
        <v>0</v>
      </c>
      <c r="Y142">
        <v>4.8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55</v>
      </c>
      <c r="AF142">
        <v>415</v>
      </c>
      <c r="AG142">
        <v>68</v>
      </c>
      <c r="AH142">
        <v>0</v>
      </c>
      <c r="AI142">
        <v>0.81100000000000005</v>
      </c>
      <c r="AK142" t="s">
        <v>95</v>
      </c>
      <c r="AM142">
        <v>200000</v>
      </c>
      <c r="AN142" t="s">
        <v>97</v>
      </c>
      <c r="AO142">
        <v>1</v>
      </c>
      <c r="AP142">
        <v>0</v>
      </c>
      <c r="AQ142">
        <v>16666.666666666668</v>
      </c>
      <c r="AR142" t="s">
        <v>651</v>
      </c>
      <c r="AS142" t="s">
        <v>75</v>
      </c>
      <c r="AX142" t="s">
        <v>76</v>
      </c>
      <c r="AY142" t="s">
        <v>71</v>
      </c>
      <c r="AZ142">
        <v>0</v>
      </c>
      <c r="BA142" t="s">
        <v>71</v>
      </c>
      <c r="BB142">
        <v>0</v>
      </c>
      <c r="BD142">
        <v>4.8</v>
      </c>
    </row>
    <row r="143" spans="1:56" x14ac:dyDescent="0.15">
      <c r="A143" s="4" t="str">
        <f>HYPERLINK("https://ibp.a2mac1.com/costing(costing:projects/details/9760/part/8411229)","Right Lower Transversal Arm")</f>
        <v>Right Lower Transversal Arm</v>
      </c>
      <c r="B143">
        <v>8411229</v>
      </c>
      <c r="C143">
        <v>8411126</v>
      </c>
      <c r="D143" t="s">
        <v>650</v>
      </c>
      <c r="E143">
        <v>4.8</v>
      </c>
      <c r="F143">
        <v>0</v>
      </c>
      <c r="G143">
        <v>0</v>
      </c>
      <c r="H143">
        <v>0</v>
      </c>
      <c r="I143" t="s">
        <v>71</v>
      </c>
      <c r="J143">
        <v>0</v>
      </c>
      <c r="K143">
        <v>4.8</v>
      </c>
      <c r="L143">
        <v>0</v>
      </c>
      <c r="M143">
        <v>0</v>
      </c>
      <c r="N143">
        <v>4.8</v>
      </c>
      <c r="O143" t="s">
        <v>71</v>
      </c>
      <c r="P143">
        <v>0</v>
      </c>
      <c r="Q143" t="s">
        <v>71</v>
      </c>
      <c r="R143">
        <v>0</v>
      </c>
      <c r="S143" t="s">
        <v>71</v>
      </c>
      <c r="T143">
        <v>0</v>
      </c>
      <c r="U143" t="s">
        <v>71</v>
      </c>
      <c r="V143">
        <v>0</v>
      </c>
      <c r="W143" t="s">
        <v>71</v>
      </c>
      <c r="X143">
        <v>0</v>
      </c>
      <c r="Y143">
        <v>4.8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55</v>
      </c>
      <c r="AF143">
        <v>415</v>
      </c>
      <c r="AG143">
        <v>68</v>
      </c>
      <c r="AH143">
        <v>0</v>
      </c>
      <c r="AI143">
        <v>0.80400000000000005</v>
      </c>
      <c r="AK143" t="s">
        <v>95</v>
      </c>
      <c r="AM143">
        <v>200000</v>
      </c>
      <c r="AN143" t="s">
        <v>97</v>
      </c>
      <c r="AO143">
        <v>1</v>
      </c>
      <c r="AP143">
        <v>0</v>
      </c>
      <c r="AQ143">
        <v>16666.666666666668</v>
      </c>
      <c r="AR143" t="s">
        <v>652</v>
      </c>
      <c r="AS143" t="s">
        <v>75</v>
      </c>
      <c r="AX143" t="s">
        <v>76</v>
      </c>
      <c r="AY143" t="s">
        <v>71</v>
      </c>
      <c r="AZ143">
        <v>0</v>
      </c>
      <c r="BA143" t="s">
        <v>71</v>
      </c>
      <c r="BB143">
        <v>0</v>
      </c>
      <c r="BD143">
        <v>4.8</v>
      </c>
    </row>
    <row r="144" spans="1:56" x14ac:dyDescent="0.15">
      <c r="A144" s="4" t="str">
        <f>HYPERLINK("https://ibp.a2mac1.com/costing(costing:projects/details/9760/part/8411231)","Lower Left Transversal Arm Secondary")</f>
        <v>Lower Left Transversal Arm Secondary</v>
      </c>
      <c r="B144">
        <v>8411231</v>
      </c>
      <c r="C144">
        <v>8411127</v>
      </c>
      <c r="D144" t="s">
        <v>640</v>
      </c>
      <c r="E144">
        <v>9.84</v>
      </c>
      <c r="F144">
        <v>0</v>
      </c>
      <c r="G144">
        <v>0</v>
      </c>
      <c r="H144">
        <v>1.9680000000000001E-4</v>
      </c>
      <c r="I144" t="s">
        <v>176</v>
      </c>
      <c r="J144">
        <v>0.34439999999999998</v>
      </c>
      <c r="K144">
        <v>10.1845968</v>
      </c>
      <c r="L144">
        <v>1.4842785004595418</v>
      </c>
      <c r="M144">
        <v>5.1949747516083962</v>
      </c>
      <c r="N144">
        <v>15.379571551608397</v>
      </c>
      <c r="O144" t="s">
        <v>177</v>
      </c>
      <c r="P144">
        <v>0.61107580800000005</v>
      </c>
      <c r="Q144" t="s">
        <v>177</v>
      </c>
      <c r="R144">
        <v>0.31169848509650377</v>
      </c>
      <c r="S144" t="s">
        <v>178</v>
      </c>
      <c r="T144">
        <v>1.8455485861930077</v>
      </c>
      <c r="U144" t="s">
        <v>90</v>
      </c>
      <c r="V144">
        <v>0</v>
      </c>
      <c r="W144" t="s">
        <v>90</v>
      </c>
      <c r="X144">
        <v>0</v>
      </c>
      <c r="Y144">
        <v>18.147894430897907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182</v>
      </c>
      <c r="AF144">
        <v>550</v>
      </c>
      <c r="AG144">
        <v>111</v>
      </c>
      <c r="AH144">
        <v>0</v>
      </c>
      <c r="AI144">
        <v>2.4550000000000001</v>
      </c>
      <c r="AK144" t="s">
        <v>95</v>
      </c>
      <c r="AM144">
        <v>200000</v>
      </c>
      <c r="AN144" t="s">
        <v>97</v>
      </c>
      <c r="AO144">
        <v>1</v>
      </c>
      <c r="AP144">
        <v>0</v>
      </c>
      <c r="AQ144">
        <v>16666.666666666668</v>
      </c>
      <c r="AR144" t="s">
        <v>658</v>
      </c>
      <c r="AS144" t="s">
        <v>75</v>
      </c>
      <c r="AX144" t="s">
        <v>76</v>
      </c>
      <c r="AY144" t="s">
        <v>176</v>
      </c>
      <c r="AZ144">
        <v>0</v>
      </c>
      <c r="BA144" t="s">
        <v>176</v>
      </c>
      <c r="BB144">
        <v>0</v>
      </c>
    </row>
    <row r="145" spans="1:56" x14ac:dyDescent="0.15">
      <c r="A145" s="4" t="str">
        <f>HYPERLINK("https://ibp.a2mac1.com/costing(costing:projects/details/9760/part/8411233)","Lower Right Transversal Arm Secondary")</f>
        <v>Lower Right Transversal Arm Secondary</v>
      </c>
      <c r="B145">
        <v>8411233</v>
      </c>
      <c r="C145">
        <v>8411127</v>
      </c>
      <c r="D145" t="s">
        <v>640</v>
      </c>
      <c r="E145">
        <v>9.84</v>
      </c>
      <c r="F145">
        <v>0</v>
      </c>
      <c r="G145">
        <v>0</v>
      </c>
      <c r="H145">
        <v>1.9680000000000001E-4</v>
      </c>
      <c r="I145" t="s">
        <v>176</v>
      </c>
      <c r="J145">
        <v>0.34439999999999998</v>
      </c>
      <c r="K145">
        <v>10.1845968</v>
      </c>
      <c r="L145">
        <v>1.4842785004595418</v>
      </c>
      <c r="M145">
        <v>5.1949747516083962</v>
      </c>
      <c r="N145">
        <v>15.379571551608397</v>
      </c>
      <c r="O145" t="s">
        <v>177</v>
      </c>
      <c r="P145">
        <v>0.61107580800000005</v>
      </c>
      <c r="Q145" t="s">
        <v>177</v>
      </c>
      <c r="R145">
        <v>0.31169848509650377</v>
      </c>
      <c r="S145" t="s">
        <v>178</v>
      </c>
      <c r="T145">
        <v>1.8455485861930077</v>
      </c>
      <c r="U145" t="s">
        <v>90</v>
      </c>
      <c r="V145">
        <v>0</v>
      </c>
      <c r="W145" t="s">
        <v>90</v>
      </c>
      <c r="X145">
        <v>0</v>
      </c>
      <c r="Y145">
        <v>18.147894430897907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182</v>
      </c>
      <c r="AF145">
        <v>550</v>
      </c>
      <c r="AG145">
        <v>111</v>
      </c>
      <c r="AH145">
        <v>0</v>
      </c>
      <c r="AI145">
        <v>2.4540000000000002</v>
      </c>
      <c r="AK145" t="s">
        <v>95</v>
      </c>
      <c r="AM145">
        <v>200000</v>
      </c>
      <c r="AN145" t="s">
        <v>97</v>
      </c>
      <c r="AO145">
        <v>1</v>
      </c>
      <c r="AP145">
        <v>0</v>
      </c>
      <c r="AQ145">
        <v>16666.666666666668</v>
      </c>
      <c r="AR145" t="s">
        <v>661</v>
      </c>
      <c r="AS145" t="s">
        <v>75</v>
      </c>
      <c r="AX145" t="s">
        <v>76</v>
      </c>
      <c r="AY145" t="s">
        <v>176</v>
      </c>
      <c r="AZ145">
        <v>0</v>
      </c>
      <c r="BA145" t="s">
        <v>176</v>
      </c>
      <c r="BB145">
        <v>0</v>
      </c>
    </row>
    <row r="146" spans="1:56" x14ac:dyDescent="0.15">
      <c r="A146" s="4" t="str">
        <f>HYPERLINK("https://ibp.a2mac1.com/costing(costing:projects/details/9760/part/8411104)","Rear Control Arm")</f>
        <v>Rear Control Arm</v>
      </c>
      <c r="B146">
        <v>8411104</v>
      </c>
      <c r="C146">
        <v>8411050</v>
      </c>
      <c r="D146" t="s">
        <v>640</v>
      </c>
      <c r="E146">
        <v>8.8699999999999992</v>
      </c>
      <c r="F146">
        <v>0</v>
      </c>
      <c r="G146">
        <v>0</v>
      </c>
      <c r="H146">
        <v>0</v>
      </c>
      <c r="I146" t="s">
        <v>71</v>
      </c>
      <c r="J146">
        <v>0</v>
      </c>
      <c r="K146">
        <v>8.8699999999999992</v>
      </c>
      <c r="L146">
        <v>0</v>
      </c>
      <c r="M146">
        <v>0</v>
      </c>
      <c r="N146">
        <v>8.8699999999999992</v>
      </c>
      <c r="O146" t="s">
        <v>71</v>
      </c>
      <c r="P146">
        <v>0</v>
      </c>
      <c r="Q146" t="s">
        <v>71</v>
      </c>
      <c r="R146">
        <v>0</v>
      </c>
      <c r="S146" t="s">
        <v>71</v>
      </c>
      <c r="T146">
        <v>0</v>
      </c>
      <c r="U146" t="s">
        <v>71</v>
      </c>
      <c r="V146">
        <v>0</v>
      </c>
      <c r="W146" t="s">
        <v>71</v>
      </c>
      <c r="X146">
        <v>0</v>
      </c>
      <c r="Y146">
        <v>8.8699999999999992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80</v>
      </c>
      <c r="AF146">
        <v>555</v>
      </c>
      <c r="AG146">
        <v>59</v>
      </c>
      <c r="AH146">
        <v>0</v>
      </c>
      <c r="AI146">
        <v>0.84399999999999997</v>
      </c>
      <c r="AK146" t="s">
        <v>95</v>
      </c>
      <c r="AM146">
        <v>200000</v>
      </c>
      <c r="AN146" t="s">
        <v>97</v>
      </c>
      <c r="AO146">
        <v>1</v>
      </c>
      <c r="AP146">
        <v>0</v>
      </c>
      <c r="AQ146">
        <v>16666.666666666668</v>
      </c>
      <c r="AR146" t="s">
        <v>663</v>
      </c>
      <c r="AS146" t="s">
        <v>75</v>
      </c>
      <c r="AX146" t="s">
        <v>76</v>
      </c>
      <c r="AY146" t="s">
        <v>71</v>
      </c>
      <c r="AZ146">
        <v>0</v>
      </c>
      <c r="BA146" t="s">
        <v>71</v>
      </c>
      <c r="BB146">
        <v>0</v>
      </c>
      <c r="BD146">
        <v>8.8699999999999992</v>
      </c>
    </row>
    <row r="147" spans="1:56" x14ac:dyDescent="0.15">
      <c r="A147" s="4" t="str">
        <f>HYPERLINK("https://ibp.a2mac1.com/costing(costing:projects/details/9760/part/8411105)","Rear Control Arm Right")</f>
        <v>Rear Control Arm Right</v>
      </c>
      <c r="B147">
        <v>8411105</v>
      </c>
      <c r="C147">
        <v>8411050</v>
      </c>
      <c r="D147" t="s">
        <v>640</v>
      </c>
      <c r="E147">
        <v>8.8699999999999992</v>
      </c>
      <c r="F147">
        <v>0</v>
      </c>
      <c r="G147">
        <v>0</v>
      </c>
      <c r="H147">
        <v>0</v>
      </c>
      <c r="I147" t="s">
        <v>71</v>
      </c>
      <c r="J147">
        <v>0</v>
      </c>
      <c r="K147">
        <v>8.8699999999999992</v>
      </c>
      <c r="L147">
        <v>0</v>
      </c>
      <c r="M147">
        <v>0</v>
      </c>
      <c r="N147">
        <v>8.8699999999999992</v>
      </c>
      <c r="O147" t="s">
        <v>71</v>
      </c>
      <c r="P147">
        <v>0</v>
      </c>
      <c r="Q147" t="s">
        <v>71</v>
      </c>
      <c r="R147">
        <v>0</v>
      </c>
      <c r="S147" t="s">
        <v>71</v>
      </c>
      <c r="T147">
        <v>0</v>
      </c>
      <c r="U147" t="s">
        <v>71</v>
      </c>
      <c r="V147">
        <v>0</v>
      </c>
      <c r="W147" t="s">
        <v>71</v>
      </c>
      <c r="X147">
        <v>0</v>
      </c>
      <c r="Y147">
        <v>8.8699999999999992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80</v>
      </c>
      <c r="AF147">
        <v>555</v>
      </c>
      <c r="AG147">
        <v>59</v>
      </c>
      <c r="AH147">
        <v>0</v>
      </c>
      <c r="AI147">
        <v>0.84499999999999997</v>
      </c>
      <c r="AK147" t="s">
        <v>95</v>
      </c>
      <c r="AM147">
        <v>200000</v>
      </c>
      <c r="AN147" t="s">
        <v>97</v>
      </c>
      <c r="AO147">
        <v>1</v>
      </c>
      <c r="AP147">
        <v>0</v>
      </c>
      <c r="AQ147">
        <v>16666.666666666668</v>
      </c>
      <c r="AR147" t="s">
        <v>664</v>
      </c>
      <c r="AS147" t="s">
        <v>75</v>
      </c>
      <c r="AX147" t="s">
        <v>76</v>
      </c>
      <c r="AY147" t="s">
        <v>71</v>
      </c>
      <c r="AZ147">
        <v>0</v>
      </c>
      <c r="BA147" t="s">
        <v>71</v>
      </c>
      <c r="BB147">
        <v>0</v>
      </c>
      <c r="BD147">
        <v>8.8699999999999992</v>
      </c>
    </row>
    <row r="148" spans="1:56" x14ac:dyDescent="0.15">
      <c r="A148" s="4" t="str">
        <f>HYPERLINK("https://ibp.a2mac1.com/costing(costing:projects/details/9760/part/8411235)","Stabilizer Link")</f>
        <v>Stabilizer Link</v>
      </c>
      <c r="B148">
        <v>8411235</v>
      </c>
      <c r="C148">
        <v>8411130</v>
      </c>
      <c r="D148" t="s">
        <v>594</v>
      </c>
      <c r="E148">
        <v>5.36</v>
      </c>
      <c r="F148">
        <v>0</v>
      </c>
      <c r="G148">
        <v>0</v>
      </c>
      <c r="H148">
        <v>0</v>
      </c>
      <c r="I148" t="s">
        <v>71</v>
      </c>
      <c r="J148">
        <v>0</v>
      </c>
      <c r="K148">
        <v>5.36</v>
      </c>
      <c r="L148">
        <v>0</v>
      </c>
      <c r="M148">
        <v>0</v>
      </c>
      <c r="N148">
        <v>5.36</v>
      </c>
      <c r="O148" t="s">
        <v>71</v>
      </c>
      <c r="P148">
        <v>0</v>
      </c>
      <c r="Q148" t="s">
        <v>71</v>
      </c>
      <c r="R148">
        <v>0</v>
      </c>
      <c r="S148" t="s">
        <v>71</v>
      </c>
      <c r="T148">
        <v>0</v>
      </c>
      <c r="U148" t="s">
        <v>71</v>
      </c>
      <c r="V148">
        <v>0</v>
      </c>
      <c r="W148" t="s">
        <v>71</v>
      </c>
      <c r="X148">
        <v>0</v>
      </c>
      <c r="Y148">
        <v>5.36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36</v>
      </c>
      <c r="AF148">
        <v>112</v>
      </c>
      <c r="AG148">
        <v>155</v>
      </c>
      <c r="AH148">
        <v>0</v>
      </c>
      <c r="AI148">
        <v>0.24399999999999999</v>
      </c>
      <c r="AK148" t="s">
        <v>95</v>
      </c>
      <c r="AM148">
        <v>200000</v>
      </c>
      <c r="AN148" t="s">
        <v>97</v>
      </c>
      <c r="AO148">
        <v>1</v>
      </c>
      <c r="AP148">
        <v>0</v>
      </c>
      <c r="AQ148">
        <v>16666.666666666668</v>
      </c>
      <c r="AR148" t="s">
        <v>668</v>
      </c>
      <c r="AS148" t="s">
        <v>75</v>
      </c>
      <c r="AX148" t="s">
        <v>76</v>
      </c>
      <c r="AY148" t="s">
        <v>71</v>
      </c>
      <c r="AZ148">
        <v>0</v>
      </c>
      <c r="BA148" t="s">
        <v>71</v>
      </c>
      <c r="BB148">
        <v>0</v>
      </c>
      <c r="BD148">
        <v>5.36</v>
      </c>
    </row>
    <row r="149" spans="1:56" x14ac:dyDescent="0.15">
      <c r="A149" s="4" t="str">
        <f>HYPERLINK("https://ibp.a2mac1.com/costing(costing:projects/details/9760/part/8411237)","Stabilizer Link 2")</f>
        <v>Stabilizer Link 2</v>
      </c>
      <c r="B149">
        <v>8411237</v>
      </c>
      <c r="C149">
        <v>8411130</v>
      </c>
      <c r="D149" t="s">
        <v>594</v>
      </c>
      <c r="E149">
        <v>5.36</v>
      </c>
      <c r="F149">
        <v>0</v>
      </c>
      <c r="G149">
        <v>0</v>
      </c>
      <c r="H149">
        <v>0</v>
      </c>
      <c r="I149" t="s">
        <v>71</v>
      </c>
      <c r="J149">
        <v>0</v>
      </c>
      <c r="K149">
        <v>5.36</v>
      </c>
      <c r="L149">
        <v>0</v>
      </c>
      <c r="M149">
        <v>0</v>
      </c>
      <c r="N149">
        <v>5.36</v>
      </c>
      <c r="O149" t="s">
        <v>71</v>
      </c>
      <c r="P149">
        <v>0</v>
      </c>
      <c r="Q149" t="s">
        <v>71</v>
      </c>
      <c r="R149">
        <v>0</v>
      </c>
      <c r="S149" t="s">
        <v>71</v>
      </c>
      <c r="T149">
        <v>0</v>
      </c>
      <c r="U149" t="s">
        <v>71</v>
      </c>
      <c r="V149">
        <v>0</v>
      </c>
      <c r="W149" t="s">
        <v>71</v>
      </c>
      <c r="X149">
        <v>0</v>
      </c>
      <c r="Y149">
        <v>5.36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36</v>
      </c>
      <c r="AF149">
        <v>112</v>
      </c>
      <c r="AG149">
        <v>155</v>
      </c>
      <c r="AH149">
        <v>0</v>
      </c>
      <c r="AI149">
        <v>0.24399999999999999</v>
      </c>
      <c r="AK149" t="s">
        <v>95</v>
      </c>
      <c r="AM149">
        <v>200000</v>
      </c>
      <c r="AN149" t="s">
        <v>97</v>
      </c>
      <c r="AO149">
        <v>1</v>
      </c>
      <c r="AP149">
        <v>0</v>
      </c>
      <c r="AQ149">
        <v>16666.666666666668</v>
      </c>
      <c r="AR149" t="s">
        <v>669</v>
      </c>
      <c r="AS149" t="s">
        <v>75</v>
      </c>
      <c r="AX149" t="s">
        <v>76</v>
      </c>
      <c r="AY149" t="s">
        <v>71</v>
      </c>
      <c r="AZ149">
        <v>0</v>
      </c>
      <c r="BA149" t="s">
        <v>71</v>
      </c>
      <c r="BB149">
        <v>0</v>
      </c>
      <c r="BD149">
        <v>5.36</v>
      </c>
    </row>
    <row r="150" spans="1:56" x14ac:dyDescent="0.15">
      <c r="A150" s="4" t="str">
        <f>HYPERLINK("https://ibp.a2mac1.com/costing(costing:projects/details/9760/part/8411128)","Stabilizer Bar")</f>
        <v>Stabilizer Bar</v>
      </c>
      <c r="B150">
        <v>8411128</v>
      </c>
      <c r="C150">
        <v>8411051</v>
      </c>
      <c r="D150" t="s">
        <v>675</v>
      </c>
      <c r="E150">
        <v>8.08</v>
      </c>
      <c r="F150">
        <v>0</v>
      </c>
      <c r="G150">
        <v>0</v>
      </c>
      <c r="H150">
        <v>1.616E-4</v>
      </c>
      <c r="I150" t="s">
        <v>176</v>
      </c>
      <c r="J150">
        <v>0.2828</v>
      </c>
      <c r="K150">
        <v>8.3629616000000002</v>
      </c>
      <c r="L150">
        <v>1.6635157036486958</v>
      </c>
      <c r="M150">
        <v>5.8223049627704357</v>
      </c>
      <c r="N150">
        <v>14.185266562770435</v>
      </c>
      <c r="O150" t="s">
        <v>177</v>
      </c>
      <c r="P150">
        <v>0.501777696</v>
      </c>
      <c r="Q150" t="s">
        <v>177</v>
      </c>
      <c r="R150">
        <v>0.34933829776622616</v>
      </c>
      <c r="S150" t="s">
        <v>178</v>
      </c>
      <c r="T150">
        <v>1.7022319875324523</v>
      </c>
      <c r="U150" t="s">
        <v>90</v>
      </c>
      <c r="V150">
        <v>0</v>
      </c>
      <c r="W150" t="s">
        <v>90</v>
      </c>
      <c r="X150">
        <v>0</v>
      </c>
      <c r="Y150">
        <v>16.738614544069115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235</v>
      </c>
      <c r="AF150">
        <v>1475</v>
      </c>
      <c r="AG150">
        <v>137</v>
      </c>
      <c r="AH150">
        <v>0</v>
      </c>
      <c r="AI150">
        <v>2.8519999999999999</v>
      </c>
      <c r="AK150" t="s">
        <v>95</v>
      </c>
      <c r="AM150">
        <v>200000</v>
      </c>
      <c r="AN150" t="s">
        <v>97</v>
      </c>
      <c r="AO150">
        <v>1</v>
      </c>
      <c r="AP150">
        <v>0</v>
      </c>
      <c r="AQ150">
        <v>16666.666666666668</v>
      </c>
      <c r="AR150" t="s">
        <v>676</v>
      </c>
      <c r="AS150" t="s">
        <v>75</v>
      </c>
      <c r="AX150" t="s">
        <v>76</v>
      </c>
      <c r="AY150" t="s">
        <v>176</v>
      </c>
      <c r="AZ150">
        <v>0</v>
      </c>
      <c r="BA150" t="s">
        <v>176</v>
      </c>
      <c r="BB150">
        <v>0</v>
      </c>
    </row>
    <row r="151" spans="1:56" x14ac:dyDescent="0.15">
      <c r="A151" s="4" t="str">
        <f>HYPERLINK("https://ibp.a2mac1.com/costing(costing:projects/details/9760/part/8411129)","Support")</f>
        <v>Support</v>
      </c>
      <c r="B151">
        <v>8411129</v>
      </c>
      <c r="C151">
        <v>8411051</v>
      </c>
      <c r="D151" t="s">
        <v>677</v>
      </c>
      <c r="E151">
        <v>1.208</v>
      </c>
      <c r="F151">
        <v>0</v>
      </c>
      <c r="G151">
        <v>0</v>
      </c>
      <c r="H151">
        <v>0</v>
      </c>
      <c r="I151" t="s">
        <v>71</v>
      </c>
      <c r="J151">
        <v>0</v>
      </c>
      <c r="K151">
        <v>1.208</v>
      </c>
      <c r="L151">
        <v>0</v>
      </c>
      <c r="M151">
        <v>0</v>
      </c>
      <c r="N151">
        <v>1.208</v>
      </c>
      <c r="O151" t="s">
        <v>71</v>
      </c>
      <c r="P151">
        <v>0</v>
      </c>
      <c r="Q151" t="s">
        <v>71</v>
      </c>
      <c r="R151">
        <v>0</v>
      </c>
      <c r="S151" t="s">
        <v>71</v>
      </c>
      <c r="T151">
        <v>0</v>
      </c>
      <c r="U151" t="s">
        <v>71</v>
      </c>
      <c r="V151">
        <v>0</v>
      </c>
      <c r="W151" t="s">
        <v>71</v>
      </c>
      <c r="X151">
        <v>0</v>
      </c>
      <c r="Y151">
        <v>1.208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47</v>
      </c>
      <c r="AF151">
        <v>49</v>
      </c>
      <c r="AG151">
        <v>100</v>
      </c>
      <c r="AH151">
        <v>0</v>
      </c>
      <c r="AI151">
        <v>0.19750000000000001</v>
      </c>
      <c r="AK151" t="s">
        <v>100</v>
      </c>
      <c r="AM151">
        <v>400000</v>
      </c>
      <c r="AN151" t="s">
        <v>97</v>
      </c>
      <c r="AO151">
        <v>2</v>
      </c>
      <c r="AP151">
        <v>0</v>
      </c>
      <c r="AQ151">
        <v>33333.333333333336</v>
      </c>
      <c r="AR151" t="s">
        <v>678</v>
      </c>
      <c r="AS151" t="s">
        <v>75</v>
      </c>
      <c r="AX151" t="s">
        <v>76</v>
      </c>
      <c r="AY151" t="s">
        <v>71</v>
      </c>
      <c r="AZ151">
        <v>0</v>
      </c>
      <c r="BA151" t="s">
        <v>71</v>
      </c>
      <c r="BB151">
        <v>0</v>
      </c>
      <c r="BD151">
        <v>0.60399999999999998</v>
      </c>
    </row>
    <row r="152" spans="1:56" x14ac:dyDescent="0.15">
      <c r="A152" s="4" t="str">
        <f>HYPERLINK("https://ibp.a2mac1.com/costing(costing:projects/details/9760/part/8411131)","Rear Axle Parts")</f>
        <v>Rear Axle Parts</v>
      </c>
      <c r="B152">
        <v>8411131</v>
      </c>
      <c r="C152">
        <v>8411052</v>
      </c>
      <c r="D152" t="s">
        <v>684</v>
      </c>
      <c r="E152">
        <v>77.06</v>
      </c>
      <c r="F152">
        <v>0</v>
      </c>
      <c r="G152">
        <v>0</v>
      </c>
      <c r="H152">
        <v>1.5411999999999999E-3</v>
      </c>
      <c r="I152" t="s">
        <v>176</v>
      </c>
      <c r="J152">
        <v>2.6970999999999998</v>
      </c>
      <c r="K152">
        <v>79.7586412</v>
      </c>
      <c r="L152">
        <v>1.3062092720309324</v>
      </c>
      <c r="M152">
        <v>7.8372556321855944</v>
      </c>
      <c r="N152">
        <v>87.595896832185588</v>
      </c>
      <c r="O152" t="s">
        <v>90</v>
      </c>
      <c r="P152">
        <v>0</v>
      </c>
      <c r="Q152" t="s">
        <v>90</v>
      </c>
      <c r="R152">
        <v>0</v>
      </c>
      <c r="S152" t="s">
        <v>90</v>
      </c>
      <c r="T152">
        <v>0</v>
      </c>
      <c r="U152" t="s">
        <v>90</v>
      </c>
      <c r="V152">
        <v>0</v>
      </c>
      <c r="W152" t="s">
        <v>90</v>
      </c>
      <c r="X152">
        <v>0</v>
      </c>
      <c r="Y152">
        <v>87.595896832185588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780</v>
      </c>
      <c r="AF152">
        <v>1240</v>
      </c>
      <c r="AG152">
        <v>355</v>
      </c>
      <c r="AH152">
        <v>0</v>
      </c>
      <c r="AI152">
        <v>31.297000000000001</v>
      </c>
      <c r="AK152" t="s">
        <v>483</v>
      </c>
      <c r="AM152">
        <v>200000</v>
      </c>
      <c r="AN152" t="s">
        <v>73</v>
      </c>
      <c r="AO152">
        <v>1</v>
      </c>
      <c r="AP152">
        <v>0</v>
      </c>
      <c r="AQ152">
        <v>16666.666666666668</v>
      </c>
      <c r="AR152" t="s">
        <v>9</v>
      </c>
      <c r="AS152" t="s">
        <v>75</v>
      </c>
      <c r="AX152" t="s">
        <v>76</v>
      </c>
      <c r="AY152" t="s">
        <v>176</v>
      </c>
      <c r="AZ152">
        <v>0</v>
      </c>
      <c r="BA152" t="s">
        <v>176</v>
      </c>
      <c r="BB152">
        <v>0</v>
      </c>
    </row>
    <row r="153" spans="1:56" x14ac:dyDescent="0.15">
      <c r="A153" s="4" t="str">
        <f>HYPERLINK("https://ibp.a2mac1.com/costing(costing:projects/details/9760/part/8411045)","Bearing Hub")</f>
        <v>Bearing Hub</v>
      </c>
      <c r="B153">
        <v>8411045</v>
      </c>
      <c r="C153">
        <v>8411022</v>
      </c>
      <c r="D153" t="s">
        <v>689</v>
      </c>
      <c r="E153">
        <v>13.54</v>
      </c>
      <c r="F153">
        <v>0</v>
      </c>
      <c r="G153">
        <v>0</v>
      </c>
      <c r="H153">
        <v>2.7080000000000002E-4</v>
      </c>
      <c r="I153" t="s">
        <v>176</v>
      </c>
      <c r="J153">
        <v>0.47389999999999999</v>
      </c>
      <c r="K153">
        <v>14.0141708</v>
      </c>
      <c r="L153">
        <v>6.6821573929450109</v>
      </c>
      <c r="M153">
        <v>23.387550875307536</v>
      </c>
      <c r="N153">
        <v>37.401721675307535</v>
      </c>
      <c r="O153" t="s">
        <v>177</v>
      </c>
      <c r="P153">
        <v>0.84085024799999997</v>
      </c>
      <c r="Q153" t="s">
        <v>177</v>
      </c>
      <c r="R153">
        <v>1.4032530525184523</v>
      </c>
      <c r="S153" t="s">
        <v>178</v>
      </c>
      <c r="T153">
        <v>4.4882066010369046</v>
      </c>
      <c r="U153" t="s">
        <v>90</v>
      </c>
      <c r="V153">
        <v>0</v>
      </c>
      <c r="W153" t="s">
        <v>90</v>
      </c>
      <c r="X153">
        <v>0</v>
      </c>
      <c r="Y153">
        <v>44.134031576862895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110</v>
      </c>
      <c r="AF153">
        <v>140</v>
      </c>
      <c r="AG153">
        <v>140</v>
      </c>
      <c r="AH153">
        <v>0</v>
      </c>
      <c r="AI153">
        <v>3.5215000000000001</v>
      </c>
      <c r="AK153" t="s">
        <v>95</v>
      </c>
      <c r="AM153">
        <v>400000</v>
      </c>
      <c r="AN153" t="s">
        <v>97</v>
      </c>
      <c r="AO153">
        <v>2</v>
      </c>
      <c r="AP153">
        <v>0</v>
      </c>
      <c r="AQ153">
        <v>33333.333333333336</v>
      </c>
      <c r="AR153" t="s">
        <v>690</v>
      </c>
      <c r="AS153" t="s">
        <v>75</v>
      </c>
      <c r="AX153" t="s">
        <v>76</v>
      </c>
      <c r="AY153" t="s">
        <v>176</v>
      </c>
      <c r="AZ153">
        <v>0</v>
      </c>
      <c r="BA153" t="s">
        <v>176</v>
      </c>
      <c r="BB153">
        <v>0</v>
      </c>
    </row>
    <row r="154" spans="1:56" x14ac:dyDescent="0.15">
      <c r="A154" s="4" t="str">
        <f>HYPERLINK("https://ibp.a2mac1.com/costing(costing:projects/details/9760/part/8411046)","Left Knuckle")</f>
        <v>Left Knuckle</v>
      </c>
      <c r="B154">
        <v>8411046</v>
      </c>
      <c r="C154">
        <v>8411022</v>
      </c>
      <c r="D154" t="s">
        <v>694</v>
      </c>
      <c r="E154">
        <v>15.2</v>
      </c>
      <c r="F154">
        <v>0</v>
      </c>
      <c r="G154">
        <v>0</v>
      </c>
      <c r="H154">
        <v>3.0400000000000002E-4</v>
      </c>
      <c r="I154" t="s">
        <v>176</v>
      </c>
      <c r="J154">
        <v>0.53200000000000003</v>
      </c>
      <c r="K154">
        <v>15.732303999999999</v>
      </c>
      <c r="L154">
        <v>2.1485104887487601</v>
      </c>
      <c r="M154">
        <v>7.51978671062066</v>
      </c>
      <c r="N154">
        <v>23.25209071062066</v>
      </c>
      <c r="O154" t="s">
        <v>177</v>
      </c>
      <c r="P154">
        <v>0.94393824000000004</v>
      </c>
      <c r="Q154" t="s">
        <v>177</v>
      </c>
      <c r="R154">
        <v>0.4511872026372396</v>
      </c>
      <c r="S154" t="s">
        <v>178</v>
      </c>
      <c r="T154">
        <v>2.7902508852744794</v>
      </c>
      <c r="U154" t="s">
        <v>90</v>
      </c>
      <c r="V154">
        <v>0</v>
      </c>
      <c r="W154" t="s">
        <v>90</v>
      </c>
      <c r="X154">
        <v>0</v>
      </c>
      <c r="Y154">
        <v>27.437467038532379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128</v>
      </c>
      <c r="AF154">
        <v>252</v>
      </c>
      <c r="AG154">
        <v>365</v>
      </c>
      <c r="AH154">
        <v>0</v>
      </c>
      <c r="AI154">
        <v>4.2290000000000001</v>
      </c>
      <c r="AK154" t="s">
        <v>95</v>
      </c>
      <c r="AM154">
        <v>200000</v>
      </c>
      <c r="AN154" t="s">
        <v>97</v>
      </c>
      <c r="AO154">
        <v>1</v>
      </c>
      <c r="AP154">
        <v>0</v>
      </c>
      <c r="AQ154">
        <v>16666.666666666668</v>
      </c>
      <c r="AR154" t="s">
        <v>695</v>
      </c>
      <c r="AS154" t="s">
        <v>75</v>
      </c>
      <c r="AX154" t="s">
        <v>76</v>
      </c>
      <c r="AY154" t="s">
        <v>176</v>
      </c>
      <c r="AZ154">
        <v>0</v>
      </c>
      <c r="BA154" t="s">
        <v>176</v>
      </c>
      <c r="BB154">
        <v>0</v>
      </c>
    </row>
    <row r="155" spans="1:56" x14ac:dyDescent="0.15">
      <c r="A155" s="4" t="str">
        <f>HYPERLINK("https://ibp.a2mac1.com/costing(costing:projects/details/9760/part/8411047)","Right Knuckle")</f>
        <v>Right Knuckle</v>
      </c>
      <c r="B155">
        <v>8411047</v>
      </c>
      <c r="C155">
        <v>8411022</v>
      </c>
      <c r="D155" t="s">
        <v>698</v>
      </c>
      <c r="E155">
        <v>15.2</v>
      </c>
      <c r="F155">
        <v>0</v>
      </c>
      <c r="G155">
        <v>0</v>
      </c>
      <c r="H155">
        <v>3.0400000000000002E-4</v>
      </c>
      <c r="I155" t="s">
        <v>176</v>
      </c>
      <c r="J155">
        <v>0.53200000000000003</v>
      </c>
      <c r="K155">
        <v>15.732303999999999</v>
      </c>
      <c r="L155">
        <v>2.1485104887487601</v>
      </c>
      <c r="M155">
        <v>7.51978671062066</v>
      </c>
      <c r="N155">
        <v>23.25209071062066</v>
      </c>
      <c r="O155" t="s">
        <v>177</v>
      </c>
      <c r="P155">
        <v>0.94393824000000004</v>
      </c>
      <c r="Q155" t="s">
        <v>177</v>
      </c>
      <c r="R155">
        <v>0.4511872026372396</v>
      </c>
      <c r="S155" t="s">
        <v>178</v>
      </c>
      <c r="T155">
        <v>2.7902508852744794</v>
      </c>
      <c r="U155" t="s">
        <v>90</v>
      </c>
      <c r="V155">
        <v>0</v>
      </c>
      <c r="W155" t="s">
        <v>90</v>
      </c>
      <c r="X155">
        <v>0</v>
      </c>
      <c r="Y155">
        <v>27.437467038532379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128</v>
      </c>
      <c r="AF155">
        <v>252</v>
      </c>
      <c r="AG155">
        <v>365</v>
      </c>
      <c r="AH155">
        <v>0</v>
      </c>
      <c r="AI155">
        <v>4.2350000000000003</v>
      </c>
      <c r="AK155" t="s">
        <v>95</v>
      </c>
      <c r="AM155">
        <v>200000</v>
      </c>
      <c r="AN155" t="s">
        <v>97</v>
      </c>
      <c r="AO155">
        <v>1</v>
      </c>
      <c r="AP155">
        <v>0</v>
      </c>
      <c r="AQ155">
        <v>16666.666666666668</v>
      </c>
      <c r="AR155" t="s">
        <v>699</v>
      </c>
      <c r="AS155" t="s">
        <v>75</v>
      </c>
      <c r="AX155" t="s">
        <v>76</v>
      </c>
      <c r="AY155" t="s">
        <v>176</v>
      </c>
      <c r="AZ155">
        <v>0</v>
      </c>
      <c r="BA155" t="s">
        <v>176</v>
      </c>
      <c r="BB155">
        <v>0</v>
      </c>
    </row>
    <row r="156" spans="1:56" x14ac:dyDescent="0.15">
      <c r="A156" s="4" t="str">
        <f>HYPERLINK("https://ibp.a2mac1.com/costing(costing:projects/details/9760/part/8411048)","Seal")</f>
        <v>Seal</v>
      </c>
      <c r="B156">
        <v>8411048</v>
      </c>
      <c r="C156">
        <v>8411022</v>
      </c>
      <c r="D156" t="s">
        <v>622</v>
      </c>
      <c r="E156">
        <v>0.16</v>
      </c>
      <c r="F156">
        <v>0</v>
      </c>
      <c r="G156">
        <v>0</v>
      </c>
      <c r="H156">
        <v>0</v>
      </c>
      <c r="I156" t="s">
        <v>71</v>
      </c>
      <c r="J156">
        <v>0</v>
      </c>
      <c r="K156">
        <v>0.16</v>
      </c>
      <c r="L156">
        <v>0</v>
      </c>
      <c r="M156">
        <v>0</v>
      </c>
      <c r="N156">
        <v>0.16</v>
      </c>
      <c r="O156" t="s">
        <v>71</v>
      </c>
      <c r="P156">
        <v>0</v>
      </c>
      <c r="Q156" t="s">
        <v>71</v>
      </c>
      <c r="R156">
        <v>0</v>
      </c>
      <c r="S156" t="s">
        <v>71</v>
      </c>
      <c r="T156">
        <v>0</v>
      </c>
      <c r="U156" t="s">
        <v>71</v>
      </c>
      <c r="V156">
        <v>0</v>
      </c>
      <c r="W156" t="s">
        <v>71</v>
      </c>
      <c r="X156">
        <v>0</v>
      </c>
      <c r="Y156">
        <v>0.16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16</v>
      </c>
      <c r="AF156">
        <v>74</v>
      </c>
      <c r="AG156">
        <v>74</v>
      </c>
      <c r="AH156">
        <v>0</v>
      </c>
      <c r="AI156">
        <v>1.4999999999999999E-2</v>
      </c>
      <c r="AK156" t="s">
        <v>100</v>
      </c>
      <c r="AM156">
        <v>400000</v>
      </c>
      <c r="AN156" t="s">
        <v>97</v>
      </c>
      <c r="AO156">
        <v>2</v>
      </c>
      <c r="AP156">
        <v>0</v>
      </c>
      <c r="AQ156">
        <v>33333.333333333336</v>
      </c>
      <c r="AR156" t="s">
        <v>700</v>
      </c>
      <c r="AS156" t="s">
        <v>75</v>
      </c>
      <c r="AX156" t="s">
        <v>76</v>
      </c>
      <c r="AY156" t="s">
        <v>71</v>
      </c>
      <c r="AZ156">
        <v>0</v>
      </c>
      <c r="BA156" t="s">
        <v>71</v>
      </c>
      <c r="BB156">
        <v>0</v>
      </c>
      <c r="BD156">
        <v>0.08</v>
      </c>
    </row>
    <row r="157" spans="1:56" x14ac:dyDescent="0.15">
      <c r="A157" s="4" t="str">
        <f>HYPERLINK("https://ibp.a2mac1.com/costing(costing:projects/details/9760/part/8411053)","Rim")</f>
        <v>Rim</v>
      </c>
      <c r="B157">
        <v>8411053</v>
      </c>
      <c r="C157">
        <v>8411024</v>
      </c>
      <c r="D157" t="s">
        <v>708</v>
      </c>
      <c r="E157">
        <v>41.64</v>
      </c>
      <c r="F157">
        <v>0</v>
      </c>
      <c r="G157">
        <v>0</v>
      </c>
      <c r="H157">
        <v>8.3279999999999997E-4</v>
      </c>
      <c r="I157" t="s">
        <v>176</v>
      </c>
      <c r="J157">
        <v>1.4574</v>
      </c>
      <c r="K157">
        <v>43.098232799999998</v>
      </c>
      <c r="L157">
        <v>4.1113441171010816</v>
      </c>
      <c r="M157">
        <v>24.66806470260649</v>
      </c>
      <c r="N157">
        <v>67.766297502606491</v>
      </c>
      <c r="O157" t="s">
        <v>177</v>
      </c>
      <c r="P157">
        <v>2.5858939680000002</v>
      </c>
      <c r="Q157" t="s">
        <v>177</v>
      </c>
      <c r="R157">
        <v>1.4800838821563893</v>
      </c>
      <c r="S157" t="s">
        <v>178</v>
      </c>
      <c r="T157">
        <v>8.131955700312778</v>
      </c>
      <c r="U157" t="s">
        <v>90</v>
      </c>
      <c r="V157">
        <v>0</v>
      </c>
      <c r="W157" t="s">
        <v>90</v>
      </c>
      <c r="X157">
        <v>0</v>
      </c>
      <c r="Y157">
        <v>79.96423105307565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255</v>
      </c>
      <c r="AF157">
        <v>547</v>
      </c>
      <c r="AG157">
        <v>547</v>
      </c>
      <c r="AH157">
        <v>0</v>
      </c>
      <c r="AI157">
        <v>14.112</v>
      </c>
      <c r="AK157" t="s">
        <v>100</v>
      </c>
      <c r="AM157">
        <v>400000</v>
      </c>
      <c r="AN157" t="s">
        <v>97</v>
      </c>
      <c r="AO157">
        <v>1</v>
      </c>
      <c r="AP157">
        <v>0</v>
      </c>
      <c r="AQ157">
        <v>33333.333333333336</v>
      </c>
      <c r="AR157" t="s">
        <v>709</v>
      </c>
      <c r="AS157" t="s">
        <v>75</v>
      </c>
      <c r="AX157" t="s">
        <v>76</v>
      </c>
      <c r="AY157" t="s">
        <v>176</v>
      </c>
      <c r="AZ157">
        <v>0</v>
      </c>
      <c r="BA157" t="s">
        <v>176</v>
      </c>
      <c r="BB157">
        <v>0</v>
      </c>
    </row>
    <row r="158" spans="1:56" x14ac:dyDescent="0.15">
      <c r="A158" s="4" t="str">
        <f>HYPERLINK("https://ibp.a2mac1.com/costing(costing:projects/details/9760/part/8411054)","Tires")</f>
        <v>Tires</v>
      </c>
      <c r="B158">
        <v>8411054</v>
      </c>
      <c r="C158">
        <v>8411024</v>
      </c>
      <c r="D158" t="s">
        <v>710</v>
      </c>
      <c r="E158">
        <v>72.038200000000003</v>
      </c>
      <c r="F158">
        <v>0</v>
      </c>
      <c r="G158">
        <v>0</v>
      </c>
      <c r="H158">
        <v>0</v>
      </c>
      <c r="I158" t="s">
        <v>71</v>
      </c>
      <c r="J158">
        <v>0</v>
      </c>
      <c r="K158">
        <v>72.038200000000003</v>
      </c>
      <c r="L158">
        <v>0</v>
      </c>
      <c r="M158">
        <v>0</v>
      </c>
      <c r="N158">
        <v>72.038200000000003</v>
      </c>
      <c r="O158" t="s">
        <v>71</v>
      </c>
      <c r="P158">
        <v>0</v>
      </c>
      <c r="Q158" t="s">
        <v>71</v>
      </c>
      <c r="R158">
        <v>0</v>
      </c>
      <c r="S158" t="s">
        <v>71</v>
      </c>
      <c r="T158">
        <v>0</v>
      </c>
      <c r="U158" t="s">
        <v>71</v>
      </c>
      <c r="V158">
        <v>0</v>
      </c>
      <c r="W158" t="s">
        <v>71</v>
      </c>
      <c r="X158">
        <v>0</v>
      </c>
      <c r="Y158">
        <v>72.038200000000003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265</v>
      </c>
      <c r="AF158">
        <v>705</v>
      </c>
      <c r="AG158">
        <v>705</v>
      </c>
      <c r="AH158">
        <v>0</v>
      </c>
      <c r="AI158">
        <v>12.561999999999999</v>
      </c>
      <c r="AK158" t="s">
        <v>100</v>
      </c>
      <c r="AM158">
        <v>400000</v>
      </c>
      <c r="AN158" t="s">
        <v>97</v>
      </c>
      <c r="AO158">
        <v>1</v>
      </c>
      <c r="AP158">
        <v>0</v>
      </c>
      <c r="AQ158">
        <v>33333.333333333336</v>
      </c>
      <c r="AR158" t="s">
        <v>711</v>
      </c>
      <c r="AS158" t="s">
        <v>75</v>
      </c>
      <c r="AX158" t="s">
        <v>76</v>
      </c>
      <c r="AY158" t="s">
        <v>71</v>
      </c>
      <c r="AZ158">
        <v>0</v>
      </c>
      <c r="BA158" t="s">
        <v>71</v>
      </c>
      <c r="BB158">
        <v>0</v>
      </c>
      <c r="BD158">
        <v>72.038200000000003</v>
      </c>
    </row>
    <row r="159" spans="1:56" x14ac:dyDescent="0.15">
      <c r="A159" s="4" t="str">
        <f>HYPERLINK("https://ibp.a2mac1.com/costing(costing:projects/details/9760/part/8411055)","Valve")</f>
        <v>Valve</v>
      </c>
      <c r="B159">
        <v>8411055</v>
      </c>
      <c r="C159">
        <v>8411024</v>
      </c>
      <c r="E159">
        <v>0.3</v>
      </c>
      <c r="F159">
        <v>0</v>
      </c>
      <c r="G159">
        <v>0</v>
      </c>
      <c r="H159">
        <v>0</v>
      </c>
      <c r="I159" t="s">
        <v>71</v>
      </c>
      <c r="J159">
        <v>0</v>
      </c>
      <c r="K159">
        <v>0.3</v>
      </c>
      <c r="L159">
        <v>0</v>
      </c>
      <c r="M159">
        <v>0</v>
      </c>
      <c r="N159">
        <v>0.3</v>
      </c>
      <c r="O159" t="s">
        <v>71</v>
      </c>
      <c r="P159">
        <v>0</v>
      </c>
      <c r="Q159" t="s">
        <v>71</v>
      </c>
      <c r="R159">
        <v>0</v>
      </c>
      <c r="S159" t="s">
        <v>71</v>
      </c>
      <c r="T159">
        <v>0</v>
      </c>
      <c r="U159" t="s">
        <v>71</v>
      </c>
      <c r="V159">
        <v>0</v>
      </c>
      <c r="W159" t="s">
        <v>71</v>
      </c>
      <c r="X159">
        <v>0</v>
      </c>
      <c r="Y159">
        <v>0.3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16</v>
      </c>
      <c r="AF159">
        <v>16</v>
      </c>
      <c r="AG159">
        <v>56</v>
      </c>
      <c r="AH159">
        <v>0</v>
      </c>
      <c r="AI159">
        <v>8.0000000000000002E-3</v>
      </c>
      <c r="AK159" t="s">
        <v>95</v>
      </c>
      <c r="AM159">
        <v>400000</v>
      </c>
      <c r="AN159" t="s">
        <v>97</v>
      </c>
      <c r="AO159">
        <v>1</v>
      </c>
      <c r="AP159">
        <v>0</v>
      </c>
      <c r="AQ159">
        <v>33333.333333333336</v>
      </c>
      <c r="AR159" t="s">
        <v>712</v>
      </c>
      <c r="AS159" t="s">
        <v>75</v>
      </c>
      <c r="AX159" t="s">
        <v>76</v>
      </c>
      <c r="AY159" t="s">
        <v>71</v>
      </c>
      <c r="AZ159">
        <v>0</v>
      </c>
      <c r="BA159" t="s">
        <v>71</v>
      </c>
      <c r="BB159">
        <v>0</v>
      </c>
      <c r="BD159">
        <v>0.3</v>
      </c>
    </row>
    <row r="160" spans="1:56" x14ac:dyDescent="0.15">
      <c r="A160" s="4" t="str">
        <f>HYPERLINK("https://ibp.a2mac1.com/costing(costing:projects/details/9760/part/8411056)","Tire Pressure Sensor")</f>
        <v>Tire Pressure Sensor</v>
      </c>
      <c r="B160">
        <v>8411056</v>
      </c>
      <c r="C160">
        <v>8411024</v>
      </c>
      <c r="E160">
        <v>3.9</v>
      </c>
      <c r="F160">
        <v>0</v>
      </c>
      <c r="G160">
        <v>0</v>
      </c>
      <c r="H160">
        <v>0</v>
      </c>
      <c r="I160" t="s">
        <v>71</v>
      </c>
      <c r="J160">
        <v>0</v>
      </c>
      <c r="K160">
        <v>3.9</v>
      </c>
      <c r="L160">
        <v>0</v>
      </c>
      <c r="M160">
        <v>0</v>
      </c>
      <c r="N160">
        <v>3.9</v>
      </c>
      <c r="O160" t="s">
        <v>71</v>
      </c>
      <c r="P160">
        <v>0</v>
      </c>
      <c r="Q160" t="s">
        <v>71</v>
      </c>
      <c r="R160">
        <v>0</v>
      </c>
      <c r="S160" t="s">
        <v>71</v>
      </c>
      <c r="T160">
        <v>0</v>
      </c>
      <c r="U160" t="s">
        <v>71</v>
      </c>
      <c r="V160">
        <v>0</v>
      </c>
      <c r="W160" t="s">
        <v>71</v>
      </c>
      <c r="X160">
        <v>0</v>
      </c>
      <c r="Y160">
        <v>3.9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14</v>
      </c>
      <c r="AF160">
        <v>44</v>
      </c>
      <c r="AG160">
        <v>28</v>
      </c>
      <c r="AH160">
        <v>0</v>
      </c>
      <c r="AI160">
        <v>8.9999999999999993E-3</v>
      </c>
      <c r="AK160" t="s">
        <v>95</v>
      </c>
      <c r="AM160">
        <v>400000</v>
      </c>
      <c r="AN160" t="s">
        <v>97</v>
      </c>
      <c r="AO160">
        <v>1</v>
      </c>
      <c r="AP160">
        <v>0</v>
      </c>
      <c r="AQ160">
        <v>33333.333333333336</v>
      </c>
      <c r="AR160" t="s">
        <v>713</v>
      </c>
      <c r="AS160" t="s">
        <v>75</v>
      </c>
      <c r="AX160" t="s">
        <v>76</v>
      </c>
      <c r="AY160" t="s">
        <v>71</v>
      </c>
      <c r="AZ160">
        <v>0</v>
      </c>
      <c r="BA160" t="s">
        <v>71</v>
      </c>
      <c r="BB160">
        <v>0</v>
      </c>
      <c r="BD160">
        <v>3.9</v>
      </c>
    </row>
    <row r="161" spans="1:56" x14ac:dyDescent="0.15">
      <c r="A161" s="4" t="str">
        <f>HYPERLINK("https://ibp.a2mac1.com/costing(costing:projects/details/9760/part/8411057)","Rim")</f>
        <v>Rim</v>
      </c>
      <c r="B161">
        <v>8411057</v>
      </c>
      <c r="C161">
        <v>8411025</v>
      </c>
      <c r="D161" t="s">
        <v>708</v>
      </c>
      <c r="E161">
        <v>42.92</v>
      </c>
      <c r="F161">
        <v>0</v>
      </c>
      <c r="G161">
        <v>0</v>
      </c>
      <c r="H161">
        <v>8.5840000000000005E-4</v>
      </c>
      <c r="I161" t="s">
        <v>176</v>
      </c>
      <c r="J161">
        <v>1.5022</v>
      </c>
      <c r="K161">
        <v>44.423058400000002</v>
      </c>
      <c r="L161">
        <v>4.1412169842992741</v>
      </c>
      <c r="M161">
        <v>24.847301905795643</v>
      </c>
      <c r="N161">
        <v>69.270360305795649</v>
      </c>
      <c r="O161" t="s">
        <v>177</v>
      </c>
      <c r="P161">
        <v>2.6653835039999998</v>
      </c>
      <c r="Q161" t="s">
        <v>177</v>
      </c>
      <c r="R161">
        <v>1.4908381143477385</v>
      </c>
      <c r="S161" t="s">
        <v>178</v>
      </c>
      <c r="T161">
        <v>8.3124432366954775</v>
      </c>
      <c r="U161" t="s">
        <v>90</v>
      </c>
      <c r="V161">
        <v>0</v>
      </c>
      <c r="W161" t="s">
        <v>90</v>
      </c>
      <c r="X161">
        <v>0</v>
      </c>
      <c r="Y161">
        <v>81.739025160838864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255</v>
      </c>
      <c r="AF161">
        <v>547</v>
      </c>
      <c r="AG161">
        <v>547</v>
      </c>
      <c r="AH161">
        <v>0</v>
      </c>
      <c r="AI161">
        <v>14.112</v>
      </c>
      <c r="AK161" t="s">
        <v>100</v>
      </c>
      <c r="AM161">
        <v>400000</v>
      </c>
      <c r="AN161" t="s">
        <v>97</v>
      </c>
      <c r="AO161">
        <v>1</v>
      </c>
      <c r="AP161">
        <v>0</v>
      </c>
      <c r="AQ161">
        <v>33333.333333333336</v>
      </c>
      <c r="AR161" t="s">
        <v>718</v>
      </c>
      <c r="AS161" t="s">
        <v>75</v>
      </c>
      <c r="AX161" t="s">
        <v>76</v>
      </c>
      <c r="AY161" t="s">
        <v>176</v>
      </c>
      <c r="AZ161">
        <v>0</v>
      </c>
      <c r="BA161" t="s">
        <v>176</v>
      </c>
      <c r="BB161">
        <v>0</v>
      </c>
    </row>
    <row r="162" spans="1:56" x14ac:dyDescent="0.15">
      <c r="A162" s="4" t="str">
        <f>HYPERLINK("https://ibp.a2mac1.com/costing(costing:projects/details/9760/part/8411058)","Tires")</f>
        <v>Tires</v>
      </c>
      <c r="B162">
        <v>8411058</v>
      </c>
      <c r="C162">
        <v>8411025</v>
      </c>
      <c r="D162" t="s">
        <v>710</v>
      </c>
      <c r="E162">
        <v>77.332400000000007</v>
      </c>
      <c r="F162">
        <v>0</v>
      </c>
      <c r="G162">
        <v>0</v>
      </c>
      <c r="H162">
        <v>0</v>
      </c>
      <c r="I162" t="s">
        <v>71</v>
      </c>
      <c r="J162">
        <v>0</v>
      </c>
      <c r="K162">
        <v>77.332400000000007</v>
      </c>
      <c r="L162">
        <v>0</v>
      </c>
      <c r="M162">
        <v>0</v>
      </c>
      <c r="N162">
        <v>77.332400000000007</v>
      </c>
      <c r="O162" t="s">
        <v>71</v>
      </c>
      <c r="P162">
        <v>0</v>
      </c>
      <c r="Q162" t="s">
        <v>71</v>
      </c>
      <c r="R162">
        <v>0</v>
      </c>
      <c r="S162" t="s">
        <v>71</v>
      </c>
      <c r="T162">
        <v>0</v>
      </c>
      <c r="U162" t="s">
        <v>71</v>
      </c>
      <c r="V162">
        <v>0</v>
      </c>
      <c r="W162" t="s">
        <v>71</v>
      </c>
      <c r="X162">
        <v>0</v>
      </c>
      <c r="Y162">
        <v>77.332400000000007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265</v>
      </c>
      <c r="AF162">
        <v>705</v>
      </c>
      <c r="AG162">
        <v>705</v>
      </c>
      <c r="AH162">
        <v>0</v>
      </c>
      <c r="AI162">
        <v>12.561999999999999</v>
      </c>
      <c r="AK162" t="s">
        <v>100</v>
      </c>
      <c r="AM162">
        <v>400000</v>
      </c>
      <c r="AN162" t="s">
        <v>97</v>
      </c>
      <c r="AO162">
        <v>1</v>
      </c>
      <c r="AP162">
        <v>0</v>
      </c>
      <c r="AQ162">
        <v>33333.333333333336</v>
      </c>
      <c r="AR162" t="s">
        <v>719</v>
      </c>
      <c r="AS162" t="s">
        <v>75</v>
      </c>
      <c r="AX162" t="s">
        <v>76</v>
      </c>
      <c r="AY162" t="s">
        <v>71</v>
      </c>
      <c r="AZ162">
        <v>0</v>
      </c>
      <c r="BA162" t="s">
        <v>71</v>
      </c>
      <c r="BB162">
        <v>0</v>
      </c>
      <c r="BD162">
        <v>77.332400000000007</v>
      </c>
    </row>
    <row r="163" spans="1:56" x14ac:dyDescent="0.15">
      <c r="A163" s="4" t="str">
        <f>HYPERLINK("https://ibp.a2mac1.com/costing(costing:projects/details/9760/part/8411059)","Valve")</f>
        <v>Valve</v>
      </c>
      <c r="B163">
        <v>8411059</v>
      </c>
      <c r="C163">
        <v>8411025</v>
      </c>
      <c r="E163">
        <v>0.3</v>
      </c>
      <c r="F163">
        <v>0</v>
      </c>
      <c r="G163">
        <v>0</v>
      </c>
      <c r="H163">
        <v>0</v>
      </c>
      <c r="I163" t="s">
        <v>71</v>
      </c>
      <c r="J163">
        <v>0</v>
      </c>
      <c r="K163">
        <v>0.3</v>
      </c>
      <c r="L163">
        <v>0</v>
      </c>
      <c r="M163">
        <v>0</v>
      </c>
      <c r="N163">
        <v>0.3</v>
      </c>
      <c r="O163" t="s">
        <v>71</v>
      </c>
      <c r="P163">
        <v>0</v>
      </c>
      <c r="Q163" t="s">
        <v>71</v>
      </c>
      <c r="R163">
        <v>0</v>
      </c>
      <c r="S163" t="s">
        <v>71</v>
      </c>
      <c r="T163">
        <v>0</v>
      </c>
      <c r="U163" t="s">
        <v>71</v>
      </c>
      <c r="V163">
        <v>0</v>
      </c>
      <c r="W163" t="s">
        <v>71</v>
      </c>
      <c r="X163">
        <v>0</v>
      </c>
      <c r="Y163">
        <v>0.3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16</v>
      </c>
      <c r="AF163">
        <v>16</v>
      </c>
      <c r="AG163">
        <v>56</v>
      </c>
      <c r="AH163">
        <v>0</v>
      </c>
      <c r="AI163">
        <v>8.0000000000000002E-3</v>
      </c>
      <c r="AK163" t="s">
        <v>95</v>
      </c>
      <c r="AM163">
        <v>400000</v>
      </c>
      <c r="AN163" t="s">
        <v>97</v>
      </c>
      <c r="AO163">
        <v>1</v>
      </c>
      <c r="AP163">
        <v>0</v>
      </c>
      <c r="AQ163">
        <v>33333.333333333336</v>
      </c>
      <c r="AR163" t="s">
        <v>720</v>
      </c>
      <c r="AS163" t="s">
        <v>75</v>
      </c>
      <c r="AX163" t="s">
        <v>76</v>
      </c>
      <c r="AY163" t="s">
        <v>71</v>
      </c>
      <c r="AZ163">
        <v>0</v>
      </c>
      <c r="BA163" t="s">
        <v>71</v>
      </c>
      <c r="BB163">
        <v>0</v>
      </c>
      <c r="BD163">
        <v>0.3</v>
      </c>
    </row>
    <row r="164" spans="1:56" x14ac:dyDescent="0.15">
      <c r="A164" s="4" t="str">
        <f>HYPERLINK("https://ibp.a2mac1.com/costing(costing:projects/details/9760/part/8411060)","Tire Pressure Sensor")</f>
        <v>Tire Pressure Sensor</v>
      </c>
      <c r="B164">
        <v>8411060</v>
      </c>
      <c r="C164">
        <v>8411025</v>
      </c>
      <c r="E164">
        <v>3.9</v>
      </c>
      <c r="F164">
        <v>0</v>
      </c>
      <c r="G164">
        <v>0</v>
      </c>
      <c r="H164">
        <v>0</v>
      </c>
      <c r="I164" t="s">
        <v>71</v>
      </c>
      <c r="J164">
        <v>0</v>
      </c>
      <c r="K164">
        <v>3.9</v>
      </c>
      <c r="L164">
        <v>0</v>
      </c>
      <c r="M164">
        <v>0</v>
      </c>
      <c r="N164">
        <v>3.9</v>
      </c>
      <c r="O164" t="s">
        <v>71</v>
      </c>
      <c r="P164">
        <v>0</v>
      </c>
      <c r="Q164" t="s">
        <v>71</v>
      </c>
      <c r="R164">
        <v>0</v>
      </c>
      <c r="S164" t="s">
        <v>71</v>
      </c>
      <c r="T164">
        <v>0</v>
      </c>
      <c r="U164" t="s">
        <v>71</v>
      </c>
      <c r="V164">
        <v>0</v>
      </c>
      <c r="W164" t="s">
        <v>71</v>
      </c>
      <c r="X164">
        <v>0</v>
      </c>
      <c r="Y164">
        <v>3.9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14</v>
      </c>
      <c r="AF164">
        <v>44</v>
      </c>
      <c r="AG164">
        <v>28</v>
      </c>
      <c r="AH164">
        <v>0</v>
      </c>
      <c r="AI164">
        <v>8.9999999999999993E-3</v>
      </c>
      <c r="AK164" t="s">
        <v>95</v>
      </c>
      <c r="AM164">
        <v>400000</v>
      </c>
      <c r="AN164" t="s">
        <v>97</v>
      </c>
      <c r="AO164">
        <v>1</v>
      </c>
      <c r="AP164">
        <v>0</v>
      </c>
      <c r="AQ164">
        <v>33333.333333333336</v>
      </c>
      <c r="AR164" t="s">
        <v>721</v>
      </c>
      <c r="AS164" t="s">
        <v>75</v>
      </c>
      <c r="AX164" t="s">
        <v>76</v>
      </c>
      <c r="AY164" t="s">
        <v>71</v>
      </c>
      <c r="AZ164">
        <v>0</v>
      </c>
      <c r="BA164" t="s">
        <v>71</v>
      </c>
      <c r="BB164">
        <v>0</v>
      </c>
      <c r="BD164">
        <v>3.9</v>
      </c>
    </row>
    <row r="165" spans="1:56" x14ac:dyDescent="0.15">
      <c r="A165" s="4" t="str">
        <f>HYPERLINK("https://ibp.a2mac1.com/costing(costing:projects/details/9760/part/8411023)","Hub Cover")</f>
        <v>Hub Cover</v>
      </c>
      <c r="B165">
        <v>8411023</v>
      </c>
      <c r="C165">
        <v>8411016</v>
      </c>
      <c r="D165" t="s">
        <v>723</v>
      </c>
      <c r="E165">
        <v>3.84</v>
      </c>
      <c r="F165">
        <v>0</v>
      </c>
      <c r="G165">
        <v>0</v>
      </c>
      <c r="H165">
        <v>0</v>
      </c>
      <c r="I165" t="s">
        <v>71</v>
      </c>
      <c r="J165">
        <v>0</v>
      </c>
      <c r="K165">
        <v>3.84</v>
      </c>
      <c r="L165">
        <v>0</v>
      </c>
      <c r="M165">
        <v>0</v>
      </c>
      <c r="N165">
        <v>3.84</v>
      </c>
      <c r="O165" t="s">
        <v>71</v>
      </c>
      <c r="P165">
        <v>0</v>
      </c>
      <c r="Q165" t="s">
        <v>71</v>
      </c>
      <c r="R165">
        <v>0</v>
      </c>
      <c r="S165" t="s">
        <v>71</v>
      </c>
      <c r="T165">
        <v>0</v>
      </c>
      <c r="U165" t="s">
        <v>71</v>
      </c>
      <c r="V165">
        <v>0</v>
      </c>
      <c r="W165" t="s">
        <v>71</v>
      </c>
      <c r="X165">
        <v>0</v>
      </c>
      <c r="Y165">
        <v>3.84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17</v>
      </c>
      <c r="AF165">
        <v>60</v>
      </c>
      <c r="AG165">
        <v>60</v>
      </c>
      <c r="AH165">
        <v>0</v>
      </c>
      <c r="AI165">
        <v>1.7250000000000001E-2</v>
      </c>
      <c r="AK165" t="s">
        <v>100</v>
      </c>
      <c r="AM165">
        <v>800000</v>
      </c>
      <c r="AN165" t="s">
        <v>97</v>
      </c>
      <c r="AO165">
        <v>4</v>
      </c>
      <c r="AP165">
        <v>0</v>
      </c>
      <c r="AQ165">
        <v>66666.666666666672</v>
      </c>
      <c r="AR165" t="s">
        <v>724</v>
      </c>
      <c r="AS165" t="s">
        <v>75</v>
      </c>
      <c r="AX165" t="s">
        <v>76</v>
      </c>
      <c r="AY165" t="s">
        <v>71</v>
      </c>
      <c r="AZ165">
        <v>0</v>
      </c>
      <c r="BA165" t="s">
        <v>71</v>
      </c>
      <c r="BB165">
        <v>0</v>
      </c>
      <c r="BD165">
        <v>0.96</v>
      </c>
    </row>
    <row r="166" spans="1:56" x14ac:dyDescent="0.15">
      <c r="A166" s="4" t="str">
        <f>HYPERLINK("https://ibp.a2mac1.com/costing(costing:projects/details/9760/part/8411017)","Fasteners")</f>
        <v>Fasteners</v>
      </c>
      <c r="B166">
        <v>8411017</v>
      </c>
      <c r="C166">
        <v>8411013</v>
      </c>
      <c r="E166">
        <v>67.5</v>
      </c>
      <c r="F166">
        <v>0</v>
      </c>
      <c r="G166">
        <v>0</v>
      </c>
      <c r="H166">
        <v>0</v>
      </c>
      <c r="I166" t="s">
        <v>71</v>
      </c>
      <c r="J166">
        <v>0</v>
      </c>
      <c r="K166">
        <v>67.5</v>
      </c>
      <c r="L166">
        <v>0</v>
      </c>
      <c r="M166">
        <v>0</v>
      </c>
      <c r="N166">
        <v>67.5</v>
      </c>
      <c r="O166" t="s">
        <v>71</v>
      </c>
      <c r="P166">
        <v>0</v>
      </c>
      <c r="Q166" t="s">
        <v>71</v>
      </c>
      <c r="R166">
        <v>0</v>
      </c>
      <c r="S166" t="s">
        <v>71</v>
      </c>
      <c r="T166">
        <v>0</v>
      </c>
      <c r="U166" t="s">
        <v>71</v>
      </c>
      <c r="V166">
        <v>0</v>
      </c>
      <c r="W166" t="s">
        <v>71</v>
      </c>
      <c r="X166">
        <v>0</v>
      </c>
      <c r="Y166">
        <v>67.5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 t="s">
        <v>272</v>
      </c>
      <c r="AM166">
        <v>200000</v>
      </c>
      <c r="AN166" t="s">
        <v>97</v>
      </c>
      <c r="AO166">
        <v>1</v>
      </c>
      <c r="AP166">
        <v>0</v>
      </c>
      <c r="AQ166">
        <v>16666.666666666668</v>
      </c>
      <c r="AR166" t="s">
        <v>9</v>
      </c>
      <c r="AS166" t="s">
        <v>75</v>
      </c>
      <c r="AV166">
        <v>0</v>
      </c>
      <c r="AW166">
        <v>0</v>
      </c>
      <c r="AX166" t="s">
        <v>76</v>
      </c>
      <c r="AY166" t="s">
        <v>71</v>
      </c>
      <c r="AZ166">
        <v>0</v>
      </c>
      <c r="BA166" t="s">
        <v>71</v>
      </c>
      <c r="BB166">
        <v>0</v>
      </c>
      <c r="BD166">
        <v>67.5</v>
      </c>
    </row>
    <row r="167" spans="1:56" x14ac:dyDescent="0.15">
      <c r="A167" s="4" t="str">
        <f>HYPERLINK("https://ibp.a2mac1.com/costing(costing:projects/details/9760/part/8411279)","Bezel")</f>
        <v>Bezel</v>
      </c>
      <c r="B167">
        <v>8411279</v>
      </c>
      <c r="C167">
        <v>8411148</v>
      </c>
      <c r="E167">
        <v>0.08</v>
      </c>
      <c r="F167">
        <v>0</v>
      </c>
      <c r="G167">
        <v>0</v>
      </c>
      <c r="H167">
        <v>4.0479999999999997E-4</v>
      </c>
      <c r="I167" t="s">
        <v>176</v>
      </c>
      <c r="J167">
        <v>2.8E-3</v>
      </c>
      <c r="K167">
        <v>8.3204799999999995E-2</v>
      </c>
      <c r="L167">
        <v>3.2381729665402474E-2</v>
      </c>
      <c r="M167">
        <v>0.19429037799241486</v>
      </c>
      <c r="N167">
        <v>0.27749517799241485</v>
      </c>
      <c r="O167" t="s">
        <v>177</v>
      </c>
      <c r="P167">
        <v>4.9922880000000001E-3</v>
      </c>
      <c r="Q167" t="s">
        <v>177</v>
      </c>
      <c r="R167">
        <v>1.1657422679544891E-2</v>
      </c>
      <c r="S167" t="s">
        <v>178</v>
      </c>
      <c r="T167">
        <v>3.3299421359089781E-2</v>
      </c>
      <c r="U167" t="s">
        <v>90</v>
      </c>
      <c r="V167">
        <v>0</v>
      </c>
      <c r="W167" t="s">
        <v>90</v>
      </c>
      <c r="X167">
        <v>0</v>
      </c>
      <c r="Y167">
        <v>0.32744431003104951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13</v>
      </c>
      <c r="AF167">
        <v>92</v>
      </c>
      <c r="AG167">
        <v>88</v>
      </c>
      <c r="AI167">
        <v>4.0000000000000001E-3</v>
      </c>
      <c r="AK167" t="s">
        <v>740</v>
      </c>
      <c r="AL167" t="s">
        <v>412</v>
      </c>
      <c r="AM167">
        <v>200000</v>
      </c>
      <c r="AN167" t="s">
        <v>97</v>
      </c>
      <c r="AO167">
        <v>1</v>
      </c>
      <c r="AP167">
        <v>0</v>
      </c>
      <c r="AQ167">
        <v>16666.666666666668</v>
      </c>
      <c r="AR167" t="s">
        <v>741</v>
      </c>
      <c r="AS167" t="s">
        <v>75</v>
      </c>
      <c r="AX167" t="s">
        <v>76</v>
      </c>
      <c r="AY167" t="s">
        <v>176</v>
      </c>
      <c r="AZ167">
        <v>0</v>
      </c>
      <c r="BA167" t="s">
        <v>176</v>
      </c>
      <c r="BB167">
        <v>0</v>
      </c>
    </row>
    <row r="168" spans="1:56" x14ac:dyDescent="0.15">
      <c r="A168" s="4" t="str">
        <f>HYPERLINK("https://ibp.a2mac1.com/costing(costing:projects/details/9760/part/8411280)","Airbag")</f>
        <v>Airbag</v>
      </c>
      <c r="B168">
        <v>8411280</v>
      </c>
      <c r="C168">
        <v>8411148</v>
      </c>
      <c r="E168">
        <v>20</v>
      </c>
      <c r="F168">
        <v>0</v>
      </c>
      <c r="G168">
        <v>0</v>
      </c>
      <c r="H168">
        <v>0.1012</v>
      </c>
      <c r="I168" t="s">
        <v>176</v>
      </c>
      <c r="J168">
        <v>0.7</v>
      </c>
      <c r="K168">
        <v>20.801200000000001</v>
      </c>
      <c r="L168">
        <v>0.11891983251537754</v>
      </c>
      <c r="M168">
        <v>0.71351899509226524</v>
      </c>
      <c r="N168">
        <v>21.514718995092267</v>
      </c>
      <c r="O168" t="s">
        <v>90</v>
      </c>
      <c r="P168">
        <v>0</v>
      </c>
      <c r="Q168" t="s">
        <v>90</v>
      </c>
      <c r="R168">
        <v>0</v>
      </c>
      <c r="S168" t="s">
        <v>90</v>
      </c>
      <c r="T168">
        <v>0</v>
      </c>
      <c r="U168" t="s">
        <v>90</v>
      </c>
      <c r="V168">
        <v>0</v>
      </c>
      <c r="W168" t="s">
        <v>90</v>
      </c>
      <c r="X168">
        <v>0</v>
      </c>
      <c r="Y168">
        <v>21.514718995092267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40</v>
      </c>
      <c r="AF168">
        <v>570</v>
      </c>
      <c r="AG168">
        <v>550</v>
      </c>
      <c r="AI168">
        <v>0.23</v>
      </c>
      <c r="AK168" t="s">
        <v>740</v>
      </c>
      <c r="AL168" t="s">
        <v>448</v>
      </c>
      <c r="AM168">
        <v>200000</v>
      </c>
      <c r="AN168" t="s">
        <v>73</v>
      </c>
      <c r="AO168">
        <v>1</v>
      </c>
      <c r="AP168">
        <v>0</v>
      </c>
      <c r="AQ168">
        <v>16666.666666666668</v>
      </c>
      <c r="AR168" t="s">
        <v>746</v>
      </c>
      <c r="AS168" t="s">
        <v>75</v>
      </c>
      <c r="AX168" t="s">
        <v>76</v>
      </c>
      <c r="AY168" t="s">
        <v>176</v>
      </c>
      <c r="AZ168">
        <v>0</v>
      </c>
      <c r="BA168" t="s">
        <v>176</v>
      </c>
      <c r="BB168">
        <v>0</v>
      </c>
    </row>
    <row r="169" spans="1:56" x14ac:dyDescent="0.15">
      <c r="A169" s="4" t="str">
        <f>HYPERLINK("https://ibp.a2mac1.com/costing(costing:projects/details/9760/part/8411281)","Airbag Protection")</f>
        <v>Airbag Protection</v>
      </c>
      <c r="B169">
        <v>8411281</v>
      </c>
      <c r="C169">
        <v>8411148</v>
      </c>
      <c r="E169">
        <v>17</v>
      </c>
      <c r="F169">
        <v>0</v>
      </c>
      <c r="G169">
        <v>0</v>
      </c>
      <c r="H169">
        <v>8.6019999999999999E-2</v>
      </c>
      <c r="I169" t="s">
        <v>176</v>
      </c>
      <c r="J169">
        <v>0.59499999999999997</v>
      </c>
      <c r="K169">
        <v>17.68102</v>
      </c>
      <c r="L169">
        <v>4.1243899592881732E-3</v>
      </c>
      <c r="M169">
        <v>2.4746339755729041E-2</v>
      </c>
      <c r="N169">
        <v>17.70576633975573</v>
      </c>
      <c r="O169" t="s">
        <v>90</v>
      </c>
      <c r="P169">
        <v>0</v>
      </c>
      <c r="Q169" t="s">
        <v>90</v>
      </c>
      <c r="R169">
        <v>0</v>
      </c>
      <c r="S169" t="s">
        <v>90</v>
      </c>
      <c r="T169">
        <v>0</v>
      </c>
      <c r="U169" t="s">
        <v>90</v>
      </c>
      <c r="V169">
        <v>0</v>
      </c>
      <c r="W169" t="s">
        <v>90</v>
      </c>
      <c r="X169">
        <v>0</v>
      </c>
      <c r="Y169">
        <v>17.70576633975573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253</v>
      </c>
      <c r="AG169">
        <v>245</v>
      </c>
      <c r="AI169">
        <v>6.0000000000000001E-3</v>
      </c>
      <c r="AK169" t="s">
        <v>740</v>
      </c>
      <c r="AL169" t="s">
        <v>749</v>
      </c>
      <c r="AM169">
        <v>200000</v>
      </c>
      <c r="AN169" t="s">
        <v>73</v>
      </c>
      <c r="AO169">
        <v>1</v>
      </c>
      <c r="AP169">
        <v>0</v>
      </c>
      <c r="AQ169">
        <v>16666.666666666668</v>
      </c>
      <c r="AR169" t="s">
        <v>750</v>
      </c>
      <c r="AS169" t="s">
        <v>75</v>
      </c>
      <c r="AX169" t="s">
        <v>76</v>
      </c>
      <c r="AY169" t="s">
        <v>176</v>
      </c>
      <c r="AZ169">
        <v>0</v>
      </c>
      <c r="BA169" t="s">
        <v>176</v>
      </c>
      <c r="BB169">
        <v>0</v>
      </c>
    </row>
    <row r="170" spans="1:56" x14ac:dyDescent="0.15">
      <c r="A170" s="4" t="str">
        <f>HYPERLINK("https://ibp.a2mac1.com/costing(costing:projects/details/9760/part/8411282)","Airbag Fastener")</f>
        <v>Airbag Fastener</v>
      </c>
      <c r="B170">
        <v>8411282</v>
      </c>
      <c r="C170">
        <v>8411148</v>
      </c>
      <c r="E170">
        <v>0.2</v>
      </c>
      <c r="F170">
        <v>0</v>
      </c>
      <c r="G170">
        <v>0</v>
      </c>
      <c r="H170">
        <v>1.0120000000000001E-3</v>
      </c>
      <c r="I170" t="s">
        <v>176</v>
      </c>
      <c r="J170">
        <v>7.0000000000000001E-3</v>
      </c>
      <c r="K170">
        <v>0.208012</v>
      </c>
      <c r="L170">
        <v>1.1188724885816749E-2</v>
      </c>
      <c r="M170">
        <v>6.7132349314900502E-2</v>
      </c>
      <c r="N170">
        <v>0.2751443493149005</v>
      </c>
      <c r="O170" t="s">
        <v>177</v>
      </c>
      <c r="P170">
        <v>1.2480720000000001E-2</v>
      </c>
      <c r="Q170" t="s">
        <v>177</v>
      </c>
      <c r="R170">
        <v>4.02794095889403E-3</v>
      </c>
      <c r="S170" t="s">
        <v>178</v>
      </c>
      <c r="T170">
        <v>3.3017321917788056E-2</v>
      </c>
      <c r="U170" t="s">
        <v>90</v>
      </c>
      <c r="V170">
        <v>0</v>
      </c>
      <c r="W170" t="s">
        <v>90</v>
      </c>
      <c r="X170">
        <v>0</v>
      </c>
      <c r="Y170">
        <v>0.32467033219158259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34</v>
      </c>
      <c r="AF170">
        <v>82</v>
      </c>
      <c r="AG170">
        <v>82</v>
      </c>
      <c r="AI170">
        <v>5.8999999999999997E-2</v>
      </c>
      <c r="AK170" t="s">
        <v>740</v>
      </c>
      <c r="AL170" t="s">
        <v>754</v>
      </c>
      <c r="AM170">
        <v>200000</v>
      </c>
      <c r="AN170" t="s">
        <v>97</v>
      </c>
      <c r="AO170">
        <v>1</v>
      </c>
      <c r="AP170">
        <v>0</v>
      </c>
      <c r="AQ170">
        <v>16666.666666666668</v>
      </c>
      <c r="AR170" t="s">
        <v>755</v>
      </c>
      <c r="AS170" t="s">
        <v>75</v>
      </c>
      <c r="AX170" t="s">
        <v>76</v>
      </c>
      <c r="AY170" t="s">
        <v>176</v>
      </c>
      <c r="AZ170">
        <v>0</v>
      </c>
      <c r="BA170" t="s">
        <v>176</v>
      </c>
      <c r="BB170">
        <v>0</v>
      </c>
    </row>
    <row r="171" spans="1:56" x14ac:dyDescent="0.15">
      <c r="A171" s="4" t="str">
        <f>HYPERLINK("https://ibp.a2mac1.com/costing(costing:projects/details/9760/part/8411283)","Airbag Cylinder")</f>
        <v>Airbag Cylinder</v>
      </c>
      <c r="B171">
        <v>8411283</v>
      </c>
      <c r="C171">
        <v>8411148</v>
      </c>
      <c r="D171" t="s">
        <v>756</v>
      </c>
      <c r="E171">
        <v>6.5699899999999998</v>
      </c>
      <c r="F171">
        <v>0</v>
      </c>
      <c r="G171">
        <v>0</v>
      </c>
      <c r="H171">
        <v>0</v>
      </c>
      <c r="I171" t="s">
        <v>71</v>
      </c>
      <c r="J171">
        <v>0</v>
      </c>
      <c r="K171">
        <v>6.5699899999999998</v>
      </c>
      <c r="L171">
        <v>0</v>
      </c>
      <c r="M171">
        <v>0</v>
      </c>
      <c r="N171">
        <v>6.5699899999999998</v>
      </c>
      <c r="O171" t="s">
        <v>71</v>
      </c>
      <c r="P171">
        <v>0</v>
      </c>
      <c r="Q171" t="s">
        <v>71</v>
      </c>
      <c r="R171">
        <v>0</v>
      </c>
      <c r="S171" t="s">
        <v>71</v>
      </c>
      <c r="T171">
        <v>0</v>
      </c>
      <c r="U171" t="s">
        <v>71</v>
      </c>
      <c r="V171">
        <v>0</v>
      </c>
      <c r="W171" t="s">
        <v>71</v>
      </c>
      <c r="X171">
        <v>0</v>
      </c>
      <c r="Y171">
        <v>6.5699899999999998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36</v>
      </c>
      <c r="AF171">
        <v>68</v>
      </c>
      <c r="AG171">
        <v>68</v>
      </c>
      <c r="AI171">
        <v>0.312</v>
      </c>
      <c r="AK171" t="s">
        <v>740</v>
      </c>
      <c r="AL171" t="s">
        <v>757</v>
      </c>
      <c r="AM171">
        <v>200000</v>
      </c>
      <c r="AN171" t="s">
        <v>97</v>
      </c>
      <c r="AO171">
        <v>1</v>
      </c>
      <c r="AP171">
        <v>0</v>
      </c>
      <c r="AQ171">
        <v>16666.666666666668</v>
      </c>
      <c r="AR171" t="s">
        <v>758</v>
      </c>
      <c r="AS171" t="s">
        <v>75</v>
      </c>
      <c r="AX171" t="s">
        <v>76</v>
      </c>
      <c r="AY171" t="s">
        <v>71</v>
      </c>
      <c r="AZ171">
        <v>0</v>
      </c>
      <c r="BA171" t="s">
        <v>71</v>
      </c>
      <c r="BB171">
        <v>0</v>
      </c>
      <c r="BD171">
        <v>6.5699899999999998</v>
      </c>
    </row>
    <row r="172" spans="1:56" x14ac:dyDescent="0.15">
      <c r="A172" s="4" t="str">
        <f>HYPERLINK("https://ibp.a2mac1.com/costing(costing:projects/details/9760/part/8411284)","Airbag Trim")</f>
        <v>Airbag Trim</v>
      </c>
      <c r="B172">
        <v>8411284</v>
      </c>
      <c r="C172">
        <v>8411148</v>
      </c>
      <c r="E172">
        <v>0.46</v>
      </c>
      <c r="F172">
        <v>0</v>
      </c>
      <c r="G172">
        <v>0</v>
      </c>
      <c r="H172">
        <v>2.3276E-3</v>
      </c>
      <c r="I172" t="s">
        <v>176</v>
      </c>
      <c r="J172">
        <v>1.61E-2</v>
      </c>
      <c r="K172">
        <v>0.47842760000000001</v>
      </c>
      <c r="L172">
        <v>7.6533822956206074E-2</v>
      </c>
      <c r="M172">
        <v>0.45920293773723647</v>
      </c>
      <c r="N172">
        <v>0.93763053773723648</v>
      </c>
      <c r="O172" t="s">
        <v>177</v>
      </c>
      <c r="P172">
        <v>2.8705656E-2</v>
      </c>
      <c r="Q172" t="s">
        <v>177</v>
      </c>
      <c r="R172">
        <v>2.7552176264234188E-2</v>
      </c>
      <c r="S172" t="s">
        <v>178</v>
      </c>
      <c r="T172">
        <v>0.11251566452846838</v>
      </c>
      <c r="U172" t="s">
        <v>90</v>
      </c>
      <c r="V172">
        <v>0</v>
      </c>
      <c r="W172" t="s">
        <v>90</v>
      </c>
      <c r="X172">
        <v>0</v>
      </c>
      <c r="Y172">
        <v>1.1064040345299391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68</v>
      </c>
      <c r="AF172">
        <v>139</v>
      </c>
      <c r="AG172">
        <v>131</v>
      </c>
      <c r="AI172">
        <v>9.5000000000000001E-2</v>
      </c>
      <c r="AK172" t="s">
        <v>740</v>
      </c>
      <c r="AL172" t="s">
        <v>762</v>
      </c>
      <c r="AM172">
        <v>200000</v>
      </c>
      <c r="AN172" t="s">
        <v>97</v>
      </c>
      <c r="AO172">
        <v>1</v>
      </c>
      <c r="AP172">
        <v>0</v>
      </c>
      <c r="AQ172">
        <v>16666.666666666668</v>
      </c>
      <c r="AR172" t="s">
        <v>763</v>
      </c>
      <c r="AS172" t="s">
        <v>75</v>
      </c>
      <c r="AX172" t="s">
        <v>76</v>
      </c>
      <c r="AY172" t="s">
        <v>176</v>
      </c>
      <c r="AZ172">
        <v>0</v>
      </c>
      <c r="BA172" t="s">
        <v>176</v>
      </c>
      <c r="BB172">
        <v>0</v>
      </c>
    </row>
    <row r="173" spans="1:56" x14ac:dyDescent="0.15">
      <c r="A173" s="4" t="str">
        <f>HYPERLINK("https://ibp.a2mac1.com/costing(costing:projects/details/9760/part/8411285)","Airbag Support")</f>
        <v>Airbag Support</v>
      </c>
      <c r="B173">
        <v>8411285</v>
      </c>
      <c r="C173">
        <v>8411148</v>
      </c>
      <c r="D173" t="s">
        <v>764</v>
      </c>
      <c r="E173">
        <v>2.14</v>
      </c>
      <c r="F173">
        <v>0</v>
      </c>
      <c r="G173">
        <v>0</v>
      </c>
      <c r="H173">
        <v>0</v>
      </c>
      <c r="I173" t="s">
        <v>71</v>
      </c>
      <c r="J173">
        <v>0</v>
      </c>
      <c r="K173">
        <v>2.14</v>
      </c>
      <c r="L173">
        <v>0</v>
      </c>
      <c r="M173">
        <v>0</v>
      </c>
      <c r="N173">
        <v>2.14</v>
      </c>
      <c r="O173" t="s">
        <v>71</v>
      </c>
      <c r="P173">
        <v>0</v>
      </c>
      <c r="Q173" t="s">
        <v>71</v>
      </c>
      <c r="R173">
        <v>0</v>
      </c>
      <c r="S173" t="s">
        <v>71</v>
      </c>
      <c r="T173">
        <v>0</v>
      </c>
      <c r="U173" t="s">
        <v>71</v>
      </c>
      <c r="V173">
        <v>0</v>
      </c>
      <c r="W173" t="s">
        <v>71</v>
      </c>
      <c r="X173">
        <v>0</v>
      </c>
      <c r="Y173">
        <v>2.14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50</v>
      </c>
      <c r="AF173">
        <v>128</v>
      </c>
      <c r="AG173">
        <v>118</v>
      </c>
      <c r="AI173">
        <v>0.14000000000000001</v>
      </c>
      <c r="AK173" t="s">
        <v>740</v>
      </c>
      <c r="AL173" t="s">
        <v>765</v>
      </c>
      <c r="AM173">
        <v>200000</v>
      </c>
      <c r="AN173" t="s">
        <v>97</v>
      </c>
      <c r="AO173">
        <v>1</v>
      </c>
      <c r="AP173">
        <v>0</v>
      </c>
      <c r="AQ173">
        <v>16666.666666666668</v>
      </c>
      <c r="AR173" t="s">
        <v>766</v>
      </c>
      <c r="AS173" t="s">
        <v>75</v>
      </c>
      <c r="AX173" t="s">
        <v>76</v>
      </c>
      <c r="AY173" t="s">
        <v>71</v>
      </c>
      <c r="AZ173">
        <v>0</v>
      </c>
      <c r="BA173" t="s">
        <v>71</v>
      </c>
      <c r="BB173">
        <v>0</v>
      </c>
      <c r="BD173">
        <v>2.14</v>
      </c>
    </row>
    <row r="174" spans="1:56" x14ac:dyDescent="0.15">
      <c r="A174" s="4" t="str">
        <f>HYPERLINK("https://ibp.a2mac1.com/costing(costing:projects/details/9760/part/8411286)","Logo")</f>
        <v>Logo</v>
      </c>
      <c r="B174">
        <v>8411286</v>
      </c>
      <c r="C174">
        <v>8411148</v>
      </c>
      <c r="E174">
        <v>0.12</v>
      </c>
      <c r="F174">
        <v>0</v>
      </c>
      <c r="G174">
        <v>0</v>
      </c>
      <c r="H174">
        <v>6.0360000000000003E-4</v>
      </c>
      <c r="I174" t="s">
        <v>176</v>
      </c>
      <c r="J174">
        <v>4.1999999999999997E-3</v>
      </c>
      <c r="K174">
        <v>0.1248036</v>
      </c>
      <c r="L174">
        <v>7.6531538500861432E-2</v>
      </c>
      <c r="M174">
        <v>0.45918923100516862</v>
      </c>
      <c r="N174">
        <v>0.58399283100516863</v>
      </c>
      <c r="O174" t="s">
        <v>177</v>
      </c>
      <c r="P174">
        <v>7.4882159999999998E-3</v>
      </c>
      <c r="Q174" t="s">
        <v>177</v>
      </c>
      <c r="R174">
        <v>2.7551353860310115E-2</v>
      </c>
      <c r="S174" t="s">
        <v>178</v>
      </c>
      <c r="T174">
        <v>7.0079139720620229E-2</v>
      </c>
      <c r="U174" t="s">
        <v>90</v>
      </c>
      <c r="V174">
        <v>0</v>
      </c>
      <c r="W174" t="s">
        <v>90</v>
      </c>
      <c r="X174">
        <v>0</v>
      </c>
      <c r="Y174">
        <v>0.68911154058609891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6</v>
      </c>
      <c r="AF174">
        <v>52</v>
      </c>
      <c r="AG174">
        <v>8</v>
      </c>
      <c r="AI174">
        <v>1E-3</v>
      </c>
      <c r="AK174" t="s">
        <v>740</v>
      </c>
      <c r="AL174" t="s">
        <v>412</v>
      </c>
      <c r="AM174">
        <v>1200000</v>
      </c>
      <c r="AN174" t="s">
        <v>97</v>
      </c>
      <c r="AO174">
        <v>6</v>
      </c>
      <c r="AP174">
        <v>0</v>
      </c>
      <c r="AQ174">
        <v>100000</v>
      </c>
      <c r="AR174" t="s">
        <v>770</v>
      </c>
      <c r="AS174" t="s">
        <v>75</v>
      </c>
      <c r="AX174" t="s">
        <v>76</v>
      </c>
      <c r="AY174" t="s">
        <v>176</v>
      </c>
      <c r="AZ174">
        <v>0</v>
      </c>
      <c r="BA174" t="s">
        <v>176</v>
      </c>
      <c r="BB174">
        <v>0</v>
      </c>
    </row>
    <row r="175" spans="1:56" x14ac:dyDescent="0.15">
      <c r="A175" s="4" t="str">
        <f>HYPERLINK("https://ibp.a2mac1.com/costing(costing:projects/details/9760/part/8411287)","Airbag")</f>
        <v>Airbag</v>
      </c>
      <c r="B175">
        <v>8411287</v>
      </c>
      <c r="C175">
        <v>8411149</v>
      </c>
      <c r="E175">
        <v>20</v>
      </c>
      <c r="F175">
        <v>0</v>
      </c>
      <c r="G175">
        <v>0</v>
      </c>
      <c r="H175">
        <v>0.1012</v>
      </c>
      <c r="I175" t="s">
        <v>176</v>
      </c>
      <c r="J175">
        <v>0.7</v>
      </c>
      <c r="K175">
        <v>20.801200000000001</v>
      </c>
      <c r="L175">
        <v>0.14364500475822756</v>
      </c>
      <c r="M175">
        <v>0.86187002854936534</v>
      </c>
      <c r="N175">
        <v>21.663070028549367</v>
      </c>
      <c r="O175" t="s">
        <v>90</v>
      </c>
      <c r="P175">
        <v>0</v>
      </c>
      <c r="Q175" t="s">
        <v>90</v>
      </c>
      <c r="R175">
        <v>0</v>
      </c>
      <c r="S175" t="s">
        <v>90</v>
      </c>
      <c r="T175">
        <v>0</v>
      </c>
      <c r="U175" t="s">
        <v>90</v>
      </c>
      <c r="V175">
        <v>0</v>
      </c>
      <c r="W175" t="s">
        <v>90</v>
      </c>
      <c r="X175">
        <v>0</v>
      </c>
      <c r="Y175">
        <v>21.663070028549367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70</v>
      </c>
      <c r="AF175">
        <v>615</v>
      </c>
      <c r="AG175">
        <v>645</v>
      </c>
      <c r="AI175">
        <v>0.49099999999999999</v>
      </c>
      <c r="AK175" t="s">
        <v>740</v>
      </c>
      <c r="AL175" t="s">
        <v>448</v>
      </c>
      <c r="AM175">
        <v>200000</v>
      </c>
      <c r="AN175" t="s">
        <v>73</v>
      </c>
      <c r="AO175">
        <v>1</v>
      </c>
      <c r="AP175">
        <v>0</v>
      </c>
      <c r="AQ175">
        <v>16666.666666666668</v>
      </c>
      <c r="AR175" t="s">
        <v>779</v>
      </c>
      <c r="AS175" t="s">
        <v>75</v>
      </c>
      <c r="AX175" t="s">
        <v>76</v>
      </c>
      <c r="AY175" t="s">
        <v>176</v>
      </c>
      <c r="AZ175">
        <v>0</v>
      </c>
      <c r="BA175" t="s">
        <v>176</v>
      </c>
      <c r="BB175">
        <v>0</v>
      </c>
    </row>
    <row r="176" spans="1:56" x14ac:dyDescent="0.15">
      <c r="A176" s="4" t="str">
        <f>HYPERLINK("https://ibp.a2mac1.com/costing(costing:projects/details/9760/part/8411288)","Airbag Fastener")</f>
        <v>Airbag Fastener</v>
      </c>
      <c r="B176">
        <v>8411288</v>
      </c>
      <c r="C176">
        <v>8411149</v>
      </c>
      <c r="E176">
        <v>0.26</v>
      </c>
      <c r="F176">
        <v>0</v>
      </c>
      <c r="G176">
        <v>0</v>
      </c>
      <c r="H176">
        <v>1.3156000000000001E-3</v>
      </c>
      <c r="I176" t="s">
        <v>176</v>
      </c>
      <c r="J176">
        <v>9.1000000000000004E-3</v>
      </c>
      <c r="K176">
        <v>0.27041559999999998</v>
      </c>
      <c r="L176">
        <v>1.1188724885816749E-2</v>
      </c>
      <c r="M176">
        <v>6.7132349314900502E-2</v>
      </c>
      <c r="N176">
        <v>0.33754794931490051</v>
      </c>
      <c r="O176" t="s">
        <v>177</v>
      </c>
      <c r="P176">
        <v>1.6224935999999999E-2</v>
      </c>
      <c r="Q176" t="s">
        <v>177</v>
      </c>
      <c r="R176">
        <v>4.02794095889403E-3</v>
      </c>
      <c r="S176" t="s">
        <v>178</v>
      </c>
      <c r="T176">
        <v>4.0505753917788059E-2</v>
      </c>
      <c r="U176" t="s">
        <v>90</v>
      </c>
      <c r="V176">
        <v>0</v>
      </c>
      <c r="W176" t="s">
        <v>90</v>
      </c>
      <c r="X176">
        <v>0</v>
      </c>
      <c r="Y176">
        <v>0.3983065801915826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47</v>
      </c>
      <c r="AF176">
        <v>94</v>
      </c>
      <c r="AG176">
        <v>73</v>
      </c>
      <c r="AI176">
        <v>8.8999999999999996E-2</v>
      </c>
      <c r="AK176" t="s">
        <v>740</v>
      </c>
      <c r="AL176" t="s">
        <v>754</v>
      </c>
      <c r="AM176">
        <v>200000</v>
      </c>
      <c r="AN176" t="s">
        <v>97</v>
      </c>
      <c r="AO176">
        <v>1</v>
      </c>
      <c r="AP176">
        <v>0</v>
      </c>
      <c r="AQ176">
        <v>16666.666666666668</v>
      </c>
      <c r="AR176" t="s">
        <v>782</v>
      </c>
      <c r="AS176" t="s">
        <v>75</v>
      </c>
      <c r="AX176" t="s">
        <v>76</v>
      </c>
      <c r="AY176" t="s">
        <v>176</v>
      </c>
      <c r="AZ176">
        <v>0</v>
      </c>
      <c r="BA176" t="s">
        <v>176</v>
      </c>
      <c r="BB176">
        <v>0</v>
      </c>
    </row>
    <row r="177" spans="1:56" x14ac:dyDescent="0.15">
      <c r="A177" s="4" t="str">
        <f>HYPERLINK("https://ibp.a2mac1.com/costing(costing:projects/details/9760/part/8411289)","Airbag Fastener Support")</f>
        <v>Airbag Fastener Support</v>
      </c>
      <c r="B177">
        <v>8411289</v>
      </c>
      <c r="C177">
        <v>8411149</v>
      </c>
      <c r="E177">
        <v>4.1843437999999997E-2</v>
      </c>
      <c r="F177">
        <v>0</v>
      </c>
      <c r="G177">
        <v>0</v>
      </c>
      <c r="H177">
        <v>2.3266790799999999E-4</v>
      </c>
      <c r="I177" t="s">
        <v>176</v>
      </c>
      <c r="J177">
        <v>1.6093629999999999E-3</v>
      </c>
      <c r="K177">
        <v>4.3685468908E-2</v>
      </c>
      <c r="L177">
        <v>9.422641154184605E-3</v>
      </c>
      <c r="M177">
        <v>5.653584692510763E-2</v>
      </c>
      <c r="N177">
        <v>0.10022131583310763</v>
      </c>
      <c r="O177" t="s">
        <v>177</v>
      </c>
      <c r="P177">
        <v>2.62112813448E-3</v>
      </c>
      <c r="Q177" t="s">
        <v>177</v>
      </c>
      <c r="R177">
        <v>3.392150815506458E-3</v>
      </c>
      <c r="S177" t="s">
        <v>178</v>
      </c>
      <c r="T177">
        <v>1.2026557899972916E-2</v>
      </c>
      <c r="U177" t="s">
        <v>90</v>
      </c>
      <c r="V177">
        <v>0</v>
      </c>
      <c r="W177" t="s">
        <v>90</v>
      </c>
      <c r="X177">
        <v>0</v>
      </c>
      <c r="Y177">
        <v>0.118261152683067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58</v>
      </c>
      <c r="AF177">
        <v>85</v>
      </c>
      <c r="AG177">
        <v>52</v>
      </c>
      <c r="AI177">
        <v>6.0999999999999999E-2</v>
      </c>
      <c r="AK177" t="s">
        <v>740</v>
      </c>
      <c r="AL177" t="s">
        <v>96</v>
      </c>
      <c r="AM177">
        <v>200000</v>
      </c>
      <c r="AN177" t="s">
        <v>97</v>
      </c>
      <c r="AO177">
        <v>1</v>
      </c>
      <c r="AP177">
        <v>0</v>
      </c>
      <c r="AQ177">
        <v>16666.666666666668</v>
      </c>
      <c r="AR177" t="s">
        <v>787</v>
      </c>
      <c r="AS177" t="s">
        <v>75</v>
      </c>
      <c r="AX177" t="s">
        <v>76</v>
      </c>
      <c r="AY177" t="s">
        <v>176</v>
      </c>
      <c r="AZ177">
        <v>0</v>
      </c>
      <c r="BA177" t="s">
        <v>176</v>
      </c>
      <c r="BB177">
        <v>0</v>
      </c>
    </row>
    <row r="178" spans="1:56" x14ac:dyDescent="0.15">
      <c r="A178" s="4" t="str">
        <f>HYPERLINK("https://ibp.a2mac1.com/costing(costing:projects/details/9760/part/8411290)","Airbag Cylinder")</f>
        <v>Airbag Cylinder</v>
      </c>
      <c r="B178">
        <v>8411290</v>
      </c>
      <c r="C178">
        <v>8411149</v>
      </c>
      <c r="D178" t="s">
        <v>756</v>
      </c>
      <c r="E178">
        <v>7.8699899999999996</v>
      </c>
      <c r="F178">
        <v>0</v>
      </c>
      <c r="G178">
        <v>0</v>
      </c>
      <c r="H178">
        <v>0</v>
      </c>
      <c r="I178" t="s">
        <v>71</v>
      </c>
      <c r="J178">
        <v>0</v>
      </c>
      <c r="K178">
        <v>7.8699899999999996</v>
      </c>
      <c r="L178">
        <v>0</v>
      </c>
      <c r="M178">
        <v>0</v>
      </c>
      <c r="N178">
        <v>7.8699899999999996</v>
      </c>
      <c r="O178" t="s">
        <v>71</v>
      </c>
      <c r="P178">
        <v>0</v>
      </c>
      <c r="Q178" t="s">
        <v>71</v>
      </c>
      <c r="R178">
        <v>0</v>
      </c>
      <c r="S178" t="s">
        <v>71</v>
      </c>
      <c r="T178">
        <v>0</v>
      </c>
      <c r="U178" t="s">
        <v>71</v>
      </c>
      <c r="V178">
        <v>0</v>
      </c>
      <c r="W178" t="s">
        <v>71</v>
      </c>
      <c r="X178">
        <v>0</v>
      </c>
      <c r="Y178">
        <v>7.8699899999999996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50</v>
      </c>
      <c r="AF178">
        <v>85</v>
      </c>
      <c r="AG178">
        <v>70</v>
      </c>
      <c r="AI178">
        <v>0.42299999999999999</v>
      </c>
      <c r="AK178" t="s">
        <v>740</v>
      </c>
      <c r="AL178" t="s">
        <v>788</v>
      </c>
      <c r="AM178">
        <v>200000</v>
      </c>
      <c r="AN178" t="s">
        <v>97</v>
      </c>
      <c r="AO178">
        <v>1</v>
      </c>
      <c r="AP178">
        <v>0</v>
      </c>
      <c r="AQ178">
        <v>16666.666666666668</v>
      </c>
      <c r="AR178" t="s">
        <v>789</v>
      </c>
      <c r="AS178" t="s">
        <v>75</v>
      </c>
      <c r="AX178" t="s">
        <v>76</v>
      </c>
      <c r="AY178" t="s">
        <v>71</v>
      </c>
      <c r="AZ178">
        <v>0</v>
      </c>
      <c r="BA178" t="s">
        <v>71</v>
      </c>
      <c r="BB178">
        <v>0</v>
      </c>
      <c r="BD178">
        <v>7.8699899999999996</v>
      </c>
    </row>
    <row r="179" spans="1:56" x14ac:dyDescent="0.15">
      <c r="A179" s="4" t="str">
        <f>HYPERLINK("https://ibp.a2mac1.com/costing(costing:projects/details/9760/part/8411291)","Airbag Support")</f>
        <v>Airbag Support</v>
      </c>
      <c r="B179">
        <v>8411291</v>
      </c>
      <c r="C179">
        <v>8411149</v>
      </c>
      <c r="E179">
        <v>0.38867333399999998</v>
      </c>
      <c r="F179">
        <v>0</v>
      </c>
      <c r="G179">
        <v>0</v>
      </c>
      <c r="H179">
        <v>1.9716161103157893E-3</v>
      </c>
      <c r="I179" t="s">
        <v>176</v>
      </c>
      <c r="J179">
        <v>1.3637660842105263E-2</v>
      </c>
      <c r="K179">
        <v>0.40428261095242107</v>
      </c>
      <c r="L179">
        <v>5.7106901908252496E-2</v>
      </c>
      <c r="M179">
        <v>0.34264141144951499</v>
      </c>
      <c r="N179">
        <v>0.74692402240193601</v>
      </c>
      <c r="O179" t="s">
        <v>177</v>
      </c>
      <c r="P179">
        <v>2.4256956657145261E-2</v>
      </c>
      <c r="Q179" t="s">
        <v>177</v>
      </c>
      <c r="R179">
        <v>2.0558484686970899E-2</v>
      </c>
      <c r="S179" t="s">
        <v>178</v>
      </c>
      <c r="T179">
        <v>8.9630882688232327E-2</v>
      </c>
      <c r="U179" t="s">
        <v>90</v>
      </c>
      <c r="V179">
        <v>0</v>
      </c>
      <c r="W179" t="s">
        <v>90</v>
      </c>
      <c r="X179">
        <v>0</v>
      </c>
      <c r="Y179">
        <v>0.88137034643428447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70</v>
      </c>
      <c r="AF179">
        <v>281</v>
      </c>
      <c r="AG179">
        <v>158</v>
      </c>
      <c r="AI179">
        <v>0.36599999999999999</v>
      </c>
      <c r="AK179" t="s">
        <v>740</v>
      </c>
      <c r="AL179" t="s">
        <v>399</v>
      </c>
      <c r="AM179">
        <v>200000</v>
      </c>
      <c r="AN179" t="s">
        <v>97</v>
      </c>
      <c r="AO179">
        <v>1</v>
      </c>
      <c r="AP179">
        <v>0</v>
      </c>
      <c r="AQ179">
        <v>16666.666666666668</v>
      </c>
      <c r="AR179" t="s">
        <v>795</v>
      </c>
      <c r="AS179" t="s">
        <v>75</v>
      </c>
      <c r="AX179" t="s">
        <v>76</v>
      </c>
      <c r="AY179" t="s">
        <v>176</v>
      </c>
      <c r="AZ179">
        <v>0</v>
      </c>
      <c r="BA179" t="s">
        <v>176</v>
      </c>
      <c r="BB179">
        <v>0</v>
      </c>
    </row>
    <row r="180" spans="1:56" x14ac:dyDescent="0.15">
      <c r="A180" s="4" t="str">
        <f>HYPERLINK("https://ibp.a2mac1.com/costing(costing:projects/details/9760/part/8411292)","Left Airbag System View")</f>
        <v>Left Airbag System View</v>
      </c>
      <c r="B180">
        <v>8411292</v>
      </c>
      <c r="C180">
        <v>8411150</v>
      </c>
      <c r="E180">
        <v>0</v>
      </c>
      <c r="F180">
        <v>0</v>
      </c>
      <c r="G180">
        <v>0</v>
      </c>
      <c r="H180">
        <v>0</v>
      </c>
      <c r="I180" t="s">
        <v>176</v>
      </c>
      <c r="J180">
        <v>0</v>
      </c>
      <c r="K180">
        <v>0</v>
      </c>
      <c r="L180">
        <v>0.2345394895988839</v>
      </c>
      <c r="M180">
        <v>1.4072369375933034</v>
      </c>
      <c r="N180">
        <v>1.4072369375933034</v>
      </c>
      <c r="O180" t="s">
        <v>90</v>
      </c>
      <c r="P180">
        <v>0</v>
      </c>
      <c r="Q180" t="s">
        <v>90</v>
      </c>
      <c r="R180">
        <v>0</v>
      </c>
      <c r="S180" t="s">
        <v>90</v>
      </c>
      <c r="T180">
        <v>0</v>
      </c>
      <c r="U180" t="s">
        <v>90</v>
      </c>
      <c r="V180">
        <v>0</v>
      </c>
      <c r="W180" t="s">
        <v>90</v>
      </c>
      <c r="X180">
        <v>0</v>
      </c>
      <c r="Y180">
        <v>1.4072369375933034</v>
      </c>
      <c r="Z180">
        <v>0</v>
      </c>
      <c r="AA180">
        <v>0</v>
      </c>
      <c r="AB180">
        <v>0</v>
      </c>
      <c r="AC180">
        <v>0</v>
      </c>
      <c r="AD180">
        <v>0</v>
      </c>
      <c r="AF180">
        <v>2030</v>
      </c>
      <c r="AG180">
        <v>72</v>
      </c>
      <c r="AK180" t="s">
        <v>740</v>
      </c>
      <c r="AM180">
        <v>200000</v>
      </c>
      <c r="AN180" t="s">
        <v>73</v>
      </c>
      <c r="AO180">
        <v>1</v>
      </c>
      <c r="AP180">
        <v>0</v>
      </c>
      <c r="AQ180">
        <v>16666.666666666668</v>
      </c>
      <c r="AR180" t="s">
        <v>803</v>
      </c>
      <c r="AS180" t="s">
        <v>75</v>
      </c>
      <c r="AX180" t="s">
        <v>76</v>
      </c>
      <c r="AY180" t="s">
        <v>176</v>
      </c>
      <c r="AZ180">
        <v>0</v>
      </c>
      <c r="BA180" t="s">
        <v>176</v>
      </c>
      <c r="BB180">
        <v>0</v>
      </c>
    </row>
    <row r="181" spans="1:56" x14ac:dyDescent="0.15">
      <c r="A181" s="4" t="str">
        <f>HYPERLINK("https://ibp.a2mac1.com/costing(costing:projects/details/9760/part/8411293)","Left Airbag")</f>
        <v>Left Airbag</v>
      </c>
      <c r="B181">
        <v>8411293</v>
      </c>
      <c r="C181">
        <v>8411150</v>
      </c>
      <c r="E181">
        <v>17</v>
      </c>
      <c r="F181">
        <v>0</v>
      </c>
      <c r="G181">
        <v>0</v>
      </c>
      <c r="H181">
        <v>8.6019999999999999E-2</v>
      </c>
      <c r="I181" t="s">
        <v>176</v>
      </c>
      <c r="J181">
        <v>0.59499999999999997</v>
      </c>
      <c r="K181">
        <v>17.68102</v>
      </c>
      <c r="L181">
        <v>0.12951633490517039</v>
      </c>
      <c r="M181">
        <v>0.77709800943102236</v>
      </c>
      <c r="N181">
        <v>18.458118009431022</v>
      </c>
      <c r="O181" t="s">
        <v>90</v>
      </c>
      <c r="P181">
        <v>0</v>
      </c>
      <c r="Q181" t="s">
        <v>90</v>
      </c>
      <c r="R181">
        <v>0</v>
      </c>
      <c r="S181" t="s">
        <v>90</v>
      </c>
      <c r="T181">
        <v>0</v>
      </c>
      <c r="U181" t="s">
        <v>90</v>
      </c>
      <c r="V181">
        <v>0</v>
      </c>
      <c r="W181" t="s">
        <v>90</v>
      </c>
      <c r="X181">
        <v>0</v>
      </c>
      <c r="Y181">
        <v>18.458118009431022</v>
      </c>
      <c r="Z181">
        <v>0</v>
      </c>
      <c r="AA181">
        <v>0</v>
      </c>
      <c r="AB181">
        <v>0</v>
      </c>
      <c r="AC181">
        <v>0</v>
      </c>
      <c r="AD181">
        <v>0</v>
      </c>
      <c r="AF181">
        <v>2030</v>
      </c>
      <c r="AG181">
        <v>720</v>
      </c>
      <c r="AI181">
        <v>0.71199999999999997</v>
      </c>
      <c r="AK181" t="s">
        <v>740</v>
      </c>
      <c r="AL181" t="s">
        <v>806</v>
      </c>
      <c r="AM181">
        <v>200000</v>
      </c>
      <c r="AN181" t="s">
        <v>73</v>
      </c>
      <c r="AO181">
        <v>1</v>
      </c>
      <c r="AP181">
        <v>0</v>
      </c>
      <c r="AQ181">
        <v>16666.666666666668</v>
      </c>
      <c r="AR181" t="s">
        <v>807</v>
      </c>
      <c r="AS181" t="s">
        <v>75</v>
      </c>
      <c r="AX181" t="s">
        <v>76</v>
      </c>
      <c r="AY181" t="s">
        <v>176</v>
      </c>
      <c r="AZ181">
        <v>0</v>
      </c>
      <c r="BA181" t="s">
        <v>176</v>
      </c>
      <c r="BB181">
        <v>0</v>
      </c>
    </row>
    <row r="182" spans="1:56" x14ac:dyDescent="0.15">
      <c r="A182" s="4" t="str">
        <f>HYPERLINK("https://ibp.a2mac1.com/costing(costing:projects/details/9760/part/8411294)","Left Airbag Cylinder")</f>
        <v>Left Airbag Cylinder</v>
      </c>
      <c r="B182">
        <v>8411294</v>
      </c>
      <c r="C182">
        <v>8411150</v>
      </c>
      <c r="D182" t="s">
        <v>756</v>
      </c>
      <c r="E182">
        <v>6.5699899999999998</v>
      </c>
      <c r="F182">
        <v>0</v>
      </c>
      <c r="G182">
        <v>0</v>
      </c>
      <c r="H182">
        <v>0</v>
      </c>
      <c r="I182" t="s">
        <v>71</v>
      </c>
      <c r="J182">
        <v>0</v>
      </c>
      <c r="K182">
        <v>6.5699899999999998</v>
      </c>
      <c r="L182">
        <v>0</v>
      </c>
      <c r="M182">
        <v>0</v>
      </c>
      <c r="N182">
        <v>6.5699899999999998</v>
      </c>
      <c r="O182" t="s">
        <v>71</v>
      </c>
      <c r="P182">
        <v>0</v>
      </c>
      <c r="Q182" t="s">
        <v>71</v>
      </c>
      <c r="R182">
        <v>0</v>
      </c>
      <c r="S182" t="s">
        <v>71</v>
      </c>
      <c r="T182">
        <v>0</v>
      </c>
      <c r="U182" t="s">
        <v>71</v>
      </c>
      <c r="V182">
        <v>0</v>
      </c>
      <c r="W182" t="s">
        <v>71</v>
      </c>
      <c r="X182">
        <v>0</v>
      </c>
      <c r="Y182">
        <v>6.5699899999999998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36</v>
      </c>
      <c r="AF182">
        <v>325</v>
      </c>
      <c r="AG182">
        <v>34</v>
      </c>
      <c r="AI182">
        <v>0.68200000000000005</v>
      </c>
      <c r="AK182" t="s">
        <v>740</v>
      </c>
      <c r="AL182" t="s">
        <v>757</v>
      </c>
      <c r="AM182">
        <v>200000</v>
      </c>
      <c r="AN182" t="s">
        <v>97</v>
      </c>
      <c r="AO182">
        <v>1</v>
      </c>
      <c r="AP182">
        <v>0</v>
      </c>
      <c r="AQ182">
        <v>16666.666666666668</v>
      </c>
      <c r="AR182" t="s">
        <v>808</v>
      </c>
      <c r="AS182" t="s">
        <v>75</v>
      </c>
      <c r="AX182" t="s">
        <v>76</v>
      </c>
      <c r="AY182" t="s">
        <v>71</v>
      </c>
      <c r="AZ182">
        <v>0</v>
      </c>
      <c r="BA182" t="s">
        <v>71</v>
      </c>
      <c r="BB182">
        <v>0</v>
      </c>
      <c r="BD182">
        <v>6.5699899999999998</v>
      </c>
    </row>
    <row r="183" spans="1:56" x14ac:dyDescent="0.15">
      <c r="A183" s="4" t="str">
        <f>HYPERLINK("https://ibp.a2mac1.com/costing(costing:projects/details/9760/part/8411295)","Left Airbag Cylinder Support")</f>
        <v>Left Airbag Cylinder Support</v>
      </c>
      <c r="B183">
        <v>8411295</v>
      </c>
      <c r="C183">
        <v>8411150</v>
      </c>
      <c r="E183">
        <v>0.2</v>
      </c>
      <c r="F183">
        <v>0</v>
      </c>
      <c r="G183">
        <v>0</v>
      </c>
      <c r="H183">
        <v>1.0120000000000001E-3</v>
      </c>
      <c r="I183" t="s">
        <v>176</v>
      </c>
      <c r="J183">
        <v>7.0000000000000001E-3</v>
      </c>
      <c r="K183">
        <v>0.208012</v>
      </c>
      <c r="L183">
        <v>2.5317394738873903E-2</v>
      </c>
      <c r="M183">
        <v>0.1519043684332434</v>
      </c>
      <c r="N183">
        <v>0.35991636843324343</v>
      </c>
      <c r="O183" t="s">
        <v>177</v>
      </c>
      <c r="P183">
        <v>1.2480720000000001E-2</v>
      </c>
      <c r="Q183" t="s">
        <v>177</v>
      </c>
      <c r="R183">
        <v>9.1142621059946052E-3</v>
      </c>
      <c r="S183" t="s">
        <v>178</v>
      </c>
      <c r="T183">
        <v>4.3189964211989208E-2</v>
      </c>
      <c r="U183" t="s">
        <v>90</v>
      </c>
      <c r="V183">
        <v>0</v>
      </c>
      <c r="W183" t="s">
        <v>90</v>
      </c>
      <c r="X183">
        <v>0</v>
      </c>
      <c r="Y183">
        <v>0.42470131475122724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30</v>
      </c>
      <c r="AF183">
        <v>266</v>
      </c>
      <c r="AG183">
        <v>31</v>
      </c>
      <c r="AI183">
        <v>8.1000000000000003E-2</v>
      </c>
      <c r="AK183" t="s">
        <v>740</v>
      </c>
      <c r="AL183" t="s">
        <v>811</v>
      </c>
      <c r="AM183">
        <v>200000</v>
      </c>
      <c r="AN183" t="s">
        <v>97</v>
      </c>
      <c r="AO183">
        <v>1</v>
      </c>
      <c r="AP183">
        <v>0</v>
      </c>
      <c r="AQ183">
        <v>16666.666666666668</v>
      </c>
      <c r="AR183" t="s">
        <v>812</v>
      </c>
      <c r="AS183" t="s">
        <v>75</v>
      </c>
      <c r="AX183" t="s">
        <v>76</v>
      </c>
      <c r="AY183" t="s">
        <v>176</v>
      </c>
      <c r="AZ183">
        <v>0</v>
      </c>
      <c r="BA183" t="s">
        <v>176</v>
      </c>
      <c r="BB183">
        <v>0</v>
      </c>
    </row>
    <row r="184" spans="1:56" x14ac:dyDescent="0.15">
      <c r="A184" s="4" t="str">
        <f>HYPERLINK("https://ibp.a2mac1.com/costing(costing:projects/details/9760/part/8411296)","Right Airbag System View")</f>
        <v>Right Airbag System View</v>
      </c>
      <c r="B184">
        <v>8411296</v>
      </c>
      <c r="C184">
        <v>8411150</v>
      </c>
      <c r="E184">
        <v>0</v>
      </c>
      <c r="F184">
        <v>0</v>
      </c>
      <c r="G184">
        <v>0</v>
      </c>
      <c r="H184">
        <v>0</v>
      </c>
      <c r="I184" t="s">
        <v>176</v>
      </c>
      <c r="J184">
        <v>0</v>
      </c>
      <c r="K184">
        <v>0</v>
      </c>
      <c r="L184">
        <v>0.2345394895988839</v>
      </c>
      <c r="M184">
        <v>1.4072369375933034</v>
      </c>
      <c r="N184">
        <v>1.4072369375933034</v>
      </c>
      <c r="O184" t="s">
        <v>90</v>
      </c>
      <c r="P184">
        <v>0</v>
      </c>
      <c r="Q184" t="s">
        <v>90</v>
      </c>
      <c r="R184">
        <v>0</v>
      </c>
      <c r="S184" t="s">
        <v>90</v>
      </c>
      <c r="T184">
        <v>0</v>
      </c>
      <c r="U184" t="s">
        <v>90</v>
      </c>
      <c r="V184">
        <v>0</v>
      </c>
      <c r="W184" t="s">
        <v>90</v>
      </c>
      <c r="X184">
        <v>0</v>
      </c>
      <c r="Y184">
        <v>1.4072369375933034</v>
      </c>
      <c r="Z184">
        <v>0</v>
      </c>
      <c r="AA184">
        <v>0</v>
      </c>
      <c r="AB184">
        <v>0</v>
      </c>
      <c r="AC184">
        <v>0</v>
      </c>
      <c r="AD184">
        <v>0</v>
      </c>
      <c r="AF184">
        <v>2030</v>
      </c>
      <c r="AG184">
        <v>72</v>
      </c>
      <c r="AK184" t="s">
        <v>740</v>
      </c>
      <c r="AM184">
        <v>200000</v>
      </c>
      <c r="AN184" t="s">
        <v>73</v>
      </c>
      <c r="AO184">
        <v>1</v>
      </c>
      <c r="AP184">
        <v>0</v>
      </c>
      <c r="AQ184">
        <v>16666.666666666668</v>
      </c>
      <c r="AR184" t="s">
        <v>815</v>
      </c>
      <c r="AS184" t="s">
        <v>75</v>
      </c>
      <c r="AX184" t="s">
        <v>76</v>
      </c>
      <c r="AY184" t="s">
        <v>176</v>
      </c>
      <c r="AZ184">
        <v>0</v>
      </c>
      <c r="BA184" t="s">
        <v>176</v>
      </c>
      <c r="BB184">
        <v>0</v>
      </c>
    </row>
    <row r="185" spans="1:56" x14ac:dyDescent="0.15">
      <c r="A185" s="4" t="str">
        <f>HYPERLINK("https://ibp.a2mac1.com/costing(costing:projects/details/9760/part/8411297)","Right Airbag")</f>
        <v>Right Airbag</v>
      </c>
      <c r="B185">
        <v>8411297</v>
      </c>
      <c r="C185">
        <v>8411150</v>
      </c>
      <c r="E185">
        <v>13.63</v>
      </c>
      <c r="F185">
        <v>0</v>
      </c>
      <c r="G185">
        <v>0</v>
      </c>
      <c r="H185">
        <v>6.8967799999999996E-2</v>
      </c>
      <c r="I185" t="s">
        <v>176</v>
      </c>
      <c r="J185">
        <v>0.47704999999999997</v>
      </c>
      <c r="K185">
        <v>14.1760178</v>
      </c>
      <c r="L185">
        <v>0.12951633490517039</v>
      </c>
      <c r="M185">
        <v>0.77709800943102236</v>
      </c>
      <c r="N185">
        <v>14.953115809431022</v>
      </c>
      <c r="O185" t="s">
        <v>90</v>
      </c>
      <c r="P185">
        <v>0</v>
      </c>
      <c r="Q185" t="s">
        <v>90</v>
      </c>
      <c r="R185">
        <v>0</v>
      </c>
      <c r="S185" t="s">
        <v>90</v>
      </c>
      <c r="T185">
        <v>0</v>
      </c>
      <c r="U185" t="s">
        <v>90</v>
      </c>
      <c r="V185">
        <v>0</v>
      </c>
      <c r="W185" t="s">
        <v>90</v>
      </c>
      <c r="X185">
        <v>0</v>
      </c>
      <c r="Y185">
        <v>14.953115809431022</v>
      </c>
      <c r="Z185">
        <v>0</v>
      </c>
      <c r="AA185">
        <v>0</v>
      </c>
      <c r="AB185">
        <v>0</v>
      </c>
      <c r="AC185">
        <v>0</v>
      </c>
      <c r="AD185">
        <v>0</v>
      </c>
      <c r="AF185">
        <v>2030</v>
      </c>
      <c r="AG185">
        <v>720</v>
      </c>
      <c r="AI185">
        <v>0.71699999999999997</v>
      </c>
      <c r="AK185" t="s">
        <v>740</v>
      </c>
      <c r="AL185" t="s">
        <v>818</v>
      </c>
      <c r="AM185">
        <v>200000</v>
      </c>
      <c r="AN185" t="s">
        <v>73</v>
      </c>
      <c r="AO185">
        <v>1</v>
      </c>
      <c r="AP185">
        <v>0</v>
      </c>
      <c r="AQ185">
        <v>16666.666666666668</v>
      </c>
      <c r="AR185" t="s">
        <v>819</v>
      </c>
      <c r="AS185" t="s">
        <v>75</v>
      </c>
      <c r="AX185" t="s">
        <v>76</v>
      </c>
      <c r="AY185" t="s">
        <v>176</v>
      </c>
      <c r="AZ185">
        <v>0</v>
      </c>
      <c r="BA185" t="s">
        <v>176</v>
      </c>
      <c r="BB185">
        <v>0</v>
      </c>
    </row>
    <row r="186" spans="1:56" x14ac:dyDescent="0.15">
      <c r="A186" s="4" t="str">
        <f>HYPERLINK("https://ibp.a2mac1.com/costing(costing:projects/details/9760/part/8411298)","Right Airbag Cylinder")</f>
        <v>Right Airbag Cylinder</v>
      </c>
      <c r="B186">
        <v>8411298</v>
      </c>
      <c r="C186">
        <v>8411150</v>
      </c>
      <c r="D186" t="s">
        <v>756</v>
      </c>
      <c r="E186">
        <v>6.5699899999999998</v>
      </c>
      <c r="F186">
        <v>0</v>
      </c>
      <c r="G186">
        <v>0</v>
      </c>
      <c r="H186">
        <v>0</v>
      </c>
      <c r="I186" t="s">
        <v>71</v>
      </c>
      <c r="J186">
        <v>0</v>
      </c>
      <c r="K186">
        <v>6.5699899999999998</v>
      </c>
      <c r="L186">
        <v>0</v>
      </c>
      <c r="M186">
        <v>0</v>
      </c>
      <c r="N186">
        <v>6.5699899999999998</v>
      </c>
      <c r="O186" t="s">
        <v>71</v>
      </c>
      <c r="P186">
        <v>0</v>
      </c>
      <c r="Q186" t="s">
        <v>71</v>
      </c>
      <c r="R186">
        <v>0</v>
      </c>
      <c r="S186" t="s">
        <v>71</v>
      </c>
      <c r="T186">
        <v>0</v>
      </c>
      <c r="U186" t="s">
        <v>71</v>
      </c>
      <c r="V186">
        <v>0</v>
      </c>
      <c r="W186" t="s">
        <v>71</v>
      </c>
      <c r="X186">
        <v>0</v>
      </c>
      <c r="Y186">
        <v>6.5699899999999998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36</v>
      </c>
      <c r="AF186">
        <v>325</v>
      </c>
      <c r="AG186">
        <v>34</v>
      </c>
      <c r="AI186">
        <v>0.68</v>
      </c>
      <c r="AK186" t="s">
        <v>740</v>
      </c>
      <c r="AL186" t="s">
        <v>757</v>
      </c>
      <c r="AM186">
        <v>200000</v>
      </c>
      <c r="AN186" t="s">
        <v>97</v>
      </c>
      <c r="AO186">
        <v>1</v>
      </c>
      <c r="AP186">
        <v>0</v>
      </c>
      <c r="AQ186">
        <v>16666.666666666668</v>
      </c>
      <c r="AR186" t="s">
        <v>820</v>
      </c>
      <c r="AS186" t="s">
        <v>75</v>
      </c>
      <c r="AX186" t="s">
        <v>76</v>
      </c>
      <c r="AY186" t="s">
        <v>71</v>
      </c>
      <c r="AZ186">
        <v>0</v>
      </c>
      <c r="BA186" t="s">
        <v>71</v>
      </c>
      <c r="BB186">
        <v>0</v>
      </c>
      <c r="BD186">
        <v>6.5699899999999998</v>
      </c>
    </row>
    <row r="187" spans="1:56" x14ac:dyDescent="0.15">
      <c r="A187" s="4" t="str">
        <f>HYPERLINK("https://ibp.a2mac1.com/costing(costing:projects/details/9760/part/8411299)","Right Airbag Cylinder Support")</f>
        <v>Right Airbag Cylinder Support</v>
      </c>
      <c r="B187">
        <v>8411299</v>
      </c>
      <c r="C187">
        <v>8411150</v>
      </c>
      <c r="E187">
        <v>0.2</v>
      </c>
      <c r="F187">
        <v>0</v>
      </c>
      <c r="G187">
        <v>0</v>
      </c>
      <c r="H187">
        <v>1.0120000000000001E-3</v>
      </c>
      <c r="I187" t="s">
        <v>176</v>
      </c>
      <c r="J187">
        <v>7.0000000000000001E-3</v>
      </c>
      <c r="K187">
        <v>0.208012</v>
      </c>
      <c r="L187">
        <v>2.5317394738873903E-2</v>
      </c>
      <c r="M187">
        <v>0.1519043684332434</v>
      </c>
      <c r="N187">
        <v>0.35991636843324343</v>
      </c>
      <c r="O187" t="s">
        <v>177</v>
      </c>
      <c r="P187">
        <v>1.2480720000000001E-2</v>
      </c>
      <c r="Q187" t="s">
        <v>177</v>
      </c>
      <c r="R187">
        <v>9.1142621059946052E-3</v>
      </c>
      <c r="S187" t="s">
        <v>178</v>
      </c>
      <c r="T187">
        <v>4.3189964211989208E-2</v>
      </c>
      <c r="U187" t="s">
        <v>90</v>
      </c>
      <c r="V187">
        <v>0</v>
      </c>
      <c r="W187" t="s">
        <v>90</v>
      </c>
      <c r="X187">
        <v>0</v>
      </c>
      <c r="Y187">
        <v>0.42470131475122724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30</v>
      </c>
      <c r="AF187">
        <v>266</v>
      </c>
      <c r="AG187">
        <v>31</v>
      </c>
      <c r="AI187">
        <v>8.2000000000000003E-2</v>
      </c>
      <c r="AK187" t="s">
        <v>740</v>
      </c>
      <c r="AL187" t="s">
        <v>811</v>
      </c>
      <c r="AM187">
        <v>200000</v>
      </c>
      <c r="AN187" t="s">
        <v>97</v>
      </c>
      <c r="AO187">
        <v>1</v>
      </c>
      <c r="AP187">
        <v>0</v>
      </c>
      <c r="AQ187">
        <v>16666.666666666668</v>
      </c>
      <c r="AR187" t="s">
        <v>823</v>
      </c>
      <c r="AS187" t="s">
        <v>75</v>
      </c>
      <c r="AX187" t="s">
        <v>76</v>
      </c>
      <c r="AY187" t="s">
        <v>176</v>
      </c>
      <c r="AZ187">
        <v>0</v>
      </c>
      <c r="BA187" t="s">
        <v>176</v>
      </c>
      <c r="BB187">
        <v>0</v>
      </c>
    </row>
    <row r="188" spans="1:56" x14ac:dyDescent="0.15">
      <c r="A188" s="4" t="str">
        <f>HYPERLINK("https://ibp.a2mac1.com/costing(costing:projects/details/9760/part/8411151)","Front Airbag Sensor")</f>
        <v>Front Airbag Sensor</v>
      </c>
      <c r="B188">
        <v>8411151</v>
      </c>
      <c r="C188">
        <v>8411112</v>
      </c>
      <c r="E188">
        <v>10</v>
      </c>
      <c r="F188">
        <v>0</v>
      </c>
      <c r="G188">
        <v>0</v>
      </c>
      <c r="H188">
        <v>0</v>
      </c>
      <c r="I188" t="s">
        <v>71</v>
      </c>
      <c r="J188">
        <v>0</v>
      </c>
      <c r="K188">
        <v>10</v>
      </c>
      <c r="L188">
        <v>0</v>
      </c>
      <c r="M188">
        <v>0</v>
      </c>
      <c r="N188">
        <v>10</v>
      </c>
      <c r="O188" t="s">
        <v>71</v>
      </c>
      <c r="P188">
        <v>0</v>
      </c>
      <c r="Q188" t="s">
        <v>71</v>
      </c>
      <c r="R188">
        <v>0</v>
      </c>
      <c r="S188" t="s">
        <v>71</v>
      </c>
      <c r="T188">
        <v>0</v>
      </c>
      <c r="U188" t="s">
        <v>71</v>
      </c>
      <c r="V188">
        <v>0</v>
      </c>
      <c r="W188" t="s">
        <v>71</v>
      </c>
      <c r="X188">
        <v>0</v>
      </c>
      <c r="Y188">
        <v>10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23</v>
      </c>
      <c r="AF188">
        <v>28</v>
      </c>
      <c r="AG188">
        <v>41</v>
      </c>
      <c r="AI188">
        <v>2.1000000000000001E-2</v>
      </c>
      <c r="AK188" t="s">
        <v>284</v>
      </c>
      <c r="AL188" t="s">
        <v>827</v>
      </c>
      <c r="AM188">
        <v>400000</v>
      </c>
      <c r="AN188" t="s">
        <v>97</v>
      </c>
      <c r="AO188">
        <v>2</v>
      </c>
      <c r="AP188">
        <v>0</v>
      </c>
      <c r="AQ188">
        <v>33333.333333333336</v>
      </c>
      <c r="AR188" t="s">
        <v>828</v>
      </c>
      <c r="AS188" t="s">
        <v>75</v>
      </c>
      <c r="AX188" t="s">
        <v>76</v>
      </c>
      <c r="AY188" t="s">
        <v>71</v>
      </c>
      <c r="AZ188">
        <v>0</v>
      </c>
      <c r="BA188" t="s">
        <v>71</v>
      </c>
      <c r="BB188">
        <v>0</v>
      </c>
      <c r="BD188">
        <v>5</v>
      </c>
    </row>
    <row r="189" spans="1:56" x14ac:dyDescent="0.15">
      <c r="A189" s="4" t="str">
        <f>HYPERLINK("https://ibp.a2mac1.com/costing(costing:projects/details/9760/part/8411152)","Driver Door Sensor")</f>
        <v>Driver Door Sensor</v>
      </c>
      <c r="B189">
        <v>8411152</v>
      </c>
      <c r="C189">
        <v>8411112</v>
      </c>
      <c r="E189">
        <v>5</v>
      </c>
      <c r="F189">
        <v>0</v>
      </c>
      <c r="G189">
        <v>0</v>
      </c>
      <c r="H189">
        <v>0</v>
      </c>
      <c r="I189" t="s">
        <v>71</v>
      </c>
      <c r="J189">
        <v>0</v>
      </c>
      <c r="K189">
        <v>5</v>
      </c>
      <c r="L189">
        <v>0</v>
      </c>
      <c r="M189">
        <v>0</v>
      </c>
      <c r="N189">
        <v>5</v>
      </c>
      <c r="O189" t="s">
        <v>71</v>
      </c>
      <c r="P189">
        <v>0</v>
      </c>
      <c r="Q189" t="s">
        <v>71</v>
      </c>
      <c r="R189">
        <v>0</v>
      </c>
      <c r="S189" t="s">
        <v>71</v>
      </c>
      <c r="T189">
        <v>0</v>
      </c>
      <c r="U189" t="s">
        <v>71</v>
      </c>
      <c r="V189">
        <v>0</v>
      </c>
      <c r="W189" t="s">
        <v>71</v>
      </c>
      <c r="X189">
        <v>0</v>
      </c>
      <c r="Y189">
        <v>5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32</v>
      </c>
      <c r="AF189">
        <v>49</v>
      </c>
      <c r="AG189">
        <v>57</v>
      </c>
      <c r="AI189">
        <v>1.4E-2</v>
      </c>
      <c r="AK189" t="s">
        <v>284</v>
      </c>
      <c r="AL189" t="s">
        <v>827</v>
      </c>
      <c r="AM189">
        <v>200000</v>
      </c>
      <c r="AN189" t="s">
        <v>97</v>
      </c>
      <c r="AO189">
        <v>1</v>
      </c>
      <c r="AP189">
        <v>0</v>
      </c>
      <c r="AQ189">
        <v>16666.666666666668</v>
      </c>
      <c r="AR189" t="s">
        <v>829</v>
      </c>
      <c r="AS189" t="s">
        <v>75</v>
      </c>
      <c r="AX189" t="s">
        <v>76</v>
      </c>
      <c r="AY189" t="s">
        <v>71</v>
      </c>
      <c r="AZ189">
        <v>0</v>
      </c>
      <c r="BA189" t="s">
        <v>71</v>
      </c>
      <c r="BB189">
        <v>0</v>
      </c>
      <c r="BD189">
        <v>5</v>
      </c>
    </row>
    <row r="190" spans="1:56" x14ac:dyDescent="0.15">
      <c r="A190" s="4" t="str">
        <f>HYPERLINK("https://ibp.a2mac1.com/costing(costing:projects/details/9760/part/8411153)","Passenger Door Sensor")</f>
        <v>Passenger Door Sensor</v>
      </c>
      <c r="B190">
        <v>8411153</v>
      </c>
      <c r="C190">
        <v>8411112</v>
      </c>
      <c r="E190">
        <v>5</v>
      </c>
      <c r="F190">
        <v>0</v>
      </c>
      <c r="G190">
        <v>0</v>
      </c>
      <c r="H190">
        <v>0</v>
      </c>
      <c r="I190" t="s">
        <v>71</v>
      </c>
      <c r="J190">
        <v>0</v>
      </c>
      <c r="K190">
        <v>5</v>
      </c>
      <c r="L190">
        <v>0</v>
      </c>
      <c r="M190">
        <v>0</v>
      </c>
      <c r="N190">
        <v>5</v>
      </c>
      <c r="O190" t="s">
        <v>71</v>
      </c>
      <c r="P190">
        <v>0</v>
      </c>
      <c r="Q190" t="s">
        <v>71</v>
      </c>
      <c r="R190">
        <v>0</v>
      </c>
      <c r="S190" t="s">
        <v>71</v>
      </c>
      <c r="T190">
        <v>0</v>
      </c>
      <c r="U190" t="s">
        <v>71</v>
      </c>
      <c r="V190">
        <v>0</v>
      </c>
      <c r="W190" t="s">
        <v>71</v>
      </c>
      <c r="X190">
        <v>0</v>
      </c>
      <c r="Y190">
        <v>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33</v>
      </c>
      <c r="AF190">
        <v>49</v>
      </c>
      <c r="AG190">
        <v>57</v>
      </c>
      <c r="AI190">
        <v>1.4E-2</v>
      </c>
      <c r="AK190" t="s">
        <v>284</v>
      </c>
      <c r="AL190" t="s">
        <v>830</v>
      </c>
      <c r="AM190">
        <v>200000</v>
      </c>
      <c r="AN190" t="s">
        <v>97</v>
      </c>
      <c r="AO190">
        <v>1</v>
      </c>
      <c r="AP190">
        <v>0</v>
      </c>
      <c r="AQ190">
        <v>16666.666666666668</v>
      </c>
      <c r="AR190" t="s">
        <v>831</v>
      </c>
      <c r="AS190" t="s">
        <v>75</v>
      </c>
      <c r="AX190" t="s">
        <v>76</v>
      </c>
      <c r="AY190" t="s">
        <v>71</v>
      </c>
      <c r="AZ190">
        <v>0</v>
      </c>
      <c r="BA190" t="s">
        <v>71</v>
      </c>
      <c r="BB190">
        <v>0</v>
      </c>
      <c r="BD190">
        <v>5</v>
      </c>
    </row>
    <row r="191" spans="1:56" x14ac:dyDescent="0.15">
      <c r="A191" s="4" t="str">
        <f>HYPERLINK("https://ibp.a2mac1.com/costing(costing:projects/details/9760/part/8411154)","Passenger Door Sensor Support")</f>
        <v>Passenger Door Sensor Support</v>
      </c>
      <c r="B191">
        <v>8411154</v>
      </c>
      <c r="C191">
        <v>8411112</v>
      </c>
      <c r="E191">
        <v>5</v>
      </c>
      <c r="F191">
        <v>0</v>
      </c>
      <c r="G191">
        <v>0</v>
      </c>
      <c r="H191">
        <v>0</v>
      </c>
      <c r="I191" t="s">
        <v>71</v>
      </c>
      <c r="J191">
        <v>0</v>
      </c>
      <c r="K191">
        <v>5</v>
      </c>
      <c r="L191">
        <v>0</v>
      </c>
      <c r="M191">
        <v>0</v>
      </c>
      <c r="N191">
        <v>5</v>
      </c>
      <c r="O191" t="s">
        <v>71</v>
      </c>
      <c r="P191">
        <v>0</v>
      </c>
      <c r="Q191" t="s">
        <v>71</v>
      </c>
      <c r="R191">
        <v>0</v>
      </c>
      <c r="S191" t="s">
        <v>71</v>
      </c>
      <c r="T191">
        <v>0</v>
      </c>
      <c r="U191" t="s">
        <v>71</v>
      </c>
      <c r="V191">
        <v>0</v>
      </c>
      <c r="W191" t="s">
        <v>71</v>
      </c>
      <c r="X191">
        <v>0</v>
      </c>
      <c r="Y191">
        <v>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21</v>
      </c>
      <c r="AF191">
        <v>52</v>
      </c>
      <c r="AG191">
        <v>61</v>
      </c>
      <c r="AI191">
        <v>8.0000000000000002E-3</v>
      </c>
      <c r="AK191" t="s">
        <v>288</v>
      </c>
      <c r="AL191" t="s">
        <v>832</v>
      </c>
      <c r="AM191">
        <v>200000</v>
      </c>
      <c r="AN191" t="s">
        <v>97</v>
      </c>
      <c r="AO191">
        <v>1</v>
      </c>
      <c r="AP191">
        <v>0</v>
      </c>
      <c r="AQ191">
        <v>16666.666666666668</v>
      </c>
      <c r="AR191" t="s">
        <v>833</v>
      </c>
      <c r="AS191" t="s">
        <v>75</v>
      </c>
      <c r="AX191" t="s">
        <v>76</v>
      </c>
      <c r="AY191" t="s">
        <v>71</v>
      </c>
      <c r="AZ191">
        <v>0</v>
      </c>
      <c r="BA191" t="s">
        <v>71</v>
      </c>
      <c r="BB191">
        <v>0</v>
      </c>
      <c r="BD191">
        <v>5</v>
      </c>
    </row>
    <row r="192" spans="1:56" x14ac:dyDescent="0.15">
      <c r="A192" s="4" t="str">
        <f>HYPERLINK("https://ibp.a2mac1.com/costing(costing:projects/details/9760/part/8411155)","B Pillar Sensor")</f>
        <v>B Pillar Sensor</v>
      </c>
      <c r="B192">
        <v>8411155</v>
      </c>
      <c r="C192">
        <v>8411112</v>
      </c>
      <c r="E192">
        <v>10</v>
      </c>
      <c r="F192">
        <v>0</v>
      </c>
      <c r="G192">
        <v>0</v>
      </c>
      <c r="H192">
        <v>0</v>
      </c>
      <c r="I192" t="s">
        <v>71</v>
      </c>
      <c r="J192">
        <v>0</v>
      </c>
      <c r="K192">
        <v>10</v>
      </c>
      <c r="L192">
        <v>0</v>
      </c>
      <c r="M192">
        <v>0</v>
      </c>
      <c r="N192">
        <v>10</v>
      </c>
      <c r="O192" t="s">
        <v>71</v>
      </c>
      <c r="P192">
        <v>0</v>
      </c>
      <c r="Q192" t="s">
        <v>71</v>
      </c>
      <c r="R192">
        <v>0</v>
      </c>
      <c r="S192" t="s">
        <v>71</v>
      </c>
      <c r="T192">
        <v>0</v>
      </c>
      <c r="U192" t="s">
        <v>71</v>
      </c>
      <c r="V192">
        <v>0</v>
      </c>
      <c r="W192" t="s">
        <v>71</v>
      </c>
      <c r="X192">
        <v>0</v>
      </c>
      <c r="Y192">
        <v>10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23</v>
      </c>
      <c r="AF192">
        <v>41</v>
      </c>
      <c r="AG192">
        <v>28</v>
      </c>
      <c r="AI192">
        <v>2.1000000000000001E-2</v>
      </c>
      <c r="AK192" t="s">
        <v>284</v>
      </c>
      <c r="AM192">
        <v>400000</v>
      </c>
      <c r="AN192" t="s">
        <v>97</v>
      </c>
      <c r="AO192">
        <v>2</v>
      </c>
      <c r="AP192">
        <v>0</v>
      </c>
      <c r="AQ192">
        <v>33333.333333333336</v>
      </c>
      <c r="AR192" t="s">
        <v>834</v>
      </c>
      <c r="AS192" t="s">
        <v>75</v>
      </c>
      <c r="AX192" t="s">
        <v>76</v>
      </c>
      <c r="AY192" t="s">
        <v>71</v>
      </c>
      <c r="AZ192">
        <v>0</v>
      </c>
      <c r="BA192" t="s">
        <v>71</v>
      </c>
      <c r="BB192">
        <v>0</v>
      </c>
      <c r="BD192">
        <v>5</v>
      </c>
    </row>
    <row r="193" spans="1:56" x14ac:dyDescent="0.15">
      <c r="A193" s="4" t="str">
        <f>HYPERLINK("https://ibp.a2mac1.com/costing(costing:projects/details/9760/part/8411156)","Driver Sensor Door Support")</f>
        <v>Driver Sensor Door Support</v>
      </c>
      <c r="B193">
        <v>8411156</v>
      </c>
      <c r="C193">
        <v>8411112</v>
      </c>
      <c r="E193">
        <v>0.1</v>
      </c>
      <c r="F193">
        <v>0</v>
      </c>
      <c r="G193">
        <v>0</v>
      </c>
      <c r="H193">
        <v>0</v>
      </c>
      <c r="I193" t="s">
        <v>71</v>
      </c>
      <c r="J193">
        <v>0</v>
      </c>
      <c r="K193">
        <v>0.1</v>
      </c>
      <c r="L193">
        <v>0</v>
      </c>
      <c r="M193">
        <v>0</v>
      </c>
      <c r="N193">
        <v>0.1</v>
      </c>
      <c r="O193" t="s">
        <v>71</v>
      </c>
      <c r="P193">
        <v>0</v>
      </c>
      <c r="Q193" t="s">
        <v>71</v>
      </c>
      <c r="R193">
        <v>0</v>
      </c>
      <c r="S193" t="s">
        <v>71</v>
      </c>
      <c r="T193">
        <v>0</v>
      </c>
      <c r="U193" t="s">
        <v>71</v>
      </c>
      <c r="V193">
        <v>0</v>
      </c>
      <c r="W193" t="s">
        <v>71</v>
      </c>
      <c r="X193">
        <v>0</v>
      </c>
      <c r="Y193">
        <v>0.1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20</v>
      </c>
      <c r="AF193">
        <v>52</v>
      </c>
      <c r="AG193">
        <v>60</v>
      </c>
      <c r="AI193">
        <v>8.0000000000000002E-3</v>
      </c>
      <c r="AK193" t="s">
        <v>288</v>
      </c>
      <c r="AL193" t="s">
        <v>749</v>
      </c>
      <c r="AM193">
        <v>200000</v>
      </c>
      <c r="AN193" t="s">
        <v>97</v>
      </c>
      <c r="AO193">
        <v>1</v>
      </c>
      <c r="AP193">
        <v>0</v>
      </c>
      <c r="AQ193">
        <v>16666.666666666668</v>
      </c>
      <c r="AR193" t="s">
        <v>835</v>
      </c>
      <c r="AS193" t="s">
        <v>75</v>
      </c>
      <c r="AX193" t="s">
        <v>76</v>
      </c>
      <c r="AY193" t="s">
        <v>71</v>
      </c>
      <c r="AZ193">
        <v>0</v>
      </c>
      <c r="BA193" t="s">
        <v>71</v>
      </c>
      <c r="BB193">
        <v>0</v>
      </c>
      <c r="BD193">
        <v>0.1</v>
      </c>
    </row>
    <row r="194" spans="1:56" x14ac:dyDescent="0.15">
      <c r="A194" s="4" t="str">
        <f>HYPERLINK("https://ibp.a2mac1.com/costing(costing:projects/details/9760/part/8411300)","Upper")</f>
        <v>Upper</v>
      </c>
      <c r="B194">
        <v>8411300</v>
      </c>
      <c r="C194">
        <v>8411159</v>
      </c>
      <c r="E194">
        <v>5.9804304000000003E-2</v>
      </c>
      <c r="F194">
        <v>0</v>
      </c>
      <c r="G194">
        <v>0</v>
      </c>
      <c r="H194">
        <v>3.0336819873684213E-4</v>
      </c>
      <c r="I194" t="s">
        <v>176</v>
      </c>
      <c r="J194">
        <v>2.0983966315789473E-3</v>
      </c>
      <c r="K194">
        <v>6.2206068830315792E-2</v>
      </c>
      <c r="L194">
        <v>7.6565574225524614E-3</v>
      </c>
      <c r="M194">
        <v>4.5939344535314765E-2</v>
      </c>
      <c r="N194">
        <v>0.10814541336563056</v>
      </c>
      <c r="O194" t="s">
        <v>177</v>
      </c>
      <c r="P194">
        <v>3.7323641298189474E-3</v>
      </c>
      <c r="Q194" t="s">
        <v>177</v>
      </c>
      <c r="R194">
        <v>2.756360672118886E-3</v>
      </c>
      <c r="S194" t="s">
        <v>178</v>
      </c>
      <c r="T194">
        <v>1.2977449603875667E-2</v>
      </c>
      <c r="U194" t="s">
        <v>90</v>
      </c>
      <c r="V194">
        <v>0</v>
      </c>
      <c r="W194" t="s">
        <v>90</v>
      </c>
      <c r="X194">
        <v>0</v>
      </c>
      <c r="Y194">
        <v>0.12761158777144405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23</v>
      </c>
      <c r="AF194">
        <v>102</v>
      </c>
      <c r="AG194">
        <v>88</v>
      </c>
      <c r="AI194">
        <v>2.8000000000000001E-2</v>
      </c>
      <c r="AK194" t="s">
        <v>740</v>
      </c>
      <c r="AL194" t="s">
        <v>448</v>
      </c>
      <c r="AM194">
        <v>200000</v>
      </c>
      <c r="AN194" t="s">
        <v>97</v>
      </c>
      <c r="AO194">
        <v>1</v>
      </c>
      <c r="AP194">
        <v>0</v>
      </c>
      <c r="AQ194">
        <v>16666.666666666668</v>
      </c>
      <c r="AR194" t="s">
        <v>847</v>
      </c>
      <c r="AS194" t="s">
        <v>75</v>
      </c>
      <c r="AX194" t="s">
        <v>76</v>
      </c>
      <c r="AY194" t="s">
        <v>176</v>
      </c>
      <c r="AZ194">
        <v>0</v>
      </c>
      <c r="BA194" t="s">
        <v>176</v>
      </c>
      <c r="BB194">
        <v>0</v>
      </c>
    </row>
    <row r="195" spans="1:56" x14ac:dyDescent="0.15">
      <c r="A195" s="4" t="str">
        <f>HYPERLINK("https://ibp.a2mac1.com/costing(costing:projects/details/9760/part/8411157)","Safety Belt Complete")</f>
        <v>Safety Belt Complete</v>
      </c>
      <c r="B195">
        <v>8411157</v>
      </c>
      <c r="C195">
        <v>8411113</v>
      </c>
      <c r="E195">
        <v>13.99</v>
      </c>
      <c r="F195">
        <v>0</v>
      </c>
      <c r="G195">
        <v>0</v>
      </c>
      <c r="H195">
        <v>7.0789400000000002E-2</v>
      </c>
      <c r="I195" t="s">
        <v>176</v>
      </c>
      <c r="J195">
        <v>0.48964999999999997</v>
      </c>
      <c r="K195">
        <v>14.5504394</v>
      </c>
      <c r="L195">
        <v>8.8896409077631092E-2</v>
      </c>
      <c r="M195">
        <v>0.53337845446578647</v>
      </c>
      <c r="N195">
        <v>15.083817854465787</v>
      </c>
      <c r="O195" t="s">
        <v>177</v>
      </c>
      <c r="P195">
        <v>0.873026364</v>
      </c>
      <c r="Q195" t="s">
        <v>177</v>
      </c>
      <c r="R195">
        <v>3.2002707267947191E-2</v>
      </c>
      <c r="S195" t="s">
        <v>178</v>
      </c>
      <c r="T195">
        <v>1.8100581425358944</v>
      </c>
      <c r="U195" t="s">
        <v>90</v>
      </c>
      <c r="V195">
        <v>0</v>
      </c>
      <c r="W195" t="s">
        <v>90</v>
      </c>
      <c r="X195">
        <v>0</v>
      </c>
      <c r="Y195">
        <v>17.798905068269629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87</v>
      </c>
      <c r="AF195">
        <v>107</v>
      </c>
      <c r="AG195">
        <v>140</v>
      </c>
      <c r="AI195">
        <v>1.1859999999999999</v>
      </c>
      <c r="AK195" t="s">
        <v>740</v>
      </c>
      <c r="AM195">
        <v>200000</v>
      </c>
      <c r="AN195" t="s">
        <v>97</v>
      </c>
      <c r="AO195">
        <v>1</v>
      </c>
      <c r="AP195">
        <v>0</v>
      </c>
      <c r="AQ195">
        <v>16666.666666666668</v>
      </c>
      <c r="AR195" t="s">
        <v>852</v>
      </c>
      <c r="AS195" t="s">
        <v>75</v>
      </c>
      <c r="AX195" t="s">
        <v>76</v>
      </c>
      <c r="AY195" t="s">
        <v>176</v>
      </c>
      <c r="AZ195">
        <v>0</v>
      </c>
      <c r="BA195" t="s">
        <v>176</v>
      </c>
      <c r="BB195">
        <v>0</v>
      </c>
    </row>
    <row r="196" spans="1:56" x14ac:dyDescent="0.15">
      <c r="A196" s="4" t="str">
        <f>HYPERLINK("https://ibp.a2mac1.com/costing(costing:projects/details/9760/part/8411158)","Belt Lock")</f>
        <v>Belt Lock</v>
      </c>
      <c r="B196">
        <v>8411158</v>
      </c>
      <c r="C196">
        <v>8411113</v>
      </c>
      <c r="E196">
        <v>3.14</v>
      </c>
      <c r="F196">
        <v>0</v>
      </c>
      <c r="G196">
        <v>0</v>
      </c>
      <c r="H196">
        <v>1.58884E-2</v>
      </c>
      <c r="I196" t="s">
        <v>176</v>
      </c>
      <c r="J196">
        <v>0.1099</v>
      </c>
      <c r="K196">
        <v>3.2657883999999999</v>
      </c>
      <c r="L196">
        <v>5.7106901908252496E-2</v>
      </c>
      <c r="M196">
        <v>0.34264141144951499</v>
      </c>
      <c r="N196">
        <v>3.6084298114495148</v>
      </c>
      <c r="O196" t="s">
        <v>177</v>
      </c>
      <c r="P196">
        <v>0.19594730399999999</v>
      </c>
      <c r="Q196" t="s">
        <v>177</v>
      </c>
      <c r="R196">
        <v>2.0558484686970899E-2</v>
      </c>
      <c r="S196" t="s">
        <v>178</v>
      </c>
      <c r="T196">
        <v>0.4330115773739418</v>
      </c>
      <c r="U196" t="s">
        <v>90</v>
      </c>
      <c r="V196">
        <v>0</v>
      </c>
      <c r="W196" t="s">
        <v>90</v>
      </c>
      <c r="X196">
        <v>0</v>
      </c>
      <c r="Y196">
        <v>4.2579471775104274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30</v>
      </c>
      <c r="AF196">
        <v>50</v>
      </c>
      <c r="AG196">
        <v>58</v>
      </c>
      <c r="AI196">
        <v>0.161</v>
      </c>
      <c r="AK196" t="s">
        <v>740</v>
      </c>
      <c r="AL196" t="s">
        <v>856</v>
      </c>
      <c r="AM196">
        <v>200000</v>
      </c>
      <c r="AN196" t="s">
        <v>97</v>
      </c>
      <c r="AO196">
        <v>1</v>
      </c>
      <c r="AP196">
        <v>0</v>
      </c>
      <c r="AQ196">
        <v>16666.666666666668</v>
      </c>
      <c r="AR196" t="s">
        <v>857</v>
      </c>
      <c r="AS196" t="s">
        <v>75</v>
      </c>
      <c r="AX196" t="s">
        <v>76</v>
      </c>
      <c r="AY196" t="s">
        <v>176</v>
      </c>
      <c r="AZ196">
        <v>0</v>
      </c>
      <c r="BA196" t="s">
        <v>176</v>
      </c>
      <c r="BB196">
        <v>0</v>
      </c>
    </row>
    <row r="197" spans="1:56" x14ac:dyDescent="0.15">
      <c r="A197" s="4" t="str">
        <f>HYPERLINK("https://ibp.a2mac1.com/costing(costing:projects/details/9760/part/8411301)","Upper")</f>
        <v>Upper</v>
      </c>
      <c r="B197">
        <v>8411301</v>
      </c>
      <c r="C197">
        <v>8411163</v>
      </c>
      <c r="E197">
        <v>5.9804304000000003E-2</v>
      </c>
      <c r="F197">
        <v>0</v>
      </c>
      <c r="G197">
        <v>0</v>
      </c>
      <c r="H197">
        <v>3.0336819873684213E-4</v>
      </c>
      <c r="I197" t="s">
        <v>176</v>
      </c>
      <c r="J197">
        <v>2.0983966315789473E-3</v>
      </c>
      <c r="K197">
        <v>6.2206068830315792E-2</v>
      </c>
      <c r="L197">
        <v>7.6565574225524614E-3</v>
      </c>
      <c r="M197">
        <v>4.5939344535314765E-2</v>
      </c>
      <c r="N197">
        <v>0.10814541336563056</v>
      </c>
      <c r="O197" t="s">
        <v>177</v>
      </c>
      <c r="P197">
        <v>3.7323641298189474E-3</v>
      </c>
      <c r="Q197" t="s">
        <v>177</v>
      </c>
      <c r="R197">
        <v>2.756360672118886E-3</v>
      </c>
      <c r="S197" t="s">
        <v>178</v>
      </c>
      <c r="T197">
        <v>1.2977449603875667E-2</v>
      </c>
      <c r="U197" t="s">
        <v>90</v>
      </c>
      <c r="V197">
        <v>0</v>
      </c>
      <c r="W197" t="s">
        <v>90</v>
      </c>
      <c r="X197">
        <v>0</v>
      </c>
      <c r="Y197">
        <v>0.12761158777144405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23</v>
      </c>
      <c r="AF197">
        <v>102</v>
      </c>
      <c r="AG197">
        <v>88</v>
      </c>
      <c r="AI197">
        <v>2.8000000000000001E-2</v>
      </c>
      <c r="AK197" t="s">
        <v>740</v>
      </c>
      <c r="AL197" t="s">
        <v>448</v>
      </c>
      <c r="AM197">
        <v>200000</v>
      </c>
      <c r="AN197" t="s">
        <v>97</v>
      </c>
      <c r="AO197">
        <v>1</v>
      </c>
      <c r="AP197">
        <v>0</v>
      </c>
      <c r="AQ197">
        <v>16666.666666666668</v>
      </c>
      <c r="AR197" t="s">
        <v>863</v>
      </c>
      <c r="AS197" t="s">
        <v>75</v>
      </c>
      <c r="AX197" t="s">
        <v>76</v>
      </c>
      <c r="AY197" t="s">
        <v>176</v>
      </c>
      <c r="AZ197">
        <v>0</v>
      </c>
      <c r="BA197" t="s">
        <v>176</v>
      </c>
      <c r="BB197">
        <v>0</v>
      </c>
    </row>
    <row r="198" spans="1:56" x14ac:dyDescent="0.15">
      <c r="A198" s="4" t="str">
        <f>HYPERLINK("https://ibp.a2mac1.com/costing(costing:projects/details/9760/part/8411302)","Lower")</f>
        <v>Lower</v>
      </c>
      <c r="B198">
        <v>8411302</v>
      </c>
      <c r="C198">
        <v>8411163</v>
      </c>
      <c r="E198">
        <v>3.4086836000000002E-2</v>
      </c>
      <c r="F198">
        <v>0</v>
      </c>
      <c r="G198">
        <v>0</v>
      </c>
      <c r="H198">
        <v>2.0291692960000001E-4</v>
      </c>
      <c r="I198" t="s">
        <v>176</v>
      </c>
      <c r="J198">
        <v>1.4035756E-3</v>
      </c>
      <c r="K198">
        <v>3.5693328529599999E-2</v>
      </c>
      <c r="L198">
        <v>1.4720892349081038E-2</v>
      </c>
      <c r="M198">
        <v>8.8325354094486219E-2</v>
      </c>
      <c r="N198">
        <v>0.12401868262408622</v>
      </c>
      <c r="O198" t="s">
        <v>177</v>
      </c>
      <c r="P198">
        <v>2.1415997117759998E-3</v>
      </c>
      <c r="Q198" t="s">
        <v>177</v>
      </c>
      <c r="R198">
        <v>5.2995212456691731E-3</v>
      </c>
      <c r="S198" t="s">
        <v>178</v>
      </c>
      <c r="T198">
        <v>1.4882241914890347E-2</v>
      </c>
      <c r="U198" t="s">
        <v>90</v>
      </c>
      <c r="V198">
        <v>0</v>
      </c>
      <c r="W198" t="s">
        <v>90</v>
      </c>
      <c r="X198">
        <v>0</v>
      </c>
      <c r="Y198">
        <v>0.14634204549642174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22</v>
      </c>
      <c r="AF198">
        <v>77</v>
      </c>
      <c r="AG198">
        <v>43</v>
      </c>
      <c r="AI198">
        <v>3.7999999999999999E-2</v>
      </c>
      <c r="AK198" t="s">
        <v>740</v>
      </c>
      <c r="AL198" t="s">
        <v>96</v>
      </c>
      <c r="AM198">
        <v>200000</v>
      </c>
      <c r="AN198" t="s">
        <v>97</v>
      </c>
      <c r="AO198">
        <v>1</v>
      </c>
      <c r="AP198">
        <v>0</v>
      </c>
      <c r="AQ198">
        <v>16666.666666666668</v>
      </c>
      <c r="AR198" t="s">
        <v>868</v>
      </c>
      <c r="AS198" t="s">
        <v>75</v>
      </c>
      <c r="AX198" t="s">
        <v>76</v>
      </c>
      <c r="AY198" t="s">
        <v>176</v>
      </c>
      <c r="AZ198">
        <v>0</v>
      </c>
      <c r="BA198" t="s">
        <v>176</v>
      </c>
      <c r="BB198">
        <v>0</v>
      </c>
    </row>
    <row r="199" spans="1:56" x14ac:dyDescent="0.15">
      <c r="A199" s="4" t="str">
        <f>HYPERLINK("https://ibp.a2mac1.com/costing(costing:projects/details/9760/part/8411303)","Upper Anchor")</f>
        <v>Upper Anchor</v>
      </c>
      <c r="B199">
        <v>8411303</v>
      </c>
      <c r="C199">
        <v>8411164</v>
      </c>
      <c r="D199" t="s">
        <v>871</v>
      </c>
      <c r="E199">
        <v>1.53</v>
      </c>
      <c r="F199">
        <v>0</v>
      </c>
      <c r="G199">
        <v>0</v>
      </c>
      <c r="H199">
        <v>0</v>
      </c>
      <c r="I199" t="s">
        <v>71</v>
      </c>
      <c r="J199">
        <v>0</v>
      </c>
      <c r="K199">
        <v>1.53</v>
      </c>
      <c r="L199">
        <v>0</v>
      </c>
      <c r="M199">
        <v>0</v>
      </c>
      <c r="N199">
        <v>1.53</v>
      </c>
      <c r="O199" t="s">
        <v>71</v>
      </c>
      <c r="P199">
        <v>0</v>
      </c>
      <c r="Q199" t="s">
        <v>71</v>
      </c>
      <c r="R199">
        <v>0</v>
      </c>
      <c r="S199" t="s">
        <v>71</v>
      </c>
      <c r="T199">
        <v>0</v>
      </c>
      <c r="U199" t="s">
        <v>71</v>
      </c>
      <c r="V199">
        <v>0</v>
      </c>
      <c r="W199" t="s">
        <v>71</v>
      </c>
      <c r="X199">
        <v>0</v>
      </c>
      <c r="Y199">
        <v>1.53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</v>
      </c>
      <c r="AF199">
        <v>100</v>
      </c>
      <c r="AG199">
        <v>71</v>
      </c>
      <c r="AI199">
        <v>7.9000000000000001E-2</v>
      </c>
      <c r="AK199" t="s">
        <v>740</v>
      </c>
      <c r="AL199" t="s">
        <v>872</v>
      </c>
      <c r="AM199">
        <v>200000</v>
      </c>
      <c r="AN199" t="s">
        <v>97</v>
      </c>
      <c r="AO199">
        <v>1</v>
      </c>
      <c r="AP199">
        <v>0</v>
      </c>
      <c r="AQ199">
        <v>16666.666666666668</v>
      </c>
      <c r="AR199" t="s">
        <v>873</v>
      </c>
      <c r="AS199" t="s">
        <v>75</v>
      </c>
      <c r="AX199" t="s">
        <v>76</v>
      </c>
      <c r="AY199" t="s">
        <v>71</v>
      </c>
      <c r="AZ199">
        <v>0</v>
      </c>
      <c r="BA199" t="s">
        <v>71</v>
      </c>
      <c r="BB199">
        <v>0</v>
      </c>
      <c r="BD199">
        <v>1.53</v>
      </c>
    </row>
    <row r="200" spans="1:56" x14ac:dyDescent="0.15">
      <c r="A200" s="4" t="str">
        <f>HYPERLINK("https://ibp.a2mac1.com/costing(costing:projects/details/9760/part/8411304)","Lower Anchor")</f>
        <v>Lower Anchor</v>
      </c>
      <c r="B200">
        <v>8411304</v>
      </c>
      <c r="C200">
        <v>8411164</v>
      </c>
      <c r="D200" t="s">
        <v>874</v>
      </c>
      <c r="E200">
        <v>0.23</v>
      </c>
      <c r="F200">
        <v>0</v>
      </c>
      <c r="G200">
        <v>0</v>
      </c>
      <c r="H200">
        <v>0</v>
      </c>
      <c r="I200" t="s">
        <v>71</v>
      </c>
      <c r="J200">
        <v>0</v>
      </c>
      <c r="K200">
        <v>0.23</v>
      </c>
      <c r="L200">
        <v>0</v>
      </c>
      <c r="M200">
        <v>0</v>
      </c>
      <c r="N200">
        <v>0.23</v>
      </c>
      <c r="O200" t="s">
        <v>71</v>
      </c>
      <c r="P200">
        <v>0</v>
      </c>
      <c r="Q200" t="s">
        <v>71</v>
      </c>
      <c r="R200">
        <v>0</v>
      </c>
      <c r="S200" t="s">
        <v>71</v>
      </c>
      <c r="T200">
        <v>0</v>
      </c>
      <c r="U200" t="s">
        <v>71</v>
      </c>
      <c r="V200">
        <v>0</v>
      </c>
      <c r="W200" t="s">
        <v>71</v>
      </c>
      <c r="X200">
        <v>0</v>
      </c>
      <c r="Y200">
        <v>0.23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10</v>
      </c>
      <c r="AF200">
        <v>38</v>
      </c>
      <c r="AG200">
        <v>78</v>
      </c>
      <c r="AI200">
        <v>5.0999999999999997E-2</v>
      </c>
      <c r="AK200" t="s">
        <v>740</v>
      </c>
      <c r="AL200" t="s">
        <v>96</v>
      </c>
      <c r="AM200">
        <v>200000</v>
      </c>
      <c r="AN200" t="s">
        <v>97</v>
      </c>
      <c r="AO200">
        <v>1</v>
      </c>
      <c r="AP200">
        <v>0</v>
      </c>
      <c r="AQ200">
        <v>16666.666666666668</v>
      </c>
      <c r="AR200" t="s">
        <v>875</v>
      </c>
      <c r="AS200" t="s">
        <v>75</v>
      </c>
      <c r="AX200" t="s">
        <v>76</v>
      </c>
      <c r="AY200" t="s">
        <v>71</v>
      </c>
      <c r="AZ200">
        <v>0</v>
      </c>
      <c r="BA200" t="s">
        <v>71</v>
      </c>
      <c r="BB200">
        <v>0</v>
      </c>
      <c r="BD200">
        <v>0.23</v>
      </c>
    </row>
    <row r="201" spans="1:56" x14ac:dyDescent="0.15">
      <c r="A201" s="4" t="str">
        <f>HYPERLINK("https://ibp.a2mac1.com/costing(costing:projects/details/9760/part/8411160)","Buckle")</f>
        <v>Buckle</v>
      </c>
      <c r="B201">
        <v>8411160</v>
      </c>
      <c r="C201">
        <v>8411114</v>
      </c>
      <c r="D201" t="s">
        <v>877</v>
      </c>
      <c r="E201">
        <v>0.65</v>
      </c>
      <c r="F201">
        <v>0</v>
      </c>
      <c r="G201">
        <v>0</v>
      </c>
      <c r="H201">
        <v>0</v>
      </c>
      <c r="I201" t="s">
        <v>71</v>
      </c>
      <c r="J201">
        <v>0</v>
      </c>
      <c r="K201">
        <v>0.65</v>
      </c>
      <c r="L201">
        <v>0</v>
      </c>
      <c r="M201">
        <v>0</v>
      </c>
      <c r="N201">
        <v>0.65</v>
      </c>
      <c r="O201" t="s">
        <v>71</v>
      </c>
      <c r="P201">
        <v>0</v>
      </c>
      <c r="Q201" t="s">
        <v>71</v>
      </c>
      <c r="R201">
        <v>0</v>
      </c>
      <c r="S201" t="s">
        <v>71</v>
      </c>
      <c r="T201">
        <v>0</v>
      </c>
      <c r="U201" t="s">
        <v>71</v>
      </c>
      <c r="V201">
        <v>0</v>
      </c>
      <c r="W201" t="s">
        <v>71</v>
      </c>
      <c r="X201">
        <v>0</v>
      </c>
      <c r="Y201">
        <v>0.65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16</v>
      </c>
      <c r="AF201">
        <v>77</v>
      </c>
      <c r="AG201">
        <v>73</v>
      </c>
      <c r="AI201">
        <v>7.9000000000000001E-2</v>
      </c>
      <c r="AK201" t="s">
        <v>740</v>
      </c>
      <c r="AL201" t="s">
        <v>878</v>
      </c>
      <c r="AM201">
        <v>200000</v>
      </c>
      <c r="AN201" t="s">
        <v>97</v>
      </c>
      <c r="AO201">
        <v>1</v>
      </c>
      <c r="AP201">
        <v>0</v>
      </c>
      <c r="AQ201">
        <v>16666.666666666668</v>
      </c>
      <c r="AR201" t="s">
        <v>879</v>
      </c>
      <c r="AS201" t="s">
        <v>75</v>
      </c>
      <c r="AX201" t="s">
        <v>76</v>
      </c>
      <c r="AY201" t="s">
        <v>71</v>
      </c>
      <c r="AZ201">
        <v>0</v>
      </c>
      <c r="BA201" t="s">
        <v>71</v>
      </c>
      <c r="BB201">
        <v>0</v>
      </c>
      <c r="BD201">
        <v>0.65</v>
      </c>
    </row>
    <row r="202" spans="1:56" x14ac:dyDescent="0.15">
      <c r="A202" s="4" t="str">
        <f>HYPERLINK("https://ibp.a2mac1.com/costing(costing:projects/details/9760/part/8411161)","Reel")</f>
        <v>Reel</v>
      </c>
      <c r="B202">
        <v>8411161</v>
      </c>
      <c r="C202">
        <v>8411114</v>
      </c>
      <c r="D202" t="s">
        <v>880</v>
      </c>
      <c r="E202">
        <v>15.05</v>
      </c>
      <c r="F202">
        <v>0</v>
      </c>
      <c r="G202">
        <v>0</v>
      </c>
      <c r="H202">
        <v>0</v>
      </c>
      <c r="I202" t="s">
        <v>71</v>
      </c>
      <c r="J202">
        <v>0</v>
      </c>
      <c r="K202">
        <v>15.05</v>
      </c>
      <c r="L202">
        <v>0</v>
      </c>
      <c r="M202">
        <v>0</v>
      </c>
      <c r="N202">
        <v>15.05</v>
      </c>
      <c r="O202" t="s">
        <v>71</v>
      </c>
      <c r="P202">
        <v>0</v>
      </c>
      <c r="Q202" t="s">
        <v>71</v>
      </c>
      <c r="R202">
        <v>0</v>
      </c>
      <c r="S202" t="s">
        <v>71</v>
      </c>
      <c r="T202">
        <v>0</v>
      </c>
      <c r="U202" t="s">
        <v>71</v>
      </c>
      <c r="V202">
        <v>0</v>
      </c>
      <c r="W202" t="s">
        <v>71</v>
      </c>
      <c r="X202">
        <v>0</v>
      </c>
      <c r="Y202">
        <v>15.05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87</v>
      </c>
      <c r="AF202">
        <v>107</v>
      </c>
      <c r="AG202">
        <v>140</v>
      </c>
      <c r="AI202">
        <v>0.93700000000000006</v>
      </c>
      <c r="AK202" t="s">
        <v>740</v>
      </c>
      <c r="AL202" t="s">
        <v>881</v>
      </c>
      <c r="AM202">
        <v>200000</v>
      </c>
      <c r="AN202" t="s">
        <v>97</v>
      </c>
      <c r="AO202">
        <v>1</v>
      </c>
      <c r="AP202">
        <v>0</v>
      </c>
      <c r="AQ202">
        <v>16666.666666666668</v>
      </c>
      <c r="AR202" t="s">
        <v>882</v>
      </c>
      <c r="AS202" t="s">
        <v>75</v>
      </c>
      <c r="AX202" t="s">
        <v>76</v>
      </c>
      <c r="AY202" t="s">
        <v>71</v>
      </c>
      <c r="AZ202">
        <v>0</v>
      </c>
      <c r="BA202" t="s">
        <v>71</v>
      </c>
      <c r="BB202">
        <v>0</v>
      </c>
      <c r="BD202">
        <v>15.05</v>
      </c>
    </row>
    <row r="203" spans="1:56" x14ac:dyDescent="0.15">
      <c r="A203" s="4" t="str">
        <f>HYPERLINK("https://ibp.a2mac1.com/costing(costing:projects/details/9760/part/8411162)","Belt Lock")</f>
        <v>Belt Lock</v>
      </c>
      <c r="B203">
        <v>8411162</v>
      </c>
      <c r="C203">
        <v>8411114</v>
      </c>
      <c r="E203">
        <v>3.14</v>
      </c>
      <c r="F203">
        <v>0</v>
      </c>
      <c r="G203">
        <v>0</v>
      </c>
      <c r="H203">
        <v>1.58884E-2</v>
      </c>
      <c r="I203" t="s">
        <v>176</v>
      </c>
      <c r="J203">
        <v>0.1099</v>
      </c>
      <c r="K203">
        <v>3.2657883999999999</v>
      </c>
      <c r="L203">
        <v>5.7106901908252496E-2</v>
      </c>
      <c r="M203">
        <v>0.34264141144951499</v>
      </c>
      <c r="N203">
        <v>3.6084298114495148</v>
      </c>
      <c r="O203" t="s">
        <v>177</v>
      </c>
      <c r="P203">
        <v>0.19594730399999999</v>
      </c>
      <c r="Q203" t="s">
        <v>177</v>
      </c>
      <c r="R203">
        <v>2.0558484686970899E-2</v>
      </c>
      <c r="S203" t="s">
        <v>178</v>
      </c>
      <c r="T203">
        <v>0.4330115773739418</v>
      </c>
      <c r="U203" t="s">
        <v>90</v>
      </c>
      <c r="V203">
        <v>0</v>
      </c>
      <c r="W203" t="s">
        <v>90</v>
      </c>
      <c r="X203">
        <v>0</v>
      </c>
      <c r="Y203">
        <v>4.2579471775104274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30</v>
      </c>
      <c r="AF203">
        <v>50</v>
      </c>
      <c r="AG203">
        <v>58</v>
      </c>
      <c r="AI203">
        <v>0.161</v>
      </c>
      <c r="AK203" t="s">
        <v>740</v>
      </c>
      <c r="AL203" t="s">
        <v>856</v>
      </c>
      <c r="AM203">
        <v>200000</v>
      </c>
      <c r="AN203" t="s">
        <v>97</v>
      </c>
      <c r="AO203">
        <v>1</v>
      </c>
      <c r="AP203">
        <v>0</v>
      </c>
      <c r="AQ203">
        <v>16666.666666666668</v>
      </c>
      <c r="AR203" t="s">
        <v>885</v>
      </c>
      <c r="AS203" t="s">
        <v>75</v>
      </c>
      <c r="AX203" t="s">
        <v>76</v>
      </c>
      <c r="AY203" t="s">
        <v>176</v>
      </c>
      <c r="AZ203">
        <v>0</v>
      </c>
      <c r="BA203" t="s">
        <v>176</v>
      </c>
      <c r="BB203">
        <v>0</v>
      </c>
    </row>
    <row r="204" spans="1:56" x14ac:dyDescent="0.15">
      <c r="A204" s="4" t="str">
        <f>HYPERLINK("https://ibp.a2mac1.com/costing(costing:projects/details/9760/part/8411305)","Upper")</f>
        <v>Upper</v>
      </c>
      <c r="B204">
        <v>8411305</v>
      </c>
      <c r="C204">
        <v>8411167</v>
      </c>
      <c r="E204">
        <v>5.9804304000000003E-2</v>
      </c>
      <c r="F204">
        <v>0</v>
      </c>
      <c r="G204">
        <v>0</v>
      </c>
      <c r="H204">
        <v>3.0336819873684213E-4</v>
      </c>
      <c r="I204" t="s">
        <v>176</v>
      </c>
      <c r="J204">
        <v>2.0983966315789473E-3</v>
      </c>
      <c r="K204">
        <v>6.2206068830315792E-2</v>
      </c>
      <c r="L204">
        <v>7.6565574225524614E-3</v>
      </c>
      <c r="M204">
        <v>4.5939344535314765E-2</v>
      </c>
      <c r="N204">
        <v>0.10814541336563056</v>
      </c>
      <c r="O204" t="s">
        <v>177</v>
      </c>
      <c r="P204">
        <v>3.7323641298189474E-3</v>
      </c>
      <c r="Q204" t="s">
        <v>177</v>
      </c>
      <c r="R204">
        <v>2.756360672118886E-3</v>
      </c>
      <c r="S204" t="s">
        <v>178</v>
      </c>
      <c r="T204">
        <v>1.2977449603875667E-2</v>
      </c>
      <c r="U204" t="s">
        <v>90</v>
      </c>
      <c r="V204">
        <v>0</v>
      </c>
      <c r="W204" t="s">
        <v>90</v>
      </c>
      <c r="X204">
        <v>0</v>
      </c>
      <c r="Y204">
        <v>0.12761158777144405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60</v>
      </c>
      <c r="AF204">
        <v>180</v>
      </c>
      <c r="AG204">
        <v>25</v>
      </c>
      <c r="AI204">
        <v>2.8000000000000001E-2</v>
      </c>
      <c r="AK204" t="s">
        <v>740</v>
      </c>
      <c r="AL204" t="s">
        <v>448</v>
      </c>
      <c r="AM204">
        <v>200000</v>
      </c>
      <c r="AN204" t="s">
        <v>97</v>
      </c>
      <c r="AO204">
        <v>1</v>
      </c>
      <c r="AP204">
        <v>0</v>
      </c>
      <c r="AQ204">
        <v>16666.666666666668</v>
      </c>
      <c r="AR204" t="s">
        <v>891</v>
      </c>
      <c r="AS204" t="s">
        <v>75</v>
      </c>
      <c r="AX204" t="s">
        <v>76</v>
      </c>
      <c r="AY204" t="s">
        <v>176</v>
      </c>
      <c r="AZ204">
        <v>0</v>
      </c>
      <c r="BA204" t="s">
        <v>176</v>
      </c>
      <c r="BB204">
        <v>0</v>
      </c>
    </row>
    <row r="205" spans="1:56" x14ac:dyDescent="0.15">
      <c r="A205" s="4" t="str">
        <f>HYPERLINK("https://ibp.a2mac1.com/costing(costing:projects/details/9760/part/8411165)","Safety Belt Complete")</f>
        <v>Safety Belt Complete</v>
      </c>
      <c r="B205">
        <v>8411165</v>
      </c>
      <c r="C205">
        <v>8411115</v>
      </c>
      <c r="E205">
        <v>12.6</v>
      </c>
      <c r="F205">
        <v>0</v>
      </c>
      <c r="G205">
        <v>0</v>
      </c>
      <c r="H205">
        <v>6.3755999999999993E-2</v>
      </c>
      <c r="I205" t="s">
        <v>176</v>
      </c>
      <c r="J205">
        <v>0.441</v>
      </c>
      <c r="K205">
        <v>13.104756</v>
      </c>
      <c r="L205">
        <v>8.3598157882734656E-2</v>
      </c>
      <c r="M205">
        <v>0.50158894729640791</v>
      </c>
      <c r="N205">
        <v>13.606344947296408</v>
      </c>
      <c r="O205" t="s">
        <v>177</v>
      </c>
      <c r="P205">
        <v>0.78628536000000004</v>
      </c>
      <c r="Q205" t="s">
        <v>177</v>
      </c>
      <c r="R205">
        <v>3.0095336837784474E-2</v>
      </c>
      <c r="S205" t="s">
        <v>178</v>
      </c>
      <c r="T205">
        <v>1.6327613936755689</v>
      </c>
      <c r="U205" t="s">
        <v>90</v>
      </c>
      <c r="V205">
        <v>0</v>
      </c>
      <c r="W205" t="s">
        <v>90</v>
      </c>
      <c r="X205">
        <v>0</v>
      </c>
      <c r="Y205">
        <v>16.055487037809762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88</v>
      </c>
      <c r="AF205">
        <v>111</v>
      </c>
      <c r="AG205">
        <v>135</v>
      </c>
      <c r="AI205">
        <v>1.353</v>
      </c>
      <c r="AK205" t="s">
        <v>740</v>
      </c>
      <c r="AM205">
        <v>200000</v>
      </c>
      <c r="AN205" t="s">
        <v>97</v>
      </c>
      <c r="AO205">
        <v>1</v>
      </c>
      <c r="AP205">
        <v>0</v>
      </c>
      <c r="AQ205">
        <v>16666.666666666668</v>
      </c>
      <c r="AR205" t="s">
        <v>896</v>
      </c>
      <c r="AS205" t="s">
        <v>75</v>
      </c>
      <c r="AX205" t="s">
        <v>76</v>
      </c>
      <c r="AY205" t="s">
        <v>176</v>
      </c>
      <c r="AZ205">
        <v>0</v>
      </c>
      <c r="BA205" t="s">
        <v>176</v>
      </c>
      <c r="BB205">
        <v>0</v>
      </c>
    </row>
    <row r="206" spans="1:56" x14ac:dyDescent="0.15">
      <c r="A206" s="4" t="str">
        <f>HYPERLINK("https://ibp.a2mac1.com/costing(costing:projects/details/9760/part/8411166)","Belt Lock")</f>
        <v>Belt Lock</v>
      </c>
      <c r="B206">
        <v>8411166</v>
      </c>
      <c r="C206">
        <v>8411115</v>
      </c>
      <c r="E206">
        <v>3.67</v>
      </c>
      <c r="F206">
        <v>0</v>
      </c>
      <c r="G206">
        <v>0</v>
      </c>
      <c r="H206">
        <v>1.8570199999999999E-2</v>
      </c>
      <c r="I206" t="s">
        <v>176</v>
      </c>
      <c r="J206">
        <v>0.12845000000000001</v>
      </c>
      <c r="K206">
        <v>3.8170202</v>
      </c>
      <c r="L206">
        <v>5.7106901908252496E-2</v>
      </c>
      <c r="M206">
        <v>0.34264141144951499</v>
      </c>
      <c r="N206">
        <v>4.1596616114495149</v>
      </c>
      <c r="O206" t="s">
        <v>177</v>
      </c>
      <c r="P206">
        <v>0.229021212</v>
      </c>
      <c r="Q206" t="s">
        <v>177</v>
      </c>
      <c r="R206">
        <v>2.0558484686970899E-2</v>
      </c>
      <c r="S206" t="s">
        <v>178</v>
      </c>
      <c r="T206">
        <v>0.49915939337394177</v>
      </c>
      <c r="U206" t="s">
        <v>90</v>
      </c>
      <c r="V206">
        <v>0</v>
      </c>
      <c r="W206" t="s">
        <v>90</v>
      </c>
      <c r="X206">
        <v>0</v>
      </c>
      <c r="Y206">
        <v>4.9084007015104278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29</v>
      </c>
      <c r="AF206">
        <v>51</v>
      </c>
      <c r="AG206">
        <v>57</v>
      </c>
      <c r="AI206">
        <v>0.28399999999999997</v>
      </c>
      <c r="AK206" t="s">
        <v>740</v>
      </c>
      <c r="AL206" t="s">
        <v>899</v>
      </c>
      <c r="AM206">
        <v>200000</v>
      </c>
      <c r="AN206" t="s">
        <v>97</v>
      </c>
      <c r="AO206">
        <v>1</v>
      </c>
      <c r="AP206">
        <v>0</v>
      </c>
      <c r="AQ206">
        <v>16666.666666666668</v>
      </c>
      <c r="AR206" t="s">
        <v>900</v>
      </c>
      <c r="AS206" t="s">
        <v>75</v>
      </c>
      <c r="AX206" t="s">
        <v>76</v>
      </c>
      <c r="AY206" t="s">
        <v>176</v>
      </c>
      <c r="AZ206">
        <v>0</v>
      </c>
      <c r="BA206" t="s">
        <v>176</v>
      </c>
      <c r="BB206">
        <v>0</v>
      </c>
    </row>
    <row r="207" spans="1:56" x14ac:dyDescent="0.15">
      <c r="A207" s="4" t="str">
        <f>HYPERLINK("https://ibp.a2mac1.com/costing(costing:projects/details/9760/part/8411306)","Lower Anchor")</f>
        <v>Lower Anchor</v>
      </c>
      <c r="B207">
        <v>8411306</v>
      </c>
      <c r="C207">
        <v>8411171</v>
      </c>
      <c r="D207" t="s">
        <v>874</v>
      </c>
      <c r="E207">
        <v>0.23</v>
      </c>
      <c r="F207">
        <v>0</v>
      </c>
      <c r="G207">
        <v>0</v>
      </c>
      <c r="H207">
        <v>0</v>
      </c>
      <c r="I207" t="s">
        <v>71</v>
      </c>
      <c r="J207">
        <v>0</v>
      </c>
      <c r="K207">
        <v>0.23</v>
      </c>
      <c r="L207">
        <v>0</v>
      </c>
      <c r="M207">
        <v>0</v>
      </c>
      <c r="N207">
        <v>0.23</v>
      </c>
      <c r="O207" t="s">
        <v>71</v>
      </c>
      <c r="P207">
        <v>0</v>
      </c>
      <c r="Q207" t="s">
        <v>71</v>
      </c>
      <c r="R207">
        <v>0</v>
      </c>
      <c r="S207" t="s">
        <v>71</v>
      </c>
      <c r="T207">
        <v>0</v>
      </c>
      <c r="U207" t="s">
        <v>71</v>
      </c>
      <c r="V207">
        <v>0</v>
      </c>
      <c r="W207" t="s">
        <v>71</v>
      </c>
      <c r="X207">
        <v>0</v>
      </c>
      <c r="Y207">
        <v>0.23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65</v>
      </c>
      <c r="AF207">
        <v>40</v>
      </c>
      <c r="AG207">
        <v>24</v>
      </c>
      <c r="AI207">
        <v>4.3999999999999997E-2</v>
      </c>
      <c r="AK207" t="s">
        <v>740</v>
      </c>
      <c r="AL207" t="s">
        <v>96</v>
      </c>
      <c r="AM207">
        <v>200000</v>
      </c>
      <c r="AN207" t="s">
        <v>97</v>
      </c>
      <c r="AO207">
        <v>1</v>
      </c>
      <c r="AP207">
        <v>0</v>
      </c>
      <c r="AQ207">
        <v>16666.666666666668</v>
      </c>
      <c r="AR207" t="s">
        <v>904</v>
      </c>
      <c r="AS207" t="s">
        <v>75</v>
      </c>
      <c r="AX207" t="s">
        <v>76</v>
      </c>
      <c r="AY207" t="s">
        <v>71</v>
      </c>
      <c r="AZ207">
        <v>0</v>
      </c>
      <c r="BA207" t="s">
        <v>71</v>
      </c>
      <c r="BB207">
        <v>0</v>
      </c>
      <c r="BD207">
        <v>0.23</v>
      </c>
    </row>
    <row r="208" spans="1:56" x14ac:dyDescent="0.15">
      <c r="A208" s="4" t="str">
        <f>HYPERLINK("https://ibp.a2mac1.com/costing(costing:projects/details/9760/part/8411307)","Lower Fastener Bracket")</f>
        <v>Lower Fastener Bracket</v>
      </c>
      <c r="B208">
        <v>8411307</v>
      </c>
      <c r="C208">
        <v>8411171</v>
      </c>
      <c r="D208" t="s">
        <v>874</v>
      </c>
      <c r="E208">
        <v>0.57999999999999996</v>
      </c>
      <c r="F208">
        <v>0</v>
      </c>
      <c r="G208">
        <v>0</v>
      </c>
      <c r="H208">
        <v>0</v>
      </c>
      <c r="I208" t="s">
        <v>71</v>
      </c>
      <c r="J208">
        <v>0</v>
      </c>
      <c r="K208">
        <v>0.57999999999999996</v>
      </c>
      <c r="L208">
        <v>0</v>
      </c>
      <c r="M208">
        <v>0</v>
      </c>
      <c r="N208">
        <v>0.57999999999999996</v>
      </c>
      <c r="O208" t="s">
        <v>71</v>
      </c>
      <c r="P208">
        <v>0</v>
      </c>
      <c r="Q208" t="s">
        <v>71</v>
      </c>
      <c r="R208">
        <v>0</v>
      </c>
      <c r="S208" t="s">
        <v>71</v>
      </c>
      <c r="T208">
        <v>0</v>
      </c>
      <c r="U208" t="s">
        <v>71</v>
      </c>
      <c r="V208">
        <v>0</v>
      </c>
      <c r="W208" t="s">
        <v>71</v>
      </c>
      <c r="X208">
        <v>0</v>
      </c>
      <c r="Y208">
        <v>0.57999999999999996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114</v>
      </c>
      <c r="AF208">
        <v>36</v>
      </c>
      <c r="AG208">
        <v>31</v>
      </c>
      <c r="AI208">
        <v>0.108</v>
      </c>
      <c r="AK208" t="s">
        <v>740</v>
      </c>
      <c r="AL208" t="s">
        <v>96</v>
      </c>
      <c r="AM208">
        <v>200000</v>
      </c>
      <c r="AN208" t="s">
        <v>97</v>
      </c>
      <c r="AO208">
        <v>1</v>
      </c>
      <c r="AP208">
        <v>0</v>
      </c>
      <c r="AQ208">
        <v>16666.666666666668</v>
      </c>
      <c r="AR208" t="s">
        <v>905</v>
      </c>
      <c r="AS208" t="s">
        <v>75</v>
      </c>
      <c r="AX208" t="s">
        <v>76</v>
      </c>
      <c r="AY208" t="s">
        <v>71</v>
      </c>
      <c r="AZ208">
        <v>0</v>
      </c>
      <c r="BA208" t="s">
        <v>71</v>
      </c>
      <c r="BB208">
        <v>0</v>
      </c>
      <c r="BD208">
        <v>0.57999999999999996</v>
      </c>
    </row>
    <row r="209" spans="1:56" x14ac:dyDescent="0.15">
      <c r="A209" s="4" t="str">
        <f>HYPERLINK("https://ibp.a2mac1.com/costing(costing:projects/details/9760/part/8411168)","Reel Belt Complete")</f>
        <v>Reel Belt Complete</v>
      </c>
      <c r="B209">
        <v>8411168</v>
      </c>
      <c r="C209">
        <v>8411116</v>
      </c>
      <c r="E209">
        <v>8.64</v>
      </c>
      <c r="F209">
        <v>0</v>
      </c>
      <c r="G209">
        <v>0</v>
      </c>
      <c r="H209">
        <v>4.3718399999999998E-2</v>
      </c>
      <c r="I209" t="s">
        <v>176</v>
      </c>
      <c r="J209">
        <v>0.3024</v>
      </c>
      <c r="K209">
        <v>8.9861184000000005</v>
      </c>
      <c r="L209">
        <v>8.183207415110251E-2</v>
      </c>
      <c r="M209">
        <v>0.49099244490661503</v>
      </c>
      <c r="N209">
        <v>9.4771108449066155</v>
      </c>
      <c r="O209" t="s">
        <v>177</v>
      </c>
      <c r="P209">
        <v>0.53916710400000001</v>
      </c>
      <c r="Q209" t="s">
        <v>177</v>
      </c>
      <c r="R209">
        <v>2.9459546694396904E-2</v>
      </c>
      <c r="S209" t="s">
        <v>178</v>
      </c>
      <c r="T209">
        <v>1.1372533013887938</v>
      </c>
      <c r="U209" t="s">
        <v>90</v>
      </c>
      <c r="V209">
        <v>0</v>
      </c>
      <c r="W209" t="s">
        <v>90</v>
      </c>
      <c r="X209">
        <v>0</v>
      </c>
      <c r="Y209">
        <v>11.182990796989806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77</v>
      </c>
      <c r="AF209">
        <v>94</v>
      </c>
      <c r="AG209">
        <v>108</v>
      </c>
      <c r="AI209">
        <v>0.48</v>
      </c>
      <c r="AK209" t="s">
        <v>740</v>
      </c>
      <c r="AL209" t="s">
        <v>909</v>
      </c>
      <c r="AM209">
        <v>200000</v>
      </c>
      <c r="AN209" t="s">
        <v>97</v>
      </c>
      <c r="AO209">
        <v>1</v>
      </c>
      <c r="AP209">
        <v>0</v>
      </c>
      <c r="AQ209">
        <v>16666.666666666668</v>
      </c>
      <c r="AR209" t="s">
        <v>910</v>
      </c>
      <c r="AS209" t="s">
        <v>75</v>
      </c>
      <c r="AX209" t="s">
        <v>76</v>
      </c>
      <c r="AY209" t="s">
        <v>176</v>
      </c>
      <c r="AZ209">
        <v>0</v>
      </c>
      <c r="BA209" t="s">
        <v>176</v>
      </c>
      <c r="BB209">
        <v>0</v>
      </c>
    </row>
    <row r="210" spans="1:56" x14ac:dyDescent="0.15">
      <c r="A210" s="4" t="str">
        <f>HYPERLINK("https://ibp.a2mac1.com/costing(costing:projects/details/9760/part/8411169)","Buckle")</f>
        <v>Buckle</v>
      </c>
      <c r="B210">
        <v>8411169</v>
      </c>
      <c r="C210">
        <v>8411116</v>
      </c>
      <c r="D210" t="s">
        <v>877</v>
      </c>
      <c r="E210">
        <v>0.65</v>
      </c>
      <c r="F210">
        <v>0</v>
      </c>
      <c r="G210">
        <v>0</v>
      </c>
      <c r="H210">
        <v>0</v>
      </c>
      <c r="I210" t="s">
        <v>71</v>
      </c>
      <c r="J210">
        <v>0</v>
      </c>
      <c r="K210">
        <v>0.65</v>
      </c>
      <c r="L210">
        <v>0</v>
      </c>
      <c r="M210">
        <v>0</v>
      </c>
      <c r="N210">
        <v>0.65</v>
      </c>
      <c r="O210" t="s">
        <v>71</v>
      </c>
      <c r="P210">
        <v>0</v>
      </c>
      <c r="Q210" t="s">
        <v>71</v>
      </c>
      <c r="R210">
        <v>0</v>
      </c>
      <c r="S210" t="s">
        <v>71</v>
      </c>
      <c r="T210">
        <v>0</v>
      </c>
      <c r="U210" t="s">
        <v>71</v>
      </c>
      <c r="V210">
        <v>0</v>
      </c>
      <c r="W210" t="s">
        <v>71</v>
      </c>
      <c r="X210">
        <v>0</v>
      </c>
      <c r="Y210">
        <v>0.65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13</v>
      </c>
      <c r="AF210">
        <v>73</v>
      </c>
      <c r="AG210">
        <v>72</v>
      </c>
      <c r="AI210">
        <v>5.0999999999999997E-2</v>
      </c>
      <c r="AK210" t="s">
        <v>740</v>
      </c>
      <c r="AL210" t="s">
        <v>911</v>
      </c>
      <c r="AM210">
        <v>200000</v>
      </c>
      <c r="AN210" t="s">
        <v>97</v>
      </c>
      <c r="AO210">
        <v>1</v>
      </c>
      <c r="AP210">
        <v>0</v>
      </c>
      <c r="AQ210">
        <v>16666.666666666668</v>
      </c>
      <c r="AR210" t="s">
        <v>912</v>
      </c>
      <c r="AS210" t="s">
        <v>75</v>
      </c>
      <c r="AX210" t="s">
        <v>76</v>
      </c>
      <c r="AY210" t="s">
        <v>71</v>
      </c>
      <c r="AZ210">
        <v>0</v>
      </c>
      <c r="BA210" t="s">
        <v>71</v>
      </c>
      <c r="BB210">
        <v>0</v>
      </c>
      <c r="BD210">
        <v>0.65</v>
      </c>
    </row>
    <row r="211" spans="1:56" x14ac:dyDescent="0.15">
      <c r="A211" s="4" t="str">
        <f>HYPERLINK("https://ibp.a2mac1.com/costing(costing:projects/details/9760/part/8411170)","Belt Lock")</f>
        <v>Belt Lock</v>
      </c>
      <c r="B211">
        <v>8411170</v>
      </c>
      <c r="C211">
        <v>8411116</v>
      </c>
      <c r="E211">
        <v>3.67</v>
      </c>
      <c r="F211">
        <v>0</v>
      </c>
      <c r="G211">
        <v>0</v>
      </c>
      <c r="H211">
        <v>1.8570199999999999E-2</v>
      </c>
      <c r="I211" t="s">
        <v>176</v>
      </c>
      <c r="J211">
        <v>0.12845000000000001</v>
      </c>
      <c r="K211">
        <v>3.8170202</v>
      </c>
      <c r="L211">
        <v>5.7106901908252496E-2</v>
      </c>
      <c r="M211">
        <v>0.34264141144951499</v>
      </c>
      <c r="N211">
        <v>4.1596616114495149</v>
      </c>
      <c r="O211" t="s">
        <v>177</v>
      </c>
      <c r="P211">
        <v>0.229021212</v>
      </c>
      <c r="Q211" t="s">
        <v>177</v>
      </c>
      <c r="R211">
        <v>2.0558484686970899E-2</v>
      </c>
      <c r="S211" t="s">
        <v>178</v>
      </c>
      <c r="T211">
        <v>0.49915939337394177</v>
      </c>
      <c r="U211" t="s">
        <v>90</v>
      </c>
      <c r="V211">
        <v>0</v>
      </c>
      <c r="W211" t="s">
        <v>90</v>
      </c>
      <c r="X211">
        <v>0</v>
      </c>
      <c r="Y211">
        <v>4.9084007015104278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29</v>
      </c>
      <c r="AF211">
        <v>51</v>
      </c>
      <c r="AG211">
        <v>57</v>
      </c>
      <c r="AI211">
        <v>0.50600000000000001</v>
      </c>
      <c r="AK211" t="s">
        <v>740</v>
      </c>
      <c r="AL211" t="s">
        <v>899</v>
      </c>
      <c r="AM211">
        <v>200000</v>
      </c>
      <c r="AN211" t="s">
        <v>97</v>
      </c>
      <c r="AO211">
        <v>1</v>
      </c>
      <c r="AP211">
        <v>0</v>
      </c>
      <c r="AQ211">
        <v>16666.666666666668</v>
      </c>
      <c r="AR211" t="s">
        <v>915</v>
      </c>
      <c r="AS211" t="s">
        <v>75</v>
      </c>
      <c r="AX211" t="s">
        <v>76</v>
      </c>
      <c r="AY211" t="s">
        <v>176</v>
      </c>
      <c r="AZ211">
        <v>0</v>
      </c>
      <c r="BA211" t="s">
        <v>176</v>
      </c>
      <c r="BB211">
        <v>0</v>
      </c>
    </row>
    <row r="212" spans="1:56" x14ac:dyDescent="0.15">
      <c r="A212" s="4" t="str">
        <f>HYPERLINK("https://ibp.a2mac1.com/costing(costing:projects/details/9760/part/8411308)","Lower Anchor")</f>
        <v>Lower Anchor</v>
      </c>
      <c r="B212">
        <v>8411308</v>
      </c>
      <c r="C212">
        <v>8411175</v>
      </c>
      <c r="D212" t="s">
        <v>874</v>
      </c>
      <c r="E212">
        <v>0.23</v>
      </c>
      <c r="F212">
        <v>0</v>
      </c>
      <c r="G212">
        <v>0</v>
      </c>
      <c r="H212">
        <v>0</v>
      </c>
      <c r="I212" t="s">
        <v>71</v>
      </c>
      <c r="J212">
        <v>0</v>
      </c>
      <c r="K212">
        <v>0.23</v>
      </c>
      <c r="L212">
        <v>0</v>
      </c>
      <c r="M212">
        <v>0</v>
      </c>
      <c r="N212">
        <v>0.23</v>
      </c>
      <c r="O212" t="s">
        <v>71</v>
      </c>
      <c r="P212">
        <v>0</v>
      </c>
      <c r="Q212" t="s">
        <v>71</v>
      </c>
      <c r="R212">
        <v>0</v>
      </c>
      <c r="S212" t="s">
        <v>71</v>
      </c>
      <c r="T212">
        <v>0</v>
      </c>
      <c r="U212" t="s">
        <v>71</v>
      </c>
      <c r="V212">
        <v>0</v>
      </c>
      <c r="W212" t="s">
        <v>71</v>
      </c>
      <c r="X212">
        <v>0</v>
      </c>
      <c r="Y212">
        <v>0.23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35</v>
      </c>
      <c r="AF212">
        <v>40</v>
      </c>
      <c r="AG212">
        <v>57</v>
      </c>
      <c r="AI212">
        <v>5.2999999999999999E-2</v>
      </c>
      <c r="AK212" t="s">
        <v>740</v>
      </c>
      <c r="AL212" t="s">
        <v>96</v>
      </c>
      <c r="AM212">
        <v>200000</v>
      </c>
      <c r="AN212" t="s">
        <v>97</v>
      </c>
      <c r="AO212">
        <v>1</v>
      </c>
      <c r="AP212">
        <v>0</v>
      </c>
      <c r="AQ212">
        <v>16666.666666666668</v>
      </c>
      <c r="AR212" t="s">
        <v>919</v>
      </c>
      <c r="AS212" t="s">
        <v>75</v>
      </c>
      <c r="AX212" t="s">
        <v>76</v>
      </c>
      <c r="AY212" t="s">
        <v>71</v>
      </c>
      <c r="AZ212">
        <v>0</v>
      </c>
      <c r="BA212" t="s">
        <v>71</v>
      </c>
      <c r="BB212">
        <v>0</v>
      </c>
      <c r="BD212">
        <v>0.23</v>
      </c>
    </row>
    <row r="213" spans="1:56" x14ac:dyDescent="0.15">
      <c r="A213" s="4" t="str">
        <f>HYPERLINK("https://ibp.a2mac1.com/costing(costing:projects/details/9760/part/8411309)","Upper")</f>
        <v>Upper</v>
      </c>
      <c r="B213">
        <v>8411309</v>
      </c>
      <c r="C213">
        <v>8411176</v>
      </c>
      <c r="E213">
        <v>5.9804304000000003E-2</v>
      </c>
      <c r="F213">
        <v>0</v>
      </c>
      <c r="G213">
        <v>0</v>
      </c>
      <c r="H213">
        <v>3.0336819873684213E-4</v>
      </c>
      <c r="I213" t="s">
        <v>176</v>
      </c>
      <c r="J213">
        <v>2.0983966315789473E-3</v>
      </c>
      <c r="K213">
        <v>6.2206068830315792E-2</v>
      </c>
      <c r="L213">
        <v>7.6565574225524614E-3</v>
      </c>
      <c r="M213">
        <v>4.5939344535314765E-2</v>
      </c>
      <c r="N213">
        <v>0.10814541336563056</v>
      </c>
      <c r="O213" t="s">
        <v>177</v>
      </c>
      <c r="P213">
        <v>3.7323641298189474E-3</v>
      </c>
      <c r="Q213" t="s">
        <v>177</v>
      </c>
      <c r="R213">
        <v>2.756360672118886E-3</v>
      </c>
      <c r="S213" t="s">
        <v>178</v>
      </c>
      <c r="T213">
        <v>1.2977449603875667E-2</v>
      </c>
      <c r="U213" t="s">
        <v>90</v>
      </c>
      <c r="V213">
        <v>0</v>
      </c>
      <c r="W213" t="s">
        <v>90</v>
      </c>
      <c r="X213">
        <v>0</v>
      </c>
      <c r="Y213">
        <v>0.12761158777144405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60</v>
      </c>
      <c r="AF213">
        <v>180</v>
      </c>
      <c r="AG213">
        <v>25</v>
      </c>
      <c r="AI213">
        <v>2.8000000000000001E-2</v>
      </c>
      <c r="AK213" t="s">
        <v>740</v>
      </c>
      <c r="AL213" t="s">
        <v>448</v>
      </c>
      <c r="AM213">
        <v>200000</v>
      </c>
      <c r="AN213" t="s">
        <v>97</v>
      </c>
      <c r="AO213">
        <v>1</v>
      </c>
      <c r="AP213">
        <v>0</v>
      </c>
      <c r="AQ213">
        <v>16666.666666666668</v>
      </c>
      <c r="AR213" t="s">
        <v>924</v>
      </c>
      <c r="AS213" t="s">
        <v>75</v>
      </c>
      <c r="AX213" t="s">
        <v>76</v>
      </c>
      <c r="AY213" t="s">
        <v>176</v>
      </c>
      <c r="AZ213">
        <v>0</v>
      </c>
      <c r="BA213" t="s">
        <v>176</v>
      </c>
      <c r="BB213">
        <v>0</v>
      </c>
    </row>
    <row r="214" spans="1:56" x14ac:dyDescent="0.15">
      <c r="A214" s="4" t="str">
        <f>HYPERLINK("https://ibp.a2mac1.com/costing(costing:projects/details/9760/part/8411172)","Buckle")</f>
        <v>Buckle</v>
      </c>
      <c r="B214">
        <v>8411172</v>
      </c>
      <c r="C214">
        <v>8411117</v>
      </c>
      <c r="D214" t="s">
        <v>877</v>
      </c>
      <c r="E214">
        <v>0.65</v>
      </c>
      <c r="F214">
        <v>0</v>
      </c>
      <c r="G214">
        <v>0</v>
      </c>
      <c r="H214">
        <v>0</v>
      </c>
      <c r="I214" t="s">
        <v>71</v>
      </c>
      <c r="J214">
        <v>0</v>
      </c>
      <c r="K214">
        <v>0.65</v>
      </c>
      <c r="L214">
        <v>0</v>
      </c>
      <c r="M214">
        <v>0</v>
      </c>
      <c r="N214">
        <v>0.65</v>
      </c>
      <c r="O214" t="s">
        <v>71</v>
      </c>
      <c r="P214">
        <v>0</v>
      </c>
      <c r="Q214" t="s">
        <v>71</v>
      </c>
      <c r="R214">
        <v>0</v>
      </c>
      <c r="S214" t="s">
        <v>71</v>
      </c>
      <c r="T214">
        <v>0</v>
      </c>
      <c r="U214" t="s">
        <v>71</v>
      </c>
      <c r="V214">
        <v>0</v>
      </c>
      <c r="W214" t="s">
        <v>71</v>
      </c>
      <c r="X214">
        <v>0</v>
      </c>
      <c r="Y214">
        <v>0.65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11</v>
      </c>
      <c r="AF214">
        <v>71</v>
      </c>
      <c r="AG214">
        <v>72</v>
      </c>
      <c r="AI214">
        <v>0.05</v>
      </c>
      <c r="AK214" t="s">
        <v>740</v>
      </c>
      <c r="AL214" t="s">
        <v>926</v>
      </c>
      <c r="AM214">
        <v>200000</v>
      </c>
      <c r="AN214" t="s">
        <v>97</v>
      </c>
      <c r="AO214">
        <v>1</v>
      </c>
      <c r="AP214">
        <v>0</v>
      </c>
      <c r="AQ214">
        <v>16666.666666666668</v>
      </c>
      <c r="AR214" t="s">
        <v>927</v>
      </c>
      <c r="AS214" t="s">
        <v>75</v>
      </c>
      <c r="AX214" t="s">
        <v>76</v>
      </c>
      <c r="AY214" t="s">
        <v>71</v>
      </c>
      <c r="AZ214">
        <v>0</v>
      </c>
      <c r="BA214" t="s">
        <v>71</v>
      </c>
      <c r="BB214">
        <v>0</v>
      </c>
      <c r="BD214">
        <v>0.65</v>
      </c>
    </row>
    <row r="215" spans="1:56" x14ac:dyDescent="0.15">
      <c r="A215" s="4" t="str">
        <f>HYPERLINK("https://ibp.a2mac1.com/costing(costing:projects/details/9760/part/8411173)","Reel")</f>
        <v>Reel</v>
      </c>
      <c r="B215">
        <v>8411173</v>
      </c>
      <c r="C215">
        <v>8411117</v>
      </c>
      <c r="D215" t="s">
        <v>928</v>
      </c>
      <c r="E215">
        <v>15.14</v>
      </c>
      <c r="F215">
        <v>0</v>
      </c>
      <c r="G215">
        <v>0</v>
      </c>
      <c r="H215">
        <v>0</v>
      </c>
      <c r="I215" t="s">
        <v>71</v>
      </c>
      <c r="J215">
        <v>0</v>
      </c>
      <c r="K215">
        <v>15.14</v>
      </c>
      <c r="L215">
        <v>0</v>
      </c>
      <c r="M215">
        <v>0</v>
      </c>
      <c r="N215">
        <v>15.14</v>
      </c>
      <c r="O215" t="s">
        <v>71</v>
      </c>
      <c r="P215">
        <v>0</v>
      </c>
      <c r="Q215" t="s">
        <v>71</v>
      </c>
      <c r="R215">
        <v>0</v>
      </c>
      <c r="S215" t="s">
        <v>71</v>
      </c>
      <c r="T215">
        <v>0</v>
      </c>
      <c r="U215" t="s">
        <v>71</v>
      </c>
      <c r="V215">
        <v>0</v>
      </c>
      <c r="W215" t="s">
        <v>71</v>
      </c>
      <c r="X215">
        <v>0</v>
      </c>
      <c r="Y215">
        <v>15.14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88</v>
      </c>
      <c r="AF215">
        <v>111</v>
      </c>
      <c r="AG215">
        <v>135</v>
      </c>
      <c r="AI215">
        <v>1.2450000000000001</v>
      </c>
      <c r="AK215" t="s">
        <v>740</v>
      </c>
      <c r="AL215" t="s">
        <v>929</v>
      </c>
      <c r="AM215">
        <v>200000</v>
      </c>
      <c r="AN215" t="s">
        <v>97</v>
      </c>
      <c r="AO215">
        <v>1</v>
      </c>
      <c r="AP215">
        <v>0</v>
      </c>
      <c r="AQ215">
        <v>16666.666666666668</v>
      </c>
      <c r="AR215" t="s">
        <v>930</v>
      </c>
      <c r="AS215" t="s">
        <v>75</v>
      </c>
      <c r="AX215" t="s">
        <v>76</v>
      </c>
      <c r="AY215" t="s">
        <v>71</v>
      </c>
      <c r="AZ215">
        <v>0</v>
      </c>
      <c r="BA215" t="s">
        <v>71</v>
      </c>
      <c r="BB215">
        <v>0</v>
      </c>
      <c r="BD215">
        <v>15.14</v>
      </c>
    </row>
    <row r="216" spans="1:56" x14ac:dyDescent="0.15">
      <c r="A216" s="4" t="str">
        <f>HYPERLINK("https://ibp.a2mac1.com/costing(costing:projects/details/9760/part/8411174)","Belt Lock")</f>
        <v>Belt Lock</v>
      </c>
      <c r="B216">
        <v>8411174</v>
      </c>
      <c r="C216">
        <v>8411117</v>
      </c>
      <c r="E216">
        <v>3.67</v>
      </c>
      <c r="F216">
        <v>0</v>
      </c>
      <c r="G216">
        <v>0</v>
      </c>
      <c r="H216">
        <v>1.8570199999999999E-2</v>
      </c>
      <c r="I216" t="s">
        <v>176</v>
      </c>
      <c r="J216">
        <v>0.12845000000000001</v>
      </c>
      <c r="K216">
        <v>3.8170202</v>
      </c>
      <c r="L216">
        <v>5.7106901908252496E-2</v>
      </c>
      <c r="M216">
        <v>0.34264141144951499</v>
      </c>
      <c r="N216">
        <v>4.1596616114495149</v>
      </c>
      <c r="O216" t="s">
        <v>177</v>
      </c>
      <c r="P216">
        <v>0.229021212</v>
      </c>
      <c r="Q216" t="s">
        <v>177</v>
      </c>
      <c r="R216">
        <v>2.0558484686970899E-2</v>
      </c>
      <c r="S216" t="s">
        <v>178</v>
      </c>
      <c r="T216">
        <v>0.49915939337394177</v>
      </c>
      <c r="U216" t="s">
        <v>90</v>
      </c>
      <c r="V216">
        <v>0</v>
      </c>
      <c r="W216" t="s">
        <v>90</v>
      </c>
      <c r="X216">
        <v>0</v>
      </c>
      <c r="Y216">
        <v>4.9084007015104278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29</v>
      </c>
      <c r="AF216">
        <v>51</v>
      </c>
      <c r="AG216">
        <v>57</v>
      </c>
      <c r="AI216">
        <v>1E-3</v>
      </c>
      <c r="AK216" t="s">
        <v>740</v>
      </c>
      <c r="AL216" t="s">
        <v>899</v>
      </c>
      <c r="AM216">
        <v>200000</v>
      </c>
      <c r="AN216" t="s">
        <v>97</v>
      </c>
      <c r="AO216">
        <v>1</v>
      </c>
      <c r="AP216">
        <v>0</v>
      </c>
      <c r="AQ216">
        <v>16666.666666666668</v>
      </c>
      <c r="AR216" t="s">
        <v>933</v>
      </c>
      <c r="AS216" t="s">
        <v>75</v>
      </c>
      <c r="AX216" t="s">
        <v>76</v>
      </c>
      <c r="AY216" t="s">
        <v>176</v>
      </c>
      <c r="AZ216">
        <v>0</v>
      </c>
      <c r="BA216" t="s">
        <v>176</v>
      </c>
      <c r="BB216">
        <v>0</v>
      </c>
    </row>
    <row r="217" spans="1:56" x14ac:dyDescent="0.15">
      <c r="A217" s="4" t="str">
        <f>HYPERLINK("https://ibp.a2mac1.com/costing(costing:projects/details/9760/part/8411118)","Horn")</f>
        <v>Horn</v>
      </c>
      <c r="B217">
        <v>8411118</v>
      </c>
      <c r="C217">
        <v>8411063</v>
      </c>
      <c r="E217">
        <v>3.5</v>
      </c>
      <c r="F217">
        <v>0</v>
      </c>
      <c r="G217">
        <v>0</v>
      </c>
      <c r="H217">
        <v>0</v>
      </c>
      <c r="I217" t="s">
        <v>71</v>
      </c>
      <c r="J217">
        <v>0</v>
      </c>
      <c r="K217">
        <v>3.5</v>
      </c>
      <c r="L217">
        <v>0</v>
      </c>
      <c r="M217">
        <v>0</v>
      </c>
      <c r="N217">
        <v>3.5</v>
      </c>
      <c r="O217" t="s">
        <v>71</v>
      </c>
      <c r="P217">
        <v>0</v>
      </c>
      <c r="Q217" t="s">
        <v>71</v>
      </c>
      <c r="R217">
        <v>0</v>
      </c>
      <c r="S217" t="s">
        <v>71</v>
      </c>
      <c r="T217">
        <v>0</v>
      </c>
      <c r="U217" t="s">
        <v>71</v>
      </c>
      <c r="V217">
        <v>0</v>
      </c>
      <c r="W217" t="s">
        <v>71</v>
      </c>
      <c r="X217">
        <v>0</v>
      </c>
      <c r="Y217">
        <v>3.5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80</v>
      </c>
      <c r="AF217">
        <v>97</v>
      </c>
      <c r="AG217">
        <v>84</v>
      </c>
      <c r="AI217">
        <v>0.185</v>
      </c>
      <c r="AK217" t="s">
        <v>284</v>
      </c>
      <c r="AL217" t="s">
        <v>937</v>
      </c>
      <c r="AM217">
        <v>200000</v>
      </c>
      <c r="AN217" t="s">
        <v>97</v>
      </c>
      <c r="AO217">
        <v>1</v>
      </c>
      <c r="AP217">
        <v>0</v>
      </c>
      <c r="AQ217">
        <v>16666.666666666668</v>
      </c>
      <c r="AR217" t="s">
        <v>938</v>
      </c>
      <c r="AS217" t="s">
        <v>75</v>
      </c>
      <c r="AX217" t="s">
        <v>76</v>
      </c>
      <c r="AY217" t="s">
        <v>71</v>
      </c>
      <c r="AZ217">
        <v>0</v>
      </c>
      <c r="BA217" t="s">
        <v>71</v>
      </c>
      <c r="BB217">
        <v>0</v>
      </c>
      <c r="BD217">
        <v>3.5</v>
      </c>
    </row>
    <row r="218" spans="1:56" x14ac:dyDescent="0.15">
      <c r="A218" s="4" t="str">
        <f>HYPERLINK("https://ibp.a2mac1.com/costing(costing:projects/details/9760/part/8411119)","Bracket")</f>
        <v>Bracket</v>
      </c>
      <c r="B218">
        <v>8411119</v>
      </c>
      <c r="C218">
        <v>8411063</v>
      </c>
      <c r="E218">
        <v>2.36</v>
      </c>
      <c r="F218">
        <v>0</v>
      </c>
      <c r="G218">
        <v>0</v>
      </c>
      <c r="H218">
        <v>0</v>
      </c>
      <c r="I218" t="s">
        <v>71</v>
      </c>
      <c r="J218">
        <v>0</v>
      </c>
      <c r="K218">
        <v>2.36</v>
      </c>
      <c r="L218">
        <v>0</v>
      </c>
      <c r="M218">
        <v>0</v>
      </c>
      <c r="N218">
        <v>2.36</v>
      </c>
      <c r="O218" t="s">
        <v>71</v>
      </c>
      <c r="P218">
        <v>0</v>
      </c>
      <c r="Q218" t="s">
        <v>71</v>
      </c>
      <c r="R218">
        <v>0</v>
      </c>
      <c r="S218" t="s">
        <v>71</v>
      </c>
      <c r="T218">
        <v>0</v>
      </c>
      <c r="U218" t="s">
        <v>71</v>
      </c>
      <c r="V218">
        <v>0</v>
      </c>
      <c r="W218" t="s">
        <v>71</v>
      </c>
      <c r="X218">
        <v>0</v>
      </c>
      <c r="Y218">
        <v>2.36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18</v>
      </c>
      <c r="AF218">
        <v>20</v>
      </c>
      <c r="AG218">
        <v>87</v>
      </c>
      <c r="AI218">
        <v>3.2000000000000001E-2</v>
      </c>
      <c r="AK218" t="s">
        <v>288</v>
      </c>
      <c r="AL218" t="s">
        <v>96</v>
      </c>
      <c r="AM218">
        <v>200000</v>
      </c>
      <c r="AN218" t="s">
        <v>97</v>
      </c>
      <c r="AO218">
        <v>1</v>
      </c>
      <c r="AP218">
        <v>0</v>
      </c>
      <c r="AQ218">
        <v>16666.666666666668</v>
      </c>
      <c r="AR218" t="s">
        <v>939</v>
      </c>
      <c r="AS218" t="s">
        <v>75</v>
      </c>
      <c r="AX218" t="s">
        <v>76</v>
      </c>
      <c r="AY218" t="s">
        <v>71</v>
      </c>
      <c r="AZ218">
        <v>0</v>
      </c>
      <c r="BA218" t="s">
        <v>71</v>
      </c>
      <c r="BB218">
        <v>0</v>
      </c>
      <c r="BD218">
        <v>2.36</v>
      </c>
    </row>
    <row r="219" spans="1:56" x14ac:dyDescent="0.15">
      <c r="A219" s="4" t="str">
        <f>HYPERLINK("https://ibp.a2mac1.com/costing(costing:projects/details/9760/part/8411120)","Horn 2 if Different")</f>
        <v>Horn 2 if Different</v>
      </c>
      <c r="B219">
        <v>8411120</v>
      </c>
      <c r="C219">
        <v>8411063</v>
      </c>
      <c r="E219">
        <v>3.5</v>
      </c>
      <c r="F219">
        <v>0</v>
      </c>
      <c r="G219">
        <v>0</v>
      </c>
      <c r="H219">
        <v>0</v>
      </c>
      <c r="I219" t="s">
        <v>71</v>
      </c>
      <c r="J219">
        <v>0</v>
      </c>
      <c r="K219">
        <v>3.5</v>
      </c>
      <c r="L219">
        <v>0</v>
      </c>
      <c r="M219">
        <v>0</v>
      </c>
      <c r="N219">
        <v>3.5</v>
      </c>
      <c r="O219" t="s">
        <v>71</v>
      </c>
      <c r="P219">
        <v>0</v>
      </c>
      <c r="Q219" t="s">
        <v>71</v>
      </c>
      <c r="R219">
        <v>0</v>
      </c>
      <c r="S219" t="s">
        <v>71</v>
      </c>
      <c r="T219">
        <v>0</v>
      </c>
      <c r="U219" t="s">
        <v>71</v>
      </c>
      <c r="V219">
        <v>0</v>
      </c>
      <c r="W219" t="s">
        <v>71</v>
      </c>
      <c r="X219">
        <v>0</v>
      </c>
      <c r="Y219">
        <v>3.5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80</v>
      </c>
      <c r="AF219">
        <v>97</v>
      </c>
      <c r="AG219">
        <v>84</v>
      </c>
      <c r="AI219">
        <v>0.188</v>
      </c>
      <c r="AK219" t="s">
        <v>284</v>
      </c>
      <c r="AL219" t="s">
        <v>937</v>
      </c>
      <c r="AM219">
        <v>200000</v>
      </c>
      <c r="AN219" t="s">
        <v>97</v>
      </c>
      <c r="AO219">
        <v>1</v>
      </c>
      <c r="AP219">
        <v>0</v>
      </c>
      <c r="AQ219">
        <v>16666.666666666668</v>
      </c>
      <c r="AR219" t="s">
        <v>940</v>
      </c>
      <c r="AS219" t="s">
        <v>75</v>
      </c>
      <c r="AX219" t="s">
        <v>76</v>
      </c>
      <c r="AY219" t="s">
        <v>71</v>
      </c>
      <c r="AZ219">
        <v>0</v>
      </c>
      <c r="BA219" t="s">
        <v>71</v>
      </c>
      <c r="BB219">
        <v>0</v>
      </c>
      <c r="BD219">
        <v>3.5</v>
      </c>
    </row>
    <row r="220" spans="1:56" x14ac:dyDescent="0.15">
      <c r="A220" s="4" t="str">
        <f>HYPERLINK("https://ibp.a2mac1.com/costing(costing:projects/details/9760/part/8411121)","2nd Horn Bracket")</f>
        <v>2nd Horn Bracket</v>
      </c>
      <c r="B220">
        <v>8411121</v>
      </c>
      <c r="C220">
        <v>8411063</v>
      </c>
      <c r="E220">
        <v>2.36</v>
      </c>
      <c r="F220">
        <v>0</v>
      </c>
      <c r="G220">
        <v>0</v>
      </c>
      <c r="H220">
        <v>0</v>
      </c>
      <c r="I220" t="s">
        <v>71</v>
      </c>
      <c r="J220">
        <v>0</v>
      </c>
      <c r="K220">
        <v>2.36</v>
      </c>
      <c r="L220">
        <v>0</v>
      </c>
      <c r="M220">
        <v>0</v>
      </c>
      <c r="N220">
        <v>2.36</v>
      </c>
      <c r="O220" t="s">
        <v>71</v>
      </c>
      <c r="P220">
        <v>0</v>
      </c>
      <c r="Q220" t="s">
        <v>71</v>
      </c>
      <c r="R220">
        <v>0</v>
      </c>
      <c r="S220" t="s">
        <v>71</v>
      </c>
      <c r="T220">
        <v>0</v>
      </c>
      <c r="U220" t="s">
        <v>71</v>
      </c>
      <c r="V220">
        <v>0</v>
      </c>
      <c r="W220" t="s">
        <v>71</v>
      </c>
      <c r="X220">
        <v>0</v>
      </c>
      <c r="Y220">
        <v>2.36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18</v>
      </c>
      <c r="AF220">
        <v>20</v>
      </c>
      <c r="AG220">
        <v>87</v>
      </c>
      <c r="AI220">
        <v>3.2000000000000001E-2</v>
      </c>
      <c r="AK220" t="s">
        <v>288</v>
      </c>
      <c r="AL220" t="s">
        <v>96</v>
      </c>
      <c r="AM220">
        <v>200000</v>
      </c>
      <c r="AN220" t="s">
        <v>97</v>
      </c>
      <c r="AO220">
        <v>1</v>
      </c>
      <c r="AP220">
        <v>0</v>
      </c>
      <c r="AQ220">
        <v>16666.666666666668</v>
      </c>
      <c r="AR220" t="s">
        <v>941</v>
      </c>
      <c r="AS220" t="s">
        <v>75</v>
      </c>
      <c r="AX220" t="s">
        <v>76</v>
      </c>
      <c r="AY220" t="s">
        <v>71</v>
      </c>
      <c r="AZ220">
        <v>0</v>
      </c>
      <c r="BA220" t="s">
        <v>71</v>
      </c>
      <c r="BB220">
        <v>0</v>
      </c>
      <c r="BD220">
        <v>2.36</v>
      </c>
    </row>
    <row r="221" spans="1:56" x14ac:dyDescent="0.15">
      <c r="A221" s="4" t="str">
        <f>HYPERLINK("https://ibp.a2mac1.com/costing(costing:projects/details/9760/part/8411122)","Top Tether cover")</f>
        <v>Top Tether cover</v>
      </c>
      <c r="B221">
        <v>8411122</v>
      </c>
      <c r="C221">
        <v>8411064</v>
      </c>
      <c r="E221">
        <v>0.120251712</v>
      </c>
      <c r="F221">
        <v>0</v>
      </c>
      <c r="G221">
        <v>0</v>
      </c>
      <c r="H221">
        <v>6.0638206652631574E-4</v>
      </c>
      <c r="I221" t="s">
        <v>176</v>
      </c>
      <c r="J221">
        <v>4.2193583157894739E-3</v>
      </c>
      <c r="K221">
        <v>0.1250774523823158</v>
      </c>
      <c r="L221">
        <v>3.7678856151897609E-2</v>
      </c>
      <c r="M221">
        <v>0.22607313691138567</v>
      </c>
      <c r="N221">
        <v>0.35115058929370147</v>
      </c>
      <c r="O221" t="s">
        <v>177</v>
      </c>
      <c r="P221">
        <v>7.5046471429389477E-3</v>
      </c>
      <c r="Q221" t="s">
        <v>177</v>
      </c>
      <c r="R221">
        <v>1.3564388214683139E-2</v>
      </c>
      <c r="S221" t="s">
        <v>178</v>
      </c>
      <c r="T221">
        <v>4.2138070715244176E-2</v>
      </c>
      <c r="U221" t="s">
        <v>90</v>
      </c>
      <c r="V221">
        <v>0</v>
      </c>
      <c r="W221" t="s">
        <v>90</v>
      </c>
      <c r="X221">
        <v>0</v>
      </c>
      <c r="Y221">
        <v>0.41435769536656769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22</v>
      </c>
      <c r="AF221">
        <v>66</v>
      </c>
      <c r="AG221">
        <v>107</v>
      </c>
      <c r="AI221">
        <v>6.4000000000000001E-2</v>
      </c>
      <c r="AK221" t="s">
        <v>740</v>
      </c>
      <c r="AL221" t="s">
        <v>951</v>
      </c>
      <c r="AM221">
        <v>400000</v>
      </c>
      <c r="AN221" t="s">
        <v>97</v>
      </c>
      <c r="AO221">
        <v>2</v>
      </c>
      <c r="AP221">
        <v>0</v>
      </c>
      <c r="AQ221">
        <v>33333.333333333336</v>
      </c>
      <c r="AR221" t="s">
        <v>952</v>
      </c>
      <c r="AS221" t="s">
        <v>75</v>
      </c>
      <c r="AX221" t="s">
        <v>76</v>
      </c>
      <c r="AY221" t="s">
        <v>176</v>
      </c>
      <c r="AZ221">
        <v>0</v>
      </c>
      <c r="BA221" t="s">
        <v>176</v>
      </c>
      <c r="BB221">
        <v>0</v>
      </c>
    </row>
    <row r="222" spans="1:56" x14ac:dyDescent="0.15">
      <c r="A222" s="4" t="str">
        <f>HYPERLINK("https://ibp.a2mac1.com/costing(costing:projects/details/9760/part/8411123)","Safety Active Hood")</f>
        <v>Safety Active Hood</v>
      </c>
      <c r="B222">
        <v>8411123</v>
      </c>
      <c r="C222">
        <v>8411065</v>
      </c>
      <c r="E222">
        <v>4</v>
      </c>
      <c r="F222">
        <v>0</v>
      </c>
      <c r="G222">
        <v>0</v>
      </c>
      <c r="H222">
        <v>0</v>
      </c>
      <c r="I222" t="s">
        <v>71</v>
      </c>
      <c r="J222">
        <v>0</v>
      </c>
      <c r="K222">
        <v>4</v>
      </c>
      <c r="L222">
        <v>0</v>
      </c>
      <c r="M222">
        <v>0</v>
      </c>
      <c r="N222">
        <v>4</v>
      </c>
      <c r="O222" t="s">
        <v>71</v>
      </c>
      <c r="P222">
        <v>0</v>
      </c>
      <c r="Q222" t="s">
        <v>71</v>
      </c>
      <c r="R222">
        <v>0</v>
      </c>
      <c r="S222" t="s">
        <v>71</v>
      </c>
      <c r="T222">
        <v>0</v>
      </c>
      <c r="U222" t="s">
        <v>71</v>
      </c>
      <c r="V222">
        <v>0</v>
      </c>
      <c r="W222" t="s">
        <v>71</v>
      </c>
      <c r="X222">
        <v>0</v>
      </c>
      <c r="Y222">
        <v>4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45</v>
      </c>
      <c r="AF222">
        <v>60</v>
      </c>
      <c r="AG222">
        <v>143</v>
      </c>
      <c r="AI222">
        <v>0.41399999999999998</v>
      </c>
      <c r="AK222" t="s">
        <v>288</v>
      </c>
      <c r="AL222" t="s">
        <v>955</v>
      </c>
      <c r="AM222">
        <v>400000</v>
      </c>
      <c r="AN222" t="s">
        <v>97</v>
      </c>
      <c r="AO222">
        <v>2</v>
      </c>
      <c r="AP222">
        <v>0</v>
      </c>
      <c r="AQ222">
        <v>33333.333333333336</v>
      </c>
      <c r="AR222" t="s">
        <v>956</v>
      </c>
      <c r="AS222" t="s">
        <v>75</v>
      </c>
      <c r="AX222" t="s">
        <v>76</v>
      </c>
      <c r="AY222" t="s">
        <v>71</v>
      </c>
      <c r="AZ222">
        <v>0</v>
      </c>
      <c r="BA222" t="s">
        <v>71</v>
      </c>
      <c r="BB222">
        <v>0</v>
      </c>
      <c r="BD222">
        <v>2</v>
      </c>
    </row>
    <row r="223" spans="1:56" x14ac:dyDescent="0.15">
      <c r="A223" s="4" t="str">
        <f>HYPERLINK("https://ibp.a2mac1.com/costing(costing:projects/details/9760/part/8411261)","Tank")</f>
        <v>Tank</v>
      </c>
      <c r="B223">
        <v>8411261</v>
      </c>
      <c r="C223">
        <v>8411178</v>
      </c>
      <c r="D223" t="s">
        <v>962</v>
      </c>
      <c r="E223">
        <v>1.29</v>
      </c>
      <c r="F223">
        <v>0</v>
      </c>
      <c r="G223">
        <v>0</v>
      </c>
      <c r="H223">
        <v>0</v>
      </c>
      <c r="I223" t="s">
        <v>71</v>
      </c>
      <c r="J223">
        <v>0</v>
      </c>
      <c r="K223">
        <v>1.29</v>
      </c>
      <c r="L223">
        <v>0</v>
      </c>
      <c r="M223">
        <v>0</v>
      </c>
      <c r="N223">
        <v>1.29</v>
      </c>
      <c r="O223" t="s">
        <v>71</v>
      </c>
      <c r="P223">
        <v>0</v>
      </c>
      <c r="Q223" t="s">
        <v>71</v>
      </c>
      <c r="R223">
        <v>0</v>
      </c>
      <c r="S223" t="s">
        <v>71</v>
      </c>
      <c r="T223">
        <v>0</v>
      </c>
      <c r="U223" t="s">
        <v>71</v>
      </c>
      <c r="V223">
        <v>0</v>
      </c>
      <c r="W223" t="s">
        <v>71</v>
      </c>
      <c r="X223">
        <v>0</v>
      </c>
      <c r="Y223">
        <v>1.29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220</v>
      </c>
      <c r="AF223">
        <v>108</v>
      </c>
      <c r="AG223">
        <v>128</v>
      </c>
      <c r="AH223">
        <v>0</v>
      </c>
      <c r="AI223">
        <v>0.25600000000000001</v>
      </c>
      <c r="AK223" t="s">
        <v>95</v>
      </c>
      <c r="AL223" t="s">
        <v>963</v>
      </c>
      <c r="AM223">
        <v>200000</v>
      </c>
      <c r="AN223" t="s">
        <v>97</v>
      </c>
      <c r="AO223">
        <v>1</v>
      </c>
      <c r="AP223">
        <v>0</v>
      </c>
      <c r="AQ223">
        <v>16666.666666666668</v>
      </c>
      <c r="AR223" t="s">
        <v>964</v>
      </c>
      <c r="AS223" t="s">
        <v>75</v>
      </c>
      <c r="AX223" t="s">
        <v>76</v>
      </c>
      <c r="AY223" t="s">
        <v>71</v>
      </c>
      <c r="AZ223">
        <v>0</v>
      </c>
      <c r="BA223" t="s">
        <v>71</v>
      </c>
      <c r="BB223">
        <v>0</v>
      </c>
      <c r="BD223">
        <v>1.29</v>
      </c>
    </row>
    <row r="224" spans="1:56" x14ac:dyDescent="0.15">
      <c r="A224" s="4" t="str">
        <f>HYPERLINK("https://ibp.a2mac1.com/costing(costing:projects/details/9760/part/8411262)","Tank filter")</f>
        <v>Tank filter</v>
      </c>
      <c r="B224">
        <v>8411262</v>
      </c>
      <c r="C224">
        <v>8411178</v>
      </c>
      <c r="E224">
        <v>7.0000000000000007E-2</v>
      </c>
      <c r="F224">
        <v>0</v>
      </c>
      <c r="G224">
        <v>0</v>
      </c>
      <c r="H224">
        <v>0</v>
      </c>
      <c r="I224" t="s">
        <v>71</v>
      </c>
      <c r="J224">
        <v>0</v>
      </c>
      <c r="K224">
        <v>7.0000000000000007E-2</v>
      </c>
      <c r="L224">
        <v>0</v>
      </c>
      <c r="M224">
        <v>0</v>
      </c>
      <c r="N224">
        <v>7.0000000000000007E-2</v>
      </c>
      <c r="O224" t="s">
        <v>71</v>
      </c>
      <c r="P224">
        <v>0</v>
      </c>
      <c r="Q224" t="s">
        <v>71</v>
      </c>
      <c r="R224">
        <v>0</v>
      </c>
      <c r="S224" t="s">
        <v>71</v>
      </c>
      <c r="T224">
        <v>0</v>
      </c>
      <c r="U224" t="s">
        <v>71</v>
      </c>
      <c r="V224">
        <v>0</v>
      </c>
      <c r="W224" t="s">
        <v>71</v>
      </c>
      <c r="X224">
        <v>0</v>
      </c>
      <c r="Y224">
        <v>7.0000000000000007E-2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34</v>
      </c>
      <c r="AF224">
        <v>34</v>
      </c>
      <c r="AG224">
        <v>37</v>
      </c>
      <c r="AH224">
        <v>0</v>
      </c>
      <c r="AI224">
        <v>2E-3</v>
      </c>
      <c r="AK224" t="s">
        <v>100</v>
      </c>
      <c r="AM224">
        <v>200000</v>
      </c>
      <c r="AN224" t="s">
        <v>97</v>
      </c>
      <c r="AO224">
        <v>1</v>
      </c>
      <c r="AP224">
        <v>0</v>
      </c>
      <c r="AQ224">
        <v>16666.666666666668</v>
      </c>
      <c r="AR224" t="s">
        <v>965</v>
      </c>
      <c r="AS224" t="s">
        <v>75</v>
      </c>
      <c r="AX224" t="s">
        <v>76</v>
      </c>
      <c r="AY224" t="s">
        <v>71</v>
      </c>
      <c r="AZ224">
        <v>0</v>
      </c>
      <c r="BA224" t="s">
        <v>71</v>
      </c>
      <c r="BB224">
        <v>0</v>
      </c>
      <c r="BD224">
        <v>7.0000000000000007E-2</v>
      </c>
    </row>
    <row r="225" spans="1:56" x14ac:dyDescent="0.15">
      <c r="A225" s="4" t="str">
        <f>HYPERLINK("https://ibp.a2mac1.com/costing(costing:projects/details/9760/part/8411263)","Cap")</f>
        <v>Cap</v>
      </c>
      <c r="B225">
        <v>8411263</v>
      </c>
      <c r="C225">
        <v>8411178</v>
      </c>
      <c r="D225" t="s">
        <v>966</v>
      </c>
      <c r="E225">
        <v>0.13</v>
      </c>
      <c r="F225">
        <v>0</v>
      </c>
      <c r="G225">
        <v>0</v>
      </c>
      <c r="H225">
        <v>0</v>
      </c>
      <c r="I225" t="s">
        <v>71</v>
      </c>
      <c r="J225">
        <v>0</v>
      </c>
      <c r="K225">
        <v>0.13</v>
      </c>
      <c r="L225">
        <v>0</v>
      </c>
      <c r="M225">
        <v>0</v>
      </c>
      <c r="N225">
        <v>0.13</v>
      </c>
      <c r="O225" t="s">
        <v>71</v>
      </c>
      <c r="P225">
        <v>0</v>
      </c>
      <c r="Q225" t="s">
        <v>71</v>
      </c>
      <c r="R225">
        <v>0</v>
      </c>
      <c r="S225" t="s">
        <v>71</v>
      </c>
      <c r="T225">
        <v>0</v>
      </c>
      <c r="U225" t="s">
        <v>71</v>
      </c>
      <c r="V225">
        <v>0</v>
      </c>
      <c r="W225" t="s">
        <v>71</v>
      </c>
      <c r="X225">
        <v>0</v>
      </c>
      <c r="Y225">
        <v>0.13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16</v>
      </c>
      <c r="AF225">
        <v>52</v>
      </c>
      <c r="AG225">
        <v>52</v>
      </c>
      <c r="AH225">
        <v>0</v>
      </c>
      <c r="AI225">
        <v>1.4E-2</v>
      </c>
      <c r="AK225" t="s">
        <v>100</v>
      </c>
      <c r="AM225">
        <v>200000</v>
      </c>
      <c r="AN225" t="s">
        <v>97</v>
      </c>
      <c r="AO225">
        <v>1</v>
      </c>
      <c r="AP225">
        <v>0</v>
      </c>
      <c r="AQ225">
        <v>16666.666666666668</v>
      </c>
      <c r="AR225" t="s">
        <v>967</v>
      </c>
      <c r="AS225" t="s">
        <v>75</v>
      </c>
      <c r="AX225" t="s">
        <v>76</v>
      </c>
      <c r="AY225" t="s">
        <v>71</v>
      </c>
      <c r="AZ225">
        <v>0</v>
      </c>
      <c r="BA225" t="s">
        <v>71</v>
      </c>
      <c r="BB225">
        <v>0</v>
      </c>
      <c r="BD225">
        <v>0.13</v>
      </c>
    </row>
    <row r="226" spans="1:56" x14ac:dyDescent="0.15">
      <c r="A226" s="4" t="str">
        <f>HYPERLINK("https://ibp.a2mac1.com/costing(costing:projects/details/9760/part/8411264)","Electric Brake Booster")</f>
        <v>Electric Brake Booster</v>
      </c>
      <c r="B226">
        <v>8411264</v>
      </c>
      <c r="C226">
        <v>8411179</v>
      </c>
      <c r="D226" t="s">
        <v>970</v>
      </c>
      <c r="E226">
        <v>139.01</v>
      </c>
      <c r="F226">
        <v>0</v>
      </c>
      <c r="G226">
        <v>0</v>
      </c>
      <c r="H226">
        <v>0</v>
      </c>
      <c r="I226" t="s">
        <v>71</v>
      </c>
      <c r="J226">
        <v>0</v>
      </c>
      <c r="K226">
        <v>139.01</v>
      </c>
      <c r="L226">
        <v>0</v>
      </c>
      <c r="M226">
        <v>0</v>
      </c>
      <c r="N226">
        <v>139.01</v>
      </c>
      <c r="O226" t="s">
        <v>71</v>
      </c>
      <c r="P226">
        <v>0</v>
      </c>
      <c r="Q226" t="s">
        <v>71</v>
      </c>
      <c r="R226">
        <v>0</v>
      </c>
      <c r="S226" t="s">
        <v>71</v>
      </c>
      <c r="T226">
        <v>0</v>
      </c>
      <c r="U226" t="s">
        <v>71</v>
      </c>
      <c r="V226">
        <v>0</v>
      </c>
      <c r="W226" t="s">
        <v>71</v>
      </c>
      <c r="X226">
        <v>0</v>
      </c>
      <c r="Y226">
        <v>139.01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301</v>
      </c>
      <c r="AF226">
        <v>158</v>
      </c>
      <c r="AG226">
        <v>140</v>
      </c>
      <c r="AH226">
        <v>0</v>
      </c>
      <c r="AI226">
        <v>4.01</v>
      </c>
      <c r="AK226" t="s">
        <v>95</v>
      </c>
      <c r="AM226">
        <v>200000</v>
      </c>
      <c r="AN226" t="s">
        <v>97</v>
      </c>
      <c r="AO226">
        <v>1</v>
      </c>
      <c r="AP226">
        <v>0</v>
      </c>
      <c r="AQ226">
        <v>16666.666666666668</v>
      </c>
      <c r="AR226" t="s">
        <v>971</v>
      </c>
      <c r="AS226" t="s">
        <v>75</v>
      </c>
      <c r="AX226" t="s">
        <v>76</v>
      </c>
      <c r="AY226" t="s">
        <v>71</v>
      </c>
      <c r="AZ226">
        <v>0</v>
      </c>
      <c r="BA226" t="s">
        <v>71</v>
      </c>
      <c r="BB226">
        <v>0</v>
      </c>
      <c r="BD226">
        <v>139.01</v>
      </c>
    </row>
    <row r="227" spans="1:56" x14ac:dyDescent="0.15">
      <c r="A227" s="4" t="str">
        <f>HYPERLINK("https://ibp.a2mac1.com/costing(costing:projects/details/9760/part/8411177)","Fluid Level Sensor")</f>
        <v>Fluid Level Sensor</v>
      </c>
      <c r="B227">
        <v>8411177</v>
      </c>
      <c r="C227">
        <v>8411132</v>
      </c>
      <c r="E227">
        <v>2.7</v>
      </c>
      <c r="F227">
        <v>0</v>
      </c>
      <c r="G227">
        <v>0</v>
      </c>
      <c r="H227">
        <v>0</v>
      </c>
      <c r="I227" t="s">
        <v>71</v>
      </c>
      <c r="J227">
        <v>0</v>
      </c>
      <c r="K227">
        <v>2.7</v>
      </c>
      <c r="L227">
        <v>0</v>
      </c>
      <c r="M227">
        <v>0</v>
      </c>
      <c r="N227">
        <v>2.7</v>
      </c>
      <c r="O227" t="s">
        <v>71</v>
      </c>
      <c r="P227">
        <v>0</v>
      </c>
      <c r="Q227" t="s">
        <v>71</v>
      </c>
      <c r="R227">
        <v>0</v>
      </c>
      <c r="S227" t="s">
        <v>71</v>
      </c>
      <c r="T227">
        <v>0</v>
      </c>
      <c r="U227" t="s">
        <v>71</v>
      </c>
      <c r="V227">
        <v>0</v>
      </c>
      <c r="W227" t="s">
        <v>71</v>
      </c>
      <c r="X227">
        <v>0</v>
      </c>
      <c r="Y227">
        <v>2.7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22</v>
      </c>
      <c r="AF227">
        <v>70</v>
      </c>
      <c r="AG227">
        <v>12</v>
      </c>
      <c r="AH227">
        <v>0</v>
      </c>
      <c r="AI227">
        <v>5.0000000000000001E-3</v>
      </c>
      <c r="AK227" t="s">
        <v>95</v>
      </c>
      <c r="AM227">
        <v>200000</v>
      </c>
      <c r="AN227" t="s">
        <v>97</v>
      </c>
      <c r="AO227">
        <v>1</v>
      </c>
      <c r="AP227">
        <v>0</v>
      </c>
      <c r="AQ227">
        <v>16666.666666666668</v>
      </c>
      <c r="AR227" t="s">
        <v>973</v>
      </c>
      <c r="AS227" t="s">
        <v>75</v>
      </c>
      <c r="AX227" t="s">
        <v>76</v>
      </c>
      <c r="AY227" t="s">
        <v>71</v>
      </c>
      <c r="AZ227">
        <v>0</v>
      </c>
      <c r="BA227" t="s">
        <v>71</v>
      </c>
      <c r="BB227">
        <v>0</v>
      </c>
      <c r="BD227">
        <v>2.7</v>
      </c>
    </row>
    <row r="228" spans="1:56" x14ac:dyDescent="0.15">
      <c r="A228" s="4" t="str">
        <f>HYPERLINK("https://ibp.a2mac1.com/costing(costing:projects/details/9760/part/8411180)","ABS Pump")</f>
        <v>ABS Pump</v>
      </c>
      <c r="B228">
        <v>8411180</v>
      </c>
      <c r="C228">
        <v>8411133</v>
      </c>
      <c r="D228" t="s">
        <v>970</v>
      </c>
      <c r="E228">
        <v>73.17</v>
      </c>
      <c r="F228">
        <v>0</v>
      </c>
      <c r="G228">
        <v>0</v>
      </c>
      <c r="H228">
        <v>0</v>
      </c>
      <c r="I228" t="s">
        <v>71</v>
      </c>
      <c r="J228">
        <v>0</v>
      </c>
      <c r="K228">
        <v>73.17</v>
      </c>
      <c r="L228">
        <v>0</v>
      </c>
      <c r="M228">
        <v>0</v>
      </c>
      <c r="N228">
        <v>73.17</v>
      </c>
      <c r="O228" t="s">
        <v>71</v>
      </c>
      <c r="P228">
        <v>0</v>
      </c>
      <c r="Q228" t="s">
        <v>71</v>
      </c>
      <c r="R228">
        <v>0</v>
      </c>
      <c r="S228" t="s">
        <v>71</v>
      </c>
      <c r="T228">
        <v>0</v>
      </c>
      <c r="U228" t="s">
        <v>71</v>
      </c>
      <c r="V228">
        <v>0</v>
      </c>
      <c r="W228" t="s">
        <v>71</v>
      </c>
      <c r="X228">
        <v>0</v>
      </c>
      <c r="Y228">
        <v>73.17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131</v>
      </c>
      <c r="AF228">
        <v>115</v>
      </c>
      <c r="AG228">
        <v>134</v>
      </c>
      <c r="AH228">
        <v>0</v>
      </c>
      <c r="AI228">
        <v>2.0350000000000001</v>
      </c>
      <c r="AK228" t="s">
        <v>95</v>
      </c>
      <c r="AM228">
        <v>200000</v>
      </c>
      <c r="AN228" t="s">
        <v>97</v>
      </c>
      <c r="AO228">
        <v>1</v>
      </c>
      <c r="AP228">
        <v>0</v>
      </c>
      <c r="AQ228">
        <v>16666.666666666668</v>
      </c>
      <c r="AR228" t="s">
        <v>976</v>
      </c>
      <c r="AS228" t="s">
        <v>75</v>
      </c>
      <c r="AX228" t="s">
        <v>76</v>
      </c>
      <c r="AY228" t="s">
        <v>71</v>
      </c>
      <c r="AZ228">
        <v>0</v>
      </c>
      <c r="BA228" t="s">
        <v>71</v>
      </c>
      <c r="BB228">
        <v>0</v>
      </c>
      <c r="BD228">
        <v>73.17</v>
      </c>
    </row>
    <row r="229" spans="1:56" x14ac:dyDescent="0.15">
      <c r="A229" s="4" t="str">
        <f>HYPERLINK("https://ibp.a2mac1.com/costing(costing:projects/details/9760/part/8411181)","Fasteners Support")</f>
        <v>Fasteners Support</v>
      </c>
      <c r="B229">
        <v>8411181</v>
      </c>
      <c r="C229">
        <v>8411133</v>
      </c>
      <c r="D229" t="s">
        <v>977</v>
      </c>
      <c r="E229">
        <v>1.21</v>
      </c>
      <c r="F229">
        <v>0</v>
      </c>
      <c r="G229">
        <v>0</v>
      </c>
      <c r="H229">
        <v>0</v>
      </c>
      <c r="I229" t="s">
        <v>71</v>
      </c>
      <c r="J229">
        <v>0</v>
      </c>
      <c r="K229">
        <v>1.21</v>
      </c>
      <c r="L229">
        <v>0</v>
      </c>
      <c r="M229">
        <v>0</v>
      </c>
      <c r="N229">
        <v>1.21</v>
      </c>
      <c r="O229" t="s">
        <v>71</v>
      </c>
      <c r="P229">
        <v>0</v>
      </c>
      <c r="Q229" t="s">
        <v>71</v>
      </c>
      <c r="R229">
        <v>0</v>
      </c>
      <c r="S229" t="s">
        <v>71</v>
      </c>
      <c r="T229">
        <v>0</v>
      </c>
      <c r="U229" t="s">
        <v>71</v>
      </c>
      <c r="V229">
        <v>0</v>
      </c>
      <c r="W229" t="s">
        <v>71</v>
      </c>
      <c r="X229">
        <v>0</v>
      </c>
      <c r="Y229">
        <v>1.21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135</v>
      </c>
      <c r="AF229">
        <v>95</v>
      </c>
      <c r="AG229">
        <v>108</v>
      </c>
      <c r="AH229">
        <v>0</v>
      </c>
      <c r="AI229">
        <v>0.14499999999999999</v>
      </c>
      <c r="AK229" t="s">
        <v>100</v>
      </c>
      <c r="AL229" t="s">
        <v>978</v>
      </c>
      <c r="AM229">
        <v>200000</v>
      </c>
      <c r="AN229" t="s">
        <v>97</v>
      </c>
      <c r="AO229">
        <v>1</v>
      </c>
      <c r="AP229">
        <v>0</v>
      </c>
      <c r="AQ229">
        <v>16666.666666666668</v>
      </c>
      <c r="AR229" t="s">
        <v>979</v>
      </c>
      <c r="AS229" t="s">
        <v>75</v>
      </c>
      <c r="AX229" t="s">
        <v>76</v>
      </c>
      <c r="AY229" t="s">
        <v>71</v>
      </c>
      <c r="AZ229">
        <v>0</v>
      </c>
      <c r="BA229" t="s">
        <v>71</v>
      </c>
      <c r="BB229">
        <v>0</v>
      </c>
      <c r="BD229">
        <v>1.21</v>
      </c>
    </row>
    <row r="230" spans="1:56" x14ac:dyDescent="0.15">
      <c r="A230" s="4" t="str">
        <f>HYPERLINK("https://ibp.a2mac1.com/costing(costing:projects/details/9760/part/8411182)","Front Left Wheel Pipe")</f>
        <v>Front Left Wheel Pipe</v>
      </c>
      <c r="B230">
        <v>8411182</v>
      </c>
      <c r="C230">
        <v>8411134</v>
      </c>
      <c r="D230" t="s">
        <v>982</v>
      </c>
      <c r="E230">
        <v>1.53</v>
      </c>
      <c r="F230">
        <v>0</v>
      </c>
      <c r="G230">
        <v>0</v>
      </c>
      <c r="H230">
        <v>0</v>
      </c>
      <c r="I230" t="s">
        <v>71</v>
      </c>
      <c r="J230">
        <v>0</v>
      </c>
      <c r="K230">
        <v>1.53</v>
      </c>
      <c r="L230">
        <v>0</v>
      </c>
      <c r="M230">
        <v>0</v>
      </c>
      <c r="N230">
        <v>1.53</v>
      </c>
      <c r="O230" t="s">
        <v>71</v>
      </c>
      <c r="P230">
        <v>0</v>
      </c>
      <c r="Q230" t="s">
        <v>71</v>
      </c>
      <c r="R230">
        <v>0</v>
      </c>
      <c r="S230" t="s">
        <v>71</v>
      </c>
      <c r="T230">
        <v>0</v>
      </c>
      <c r="U230" t="s">
        <v>71</v>
      </c>
      <c r="V230">
        <v>0</v>
      </c>
      <c r="W230" t="s">
        <v>71</v>
      </c>
      <c r="X230">
        <v>0</v>
      </c>
      <c r="Y230">
        <v>1.53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</v>
      </c>
      <c r="AG230">
        <v>0</v>
      </c>
      <c r="AH230">
        <v>0</v>
      </c>
      <c r="AI230">
        <v>8.4000000000000005E-2</v>
      </c>
      <c r="AK230" t="s">
        <v>100</v>
      </c>
      <c r="AL230" t="s">
        <v>983</v>
      </c>
      <c r="AM230">
        <v>200000</v>
      </c>
      <c r="AN230" t="s">
        <v>97</v>
      </c>
      <c r="AO230">
        <v>1</v>
      </c>
      <c r="AP230">
        <v>0</v>
      </c>
      <c r="AQ230">
        <v>16666.666666666668</v>
      </c>
      <c r="AR230" t="s">
        <v>984</v>
      </c>
      <c r="AS230" t="s">
        <v>75</v>
      </c>
      <c r="AX230" t="s">
        <v>76</v>
      </c>
      <c r="AY230" t="s">
        <v>71</v>
      </c>
      <c r="AZ230">
        <v>0</v>
      </c>
      <c r="BA230" t="s">
        <v>71</v>
      </c>
      <c r="BB230">
        <v>0</v>
      </c>
      <c r="BD230">
        <v>1.53</v>
      </c>
    </row>
    <row r="231" spans="1:56" x14ac:dyDescent="0.15">
      <c r="A231" s="4" t="str">
        <f>HYPERLINK("https://ibp.a2mac1.com/costing(costing:projects/details/9760/part/8411183)","Front Right Wheel Pipe")</f>
        <v>Front Right Wheel Pipe</v>
      </c>
      <c r="B231">
        <v>8411183</v>
      </c>
      <c r="C231">
        <v>8411134</v>
      </c>
      <c r="D231" t="s">
        <v>982</v>
      </c>
      <c r="E231">
        <v>1.75</v>
      </c>
      <c r="F231">
        <v>0</v>
      </c>
      <c r="G231">
        <v>0</v>
      </c>
      <c r="H231">
        <v>0</v>
      </c>
      <c r="I231" t="s">
        <v>71</v>
      </c>
      <c r="J231">
        <v>0</v>
      </c>
      <c r="K231">
        <v>1.75</v>
      </c>
      <c r="L231">
        <v>0</v>
      </c>
      <c r="M231">
        <v>0</v>
      </c>
      <c r="N231">
        <v>1.75</v>
      </c>
      <c r="O231" t="s">
        <v>71</v>
      </c>
      <c r="P231">
        <v>0</v>
      </c>
      <c r="Q231" t="s">
        <v>71</v>
      </c>
      <c r="R231">
        <v>0</v>
      </c>
      <c r="S231" t="s">
        <v>71</v>
      </c>
      <c r="T231">
        <v>0</v>
      </c>
      <c r="U231" t="s">
        <v>71</v>
      </c>
      <c r="V231">
        <v>0</v>
      </c>
      <c r="W231" t="s">
        <v>71</v>
      </c>
      <c r="X231">
        <v>0</v>
      </c>
      <c r="Y231">
        <v>1.75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5</v>
      </c>
      <c r="AG231">
        <v>0</v>
      </c>
      <c r="AH231">
        <v>0</v>
      </c>
      <c r="AI231">
        <v>0.11899999999999999</v>
      </c>
      <c r="AK231" t="s">
        <v>100</v>
      </c>
      <c r="AL231" t="s">
        <v>985</v>
      </c>
      <c r="AM231">
        <v>200000</v>
      </c>
      <c r="AN231" t="s">
        <v>97</v>
      </c>
      <c r="AO231">
        <v>1</v>
      </c>
      <c r="AP231">
        <v>0</v>
      </c>
      <c r="AQ231">
        <v>16666.666666666668</v>
      </c>
      <c r="AR231" t="s">
        <v>986</v>
      </c>
      <c r="AS231" t="s">
        <v>75</v>
      </c>
      <c r="AX231" t="s">
        <v>76</v>
      </c>
      <c r="AY231" t="s">
        <v>71</v>
      </c>
      <c r="AZ231">
        <v>0</v>
      </c>
      <c r="BA231" t="s">
        <v>71</v>
      </c>
      <c r="BB231">
        <v>0</v>
      </c>
      <c r="BD231">
        <v>1.75</v>
      </c>
    </row>
    <row r="232" spans="1:56" x14ac:dyDescent="0.15">
      <c r="A232" s="4" t="str">
        <f>HYPERLINK("https://ibp.a2mac1.com/costing(costing:projects/details/9760/part/8411184)","Rear left wheel pipe")</f>
        <v>Rear left wheel pipe</v>
      </c>
      <c r="B232">
        <v>8411184</v>
      </c>
      <c r="C232">
        <v>8411134</v>
      </c>
      <c r="D232" t="s">
        <v>982</v>
      </c>
      <c r="E232">
        <v>2.37</v>
      </c>
      <c r="F232">
        <v>0</v>
      </c>
      <c r="G232">
        <v>0</v>
      </c>
      <c r="H232">
        <v>0</v>
      </c>
      <c r="I232" t="s">
        <v>71</v>
      </c>
      <c r="J232">
        <v>0</v>
      </c>
      <c r="K232">
        <v>2.37</v>
      </c>
      <c r="L232">
        <v>0</v>
      </c>
      <c r="M232">
        <v>0</v>
      </c>
      <c r="N232">
        <v>2.37</v>
      </c>
      <c r="O232" t="s">
        <v>71</v>
      </c>
      <c r="P232">
        <v>0</v>
      </c>
      <c r="Q232" t="s">
        <v>71</v>
      </c>
      <c r="R232">
        <v>0</v>
      </c>
      <c r="S232" t="s">
        <v>71</v>
      </c>
      <c r="T232">
        <v>0</v>
      </c>
      <c r="U232" t="s">
        <v>71</v>
      </c>
      <c r="V232">
        <v>0</v>
      </c>
      <c r="W232" t="s">
        <v>71</v>
      </c>
      <c r="X232">
        <v>0</v>
      </c>
      <c r="Y232">
        <v>2.37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0.23400000000000001</v>
      </c>
      <c r="AK232" t="s">
        <v>100</v>
      </c>
      <c r="AM232">
        <v>200000</v>
      </c>
      <c r="AN232" t="s">
        <v>97</v>
      </c>
      <c r="AO232">
        <v>1</v>
      </c>
      <c r="AP232">
        <v>0</v>
      </c>
      <c r="AQ232">
        <v>16666.666666666668</v>
      </c>
      <c r="AR232" t="s">
        <v>987</v>
      </c>
      <c r="AS232" t="s">
        <v>75</v>
      </c>
      <c r="AX232" t="s">
        <v>76</v>
      </c>
      <c r="AY232" t="s">
        <v>71</v>
      </c>
      <c r="AZ232">
        <v>0</v>
      </c>
      <c r="BA232" t="s">
        <v>71</v>
      </c>
      <c r="BB232">
        <v>0</v>
      </c>
      <c r="BD232">
        <v>2.37</v>
      </c>
    </row>
    <row r="233" spans="1:56" x14ac:dyDescent="0.15">
      <c r="A233" s="4" t="str">
        <f>HYPERLINK("https://ibp.a2mac1.com/costing(costing:projects/details/9760/part/8411185)","Rear Right Wheel Pipe")</f>
        <v>Rear Right Wheel Pipe</v>
      </c>
      <c r="B233">
        <v>8411185</v>
      </c>
      <c r="C233">
        <v>8411134</v>
      </c>
      <c r="D233" t="s">
        <v>982</v>
      </c>
      <c r="E233">
        <v>2.37</v>
      </c>
      <c r="F233">
        <v>0</v>
      </c>
      <c r="G233">
        <v>0</v>
      </c>
      <c r="H233">
        <v>0</v>
      </c>
      <c r="I233" t="s">
        <v>71</v>
      </c>
      <c r="J233">
        <v>0</v>
      </c>
      <c r="K233">
        <v>2.37</v>
      </c>
      <c r="L233">
        <v>0</v>
      </c>
      <c r="M233">
        <v>0</v>
      </c>
      <c r="N233">
        <v>2.37</v>
      </c>
      <c r="O233" t="s">
        <v>71</v>
      </c>
      <c r="P233">
        <v>0</v>
      </c>
      <c r="Q233" t="s">
        <v>71</v>
      </c>
      <c r="R233">
        <v>0</v>
      </c>
      <c r="S233" t="s">
        <v>71</v>
      </c>
      <c r="T233">
        <v>0</v>
      </c>
      <c r="U233" t="s">
        <v>71</v>
      </c>
      <c r="V233">
        <v>0</v>
      </c>
      <c r="W233" t="s">
        <v>71</v>
      </c>
      <c r="X233">
        <v>0</v>
      </c>
      <c r="Y233">
        <v>2.37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0.22500000000000001</v>
      </c>
      <c r="AK233" t="s">
        <v>100</v>
      </c>
      <c r="AM233">
        <v>200000</v>
      </c>
      <c r="AN233" t="s">
        <v>97</v>
      </c>
      <c r="AO233">
        <v>1</v>
      </c>
      <c r="AP233">
        <v>0</v>
      </c>
      <c r="AQ233">
        <v>16666.666666666668</v>
      </c>
      <c r="AR233" t="s">
        <v>988</v>
      </c>
      <c r="AS233" t="s">
        <v>75</v>
      </c>
      <c r="AX233" t="s">
        <v>76</v>
      </c>
      <c r="AY233" t="s">
        <v>71</v>
      </c>
      <c r="AZ233">
        <v>0</v>
      </c>
      <c r="BA233" t="s">
        <v>71</v>
      </c>
      <c r="BB233">
        <v>0</v>
      </c>
      <c r="BD233">
        <v>2.37</v>
      </c>
    </row>
    <row r="234" spans="1:56" x14ac:dyDescent="0.15">
      <c r="A234" s="4" t="str">
        <f>HYPERLINK("https://ibp.a2mac1.com/costing(costing:projects/details/9760/part/8411186)","Master Cylinder - ABS Unit Pipe (1)")</f>
        <v>Master Cylinder - ABS Unit Pipe (1)</v>
      </c>
      <c r="B234">
        <v>8411186</v>
      </c>
      <c r="C234">
        <v>8411134</v>
      </c>
      <c r="D234" t="s">
        <v>982</v>
      </c>
      <c r="E234">
        <v>2.21</v>
      </c>
      <c r="F234">
        <v>0</v>
      </c>
      <c r="G234">
        <v>0</v>
      </c>
      <c r="H234">
        <v>0</v>
      </c>
      <c r="I234" t="s">
        <v>71</v>
      </c>
      <c r="J234">
        <v>0</v>
      </c>
      <c r="K234">
        <v>2.21</v>
      </c>
      <c r="L234">
        <v>0</v>
      </c>
      <c r="M234">
        <v>0</v>
      </c>
      <c r="N234">
        <v>2.21</v>
      </c>
      <c r="O234" t="s">
        <v>71</v>
      </c>
      <c r="P234">
        <v>0</v>
      </c>
      <c r="Q234" t="s">
        <v>71</v>
      </c>
      <c r="R234">
        <v>0</v>
      </c>
      <c r="S234" t="s">
        <v>71</v>
      </c>
      <c r="T234">
        <v>0</v>
      </c>
      <c r="U234" t="s">
        <v>71</v>
      </c>
      <c r="V234">
        <v>0</v>
      </c>
      <c r="W234" t="s">
        <v>71</v>
      </c>
      <c r="X234">
        <v>0</v>
      </c>
      <c r="Y234">
        <v>2.21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0.10100000000000001</v>
      </c>
      <c r="AK234" t="s">
        <v>100</v>
      </c>
      <c r="AM234">
        <v>200000</v>
      </c>
      <c r="AN234" t="s">
        <v>97</v>
      </c>
      <c r="AO234">
        <v>1</v>
      </c>
      <c r="AP234">
        <v>0</v>
      </c>
      <c r="AQ234">
        <v>16666.666666666668</v>
      </c>
      <c r="AR234" t="s">
        <v>989</v>
      </c>
      <c r="AS234" t="s">
        <v>75</v>
      </c>
      <c r="AX234" t="s">
        <v>76</v>
      </c>
      <c r="AY234" t="s">
        <v>71</v>
      </c>
      <c r="AZ234">
        <v>0</v>
      </c>
      <c r="BA234" t="s">
        <v>71</v>
      </c>
      <c r="BB234">
        <v>0</v>
      </c>
      <c r="BD234">
        <v>2.21</v>
      </c>
    </row>
    <row r="235" spans="1:56" x14ac:dyDescent="0.15">
      <c r="A235" s="4" t="str">
        <f>HYPERLINK("https://ibp.a2mac1.com/costing(costing:projects/details/9760/part/8411187)","Master Cylinder - ABS Unit Pipe (2)")</f>
        <v>Master Cylinder - ABS Unit Pipe (2)</v>
      </c>
      <c r="B235">
        <v>8411187</v>
      </c>
      <c r="C235">
        <v>8411134</v>
      </c>
      <c r="D235" t="s">
        <v>982</v>
      </c>
      <c r="E235">
        <v>2.2400000000000002</v>
      </c>
      <c r="F235">
        <v>0</v>
      </c>
      <c r="G235">
        <v>0</v>
      </c>
      <c r="H235">
        <v>0</v>
      </c>
      <c r="I235" t="s">
        <v>71</v>
      </c>
      <c r="J235">
        <v>0</v>
      </c>
      <c r="K235">
        <v>2.2400000000000002</v>
      </c>
      <c r="L235">
        <v>0</v>
      </c>
      <c r="M235">
        <v>0</v>
      </c>
      <c r="N235">
        <v>2.2400000000000002</v>
      </c>
      <c r="O235" t="s">
        <v>71</v>
      </c>
      <c r="P235">
        <v>0</v>
      </c>
      <c r="Q235" t="s">
        <v>71</v>
      </c>
      <c r="R235">
        <v>0</v>
      </c>
      <c r="S235" t="s">
        <v>71</v>
      </c>
      <c r="T235">
        <v>0</v>
      </c>
      <c r="U235" t="s">
        <v>71</v>
      </c>
      <c r="V235">
        <v>0</v>
      </c>
      <c r="W235" t="s">
        <v>71</v>
      </c>
      <c r="X235">
        <v>0</v>
      </c>
      <c r="Y235">
        <v>2.2400000000000002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0.10199999999999999</v>
      </c>
      <c r="AK235" t="s">
        <v>100</v>
      </c>
      <c r="AL235" t="s">
        <v>990</v>
      </c>
      <c r="AM235">
        <v>200000</v>
      </c>
      <c r="AN235" t="s">
        <v>97</v>
      </c>
      <c r="AO235">
        <v>1</v>
      </c>
      <c r="AP235">
        <v>0</v>
      </c>
      <c r="AQ235">
        <v>16666.666666666668</v>
      </c>
      <c r="AR235" t="s">
        <v>991</v>
      </c>
      <c r="AS235" t="s">
        <v>75</v>
      </c>
      <c r="AX235" t="s">
        <v>76</v>
      </c>
      <c r="AY235" t="s">
        <v>71</v>
      </c>
      <c r="AZ235">
        <v>0</v>
      </c>
      <c r="BA235" t="s">
        <v>71</v>
      </c>
      <c r="BB235">
        <v>0</v>
      </c>
      <c r="BD235">
        <v>2.2400000000000002</v>
      </c>
    </row>
    <row r="236" spans="1:56" x14ac:dyDescent="0.15">
      <c r="A236" s="4" t="str">
        <f>HYPERLINK("https://ibp.a2mac1.com/costing(costing:projects/details/9760/part/8411188)","Rear Right Wheel Connection - ABS Pump Pipe")</f>
        <v>Rear Right Wheel Connection - ABS Pump Pipe</v>
      </c>
      <c r="B236">
        <v>8411188</v>
      </c>
      <c r="C236">
        <v>8411134</v>
      </c>
      <c r="D236" t="s">
        <v>982</v>
      </c>
      <c r="E236">
        <v>1.42</v>
      </c>
      <c r="F236">
        <v>0</v>
      </c>
      <c r="G236">
        <v>0</v>
      </c>
      <c r="H236">
        <v>0</v>
      </c>
      <c r="I236" t="s">
        <v>71</v>
      </c>
      <c r="J236">
        <v>0</v>
      </c>
      <c r="K236">
        <v>1.42</v>
      </c>
      <c r="L236">
        <v>0</v>
      </c>
      <c r="M236">
        <v>0</v>
      </c>
      <c r="N236">
        <v>1.42</v>
      </c>
      <c r="O236" t="s">
        <v>71</v>
      </c>
      <c r="P236">
        <v>0</v>
      </c>
      <c r="Q236" t="s">
        <v>71</v>
      </c>
      <c r="R236">
        <v>0</v>
      </c>
      <c r="S236" t="s">
        <v>71</v>
      </c>
      <c r="T236">
        <v>0</v>
      </c>
      <c r="U236" t="s">
        <v>71</v>
      </c>
      <c r="V236">
        <v>0</v>
      </c>
      <c r="W236" t="s">
        <v>71</v>
      </c>
      <c r="X236">
        <v>0</v>
      </c>
      <c r="Y236">
        <v>1.42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6.5000000000000002E-2</v>
      </c>
      <c r="AK236" t="s">
        <v>100</v>
      </c>
      <c r="AM236">
        <v>200000</v>
      </c>
      <c r="AN236" t="s">
        <v>97</v>
      </c>
      <c r="AO236">
        <v>1</v>
      </c>
      <c r="AP236">
        <v>0</v>
      </c>
      <c r="AQ236">
        <v>16666.666666666668</v>
      </c>
      <c r="AR236" t="s">
        <v>992</v>
      </c>
      <c r="AS236" t="s">
        <v>75</v>
      </c>
      <c r="AX236" t="s">
        <v>76</v>
      </c>
      <c r="AY236" t="s">
        <v>71</v>
      </c>
      <c r="AZ236">
        <v>0</v>
      </c>
      <c r="BA236" t="s">
        <v>71</v>
      </c>
      <c r="BB236">
        <v>0</v>
      </c>
      <c r="BD236">
        <v>1.42</v>
      </c>
    </row>
    <row r="237" spans="1:56" x14ac:dyDescent="0.15">
      <c r="A237" s="4" t="str">
        <f>HYPERLINK("https://ibp.a2mac1.com/costing(costing:projects/details/9760/part/8411189)","Rear Left Wheel Connection - ABS Pump Pipe")</f>
        <v>Rear Left Wheel Connection - ABS Pump Pipe</v>
      </c>
      <c r="B237">
        <v>8411189</v>
      </c>
      <c r="C237">
        <v>8411134</v>
      </c>
      <c r="D237" t="s">
        <v>982</v>
      </c>
      <c r="E237">
        <v>1.47</v>
      </c>
      <c r="F237">
        <v>0</v>
      </c>
      <c r="G237">
        <v>0</v>
      </c>
      <c r="H237">
        <v>0</v>
      </c>
      <c r="I237" t="s">
        <v>71</v>
      </c>
      <c r="J237">
        <v>0</v>
      </c>
      <c r="K237">
        <v>1.47</v>
      </c>
      <c r="L237">
        <v>0</v>
      </c>
      <c r="M237">
        <v>0</v>
      </c>
      <c r="N237">
        <v>1.47</v>
      </c>
      <c r="O237" t="s">
        <v>71</v>
      </c>
      <c r="P237">
        <v>0</v>
      </c>
      <c r="Q237" t="s">
        <v>71</v>
      </c>
      <c r="R237">
        <v>0</v>
      </c>
      <c r="S237" t="s">
        <v>71</v>
      </c>
      <c r="T237">
        <v>0</v>
      </c>
      <c r="U237" t="s">
        <v>71</v>
      </c>
      <c r="V237">
        <v>0</v>
      </c>
      <c r="W237" t="s">
        <v>71</v>
      </c>
      <c r="X237">
        <v>0</v>
      </c>
      <c r="Y237">
        <v>1.47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6.6000000000000003E-2</v>
      </c>
      <c r="AK237" t="s">
        <v>100</v>
      </c>
      <c r="AL237" t="s">
        <v>993</v>
      </c>
      <c r="AM237">
        <v>200000</v>
      </c>
      <c r="AN237" t="s">
        <v>97</v>
      </c>
      <c r="AO237">
        <v>1</v>
      </c>
      <c r="AP237">
        <v>0</v>
      </c>
      <c r="AQ237">
        <v>16666.666666666668</v>
      </c>
      <c r="AR237" t="s">
        <v>994</v>
      </c>
      <c r="AS237" t="s">
        <v>75</v>
      </c>
      <c r="AX237" t="s">
        <v>76</v>
      </c>
      <c r="AY237" t="s">
        <v>71</v>
      </c>
      <c r="AZ237">
        <v>0</v>
      </c>
      <c r="BA237" t="s">
        <v>71</v>
      </c>
      <c r="BB237">
        <v>0</v>
      </c>
      <c r="BD237">
        <v>1.47</v>
      </c>
    </row>
    <row r="238" spans="1:56" x14ac:dyDescent="0.15">
      <c r="A238" s="4" t="str">
        <f>HYPERLINK("https://ibp.a2mac1.com/costing(costing:projects/details/9760/part/8411190)","Hoses rear axle/body")</f>
        <v>Hoses rear axle/body</v>
      </c>
      <c r="B238">
        <v>8411190</v>
      </c>
      <c r="C238">
        <v>8411134</v>
      </c>
      <c r="D238" t="s">
        <v>982</v>
      </c>
      <c r="E238">
        <v>1.87</v>
      </c>
      <c r="F238">
        <v>0</v>
      </c>
      <c r="G238">
        <v>0</v>
      </c>
      <c r="H238">
        <v>0</v>
      </c>
      <c r="I238" t="s">
        <v>71</v>
      </c>
      <c r="J238">
        <v>0</v>
      </c>
      <c r="K238">
        <v>1.87</v>
      </c>
      <c r="L238">
        <v>0</v>
      </c>
      <c r="M238">
        <v>0</v>
      </c>
      <c r="N238">
        <v>1.87</v>
      </c>
      <c r="O238" t="s">
        <v>71</v>
      </c>
      <c r="P238">
        <v>0</v>
      </c>
      <c r="Q238" t="s">
        <v>71</v>
      </c>
      <c r="R238">
        <v>0</v>
      </c>
      <c r="S238" t="s">
        <v>71</v>
      </c>
      <c r="T238">
        <v>0</v>
      </c>
      <c r="U238" t="s">
        <v>71</v>
      </c>
      <c r="V238">
        <v>0</v>
      </c>
      <c r="W238" t="s">
        <v>71</v>
      </c>
      <c r="X238">
        <v>0</v>
      </c>
      <c r="Y238">
        <v>1.87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0.13300000000000001</v>
      </c>
      <c r="AK238" t="s">
        <v>100</v>
      </c>
      <c r="AL238" t="s">
        <v>995</v>
      </c>
      <c r="AM238">
        <v>200000</v>
      </c>
      <c r="AN238" t="s">
        <v>97</v>
      </c>
      <c r="AO238">
        <v>1</v>
      </c>
      <c r="AP238">
        <v>0</v>
      </c>
      <c r="AQ238">
        <v>16666.666666666668</v>
      </c>
      <c r="AR238" t="s">
        <v>996</v>
      </c>
      <c r="AS238" t="s">
        <v>75</v>
      </c>
      <c r="AX238" t="s">
        <v>76</v>
      </c>
      <c r="AY238" t="s">
        <v>71</v>
      </c>
      <c r="AZ238">
        <v>0</v>
      </c>
      <c r="BA238" t="s">
        <v>71</v>
      </c>
      <c r="BB238">
        <v>0</v>
      </c>
      <c r="BD238">
        <v>1.87</v>
      </c>
    </row>
    <row r="239" spans="1:56" x14ac:dyDescent="0.15">
      <c r="A239" s="4" t="str">
        <f>HYPERLINK("https://ibp.a2mac1.com/costing(costing:projects/details/9760/part/8411265)","Left")</f>
        <v>Left</v>
      </c>
      <c r="B239">
        <v>8411265</v>
      </c>
      <c r="C239">
        <v>8411195</v>
      </c>
      <c r="D239" t="s">
        <v>1003</v>
      </c>
      <c r="E239">
        <v>9.59</v>
      </c>
      <c r="F239">
        <v>0</v>
      </c>
      <c r="G239">
        <v>0</v>
      </c>
      <c r="H239">
        <v>1.918E-4</v>
      </c>
      <c r="I239" t="s">
        <v>176</v>
      </c>
      <c r="J239">
        <v>0.33565</v>
      </c>
      <c r="K239">
        <v>9.9258418000000006</v>
      </c>
      <c r="L239">
        <v>1.4942326126313195</v>
      </c>
      <c r="M239">
        <v>8.9653956757879172</v>
      </c>
      <c r="N239">
        <v>18.891237475787918</v>
      </c>
      <c r="O239" t="s">
        <v>177</v>
      </c>
      <c r="P239">
        <v>0.59555050799999998</v>
      </c>
      <c r="Q239" t="s">
        <v>177</v>
      </c>
      <c r="R239">
        <v>0.53792374054727499</v>
      </c>
      <c r="S239" t="s">
        <v>178</v>
      </c>
      <c r="T239">
        <v>2.2669484970945502</v>
      </c>
      <c r="U239" t="s">
        <v>90</v>
      </c>
      <c r="V239">
        <v>0</v>
      </c>
      <c r="W239" t="s">
        <v>90</v>
      </c>
      <c r="X239">
        <v>0</v>
      </c>
      <c r="Y239">
        <v>22.291660221429741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55</v>
      </c>
      <c r="AF239">
        <v>370</v>
      </c>
      <c r="AG239">
        <v>370</v>
      </c>
      <c r="AH239">
        <v>0</v>
      </c>
      <c r="AI239">
        <v>11.802</v>
      </c>
      <c r="AK239" t="s">
        <v>100</v>
      </c>
      <c r="AL239" t="s">
        <v>1004</v>
      </c>
      <c r="AM239">
        <v>200000</v>
      </c>
      <c r="AN239" t="s">
        <v>97</v>
      </c>
      <c r="AO239">
        <v>1</v>
      </c>
      <c r="AP239">
        <v>0</v>
      </c>
      <c r="AQ239">
        <v>16666.666666666668</v>
      </c>
      <c r="AR239" t="s">
        <v>1005</v>
      </c>
      <c r="AS239" t="s">
        <v>75</v>
      </c>
      <c r="AX239" t="s">
        <v>76</v>
      </c>
      <c r="AY239" t="s">
        <v>176</v>
      </c>
      <c r="AZ239">
        <v>0</v>
      </c>
      <c r="BA239" t="s">
        <v>176</v>
      </c>
      <c r="BB239">
        <v>0</v>
      </c>
    </row>
    <row r="240" spans="1:56" x14ac:dyDescent="0.15">
      <c r="A240" s="4" t="str">
        <f>HYPERLINK("https://ibp.a2mac1.com/costing(costing:projects/details/9760/part/8411266)","Right")</f>
        <v>Right</v>
      </c>
      <c r="B240">
        <v>8411266</v>
      </c>
      <c r="C240">
        <v>8411195</v>
      </c>
      <c r="D240" t="s">
        <v>1003</v>
      </c>
      <c r="E240">
        <v>9.59</v>
      </c>
      <c r="F240">
        <v>0</v>
      </c>
      <c r="G240">
        <v>0</v>
      </c>
      <c r="H240">
        <v>1.918E-4</v>
      </c>
      <c r="I240" t="s">
        <v>176</v>
      </c>
      <c r="J240">
        <v>0.33565</v>
      </c>
      <c r="K240">
        <v>9.9258418000000006</v>
      </c>
      <c r="L240">
        <v>1.4942326126313195</v>
      </c>
      <c r="M240">
        <v>8.9653956757879172</v>
      </c>
      <c r="N240">
        <v>18.891237475787918</v>
      </c>
      <c r="O240" t="s">
        <v>177</v>
      </c>
      <c r="P240">
        <v>0.59555050799999998</v>
      </c>
      <c r="Q240" t="s">
        <v>177</v>
      </c>
      <c r="R240">
        <v>0.53792374054727499</v>
      </c>
      <c r="S240" t="s">
        <v>178</v>
      </c>
      <c r="T240">
        <v>2.2669484970945502</v>
      </c>
      <c r="U240" t="s">
        <v>90</v>
      </c>
      <c r="V240">
        <v>0</v>
      </c>
      <c r="W240" t="s">
        <v>90</v>
      </c>
      <c r="X240">
        <v>0</v>
      </c>
      <c r="Y240">
        <v>22.291660221429741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55</v>
      </c>
      <c r="AF240">
        <v>370</v>
      </c>
      <c r="AG240">
        <v>370</v>
      </c>
      <c r="AH240">
        <v>0</v>
      </c>
      <c r="AI240">
        <v>11.808</v>
      </c>
      <c r="AK240" t="s">
        <v>100</v>
      </c>
      <c r="AL240" t="s">
        <v>1004</v>
      </c>
      <c r="AM240">
        <v>200000</v>
      </c>
      <c r="AN240" t="s">
        <v>97</v>
      </c>
      <c r="AO240">
        <v>1</v>
      </c>
      <c r="AP240">
        <v>0</v>
      </c>
      <c r="AQ240">
        <v>16666.666666666668</v>
      </c>
      <c r="AR240" t="s">
        <v>1008</v>
      </c>
      <c r="AS240" t="s">
        <v>75</v>
      </c>
      <c r="AX240" t="s">
        <v>76</v>
      </c>
      <c r="AY240" t="s">
        <v>176</v>
      </c>
      <c r="AZ240">
        <v>0</v>
      </c>
      <c r="BA240" t="s">
        <v>176</v>
      </c>
      <c r="BB240">
        <v>0</v>
      </c>
    </row>
    <row r="241" spans="1:56" x14ac:dyDescent="0.15">
      <c r="A241" s="4" t="str">
        <f>HYPERLINK("https://ibp.a2mac1.com/costing(costing:projects/details/9760/part/8411407)","Exterior")</f>
        <v>Exterior</v>
      </c>
      <c r="B241">
        <v>8411407</v>
      </c>
      <c r="C241">
        <v>8411311</v>
      </c>
      <c r="D241" t="s">
        <v>1013</v>
      </c>
      <c r="E241">
        <v>6.74</v>
      </c>
      <c r="F241">
        <v>0</v>
      </c>
      <c r="G241">
        <v>0</v>
      </c>
      <c r="H241">
        <v>0</v>
      </c>
      <c r="I241" t="s">
        <v>71</v>
      </c>
      <c r="J241">
        <v>0</v>
      </c>
      <c r="K241">
        <v>6.74</v>
      </c>
      <c r="L241">
        <v>0</v>
      </c>
      <c r="M241">
        <v>0</v>
      </c>
      <c r="N241">
        <v>6.74</v>
      </c>
      <c r="O241" t="s">
        <v>71</v>
      </c>
      <c r="P241">
        <v>0</v>
      </c>
      <c r="Q241" t="s">
        <v>71</v>
      </c>
      <c r="R241">
        <v>0</v>
      </c>
      <c r="S241" t="s">
        <v>71</v>
      </c>
      <c r="T241">
        <v>0</v>
      </c>
      <c r="U241" t="s">
        <v>71</v>
      </c>
      <c r="V241">
        <v>0</v>
      </c>
      <c r="W241" t="s">
        <v>71</v>
      </c>
      <c r="X241">
        <v>0</v>
      </c>
      <c r="Y241">
        <v>6.74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15</v>
      </c>
      <c r="AF241">
        <v>155</v>
      </c>
      <c r="AG241">
        <v>96</v>
      </c>
      <c r="AH241">
        <v>0</v>
      </c>
      <c r="AI241">
        <v>0.627</v>
      </c>
      <c r="AK241" t="s">
        <v>272</v>
      </c>
      <c r="AL241" t="s">
        <v>1014</v>
      </c>
      <c r="AM241">
        <v>200000</v>
      </c>
      <c r="AN241" t="s">
        <v>73</v>
      </c>
      <c r="AO241">
        <v>1</v>
      </c>
      <c r="AP241">
        <v>0</v>
      </c>
      <c r="AQ241">
        <v>16666.666666666668</v>
      </c>
      <c r="AR241" t="s">
        <v>9</v>
      </c>
      <c r="AS241" t="s">
        <v>75</v>
      </c>
      <c r="AX241" t="s">
        <v>76</v>
      </c>
      <c r="AY241" t="s">
        <v>71</v>
      </c>
      <c r="AZ241">
        <v>0</v>
      </c>
      <c r="BA241" t="s">
        <v>71</v>
      </c>
      <c r="BB241">
        <v>0</v>
      </c>
      <c r="BD241">
        <v>6.74</v>
      </c>
    </row>
    <row r="242" spans="1:56" x14ac:dyDescent="0.15">
      <c r="A242" s="4" t="str">
        <f>HYPERLINK("https://ibp.a2mac1.com/costing(costing:projects/details/9760/part/8411408)","Interior")</f>
        <v>Interior</v>
      </c>
      <c r="B242">
        <v>8411408</v>
      </c>
      <c r="C242">
        <v>8411311</v>
      </c>
      <c r="E242">
        <v>6.74</v>
      </c>
      <c r="F242">
        <v>0</v>
      </c>
      <c r="G242">
        <v>0</v>
      </c>
      <c r="H242">
        <v>0</v>
      </c>
      <c r="I242" t="s">
        <v>71</v>
      </c>
      <c r="J242">
        <v>0</v>
      </c>
      <c r="K242">
        <v>6.74</v>
      </c>
      <c r="L242">
        <v>0</v>
      </c>
      <c r="M242">
        <v>0</v>
      </c>
      <c r="N242">
        <v>6.74</v>
      </c>
      <c r="O242" t="s">
        <v>71</v>
      </c>
      <c r="P242">
        <v>0</v>
      </c>
      <c r="Q242" t="s">
        <v>71</v>
      </c>
      <c r="R242">
        <v>0</v>
      </c>
      <c r="S242" t="s">
        <v>71</v>
      </c>
      <c r="T242">
        <v>0</v>
      </c>
      <c r="U242" t="s">
        <v>71</v>
      </c>
      <c r="V242">
        <v>0</v>
      </c>
      <c r="W242" t="s">
        <v>71</v>
      </c>
      <c r="X242">
        <v>0</v>
      </c>
      <c r="Y242">
        <v>6.74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1.2549999999999999</v>
      </c>
      <c r="AK242" t="s">
        <v>1015</v>
      </c>
      <c r="AL242" t="s">
        <v>1014</v>
      </c>
      <c r="AM242">
        <v>200000</v>
      </c>
      <c r="AN242" t="s">
        <v>73</v>
      </c>
      <c r="AO242">
        <v>1</v>
      </c>
      <c r="AP242">
        <v>0</v>
      </c>
      <c r="AQ242">
        <v>16666.666666666668</v>
      </c>
      <c r="AR242" t="s">
        <v>9</v>
      </c>
      <c r="AS242" t="s">
        <v>75</v>
      </c>
      <c r="AX242" t="s">
        <v>76</v>
      </c>
      <c r="AY242" t="s">
        <v>71</v>
      </c>
      <c r="AZ242">
        <v>0</v>
      </c>
      <c r="BA242" t="s">
        <v>71</v>
      </c>
      <c r="BB242">
        <v>0</v>
      </c>
      <c r="BD242">
        <v>6.74</v>
      </c>
    </row>
    <row r="243" spans="1:56" x14ac:dyDescent="0.15">
      <c r="A243" s="4" t="str">
        <f>HYPERLINK("https://ibp.a2mac1.com/costing(costing:projects/details/9760/part/8411310)","Brake Caliper Left")</f>
        <v>Brake Caliper Left</v>
      </c>
      <c r="B243">
        <v>8411310</v>
      </c>
      <c r="C243">
        <v>8411267</v>
      </c>
      <c r="D243" t="s">
        <v>1019</v>
      </c>
      <c r="E243">
        <v>27.25</v>
      </c>
      <c r="F243">
        <v>0</v>
      </c>
      <c r="G243">
        <v>0</v>
      </c>
      <c r="H243">
        <v>5.4500000000000002E-4</v>
      </c>
      <c r="I243" t="s">
        <v>176</v>
      </c>
      <c r="J243">
        <v>0.95374999999999999</v>
      </c>
      <c r="K243">
        <v>28.204294999999998</v>
      </c>
      <c r="L243">
        <v>0.51369967753771173</v>
      </c>
      <c r="M243">
        <v>3.0821980652262706</v>
      </c>
      <c r="N243">
        <v>31.286493065226271</v>
      </c>
      <c r="O243" t="s">
        <v>90</v>
      </c>
      <c r="P243">
        <v>0</v>
      </c>
      <c r="Q243" t="s">
        <v>90</v>
      </c>
      <c r="R243">
        <v>0</v>
      </c>
      <c r="S243" t="s">
        <v>90</v>
      </c>
      <c r="T243">
        <v>0</v>
      </c>
      <c r="U243" t="s">
        <v>90</v>
      </c>
      <c r="V243">
        <v>0</v>
      </c>
      <c r="W243" t="s">
        <v>90</v>
      </c>
      <c r="X243">
        <v>0</v>
      </c>
      <c r="Y243">
        <v>31.286493065226271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135</v>
      </c>
      <c r="AF243">
        <v>172</v>
      </c>
      <c r="AG243">
        <v>345</v>
      </c>
      <c r="AH243">
        <v>0</v>
      </c>
      <c r="AI243">
        <v>5.0069999999999997</v>
      </c>
      <c r="AK243" t="s">
        <v>483</v>
      </c>
      <c r="AM243">
        <v>200000</v>
      </c>
      <c r="AN243" t="s">
        <v>73</v>
      </c>
      <c r="AO243">
        <v>1</v>
      </c>
      <c r="AP243">
        <v>0</v>
      </c>
      <c r="AQ243">
        <v>16666.666666666668</v>
      </c>
      <c r="AR243" t="s">
        <v>9</v>
      </c>
      <c r="AS243" t="s">
        <v>75</v>
      </c>
      <c r="AX243" t="s">
        <v>76</v>
      </c>
      <c r="AY243" t="s">
        <v>176</v>
      </c>
      <c r="AZ243">
        <v>0</v>
      </c>
      <c r="BA243" t="s">
        <v>176</v>
      </c>
      <c r="BB243">
        <v>0</v>
      </c>
    </row>
    <row r="244" spans="1:56" x14ac:dyDescent="0.15">
      <c r="A244" s="4" t="str">
        <f>HYPERLINK("https://ibp.a2mac1.com/costing(costing:projects/details/9760/part/8411409)","Exterior")</f>
        <v>Exterior</v>
      </c>
      <c r="B244">
        <v>8411409</v>
      </c>
      <c r="C244">
        <v>8411313</v>
      </c>
      <c r="D244" t="s">
        <v>1013</v>
      </c>
      <c r="E244">
        <v>6.74</v>
      </c>
      <c r="F244">
        <v>0</v>
      </c>
      <c r="G244">
        <v>0</v>
      </c>
      <c r="H244">
        <v>0</v>
      </c>
      <c r="I244" t="s">
        <v>71</v>
      </c>
      <c r="J244">
        <v>0</v>
      </c>
      <c r="K244">
        <v>6.74</v>
      </c>
      <c r="L244">
        <v>0</v>
      </c>
      <c r="M244">
        <v>0</v>
      </c>
      <c r="N244">
        <v>6.74</v>
      </c>
      <c r="O244" t="s">
        <v>71</v>
      </c>
      <c r="P244">
        <v>0</v>
      </c>
      <c r="Q244" t="s">
        <v>71</v>
      </c>
      <c r="R244">
        <v>0</v>
      </c>
      <c r="S244" t="s">
        <v>71</v>
      </c>
      <c r="T244">
        <v>0</v>
      </c>
      <c r="U244" t="s">
        <v>71</v>
      </c>
      <c r="V244">
        <v>0</v>
      </c>
      <c r="W244" t="s">
        <v>71</v>
      </c>
      <c r="X244">
        <v>0</v>
      </c>
      <c r="Y244">
        <v>6.74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15</v>
      </c>
      <c r="AF244">
        <v>155</v>
      </c>
      <c r="AG244">
        <v>96</v>
      </c>
      <c r="AH244">
        <v>0</v>
      </c>
      <c r="AI244">
        <v>0.627</v>
      </c>
      <c r="AK244" t="s">
        <v>95</v>
      </c>
      <c r="AL244" t="s">
        <v>1014</v>
      </c>
      <c r="AM244">
        <v>200000</v>
      </c>
      <c r="AN244" t="s">
        <v>97</v>
      </c>
      <c r="AO244">
        <v>1</v>
      </c>
      <c r="AP244">
        <v>0</v>
      </c>
      <c r="AQ244">
        <v>16666.666666666668</v>
      </c>
      <c r="AR244" t="s">
        <v>1026</v>
      </c>
      <c r="AS244" t="s">
        <v>75</v>
      </c>
      <c r="AX244" t="s">
        <v>76</v>
      </c>
      <c r="AY244" t="s">
        <v>71</v>
      </c>
      <c r="AZ244">
        <v>0</v>
      </c>
      <c r="BA244" t="s">
        <v>71</v>
      </c>
      <c r="BB244">
        <v>0</v>
      </c>
      <c r="BD244">
        <v>6.74</v>
      </c>
    </row>
    <row r="245" spans="1:56" x14ac:dyDescent="0.15">
      <c r="A245" s="4" t="str">
        <f>HYPERLINK("https://ibp.a2mac1.com/costing(costing:projects/details/9760/part/8411410)","Interior")</f>
        <v>Interior</v>
      </c>
      <c r="B245">
        <v>8411410</v>
      </c>
      <c r="C245">
        <v>8411313</v>
      </c>
      <c r="E245">
        <v>6.74</v>
      </c>
      <c r="F245">
        <v>0</v>
      </c>
      <c r="G245">
        <v>0</v>
      </c>
      <c r="H245">
        <v>0</v>
      </c>
      <c r="I245" t="s">
        <v>71</v>
      </c>
      <c r="J245">
        <v>0</v>
      </c>
      <c r="K245">
        <v>6.74</v>
      </c>
      <c r="L245">
        <v>0</v>
      </c>
      <c r="M245">
        <v>0</v>
      </c>
      <c r="N245">
        <v>6.74</v>
      </c>
      <c r="O245" t="s">
        <v>71</v>
      </c>
      <c r="P245">
        <v>0</v>
      </c>
      <c r="Q245" t="s">
        <v>71</v>
      </c>
      <c r="R245">
        <v>0</v>
      </c>
      <c r="S245" t="s">
        <v>71</v>
      </c>
      <c r="T245">
        <v>0</v>
      </c>
      <c r="U245" t="s">
        <v>71</v>
      </c>
      <c r="V245">
        <v>0</v>
      </c>
      <c r="W245" t="s">
        <v>71</v>
      </c>
      <c r="X245">
        <v>0</v>
      </c>
      <c r="Y245">
        <v>6.74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1.2549999999999999</v>
      </c>
      <c r="AK245" t="s">
        <v>95</v>
      </c>
      <c r="AL245" t="s">
        <v>1014</v>
      </c>
      <c r="AM245">
        <v>200000</v>
      </c>
      <c r="AN245" t="s">
        <v>97</v>
      </c>
      <c r="AO245">
        <v>1</v>
      </c>
      <c r="AP245">
        <v>0</v>
      </c>
      <c r="AQ245">
        <v>16666.666666666668</v>
      </c>
      <c r="AR245" t="s">
        <v>1027</v>
      </c>
      <c r="AS245" t="s">
        <v>75</v>
      </c>
      <c r="AX245" t="s">
        <v>76</v>
      </c>
      <c r="AY245" t="s">
        <v>71</v>
      </c>
      <c r="AZ245">
        <v>0</v>
      </c>
      <c r="BA245" t="s">
        <v>71</v>
      </c>
      <c r="BB245">
        <v>0</v>
      </c>
      <c r="BD245">
        <v>6.74</v>
      </c>
    </row>
    <row r="246" spans="1:56" x14ac:dyDescent="0.15">
      <c r="A246" s="4" t="str">
        <f>HYPERLINK("https://ibp.a2mac1.com/costing(costing:projects/details/9760/part/8411312)","Brake Caliper Right")</f>
        <v>Brake Caliper Right</v>
      </c>
      <c r="B246">
        <v>8411312</v>
      </c>
      <c r="C246">
        <v>8411268</v>
      </c>
      <c r="D246" t="s">
        <v>1031</v>
      </c>
      <c r="E246">
        <v>27.25</v>
      </c>
      <c r="F246">
        <v>0</v>
      </c>
      <c r="G246">
        <v>0</v>
      </c>
      <c r="H246">
        <v>5.4500000000000002E-4</v>
      </c>
      <c r="I246" t="s">
        <v>176</v>
      </c>
      <c r="J246">
        <v>0.95374999999999999</v>
      </c>
      <c r="K246">
        <v>28.204294999999998</v>
      </c>
      <c r="L246">
        <v>0.51369967753771173</v>
      </c>
      <c r="M246">
        <v>3.0821980652262706</v>
      </c>
      <c r="N246">
        <v>31.286493065226271</v>
      </c>
      <c r="O246" t="s">
        <v>90</v>
      </c>
      <c r="P246">
        <v>0</v>
      </c>
      <c r="Q246" t="s">
        <v>90</v>
      </c>
      <c r="R246">
        <v>0</v>
      </c>
      <c r="S246" t="s">
        <v>90</v>
      </c>
      <c r="T246">
        <v>0</v>
      </c>
      <c r="U246" t="s">
        <v>90</v>
      </c>
      <c r="V246">
        <v>0</v>
      </c>
      <c r="W246" t="s">
        <v>90</v>
      </c>
      <c r="X246">
        <v>0</v>
      </c>
      <c r="Y246">
        <v>31.286493065226271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135</v>
      </c>
      <c r="AF246">
        <v>172</v>
      </c>
      <c r="AG246">
        <v>345</v>
      </c>
      <c r="AH246">
        <v>0</v>
      </c>
      <c r="AI246">
        <v>5.0069999999999997</v>
      </c>
      <c r="AK246" t="s">
        <v>483</v>
      </c>
      <c r="AM246">
        <v>200000</v>
      </c>
      <c r="AN246" t="s">
        <v>73</v>
      </c>
      <c r="AO246">
        <v>1</v>
      </c>
      <c r="AP246">
        <v>0</v>
      </c>
      <c r="AQ246">
        <v>16666.666666666668</v>
      </c>
      <c r="AR246" t="s">
        <v>9</v>
      </c>
      <c r="AS246" t="s">
        <v>75</v>
      </c>
      <c r="AX246" t="s">
        <v>76</v>
      </c>
      <c r="AY246" t="s">
        <v>176</v>
      </c>
      <c r="AZ246">
        <v>0</v>
      </c>
      <c r="BA246" t="s">
        <v>176</v>
      </c>
      <c r="BB246">
        <v>0</v>
      </c>
    </row>
    <row r="247" spans="1:56" x14ac:dyDescent="0.15">
      <c r="A247" s="4" t="str">
        <f>HYPERLINK("https://ibp.a2mac1.com/costing(costing:projects/details/9760/part/8411269)","Left Backing Plate")</f>
        <v>Left Backing Plate</v>
      </c>
      <c r="B247">
        <v>8411269</v>
      </c>
      <c r="C247">
        <v>8411197</v>
      </c>
      <c r="D247" t="s">
        <v>1037</v>
      </c>
      <c r="E247">
        <v>1.875</v>
      </c>
      <c r="F247">
        <v>0</v>
      </c>
      <c r="G247">
        <v>0</v>
      </c>
      <c r="H247">
        <v>0</v>
      </c>
      <c r="I247" t="s">
        <v>71</v>
      </c>
      <c r="J247">
        <v>0</v>
      </c>
      <c r="K247">
        <v>1.875</v>
      </c>
      <c r="L247">
        <v>0</v>
      </c>
      <c r="M247">
        <v>0</v>
      </c>
      <c r="N247">
        <v>1.875</v>
      </c>
      <c r="O247" t="s">
        <v>71</v>
      </c>
      <c r="P247">
        <v>0</v>
      </c>
      <c r="Q247" t="s">
        <v>71</v>
      </c>
      <c r="R247">
        <v>0</v>
      </c>
      <c r="S247" t="s">
        <v>71</v>
      </c>
      <c r="T247">
        <v>0</v>
      </c>
      <c r="U247" t="s">
        <v>71</v>
      </c>
      <c r="V247">
        <v>0</v>
      </c>
      <c r="W247" t="s">
        <v>71</v>
      </c>
      <c r="X247">
        <v>0</v>
      </c>
      <c r="Y247">
        <v>1.875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33</v>
      </c>
      <c r="AF247">
        <v>302</v>
      </c>
      <c r="AG247">
        <v>403</v>
      </c>
      <c r="AH247">
        <v>0</v>
      </c>
      <c r="AI247">
        <v>0.16400000000000001</v>
      </c>
      <c r="AK247" t="s">
        <v>100</v>
      </c>
      <c r="AL247" t="s">
        <v>1038</v>
      </c>
      <c r="AM247">
        <v>200000</v>
      </c>
      <c r="AN247" t="s">
        <v>97</v>
      </c>
      <c r="AO247">
        <v>1</v>
      </c>
      <c r="AP247">
        <v>0</v>
      </c>
      <c r="AQ247">
        <v>16666.666666666668</v>
      </c>
      <c r="AR247" t="s">
        <v>1039</v>
      </c>
      <c r="AS247" t="s">
        <v>75</v>
      </c>
      <c r="AX247" t="s">
        <v>76</v>
      </c>
      <c r="AY247" t="s">
        <v>71</v>
      </c>
      <c r="AZ247">
        <v>0</v>
      </c>
      <c r="BA247" t="s">
        <v>71</v>
      </c>
      <c r="BB247">
        <v>0</v>
      </c>
      <c r="BD247">
        <v>1.875</v>
      </c>
    </row>
    <row r="248" spans="1:56" x14ac:dyDescent="0.15">
      <c r="A248" s="4" t="str">
        <f>HYPERLINK("https://ibp.a2mac1.com/costing(costing:projects/details/9760/part/8411270)","Right Backing Plate")</f>
        <v>Right Backing Plate</v>
      </c>
      <c r="B248">
        <v>8411270</v>
      </c>
      <c r="C248">
        <v>8411197</v>
      </c>
      <c r="D248" t="s">
        <v>1037</v>
      </c>
      <c r="E248">
        <v>1.875</v>
      </c>
      <c r="F248">
        <v>0</v>
      </c>
      <c r="G248">
        <v>0</v>
      </c>
      <c r="H248">
        <v>0</v>
      </c>
      <c r="I248" t="s">
        <v>71</v>
      </c>
      <c r="J248">
        <v>0</v>
      </c>
      <c r="K248">
        <v>1.875</v>
      </c>
      <c r="L248">
        <v>0</v>
      </c>
      <c r="M248">
        <v>0</v>
      </c>
      <c r="N248">
        <v>1.875</v>
      </c>
      <c r="O248" t="s">
        <v>71</v>
      </c>
      <c r="P248">
        <v>0</v>
      </c>
      <c r="Q248" t="s">
        <v>71</v>
      </c>
      <c r="R248">
        <v>0</v>
      </c>
      <c r="S248" t="s">
        <v>71</v>
      </c>
      <c r="T248">
        <v>0</v>
      </c>
      <c r="U248" t="s">
        <v>71</v>
      </c>
      <c r="V248">
        <v>0</v>
      </c>
      <c r="W248" t="s">
        <v>71</v>
      </c>
      <c r="X248">
        <v>0</v>
      </c>
      <c r="Y248">
        <v>1.875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33</v>
      </c>
      <c r="AF248">
        <v>302</v>
      </c>
      <c r="AG248">
        <v>403</v>
      </c>
      <c r="AH248">
        <v>0</v>
      </c>
      <c r="AI248">
        <v>0.16200000000000001</v>
      </c>
      <c r="AK248" t="s">
        <v>100</v>
      </c>
      <c r="AL248" t="s">
        <v>1038</v>
      </c>
      <c r="AM248">
        <v>200000</v>
      </c>
      <c r="AN248" t="s">
        <v>97</v>
      </c>
      <c r="AO248">
        <v>1</v>
      </c>
      <c r="AP248">
        <v>0</v>
      </c>
      <c r="AQ248">
        <v>16666.666666666668</v>
      </c>
      <c r="AR248" t="s">
        <v>1040</v>
      </c>
      <c r="AS248" t="s">
        <v>75</v>
      </c>
      <c r="AX248" t="s">
        <v>76</v>
      </c>
      <c r="AY248" t="s">
        <v>71</v>
      </c>
      <c r="AZ248">
        <v>0</v>
      </c>
      <c r="BA248" t="s">
        <v>71</v>
      </c>
      <c r="BB248">
        <v>0</v>
      </c>
      <c r="BD248">
        <v>1.875</v>
      </c>
    </row>
    <row r="249" spans="1:56" x14ac:dyDescent="0.15">
      <c r="A249" s="4" t="str">
        <f>HYPERLINK("https://ibp.a2mac1.com/costing(costing:projects/details/9760/part/8411271)","On Axle")</f>
        <v>On Axle</v>
      </c>
      <c r="B249">
        <v>8411271</v>
      </c>
      <c r="C249">
        <v>8411198</v>
      </c>
      <c r="D249" t="s">
        <v>1043</v>
      </c>
      <c r="E249">
        <v>0.36</v>
      </c>
      <c r="F249">
        <v>0</v>
      </c>
      <c r="G249">
        <v>0</v>
      </c>
      <c r="H249">
        <v>0</v>
      </c>
      <c r="I249" t="s">
        <v>71</v>
      </c>
      <c r="J249">
        <v>0</v>
      </c>
      <c r="K249">
        <v>0.36</v>
      </c>
      <c r="L249">
        <v>0</v>
      </c>
      <c r="M249">
        <v>0</v>
      </c>
      <c r="N249">
        <v>0.36</v>
      </c>
      <c r="O249" t="s">
        <v>71</v>
      </c>
      <c r="P249">
        <v>0</v>
      </c>
      <c r="Q249" t="s">
        <v>71</v>
      </c>
      <c r="R249">
        <v>0</v>
      </c>
      <c r="S249" t="s">
        <v>71</v>
      </c>
      <c r="T249">
        <v>0</v>
      </c>
      <c r="U249" t="s">
        <v>71</v>
      </c>
      <c r="V249">
        <v>0</v>
      </c>
      <c r="W249" t="s">
        <v>71</v>
      </c>
      <c r="X249">
        <v>0</v>
      </c>
      <c r="Y249">
        <v>0.36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44</v>
      </c>
      <c r="AF249">
        <v>59</v>
      </c>
      <c r="AG249">
        <v>35</v>
      </c>
      <c r="AH249">
        <v>0</v>
      </c>
      <c r="AI249">
        <v>3.1E-2</v>
      </c>
      <c r="AK249" t="s">
        <v>100</v>
      </c>
      <c r="AL249" t="s">
        <v>1044</v>
      </c>
      <c r="AM249">
        <v>200000</v>
      </c>
      <c r="AN249" t="s">
        <v>97</v>
      </c>
      <c r="AO249">
        <v>1</v>
      </c>
      <c r="AP249">
        <v>0</v>
      </c>
      <c r="AQ249">
        <v>16666.666666666668</v>
      </c>
      <c r="AR249" t="s">
        <v>1045</v>
      </c>
      <c r="AS249" t="s">
        <v>75</v>
      </c>
      <c r="AX249" t="s">
        <v>76</v>
      </c>
      <c r="AY249" t="s">
        <v>71</v>
      </c>
      <c r="AZ249">
        <v>0</v>
      </c>
      <c r="BA249" t="s">
        <v>71</v>
      </c>
      <c r="BB249">
        <v>0</v>
      </c>
      <c r="BD249">
        <v>0.36</v>
      </c>
    </row>
    <row r="250" spans="1:56" x14ac:dyDescent="0.15">
      <c r="A250" s="4" t="str">
        <f>HYPERLINK("https://ibp.a2mac1.com/costing(costing:projects/details/9760/part/8411272)","Right on Axle (if Different)")</f>
        <v>Right on Axle (if Different)</v>
      </c>
      <c r="B250">
        <v>8411272</v>
      </c>
      <c r="C250">
        <v>8411198</v>
      </c>
      <c r="D250" t="s">
        <v>1043</v>
      </c>
      <c r="E250">
        <v>0.36</v>
      </c>
      <c r="F250">
        <v>0</v>
      </c>
      <c r="G250">
        <v>0</v>
      </c>
      <c r="H250">
        <v>0</v>
      </c>
      <c r="I250" t="s">
        <v>71</v>
      </c>
      <c r="J250">
        <v>0</v>
      </c>
      <c r="K250">
        <v>0.36</v>
      </c>
      <c r="L250">
        <v>0</v>
      </c>
      <c r="M250">
        <v>0</v>
      </c>
      <c r="N250">
        <v>0.36</v>
      </c>
      <c r="O250" t="s">
        <v>71</v>
      </c>
      <c r="P250">
        <v>0</v>
      </c>
      <c r="Q250" t="s">
        <v>71</v>
      </c>
      <c r="R250">
        <v>0</v>
      </c>
      <c r="S250" t="s">
        <v>71</v>
      </c>
      <c r="T250">
        <v>0</v>
      </c>
      <c r="U250" t="s">
        <v>71</v>
      </c>
      <c r="V250">
        <v>0</v>
      </c>
      <c r="W250" t="s">
        <v>71</v>
      </c>
      <c r="X250">
        <v>0</v>
      </c>
      <c r="Y250">
        <v>0.36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44</v>
      </c>
      <c r="AF250">
        <v>59</v>
      </c>
      <c r="AG250">
        <v>35</v>
      </c>
      <c r="AH250">
        <v>0</v>
      </c>
      <c r="AI250">
        <v>3.1E-2</v>
      </c>
      <c r="AK250" t="s">
        <v>100</v>
      </c>
      <c r="AL250" t="s">
        <v>1044</v>
      </c>
      <c r="AM250">
        <v>200000</v>
      </c>
      <c r="AN250" t="s">
        <v>97</v>
      </c>
      <c r="AO250">
        <v>1</v>
      </c>
      <c r="AP250">
        <v>0</v>
      </c>
      <c r="AQ250">
        <v>16666.666666666668</v>
      </c>
      <c r="AR250" t="s">
        <v>1046</v>
      </c>
      <c r="AS250" t="s">
        <v>75</v>
      </c>
      <c r="AX250" t="s">
        <v>76</v>
      </c>
      <c r="AY250" t="s">
        <v>71</v>
      </c>
      <c r="AZ250">
        <v>0</v>
      </c>
      <c r="BA250" t="s">
        <v>71</v>
      </c>
      <c r="BB250">
        <v>0</v>
      </c>
      <c r="BD250">
        <v>0.36</v>
      </c>
    </row>
    <row r="251" spans="1:56" x14ac:dyDescent="0.15">
      <c r="A251" s="4" t="str">
        <f>HYPERLINK("https://ibp.a2mac1.com/costing(costing:projects/details/9760/part/8411273)","2nd on Axle")</f>
        <v>2nd on Axle</v>
      </c>
      <c r="B251">
        <v>8411273</v>
      </c>
      <c r="C251">
        <v>8411198</v>
      </c>
      <c r="D251" t="s">
        <v>1043</v>
      </c>
      <c r="E251">
        <v>0.28999999999999998</v>
      </c>
      <c r="F251">
        <v>0</v>
      </c>
      <c r="G251">
        <v>0</v>
      </c>
      <c r="H251">
        <v>0</v>
      </c>
      <c r="I251" t="s">
        <v>71</v>
      </c>
      <c r="J251">
        <v>0</v>
      </c>
      <c r="K251">
        <v>0.28999999999999998</v>
      </c>
      <c r="L251">
        <v>0</v>
      </c>
      <c r="M251">
        <v>0</v>
      </c>
      <c r="N251">
        <v>0.28999999999999998</v>
      </c>
      <c r="O251" t="s">
        <v>71</v>
      </c>
      <c r="P251">
        <v>0</v>
      </c>
      <c r="Q251" t="s">
        <v>71</v>
      </c>
      <c r="R251">
        <v>0</v>
      </c>
      <c r="S251" t="s">
        <v>71</v>
      </c>
      <c r="T251">
        <v>0</v>
      </c>
      <c r="U251" t="s">
        <v>71</v>
      </c>
      <c r="V251">
        <v>0</v>
      </c>
      <c r="W251" t="s">
        <v>71</v>
      </c>
      <c r="X251">
        <v>0</v>
      </c>
      <c r="Y251">
        <v>0.28999999999999998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50</v>
      </c>
      <c r="AF251">
        <v>54</v>
      </c>
      <c r="AG251">
        <v>23</v>
      </c>
      <c r="AH251">
        <v>0</v>
      </c>
      <c r="AI251">
        <v>2.3E-2</v>
      </c>
      <c r="AK251" t="s">
        <v>100</v>
      </c>
      <c r="AL251" t="s">
        <v>1044</v>
      </c>
      <c r="AM251">
        <v>200000</v>
      </c>
      <c r="AN251" t="s">
        <v>97</v>
      </c>
      <c r="AO251">
        <v>1</v>
      </c>
      <c r="AP251">
        <v>0</v>
      </c>
      <c r="AQ251">
        <v>16666.666666666668</v>
      </c>
      <c r="AR251" t="s">
        <v>1047</v>
      </c>
      <c r="AS251" t="s">
        <v>75</v>
      </c>
      <c r="AX251" t="s">
        <v>76</v>
      </c>
      <c r="AY251" t="s">
        <v>71</v>
      </c>
      <c r="AZ251">
        <v>0</v>
      </c>
      <c r="BA251" t="s">
        <v>71</v>
      </c>
      <c r="BB251">
        <v>0</v>
      </c>
      <c r="BD251">
        <v>0.28999999999999998</v>
      </c>
    </row>
    <row r="252" spans="1:56" x14ac:dyDescent="0.15">
      <c r="A252" s="4" t="str">
        <f>HYPERLINK("https://ibp.a2mac1.com/costing(costing:projects/details/9760/part/8411274)","2nd Right on Axle (if Different)")</f>
        <v>2nd Right on Axle (if Different)</v>
      </c>
      <c r="B252">
        <v>8411274</v>
      </c>
      <c r="C252">
        <v>8411198</v>
      </c>
      <c r="D252" t="s">
        <v>1043</v>
      </c>
      <c r="E252">
        <v>0.28999999999999998</v>
      </c>
      <c r="F252">
        <v>0</v>
      </c>
      <c r="G252">
        <v>0</v>
      </c>
      <c r="H252">
        <v>0</v>
      </c>
      <c r="I252" t="s">
        <v>71</v>
      </c>
      <c r="J252">
        <v>0</v>
      </c>
      <c r="K252">
        <v>0.28999999999999998</v>
      </c>
      <c r="L252">
        <v>0</v>
      </c>
      <c r="M252">
        <v>0</v>
      </c>
      <c r="N252">
        <v>0.28999999999999998</v>
      </c>
      <c r="O252" t="s">
        <v>71</v>
      </c>
      <c r="P252">
        <v>0</v>
      </c>
      <c r="Q252" t="s">
        <v>71</v>
      </c>
      <c r="R252">
        <v>0</v>
      </c>
      <c r="S252" t="s">
        <v>71</v>
      </c>
      <c r="T252">
        <v>0</v>
      </c>
      <c r="U252" t="s">
        <v>71</v>
      </c>
      <c r="V252">
        <v>0</v>
      </c>
      <c r="W252" t="s">
        <v>71</v>
      </c>
      <c r="X252">
        <v>0</v>
      </c>
      <c r="Y252">
        <v>0.28999999999999998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50</v>
      </c>
      <c r="AF252">
        <v>54</v>
      </c>
      <c r="AG252">
        <v>23</v>
      </c>
      <c r="AH252">
        <v>0</v>
      </c>
      <c r="AI252">
        <v>2.3E-2</v>
      </c>
      <c r="AK252" t="s">
        <v>100</v>
      </c>
      <c r="AL252" t="s">
        <v>1044</v>
      </c>
      <c r="AM252">
        <v>200000</v>
      </c>
      <c r="AN252" t="s">
        <v>97</v>
      </c>
      <c r="AO252">
        <v>1</v>
      </c>
      <c r="AP252">
        <v>0</v>
      </c>
      <c r="AQ252">
        <v>16666.666666666668</v>
      </c>
      <c r="AR252" t="s">
        <v>1048</v>
      </c>
      <c r="AS252" t="s">
        <v>75</v>
      </c>
      <c r="AX252" t="s">
        <v>76</v>
      </c>
      <c r="AY252" t="s">
        <v>71</v>
      </c>
      <c r="AZ252">
        <v>0</v>
      </c>
      <c r="BA252" t="s">
        <v>71</v>
      </c>
      <c r="BB252">
        <v>0</v>
      </c>
      <c r="BD252">
        <v>0.28999999999999998</v>
      </c>
    </row>
    <row r="253" spans="1:56" x14ac:dyDescent="0.15">
      <c r="A253" s="4" t="str">
        <f>HYPERLINK("https://ibp.a2mac1.com/costing(costing:projects/details/9760/part/8411191)","Hose")</f>
        <v>Hose</v>
      </c>
      <c r="B253">
        <v>8411191</v>
      </c>
      <c r="C253">
        <v>8411135</v>
      </c>
      <c r="D253" t="s">
        <v>1050</v>
      </c>
      <c r="E253">
        <v>2.4700000000000002</v>
      </c>
      <c r="F253">
        <v>0</v>
      </c>
      <c r="G253">
        <v>0</v>
      </c>
      <c r="H253">
        <v>0</v>
      </c>
      <c r="I253" t="s">
        <v>71</v>
      </c>
      <c r="J253">
        <v>0</v>
      </c>
      <c r="K253">
        <v>2.4700000000000002</v>
      </c>
      <c r="L253">
        <v>0</v>
      </c>
      <c r="M253">
        <v>0</v>
      </c>
      <c r="N253">
        <v>2.4700000000000002</v>
      </c>
      <c r="O253" t="s">
        <v>71</v>
      </c>
      <c r="P253">
        <v>0</v>
      </c>
      <c r="Q253" t="s">
        <v>71</v>
      </c>
      <c r="R253">
        <v>0</v>
      </c>
      <c r="S253" t="s">
        <v>71</v>
      </c>
      <c r="T253">
        <v>0</v>
      </c>
      <c r="U253" t="s">
        <v>71</v>
      </c>
      <c r="V253">
        <v>0</v>
      </c>
      <c r="W253" t="s">
        <v>71</v>
      </c>
      <c r="X253">
        <v>0</v>
      </c>
      <c r="Y253">
        <v>2.4700000000000002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0.19900000000000001</v>
      </c>
      <c r="AK253" t="s">
        <v>100</v>
      </c>
      <c r="AL253" t="s">
        <v>1051</v>
      </c>
      <c r="AM253">
        <v>200000</v>
      </c>
      <c r="AN253" t="s">
        <v>97</v>
      </c>
      <c r="AO253">
        <v>1</v>
      </c>
      <c r="AP253">
        <v>0</v>
      </c>
      <c r="AQ253">
        <v>16666.666666666668</v>
      </c>
      <c r="AR253" t="s">
        <v>1052</v>
      </c>
      <c r="AS253" t="s">
        <v>75</v>
      </c>
      <c r="AX253" t="s">
        <v>76</v>
      </c>
      <c r="AY253" t="s">
        <v>71</v>
      </c>
      <c r="AZ253">
        <v>0</v>
      </c>
      <c r="BA253" t="s">
        <v>71</v>
      </c>
      <c r="BB253">
        <v>0</v>
      </c>
      <c r="BD253">
        <v>2.4700000000000002</v>
      </c>
    </row>
    <row r="254" spans="1:56" x14ac:dyDescent="0.15">
      <c r="A254" s="4" t="str">
        <f>HYPERLINK("https://ibp.a2mac1.com/costing(costing:projects/details/9760/part/8411192)","2nd Hose")</f>
        <v>2nd Hose</v>
      </c>
      <c r="B254">
        <v>8411192</v>
      </c>
      <c r="C254">
        <v>8411135</v>
      </c>
      <c r="D254" t="s">
        <v>1050</v>
      </c>
      <c r="E254">
        <v>2.4700000000000002</v>
      </c>
      <c r="F254">
        <v>0</v>
      </c>
      <c r="G254">
        <v>0</v>
      </c>
      <c r="H254">
        <v>0</v>
      </c>
      <c r="I254" t="s">
        <v>71</v>
      </c>
      <c r="J254">
        <v>0</v>
      </c>
      <c r="K254">
        <v>2.4700000000000002</v>
      </c>
      <c r="L254">
        <v>0</v>
      </c>
      <c r="M254">
        <v>0</v>
      </c>
      <c r="N254">
        <v>2.4700000000000002</v>
      </c>
      <c r="O254" t="s">
        <v>71</v>
      </c>
      <c r="P254">
        <v>0</v>
      </c>
      <c r="Q254" t="s">
        <v>71</v>
      </c>
      <c r="R254">
        <v>0</v>
      </c>
      <c r="S254" t="s">
        <v>71</v>
      </c>
      <c r="T254">
        <v>0</v>
      </c>
      <c r="U254" t="s">
        <v>71</v>
      </c>
      <c r="V254">
        <v>0</v>
      </c>
      <c r="W254" t="s">
        <v>71</v>
      </c>
      <c r="X254">
        <v>0</v>
      </c>
      <c r="Y254">
        <v>2.4700000000000002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0.2</v>
      </c>
      <c r="AK254" t="s">
        <v>100</v>
      </c>
      <c r="AL254" t="s">
        <v>1051</v>
      </c>
      <c r="AM254">
        <v>200000</v>
      </c>
      <c r="AN254" t="s">
        <v>97</v>
      </c>
      <c r="AO254">
        <v>1</v>
      </c>
      <c r="AP254">
        <v>0</v>
      </c>
      <c r="AQ254">
        <v>16666.666666666668</v>
      </c>
      <c r="AR254" t="s">
        <v>1053</v>
      </c>
      <c r="AS254" t="s">
        <v>75</v>
      </c>
      <c r="AX254" t="s">
        <v>76</v>
      </c>
      <c r="AY254" t="s">
        <v>71</v>
      </c>
      <c r="AZ254">
        <v>0</v>
      </c>
      <c r="BA254" t="s">
        <v>71</v>
      </c>
      <c r="BB254">
        <v>0</v>
      </c>
      <c r="BD254">
        <v>2.4700000000000002</v>
      </c>
    </row>
    <row r="255" spans="1:56" x14ac:dyDescent="0.15">
      <c r="A255" s="4" t="str">
        <f>HYPERLINK("https://ibp.a2mac1.com/costing(costing:projects/details/9760/part/8411193)","ABS Sensor")</f>
        <v>ABS Sensor</v>
      </c>
      <c r="B255">
        <v>8411193</v>
      </c>
      <c r="C255">
        <v>8411135</v>
      </c>
      <c r="E255">
        <v>6.4</v>
      </c>
      <c r="F255">
        <v>0</v>
      </c>
      <c r="G255">
        <v>0</v>
      </c>
      <c r="H255">
        <v>0</v>
      </c>
      <c r="I255" t="s">
        <v>71</v>
      </c>
      <c r="J255">
        <v>0</v>
      </c>
      <c r="K255">
        <v>6.4</v>
      </c>
      <c r="L255">
        <v>0</v>
      </c>
      <c r="M255">
        <v>0</v>
      </c>
      <c r="N255">
        <v>6.4</v>
      </c>
      <c r="O255" t="s">
        <v>71</v>
      </c>
      <c r="P255">
        <v>0</v>
      </c>
      <c r="Q255" t="s">
        <v>71</v>
      </c>
      <c r="R255">
        <v>0</v>
      </c>
      <c r="S255" t="s">
        <v>71</v>
      </c>
      <c r="T255">
        <v>0</v>
      </c>
      <c r="U255" t="s">
        <v>71</v>
      </c>
      <c r="V255">
        <v>0</v>
      </c>
      <c r="W255" t="s">
        <v>71</v>
      </c>
      <c r="X255">
        <v>0</v>
      </c>
      <c r="Y255">
        <v>6.4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20</v>
      </c>
      <c r="AF255">
        <v>37</v>
      </c>
      <c r="AG255">
        <v>64</v>
      </c>
      <c r="AH255">
        <v>0</v>
      </c>
      <c r="AI255">
        <v>8.5000000000000006E-3</v>
      </c>
      <c r="AK255" t="s">
        <v>95</v>
      </c>
      <c r="AM255">
        <v>400000</v>
      </c>
      <c r="AN255" t="s">
        <v>97</v>
      </c>
      <c r="AO255">
        <v>2</v>
      </c>
      <c r="AP255">
        <v>0</v>
      </c>
      <c r="AQ255">
        <v>33333.333333333336</v>
      </c>
      <c r="AR255" t="s">
        <v>1054</v>
      </c>
      <c r="AS255" t="s">
        <v>75</v>
      </c>
      <c r="AX255" t="s">
        <v>76</v>
      </c>
      <c r="AY255" t="s">
        <v>71</v>
      </c>
      <c r="AZ255">
        <v>0</v>
      </c>
      <c r="BA255" t="s">
        <v>71</v>
      </c>
      <c r="BB255">
        <v>0</v>
      </c>
      <c r="BD255">
        <v>3.2</v>
      </c>
    </row>
    <row r="256" spans="1:56" x14ac:dyDescent="0.15">
      <c r="A256" s="4" t="str">
        <f>HYPERLINK("https://ibp.a2mac1.com/costing(costing:projects/details/9760/part/8411194)","Brake air cooling duct")</f>
        <v>Brake air cooling duct</v>
      </c>
      <c r="B256">
        <v>8411194</v>
      </c>
      <c r="C256">
        <v>8411135</v>
      </c>
      <c r="E256">
        <v>2.2000000000000002</v>
      </c>
      <c r="F256">
        <v>0</v>
      </c>
      <c r="G256">
        <v>0</v>
      </c>
      <c r="H256">
        <v>0</v>
      </c>
      <c r="I256" t="s">
        <v>71</v>
      </c>
      <c r="J256">
        <v>0</v>
      </c>
      <c r="K256">
        <v>2.2000000000000002</v>
      </c>
      <c r="L256">
        <v>0</v>
      </c>
      <c r="M256">
        <v>0</v>
      </c>
      <c r="N256">
        <v>2.2000000000000002</v>
      </c>
      <c r="O256" t="s">
        <v>71</v>
      </c>
      <c r="P256">
        <v>0</v>
      </c>
      <c r="Q256" t="s">
        <v>71</v>
      </c>
      <c r="R256">
        <v>0</v>
      </c>
      <c r="S256" t="s">
        <v>71</v>
      </c>
      <c r="T256">
        <v>0</v>
      </c>
      <c r="U256" t="s">
        <v>71</v>
      </c>
      <c r="V256">
        <v>0</v>
      </c>
      <c r="W256" t="s">
        <v>71</v>
      </c>
      <c r="X256">
        <v>0</v>
      </c>
      <c r="Y256">
        <v>2.2000000000000002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43</v>
      </c>
      <c r="AF256">
        <v>296</v>
      </c>
      <c r="AG256">
        <v>435</v>
      </c>
      <c r="AH256">
        <v>0</v>
      </c>
      <c r="AI256">
        <v>0.28749999999999998</v>
      </c>
      <c r="AK256" t="s">
        <v>100</v>
      </c>
      <c r="AL256" t="s">
        <v>1055</v>
      </c>
      <c r="AM256">
        <v>400000</v>
      </c>
      <c r="AN256" t="s">
        <v>97</v>
      </c>
      <c r="AO256">
        <v>2</v>
      </c>
      <c r="AP256">
        <v>0</v>
      </c>
      <c r="AQ256">
        <v>33333.333333333336</v>
      </c>
      <c r="AR256" t="s">
        <v>1056</v>
      </c>
      <c r="AS256" t="s">
        <v>75</v>
      </c>
      <c r="AX256" t="s">
        <v>76</v>
      </c>
      <c r="AY256" t="s">
        <v>71</v>
      </c>
      <c r="AZ256">
        <v>0</v>
      </c>
      <c r="BA256" t="s">
        <v>71</v>
      </c>
      <c r="BB256">
        <v>0</v>
      </c>
      <c r="BD256">
        <v>1.1000000000000001</v>
      </c>
    </row>
    <row r="257" spans="1:56" x14ac:dyDescent="0.15">
      <c r="A257" s="4" t="str">
        <f>HYPERLINK("https://ibp.a2mac1.com/costing(costing:projects/details/9760/part/8411419)","Interior")</f>
        <v>Interior</v>
      </c>
      <c r="B257">
        <v>8411419</v>
      </c>
      <c r="C257">
        <v>8411413</v>
      </c>
      <c r="D257" t="s">
        <v>1013</v>
      </c>
      <c r="E257">
        <v>3.86</v>
      </c>
      <c r="F257">
        <v>0</v>
      </c>
      <c r="G257">
        <v>0</v>
      </c>
      <c r="H257">
        <v>0</v>
      </c>
      <c r="I257" t="s">
        <v>71</v>
      </c>
      <c r="J257">
        <v>0</v>
      </c>
      <c r="K257">
        <v>3.86</v>
      </c>
      <c r="L257">
        <v>0</v>
      </c>
      <c r="M257">
        <v>0</v>
      </c>
      <c r="N257">
        <v>3.86</v>
      </c>
      <c r="O257" t="s">
        <v>71</v>
      </c>
      <c r="P257">
        <v>0</v>
      </c>
      <c r="Q257" t="s">
        <v>71</v>
      </c>
      <c r="R257">
        <v>0</v>
      </c>
      <c r="S257" t="s">
        <v>71</v>
      </c>
      <c r="T257">
        <v>0</v>
      </c>
      <c r="U257" t="s">
        <v>71</v>
      </c>
      <c r="V257">
        <v>0</v>
      </c>
      <c r="W257" t="s">
        <v>71</v>
      </c>
      <c r="X257">
        <v>0</v>
      </c>
      <c r="Y257">
        <v>3.86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17</v>
      </c>
      <c r="AF257">
        <v>137</v>
      </c>
      <c r="AG257">
        <v>59</v>
      </c>
      <c r="AH257">
        <v>0</v>
      </c>
      <c r="AI257">
        <v>0.35749999999999998</v>
      </c>
      <c r="AK257" t="s">
        <v>95</v>
      </c>
      <c r="AM257">
        <v>200000</v>
      </c>
      <c r="AN257" t="s">
        <v>97</v>
      </c>
      <c r="AO257">
        <v>1</v>
      </c>
      <c r="AP257">
        <v>0</v>
      </c>
      <c r="AQ257">
        <v>16666.666666666668</v>
      </c>
      <c r="AR257" t="s">
        <v>1063</v>
      </c>
      <c r="AS257" t="s">
        <v>75</v>
      </c>
      <c r="AX257" t="s">
        <v>76</v>
      </c>
      <c r="AY257" t="s">
        <v>71</v>
      </c>
      <c r="AZ257">
        <v>0</v>
      </c>
      <c r="BA257" t="s">
        <v>71</v>
      </c>
      <c r="BB257">
        <v>0</v>
      </c>
      <c r="BD257">
        <v>3.86</v>
      </c>
    </row>
    <row r="258" spans="1:56" x14ac:dyDescent="0.15">
      <c r="A258" s="4" t="str">
        <f>HYPERLINK("https://ibp.a2mac1.com/costing(costing:projects/details/9760/part/8411420)","Exterior")</f>
        <v>Exterior</v>
      </c>
      <c r="B258">
        <v>8411420</v>
      </c>
      <c r="C258">
        <v>8411413</v>
      </c>
      <c r="D258" t="s">
        <v>1013</v>
      </c>
      <c r="E258">
        <v>3.86</v>
      </c>
      <c r="F258">
        <v>0</v>
      </c>
      <c r="G258">
        <v>0</v>
      </c>
      <c r="H258">
        <v>0</v>
      </c>
      <c r="I258" t="s">
        <v>71</v>
      </c>
      <c r="J258">
        <v>0</v>
      </c>
      <c r="K258">
        <v>3.86</v>
      </c>
      <c r="L258">
        <v>0</v>
      </c>
      <c r="M258">
        <v>0</v>
      </c>
      <c r="N258">
        <v>3.86</v>
      </c>
      <c r="O258" t="s">
        <v>71</v>
      </c>
      <c r="P258">
        <v>0</v>
      </c>
      <c r="Q258" t="s">
        <v>71</v>
      </c>
      <c r="R258">
        <v>0</v>
      </c>
      <c r="S258" t="s">
        <v>71</v>
      </c>
      <c r="T258">
        <v>0</v>
      </c>
      <c r="U258" t="s">
        <v>71</v>
      </c>
      <c r="V258">
        <v>0</v>
      </c>
      <c r="W258" t="s">
        <v>71</v>
      </c>
      <c r="X258">
        <v>0</v>
      </c>
      <c r="Y258">
        <v>3.86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17</v>
      </c>
      <c r="AF258">
        <v>137</v>
      </c>
      <c r="AG258">
        <v>59</v>
      </c>
      <c r="AH258">
        <v>0</v>
      </c>
      <c r="AI258">
        <v>0.35349999999999998</v>
      </c>
      <c r="AK258" t="s">
        <v>95</v>
      </c>
      <c r="AM258">
        <v>200000</v>
      </c>
      <c r="AN258" t="s">
        <v>97</v>
      </c>
      <c r="AO258">
        <v>1</v>
      </c>
      <c r="AP258">
        <v>0</v>
      </c>
      <c r="AQ258">
        <v>16666.666666666668</v>
      </c>
      <c r="AR258" t="s">
        <v>1064</v>
      </c>
      <c r="AS258" t="s">
        <v>75</v>
      </c>
      <c r="AX258" t="s">
        <v>76</v>
      </c>
      <c r="AY258" t="s">
        <v>71</v>
      </c>
      <c r="AZ258">
        <v>0</v>
      </c>
      <c r="BA258" t="s">
        <v>71</v>
      </c>
      <c r="BB258">
        <v>0</v>
      </c>
      <c r="BD258">
        <v>3.86</v>
      </c>
    </row>
    <row r="259" spans="1:56" x14ac:dyDescent="0.15">
      <c r="A259" s="4" t="str">
        <f>HYPERLINK("https://ibp.a2mac1.com/costing(costing:projects/details/9760/part/8411411)","Actuator for park brake (Left if different)")</f>
        <v>Actuator for park brake (Left if different)</v>
      </c>
      <c r="B259">
        <v>8411411</v>
      </c>
      <c r="C259">
        <v>8411314</v>
      </c>
      <c r="E259">
        <v>6.4</v>
      </c>
      <c r="F259">
        <v>0</v>
      </c>
      <c r="G259">
        <v>0</v>
      </c>
      <c r="H259">
        <v>0</v>
      </c>
      <c r="I259" t="s">
        <v>71</v>
      </c>
      <c r="J259">
        <v>0</v>
      </c>
      <c r="K259">
        <v>6.4</v>
      </c>
      <c r="L259">
        <v>0</v>
      </c>
      <c r="M259">
        <v>0</v>
      </c>
      <c r="N259">
        <v>6.4</v>
      </c>
      <c r="O259" t="s">
        <v>71</v>
      </c>
      <c r="P259">
        <v>0</v>
      </c>
      <c r="Q259" t="s">
        <v>71</v>
      </c>
      <c r="R259">
        <v>0</v>
      </c>
      <c r="S259" t="s">
        <v>71</v>
      </c>
      <c r="T259">
        <v>0</v>
      </c>
      <c r="U259" t="s">
        <v>71</v>
      </c>
      <c r="V259">
        <v>0</v>
      </c>
      <c r="W259" t="s">
        <v>71</v>
      </c>
      <c r="X259">
        <v>0</v>
      </c>
      <c r="Y259">
        <v>6.4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90</v>
      </c>
      <c r="AF259">
        <v>93</v>
      </c>
      <c r="AG259">
        <v>135</v>
      </c>
      <c r="AH259">
        <v>0</v>
      </c>
      <c r="AI259">
        <v>0.53200000000000003</v>
      </c>
      <c r="AK259" t="s">
        <v>95</v>
      </c>
      <c r="AM259">
        <v>200000</v>
      </c>
      <c r="AN259" t="s">
        <v>97</v>
      </c>
      <c r="AO259">
        <v>1</v>
      </c>
      <c r="AP259">
        <v>0</v>
      </c>
      <c r="AQ259">
        <v>16666.666666666668</v>
      </c>
      <c r="AR259" t="s">
        <v>1066</v>
      </c>
      <c r="AS259" t="s">
        <v>75</v>
      </c>
      <c r="AX259" t="s">
        <v>76</v>
      </c>
      <c r="AY259" t="s">
        <v>71</v>
      </c>
      <c r="AZ259">
        <v>0</v>
      </c>
      <c r="BA259" t="s">
        <v>71</v>
      </c>
      <c r="BB259">
        <v>0</v>
      </c>
      <c r="BD259">
        <v>6.4</v>
      </c>
    </row>
    <row r="260" spans="1:56" x14ac:dyDescent="0.15">
      <c r="A260" s="4" t="str">
        <f>HYPERLINK("https://ibp.a2mac1.com/costing(costing:projects/details/9760/part/8411412)","Brake Caliper Left Assy")</f>
        <v>Brake Caliper Left Assy</v>
      </c>
      <c r="B260">
        <v>8411412</v>
      </c>
      <c r="C260">
        <v>8411314</v>
      </c>
      <c r="D260" t="s">
        <v>1070</v>
      </c>
      <c r="E260">
        <v>11.35</v>
      </c>
      <c r="F260">
        <v>0</v>
      </c>
      <c r="G260">
        <v>0</v>
      </c>
      <c r="H260">
        <v>2.2699999999999999E-4</v>
      </c>
      <c r="I260" t="s">
        <v>176</v>
      </c>
      <c r="J260">
        <v>0.39724999999999999</v>
      </c>
      <c r="K260">
        <v>11.747477</v>
      </c>
      <c r="L260">
        <v>0.52951472487793128</v>
      </c>
      <c r="M260">
        <v>3.1770883492675877</v>
      </c>
      <c r="N260">
        <v>14.924565349267587</v>
      </c>
      <c r="O260" t="s">
        <v>90</v>
      </c>
      <c r="P260">
        <v>0</v>
      </c>
      <c r="Q260" t="s">
        <v>90</v>
      </c>
      <c r="R260">
        <v>0</v>
      </c>
      <c r="S260" t="s">
        <v>90</v>
      </c>
      <c r="T260">
        <v>0</v>
      </c>
      <c r="U260" t="s">
        <v>90</v>
      </c>
      <c r="V260">
        <v>0</v>
      </c>
      <c r="W260" t="s">
        <v>90</v>
      </c>
      <c r="X260">
        <v>0</v>
      </c>
      <c r="Y260">
        <v>14.924565349267587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133</v>
      </c>
      <c r="AF260">
        <v>160</v>
      </c>
      <c r="AG260">
        <v>200</v>
      </c>
      <c r="AH260">
        <v>0</v>
      </c>
      <c r="AI260">
        <v>3.6640000000000001</v>
      </c>
      <c r="AK260" t="s">
        <v>483</v>
      </c>
      <c r="AL260" t="s">
        <v>1014</v>
      </c>
      <c r="AM260">
        <v>200000</v>
      </c>
      <c r="AN260" t="s">
        <v>73</v>
      </c>
      <c r="AO260">
        <v>1</v>
      </c>
      <c r="AP260">
        <v>0</v>
      </c>
      <c r="AQ260">
        <v>16666.666666666668</v>
      </c>
      <c r="AR260" t="s">
        <v>9</v>
      </c>
      <c r="AS260" t="s">
        <v>75</v>
      </c>
      <c r="AX260" t="s">
        <v>76</v>
      </c>
      <c r="AY260" t="s">
        <v>176</v>
      </c>
      <c r="AZ260">
        <v>0</v>
      </c>
      <c r="BA260" t="s">
        <v>176</v>
      </c>
      <c r="BB260">
        <v>0</v>
      </c>
    </row>
    <row r="261" spans="1:56" x14ac:dyDescent="0.15">
      <c r="A261" s="4" t="str">
        <f>HYPERLINK("https://ibp.a2mac1.com/costing(costing:projects/details/9760/part/8411414)","Caliper Protection")</f>
        <v>Caliper Protection</v>
      </c>
      <c r="B261">
        <v>8411414</v>
      </c>
      <c r="C261">
        <v>8411314</v>
      </c>
      <c r="D261" t="s">
        <v>1071</v>
      </c>
      <c r="E261">
        <v>1.31</v>
      </c>
      <c r="F261">
        <v>0</v>
      </c>
      <c r="G261">
        <v>0</v>
      </c>
      <c r="H261">
        <v>0</v>
      </c>
      <c r="I261" t="s">
        <v>71</v>
      </c>
      <c r="J261">
        <v>0</v>
      </c>
      <c r="K261">
        <v>1.31</v>
      </c>
      <c r="L261">
        <v>0</v>
      </c>
      <c r="M261">
        <v>0</v>
      </c>
      <c r="N261">
        <v>1.31</v>
      </c>
      <c r="O261" t="s">
        <v>71</v>
      </c>
      <c r="P261">
        <v>0</v>
      </c>
      <c r="Q261" t="s">
        <v>71</v>
      </c>
      <c r="R261">
        <v>0</v>
      </c>
      <c r="S261" t="s">
        <v>71</v>
      </c>
      <c r="T261">
        <v>0</v>
      </c>
      <c r="U261" t="s">
        <v>71</v>
      </c>
      <c r="V261">
        <v>0</v>
      </c>
      <c r="W261" t="s">
        <v>71</v>
      </c>
      <c r="X261">
        <v>0</v>
      </c>
      <c r="Y261">
        <v>1.31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26</v>
      </c>
      <c r="AF261">
        <v>55</v>
      </c>
      <c r="AG261">
        <v>130</v>
      </c>
      <c r="AH261">
        <v>0</v>
      </c>
      <c r="AI261">
        <v>6.4000000000000001E-2</v>
      </c>
      <c r="AK261" t="s">
        <v>272</v>
      </c>
      <c r="AL261" t="s">
        <v>1072</v>
      </c>
      <c r="AM261">
        <v>200000</v>
      </c>
      <c r="AN261" t="s">
        <v>73</v>
      </c>
      <c r="AO261">
        <v>1</v>
      </c>
      <c r="AP261">
        <v>0</v>
      </c>
      <c r="AQ261">
        <v>16666.666666666668</v>
      </c>
      <c r="AR261" t="s">
        <v>9</v>
      </c>
      <c r="AS261" t="s">
        <v>75</v>
      </c>
      <c r="AX261" t="s">
        <v>76</v>
      </c>
      <c r="AY261" t="s">
        <v>71</v>
      </c>
      <c r="AZ261">
        <v>0</v>
      </c>
      <c r="BA261" t="s">
        <v>71</v>
      </c>
      <c r="BB261">
        <v>0</v>
      </c>
      <c r="BD261">
        <v>1.31</v>
      </c>
    </row>
    <row r="262" spans="1:56" x14ac:dyDescent="0.15">
      <c r="A262" s="4" t="str">
        <f>HYPERLINK("https://ibp.a2mac1.com/costing(costing:projects/details/9760/part/8411421)","Interior")</f>
        <v>Interior</v>
      </c>
      <c r="B262">
        <v>8411421</v>
      </c>
      <c r="C262">
        <v>8411418</v>
      </c>
      <c r="D262" t="s">
        <v>1013</v>
      </c>
      <c r="E262">
        <v>3.86</v>
      </c>
      <c r="F262">
        <v>0</v>
      </c>
      <c r="G262">
        <v>0</v>
      </c>
      <c r="H262">
        <v>0</v>
      </c>
      <c r="I262" t="s">
        <v>71</v>
      </c>
      <c r="J262">
        <v>0</v>
      </c>
      <c r="K262">
        <v>3.86</v>
      </c>
      <c r="L262">
        <v>0</v>
      </c>
      <c r="M262">
        <v>0</v>
      </c>
      <c r="N262">
        <v>3.86</v>
      </c>
      <c r="O262" t="s">
        <v>71</v>
      </c>
      <c r="P262">
        <v>0</v>
      </c>
      <c r="Q262" t="s">
        <v>71</v>
      </c>
      <c r="R262">
        <v>0</v>
      </c>
      <c r="S262" t="s">
        <v>71</v>
      </c>
      <c r="T262">
        <v>0</v>
      </c>
      <c r="U262" t="s">
        <v>71</v>
      </c>
      <c r="V262">
        <v>0</v>
      </c>
      <c r="W262" t="s">
        <v>71</v>
      </c>
      <c r="X262">
        <v>0</v>
      </c>
      <c r="Y262">
        <v>3.86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17</v>
      </c>
      <c r="AF262">
        <v>137</v>
      </c>
      <c r="AG262">
        <v>59</v>
      </c>
      <c r="AH262">
        <v>0</v>
      </c>
      <c r="AI262">
        <v>0.35749999999999998</v>
      </c>
      <c r="AK262" t="s">
        <v>272</v>
      </c>
      <c r="AM262">
        <v>200000</v>
      </c>
      <c r="AN262" t="s">
        <v>73</v>
      </c>
      <c r="AO262">
        <v>1</v>
      </c>
      <c r="AP262">
        <v>0</v>
      </c>
      <c r="AQ262">
        <v>16666.666666666668</v>
      </c>
      <c r="AR262" t="s">
        <v>9</v>
      </c>
      <c r="AS262" t="s">
        <v>75</v>
      </c>
      <c r="AX262" t="s">
        <v>76</v>
      </c>
      <c r="AY262" t="s">
        <v>71</v>
      </c>
      <c r="AZ262">
        <v>0</v>
      </c>
      <c r="BA262" t="s">
        <v>71</v>
      </c>
      <c r="BB262">
        <v>0</v>
      </c>
      <c r="BD262">
        <v>3.86</v>
      </c>
    </row>
    <row r="263" spans="1:56" x14ac:dyDescent="0.15">
      <c r="A263" s="4" t="str">
        <f>HYPERLINK("https://ibp.a2mac1.com/costing(costing:projects/details/9760/part/8411422)","Exterior")</f>
        <v>Exterior</v>
      </c>
      <c r="B263">
        <v>8411422</v>
      </c>
      <c r="C263">
        <v>8411418</v>
      </c>
      <c r="D263" t="s">
        <v>1013</v>
      </c>
      <c r="E263">
        <v>3.86</v>
      </c>
      <c r="F263">
        <v>0</v>
      </c>
      <c r="G263">
        <v>0</v>
      </c>
      <c r="H263">
        <v>0</v>
      </c>
      <c r="I263" t="s">
        <v>71</v>
      </c>
      <c r="J263">
        <v>0</v>
      </c>
      <c r="K263">
        <v>3.86</v>
      </c>
      <c r="L263">
        <v>0</v>
      </c>
      <c r="M263">
        <v>0</v>
      </c>
      <c r="N263">
        <v>3.86</v>
      </c>
      <c r="O263" t="s">
        <v>71</v>
      </c>
      <c r="P263">
        <v>0</v>
      </c>
      <c r="Q263" t="s">
        <v>71</v>
      </c>
      <c r="R263">
        <v>0</v>
      </c>
      <c r="S263" t="s">
        <v>71</v>
      </c>
      <c r="T263">
        <v>0</v>
      </c>
      <c r="U263" t="s">
        <v>71</v>
      </c>
      <c r="V263">
        <v>0</v>
      </c>
      <c r="W263" t="s">
        <v>71</v>
      </c>
      <c r="X263">
        <v>0</v>
      </c>
      <c r="Y263">
        <v>3.86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17</v>
      </c>
      <c r="AF263">
        <v>137</v>
      </c>
      <c r="AG263">
        <v>59</v>
      </c>
      <c r="AH263">
        <v>0</v>
      </c>
      <c r="AI263">
        <v>0.35349999999999998</v>
      </c>
      <c r="AK263" t="s">
        <v>272</v>
      </c>
      <c r="AM263">
        <v>200000</v>
      </c>
      <c r="AN263" t="s">
        <v>73</v>
      </c>
      <c r="AO263">
        <v>1</v>
      </c>
      <c r="AP263">
        <v>0</v>
      </c>
      <c r="AQ263">
        <v>16666.666666666668</v>
      </c>
      <c r="AR263" t="s">
        <v>9</v>
      </c>
      <c r="AS263" t="s">
        <v>75</v>
      </c>
      <c r="AX263" t="s">
        <v>76</v>
      </c>
      <c r="AY263" t="s">
        <v>71</v>
      </c>
      <c r="AZ263">
        <v>0</v>
      </c>
      <c r="BA263" t="s">
        <v>71</v>
      </c>
      <c r="BB263">
        <v>0</v>
      </c>
      <c r="BD263">
        <v>3.86</v>
      </c>
    </row>
    <row r="264" spans="1:56" x14ac:dyDescent="0.15">
      <c r="A264" s="4" t="str">
        <f>HYPERLINK("https://ibp.a2mac1.com/costing(costing:projects/details/9760/part/8411415)","Right Actuator for park brake")</f>
        <v>Right Actuator for park brake</v>
      </c>
      <c r="B264">
        <v>8411415</v>
      </c>
      <c r="C264">
        <v>8411315</v>
      </c>
      <c r="E264">
        <v>6.4</v>
      </c>
      <c r="F264">
        <v>0</v>
      </c>
      <c r="G264">
        <v>0</v>
      </c>
      <c r="H264">
        <v>0</v>
      </c>
      <c r="I264" t="s">
        <v>71</v>
      </c>
      <c r="J264">
        <v>0</v>
      </c>
      <c r="K264">
        <v>6.4</v>
      </c>
      <c r="L264">
        <v>0</v>
      </c>
      <c r="M264">
        <v>0</v>
      </c>
      <c r="N264">
        <v>6.4</v>
      </c>
      <c r="O264" t="s">
        <v>71</v>
      </c>
      <c r="P264">
        <v>0</v>
      </c>
      <c r="Q264" t="s">
        <v>71</v>
      </c>
      <c r="R264">
        <v>0</v>
      </c>
      <c r="S264" t="s">
        <v>71</v>
      </c>
      <c r="T264">
        <v>0</v>
      </c>
      <c r="U264" t="s">
        <v>71</v>
      </c>
      <c r="V264">
        <v>0</v>
      </c>
      <c r="W264" t="s">
        <v>71</v>
      </c>
      <c r="X264">
        <v>0</v>
      </c>
      <c r="Y264">
        <v>6.4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90</v>
      </c>
      <c r="AF264">
        <v>93</v>
      </c>
      <c r="AG264">
        <v>135</v>
      </c>
      <c r="AH264">
        <v>0</v>
      </c>
      <c r="AI264">
        <v>0.53500000000000003</v>
      </c>
      <c r="AK264" t="s">
        <v>95</v>
      </c>
      <c r="AM264">
        <v>200000</v>
      </c>
      <c r="AN264" t="s">
        <v>97</v>
      </c>
      <c r="AO264">
        <v>1</v>
      </c>
      <c r="AP264">
        <v>0</v>
      </c>
      <c r="AQ264">
        <v>16666.666666666668</v>
      </c>
      <c r="AR264" t="s">
        <v>1077</v>
      </c>
      <c r="AS264" t="s">
        <v>75</v>
      </c>
      <c r="AX264" t="s">
        <v>76</v>
      </c>
      <c r="AY264" t="s">
        <v>71</v>
      </c>
      <c r="AZ264">
        <v>0</v>
      </c>
      <c r="BA264" t="s">
        <v>71</v>
      </c>
      <c r="BB264">
        <v>0</v>
      </c>
      <c r="BD264">
        <v>6.4</v>
      </c>
    </row>
    <row r="265" spans="1:56" x14ac:dyDescent="0.15">
      <c r="A265" s="4" t="str">
        <f>HYPERLINK("https://ibp.a2mac1.com/costing(costing:projects/details/9760/part/8411416)","Caliper Protection")</f>
        <v>Caliper Protection</v>
      </c>
      <c r="B265">
        <v>8411416</v>
      </c>
      <c r="C265">
        <v>8411315</v>
      </c>
      <c r="D265" t="s">
        <v>1071</v>
      </c>
      <c r="E265">
        <v>1.2649999999999999</v>
      </c>
      <c r="F265">
        <v>0</v>
      </c>
      <c r="G265">
        <v>0</v>
      </c>
      <c r="H265">
        <v>0</v>
      </c>
      <c r="I265" t="s">
        <v>71</v>
      </c>
      <c r="J265">
        <v>0</v>
      </c>
      <c r="K265">
        <v>1.2649999999999999</v>
      </c>
      <c r="L265">
        <v>0</v>
      </c>
      <c r="M265">
        <v>0</v>
      </c>
      <c r="N265">
        <v>1.2649999999999999</v>
      </c>
      <c r="O265" t="s">
        <v>71</v>
      </c>
      <c r="P265">
        <v>0</v>
      </c>
      <c r="Q265" t="s">
        <v>71</v>
      </c>
      <c r="R265">
        <v>0</v>
      </c>
      <c r="S265" t="s">
        <v>71</v>
      </c>
      <c r="T265">
        <v>0</v>
      </c>
      <c r="U265" t="s">
        <v>71</v>
      </c>
      <c r="V265">
        <v>0</v>
      </c>
      <c r="W265" t="s">
        <v>71</v>
      </c>
      <c r="X265">
        <v>0</v>
      </c>
      <c r="Y265">
        <v>1.2649999999999999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26</v>
      </c>
      <c r="AF265">
        <v>55</v>
      </c>
      <c r="AG265">
        <v>130</v>
      </c>
      <c r="AH265">
        <v>0</v>
      </c>
      <c r="AI265">
        <v>6.4000000000000001E-2</v>
      </c>
      <c r="AK265" t="s">
        <v>100</v>
      </c>
      <c r="AL265" t="s">
        <v>1072</v>
      </c>
      <c r="AM265">
        <v>200000</v>
      </c>
      <c r="AN265" t="s">
        <v>97</v>
      </c>
      <c r="AO265">
        <v>1</v>
      </c>
      <c r="AP265">
        <v>0</v>
      </c>
      <c r="AQ265">
        <v>16666.666666666668</v>
      </c>
      <c r="AR265" t="s">
        <v>1078</v>
      </c>
      <c r="AS265" t="s">
        <v>75</v>
      </c>
      <c r="AX265" t="s">
        <v>76</v>
      </c>
      <c r="AY265" t="s">
        <v>71</v>
      </c>
      <c r="AZ265">
        <v>0</v>
      </c>
      <c r="BA265" t="s">
        <v>71</v>
      </c>
      <c r="BB265">
        <v>0</v>
      </c>
      <c r="BD265">
        <v>1.2649999999999999</v>
      </c>
    </row>
    <row r="266" spans="1:56" x14ac:dyDescent="0.15">
      <c r="A266" s="4" t="str">
        <f>HYPERLINK("https://ibp.a2mac1.com/costing(costing:projects/details/9760/part/8411417)","Brake Caliper Right Assy")</f>
        <v>Brake Caliper Right Assy</v>
      </c>
      <c r="B266">
        <v>8411417</v>
      </c>
      <c r="C266">
        <v>8411315</v>
      </c>
      <c r="D266" t="s">
        <v>1070</v>
      </c>
      <c r="E266">
        <v>11.35</v>
      </c>
      <c r="F266">
        <v>0</v>
      </c>
      <c r="G266">
        <v>0</v>
      </c>
      <c r="H266">
        <v>2.2699999999999999E-4</v>
      </c>
      <c r="I266" t="s">
        <v>176</v>
      </c>
      <c r="J266">
        <v>0.39724999999999999</v>
      </c>
      <c r="K266">
        <v>11.747477</v>
      </c>
      <c r="L266">
        <v>0.52951472487793128</v>
      </c>
      <c r="M266">
        <v>3.1770883492675877</v>
      </c>
      <c r="N266">
        <v>14.924565349267587</v>
      </c>
      <c r="O266" t="s">
        <v>90</v>
      </c>
      <c r="P266">
        <v>0</v>
      </c>
      <c r="Q266" t="s">
        <v>90</v>
      </c>
      <c r="R266">
        <v>0</v>
      </c>
      <c r="S266" t="s">
        <v>90</v>
      </c>
      <c r="T266">
        <v>0</v>
      </c>
      <c r="U266" t="s">
        <v>90</v>
      </c>
      <c r="V266">
        <v>0</v>
      </c>
      <c r="W266" t="s">
        <v>90</v>
      </c>
      <c r="X266">
        <v>0</v>
      </c>
      <c r="Y266">
        <v>14.924565349267587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133</v>
      </c>
      <c r="AF266">
        <v>160</v>
      </c>
      <c r="AG266">
        <v>200</v>
      </c>
      <c r="AH266">
        <v>0</v>
      </c>
      <c r="AI266">
        <v>3.6539999999999999</v>
      </c>
      <c r="AK266" t="s">
        <v>483</v>
      </c>
      <c r="AL266" t="s">
        <v>1014</v>
      </c>
      <c r="AM266">
        <v>200000</v>
      </c>
      <c r="AN266" t="s">
        <v>73</v>
      </c>
      <c r="AO266">
        <v>1</v>
      </c>
      <c r="AP266">
        <v>0</v>
      </c>
      <c r="AQ266">
        <v>16666.666666666668</v>
      </c>
      <c r="AR266" t="s">
        <v>9</v>
      </c>
      <c r="AS266" t="s">
        <v>75</v>
      </c>
      <c r="AX266" t="s">
        <v>76</v>
      </c>
      <c r="AY266" t="s">
        <v>176</v>
      </c>
      <c r="AZ266">
        <v>0</v>
      </c>
      <c r="BA266" t="s">
        <v>176</v>
      </c>
      <c r="BB266">
        <v>0</v>
      </c>
    </row>
    <row r="267" spans="1:56" x14ac:dyDescent="0.15">
      <c r="A267" s="4" t="str">
        <f>HYPERLINK("https://ibp.a2mac1.com/costing(costing:projects/details/9760/part/8411275)","Disc")</f>
        <v>Disc</v>
      </c>
      <c r="B267">
        <v>8411275</v>
      </c>
      <c r="C267">
        <v>8411204</v>
      </c>
      <c r="D267" t="s">
        <v>1003</v>
      </c>
      <c r="E267">
        <v>14.51</v>
      </c>
      <c r="F267">
        <v>0</v>
      </c>
      <c r="G267">
        <v>0</v>
      </c>
      <c r="H267">
        <v>2.9020000000000001E-4</v>
      </c>
      <c r="I267" t="s">
        <v>176</v>
      </c>
      <c r="J267">
        <v>0.50785000000000002</v>
      </c>
      <c r="K267">
        <v>15.018140199999999</v>
      </c>
      <c r="L267">
        <v>2.2129386528701827</v>
      </c>
      <c r="M267">
        <v>13.277631917221095</v>
      </c>
      <c r="N267">
        <v>28.295772117221095</v>
      </c>
      <c r="O267" t="s">
        <v>177</v>
      </c>
      <c r="P267">
        <v>0.90108841200000001</v>
      </c>
      <c r="Q267" t="s">
        <v>177</v>
      </c>
      <c r="R267">
        <v>0.79665791503326566</v>
      </c>
      <c r="S267" t="s">
        <v>178</v>
      </c>
      <c r="T267">
        <v>3.3954926540665316</v>
      </c>
      <c r="U267" t="s">
        <v>90</v>
      </c>
      <c r="V267">
        <v>0</v>
      </c>
      <c r="W267" t="s">
        <v>90</v>
      </c>
      <c r="X267">
        <v>0</v>
      </c>
      <c r="Y267">
        <v>33.389011098320893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30</v>
      </c>
      <c r="AF267">
        <v>357</v>
      </c>
      <c r="AG267">
        <v>357</v>
      </c>
      <c r="AH267">
        <v>0</v>
      </c>
      <c r="AI267">
        <v>8.3800000000000008</v>
      </c>
      <c r="AK267" t="s">
        <v>100</v>
      </c>
      <c r="AL267" t="s">
        <v>1086</v>
      </c>
      <c r="AM267">
        <v>400000</v>
      </c>
      <c r="AN267" t="s">
        <v>97</v>
      </c>
      <c r="AO267">
        <v>2</v>
      </c>
      <c r="AP267">
        <v>0</v>
      </c>
      <c r="AQ267">
        <v>33333.333333333336</v>
      </c>
      <c r="AR267" t="s">
        <v>1087</v>
      </c>
      <c r="AS267" t="s">
        <v>75</v>
      </c>
      <c r="AX267" t="s">
        <v>76</v>
      </c>
      <c r="AY267" t="s">
        <v>176</v>
      </c>
      <c r="AZ267">
        <v>0</v>
      </c>
      <c r="BA267" t="s">
        <v>176</v>
      </c>
      <c r="BB267">
        <v>0</v>
      </c>
    </row>
    <row r="268" spans="1:56" x14ac:dyDescent="0.15">
      <c r="A268" s="4" t="str">
        <f>HYPERLINK("https://ibp.a2mac1.com/costing(costing:projects/details/9760/part/8411277)","Left Backing Plate")</f>
        <v>Left Backing Plate</v>
      </c>
      <c r="B268">
        <v>8411277</v>
      </c>
      <c r="C268">
        <v>8411205</v>
      </c>
      <c r="D268" t="s">
        <v>1090</v>
      </c>
      <c r="E268">
        <v>2.04</v>
      </c>
      <c r="F268">
        <v>0</v>
      </c>
      <c r="G268">
        <v>0</v>
      </c>
      <c r="H268">
        <v>0</v>
      </c>
      <c r="I268" t="s">
        <v>71</v>
      </c>
      <c r="J268">
        <v>0</v>
      </c>
      <c r="K268">
        <v>2.04</v>
      </c>
      <c r="L268">
        <v>0</v>
      </c>
      <c r="M268">
        <v>0</v>
      </c>
      <c r="N268">
        <v>2.04</v>
      </c>
      <c r="O268" t="s">
        <v>71</v>
      </c>
      <c r="P268">
        <v>0</v>
      </c>
      <c r="Q268" t="s">
        <v>71</v>
      </c>
      <c r="R268">
        <v>0</v>
      </c>
      <c r="S268" t="s">
        <v>71</v>
      </c>
      <c r="T268">
        <v>0</v>
      </c>
      <c r="U268" t="s">
        <v>71</v>
      </c>
      <c r="V268">
        <v>0</v>
      </c>
      <c r="W268" t="s">
        <v>71</v>
      </c>
      <c r="X268">
        <v>0</v>
      </c>
      <c r="Y268">
        <v>2.04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</v>
      </c>
      <c r="AF268">
        <v>354</v>
      </c>
      <c r="AG268">
        <v>395</v>
      </c>
      <c r="AH268">
        <v>0</v>
      </c>
      <c r="AI268">
        <v>0.21</v>
      </c>
      <c r="AK268" t="s">
        <v>100</v>
      </c>
      <c r="AL268" t="s">
        <v>1091</v>
      </c>
      <c r="AM268">
        <v>200000</v>
      </c>
      <c r="AN268" t="s">
        <v>97</v>
      </c>
      <c r="AO268">
        <v>1</v>
      </c>
      <c r="AP268">
        <v>0</v>
      </c>
      <c r="AQ268">
        <v>16666.666666666668</v>
      </c>
      <c r="AR268" t="s">
        <v>1092</v>
      </c>
      <c r="AS268" t="s">
        <v>75</v>
      </c>
      <c r="AX268" t="s">
        <v>76</v>
      </c>
      <c r="AY268" t="s">
        <v>71</v>
      </c>
      <c r="AZ268">
        <v>0</v>
      </c>
      <c r="BA268" t="s">
        <v>71</v>
      </c>
      <c r="BB268">
        <v>0</v>
      </c>
      <c r="BD268">
        <v>2.04</v>
      </c>
    </row>
    <row r="269" spans="1:56" x14ac:dyDescent="0.15">
      <c r="A269" s="4" t="str">
        <f>HYPERLINK("https://ibp.a2mac1.com/costing(costing:projects/details/9760/part/8411278)","Right Backing Plate")</f>
        <v>Right Backing Plate</v>
      </c>
      <c r="B269">
        <v>8411278</v>
      </c>
      <c r="C269">
        <v>8411205</v>
      </c>
      <c r="D269" t="s">
        <v>1090</v>
      </c>
      <c r="E269">
        <v>2.04</v>
      </c>
      <c r="F269">
        <v>0</v>
      </c>
      <c r="G269">
        <v>0</v>
      </c>
      <c r="H269">
        <v>0</v>
      </c>
      <c r="I269" t="s">
        <v>71</v>
      </c>
      <c r="J269">
        <v>0</v>
      </c>
      <c r="K269">
        <v>2.04</v>
      </c>
      <c r="L269">
        <v>0</v>
      </c>
      <c r="M269">
        <v>0</v>
      </c>
      <c r="N269">
        <v>2.04</v>
      </c>
      <c r="O269" t="s">
        <v>71</v>
      </c>
      <c r="P269">
        <v>0</v>
      </c>
      <c r="Q269" t="s">
        <v>71</v>
      </c>
      <c r="R269">
        <v>0</v>
      </c>
      <c r="S269" t="s">
        <v>71</v>
      </c>
      <c r="T269">
        <v>0</v>
      </c>
      <c r="U269" t="s">
        <v>71</v>
      </c>
      <c r="V269">
        <v>0</v>
      </c>
      <c r="W269" t="s">
        <v>71</v>
      </c>
      <c r="X269">
        <v>0</v>
      </c>
      <c r="Y269">
        <v>2.04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34</v>
      </c>
      <c r="AF269">
        <v>354</v>
      </c>
      <c r="AG269">
        <v>395</v>
      </c>
      <c r="AH269">
        <v>0</v>
      </c>
      <c r="AI269">
        <v>0.20899999999999999</v>
      </c>
      <c r="AK269" t="s">
        <v>100</v>
      </c>
      <c r="AL269" t="s">
        <v>1091</v>
      </c>
      <c r="AM269">
        <v>200000</v>
      </c>
      <c r="AN269" t="s">
        <v>97</v>
      </c>
      <c r="AO269">
        <v>1</v>
      </c>
      <c r="AP269">
        <v>0</v>
      </c>
      <c r="AQ269">
        <v>16666.666666666668</v>
      </c>
      <c r="AR269" t="s">
        <v>1093</v>
      </c>
      <c r="AS269" t="s">
        <v>75</v>
      </c>
      <c r="AX269" t="s">
        <v>76</v>
      </c>
      <c r="AY269" t="s">
        <v>71</v>
      </c>
      <c r="AZ269">
        <v>0</v>
      </c>
      <c r="BA269" t="s">
        <v>71</v>
      </c>
      <c r="BB269">
        <v>0</v>
      </c>
      <c r="BD269">
        <v>2.04</v>
      </c>
    </row>
    <row r="270" spans="1:56" x14ac:dyDescent="0.15">
      <c r="A270" s="4" t="str">
        <f>HYPERLINK("https://ibp.a2mac1.com/costing(costing:projects/details/9760/part/8411199)","Abs Sensor")</f>
        <v>Abs Sensor</v>
      </c>
      <c r="B270">
        <v>8411199</v>
      </c>
      <c r="C270">
        <v>8411136</v>
      </c>
      <c r="E270">
        <v>6.4</v>
      </c>
      <c r="F270">
        <v>0</v>
      </c>
      <c r="G270">
        <v>0</v>
      </c>
      <c r="H270">
        <v>0</v>
      </c>
      <c r="I270" t="s">
        <v>71</v>
      </c>
      <c r="J270">
        <v>0</v>
      </c>
      <c r="K270">
        <v>6.4</v>
      </c>
      <c r="L270">
        <v>0</v>
      </c>
      <c r="M270">
        <v>0</v>
      </c>
      <c r="N270">
        <v>6.4</v>
      </c>
      <c r="O270" t="s">
        <v>71</v>
      </c>
      <c r="P270">
        <v>0</v>
      </c>
      <c r="Q270" t="s">
        <v>71</v>
      </c>
      <c r="R270">
        <v>0</v>
      </c>
      <c r="S270" t="s">
        <v>71</v>
      </c>
      <c r="T270">
        <v>0</v>
      </c>
      <c r="U270" t="s">
        <v>71</v>
      </c>
      <c r="V270">
        <v>0</v>
      </c>
      <c r="W270" t="s">
        <v>71</v>
      </c>
      <c r="X270">
        <v>0</v>
      </c>
      <c r="Y270">
        <v>6.4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20</v>
      </c>
      <c r="AF270">
        <v>37</v>
      </c>
      <c r="AG270">
        <v>64</v>
      </c>
      <c r="AH270">
        <v>0</v>
      </c>
      <c r="AI270">
        <v>8.5000000000000006E-3</v>
      </c>
      <c r="AK270" t="s">
        <v>95</v>
      </c>
      <c r="AM270">
        <v>400000</v>
      </c>
      <c r="AN270" t="s">
        <v>97</v>
      </c>
      <c r="AO270">
        <v>2</v>
      </c>
      <c r="AP270">
        <v>0</v>
      </c>
      <c r="AQ270">
        <v>33333.333333333336</v>
      </c>
      <c r="AR270" t="s">
        <v>1095</v>
      </c>
      <c r="AS270" t="s">
        <v>75</v>
      </c>
      <c r="AX270" t="s">
        <v>76</v>
      </c>
      <c r="AY270" t="s">
        <v>71</v>
      </c>
      <c r="AZ270">
        <v>0</v>
      </c>
      <c r="BA270" t="s">
        <v>71</v>
      </c>
      <c r="BB270">
        <v>0</v>
      </c>
      <c r="BD270">
        <v>3.2</v>
      </c>
    </row>
    <row r="271" spans="1:56" x14ac:dyDescent="0.15">
      <c r="A271" s="4" t="str">
        <f>HYPERLINK("https://ibp.a2mac1.com/costing(costing:projects/details/9760/part/8411200)","Left Hoses")</f>
        <v>Left Hoses</v>
      </c>
      <c r="B271">
        <v>8411200</v>
      </c>
      <c r="C271">
        <v>8411136</v>
      </c>
      <c r="D271" t="s">
        <v>1096</v>
      </c>
      <c r="E271">
        <v>2.29</v>
      </c>
      <c r="F271">
        <v>0</v>
      </c>
      <c r="G271">
        <v>0</v>
      </c>
      <c r="H271">
        <v>0</v>
      </c>
      <c r="I271" t="s">
        <v>71</v>
      </c>
      <c r="J271">
        <v>0</v>
      </c>
      <c r="K271">
        <v>2.29</v>
      </c>
      <c r="L271">
        <v>0</v>
      </c>
      <c r="M271">
        <v>0</v>
      </c>
      <c r="N271">
        <v>2.29</v>
      </c>
      <c r="O271" t="s">
        <v>71</v>
      </c>
      <c r="P271">
        <v>0</v>
      </c>
      <c r="Q271" t="s">
        <v>71</v>
      </c>
      <c r="R271">
        <v>0</v>
      </c>
      <c r="S271" t="s">
        <v>71</v>
      </c>
      <c r="T271">
        <v>0</v>
      </c>
      <c r="U271" t="s">
        <v>71</v>
      </c>
      <c r="V271">
        <v>0</v>
      </c>
      <c r="W271" t="s">
        <v>71</v>
      </c>
      <c r="X271">
        <v>0</v>
      </c>
      <c r="Y271">
        <v>2.29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8.4000000000000005E-2</v>
      </c>
      <c r="AK271" t="s">
        <v>100</v>
      </c>
      <c r="AL271" t="s">
        <v>1097</v>
      </c>
      <c r="AM271">
        <v>200000</v>
      </c>
      <c r="AN271" t="s">
        <v>97</v>
      </c>
      <c r="AO271">
        <v>1</v>
      </c>
      <c r="AP271">
        <v>0</v>
      </c>
      <c r="AQ271">
        <v>16666.666666666668</v>
      </c>
      <c r="AR271" t="s">
        <v>1098</v>
      </c>
      <c r="AS271" t="s">
        <v>75</v>
      </c>
      <c r="AX271" t="s">
        <v>76</v>
      </c>
      <c r="AY271" t="s">
        <v>71</v>
      </c>
      <c r="AZ271">
        <v>0</v>
      </c>
      <c r="BA271" t="s">
        <v>71</v>
      </c>
      <c r="BB271">
        <v>0</v>
      </c>
      <c r="BD271">
        <v>2.29</v>
      </c>
    </row>
    <row r="272" spans="1:56" x14ac:dyDescent="0.15">
      <c r="A272" s="4" t="str">
        <f>HYPERLINK("https://ibp.a2mac1.com/costing(costing:projects/details/9760/part/8411201)","Right Hoses")</f>
        <v>Right Hoses</v>
      </c>
      <c r="B272">
        <v>8411201</v>
      </c>
      <c r="C272">
        <v>8411136</v>
      </c>
      <c r="D272" t="s">
        <v>1096</v>
      </c>
      <c r="E272">
        <v>2.29</v>
      </c>
      <c r="F272">
        <v>0</v>
      </c>
      <c r="G272">
        <v>0</v>
      </c>
      <c r="H272">
        <v>0</v>
      </c>
      <c r="I272" t="s">
        <v>71</v>
      </c>
      <c r="J272">
        <v>0</v>
      </c>
      <c r="K272">
        <v>2.29</v>
      </c>
      <c r="L272">
        <v>0</v>
      </c>
      <c r="M272">
        <v>0</v>
      </c>
      <c r="N272">
        <v>2.29</v>
      </c>
      <c r="O272" t="s">
        <v>71</v>
      </c>
      <c r="P272">
        <v>0</v>
      </c>
      <c r="Q272" t="s">
        <v>71</v>
      </c>
      <c r="R272">
        <v>0</v>
      </c>
      <c r="S272" t="s">
        <v>71</v>
      </c>
      <c r="T272">
        <v>0</v>
      </c>
      <c r="U272" t="s">
        <v>71</v>
      </c>
      <c r="V272">
        <v>0</v>
      </c>
      <c r="W272" t="s">
        <v>71</v>
      </c>
      <c r="X272">
        <v>0</v>
      </c>
      <c r="Y272">
        <v>2.29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8.4000000000000005E-2</v>
      </c>
      <c r="AK272" t="s">
        <v>100</v>
      </c>
      <c r="AL272" t="s">
        <v>1097</v>
      </c>
      <c r="AM272">
        <v>200000</v>
      </c>
      <c r="AN272" t="s">
        <v>97</v>
      </c>
      <c r="AO272">
        <v>1</v>
      </c>
      <c r="AP272">
        <v>0</v>
      </c>
      <c r="AQ272">
        <v>16666.666666666668</v>
      </c>
      <c r="AR272" t="s">
        <v>1099</v>
      </c>
      <c r="AS272" t="s">
        <v>75</v>
      </c>
      <c r="AX272" t="s">
        <v>76</v>
      </c>
      <c r="AY272" t="s">
        <v>71</v>
      </c>
      <c r="AZ272">
        <v>0</v>
      </c>
      <c r="BA272" t="s">
        <v>71</v>
      </c>
      <c r="BB272">
        <v>0</v>
      </c>
      <c r="BD272">
        <v>2.29</v>
      </c>
    </row>
    <row r="273" spans="1:56" x14ac:dyDescent="0.15">
      <c r="A273" s="4" t="str">
        <f>HYPERLINK("https://ibp.a2mac1.com/costing(costing:projects/details/9760/part/8411202)","Hose Support")</f>
        <v>Hose Support</v>
      </c>
      <c r="B273">
        <v>8411202</v>
      </c>
      <c r="C273">
        <v>8411136</v>
      </c>
      <c r="D273" t="s">
        <v>1043</v>
      </c>
      <c r="E273">
        <v>0.36</v>
      </c>
      <c r="F273">
        <v>0</v>
      </c>
      <c r="G273">
        <v>0</v>
      </c>
      <c r="H273">
        <v>0</v>
      </c>
      <c r="I273" t="s">
        <v>71</v>
      </c>
      <c r="J273">
        <v>0</v>
      </c>
      <c r="K273">
        <v>0.36</v>
      </c>
      <c r="L273">
        <v>0</v>
      </c>
      <c r="M273">
        <v>0</v>
      </c>
      <c r="N273">
        <v>0.36</v>
      </c>
      <c r="O273" t="s">
        <v>71</v>
      </c>
      <c r="P273">
        <v>0</v>
      </c>
      <c r="Q273" t="s">
        <v>71</v>
      </c>
      <c r="R273">
        <v>0</v>
      </c>
      <c r="S273" t="s">
        <v>71</v>
      </c>
      <c r="T273">
        <v>0</v>
      </c>
      <c r="U273" t="s">
        <v>71</v>
      </c>
      <c r="V273">
        <v>0</v>
      </c>
      <c r="W273" t="s">
        <v>71</v>
      </c>
      <c r="X273">
        <v>0</v>
      </c>
      <c r="Y273">
        <v>0.36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44</v>
      </c>
      <c r="AF273">
        <v>57</v>
      </c>
      <c r="AG273">
        <v>48</v>
      </c>
      <c r="AH273">
        <v>0</v>
      </c>
      <c r="AI273">
        <v>5.8000000000000003E-2</v>
      </c>
      <c r="AK273" t="s">
        <v>100</v>
      </c>
      <c r="AL273" t="s">
        <v>1072</v>
      </c>
      <c r="AM273">
        <v>200000</v>
      </c>
      <c r="AN273" t="s">
        <v>97</v>
      </c>
      <c r="AO273">
        <v>1</v>
      </c>
      <c r="AP273">
        <v>0</v>
      </c>
      <c r="AQ273">
        <v>16666.666666666668</v>
      </c>
      <c r="AR273" t="s">
        <v>1100</v>
      </c>
      <c r="AS273" t="s">
        <v>75</v>
      </c>
      <c r="AX273" t="s">
        <v>76</v>
      </c>
      <c r="AY273" t="s">
        <v>71</v>
      </c>
      <c r="AZ273">
        <v>0</v>
      </c>
      <c r="BA273" t="s">
        <v>71</v>
      </c>
      <c r="BB273">
        <v>0</v>
      </c>
      <c r="BD273">
        <v>0.36</v>
      </c>
    </row>
    <row r="274" spans="1:56" x14ac:dyDescent="0.15">
      <c r="A274" s="4" t="str">
        <f>HYPERLINK("https://ibp.a2mac1.com/costing(costing:projects/details/9760/part/8411203)","2nd Hose Support")</f>
        <v>2nd Hose Support</v>
      </c>
      <c r="B274">
        <v>8411203</v>
      </c>
      <c r="C274">
        <v>8411136</v>
      </c>
      <c r="D274" t="s">
        <v>1043</v>
      </c>
      <c r="E274">
        <v>0.36</v>
      </c>
      <c r="F274">
        <v>0</v>
      </c>
      <c r="G274">
        <v>0</v>
      </c>
      <c r="H274">
        <v>0</v>
      </c>
      <c r="I274" t="s">
        <v>71</v>
      </c>
      <c r="J274">
        <v>0</v>
      </c>
      <c r="K274">
        <v>0.36</v>
      </c>
      <c r="L274">
        <v>0</v>
      </c>
      <c r="M274">
        <v>0</v>
      </c>
      <c r="N274">
        <v>0.36</v>
      </c>
      <c r="O274" t="s">
        <v>71</v>
      </c>
      <c r="P274">
        <v>0</v>
      </c>
      <c r="Q274" t="s">
        <v>71</v>
      </c>
      <c r="R274">
        <v>0</v>
      </c>
      <c r="S274" t="s">
        <v>71</v>
      </c>
      <c r="T274">
        <v>0</v>
      </c>
      <c r="U274" t="s">
        <v>71</v>
      </c>
      <c r="V274">
        <v>0</v>
      </c>
      <c r="W274" t="s">
        <v>71</v>
      </c>
      <c r="X274">
        <v>0</v>
      </c>
      <c r="Y274">
        <v>0.36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44</v>
      </c>
      <c r="AF274">
        <v>57</v>
      </c>
      <c r="AG274">
        <v>48</v>
      </c>
      <c r="AH274">
        <v>0</v>
      </c>
      <c r="AI274">
        <v>5.8000000000000003E-2</v>
      </c>
      <c r="AK274" t="s">
        <v>100</v>
      </c>
      <c r="AL274" t="s">
        <v>1072</v>
      </c>
      <c r="AM274">
        <v>200000</v>
      </c>
      <c r="AN274" t="s">
        <v>97</v>
      </c>
      <c r="AO274">
        <v>1</v>
      </c>
      <c r="AP274">
        <v>0</v>
      </c>
      <c r="AQ274">
        <v>16666.666666666668</v>
      </c>
      <c r="AR274" t="s">
        <v>1101</v>
      </c>
      <c r="AS274" t="s">
        <v>75</v>
      </c>
      <c r="AX274" t="s">
        <v>76</v>
      </c>
      <c r="AY274" t="s">
        <v>71</v>
      </c>
      <c r="AZ274">
        <v>0</v>
      </c>
      <c r="BA274" t="s">
        <v>71</v>
      </c>
      <c r="BB274">
        <v>0</v>
      </c>
      <c r="BD274">
        <v>0.36</v>
      </c>
    </row>
    <row r="275" spans="1:56" x14ac:dyDescent="0.15">
      <c r="A275" s="4" t="str">
        <f>HYPERLINK("https://ibp.a2mac1.com/costing(costing:projects/details/9760/part/8411316)","Left")</f>
        <v>Left</v>
      </c>
      <c r="B275">
        <v>8411316</v>
      </c>
      <c r="C275">
        <v>8411208</v>
      </c>
      <c r="D275" t="s">
        <v>1107</v>
      </c>
      <c r="E275">
        <v>1.96485</v>
      </c>
      <c r="F275">
        <v>0</v>
      </c>
      <c r="G275">
        <v>0</v>
      </c>
      <c r="H275">
        <v>0</v>
      </c>
      <c r="I275" t="s">
        <v>71</v>
      </c>
      <c r="J275">
        <v>0</v>
      </c>
      <c r="K275">
        <v>1.96485</v>
      </c>
      <c r="L275">
        <v>0</v>
      </c>
      <c r="M275">
        <v>0</v>
      </c>
      <c r="N275">
        <v>1.96485</v>
      </c>
      <c r="O275" t="s">
        <v>71</v>
      </c>
      <c r="P275">
        <v>0</v>
      </c>
      <c r="Q275" t="s">
        <v>71</v>
      </c>
      <c r="R275">
        <v>0</v>
      </c>
      <c r="S275" t="s">
        <v>71</v>
      </c>
      <c r="T275">
        <v>0</v>
      </c>
      <c r="U275" t="s">
        <v>71</v>
      </c>
      <c r="V275">
        <v>0</v>
      </c>
      <c r="W275" t="s">
        <v>71</v>
      </c>
      <c r="X275">
        <v>0</v>
      </c>
      <c r="Y275">
        <v>1.96485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358</v>
      </c>
      <c r="AF275">
        <v>250</v>
      </c>
      <c r="AG275">
        <v>540</v>
      </c>
      <c r="AH275">
        <v>0</v>
      </c>
      <c r="AI275">
        <v>0.89500000000000002</v>
      </c>
      <c r="AK275" t="s">
        <v>1108</v>
      </c>
      <c r="AM275">
        <v>200000</v>
      </c>
      <c r="AN275" t="s">
        <v>73</v>
      </c>
      <c r="AO275">
        <v>1</v>
      </c>
      <c r="AP275">
        <v>0</v>
      </c>
      <c r="AQ275">
        <v>16666.666666666668</v>
      </c>
      <c r="AR275" t="s">
        <v>1109</v>
      </c>
      <c r="AS275" t="s">
        <v>75</v>
      </c>
      <c r="AX275" t="s">
        <v>76</v>
      </c>
      <c r="AY275" t="s">
        <v>71</v>
      </c>
      <c r="AZ275">
        <v>0</v>
      </c>
      <c r="BA275" t="s">
        <v>71</v>
      </c>
      <c r="BB275">
        <v>0</v>
      </c>
      <c r="BD275">
        <v>1.96485</v>
      </c>
    </row>
    <row r="276" spans="1:56" x14ac:dyDescent="0.15">
      <c r="A276" s="4" t="str">
        <f>HYPERLINK("https://ibp.a2mac1.com/costing(costing:projects/details/9760/part/8411317)","Upper Left")</f>
        <v>Upper Left</v>
      </c>
      <c r="B276">
        <v>8411317</v>
      </c>
      <c r="C276">
        <v>8411208</v>
      </c>
      <c r="D276" t="s">
        <v>1107</v>
      </c>
      <c r="E276">
        <v>0.81694999999999995</v>
      </c>
      <c r="F276">
        <v>0</v>
      </c>
      <c r="G276">
        <v>0</v>
      </c>
      <c r="H276">
        <v>0</v>
      </c>
      <c r="I276" t="s">
        <v>71</v>
      </c>
      <c r="J276">
        <v>0</v>
      </c>
      <c r="K276">
        <v>0.81694999999999995</v>
      </c>
      <c r="L276">
        <v>0</v>
      </c>
      <c r="M276">
        <v>0</v>
      </c>
      <c r="N276">
        <v>0.81694999999999995</v>
      </c>
      <c r="O276" t="s">
        <v>71</v>
      </c>
      <c r="P276">
        <v>0</v>
      </c>
      <c r="Q276" t="s">
        <v>71</v>
      </c>
      <c r="R276">
        <v>0</v>
      </c>
      <c r="S276" t="s">
        <v>71</v>
      </c>
      <c r="T276">
        <v>0</v>
      </c>
      <c r="U276" t="s">
        <v>71</v>
      </c>
      <c r="V276">
        <v>0</v>
      </c>
      <c r="W276" t="s">
        <v>71</v>
      </c>
      <c r="X276">
        <v>0</v>
      </c>
      <c r="Y276">
        <v>0.81694999999999995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264</v>
      </c>
      <c r="AF276">
        <v>255</v>
      </c>
      <c r="AG276">
        <v>180</v>
      </c>
      <c r="AH276">
        <v>0</v>
      </c>
      <c r="AI276">
        <v>0.34399999999999997</v>
      </c>
      <c r="AK276" t="s">
        <v>1108</v>
      </c>
      <c r="AM276">
        <v>200000</v>
      </c>
      <c r="AN276" t="s">
        <v>73</v>
      </c>
      <c r="AO276">
        <v>1</v>
      </c>
      <c r="AP276">
        <v>0</v>
      </c>
      <c r="AQ276">
        <v>16666.666666666668</v>
      </c>
      <c r="AR276" t="s">
        <v>1110</v>
      </c>
      <c r="AS276" t="s">
        <v>75</v>
      </c>
      <c r="AX276" t="s">
        <v>76</v>
      </c>
      <c r="AY276" t="s">
        <v>71</v>
      </c>
      <c r="AZ276">
        <v>0</v>
      </c>
      <c r="BA276" t="s">
        <v>71</v>
      </c>
      <c r="BB276">
        <v>0</v>
      </c>
      <c r="BD276">
        <v>0.81694999999999995</v>
      </c>
    </row>
    <row r="277" spans="1:56" x14ac:dyDescent="0.15">
      <c r="A277" s="4" t="str">
        <f>HYPERLINK("https://ibp.a2mac1.com/costing(costing:projects/details/9760/part/8411318)","Right")</f>
        <v>Right</v>
      </c>
      <c r="B277">
        <v>8411318</v>
      </c>
      <c r="C277">
        <v>8411208</v>
      </c>
      <c r="D277" t="s">
        <v>1107</v>
      </c>
      <c r="E277">
        <v>1.8089299999999999</v>
      </c>
      <c r="F277">
        <v>0</v>
      </c>
      <c r="G277">
        <v>0</v>
      </c>
      <c r="H277">
        <v>0</v>
      </c>
      <c r="I277" t="s">
        <v>71</v>
      </c>
      <c r="J277">
        <v>0</v>
      </c>
      <c r="K277">
        <v>1.8089299999999999</v>
      </c>
      <c r="L277">
        <v>0</v>
      </c>
      <c r="M277">
        <v>0</v>
      </c>
      <c r="N277">
        <v>1.8089299999999999</v>
      </c>
      <c r="O277" t="s">
        <v>71</v>
      </c>
      <c r="P277">
        <v>0</v>
      </c>
      <c r="Q277" t="s">
        <v>71</v>
      </c>
      <c r="R277">
        <v>0</v>
      </c>
      <c r="S277" t="s">
        <v>71</v>
      </c>
      <c r="T277">
        <v>0</v>
      </c>
      <c r="U277" t="s">
        <v>71</v>
      </c>
      <c r="V277">
        <v>0</v>
      </c>
      <c r="W277" t="s">
        <v>71</v>
      </c>
      <c r="X277">
        <v>0</v>
      </c>
      <c r="Y277">
        <v>1.8089299999999999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367</v>
      </c>
      <c r="AF277">
        <v>225</v>
      </c>
      <c r="AG277">
        <v>540</v>
      </c>
      <c r="AH277">
        <v>0</v>
      </c>
      <c r="AI277">
        <v>0.82</v>
      </c>
      <c r="AK277" t="s">
        <v>1108</v>
      </c>
      <c r="AM277">
        <v>200000</v>
      </c>
      <c r="AN277" t="s">
        <v>73</v>
      </c>
      <c r="AO277">
        <v>1</v>
      </c>
      <c r="AP277">
        <v>0</v>
      </c>
      <c r="AQ277">
        <v>16666.666666666668</v>
      </c>
      <c r="AR277" t="s">
        <v>1111</v>
      </c>
      <c r="AS277" t="s">
        <v>75</v>
      </c>
      <c r="AX277" t="s">
        <v>76</v>
      </c>
      <c r="AY277" t="s">
        <v>71</v>
      </c>
      <c r="AZ277">
        <v>0</v>
      </c>
      <c r="BA277" t="s">
        <v>71</v>
      </c>
      <c r="BB277">
        <v>0</v>
      </c>
      <c r="BD277">
        <v>1.8089299999999999</v>
      </c>
    </row>
    <row r="278" spans="1:56" x14ac:dyDescent="0.15">
      <c r="A278" s="4" t="str">
        <f>HYPERLINK("https://ibp.a2mac1.com/costing(costing:projects/details/9760/part/8411319)","Upper right")</f>
        <v>Upper right</v>
      </c>
      <c r="B278">
        <v>8411319</v>
      </c>
      <c r="C278">
        <v>8411208</v>
      </c>
      <c r="D278" t="s">
        <v>1107</v>
      </c>
      <c r="E278">
        <v>0.82950999999999997</v>
      </c>
      <c r="F278">
        <v>0</v>
      </c>
      <c r="G278">
        <v>0</v>
      </c>
      <c r="H278">
        <v>0</v>
      </c>
      <c r="I278" t="s">
        <v>71</v>
      </c>
      <c r="J278">
        <v>0</v>
      </c>
      <c r="K278">
        <v>0.82950999999999997</v>
      </c>
      <c r="L278">
        <v>0</v>
      </c>
      <c r="M278">
        <v>0</v>
      </c>
      <c r="N278">
        <v>0.82950999999999997</v>
      </c>
      <c r="O278" t="s">
        <v>71</v>
      </c>
      <c r="P278">
        <v>0</v>
      </c>
      <c r="Q278" t="s">
        <v>71</v>
      </c>
      <c r="R278">
        <v>0</v>
      </c>
      <c r="S278" t="s">
        <v>71</v>
      </c>
      <c r="T278">
        <v>0</v>
      </c>
      <c r="U278" t="s">
        <v>71</v>
      </c>
      <c r="V278">
        <v>0</v>
      </c>
      <c r="W278" t="s">
        <v>71</v>
      </c>
      <c r="X278">
        <v>0</v>
      </c>
      <c r="Y278">
        <v>0.82950999999999997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264</v>
      </c>
      <c r="AF278">
        <v>240</v>
      </c>
      <c r="AG278">
        <v>174</v>
      </c>
      <c r="AH278">
        <v>0</v>
      </c>
      <c r="AI278">
        <v>0.35</v>
      </c>
      <c r="AK278" t="s">
        <v>1108</v>
      </c>
      <c r="AM278">
        <v>200000</v>
      </c>
      <c r="AN278" t="s">
        <v>73</v>
      </c>
      <c r="AO278">
        <v>1</v>
      </c>
      <c r="AP278">
        <v>0</v>
      </c>
      <c r="AQ278">
        <v>16666.666666666668</v>
      </c>
      <c r="AR278" t="s">
        <v>1112</v>
      </c>
      <c r="AS278" t="s">
        <v>75</v>
      </c>
      <c r="AX278" t="s">
        <v>76</v>
      </c>
      <c r="AY278" t="s">
        <v>71</v>
      </c>
      <c r="AZ278">
        <v>0</v>
      </c>
      <c r="BA278" t="s">
        <v>71</v>
      </c>
      <c r="BB278">
        <v>0</v>
      </c>
      <c r="BD278">
        <v>0.82950999999999997</v>
      </c>
    </row>
    <row r="279" spans="1:56" x14ac:dyDescent="0.15">
      <c r="A279" s="4" t="str">
        <f>HYPERLINK("https://ibp.a2mac1.com/costing(costing:projects/details/9760/part/8411320)","Central")</f>
        <v>Central</v>
      </c>
      <c r="B279">
        <v>8411320</v>
      </c>
      <c r="C279">
        <v>8411208</v>
      </c>
      <c r="D279" t="s">
        <v>1107</v>
      </c>
      <c r="E279">
        <v>0.32812000000000002</v>
      </c>
      <c r="F279">
        <v>0</v>
      </c>
      <c r="G279">
        <v>0</v>
      </c>
      <c r="H279">
        <v>0</v>
      </c>
      <c r="I279" t="s">
        <v>71</v>
      </c>
      <c r="J279">
        <v>0</v>
      </c>
      <c r="K279">
        <v>0.32812000000000002</v>
      </c>
      <c r="L279">
        <v>0</v>
      </c>
      <c r="M279">
        <v>0</v>
      </c>
      <c r="N279">
        <v>0.32812000000000002</v>
      </c>
      <c r="O279" t="s">
        <v>71</v>
      </c>
      <c r="P279">
        <v>0</v>
      </c>
      <c r="Q279" t="s">
        <v>71</v>
      </c>
      <c r="R279">
        <v>0</v>
      </c>
      <c r="S279" t="s">
        <v>71</v>
      </c>
      <c r="T279">
        <v>0</v>
      </c>
      <c r="U279" t="s">
        <v>71</v>
      </c>
      <c r="V279">
        <v>0</v>
      </c>
      <c r="W279" t="s">
        <v>71</v>
      </c>
      <c r="X279">
        <v>0</v>
      </c>
      <c r="Y279">
        <v>0.32812000000000002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225</v>
      </c>
      <c r="AF279">
        <v>47</v>
      </c>
      <c r="AG279">
        <v>420</v>
      </c>
      <c r="AH279">
        <v>0</v>
      </c>
      <c r="AI279">
        <v>0.112</v>
      </c>
      <c r="AK279" t="s">
        <v>1108</v>
      </c>
      <c r="AM279">
        <v>200000</v>
      </c>
      <c r="AN279" t="s">
        <v>73</v>
      </c>
      <c r="AO279">
        <v>1</v>
      </c>
      <c r="AP279">
        <v>0</v>
      </c>
      <c r="AQ279">
        <v>16666.666666666668</v>
      </c>
      <c r="AR279" t="s">
        <v>1113</v>
      </c>
      <c r="AS279" t="s">
        <v>75</v>
      </c>
      <c r="AX279" t="s">
        <v>76</v>
      </c>
      <c r="AY279" t="s">
        <v>71</v>
      </c>
      <c r="AZ279">
        <v>0</v>
      </c>
      <c r="BA279" t="s">
        <v>71</v>
      </c>
      <c r="BB279">
        <v>0</v>
      </c>
      <c r="BD279">
        <v>0.32812000000000002</v>
      </c>
    </row>
    <row r="280" spans="1:56" x14ac:dyDescent="0.15">
      <c r="A280" s="4" t="str">
        <f>HYPERLINK("https://ibp.a2mac1.com/costing(costing:projects/details/9760/part/8411321)","Inner Air Guide")</f>
        <v>Inner Air Guide</v>
      </c>
      <c r="B280">
        <v>8411321</v>
      </c>
      <c r="C280">
        <v>8411208</v>
      </c>
      <c r="D280" t="s">
        <v>1107</v>
      </c>
      <c r="E280">
        <v>0.19139999999999999</v>
      </c>
      <c r="F280">
        <v>0</v>
      </c>
      <c r="G280">
        <v>0</v>
      </c>
      <c r="H280">
        <v>0</v>
      </c>
      <c r="I280" t="s">
        <v>71</v>
      </c>
      <c r="J280">
        <v>0</v>
      </c>
      <c r="K280">
        <v>0.19139999999999999</v>
      </c>
      <c r="L280">
        <v>0</v>
      </c>
      <c r="M280">
        <v>0</v>
      </c>
      <c r="N280">
        <v>0.19139999999999999</v>
      </c>
      <c r="O280" t="s">
        <v>71</v>
      </c>
      <c r="P280">
        <v>0</v>
      </c>
      <c r="Q280" t="s">
        <v>71</v>
      </c>
      <c r="R280">
        <v>0</v>
      </c>
      <c r="S280" t="s">
        <v>71</v>
      </c>
      <c r="T280">
        <v>0</v>
      </c>
      <c r="U280" t="s">
        <v>71</v>
      </c>
      <c r="V280">
        <v>0</v>
      </c>
      <c r="W280" t="s">
        <v>71</v>
      </c>
      <c r="X280">
        <v>0</v>
      </c>
      <c r="Y280">
        <v>0.19139999999999999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94</v>
      </c>
      <c r="AF280">
        <v>103</v>
      </c>
      <c r="AG280">
        <v>107</v>
      </c>
      <c r="AH280">
        <v>0</v>
      </c>
      <c r="AI280">
        <v>4.9000000000000002E-2</v>
      </c>
      <c r="AK280" t="s">
        <v>1108</v>
      </c>
      <c r="AM280">
        <v>200000</v>
      </c>
      <c r="AN280" t="s">
        <v>73</v>
      </c>
      <c r="AO280">
        <v>1</v>
      </c>
      <c r="AP280">
        <v>0</v>
      </c>
      <c r="AQ280">
        <v>16666.666666666668</v>
      </c>
      <c r="AR280" t="s">
        <v>1114</v>
      </c>
      <c r="AS280" t="s">
        <v>75</v>
      </c>
      <c r="AX280" t="s">
        <v>76</v>
      </c>
      <c r="AY280" t="s">
        <v>71</v>
      </c>
      <c r="AZ280">
        <v>0</v>
      </c>
      <c r="BA280" t="s">
        <v>71</v>
      </c>
      <c r="BB280">
        <v>0</v>
      </c>
      <c r="BD280">
        <v>0.19139999999999999</v>
      </c>
    </row>
    <row r="281" spans="1:56" x14ac:dyDescent="0.15">
      <c r="A281" s="4" t="str">
        <f>HYPERLINK("https://ibp.a2mac1.com/costing(costing:projects/details/9760/part/8411322)","Second inner air guide")</f>
        <v>Second inner air guide</v>
      </c>
      <c r="B281">
        <v>8411322</v>
      </c>
      <c r="C281">
        <v>8411208</v>
      </c>
      <c r="D281" t="s">
        <v>1107</v>
      </c>
      <c r="E281">
        <v>0.19139999999999999</v>
      </c>
      <c r="F281">
        <v>0</v>
      </c>
      <c r="G281">
        <v>0</v>
      </c>
      <c r="H281">
        <v>0</v>
      </c>
      <c r="I281" t="s">
        <v>71</v>
      </c>
      <c r="J281">
        <v>0</v>
      </c>
      <c r="K281">
        <v>0.19139999999999999</v>
      </c>
      <c r="L281">
        <v>0</v>
      </c>
      <c r="M281">
        <v>0</v>
      </c>
      <c r="N281">
        <v>0.19139999999999999</v>
      </c>
      <c r="O281" t="s">
        <v>71</v>
      </c>
      <c r="P281">
        <v>0</v>
      </c>
      <c r="Q281" t="s">
        <v>71</v>
      </c>
      <c r="R281">
        <v>0</v>
      </c>
      <c r="S281" t="s">
        <v>71</v>
      </c>
      <c r="T281">
        <v>0</v>
      </c>
      <c r="U281" t="s">
        <v>71</v>
      </c>
      <c r="V281">
        <v>0</v>
      </c>
      <c r="W281" t="s">
        <v>71</v>
      </c>
      <c r="X281">
        <v>0</v>
      </c>
      <c r="Y281">
        <v>0.19139999999999999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94</v>
      </c>
      <c r="AF281">
        <v>103</v>
      </c>
      <c r="AG281">
        <v>107</v>
      </c>
      <c r="AH281">
        <v>0</v>
      </c>
      <c r="AI281">
        <v>4.9000000000000002E-2</v>
      </c>
      <c r="AK281" t="s">
        <v>1108</v>
      </c>
      <c r="AM281">
        <v>200000</v>
      </c>
      <c r="AN281" t="s">
        <v>73</v>
      </c>
      <c r="AO281">
        <v>1</v>
      </c>
      <c r="AP281">
        <v>0</v>
      </c>
      <c r="AQ281">
        <v>16666.666666666668</v>
      </c>
      <c r="AR281" t="s">
        <v>1115</v>
      </c>
      <c r="AS281" t="s">
        <v>75</v>
      </c>
      <c r="AX281" t="s">
        <v>76</v>
      </c>
      <c r="AY281" t="s">
        <v>71</v>
      </c>
      <c r="AZ281">
        <v>0</v>
      </c>
      <c r="BA281" t="s">
        <v>71</v>
      </c>
      <c r="BB281">
        <v>0</v>
      </c>
      <c r="BD281">
        <v>0.19139999999999999</v>
      </c>
    </row>
    <row r="282" spans="1:56" x14ac:dyDescent="0.15">
      <c r="A282" s="4" t="str">
        <f>HYPERLINK("https://ibp.a2mac1.com/costing(costing:projects/details/9760/part/8411323)","Third inner air guide")</f>
        <v>Third inner air guide</v>
      </c>
      <c r="B282">
        <v>8411323</v>
      </c>
      <c r="C282">
        <v>8411208</v>
      </c>
      <c r="D282" t="s">
        <v>1107</v>
      </c>
      <c r="E282">
        <v>0.11453000000000001</v>
      </c>
      <c r="F282">
        <v>0</v>
      </c>
      <c r="G282">
        <v>0</v>
      </c>
      <c r="H282">
        <v>0</v>
      </c>
      <c r="I282" t="s">
        <v>71</v>
      </c>
      <c r="J282">
        <v>0</v>
      </c>
      <c r="K282">
        <v>0.11453000000000001</v>
      </c>
      <c r="L282">
        <v>0</v>
      </c>
      <c r="M282">
        <v>0</v>
      </c>
      <c r="N282">
        <v>0.11453000000000001</v>
      </c>
      <c r="O282" t="s">
        <v>71</v>
      </c>
      <c r="P282">
        <v>0</v>
      </c>
      <c r="Q282" t="s">
        <v>71</v>
      </c>
      <c r="R282">
        <v>0</v>
      </c>
      <c r="S282" t="s">
        <v>71</v>
      </c>
      <c r="T282">
        <v>0</v>
      </c>
      <c r="U282" t="s">
        <v>71</v>
      </c>
      <c r="V282">
        <v>0</v>
      </c>
      <c r="W282" t="s">
        <v>71</v>
      </c>
      <c r="X282">
        <v>0</v>
      </c>
      <c r="Y282">
        <v>0.11453000000000001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76</v>
      </c>
      <c r="AF282">
        <v>79</v>
      </c>
      <c r="AG282">
        <v>110</v>
      </c>
      <c r="AH282">
        <v>0</v>
      </c>
      <c r="AI282">
        <v>1.6E-2</v>
      </c>
      <c r="AK282" t="s">
        <v>1108</v>
      </c>
      <c r="AM282">
        <v>200000</v>
      </c>
      <c r="AN282" t="s">
        <v>73</v>
      </c>
      <c r="AO282">
        <v>1</v>
      </c>
      <c r="AP282">
        <v>0</v>
      </c>
      <c r="AQ282">
        <v>16666.666666666668</v>
      </c>
      <c r="AR282" t="s">
        <v>1116</v>
      </c>
      <c r="AS282" t="s">
        <v>75</v>
      </c>
      <c r="AX282" t="s">
        <v>76</v>
      </c>
      <c r="AY282" t="s">
        <v>71</v>
      </c>
      <c r="AZ282">
        <v>0</v>
      </c>
      <c r="BA282" t="s">
        <v>71</v>
      </c>
      <c r="BB282">
        <v>0</v>
      </c>
      <c r="BD282">
        <v>0.11453000000000001</v>
      </c>
    </row>
    <row r="283" spans="1:56" x14ac:dyDescent="0.15">
      <c r="A283" s="4" t="str">
        <f>HYPERLINK("https://ibp.a2mac1.com/costing(costing:projects/details/9760/part/8411324)","Fourth inner air guide")</f>
        <v>Fourth inner air guide</v>
      </c>
      <c r="B283">
        <v>8411324</v>
      </c>
      <c r="C283">
        <v>8411208</v>
      </c>
      <c r="D283" t="s">
        <v>1107</v>
      </c>
      <c r="E283">
        <v>0.10403999999999999</v>
      </c>
      <c r="F283">
        <v>0</v>
      </c>
      <c r="G283">
        <v>0</v>
      </c>
      <c r="H283">
        <v>0</v>
      </c>
      <c r="I283" t="s">
        <v>71</v>
      </c>
      <c r="J283">
        <v>0</v>
      </c>
      <c r="K283">
        <v>0.10403999999999999</v>
      </c>
      <c r="L283">
        <v>0</v>
      </c>
      <c r="M283">
        <v>0</v>
      </c>
      <c r="N283">
        <v>0.10403999999999999</v>
      </c>
      <c r="O283" t="s">
        <v>71</v>
      </c>
      <c r="P283">
        <v>0</v>
      </c>
      <c r="Q283" t="s">
        <v>71</v>
      </c>
      <c r="R283">
        <v>0</v>
      </c>
      <c r="S283" t="s">
        <v>71</v>
      </c>
      <c r="T283">
        <v>0</v>
      </c>
      <c r="U283" t="s">
        <v>71</v>
      </c>
      <c r="V283">
        <v>0</v>
      </c>
      <c r="W283" t="s">
        <v>71</v>
      </c>
      <c r="X283">
        <v>0</v>
      </c>
      <c r="Y283">
        <v>0.10403999999999999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76</v>
      </c>
      <c r="AF283">
        <v>55</v>
      </c>
      <c r="AG283">
        <v>110</v>
      </c>
      <c r="AH283">
        <v>0</v>
      </c>
      <c r="AI283">
        <v>1.2E-2</v>
      </c>
      <c r="AK283" t="s">
        <v>1108</v>
      </c>
      <c r="AM283">
        <v>200000</v>
      </c>
      <c r="AN283" t="s">
        <v>73</v>
      </c>
      <c r="AO283">
        <v>1</v>
      </c>
      <c r="AP283">
        <v>0</v>
      </c>
      <c r="AQ283">
        <v>16666.666666666668</v>
      </c>
      <c r="AR283" t="s">
        <v>1117</v>
      </c>
      <c r="AS283" t="s">
        <v>75</v>
      </c>
      <c r="AX283" t="s">
        <v>76</v>
      </c>
      <c r="AY283" t="s">
        <v>71</v>
      </c>
      <c r="AZ283">
        <v>0</v>
      </c>
      <c r="BA283" t="s">
        <v>71</v>
      </c>
      <c r="BB283">
        <v>0</v>
      </c>
      <c r="BD283">
        <v>0.10403999999999999</v>
      </c>
    </row>
    <row r="284" spans="1:56" x14ac:dyDescent="0.15">
      <c r="A284" s="4" t="str">
        <f>HYPERLINK("https://ibp.a2mac1.com/costing(costing:projects/details/9760/part/8411423)","Intake Air Vent Motor")</f>
        <v>Intake Air Vent Motor</v>
      </c>
      <c r="B284">
        <v>8411423</v>
      </c>
      <c r="C284">
        <v>8411325</v>
      </c>
      <c r="E284">
        <v>3</v>
      </c>
      <c r="F284">
        <v>0</v>
      </c>
      <c r="G284">
        <v>0</v>
      </c>
      <c r="H284">
        <v>0</v>
      </c>
      <c r="I284" t="s">
        <v>71</v>
      </c>
      <c r="J284">
        <v>0</v>
      </c>
      <c r="K284">
        <v>3</v>
      </c>
      <c r="L284">
        <v>0</v>
      </c>
      <c r="M284">
        <v>0</v>
      </c>
      <c r="N284">
        <v>3</v>
      </c>
      <c r="O284" t="s">
        <v>71</v>
      </c>
      <c r="P284">
        <v>0</v>
      </c>
      <c r="Q284" t="s">
        <v>71</v>
      </c>
      <c r="R284">
        <v>0</v>
      </c>
      <c r="S284" t="s">
        <v>71</v>
      </c>
      <c r="T284">
        <v>0</v>
      </c>
      <c r="U284" t="s">
        <v>71</v>
      </c>
      <c r="V284">
        <v>0</v>
      </c>
      <c r="W284" t="s">
        <v>71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28</v>
      </c>
      <c r="AF284">
        <v>85</v>
      </c>
      <c r="AG284">
        <v>57</v>
      </c>
      <c r="AH284">
        <v>0</v>
      </c>
      <c r="AI284">
        <v>8.8999999999999996E-2</v>
      </c>
      <c r="AK284" t="s">
        <v>95</v>
      </c>
      <c r="AM284">
        <v>200000</v>
      </c>
      <c r="AN284" t="s">
        <v>97</v>
      </c>
      <c r="AO284">
        <v>1</v>
      </c>
      <c r="AP284">
        <v>0</v>
      </c>
      <c r="AQ284">
        <v>16666.666666666668</v>
      </c>
      <c r="AR284" t="s">
        <v>1121</v>
      </c>
      <c r="AS284" t="s">
        <v>75</v>
      </c>
      <c r="AX284" t="s">
        <v>76</v>
      </c>
      <c r="AY284" t="s">
        <v>71</v>
      </c>
      <c r="AZ284">
        <v>0</v>
      </c>
      <c r="BA284" t="s">
        <v>71</v>
      </c>
      <c r="BB284">
        <v>0</v>
      </c>
      <c r="BD284">
        <v>3</v>
      </c>
    </row>
    <row r="285" spans="1:56" x14ac:dyDescent="0.15">
      <c r="A285" s="4" t="str">
        <f>HYPERLINK("https://ibp.a2mac1.com/costing(costing:projects/details/9760/part/8411424)","Intake Air Vent Motor Support")</f>
        <v>Intake Air Vent Motor Support</v>
      </c>
      <c r="B285">
        <v>8411424</v>
      </c>
      <c r="C285">
        <v>8411325</v>
      </c>
      <c r="D285" t="s">
        <v>1107</v>
      </c>
      <c r="E285">
        <v>0.16439999999999999</v>
      </c>
      <c r="F285">
        <v>0</v>
      </c>
      <c r="G285">
        <v>0</v>
      </c>
      <c r="H285">
        <v>0</v>
      </c>
      <c r="I285" t="s">
        <v>71</v>
      </c>
      <c r="J285">
        <v>0</v>
      </c>
      <c r="K285">
        <v>0.16439999999999999</v>
      </c>
      <c r="L285">
        <v>0</v>
      </c>
      <c r="M285">
        <v>0</v>
      </c>
      <c r="N285">
        <v>0.16439999999999999</v>
      </c>
      <c r="O285" t="s">
        <v>71</v>
      </c>
      <c r="P285">
        <v>0</v>
      </c>
      <c r="Q285" t="s">
        <v>71</v>
      </c>
      <c r="R285">
        <v>0</v>
      </c>
      <c r="S285" t="s">
        <v>71</v>
      </c>
      <c r="T285">
        <v>0</v>
      </c>
      <c r="U285" t="s">
        <v>71</v>
      </c>
      <c r="V285">
        <v>0</v>
      </c>
      <c r="W285" t="s">
        <v>71</v>
      </c>
      <c r="X285">
        <v>0</v>
      </c>
      <c r="Y285">
        <v>0.16439999999999999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40</v>
      </c>
      <c r="AF285">
        <v>115</v>
      </c>
      <c r="AG285">
        <v>110</v>
      </c>
      <c r="AH285">
        <v>0</v>
      </c>
      <c r="AI285">
        <v>3.6999999999999998E-2</v>
      </c>
      <c r="AK285" t="s">
        <v>100</v>
      </c>
      <c r="AM285">
        <v>200000</v>
      </c>
      <c r="AN285" t="s">
        <v>97</v>
      </c>
      <c r="AO285">
        <v>1</v>
      </c>
      <c r="AP285">
        <v>0</v>
      </c>
      <c r="AQ285">
        <v>16666.666666666668</v>
      </c>
      <c r="AR285" t="s">
        <v>1122</v>
      </c>
      <c r="AS285" t="s">
        <v>75</v>
      </c>
      <c r="AX285" t="s">
        <v>76</v>
      </c>
      <c r="AY285" t="s">
        <v>71</v>
      </c>
      <c r="AZ285">
        <v>0</v>
      </c>
      <c r="BA285" t="s">
        <v>71</v>
      </c>
      <c r="BB285">
        <v>0</v>
      </c>
      <c r="BD285">
        <v>0.16439999999999999</v>
      </c>
    </row>
    <row r="286" spans="1:56" x14ac:dyDescent="0.15">
      <c r="A286" s="4" t="str">
        <f>HYPERLINK("https://ibp.a2mac1.com/costing(costing:projects/details/9760/part/8411425)","Protection")</f>
        <v>Protection</v>
      </c>
      <c r="B286">
        <v>8411425</v>
      </c>
      <c r="C286">
        <v>8411325</v>
      </c>
      <c r="D286" t="s">
        <v>1107</v>
      </c>
      <c r="E286">
        <v>0.25496999999999997</v>
      </c>
      <c r="F286">
        <v>0</v>
      </c>
      <c r="G286">
        <v>0</v>
      </c>
      <c r="H286">
        <v>0</v>
      </c>
      <c r="I286" t="s">
        <v>71</v>
      </c>
      <c r="J286">
        <v>0</v>
      </c>
      <c r="K286">
        <v>0.25496999999999997</v>
      </c>
      <c r="L286">
        <v>0</v>
      </c>
      <c r="M286">
        <v>0</v>
      </c>
      <c r="N286">
        <v>0.25496999999999997</v>
      </c>
      <c r="O286" t="s">
        <v>71</v>
      </c>
      <c r="P286">
        <v>0</v>
      </c>
      <c r="Q286" t="s">
        <v>71</v>
      </c>
      <c r="R286">
        <v>0</v>
      </c>
      <c r="S286" t="s">
        <v>71</v>
      </c>
      <c r="T286">
        <v>0</v>
      </c>
      <c r="U286" t="s">
        <v>71</v>
      </c>
      <c r="V286">
        <v>0</v>
      </c>
      <c r="W286" t="s">
        <v>71</v>
      </c>
      <c r="X286">
        <v>0</v>
      </c>
      <c r="Y286">
        <v>0.25496999999999997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71</v>
      </c>
      <c r="AF286">
        <v>226</v>
      </c>
      <c r="AG286">
        <v>171</v>
      </c>
      <c r="AH286">
        <v>0</v>
      </c>
      <c r="AI286">
        <v>7.8E-2</v>
      </c>
      <c r="AK286" t="s">
        <v>100</v>
      </c>
      <c r="AM286">
        <v>200000</v>
      </c>
      <c r="AN286" t="s">
        <v>97</v>
      </c>
      <c r="AO286">
        <v>1</v>
      </c>
      <c r="AP286">
        <v>0</v>
      </c>
      <c r="AQ286">
        <v>16666.666666666668</v>
      </c>
      <c r="AR286" t="s">
        <v>1123</v>
      </c>
      <c r="AS286" t="s">
        <v>75</v>
      </c>
      <c r="AX286" t="s">
        <v>76</v>
      </c>
      <c r="AY286" t="s">
        <v>71</v>
      </c>
      <c r="AZ286">
        <v>0</v>
      </c>
      <c r="BA286" t="s">
        <v>71</v>
      </c>
      <c r="BB286">
        <v>0</v>
      </c>
      <c r="BD286">
        <v>0.25496999999999997</v>
      </c>
    </row>
    <row r="287" spans="1:56" x14ac:dyDescent="0.15">
      <c r="A287" s="4" t="str">
        <f>HYPERLINK("https://ibp.a2mac1.com/costing(costing:projects/details/9760/part/8411426)","Right")</f>
        <v>Right</v>
      </c>
      <c r="B287">
        <v>8411426</v>
      </c>
      <c r="C287">
        <v>8411326</v>
      </c>
      <c r="E287">
        <v>3</v>
      </c>
      <c r="F287">
        <v>0</v>
      </c>
      <c r="G287">
        <v>0</v>
      </c>
      <c r="H287">
        <v>0</v>
      </c>
      <c r="I287" t="s">
        <v>71</v>
      </c>
      <c r="J287">
        <v>0</v>
      </c>
      <c r="K287">
        <v>3</v>
      </c>
      <c r="L287">
        <v>0</v>
      </c>
      <c r="M287">
        <v>0</v>
      </c>
      <c r="N287">
        <v>3</v>
      </c>
      <c r="O287" t="s">
        <v>71</v>
      </c>
      <c r="P287">
        <v>0</v>
      </c>
      <c r="Q287" t="s">
        <v>71</v>
      </c>
      <c r="R287">
        <v>0</v>
      </c>
      <c r="S287" t="s">
        <v>71</v>
      </c>
      <c r="T287">
        <v>0</v>
      </c>
      <c r="U287" t="s">
        <v>71</v>
      </c>
      <c r="V287">
        <v>0</v>
      </c>
      <c r="W287" t="s">
        <v>71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30</v>
      </c>
      <c r="AF287">
        <v>58</v>
      </c>
      <c r="AG287">
        <v>85</v>
      </c>
      <c r="AH287">
        <v>0</v>
      </c>
      <c r="AI287">
        <v>8.8999999999999996E-2</v>
      </c>
      <c r="AK287" t="s">
        <v>95</v>
      </c>
      <c r="AM287">
        <v>200000</v>
      </c>
      <c r="AN287" t="s">
        <v>97</v>
      </c>
      <c r="AO287">
        <v>1</v>
      </c>
      <c r="AP287">
        <v>0</v>
      </c>
      <c r="AQ287">
        <v>16666.666666666668</v>
      </c>
      <c r="AR287" t="s">
        <v>1126</v>
      </c>
      <c r="AS287" t="s">
        <v>75</v>
      </c>
      <c r="AX287" t="s">
        <v>76</v>
      </c>
      <c r="AY287" t="s">
        <v>71</v>
      </c>
      <c r="AZ287">
        <v>0</v>
      </c>
      <c r="BA287" t="s">
        <v>71</v>
      </c>
      <c r="BB287">
        <v>0</v>
      </c>
      <c r="BD287">
        <v>3</v>
      </c>
    </row>
    <row r="288" spans="1:56" x14ac:dyDescent="0.15">
      <c r="A288" s="4" t="str">
        <f>HYPERLINK("https://ibp.a2mac1.com/costing(costing:projects/details/9760/part/8411427)","Heater Core Motor (Left/Single and Right if Identical)")</f>
        <v>Heater Core Motor (Left/Single and Right if Identical)</v>
      </c>
      <c r="B288">
        <v>8411427</v>
      </c>
      <c r="C288">
        <v>8411327</v>
      </c>
      <c r="E288">
        <v>4</v>
      </c>
      <c r="F288">
        <v>0</v>
      </c>
      <c r="G288">
        <v>0</v>
      </c>
      <c r="H288">
        <v>0</v>
      </c>
      <c r="I288" t="s">
        <v>71</v>
      </c>
      <c r="J288">
        <v>0</v>
      </c>
      <c r="K288">
        <v>4</v>
      </c>
      <c r="L288">
        <v>0</v>
      </c>
      <c r="M288">
        <v>0</v>
      </c>
      <c r="N288">
        <v>4</v>
      </c>
      <c r="O288" t="s">
        <v>71</v>
      </c>
      <c r="P288">
        <v>0</v>
      </c>
      <c r="Q288" t="s">
        <v>71</v>
      </c>
      <c r="R288">
        <v>0</v>
      </c>
      <c r="S288" t="s">
        <v>71</v>
      </c>
      <c r="T288">
        <v>0</v>
      </c>
      <c r="U288" t="s">
        <v>71</v>
      </c>
      <c r="V288">
        <v>0</v>
      </c>
      <c r="W288" t="s">
        <v>71</v>
      </c>
      <c r="X288">
        <v>0</v>
      </c>
      <c r="Y288">
        <v>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25</v>
      </c>
      <c r="AF288">
        <v>50</v>
      </c>
      <c r="AG288">
        <v>76</v>
      </c>
      <c r="AH288">
        <v>0</v>
      </c>
      <c r="AI288">
        <v>5.6000000000000001E-2</v>
      </c>
      <c r="AK288" t="s">
        <v>95</v>
      </c>
      <c r="AM288">
        <v>200000</v>
      </c>
      <c r="AN288" t="s">
        <v>97</v>
      </c>
      <c r="AO288">
        <v>1</v>
      </c>
      <c r="AP288">
        <v>0</v>
      </c>
      <c r="AQ288">
        <v>16666.666666666668</v>
      </c>
      <c r="AR288" t="s">
        <v>1129</v>
      </c>
      <c r="AS288" t="s">
        <v>75</v>
      </c>
      <c r="AX288" t="s">
        <v>76</v>
      </c>
      <c r="AY288" t="s">
        <v>71</v>
      </c>
      <c r="AZ288">
        <v>0</v>
      </c>
      <c r="BA288" t="s">
        <v>71</v>
      </c>
      <c r="BB288">
        <v>0</v>
      </c>
      <c r="BD288">
        <v>4</v>
      </c>
    </row>
    <row r="289" spans="1:56" x14ac:dyDescent="0.15">
      <c r="A289" s="4" t="str">
        <f>HYPERLINK("https://ibp.a2mac1.com/costing(costing:projects/details/9760/part/8411428)","Heater Core Motor 2nd Row")</f>
        <v>Heater Core Motor 2nd Row</v>
      </c>
      <c r="B289">
        <v>8411428</v>
      </c>
      <c r="C289">
        <v>8411327</v>
      </c>
      <c r="E289">
        <v>4</v>
      </c>
      <c r="F289">
        <v>0</v>
      </c>
      <c r="G289">
        <v>0</v>
      </c>
      <c r="H289">
        <v>0</v>
      </c>
      <c r="I289" t="s">
        <v>71</v>
      </c>
      <c r="J289">
        <v>0</v>
      </c>
      <c r="K289">
        <v>4</v>
      </c>
      <c r="L289">
        <v>0</v>
      </c>
      <c r="M289">
        <v>0</v>
      </c>
      <c r="N289">
        <v>4</v>
      </c>
      <c r="O289" t="s">
        <v>71</v>
      </c>
      <c r="P289">
        <v>0</v>
      </c>
      <c r="Q289" t="s">
        <v>71</v>
      </c>
      <c r="R289">
        <v>0</v>
      </c>
      <c r="S289" t="s">
        <v>71</v>
      </c>
      <c r="T289">
        <v>0</v>
      </c>
      <c r="U289" t="s">
        <v>71</v>
      </c>
      <c r="V289">
        <v>0</v>
      </c>
      <c r="W289" t="s">
        <v>71</v>
      </c>
      <c r="X289">
        <v>0</v>
      </c>
      <c r="Y289">
        <v>4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25</v>
      </c>
      <c r="AF289">
        <v>50</v>
      </c>
      <c r="AG289">
        <v>77</v>
      </c>
      <c r="AH289">
        <v>0</v>
      </c>
      <c r="AI289">
        <v>5.5E-2</v>
      </c>
      <c r="AK289" t="s">
        <v>95</v>
      </c>
      <c r="AM289">
        <v>200000</v>
      </c>
      <c r="AN289" t="s">
        <v>97</v>
      </c>
      <c r="AO289">
        <v>1</v>
      </c>
      <c r="AP289">
        <v>0</v>
      </c>
      <c r="AQ289">
        <v>16666.666666666668</v>
      </c>
      <c r="AR289" t="s">
        <v>1130</v>
      </c>
      <c r="AS289" t="s">
        <v>75</v>
      </c>
      <c r="AX289" t="s">
        <v>76</v>
      </c>
      <c r="AY289" t="s">
        <v>71</v>
      </c>
      <c r="AZ289">
        <v>0</v>
      </c>
      <c r="BA289" t="s">
        <v>71</v>
      </c>
      <c r="BB289">
        <v>0</v>
      </c>
      <c r="BD289">
        <v>4</v>
      </c>
    </row>
    <row r="290" spans="1:56" x14ac:dyDescent="0.15">
      <c r="A290" s="4" t="str">
        <f>HYPERLINK("https://ibp.a2mac1.com/costing(costing:projects/details/9760/part/8411429)","Right Motor")</f>
        <v>Right Motor</v>
      </c>
      <c r="B290">
        <v>8411429</v>
      </c>
      <c r="C290">
        <v>8411328</v>
      </c>
      <c r="E290">
        <v>3</v>
      </c>
      <c r="F290">
        <v>0</v>
      </c>
      <c r="G290">
        <v>0</v>
      </c>
      <c r="H290">
        <v>0</v>
      </c>
      <c r="I290" t="s">
        <v>71</v>
      </c>
      <c r="J290">
        <v>0</v>
      </c>
      <c r="K290">
        <v>3</v>
      </c>
      <c r="L290">
        <v>0</v>
      </c>
      <c r="M290">
        <v>0</v>
      </c>
      <c r="N290">
        <v>3</v>
      </c>
      <c r="O290" t="s">
        <v>71</v>
      </c>
      <c r="P290">
        <v>0</v>
      </c>
      <c r="Q290" t="s">
        <v>71</v>
      </c>
      <c r="R290">
        <v>0</v>
      </c>
      <c r="S290" t="s">
        <v>71</v>
      </c>
      <c r="T290">
        <v>0</v>
      </c>
      <c r="U290" t="s">
        <v>71</v>
      </c>
      <c r="V290">
        <v>0</v>
      </c>
      <c r="W290" t="s">
        <v>71</v>
      </c>
      <c r="X290">
        <v>0</v>
      </c>
      <c r="Y290">
        <v>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30</v>
      </c>
      <c r="AF290">
        <v>57</v>
      </c>
      <c r="AG290">
        <v>85</v>
      </c>
      <c r="AH290">
        <v>0</v>
      </c>
      <c r="AI290">
        <v>8.8999999999999996E-2</v>
      </c>
      <c r="AK290" t="s">
        <v>95</v>
      </c>
      <c r="AM290">
        <v>200000</v>
      </c>
      <c r="AN290" t="s">
        <v>97</v>
      </c>
      <c r="AO290">
        <v>1</v>
      </c>
      <c r="AP290">
        <v>0</v>
      </c>
      <c r="AQ290">
        <v>16666.666666666668</v>
      </c>
      <c r="AR290" t="s">
        <v>1133</v>
      </c>
      <c r="AS290" t="s">
        <v>75</v>
      </c>
      <c r="AX290" t="s">
        <v>76</v>
      </c>
      <c r="AY290" t="s">
        <v>71</v>
      </c>
      <c r="AZ290">
        <v>0</v>
      </c>
      <c r="BA290" t="s">
        <v>71</v>
      </c>
      <c r="BB290">
        <v>0</v>
      </c>
      <c r="BD290">
        <v>3</v>
      </c>
    </row>
    <row r="291" spans="1:56" x14ac:dyDescent="0.15">
      <c r="A291" s="4" t="str">
        <f>HYPERLINK("https://ibp.a2mac1.com/costing(costing:projects/details/9760/part/8411430)","Motor")</f>
        <v>Motor</v>
      </c>
      <c r="B291">
        <v>8411430</v>
      </c>
      <c r="C291">
        <v>8411329</v>
      </c>
      <c r="E291">
        <v>3</v>
      </c>
      <c r="F291">
        <v>0</v>
      </c>
      <c r="G291">
        <v>0</v>
      </c>
      <c r="H291">
        <v>0</v>
      </c>
      <c r="I291" t="s">
        <v>71</v>
      </c>
      <c r="J291">
        <v>0</v>
      </c>
      <c r="K291">
        <v>3</v>
      </c>
      <c r="L291">
        <v>0</v>
      </c>
      <c r="M291">
        <v>0</v>
      </c>
      <c r="N291">
        <v>3</v>
      </c>
      <c r="O291" t="s">
        <v>71</v>
      </c>
      <c r="P291">
        <v>0</v>
      </c>
      <c r="Q291" t="s">
        <v>71</v>
      </c>
      <c r="R291">
        <v>0</v>
      </c>
      <c r="S291" t="s">
        <v>71</v>
      </c>
      <c r="T291">
        <v>0</v>
      </c>
      <c r="U291" t="s">
        <v>71</v>
      </c>
      <c r="V291">
        <v>0</v>
      </c>
      <c r="W291" t="s">
        <v>71</v>
      </c>
      <c r="X291">
        <v>0</v>
      </c>
      <c r="Y291">
        <v>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30</v>
      </c>
      <c r="AF291">
        <v>58</v>
      </c>
      <c r="AG291">
        <v>85</v>
      </c>
      <c r="AH291">
        <v>0</v>
      </c>
      <c r="AI291">
        <v>8.8999999999999996E-2</v>
      </c>
      <c r="AK291" t="s">
        <v>95</v>
      </c>
      <c r="AM291">
        <v>200000</v>
      </c>
      <c r="AN291" t="s">
        <v>97</v>
      </c>
      <c r="AO291">
        <v>1</v>
      </c>
      <c r="AP291">
        <v>0</v>
      </c>
      <c r="AQ291">
        <v>16666.666666666668</v>
      </c>
      <c r="AR291" t="s">
        <v>1136</v>
      </c>
      <c r="AS291" t="s">
        <v>75</v>
      </c>
      <c r="AX291" t="s">
        <v>76</v>
      </c>
      <c r="AY291" t="s">
        <v>71</v>
      </c>
      <c r="AZ291">
        <v>0</v>
      </c>
      <c r="BA291" t="s">
        <v>71</v>
      </c>
      <c r="BB291">
        <v>0</v>
      </c>
      <c r="BD291">
        <v>3</v>
      </c>
    </row>
    <row r="292" spans="1:56" x14ac:dyDescent="0.15">
      <c r="A292" s="4" t="str">
        <f>HYPERLINK("https://ibp.a2mac1.com/costing(costing:projects/details/9760/part/8411431)","Left")</f>
        <v>Left</v>
      </c>
      <c r="B292">
        <v>8411431</v>
      </c>
      <c r="C292">
        <v>8411336</v>
      </c>
      <c r="D292" t="s">
        <v>1141</v>
      </c>
      <c r="E292">
        <v>0.15925</v>
      </c>
      <c r="F292">
        <v>0</v>
      </c>
      <c r="G292">
        <v>0</v>
      </c>
      <c r="H292">
        <v>0</v>
      </c>
      <c r="I292" t="s">
        <v>71</v>
      </c>
      <c r="J292">
        <v>0</v>
      </c>
      <c r="K292">
        <v>0.15925</v>
      </c>
      <c r="L292">
        <v>0</v>
      </c>
      <c r="M292">
        <v>0</v>
      </c>
      <c r="N292">
        <v>0.15925</v>
      </c>
      <c r="O292" t="s">
        <v>71</v>
      </c>
      <c r="P292">
        <v>0</v>
      </c>
      <c r="Q292" t="s">
        <v>71</v>
      </c>
      <c r="R292">
        <v>0</v>
      </c>
      <c r="S292" t="s">
        <v>71</v>
      </c>
      <c r="T292">
        <v>0</v>
      </c>
      <c r="U292" t="s">
        <v>71</v>
      </c>
      <c r="V292">
        <v>0</v>
      </c>
      <c r="W292" t="s">
        <v>71</v>
      </c>
      <c r="X292">
        <v>0</v>
      </c>
      <c r="Y292">
        <v>0.15925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43</v>
      </c>
      <c r="AF292">
        <v>118</v>
      </c>
      <c r="AG292">
        <v>88</v>
      </c>
      <c r="AH292">
        <v>0</v>
      </c>
      <c r="AI292">
        <v>3.3000000000000002E-2</v>
      </c>
      <c r="AK292" t="s">
        <v>1108</v>
      </c>
      <c r="AM292">
        <v>200000</v>
      </c>
      <c r="AN292" t="s">
        <v>73</v>
      </c>
      <c r="AO292">
        <v>1</v>
      </c>
      <c r="AP292">
        <v>0</v>
      </c>
      <c r="AQ292">
        <v>16666.666666666668</v>
      </c>
      <c r="AR292" t="s">
        <v>1142</v>
      </c>
      <c r="AS292" t="s">
        <v>75</v>
      </c>
      <c r="AX292" t="s">
        <v>76</v>
      </c>
      <c r="AY292" t="s">
        <v>71</v>
      </c>
      <c r="AZ292">
        <v>0</v>
      </c>
      <c r="BA292" t="s">
        <v>71</v>
      </c>
      <c r="BB292">
        <v>0</v>
      </c>
      <c r="BD292">
        <v>0.15925</v>
      </c>
    </row>
    <row r="293" spans="1:56" x14ac:dyDescent="0.15">
      <c r="A293" s="4" t="str">
        <f>HYPERLINK("https://ibp.a2mac1.com/costing(costing:projects/details/9760/part/8411432)","Right")</f>
        <v>Right</v>
      </c>
      <c r="B293">
        <v>8411432</v>
      </c>
      <c r="C293">
        <v>8411336</v>
      </c>
      <c r="D293" t="s">
        <v>1141</v>
      </c>
      <c r="E293">
        <v>0.15714</v>
      </c>
      <c r="F293">
        <v>0</v>
      </c>
      <c r="G293">
        <v>0</v>
      </c>
      <c r="H293">
        <v>0</v>
      </c>
      <c r="I293" t="s">
        <v>71</v>
      </c>
      <c r="J293">
        <v>0</v>
      </c>
      <c r="K293">
        <v>0.15714</v>
      </c>
      <c r="L293">
        <v>0</v>
      </c>
      <c r="M293">
        <v>0</v>
      </c>
      <c r="N293">
        <v>0.15714</v>
      </c>
      <c r="O293" t="s">
        <v>71</v>
      </c>
      <c r="P293">
        <v>0</v>
      </c>
      <c r="Q293" t="s">
        <v>71</v>
      </c>
      <c r="R293">
        <v>0</v>
      </c>
      <c r="S293" t="s">
        <v>71</v>
      </c>
      <c r="T293">
        <v>0</v>
      </c>
      <c r="U293" t="s">
        <v>71</v>
      </c>
      <c r="V293">
        <v>0</v>
      </c>
      <c r="W293" t="s">
        <v>71</v>
      </c>
      <c r="X293">
        <v>0</v>
      </c>
      <c r="Y293">
        <v>0.15714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22</v>
      </c>
      <c r="AF293">
        <v>140</v>
      </c>
      <c r="AG293">
        <v>88</v>
      </c>
      <c r="AH293">
        <v>0</v>
      </c>
      <c r="AI293">
        <v>3.2000000000000001E-2</v>
      </c>
      <c r="AK293" t="s">
        <v>1108</v>
      </c>
      <c r="AM293">
        <v>200000</v>
      </c>
      <c r="AN293" t="s">
        <v>73</v>
      </c>
      <c r="AO293">
        <v>1</v>
      </c>
      <c r="AP293">
        <v>0</v>
      </c>
      <c r="AQ293">
        <v>16666.666666666668</v>
      </c>
      <c r="AR293" t="s">
        <v>1143</v>
      </c>
      <c r="AS293" t="s">
        <v>75</v>
      </c>
      <c r="AX293" t="s">
        <v>76</v>
      </c>
      <c r="AY293" t="s">
        <v>71</v>
      </c>
      <c r="AZ293">
        <v>0</v>
      </c>
      <c r="BA293" t="s">
        <v>71</v>
      </c>
      <c r="BB293">
        <v>0</v>
      </c>
      <c r="BD293">
        <v>0.15714</v>
      </c>
    </row>
    <row r="294" spans="1:56" x14ac:dyDescent="0.15">
      <c r="A294" s="4" t="str">
        <f>HYPERLINK("https://ibp.a2mac1.com/costing(costing:projects/details/9760/part/8411433)","Central/Single")</f>
        <v>Central/Single</v>
      </c>
      <c r="B294">
        <v>8411433</v>
      </c>
      <c r="C294">
        <v>8411337</v>
      </c>
      <c r="D294" t="s">
        <v>1141</v>
      </c>
      <c r="E294">
        <v>0.21967</v>
      </c>
      <c r="F294">
        <v>0</v>
      </c>
      <c r="G294">
        <v>0</v>
      </c>
      <c r="H294">
        <v>0</v>
      </c>
      <c r="I294" t="s">
        <v>71</v>
      </c>
      <c r="J294">
        <v>0</v>
      </c>
      <c r="K294">
        <v>0.21967</v>
      </c>
      <c r="L294">
        <v>0</v>
      </c>
      <c r="M294">
        <v>0</v>
      </c>
      <c r="N294">
        <v>0.21967</v>
      </c>
      <c r="O294" t="s">
        <v>71</v>
      </c>
      <c r="P294">
        <v>0</v>
      </c>
      <c r="Q294" t="s">
        <v>71</v>
      </c>
      <c r="R294">
        <v>0</v>
      </c>
      <c r="S294" t="s">
        <v>71</v>
      </c>
      <c r="T294">
        <v>0</v>
      </c>
      <c r="U294" t="s">
        <v>71</v>
      </c>
      <c r="V294">
        <v>0</v>
      </c>
      <c r="W294" t="s">
        <v>71</v>
      </c>
      <c r="X294">
        <v>0</v>
      </c>
      <c r="Y294">
        <v>0.21967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22</v>
      </c>
      <c r="AF294">
        <v>247</v>
      </c>
      <c r="AG294">
        <v>73</v>
      </c>
      <c r="AH294">
        <v>0</v>
      </c>
      <c r="AI294">
        <v>6.3E-2</v>
      </c>
      <c r="AK294" t="s">
        <v>1108</v>
      </c>
      <c r="AM294">
        <v>200000</v>
      </c>
      <c r="AN294" t="s">
        <v>73</v>
      </c>
      <c r="AO294">
        <v>1</v>
      </c>
      <c r="AP294">
        <v>0</v>
      </c>
      <c r="AQ294">
        <v>16666.666666666668</v>
      </c>
      <c r="AR294" t="s">
        <v>1146</v>
      </c>
      <c r="AS294" t="s">
        <v>75</v>
      </c>
      <c r="AX294" t="s">
        <v>76</v>
      </c>
      <c r="AY294" t="s">
        <v>71</v>
      </c>
      <c r="AZ294">
        <v>0</v>
      </c>
      <c r="BA294" t="s">
        <v>71</v>
      </c>
      <c r="BB294">
        <v>0</v>
      </c>
      <c r="BD294">
        <v>0.21967</v>
      </c>
    </row>
    <row r="295" spans="1:56" x14ac:dyDescent="0.15">
      <c r="A295" s="4" t="str">
        <f>HYPERLINK("https://ibp.a2mac1.com/costing(costing:projects/details/9760/part/8411434)","Left ")</f>
        <v xml:space="preserve">Left </v>
      </c>
      <c r="B295">
        <v>8411434</v>
      </c>
      <c r="C295">
        <v>8411338</v>
      </c>
      <c r="D295" t="s">
        <v>1141</v>
      </c>
      <c r="E295">
        <v>0.13558999999999999</v>
      </c>
      <c r="F295">
        <v>0</v>
      </c>
      <c r="G295">
        <v>0</v>
      </c>
      <c r="H295">
        <v>0</v>
      </c>
      <c r="I295" t="s">
        <v>71</v>
      </c>
      <c r="J295">
        <v>0</v>
      </c>
      <c r="K295">
        <v>0.13558999999999999</v>
      </c>
      <c r="L295">
        <v>0</v>
      </c>
      <c r="M295">
        <v>0</v>
      </c>
      <c r="N295">
        <v>0.13558999999999999</v>
      </c>
      <c r="O295" t="s">
        <v>71</v>
      </c>
      <c r="P295">
        <v>0</v>
      </c>
      <c r="Q295" t="s">
        <v>71</v>
      </c>
      <c r="R295">
        <v>0</v>
      </c>
      <c r="S295" t="s">
        <v>71</v>
      </c>
      <c r="T295">
        <v>0</v>
      </c>
      <c r="U295" t="s">
        <v>71</v>
      </c>
      <c r="V295">
        <v>0</v>
      </c>
      <c r="W295" t="s">
        <v>71</v>
      </c>
      <c r="X295">
        <v>0</v>
      </c>
      <c r="Y295">
        <v>0.13558999999999999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22</v>
      </c>
      <c r="AF295">
        <v>147</v>
      </c>
      <c r="AG295">
        <v>48</v>
      </c>
      <c r="AH295">
        <v>0</v>
      </c>
      <c r="AI295">
        <v>2.1999999999999999E-2</v>
      </c>
      <c r="AK295" t="s">
        <v>1108</v>
      </c>
      <c r="AM295">
        <v>200000</v>
      </c>
      <c r="AN295" t="s">
        <v>73</v>
      </c>
      <c r="AO295">
        <v>1</v>
      </c>
      <c r="AP295">
        <v>0</v>
      </c>
      <c r="AQ295">
        <v>16666.666666666668</v>
      </c>
      <c r="AR295" t="s">
        <v>1149</v>
      </c>
      <c r="AS295" t="s">
        <v>75</v>
      </c>
      <c r="AX295" t="s">
        <v>76</v>
      </c>
      <c r="AY295" t="s">
        <v>71</v>
      </c>
      <c r="AZ295">
        <v>0</v>
      </c>
      <c r="BA295" t="s">
        <v>71</v>
      </c>
      <c r="BB295">
        <v>0</v>
      </c>
      <c r="BD295">
        <v>0.13558999999999999</v>
      </c>
    </row>
    <row r="296" spans="1:56" x14ac:dyDescent="0.15">
      <c r="A296" s="4" t="str">
        <f>HYPERLINK("https://ibp.a2mac1.com/costing(costing:projects/details/9760/part/8411435)","Right")</f>
        <v>Right</v>
      </c>
      <c r="B296">
        <v>8411435</v>
      </c>
      <c r="C296">
        <v>8411338</v>
      </c>
      <c r="D296" t="s">
        <v>1141</v>
      </c>
      <c r="E296">
        <v>0.13108</v>
      </c>
      <c r="F296">
        <v>0</v>
      </c>
      <c r="G296">
        <v>0</v>
      </c>
      <c r="H296">
        <v>0</v>
      </c>
      <c r="I296" t="s">
        <v>71</v>
      </c>
      <c r="J296">
        <v>0</v>
      </c>
      <c r="K296">
        <v>0.13108</v>
      </c>
      <c r="L296">
        <v>0</v>
      </c>
      <c r="M296">
        <v>0</v>
      </c>
      <c r="N296">
        <v>0.13108</v>
      </c>
      <c r="O296" t="s">
        <v>71</v>
      </c>
      <c r="P296">
        <v>0</v>
      </c>
      <c r="Q296" t="s">
        <v>71</v>
      </c>
      <c r="R296">
        <v>0</v>
      </c>
      <c r="S296" t="s">
        <v>71</v>
      </c>
      <c r="T296">
        <v>0</v>
      </c>
      <c r="U296" t="s">
        <v>71</v>
      </c>
      <c r="V296">
        <v>0</v>
      </c>
      <c r="W296" t="s">
        <v>71</v>
      </c>
      <c r="X296">
        <v>0</v>
      </c>
      <c r="Y296">
        <v>0.13108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20</v>
      </c>
      <c r="AF296">
        <v>136</v>
      </c>
      <c r="AG296">
        <v>48</v>
      </c>
      <c r="AH296">
        <v>0</v>
      </c>
      <c r="AI296">
        <v>0.02</v>
      </c>
      <c r="AK296" t="s">
        <v>1108</v>
      </c>
      <c r="AM296">
        <v>200000</v>
      </c>
      <c r="AN296" t="s">
        <v>73</v>
      </c>
      <c r="AO296">
        <v>1</v>
      </c>
      <c r="AP296">
        <v>0</v>
      </c>
      <c r="AQ296">
        <v>16666.666666666668</v>
      </c>
      <c r="AR296" t="s">
        <v>1150</v>
      </c>
      <c r="AS296" t="s">
        <v>75</v>
      </c>
      <c r="AX296" t="s">
        <v>76</v>
      </c>
      <c r="AY296" t="s">
        <v>71</v>
      </c>
      <c r="AZ296">
        <v>0</v>
      </c>
      <c r="BA296" t="s">
        <v>71</v>
      </c>
      <c r="BB296">
        <v>0</v>
      </c>
      <c r="BD296">
        <v>0.13108</v>
      </c>
    </row>
    <row r="297" spans="1:56" x14ac:dyDescent="0.15">
      <c r="A297" s="4" t="str">
        <f>HYPERLINK("https://ibp.a2mac1.com/costing(costing:projects/details/9760/part/8411436)","Central/Single")</f>
        <v>Central/Single</v>
      </c>
      <c r="B297">
        <v>8411436</v>
      </c>
      <c r="C297">
        <v>8411339</v>
      </c>
      <c r="D297" t="s">
        <v>1141</v>
      </c>
      <c r="E297">
        <v>0.14219000000000001</v>
      </c>
      <c r="F297">
        <v>0</v>
      </c>
      <c r="G297">
        <v>0</v>
      </c>
      <c r="H297">
        <v>0</v>
      </c>
      <c r="I297" t="s">
        <v>71</v>
      </c>
      <c r="J297">
        <v>0</v>
      </c>
      <c r="K297">
        <v>0.14219000000000001</v>
      </c>
      <c r="L297">
        <v>0</v>
      </c>
      <c r="M297">
        <v>0</v>
      </c>
      <c r="N297">
        <v>0.14219000000000001</v>
      </c>
      <c r="O297" t="s">
        <v>71</v>
      </c>
      <c r="P297">
        <v>0</v>
      </c>
      <c r="Q297" t="s">
        <v>71</v>
      </c>
      <c r="R297">
        <v>0</v>
      </c>
      <c r="S297" t="s">
        <v>71</v>
      </c>
      <c r="T297">
        <v>0</v>
      </c>
      <c r="U297" t="s">
        <v>71</v>
      </c>
      <c r="V297">
        <v>0</v>
      </c>
      <c r="W297" t="s">
        <v>71</v>
      </c>
      <c r="X297">
        <v>0</v>
      </c>
      <c r="Y297">
        <v>0.14219000000000001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23</v>
      </c>
      <c r="AF297">
        <v>151</v>
      </c>
      <c r="AG297">
        <v>52</v>
      </c>
      <c r="AH297">
        <v>0</v>
      </c>
      <c r="AI297">
        <v>2.5000000000000001E-2</v>
      </c>
      <c r="AK297" t="s">
        <v>1108</v>
      </c>
      <c r="AM297">
        <v>200000</v>
      </c>
      <c r="AN297" t="s">
        <v>73</v>
      </c>
      <c r="AO297">
        <v>1</v>
      </c>
      <c r="AP297">
        <v>0</v>
      </c>
      <c r="AQ297">
        <v>16666.666666666668</v>
      </c>
      <c r="AR297" t="s">
        <v>1153</v>
      </c>
      <c r="AS297" t="s">
        <v>75</v>
      </c>
      <c r="AX297" t="s">
        <v>76</v>
      </c>
      <c r="AY297" t="s">
        <v>71</v>
      </c>
      <c r="AZ297">
        <v>0</v>
      </c>
      <c r="BA297" t="s">
        <v>71</v>
      </c>
      <c r="BB297">
        <v>0</v>
      </c>
      <c r="BD297">
        <v>0.14219000000000001</v>
      </c>
    </row>
    <row r="298" spans="1:56" x14ac:dyDescent="0.15">
      <c r="A298" s="4" t="str">
        <f>HYPERLINK("https://ibp.a2mac1.com/costing(costing:projects/details/9760/part/8411437)","Left/Single")</f>
        <v>Left/Single</v>
      </c>
      <c r="B298">
        <v>8411437</v>
      </c>
      <c r="C298">
        <v>8411340</v>
      </c>
      <c r="D298" t="s">
        <v>1141</v>
      </c>
      <c r="E298">
        <v>0.14001</v>
      </c>
      <c r="F298">
        <v>0</v>
      </c>
      <c r="G298">
        <v>0</v>
      </c>
      <c r="H298">
        <v>0</v>
      </c>
      <c r="I298" t="s">
        <v>71</v>
      </c>
      <c r="J298">
        <v>0</v>
      </c>
      <c r="K298">
        <v>0.14001</v>
      </c>
      <c r="L298">
        <v>0</v>
      </c>
      <c r="M298">
        <v>0</v>
      </c>
      <c r="N298">
        <v>0.14001</v>
      </c>
      <c r="O298" t="s">
        <v>71</v>
      </c>
      <c r="P298">
        <v>0</v>
      </c>
      <c r="Q298" t="s">
        <v>71</v>
      </c>
      <c r="R298">
        <v>0</v>
      </c>
      <c r="S298" t="s">
        <v>71</v>
      </c>
      <c r="T298">
        <v>0</v>
      </c>
      <c r="U298" t="s">
        <v>71</v>
      </c>
      <c r="V298">
        <v>0</v>
      </c>
      <c r="W298" t="s">
        <v>71</v>
      </c>
      <c r="X298">
        <v>0</v>
      </c>
      <c r="Y298">
        <v>0.14001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23</v>
      </c>
      <c r="AF298">
        <v>151</v>
      </c>
      <c r="AG298">
        <v>51</v>
      </c>
      <c r="AH298">
        <v>0</v>
      </c>
      <c r="AI298">
        <v>2.4E-2</v>
      </c>
      <c r="AK298" t="s">
        <v>1108</v>
      </c>
      <c r="AM298">
        <v>200000</v>
      </c>
      <c r="AN298" t="s">
        <v>73</v>
      </c>
      <c r="AO298">
        <v>1</v>
      </c>
      <c r="AP298">
        <v>0</v>
      </c>
      <c r="AQ298">
        <v>16666.666666666668</v>
      </c>
      <c r="AR298" t="s">
        <v>1156</v>
      </c>
      <c r="AS298" t="s">
        <v>75</v>
      </c>
      <c r="AX298" t="s">
        <v>76</v>
      </c>
      <c r="AY298" t="s">
        <v>71</v>
      </c>
      <c r="AZ298">
        <v>0</v>
      </c>
      <c r="BA298" t="s">
        <v>71</v>
      </c>
      <c r="BB298">
        <v>0</v>
      </c>
      <c r="BD298">
        <v>0.14001</v>
      </c>
    </row>
    <row r="299" spans="1:56" x14ac:dyDescent="0.15">
      <c r="A299" s="4" t="str">
        <f>HYPERLINK("https://ibp.a2mac1.com/costing(costing:projects/details/9760/part/8411330)","Temperature Mix Flap")</f>
        <v>Temperature Mix Flap</v>
      </c>
      <c r="B299">
        <v>8411330</v>
      </c>
      <c r="C299">
        <v>8411212</v>
      </c>
      <c r="D299" t="s">
        <v>1141</v>
      </c>
      <c r="E299">
        <v>0.23336000000000001</v>
      </c>
      <c r="F299">
        <v>0</v>
      </c>
      <c r="G299">
        <v>0</v>
      </c>
      <c r="H299">
        <v>0</v>
      </c>
      <c r="I299" t="s">
        <v>71</v>
      </c>
      <c r="J299">
        <v>0</v>
      </c>
      <c r="K299">
        <v>0.23336000000000001</v>
      </c>
      <c r="L299">
        <v>0</v>
      </c>
      <c r="M299">
        <v>0</v>
      </c>
      <c r="N299">
        <v>0.23336000000000001</v>
      </c>
      <c r="O299" t="s">
        <v>71</v>
      </c>
      <c r="P299">
        <v>0</v>
      </c>
      <c r="Q299" t="s">
        <v>71</v>
      </c>
      <c r="R299">
        <v>0</v>
      </c>
      <c r="S299" t="s">
        <v>71</v>
      </c>
      <c r="T299">
        <v>0</v>
      </c>
      <c r="U299" t="s">
        <v>71</v>
      </c>
      <c r="V299">
        <v>0</v>
      </c>
      <c r="W299" t="s">
        <v>71</v>
      </c>
      <c r="X299">
        <v>0</v>
      </c>
      <c r="Y299">
        <v>0.23336000000000001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72</v>
      </c>
      <c r="AF299">
        <v>171</v>
      </c>
      <c r="AG299">
        <v>72</v>
      </c>
      <c r="AH299">
        <v>0</v>
      </c>
      <c r="AI299">
        <v>7.0000000000000007E-2</v>
      </c>
      <c r="AK299" t="s">
        <v>1108</v>
      </c>
      <c r="AM299">
        <v>200000</v>
      </c>
      <c r="AN299" t="s">
        <v>73</v>
      </c>
      <c r="AO299">
        <v>1</v>
      </c>
      <c r="AP299">
        <v>0</v>
      </c>
      <c r="AQ299">
        <v>16666.666666666668</v>
      </c>
      <c r="AR299" t="s">
        <v>1158</v>
      </c>
      <c r="AS299" t="s">
        <v>75</v>
      </c>
      <c r="AX299" t="s">
        <v>76</v>
      </c>
      <c r="AY299" t="s">
        <v>71</v>
      </c>
      <c r="AZ299">
        <v>0</v>
      </c>
      <c r="BA299" t="s">
        <v>71</v>
      </c>
      <c r="BB299">
        <v>0</v>
      </c>
      <c r="BD299">
        <v>0.23336000000000001</v>
      </c>
    </row>
    <row r="300" spans="1:56" x14ac:dyDescent="0.15">
      <c r="A300" s="4" t="str">
        <f>HYPERLINK("https://ibp.a2mac1.com/costing(costing:projects/details/9760/part/8411331)","Temperature Mix Flap (Right if Different)")</f>
        <v>Temperature Mix Flap (Right if Different)</v>
      </c>
      <c r="B300">
        <v>8411331</v>
      </c>
      <c r="C300">
        <v>8411212</v>
      </c>
      <c r="D300" t="s">
        <v>1141</v>
      </c>
      <c r="E300">
        <v>0.22359999999999999</v>
      </c>
      <c r="F300">
        <v>0</v>
      </c>
      <c r="G300">
        <v>0</v>
      </c>
      <c r="H300">
        <v>0</v>
      </c>
      <c r="I300" t="s">
        <v>71</v>
      </c>
      <c r="J300">
        <v>0</v>
      </c>
      <c r="K300">
        <v>0.22359999999999999</v>
      </c>
      <c r="L300">
        <v>0</v>
      </c>
      <c r="M300">
        <v>0</v>
      </c>
      <c r="N300">
        <v>0.22359999999999999</v>
      </c>
      <c r="O300" t="s">
        <v>71</v>
      </c>
      <c r="P300">
        <v>0</v>
      </c>
      <c r="Q300" t="s">
        <v>71</v>
      </c>
      <c r="R300">
        <v>0</v>
      </c>
      <c r="S300" t="s">
        <v>71</v>
      </c>
      <c r="T300">
        <v>0</v>
      </c>
      <c r="U300" t="s">
        <v>71</v>
      </c>
      <c r="V300">
        <v>0</v>
      </c>
      <c r="W300" t="s">
        <v>71</v>
      </c>
      <c r="X300">
        <v>0</v>
      </c>
      <c r="Y300">
        <v>0.22359999999999999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72</v>
      </c>
      <c r="AF300">
        <v>142</v>
      </c>
      <c r="AG300">
        <v>72</v>
      </c>
      <c r="AH300">
        <v>0</v>
      </c>
      <c r="AI300">
        <v>6.5000000000000002E-2</v>
      </c>
      <c r="AK300" t="s">
        <v>1108</v>
      </c>
      <c r="AM300">
        <v>200000</v>
      </c>
      <c r="AN300" t="s">
        <v>73</v>
      </c>
      <c r="AO300">
        <v>1</v>
      </c>
      <c r="AP300">
        <v>0</v>
      </c>
      <c r="AQ300">
        <v>16666.666666666668</v>
      </c>
      <c r="AR300" t="s">
        <v>1159</v>
      </c>
      <c r="AS300" t="s">
        <v>75</v>
      </c>
      <c r="AX300" t="s">
        <v>76</v>
      </c>
      <c r="AY300" t="s">
        <v>71</v>
      </c>
      <c r="AZ300">
        <v>0</v>
      </c>
      <c r="BA300" t="s">
        <v>71</v>
      </c>
      <c r="BB300">
        <v>0</v>
      </c>
      <c r="BD300">
        <v>0.22359999999999999</v>
      </c>
    </row>
    <row r="301" spans="1:56" x14ac:dyDescent="0.15">
      <c r="A301" s="4" t="str">
        <f>HYPERLINK("https://ibp.a2mac1.com/costing(costing:projects/details/9760/part/8411332)","2nd Temperature Mix Flap")</f>
        <v>2nd Temperature Mix Flap</v>
      </c>
      <c r="B301">
        <v>8411332</v>
      </c>
      <c r="C301">
        <v>8411212</v>
      </c>
      <c r="D301" t="s">
        <v>1141</v>
      </c>
      <c r="E301">
        <v>0.23336000000000001</v>
      </c>
      <c r="F301">
        <v>0</v>
      </c>
      <c r="G301">
        <v>0</v>
      </c>
      <c r="H301">
        <v>0</v>
      </c>
      <c r="I301" t="s">
        <v>71</v>
      </c>
      <c r="J301">
        <v>0</v>
      </c>
      <c r="K301">
        <v>0.23336000000000001</v>
      </c>
      <c r="L301">
        <v>0</v>
      </c>
      <c r="M301">
        <v>0</v>
      </c>
      <c r="N301">
        <v>0.23336000000000001</v>
      </c>
      <c r="O301" t="s">
        <v>71</v>
      </c>
      <c r="P301">
        <v>0</v>
      </c>
      <c r="Q301" t="s">
        <v>71</v>
      </c>
      <c r="R301">
        <v>0</v>
      </c>
      <c r="S301" t="s">
        <v>71</v>
      </c>
      <c r="T301">
        <v>0</v>
      </c>
      <c r="U301" t="s">
        <v>71</v>
      </c>
      <c r="V301">
        <v>0</v>
      </c>
      <c r="W301" t="s">
        <v>71</v>
      </c>
      <c r="X301">
        <v>0</v>
      </c>
      <c r="Y301">
        <v>0.23336000000000001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25</v>
      </c>
      <c r="AF301">
        <v>292</v>
      </c>
      <c r="AG301">
        <v>61</v>
      </c>
      <c r="AH301">
        <v>0</v>
      </c>
      <c r="AI301">
        <v>7.0000000000000007E-2</v>
      </c>
      <c r="AK301" t="s">
        <v>1108</v>
      </c>
      <c r="AM301">
        <v>200000</v>
      </c>
      <c r="AN301" t="s">
        <v>73</v>
      </c>
      <c r="AO301">
        <v>1</v>
      </c>
      <c r="AP301">
        <v>0</v>
      </c>
      <c r="AQ301">
        <v>16666.666666666668</v>
      </c>
      <c r="AR301" t="s">
        <v>1160</v>
      </c>
      <c r="AS301" t="s">
        <v>75</v>
      </c>
      <c r="AX301" t="s">
        <v>76</v>
      </c>
      <c r="AY301" t="s">
        <v>71</v>
      </c>
      <c r="AZ301">
        <v>0</v>
      </c>
      <c r="BA301" t="s">
        <v>71</v>
      </c>
      <c r="BB301">
        <v>0</v>
      </c>
      <c r="BD301">
        <v>0.23336000000000001</v>
      </c>
    </row>
    <row r="302" spans="1:56" x14ac:dyDescent="0.15">
      <c r="A302" s="4" t="str">
        <f>HYPERLINK("https://ibp.a2mac1.com/costing(costing:projects/details/9760/part/8411333)","3th Temperature Mix Flap")</f>
        <v>3th Temperature Mix Flap</v>
      </c>
      <c r="B302">
        <v>8411333</v>
      </c>
      <c r="C302">
        <v>8411212</v>
      </c>
      <c r="D302" t="s">
        <v>1141</v>
      </c>
      <c r="E302">
        <v>0.14437</v>
      </c>
      <c r="F302">
        <v>0</v>
      </c>
      <c r="G302">
        <v>0</v>
      </c>
      <c r="H302">
        <v>0</v>
      </c>
      <c r="I302" t="s">
        <v>71</v>
      </c>
      <c r="J302">
        <v>0</v>
      </c>
      <c r="K302">
        <v>0.14437</v>
      </c>
      <c r="L302">
        <v>0</v>
      </c>
      <c r="M302">
        <v>0</v>
      </c>
      <c r="N302">
        <v>0.14437</v>
      </c>
      <c r="O302" t="s">
        <v>71</v>
      </c>
      <c r="P302">
        <v>0</v>
      </c>
      <c r="Q302" t="s">
        <v>71</v>
      </c>
      <c r="R302">
        <v>0</v>
      </c>
      <c r="S302" t="s">
        <v>71</v>
      </c>
      <c r="T302">
        <v>0</v>
      </c>
      <c r="U302" t="s">
        <v>71</v>
      </c>
      <c r="V302">
        <v>0</v>
      </c>
      <c r="W302" t="s">
        <v>71</v>
      </c>
      <c r="X302">
        <v>0</v>
      </c>
      <c r="Y302">
        <v>0.14437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23</v>
      </c>
      <c r="AF302">
        <v>140</v>
      </c>
      <c r="AG302">
        <v>54</v>
      </c>
      <c r="AH302">
        <v>0</v>
      </c>
      <c r="AI302">
        <v>2.5999999999999999E-2</v>
      </c>
      <c r="AK302" t="s">
        <v>1108</v>
      </c>
      <c r="AM302">
        <v>200000</v>
      </c>
      <c r="AN302" t="s">
        <v>73</v>
      </c>
      <c r="AO302">
        <v>1</v>
      </c>
      <c r="AP302">
        <v>0</v>
      </c>
      <c r="AQ302">
        <v>16666.666666666668</v>
      </c>
      <c r="AR302" t="s">
        <v>1161</v>
      </c>
      <c r="AS302" t="s">
        <v>75</v>
      </c>
      <c r="AX302" t="s">
        <v>76</v>
      </c>
      <c r="AY302" t="s">
        <v>71</v>
      </c>
      <c r="AZ302">
        <v>0</v>
      </c>
      <c r="BA302" t="s">
        <v>71</v>
      </c>
      <c r="BB302">
        <v>0</v>
      </c>
      <c r="BD302">
        <v>0.14437</v>
      </c>
    </row>
    <row r="303" spans="1:56" x14ac:dyDescent="0.15">
      <c r="A303" s="4" t="str">
        <f>HYPERLINK("https://ibp.a2mac1.com/costing(costing:projects/details/9760/part/8411334)","3th Temperature Mix Flap (Right if Different)")</f>
        <v>3th Temperature Mix Flap (Right if Different)</v>
      </c>
      <c r="B303">
        <v>8411334</v>
      </c>
      <c r="C303">
        <v>8411212</v>
      </c>
      <c r="D303" t="s">
        <v>1141</v>
      </c>
      <c r="E303">
        <v>0.14219000000000001</v>
      </c>
      <c r="F303">
        <v>0</v>
      </c>
      <c r="G303">
        <v>0</v>
      </c>
      <c r="H303">
        <v>0</v>
      </c>
      <c r="I303" t="s">
        <v>71</v>
      </c>
      <c r="J303">
        <v>0</v>
      </c>
      <c r="K303">
        <v>0.14219000000000001</v>
      </c>
      <c r="L303">
        <v>0</v>
      </c>
      <c r="M303">
        <v>0</v>
      </c>
      <c r="N303">
        <v>0.14219000000000001</v>
      </c>
      <c r="O303" t="s">
        <v>71</v>
      </c>
      <c r="P303">
        <v>0</v>
      </c>
      <c r="Q303" t="s">
        <v>71</v>
      </c>
      <c r="R303">
        <v>0</v>
      </c>
      <c r="S303" t="s">
        <v>71</v>
      </c>
      <c r="T303">
        <v>0</v>
      </c>
      <c r="U303" t="s">
        <v>71</v>
      </c>
      <c r="V303">
        <v>0</v>
      </c>
      <c r="W303" t="s">
        <v>71</v>
      </c>
      <c r="X303">
        <v>0</v>
      </c>
      <c r="Y303">
        <v>0.14219000000000001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23</v>
      </c>
      <c r="AF303">
        <v>118</v>
      </c>
      <c r="AG303">
        <v>54</v>
      </c>
      <c r="AH303">
        <v>0</v>
      </c>
      <c r="AI303">
        <v>2.5000000000000001E-2</v>
      </c>
      <c r="AK303" t="s">
        <v>1108</v>
      </c>
      <c r="AM303">
        <v>200000</v>
      </c>
      <c r="AN303" t="s">
        <v>73</v>
      </c>
      <c r="AO303">
        <v>1</v>
      </c>
      <c r="AP303">
        <v>0</v>
      </c>
      <c r="AQ303">
        <v>16666.666666666668</v>
      </c>
      <c r="AR303" t="s">
        <v>1162</v>
      </c>
      <c r="AS303" t="s">
        <v>75</v>
      </c>
      <c r="AX303" t="s">
        <v>76</v>
      </c>
      <c r="AY303" t="s">
        <v>71</v>
      </c>
      <c r="AZ303">
        <v>0</v>
      </c>
      <c r="BA303" t="s">
        <v>71</v>
      </c>
      <c r="BB303">
        <v>0</v>
      </c>
      <c r="BD303">
        <v>0.14219000000000001</v>
      </c>
    </row>
    <row r="304" spans="1:56" x14ac:dyDescent="0.15">
      <c r="A304" s="4" t="str">
        <f>HYPERLINK("https://ibp.a2mac1.com/costing(costing:projects/details/9760/part/8411335)","Temperature Mix Flap Row 2")</f>
        <v>Temperature Mix Flap Row 2</v>
      </c>
      <c r="B304">
        <v>8411335</v>
      </c>
      <c r="C304">
        <v>8411212</v>
      </c>
      <c r="D304" t="s">
        <v>1141</v>
      </c>
      <c r="E304">
        <v>0.2177</v>
      </c>
      <c r="F304">
        <v>0</v>
      </c>
      <c r="G304">
        <v>0</v>
      </c>
      <c r="H304">
        <v>0</v>
      </c>
      <c r="I304" t="s">
        <v>71</v>
      </c>
      <c r="J304">
        <v>0</v>
      </c>
      <c r="K304">
        <v>0.2177</v>
      </c>
      <c r="L304">
        <v>0</v>
      </c>
      <c r="M304">
        <v>0</v>
      </c>
      <c r="N304">
        <v>0.2177</v>
      </c>
      <c r="O304" t="s">
        <v>71</v>
      </c>
      <c r="P304">
        <v>0</v>
      </c>
      <c r="Q304" t="s">
        <v>71</v>
      </c>
      <c r="R304">
        <v>0</v>
      </c>
      <c r="S304" t="s">
        <v>71</v>
      </c>
      <c r="T304">
        <v>0</v>
      </c>
      <c r="U304" t="s">
        <v>71</v>
      </c>
      <c r="V304">
        <v>0</v>
      </c>
      <c r="W304" t="s">
        <v>71</v>
      </c>
      <c r="X304">
        <v>0</v>
      </c>
      <c r="Y304">
        <v>0.2177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23</v>
      </c>
      <c r="AF304">
        <v>255</v>
      </c>
      <c r="AG304">
        <v>62</v>
      </c>
      <c r="AH304">
        <v>0</v>
      </c>
      <c r="AI304">
        <v>6.2E-2</v>
      </c>
      <c r="AK304" t="s">
        <v>1108</v>
      </c>
      <c r="AM304">
        <v>200000</v>
      </c>
      <c r="AN304" t="s">
        <v>73</v>
      </c>
      <c r="AO304">
        <v>1</v>
      </c>
      <c r="AP304">
        <v>0</v>
      </c>
      <c r="AQ304">
        <v>16666.666666666668</v>
      </c>
      <c r="AR304" t="s">
        <v>1163</v>
      </c>
      <c r="AS304" t="s">
        <v>75</v>
      </c>
      <c r="AX304" t="s">
        <v>76</v>
      </c>
      <c r="AY304" t="s">
        <v>71</v>
      </c>
      <c r="AZ304">
        <v>0</v>
      </c>
      <c r="BA304" t="s">
        <v>71</v>
      </c>
      <c r="BB304">
        <v>0</v>
      </c>
      <c r="BD304">
        <v>0.2177</v>
      </c>
    </row>
    <row r="305" spans="1:56" x14ac:dyDescent="0.15">
      <c r="A305" s="4" t="str">
        <f>HYPERLINK("https://ibp.a2mac1.com/costing(costing:projects/details/9760/part/8411341)","Air Intake")</f>
        <v>Air Intake</v>
      </c>
      <c r="B305">
        <v>8411341</v>
      </c>
      <c r="C305">
        <v>8411214</v>
      </c>
      <c r="D305" t="s">
        <v>1166</v>
      </c>
      <c r="E305">
        <v>0.12341000000000001</v>
      </c>
      <c r="F305">
        <v>0</v>
      </c>
      <c r="G305">
        <v>0</v>
      </c>
      <c r="H305">
        <v>0</v>
      </c>
      <c r="I305" t="s">
        <v>71</v>
      </c>
      <c r="J305">
        <v>0</v>
      </c>
      <c r="K305">
        <v>0.12341000000000001</v>
      </c>
      <c r="L305">
        <v>0</v>
      </c>
      <c r="M305">
        <v>0</v>
      </c>
      <c r="N305">
        <v>0.12341000000000001</v>
      </c>
      <c r="O305" t="s">
        <v>71</v>
      </c>
      <c r="P305">
        <v>0</v>
      </c>
      <c r="Q305" t="s">
        <v>71</v>
      </c>
      <c r="R305">
        <v>0</v>
      </c>
      <c r="S305" t="s">
        <v>71</v>
      </c>
      <c r="T305">
        <v>0</v>
      </c>
      <c r="U305" t="s">
        <v>71</v>
      </c>
      <c r="V305">
        <v>0</v>
      </c>
      <c r="W305" t="s">
        <v>71</v>
      </c>
      <c r="X305">
        <v>0</v>
      </c>
      <c r="Y305">
        <v>0.12341000000000001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27</v>
      </c>
      <c r="AF305">
        <v>77</v>
      </c>
      <c r="AG305">
        <v>47</v>
      </c>
      <c r="AH305">
        <v>0</v>
      </c>
      <c r="AI305">
        <v>8.0000000000000002E-3</v>
      </c>
      <c r="AK305" t="s">
        <v>1108</v>
      </c>
      <c r="AM305">
        <v>200000</v>
      </c>
      <c r="AN305" t="s">
        <v>73</v>
      </c>
      <c r="AO305">
        <v>1</v>
      </c>
      <c r="AP305">
        <v>0</v>
      </c>
      <c r="AQ305">
        <v>16666.666666666668</v>
      </c>
      <c r="AR305" t="s">
        <v>1167</v>
      </c>
      <c r="AS305" t="s">
        <v>75</v>
      </c>
      <c r="AX305" t="s">
        <v>76</v>
      </c>
      <c r="AY305" t="s">
        <v>71</v>
      </c>
      <c r="AZ305">
        <v>0</v>
      </c>
      <c r="BA305" t="s">
        <v>71</v>
      </c>
      <c r="BB305">
        <v>0</v>
      </c>
      <c r="BD305">
        <v>0.12341000000000001</v>
      </c>
    </row>
    <row r="306" spans="1:56" x14ac:dyDescent="0.15">
      <c r="A306" s="4" t="str">
        <f>HYPERLINK("https://ibp.a2mac1.com/costing(costing:projects/details/9760/part/8411342)","Mechanism Support")</f>
        <v>Mechanism Support</v>
      </c>
      <c r="B306">
        <v>8411342</v>
      </c>
      <c r="C306">
        <v>8411214</v>
      </c>
      <c r="D306" t="s">
        <v>1168</v>
      </c>
      <c r="E306">
        <v>0.14599000000000001</v>
      </c>
      <c r="F306">
        <v>0</v>
      </c>
      <c r="G306">
        <v>0</v>
      </c>
      <c r="H306">
        <v>0</v>
      </c>
      <c r="I306" t="s">
        <v>71</v>
      </c>
      <c r="J306">
        <v>0</v>
      </c>
      <c r="K306">
        <v>0.14599000000000001</v>
      </c>
      <c r="L306">
        <v>0</v>
      </c>
      <c r="M306">
        <v>0</v>
      </c>
      <c r="N306">
        <v>0.14599000000000001</v>
      </c>
      <c r="O306" t="s">
        <v>71</v>
      </c>
      <c r="P306">
        <v>0</v>
      </c>
      <c r="Q306" t="s">
        <v>71</v>
      </c>
      <c r="R306">
        <v>0</v>
      </c>
      <c r="S306" t="s">
        <v>71</v>
      </c>
      <c r="T306">
        <v>0</v>
      </c>
      <c r="U306" t="s">
        <v>71</v>
      </c>
      <c r="V306">
        <v>0</v>
      </c>
      <c r="W306" t="s">
        <v>71</v>
      </c>
      <c r="X306">
        <v>0</v>
      </c>
      <c r="Y306">
        <v>0.14599000000000001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39</v>
      </c>
      <c r="AF306">
        <v>98</v>
      </c>
      <c r="AG306">
        <v>98</v>
      </c>
      <c r="AH306">
        <v>0</v>
      </c>
      <c r="AI306">
        <v>2.9000000000000001E-2</v>
      </c>
      <c r="AK306" t="s">
        <v>1108</v>
      </c>
      <c r="AM306">
        <v>200000</v>
      </c>
      <c r="AN306" t="s">
        <v>73</v>
      </c>
      <c r="AO306">
        <v>1</v>
      </c>
      <c r="AP306">
        <v>0</v>
      </c>
      <c r="AQ306">
        <v>16666.666666666668</v>
      </c>
      <c r="AR306" t="s">
        <v>1169</v>
      </c>
      <c r="AS306" t="s">
        <v>75</v>
      </c>
      <c r="AX306" t="s">
        <v>76</v>
      </c>
      <c r="AY306" t="s">
        <v>71</v>
      </c>
      <c r="AZ306">
        <v>0</v>
      </c>
      <c r="BA306" t="s">
        <v>71</v>
      </c>
      <c r="BB306">
        <v>0</v>
      </c>
      <c r="BD306">
        <v>0.14599000000000001</v>
      </c>
    </row>
    <row r="307" spans="1:56" x14ac:dyDescent="0.15">
      <c r="A307" s="4" t="str">
        <f>HYPERLINK("https://ibp.a2mac1.com/costing(costing:projects/details/9760/part/8411343)","Guide")</f>
        <v>Guide</v>
      </c>
      <c r="B307">
        <v>8411343</v>
      </c>
      <c r="C307">
        <v>8411214</v>
      </c>
      <c r="D307" t="s">
        <v>1170</v>
      </c>
      <c r="E307">
        <v>0.20149</v>
      </c>
      <c r="F307">
        <v>0</v>
      </c>
      <c r="G307">
        <v>0</v>
      </c>
      <c r="H307">
        <v>0</v>
      </c>
      <c r="I307" t="s">
        <v>71</v>
      </c>
      <c r="J307">
        <v>0</v>
      </c>
      <c r="K307">
        <v>0.20149</v>
      </c>
      <c r="L307">
        <v>0</v>
      </c>
      <c r="M307">
        <v>0</v>
      </c>
      <c r="N307">
        <v>0.20149</v>
      </c>
      <c r="O307" t="s">
        <v>71</v>
      </c>
      <c r="P307">
        <v>0</v>
      </c>
      <c r="Q307" t="s">
        <v>71</v>
      </c>
      <c r="R307">
        <v>0</v>
      </c>
      <c r="S307" t="s">
        <v>71</v>
      </c>
      <c r="T307">
        <v>0</v>
      </c>
      <c r="U307" t="s">
        <v>71</v>
      </c>
      <c r="V307">
        <v>0</v>
      </c>
      <c r="W307" t="s">
        <v>71</v>
      </c>
      <c r="X307">
        <v>0</v>
      </c>
      <c r="Y307">
        <v>0.20149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36</v>
      </c>
      <c r="AF307">
        <v>70</v>
      </c>
      <c r="AG307">
        <v>70</v>
      </c>
      <c r="AH307">
        <v>0</v>
      </c>
      <c r="AI307">
        <v>3.2000000000000001E-2</v>
      </c>
      <c r="AK307" t="s">
        <v>1108</v>
      </c>
      <c r="AM307">
        <v>200000</v>
      </c>
      <c r="AN307" t="s">
        <v>73</v>
      </c>
      <c r="AO307">
        <v>1</v>
      </c>
      <c r="AP307">
        <v>0</v>
      </c>
      <c r="AQ307">
        <v>16666.666666666668</v>
      </c>
      <c r="AR307" t="s">
        <v>1171</v>
      </c>
      <c r="AS307" t="s">
        <v>75</v>
      </c>
      <c r="AX307" t="s">
        <v>76</v>
      </c>
      <c r="AY307" t="s">
        <v>71</v>
      </c>
      <c r="AZ307">
        <v>0</v>
      </c>
      <c r="BA307" t="s">
        <v>71</v>
      </c>
      <c r="BB307">
        <v>0</v>
      </c>
      <c r="BD307">
        <v>0.20149</v>
      </c>
    </row>
    <row r="308" spans="1:56" x14ac:dyDescent="0.15">
      <c r="A308" s="4" t="str">
        <f>HYPERLINK("https://ibp.a2mac1.com/costing(costing:projects/details/9760/part/8411344)","Defroster mechanism")</f>
        <v>Defroster mechanism</v>
      </c>
      <c r="B308">
        <v>8411344</v>
      </c>
      <c r="C308">
        <v>8411214</v>
      </c>
      <c r="D308" t="s">
        <v>1166</v>
      </c>
      <c r="E308">
        <v>9.7879999999999995E-2</v>
      </c>
      <c r="F308">
        <v>0</v>
      </c>
      <c r="G308">
        <v>0</v>
      </c>
      <c r="H308">
        <v>0</v>
      </c>
      <c r="I308" t="s">
        <v>71</v>
      </c>
      <c r="J308">
        <v>0</v>
      </c>
      <c r="K308">
        <v>9.7879999999999995E-2</v>
      </c>
      <c r="L308">
        <v>0</v>
      </c>
      <c r="M308">
        <v>0</v>
      </c>
      <c r="N308">
        <v>9.7879999999999995E-2</v>
      </c>
      <c r="O308" t="s">
        <v>71</v>
      </c>
      <c r="P308">
        <v>0</v>
      </c>
      <c r="Q308" t="s">
        <v>71</v>
      </c>
      <c r="R308">
        <v>0</v>
      </c>
      <c r="S308" t="s">
        <v>71</v>
      </c>
      <c r="T308">
        <v>0</v>
      </c>
      <c r="U308" t="s">
        <v>71</v>
      </c>
      <c r="V308">
        <v>0</v>
      </c>
      <c r="W308" t="s">
        <v>71</v>
      </c>
      <c r="X308">
        <v>0</v>
      </c>
      <c r="Y308">
        <v>9.7879999999999995E-2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40</v>
      </c>
      <c r="AF308">
        <v>28</v>
      </c>
      <c r="AG308">
        <v>21</v>
      </c>
      <c r="AH308">
        <v>0</v>
      </c>
      <c r="AI308">
        <v>4.0000000000000001E-3</v>
      </c>
      <c r="AK308" t="s">
        <v>1108</v>
      </c>
      <c r="AM308">
        <v>200000</v>
      </c>
      <c r="AN308" t="s">
        <v>73</v>
      </c>
      <c r="AO308">
        <v>1</v>
      </c>
      <c r="AP308">
        <v>0</v>
      </c>
      <c r="AQ308">
        <v>16666.666666666668</v>
      </c>
      <c r="AR308" t="s">
        <v>1172</v>
      </c>
      <c r="AS308" t="s">
        <v>75</v>
      </c>
      <c r="AX308" t="s">
        <v>76</v>
      </c>
      <c r="AY308" t="s">
        <v>71</v>
      </c>
      <c r="AZ308">
        <v>0</v>
      </c>
      <c r="BA308" t="s">
        <v>71</v>
      </c>
      <c r="BB308">
        <v>0</v>
      </c>
      <c r="BD308">
        <v>9.7879999999999995E-2</v>
      </c>
    </row>
    <row r="309" spans="1:56" x14ac:dyDescent="0.15">
      <c r="A309" s="4" t="str">
        <f>HYPERLINK("https://ibp.a2mac1.com/costing(costing:projects/details/9760/part/8411345)","Front upper")</f>
        <v>Front upper</v>
      </c>
      <c r="B309">
        <v>8411345</v>
      </c>
      <c r="C309">
        <v>8411214</v>
      </c>
      <c r="D309" t="s">
        <v>1166</v>
      </c>
      <c r="E309">
        <v>0.10465000000000001</v>
      </c>
      <c r="F309">
        <v>0</v>
      </c>
      <c r="G309">
        <v>0</v>
      </c>
      <c r="H309">
        <v>0</v>
      </c>
      <c r="I309" t="s">
        <v>71</v>
      </c>
      <c r="J309">
        <v>0</v>
      </c>
      <c r="K309">
        <v>0.10465000000000001</v>
      </c>
      <c r="L309">
        <v>0</v>
      </c>
      <c r="M309">
        <v>0</v>
      </c>
      <c r="N309">
        <v>0.10465000000000001</v>
      </c>
      <c r="O309" t="s">
        <v>71</v>
      </c>
      <c r="P309">
        <v>0</v>
      </c>
      <c r="Q309" t="s">
        <v>71</v>
      </c>
      <c r="R309">
        <v>0</v>
      </c>
      <c r="S309" t="s">
        <v>71</v>
      </c>
      <c r="T309">
        <v>0</v>
      </c>
      <c r="U309" t="s">
        <v>71</v>
      </c>
      <c r="V309">
        <v>0</v>
      </c>
      <c r="W309" t="s">
        <v>71</v>
      </c>
      <c r="X309">
        <v>0</v>
      </c>
      <c r="Y309">
        <v>0.10465000000000001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34</v>
      </c>
      <c r="AF309">
        <v>60</v>
      </c>
      <c r="AG309">
        <v>28</v>
      </c>
      <c r="AH309">
        <v>0</v>
      </c>
      <c r="AI309">
        <v>5.0000000000000001E-3</v>
      </c>
      <c r="AK309" t="s">
        <v>1108</v>
      </c>
      <c r="AM309">
        <v>200000</v>
      </c>
      <c r="AN309" t="s">
        <v>73</v>
      </c>
      <c r="AO309">
        <v>1</v>
      </c>
      <c r="AP309">
        <v>0</v>
      </c>
      <c r="AQ309">
        <v>16666.666666666668</v>
      </c>
      <c r="AR309" t="s">
        <v>1173</v>
      </c>
      <c r="AS309" t="s">
        <v>75</v>
      </c>
      <c r="AX309" t="s">
        <v>76</v>
      </c>
      <c r="AY309" t="s">
        <v>71</v>
      </c>
      <c r="AZ309">
        <v>0</v>
      </c>
      <c r="BA309" t="s">
        <v>71</v>
      </c>
      <c r="BB309">
        <v>0</v>
      </c>
      <c r="BD309">
        <v>0.10465000000000001</v>
      </c>
    </row>
    <row r="310" spans="1:56" x14ac:dyDescent="0.15">
      <c r="A310" s="4" t="str">
        <f>HYPERLINK("https://ibp.a2mac1.com/costing(costing:projects/details/9760/part/8411346)","Front lower")</f>
        <v>Front lower</v>
      </c>
      <c r="B310">
        <v>8411346</v>
      </c>
      <c r="C310">
        <v>8411214</v>
      </c>
      <c r="D310" t="s">
        <v>1166</v>
      </c>
      <c r="E310">
        <v>0.1111</v>
      </c>
      <c r="F310">
        <v>0</v>
      </c>
      <c r="G310">
        <v>0</v>
      </c>
      <c r="H310">
        <v>0</v>
      </c>
      <c r="I310" t="s">
        <v>71</v>
      </c>
      <c r="J310">
        <v>0</v>
      </c>
      <c r="K310">
        <v>0.1111</v>
      </c>
      <c r="L310">
        <v>0</v>
      </c>
      <c r="M310">
        <v>0</v>
      </c>
      <c r="N310">
        <v>0.1111</v>
      </c>
      <c r="O310" t="s">
        <v>71</v>
      </c>
      <c r="P310">
        <v>0</v>
      </c>
      <c r="Q310" t="s">
        <v>71</v>
      </c>
      <c r="R310">
        <v>0</v>
      </c>
      <c r="S310" t="s">
        <v>71</v>
      </c>
      <c r="T310">
        <v>0</v>
      </c>
      <c r="U310" t="s">
        <v>71</v>
      </c>
      <c r="V310">
        <v>0</v>
      </c>
      <c r="W310" t="s">
        <v>71</v>
      </c>
      <c r="X310">
        <v>0</v>
      </c>
      <c r="Y310">
        <v>0.1111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32</v>
      </c>
      <c r="AF310">
        <v>73</v>
      </c>
      <c r="AG310">
        <v>15</v>
      </c>
      <c r="AH310">
        <v>0</v>
      </c>
      <c r="AI310">
        <v>6.0000000000000001E-3</v>
      </c>
      <c r="AK310" t="s">
        <v>1108</v>
      </c>
      <c r="AM310">
        <v>200000</v>
      </c>
      <c r="AN310" t="s">
        <v>73</v>
      </c>
      <c r="AO310">
        <v>1</v>
      </c>
      <c r="AP310">
        <v>0</v>
      </c>
      <c r="AQ310">
        <v>16666.666666666668</v>
      </c>
      <c r="AR310" t="s">
        <v>1174</v>
      </c>
      <c r="AS310" t="s">
        <v>75</v>
      </c>
      <c r="AX310" t="s">
        <v>76</v>
      </c>
      <c r="AY310" t="s">
        <v>71</v>
      </c>
      <c r="AZ310">
        <v>0</v>
      </c>
      <c r="BA310" t="s">
        <v>71</v>
      </c>
      <c r="BB310">
        <v>0</v>
      </c>
      <c r="BD310">
        <v>0.1111</v>
      </c>
    </row>
    <row r="311" spans="1:56" x14ac:dyDescent="0.15">
      <c r="A311" s="4" t="str">
        <f>HYPERLINK("https://ibp.a2mac1.com/costing(costing:projects/details/9760/part/8411347)","Front lower - second element")</f>
        <v>Front lower - second element</v>
      </c>
      <c r="B311">
        <v>8411347</v>
      </c>
      <c r="C311">
        <v>8411214</v>
      </c>
      <c r="D311" t="s">
        <v>1166</v>
      </c>
      <c r="E311">
        <v>8.2460000000000006E-2</v>
      </c>
      <c r="F311">
        <v>0</v>
      </c>
      <c r="G311">
        <v>0</v>
      </c>
      <c r="H311">
        <v>0</v>
      </c>
      <c r="I311" t="s">
        <v>71</v>
      </c>
      <c r="J311">
        <v>0</v>
      </c>
      <c r="K311">
        <v>8.2460000000000006E-2</v>
      </c>
      <c r="L311">
        <v>0</v>
      </c>
      <c r="M311">
        <v>0</v>
      </c>
      <c r="N311">
        <v>8.2460000000000006E-2</v>
      </c>
      <c r="O311" t="s">
        <v>71</v>
      </c>
      <c r="P311">
        <v>0</v>
      </c>
      <c r="Q311" t="s">
        <v>71</v>
      </c>
      <c r="R311">
        <v>0</v>
      </c>
      <c r="S311" t="s">
        <v>71</v>
      </c>
      <c r="T311">
        <v>0</v>
      </c>
      <c r="U311" t="s">
        <v>71</v>
      </c>
      <c r="V311">
        <v>0</v>
      </c>
      <c r="W311" t="s">
        <v>71</v>
      </c>
      <c r="X311">
        <v>0</v>
      </c>
      <c r="Y311">
        <v>8.2460000000000006E-2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12</v>
      </c>
      <c r="AF311">
        <v>39</v>
      </c>
      <c r="AG311">
        <v>17</v>
      </c>
      <c r="AH311">
        <v>0</v>
      </c>
      <c r="AI311">
        <v>2E-3</v>
      </c>
      <c r="AK311" t="s">
        <v>1108</v>
      </c>
      <c r="AM311">
        <v>200000</v>
      </c>
      <c r="AN311" t="s">
        <v>73</v>
      </c>
      <c r="AO311">
        <v>1</v>
      </c>
      <c r="AP311">
        <v>0</v>
      </c>
      <c r="AQ311">
        <v>16666.666666666668</v>
      </c>
      <c r="AR311" t="s">
        <v>1175</v>
      </c>
      <c r="AS311" t="s">
        <v>75</v>
      </c>
      <c r="AX311" t="s">
        <v>76</v>
      </c>
      <c r="AY311" t="s">
        <v>71</v>
      </c>
      <c r="AZ311">
        <v>0</v>
      </c>
      <c r="BA311" t="s">
        <v>71</v>
      </c>
      <c r="BB311">
        <v>0</v>
      </c>
      <c r="BD311">
        <v>8.2460000000000006E-2</v>
      </c>
    </row>
    <row r="312" spans="1:56" x14ac:dyDescent="0.15">
      <c r="A312" s="4" t="str">
        <f>HYPERLINK("https://ibp.a2mac1.com/costing(costing:projects/details/9760/part/8411348)","Temperature Mix Mechanism")</f>
        <v>Temperature Mix Mechanism</v>
      </c>
      <c r="B312">
        <v>8411348</v>
      </c>
      <c r="C312">
        <v>8411214</v>
      </c>
      <c r="D312" t="s">
        <v>1166</v>
      </c>
      <c r="E312">
        <v>0.11733</v>
      </c>
      <c r="F312">
        <v>0</v>
      </c>
      <c r="G312">
        <v>0</v>
      </c>
      <c r="H312">
        <v>0</v>
      </c>
      <c r="I312" t="s">
        <v>71</v>
      </c>
      <c r="J312">
        <v>0</v>
      </c>
      <c r="K312">
        <v>0.11733</v>
      </c>
      <c r="L312">
        <v>0</v>
      </c>
      <c r="M312">
        <v>0</v>
      </c>
      <c r="N312">
        <v>0.11733</v>
      </c>
      <c r="O312" t="s">
        <v>71</v>
      </c>
      <c r="P312">
        <v>0</v>
      </c>
      <c r="Q312" t="s">
        <v>71</v>
      </c>
      <c r="R312">
        <v>0</v>
      </c>
      <c r="S312" t="s">
        <v>71</v>
      </c>
      <c r="T312">
        <v>0</v>
      </c>
      <c r="U312" t="s">
        <v>71</v>
      </c>
      <c r="V312">
        <v>0</v>
      </c>
      <c r="W312" t="s">
        <v>71</v>
      </c>
      <c r="X312">
        <v>0</v>
      </c>
      <c r="Y312">
        <v>0.11733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7</v>
      </c>
      <c r="AF312">
        <v>54</v>
      </c>
      <c r="AG312">
        <v>89</v>
      </c>
      <c r="AH312">
        <v>0</v>
      </c>
      <c r="AI312">
        <v>7.0000000000000001E-3</v>
      </c>
      <c r="AK312" t="s">
        <v>1108</v>
      </c>
      <c r="AM312">
        <v>200000</v>
      </c>
      <c r="AN312" t="s">
        <v>73</v>
      </c>
      <c r="AO312">
        <v>1</v>
      </c>
      <c r="AP312">
        <v>0</v>
      </c>
      <c r="AQ312">
        <v>16666.666666666668</v>
      </c>
      <c r="AR312" t="s">
        <v>1176</v>
      </c>
      <c r="AS312" t="s">
        <v>75</v>
      </c>
      <c r="AX312" t="s">
        <v>76</v>
      </c>
      <c r="AY312" t="s">
        <v>71</v>
      </c>
      <c r="AZ312">
        <v>0</v>
      </c>
      <c r="BA312" t="s">
        <v>71</v>
      </c>
      <c r="BB312">
        <v>0</v>
      </c>
      <c r="BD312">
        <v>0.11733</v>
      </c>
    </row>
    <row r="313" spans="1:56" x14ac:dyDescent="0.15">
      <c r="A313" s="4" t="str">
        <f>HYPERLINK("https://ibp.a2mac1.com/costing(costing:projects/details/9760/part/8411349)","Temperature Mix Mechanism (2nd Part)")</f>
        <v>Temperature Mix Mechanism (2nd Part)</v>
      </c>
      <c r="B313">
        <v>8411349</v>
      </c>
      <c r="C313">
        <v>8411214</v>
      </c>
      <c r="D313" t="s">
        <v>1166</v>
      </c>
      <c r="E313">
        <v>9.0609999999999996E-2</v>
      </c>
      <c r="F313">
        <v>0</v>
      </c>
      <c r="G313">
        <v>0</v>
      </c>
      <c r="H313">
        <v>0</v>
      </c>
      <c r="I313" t="s">
        <v>71</v>
      </c>
      <c r="J313">
        <v>0</v>
      </c>
      <c r="K313">
        <v>9.0609999999999996E-2</v>
      </c>
      <c r="L313">
        <v>0</v>
      </c>
      <c r="M313">
        <v>0</v>
      </c>
      <c r="N313">
        <v>9.0609999999999996E-2</v>
      </c>
      <c r="O313" t="s">
        <v>71</v>
      </c>
      <c r="P313">
        <v>0</v>
      </c>
      <c r="Q313" t="s">
        <v>71</v>
      </c>
      <c r="R313">
        <v>0</v>
      </c>
      <c r="S313" t="s">
        <v>71</v>
      </c>
      <c r="T313">
        <v>0</v>
      </c>
      <c r="U313" t="s">
        <v>71</v>
      </c>
      <c r="V313">
        <v>0</v>
      </c>
      <c r="W313" t="s">
        <v>71</v>
      </c>
      <c r="X313">
        <v>0</v>
      </c>
      <c r="Y313">
        <v>9.0609999999999996E-2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18</v>
      </c>
      <c r="AF313">
        <v>26</v>
      </c>
      <c r="AG313">
        <v>24</v>
      </c>
      <c r="AH313">
        <v>0</v>
      </c>
      <c r="AI313">
        <v>3.0000000000000001E-3</v>
      </c>
      <c r="AK313" t="s">
        <v>1108</v>
      </c>
      <c r="AM313">
        <v>200000</v>
      </c>
      <c r="AN313" t="s">
        <v>73</v>
      </c>
      <c r="AO313">
        <v>1</v>
      </c>
      <c r="AP313">
        <v>0</v>
      </c>
      <c r="AQ313">
        <v>16666.666666666668</v>
      </c>
      <c r="AR313" t="s">
        <v>1177</v>
      </c>
      <c r="AS313" t="s">
        <v>75</v>
      </c>
      <c r="AX313" t="s">
        <v>76</v>
      </c>
      <c r="AY313" t="s">
        <v>71</v>
      </c>
      <c r="AZ313">
        <v>0</v>
      </c>
      <c r="BA313" t="s">
        <v>71</v>
      </c>
      <c r="BB313">
        <v>0</v>
      </c>
      <c r="BD313">
        <v>9.0609999999999996E-2</v>
      </c>
    </row>
    <row r="314" spans="1:56" x14ac:dyDescent="0.15">
      <c r="A314" s="4" t="str">
        <f>HYPERLINK("https://ibp.a2mac1.com/costing(costing:projects/details/9760/part/8411350)","2nd Temperature Mix Mechanism")</f>
        <v>2nd Temperature Mix Mechanism</v>
      </c>
      <c r="B314">
        <v>8411350</v>
      </c>
      <c r="C314">
        <v>8411214</v>
      </c>
      <c r="D314" t="s">
        <v>1166</v>
      </c>
      <c r="E314">
        <v>0.12341000000000001</v>
      </c>
      <c r="F314">
        <v>0</v>
      </c>
      <c r="G314">
        <v>0</v>
      </c>
      <c r="H314">
        <v>0</v>
      </c>
      <c r="I314" t="s">
        <v>71</v>
      </c>
      <c r="J314">
        <v>0</v>
      </c>
      <c r="K314">
        <v>0.12341000000000001</v>
      </c>
      <c r="L314">
        <v>0</v>
      </c>
      <c r="M314">
        <v>0</v>
      </c>
      <c r="N314">
        <v>0.12341000000000001</v>
      </c>
      <c r="O314" t="s">
        <v>71</v>
      </c>
      <c r="P314">
        <v>0</v>
      </c>
      <c r="Q314" t="s">
        <v>71</v>
      </c>
      <c r="R314">
        <v>0</v>
      </c>
      <c r="S314" t="s">
        <v>71</v>
      </c>
      <c r="T314">
        <v>0</v>
      </c>
      <c r="U314" t="s">
        <v>71</v>
      </c>
      <c r="V314">
        <v>0</v>
      </c>
      <c r="W314" t="s">
        <v>71</v>
      </c>
      <c r="X314">
        <v>0</v>
      </c>
      <c r="Y314">
        <v>0.12341000000000001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42</v>
      </c>
      <c r="AF314">
        <v>55</v>
      </c>
      <c r="AG314">
        <v>40</v>
      </c>
      <c r="AH314">
        <v>0</v>
      </c>
      <c r="AI314">
        <v>8.0000000000000002E-3</v>
      </c>
      <c r="AK314" t="s">
        <v>1108</v>
      </c>
      <c r="AM314">
        <v>200000</v>
      </c>
      <c r="AN314" t="s">
        <v>73</v>
      </c>
      <c r="AO314">
        <v>1</v>
      </c>
      <c r="AP314">
        <v>0</v>
      </c>
      <c r="AQ314">
        <v>16666.666666666668</v>
      </c>
      <c r="AR314" t="s">
        <v>1178</v>
      </c>
      <c r="AS314" t="s">
        <v>75</v>
      </c>
      <c r="AX314" t="s">
        <v>76</v>
      </c>
      <c r="AY314" t="s">
        <v>71</v>
      </c>
      <c r="AZ314">
        <v>0</v>
      </c>
      <c r="BA314" t="s">
        <v>71</v>
      </c>
      <c r="BB314">
        <v>0</v>
      </c>
      <c r="BD314">
        <v>0.12341000000000001</v>
      </c>
    </row>
    <row r="315" spans="1:56" x14ac:dyDescent="0.15">
      <c r="A315" s="4" t="str">
        <f>HYPERLINK("https://ibp.a2mac1.com/costing(costing:projects/details/9760/part/8411351)","Complete/Multifunction Mechanism")</f>
        <v>Complete/Multifunction Mechanism</v>
      </c>
      <c r="B315">
        <v>8411351</v>
      </c>
      <c r="C315">
        <v>8411214</v>
      </c>
      <c r="D315" t="s">
        <v>1166</v>
      </c>
      <c r="E315">
        <v>0.14674000000000001</v>
      </c>
      <c r="F315">
        <v>0</v>
      </c>
      <c r="G315">
        <v>0</v>
      </c>
      <c r="H315">
        <v>0</v>
      </c>
      <c r="I315" t="s">
        <v>71</v>
      </c>
      <c r="J315">
        <v>0</v>
      </c>
      <c r="K315">
        <v>0.14674000000000001</v>
      </c>
      <c r="L315">
        <v>0</v>
      </c>
      <c r="M315">
        <v>0</v>
      </c>
      <c r="N315">
        <v>0.14674000000000001</v>
      </c>
      <c r="O315" t="s">
        <v>71</v>
      </c>
      <c r="P315">
        <v>0</v>
      </c>
      <c r="Q315" t="s">
        <v>71</v>
      </c>
      <c r="R315">
        <v>0</v>
      </c>
      <c r="S315" t="s">
        <v>71</v>
      </c>
      <c r="T315">
        <v>0</v>
      </c>
      <c r="U315" t="s">
        <v>71</v>
      </c>
      <c r="V315">
        <v>0</v>
      </c>
      <c r="W315" t="s">
        <v>71</v>
      </c>
      <c r="X315">
        <v>0</v>
      </c>
      <c r="Y315">
        <v>0.14674000000000001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17</v>
      </c>
      <c r="AF315">
        <v>75</v>
      </c>
      <c r="AG315">
        <v>58</v>
      </c>
      <c r="AH315">
        <v>0</v>
      </c>
      <c r="AI315">
        <v>1.2E-2</v>
      </c>
      <c r="AK315" t="s">
        <v>1108</v>
      </c>
      <c r="AM315">
        <v>200000</v>
      </c>
      <c r="AN315" t="s">
        <v>73</v>
      </c>
      <c r="AO315">
        <v>1</v>
      </c>
      <c r="AP315">
        <v>0</v>
      </c>
      <c r="AQ315">
        <v>16666.666666666668</v>
      </c>
      <c r="AR315" t="s">
        <v>1179</v>
      </c>
      <c r="AS315" t="s">
        <v>75</v>
      </c>
      <c r="AX315" t="s">
        <v>76</v>
      </c>
      <c r="AY315" t="s">
        <v>71</v>
      </c>
      <c r="AZ315">
        <v>0</v>
      </c>
      <c r="BA315" t="s">
        <v>71</v>
      </c>
      <c r="BB315">
        <v>0</v>
      </c>
      <c r="BD315">
        <v>0.14674000000000001</v>
      </c>
    </row>
    <row r="316" spans="1:56" x14ac:dyDescent="0.15">
      <c r="A316" s="4" t="str">
        <f>HYPERLINK("https://ibp.a2mac1.com/costing(costing:projects/details/9760/part/8411352)","Complete/Multifunction Mechanism right")</f>
        <v>Complete/Multifunction Mechanism right</v>
      </c>
      <c r="B316">
        <v>8411352</v>
      </c>
      <c r="C316">
        <v>8411214</v>
      </c>
      <c r="D316" t="s">
        <v>1166</v>
      </c>
      <c r="E316">
        <v>0.14674000000000001</v>
      </c>
      <c r="F316">
        <v>0</v>
      </c>
      <c r="G316">
        <v>0</v>
      </c>
      <c r="H316">
        <v>0</v>
      </c>
      <c r="I316" t="s">
        <v>71</v>
      </c>
      <c r="J316">
        <v>0</v>
      </c>
      <c r="K316">
        <v>0.14674000000000001</v>
      </c>
      <c r="L316">
        <v>0</v>
      </c>
      <c r="M316">
        <v>0</v>
      </c>
      <c r="N316">
        <v>0.14674000000000001</v>
      </c>
      <c r="O316" t="s">
        <v>71</v>
      </c>
      <c r="P316">
        <v>0</v>
      </c>
      <c r="Q316" t="s">
        <v>71</v>
      </c>
      <c r="R316">
        <v>0</v>
      </c>
      <c r="S316" t="s">
        <v>71</v>
      </c>
      <c r="T316">
        <v>0</v>
      </c>
      <c r="U316" t="s">
        <v>71</v>
      </c>
      <c r="V316">
        <v>0</v>
      </c>
      <c r="W316" t="s">
        <v>71</v>
      </c>
      <c r="X316">
        <v>0</v>
      </c>
      <c r="Y316">
        <v>0.14674000000000001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22</v>
      </c>
      <c r="AF316">
        <v>40</v>
      </c>
      <c r="AG316">
        <v>42</v>
      </c>
      <c r="AH316">
        <v>0</v>
      </c>
      <c r="AI316">
        <v>1.2E-2</v>
      </c>
      <c r="AK316" t="s">
        <v>1108</v>
      </c>
      <c r="AM316">
        <v>200000</v>
      </c>
      <c r="AN316" t="s">
        <v>73</v>
      </c>
      <c r="AO316">
        <v>1</v>
      </c>
      <c r="AP316">
        <v>0</v>
      </c>
      <c r="AQ316">
        <v>16666.666666666668</v>
      </c>
      <c r="AR316" t="s">
        <v>1180</v>
      </c>
      <c r="AS316" t="s">
        <v>75</v>
      </c>
      <c r="AX316" t="s">
        <v>76</v>
      </c>
      <c r="AY316" t="s">
        <v>71</v>
      </c>
      <c r="AZ316">
        <v>0</v>
      </c>
      <c r="BA316" t="s">
        <v>71</v>
      </c>
      <c r="BB316">
        <v>0</v>
      </c>
      <c r="BD316">
        <v>0.14674000000000001</v>
      </c>
    </row>
    <row r="317" spans="1:56" x14ac:dyDescent="0.15">
      <c r="A317" s="4" t="str">
        <f>HYPERLINK("https://ibp.a2mac1.com/costing(costing:projects/details/9760/part/8411353)","Right Side Heater Core Mechanism")</f>
        <v>Right Side Heater Core Mechanism</v>
      </c>
      <c r="B317">
        <v>8411353</v>
      </c>
      <c r="C317">
        <v>8411214</v>
      </c>
      <c r="D317" t="s">
        <v>1166</v>
      </c>
      <c r="E317">
        <v>9.0609999999999996E-2</v>
      </c>
      <c r="F317">
        <v>0</v>
      </c>
      <c r="G317">
        <v>0</v>
      </c>
      <c r="H317">
        <v>0</v>
      </c>
      <c r="I317" t="s">
        <v>71</v>
      </c>
      <c r="J317">
        <v>0</v>
      </c>
      <c r="K317">
        <v>9.0609999999999996E-2</v>
      </c>
      <c r="L317">
        <v>0</v>
      </c>
      <c r="M317">
        <v>0</v>
      </c>
      <c r="N317">
        <v>9.0609999999999996E-2</v>
      </c>
      <c r="O317" t="s">
        <v>71</v>
      </c>
      <c r="P317">
        <v>0</v>
      </c>
      <c r="Q317" t="s">
        <v>71</v>
      </c>
      <c r="R317">
        <v>0</v>
      </c>
      <c r="S317" t="s">
        <v>71</v>
      </c>
      <c r="T317">
        <v>0</v>
      </c>
      <c r="U317" t="s">
        <v>71</v>
      </c>
      <c r="V317">
        <v>0</v>
      </c>
      <c r="W317" t="s">
        <v>71</v>
      </c>
      <c r="X317">
        <v>0</v>
      </c>
      <c r="Y317">
        <v>9.0609999999999996E-2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33</v>
      </c>
      <c r="AF317">
        <v>24</v>
      </c>
      <c r="AG317">
        <v>24</v>
      </c>
      <c r="AH317">
        <v>0</v>
      </c>
      <c r="AI317">
        <v>3.0000000000000001E-3</v>
      </c>
      <c r="AK317" t="s">
        <v>1108</v>
      </c>
      <c r="AM317">
        <v>200000</v>
      </c>
      <c r="AN317" t="s">
        <v>73</v>
      </c>
      <c r="AO317">
        <v>1</v>
      </c>
      <c r="AP317">
        <v>0</v>
      </c>
      <c r="AQ317">
        <v>16666.666666666668</v>
      </c>
      <c r="AR317" t="s">
        <v>1181</v>
      </c>
      <c r="AS317" t="s">
        <v>75</v>
      </c>
      <c r="AX317" t="s">
        <v>76</v>
      </c>
      <c r="AY317" t="s">
        <v>71</v>
      </c>
      <c r="AZ317">
        <v>0</v>
      </c>
      <c r="BA317" t="s">
        <v>71</v>
      </c>
      <c r="BB317">
        <v>0</v>
      </c>
      <c r="BD317">
        <v>9.0609999999999996E-2</v>
      </c>
    </row>
    <row r="318" spans="1:56" x14ac:dyDescent="0.15">
      <c r="A318" s="4" t="str">
        <f>HYPERLINK("https://ibp.a2mac1.com/costing(costing:projects/details/9760/part/8411354)","Left Side Heater Core Mechanism")</f>
        <v>Left Side Heater Core Mechanism</v>
      </c>
      <c r="B318">
        <v>8411354</v>
      </c>
      <c r="C318">
        <v>8411214</v>
      </c>
      <c r="D318" t="s">
        <v>1166</v>
      </c>
      <c r="E318">
        <v>9.0609999999999996E-2</v>
      </c>
      <c r="F318">
        <v>0</v>
      </c>
      <c r="G318">
        <v>0</v>
      </c>
      <c r="H318">
        <v>0</v>
      </c>
      <c r="I318" t="s">
        <v>71</v>
      </c>
      <c r="J318">
        <v>0</v>
      </c>
      <c r="K318">
        <v>9.0609999999999996E-2</v>
      </c>
      <c r="L318">
        <v>0</v>
      </c>
      <c r="M318">
        <v>0</v>
      </c>
      <c r="N318">
        <v>9.0609999999999996E-2</v>
      </c>
      <c r="O318" t="s">
        <v>71</v>
      </c>
      <c r="P318">
        <v>0</v>
      </c>
      <c r="Q318" t="s">
        <v>71</v>
      </c>
      <c r="R318">
        <v>0</v>
      </c>
      <c r="S318" t="s">
        <v>71</v>
      </c>
      <c r="T318">
        <v>0</v>
      </c>
      <c r="U318" t="s">
        <v>71</v>
      </c>
      <c r="V318">
        <v>0</v>
      </c>
      <c r="W318" t="s">
        <v>71</v>
      </c>
      <c r="X318">
        <v>0</v>
      </c>
      <c r="Y318">
        <v>9.0609999999999996E-2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11</v>
      </c>
      <c r="AF318">
        <v>41</v>
      </c>
      <c r="AG318">
        <v>21</v>
      </c>
      <c r="AH318">
        <v>0</v>
      </c>
      <c r="AI318">
        <v>3.0000000000000001E-3</v>
      </c>
      <c r="AK318" t="s">
        <v>1108</v>
      </c>
      <c r="AM318">
        <v>200000</v>
      </c>
      <c r="AN318" t="s">
        <v>73</v>
      </c>
      <c r="AO318">
        <v>1</v>
      </c>
      <c r="AP318">
        <v>0</v>
      </c>
      <c r="AQ318">
        <v>16666.666666666668</v>
      </c>
      <c r="AR318" t="s">
        <v>1182</v>
      </c>
      <c r="AS318" t="s">
        <v>75</v>
      </c>
      <c r="AX318" t="s">
        <v>76</v>
      </c>
      <c r="AY318" t="s">
        <v>71</v>
      </c>
      <c r="AZ318">
        <v>0</v>
      </c>
      <c r="BA318" t="s">
        <v>71</v>
      </c>
      <c r="BB318">
        <v>0</v>
      </c>
      <c r="BD318">
        <v>9.0609999999999996E-2</v>
      </c>
    </row>
    <row r="319" spans="1:56" x14ac:dyDescent="0.15">
      <c r="A319" s="4" t="str">
        <f>HYPERLINK("https://ibp.a2mac1.com/costing(costing:projects/details/9760/part/8411355)","2nd Row Heater Core Mechanism")</f>
        <v>2nd Row Heater Core Mechanism</v>
      </c>
      <c r="B319">
        <v>8411355</v>
      </c>
      <c r="C319">
        <v>8411214</v>
      </c>
      <c r="D319" t="s">
        <v>1166</v>
      </c>
      <c r="E319">
        <v>0.1111</v>
      </c>
      <c r="F319">
        <v>0</v>
      </c>
      <c r="G319">
        <v>0</v>
      </c>
      <c r="H319">
        <v>0</v>
      </c>
      <c r="I319" t="s">
        <v>71</v>
      </c>
      <c r="J319">
        <v>0</v>
      </c>
      <c r="K319">
        <v>0.1111</v>
      </c>
      <c r="L319">
        <v>0</v>
      </c>
      <c r="M319">
        <v>0</v>
      </c>
      <c r="N319">
        <v>0.1111</v>
      </c>
      <c r="O319" t="s">
        <v>71</v>
      </c>
      <c r="P319">
        <v>0</v>
      </c>
      <c r="Q319" t="s">
        <v>71</v>
      </c>
      <c r="R319">
        <v>0</v>
      </c>
      <c r="S319" t="s">
        <v>71</v>
      </c>
      <c r="T319">
        <v>0</v>
      </c>
      <c r="U319" t="s">
        <v>71</v>
      </c>
      <c r="V319">
        <v>0</v>
      </c>
      <c r="W319" t="s">
        <v>71</v>
      </c>
      <c r="X319">
        <v>0</v>
      </c>
      <c r="Y319">
        <v>0.1111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51</v>
      </c>
      <c r="AF319">
        <v>33</v>
      </c>
      <c r="AG319">
        <v>42</v>
      </c>
      <c r="AH319">
        <v>0</v>
      </c>
      <c r="AI319">
        <v>6.0000000000000001E-3</v>
      </c>
      <c r="AK319" t="s">
        <v>1108</v>
      </c>
      <c r="AM319">
        <v>200000</v>
      </c>
      <c r="AN319" t="s">
        <v>73</v>
      </c>
      <c r="AO319">
        <v>1</v>
      </c>
      <c r="AP319">
        <v>0</v>
      </c>
      <c r="AQ319">
        <v>16666.666666666668</v>
      </c>
      <c r="AR319" t="s">
        <v>1183</v>
      </c>
      <c r="AS319" t="s">
        <v>75</v>
      </c>
      <c r="AX319" t="s">
        <v>76</v>
      </c>
      <c r="AY319" t="s">
        <v>71</v>
      </c>
      <c r="AZ319">
        <v>0</v>
      </c>
      <c r="BA319" t="s">
        <v>71</v>
      </c>
      <c r="BB319">
        <v>0</v>
      </c>
      <c r="BD319">
        <v>0.1111</v>
      </c>
    </row>
    <row r="320" spans="1:56" x14ac:dyDescent="0.15">
      <c r="A320" s="4" t="str">
        <f>HYPERLINK("https://ibp.a2mac1.com/costing(costing:projects/details/9760/part/8411356)","2nd Row Heater Core Mechanism Guide")</f>
        <v>2nd Row Heater Core Mechanism Guide</v>
      </c>
      <c r="B320">
        <v>8411356</v>
      </c>
      <c r="C320">
        <v>8411214</v>
      </c>
      <c r="D320" t="s">
        <v>1166</v>
      </c>
      <c r="E320">
        <v>0.12341000000000001</v>
      </c>
      <c r="F320">
        <v>0</v>
      </c>
      <c r="G320">
        <v>0</v>
      </c>
      <c r="H320">
        <v>0</v>
      </c>
      <c r="I320" t="s">
        <v>71</v>
      </c>
      <c r="J320">
        <v>0</v>
      </c>
      <c r="K320">
        <v>0.12341000000000001</v>
      </c>
      <c r="L320">
        <v>0</v>
      </c>
      <c r="M320">
        <v>0</v>
      </c>
      <c r="N320">
        <v>0.12341000000000001</v>
      </c>
      <c r="O320" t="s">
        <v>71</v>
      </c>
      <c r="P320">
        <v>0</v>
      </c>
      <c r="Q320" t="s">
        <v>71</v>
      </c>
      <c r="R320">
        <v>0</v>
      </c>
      <c r="S320" t="s">
        <v>71</v>
      </c>
      <c r="T320">
        <v>0</v>
      </c>
      <c r="U320" t="s">
        <v>71</v>
      </c>
      <c r="V320">
        <v>0</v>
      </c>
      <c r="W320" t="s">
        <v>71</v>
      </c>
      <c r="X320">
        <v>0</v>
      </c>
      <c r="Y320">
        <v>0.12341000000000001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29</v>
      </c>
      <c r="AF320">
        <v>42</v>
      </c>
      <c r="AG320">
        <v>122</v>
      </c>
      <c r="AH320">
        <v>0</v>
      </c>
      <c r="AI320">
        <v>8.0000000000000002E-3</v>
      </c>
      <c r="AK320" t="s">
        <v>1108</v>
      </c>
      <c r="AM320">
        <v>200000</v>
      </c>
      <c r="AN320" t="s">
        <v>73</v>
      </c>
      <c r="AO320">
        <v>1</v>
      </c>
      <c r="AP320">
        <v>0</v>
      </c>
      <c r="AQ320">
        <v>16666.666666666668</v>
      </c>
      <c r="AR320" t="s">
        <v>1184</v>
      </c>
      <c r="AS320" t="s">
        <v>75</v>
      </c>
      <c r="AX320" t="s">
        <v>76</v>
      </c>
      <c r="AY320" t="s">
        <v>71</v>
      </c>
      <c r="AZ320">
        <v>0</v>
      </c>
      <c r="BA320" t="s">
        <v>71</v>
      </c>
      <c r="BB320">
        <v>0</v>
      </c>
      <c r="BD320">
        <v>0.12341000000000001</v>
      </c>
    </row>
    <row r="321" spans="1:56" x14ac:dyDescent="0.15">
      <c r="A321" s="4" t="str">
        <f>HYPERLINK("https://ibp.a2mac1.com/costing(costing:projects/details/9760/part/8411357)","2nd Row Heater Core Mechanism Guide (Right)")</f>
        <v>2nd Row Heater Core Mechanism Guide (Right)</v>
      </c>
      <c r="B321">
        <v>8411357</v>
      </c>
      <c r="C321">
        <v>8411214</v>
      </c>
      <c r="D321" t="s">
        <v>1166</v>
      </c>
      <c r="E321">
        <v>0.13524</v>
      </c>
      <c r="F321">
        <v>0</v>
      </c>
      <c r="G321">
        <v>0</v>
      </c>
      <c r="H321">
        <v>0</v>
      </c>
      <c r="I321" t="s">
        <v>71</v>
      </c>
      <c r="J321">
        <v>0</v>
      </c>
      <c r="K321">
        <v>0.13524</v>
      </c>
      <c r="L321">
        <v>0</v>
      </c>
      <c r="M321">
        <v>0</v>
      </c>
      <c r="N321">
        <v>0.13524</v>
      </c>
      <c r="O321" t="s">
        <v>71</v>
      </c>
      <c r="P321">
        <v>0</v>
      </c>
      <c r="Q321" t="s">
        <v>71</v>
      </c>
      <c r="R321">
        <v>0</v>
      </c>
      <c r="S321" t="s">
        <v>71</v>
      </c>
      <c r="T321">
        <v>0</v>
      </c>
      <c r="U321" t="s">
        <v>71</v>
      </c>
      <c r="V321">
        <v>0</v>
      </c>
      <c r="W321" t="s">
        <v>71</v>
      </c>
      <c r="X321">
        <v>0</v>
      </c>
      <c r="Y321">
        <v>0.13524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49</v>
      </c>
      <c r="AF321">
        <v>58</v>
      </c>
      <c r="AG321">
        <v>50</v>
      </c>
      <c r="AH321">
        <v>0</v>
      </c>
      <c r="AI321">
        <v>0.01</v>
      </c>
      <c r="AK321" t="s">
        <v>1108</v>
      </c>
      <c r="AM321">
        <v>200000</v>
      </c>
      <c r="AN321" t="s">
        <v>73</v>
      </c>
      <c r="AO321">
        <v>1</v>
      </c>
      <c r="AP321">
        <v>0</v>
      </c>
      <c r="AQ321">
        <v>16666.666666666668</v>
      </c>
      <c r="AR321" t="s">
        <v>1185</v>
      </c>
      <c r="AS321" t="s">
        <v>75</v>
      </c>
      <c r="AX321" t="s">
        <v>76</v>
      </c>
      <c r="AY321" t="s">
        <v>71</v>
      </c>
      <c r="AZ321">
        <v>0</v>
      </c>
      <c r="BA321" t="s">
        <v>71</v>
      </c>
      <c r="BB321">
        <v>0</v>
      </c>
      <c r="BD321">
        <v>0.13524</v>
      </c>
    </row>
    <row r="322" spans="1:56" x14ac:dyDescent="0.15">
      <c r="A322" s="4" t="str">
        <f>HYPERLINK("https://ibp.a2mac1.com/costing(costing:projects/details/9760/part/8411358)","2nd Row On/Off")</f>
        <v>2nd Row On/Off</v>
      </c>
      <c r="B322">
        <v>8411358</v>
      </c>
      <c r="C322">
        <v>8411214</v>
      </c>
      <c r="D322" t="s">
        <v>1166</v>
      </c>
      <c r="E322">
        <v>9.7879999999999995E-2</v>
      </c>
      <c r="F322">
        <v>0</v>
      </c>
      <c r="G322">
        <v>0</v>
      </c>
      <c r="H322">
        <v>0</v>
      </c>
      <c r="I322" t="s">
        <v>71</v>
      </c>
      <c r="J322">
        <v>0</v>
      </c>
      <c r="K322">
        <v>9.7879999999999995E-2</v>
      </c>
      <c r="L322">
        <v>0</v>
      </c>
      <c r="M322">
        <v>0</v>
      </c>
      <c r="N322">
        <v>9.7879999999999995E-2</v>
      </c>
      <c r="O322" t="s">
        <v>71</v>
      </c>
      <c r="P322">
        <v>0</v>
      </c>
      <c r="Q322" t="s">
        <v>71</v>
      </c>
      <c r="R322">
        <v>0</v>
      </c>
      <c r="S322" t="s">
        <v>71</v>
      </c>
      <c r="T322">
        <v>0</v>
      </c>
      <c r="U322" t="s">
        <v>71</v>
      </c>
      <c r="V322">
        <v>0</v>
      </c>
      <c r="W322" t="s">
        <v>71</v>
      </c>
      <c r="X322">
        <v>0</v>
      </c>
      <c r="Y322">
        <v>9.7879999999999995E-2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36</v>
      </c>
      <c r="AF322">
        <v>59</v>
      </c>
      <c r="AG322">
        <v>12</v>
      </c>
      <c r="AH322">
        <v>0</v>
      </c>
      <c r="AI322">
        <v>4.0000000000000001E-3</v>
      </c>
      <c r="AK322" t="s">
        <v>1108</v>
      </c>
      <c r="AM322">
        <v>200000</v>
      </c>
      <c r="AN322" t="s">
        <v>73</v>
      </c>
      <c r="AO322">
        <v>1</v>
      </c>
      <c r="AP322">
        <v>0</v>
      </c>
      <c r="AQ322">
        <v>16666.666666666668</v>
      </c>
      <c r="AR322" t="s">
        <v>1186</v>
      </c>
      <c r="AS322" t="s">
        <v>75</v>
      </c>
      <c r="AX322" t="s">
        <v>76</v>
      </c>
      <c r="AY322" t="s">
        <v>71</v>
      </c>
      <c r="AZ322">
        <v>0</v>
      </c>
      <c r="BA322" t="s">
        <v>71</v>
      </c>
      <c r="BB322">
        <v>0</v>
      </c>
      <c r="BD322">
        <v>9.7879999999999995E-2</v>
      </c>
    </row>
    <row r="323" spans="1:56" x14ac:dyDescent="0.15">
      <c r="A323" s="4" t="str">
        <f>HYPERLINK("https://ibp.a2mac1.com/costing(costing:projects/details/9760/part/8411359)","2nd Row On/Off Guide")</f>
        <v>2nd Row On/Off Guide</v>
      </c>
      <c r="B323">
        <v>8411359</v>
      </c>
      <c r="C323">
        <v>8411214</v>
      </c>
      <c r="D323" t="s">
        <v>1170</v>
      </c>
      <c r="E323">
        <v>0.19406000000000001</v>
      </c>
      <c r="F323">
        <v>0</v>
      </c>
      <c r="G323">
        <v>0</v>
      </c>
      <c r="H323">
        <v>0</v>
      </c>
      <c r="I323" t="s">
        <v>71</v>
      </c>
      <c r="J323">
        <v>0</v>
      </c>
      <c r="K323">
        <v>0.19406000000000001</v>
      </c>
      <c r="L323">
        <v>0</v>
      </c>
      <c r="M323">
        <v>0</v>
      </c>
      <c r="N323">
        <v>0.19406000000000001</v>
      </c>
      <c r="O323" t="s">
        <v>71</v>
      </c>
      <c r="P323">
        <v>0</v>
      </c>
      <c r="Q323" t="s">
        <v>71</v>
      </c>
      <c r="R323">
        <v>0</v>
      </c>
      <c r="S323" t="s">
        <v>71</v>
      </c>
      <c r="T323">
        <v>0</v>
      </c>
      <c r="U323" t="s">
        <v>71</v>
      </c>
      <c r="V323">
        <v>0</v>
      </c>
      <c r="W323" t="s">
        <v>71</v>
      </c>
      <c r="X323">
        <v>0</v>
      </c>
      <c r="Y323">
        <v>0.19406000000000001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35</v>
      </c>
      <c r="AF323">
        <v>75</v>
      </c>
      <c r="AG323">
        <v>75</v>
      </c>
      <c r="AH323">
        <v>0</v>
      </c>
      <c r="AI323">
        <v>0.03</v>
      </c>
      <c r="AK323" t="s">
        <v>1108</v>
      </c>
      <c r="AM323">
        <v>200000</v>
      </c>
      <c r="AN323" t="s">
        <v>73</v>
      </c>
      <c r="AO323">
        <v>1</v>
      </c>
      <c r="AP323">
        <v>0</v>
      </c>
      <c r="AQ323">
        <v>16666.666666666668</v>
      </c>
      <c r="AR323" t="s">
        <v>1187</v>
      </c>
      <c r="AS323" t="s">
        <v>75</v>
      </c>
      <c r="AX323" t="s">
        <v>76</v>
      </c>
      <c r="AY323" t="s">
        <v>71</v>
      </c>
      <c r="AZ323">
        <v>0</v>
      </c>
      <c r="BA323" t="s">
        <v>71</v>
      </c>
      <c r="BB323">
        <v>0</v>
      </c>
      <c r="BD323">
        <v>0.19406000000000001</v>
      </c>
    </row>
    <row r="324" spans="1:56" x14ac:dyDescent="0.15">
      <c r="A324" s="4" t="str">
        <f>HYPERLINK("https://ibp.a2mac1.com/costing(costing:projects/details/9760/part/8411360)","Mechanism Protection")</f>
        <v>Mechanism Protection</v>
      </c>
      <c r="B324">
        <v>8411360</v>
      </c>
      <c r="C324">
        <v>8411214</v>
      </c>
      <c r="D324" t="s">
        <v>1168</v>
      </c>
      <c r="E324">
        <v>0.15062999999999999</v>
      </c>
      <c r="F324">
        <v>0</v>
      </c>
      <c r="G324">
        <v>0</v>
      </c>
      <c r="H324">
        <v>0</v>
      </c>
      <c r="I324" t="s">
        <v>71</v>
      </c>
      <c r="J324">
        <v>0</v>
      </c>
      <c r="K324">
        <v>0.15062999999999999</v>
      </c>
      <c r="L324">
        <v>0</v>
      </c>
      <c r="M324">
        <v>0</v>
      </c>
      <c r="N324">
        <v>0.15062999999999999</v>
      </c>
      <c r="O324" t="s">
        <v>71</v>
      </c>
      <c r="P324">
        <v>0</v>
      </c>
      <c r="Q324" t="s">
        <v>71</v>
      </c>
      <c r="R324">
        <v>0</v>
      </c>
      <c r="S324" t="s">
        <v>71</v>
      </c>
      <c r="T324">
        <v>0</v>
      </c>
      <c r="U324" t="s">
        <v>71</v>
      </c>
      <c r="V324">
        <v>0</v>
      </c>
      <c r="W324" t="s">
        <v>71</v>
      </c>
      <c r="X324">
        <v>0</v>
      </c>
      <c r="Y324">
        <v>0.15062999999999999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36</v>
      </c>
      <c r="AF324">
        <v>100</v>
      </c>
      <c r="AG324">
        <v>105</v>
      </c>
      <c r="AH324">
        <v>0</v>
      </c>
      <c r="AI324">
        <v>3.1E-2</v>
      </c>
      <c r="AK324" t="s">
        <v>1108</v>
      </c>
      <c r="AM324">
        <v>200000</v>
      </c>
      <c r="AN324" t="s">
        <v>73</v>
      </c>
      <c r="AO324">
        <v>1</v>
      </c>
      <c r="AP324">
        <v>0</v>
      </c>
      <c r="AQ324">
        <v>16666.666666666668</v>
      </c>
      <c r="AR324" t="s">
        <v>1188</v>
      </c>
      <c r="AS324" t="s">
        <v>75</v>
      </c>
      <c r="AX324" t="s">
        <v>76</v>
      </c>
      <c r="AY324" t="s">
        <v>71</v>
      </c>
      <c r="AZ324">
        <v>0</v>
      </c>
      <c r="BA324" t="s">
        <v>71</v>
      </c>
      <c r="BB324">
        <v>0</v>
      </c>
      <c r="BD324">
        <v>0.15062999999999999</v>
      </c>
    </row>
    <row r="325" spans="1:56" x14ac:dyDescent="0.15">
      <c r="A325" s="4" t="str">
        <f>HYPERLINK("https://ibp.a2mac1.com/costing(costing:projects/details/9760/part/8411361)","2nd Mechanism Protection")</f>
        <v>2nd Mechanism Protection</v>
      </c>
      <c r="B325">
        <v>8411361</v>
      </c>
      <c r="C325">
        <v>8411214</v>
      </c>
      <c r="D325" t="s">
        <v>1168</v>
      </c>
      <c r="E325">
        <v>0.12695999999999999</v>
      </c>
      <c r="F325">
        <v>0</v>
      </c>
      <c r="G325">
        <v>0</v>
      </c>
      <c r="H325">
        <v>0</v>
      </c>
      <c r="I325" t="s">
        <v>71</v>
      </c>
      <c r="J325">
        <v>0</v>
      </c>
      <c r="K325">
        <v>0.12695999999999999</v>
      </c>
      <c r="L325">
        <v>0</v>
      </c>
      <c r="M325">
        <v>0</v>
      </c>
      <c r="N325">
        <v>0.12695999999999999</v>
      </c>
      <c r="O325" t="s">
        <v>71</v>
      </c>
      <c r="P325">
        <v>0</v>
      </c>
      <c r="Q325" t="s">
        <v>71</v>
      </c>
      <c r="R325">
        <v>0</v>
      </c>
      <c r="S325" t="s">
        <v>71</v>
      </c>
      <c r="T325">
        <v>0</v>
      </c>
      <c r="U325" t="s">
        <v>71</v>
      </c>
      <c r="V325">
        <v>0</v>
      </c>
      <c r="W325" t="s">
        <v>71</v>
      </c>
      <c r="X325">
        <v>0</v>
      </c>
      <c r="Y325">
        <v>0.12695999999999999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14</v>
      </c>
      <c r="AF325">
        <v>95</v>
      </c>
      <c r="AG325">
        <v>96</v>
      </c>
      <c r="AH325">
        <v>0</v>
      </c>
      <c r="AI325">
        <v>2.1000000000000001E-2</v>
      </c>
      <c r="AK325" t="s">
        <v>1108</v>
      </c>
      <c r="AM325">
        <v>200000</v>
      </c>
      <c r="AN325" t="s">
        <v>73</v>
      </c>
      <c r="AO325">
        <v>1</v>
      </c>
      <c r="AP325">
        <v>0</v>
      </c>
      <c r="AQ325">
        <v>16666.666666666668</v>
      </c>
      <c r="AR325" t="s">
        <v>1189</v>
      </c>
      <c r="AS325" t="s">
        <v>75</v>
      </c>
      <c r="AX325" t="s">
        <v>76</v>
      </c>
      <c r="AY325" t="s">
        <v>71</v>
      </c>
      <c r="AZ325">
        <v>0</v>
      </c>
      <c r="BA325" t="s">
        <v>71</v>
      </c>
      <c r="BB325">
        <v>0</v>
      </c>
      <c r="BD325">
        <v>0.12695999999999999</v>
      </c>
    </row>
    <row r="326" spans="1:56" x14ac:dyDescent="0.15">
      <c r="A326" s="4" t="str">
        <f>HYPERLINK("https://ibp.a2mac1.com/costing(costing:projects/details/9760/part/8411362)","2nd Row Center Mechanism")</f>
        <v>2nd Row Center Mechanism</v>
      </c>
      <c r="B326">
        <v>8411362</v>
      </c>
      <c r="C326">
        <v>8411214</v>
      </c>
      <c r="D326" t="s">
        <v>1166</v>
      </c>
      <c r="E326">
        <v>0.11733</v>
      </c>
      <c r="F326">
        <v>0</v>
      </c>
      <c r="G326">
        <v>0</v>
      </c>
      <c r="H326">
        <v>0</v>
      </c>
      <c r="I326" t="s">
        <v>71</v>
      </c>
      <c r="J326">
        <v>0</v>
      </c>
      <c r="K326">
        <v>0.11733</v>
      </c>
      <c r="L326">
        <v>0</v>
      </c>
      <c r="M326">
        <v>0</v>
      </c>
      <c r="N326">
        <v>0.11733</v>
      </c>
      <c r="O326" t="s">
        <v>71</v>
      </c>
      <c r="P326">
        <v>0</v>
      </c>
      <c r="Q326" t="s">
        <v>71</v>
      </c>
      <c r="R326">
        <v>0</v>
      </c>
      <c r="S326" t="s">
        <v>71</v>
      </c>
      <c r="T326">
        <v>0</v>
      </c>
      <c r="U326" t="s">
        <v>71</v>
      </c>
      <c r="V326">
        <v>0</v>
      </c>
      <c r="W326" t="s">
        <v>71</v>
      </c>
      <c r="X326">
        <v>0</v>
      </c>
      <c r="Y326">
        <v>0.11733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36</v>
      </c>
      <c r="AF326">
        <v>47</v>
      </c>
      <c r="AG326">
        <v>82</v>
      </c>
      <c r="AH326">
        <v>0</v>
      </c>
      <c r="AI326">
        <v>7.0000000000000001E-3</v>
      </c>
      <c r="AK326" t="s">
        <v>1108</v>
      </c>
      <c r="AM326">
        <v>200000</v>
      </c>
      <c r="AN326" t="s">
        <v>73</v>
      </c>
      <c r="AO326">
        <v>1</v>
      </c>
      <c r="AP326">
        <v>0</v>
      </c>
      <c r="AQ326">
        <v>16666.666666666668</v>
      </c>
      <c r="AR326" t="s">
        <v>1190</v>
      </c>
      <c r="AS326" t="s">
        <v>75</v>
      </c>
      <c r="AX326" t="s">
        <v>76</v>
      </c>
      <c r="AY326" t="s">
        <v>71</v>
      </c>
      <c r="AZ326">
        <v>0</v>
      </c>
      <c r="BA326" t="s">
        <v>71</v>
      </c>
      <c r="BB326">
        <v>0</v>
      </c>
      <c r="BD326">
        <v>0.11733</v>
      </c>
    </row>
    <row r="327" spans="1:56" x14ac:dyDescent="0.15">
      <c r="A327" s="4" t="str">
        <f>HYPERLINK("https://ibp.a2mac1.com/costing(costing:projects/details/9760/part/8411363)","2nd Row Center 2nd Mechanism")</f>
        <v>2nd Row Center 2nd Mechanism</v>
      </c>
      <c r="B327">
        <v>8411363</v>
      </c>
      <c r="C327">
        <v>8411214</v>
      </c>
      <c r="D327" t="s">
        <v>1166</v>
      </c>
      <c r="E327">
        <v>8.2460000000000006E-2</v>
      </c>
      <c r="F327">
        <v>0</v>
      </c>
      <c r="G327">
        <v>0</v>
      </c>
      <c r="H327">
        <v>0</v>
      </c>
      <c r="I327" t="s">
        <v>71</v>
      </c>
      <c r="J327">
        <v>0</v>
      </c>
      <c r="K327">
        <v>8.2460000000000006E-2</v>
      </c>
      <c r="L327">
        <v>0</v>
      </c>
      <c r="M327">
        <v>0</v>
      </c>
      <c r="N327">
        <v>8.2460000000000006E-2</v>
      </c>
      <c r="O327" t="s">
        <v>71</v>
      </c>
      <c r="P327">
        <v>0</v>
      </c>
      <c r="Q327" t="s">
        <v>71</v>
      </c>
      <c r="R327">
        <v>0</v>
      </c>
      <c r="S327" t="s">
        <v>71</v>
      </c>
      <c r="T327">
        <v>0</v>
      </c>
      <c r="U327" t="s">
        <v>71</v>
      </c>
      <c r="V327">
        <v>0</v>
      </c>
      <c r="W327" t="s">
        <v>71</v>
      </c>
      <c r="X327">
        <v>0</v>
      </c>
      <c r="Y327">
        <v>8.2460000000000006E-2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12</v>
      </c>
      <c r="AF327">
        <v>39</v>
      </c>
      <c r="AG327">
        <v>17</v>
      </c>
      <c r="AH327">
        <v>0</v>
      </c>
      <c r="AI327">
        <v>2E-3</v>
      </c>
      <c r="AK327" t="s">
        <v>1108</v>
      </c>
      <c r="AM327">
        <v>200000</v>
      </c>
      <c r="AN327" t="s">
        <v>73</v>
      </c>
      <c r="AO327">
        <v>1</v>
      </c>
      <c r="AP327">
        <v>0</v>
      </c>
      <c r="AQ327">
        <v>16666.666666666668</v>
      </c>
      <c r="AR327" t="s">
        <v>1191</v>
      </c>
      <c r="AS327" t="s">
        <v>75</v>
      </c>
      <c r="AX327" t="s">
        <v>76</v>
      </c>
      <c r="AY327" t="s">
        <v>71</v>
      </c>
      <c r="AZ327">
        <v>0</v>
      </c>
      <c r="BA327" t="s">
        <v>71</v>
      </c>
      <c r="BB327">
        <v>0</v>
      </c>
      <c r="BD327">
        <v>8.2460000000000006E-2</v>
      </c>
    </row>
    <row r="328" spans="1:56" x14ac:dyDescent="0.15">
      <c r="A328" s="4" t="str">
        <f>HYPERLINK("https://ibp.a2mac1.com/costing(costing:projects/details/9760/part/8411364)","2nd Row foot Mechanism")</f>
        <v>2nd Row foot Mechanism</v>
      </c>
      <c r="B328">
        <v>8411364</v>
      </c>
      <c r="C328">
        <v>8411214</v>
      </c>
      <c r="D328" t="s">
        <v>1166</v>
      </c>
      <c r="E328">
        <v>8.2460000000000006E-2</v>
      </c>
      <c r="F328">
        <v>0</v>
      </c>
      <c r="G328">
        <v>0</v>
      </c>
      <c r="H328">
        <v>0</v>
      </c>
      <c r="I328" t="s">
        <v>71</v>
      </c>
      <c r="J328">
        <v>0</v>
      </c>
      <c r="K328">
        <v>8.2460000000000006E-2</v>
      </c>
      <c r="L328">
        <v>0</v>
      </c>
      <c r="M328">
        <v>0</v>
      </c>
      <c r="N328">
        <v>8.2460000000000006E-2</v>
      </c>
      <c r="O328" t="s">
        <v>71</v>
      </c>
      <c r="P328">
        <v>0</v>
      </c>
      <c r="Q328" t="s">
        <v>71</v>
      </c>
      <c r="R328">
        <v>0</v>
      </c>
      <c r="S328" t="s">
        <v>71</v>
      </c>
      <c r="T328">
        <v>0</v>
      </c>
      <c r="U328" t="s">
        <v>71</v>
      </c>
      <c r="V328">
        <v>0</v>
      </c>
      <c r="W328" t="s">
        <v>71</v>
      </c>
      <c r="X328">
        <v>0</v>
      </c>
      <c r="Y328">
        <v>8.2460000000000006E-2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12</v>
      </c>
      <c r="AF328">
        <v>39</v>
      </c>
      <c r="AG328">
        <v>17</v>
      </c>
      <c r="AH328">
        <v>0</v>
      </c>
      <c r="AI328">
        <v>2E-3</v>
      </c>
      <c r="AK328" t="s">
        <v>1108</v>
      </c>
      <c r="AM328">
        <v>200000</v>
      </c>
      <c r="AN328" t="s">
        <v>73</v>
      </c>
      <c r="AO328">
        <v>1</v>
      </c>
      <c r="AP328">
        <v>0</v>
      </c>
      <c r="AQ328">
        <v>16666.666666666668</v>
      </c>
      <c r="AR328" t="s">
        <v>1192</v>
      </c>
      <c r="AS328" t="s">
        <v>75</v>
      </c>
      <c r="AX328" t="s">
        <v>76</v>
      </c>
      <c r="AY328" t="s">
        <v>71</v>
      </c>
      <c r="AZ328">
        <v>0</v>
      </c>
      <c r="BA328" t="s">
        <v>71</v>
      </c>
      <c r="BB328">
        <v>0</v>
      </c>
      <c r="BD328">
        <v>8.2460000000000006E-2</v>
      </c>
    </row>
    <row r="329" spans="1:56" x14ac:dyDescent="0.15">
      <c r="A329" s="4" t="str">
        <f>HYPERLINK("https://ibp.a2mac1.com/costing(costing:projects/details/9760/part/8411443)","Upper")</f>
        <v>Upper</v>
      </c>
      <c r="B329">
        <v>8411443</v>
      </c>
      <c r="C329">
        <v>8411440</v>
      </c>
      <c r="D329" t="s">
        <v>1168</v>
      </c>
      <c r="E329">
        <v>0.65561999999999998</v>
      </c>
      <c r="F329">
        <v>0</v>
      </c>
      <c r="G329">
        <v>0</v>
      </c>
      <c r="H329">
        <v>0</v>
      </c>
      <c r="I329" t="s">
        <v>71</v>
      </c>
      <c r="J329">
        <v>0</v>
      </c>
      <c r="K329">
        <v>0.65561999999999998</v>
      </c>
      <c r="L329">
        <v>0</v>
      </c>
      <c r="M329">
        <v>0</v>
      </c>
      <c r="N329">
        <v>0.65561999999999998</v>
      </c>
      <c r="O329" t="s">
        <v>71</v>
      </c>
      <c r="P329">
        <v>0</v>
      </c>
      <c r="Q329" t="s">
        <v>71</v>
      </c>
      <c r="R329">
        <v>0</v>
      </c>
      <c r="S329" t="s">
        <v>71</v>
      </c>
      <c r="T329">
        <v>0</v>
      </c>
      <c r="U329" t="s">
        <v>71</v>
      </c>
      <c r="V329">
        <v>0</v>
      </c>
      <c r="W329" t="s">
        <v>71</v>
      </c>
      <c r="X329">
        <v>0</v>
      </c>
      <c r="Y329">
        <v>0.65561999999999998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270</v>
      </c>
      <c r="AF329">
        <v>292</v>
      </c>
      <c r="AG329">
        <v>110</v>
      </c>
      <c r="AH329">
        <v>0</v>
      </c>
      <c r="AI329">
        <v>0.26700000000000002</v>
      </c>
      <c r="AK329" t="s">
        <v>1108</v>
      </c>
      <c r="AM329">
        <v>200000</v>
      </c>
      <c r="AN329" t="s">
        <v>73</v>
      </c>
      <c r="AO329">
        <v>1</v>
      </c>
      <c r="AP329">
        <v>0</v>
      </c>
      <c r="AQ329">
        <v>16666.666666666668</v>
      </c>
      <c r="AR329" t="s">
        <v>1197</v>
      </c>
      <c r="AS329" t="s">
        <v>75</v>
      </c>
      <c r="AX329" t="s">
        <v>76</v>
      </c>
      <c r="AY329" t="s">
        <v>71</v>
      </c>
      <c r="AZ329">
        <v>0</v>
      </c>
      <c r="BA329" t="s">
        <v>71</v>
      </c>
      <c r="BB329">
        <v>0</v>
      </c>
      <c r="BD329">
        <v>0.65561999999999998</v>
      </c>
    </row>
    <row r="330" spans="1:56" x14ac:dyDescent="0.15">
      <c r="A330" s="4" t="str">
        <f>HYPERLINK("https://ibp.a2mac1.com/costing(costing:projects/details/9760/part/8411444)","Lower")</f>
        <v>Lower</v>
      </c>
      <c r="B330">
        <v>8411444</v>
      </c>
      <c r="C330">
        <v>8411440</v>
      </c>
      <c r="D330" t="s">
        <v>1168</v>
      </c>
      <c r="E330">
        <v>0.79603000000000002</v>
      </c>
      <c r="F330">
        <v>0</v>
      </c>
      <c r="G330">
        <v>0</v>
      </c>
      <c r="H330">
        <v>0</v>
      </c>
      <c r="I330" t="s">
        <v>71</v>
      </c>
      <c r="J330">
        <v>0</v>
      </c>
      <c r="K330">
        <v>0.79603000000000002</v>
      </c>
      <c r="L330">
        <v>0</v>
      </c>
      <c r="M330">
        <v>0</v>
      </c>
      <c r="N330">
        <v>0.79603000000000002</v>
      </c>
      <c r="O330" t="s">
        <v>71</v>
      </c>
      <c r="P330">
        <v>0</v>
      </c>
      <c r="Q330" t="s">
        <v>71</v>
      </c>
      <c r="R330">
        <v>0</v>
      </c>
      <c r="S330" t="s">
        <v>71</v>
      </c>
      <c r="T330">
        <v>0</v>
      </c>
      <c r="U330" t="s">
        <v>71</v>
      </c>
      <c r="V330">
        <v>0</v>
      </c>
      <c r="W330" t="s">
        <v>71</v>
      </c>
      <c r="X330">
        <v>0</v>
      </c>
      <c r="Y330">
        <v>0.79603000000000002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275</v>
      </c>
      <c r="AF330">
        <v>298</v>
      </c>
      <c r="AG330">
        <v>130</v>
      </c>
      <c r="AH330">
        <v>0</v>
      </c>
      <c r="AI330">
        <v>0.33400000000000002</v>
      </c>
      <c r="AK330" t="s">
        <v>1108</v>
      </c>
      <c r="AM330">
        <v>200000</v>
      </c>
      <c r="AN330" t="s">
        <v>73</v>
      </c>
      <c r="AO330">
        <v>1</v>
      </c>
      <c r="AP330">
        <v>0</v>
      </c>
      <c r="AQ330">
        <v>16666.666666666668</v>
      </c>
      <c r="AR330" t="s">
        <v>1198</v>
      </c>
      <c r="AS330" t="s">
        <v>75</v>
      </c>
      <c r="AX330" t="s">
        <v>76</v>
      </c>
      <c r="AY330" t="s">
        <v>71</v>
      </c>
      <c r="AZ330">
        <v>0</v>
      </c>
      <c r="BA330" t="s">
        <v>71</v>
      </c>
      <c r="BB330">
        <v>0</v>
      </c>
      <c r="BD330">
        <v>0.79603000000000002</v>
      </c>
    </row>
    <row r="331" spans="1:56" x14ac:dyDescent="0.15">
      <c r="A331" s="4" t="str">
        <f>HYPERLINK("https://ibp.a2mac1.com/costing(costing:projects/details/9760/part/8411438)","Blower Motor")</f>
        <v>Blower Motor</v>
      </c>
      <c r="B331">
        <v>8411438</v>
      </c>
      <c r="C331">
        <v>8411366</v>
      </c>
      <c r="E331">
        <v>16.829999999999998</v>
      </c>
      <c r="F331">
        <v>0</v>
      </c>
      <c r="G331">
        <v>0</v>
      </c>
      <c r="H331">
        <v>0</v>
      </c>
      <c r="I331" t="s">
        <v>71</v>
      </c>
      <c r="J331">
        <v>0</v>
      </c>
      <c r="K331">
        <v>16.829999999999998</v>
      </c>
      <c r="L331">
        <v>0</v>
      </c>
      <c r="M331">
        <v>0</v>
      </c>
      <c r="N331">
        <v>16.829999999999998</v>
      </c>
      <c r="O331" t="s">
        <v>71</v>
      </c>
      <c r="P331">
        <v>0</v>
      </c>
      <c r="Q331" t="s">
        <v>71</v>
      </c>
      <c r="R331">
        <v>0</v>
      </c>
      <c r="S331" t="s">
        <v>71</v>
      </c>
      <c r="T331">
        <v>0</v>
      </c>
      <c r="U331" t="s">
        <v>71</v>
      </c>
      <c r="V331">
        <v>0</v>
      </c>
      <c r="W331" t="s">
        <v>71</v>
      </c>
      <c r="X331">
        <v>0</v>
      </c>
      <c r="Y331">
        <v>16.829999999999998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207</v>
      </c>
      <c r="AF331">
        <v>175</v>
      </c>
      <c r="AG331">
        <v>128</v>
      </c>
      <c r="AH331">
        <v>0</v>
      </c>
      <c r="AI331">
        <v>1.018</v>
      </c>
      <c r="AK331" t="s">
        <v>95</v>
      </c>
      <c r="AM331">
        <v>200000</v>
      </c>
      <c r="AN331" t="s">
        <v>97</v>
      </c>
      <c r="AO331">
        <v>1</v>
      </c>
      <c r="AP331">
        <v>0</v>
      </c>
      <c r="AQ331">
        <v>16666.666666666668</v>
      </c>
      <c r="AR331" t="s">
        <v>1200</v>
      </c>
      <c r="AS331" t="s">
        <v>75</v>
      </c>
      <c r="AX331" t="s">
        <v>76</v>
      </c>
      <c r="AY331" t="s">
        <v>71</v>
      </c>
      <c r="AZ331">
        <v>0</v>
      </c>
      <c r="BA331" t="s">
        <v>71</v>
      </c>
      <c r="BB331">
        <v>0</v>
      </c>
      <c r="BD331">
        <v>16.829999999999998</v>
      </c>
    </row>
    <row r="332" spans="1:56" x14ac:dyDescent="0.15">
      <c r="A332" s="4" t="str">
        <f>HYPERLINK("https://ibp.a2mac1.com/costing(costing:projects/details/9760/part/8411439)","Blower Motor Cover")</f>
        <v>Blower Motor Cover</v>
      </c>
      <c r="B332">
        <v>8411439</v>
      </c>
      <c r="C332">
        <v>8411366</v>
      </c>
      <c r="D332" t="s">
        <v>1168</v>
      </c>
      <c r="E332">
        <v>0.28738000000000002</v>
      </c>
      <c r="F332">
        <v>0</v>
      </c>
      <c r="G332">
        <v>0</v>
      </c>
      <c r="H332">
        <v>0</v>
      </c>
      <c r="I332" t="s">
        <v>71</v>
      </c>
      <c r="J332">
        <v>0</v>
      </c>
      <c r="K332">
        <v>0.28738000000000002</v>
      </c>
      <c r="L332">
        <v>0</v>
      </c>
      <c r="M332">
        <v>0</v>
      </c>
      <c r="N332">
        <v>0.28738000000000002</v>
      </c>
      <c r="O332" t="s">
        <v>71</v>
      </c>
      <c r="P332">
        <v>0</v>
      </c>
      <c r="Q332" t="s">
        <v>71</v>
      </c>
      <c r="R332">
        <v>0</v>
      </c>
      <c r="S332" t="s">
        <v>71</v>
      </c>
      <c r="T332">
        <v>0</v>
      </c>
      <c r="U332" t="s">
        <v>71</v>
      </c>
      <c r="V332">
        <v>0</v>
      </c>
      <c r="W332" t="s">
        <v>71</v>
      </c>
      <c r="X332">
        <v>0</v>
      </c>
      <c r="Y332">
        <v>0.28738000000000002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217</v>
      </c>
      <c r="AF332">
        <v>218</v>
      </c>
      <c r="AG332">
        <v>86</v>
      </c>
      <c r="AH332">
        <v>0</v>
      </c>
      <c r="AI332">
        <v>9.2999999999999999E-2</v>
      </c>
      <c r="AK332" t="s">
        <v>1108</v>
      </c>
      <c r="AM332">
        <v>200000</v>
      </c>
      <c r="AN332" t="s">
        <v>73</v>
      </c>
      <c r="AO332">
        <v>1</v>
      </c>
      <c r="AP332">
        <v>0</v>
      </c>
      <c r="AQ332">
        <v>16666.666666666668</v>
      </c>
      <c r="AR332" t="s">
        <v>1201</v>
      </c>
      <c r="AS332" t="s">
        <v>75</v>
      </c>
      <c r="AX332" t="s">
        <v>76</v>
      </c>
      <c r="AY332" t="s">
        <v>71</v>
      </c>
      <c r="AZ332">
        <v>0</v>
      </c>
      <c r="BA332" t="s">
        <v>71</v>
      </c>
      <c r="BB332">
        <v>0</v>
      </c>
      <c r="BD332">
        <v>0.28738000000000002</v>
      </c>
    </row>
    <row r="333" spans="1:56" x14ac:dyDescent="0.15">
      <c r="A333" s="4" t="str">
        <f>HYPERLINK("https://ibp.a2mac1.com/costing(costing:projects/details/9760/part/8411365)","Air Quality Sensor")</f>
        <v>Air Quality Sensor</v>
      </c>
      <c r="B333">
        <v>8411365</v>
      </c>
      <c r="C333">
        <v>8411216</v>
      </c>
      <c r="E333">
        <v>2</v>
      </c>
      <c r="F333">
        <v>0</v>
      </c>
      <c r="G333">
        <v>0</v>
      </c>
      <c r="H333">
        <v>0</v>
      </c>
      <c r="I333" t="s">
        <v>71</v>
      </c>
      <c r="J333">
        <v>0</v>
      </c>
      <c r="K333">
        <v>2</v>
      </c>
      <c r="L333">
        <v>0</v>
      </c>
      <c r="M333">
        <v>0</v>
      </c>
      <c r="N333">
        <v>2</v>
      </c>
      <c r="O333" t="s">
        <v>71</v>
      </c>
      <c r="P333">
        <v>0</v>
      </c>
      <c r="Q333" t="s">
        <v>71</v>
      </c>
      <c r="R333">
        <v>0</v>
      </c>
      <c r="S333" t="s">
        <v>71</v>
      </c>
      <c r="T333">
        <v>0</v>
      </c>
      <c r="U333" t="s">
        <v>71</v>
      </c>
      <c r="V333">
        <v>0</v>
      </c>
      <c r="W333" t="s">
        <v>71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30</v>
      </c>
      <c r="AF333">
        <v>39</v>
      </c>
      <c r="AG333">
        <v>35</v>
      </c>
      <c r="AH333">
        <v>0</v>
      </c>
      <c r="AI333">
        <v>1.2999999999999999E-2</v>
      </c>
      <c r="AK333" t="s">
        <v>95</v>
      </c>
      <c r="AM333">
        <v>200000</v>
      </c>
      <c r="AN333" t="s">
        <v>97</v>
      </c>
      <c r="AO333">
        <v>1</v>
      </c>
      <c r="AP333">
        <v>0</v>
      </c>
      <c r="AQ333">
        <v>16666.666666666668</v>
      </c>
      <c r="AR333" t="s">
        <v>1203</v>
      </c>
      <c r="AS333" t="s">
        <v>75</v>
      </c>
      <c r="AX333" t="s">
        <v>76</v>
      </c>
      <c r="AY333" t="s">
        <v>71</v>
      </c>
      <c r="AZ333">
        <v>0</v>
      </c>
      <c r="BA333" t="s">
        <v>71</v>
      </c>
      <c r="BB333">
        <v>0</v>
      </c>
      <c r="BD333">
        <v>2</v>
      </c>
    </row>
    <row r="334" spans="1:56" x14ac:dyDescent="0.15">
      <c r="A334" s="4" t="str">
        <f>HYPERLINK("https://ibp.a2mac1.com/costing(costing:projects/details/9760/part/8411367)","Selection Flap")</f>
        <v>Selection Flap</v>
      </c>
      <c r="B334">
        <v>8411367</v>
      </c>
      <c r="C334">
        <v>8411218</v>
      </c>
      <c r="D334" t="s">
        <v>1141</v>
      </c>
      <c r="E334">
        <v>0.38401999999999997</v>
      </c>
      <c r="F334">
        <v>0</v>
      </c>
      <c r="G334">
        <v>0</v>
      </c>
      <c r="H334">
        <v>0</v>
      </c>
      <c r="I334" t="s">
        <v>71</v>
      </c>
      <c r="J334">
        <v>0</v>
      </c>
      <c r="K334">
        <v>0.38401999999999997</v>
      </c>
      <c r="L334">
        <v>0</v>
      </c>
      <c r="M334">
        <v>0</v>
      </c>
      <c r="N334">
        <v>0.38401999999999997</v>
      </c>
      <c r="O334" t="s">
        <v>71</v>
      </c>
      <c r="P334">
        <v>0</v>
      </c>
      <c r="Q334" t="s">
        <v>71</v>
      </c>
      <c r="R334">
        <v>0</v>
      </c>
      <c r="S334" t="s">
        <v>71</v>
      </c>
      <c r="T334">
        <v>0</v>
      </c>
      <c r="U334" t="s">
        <v>71</v>
      </c>
      <c r="V334">
        <v>0</v>
      </c>
      <c r="W334" t="s">
        <v>71</v>
      </c>
      <c r="X334">
        <v>0</v>
      </c>
      <c r="Y334">
        <v>0.38401999999999997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73</v>
      </c>
      <c r="AF334">
        <v>280</v>
      </c>
      <c r="AG334">
        <v>73</v>
      </c>
      <c r="AH334">
        <v>0</v>
      </c>
      <c r="AI334">
        <v>0.14899999999999999</v>
      </c>
      <c r="AK334" t="s">
        <v>1108</v>
      </c>
      <c r="AM334">
        <v>200000</v>
      </c>
      <c r="AN334" t="s">
        <v>73</v>
      </c>
      <c r="AO334">
        <v>1</v>
      </c>
      <c r="AP334">
        <v>0</v>
      </c>
      <c r="AQ334">
        <v>16666.666666666668</v>
      </c>
      <c r="AR334" t="s">
        <v>1206</v>
      </c>
      <c r="AS334" t="s">
        <v>75</v>
      </c>
      <c r="AX334" t="s">
        <v>76</v>
      </c>
      <c r="AY334" t="s">
        <v>71</v>
      </c>
      <c r="AZ334">
        <v>0</v>
      </c>
      <c r="BA334" t="s">
        <v>71</v>
      </c>
      <c r="BB334">
        <v>0</v>
      </c>
      <c r="BD334">
        <v>0.38401999999999997</v>
      </c>
    </row>
    <row r="335" spans="1:56" x14ac:dyDescent="0.15">
      <c r="A335" s="4" t="str">
        <f>HYPERLINK("https://ibp.a2mac1.com/costing(costing:projects/details/9760/part/8411368)","Mechanism")</f>
        <v>Mechanism</v>
      </c>
      <c r="B335">
        <v>8411368</v>
      </c>
      <c r="C335">
        <v>8411218</v>
      </c>
      <c r="D335" t="s">
        <v>1170</v>
      </c>
      <c r="E335">
        <v>0.17910999999999999</v>
      </c>
      <c r="F335">
        <v>0</v>
      </c>
      <c r="G335">
        <v>0</v>
      </c>
      <c r="H335">
        <v>0</v>
      </c>
      <c r="I335" t="s">
        <v>71</v>
      </c>
      <c r="J335">
        <v>0</v>
      </c>
      <c r="K335">
        <v>0.17910999999999999</v>
      </c>
      <c r="L335">
        <v>0</v>
      </c>
      <c r="M335">
        <v>0</v>
      </c>
      <c r="N335">
        <v>0.17910999999999999</v>
      </c>
      <c r="O335" t="s">
        <v>71</v>
      </c>
      <c r="P335">
        <v>0</v>
      </c>
      <c r="Q335" t="s">
        <v>71</v>
      </c>
      <c r="R335">
        <v>0</v>
      </c>
      <c r="S335" t="s">
        <v>71</v>
      </c>
      <c r="T335">
        <v>0</v>
      </c>
      <c r="U335" t="s">
        <v>71</v>
      </c>
      <c r="V335">
        <v>0</v>
      </c>
      <c r="W335" t="s">
        <v>71</v>
      </c>
      <c r="X335">
        <v>0</v>
      </c>
      <c r="Y335">
        <v>0.17910999999999999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34</v>
      </c>
      <c r="AF335">
        <v>144</v>
      </c>
      <c r="AG335">
        <v>72</v>
      </c>
      <c r="AH335">
        <v>0</v>
      </c>
      <c r="AI335">
        <v>2.5999999999999999E-2</v>
      </c>
      <c r="AK335" t="s">
        <v>1108</v>
      </c>
      <c r="AM335">
        <v>200000</v>
      </c>
      <c r="AN335" t="s">
        <v>73</v>
      </c>
      <c r="AO335">
        <v>1</v>
      </c>
      <c r="AP335">
        <v>0</v>
      </c>
      <c r="AQ335">
        <v>16666.666666666668</v>
      </c>
      <c r="AR335" t="s">
        <v>1207</v>
      </c>
      <c r="AS335" t="s">
        <v>75</v>
      </c>
      <c r="AX335" t="s">
        <v>76</v>
      </c>
      <c r="AY335" t="s">
        <v>71</v>
      </c>
      <c r="AZ335">
        <v>0</v>
      </c>
      <c r="BA335" t="s">
        <v>71</v>
      </c>
      <c r="BB335">
        <v>0</v>
      </c>
      <c r="BD335">
        <v>0.17910999999999999</v>
      </c>
    </row>
    <row r="336" spans="1:56" x14ac:dyDescent="0.15">
      <c r="A336" s="4" t="str">
        <f>HYPERLINK("https://ibp.a2mac1.com/costing(costing:projects/details/9760/part/8411369)","2nd Mechanism")</f>
        <v>2nd Mechanism</v>
      </c>
      <c r="B336">
        <v>8411369</v>
      </c>
      <c r="C336">
        <v>8411218</v>
      </c>
      <c r="D336" t="s">
        <v>1166</v>
      </c>
      <c r="E336">
        <v>0.11733</v>
      </c>
      <c r="F336">
        <v>0</v>
      </c>
      <c r="G336">
        <v>0</v>
      </c>
      <c r="H336">
        <v>0</v>
      </c>
      <c r="I336" t="s">
        <v>71</v>
      </c>
      <c r="J336">
        <v>0</v>
      </c>
      <c r="K336">
        <v>0.11733</v>
      </c>
      <c r="L336">
        <v>0</v>
      </c>
      <c r="M336">
        <v>0</v>
      </c>
      <c r="N336">
        <v>0.11733</v>
      </c>
      <c r="O336" t="s">
        <v>71</v>
      </c>
      <c r="P336">
        <v>0</v>
      </c>
      <c r="Q336" t="s">
        <v>71</v>
      </c>
      <c r="R336">
        <v>0</v>
      </c>
      <c r="S336" t="s">
        <v>71</v>
      </c>
      <c r="T336">
        <v>0</v>
      </c>
      <c r="U336" t="s">
        <v>71</v>
      </c>
      <c r="V336">
        <v>0</v>
      </c>
      <c r="W336" t="s">
        <v>71</v>
      </c>
      <c r="X336">
        <v>0</v>
      </c>
      <c r="Y336">
        <v>0.11733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10</v>
      </c>
      <c r="AF336">
        <v>59</v>
      </c>
      <c r="AG336">
        <v>40</v>
      </c>
      <c r="AH336">
        <v>0</v>
      </c>
      <c r="AI336">
        <v>7.0000000000000001E-3</v>
      </c>
      <c r="AK336" t="s">
        <v>1108</v>
      </c>
      <c r="AM336">
        <v>200000</v>
      </c>
      <c r="AN336" t="s">
        <v>73</v>
      </c>
      <c r="AO336">
        <v>1</v>
      </c>
      <c r="AP336">
        <v>0</v>
      </c>
      <c r="AQ336">
        <v>16666.666666666668</v>
      </c>
      <c r="AR336" t="s">
        <v>1208</v>
      </c>
      <c r="AS336" t="s">
        <v>75</v>
      </c>
      <c r="AX336" t="s">
        <v>76</v>
      </c>
      <c r="AY336" t="s">
        <v>71</v>
      </c>
      <c r="AZ336">
        <v>0</v>
      </c>
      <c r="BA336" t="s">
        <v>71</v>
      </c>
      <c r="BB336">
        <v>0</v>
      </c>
      <c r="BD336">
        <v>0.11733</v>
      </c>
    </row>
    <row r="337" spans="1:56" x14ac:dyDescent="0.15">
      <c r="A337" s="4" t="str">
        <f>HYPERLINK("https://ibp.a2mac1.com/costing(costing:projects/details/9760/part/8411370)","Evaporator")</f>
        <v>Evaporator</v>
      </c>
      <c r="B337">
        <v>8411370</v>
      </c>
      <c r="C337">
        <v>8411220</v>
      </c>
      <c r="E337">
        <v>13.19</v>
      </c>
      <c r="F337">
        <v>0</v>
      </c>
      <c r="G337">
        <v>0</v>
      </c>
      <c r="H337">
        <v>0</v>
      </c>
      <c r="I337" t="s">
        <v>71</v>
      </c>
      <c r="J337">
        <v>0</v>
      </c>
      <c r="K337">
        <v>13.19</v>
      </c>
      <c r="L337">
        <v>0</v>
      </c>
      <c r="M337">
        <v>0</v>
      </c>
      <c r="N337">
        <v>13.19</v>
      </c>
      <c r="O337" t="s">
        <v>71</v>
      </c>
      <c r="P337">
        <v>0</v>
      </c>
      <c r="Q337" t="s">
        <v>71</v>
      </c>
      <c r="R337">
        <v>0</v>
      </c>
      <c r="S337" t="s">
        <v>71</v>
      </c>
      <c r="T337">
        <v>0</v>
      </c>
      <c r="U337" t="s">
        <v>71</v>
      </c>
      <c r="V337">
        <v>0</v>
      </c>
      <c r="W337" t="s">
        <v>71</v>
      </c>
      <c r="X337">
        <v>0</v>
      </c>
      <c r="Y337">
        <v>13.19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119</v>
      </c>
      <c r="AF337">
        <v>328</v>
      </c>
      <c r="AG337">
        <v>295</v>
      </c>
      <c r="AH337">
        <v>0</v>
      </c>
      <c r="AI337">
        <v>1.1779999999999999</v>
      </c>
      <c r="AK337" t="s">
        <v>95</v>
      </c>
      <c r="AM337">
        <v>200000</v>
      </c>
      <c r="AN337" t="s">
        <v>97</v>
      </c>
      <c r="AO337">
        <v>1</v>
      </c>
      <c r="AP337">
        <v>0</v>
      </c>
      <c r="AQ337">
        <v>16666.666666666668</v>
      </c>
      <c r="AR337" t="s">
        <v>1211</v>
      </c>
      <c r="AS337" t="s">
        <v>75</v>
      </c>
      <c r="AX337" t="s">
        <v>76</v>
      </c>
      <c r="AY337" t="s">
        <v>71</v>
      </c>
      <c r="AZ337">
        <v>0</v>
      </c>
      <c r="BA337" t="s">
        <v>71</v>
      </c>
      <c r="BB337">
        <v>0</v>
      </c>
      <c r="BD337">
        <v>13.19</v>
      </c>
    </row>
    <row r="338" spans="1:56" x14ac:dyDescent="0.15">
      <c r="A338" s="4" t="str">
        <f>HYPERLINK("https://ibp.a2mac1.com/costing(costing:projects/details/9760/part/8411371)","Upper Housing")</f>
        <v>Upper Housing</v>
      </c>
      <c r="B338">
        <v>8411371</v>
      </c>
      <c r="C338">
        <v>8411220</v>
      </c>
      <c r="D338" t="s">
        <v>1168</v>
      </c>
      <c r="E338">
        <v>0.55891000000000002</v>
      </c>
      <c r="F338">
        <v>0</v>
      </c>
      <c r="G338">
        <v>0</v>
      </c>
      <c r="H338">
        <v>0</v>
      </c>
      <c r="I338" t="s">
        <v>71</v>
      </c>
      <c r="J338">
        <v>0</v>
      </c>
      <c r="K338">
        <v>0.55891000000000002</v>
      </c>
      <c r="L338">
        <v>0</v>
      </c>
      <c r="M338">
        <v>0</v>
      </c>
      <c r="N338">
        <v>0.55891000000000002</v>
      </c>
      <c r="O338" t="s">
        <v>71</v>
      </c>
      <c r="P338">
        <v>0</v>
      </c>
      <c r="Q338" t="s">
        <v>71</v>
      </c>
      <c r="R338">
        <v>0</v>
      </c>
      <c r="S338" t="s">
        <v>71</v>
      </c>
      <c r="T338">
        <v>0</v>
      </c>
      <c r="U338" t="s">
        <v>71</v>
      </c>
      <c r="V338">
        <v>0</v>
      </c>
      <c r="W338" t="s">
        <v>71</v>
      </c>
      <c r="X338">
        <v>0</v>
      </c>
      <c r="Y338">
        <v>0.55891000000000002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130</v>
      </c>
      <c r="AF338">
        <v>415</v>
      </c>
      <c r="AG338">
        <v>145</v>
      </c>
      <c r="AH338">
        <v>0</v>
      </c>
      <c r="AI338">
        <v>0.27</v>
      </c>
      <c r="AK338" t="s">
        <v>100</v>
      </c>
      <c r="AM338">
        <v>200000</v>
      </c>
      <c r="AN338" t="s">
        <v>97</v>
      </c>
      <c r="AO338">
        <v>1</v>
      </c>
      <c r="AP338">
        <v>0</v>
      </c>
      <c r="AQ338">
        <v>16666.666666666668</v>
      </c>
      <c r="AR338" t="s">
        <v>1212</v>
      </c>
      <c r="AS338" t="s">
        <v>75</v>
      </c>
      <c r="AX338" t="s">
        <v>76</v>
      </c>
      <c r="AY338" t="s">
        <v>71</v>
      </c>
      <c r="AZ338">
        <v>0</v>
      </c>
      <c r="BA338" t="s">
        <v>71</v>
      </c>
      <c r="BB338">
        <v>0</v>
      </c>
      <c r="BD338">
        <v>0.55891000000000002</v>
      </c>
    </row>
    <row r="339" spans="1:56" x14ac:dyDescent="0.15">
      <c r="A339" s="4" t="str">
        <f>HYPERLINK("https://ibp.a2mac1.com/costing(costing:projects/details/9760/part/8411372)","Lower Housing")</f>
        <v>Lower Housing</v>
      </c>
      <c r="B339">
        <v>8411372</v>
      </c>
      <c r="C339">
        <v>8411220</v>
      </c>
      <c r="D339" t="s">
        <v>1168</v>
      </c>
      <c r="E339">
        <v>1.4076299999999999</v>
      </c>
      <c r="F339">
        <v>0</v>
      </c>
      <c r="G339">
        <v>0</v>
      </c>
      <c r="H339">
        <v>0</v>
      </c>
      <c r="I339" t="s">
        <v>71</v>
      </c>
      <c r="J339">
        <v>0</v>
      </c>
      <c r="K339">
        <v>1.4076299999999999</v>
      </c>
      <c r="L339">
        <v>0</v>
      </c>
      <c r="M339">
        <v>0</v>
      </c>
      <c r="N339">
        <v>1.4076299999999999</v>
      </c>
      <c r="O339" t="s">
        <v>71</v>
      </c>
      <c r="P339">
        <v>0</v>
      </c>
      <c r="Q339" t="s">
        <v>71</v>
      </c>
      <c r="R339">
        <v>0</v>
      </c>
      <c r="S339" t="s">
        <v>71</v>
      </c>
      <c r="T339">
        <v>0</v>
      </c>
      <c r="U339" t="s">
        <v>71</v>
      </c>
      <c r="V339">
        <v>0</v>
      </c>
      <c r="W339" t="s">
        <v>71</v>
      </c>
      <c r="X339">
        <v>0</v>
      </c>
      <c r="Y339">
        <v>1.4076299999999999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160</v>
      </c>
      <c r="AF339">
        <v>452</v>
      </c>
      <c r="AG339">
        <v>365</v>
      </c>
      <c r="AH339">
        <v>0</v>
      </c>
      <c r="AI339">
        <v>0.68</v>
      </c>
      <c r="AK339" t="s">
        <v>100</v>
      </c>
      <c r="AM339">
        <v>200000</v>
      </c>
      <c r="AN339" t="s">
        <v>97</v>
      </c>
      <c r="AO339">
        <v>1</v>
      </c>
      <c r="AP339">
        <v>0</v>
      </c>
      <c r="AQ339">
        <v>16666.666666666668</v>
      </c>
      <c r="AR339" t="s">
        <v>1213</v>
      </c>
      <c r="AS339" t="s">
        <v>75</v>
      </c>
      <c r="AX339" t="s">
        <v>76</v>
      </c>
      <c r="AY339" t="s">
        <v>71</v>
      </c>
      <c r="AZ339">
        <v>0</v>
      </c>
      <c r="BA339" t="s">
        <v>71</v>
      </c>
      <c r="BB339">
        <v>0</v>
      </c>
      <c r="BD339">
        <v>1.4076299999999999</v>
      </c>
    </row>
    <row r="340" spans="1:56" x14ac:dyDescent="0.15">
      <c r="A340" s="4" t="str">
        <f>HYPERLINK("https://ibp.a2mac1.com/costing(costing:projects/details/9760/part/8411373)","Regulator valve")</f>
        <v>Regulator valve</v>
      </c>
      <c r="B340">
        <v>8411373</v>
      </c>
      <c r="C340">
        <v>8411220</v>
      </c>
      <c r="E340">
        <v>4.4999900000000004</v>
      </c>
      <c r="F340">
        <v>0</v>
      </c>
      <c r="G340">
        <v>0</v>
      </c>
      <c r="H340">
        <v>0</v>
      </c>
      <c r="I340" t="s">
        <v>71</v>
      </c>
      <c r="J340">
        <v>0</v>
      </c>
      <c r="K340">
        <v>4.4999900000000004</v>
      </c>
      <c r="L340">
        <v>0</v>
      </c>
      <c r="M340">
        <v>0</v>
      </c>
      <c r="N340">
        <v>4.4999900000000004</v>
      </c>
      <c r="O340" t="s">
        <v>71</v>
      </c>
      <c r="P340">
        <v>0</v>
      </c>
      <c r="Q340" t="s">
        <v>71</v>
      </c>
      <c r="R340">
        <v>0</v>
      </c>
      <c r="S340" t="s">
        <v>71</v>
      </c>
      <c r="T340">
        <v>0</v>
      </c>
      <c r="U340" t="s">
        <v>71</v>
      </c>
      <c r="V340">
        <v>0</v>
      </c>
      <c r="W340" t="s">
        <v>71</v>
      </c>
      <c r="X340">
        <v>0</v>
      </c>
      <c r="Y340">
        <v>4.4999900000000004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43</v>
      </c>
      <c r="AF340">
        <v>32</v>
      </c>
      <c r="AG340">
        <v>106</v>
      </c>
      <c r="AH340">
        <v>0</v>
      </c>
      <c r="AI340">
        <v>0.193</v>
      </c>
      <c r="AK340" t="s">
        <v>95</v>
      </c>
      <c r="AM340">
        <v>200000</v>
      </c>
      <c r="AN340" t="s">
        <v>97</v>
      </c>
      <c r="AO340">
        <v>1</v>
      </c>
      <c r="AP340">
        <v>0</v>
      </c>
      <c r="AQ340">
        <v>16666.666666666668</v>
      </c>
      <c r="AR340" t="s">
        <v>1214</v>
      </c>
      <c r="AS340" t="s">
        <v>75</v>
      </c>
      <c r="AX340" t="s">
        <v>76</v>
      </c>
      <c r="AY340" t="s">
        <v>71</v>
      </c>
      <c r="AZ340">
        <v>0</v>
      </c>
      <c r="BA340" t="s">
        <v>71</v>
      </c>
      <c r="BB340">
        <v>0</v>
      </c>
      <c r="BD340">
        <v>4.4999900000000004</v>
      </c>
    </row>
    <row r="341" spans="1:56" x14ac:dyDescent="0.15">
      <c r="A341" s="4" t="str">
        <f>HYPERLINK("https://ibp.a2mac1.com/costing(costing:projects/details/9760/part/8411374)","Regulator valve support")</f>
        <v>Regulator valve support</v>
      </c>
      <c r="B341">
        <v>8411374</v>
      </c>
      <c r="C341">
        <v>8411220</v>
      </c>
      <c r="E341">
        <v>0.13148000000000001</v>
      </c>
      <c r="F341">
        <v>0</v>
      </c>
      <c r="G341">
        <v>0</v>
      </c>
      <c r="H341">
        <v>0</v>
      </c>
      <c r="I341" t="s">
        <v>71</v>
      </c>
      <c r="J341">
        <v>0</v>
      </c>
      <c r="K341">
        <v>0.13148000000000001</v>
      </c>
      <c r="L341">
        <v>0</v>
      </c>
      <c r="M341">
        <v>0</v>
      </c>
      <c r="N341">
        <v>0.13148000000000001</v>
      </c>
      <c r="O341" t="s">
        <v>71</v>
      </c>
      <c r="P341">
        <v>0</v>
      </c>
      <c r="Q341" t="s">
        <v>71</v>
      </c>
      <c r="R341">
        <v>0</v>
      </c>
      <c r="S341" t="s">
        <v>71</v>
      </c>
      <c r="T341">
        <v>0</v>
      </c>
      <c r="U341" t="s">
        <v>71</v>
      </c>
      <c r="V341">
        <v>0</v>
      </c>
      <c r="W341" t="s">
        <v>71</v>
      </c>
      <c r="X341">
        <v>0</v>
      </c>
      <c r="Y341">
        <v>0.13148000000000001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5</v>
      </c>
      <c r="AF341">
        <v>25</v>
      </c>
      <c r="AG341">
        <v>48</v>
      </c>
      <c r="AH341">
        <v>0</v>
      </c>
      <c r="AI341">
        <v>2.3E-2</v>
      </c>
      <c r="AK341" t="s">
        <v>100</v>
      </c>
      <c r="AM341">
        <v>200000</v>
      </c>
      <c r="AN341" t="s">
        <v>97</v>
      </c>
      <c r="AO341">
        <v>1</v>
      </c>
      <c r="AP341">
        <v>0</v>
      </c>
      <c r="AQ341">
        <v>16666.666666666668</v>
      </c>
      <c r="AR341" t="s">
        <v>1215</v>
      </c>
      <c r="AS341" t="s">
        <v>75</v>
      </c>
      <c r="AX341" t="s">
        <v>76</v>
      </c>
      <c r="AY341" t="s">
        <v>71</v>
      </c>
      <c r="AZ341">
        <v>0</v>
      </c>
      <c r="BA341" t="s">
        <v>71</v>
      </c>
      <c r="BB341">
        <v>0</v>
      </c>
      <c r="BD341">
        <v>0.13148000000000001</v>
      </c>
    </row>
    <row r="342" spans="1:56" x14ac:dyDescent="0.15">
      <c r="A342" s="4" t="str">
        <f>HYPERLINK("https://ibp.a2mac1.com/costing(costing:projects/details/9760/part/8411375)","Temperature Sensor")</f>
        <v>Temperature Sensor</v>
      </c>
      <c r="B342">
        <v>8411375</v>
      </c>
      <c r="C342">
        <v>8411220</v>
      </c>
      <c r="E342">
        <v>0.79998000000000002</v>
      </c>
      <c r="F342">
        <v>0</v>
      </c>
      <c r="G342">
        <v>0</v>
      </c>
      <c r="H342">
        <v>0</v>
      </c>
      <c r="I342" t="s">
        <v>71</v>
      </c>
      <c r="J342">
        <v>0</v>
      </c>
      <c r="K342">
        <v>0.79998000000000002</v>
      </c>
      <c r="L342">
        <v>0</v>
      </c>
      <c r="M342">
        <v>0</v>
      </c>
      <c r="N342">
        <v>0.79998000000000002</v>
      </c>
      <c r="O342" t="s">
        <v>71</v>
      </c>
      <c r="P342">
        <v>0</v>
      </c>
      <c r="Q342" t="s">
        <v>71</v>
      </c>
      <c r="R342">
        <v>0</v>
      </c>
      <c r="S342" t="s">
        <v>71</v>
      </c>
      <c r="T342">
        <v>0</v>
      </c>
      <c r="U342" t="s">
        <v>71</v>
      </c>
      <c r="V342">
        <v>0</v>
      </c>
      <c r="W342" t="s">
        <v>71</v>
      </c>
      <c r="X342">
        <v>0</v>
      </c>
      <c r="Y342">
        <v>0.79998000000000002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22</v>
      </c>
      <c r="AF342">
        <v>25</v>
      </c>
      <c r="AG342">
        <v>71</v>
      </c>
      <c r="AH342">
        <v>0</v>
      </c>
      <c r="AI342">
        <v>3.0000000000000001E-3</v>
      </c>
      <c r="AK342" t="s">
        <v>95</v>
      </c>
      <c r="AM342">
        <v>200000</v>
      </c>
      <c r="AN342" t="s">
        <v>97</v>
      </c>
      <c r="AO342">
        <v>1</v>
      </c>
      <c r="AP342">
        <v>0</v>
      </c>
      <c r="AQ342">
        <v>16666.666666666668</v>
      </c>
      <c r="AR342" t="s">
        <v>1216</v>
      </c>
      <c r="AS342" t="s">
        <v>75</v>
      </c>
      <c r="AX342" t="s">
        <v>76</v>
      </c>
      <c r="AY342" t="s">
        <v>71</v>
      </c>
      <c r="AZ342">
        <v>0</v>
      </c>
      <c r="BA342" t="s">
        <v>71</v>
      </c>
      <c r="BB342">
        <v>0</v>
      </c>
      <c r="BD342">
        <v>0.79998000000000002</v>
      </c>
    </row>
    <row r="343" spans="1:56" x14ac:dyDescent="0.15">
      <c r="A343" s="4" t="str">
        <f>HYPERLINK("https://ibp.a2mac1.com/costing(costing:projects/details/9760/part/8411376)","Buffer")</f>
        <v>Buffer</v>
      </c>
      <c r="B343">
        <v>8411376</v>
      </c>
      <c r="C343">
        <v>8411220</v>
      </c>
      <c r="E343">
        <v>0.49998999999999999</v>
      </c>
      <c r="F343">
        <v>0</v>
      </c>
      <c r="G343">
        <v>0</v>
      </c>
      <c r="H343">
        <v>0</v>
      </c>
      <c r="I343" t="s">
        <v>71</v>
      </c>
      <c r="J343">
        <v>0</v>
      </c>
      <c r="K343">
        <v>0.49998999999999999</v>
      </c>
      <c r="L343">
        <v>0</v>
      </c>
      <c r="M343">
        <v>0</v>
      </c>
      <c r="N343">
        <v>0.49998999999999999</v>
      </c>
      <c r="O343" t="s">
        <v>71</v>
      </c>
      <c r="P343">
        <v>0</v>
      </c>
      <c r="Q343" t="s">
        <v>71</v>
      </c>
      <c r="R343">
        <v>0</v>
      </c>
      <c r="S343" t="s">
        <v>71</v>
      </c>
      <c r="T343">
        <v>0</v>
      </c>
      <c r="U343" t="s">
        <v>71</v>
      </c>
      <c r="V343">
        <v>0</v>
      </c>
      <c r="W343" t="s">
        <v>71</v>
      </c>
      <c r="X343">
        <v>0</v>
      </c>
      <c r="Y343">
        <v>0.49998999999999999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70</v>
      </c>
      <c r="AF343">
        <v>400</v>
      </c>
      <c r="AG343">
        <v>300</v>
      </c>
      <c r="AH343">
        <v>0</v>
      </c>
      <c r="AI343">
        <v>0.184</v>
      </c>
      <c r="AK343" t="s">
        <v>1108</v>
      </c>
      <c r="AM343">
        <v>200000</v>
      </c>
      <c r="AN343" t="s">
        <v>73</v>
      </c>
      <c r="AO343">
        <v>1</v>
      </c>
      <c r="AP343">
        <v>0</v>
      </c>
      <c r="AQ343">
        <v>16666.666666666668</v>
      </c>
      <c r="AR343" t="s">
        <v>1217</v>
      </c>
      <c r="AS343" t="s">
        <v>75</v>
      </c>
      <c r="AX343" t="s">
        <v>76</v>
      </c>
      <c r="AY343" t="s">
        <v>71</v>
      </c>
      <c r="AZ343">
        <v>0</v>
      </c>
      <c r="BA343" t="s">
        <v>71</v>
      </c>
      <c r="BB343">
        <v>0</v>
      </c>
      <c r="BD343">
        <v>0.49998999999999999</v>
      </c>
    </row>
    <row r="344" spans="1:56" x14ac:dyDescent="0.15">
      <c r="A344" s="4" t="str">
        <f>HYPERLINK("https://ibp.a2mac1.com/costing(costing:projects/details/9760/part/8411377)","2nd Buffer")</f>
        <v>2nd Buffer</v>
      </c>
      <c r="B344">
        <v>8411377</v>
      </c>
      <c r="C344">
        <v>8411220</v>
      </c>
      <c r="E344">
        <v>7.9990000000000006E-2</v>
      </c>
      <c r="F344">
        <v>0</v>
      </c>
      <c r="G344">
        <v>0</v>
      </c>
      <c r="H344">
        <v>0</v>
      </c>
      <c r="I344" t="s">
        <v>71</v>
      </c>
      <c r="J344">
        <v>0</v>
      </c>
      <c r="K344">
        <v>7.9990000000000006E-2</v>
      </c>
      <c r="L344">
        <v>0</v>
      </c>
      <c r="M344">
        <v>0</v>
      </c>
      <c r="N344">
        <v>7.9990000000000006E-2</v>
      </c>
      <c r="O344" t="s">
        <v>71</v>
      </c>
      <c r="P344">
        <v>0</v>
      </c>
      <c r="Q344" t="s">
        <v>71</v>
      </c>
      <c r="R344">
        <v>0</v>
      </c>
      <c r="S344" t="s">
        <v>71</v>
      </c>
      <c r="T344">
        <v>0</v>
      </c>
      <c r="U344" t="s">
        <v>71</v>
      </c>
      <c r="V344">
        <v>0</v>
      </c>
      <c r="W344" t="s">
        <v>71</v>
      </c>
      <c r="X344">
        <v>0</v>
      </c>
      <c r="Y344">
        <v>7.9990000000000006E-2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30</v>
      </c>
      <c r="AF344">
        <v>54</v>
      </c>
      <c r="AG344">
        <v>26</v>
      </c>
      <c r="AH344">
        <v>0</v>
      </c>
      <c r="AI344">
        <v>2.5000000000000001E-2</v>
      </c>
      <c r="AK344" t="s">
        <v>1108</v>
      </c>
      <c r="AM344">
        <v>200000</v>
      </c>
      <c r="AN344" t="s">
        <v>73</v>
      </c>
      <c r="AO344">
        <v>1</v>
      </c>
      <c r="AP344">
        <v>0</v>
      </c>
      <c r="AQ344">
        <v>16666.666666666668</v>
      </c>
      <c r="AR344" t="s">
        <v>1218</v>
      </c>
      <c r="AS344" t="s">
        <v>75</v>
      </c>
      <c r="AX344" t="s">
        <v>76</v>
      </c>
      <c r="AY344" t="s">
        <v>71</v>
      </c>
      <c r="AZ344">
        <v>0</v>
      </c>
      <c r="BA344" t="s">
        <v>71</v>
      </c>
      <c r="BB344">
        <v>0</v>
      </c>
      <c r="BD344">
        <v>7.9990000000000006E-2</v>
      </c>
    </row>
    <row r="345" spans="1:56" x14ac:dyDescent="0.15">
      <c r="A345" s="4" t="str">
        <f>HYPERLINK("https://ibp.a2mac1.com/costing(costing:projects/details/9760/part/8411441)","Pipes Fixing Part")</f>
        <v>Pipes Fixing Part</v>
      </c>
      <c r="B345">
        <v>8411441</v>
      </c>
      <c r="C345">
        <v>8411381</v>
      </c>
      <c r="D345" t="s">
        <v>1168</v>
      </c>
      <c r="E345">
        <v>2.07E-2</v>
      </c>
      <c r="F345">
        <v>0</v>
      </c>
      <c r="G345">
        <v>0</v>
      </c>
      <c r="H345">
        <v>0</v>
      </c>
      <c r="I345" t="s">
        <v>71</v>
      </c>
      <c r="J345">
        <v>0</v>
      </c>
      <c r="K345">
        <v>2.07E-2</v>
      </c>
      <c r="L345">
        <v>0</v>
      </c>
      <c r="M345">
        <v>0</v>
      </c>
      <c r="N345">
        <v>2.07E-2</v>
      </c>
      <c r="O345" t="s">
        <v>71</v>
      </c>
      <c r="P345">
        <v>0</v>
      </c>
      <c r="Q345" t="s">
        <v>71</v>
      </c>
      <c r="R345">
        <v>0</v>
      </c>
      <c r="S345" t="s">
        <v>71</v>
      </c>
      <c r="T345">
        <v>0</v>
      </c>
      <c r="U345" t="s">
        <v>71</v>
      </c>
      <c r="V345">
        <v>0</v>
      </c>
      <c r="W345" t="s">
        <v>71</v>
      </c>
      <c r="X345">
        <v>0</v>
      </c>
      <c r="Y345">
        <v>2.07E-2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21</v>
      </c>
      <c r="AF345">
        <v>29</v>
      </c>
      <c r="AG345">
        <v>54</v>
      </c>
      <c r="AH345">
        <v>0</v>
      </c>
      <c r="AI345">
        <v>0.01</v>
      </c>
      <c r="AK345" t="s">
        <v>100</v>
      </c>
      <c r="AM345">
        <v>200000</v>
      </c>
      <c r="AN345" t="s">
        <v>97</v>
      </c>
      <c r="AO345">
        <v>1</v>
      </c>
      <c r="AP345">
        <v>0</v>
      </c>
      <c r="AQ345">
        <v>16666.666666666668</v>
      </c>
      <c r="AR345" t="s">
        <v>1222</v>
      </c>
      <c r="AS345" t="s">
        <v>75</v>
      </c>
      <c r="AX345" t="s">
        <v>76</v>
      </c>
      <c r="AY345" t="s">
        <v>71</v>
      </c>
      <c r="AZ345">
        <v>0</v>
      </c>
      <c r="BA345" t="s">
        <v>71</v>
      </c>
      <c r="BB345">
        <v>0</v>
      </c>
      <c r="BD345">
        <v>2.07E-2</v>
      </c>
    </row>
    <row r="346" spans="1:56" x14ac:dyDescent="0.15">
      <c r="A346" s="4" t="str">
        <f>HYPERLINK("https://ibp.a2mac1.com/costing(costing:projects/details/9760/part/8411442)","2nd Pipes Fixing Part")</f>
        <v>2nd Pipes Fixing Part</v>
      </c>
      <c r="B346">
        <v>8411442</v>
      </c>
      <c r="C346">
        <v>8411381</v>
      </c>
      <c r="D346" t="s">
        <v>1168</v>
      </c>
      <c r="E346">
        <v>1.6549999999999999E-2</v>
      </c>
      <c r="F346">
        <v>0</v>
      </c>
      <c r="G346">
        <v>0</v>
      </c>
      <c r="H346">
        <v>0</v>
      </c>
      <c r="I346" t="s">
        <v>71</v>
      </c>
      <c r="J346">
        <v>0</v>
      </c>
      <c r="K346">
        <v>1.6549999999999999E-2</v>
      </c>
      <c r="L346">
        <v>0</v>
      </c>
      <c r="M346">
        <v>0</v>
      </c>
      <c r="N346">
        <v>1.6549999999999999E-2</v>
      </c>
      <c r="O346" t="s">
        <v>71</v>
      </c>
      <c r="P346">
        <v>0</v>
      </c>
      <c r="Q346" t="s">
        <v>71</v>
      </c>
      <c r="R346">
        <v>0</v>
      </c>
      <c r="S346" t="s">
        <v>71</v>
      </c>
      <c r="T346">
        <v>0</v>
      </c>
      <c r="U346" t="s">
        <v>71</v>
      </c>
      <c r="V346">
        <v>0</v>
      </c>
      <c r="W346" t="s">
        <v>71</v>
      </c>
      <c r="X346">
        <v>0</v>
      </c>
      <c r="Y346">
        <v>1.6549999999999999E-2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20</v>
      </c>
      <c r="AF346">
        <v>45</v>
      </c>
      <c r="AG346">
        <v>27</v>
      </c>
      <c r="AH346">
        <v>0</v>
      </c>
      <c r="AI346">
        <v>8.0000000000000002E-3</v>
      </c>
      <c r="AK346" t="s">
        <v>100</v>
      </c>
      <c r="AM346">
        <v>200000</v>
      </c>
      <c r="AN346" t="s">
        <v>97</v>
      </c>
      <c r="AO346">
        <v>1</v>
      </c>
      <c r="AP346">
        <v>0</v>
      </c>
      <c r="AQ346">
        <v>16666.666666666668</v>
      </c>
      <c r="AR346" t="s">
        <v>1223</v>
      </c>
      <c r="AS346" t="s">
        <v>75</v>
      </c>
      <c r="AX346" t="s">
        <v>76</v>
      </c>
      <c r="AY346" t="s">
        <v>71</v>
      </c>
      <c r="AZ346">
        <v>0</v>
      </c>
      <c r="BA346" t="s">
        <v>71</v>
      </c>
      <c r="BB346">
        <v>0</v>
      </c>
      <c r="BD346">
        <v>1.6549999999999999E-2</v>
      </c>
    </row>
    <row r="347" spans="1:56" x14ac:dyDescent="0.15">
      <c r="A347" s="4" t="str">
        <f>HYPERLINK("https://ibp.a2mac1.com/costing(costing:projects/details/9760/part/8411378)","Radiator")</f>
        <v>Radiator</v>
      </c>
      <c r="B347">
        <v>8411378</v>
      </c>
      <c r="C347">
        <v>8411222</v>
      </c>
      <c r="E347">
        <v>11.299989999999999</v>
      </c>
      <c r="F347">
        <v>0</v>
      </c>
      <c r="G347">
        <v>0</v>
      </c>
      <c r="H347">
        <v>0</v>
      </c>
      <c r="I347" t="s">
        <v>71</v>
      </c>
      <c r="J347">
        <v>0</v>
      </c>
      <c r="K347">
        <v>11.299989999999999</v>
      </c>
      <c r="L347">
        <v>0</v>
      </c>
      <c r="M347">
        <v>0</v>
      </c>
      <c r="N347">
        <v>11.299989999999999</v>
      </c>
      <c r="O347" t="s">
        <v>71</v>
      </c>
      <c r="P347">
        <v>0</v>
      </c>
      <c r="Q347" t="s">
        <v>71</v>
      </c>
      <c r="R347">
        <v>0</v>
      </c>
      <c r="S347" t="s">
        <v>71</v>
      </c>
      <c r="T347">
        <v>0</v>
      </c>
      <c r="U347" t="s">
        <v>71</v>
      </c>
      <c r="V347">
        <v>0</v>
      </c>
      <c r="W347" t="s">
        <v>71</v>
      </c>
      <c r="X347">
        <v>0</v>
      </c>
      <c r="Y347">
        <v>11.299989999999999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310</v>
      </c>
      <c r="AF347">
        <v>318</v>
      </c>
      <c r="AG347">
        <v>200</v>
      </c>
      <c r="AH347">
        <v>0</v>
      </c>
      <c r="AI347">
        <v>0.70099999999999996</v>
      </c>
      <c r="AK347" t="s">
        <v>95</v>
      </c>
      <c r="AM347">
        <v>200000</v>
      </c>
      <c r="AN347" t="s">
        <v>97</v>
      </c>
      <c r="AO347">
        <v>1</v>
      </c>
      <c r="AP347">
        <v>0</v>
      </c>
      <c r="AQ347">
        <v>16666.666666666668</v>
      </c>
      <c r="AR347" t="s">
        <v>1225</v>
      </c>
      <c r="AS347" t="s">
        <v>75</v>
      </c>
      <c r="AX347" t="s">
        <v>76</v>
      </c>
      <c r="AY347" t="s">
        <v>71</v>
      </c>
      <c r="AZ347">
        <v>0</v>
      </c>
      <c r="BA347" t="s">
        <v>71</v>
      </c>
      <c r="BB347">
        <v>0</v>
      </c>
      <c r="BD347">
        <v>11.299989999999999</v>
      </c>
    </row>
    <row r="348" spans="1:56" x14ac:dyDescent="0.15">
      <c r="A348" s="4" t="str">
        <f>HYPERLINK("https://ibp.a2mac1.com/costing(costing:projects/details/9760/part/8411379)","Buffer")</f>
        <v>Buffer</v>
      </c>
      <c r="B348">
        <v>8411379</v>
      </c>
      <c r="C348">
        <v>8411222</v>
      </c>
      <c r="E348">
        <v>0.05</v>
      </c>
      <c r="F348">
        <v>0</v>
      </c>
      <c r="G348">
        <v>0</v>
      </c>
      <c r="H348">
        <v>0</v>
      </c>
      <c r="I348" t="s">
        <v>71</v>
      </c>
      <c r="J348">
        <v>0</v>
      </c>
      <c r="K348">
        <v>0.05</v>
      </c>
      <c r="L348">
        <v>0</v>
      </c>
      <c r="M348">
        <v>0</v>
      </c>
      <c r="N348">
        <v>0.05</v>
      </c>
      <c r="O348" t="s">
        <v>71</v>
      </c>
      <c r="P348">
        <v>0</v>
      </c>
      <c r="Q348" t="s">
        <v>71</v>
      </c>
      <c r="R348">
        <v>0</v>
      </c>
      <c r="S348" t="s">
        <v>71</v>
      </c>
      <c r="T348">
        <v>0</v>
      </c>
      <c r="U348" t="s">
        <v>71</v>
      </c>
      <c r="V348">
        <v>0</v>
      </c>
      <c r="W348" t="s">
        <v>71</v>
      </c>
      <c r="X348">
        <v>0</v>
      </c>
      <c r="Y348">
        <v>0.05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21</v>
      </c>
      <c r="AF348">
        <v>26</v>
      </c>
      <c r="AG348">
        <v>54</v>
      </c>
      <c r="AH348">
        <v>0</v>
      </c>
      <c r="AI348">
        <v>1E-3</v>
      </c>
      <c r="AK348" t="s">
        <v>1108</v>
      </c>
      <c r="AM348">
        <v>200000</v>
      </c>
      <c r="AN348" t="s">
        <v>73</v>
      </c>
      <c r="AO348">
        <v>1</v>
      </c>
      <c r="AP348">
        <v>0</v>
      </c>
      <c r="AQ348">
        <v>16666.666666666668</v>
      </c>
      <c r="AR348" t="s">
        <v>1226</v>
      </c>
      <c r="AS348" t="s">
        <v>75</v>
      </c>
      <c r="AX348" t="s">
        <v>76</v>
      </c>
      <c r="AY348" t="s">
        <v>71</v>
      </c>
      <c r="AZ348">
        <v>0</v>
      </c>
      <c r="BA348" t="s">
        <v>71</v>
      </c>
      <c r="BB348">
        <v>0</v>
      </c>
      <c r="BD348">
        <v>0.05</v>
      </c>
    </row>
    <row r="349" spans="1:56" x14ac:dyDescent="0.15">
      <c r="A349" s="4" t="str">
        <f>HYPERLINK("https://ibp.a2mac1.com/costing(costing:projects/details/9760/part/8411380)","Radiator Fixing Part")</f>
        <v>Radiator Fixing Part</v>
      </c>
      <c r="B349">
        <v>8411380</v>
      </c>
      <c r="C349">
        <v>8411222</v>
      </c>
      <c r="D349" t="s">
        <v>1168</v>
      </c>
      <c r="E349">
        <v>0.13455</v>
      </c>
      <c r="F349">
        <v>0</v>
      </c>
      <c r="G349">
        <v>0</v>
      </c>
      <c r="H349">
        <v>0</v>
      </c>
      <c r="I349" t="s">
        <v>71</v>
      </c>
      <c r="J349">
        <v>0</v>
      </c>
      <c r="K349">
        <v>0.13455</v>
      </c>
      <c r="L349">
        <v>0</v>
      </c>
      <c r="M349">
        <v>0</v>
      </c>
      <c r="N349">
        <v>0.13455</v>
      </c>
      <c r="O349" t="s">
        <v>71</v>
      </c>
      <c r="P349">
        <v>0</v>
      </c>
      <c r="Q349" t="s">
        <v>71</v>
      </c>
      <c r="R349">
        <v>0</v>
      </c>
      <c r="S349" t="s">
        <v>71</v>
      </c>
      <c r="T349">
        <v>0</v>
      </c>
      <c r="U349" t="s">
        <v>71</v>
      </c>
      <c r="V349">
        <v>0</v>
      </c>
      <c r="W349" t="s">
        <v>71</v>
      </c>
      <c r="X349">
        <v>0</v>
      </c>
      <c r="Y349">
        <v>0.13455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53</v>
      </c>
      <c r="AF349">
        <v>114</v>
      </c>
      <c r="AG349">
        <v>130</v>
      </c>
      <c r="AH349">
        <v>0</v>
      </c>
      <c r="AI349">
        <v>6.5000000000000002E-2</v>
      </c>
      <c r="AK349" t="s">
        <v>100</v>
      </c>
      <c r="AM349">
        <v>200000</v>
      </c>
      <c r="AN349" t="s">
        <v>97</v>
      </c>
      <c r="AO349">
        <v>1</v>
      </c>
      <c r="AP349">
        <v>0</v>
      </c>
      <c r="AQ349">
        <v>16666.666666666668</v>
      </c>
      <c r="AR349" t="s">
        <v>1227</v>
      </c>
      <c r="AS349" t="s">
        <v>75</v>
      </c>
      <c r="AX349" t="s">
        <v>76</v>
      </c>
      <c r="AY349" t="s">
        <v>71</v>
      </c>
      <c r="AZ349">
        <v>0</v>
      </c>
      <c r="BA349" t="s">
        <v>71</v>
      </c>
      <c r="BB349">
        <v>0</v>
      </c>
      <c r="BD349">
        <v>0.13455</v>
      </c>
    </row>
    <row r="350" spans="1:56" x14ac:dyDescent="0.15">
      <c r="A350" s="4" t="str">
        <f>HYPERLINK("https://ibp.a2mac1.com/costing(costing:projects/details/9760/part/8411382)","Condenser")</f>
        <v>Condenser</v>
      </c>
      <c r="B350">
        <v>8411382</v>
      </c>
      <c r="C350">
        <v>8411224</v>
      </c>
      <c r="E350">
        <v>11.44</v>
      </c>
      <c r="F350">
        <v>0</v>
      </c>
      <c r="G350">
        <v>0</v>
      </c>
      <c r="H350">
        <v>0</v>
      </c>
      <c r="I350" t="s">
        <v>71</v>
      </c>
      <c r="J350">
        <v>0</v>
      </c>
      <c r="K350">
        <v>11.44</v>
      </c>
      <c r="L350">
        <v>0</v>
      </c>
      <c r="M350">
        <v>0</v>
      </c>
      <c r="N350">
        <v>11.44</v>
      </c>
      <c r="O350" t="s">
        <v>71</v>
      </c>
      <c r="P350">
        <v>0</v>
      </c>
      <c r="Q350" t="s">
        <v>71</v>
      </c>
      <c r="R350">
        <v>0</v>
      </c>
      <c r="S350" t="s">
        <v>71</v>
      </c>
      <c r="T350">
        <v>0</v>
      </c>
      <c r="U350" t="s">
        <v>71</v>
      </c>
      <c r="V350">
        <v>0</v>
      </c>
      <c r="W350" t="s">
        <v>71</v>
      </c>
      <c r="X350">
        <v>0</v>
      </c>
      <c r="Y350">
        <v>11.44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240</v>
      </c>
      <c r="AF350">
        <v>335</v>
      </c>
      <c r="AG350">
        <v>196</v>
      </c>
      <c r="AH350">
        <v>0</v>
      </c>
      <c r="AI350">
        <v>0.73299999999999998</v>
      </c>
      <c r="AK350" t="s">
        <v>95</v>
      </c>
      <c r="AM350">
        <v>200000</v>
      </c>
      <c r="AN350" t="s">
        <v>97</v>
      </c>
      <c r="AO350">
        <v>1</v>
      </c>
      <c r="AP350">
        <v>0</v>
      </c>
      <c r="AQ350">
        <v>16666.666666666668</v>
      </c>
      <c r="AR350" t="s">
        <v>1230</v>
      </c>
      <c r="AS350" t="s">
        <v>75</v>
      </c>
      <c r="AX350" t="s">
        <v>76</v>
      </c>
      <c r="AY350" t="s">
        <v>71</v>
      </c>
      <c r="AZ350">
        <v>0</v>
      </c>
      <c r="BA350" t="s">
        <v>71</v>
      </c>
      <c r="BB350">
        <v>0</v>
      </c>
      <c r="BD350">
        <v>11.44</v>
      </c>
    </row>
    <row r="351" spans="1:56" x14ac:dyDescent="0.15">
      <c r="A351" s="4" t="str">
        <f>HYPERLINK("https://ibp.a2mac1.com/costing(costing:projects/details/9760/part/8411383)","Filter")</f>
        <v>Filter</v>
      </c>
      <c r="B351">
        <v>8411383</v>
      </c>
      <c r="C351">
        <v>8411226</v>
      </c>
      <c r="E351">
        <v>1</v>
      </c>
      <c r="F351">
        <v>0</v>
      </c>
      <c r="G351">
        <v>0</v>
      </c>
      <c r="H351">
        <v>0</v>
      </c>
      <c r="I351" t="s">
        <v>71</v>
      </c>
      <c r="J351">
        <v>0</v>
      </c>
      <c r="K351">
        <v>1</v>
      </c>
      <c r="L351">
        <v>0</v>
      </c>
      <c r="M351">
        <v>0</v>
      </c>
      <c r="N351">
        <v>1</v>
      </c>
      <c r="O351" t="s">
        <v>71</v>
      </c>
      <c r="P351">
        <v>0</v>
      </c>
      <c r="Q351" t="s">
        <v>71</v>
      </c>
      <c r="R351">
        <v>0</v>
      </c>
      <c r="S351" t="s">
        <v>71</v>
      </c>
      <c r="T351">
        <v>0</v>
      </c>
      <c r="U351" t="s">
        <v>71</v>
      </c>
      <c r="V351">
        <v>0</v>
      </c>
      <c r="W351" t="s">
        <v>71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220</v>
      </c>
      <c r="AF351">
        <v>129</v>
      </c>
      <c r="AG351">
        <v>35</v>
      </c>
      <c r="AH351">
        <v>0</v>
      </c>
      <c r="AI351">
        <v>0.16200000000000001</v>
      </c>
      <c r="AK351" t="s">
        <v>100</v>
      </c>
      <c r="AM351">
        <v>200000</v>
      </c>
      <c r="AN351" t="s">
        <v>97</v>
      </c>
      <c r="AO351">
        <v>1</v>
      </c>
      <c r="AP351">
        <v>0</v>
      </c>
      <c r="AQ351">
        <v>16666.666666666668</v>
      </c>
      <c r="AR351" t="s">
        <v>1233</v>
      </c>
      <c r="AS351" t="s">
        <v>75</v>
      </c>
      <c r="AX351" t="s">
        <v>76</v>
      </c>
      <c r="AY351" t="s">
        <v>71</v>
      </c>
      <c r="AZ351">
        <v>0</v>
      </c>
      <c r="BA351" t="s">
        <v>71</v>
      </c>
      <c r="BB351">
        <v>0</v>
      </c>
      <c r="BD351">
        <v>1</v>
      </c>
    </row>
    <row r="352" spans="1:56" x14ac:dyDescent="0.15">
      <c r="A352" s="4" t="str">
        <f>HYPERLINK("https://ibp.a2mac1.com/costing(costing:projects/details/9760/part/8411384)","Cover")</f>
        <v>Cover</v>
      </c>
      <c r="B352">
        <v>8411384</v>
      </c>
      <c r="C352">
        <v>8411226</v>
      </c>
      <c r="D352" t="s">
        <v>1168</v>
      </c>
      <c r="E352">
        <v>0.19583</v>
      </c>
      <c r="F352">
        <v>0</v>
      </c>
      <c r="G352">
        <v>0</v>
      </c>
      <c r="H352">
        <v>0</v>
      </c>
      <c r="I352" t="s">
        <v>71</v>
      </c>
      <c r="J352">
        <v>0</v>
      </c>
      <c r="K352">
        <v>0.19583</v>
      </c>
      <c r="L352">
        <v>0</v>
      </c>
      <c r="M352">
        <v>0</v>
      </c>
      <c r="N352">
        <v>0.19583</v>
      </c>
      <c r="O352" t="s">
        <v>71</v>
      </c>
      <c r="P352">
        <v>0</v>
      </c>
      <c r="Q352" t="s">
        <v>71</v>
      </c>
      <c r="R352">
        <v>0</v>
      </c>
      <c r="S352" t="s">
        <v>71</v>
      </c>
      <c r="T352">
        <v>0</v>
      </c>
      <c r="U352" t="s">
        <v>71</v>
      </c>
      <c r="V352">
        <v>0</v>
      </c>
      <c r="W352" t="s">
        <v>71</v>
      </c>
      <c r="X352">
        <v>0</v>
      </c>
      <c r="Y352">
        <v>0.19583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35</v>
      </c>
      <c r="AF352">
        <v>158</v>
      </c>
      <c r="AG352">
        <v>83</v>
      </c>
      <c r="AH352">
        <v>0</v>
      </c>
      <c r="AI352">
        <v>5.0999999999999997E-2</v>
      </c>
      <c r="AK352" t="s">
        <v>1108</v>
      </c>
      <c r="AM352">
        <v>200000</v>
      </c>
      <c r="AN352" t="s">
        <v>73</v>
      </c>
      <c r="AO352">
        <v>1</v>
      </c>
      <c r="AP352">
        <v>0</v>
      </c>
      <c r="AQ352">
        <v>16666.666666666668</v>
      </c>
      <c r="AR352" t="s">
        <v>1234</v>
      </c>
      <c r="AS352" t="s">
        <v>75</v>
      </c>
      <c r="AX352" t="s">
        <v>76</v>
      </c>
      <c r="AY352" t="s">
        <v>71</v>
      </c>
      <c r="AZ352">
        <v>0</v>
      </c>
      <c r="BA352" t="s">
        <v>71</v>
      </c>
      <c r="BB352">
        <v>0</v>
      </c>
      <c r="BD352">
        <v>0.19583</v>
      </c>
    </row>
    <row r="353" spans="1:56" x14ac:dyDescent="0.15">
      <c r="A353" s="4" t="str">
        <f>HYPERLINK("https://ibp.a2mac1.com/costing(costing:projects/details/9760/part/8411385)","2nd Filter")</f>
        <v>2nd Filter</v>
      </c>
      <c r="B353">
        <v>8411385</v>
      </c>
      <c r="C353">
        <v>8411226</v>
      </c>
      <c r="E353">
        <v>1.1000000000000001</v>
      </c>
      <c r="F353">
        <v>0</v>
      </c>
      <c r="G353">
        <v>0</v>
      </c>
      <c r="H353">
        <v>0</v>
      </c>
      <c r="I353" t="s">
        <v>71</v>
      </c>
      <c r="J353">
        <v>0</v>
      </c>
      <c r="K353">
        <v>1.1000000000000001</v>
      </c>
      <c r="L353">
        <v>0</v>
      </c>
      <c r="M353">
        <v>0</v>
      </c>
      <c r="N353">
        <v>1.1000000000000001</v>
      </c>
      <c r="O353" t="s">
        <v>71</v>
      </c>
      <c r="P353">
        <v>0</v>
      </c>
      <c r="Q353" t="s">
        <v>71</v>
      </c>
      <c r="R353">
        <v>0</v>
      </c>
      <c r="S353" t="s">
        <v>71</v>
      </c>
      <c r="T353">
        <v>0</v>
      </c>
      <c r="U353" t="s">
        <v>71</v>
      </c>
      <c r="V353">
        <v>0</v>
      </c>
      <c r="W353" t="s">
        <v>71</v>
      </c>
      <c r="X353">
        <v>0</v>
      </c>
      <c r="Y353">
        <v>1.1000000000000001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220</v>
      </c>
      <c r="AF353">
        <v>129</v>
      </c>
      <c r="AG353">
        <v>35</v>
      </c>
      <c r="AH353">
        <v>0</v>
      </c>
      <c r="AI353">
        <v>0.17100000000000001</v>
      </c>
      <c r="AK353" t="s">
        <v>72</v>
      </c>
      <c r="AM353">
        <v>200000</v>
      </c>
      <c r="AN353" t="s">
        <v>73</v>
      </c>
      <c r="AO353">
        <v>1</v>
      </c>
      <c r="AP353">
        <v>0</v>
      </c>
      <c r="AQ353">
        <v>16666.666666666668</v>
      </c>
      <c r="AR353" t="s">
        <v>1235</v>
      </c>
      <c r="AS353" t="s">
        <v>75</v>
      </c>
      <c r="AX353" t="s">
        <v>76</v>
      </c>
      <c r="AY353" t="s">
        <v>71</v>
      </c>
      <c r="AZ353">
        <v>0</v>
      </c>
      <c r="BA353" t="s">
        <v>71</v>
      </c>
      <c r="BB353">
        <v>0</v>
      </c>
      <c r="BD353">
        <v>1.1000000000000001</v>
      </c>
    </row>
    <row r="354" spans="1:56" x14ac:dyDescent="0.15">
      <c r="A354" s="4" t="str">
        <f>HYPERLINK("https://ibp.a2mac1.com/costing(costing:projects/details/9760/part/8411386)","Drain Tube Single/Left")</f>
        <v>Drain Tube Single/Left</v>
      </c>
      <c r="B354">
        <v>8411386</v>
      </c>
      <c r="C354">
        <v>8411228</v>
      </c>
      <c r="E354">
        <v>0.77210000000000001</v>
      </c>
      <c r="F354">
        <v>0</v>
      </c>
      <c r="G354">
        <v>0</v>
      </c>
      <c r="H354">
        <v>0</v>
      </c>
      <c r="I354" t="s">
        <v>71</v>
      </c>
      <c r="J354">
        <v>0</v>
      </c>
      <c r="K354">
        <v>0.77210000000000001</v>
      </c>
      <c r="L354">
        <v>0</v>
      </c>
      <c r="M354">
        <v>0</v>
      </c>
      <c r="N354">
        <v>0.77210000000000001</v>
      </c>
      <c r="O354" t="s">
        <v>71</v>
      </c>
      <c r="P354">
        <v>0</v>
      </c>
      <c r="Q354" t="s">
        <v>71</v>
      </c>
      <c r="R354">
        <v>0</v>
      </c>
      <c r="S354" t="s">
        <v>71</v>
      </c>
      <c r="T354">
        <v>0</v>
      </c>
      <c r="U354" t="s">
        <v>71</v>
      </c>
      <c r="V354">
        <v>0</v>
      </c>
      <c r="W354" t="s">
        <v>71</v>
      </c>
      <c r="X354">
        <v>0</v>
      </c>
      <c r="Y354">
        <v>0.77210000000000001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4.8000000000000001E-2</v>
      </c>
      <c r="AK354" t="s">
        <v>100</v>
      </c>
      <c r="AM354">
        <v>200000</v>
      </c>
      <c r="AN354" t="s">
        <v>97</v>
      </c>
      <c r="AO354">
        <v>1</v>
      </c>
      <c r="AP354">
        <v>0</v>
      </c>
      <c r="AQ354">
        <v>16666.666666666668</v>
      </c>
      <c r="AR354" t="s">
        <v>1238</v>
      </c>
      <c r="AS354" t="s">
        <v>75</v>
      </c>
      <c r="AX354" t="s">
        <v>76</v>
      </c>
      <c r="AY354" t="s">
        <v>71</v>
      </c>
      <c r="AZ354">
        <v>0</v>
      </c>
      <c r="BA354" t="s">
        <v>71</v>
      </c>
      <c r="BB354">
        <v>0</v>
      </c>
      <c r="BD354">
        <v>0.77210000000000001</v>
      </c>
    </row>
    <row r="355" spans="1:56" x14ac:dyDescent="0.15">
      <c r="A355" s="4" t="str">
        <f>HYPERLINK("https://ibp.a2mac1.com/costing(costing:projects/details/9760/part/8411387)","Intake Flap")</f>
        <v>Intake Flap</v>
      </c>
      <c r="B355">
        <v>8411387</v>
      </c>
      <c r="C355">
        <v>8411230</v>
      </c>
      <c r="D355" t="s">
        <v>1141</v>
      </c>
      <c r="E355">
        <v>0.24115</v>
      </c>
      <c r="F355">
        <v>0</v>
      </c>
      <c r="G355">
        <v>0</v>
      </c>
      <c r="H355">
        <v>0</v>
      </c>
      <c r="I355" t="s">
        <v>71</v>
      </c>
      <c r="J355">
        <v>0</v>
      </c>
      <c r="K355">
        <v>0.24115</v>
      </c>
      <c r="L355">
        <v>0</v>
      </c>
      <c r="M355">
        <v>0</v>
      </c>
      <c r="N355">
        <v>0.24115</v>
      </c>
      <c r="O355" t="s">
        <v>71</v>
      </c>
      <c r="P355">
        <v>0</v>
      </c>
      <c r="Q355" t="s">
        <v>71</v>
      </c>
      <c r="R355">
        <v>0</v>
      </c>
      <c r="S355" t="s">
        <v>71</v>
      </c>
      <c r="T355">
        <v>0</v>
      </c>
      <c r="U355" t="s">
        <v>71</v>
      </c>
      <c r="V355">
        <v>0</v>
      </c>
      <c r="W355" t="s">
        <v>71</v>
      </c>
      <c r="X355">
        <v>0</v>
      </c>
      <c r="Y355">
        <v>0.24115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17</v>
      </c>
      <c r="AF355">
        <v>279</v>
      </c>
      <c r="AG355">
        <v>80</v>
      </c>
      <c r="AH355">
        <v>0</v>
      </c>
      <c r="AI355">
        <v>7.3999999999999996E-2</v>
      </c>
      <c r="AK355" t="s">
        <v>1108</v>
      </c>
      <c r="AM355">
        <v>200000</v>
      </c>
      <c r="AN355" t="s">
        <v>73</v>
      </c>
      <c r="AO355">
        <v>1</v>
      </c>
      <c r="AP355">
        <v>0</v>
      </c>
      <c r="AQ355">
        <v>16666.666666666668</v>
      </c>
      <c r="AR355" t="s">
        <v>1241</v>
      </c>
      <c r="AS355" t="s">
        <v>75</v>
      </c>
      <c r="AX355" t="s">
        <v>76</v>
      </c>
      <c r="AY355" t="s">
        <v>71</v>
      </c>
      <c r="AZ355">
        <v>0</v>
      </c>
      <c r="BA355" t="s">
        <v>71</v>
      </c>
      <c r="BB355">
        <v>0</v>
      </c>
      <c r="BD355">
        <v>0.24115</v>
      </c>
    </row>
    <row r="356" spans="1:56" x14ac:dyDescent="0.15">
      <c r="A356" s="4" t="str">
        <f>HYPERLINK("https://ibp.a2mac1.com/costing(costing:projects/details/9760/part/8411388)","Mechanism")</f>
        <v>Mechanism</v>
      </c>
      <c r="B356">
        <v>8411388</v>
      </c>
      <c r="C356">
        <v>8411230</v>
      </c>
      <c r="D356" t="s">
        <v>1166</v>
      </c>
      <c r="E356">
        <v>9.0609999999999996E-2</v>
      </c>
      <c r="F356">
        <v>0</v>
      </c>
      <c r="G356">
        <v>0</v>
      </c>
      <c r="H356">
        <v>0</v>
      </c>
      <c r="I356" t="s">
        <v>71</v>
      </c>
      <c r="J356">
        <v>0</v>
      </c>
      <c r="K356">
        <v>9.0609999999999996E-2</v>
      </c>
      <c r="L356">
        <v>0</v>
      </c>
      <c r="M356">
        <v>0</v>
      </c>
      <c r="N356">
        <v>9.0609999999999996E-2</v>
      </c>
      <c r="O356" t="s">
        <v>71</v>
      </c>
      <c r="P356">
        <v>0</v>
      </c>
      <c r="Q356" t="s">
        <v>71</v>
      </c>
      <c r="R356">
        <v>0</v>
      </c>
      <c r="S356" t="s">
        <v>71</v>
      </c>
      <c r="T356">
        <v>0</v>
      </c>
      <c r="U356" t="s">
        <v>71</v>
      </c>
      <c r="V356">
        <v>0</v>
      </c>
      <c r="W356" t="s">
        <v>71</v>
      </c>
      <c r="X356">
        <v>0</v>
      </c>
      <c r="Y356">
        <v>9.0609999999999996E-2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10</v>
      </c>
      <c r="AF356">
        <v>38</v>
      </c>
      <c r="AG356">
        <v>30</v>
      </c>
      <c r="AH356">
        <v>0</v>
      </c>
      <c r="AI356">
        <v>3.0000000000000001E-3</v>
      </c>
      <c r="AK356" t="s">
        <v>1108</v>
      </c>
      <c r="AM356">
        <v>200000</v>
      </c>
      <c r="AN356" t="s">
        <v>73</v>
      </c>
      <c r="AO356">
        <v>1</v>
      </c>
      <c r="AP356">
        <v>0</v>
      </c>
      <c r="AQ356">
        <v>16666.666666666668</v>
      </c>
      <c r="AR356" t="s">
        <v>1242</v>
      </c>
      <c r="AS356" t="s">
        <v>75</v>
      </c>
      <c r="AX356" t="s">
        <v>76</v>
      </c>
      <c r="AY356" t="s">
        <v>71</v>
      </c>
      <c r="AZ356">
        <v>0</v>
      </c>
      <c r="BA356" t="s">
        <v>71</v>
      </c>
      <c r="BB356">
        <v>0</v>
      </c>
      <c r="BD356">
        <v>9.0609999999999996E-2</v>
      </c>
    </row>
    <row r="357" spans="1:56" x14ac:dyDescent="0.15">
      <c r="A357" s="4" t="str">
        <f>HYPERLINK("https://ibp.a2mac1.com/costing(costing:projects/details/9760/part/8411389)","Buffer")</f>
        <v>Buffer</v>
      </c>
      <c r="B357">
        <v>8411389</v>
      </c>
      <c r="C357">
        <v>8411230</v>
      </c>
      <c r="D357" t="s">
        <v>1243</v>
      </c>
      <c r="E357">
        <v>0.34614</v>
      </c>
      <c r="F357">
        <v>0</v>
      </c>
      <c r="G357">
        <v>0</v>
      </c>
      <c r="H357">
        <v>0</v>
      </c>
      <c r="I357" t="s">
        <v>71</v>
      </c>
      <c r="J357">
        <v>0</v>
      </c>
      <c r="K357">
        <v>0.34614</v>
      </c>
      <c r="L357">
        <v>0</v>
      </c>
      <c r="M357">
        <v>0</v>
      </c>
      <c r="N357">
        <v>0.34614</v>
      </c>
      <c r="O357" t="s">
        <v>71</v>
      </c>
      <c r="P357">
        <v>0</v>
      </c>
      <c r="Q357" t="s">
        <v>71</v>
      </c>
      <c r="R357">
        <v>0</v>
      </c>
      <c r="S357" t="s">
        <v>71</v>
      </c>
      <c r="T357">
        <v>0</v>
      </c>
      <c r="U357" t="s">
        <v>71</v>
      </c>
      <c r="V357">
        <v>0</v>
      </c>
      <c r="W357" t="s">
        <v>71</v>
      </c>
      <c r="X357">
        <v>0</v>
      </c>
      <c r="Y357">
        <v>0.34614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19</v>
      </c>
      <c r="AF357">
        <v>297</v>
      </c>
      <c r="AG357">
        <v>286</v>
      </c>
      <c r="AH357">
        <v>0</v>
      </c>
      <c r="AI357">
        <v>9.0999999999999998E-2</v>
      </c>
      <c r="AK357" t="s">
        <v>1108</v>
      </c>
      <c r="AM357">
        <v>200000</v>
      </c>
      <c r="AN357" t="s">
        <v>73</v>
      </c>
      <c r="AO357">
        <v>1</v>
      </c>
      <c r="AP357">
        <v>0</v>
      </c>
      <c r="AQ357">
        <v>16666.666666666668</v>
      </c>
      <c r="AR357" t="s">
        <v>1244</v>
      </c>
      <c r="AS357" t="s">
        <v>75</v>
      </c>
      <c r="AX357" t="s">
        <v>76</v>
      </c>
      <c r="AY357" t="s">
        <v>71</v>
      </c>
      <c r="AZ357">
        <v>0</v>
      </c>
      <c r="BA357" t="s">
        <v>71</v>
      </c>
      <c r="BB357">
        <v>0</v>
      </c>
      <c r="BD357">
        <v>0.34614</v>
      </c>
    </row>
    <row r="358" spans="1:56" x14ac:dyDescent="0.15">
      <c r="A358" s="4" t="str">
        <f>HYPERLINK("https://ibp.a2mac1.com/costing(costing:projects/details/9760/part/8411390)","Mechanism Guide")</f>
        <v>Mechanism Guide</v>
      </c>
      <c r="B358">
        <v>8411390</v>
      </c>
      <c r="C358">
        <v>8411230</v>
      </c>
      <c r="D358" t="s">
        <v>1170</v>
      </c>
      <c r="E358">
        <v>0.19777</v>
      </c>
      <c r="F358">
        <v>0</v>
      </c>
      <c r="G358">
        <v>0</v>
      </c>
      <c r="H358">
        <v>0</v>
      </c>
      <c r="I358" t="s">
        <v>71</v>
      </c>
      <c r="J358">
        <v>0</v>
      </c>
      <c r="K358">
        <v>0.19777</v>
      </c>
      <c r="L358">
        <v>0</v>
      </c>
      <c r="M358">
        <v>0</v>
      </c>
      <c r="N358">
        <v>0.19777</v>
      </c>
      <c r="O358" t="s">
        <v>71</v>
      </c>
      <c r="P358">
        <v>0</v>
      </c>
      <c r="Q358" t="s">
        <v>71</v>
      </c>
      <c r="R358">
        <v>0</v>
      </c>
      <c r="S358" t="s">
        <v>71</v>
      </c>
      <c r="T358">
        <v>0</v>
      </c>
      <c r="U358" t="s">
        <v>71</v>
      </c>
      <c r="V358">
        <v>0</v>
      </c>
      <c r="W358" t="s">
        <v>71</v>
      </c>
      <c r="X358">
        <v>0</v>
      </c>
      <c r="Y358">
        <v>0.19777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32</v>
      </c>
      <c r="AF358">
        <v>69</v>
      </c>
      <c r="AG358">
        <v>69</v>
      </c>
      <c r="AH358">
        <v>0</v>
      </c>
      <c r="AI358">
        <v>3.1E-2</v>
      </c>
      <c r="AK358" t="s">
        <v>1108</v>
      </c>
      <c r="AM358">
        <v>200000</v>
      </c>
      <c r="AN358" t="s">
        <v>73</v>
      </c>
      <c r="AO358">
        <v>1</v>
      </c>
      <c r="AP358">
        <v>0</v>
      </c>
      <c r="AQ358">
        <v>16666.666666666668</v>
      </c>
      <c r="AR358" t="s">
        <v>1245</v>
      </c>
      <c r="AS358" t="s">
        <v>75</v>
      </c>
      <c r="AX358" t="s">
        <v>76</v>
      </c>
      <c r="AY358" t="s">
        <v>71</v>
      </c>
      <c r="AZ358">
        <v>0</v>
      </c>
      <c r="BA358" t="s">
        <v>71</v>
      </c>
      <c r="BB358">
        <v>0</v>
      </c>
      <c r="BD358">
        <v>0.19777</v>
      </c>
    </row>
    <row r="359" spans="1:56" x14ac:dyDescent="0.15">
      <c r="A359" s="4" t="str">
        <f>HYPERLINK("https://ibp.a2mac1.com/costing(costing:projects/details/9760/part/8411391)","2nd Buffer")</f>
        <v>2nd Buffer</v>
      </c>
      <c r="B359">
        <v>8411391</v>
      </c>
      <c r="C359">
        <v>8411230</v>
      </c>
      <c r="D359" t="s">
        <v>1243</v>
      </c>
      <c r="E359">
        <v>9.6409999999999996E-2</v>
      </c>
      <c r="F359">
        <v>0</v>
      </c>
      <c r="G359">
        <v>0</v>
      </c>
      <c r="H359">
        <v>0</v>
      </c>
      <c r="I359" t="s">
        <v>71</v>
      </c>
      <c r="J359">
        <v>0</v>
      </c>
      <c r="K359">
        <v>9.6409999999999996E-2</v>
      </c>
      <c r="L359">
        <v>0</v>
      </c>
      <c r="M359">
        <v>0</v>
      </c>
      <c r="N359">
        <v>9.6409999999999996E-2</v>
      </c>
      <c r="O359" t="s">
        <v>71</v>
      </c>
      <c r="P359">
        <v>0</v>
      </c>
      <c r="Q359" t="s">
        <v>71</v>
      </c>
      <c r="R359">
        <v>0</v>
      </c>
      <c r="S359" t="s">
        <v>71</v>
      </c>
      <c r="T359">
        <v>0</v>
      </c>
      <c r="U359" t="s">
        <v>71</v>
      </c>
      <c r="V359">
        <v>0</v>
      </c>
      <c r="W359" t="s">
        <v>71</v>
      </c>
      <c r="X359">
        <v>0</v>
      </c>
      <c r="Y359">
        <v>9.6409999999999996E-2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14</v>
      </c>
      <c r="AF359">
        <v>320</v>
      </c>
      <c r="AG359">
        <v>154</v>
      </c>
      <c r="AH359">
        <v>0</v>
      </c>
      <c r="AI359">
        <v>7.0000000000000001E-3</v>
      </c>
      <c r="AK359" t="s">
        <v>1108</v>
      </c>
      <c r="AM359">
        <v>200000</v>
      </c>
      <c r="AN359" t="s">
        <v>73</v>
      </c>
      <c r="AO359">
        <v>1</v>
      </c>
      <c r="AP359">
        <v>0</v>
      </c>
      <c r="AQ359">
        <v>16666.666666666668</v>
      </c>
      <c r="AR359" t="s">
        <v>1246</v>
      </c>
      <c r="AS359" t="s">
        <v>75</v>
      </c>
      <c r="AX359" t="s">
        <v>76</v>
      </c>
      <c r="AY359" t="s">
        <v>71</v>
      </c>
      <c r="AZ359">
        <v>0</v>
      </c>
      <c r="BA359" t="s">
        <v>71</v>
      </c>
      <c r="BB359">
        <v>0</v>
      </c>
      <c r="BD359">
        <v>9.6409999999999996E-2</v>
      </c>
    </row>
    <row r="360" spans="1:56" x14ac:dyDescent="0.15">
      <c r="A360" s="4" t="str">
        <f>HYPERLINK("https://ibp.a2mac1.com/costing(costing:projects/details/9760/part/8411392)","Sound Insulation")</f>
        <v>Sound Insulation</v>
      </c>
      <c r="B360">
        <v>8411392</v>
      </c>
      <c r="C360">
        <v>8411232</v>
      </c>
      <c r="D360" t="s">
        <v>1243</v>
      </c>
      <c r="E360">
        <v>0.19999</v>
      </c>
      <c r="F360">
        <v>0</v>
      </c>
      <c r="G360">
        <v>0</v>
      </c>
      <c r="H360">
        <v>0</v>
      </c>
      <c r="I360" t="s">
        <v>71</v>
      </c>
      <c r="J360">
        <v>0</v>
      </c>
      <c r="K360">
        <v>0.19999</v>
      </c>
      <c r="L360">
        <v>0</v>
      </c>
      <c r="M360">
        <v>0</v>
      </c>
      <c r="N360">
        <v>0.19999</v>
      </c>
      <c r="O360" t="s">
        <v>71</v>
      </c>
      <c r="P360">
        <v>0</v>
      </c>
      <c r="Q360" t="s">
        <v>71</v>
      </c>
      <c r="R360">
        <v>0</v>
      </c>
      <c r="S360" t="s">
        <v>71</v>
      </c>
      <c r="T360">
        <v>0</v>
      </c>
      <c r="U360" t="s">
        <v>71</v>
      </c>
      <c r="V360">
        <v>0</v>
      </c>
      <c r="W360" t="s">
        <v>71</v>
      </c>
      <c r="X360">
        <v>0</v>
      </c>
      <c r="Y360">
        <v>0.19999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79</v>
      </c>
      <c r="AF360">
        <v>250</v>
      </c>
      <c r="AG360">
        <v>278</v>
      </c>
      <c r="AH360">
        <v>0</v>
      </c>
      <c r="AI360">
        <v>3.2000000000000001E-2</v>
      </c>
      <c r="AK360" t="s">
        <v>100</v>
      </c>
      <c r="AM360">
        <v>200000</v>
      </c>
      <c r="AN360" t="s">
        <v>97</v>
      </c>
      <c r="AO360">
        <v>1</v>
      </c>
      <c r="AP360">
        <v>0</v>
      </c>
      <c r="AQ360">
        <v>16666.666666666668</v>
      </c>
      <c r="AR360" t="s">
        <v>1249</v>
      </c>
      <c r="AS360" t="s">
        <v>75</v>
      </c>
      <c r="AX360" t="s">
        <v>76</v>
      </c>
      <c r="AY360" t="s">
        <v>71</v>
      </c>
      <c r="AZ360">
        <v>0</v>
      </c>
      <c r="BA360" t="s">
        <v>71</v>
      </c>
      <c r="BB360">
        <v>0</v>
      </c>
      <c r="BD360">
        <v>0.19999</v>
      </c>
    </row>
    <row r="361" spans="1:56" x14ac:dyDescent="0.15">
      <c r="A361" s="4" t="str">
        <f>HYPERLINK("https://ibp.a2mac1.com/costing(costing:projects/details/9760/part/8411393)","2nd Sound Insulation")</f>
        <v>2nd Sound Insulation</v>
      </c>
      <c r="B361">
        <v>8411393</v>
      </c>
      <c r="C361">
        <v>8411232</v>
      </c>
      <c r="D361" t="s">
        <v>1243</v>
      </c>
      <c r="E361">
        <v>0.14999000000000001</v>
      </c>
      <c r="F361">
        <v>0</v>
      </c>
      <c r="G361">
        <v>0</v>
      </c>
      <c r="H361">
        <v>0</v>
      </c>
      <c r="I361" t="s">
        <v>71</v>
      </c>
      <c r="J361">
        <v>0</v>
      </c>
      <c r="K361">
        <v>0.14999000000000001</v>
      </c>
      <c r="L361">
        <v>0</v>
      </c>
      <c r="M361">
        <v>0</v>
      </c>
      <c r="N361">
        <v>0.14999000000000001</v>
      </c>
      <c r="O361" t="s">
        <v>71</v>
      </c>
      <c r="P361">
        <v>0</v>
      </c>
      <c r="Q361" t="s">
        <v>71</v>
      </c>
      <c r="R361">
        <v>0</v>
      </c>
      <c r="S361" t="s">
        <v>71</v>
      </c>
      <c r="T361">
        <v>0</v>
      </c>
      <c r="U361" t="s">
        <v>71</v>
      </c>
      <c r="V361">
        <v>0</v>
      </c>
      <c r="W361" t="s">
        <v>71</v>
      </c>
      <c r="X361">
        <v>0</v>
      </c>
      <c r="Y361">
        <v>0.14999000000000001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27</v>
      </c>
      <c r="AF361">
        <v>240</v>
      </c>
      <c r="AG361">
        <v>235</v>
      </c>
      <c r="AH361">
        <v>0</v>
      </c>
      <c r="AI361">
        <v>1.7000000000000001E-2</v>
      </c>
      <c r="AK361" t="s">
        <v>100</v>
      </c>
      <c r="AM361">
        <v>200000</v>
      </c>
      <c r="AN361" t="s">
        <v>97</v>
      </c>
      <c r="AO361">
        <v>1</v>
      </c>
      <c r="AP361">
        <v>0</v>
      </c>
      <c r="AQ361">
        <v>16666.666666666668</v>
      </c>
      <c r="AR361" t="s">
        <v>1250</v>
      </c>
      <c r="AS361" t="s">
        <v>75</v>
      </c>
      <c r="AX361" t="s">
        <v>76</v>
      </c>
      <c r="AY361" t="s">
        <v>71</v>
      </c>
      <c r="AZ361">
        <v>0</v>
      </c>
      <c r="BA361" t="s">
        <v>71</v>
      </c>
      <c r="BB361">
        <v>0</v>
      </c>
      <c r="BD361">
        <v>0.14999000000000001</v>
      </c>
    </row>
    <row r="362" spans="1:56" x14ac:dyDescent="0.15">
      <c r="A362" s="4" t="str">
        <f>HYPERLINK("https://ibp.a2mac1.com/costing(costing:projects/details/9760/part/8411394)","3rd Sound Insulation")</f>
        <v>3rd Sound Insulation</v>
      </c>
      <c r="B362">
        <v>8411394</v>
      </c>
      <c r="C362">
        <v>8411232</v>
      </c>
      <c r="D362" t="s">
        <v>1243</v>
      </c>
      <c r="E362">
        <v>0.14999000000000001</v>
      </c>
      <c r="F362">
        <v>0</v>
      </c>
      <c r="G362">
        <v>0</v>
      </c>
      <c r="H362">
        <v>0</v>
      </c>
      <c r="I362" t="s">
        <v>71</v>
      </c>
      <c r="J362">
        <v>0</v>
      </c>
      <c r="K362">
        <v>0.14999000000000001</v>
      </c>
      <c r="L362">
        <v>0</v>
      </c>
      <c r="M362">
        <v>0</v>
      </c>
      <c r="N362">
        <v>0.14999000000000001</v>
      </c>
      <c r="O362" t="s">
        <v>71</v>
      </c>
      <c r="P362">
        <v>0</v>
      </c>
      <c r="Q362" t="s">
        <v>71</v>
      </c>
      <c r="R362">
        <v>0</v>
      </c>
      <c r="S362" t="s">
        <v>71</v>
      </c>
      <c r="T362">
        <v>0</v>
      </c>
      <c r="U362" t="s">
        <v>71</v>
      </c>
      <c r="V362">
        <v>0</v>
      </c>
      <c r="W362" t="s">
        <v>71</v>
      </c>
      <c r="X362">
        <v>0</v>
      </c>
      <c r="Y362">
        <v>0.14999000000000001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99</v>
      </c>
      <c r="AF362">
        <v>243</v>
      </c>
      <c r="AG362">
        <v>288</v>
      </c>
      <c r="AH362">
        <v>0</v>
      </c>
      <c r="AI362">
        <v>2.5000000000000001E-2</v>
      </c>
      <c r="AK362" t="s">
        <v>100</v>
      </c>
      <c r="AM362">
        <v>200000</v>
      </c>
      <c r="AN362" t="s">
        <v>97</v>
      </c>
      <c r="AO362">
        <v>1</v>
      </c>
      <c r="AP362">
        <v>0</v>
      </c>
      <c r="AQ362">
        <v>16666.666666666668</v>
      </c>
      <c r="AR362" t="s">
        <v>1251</v>
      </c>
      <c r="AS362" t="s">
        <v>75</v>
      </c>
      <c r="AX362" t="s">
        <v>76</v>
      </c>
      <c r="AY362" t="s">
        <v>71</v>
      </c>
      <c r="AZ362">
        <v>0</v>
      </c>
      <c r="BA362" t="s">
        <v>71</v>
      </c>
      <c r="BB362">
        <v>0</v>
      </c>
      <c r="BD362">
        <v>0.14999000000000001</v>
      </c>
    </row>
    <row r="363" spans="1:56" x14ac:dyDescent="0.15">
      <c r="A363" s="4" t="str">
        <f>HYPERLINK("https://ibp.a2mac1.com/costing(costing:projects/details/9760/part/8411395)","4th Sound Insulation")</f>
        <v>4th Sound Insulation</v>
      </c>
      <c r="B363">
        <v>8411395</v>
      </c>
      <c r="C363">
        <v>8411232</v>
      </c>
      <c r="D363" t="s">
        <v>1243</v>
      </c>
      <c r="E363">
        <v>0.1</v>
      </c>
      <c r="F363">
        <v>0</v>
      </c>
      <c r="G363">
        <v>0</v>
      </c>
      <c r="H363">
        <v>0</v>
      </c>
      <c r="I363" t="s">
        <v>71</v>
      </c>
      <c r="J363">
        <v>0</v>
      </c>
      <c r="K363">
        <v>0.1</v>
      </c>
      <c r="L363">
        <v>0</v>
      </c>
      <c r="M363">
        <v>0</v>
      </c>
      <c r="N363">
        <v>0.1</v>
      </c>
      <c r="O363" t="s">
        <v>71</v>
      </c>
      <c r="P363">
        <v>0</v>
      </c>
      <c r="Q363" t="s">
        <v>71</v>
      </c>
      <c r="R363">
        <v>0</v>
      </c>
      <c r="S363" t="s">
        <v>71</v>
      </c>
      <c r="T363">
        <v>0</v>
      </c>
      <c r="U363" t="s">
        <v>71</v>
      </c>
      <c r="V363">
        <v>0</v>
      </c>
      <c r="W363" t="s">
        <v>71</v>
      </c>
      <c r="X363">
        <v>0</v>
      </c>
      <c r="Y363">
        <v>0.1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141</v>
      </c>
      <c r="AF363">
        <v>284</v>
      </c>
      <c r="AG363">
        <v>19</v>
      </c>
      <c r="AH363">
        <v>0</v>
      </c>
      <c r="AI363">
        <v>0.01</v>
      </c>
      <c r="AK363" t="s">
        <v>100</v>
      </c>
      <c r="AM363">
        <v>200000</v>
      </c>
      <c r="AN363" t="s">
        <v>97</v>
      </c>
      <c r="AO363">
        <v>1</v>
      </c>
      <c r="AP363">
        <v>0</v>
      </c>
      <c r="AQ363">
        <v>16666.666666666668</v>
      </c>
      <c r="AR363" t="s">
        <v>1252</v>
      </c>
      <c r="AS363" t="s">
        <v>75</v>
      </c>
      <c r="AX363" t="s">
        <v>76</v>
      </c>
      <c r="AY363" t="s">
        <v>71</v>
      </c>
      <c r="AZ363">
        <v>0</v>
      </c>
      <c r="BA363" t="s">
        <v>71</v>
      </c>
      <c r="BB363">
        <v>0</v>
      </c>
      <c r="BD363">
        <v>0.1</v>
      </c>
    </row>
    <row r="364" spans="1:56" x14ac:dyDescent="0.15">
      <c r="A364" s="4" t="str">
        <f>HYPERLINK("https://ibp.a2mac1.com/costing(costing:projects/details/9760/part/8411206)","Harness")</f>
        <v>Harness</v>
      </c>
      <c r="B364">
        <v>8411206</v>
      </c>
      <c r="C364">
        <v>8411137</v>
      </c>
      <c r="E364">
        <v>6.0927600000000002</v>
      </c>
      <c r="F364">
        <v>0</v>
      </c>
      <c r="G364">
        <v>0</v>
      </c>
      <c r="H364">
        <v>0</v>
      </c>
      <c r="I364" t="s">
        <v>71</v>
      </c>
      <c r="J364">
        <v>0</v>
      </c>
      <c r="K364">
        <v>6.0927600000000002</v>
      </c>
      <c r="L364">
        <v>0</v>
      </c>
      <c r="M364">
        <v>0</v>
      </c>
      <c r="N364">
        <v>6.0927600000000002</v>
      </c>
      <c r="O364" t="s">
        <v>71</v>
      </c>
      <c r="P364">
        <v>0</v>
      </c>
      <c r="Q364" t="s">
        <v>71</v>
      </c>
      <c r="R364">
        <v>0</v>
      </c>
      <c r="S364" t="s">
        <v>71</v>
      </c>
      <c r="T364">
        <v>0</v>
      </c>
      <c r="U364" t="s">
        <v>71</v>
      </c>
      <c r="V364">
        <v>0</v>
      </c>
      <c r="W364" t="s">
        <v>71</v>
      </c>
      <c r="X364">
        <v>0</v>
      </c>
      <c r="Y364">
        <v>6.0927600000000002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0.16300000000000001</v>
      </c>
      <c r="AK364" t="s">
        <v>95</v>
      </c>
      <c r="AM364">
        <v>200000</v>
      </c>
      <c r="AN364" t="s">
        <v>97</v>
      </c>
      <c r="AO364">
        <v>1</v>
      </c>
      <c r="AP364">
        <v>0</v>
      </c>
      <c r="AQ364">
        <v>16666.666666666668</v>
      </c>
      <c r="AR364" t="s">
        <v>1254</v>
      </c>
      <c r="AS364" t="s">
        <v>75</v>
      </c>
      <c r="AX364" t="s">
        <v>76</v>
      </c>
      <c r="AY364" t="s">
        <v>71</v>
      </c>
      <c r="AZ364">
        <v>0</v>
      </c>
      <c r="BA364" t="s">
        <v>71</v>
      </c>
      <c r="BB364">
        <v>0</v>
      </c>
      <c r="BD364">
        <v>6.0927600000000002</v>
      </c>
    </row>
    <row r="365" spans="1:56" x14ac:dyDescent="0.15">
      <c r="A365" s="4" t="str">
        <f>HYPERLINK("https://ibp.a2mac1.com/costing(costing:projects/details/9760/part/8411234)","Driver connector HVAC side")</f>
        <v>Driver connector HVAC side</v>
      </c>
      <c r="B365">
        <v>8411234</v>
      </c>
      <c r="C365">
        <v>8411138</v>
      </c>
      <c r="D365" t="s">
        <v>1257</v>
      </c>
      <c r="E365">
        <v>0.29873</v>
      </c>
      <c r="F365">
        <v>0</v>
      </c>
      <c r="G365">
        <v>0</v>
      </c>
      <c r="H365">
        <v>0</v>
      </c>
      <c r="I365" t="s">
        <v>71</v>
      </c>
      <c r="J365">
        <v>0</v>
      </c>
      <c r="K365">
        <v>0.29873</v>
      </c>
      <c r="L365">
        <v>0</v>
      </c>
      <c r="M365">
        <v>0</v>
      </c>
      <c r="N365">
        <v>0.29873</v>
      </c>
      <c r="O365" t="s">
        <v>71</v>
      </c>
      <c r="P365">
        <v>0</v>
      </c>
      <c r="Q365" t="s">
        <v>71</v>
      </c>
      <c r="R365">
        <v>0</v>
      </c>
      <c r="S365" t="s">
        <v>71</v>
      </c>
      <c r="T365">
        <v>0</v>
      </c>
      <c r="U365" t="s">
        <v>71</v>
      </c>
      <c r="V365">
        <v>0</v>
      </c>
      <c r="W365" t="s">
        <v>71</v>
      </c>
      <c r="X365">
        <v>0</v>
      </c>
      <c r="Y365">
        <v>0.29873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198</v>
      </c>
      <c r="AF365">
        <v>60</v>
      </c>
      <c r="AG365">
        <v>93</v>
      </c>
      <c r="AH365">
        <v>0</v>
      </c>
      <c r="AI365">
        <v>7.5999999999999998E-2</v>
      </c>
      <c r="AK365" t="s">
        <v>100</v>
      </c>
      <c r="AM365">
        <v>200000</v>
      </c>
      <c r="AN365" t="s">
        <v>97</v>
      </c>
      <c r="AO365">
        <v>1</v>
      </c>
      <c r="AP365">
        <v>0</v>
      </c>
      <c r="AQ365">
        <v>16666.666666666668</v>
      </c>
      <c r="AR365" t="s">
        <v>1258</v>
      </c>
      <c r="AS365" t="s">
        <v>75</v>
      </c>
      <c r="AX365" t="s">
        <v>76</v>
      </c>
      <c r="AY365" t="s">
        <v>71</v>
      </c>
      <c r="AZ365">
        <v>0</v>
      </c>
      <c r="BA365" t="s">
        <v>71</v>
      </c>
      <c r="BB365">
        <v>0</v>
      </c>
      <c r="BD365">
        <v>0.29873</v>
      </c>
    </row>
    <row r="366" spans="1:56" x14ac:dyDescent="0.15">
      <c r="A366" s="4" t="str">
        <f>HYPERLINK("https://ibp.a2mac1.com/costing(costing:projects/details/9760/part/8411236)","Driver")</f>
        <v>Driver</v>
      </c>
      <c r="B366">
        <v>8411236</v>
      </c>
      <c r="C366">
        <v>8411138</v>
      </c>
      <c r="D366" t="s">
        <v>1259</v>
      </c>
      <c r="E366">
        <v>0.23244999999999999</v>
      </c>
      <c r="F366">
        <v>0</v>
      </c>
      <c r="G366">
        <v>0</v>
      </c>
      <c r="H366">
        <v>0</v>
      </c>
      <c r="I366" t="s">
        <v>71</v>
      </c>
      <c r="J366">
        <v>0</v>
      </c>
      <c r="K366">
        <v>0.23244999999999999</v>
      </c>
      <c r="L366">
        <v>0</v>
      </c>
      <c r="M366">
        <v>0</v>
      </c>
      <c r="N366">
        <v>0.23244999999999999</v>
      </c>
      <c r="O366" t="s">
        <v>71</v>
      </c>
      <c r="P366">
        <v>0</v>
      </c>
      <c r="Q366" t="s">
        <v>71</v>
      </c>
      <c r="R366">
        <v>0</v>
      </c>
      <c r="S366" t="s">
        <v>71</v>
      </c>
      <c r="T366">
        <v>0</v>
      </c>
      <c r="U366" t="s">
        <v>71</v>
      </c>
      <c r="V366">
        <v>0</v>
      </c>
      <c r="W366" t="s">
        <v>71</v>
      </c>
      <c r="X366">
        <v>0</v>
      </c>
      <c r="Y366">
        <v>0.23244999999999999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122</v>
      </c>
      <c r="AF366">
        <v>155</v>
      </c>
      <c r="AG366">
        <v>101</v>
      </c>
      <c r="AH366">
        <v>0</v>
      </c>
      <c r="AI366">
        <v>4.4999999999999998E-2</v>
      </c>
      <c r="AK366" t="s">
        <v>100</v>
      </c>
      <c r="AM366">
        <v>200000</v>
      </c>
      <c r="AN366" t="s">
        <v>97</v>
      </c>
      <c r="AO366">
        <v>1</v>
      </c>
      <c r="AP366">
        <v>0</v>
      </c>
      <c r="AQ366">
        <v>16666.666666666668</v>
      </c>
      <c r="AR366" t="s">
        <v>1260</v>
      </c>
      <c r="AS366" t="s">
        <v>75</v>
      </c>
      <c r="AX366" t="s">
        <v>76</v>
      </c>
      <c r="AY366" t="s">
        <v>71</v>
      </c>
      <c r="AZ366">
        <v>0</v>
      </c>
      <c r="BA366" t="s">
        <v>71</v>
      </c>
      <c r="BB366">
        <v>0</v>
      </c>
      <c r="BD366">
        <v>0.23244999999999999</v>
      </c>
    </row>
    <row r="367" spans="1:56" x14ac:dyDescent="0.15">
      <c r="A367" s="4" t="str">
        <f>HYPERLINK("https://ibp.a2mac1.com/costing(costing:projects/details/9760/part/8411238)","2nd Driver")</f>
        <v>2nd Driver</v>
      </c>
      <c r="B367">
        <v>8411238</v>
      </c>
      <c r="C367">
        <v>8411138</v>
      </c>
      <c r="D367" t="s">
        <v>1259</v>
      </c>
      <c r="E367">
        <v>0.26749000000000001</v>
      </c>
      <c r="F367">
        <v>0</v>
      </c>
      <c r="G367">
        <v>0</v>
      </c>
      <c r="H367">
        <v>0</v>
      </c>
      <c r="I367" t="s">
        <v>71</v>
      </c>
      <c r="J367">
        <v>0</v>
      </c>
      <c r="K367">
        <v>0.26749000000000001</v>
      </c>
      <c r="L367">
        <v>0</v>
      </c>
      <c r="M367">
        <v>0</v>
      </c>
      <c r="N367">
        <v>0.26749000000000001</v>
      </c>
      <c r="O367" t="s">
        <v>71</v>
      </c>
      <c r="P367">
        <v>0</v>
      </c>
      <c r="Q367" t="s">
        <v>71</v>
      </c>
      <c r="R367">
        <v>0</v>
      </c>
      <c r="S367" t="s">
        <v>71</v>
      </c>
      <c r="T367">
        <v>0</v>
      </c>
      <c r="U367" t="s">
        <v>71</v>
      </c>
      <c r="V367">
        <v>0</v>
      </c>
      <c r="W367" t="s">
        <v>71</v>
      </c>
      <c r="X367">
        <v>0</v>
      </c>
      <c r="Y367">
        <v>0.26749000000000001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175</v>
      </c>
      <c r="AF367">
        <v>560</v>
      </c>
      <c r="AG367">
        <v>121</v>
      </c>
      <c r="AH367">
        <v>0</v>
      </c>
      <c r="AI367">
        <v>5.8000000000000003E-2</v>
      </c>
      <c r="AK367" t="s">
        <v>100</v>
      </c>
      <c r="AM367">
        <v>200000</v>
      </c>
      <c r="AN367" t="s">
        <v>97</v>
      </c>
      <c r="AO367">
        <v>1</v>
      </c>
      <c r="AP367">
        <v>0</v>
      </c>
      <c r="AQ367">
        <v>16666.666666666668</v>
      </c>
      <c r="AR367" t="s">
        <v>1261</v>
      </c>
      <c r="AS367" t="s">
        <v>75</v>
      </c>
      <c r="AX367" t="s">
        <v>76</v>
      </c>
      <c r="AY367" t="s">
        <v>71</v>
      </c>
      <c r="AZ367">
        <v>0</v>
      </c>
      <c r="BA367" t="s">
        <v>71</v>
      </c>
      <c r="BB367">
        <v>0</v>
      </c>
      <c r="BD367">
        <v>0.26749000000000001</v>
      </c>
    </row>
    <row r="368" spans="1:56" x14ac:dyDescent="0.15">
      <c r="A368" s="4" t="str">
        <f>HYPERLINK("https://ibp.a2mac1.com/costing(costing:projects/details/9760/part/8411239)","Driver connector air vent side")</f>
        <v>Driver connector air vent side</v>
      </c>
      <c r="B368">
        <v>8411239</v>
      </c>
      <c r="C368">
        <v>8411138</v>
      </c>
      <c r="D368" t="s">
        <v>1262</v>
      </c>
      <c r="E368">
        <v>0.22222</v>
      </c>
      <c r="F368">
        <v>0</v>
      </c>
      <c r="G368">
        <v>0</v>
      </c>
      <c r="H368">
        <v>0</v>
      </c>
      <c r="I368" t="s">
        <v>71</v>
      </c>
      <c r="J368">
        <v>0</v>
      </c>
      <c r="K368">
        <v>0.22222</v>
      </c>
      <c r="L368">
        <v>0</v>
      </c>
      <c r="M368">
        <v>0</v>
      </c>
      <c r="N368">
        <v>0.22222</v>
      </c>
      <c r="O368" t="s">
        <v>71</v>
      </c>
      <c r="P368">
        <v>0</v>
      </c>
      <c r="Q368" t="s">
        <v>71</v>
      </c>
      <c r="R368">
        <v>0</v>
      </c>
      <c r="S368" t="s">
        <v>71</v>
      </c>
      <c r="T368">
        <v>0</v>
      </c>
      <c r="U368" t="s">
        <v>71</v>
      </c>
      <c r="V368">
        <v>0</v>
      </c>
      <c r="W368" t="s">
        <v>71</v>
      </c>
      <c r="X368">
        <v>0</v>
      </c>
      <c r="Y368">
        <v>0.22222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86</v>
      </c>
      <c r="AF368">
        <v>86</v>
      </c>
      <c r="AG368">
        <v>82</v>
      </c>
      <c r="AH368">
        <v>0</v>
      </c>
      <c r="AI368">
        <v>4.4999999999999998E-2</v>
      </c>
      <c r="AK368" t="s">
        <v>100</v>
      </c>
      <c r="AM368">
        <v>200000</v>
      </c>
      <c r="AN368" t="s">
        <v>97</v>
      </c>
      <c r="AO368">
        <v>1</v>
      </c>
      <c r="AP368">
        <v>0</v>
      </c>
      <c r="AQ368">
        <v>16666.666666666668</v>
      </c>
      <c r="AR368" t="s">
        <v>1263</v>
      </c>
      <c r="AS368" t="s">
        <v>75</v>
      </c>
      <c r="AX368" t="s">
        <v>76</v>
      </c>
      <c r="AY368" t="s">
        <v>71</v>
      </c>
      <c r="AZ368">
        <v>0</v>
      </c>
      <c r="BA368" t="s">
        <v>71</v>
      </c>
      <c r="BB368">
        <v>0</v>
      </c>
      <c r="BD368">
        <v>0.22222</v>
      </c>
    </row>
    <row r="369" spans="1:56" x14ac:dyDescent="0.15">
      <c r="A369" s="4" t="str">
        <f>HYPERLINK("https://ibp.a2mac1.com/costing(costing:projects/details/9760/part/8411240)","Passenger")</f>
        <v>Passenger</v>
      </c>
      <c r="B369">
        <v>8411240</v>
      </c>
      <c r="C369">
        <v>8411138</v>
      </c>
      <c r="D369" t="s">
        <v>1264</v>
      </c>
      <c r="E369">
        <v>0.29873</v>
      </c>
      <c r="F369">
        <v>0</v>
      </c>
      <c r="G369">
        <v>0</v>
      </c>
      <c r="H369">
        <v>0</v>
      </c>
      <c r="I369" t="s">
        <v>71</v>
      </c>
      <c r="J369">
        <v>0</v>
      </c>
      <c r="K369">
        <v>0.29873</v>
      </c>
      <c r="L369">
        <v>0</v>
      </c>
      <c r="M369">
        <v>0</v>
      </c>
      <c r="N369">
        <v>0.29873</v>
      </c>
      <c r="O369" t="s">
        <v>71</v>
      </c>
      <c r="P369">
        <v>0</v>
      </c>
      <c r="Q369" t="s">
        <v>71</v>
      </c>
      <c r="R369">
        <v>0</v>
      </c>
      <c r="S369" t="s">
        <v>71</v>
      </c>
      <c r="T369">
        <v>0</v>
      </c>
      <c r="U369" t="s">
        <v>71</v>
      </c>
      <c r="V369">
        <v>0</v>
      </c>
      <c r="W369" t="s">
        <v>71</v>
      </c>
      <c r="X369">
        <v>0</v>
      </c>
      <c r="Y369">
        <v>0.29873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205</v>
      </c>
      <c r="AF369">
        <v>491</v>
      </c>
      <c r="AG369">
        <v>75</v>
      </c>
      <c r="AH369">
        <v>0</v>
      </c>
      <c r="AI369">
        <v>7.5999999999999998E-2</v>
      </c>
      <c r="AK369" t="s">
        <v>100</v>
      </c>
      <c r="AM369">
        <v>200000</v>
      </c>
      <c r="AN369" t="s">
        <v>97</v>
      </c>
      <c r="AO369">
        <v>1</v>
      </c>
      <c r="AP369">
        <v>0</v>
      </c>
      <c r="AQ369">
        <v>16666.666666666668</v>
      </c>
      <c r="AR369" t="s">
        <v>1265</v>
      </c>
      <c r="AS369" t="s">
        <v>75</v>
      </c>
      <c r="AX369" t="s">
        <v>76</v>
      </c>
      <c r="AY369" t="s">
        <v>71</v>
      </c>
      <c r="AZ369">
        <v>0</v>
      </c>
      <c r="BA369" t="s">
        <v>71</v>
      </c>
      <c r="BB369">
        <v>0</v>
      </c>
      <c r="BD369">
        <v>0.29873</v>
      </c>
    </row>
    <row r="370" spans="1:56" x14ac:dyDescent="0.15">
      <c r="A370" s="4" t="str">
        <f>HYPERLINK("https://ibp.a2mac1.com/costing(costing:projects/details/9760/part/8411241)","Central Coupling")</f>
        <v>Central Coupling</v>
      </c>
      <c r="B370">
        <v>8411241</v>
      </c>
      <c r="C370">
        <v>8411138</v>
      </c>
      <c r="D370" t="s">
        <v>1259</v>
      </c>
      <c r="E370">
        <v>0.65286</v>
      </c>
      <c r="F370">
        <v>0</v>
      </c>
      <c r="G370">
        <v>0</v>
      </c>
      <c r="H370">
        <v>0</v>
      </c>
      <c r="I370" t="s">
        <v>71</v>
      </c>
      <c r="J370">
        <v>0</v>
      </c>
      <c r="K370">
        <v>0.65286</v>
      </c>
      <c r="L370">
        <v>0</v>
      </c>
      <c r="M370">
        <v>0</v>
      </c>
      <c r="N370">
        <v>0.65286</v>
      </c>
      <c r="O370" t="s">
        <v>71</v>
      </c>
      <c r="P370">
        <v>0</v>
      </c>
      <c r="Q370" t="s">
        <v>71</v>
      </c>
      <c r="R370">
        <v>0</v>
      </c>
      <c r="S370" t="s">
        <v>71</v>
      </c>
      <c r="T370">
        <v>0</v>
      </c>
      <c r="U370" t="s">
        <v>71</v>
      </c>
      <c r="V370">
        <v>0</v>
      </c>
      <c r="W370" t="s">
        <v>71</v>
      </c>
      <c r="X370">
        <v>0</v>
      </c>
      <c r="Y370">
        <v>0.65286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217</v>
      </c>
      <c r="AF370">
        <v>340</v>
      </c>
      <c r="AG370">
        <v>93</v>
      </c>
      <c r="AH370">
        <v>0</v>
      </c>
      <c r="AI370">
        <v>0.20100000000000001</v>
      </c>
      <c r="AK370" t="s">
        <v>100</v>
      </c>
      <c r="AM370">
        <v>200000</v>
      </c>
      <c r="AN370" t="s">
        <v>97</v>
      </c>
      <c r="AO370">
        <v>1</v>
      </c>
      <c r="AP370">
        <v>0</v>
      </c>
      <c r="AQ370">
        <v>16666.666666666668</v>
      </c>
      <c r="AR370" t="s">
        <v>1266</v>
      </c>
      <c r="AS370" t="s">
        <v>75</v>
      </c>
      <c r="AX370" t="s">
        <v>76</v>
      </c>
      <c r="AY370" t="s">
        <v>71</v>
      </c>
      <c r="AZ370">
        <v>0</v>
      </c>
      <c r="BA370" t="s">
        <v>71</v>
      </c>
      <c r="BB370">
        <v>0</v>
      </c>
      <c r="BD370">
        <v>0.65286</v>
      </c>
    </row>
    <row r="371" spans="1:56" x14ac:dyDescent="0.15">
      <c r="A371" s="4" t="str">
        <f>HYPERLINK("https://ibp.a2mac1.com/costing(costing:projects/details/9760/part/8411242)","Temperature Sensor")</f>
        <v>Temperature Sensor</v>
      </c>
      <c r="B371">
        <v>8411242</v>
      </c>
      <c r="C371">
        <v>8411138</v>
      </c>
      <c r="E371">
        <v>1.59998</v>
      </c>
      <c r="F371">
        <v>0</v>
      </c>
      <c r="G371">
        <v>0</v>
      </c>
      <c r="H371">
        <v>0</v>
      </c>
      <c r="I371" t="s">
        <v>71</v>
      </c>
      <c r="J371">
        <v>0</v>
      </c>
      <c r="K371">
        <v>1.59998</v>
      </c>
      <c r="L371">
        <v>0</v>
      </c>
      <c r="M371">
        <v>0</v>
      </c>
      <c r="N371">
        <v>1.59998</v>
      </c>
      <c r="O371" t="s">
        <v>71</v>
      </c>
      <c r="P371">
        <v>0</v>
      </c>
      <c r="Q371" t="s">
        <v>71</v>
      </c>
      <c r="R371">
        <v>0</v>
      </c>
      <c r="S371" t="s">
        <v>71</v>
      </c>
      <c r="T371">
        <v>0</v>
      </c>
      <c r="U371" t="s">
        <v>71</v>
      </c>
      <c r="V371">
        <v>0</v>
      </c>
      <c r="W371" t="s">
        <v>71</v>
      </c>
      <c r="X371">
        <v>0</v>
      </c>
      <c r="Y371">
        <v>1.59998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23</v>
      </c>
      <c r="AF371">
        <v>22</v>
      </c>
      <c r="AG371">
        <v>68</v>
      </c>
      <c r="AH371">
        <v>0</v>
      </c>
      <c r="AI371">
        <v>5.4999999999999997E-3</v>
      </c>
      <c r="AK371" t="s">
        <v>95</v>
      </c>
      <c r="AM371">
        <v>400000</v>
      </c>
      <c r="AN371" t="s">
        <v>97</v>
      </c>
      <c r="AO371">
        <v>2</v>
      </c>
      <c r="AP371">
        <v>0</v>
      </c>
      <c r="AQ371">
        <v>33333.333333333336</v>
      </c>
      <c r="AR371" t="s">
        <v>1267</v>
      </c>
      <c r="AS371" t="s">
        <v>75</v>
      </c>
      <c r="AX371" t="s">
        <v>76</v>
      </c>
      <c r="AY371" t="s">
        <v>71</v>
      </c>
      <c r="AZ371">
        <v>0</v>
      </c>
      <c r="BA371" t="s">
        <v>71</v>
      </c>
      <c r="BB371">
        <v>0</v>
      </c>
      <c r="BD371">
        <v>0.79998999999999998</v>
      </c>
    </row>
    <row r="372" spans="1:56" x14ac:dyDescent="0.15">
      <c r="A372" s="4" t="str">
        <f>HYPERLINK("https://ibp.a2mac1.com/costing(costing:projects/details/9760/part/8411243)","Heater Sealing")</f>
        <v>Heater Sealing</v>
      </c>
      <c r="B372">
        <v>8411243</v>
      </c>
      <c r="C372">
        <v>8411138</v>
      </c>
      <c r="D372" t="s">
        <v>1243</v>
      </c>
      <c r="E372">
        <v>7.8979999999999995E-2</v>
      </c>
      <c r="F372">
        <v>0</v>
      </c>
      <c r="G372">
        <v>0</v>
      </c>
      <c r="H372">
        <v>0</v>
      </c>
      <c r="I372" t="s">
        <v>71</v>
      </c>
      <c r="J372">
        <v>0</v>
      </c>
      <c r="K372">
        <v>7.8979999999999995E-2</v>
      </c>
      <c r="L372">
        <v>0</v>
      </c>
      <c r="M372">
        <v>0</v>
      </c>
      <c r="N372">
        <v>7.8979999999999995E-2</v>
      </c>
      <c r="O372" t="s">
        <v>71</v>
      </c>
      <c r="P372">
        <v>0</v>
      </c>
      <c r="Q372" t="s">
        <v>71</v>
      </c>
      <c r="R372">
        <v>0</v>
      </c>
      <c r="S372" t="s">
        <v>71</v>
      </c>
      <c r="T372">
        <v>0</v>
      </c>
      <c r="U372" t="s">
        <v>71</v>
      </c>
      <c r="V372">
        <v>0</v>
      </c>
      <c r="W372" t="s">
        <v>71</v>
      </c>
      <c r="X372">
        <v>0</v>
      </c>
      <c r="Y372">
        <v>7.8979999999999995E-2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10</v>
      </c>
      <c r="AF372">
        <v>205</v>
      </c>
      <c r="AG372">
        <v>120</v>
      </c>
      <c r="AH372">
        <v>0</v>
      </c>
      <c r="AI372">
        <v>3.0000000000000001E-3</v>
      </c>
      <c r="AK372" t="s">
        <v>100</v>
      </c>
      <c r="AM372">
        <v>200000</v>
      </c>
      <c r="AN372" t="s">
        <v>97</v>
      </c>
      <c r="AO372">
        <v>1</v>
      </c>
      <c r="AP372">
        <v>0</v>
      </c>
      <c r="AQ372">
        <v>16666.666666666668</v>
      </c>
      <c r="AR372" t="s">
        <v>1268</v>
      </c>
      <c r="AS372" t="s">
        <v>75</v>
      </c>
      <c r="AX372" t="s">
        <v>76</v>
      </c>
      <c r="AY372" t="s">
        <v>71</v>
      </c>
      <c r="AZ372">
        <v>0</v>
      </c>
      <c r="BA372" t="s">
        <v>71</v>
      </c>
      <c r="BB372">
        <v>0</v>
      </c>
      <c r="BD372">
        <v>7.8979999999999995E-2</v>
      </c>
    </row>
    <row r="373" spans="1:56" x14ac:dyDescent="0.15">
      <c r="A373" s="4" t="str">
        <f>HYPERLINK("https://ibp.a2mac1.com/costing(costing:projects/details/9760/part/8411396)","Driver (and Passenger if the Same)")</f>
        <v>Driver (and Passenger if the Same)</v>
      </c>
      <c r="B373">
        <v>8411396</v>
      </c>
      <c r="C373">
        <v>8411246</v>
      </c>
      <c r="E373">
        <v>0.79998999999999998</v>
      </c>
      <c r="F373">
        <v>0</v>
      </c>
      <c r="G373">
        <v>0</v>
      </c>
      <c r="H373">
        <v>0</v>
      </c>
      <c r="I373" t="s">
        <v>71</v>
      </c>
      <c r="J373">
        <v>0</v>
      </c>
      <c r="K373">
        <v>0.79998999999999998</v>
      </c>
      <c r="L373">
        <v>0</v>
      </c>
      <c r="M373">
        <v>0</v>
      </c>
      <c r="N373">
        <v>0.79998999999999998</v>
      </c>
      <c r="O373" t="s">
        <v>71</v>
      </c>
      <c r="P373">
        <v>0</v>
      </c>
      <c r="Q373" t="s">
        <v>71</v>
      </c>
      <c r="R373">
        <v>0</v>
      </c>
      <c r="S373" t="s">
        <v>71</v>
      </c>
      <c r="T373">
        <v>0</v>
      </c>
      <c r="U373" t="s">
        <v>71</v>
      </c>
      <c r="V373">
        <v>0</v>
      </c>
      <c r="W373" t="s">
        <v>71</v>
      </c>
      <c r="X373">
        <v>0</v>
      </c>
      <c r="Y373">
        <v>0.79998999999999998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24</v>
      </c>
      <c r="AF373">
        <v>22</v>
      </c>
      <c r="AG373">
        <v>69</v>
      </c>
      <c r="AH373">
        <v>0</v>
      </c>
      <c r="AI373">
        <v>5.0000000000000001E-3</v>
      </c>
      <c r="AK373" t="s">
        <v>95</v>
      </c>
      <c r="AM373">
        <v>200000</v>
      </c>
      <c r="AN373" t="s">
        <v>97</v>
      </c>
      <c r="AO373">
        <v>1</v>
      </c>
      <c r="AP373">
        <v>0</v>
      </c>
      <c r="AQ373">
        <v>16666.666666666668</v>
      </c>
      <c r="AR373" t="s">
        <v>1272</v>
      </c>
      <c r="AS373" t="s">
        <v>75</v>
      </c>
      <c r="AX373" t="s">
        <v>76</v>
      </c>
      <c r="AY373" t="s">
        <v>71</v>
      </c>
      <c r="AZ373">
        <v>0</v>
      </c>
      <c r="BA373" t="s">
        <v>71</v>
      </c>
      <c r="BB373">
        <v>0</v>
      </c>
      <c r="BD373">
        <v>0.79998999999999998</v>
      </c>
    </row>
    <row r="374" spans="1:56" x14ac:dyDescent="0.15">
      <c r="A374" s="4" t="str">
        <f>HYPERLINK("https://ibp.a2mac1.com/costing(costing:projects/details/9760/part/8411397)","Passenger")</f>
        <v>Passenger</v>
      </c>
      <c r="B374">
        <v>8411397</v>
      </c>
      <c r="C374">
        <v>8411246</v>
      </c>
      <c r="E374">
        <v>0.79998999999999998</v>
      </c>
      <c r="F374">
        <v>0</v>
      </c>
      <c r="G374">
        <v>0</v>
      </c>
      <c r="H374">
        <v>0</v>
      </c>
      <c r="I374" t="s">
        <v>71</v>
      </c>
      <c r="J374">
        <v>0</v>
      </c>
      <c r="K374">
        <v>0.79998999999999998</v>
      </c>
      <c r="L374">
        <v>0</v>
      </c>
      <c r="M374">
        <v>0</v>
      </c>
      <c r="N374">
        <v>0.79998999999999998</v>
      </c>
      <c r="O374" t="s">
        <v>71</v>
      </c>
      <c r="P374">
        <v>0</v>
      </c>
      <c r="Q374" t="s">
        <v>71</v>
      </c>
      <c r="R374">
        <v>0</v>
      </c>
      <c r="S374" t="s">
        <v>71</v>
      </c>
      <c r="T374">
        <v>0</v>
      </c>
      <c r="U374" t="s">
        <v>71</v>
      </c>
      <c r="V374">
        <v>0</v>
      </c>
      <c r="W374" t="s">
        <v>71</v>
      </c>
      <c r="X374">
        <v>0</v>
      </c>
      <c r="Y374">
        <v>0.79998999999999998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24</v>
      </c>
      <c r="AF374">
        <v>22</v>
      </c>
      <c r="AG374">
        <v>69</v>
      </c>
      <c r="AH374">
        <v>0</v>
      </c>
      <c r="AI374">
        <v>5.0000000000000001E-3</v>
      </c>
      <c r="AK374" t="s">
        <v>95</v>
      </c>
      <c r="AM374">
        <v>200000</v>
      </c>
      <c r="AN374" t="s">
        <v>97</v>
      </c>
      <c r="AO374">
        <v>1</v>
      </c>
      <c r="AP374">
        <v>0</v>
      </c>
      <c r="AQ374">
        <v>16666.666666666668</v>
      </c>
      <c r="AR374" t="s">
        <v>1273</v>
      </c>
      <c r="AS374" t="s">
        <v>75</v>
      </c>
      <c r="AX374" t="s">
        <v>76</v>
      </c>
      <c r="AY374" t="s">
        <v>71</v>
      </c>
      <c r="AZ374">
        <v>0</v>
      </c>
      <c r="BA374" t="s">
        <v>71</v>
      </c>
      <c r="BB374">
        <v>0</v>
      </c>
      <c r="BD374">
        <v>0.79998999999999998</v>
      </c>
    </row>
    <row r="375" spans="1:56" x14ac:dyDescent="0.15">
      <c r="A375" s="4" t="str">
        <f>HYPERLINK("https://ibp.a2mac1.com/costing(costing:projects/details/9760/part/8411244)","Left Pipe")</f>
        <v>Left Pipe</v>
      </c>
      <c r="B375">
        <v>8411244</v>
      </c>
      <c r="C375">
        <v>8411139</v>
      </c>
      <c r="D375" t="s">
        <v>1259</v>
      </c>
      <c r="E375">
        <v>0.25769999999999998</v>
      </c>
      <c r="F375">
        <v>0</v>
      </c>
      <c r="G375">
        <v>0</v>
      </c>
      <c r="H375">
        <v>0</v>
      </c>
      <c r="I375" t="s">
        <v>71</v>
      </c>
      <c r="J375">
        <v>0</v>
      </c>
      <c r="K375">
        <v>0.25769999999999998</v>
      </c>
      <c r="L375">
        <v>0</v>
      </c>
      <c r="M375">
        <v>0</v>
      </c>
      <c r="N375">
        <v>0.25769999999999998</v>
      </c>
      <c r="O375" t="s">
        <v>71</v>
      </c>
      <c r="P375">
        <v>0</v>
      </c>
      <c r="Q375" t="s">
        <v>71</v>
      </c>
      <c r="R375">
        <v>0</v>
      </c>
      <c r="S375" t="s">
        <v>71</v>
      </c>
      <c r="T375">
        <v>0</v>
      </c>
      <c r="U375" t="s">
        <v>71</v>
      </c>
      <c r="V375">
        <v>0</v>
      </c>
      <c r="W375" t="s">
        <v>71</v>
      </c>
      <c r="X375">
        <v>0</v>
      </c>
      <c r="Y375">
        <v>0.25769999999999998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175</v>
      </c>
      <c r="AF375">
        <v>282</v>
      </c>
      <c r="AG375">
        <v>175</v>
      </c>
      <c r="AH375">
        <v>0</v>
      </c>
      <c r="AI375">
        <v>0.114</v>
      </c>
      <c r="AK375" t="s">
        <v>100</v>
      </c>
      <c r="AM375">
        <v>200000</v>
      </c>
      <c r="AN375" t="s">
        <v>97</v>
      </c>
      <c r="AO375">
        <v>1</v>
      </c>
      <c r="AP375">
        <v>0</v>
      </c>
      <c r="AQ375">
        <v>16666.666666666668</v>
      </c>
      <c r="AR375" t="s">
        <v>1275</v>
      </c>
      <c r="AS375" t="s">
        <v>75</v>
      </c>
      <c r="AX375" t="s">
        <v>76</v>
      </c>
      <c r="AY375" t="s">
        <v>71</v>
      </c>
      <c r="AZ375">
        <v>0</v>
      </c>
      <c r="BA375" t="s">
        <v>71</v>
      </c>
      <c r="BB375">
        <v>0</v>
      </c>
      <c r="BD375">
        <v>0.25769999999999998</v>
      </c>
    </row>
    <row r="376" spans="1:56" x14ac:dyDescent="0.15">
      <c r="A376" s="4" t="str">
        <f>HYPERLINK("https://ibp.a2mac1.com/costing(costing:projects/details/9760/part/8411245)","Right Pipe")</f>
        <v>Right Pipe</v>
      </c>
      <c r="B376">
        <v>8411245</v>
      </c>
      <c r="C376">
        <v>8411139</v>
      </c>
      <c r="D376" t="s">
        <v>1259</v>
      </c>
      <c r="E376">
        <v>0.16955000000000001</v>
      </c>
      <c r="F376">
        <v>0</v>
      </c>
      <c r="G376">
        <v>0</v>
      </c>
      <c r="H376">
        <v>0</v>
      </c>
      <c r="I376" t="s">
        <v>71</v>
      </c>
      <c r="J376">
        <v>0</v>
      </c>
      <c r="K376">
        <v>0.16955000000000001</v>
      </c>
      <c r="L376">
        <v>0</v>
      </c>
      <c r="M376">
        <v>0</v>
      </c>
      <c r="N376">
        <v>0.16955000000000001</v>
      </c>
      <c r="O376" t="s">
        <v>71</v>
      </c>
      <c r="P376">
        <v>0</v>
      </c>
      <c r="Q376" t="s">
        <v>71</v>
      </c>
      <c r="R376">
        <v>0</v>
      </c>
      <c r="S376" t="s">
        <v>71</v>
      </c>
      <c r="T376">
        <v>0</v>
      </c>
      <c r="U376" t="s">
        <v>71</v>
      </c>
      <c r="V376">
        <v>0</v>
      </c>
      <c r="W376" t="s">
        <v>71</v>
      </c>
      <c r="X376">
        <v>0</v>
      </c>
      <c r="Y376">
        <v>0.16955000000000001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248</v>
      </c>
      <c r="AF376">
        <v>110</v>
      </c>
      <c r="AG376">
        <v>128</v>
      </c>
      <c r="AH376">
        <v>0</v>
      </c>
      <c r="AI376">
        <v>7.4999999999999997E-2</v>
      </c>
      <c r="AK376" t="s">
        <v>100</v>
      </c>
      <c r="AM376">
        <v>200000</v>
      </c>
      <c r="AN376" t="s">
        <v>97</v>
      </c>
      <c r="AO376">
        <v>1</v>
      </c>
      <c r="AP376">
        <v>0</v>
      </c>
      <c r="AQ376">
        <v>16666.666666666668</v>
      </c>
      <c r="AR376" t="s">
        <v>1276</v>
      </c>
      <c r="AS376" t="s">
        <v>75</v>
      </c>
      <c r="AX376" t="s">
        <v>76</v>
      </c>
      <c r="AY376" t="s">
        <v>71</v>
      </c>
      <c r="AZ376">
        <v>0</v>
      </c>
      <c r="BA376" t="s">
        <v>71</v>
      </c>
      <c r="BB376">
        <v>0</v>
      </c>
      <c r="BD376">
        <v>0.16955000000000001</v>
      </c>
    </row>
    <row r="377" spans="1:56" x14ac:dyDescent="0.15">
      <c r="A377" s="4" t="str">
        <f>HYPERLINK("https://ibp.a2mac1.com/costing(costing:projects/details/9760/part/8411398)","Grills on A Pillar")</f>
        <v>Grills on A Pillar</v>
      </c>
      <c r="B377">
        <v>8411398</v>
      </c>
      <c r="C377">
        <v>8411248</v>
      </c>
      <c r="D377" t="s">
        <v>1280</v>
      </c>
      <c r="E377">
        <v>0.20116000000000001</v>
      </c>
      <c r="F377">
        <v>0</v>
      </c>
      <c r="G377">
        <v>0</v>
      </c>
      <c r="H377">
        <v>0</v>
      </c>
      <c r="I377" t="s">
        <v>71</v>
      </c>
      <c r="J377">
        <v>0</v>
      </c>
      <c r="K377">
        <v>0.20116000000000001</v>
      </c>
      <c r="L377">
        <v>0</v>
      </c>
      <c r="M377">
        <v>0</v>
      </c>
      <c r="N377">
        <v>0.20116000000000001</v>
      </c>
      <c r="O377" t="s">
        <v>71</v>
      </c>
      <c r="P377">
        <v>0</v>
      </c>
      <c r="Q377" t="s">
        <v>71</v>
      </c>
      <c r="R377">
        <v>0</v>
      </c>
      <c r="S377" t="s">
        <v>71</v>
      </c>
      <c r="T377">
        <v>0</v>
      </c>
      <c r="U377" t="s">
        <v>71</v>
      </c>
      <c r="V377">
        <v>0</v>
      </c>
      <c r="W377" t="s">
        <v>71</v>
      </c>
      <c r="X377">
        <v>0</v>
      </c>
      <c r="Y377">
        <v>0.20116000000000001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38</v>
      </c>
      <c r="AF377">
        <v>58</v>
      </c>
      <c r="AG377">
        <v>190</v>
      </c>
      <c r="AH377">
        <v>0</v>
      </c>
      <c r="AI377">
        <v>2.7E-2</v>
      </c>
      <c r="AK377" t="s">
        <v>100</v>
      </c>
      <c r="AM377">
        <v>200000</v>
      </c>
      <c r="AN377" t="s">
        <v>97</v>
      </c>
      <c r="AO377">
        <v>1</v>
      </c>
      <c r="AP377">
        <v>0</v>
      </c>
      <c r="AQ377">
        <v>16666.666666666668</v>
      </c>
      <c r="AR377" t="s">
        <v>1281</v>
      </c>
      <c r="AS377" t="s">
        <v>75</v>
      </c>
      <c r="AX377" t="s">
        <v>76</v>
      </c>
      <c r="AY377" t="s">
        <v>71</v>
      </c>
      <c r="AZ377">
        <v>0</v>
      </c>
      <c r="BA377" t="s">
        <v>71</v>
      </c>
      <c r="BB377">
        <v>0</v>
      </c>
      <c r="BD377">
        <v>0.20116000000000001</v>
      </c>
    </row>
    <row r="378" spans="1:56" x14ac:dyDescent="0.15">
      <c r="A378" s="4" t="str">
        <f>HYPERLINK("https://ibp.a2mac1.com/costing(costing:projects/details/9760/part/8411399)","Grills on A Pillar right")</f>
        <v>Grills on A Pillar right</v>
      </c>
      <c r="B378">
        <v>8411399</v>
      </c>
      <c r="C378">
        <v>8411248</v>
      </c>
      <c r="D378" t="s">
        <v>1282</v>
      </c>
      <c r="E378">
        <v>0.19105</v>
      </c>
      <c r="F378">
        <v>0</v>
      </c>
      <c r="G378">
        <v>0</v>
      </c>
      <c r="H378">
        <v>0</v>
      </c>
      <c r="I378" t="s">
        <v>71</v>
      </c>
      <c r="J378">
        <v>0</v>
      </c>
      <c r="K378">
        <v>0.19105</v>
      </c>
      <c r="L378">
        <v>0</v>
      </c>
      <c r="M378">
        <v>0</v>
      </c>
      <c r="N378">
        <v>0.19105</v>
      </c>
      <c r="O378" t="s">
        <v>71</v>
      </c>
      <c r="P378">
        <v>0</v>
      </c>
      <c r="Q378" t="s">
        <v>71</v>
      </c>
      <c r="R378">
        <v>0</v>
      </c>
      <c r="S378" t="s">
        <v>71</v>
      </c>
      <c r="T378">
        <v>0</v>
      </c>
      <c r="U378" t="s">
        <v>71</v>
      </c>
      <c r="V378">
        <v>0</v>
      </c>
      <c r="W378" t="s">
        <v>71</v>
      </c>
      <c r="X378">
        <v>0</v>
      </c>
      <c r="Y378">
        <v>0.19105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30</v>
      </c>
      <c r="AF378">
        <v>58</v>
      </c>
      <c r="AG378">
        <v>185</v>
      </c>
      <c r="AH378">
        <v>0</v>
      </c>
      <c r="AI378">
        <v>2.4E-2</v>
      </c>
      <c r="AK378" t="s">
        <v>100</v>
      </c>
      <c r="AM378">
        <v>200000</v>
      </c>
      <c r="AN378" t="s">
        <v>97</v>
      </c>
      <c r="AO378">
        <v>1</v>
      </c>
      <c r="AP378">
        <v>0</v>
      </c>
      <c r="AQ378">
        <v>16666.666666666668</v>
      </c>
      <c r="AR378" t="s">
        <v>1283</v>
      </c>
      <c r="AS378" t="s">
        <v>75</v>
      </c>
      <c r="AX378" t="s">
        <v>76</v>
      </c>
      <c r="AY378" t="s">
        <v>71</v>
      </c>
      <c r="AZ378">
        <v>0</v>
      </c>
      <c r="BA378" t="s">
        <v>71</v>
      </c>
      <c r="BB378">
        <v>0</v>
      </c>
      <c r="BD378">
        <v>0.19105</v>
      </c>
    </row>
    <row r="379" spans="1:56" x14ac:dyDescent="0.15">
      <c r="A379" s="4" t="str">
        <f>HYPERLINK("https://ibp.a2mac1.com/costing(costing:projects/details/9760/part/8411247)","Connecting on A-Pillar/Dashboard")</f>
        <v>Connecting on A-Pillar/Dashboard</v>
      </c>
      <c r="B379">
        <v>8411247</v>
      </c>
      <c r="C379">
        <v>8411140</v>
      </c>
      <c r="D379" t="s">
        <v>1285</v>
      </c>
      <c r="E379">
        <v>1.15316</v>
      </c>
      <c r="F379">
        <v>0</v>
      </c>
      <c r="G379">
        <v>0</v>
      </c>
      <c r="H379">
        <v>0</v>
      </c>
      <c r="I379" t="s">
        <v>71</v>
      </c>
      <c r="J379">
        <v>0</v>
      </c>
      <c r="K379">
        <v>1.15316</v>
      </c>
      <c r="L379">
        <v>0</v>
      </c>
      <c r="M379">
        <v>0</v>
      </c>
      <c r="N379">
        <v>1.15316</v>
      </c>
      <c r="O379" t="s">
        <v>71</v>
      </c>
      <c r="P379">
        <v>0</v>
      </c>
      <c r="Q379" t="s">
        <v>71</v>
      </c>
      <c r="R379">
        <v>0</v>
      </c>
      <c r="S379" t="s">
        <v>71</v>
      </c>
      <c r="T379">
        <v>0</v>
      </c>
      <c r="U379" t="s">
        <v>71</v>
      </c>
      <c r="V379">
        <v>0</v>
      </c>
      <c r="W379" t="s">
        <v>71</v>
      </c>
      <c r="X379">
        <v>0</v>
      </c>
      <c r="Y379">
        <v>1.15316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50</v>
      </c>
      <c r="AF379">
        <v>88</v>
      </c>
      <c r="AG379">
        <v>336</v>
      </c>
      <c r="AH379">
        <v>0</v>
      </c>
      <c r="AI379">
        <v>5.3999999999999999E-2</v>
      </c>
      <c r="AK379" t="s">
        <v>100</v>
      </c>
      <c r="AM379">
        <v>400000</v>
      </c>
      <c r="AN379" t="s">
        <v>97</v>
      </c>
      <c r="AO379">
        <v>2</v>
      </c>
      <c r="AP379">
        <v>0</v>
      </c>
      <c r="AQ379">
        <v>33333.333333333336</v>
      </c>
      <c r="AR379" t="s">
        <v>1286</v>
      </c>
      <c r="AS379" t="s">
        <v>75</v>
      </c>
      <c r="AX379" t="s">
        <v>76</v>
      </c>
      <c r="AY379" t="s">
        <v>71</v>
      </c>
      <c r="AZ379">
        <v>0</v>
      </c>
      <c r="BA379" t="s">
        <v>71</v>
      </c>
      <c r="BB379">
        <v>0</v>
      </c>
      <c r="BD379">
        <v>0.57657999999999998</v>
      </c>
    </row>
    <row r="380" spans="1:56" x14ac:dyDescent="0.15">
      <c r="A380" s="4" t="str">
        <f>HYPERLINK("https://ibp.a2mac1.com/costing(costing:projects/details/9760/part/8411249)","Central")</f>
        <v>Central</v>
      </c>
      <c r="B380">
        <v>8411249</v>
      </c>
      <c r="C380">
        <v>8411141</v>
      </c>
      <c r="D380" t="s">
        <v>1262</v>
      </c>
      <c r="E380">
        <v>0.42597000000000002</v>
      </c>
      <c r="F380">
        <v>0</v>
      </c>
      <c r="G380">
        <v>0</v>
      </c>
      <c r="H380">
        <v>0</v>
      </c>
      <c r="I380" t="s">
        <v>71</v>
      </c>
      <c r="J380">
        <v>0</v>
      </c>
      <c r="K380">
        <v>0.42597000000000002</v>
      </c>
      <c r="L380">
        <v>0</v>
      </c>
      <c r="M380">
        <v>0</v>
      </c>
      <c r="N380">
        <v>0.42597000000000002</v>
      </c>
      <c r="O380" t="s">
        <v>71</v>
      </c>
      <c r="P380">
        <v>0</v>
      </c>
      <c r="Q380" t="s">
        <v>71</v>
      </c>
      <c r="R380">
        <v>0</v>
      </c>
      <c r="S380" t="s">
        <v>71</v>
      </c>
      <c r="T380">
        <v>0</v>
      </c>
      <c r="U380" t="s">
        <v>71</v>
      </c>
      <c r="V380">
        <v>0</v>
      </c>
      <c r="W380" t="s">
        <v>71</v>
      </c>
      <c r="X380">
        <v>0</v>
      </c>
      <c r="Y380">
        <v>0.42597000000000002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100</v>
      </c>
      <c r="AF380">
        <v>430</v>
      </c>
      <c r="AG380">
        <v>109</v>
      </c>
      <c r="AH380">
        <v>0</v>
      </c>
      <c r="AI380">
        <v>0.158</v>
      </c>
      <c r="AK380" t="s">
        <v>100</v>
      </c>
      <c r="AM380">
        <v>200000</v>
      </c>
      <c r="AN380" t="s">
        <v>97</v>
      </c>
      <c r="AO380">
        <v>1</v>
      </c>
      <c r="AP380">
        <v>0</v>
      </c>
      <c r="AQ380">
        <v>16666.666666666668</v>
      </c>
      <c r="AR380" t="s">
        <v>1289</v>
      </c>
      <c r="AS380" t="s">
        <v>75</v>
      </c>
      <c r="AX380" t="s">
        <v>76</v>
      </c>
      <c r="AY380" t="s">
        <v>71</v>
      </c>
      <c r="AZ380">
        <v>0</v>
      </c>
      <c r="BA380" t="s">
        <v>71</v>
      </c>
      <c r="BB380">
        <v>0</v>
      </c>
      <c r="BD380">
        <v>0.42597000000000002</v>
      </c>
    </row>
    <row r="381" spans="1:56" x14ac:dyDescent="0.15">
      <c r="A381" s="4" t="str">
        <f>HYPERLINK("https://ibp.a2mac1.com/costing(costing:projects/details/9760/part/8411250)","Heater Sealing")</f>
        <v>Heater Sealing</v>
      </c>
      <c r="B381">
        <v>8411250</v>
      </c>
      <c r="C381">
        <v>8411141</v>
      </c>
      <c r="D381" t="s">
        <v>1243</v>
      </c>
      <c r="E381">
        <v>7.8979999999999995E-2</v>
      </c>
      <c r="F381">
        <v>0</v>
      </c>
      <c r="G381">
        <v>0</v>
      </c>
      <c r="H381">
        <v>0</v>
      </c>
      <c r="I381" t="s">
        <v>71</v>
      </c>
      <c r="J381">
        <v>0</v>
      </c>
      <c r="K381">
        <v>7.8979999999999995E-2</v>
      </c>
      <c r="L381">
        <v>0</v>
      </c>
      <c r="M381">
        <v>0</v>
      </c>
      <c r="N381">
        <v>7.8979999999999995E-2</v>
      </c>
      <c r="O381" t="s">
        <v>71</v>
      </c>
      <c r="P381">
        <v>0</v>
      </c>
      <c r="Q381" t="s">
        <v>71</v>
      </c>
      <c r="R381">
        <v>0</v>
      </c>
      <c r="S381" t="s">
        <v>71</v>
      </c>
      <c r="T381">
        <v>0</v>
      </c>
      <c r="U381" t="s">
        <v>71</v>
      </c>
      <c r="V381">
        <v>0</v>
      </c>
      <c r="W381" t="s">
        <v>71</v>
      </c>
      <c r="X381">
        <v>0</v>
      </c>
      <c r="Y381">
        <v>7.8979999999999995E-2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10</v>
      </c>
      <c r="AF381">
        <v>266</v>
      </c>
      <c r="AG381">
        <v>107</v>
      </c>
      <c r="AH381">
        <v>0</v>
      </c>
      <c r="AI381">
        <v>3.0000000000000001E-3</v>
      </c>
      <c r="AK381" t="s">
        <v>100</v>
      </c>
      <c r="AM381">
        <v>200000</v>
      </c>
      <c r="AN381" t="s">
        <v>97</v>
      </c>
      <c r="AO381">
        <v>1</v>
      </c>
      <c r="AP381">
        <v>0</v>
      </c>
      <c r="AQ381">
        <v>16666.666666666668</v>
      </c>
      <c r="AR381" t="s">
        <v>1290</v>
      </c>
      <c r="AS381" t="s">
        <v>75</v>
      </c>
      <c r="AX381" t="s">
        <v>76</v>
      </c>
      <c r="AY381" t="s">
        <v>71</v>
      </c>
      <c r="AZ381">
        <v>0</v>
      </c>
      <c r="BA381" t="s">
        <v>71</v>
      </c>
      <c r="BB381">
        <v>0</v>
      </c>
      <c r="BD381">
        <v>7.8979999999999995E-2</v>
      </c>
    </row>
    <row r="382" spans="1:56" x14ac:dyDescent="0.15">
      <c r="A382" s="4" t="str">
        <f>HYPERLINK("https://ibp.a2mac1.com/costing(costing:projects/details/9760/part/8411251)","Central")</f>
        <v>Central</v>
      </c>
      <c r="B382">
        <v>8411251</v>
      </c>
      <c r="C382">
        <v>8411142</v>
      </c>
      <c r="D382" t="s">
        <v>1285</v>
      </c>
      <c r="E382">
        <v>0.21571000000000001</v>
      </c>
      <c r="F382">
        <v>0</v>
      </c>
      <c r="G382">
        <v>0</v>
      </c>
      <c r="H382">
        <v>0</v>
      </c>
      <c r="I382" t="s">
        <v>71</v>
      </c>
      <c r="J382">
        <v>0</v>
      </c>
      <c r="K382">
        <v>0.21571000000000001</v>
      </c>
      <c r="L382">
        <v>0</v>
      </c>
      <c r="M382">
        <v>0</v>
      </c>
      <c r="N382">
        <v>0.21571000000000001</v>
      </c>
      <c r="O382" t="s">
        <v>71</v>
      </c>
      <c r="P382">
        <v>0</v>
      </c>
      <c r="Q382" t="s">
        <v>71</v>
      </c>
      <c r="R382">
        <v>0</v>
      </c>
      <c r="S382" t="s">
        <v>71</v>
      </c>
      <c r="T382">
        <v>0</v>
      </c>
      <c r="U382" t="s">
        <v>71</v>
      </c>
      <c r="V382">
        <v>0</v>
      </c>
      <c r="W382" t="s">
        <v>71</v>
      </c>
      <c r="X382">
        <v>0</v>
      </c>
      <c r="Y382">
        <v>0.21571000000000001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90</v>
      </c>
      <c r="AF382">
        <v>316</v>
      </c>
      <c r="AG382">
        <v>24</v>
      </c>
      <c r="AH382">
        <v>0</v>
      </c>
      <c r="AI382">
        <v>0.06</v>
      </c>
      <c r="AK382" t="s">
        <v>100</v>
      </c>
      <c r="AM382">
        <v>200000</v>
      </c>
      <c r="AN382" t="s">
        <v>97</v>
      </c>
      <c r="AO382">
        <v>1</v>
      </c>
      <c r="AP382">
        <v>0</v>
      </c>
      <c r="AQ382">
        <v>16666.666666666668</v>
      </c>
      <c r="AR382" t="s">
        <v>1293</v>
      </c>
      <c r="AS382" t="s">
        <v>75</v>
      </c>
      <c r="AX382" t="s">
        <v>76</v>
      </c>
      <c r="AY382" t="s">
        <v>71</v>
      </c>
      <c r="AZ382">
        <v>0</v>
      </c>
      <c r="BA382" t="s">
        <v>71</v>
      </c>
      <c r="BB382">
        <v>0</v>
      </c>
      <c r="BD382">
        <v>0.21571000000000001</v>
      </c>
    </row>
    <row r="383" spans="1:56" x14ac:dyDescent="0.15">
      <c r="A383" s="4" t="str">
        <f>HYPERLINK("https://ibp.a2mac1.com/costing(costing:projects/details/9760/part/8411252)","Steady Heating (or Electric Vehicle)")</f>
        <v>Steady Heating (or Electric Vehicle)</v>
      </c>
      <c r="B383">
        <v>8411252</v>
      </c>
      <c r="C383">
        <v>8411143</v>
      </c>
      <c r="E383">
        <v>83.33</v>
      </c>
      <c r="F383">
        <v>0</v>
      </c>
      <c r="G383">
        <v>0</v>
      </c>
      <c r="H383">
        <v>0</v>
      </c>
      <c r="I383" t="s">
        <v>71</v>
      </c>
      <c r="J383">
        <v>0</v>
      </c>
      <c r="K383">
        <v>83.33</v>
      </c>
      <c r="L383">
        <v>0</v>
      </c>
      <c r="M383">
        <v>0</v>
      </c>
      <c r="N383">
        <v>83.33</v>
      </c>
      <c r="O383" t="s">
        <v>71</v>
      </c>
      <c r="P383">
        <v>0</v>
      </c>
      <c r="Q383" t="s">
        <v>71</v>
      </c>
      <c r="R383">
        <v>0</v>
      </c>
      <c r="S383" t="s">
        <v>71</v>
      </c>
      <c r="T383">
        <v>0</v>
      </c>
      <c r="U383" t="s">
        <v>71</v>
      </c>
      <c r="V383">
        <v>0</v>
      </c>
      <c r="W383" t="s">
        <v>71</v>
      </c>
      <c r="X383">
        <v>0</v>
      </c>
      <c r="Y383">
        <v>83.33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234</v>
      </c>
      <c r="AF383">
        <v>283</v>
      </c>
      <c r="AG383">
        <v>62</v>
      </c>
      <c r="AH383">
        <v>0</v>
      </c>
      <c r="AI383">
        <v>2.7229999999999999</v>
      </c>
      <c r="AK383" t="s">
        <v>95</v>
      </c>
      <c r="AM383">
        <v>200000</v>
      </c>
      <c r="AN383" t="s">
        <v>97</v>
      </c>
      <c r="AO383">
        <v>1</v>
      </c>
      <c r="AP383">
        <v>0</v>
      </c>
      <c r="AQ383">
        <v>16666.666666666668</v>
      </c>
      <c r="AR383" t="s">
        <v>1296</v>
      </c>
      <c r="AS383" t="s">
        <v>75</v>
      </c>
      <c r="AX383" t="s">
        <v>76</v>
      </c>
      <c r="AY383" t="s">
        <v>71</v>
      </c>
      <c r="AZ383">
        <v>0</v>
      </c>
      <c r="BA383" t="s">
        <v>71</v>
      </c>
      <c r="BB383">
        <v>0</v>
      </c>
      <c r="BD383">
        <v>83.33</v>
      </c>
    </row>
    <row r="384" spans="1:56" x14ac:dyDescent="0.15">
      <c r="A384" s="4" t="str">
        <f>HYPERLINK("https://ibp.a2mac1.com/costing(costing:projects/details/9760/part/8411253)","Water Pump")</f>
        <v>Water Pump</v>
      </c>
      <c r="B384">
        <v>8411253</v>
      </c>
      <c r="C384">
        <v>8411143</v>
      </c>
      <c r="E384">
        <v>11.57863</v>
      </c>
      <c r="F384">
        <v>0</v>
      </c>
      <c r="G384">
        <v>0</v>
      </c>
      <c r="H384">
        <v>0</v>
      </c>
      <c r="I384" t="s">
        <v>71</v>
      </c>
      <c r="J384">
        <v>0</v>
      </c>
      <c r="K384">
        <v>11.57863</v>
      </c>
      <c r="L384">
        <v>0</v>
      </c>
      <c r="M384">
        <v>0</v>
      </c>
      <c r="N384">
        <v>11.57863</v>
      </c>
      <c r="O384" t="s">
        <v>71</v>
      </c>
      <c r="P384">
        <v>0</v>
      </c>
      <c r="Q384" t="s">
        <v>71</v>
      </c>
      <c r="R384">
        <v>0</v>
      </c>
      <c r="S384" t="s">
        <v>71</v>
      </c>
      <c r="T384">
        <v>0</v>
      </c>
      <c r="U384" t="s">
        <v>71</v>
      </c>
      <c r="V384">
        <v>0</v>
      </c>
      <c r="W384" t="s">
        <v>71</v>
      </c>
      <c r="X384">
        <v>0</v>
      </c>
      <c r="Y384">
        <v>11.57863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79</v>
      </c>
      <c r="AF384">
        <v>94</v>
      </c>
      <c r="AG384">
        <v>96</v>
      </c>
      <c r="AH384">
        <v>0</v>
      </c>
      <c r="AI384">
        <v>0.378</v>
      </c>
      <c r="AK384" t="s">
        <v>95</v>
      </c>
      <c r="AM384">
        <v>200000</v>
      </c>
      <c r="AN384" t="s">
        <v>97</v>
      </c>
      <c r="AO384">
        <v>1</v>
      </c>
      <c r="AP384">
        <v>0</v>
      </c>
      <c r="AQ384">
        <v>16666.666666666668</v>
      </c>
      <c r="AR384" t="s">
        <v>1297</v>
      </c>
      <c r="AS384" t="s">
        <v>75</v>
      </c>
      <c r="AX384" t="s">
        <v>76</v>
      </c>
      <c r="AY384" t="s">
        <v>71</v>
      </c>
      <c r="AZ384">
        <v>0</v>
      </c>
      <c r="BA384" t="s">
        <v>71</v>
      </c>
      <c r="BB384">
        <v>0</v>
      </c>
      <c r="BD384">
        <v>11.57863</v>
      </c>
    </row>
    <row r="385" spans="1:56" x14ac:dyDescent="0.15">
      <c r="A385" s="4" t="str">
        <f>HYPERLINK("https://ibp.a2mac1.com/costing(costing:projects/details/9760/part/8411254)","Steady Heating / Exchanger pipe")</f>
        <v>Steady Heating / Exchanger pipe</v>
      </c>
      <c r="B385">
        <v>8411254</v>
      </c>
      <c r="C385">
        <v>8411143</v>
      </c>
      <c r="E385">
        <v>0.98072000000000004</v>
      </c>
      <c r="F385">
        <v>0</v>
      </c>
      <c r="G385">
        <v>0</v>
      </c>
      <c r="H385">
        <v>0</v>
      </c>
      <c r="I385" t="s">
        <v>71</v>
      </c>
      <c r="J385">
        <v>0</v>
      </c>
      <c r="K385">
        <v>0.98072000000000004</v>
      </c>
      <c r="L385">
        <v>0</v>
      </c>
      <c r="M385">
        <v>0</v>
      </c>
      <c r="N385">
        <v>0.98072000000000004</v>
      </c>
      <c r="O385" t="s">
        <v>71</v>
      </c>
      <c r="P385">
        <v>0</v>
      </c>
      <c r="Q385" t="s">
        <v>71</v>
      </c>
      <c r="R385">
        <v>0</v>
      </c>
      <c r="S385" t="s">
        <v>71</v>
      </c>
      <c r="T385">
        <v>0</v>
      </c>
      <c r="U385" t="s">
        <v>71</v>
      </c>
      <c r="V385">
        <v>0</v>
      </c>
      <c r="W385" t="s">
        <v>71</v>
      </c>
      <c r="X385">
        <v>0</v>
      </c>
      <c r="Y385">
        <v>0.98072000000000004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7.0999999999999994E-2</v>
      </c>
      <c r="AK385" t="s">
        <v>100</v>
      </c>
      <c r="AM385">
        <v>200000</v>
      </c>
      <c r="AN385" t="s">
        <v>97</v>
      </c>
      <c r="AO385">
        <v>1</v>
      </c>
      <c r="AP385">
        <v>0</v>
      </c>
      <c r="AQ385">
        <v>16666.666666666668</v>
      </c>
      <c r="AR385" t="s">
        <v>1298</v>
      </c>
      <c r="AS385" t="s">
        <v>75</v>
      </c>
      <c r="AX385" t="s">
        <v>76</v>
      </c>
      <c r="AY385" t="s">
        <v>71</v>
      </c>
      <c r="AZ385">
        <v>0</v>
      </c>
      <c r="BA385" t="s">
        <v>71</v>
      </c>
      <c r="BB385">
        <v>0</v>
      </c>
      <c r="BD385">
        <v>0.98072000000000004</v>
      </c>
    </row>
    <row r="386" spans="1:56" x14ac:dyDescent="0.15">
      <c r="A386" s="4" t="str">
        <f>HYPERLINK("https://ibp.a2mac1.com/costing(costing:projects/details/9760/part/8411255)","Pump/Exchanger Pipe")</f>
        <v>Pump/Exchanger Pipe</v>
      </c>
      <c r="B386">
        <v>8411255</v>
      </c>
      <c r="C386">
        <v>8411143</v>
      </c>
      <c r="E386">
        <v>1.63378</v>
      </c>
      <c r="F386">
        <v>0</v>
      </c>
      <c r="G386">
        <v>0</v>
      </c>
      <c r="H386">
        <v>0</v>
      </c>
      <c r="I386" t="s">
        <v>71</v>
      </c>
      <c r="J386">
        <v>0</v>
      </c>
      <c r="K386">
        <v>1.63378</v>
      </c>
      <c r="L386">
        <v>0</v>
      </c>
      <c r="M386">
        <v>0</v>
      </c>
      <c r="N386">
        <v>1.63378</v>
      </c>
      <c r="O386" t="s">
        <v>71</v>
      </c>
      <c r="P386">
        <v>0</v>
      </c>
      <c r="Q386" t="s">
        <v>71</v>
      </c>
      <c r="R386">
        <v>0</v>
      </c>
      <c r="S386" t="s">
        <v>71</v>
      </c>
      <c r="T386">
        <v>0</v>
      </c>
      <c r="U386" t="s">
        <v>71</v>
      </c>
      <c r="V386">
        <v>0</v>
      </c>
      <c r="W386" t="s">
        <v>71</v>
      </c>
      <c r="X386">
        <v>0</v>
      </c>
      <c r="Y386">
        <v>1.63378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0.14299999999999999</v>
      </c>
      <c r="AK386" t="s">
        <v>100</v>
      </c>
      <c r="AM386">
        <v>200000</v>
      </c>
      <c r="AN386" t="s">
        <v>97</v>
      </c>
      <c r="AO386">
        <v>1</v>
      </c>
      <c r="AP386">
        <v>0</v>
      </c>
      <c r="AQ386">
        <v>16666.666666666668</v>
      </c>
      <c r="AR386" t="s">
        <v>1299</v>
      </c>
      <c r="AS386" t="s">
        <v>75</v>
      </c>
      <c r="AX386" t="s">
        <v>76</v>
      </c>
      <c r="AY386" t="s">
        <v>71</v>
      </c>
      <c r="AZ386">
        <v>0</v>
      </c>
      <c r="BA386" t="s">
        <v>71</v>
      </c>
      <c r="BB386">
        <v>0</v>
      </c>
      <c r="BD386">
        <v>1.63378</v>
      </c>
    </row>
    <row r="387" spans="1:56" x14ac:dyDescent="0.15">
      <c r="A387" s="4" t="str">
        <f>HYPERLINK("https://ibp.a2mac1.com/costing(costing:projects/details/9760/part/8411400)","Air Duct Under Left Seat")</f>
        <v>Air Duct Under Left Seat</v>
      </c>
      <c r="B387">
        <v>8411400</v>
      </c>
      <c r="C387">
        <v>8411256</v>
      </c>
      <c r="D387" t="s">
        <v>1259</v>
      </c>
      <c r="E387">
        <v>0.92505000000000004</v>
      </c>
      <c r="F387">
        <v>0</v>
      </c>
      <c r="G387">
        <v>0</v>
      </c>
      <c r="H387">
        <v>0</v>
      </c>
      <c r="I387" t="s">
        <v>71</v>
      </c>
      <c r="J387">
        <v>0</v>
      </c>
      <c r="K387">
        <v>0.92505000000000004</v>
      </c>
      <c r="L387">
        <v>0</v>
      </c>
      <c r="M387">
        <v>0</v>
      </c>
      <c r="N387">
        <v>0.92505000000000004</v>
      </c>
      <c r="O387" t="s">
        <v>71</v>
      </c>
      <c r="P387">
        <v>0</v>
      </c>
      <c r="Q387" t="s">
        <v>71</v>
      </c>
      <c r="R387">
        <v>0</v>
      </c>
      <c r="S387" t="s">
        <v>71</v>
      </c>
      <c r="T387">
        <v>0</v>
      </c>
      <c r="U387" t="s">
        <v>71</v>
      </c>
      <c r="V387">
        <v>0</v>
      </c>
      <c r="W387" t="s">
        <v>71</v>
      </c>
      <c r="X387">
        <v>0</v>
      </c>
      <c r="Y387">
        <v>0.92505000000000004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700</v>
      </c>
      <c r="AF387">
        <v>337</v>
      </c>
      <c r="AG387">
        <v>160</v>
      </c>
      <c r="AH387">
        <v>0</v>
      </c>
      <c r="AI387">
        <v>0.30199999999999999</v>
      </c>
      <c r="AK387" t="s">
        <v>100</v>
      </c>
      <c r="AM387">
        <v>200000</v>
      </c>
      <c r="AN387" t="s">
        <v>97</v>
      </c>
      <c r="AO387">
        <v>1</v>
      </c>
      <c r="AP387">
        <v>0</v>
      </c>
      <c r="AQ387">
        <v>16666.666666666668</v>
      </c>
      <c r="AR387" t="s">
        <v>1303</v>
      </c>
      <c r="AS387" t="s">
        <v>75</v>
      </c>
      <c r="AX387" t="s">
        <v>76</v>
      </c>
      <c r="AY387" t="s">
        <v>71</v>
      </c>
      <c r="AZ387">
        <v>0</v>
      </c>
      <c r="BA387" t="s">
        <v>71</v>
      </c>
      <c r="BB387">
        <v>0</v>
      </c>
      <c r="BD387">
        <v>0.92505000000000004</v>
      </c>
    </row>
    <row r="388" spans="1:56" x14ac:dyDescent="0.15">
      <c r="A388" s="4" t="str">
        <f>HYPERLINK("https://ibp.a2mac1.com/costing(costing:projects/details/9760/part/8411401)","Air Duct Under Right Seat")</f>
        <v>Air Duct Under Right Seat</v>
      </c>
      <c r="B388">
        <v>8411401</v>
      </c>
      <c r="C388">
        <v>8411256</v>
      </c>
      <c r="D388" t="s">
        <v>1259</v>
      </c>
      <c r="E388">
        <v>1.03016</v>
      </c>
      <c r="F388">
        <v>0</v>
      </c>
      <c r="G388">
        <v>0</v>
      </c>
      <c r="H388">
        <v>0</v>
      </c>
      <c r="I388" t="s">
        <v>71</v>
      </c>
      <c r="J388">
        <v>0</v>
      </c>
      <c r="K388">
        <v>1.03016</v>
      </c>
      <c r="L388">
        <v>0</v>
      </c>
      <c r="M388">
        <v>0</v>
      </c>
      <c r="N388">
        <v>1.03016</v>
      </c>
      <c r="O388" t="s">
        <v>71</v>
      </c>
      <c r="P388">
        <v>0</v>
      </c>
      <c r="Q388" t="s">
        <v>71</v>
      </c>
      <c r="R388">
        <v>0</v>
      </c>
      <c r="S388" t="s">
        <v>71</v>
      </c>
      <c r="T388">
        <v>0</v>
      </c>
      <c r="U388" t="s">
        <v>71</v>
      </c>
      <c r="V388">
        <v>0</v>
      </c>
      <c r="W388" t="s">
        <v>71</v>
      </c>
      <c r="X388">
        <v>0</v>
      </c>
      <c r="Y388">
        <v>1.03016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693</v>
      </c>
      <c r="AF388">
        <v>465</v>
      </c>
      <c r="AG388">
        <v>155</v>
      </c>
      <c r="AH388">
        <v>0</v>
      </c>
      <c r="AI388">
        <v>0.34100000000000003</v>
      </c>
      <c r="AK388" t="s">
        <v>100</v>
      </c>
      <c r="AM388">
        <v>200000</v>
      </c>
      <c r="AN388" t="s">
        <v>97</v>
      </c>
      <c r="AO388">
        <v>1</v>
      </c>
      <c r="AP388">
        <v>0</v>
      </c>
      <c r="AQ388">
        <v>16666.666666666668</v>
      </c>
      <c r="AR388" t="s">
        <v>1304</v>
      </c>
      <c r="AS388" t="s">
        <v>75</v>
      </c>
      <c r="AX388" t="s">
        <v>76</v>
      </c>
      <c r="AY388" t="s">
        <v>71</v>
      </c>
      <c r="AZ388">
        <v>0</v>
      </c>
      <c r="BA388" t="s">
        <v>71</v>
      </c>
      <c r="BB388">
        <v>0</v>
      </c>
      <c r="BD388">
        <v>1.03016</v>
      </c>
    </row>
    <row r="389" spans="1:56" x14ac:dyDescent="0.15">
      <c r="A389" s="4" t="str">
        <f>HYPERLINK("https://ibp.a2mac1.com/costing(costing:projects/details/9760/part/8411402)","Rear Left Outlet")</f>
        <v>Rear Left Outlet</v>
      </c>
      <c r="B389">
        <v>8411402</v>
      </c>
      <c r="C389">
        <v>8411256</v>
      </c>
      <c r="D389" t="s">
        <v>1257</v>
      </c>
      <c r="E389">
        <v>0.30614000000000002</v>
      </c>
      <c r="F389">
        <v>0</v>
      </c>
      <c r="G389">
        <v>0</v>
      </c>
      <c r="H389">
        <v>0</v>
      </c>
      <c r="I389" t="s">
        <v>71</v>
      </c>
      <c r="J389">
        <v>0</v>
      </c>
      <c r="K389">
        <v>0.30614000000000002</v>
      </c>
      <c r="L389">
        <v>0</v>
      </c>
      <c r="M389">
        <v>0</v>
      </c>
      <c r="N389">
        <v>0.30614000000000002</v>
      </c>
      <c r="O389" t="s">
        <v>71</v>
      </c>
      <c r="P389">
        <v>0</v>
      </c>
      <c r="Q389" t="s">
        <v>71</v>
      </c>
      <c r="R389">
        <v>0</v>
      </c>
      <c r="S389" t="s">
        <v>71</v>
      </c>
      <c r="T389">
        <v>0</v>
      </c>
      <c r="U389" t="s">
        <v>71</v>
      </c>
      <c r="V389">
        <v>0</v>
      </c>
      <c r="W389" t="s">
        <v>71</v>
      </c>
      <c r="X389">
        <v>0</v>
      </c>
      <c r="Y389">
        <v>0.30614000000000002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93</v>
      </c>
      <c r="AF389">
        <v>217</v>
      </c>
      <c r="AG389">
        <v>58</v>
      </c>
      <c r="AH389">
        <v>0</v>
      </c>
      <c r="AI389">
        <v>7.9000000000000001E-2</v>
      </c>
      <c r="AK389" t="s">
        <v>100</v>
      </c>
      <c r="AM389">
        <v>200000</v>
      </c>
      <c r="AN389" t="s">
        <v>97</v>
      </c>
      <c r="AO389">
        <v>1</v>
      </c>
      <c r="AP389">
        <v>0</v>
      </c>
      <c r="AQ389">
        <v>16666.666666666668</v>
      </c>
      <c r="AR389" t="s">
        <v>1305</v>
      </c>
      <c r="AS389" t="s">
        <v>75</v>
      </c>
      <c r="AX389" t="s">
        <v>76</v>
      </c>
      <c r="AY389" t="s">
        <v>71</v>
      </c>
      <c r="AZ389">
        <v>0</v>
      </c>
      <c r="BA389" t="s">
        <v>71</v>
      </c>
      <c r="BB389">
        <v>0</v>
      </c>
      <c r="BD389">
        <v>0.30614000000000002</v>
      </c>
    </row>
    <row r="390" spans="1:56" x14ac:dyDescent="0.15">
      <c r="A390" s="4" t="str">
        <f>HYPERLINK("https://ibp.a2mac1.com/costing(costing:projects/details/9760/part/8411403)","Rear Right Outlet")</f>
        <v>Rear Right Outlet</v>
      </c>
      <c r="B390">
        <v>8411403</v>
      </c>
      <c r="C390">
        <v>8411256</v>
      </c>
      <c r="D390" t="s">
        <v>1257</v>
      </c>
      <c r="E390">
        <v>0.30120000000000002</v>
      </c>
      <c r="F390">
        <v>0</v>
      </c>
      <c r="G390">
        <v>0</v>
      </c>
      <c r="H390">
        <v>0</v>
      </c>
      <c r="I390" t="s">
        <v>71</v>
      </c>
      <c r="J390">
        <v>0</v>
      </c>
      <c r="K390">
        <v>0.30120000000000002</v>
      </c>
      <c r="L390">
        <v>0</v>
      </c>
      <c r="M390">
        <v>0</v>
      </c>
      <c r="N390">
        <v>0.30120000000000002</v>
      </c>
      <c r="O390" t="s">
        <v>71</v>
      </c>
      <c r="P390">
        <v>0</v>
      </c>
      <c r="Q390" t="s">
        <v>71</v>
      </c>
      <c r="R390">
        <v>0</v>
      </c>
      <c r="S390" t="s">
        <v>71</v>
      </c>
      <c r="T390">
        <v>0</v>
      </c>
      <c r="U390" t="s">
        <v>71</v>
      </c>
      <c r="V390">
        <v>0</v>
      </c>
      <c r="W390" t="s">
        <v>71</v>
      </c>
      <c r="X390">
        <v>0</v>
      </c>
      <c r="Y390">
        <v>0.30120000000000002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93</v>
      </c>
      <c r="AF390">
        <v>217</v>
      </c>
      <c r="AG390">
        <v>58</v>
      </c>
      <c r="AH390">
        <v>0</v>
      </c>
      <c r="AI390">
        <v>7.6999999999999999E-2</v>
      </c>
      <c r="AK390" t="s">
        <v>100</v>
      </c>
      <c r="AM390">
        <v>200000</v>
      </c>
      <c r="AN390" t="s">
        <v>97</v>
      </c>
      <c r="AO390">
        <v>1</v>
      </c>
      <c r="AP390">
        <v>0</v>
      </c>
      <c r="AQ390">
        <v>16666.666666666668</v>
      </c>
      <c r="AR390" t="s">
        <v>1306</v>
      </c>
      <c r="AS390" t="s">
        <v>75</v>
      </c>
      <c r="AX390" t="s">
        <v>76</v>
      </c>
      <c r="AY390" t="s">
        <v>71</v>
      </c>
      <c r="AZ390">
        <v>0</v>
      </c>
      <c r="BA390" t="s">
        <v>71</v>
      </c>
      <c r="BB390">
        <v>0</v>
      </c>
      <c r="BD390">
        <v>0.30120000000000002</v>
      </c>
    </row>
    <row r="391" spans="1:56" x14ac:dyDescent="0.15">
      <c r="A391" s="4" t="str">
        <f>HYPERLINK("https://ibp.a2mac1.com/costing(costing:projects/details/9760/part/8411404)","Left Grill (and Right if Similar)")</f>
        <v>Left Grill (and Right if Similar)</v>
      </c>
      <c r="B391">
        <v>8411404</v>
      </c>
      <c r="C391">
        <v>8411256</v>
      </c>
      <c r="D391" t="s">
        <v>1307</v>
      </c>
      <c r="E391">
        <v>0.26834999999999998</v>
      </c>
      <c r="F391">
        <v>0</v>
      </c>
      <c r="G391">
        <v>0</v>
      </c>
      <c r="H391">
        <v>0</v>
      </c>
      <c r="I391" t="s">
        <v>71</v>
      </c>
      <c r="J391">
        <v>0</v>
      </c>
      <c r="K391">
        <v>0.26834999999999998</v>
      </c>
      <c r="L391">
        <v>0</v>
      </c>
      <c r="M391">
        <v>0</v>
      </c>
      <c r="N391">
        <v>0.26834999999999998</v>
      </c>
      <c r="O391" t="s">
        <v>71</v>
      </c>
      <c r="P391">
        <v>0</v>
      </c>
      <c r="Q391" t="s">
        <v>71</v>
      </c>
      <c r="R391">
        <v>0</v>
      </c>
      <c r="S391" t="s">
        <v>71</v>
      </c>
      <c r="T391">
        <v>0</v>
      </c>
      <c r="U391" t="s">
        <v>71</v>
      </c>
      <c r="V391">
        <v>0</v>
      </c>
      <c r="W391" t="s">
        <v>71</v>
      </c>
      <c r="X391">
        <v>0</v>
      </c>
      <c r="Y391">
        <v>0.26834999999999998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22</v>
      </c>
      <c r="AF391">
        <v>223</v>
      </c>
      <c r="AG391">
        <v>108</v>
      </c>
      <c r="AH391">
        <v>0</v>
      </c>
      <c r="AI391">
        <v>5.8000000000000003E-2</v>
      </c>
      <c r="AK391" t="s">
        <v>100</v>
      </c>
      <c r="AM391">
        <v>200000</v>
      </c>
      <c r="AN391" t="s">
        <v>97</v>
      </c>
      <c r="AO391">
        <v>1</v>
      </c>
      <c r="AP391">
        <v>0</v>
      </c>
      <c r="AQ391">
        <v>16666.666666666668</v>
      </c>
      <c r="AR391" t="s">
        <v>1308</v>
      </c>
      <c r="AS391" t="s">
        <v>75</v>
      </c>
      <c r="AX391" t="s">
        <v>76</v>
      </c>
      <c r="AY391" t="s">
        <v>71</v>
      </c>
      <c r="AZ391">
        <v>0</v>
      </c>
      <c r="BA391" t="s">
        <v>71</v>
      </c>
      <c r="BB391">
        <v>0</v>
      </c>
      <c r="BD391">
        <v>0.26834999999999998</v>
      </c>
    </row>
    <row r="392" spans="1:56" x14ac:dyDescent="0.15">
      <c r="A392" s="4" t="str">
        <f>HYPERLINK("https://ibp.a2mac1.com/costing(costing:projects/details/9760/part/8411405)","Right Grill")</f>
        <v>Right Grill</v>
      </c>
      <c r="B392">
        <v>8411405</v>
      </c>
      <c r="C392">
        <v>8411256</v>
      </c>
      <c r="D392" t="s">
        <v>1307</v>
      </c>
      <c r="E392">
        <v>0.26519999999999999</v>
      </c>
      <c r="F392">
        <v>0</v>
      </c>
      <c r="G392">
        <v>0</v>
      </c>
      <c r="H392">
        <v>0</v>
      </c>
      <c r="I392" t="s">
        <v>71</v>
      </c>
      <c r="J392">
        <v>0</v>
      </c>
      <c r="K392">
        <v>0.26519999999999999</v>
      </c>
      <c r="L392">
        <v>0</v>
      </c>
      <c r="M392">
        <v>0</v>
      </c>
      <c r="N392">
        <v>0.26519999999999999</v>
      </c>
      <c r="O392" t="s">
        <v>71</v>
      </c>
      <c r="P392">
        <v>0</v>
      </c>
      <c r="Q392" t="s">
        <v>71</v>
      </c>
      <c r="R392">
        <v>0</v>
      </c>
      <c r="S392" t="s">
        <v>71</v>
      </c>
      <c r="T392">
        <v>0</v>
      </c>
      <c r="U392" t="s">
        <v>71</v>
      </c>
      <c r="V392">
        <v>0</v>
      </c>
      <c r="W392" t="s">
        <v>71</v>
      </c>
      <c r="X392">
        <v>0</v>
      </c>
      <c r="Y392">
        <v>0.26519999999999999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22</v>
      </c>
      <c r="AF392">
        <v>223</v>
      </c>
      <c r="AG392">
        <v>108</v>
      </c>
      <c r="AH392">
        <v>0</v>
      </c>
      <c r="AI392">
        <v>5.7000000000000002E-2</v>
      </c>
      <c r="AK392" t="s">
        <v>100</v>
      </c>
      <c r="AM392">
        <v>200000</v>
      </c>
      <c r="AN392" t="s">
        <v>97</v>
      </c>
      <c r="AO392">
        <v>1</v>
      </c>
      <c r="AP392">
        <v>0</v>
      </c>
      <c r="AQ392">
        <v>16666.666666666668</v>
      </c>
      <c r="AR392" t="s">
        <v>1309</v>
      </c>
      <c r="AS392" t="s">
        <v>75</v>
      </c>
      <c r="AX392" t="s">
        <v>76</v>
      </c>
      <c r="AY392" t="s">
        <v>71</v>
      </c>
      <c r="AZ392">
        <v>0</v>
      </c>
      <c r="BA392" t="s">
        <v>71</v>
      </c>
      <c r="BB392">
        <v>0</v>
      </c>
      <c r="BD392">
        <v>0.26519999999999999</v>
      </c>
    </row>
    <row r="393" spans="1:56" x14ac:dyDescent="0.15">
      <c r="A393" s="4" t="str">
        <f>HYPERLINK("https://ibp.a2mac1.com/costing(costing:projects/details/9760/part/8411406)","Pipe")</f>
        <v>Pipe</v>
      </c>
      <c r="B393">
        <v>8411406</v>
      </c>
      <c r="C393">
        <v>8411257</v>
      </c>
      <c r="D393" t="s">
        <v>1259</v>
      </c>
      <c r="E393">
        <v>0.80916999999999994</v>
      </c>
      <c r="F393">
        <v>0</v>
      </c>
      <c r="G393">
        <v>0</v>
      </c>
      <c r="H393">
        <v>0</v>
      </c>
      <c r="I393" t="s">
        <v>71</v>
      </c>
      <c r="J393">
        <v>0</v>
      </c>
      <c r="K393">
        <v>0.80916999999999994</v>
      </c>
      <c r="L393">
        <v>0</v>
      </c>
      <c r="M393">
        <v>0</v>
      </c>
      <c r="N393">
        <v>0.80916999999999994</v>
      </c>
      <c r="O393" t="s">
        <v>71</v>
      </c>
      <c r="P393">
        <v>0</v>
      </c>
      <c r="Q393" t="s">
        <v>71</v>
      </c>
      <c r="R393">
        <v>0</v>
      </c>
      <c r="S393" t="s">
        <v>71</v>
      </c>
      <c r="T393">
        <v>0</v>
      </c>
      <c r="U393" t="s">
        <v>71</v>
      </c>
      <c r="V393">
        <v>0</v>
      </c>
      <c r="W393" t="s">
        <v>71</v>
      </c>
      <c r="X393">
        <v>0</v>
      </c>
      <c r="Y393">
        <v>0.80916999999999994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595</v>
      </c>
      <c r="AF393">
        <v>220</v>
      </c>
      <c r="AG393">
        <v>120</v>
      </c>
      <c r="AH393">
        <v>0</v>
      </c>
      <c r="AI393">
        <v>0.25900000000000001</v>
      </c>
      <c r="AK393" t="s">
        <v>100</v>
      </c>
      <c r="AM393">
        <v>200000</v>
      </c>
      <c r="AN393" t="s">
        <v>97</v>
      </c>
      <c r="AO393">
        <v>1</v>
      </c>
      <c r="AP393">
        <v>0</v>
      </c>
      <c r="AQ393">
        <v>16666.666666666668</v>
      </c>
      <c r="AR393" t="s">
        <v>1312</v>
      </c>
      <c r="AS393" t="s">
        <v>75</v>
      </c>
      <c r="AX393" t="s">
        <v>76</v>
      </c>
      <c r="AY393" t="s">
        <v>71</v>
      </c>
      <c r="AZ393">
        <v>0</v>
      </c>
      <c r="BA393" t="s">
        <v>71</v>
      </c>
      <c r="BB393">
        <v>0</v>
      </c>
      <c r="BD393">
        <v>0.80916999999999994</v>
      </c>
    </row>
    <row r="394" spans="1:56" x14ac:dyDescent="0.15">
      <c r="A394" s="4" t="str">
        <f>HYPERLINK("https://ibp.a2mac1.com/costing(costing:projects/details/9760/part/8411258)","IN Pipe")</f>
        <v>IN Pipe</v>
      </c>
      <c r="B394">
        <v>8411258</v>
      </c>
      <c r="C394">
        <v>8411145</v>
      </c>
      <c r="E394">
        <v>1.0804800000000001</v>
      </c>
      <c r="F394">
        <v>0</v>
      </c>
      <c r="G394">
        <v>0</v>
      </c>
      <c r="H394">
        <v>0</v>
      </c>
      <c r="I394" t="s">
        <v>71</v>
      </c>
      <c r="J394">
        <v>0</v>
      </c>
      <c r="K394">
        <v>1.0804800000000001</v>
      </c>
      <c r="L394">
        <v>0</v>
      </c>
      <c r="M394">
        <v>0</v>
      </c>
      <c r="N394">
        <v>1.0804800000000001</v>
      </c>
      <c r="O394" t="s">
        <v>71</v>
      </c>
      <c r="P394">
        <v>0</v>
      </c>
      <c r="Q394" t="s">
        <v>71</v>
      </c>
      <c r="R394">
        <v>0</v>
      </c>
      <c r="S394" t="s">
        <v>71</v>
      </c>
      <c r="T394">
        <v>0</v>
      </c>
      <c r="U394" t="s">
        <v>71</v>
      </c>
      <c r="V394">
        <v>0</v>
      </c>
      <c r="W394" t="s">
        <v>71</v>
      </c>
      <c r="X394">
        <v>0</v>
      </c>
      <c r="Y394">
        <v>1.0804800000000001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8.2000000000000003E-2</v>
      </c>
      <c r="AK394" t="s">
        <v>100</v>
      </c>
      <c r="AM394">
        <v>200000</v>
      </c>
      <c r="AN394" t="s">
        <v>97</v>
      </c>
      <c r="AO394">
        <v>1</v>
      </c>
      <c r="AP394">
        <v>0</v>
      </c>
      <c r="AQ394">
        <v>16666.666666666668</v>
      </c>
      <c r="AR394" t="s">
        <v>1316</v>
      </c>
      <c r="AS394" t="s">
        <v>75</v>
      </c>
      <c r="AX394" t="s">
        <v>76</v>
      </c>
      <c r="AY394" t="s">
        <v>71</v>
      </c>
      <c r="AZ394">
        <v>0</v>
      </c>
      <c r="BA394" t="s">
        <v>71</v>
      </c>
      <c r="BB394">
        <v>0</v>
      </c>
      <c r="BD394">
        <v>1.0804800000000001</v>
      </c>
    </row>
    <row r="395" spans="1:56" x14ac:dyDescent="0.15">
      <c r="A395" s="4" t="str">
        <f>HYPERLINK("https://ibp.a2mac1.com/costing(costing:projects/details/9760/part/8411259)","OUT Pipe")</f>
        <v>OUT Pipe</v>
      </c>
      <c r="B395">
        <v>8411259</v>
      </c>
      <c r="C395">
        <v>8411145</v>
      </c>
      <c r="E395">
        <v>1.16211</v>
      </c>
      <c r="F395">
        <v>0</v>
      </c>
      <c r="G395">
        <v>0</v>
      </c>
      <c r="H395">
        <v>0</v>
      </c>
      <c r="I395" t="s">
        <v>71</v>
      </c>
      <c r="J395">
        <v>0</v>
      </c>
      <c r="K395">
        <v>1.16211</v>
      </c>
      <c r="L395">
        <v>0</v>
      </c>
      <c r="M395">
        <v>0</v>
      </c>
      <c r="N395">
        <v>1.16211</v>
      </c>
      <c r="O395" t="s">
        <v>71</v>
      </c>
      <c r="P395">
        <v>0</v>
      </c>
      <c r="Q395" t="s">
        <v>71</v>
      </c>
      <c r="R395">
        <v>0</v>
      </c>
      <c r="S395" t="s">
        <v>71</v>
      </c>
      <c r="T395">
        <v>0</v>
      </c>
      <c r="U395" t="s">
        <v>71</v>
      </c>
      <c r="V395">
        <v>0</v>
      </c>
      <c r="W395" t="s">
        <v>71</v>
      </c>
      <c r="X395">
        <v>0</v>
      </c>
      <c r="Y395">
        <v>1.16211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9.0999999999999998E-2</v>
      </c>
      <c r="AK395" t="s">
        <v>100</v>
      </c>
      <c r="AM395">
        <v>200000</v>
      </c>
      <c r="AN395" t="s">
        <v>97</v>
      </c>
      <c r="AO395">
        <v>1</v>
      </c>
      <c r="AP395">
        <v>0</v>
      </c>
      <c r="AQ395">
        <v>16666.666666666668</v>
      </c>
      <c r="AR395" t="s">
        <v>1317</v>
      </c>
      <c r="AS395" t="s">
        <v>75</v>
      </c>
      <c r="AX395" t="s">
        <v>76</v>
      </c>
      <c r="AY395" t="s">
        <v>71</v>
      </c>
      <c r="AZ395">
        <v>0</v>
      </c>
      <c r="BA395" t="s">
        <v>71</v>
      </c>
      <c r="BB395">
        <v>0</v>
      </c>
      <c r="BD395">
        <v>1.16211</v>
      </c>
    </row>
    <row r="396" spans="1:56" x14ac:dyDescent="0.15">
      <c r="A396" s="4" t="str">
        <f>HYPERLINK("https://ibp.a2mac1.com/costing(costing:projects/details/9760/part/8411260)","PM2.5 Detector")</f>
        <v>PM2.5 Detector</v>
      </c>
      <c r="B396">
        <v>8411260</v>
      </c>
      <c r="C396">
        <v>8411146</v>
      </c>
      <c r="E396">
        <v>5</v>
      </c>
      <c r="F396">
        <v>0</v>
      </c>
      <c r="G396">
        <v>0</v>
      </c>
      <c r="H396">
        <v>0</v>
      </c>
      <c r="I396" t="s">
        <v>71</v>
      </c>
      <c r="J396">
        <v>0</v>
      </c>
      <c r="K396">
        <v>5</v>
      </c>
      <c r="L396">
        <v>0</v>
      </c>
      <c r="M396">
        <v>0</v>
      </c>
      <c r="N396">
        <v>5</v>
      </c>
      <c r="O396" t="s">
        <v>71</v>
      </c>
      <c r="P396">
        <v>0</v>
      </c>
      <c r="Q396" t="s">
        <v>71</v>
      </c>
      <c r="R396">
        <v>0</v>
      </c>
      <c r="S396" t="s">
        <v>71</v>
      </c>
      <c r="T396">
        <v>0</v>
      </c>
      <c r="U396" t="s">
        <v>71</v>
      </c>
      <c r="V396">
        <v>0</v>
      </c>
      <c r="W396" t="s">
        <v>71</v>
      </c>
      <c r="X396">
        <v>0</v>
      </c>
      <c r="Y396">
        <v>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24</v>
      </c>
      <c r="AF396">
        <v>87</v>
      </c>
      <c r="AG396">
        <v>65</v>
      </c>
      <c r="AH396">
        <v>0</v>
      </c>
      <c r="AI396">
        <v>4.8000000000000001E-2</v>
      </c>
      <c r="AK396" t="s">
        <v>100</v>
      </c>
      <c r="AM396">
        <v>200000</v>
      </c>
      <c r="AN396" t="s">
        <v>97</v>
      </c>
      <c r="AO396">
        <v>1</v>
      </c>
      <c r="AP396">
        <v>0</v>
      </c>
      <c r="AQ396">
        <v>16666.666666666668</v>
      </c>
      <c r="AR396" t="s">
        <v>1320</v>
      </c>
      <c r="AS396" t="s">
        <v>75</v>
      </c>
      <c r="AX396" t="s">
        <v>76</v>
      </c>
      <c r="AY396" t="s">
        <v>71</v>
      </c>
      <c r="AZ396">
        <v>0</v>
      </c>
      <c r="BA396" t="s">
        <v>71</v>
      </c>
      <c r="BB396">
        <v>0</v>
      </c>
      <c r="BD396">
        <v>5</v>
      </c>
    </row>
    <row r="397" spans="1:56" x14ac:dyDescent="0.15">
      <c r="A397" s="4" t="str">
        <f>HYPERLINK("https://ibp.a2mac1.com/costing(costing:projects/details/9760/part/8411558)","Interior Temperature Sensor")</f>
        <v>Interior Temperature Sensor</v>
      </c>
      <c r="B397">
        <v>8411558</v>
      </c>
      <c r="C397">
        <v>8411470</v>
      </c>
      <c r="E397">
        <v>3.5</v>
      </c>
      <c r="F397">
        <v>0</v>
      </c>
      <c r="G397">
        <v>0</v>
      </c>
      <c r="H397">
        <v>0</v>
      </c>
      <c r="I397" t="s">
        <v>71</v>
      </c>
      <c r="J397">
        <v>0</v>
      </c>
      <c r="K397">
        <v>3.5</v>
      </c>
      <c r="L397">
        <v>0</v>
      </c>
      <c r="M397">
        <v>0</v>
      </c>
      <c r="N397">
        <v>3.5</v>
      </c>
      <c r="O397" t="s">
        <v>71</v>
      </c>
      <c r="P397">
        <v>0</v>
      </c>
      <c r="Q397" t="s">
        <v>71</v>
      </c>
      <c r="R397">
        <v>0</v>
      </c>
      <c r="S397" t="s">
        <v>71</v>
      </c>
      <c r="T397">
        <v>0</v>
      </c>
      <c r="U397" t="s">
        <v>71</v>
      </c>
      <c r="V397">
        <v>0</v>
      </c>
      <c r="W397" t="s">
        <v>71</v>
      </c>
      <c r="X397">
        <v>0</v>
      </c>
      <c r="Y397">
        <v>3.5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39</v>
      </c>
      <c r="AF397">
        <v>19</v>
      </c>
      <c r="AG397">
        <v>35</v>
      </c>
      <c r="AI397">
        <v>7.0000000000000001E-3</v>
      </c>
      <c r="AK397" t="s">
        <v>284</v>
      </c>
      <c r="AL397" t="s">
        <v>1338</v>
      </c>
      <c r="AM397">
        <v>200000</v>
      </c>
      <c r="AN397" t="s">
        <v>97</v>
      </c>
      <c r="AO397">
        <v>1</v>
      </c>
      <c r="AP397">
        <v>0</v>
      </c>
      <c r="AQ397">
        <v>16666.666666666668</v>
      </c>
      <c r="AR397" t="s">
        <v>1339</v>
      </c>
      <c r="AS397" t="s">
        <v>75</v>
      </c>
      <c r="AX397" t="s">
        <v>76</v>
      </c>
      <c r="AY397" t="s">
        <v>71</v>
      </c>
      <c r="AZ397">
        <v>0</v>
      </c>
      <c r="BA397" t="s">
        <v>71</v>
      </c>
      <c r="BB397">
        <v>0</v>
      </c>
      <c r="BD397">
        <v>3.5</v>
      </c>
    </row>
    <row r="398" spans="1:56" x14ac:dyDescent="0.15">
      <c r="A398" s="4" t="str">
        <f>HYPERLINK("https://ibp.a2mac1.com/costing(costing:projects/details/9760/part/8411559)","Grill")</f>
        <v>Grill</v>
      </c>
      <c r="B398">
        <v>8411559</v>
      </c>
      <c r="C398">
        <v>8411470</v>
      </c>
      <c r="E398">
        <v>7.6999999999999999E-2</v>
      </c>
      <c r="F398">
        <v>0</v>
      </c>
      <c r="G398">
        <v>0</v>
      </c>
      <c r="H398">
        <v>0</v>
      </c>
      <c r="I398" t="s">
        <v>71</v>
      </c>
      <c r="J398">
        <v>0</v>
      </c>
      <c r="K398">
        <v>7.6999999999999999E-2</v>
      </c>
      <c r="L398">
        <v>0</v>
      </c>
      <c r="M398">
        <v>0</v>
      </c>
      <c r="N398">
        <v>7.6999999999999999E-2</v>
      </c>
      <c r="O398" t="s">
        <v>71</v>
      </c>
      <c r="P398">
        <v>0</v>
      </c>
      <c r="Q398" t="s">
        <v>71</v>
      </c>
      <c r="R398">
        <v>0</v>
      </c>
      <c r="S398" t="s">
        <v>71</v>
      </c>
      <c r="T398">
        <v>0</v>
      </c>
      <c r="U398" t="s">
        <v>71</v>
      </c>
      <c r="V398">
        <v>0</v>
      </c>
      <c r="W398" t="s">
        <v>71</v>
      </c>
      <c r="X398">
        <v>0</v>
      </c>
      <c r="Y398">
        <v>7.6999999999999999E-2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16</v>
      </c>
      <c r="AF398">
        <v>28</v>
      </c>
      <c r="AG398">
        <v>28</v>
      </c>
      <c r="AI398">
        <v>2E-3</v>
      </c>
      <c r="AK398" t="s">
        <v>288</v>
      </c>
      <c r="AL398" t="s">
        <v>412</v>
      </c>
      <c r="AM398">
        <v>200000</v>
      </c>
      <c r="AN398" t="s">
        <v>97</v>
      </c>
      <c r="AO398">
        <v>1</v>
      </c>
      <c r="AP398">
        <v>0</v>
      </c>
      <c r="AQ398">
        <v>16666.666666666668</v>
      </c>
      <c r="AR398" t="s">
        <v>1340</v>
      </c>
      <c r="AS398" t="s">
        <v>75</v>
      </c>
      <c r="AX398" t="s">
        <v>76</v>
      </c>
      <c r="AY398" t="s">
        <v>71</v>
      </c>
      <c r="AZ398">
        <v>0</v>
      </c>
      <c r="BA398" t="s">
        <v>71</v>
      </c>
      <c r="BB398">
        <v>0</v>
      </c>
      <c r="BD398">
        <v>7.6999999999999999E-2</v>
      </c>
    </row>
    <row r="399" spans="1:56" x14ac:dyDescent="0.15">
      <c r="A399" s="4" t="str">
        <f>HYPERLINK("https://ibp.a2mac1.com/costing(costing:projects/details/9760/part/8411560)","End Fitting")</f>
        <v>End Fitting</v>
      </c>
      <c r="B399">
        <v>8411560</v>
      </c>
      <c r="C399">
        <v>8411470</v>
      </c>
      <c r="E399">
        <v>0.1111</v>
      </c>
      <c r="F399">
        <v>0</v>
      </c>
      <c r="G399">
        <v>0</v>
      </c>
      <c r="H399">
        <v>0</v>
      </c>
      <c r="I399" t="s">
        <v>71</v>
      </c>
      <c r="J399">
        <v>0</v>
      </c>
      <c r="K399">
        <v>0.1111</v>
      </c>
      <c r="L399">
        <v>0</v>
      </c>
      <c r="M399">
        <v>0</v>
      </c>
      <c r="N399">
        <v>0.1111</v>
      </c>
      <c r="O399" t="s">
        <v>71</v>
      </c>
      <c r="P399">
        <v>0</v>
      </c>
      <c r="Q399" t="s">
        <v>71</v>
      </c>
      <c r="R399">
        <v>0</v>
      </c>
      <c r="S399" t="s">
        <v>71</v>
      </c>
      <c r="T399">
        <v>0</v>
      </c>
      <c r="U399" t="s">
        <v>71</v>
      </c>
      <c r="V399">
        <v>0</v>
      </c>
      <c r="W399" t="s">
        <v>71</v>
      </c>
      <c r="X399">
        <v>0</v>
      </c>
      <c r="Y399">
        <v>0.1111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34</v>
      </c>
      <c r="AF399">
        <v>42</v>
      </c>
      <c r="AG399">
        <v>78</v>
      </c>
      <c r="AI399">
        <v>1.0999999999999999E-2</v>
      </c>
      <c r="AK399" t="s">
        <v>288</v>
      </c>
      <c r="AL399" t="s">
        <v>403</v>
      </c>
      <c r="AM399">
        <v>200000</v>
      </c>
      <c r="AN399" t="s">
        <v>97</v>
      </c>
      <c r="AO399">
        <v>1</v>
      </c>
      <c r="AP399">
        <v>0</v>
      </c>
      <c r="AQ399">
        <v>16666.666666666668</v>
      </c>
      <c r="AR399" t="s">
        <v>1341</v>
      </c>
      <c r="AS399" t="s">
        <v>75</v>
      </c>
      <c r="AX399" t="s">
        <v>76</v>
      </c>
      <c r="AY399" t="s">
        <v>71</v>
      </c>
      <c r="AZ399">
        <v>0</v>
      </c>
      <c r="BA399" t="s">
        <v>71</v>
      </c>
      <c r="BB399">
        <v>0</v>
      </c>
      <c r="BD399">
        <v>0.1111</v>
      </c>
    </row>
    <row r="400" spans="1:56" x14ac:dyDescent="0.15">
      <c r="A400" s="4" t="str">
        <f>HYPERLINK("https://ibp.a2mac1.com/costing(costing:projects/details/9760/part/8411561)","Duct")</f>
        <v>Duct</v>
      </c>
      <c r="B400">
        <v>8411561</v>
      </c>
      <c r="C400">
        <v>8411470</v>
      </c>
      <c r="E400">
        <v>0.09</v>
      </c>
      <c r="F400">
        <v>0</v>
      </c>
      <c r="G400">
        <v>0</v>
      </c>
      <c r="H400">
        <v>0</v>
      </c>
      <c r="I400" t="s">
        <v>71</v>
      </c>
      <c r="J400">
        <v>0</v>
      </c>
      <c r="K400">
        <v>0.09</v>
      </c>
      <c r="L400">
        <v>0</v>
      </c>
      <c r="M400">
        <v>0</v>
      </c>
      <c r="N400">
        <v>0.09</v>
      </c>
      <c r="O400" t="s">
        <v>71</v>
      </c>
      <c r="P400">
        <v>0</v>
      </c>
      <c r="Q400" t="s">
        <v>71</v>
      </c>
      <c r="R400">
        <v>0</v>
      </c>
      <c r="S400" t="s">
        <v>71</v>
      </c>
      <c r="T400">
        <v>0</v>
      </c>
      <c r="U400" t="s">
        <v>71</v>
      </c>
      <c r="V400">
        <v>0</v>
      </c>
      <c r="W400" t="s">
        <v>71</v>
      </c>
      <c r="X400">
        <v>0</v>
      </c>
      <c r="Y400">
        <v>0.09</v>
      </c>
      <c r="Z400">
        <v>0</v>
      </c>
      <c r="AA400">
        <v>0</v>
      </c>
      <c r="AB400">
        <v>0</v>
      </c>
      <c r="AC400">
        <v>0</v>
      </c>
      <c r="AD400">
        <v>0</v>
      </c>
      <c r="AI400">
        <v>7.0000000000000001E-3</v>
      </c>
      <c r="AK400" t="s">
        <v>288</v>
      </c>
      <c r="AL400" t="s">
        <v>399</v>
      </c>
      <c r="AM400">
        <v>200000</v>
      </c>
      <c r="AN400" t="s">
        <v>97</v>
      </c>
      <c r="AO400">
        <v>1</v>
      </c>
      <c r="AP400">
        <v>0</v>
      </c>
      <c r="AQ400">
        <v>16666.666666666668</v>
      </c>
      <c r="AR400" t="s">
        <v>1342</v>
      </c>
      <c r="AS400" t="s">
        <v>75</v>
      </c>
      <c r="AX400" t="s">
        <v>76</v>
      </c>
      <c r="AY400" t="s">
        <v>71</v>
      </c>
      <c r="AZ400">
        <v>0</v>
      </c>
      <c r="BA400" t="s">
        <v>71</v>
      </c>
      <c r="BB400">
        <v>0</v>
      </c>
      <c r="BD400">
        <v>0.09</v>
      </c>
    </row>
    <row r="401" spans="1:56" x14ac:dyDescent="0.15">
      <c r="A401" s="4" t="str">
        <f>HYPERLINK("https://ibp.a2mac1.com/costing(costing:projects/details/9760/part/8411466)","Exterior Temperature Sensor")</f>
        <v>Exterior Temperature Sensor</v>
      </c>
      <c r="B401">
        <v>8411466</v>
      </c>
      <c r="C401">
        <v>8411448</v>
      </c>
      <c r="E401">
        <v>3</v>
      </c>
      <c r="F401">
        <v>0</v>
      </c>
      <c r="G401">
        <v>0</v>
      </c>
      <c r="H401">
        <v>0</v>
      </c>
      <c r="I401" t="s">
        <v>71</v>
      </c>
      <c r="J401">
        <v>0</v>
      </c>
      <c r="K401">
        <v>3</v>
      </c>
      <c r="L401">
        <v>0</v>
      </c>
      <c r="M401">
        <v>0</v>
      </c>
      <c r="N401">
        <v>3</v>
      </c>
      <c r="O401" t="s">
        <v>71</v>
      </c>
      <c r="P401">
        <v>0</v>
      </c>
      <c r="Q401" t="s">
        <v>71</v>
      </c>
      <c r="R401">
        <v>0</v>
      </c>
      <c r="S401" t="s">
        <v>71</v>
      </c>
      <c r="T401">
        <v>0</v>
      </c>
      <c r="U401" t="s">
        <v>71</v>
      </c>
      <c r="V401">
        <v>0</v>
      </c>
      <c r="W401" t="s">
        <v>71</v>
      </c>
      <c r="X401">
        <v>0</v>
      </c>
      <c r="Y401">
        <v>3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16</v>
      </c>
      <c r="AF401">
        <v>18</v>
      </c>
      <c r="AG401">
        <v>52</v>
      </c>
      <c r="AI401">
        <v>5.0000000000000001E-3</v>
      </c>
      <c r="AK401" t="s">
        <v>284</v>
      </c>
      <c r="AL401" t="s">
        <v>1344</v>
      </c>
      <c r="AM401">
        <v>200000</v>
      </c>
      <c r="AN401" t="s">
        <v>97</v>
      </c>
      <c r="AO401">
        <v>1</v>
      </c>
      <c r="AP401">
        <v>0</v>
      </c>
      <c r="AQ401">
        <v>16666.666666666668</v>
      </c>
      <c r="AR401" t="s">
        <v>1345</v>
      </c>
      <c r="AS401" t="s">
        <v>75</v>
      </c>
      <c r="AX401" t="s">
        <v>76</v>
      </c>
      <c r="AY401" t="s">
        <v>71</v>
      </c>
      <c r="AZ401">
        <v>0</v>
      </c>
      <c r="BA401" t="s">
        <v>71</v>
      </c>
      <c r="BB401">
        <v>0</v>
      </c>
      <c r="BD401">
        <v>3</v>
      </c>
    </row>
    <row r="402" spans="1:56" x14ac:dyDescent="0.15">
      <c r="A402" s="4" t="str">
        <f>HYPERLINK("https://ibp.a2mac1.com/costing(costing:projects/details/9760/part/8411467)","Exterior Temperature Sensor Support")</f>
        <v>Exterior Temperature Sensor Support</v>
      </c>
      <c r="B402">
        <v>8411467</v>
      </c>
      <c r="C402">
        <v>8411448</v>
      </c>
      <c r="E402">
        <v>9.5699999999999993E-2</v>
      </c>
      <c r="F402">
        <v>0</v>
      </c>
      <c r="G402">
        <v>0</v>
      </c>
      <c r="H402">
        <v>0</v>
      </c>
      <c r="I402" t="s">
        <v>71</v>
      </c>
      <c r="J402">
        <v>0</v>
      </c>
      <c r="K402">
        <v>9.5699999999999993E-2</v>
      </c>
      <c r="L402">
        <v>0</v>
      </c>
      <c r="M402">
        <v>0</v>
      </c>
      <c r="N402">
        <v>9.5699999999999993E-2</v>
      </c>
      <c r="O402" t="s">
        <v>71</v>
      </c>
      <c r="P402">
        <v>0</v>
      </c>
      <c r="Q402" t="s">
        <v>71</v>
      </c>
      <c r="R402">
        <v>0</v>
      </c>
      <c r="S402" t="s">
        <v>71</v>
      </c>
      <c r="T402">
        <v>0</v>
      </c>
      <c r="U402" t="s">
        <v>71</v>
      </c>
      <c r="V402">
        <v>0</v>
      </c>
      <c r="W402" t="s">
        <v>71</v>
      </c>
      <c r="X402">
        <v>0</v>
      </c>
      <c r="Y402">
        <v>9.5699999999999993E-2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23</v>
      </c>
      <c r="AF402">
        <v>86</v>
      </c>
      <c r="AG402">
        <v>19</v>
      </c>
      <c r="AI402">
        <v>6.0000000000000001E-3</v>
      </c>
      <c r="AK402" t="s">
        <v>288</v>
      </c>
      <c r="AL402" t="s">
        <v>1346</v>
      </c>
      <c r="AM402">
        <v>200000</v>
      </c>
      <c r="AN402" t="s">
        <v>97</v>
      </c>
      <c r="AO402">
        <v>1</v>
      </c>
      <c r="AP402">
        <v>0</v>
      </c>
      <c r="AQ402">
        <v>16666.666666666668</v>
      </c>
      <c r="AR402" t="s">
        <v>1347</v>
      </c>
      <c r="AS402" t="s">
        <v>75</v>
      </c>
      <c r="AX402" t="s">
        <v>76</v>
      </c>
      <c r="AY402" t="s">
        <v>71</v>
      </c>
      <c r="AZ402">
        <v>0</v>
      </c>
      <c r="BA402" t="s">
        <v>71</v>
      </c>
      <c r="BB402">
        <v>0</v>
      </c>
      <c r="BD402">
        <v>9.5699999999999993E-2</v>
      </c>
    </row>
    <row r="403" spans="1:56" x14ac:dyDescent="0.15">
      <c r="A403" s="4" t="str">
        <f>HYPERLINK("https://ibp.a2mac1.com/costing(costing:projects/details/9760/part/8411471)","Front 12V Plug")</f>
        <v>Front 12V Plug</v>
      </c>
      <c r="B403">
        <v>8411471</v>
      </c>
      <c r="C403">
        <v>8411449</v>
      </c>
      <c r="E403">
        <v>0.35</v>
      </c>
      <c r="F403">
        <v>0</v>
      </c>
      <c r="G403">
        <v>0</v>
      </c>
      <c r="H403">
        <v>0</v>
      </c>
      <c r="I403" t="s">
        <v>71</v>
      </c>
      <c r="J403">
        <v>0</v>
      </c>
      <c r="K403">
        <v>0.35</v>
      </c>
      <c r="L403">
        <v>0</v>
      </c>
      <c r="M403">
        <v>0</v>
      </c>
      <c r="N403">
        <v>0.35</v>
      </c>
      <c r="O403" t="s">
        <v>71</v>
      </c>
      <c r="P403">
        <v>0</v>
      </c>
      <c r="Q403" t="s">
        <v>71</v>
      </c>
      <c r="R403">
        <v>0</v>
      </c>
      <c r="S403" t="s">
        <v>71</v>
      </c>
      <c r="T403">
        <v>0</v>
      </c>
      <c r="U403" t="s">
        <v>71</v>
      </c>
      <c r="V403">
        <v>0</v>
      </c>
      <c r="W403" t="s">
        <v>71</v>
      </c>
      <c r="X403">
        <v>0</v>
      </c>
      <c r="Y403">
        <v>0.35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58</v>
      </c>
      <c r="AF403">
        <v>25</v>
      </c>
      <c r="AG403">
        <v>25</v>
      </c>
      <c r="AI403">
        <v>1.7999999999999999E-2</v>
      </c>
      <c r="AK403" t="s">
        <v>284</v>
      </c>
      <c r="AL403" t="s">
        <v>1356</v>
      </c>
      <c r="AM403">
        <v>200000</v>
      </c>
      <c r="AN403" t="s">
        <v>97</v>
      </c>
      <c r="AO403">
        <v>1</v>
      </c>
      <c r="AP403">
        <v>0</v>
      </c>
      <c r="AQ403">
        <v>16666.666666666668</v>
      </c>
      <c r="AR403" t="s">
        <v>1357</v>
      </c>
      <c r="AS403" t="s">
        <v>75</v>
      </c>
      <c r="AX403" t="s">
        <v>76</v>
      </c>
      <c r="AY403" t="s">
        <v>71</v>
      </c>
      <c r="AZ403">
        <v>0</v>
      </c>
      <c r="BA403" t="s">
        <v>71</v>
      </c>
      <c r="BB403">
        <v>0</v>
      </c>
      <c r="BD403">
        <v>0.35</v>
      </c>
    </row>
    <row r="404" spans="1:56" x14ac:dyDescent="0.15">
      <c r="A404" s="4" t="str">
        <f>HYPERLINK("https://ibp.a2mac1.com/costing(costing:projects/details/9760/part/8411472)","Front 12V Plug Lid")</f>
        <v>Front 12V Plug Lid</v>
      </c>
      <c r="B404">
        <v>8411472</v>
      </c>
      <c r="C404">
        <v>8411449</v>
      </c>
      <c r="E404">
        <v>0.10299999999999999</v>
      </c>
      <c r="F404">
        <v>0</v>
      </c>
      <c r="G404">
        <v>0</v>
      </c>
      <c r="H404">
        <v>0</v>
      </c>
      <c r="I404" t="s">
        <v>71</v>
      </c>
      <c r="J404">
        <v>0</v>
      </c>
      <c r="K404">
        <v>0.10299999999999999</v>
      </c>
      <c r="L404">
        <v>0</v>
      </c>
      <c r="M404">
        <v>0</v>
      </c>
      <c r="N404">
        <v>0.10299999999999999</v>
      </c>
      <c r="O404" t="s">
        <v>71</v>
      </c>
      <c r="P404">
        <v>0</v>
      </c>
      <c r="Q404" t="s">
        <v>71</v>
      </c>
      <c r="R404">
        <v>0</v>
      </c>
      <c r="S404" t="s">
        <v>71</v>
      </c>
      <c r="T404">
        <v>0</v>
      </c>
      <c r="U404" t="s">
        <v>71</v>
      </c>
      <c r="V404">
        <v>0</v>
      </c>
      <c r="W404" t="s">
        <v>71</v>
      </c>
      <c r="X404">
        <v>0</v>
      </c>
      <c r="Y404">
        <v>0.10299999999999999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22</v>
      </c>
      <c r="AF404">
        <v>32</v>
      </c>
      <c r="AG404">
        <v>39</v>
      </c>
      <c r="AI404">
        <v>7.0000000000000001E-3</v>
      </c>
      <c r="AK404" t="s">
        <v>284</v>
      </c>
      <c r="AL404" t="s">
        <v>403</v>
      </c>
      <c r="AM404">
        <v>200000</v>
      </c>
      <c r="AN404" t="s">
        <v>97</v>
      </c>
      <c r="AO404">
        <v>1</v>
      </c>
      <c r="AP404">
        <v>0</v>
      </c>
      <c r="AQ404">
        <v>16666.666666666668</v>
      </c>
      <c r="AR404" t="s">
        <v>1358</v>
      </c>
      <c r="AS404" t="s">
        <v>75</v>
      </c>
      <c r="AX404" t="s">
        <v>76</v>
      </c>
      <c r="AY404" t="s">
        <v>71</v>
      </c>
      <c r="AZ404">
        <v>0</v>
      </c>
      <c r="BA404" t="s">
        <v>71</v>
      </c>
      <c r="BB404">
        <v>0</v>
      </c>
      <c r="BD404">
        <v>0.10299999999999999</v>
      </c>
    </row>
    <row r="405" spans="1:56" x14ac:dyDescent="0.15">
      <c r="A405" s="4" t="str">
        <f>HYPERLINK("https://ibp.a2mac1.com/costing(costing:projects/details/9760/part/8411473)","Front 12V Plug Support")</f>
        <v>Front 12V Plug Support</v>
      </c>
      <c r="B405">
        <v>8411473</v>
      </c>
      <c r="C405">
        <v>8411449</v>
      </c>
      <c r="E405">
        <v>0.45300000000000001</v>
      </c>
      <c r="F405">
        <v>0</v>
      </c>
      <c r="G405">
        <v>0</v>
      </c>
      <c r="H405">
        <v>0</v>
      </c>
      <c r="I405" t="s">
        <v>71</v>
      </c>
      <c r="J405">
        <v>0</v>
      </c>
      <c r="K405">
        <v>0.45300000000000001</v>
      </c>
      <c r="L405">
        <v>0</v>
      </c>
      <c r="M405">
        <v>0</v>
      </c>
      <c r="N405">
        <v>0.45300000000000001</v>
      </c>
      <c r="O405" t="s">
        <v>71</v>
      </c>
      <c r="P405">
        <v>0</v>
      </c>
      <c r="Q405" t="s">
        <v>71</v>
      </c>
      <c r="R405">
        <v>0</v>
      </c>
      <c r="S405" t="s">
        <v>71</v>
      </c>
      <c r="T405">
        <v>0</v>
      </c>
      <c r="U405" t="s">
        <v>71</v>
      </c>
      <c r="V405">
        <v>0</v>
      </c>
      <c r="W405" t="s">
        <v>71</v>
      </c>
      <c r="X405">
        <v>0</v>
      </c>
      <c r="Y405">
        <v>0.45300000000000001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49</v>
      </c>
      <c r="AF405">
        <v>252</v>
      </c>
      <c r="AG405">
        <v>145</v>
      </c>
      <c r="AI405">
        <v>8.6999999999999994E-2</v>
      </c>
      <c r="AK405" t="s">
        <v>107</v>
      </c>
      <c r="AL405" t="s">
        <v>951</v>
      </c>
      <c r="AM405">
        <v>200000</v>
      </c>
      <c r="AN405" t="s">
        <v>97</v>
      </c>
      <c r="AO405">
        <v>1</v>
      </c>
      <c r="AP405">
        <v>0</v>
      </c>
      <c r="AQ405">
        <v>16666.666666666668</v>
      </c>
      <c r="AR405" t="s">
        <v>1359</v>
      </c>
      <c r="AS405" t="s">
        <v>75</v>
      </c>
      <c r="AX405" t="s">
        <v>76</v>
      </c>
      <c r="AY405" t="s">
        <v>71</v>
      </c>
      <c r="AZ405">
        <v>0</v>
      </c>
      <c r="BA405" t="s">
        <v>71</v>
      </c>
      <c r="BB405">
        <v>0</v>
      </c>
      <c r="BD405">
        <v>0.45300000000000001</v>
      </c>
    </row>
    <row r="406" spans="1:56" x14ac:dyDescent="0.15">
      <c r="A406" s="4" t="str">
        <f>HYPERLINK("https://ibp.a2mac1.com/costing(costing:projects/details/9760/part/8411474)","Rear 12V Plug")</f>
        <v>Rear 12V Plug</v>
      </c>
      <c r="B406">
        <v>8411474</v>
      </c>
      <c r="C406">
        <v>8411449</v>
      </c>
      <c r="E406">
        <v>0.35</v>
      </c>
      <c r="F406">
        <v>0</v>
      </c>
      <c r="G406">
        <v>0</v>
      </c>
      <c r="H406">
        <v>0</v>
      </c>
      <c r="I406" t="s">
        <v>71</v>
      </c>
      <c r="J406">
        <v>0</v>
      </c>
      <c r="K406">
        <v>0.35</v>
      </c>
      <c r="L406">
        <v>0</v>
      </c>
      <c r="M406">
        <v>0</v>
      </c>
      <c r="N406">
        <v>0.35</v>
      </c>
      <c r="O406" t="s">
        <v>71</v>
      </c>
      <c r="P406">
        <v>0</v>
      </c>
      <c r="Q406" t="s">
        <v>71</v>
      </c>
      <c r="R406">
        <v>0</v>
      </c>
      <c r="S406" t="s">
        <v>71</v>
      </c>
      <c r="T406">
        <v>0</v>
      </c>
      <c r="U406" t="s">
        <v>71</v>
      </c>
      <c r="V406">
        <v>0</v>
      </c>
      <c r="W406" t="s">
        <v>71</v>
      </c>
      <c r="X406">
        <v>0</v>
      </c>
      <c r="Y406">
        <v>0.35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58</v>
      </c>
      <c r="AF406">
        <v>25</v>
      </c>
      <c r="AG406">
        <v>25</v>
      </c>
      <c r="AI406">
        <v>1.6E-2</v>
      </c>
      <c r="AK406" t="s">
        <v>288</v>
      </c>
      <c r="AL406" t="s">
        <v>1360</v>
      </c>
      <c r="AM406">
        <v>200000</v>
      </c>
      <c r="AN406" t="s">
        <v>97</v>
      </c>
      <c r="AO406">
        <v>1</v>
      </c>
      <c r="AP406">
        <v>0</v>
      </c>
      <c r="AQ406">
        <v>16666.666666666668</v>
      </c>
      <c r="AR406" t="s">
        <v>1361</v>
      </c>
      <c r="AS406" t="s">
        <v>75</v>
      </c>
      <c r="AX406" t="s">
        <v>76</v>
      </c>
      <c r="AY406" t="s">
        <v>71</v>
      </c>
      <c r="AZ406">
        <v>0</v>
      </c>
      <c r="BA406" t="s">
        <v>71</v>
      </c>
      <c r="BB406">
        <v>0</v>
      </c>
      <c r="BD406">
        <v>0.35</v>
      </c>
    </row>
    <row r="407" spans="1:56" x14ac:dyDescent="0.15">
      <c r="A407" s="4" t="str">
        <f>HYPERLINK("https://ibp.a2mac1.com/costing(costing:projects/details/9760/part/8411475)","Rear 12V Plug Support")</f>
        <v>Rear 12V Plug Support</v>
      </c>
      <c r="B407">
        <v>8411475</v>
      </c>
      <c r="C407">
        <v>8411449</v>
      </c>
      <c r="E407">
        <v>8.1000000000000003E-2</v>
      </c>
      <c r="F407">
        <v>0</v>
      </c>
      <c r="G407">
        <v>0</v>
      </c>
      <c r="H407">
        <v>0</v>
      </c>
      <c r="I407" t="s">
        <v>71</v>
      </c>
      <c r="J407">
        <v>0</v>
      </c>
      <c r="K407">
        <v>8.1000000000000003E-2</v>
      </c>
      <c r="L407">
        <v>0</v>
      </c>
      <c r="M407">
        <v>0</v>
      </c>
      <c r="N407">
        <v>8.1000000000000003E-2</v>
      </c>
      <c r="O407" t="s">
        <v>71</v>
      </c>
      <c r="P407">
        <v>0</v>
      </c>
      <c r="Q407" t="s">
        <v>71</v>
      </c>
      <c r="R407">
        <v>0</v>
      </c>
      <c r="S407" t="s">
        <v>71</v>
      </c>
      <c r="T407">
        <v>0</v>
      </c>
      <c r="U407" t="s">
        <v>71</v>
      </c>
      <c r="V407">
        <v>0</v>
      </c>
      <c r="W407" t="s">
        <v>71</v>
      </c>
      <c r="X407">
        <v>0</v>
      </c>
      <c r="Y407">
        <v>8.1000000000000003E-2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12</v>
      </c>
      <c r="AF407">
        <v>56</v>
      </c>
      <c r="AG407">
        <v>56</v>
      </c>
      <c r="AI407">
        <v>7.0000000000000001E-3</v>
      </c>
      <c r="AK407" t="s">
        <v>288</v>
      </c>
      <c r="AL407" t="s">
        <v>399</v>
      </c>
      <c r="AM407">
        <v>200000</v>
      </c>
      <c r="AN407" t="s">
        <v>97</v>
      </c>
      <c r="AO407">
        <v>1</v>
      </c>
      <c r="AP407">
        <v>0</v>
      </c>
      <c r="AQ407">
        <v>16666.666666666668</v>
      </c>
      <c r="AR407" t="s">
        <v>1362</v>
      </c>
      <c r="AS407" t="s">
        <v>75</v>
      </c>
      <c r="AX407" t="s">
        <v>76</v>
      </c>
      <c r="AY407" t="s">
        <v>71</v>
      </c>
      <c r="AZ407">
        <v>0</v>
      </c>
      <c r="BA407" t="s">
        <v>71</v>
      </c>
      <c r="BB407">
        <v>0</v>
      </c>
      <c r="BD407">
        <v>8.1000000000000003E-2</v>
      </c>
    </row>
    <row r="408" spans="1:56" x14ac:dyDescent="0.15">
      <c r="A408" s="4" t="str">
        <f>HYPERLINK("https://ibp.a2mac1.com/costing(costing:projects/details/9760/part/8411476)","Rear 12V Plug Lid")</f>
        <v>Rear 12V Plug Lid</v>
      </c>
      <c r="B408">
        <v>8411476</v>
      </c>
      <c r="C408">
        <v>8411449</v>
      </c>
      <c r="E408">
        <v>0.14199999999999999</v>
      </c>
      <c r="F408">
        <v>0</v>
      </c>
      <c r="G408">
        <v>0</v>
      </c>
      <c r="H408">
        <v>0</v>
      </c>
      <c r="I408" t="s">
        <v>71</v>
      </c>
      <c r="J408">
        <v>0</v>
      </c>
      <c r="K408">
        <v>0.14199999999999999</v>
      </c>
      <c r="L408">
        <v>0</v>
      </c>
      <c r="M408">
        <v>0</v>
      </c>
      <c r="N408">
        <v>0.14199999999999999</v>
      </c>
      <c r="O408" t="s">
        <v>71</v>
      </c>
      <c r="P408">
        <v>0</v>
      </c>
      <c r="Q408" t="s">
        <v>71</v>
      </c>
      <c r="R408">
        <v>0</v>
      </c>
      <c r="S408" t="s">
        <v>71</v>
      </c>
      <c r="T408">
        <v>0</v>
      </c>
      <c r="U408" t="s">
        <v>71</v>
      </c>
      <c r="V408">
        <v>0</v>
      </c>
      <c r="W408" t="s">
        <v>71</v>
      </c>
      <c r="X408">
        <v>0</v>
      </c>
      <c r="Y408">
        <v>0.14199999999999999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21</v>
      </c>
      <c r="AF408">
        <v>32</v>
      </c>
      <c r="AG408">
        <v>40</v>
      </c>
      <c r="AI408">
        <v>7.0000000000000001E-3</v>
      </c>
      <c r="AK408" t="s">
        <v>288</v>
      </c>
      <c r="AL408" t="s">
        <v>112</v>
      </c>
      <c r="AM408">
        <v>200000</v>
      </c>
      <c r="AN408" t="s">
        <v>97</v>
      </c>
      <c r="AO408">
        <v>1</v>
      </c>
      <c r="AP408">
        <v>0</v>
      </c>
      <c r="AQ408">
        <v>16666.666666666668</v>
      </c>
      <c r="AR408" t="s">
        <v>1363</v>
      </c>
      <c r="AS408" t="s">
        <v>75</v>
      </c>
      <c r="AX408" t="s">
        <v>76</v>
      </c>
      <c r="AY408" t="s">
        <v>71</v>
      </c>
      <c r="AZ408">
        <v>0</v>
      </c>
      <c r="BA408" t="s">
        <v>71</v>
      </c>
      <c r="BB408">
        <v>0</v>
      </c>
      <c r="BD408">
        <v>0.14199999999999999</v>
      </c>
    </row>
    <row r="409" spans="1:56" x14ac:dyDescent="0.15">
      <c r="A409" s="4" t="str">
        <f>HYPERLINK("https://ibp.a2mac1.com/costing(costing:projects/details/9760/part/8411479)","USB Plug 3")</f>
        <v>USB Plug 3</v>
      </c>
      <c r="B409">
        <v>8411479</v>
      </c>
      <c r="C409">
        <v>8411449</v>
      </c>
      <c r="E409">
        <v>0.5</v>
      </c>
      <c r="F409">
        <v>0</v>
      </c>
      <c r="G409">
        <v>0</v>
      </c>
      <c r="H409">
        <v>0</v>
      </c>
      <c r="I409" t="s">
        <v>71</v>
      </c>
      <c r="J409">
        <v>0</v>
      </c>
      <c r="K409">
        <v>0.5</v>
      </c>
      <c r="L409">
        <v>0</v>
      </c>
      <c r="M409">
        <v>0</v>
      </c>
      <c r="N409">
        <v>0.5</v>
      </c>
      <c r="O409" t="s">
        <v>71</v>
      </c>
      <c r="P409">
        <v>0</v>
      </c>
      <c r="Q409" t="s">
        <v>71</v>
      </c>
      <c r="R409">
        <v>0</v>
      </c>
      <c r="S409" t="s">
        <v>71</v>
      </c>
      <c r="T409">
        <v>0</v>
      </c>
      <c r="U409" t="s">
        <v>71</v>
      </c>
      <c r="V409">
        <v>0</v>
      </c>
      <c r="W409" t="s">
        <v>71</v>
      </c>
      <c r="X409">
        <v>0</v>
      </c>
      <c r="Y409">
        <v>0.5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12</v>
      </c>
      <c r="AF409">
        <v>18</v>
      </c>
      <c r="AG409">
        <v>19</v>
      </c>
      <c r="AI409">
        <v>1.0999999999999999E-2</v>
      </c>
      <c r="AK409" t="s">
        <v>288</v>
      </c>
      <c r="AL409" t="s">
        <v>955</v>
      </c>
      <c r="AM409">
        <v>200000</v>
      </c>
      <c r="AN409" t="s">
        <v>97</v>
      </c>
      <c r="AO409">
        <v>1</v>
      </c>
      <c r="AP409">
        <v>0</v>
      </c>
      <c r="AQ409">
        <v>16666.666666666668</v>
      </c>
      <c r="AR409" t="s">
        <v>1364</v>
      </c>
      <c r="AS409" t="s">
        <v>75</v>
      </c>
      <c r="AX409" t="s">
        <v>76</v>
      </c>
      <c r="AY409" t="s">
        <v>71</v>
      </c>
      <c r="AZ409">
        <v>0</v>
      </c>
      <c r="BA409" t="s">
        <v>71</v>
      </c>
      <c r="BB409">
        <v>0</v>
      </c>
      <c r="BD409">
        <v>0.5</v>
      </c>
    </row>
    <row r="410" spans="1:56" x14ac:dyDescent="0.15">
      <c r="A410" s="4" t="str">
        <f>HYPERLINK("https://ibp.a2mac1.com/costing(costing:projects/details/9760/part/8411480)","USB Plug 4")</f>
        <v>USB Plug 4</v>
      </c>
      <c r="B410">
        <v>8411480</v>
      </c>
      <c r="C410">
        <v>8411449</v>
      </c>
      <c r="E410">
        <v>0.5</v>
      </c>
      <c r="F410">
        <v>0</v>
      </c>
      <c r="G410">
        <v>0</v>
      </c>
      <c r="H410">
        <v>0</v>
      </c>
      <c r="I410" t="s">
        <v>71</v>
      </c>
      <c r="J410">
        <v>0</v>
      </c>
      <c r="K410">
        <v>0.5</v>
      </c>
      <c r="L410">
        <v>0</v>
      </c>
      <c r="M410">
        <v>0</v>
      </c>
      <c r="N410">
        <v>0.5</v>
      </c>
      <c r="O410" t="s">
        <v>71</v>
      </c>
      <c r="P410">
        <v>0</v>
      </c>
      <c r="Q410" t="s">
        <v>71</v>
      </c>
      <c r="R410">
        <v>0</v>
      </c>
      <c r="S410" t="s">
        <v>71</v>
      </c>
      <c r="T410">
        <v>0</v>
      </c>
      <c r="U410" t="s">
        <v>71</v>
      </c>
      <c r="V410">
        <v>0</v>
      </c>
      <c r="W410" t="s">
        <v>71</v>
      </c>
      <c r="X410">
        <v>0</v>
      </c>
      <c r="Y410">
        <v>0.5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10</v>
      </c>
      <c r="AF410">
        <v>22</v>
      </c>
      <c r="AG410">
        <v>31</v>
      </c>
      <c r="AI410">
        <v>1E-3</v>
      </c>
      <c r="AK410" t="s">
        <v>365</v>
      </c>
      <c r="AL410" t="s">
        <v>955</v>
      </c>
      <c r="AM410">
        <v>200000</v>
      </c>
      <c r="AN410" t="s">
        <v>97</v>
      </c>
      <c r="AO410">
        <v>1</v>
      </c>
      <c r="AP410">
        <v>0</v>
      </c>
      <c r="AQ410">
        <v>16666.666666666668</v>
      </c>
      <c r="AR410" t="s">
        <v>1365</v>
      </c>
      <c r="AS410" t="s">
        <v>75</v>
      </c>
      <c r="AX410" t="s">
        <v>76</v>
      </c>
      <c r="AY410" t="s">
        <v>71</v>
      </c>
      <c r="AZ410">
        <v>0</v>
      </c>
      <c r="BA410" t="s">
        <v>71</v>
      </c>
      <c r="BB410">
        <v>0</v>
      </c>
      <c r="BD410">
        <v>0.5</v>
      </c>
    </row>
    <row r="411" spans="1:56" x14ac:dyDescent="0.15">
      <c r="A411" s="4" t="str">
        <f>HYPERLINK("https://ibp.a2mac1.com/costing(costing:projects/details/9760/part/8411481)","USB Plug ECU")</f>
        <v>USB Plug ECU</v>
      </c>
      <c r="B411">
        <v>8411481</v>
      </c>
      <c r="C411">
        <v>8411449</v>
      </c>
      <c r="E411">
        <v>2.6</v>
      </c>
      <c r="F411">
        <v>0</v>
      </c>
      <c r="G411">
        <v>0</v>
      </c>
      <c r="H411">
        <v>0</v>
      </c>
      <c r="I411" t="s">
        <v>71</v>
      </c>
      <c r="J411">
        <v>0</v>
      </c>
      <c r="K411">
        <v>2.6</v>
      </c>
      <c r="L411">
        <v>0</v>
      </c>
      <c r="M411">
        <v>0</v>
      </c>
      <c r="N411">
        <v>2.6</v>
      </c>
      <c r="O411" t="s">
        <v>71</v>
      </c>
      <c r="P411">
        <v>0</v>
      </c>
      <c r="Q411" t="s">
        <v>71</v>
      </c>
      <c r="R411">
        <v>0</v>
      </c>
      <c r="S411" t="s">
        <v>71</v>
      </c>
      <c r="T411">
        <v>0</v>
      </c>
      <c r="U411" t="s">
        <v>71</v>
      </c>
      <c r="V411">
        <v>0</v>
      </c>
      <c r="W411" t="s">
        <v>71</v>
      </c>
      <c r="X411">
        <v>0</v>
      </c>
      <c r="Y411">
        <v>2.6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16</v>
      </c>
      <c r="AF411">
        <v>63</v>
      </c>
      <c r="AG411">
        <v>33</v>
      </c>
      <c r="AI411">
        <v>1.9E-2</v>
      </c>
      <c r="AK411" t="s">
        <v>365</v>
      </c>
      <c r="AL411" t="s">
        <v>466</v>
      </c>
      <c r="AM411">
        <v>200000</v>
      </c>
      <c r="AN411" t="s">
        <v>97</v>
      </c>
      <c r="AO411">
        <v>1</v>
      </c>
      <c r="AP411">
        <v>0</v>
      </c>
      <c r="AQ411">
        <v>16666.666666666668</v>
      </c>
      <c r="AR411" t="s">
        <v>1366</v>
      </c>
      <c r="AS411" t="s">
        <v>75</v>
      </c>
      <c r="AX411" t="s">
        <v>76</v>
      </c>
      <c r="AY411" t="s">
        <v>71</v>
      </c>
      <c r="AZ411">
        <v>0</v>
      </c>
      <c r="BA411" t="s">
        <v>71</v>
      </c>
      <c r="BB411">
        <v>0</v>
      </c>
      <c r="BD411">
        <v>2.6</v>
      </c>
    </row>
    <row r="412" spans="1:56" x14ac:dyDescent="0.15">
      <c r="A412" s="4" t="str">
        <f>HYPERLINK("https://ibp.a2mac1.com/costing(costing:projects/details/9760/part/8411482)","Towing Hook")</f>
        <v>Towing Hook</v>
      </c>
      <c r="B412">
        <v>8411482</v>
      </c>
      <c r="C412">
        <v>8411450</v>
      </c>
      <c r="D412" t="s">
        <v>1370</v>
      </c>
      <c r="E412">
        <v>1.7</v>
      </c>
      <c r="F412">
        <v>0</v>
      </c>
      <c r="G412">
        <v>0</v>
      </c>
      <c r="H412">
        <v>0</v>
      </c>
      <c r="I412" t="s">
        <v>71</v>
      </c>
      <c r="J412">
        <v>0</v>
      </c>
      <c r="K412">
        <v>1.7</v>
      </c>
      <c r="L412">
        <v>0</v>
      </c>
      <c r="M412">
        <v>0</v>
      </c>
      <c r="N412">
        <v>1.7</v>
      </c>
      <c r="O412" t="s">
        <v>71</v>
      </c>
      <c r="P412">
        <v>0</v>
      </c>
      <c r="Q412" t="s">
        <v>71</v>
      </c>
      <c r="R412">
        <v>0</v>
      </c>
      <c r="S412" t="s">
        <v>71</v>
      </c>
      <c r="T412">
        <v>0</v>
      </c>
      <c r="U412" t="s">
        <v>71</v>
      </c>
      <c r="V412">
        <v>0</v>
      </c>
      <c r="W412" t="s">
        <v>71</v>
      </c>
      <c r="X412">
        <v>0</v>
      </c>
      <c r="Y412">
        <v>1.7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24</v>
      </c>
      <c r="AF412">
        <v>245</v>
      </c>
      <c r="AG412">
        <v>50</v>
      </c>
      <c r="AI412">
        <v>0.67500000000000004</v>
      </c>
      <c r="AK412" t="s">
        <v>100</v>
      </c>
      <c r="AL412" t="s">
        <v>96</v>
      </c>
      <c r="AM412">
        <v>200000</v>
      </c>
      <c r="AN412" t="s">
        <v>97</v>
      </c>
      <c r="AO412">
        <v>1</v>
      </c>
      <c r="AP412">
        <v>0</v>
      </c>
      <c r="AQ412">
        <v>16666.666666666668</v>
      </c>
      <c r="AR412" t="s">
        <v>1371</v>
      </c>
      <c r="AS412" t="s">
        <v>75</v>
      </c>
      <c r="AX412" t="s">
        <v>76</v>
      </c>
      <c r="AY412" t="s">
        <v>71</v>
      </c>
      <c r="AZ412">
        <v>0</v>
      </c>
      <c r="BA412" t="s">
        <v>71</v>
      </c>
      <c r="BB412">
        <v>0</v>
      </c>
      <c r="BD412">
        <v>1.7</v>
      </c>
    </row>
    <row r="413" spans="1:56" x14ac:dyDescent="0.15">
      <c r="A413" s="4" t="str">
        <f>HYPERLINK("https://ibp.a2mac1.com/costing(costing:projects/details/9760/part/8411483)","Storage Compartment")</f>
        <v>Storage Compartment</v>
      </c>
      <c r="B413">
        <v>8411483</v>
      </c>
      <c r="C413">
        <v>8411450</v>
      </c>
      <c r="D413" t="s">
        <v>1372</v>
      </c>
      <c r="E413">
        <v>7.67</v>
      </c>
      <c r="F413">
        <v>0</v>
      </c>
      <c r="G413">
        <v>0</v>
      </c>
      <c r="H413">
        <v>0</v>
      </c>
      <c r="I413" t="s">
        <v>71</v>
      </c>
      <c r="J413">
        <v>0</v>
      </c>
      <c r="K413">
        <v>7.67</v>
      </c>
      <c r="L413">
        <v>0</v>
      </c>
      <c r="M413">
        <v>0</v>
      </c>
      <c r="N413">
        <v>7.67</v>
      </c>
      <c r="O413" t="s">
        <v>71</v>
      </c>
      <c r="P413">
        <v>0</v>
      </c>
      <c r="Q413" t="s">
        <v>71</v>
      </c>
      <c r="R413">
        <v>0</v>
      </c>
      <c r="S413" t="s">
        <v>71</v>
      </c>
      <c r="T413">
        <v>0</v>
      </c>
      <c r="U413" t="s">
        <v>71</v>
      </c>
      <c r="V413">
        <v>0</v>
      </c>
      <c r="W413" t="s">
        <v>71</v>
      </c>
      <c r="X413">
        <v>0</v>
      </c>
      <c r="Y413">
        <v>7.67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425</v>
      </c>
      <c r="AF413">
        <v>942</v>
      </c>
      <c r="AG413">
        <v>255</v>
      </c>
      <c r="AI413">
        <v>2.5249999999999999</v>
      </c>
      <c r="AK413" t="s">
        <v>100</v>
      </c>
      <c r="AL413" t="s">
        <v>399</v>
      </c>
      <c r="AM413">
        <v>200000</v>
      </c>
      <c r="AN413" t="s">
        <v>97</v>
      </c>
      <c r="AO413">
        <v>1</v>
      </c>
      <c r="AP413">
        <v>0</v>
      </c>
      <c r="AQ413">
        <v>16666.666666666668</v>
      </c>
      <c r="AR413" t="s">
        <v>1373</v>
      </c>
      <c r="AS413" t="s">
        <v>75</v>
      </c>
      <c r="AX413" t="s">
        <v>76</v>
      </c>
      <c r="AY413" t="s">
        <v>71</v>
      </c>
      <c r="AZ413">
        <v>0</v>
      </c>
      <c r="BA413" t="s">
        <v>71</v>
      </c>
      <c r="BB413">
        <v>0</v>
      </c>
      <c r="BD413">
        <v>7.67</v>
      </c>
    </row>
    <row r="414" spans="1:56" x14ac:dyDescent="0.15">
      <c r="A414" s="4" t="str">
        <f>HYPERLINK("https://ibp.a2mac1.com/costing(costing:projects/details/9760/part/8411484)","Storage Bag")</f>
        <v>Storage Bag</v>
      </c>
      <c r="B414">
        <v>8411484</v>
      </c>
      <c r="C414">
        <v>8411450</v>
      </c>
      <c r="D414" t="s">
        <v>1374</v>
      </c>
      <c r="E414">
        <v>1.9443999999999999</v>
      </c>
      <c r="F414">
        <v>0</v>
      </c>
      <c r="G414">
        <v>0</v>
      </c>
      <c r="H414">
        <v>0</v>
      </c>
      <c r="I414" t="s">
        <v>71</v>
      </c>
      <c r="J414">
        <v>0</v>
      </c>
      <c r="K414">
        <v>1.9443999999999999</v>
      </c>
      <c r="L414">
        <v>0</v>
      </c>
      <c r="M414">
        <v>0</v>
      </c>
      <c r="N414">
        <v>1.9443999999999999</v>
      </c>
      <c r="O414" t="s">
        <v>71</v>
      </c>
      <c r="P414">
        <v>0</v>
      </c>
      <c r="Q414" t="s">
        <v>71</v>
      </c>
      <c r="R414">
        <v>0</v>
      </c>
      <c r="S414" t="s">
        <v>71</v>
      </c>
      <c r="T414">
        <v>0</v>
      </c>
      <c r="U414" t="s">
        <v>71</v>
      </c>
      <c r="V414">
        <v>0</v>
      </c>
      <c r="W414" t="s">
        <v>71</v>
      </c>
      <c r="X414">
        <v>0</v>
      </c>
      <c r="Y414">
        <v>1.9443999999999999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65</v>
      </c>
      <c r="AF414">
        <v>275</v>
      </c>
      <c r="AG414">
        <v>80</v>
      </c>
      <c r="AI414">
        <v>4.1000000000000002E-2</v>
      </c>
      <c r="AK414" t="s">
        <v>100</v>
      </c>
      <c r="AL414" t="s">
        <v>1375</v>
      </c>
      <c r="AM414">
        <v>200000</v>
      </c>
      <c r="AN414" t="s">
        <v>97</v>
      </c>
      <c r="AO414">
        <v>1</v>
      </c>
      <c r="AP414">
        <v>0</v>
      </c>
      <c r="AQ414">
        <v>16666.666666666668</v>
      </c>
      <c r="AR414" t="s">
        <v>1376</v>
      </c>
      <c r="AS414" t="s">
        <v>75</v>
      </c>
      <c r="AX414" t="s">
        <v>76</v>
      </c>
      <c r="AY414" t="s">
        <v>71</v>
      </c>
      <c r="AZ414">
        <v>0</v>
      </c>
      <c r="BA414" t="s">
        <v>71</v>
      </c>
      <c r="BB414">
        <v>0</v>
      </c>
      <c r="BD414">
        <v>1.9443999999999999</v>
      </c>
    </row>
    <row r="415" spans="1:56" x14ac:dyDescent="0.15">
      <c r="A415" s="4" t="str">
        <f>HYPERLINK("https://ibp.a2mac1.com/costing(costing:projects/details/9760/part/8411485)","Flashlight Support")</f>
        <v>Flashlight Support</v>
      </c>
      <c r="B415">
        <v>8411485</v>
      </c>
      <c r="C415">
        <v>8411450</v>
      </c>
      <c r="D415" t="s">
        <v>1377</v>
      </c>
      <c r="E415">
        <v>0.12</v>
      </c>
      <c r="F415">
        <v>0</v>
      </c>
      <c r="G415">
        <v>0</v>
      </c>
      <c r="H415">
        <v>0</v>
      </c>
      <c r="I415" t="s">
        <v>71</v>
      </c>
      <c r="J415">
        <v>0</v>
      </c>
      <c r="K415">
        <v>0.12</v>
      </c>
      <c r="L415">
        <v>0</v>
      </c>
      <c r="M415">
        <v>0</v>
      </c>
      <c r="N415">
        <v>0.12</v>
      </c>
      <c r="O415" t="s">
        <v>71</v>
      </c>
      <c r="P415">
        <v>0</v>
      </c>
      <c r="Q415" t="s">
        <v>71</v>
      </c>
      <c r="R415">
        <v>0</v>
      </c>
      <c r="S415" t="s">
        <v>71</v>
      </c>
      <c r="T415">
        <v>0</v>
      </c>
      <c r="U415" t="s">
        <v>71</v>
      </c>
      <c r="V415">
        <v>0</v>
      </c>
      <c r="W415" t="s">
        <v>71</v>
      </c>
      <c r="X415">
        <v>0</v>
      </c>
      <c r="Y415">
        <v>0.12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38</v>
      </c>
      <c r="AF415">
        <v>69</v>
      </c>
      <c r="AG415">
        <v>51</v>
      </c>
      <c r="AI415">
        <v>2.5000000000000001E-2</v>
      </c>
      <c r="AK415" t="s">
        <v>100</v>
      </c>
      <c r="AL415" t="s">
        <v>412</v>
      </c>
      <c r="AM415">
        <v>200000</v>
      </c>
      <c r="AN415" t="s">
        <v>97</v>
      </c>
      <c r="AO415">
        <v>1</v>
      </c>
      <c r="AP415">
        <v>0</v>
      </c>
      <c r="AQ415">
        <v>16666.666666666668</v>
      </c>
      <c r="AR415" t="s">
        <v>1378</v>
      </c>
      <c r="AS415" t="s">
        <v>75</v>
      </c>
      <c r="AX415" t="s">
        <v>76</v>
      </c>
      <c r="AY415" t="s">
        <v>71</v>
      </c>
      <c r="AZ415">
        <v>0</v>
      </c>
      <c r="BA415" t="s">
        <v>71</v>
      </c>
      <c r="BB415">
        <v>0</v>
      </c>
      <c r="BD415">
        <v>0.12</v>
      </c>
    </row>
    <row r="416" spans="1:56" x14ac:dyDescent="0.15">
      <c r="A416" s="4" t="str">
        <f>HYPERLINK("https://ibp.a2mac1.com/costing(costing:projects/details/9760/part/8411486)","Flashlight Support 2")</f>
        <v>Flashlight Support 2</v>
      </c>
      <c r="B416">
        <v>8411486</v>
      </c>
      <c r="C416">
        <v>8411450</v>
      </c>
      <c r="D416" t="s">
        <v>1379</v>
      </c>
      <c r="E416">
        <v>0.14000000000000001</v>
      </c>
      <c r="F416">
        <v>0</v>
      </c>
      <c r="G416">
        <v>0</v>
      </c>
      <c r="H416">
        <v>0</v>
      </c>
      <c r="I416" t="s">
        <v>71</v>
      </c>
      <c r="J416">
        <v>0</v>
      </c>
      <c r="K416">
        <v>0.14000000000000001</v>
      </c>
      <c r="L416">
        <v>0</v>
      </c>
      <c r="M416">
        <v>0</v>
      </c>
      <c r="N416">
        <v>0.14000000000000001</v>
      </c>
      <c r="O416" t="s">
        <v>71</v>
      </c>
      <c r="P416">
        <v>0</v>
      </c>
      <c r="Q416" t="s">
        <v>71</v>
      </c>
      <c r="R416">
        <v>0</v>
      </c>
      <c r="S416" t="s">
        <v>71</v>
      </c>
      <c r="T416">
        <v>0</v>
      </c>
      <c r="U416" t="s">
        <v>71</v>
      </c>
      <c r="V416">
        <v>0</v>
      </c>
      <c r="W416" t="s">
        <v>71</v>
      </c>
      <c r="X416">
        <v>0</v>
      </c>
      <c r="Y416">
        <v>0.14000000000000001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43</v>
      </c>
      <c r="AF416">
        <v>78</v>
      </c>
      <c r="AG416">
        <v>31</v>
      </c>
      <c r="AI416">
        <v>1.4E-2</v>
      </c>
      <c r="AK416" t="s">
        <v>100</v>
      </c>
      <c r="AL416" t="s">
        <v>1380</v>
      </c>
      <c r="AM416">
        <v>200000</v>
      </c>
      <c r="AN416" t="s">
        <v>97</v>
      </c>
      <c r="AO416">
        <v>1</v>
      </c>
      <c r="AP416">
        <v>0</v>
      </c>
      <c r="AQ416">
        <v>16666.666666666668</v>
      </c>
      <c r="AR416" t="s">
        <v>1381</v>
      </c>
      <c r="AS416" t="s">
        <v>75</v>
      </c>
      <c r="AX416" t="s">
        <v>76</v>
      </c>
      <c r="AY416" t="s">
        <v>71</v>
      </c>
      <c r="AZ416">
        <v>0</v>
      </c>
      <c r="BA416" t="s">
        <v>71</v>
      </c>
      <c r="BB416">
        <v>0</v>
      </c>
      <c r="BD416">
        <v>0.14000000000000001</v>
      </c>
    </row>
    <row r="417" spans="1:56" x14ac:dyDescent="0.15">
      <c r="A417" s="4" t="str">
        <f>HYPERLINK("https://ibp.a2mac1.com/costing(costing:projects/details/9760/part/8411487)","Flashlight Support 3")</f>
        <v>Flashlight Support 3</v>
      </c>
      <c r="B417">
        <v>8411487</v>
      </c>
      <c r="C417">
        <v>8411450</v>
      </c>
      <c r="D417" t="s">
        <v>1379</v>
      </c>
      <c r="E417">
        <v>0.09</v>
      </c>
      <c r="F417">
        <v>0</v>
      </c>
      <c r="G417">
        <v>0</v>
      </c>
      <c r="H417">
        <v>0</v>
      </c>
      <c r="I417" t="s">
        <v>71</v>
      </c>
      <c r="J417">
        <v>0</v>
      </c>
      <c r="K417">
        <v>0.09</v>
      </c>
      <c r="L417">
        <v>0</v>
      </c>
      <c r="M417">
        <v>0</v>
      </c>
      <c r="N417">
        <v>0.09</v>
      </c>
      <c r="O417" t="s">
        <v>71</v>
      </c>
      <c r="P417">
        <v>0</v>
      </c>
      <c r="Q417" t="s">
        <v>71</v>
      </c>
      <c r="R417">
        <v>0</v>
      </c>
      <c r="S417" t="s">
        <v>71</v>
      </c>
      <c r="T417">
        <v>0</v>
      </c>
      <c r="U417" t="s">
        <v>71</v>
      </c>
      <c r="V417">
        <v>0</v>
      </c>
      <c r="W417" t="s">
        <v>71</v>
      </c>
      <c r="X417">
        <v>0</v>
      </c>
      <c r="Y417">
        <v>0.09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17</v>
      </c>
      <c r="AF417">
        <v>43</v>
      </c>
      <c r="AG417">
        <v>42</v>
      </c>
      <c r="AI417">
        <v>8.9999999999999993E-3</v>
      </c>
      <c r="AK417" t="s">
        <v>100</v>
      </c>
      <c r="AL417" t="s">
        <v>1380</v>
      </c>
      <c r="AM417">
        <v>200000</v>
      </c>
      <c r="AN417" t="s">
        <v>97</v>
      </c>
      <c r="AO417">
        <v>1</v>
      </c>
      <c r="AP417">
        <v>0</v>
      </c>
      <c r="AQ417">
        <v>16666.666666666668</v>
      </c>
      <c r="AR417" t="s">
        <v>1382</v>
      </c>
      <c r="AS417" t="s">
        <v>75</v>
      </c>
      <c r="AX417" t="s">
        <v>76</v>
      </c>
      <c r="AY417" t="s">
        <v>71</v>
      </c>
      <c r="AZ417">
        <v>0</v>
      </c>
      <c r="BA417" t="s">
        <v>71</v>
      </c>
      <c r="BB417">
        <v>0</v>
      </c>
      <c r="BD417">
        <v>0.09</v>
      </c>
    </row>
    <row r="418" spans="1:56" x14ac:dyDescent="0.15">
      <c r="A418" s="4" t="str">
        <f>HYPERLINK("https://ibp.a2mac1.com/costing(costing:projects/details/9760/part/8411488)","Fasteners")</f>
        <v>Fasteners</v>
      </c>
      <c r="B418">
        <v>8411488</v>
      </c>
      <c r="C418">
        <v>8411450</v>
      </c>
      <c r="E418">
        <v>1.08</v>
      </c>
      <c r="F418">
        <v>0</v>
      </c>
      <c r="G418">
        <v>0</v>
      </c>
      <c r="H418">
        <v>0</v>
      </c>
      <c r="I418" t="s">
        <v>71</v>
      </c>
      <c r="J418">
        <v>0</v>
      </c>
      <c r="K418">
        <v>1.08</v>
      </c>
      <c r="L418">
        <v>0</v>
      </c>
      <c r="M418">
        <v>0</v>
      </c>
      <c r="N418">
        <v>1.08</v>
      </c>
      <c r="O418" t="s">
        <v>71</v>
      </c>
      <c r="P418">
        <v>0</v>
      </c>
      <c r="Q418" t="s">
        <v>71</v>
      </c>
      <c r="R418">
        <v>0</v>
      </c>
      <c r="S418" t="s">
        <v>71</v>
      </c>
      <c r="T418">
        <v>0</v>
      </c>
      <c r="U418" t="s">
        <v>71</v>
      </c>
      <c r="V418">
        <v>0</v>
      </c>
      <c r="W418" t="s">
        <v>71</v>
      </c>
      <c r="X418">
        <v>0</v>
      </c>
      <c r="Y418">
        <v>1.08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K418" t="s">
        <v>272</v>
      </c>
      <c r="AM418">
        <v>200000</v>
      </c>
      <c r="AN418" t="s">
        <v>97</v>
      </c>
      <c r="AO418">
        <v>1</v>
      </c>
      <c r="AP418">
        <v>0</v>
      </c>
      <c r="AQ418">
        <v>16666.666666666668</v>
      </c>
      <c r="AR418" t="s">
        <v>9</v>
      </c>
      <c r="AS418" t="s">
        <v>75</v>
      </c>
      <c r="AV418">
        <v>0</v>
      </c>
      <c r="AW418">
        <v>0</v>
      </c>
      <c r="AX418" t="s">
        <v>76</v>
      </c>
      <c r="AY418" t="s">
        <v>71</v>
      </c>
      <c r="AZ418">
        <v>0</v>
      </c>
      <c r="BA418" t="s">
        <v>71</v>
      </c>
      <c r="BB418">
        <v>0</v>
      </c>
      <c r="BD418">
        <v>1.08</v>
      </c>
    </row>
    <row r="419" spans="1:56" x14ac:dyDescent="0.15">
      <c r="A419" s="4" t="str">
        <f>HYPERLINK("https://ibp.a2mac1.com/costing(costing:projects/details/9760/part/8411563)","Support")</f>
        <v>Support</v>
      </c>
      <c r="B419">
        <v>8411563</v>
      </c>
      <c r="C419">
        <v>8411490</v>
      </c>
      <c r="E419">
        <v>0.63</v>
      </c>
      <c r="F419">
        <v>0</v>
      </c>
      <c r="G419">
        <v>0</v>
      </c>
      <c r="H419">
        <v>0</v>
      </c>
      <c r="I419" t="s">
        <v>71</v>
      </c>
      <c r="J419">
        <v>0</v>
      </c>
      <c r="K419">
        <v>0.63</v>
      </c>
      <c r="L419">
        <v>0</v>
      </c>
      <c r="M419">
        <v>0</v>
      </c>
      <c r="N419">
        <v>0.63</v>
      </c>
      <c r="O419" t="s">
        <v>71</v>
      </c>
      <c r="P419">
        <v>0</v>
      </c>
      <c r="Q419" t="s">
        <v>71</v>
      </c>
      <c r="R419">
        <v>0</v>
      </c>
      <c r="S419" t="s">
        <v>71</v>
      </c>
      <c r="T419">
        <v>0</v>
      </c>
      <c r="U419" t="s">
        <v>71</v>
      </c>
      <c r="V419">
        <v>0</v>
      </c>
      <c r="W419" t="s">
        <v>71</v>
      </c>
      <c r="X419">
        <v>0</v>
      </c>
      <c r="Y419">
        <v>0.63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36</v>
      </c>
      <c r="AF419">
        <v>46</v>
      </c>
      <c r="AG419">
        <v>55</v>
      </c>
      <c r="AI419">
        <v>4.9000000000000002E-2</v>
      </c>
      <c r="AK419" t="s">
        <v>288</v>
      </c>
      <c r="AL419" t="s">
        <v>96</v>
      </c>
      <c r="AM419">
        <v>200000</v>
      </c>
      <c r="AN419" t="s">
        <v>97</v>
      </c>
      <c r="AO419">
        <v>1</v>
      </c>
      <c r="AP419">
        <v>0</v>
      </c>
      <c r="AQ419">
        <v>16666.666666666668</v>
      </c>
      <c r="AR419" t="s">
        <v>1393</v>
      </c>
      <c r="AS419" t="s">
        <v>75</v>
      </c>
      <c r="AX419" t="s">
        <v>76</v>
      </c>
      <c r="AY419" t="s">
        <v>71</v>
      </c>
      <c r="AZ419">
        <v>0</v>
      </c>
      <c r="BA419" t="s">
        <v>71</v>
      </c>
      <c r="BB419">
        <v>0</v>
      </c>
      <c r="BD419">
        <v>0.63</v>
      </c>
    </row>
    <row r="420" spans="1:56" x14ac:dyDescent="0.15">
      <c r="A420" s="4" t="str">
        <f>HYPERLINK("https://ibp.a2mac1.com/costing(costing:projects/details/9760/part/8411564)","Support 2")</f>
        <v>Support 2</v>
      </c>
      <c r="B420">
        <v>8411564</v>
      </c>
      <c r="C420">
        <v>8411490</v>
      </c>
      <c r="E420">
        <v>0.78</v>
      </c>
      <c r="F420">
        <v>0</v>
      </c>
      <c r="G420">
        <v>0</v>
      </c>
      <c r="H420">
        <v>0</v>
      </c>
      <c r="I420" t="s">
        <v>71</v>
      </c>
      <c r="J420">
        <v>0</v>
      </c>
      <c r="K420">
        <v>0.78</v>
      </c>
      <c r="L420">
        <v>0</v>
      </c>
      <c r="M420">
        <v>0</v>
      </c>
      <c r="N420">
        <v>0.78</v>
      </c>
      <c r="O420" t="s">
        <v>71</v>
      </c>
      <c r="P420">
        <v>0</v>
      </c>
      <c r="Q420" t="s">
        <v>71</v>
      </c>
      <c r="R420">
        <v>0</v>
      </c>
      <c r="S420" t="s">
        <v>71</v>
      </c>
      <c r="T420">
        <v>0</v>
      </c>
      <c r="U420" t="s">
        <v>71</v>
      </c>
      <c r="V420">
        <v>0</v>
      </c>
      <c r="W420" t="s">
        <v>71</v>
      </c>
      <c r="X420">
        <v>0</v>
      </c>
      <c r="Y420">
        <v>0.78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37</v>
      </c>
      <c r="AF420">
        <v>135</v>
      </c>
      <c r="AG420">
        <v>69</v>
      </c>
      <c r="AI420">
        <v>8.8999999999999996E-2</v>
      </c>
      <c r="AK420" t="s">
        <v>288</v>
      </c>
      <c r="AL420" t="s">
        <v>96</v>
      </c>
      <c r="AM420">
        <v>200000</v>
      </c>
      <c r="AN420" t="s">
        <v>97</v>
      </c>
      <c r="AO420">
        <v>1</v>
      </c>
      <c r="AP420">
        <v>0</v>
      </c>
      <c r="AQ420">
        <v>16666.666666666668</v>
      </c>
      <c r="AR420" t="s">
        <v>1394</v>
      </c>
      <c r="AS420" t="s">
        <v>75</v>
      </c>
      <c r="AX420" t="s">
        <v>76</v>
      </c>
      <c r="AY420" t="s">
        <v>71</v>
      </c>
      <c r="AZ420">
        <v>0</v>
      </c>
      <c r="BA420" t="s">
        <v>71</v>
      </c>
      <c r="BB420">
        <v>0</v>
      </c>
      <c r="BD420">
        <v>0.78</v>
      </c>
    </row>
    <row r="421" spans="1:56" x14ac:dyDescent="0.15">
      <c r="A421" s="4" t="str">
        <f>HYPERLINK("https://ibp.a2mac1.com/costing(costing:projects/details/9760/part/8411565)","Subwoofer")</f>
        <v>Subwoofer</v>
      </c>
      <c r="B421">
        <v>8411565</v>
      </c>
      <c r="C421">
        <v>8411491</v>
      </c>
      <c r="E421">
        <v>7.28</v>
      </c>
      <c r="F421">
        <v>0</v>
      </c>
      <c r="G421">
        <v>0</v>
      </c>
      <c r="H421">
        <v>0</v>
      </c>
      <c r="I421" t="s">
        <v>71</v>
      </c>
      <c r="J421">
        <v>0</v>
      </c>
      <c r="K421">
        <v>7.28</v>
      </c>
      <c r="L421">
        <v>0</v>
      </c>
      <c r="M421">
        <v>0</v>
      </c>
      <c r="N421">
        <v>7.28</v>
      </c>
      <c r="O421" t="s">
        <v>71</v>
      </c>
      <c r="P421">
        <v>0</v>
      </c>
      <c r="Q421" t="s">
        <v>71</v>
      </c>
      <c r="R421">
        <v>0</v>
      </c>
      <c r="S421" t="s">
        <v>71</v>
      </c>
      <c r="T421">
        <v>0</v>
      </c>
      <c r="U421" t="s">
        <v>71</v>
      </c>
      <c r="V421">
        <v>0</v>
      </c>
      <c r="W421" t="s">
        <v>71</v>
      </c>
      <c r="X421">
        <v>0</v>
      </c>
      <c r="Y421">
        <v>7.28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76</v>
      </c>
      <c r="AF421">
        <v>265</v>
      </c>
      <c r="AG421">
        <v>270</v>
      </c>
      <c r="AI421">
        <v>1.131</v>
      </c>
      <c r="AK421" t="s">
        <v>284</v>
      </c>
      <c r="AL421" t="s">
        <v>1397</v>
      </c>
      <c r="AM421">
        <v>200000</v>
      </c>
      <c r="AN421" t="s">
        <v>97</v>
      </c>
      <c r="AO421">
        <v>1</v>
      </c>
      <c r="AP421">
        <v>0</v>
      </c>
      <c r="AQ421">
        <v>16666.666666666668</v>
      </c>
      <c r="AR421" t="s">
        <v>1398</v>
      </c>
      <c r="AS421" t="s">
        <v>75</v>
      </c>
      <c r="AX421" t="s">
        <v>76</v>
      </c>
      <c r="AY421" t="s">
        <v>71</v>
      </c>
      <c r="AZ421">
        <v>0</v>
      </c>
      <c r="BA421" t="s">
        <v>71</v>
      </c>
      <c r="BB421">
        <v>0</v>
      </c>
      <c r="BD421">
        <v>7.28</v>
      </c>
    </row>
    <row r="422" spans="1:56" x14ac:dyDescent="0.15">
      <c r="A422" s="4" t="str">
        <f>HYPERLINK("https://ibp.a2mac1.com/costing(costing:projects/details/9760/part/8411566)","Subwoofer Grille")</f>
        <v>Subwoofer Grille</v>
      </c>
      <c r="B422">
        <v>8411566</v>
      </c>
      <c r="C422">
        <v>8411491</v>
      </c>
      <c r="E422">
        <v>0.7</v>
      </c>
      <c r="F422">
        <v>0</v>
      </c>
      <c r="G422">
        <v>0</v>
      </c>
      <c r="H422">
        <v>0</v>
      </c>
      <c r="I422" t="s">
        <v>71</v>
      </c>
      <c r="J422">
        <v>0</v>
      </c>
      <c r="K422">
        <v>0.7</v>
      </c>
      <c r="L422">
        <v>0</v>
      </c>
      <c r="M422">
        <v>0</v>
      </c>
      <c r="N422">
        <v>0.7</v>
      </c>
      <c r="O422" t="s">
        <v>71</v>
      </c>
      <c r="P422">
        <v>0</v>
      </c>
      <c r="Q422" t="s">
        <v>71</v>
      </c>
      <c r="R422">
        <v>0</v>
      </c>
      <c r="S422" t="s">
        <v>71</v>
      </c>
      <c r="T422">
        <v>0</v>
      </c>
      <c r="U422" t="s">
        <v>71</v>
      </c>
      <c r="V422">
        <v>0</v>
      </c>
      <c r="W422" t="s">
        <v>71</v>
      </c>
      <c r="X422">
        <v>0</v>
      </c>
      <c r="Y422">
        <v>0.7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10</v>
      </c>
      <c r="AF422">
        <v>308</v>
      </c>
      <c r="AG422">
        <v>233</v>
      </c>
      <c r="AI422">
        <v>0.13500000000000001</v>
      </c>
      <c r="AK422" t="s">
        <v>288</v>
      </c>
      <c r="AL422" t="s">
        <v>951</v>
      </c>
      <c r="AM422">
        <v>200000</v>
      </c>
      <c r="AN422" t="s">
        <v>97</v>
      </c>
      <c r="AO422">
        <v>1</v>
      </c>
      <c r="AP422">
        <v>0</v>
      </c>
      <c r="AQ422">
        <v>16666.666666666668</v>
      </c>
      <c r="AR422" t="s">
        <v>1399</v>
      </c>
      <c r="AS422" t="s">
        <v>75</v>
      </c>
      <c r="AX422" t="s">
        <v>76</v>
      </c>
      <c r="AY422" t="s">
        <v>71</v>
      </c>
      <c r="AZ422">
        <v>0</v>
      </c>
      <c r="BA422" t="s">
        <v>71</v>
      </c>
      <c r="BB422">
        <v>0</v>
      </c>
      <c r="BD422">
        <v>0.7</v>
      </c>
    </row>
    <row r="423" spans="1:56" x14ac:dyDescent="0.15">
      <c r="A423" s="4" t="str">
        <f>HYPERLINK("https://ibp.a2mac1.com/costing(costing:projects/details/9760/part/8411568)","Unit Control Support")</f>
        <v>Unit Control Support</v>
      </c>
      <c r="B423">
        <v>8411568</v>
      </c>
      <c r="C423">
        <v>8411492</v>
      </c>
      <c r="E423">
        <v>0.65</v>
      </c>
      <c r="F423">
        <v>0</v>
      </c>
      <c r="G423">
        <v>0</v>
      </c>
      <c r="H423">
        <v>0</v>
      </c>
      <c r="I423" t="s">
        <v>71</v>
      </c>
      <c r="J423">
        <v>0</v>
      </c>
      <c r="K423">
        <v>0.65</v>
      </c>
      <c r="L423">
        <v>0</v>
      </c>
      <c r="M423">
        <v>0</v>
      </c>
      <c r="N423">
        <v>0.65</v>
      </c>
      <c r="O423" t="s">
        <v>71</v>
      </c>
      <c r="P423">
        <v>0</v>
      </c>
      <c r="Q423" t="s">
        <v>71</v>
      </c>
      <c r="R423">
        <v>0</v>
      </c>
      <c r="S423" t="s">
        <v>71</v>
      </c>
      <c r="T423">
        <v>0</v>
      </c>
      <c r="U423" t="s">
        <v>71</v>
      </c>
      <c r="V423">
        <v>0</v>
      </c>
      <c r="W423" t="s">
        <v>71</v>
      </c>
      <c r="X423">
        <v>0</v>
      </c>
      <c r="Y423">
        <v>0.65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44</v>
      </c>
      <c r="AF423">
        <v>61</v>
      </c>
      <c r="AG423">
        <v>11</v>
      </c>
      <c r="AI423">
        <v>4.3999999999999997E-2</v>
      </c>
      <c r="AK423" t="s">
        <v>288</v>
      </c>
      <c r="AL423" t="s">
        <v>96</v>
      </c>
      <c r="AM423">
        <v>200000</v>
      </c>
      <c r="AN423" t="s">
        <v>97</v>
      </c>
      <c r="AO423">
        <v>1</v>
      </c>
      <c r="AP423">
        <v>0</v>
      </c>
      <c r="AQ423">
        <v>16666.666666666668</v>
      </c>
      <c r="AR423" t="s">
        <v>1406</v>
      </c>
      <c r="AS423" t="s">
        <v>75</v>
      </c>
      <c r="AX423" t="s">
        <v>76</v>
      </c>
      <c r="AY423" t="s">
        <v>71</v>
      </c>
      <c r="AZ423">
        <v>0</v>
      </c>
      <c r="BA423" t="s">
        <v>71</v>
      </c>
      <c r="BB423">
        <v>0</v>
      </c>
      <c r="BD423">
        <v>0.65</v>
      </c>
    </row>
    <row r="424" spans="1:56" x14ac:dyDescent="0.15">
      <c r="A424" s="4" t="str">
        <f>HYPERLINK("https://ibp.a2mac1.com/costing(costing:projects/details/9760/part/8411569)","Unit Control Support 2")</f>
        <v>Unit Control Support 2</v>
      </c>
      <c r="B424">
        <v>8411569</v>
      </c>
      <c r="C424">
        <v>8411492</v>
      </c>
      <c r="E424">
        <v>0.64</v>
      </c>
      <c r="F424">
        <v>0</v>
      </c>
      <c r="G424">
        <v>0</v>
      </c>
      <c r="H424">
        <v>0</v>
      </c>
      <c r="I424" t="s">
        <v>71</v>
      </c>
      <c r="J424">
        <v>0</v>
      </c>
      <c r="K424">
        <v>0.64</v>
      </c>
      <c r="L424">
        <v>0</v>
      </c>
      <c r="M424">
        <v>0</v>
      </c>
      <c r="N424">
        <v>0.64</v>
      </c>
      <c r="O424" t="s">
        <v>71</v>
      </c>
      <c r="P424">
        <v>0</v>
      </c>
      <c r="Q424" t="s">
        <v>71</v>
      </c>
      <c r="R424">
        <v>0</v>
      </c>
      <c r="S424" t="s">
        <v>71</v>
      </c>
      <c r="T424">
        <v>0</v>
      </c>
      <c r="U424" t="s">
        <v>71</v>
      </c>
      <c r="V424">
        <v>0</v>
      </c>
      <c r="W424" t="s">
        <v>71</v>
      </c>
      <c r="X424">
        <v>0</v>
      </c>
      <c r="Y424">
        <v>0.64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33</v>
      </c>
      <c r="AF424">
        <v>40</v>
      </c>
      <c r="AG424">
        <v>39</v>
      </c>
      <c r="AI424">
        <v>3.1E-2</v>
      </c>
      <c r="AK424" t="s">
        <v>288</v>
      </c>
      <c r="AL424" t="s">
        <v>96</v>
      </c>
      <c r="AM424">
        <v>200000</v>
      </c>
      <c r="AN424" t="s">
        <v>97</v>
      </c>
      <c r="AO424">
        <v>1</v>
      </c>
      <c r="AP424">
        <v>0</v>
      </c>
      <c r="AQ424">
        <v>16666.666666666668</v>
      </c>
      <c r="AR424" t="s">
        <v>1407</v>
      </c>
      <c r="AS424" t="s">
        <v>75</v>
      </c>
      <c r="AX424" t="s">
        <v>76</v>
      </c>
      <c r="AY424" t="s">
        <v>71</v>
      </c>
      <c r="AZ424">
        <v>0</v>
      </c>
      <c r="BA424" t="s">
        <v>71</v>
      </c>
      <c r="BB424">
        <v>0</v>
      </c>
      <c r="BD424">
        <v>0.64</v>
      </c>
    </row>
    <row r="425" spans="1:56" x14ac:dyDescent="0.15">
      <c r="A425" s="4" t="str">
        <f>HYPERLINK("https://ibp.a2mac1.com/costing(costing:projects/details/9760/part/8411570)","Unit Control Support 3")</f>
        <v>Unit Control Support 3</v>
      </c>
      <c r="B425">
        <v>8411570</v>
      </c>
      <c r="C425">
        <v>8411492</v>
      </c>
      <c r="E425">
        <v>0.64</v>
      </c>
      <c r="F425">
        <v>0</v>
      </c>
      <c r="G425">
        <v>0</v>
      </c>
      <c r="H425">
        <v>0</v>
      </c>
      <c r="I425" t="s">
        <v>71</v>
      </c>
      <c r="J425">
        <v>0</v>
      </c>
      <c r="K425">
        <v>0.64</v>
      </c>
      <c r="L425">
        <v>0</v>
      </c>
      <c r="M425">
        <v>0</v>
      </c>
      <c r="N425">
        <v>0.64</v>
      </c>
      <c r="O425" t="s">
        <v>71</v>
      </c>
      <c r="P425">
        <v>0</v>
      </c>
      <c r="Q425" t="s">
        <v>71</v>
      </c>
      <c r="R425">
        <v>0</v>
      </c>
      <c r="S425" t="s">
        <v>71</v>
      </c>
      <c r="T425">
        <v>0</v>
      </c>
      <c r="U425" t="s">
        <v>71</v>
      </c>
      <c r="V425">
        <v>0</v>
      </c>
      <c r="W425" t="s">
        <v>71</v>
      </c>
      <c r="X425">
        <v>0</v>
      </c>
      <c r="Y425">
        <v>0.64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32</v>
      </c>
      <c r="AF425">
        <v>36</v>
      </c>
      <c r="AG425">
        <v>53</v>
      </c>
      <c r="AI425">
        <v>3.1E-2</v>
      </c>
      <c r="AK425" t="s">
        <v>288</v>
      </c>
      <c r="AL425" t="s">
        <v>96</v>
      </c>
      <c r="AM425">
        <v>200000</v>
      </c>
      <c r="AN425" t="s">
        <v>97</v>
      </c>
      <c r="AO425">
        <v>1</v>
      </c>
      <c r="AP425">
        <v>0</v>
      </c>
      <c r="AQ425">
        <v>16666.666666666668</v>
      </c>
      <c r="AR425" t="s">
        <v>1408</v>
      </c>
      <c r="AS425" t="s">
        <v>75</v>
      </c>
      <c r="AX425" t="s">
        <v>76</v>
      </c>
      <c r="AY425" t="s">
        <v>71</v>
      </c>
      <c r="AZ425">
        <v>0</v>
      </c>
      <c r="BA425" t="s">
        <v>71</v>
      </c>
      <c r="BB425">
        <v>0</v>
      </c>
      <c r="BD425">
        <v>0.64</v>
      </c>
    </row>
    <row r="426" spans="1:56" x14ac:dyDescent="0.15">
      <c r="A426" s="4" t="str">
        <f>HYPERLINK("https://ibp.a2mac1.com/costing(costing:projects/details/9760/part/8411493)","GPS Antenna")</f>
        <v>GPS Antenna</v>
      </c>
      <c r="B426">
        <v>8411493</v>
      </c>
      <c r="C426">
        <v>8411452</v>
      </c>
      <c r="E426">
        <v>4.97</v>
      </c>
      <c r="F426">
        <v>0</v>
      </c>
      <c r="G426">
        <v>0</v>
      </c>
      <c r="H426">
        <v>0</v>
      </c>
      <c r="I426" t="s">
        <v>71</v>
      </c>
      <c r="J426">
        <v>0</v>
      </c>
      <c r="K426">
        <v>4.97</v>
      </c>
      <c r="L426">
        <v>0</v>
      </c>
      <c r="M426">
        <v>0</v>
      </c>
      <c r="N426">
        <v>4.97</v>
      </c>
      <c r="O426" t="s">
        <v>71</v>
      </c>
      <c r="P426">
        <v>0</v>
      </c>
      <c r="Q426" t="s">
        <v>71</v>
      </c>
      <c r="R426">
        <v>0</v>
      </c>
      <c r="S426" t="s">
        <v>71</v>
      </c>
      <c r="T426">
        <v>0</v>
      </c>
      <c r="U426" t="s">
        <v>71</v>
      </c>
      <c r="V426">
        <v>0</v>
      </c>
      <c r="W426" t="s">
        <v>71</v>
      </c>
      <c r="X426">
        <v>0</v>
      </c>
      <c r="Y426">
        <v>4.97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16</v>
      </c>
      <c r="AF426">
        <v>100</v>
      </c>
      <c r="AG426">
        <v>64</v>
      </c>
      <c r="AI426">
        <v>0.124</v>
      </c>
      <c r="AK426" t="s">
        <v>365</v>
      </c>
      <c r="AM426">
        <v>200000</v>
      </c>
      <c r="AN426" t="s">
        <v>97</v>
      </c>
      <c r="AO426">
        <v>1</v>
      </c>
      <c r="AP426">
        <v>0</v>
      </c>
      <c r="AQ426">
        <v>16666.666666666668</v>
      </c>
      <c r="AR426" t="s">
        <v>1413</v>
      </c>
      <c r="AS426" t="s">
        <v>75</v>
      </c>
      <c r="AX426" t="s">
        <v>76</v>
      </c>
      <c r="AY426" t="s">
        <v>71</v>
      </c>
      <c r="AZ426">
        <v>0</v>
      </c>
      <c r="BA426" t="s">
        <v>71</v>
      </c>
      <c r="BB426">
        <v>0</v>
      </c>
      <c r="BD426">
        <v>4.97</v>
      </c>
    </row>
    <row r="427" spans="1:56" x14ac:dyDescent="0.15">
      <c r="A427" s="4" t="str">
        <f>HYPERLINK("https://ibp.a2mac1.com/costing(costing:projects/details/9760/part/8411494)","Phone Support Interface")</f>
        <v>Phone Support Interface</v>
      </c>
      <c r="B427">
        <v>8411494</v>
      </c>
      <c r="C427">
        <v>8411453</v>
      </c>
      <c r="E427">
        <v>0.24</v>
      </c>
      <c r="F427">
        <v>0</v>
      </c>
      <c r="G427">
        <v>0</v>
      </c>
      <c r="H427">
        <v>0</v>
      </c>
      <c r="I427" t="s">
        <v>71</v>
      </c>
      <c r="J427">
        <v>0</v>
      </c>
      <c r="K427">
        <v>0.24</v>
      </c>
      <c r="L427">
        <v>0</v>
      </c>
      <c r="M427">
        <v>0</v>
      </c>
      <c r="N427">
        <v>0.24</v>
      </c>
      <c r="O427" t="s">
        <v>71</v>
      </c>
      <c r="P427">
        <v>0</v>
      </c>
      <c r="Q427" t="s">
        <v>71</v>
      </c>
      <c r="R427">
        <v>0</v>
      </c>
      <c r="S427" t="s">
        <v>71</v>
      </c>
      <c r="T427">
        <v>0</v>
      </c>
      <c r="U427" t="s">
        <v>71</v>
      </c>
      <c r="V427">
        <v>0</v>
      </c>
      <c r="W427" t="s">
        <v>71</v>
      </c>
      <c r="X427">
        <v>0</v>
      </c>
      <c r="Y427">
        <v>0.24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55</v>
      </c>
      <c r="AF427">
        <v>71</v>
      </c>
      <c r="AG427">
        <v>43</v>
      </c>
      <c r="AI427">
        <v>2.1000000000000001E-2</v>
      </c>
      <c r="AK427" t="s">
        <v>288</v>
      </c>
      <c r="AL427" t="s">
        <v>446</v>
      </c>
      <c r="AM427">
        <v>200000</v>
      </c>
      <c r="AN427" t="s">
        <v>97</v>
      </c>
      <c r="AO427">
        <v>1</v>
      </c>
      <c r="AP427">
        <v>0</v>
      </c>
      <c r="AQ427">
        <v>16666.666666666668</v>
      </c>
      <c r="AR427" t="s">
        <v>1430</v>
      </c>
      <c r="AS427" t="s">
        <v>75</v>
      </c>
      <c r="AX427" t="s">
        <v>76</v>
      </c>
      <c r="AY427" t="s">
        <v>71</v>
      </c>
      <c r="AZ427">
        <v>0</v>
      </c>
      <c r="BA427" t="s">
        <v>71</v>
      </c>
      <c r="BB427">
        <v>0</v>
      </c>
      <c r="BD427">
        <v>0.24</v>
      </c>
    </row>
    <row r="428" spans="1:56" x14ac:dyDescent="0.15">
      <c r="A428" s="4" t="str">
        <f>HYPERLINK("https://ibp.a2mac1.com/costing(costing:projects/details/9760/part/8411495)","Phone Support Interface 2")</f>
        <v>Phone Support Interface 2</v>
      </c>
      <c r="B428">
        <v>8411495</v>
      </c>
      <c r="C428">
        <v>8411453</v>
      </c>
      <c r="E428">
        <v>0.24</v>
      </c>
      <c r="F428">
        <v>0</v>
      </c>
      <c r="G428">
        <v>0</v>
      </c>
      <c r="H428">
        <v>0</v>
      </c>
      <c r="I428" t="s">
        <v>71</v>
      </c>
      <c r="J428">
        <v>0</v>
      </c>
      <c r="K428">
        <v>0.24</v>
      </c>
      <c r="L428">
        <v>0</v>
      </c>
      <c r="M428">
        <v>0</v>
      </c>
      <c r="N428">
        <v>0.24</v>
      </c>
      <c r="O428" t="s">
        <v>71</v>
      </c>
      <c r="P428">
        <v>0</v>
      </c>
      <c r="Q428" t="s">
        <v>71</v>
      </c>
      <c r="R428">
        <v>0</v>
      </c>
      <c r="S428" t="s">
        <v>71</v>
      </c>
      <c r="T428">
        <v>0</v>
      </c>
      <c r="U428" t="s">
        <v>71</v>
      </c>
      <c r="V428">
        <v>0</v>
      </c>
      <c r="W428" t="s">
        <v>71</v>
      </c>
      <c r="X428">
        <v>0</v>
      </c>
      <c r="Y428">
        <v>0.24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55</v>
      </c>
      <c r="AF428">
        <v>71</v>
      </c>
      <c r="AG428">
        <v>43</v>
      </c>
      <c r="AI428">
        <v>2.1000000000000001E-2</v>
      </c>
      <c r="AK428" t="s">
        <v>288</v>
      </c>
      <c r="AL428" t="s">
        <v>446</v>
      </c>
      <c r="AM428">
        <v>200000</v>
      </c>
      <c r="AN428" t="s">
        <v>97</v>
      </c>
      <c r="AO428">
        <v>1</v>
      </c>
      <c r="AP428">
        <v>0</v>
      </c>
      <c r="AQ428">
        <v>16666.666666666668</v>
      </c>
      <c r="AR428" t="s">
        <v>1431</v>
      </c>
      <c r="AS428" t="s">
        <v>75</v>
      </c>
      <c r="AX428" t="s">
        <v>76</v>
      </c>
      <c r="AY428" t="s">
        <v>71</v>
      </c>
      <c r="AZ428">
        <v>0</v>
      </c>
      <c r="BA428" t="s">
        <v>71</v>
      </c>
      <c r="BB428">
        <v>0</v>
      </c>
      <c r="BD428">
        <v>0.24</v>
      </c>
    </row>
    <row r="429" spans="1:56" x14ac:dyDescent="0.15">
      <c r="A429" s="4" t="str">
        <f>HYPERLINK("https://ibp.a2mac1.com/costing(costing:projects/details/9760/part/8411497)","Microphone")</f>
        <v>Microphone</v>
      </c>
      <c r="B429">
        <v>8411497</v>
      </c>
      <c r="C429">
        <v>8411453</v>
      </c>
      <c r="E429">
        <v>4.6100000000000003</v>
      </c>
      <c r="F429">
        <v>0</v>
      </c>
      <c r="G429">
        <v>0</v>
      </c>
      <c r="H429">
        <v>0</v>
      </c>
      <c r="I429" t="s">
        <v>71</v>
      </c>
      <c r="J429">
        <v>0</v>
      </c>
      <c r="K429">
        <v>4.6100000000000003</v>
      </c>
      <c r="L429">
        <v>0</v>
      </c>
      <c r="M429">
        <v>0</v>
      </c>
      <c r="N429">
        <v>4.6100000000000003</v>
      </c>
      <c r="O429" t="s">
        <v>71</v>
      </c>
      <c r="P429">
        <v>0</v>
      </c>
      <c r="Q429" t="s">
        <v>71</v>
      </c>
      <c r="R429">
        <v>0</v>
      </c>
      <c r="S429" t="s">
        <v>71</v>
      </c>
      <c r="T429">
        <v>0</v>
      </c>
      <c r="U429" t="s">
        <v>71</v>
      </c>
      <c r="V429">
        <v>0</v>
      </c>
      <c r="W429" t="s">
        <v>71</v>
      </c>
      <c r="X429">
        <v>0</v>
      </c>
      <c r="Y429">
        <v>4.6100000000000003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19</v>
      </c>
      <c r="AF429">
        <v>100</v>
      </c>
      <c r="AG429">
        <v>22</v>
      </c>
      <c r="AI429">
        <v>1.9E-2</v>
      </c>
      <c r="AK429" t="s">
        <v>365</v>
      </c>
      <c r="AM429">
        <v>200000</v>
      </c>
      <c r="AN429" t="s">
        <v>97</v>
      </c>
      <c r="AO429">
        <v>1</v>
      </c>
      <c r="AP429">
        <v>0</v>
      </c>
      <c r="AQ429">
        <v>16666.666666666668</v>
      </c>
      <c r="AR429" t="s">
        <v>1432</v>
      </c>
      <c r="AS429" t="s">
        <v>75</v>
      </c>
      <c r="AX429" t="s">
        <v>76</v>
      </c>
      <c r="AY429" t="s">
        <v>71</v>
      </c>
      <c r="AZ429">
        <v>0</v>
      </c>
      <c r="BA429" t="s">
        <v>71</v>
      </c>
      <c r="BB429">
        <v>0</v>
      </c>
      <c r="BD429">
        <v>4.6100000000000003</v>
      </c>
    </row>
    <row r="430" spans="1:56" x14ac:dyDescent="0.15">
      <c r="A430" s="4" t="str">
        <f>HYPERLINK("https://ibp.a2mac1.com/costing(costing:projects/details/9760/part/8411498)","Microphone 2")</f>
        <v>Microphone 2</v>
      </c>
      <c r="B430">
        <v>8411498</v>
      </c>
      <c r="C430">
        <v>8411453</v>
      </c>
      <c r="E430">
        <v>6.04</v>
      </c>
      <c r="F430">
        <v>0</v>
      </c>
      <c r="G430">
        <v>0</v>
      </c>
      <c r="H430">
        <v>0</v>
      </c>
      <c r="I430" t="s">
        <v>71</v>
      </c>
      <c r="J430">
        <v>0</v>
      </c>
      <c r="K430">
        <v>6.04</v>
      </c>
      <c r="L430">
        <v>0</v>
      </c>
      <c r="M430">
        <v>0</v>
      </c>
      <c r="N430">
        <v>6.04</v>
      </c>
      <c r="O430" t="s">
        <v>71</v>
      </c>
      <c r="P430">
        <v>0</v>
      </c>
      <c r="Q430" t="s">
        <v>71</v>
      </c>
      <c r="R430">
        <v>0</v>
      </c>
      <c r="S430" t="s">
        <v>71</v>
      </c>
      <c r="T430">
        <v>0</v>
      </c>
      <c r="U430" t="s">
        <v>71</v>
      </c>
      <c r="V430">
        <v>0</v>
      </c>
      <c r="W430" t="s">
        <v>71</v>
      </c>
      <c r="X430">
        <v>0</v>
      </c>
      <c r="Y430">
        <v>6.04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13</v>
      </c>
      <c r="AF430">
        <v>50</v>
      </c>
      <c r="AG430">
        <v>22</v>
      </c>
      <c r="AI430">
        <v>1.4E-2</v>
      </c>
      <c r="AK430" t="s">
        <v>365</v>
      </c>
      <c r="AL430" t="s">
        <v>1433</v>
      </c>
      <c r="AM430">
        <v>400000</v>
      </c>
      <c r="AN430" t="s">
        <v>97</v>
      </c>
      <c r="AO430">
        <v>2</v>
      </c>
      <c r="AP430">
        <v>0</v>
      </c>
      <c r="AQ430">
        <v>33333.333333333336</v>
      </c>
      <c r="AR430" t="s">
        <v>1434</v>
      </c>
      <c r="AS430" t="s">
        <v>75</v>
      </c>
      <c r="AX430" t="s">
        <v>76</v>
      </c>
      <c r="AY430" t="s">
        <v>71</v>
      </c>
      <c r="AZ430">
        <v>0</v>
      </c>
      <c r="BA430" t="s">
        <v>71</v>
      </c>
      <c r="BB430">
        <v>0</v>
      </c>
      <c r="BD430">
        <v>3.02</v>
      </c>
    </row>
    <row r="431" spans="1:56" x14ac:dyDescent="0.15">
      <c r="A431" s="4" t="str">
        <f>HYPERLINK("https://ibp.a2mac1.com/costing(costing:projects/details/9760/part/8411500)","Induction Charger Cover")</f>
        <v>Induction Charger Cover</v>
      </c>
      <c r="B431">
        <v>8411500</v>
      </c>
      <c r="C431">
        <v>8411453</v>
      </c>
      <c r="E431">
        <v>1.38</v>
      </c>
      <c r="F431">
        <v>0</v>
      </c>
      <c r="G431">
        <v>0</v>
      </c>
      <c r="H431">
        <v>0</v>
      </c>
      <c r="I431" t="s">
        <v>71</v>
      </c>
      <c r="J431">
        <v>0</v>
      </c>
      <c r="K431">
        <v>1.38</v>
      </c>
      <c r="L431">
        <v>0</v>
      </c>
      <c r="M431">
        <v>0</v>
      </c>
      <c r="N431">
        <v>1.38</v>
      </c>
      <c r="O431" t="s">
        <v>71</v>
      </c>
      <c r="P431">
        <v>0</v>
      </c>
      <c r="Q431" t="s">
        <v>71</v>
      </c>
      <c r="R431">
        <v>0</v>
      </c>
      <c r="S431" t="s">
        <v>71</v>
      </c>
      <c r="T431">
        <v>0</v>
      </c>
      <c r="U431" t="s">
        <v>71</v>
      </c>
      <c r="V431">
        <v>0</v>
      </c>
      <c r="W431" t="s">
        <v>71</v>
      </c>
      <c r="X431">
        <v>0</v>
      </c>
      <c r="Y431">
        <v>1.38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233</v>
      </c>
      <c r="AF431">
        <v>227</v>
      </c>
      <c r="AG431">
        <v>48</v>
      </c>
      <c r="AI431">
        <v>0.17799999999999999</v>
      </c>
      <c r="AK431" t="s">
        <v>288</v>
      </c>
      <c r="AL431" t="s">
        <v>412</v>
      </c>
      <c r="AM431">
        <v>200000</v>
      </c>
      <c r="AN431" t="s">
        <v>97</v>
      </c>
      <c r="AO431">
        <v>1</v>
      </c>
      <c r="AP431">
        <v>0</v>
      </c>
      <c r="AQ431">
        <v>16666.666666666668</v>
      </c>
      <c r="AR431" t="s">
        <v>1435</v>
      </c>
      <c r="AS431" t="s">
        <v>75</v>
      </c>
      <c r="AX431" t="s">
        <v>76</v>
      </c>
      <c r="AY431" t="s">
        <v>71</v>
      </c>
      <c r="AZ431">
        <v>0</v>
      </c>
      <c r="BA431" t="s">
        <v>71</v>
      </c>
      <c r="BB431">
        <v>0</v>
      </c>
      <c r="BD431">
        <v>1.38</v>
      </c>
    </row>
    <row r="432" spans="1:56" x14ac:dyDescent="0.15">
      <c r="A432" s="4" t="str">
        <f>HYPERLINK("https://ibp.a2mac1.com/costing(costing:projects/details/9760/part/8411571)","Screen Support")</f>
        <v>Screen Support</v>
      </c>
      <c r="B432">
        <v>8411571</v>
      </c>
      <c r="C432">
        <v>8411502</v>
      </c>
      <c r="E432">
        <v>1.76</v>
      </c>
      <c r="F432">
        <v>0</v>
      </c>
      <c r="G432">
        <v>0</v>
      </c>
      <c r="H432">
        <v>0</v>
      </c>
      <c r="I432" t="s">
        <v>71</v>
      </c>
      <c r="J432">
        <v>0</v>
      </c>
      <c r="K432">
        <v>1.76</v>
      </c>
      <c r="L432">
        <v>0</v>
      </c>
      <c r="M432">
        <v>0</v>
      </c>
      <c r="N432">
        <v>1.76</v>
      </c>
      <c r="O432" t="s">
        <v>71</v>
      </c>
      <c r="P432">
        <v>0</v>
      </c>
      <c r="Q432" t="s">
        <v>71</v>
      </c>
      <c r="R432">
        <v>0</v>
      </c>
      <c r="S432" t="s">
        <v>71</v>
      </c>
      <c r="T432">
        <v>0</v>
      </c>
      <c r="U432" t="s">
        <v>71</v>
      </c>
      <c r="V432">
        <v>0</v>
      </c>
      <c r="W432" t="s">
        <v>71</v>
      </c>
      <c r="X432">
        <v>0</v>
      </c>
      <c r="Y432">
        <v>1.76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83</v>
      </c>
      <c r="AF432">
        <v>106</v>
      </c>
      <c r="AG432">
        <v>130</v>
      </c>
      <c r="AI432">
        <v>0.154</v>
      </c>
      <c r="AK432" t="s">
        <v>288</v>
      </c>
      <c r="AL432" t="s">
        <v>446</v>
      </c>
      <c r="AM432">
        <v>200000</v>
      </c>
      <c r="AN432" t="s">
        <v>97</v>
      </c>
      <c r="AO432">
        <v>1</v>
      </c>
      <c r="AP432">
        <v>0</v>
      </c>
      <c r="AQ432">
        <v>16666.666666666668</v>
      </c>
      <c r="AR432" t="s">
        <v>1440</v>
      </c>
      <c r="AS432" t="s">
        <v>75</v>
      </c>
      <c r="AX432" t="s">
        <v>76</v>
      </c>
      <c r="AY432" t="s">
        <v>71</v>
      </c>
      <c r="AZ432">
        <v>0</v>
      </c>
      <c r="BA432" t="s">
        <v>71</v>
      </c>
      <c r="BB432">
        <v>0</v>
      </c>
      <c r="BD432">
        <v>1.76</v>
      </c>
    </row>
    <row r="433" spans="1:56" x14ac:dyDescent="0.15">
      <c r="A433" s="4" t="str">
        <f>HYPERLINK("https://ibp.a2mac1.com/costing(costing:projects/details/9760/part/8411572)","Screen Support 2")</f>
        <v>Screen Support 2</v>
      </c>
      <c r="B433">
        <v>8411572</v>
      </c>
      <c r="C433">
        <v>8411502</v>
      </c>
      <c r="E433">
        <v>1.78</v>
      </c>
      <c r="F433">
        <v>0</v>
      </c>
      <c r="G433">
        <v>0</v>
      </c>
      <c r="H433">
        <v>0</v>
      </c>
      <c r="I433" t="s">
        <v>71</v>
      </c>
      <c r="J433">
        <v>0</v>
      </c>
      <c r="K433">
        <v>1.78</v>
      </c>
      <c r="L433">
        <v>0</v>
      </c>
      <c r="M433">
        <v>0</v>
      </c>
      <c r="N433">
        <v>1.78</v>
      </c>
      <c r="O433" t="s">
        <v>71</v>
      </c>
      <c r="P433">
        <v>0</v>
      </c>
      <c r="Q433" t="s">
        <v>71</v>
      </c>
      <c r="R433">
        <v>0</v>
      </c>
      <c r="S433" t="s">
        <v>71</v>
      </c>
      <c r="T433">
        <v>0</v>
      </c>
      <c r="U433" t="s">
        <v>71</v>
      </c>
      <c r="V433">
        <v>0</v>
      </c>
      <c r="W433" t="s">
        <v>71</v>
      </c>
      <c r="X433">
        <v>0</v>
      </c>
      <c r="Y433">
        <v>1.78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83</v>
      </c>
      <c r="AF433">
        <v>106</v>
      </c>
      <c r="AG433">
        <v>130</v>
      </c>
      <c r="AI433">
        <v>0.156</v>
      </c>
      <c r="AK433" t="s">
        <v>288</v>
      </c>
      <c r="AL433" t="s">
        <v>446</v>
      </c>
      <c r="AM433">
        <v>200000</v>
      </c>
      <c r="AN433" t="s">
        <v>97</v>
      </c>
      <c r="AO433">
        <v>1</v>
      </c>
      <c r="AP433">
        <v>0</v>
      </c>
      <c r="AQ433">
        <v>16666.666666666668</v>
      </c>
      <c r="AR433" t="s">
        <v>1441</v>
      </c>
      <c r="AS433" t="s">
        <v>75</v>
      </c>
      <c r="AX433" t="s">
        <v>76</v>
      </c>
      <c r="AY433" t="s">
        <v>71</v>
      </c>
      <c r="AZ433">
        <v>0</v>
      </c>
      <c r="BA433" t="s">
        <v>71</v>
      </c>
      <c r="BB433">
        <v>0</v>
      </c>
      <c r="BD433">
        <v>1.78</v>
      </c>
    </row>
    <row r="434" spans="1:56" x14ac:dyDescent="0.15">
      <c r="A434" s="4" t="str">
        <f>HYPERLINK("https://ibp.a2mac1.com/costing(costing:projects/details/9760/part/8411573)","Support Cover 1")</f>
        <v>Support Cover 1</v>
      </c>
      <c r="B434">
        <v>8411573</v>
      </c>
      <c r="C434">
        <v>8411502</v>
      </c>
      <c r="E434">
        <v>0.154</v>
      </c>
      <c r="F434">
        <v>0</v>
      </c>
      <c r="G434">
        <v>0</v>
      </c>
      <c r="H434">
        <v>0</v>
      </c>
      <c r="I434" t="s">
        <v>71</v>
      </c>
      <c r="J434">
        <v>0</v>
      </c>
      <c r="K434">
        <v>0.154</v>
      </c>
      <c r="L434">
        <v>0</v>
      </c>
      <c r="M434">
        <v>0</v>
      </c>
      <c r="N434">
        <v>0.154</v>
      </c>
      <c r="O434" t="s">
        <v>71</v>
      </c>
      <c r="P434">
        <v>0</v>
      </c>
      <c r="Q434" t="s">
        <v>71</v>
      </c>
      <c r="R434">
        <v>0</v>
      </c>
      <c r="S434" t="s">
        <v>71</v>
      </c>
      <c r="T434">
        <v>0</v>
      </c>
      <c r="U434" t="s">
        <v>71</v>
      </c>
      <c r="V434">
        <v>0</v>
      </c>
      <c r="W434" t="s">
        <v>71</v>
      </c>
      <c r="X434">
        <v>0</v>
      </c>
      <c r="Y434">
        <v>0.154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15</v>
      </c>
      <c r="AF434">
        <v>72</v>
      </c>
      <c r="AG434">
        <v>47</v>
      </c>
      <c r="AI434">
        <v>1.2E-2</v>
      </c>
      <c r="AK434" t="s">
        <v>288</v>
      </c>
      <c r="AL434" t="s">
        <v>412</v>
      </c>
      <c r="AM434">
        <v>200000</v>
      </c>
      <c r="AN434" t="s">
        <v>97</v>
      </c>
      <c r="AO434">
        <v>1</v>
      </c>
      <c r="AP434">
        <v>0</v>
      </c>
      <c r="AQ434">
        <v>16666.666666666668</v>
      </c>
      <c r="AR434" t="s">
        <v>1442</v>
      </c>
      <c r="AS434" t="s">
        <v>75</v>
      </c>
      <c r="AX434" t="s">
        <v>76</v>
      </c>
      <c r="AY434" t="s">
        <v>71</v>
      </c>
      <c r="AZ434">
        <v>0</v>
      </c>
      <c r="BA434" t="s">
        <v>71</v>
      </c>
      <c r="BB434">
        <v>0</v>
      </c>
      <c r="BD434">
        <v>0.154</v>
      </c>
    </row>
    <row r="435" spans="1:56" x14ac:dyDescent="0.15">
      <c r="A435" s="4" t="str">
        <f>HYPERLINK("https://ibp.a2mac1.com/costing(costing:projects/details/9760/part/8411574)","Support 2 Cover 1")</f>
        <v>Support 2 Cover 1</v>
      </c>
      <c r="B435">
        <v>8411574</v>
      </c>
      <c r="C435">
        <v>8411502</v>
      </c>
      <c r="E435">
        <v>0.154</v>
      </c>
      <c r="F435">
        <v>0</v>
      </c>
      <c r="G435">
        <v>0</v>
      </c>
      <c r="H435">
        <v>0</v>
      </c>
      <c r="I435" t="s">
        <v>71</v>
      </c>
      <c r="J435">
        <v>0</v>
      </c>
      <c r="K435">
        <v>0.154</v>
      </c>
      <c r="L435">
        <v>0</v>
      </c>
      <c r="M435">
        <v>0</v>
      </c>
      <c r="N435">
        <v>0.154</v>
      </c>
      <c r="O435" t="s">
        <v>71</v>
      </c>
      <c r="P435">
        <v>0</v>
      </c>
      <c r="Q435" t="s">
        <v>71</v>
      </c>
      <c r="R435">
        <v>0</v>
      </c>
      <c r="S435" t="s">
        <v>71</v>
      </c>
      <c r="T435">
        <v>0</v>
      </c>
      <c r="U435" t="s">
        <v>71</v>
      </c>
      <c r="V435">
        <v>0</v>
      </c>
      <c r="W435" t="s">
        <v>71</v>
      </c>
      <c r="X435">
        <v>0</v>
      </c>
      <c r="Y435">
        <v>0.154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15</v>
      </c>
      <c r="AF435">
        <v>72</v>
      </c>
      <c r="AG435">
        <v>47</v>
      </c>
      <c r="AI435">
        <v>1.2E-2</v>
      </c>
      <c r="AK435" t="s">
        <v>288</v>
      </c>
      <c r="AL435" t="s">
        <v>412</v>
      </c>
      <c r="AM435">
        <v>200000</v>
      </c>
      <c r="AN435" t="s">
        <v>97</v>
      </c>
      <c r="AO435">
        <v>1</v>
      </c>
      <c r="AP435">
        <v>0</v>
      </c>
      <c r="AQ435">
        <v>16666.666666666668</v>
      </c>
      <c r="AR435" t="s">
        <v>1443</v>
      </c>
      <c r="AS435" t="s">
        <v>75</v>
      </c>
      <c r="AX435" t="s">
        <v>76</v>
      </c>
      <c r="AY435" t="s">
        <v>71</v>
      </c>
      <c r="AZ435">
        <v>0</v>
      </c>
      <c r="BA435" t="s">
        <v>71</v>
      </c>
      <c r="BB435">
        <v>0</v>
      </c>
      <c r="BD435">
        <v>0.154</v>
      </c>
    </row>
    <row r="436" spans="1:56" x14ac:dyDescent="0.15">
      <c r="A436" s="4" t="str">
        <f>HYPERLINK("https://ibp.a2mac1.com/costing(costing:projects/details/9760/part/8411575)","Charging Contact")</f>
        <v>Charging Contact</v>
      </c>
      <c r="B436">
        <v>8411575</v>
      </c>
      <c r="C436">
        <v>8411502</v>
      </c>
      <c r="E436">
        <v>0.16</v>
      </c>
      <c r="F436">
        <v>0</v>
      </c>
      <c r="G436">
        <v>0</v>
      </c>
      <c r="H436">
        <v>0</v>
      </c>
      <c r="I436" t="s">
        <v>71</v>
      </c>
      <c r="J436">
        <v>0</v>
      </c>
      <c r="K436">
        <v>0.16</v>
      </c>
      <c r="L436">
        <v>0</v>
      </c>
      <c r="M436">
        <v>0</v>
      </c>
      <c r="N436">
        <v>0.16</v>
      </c>
      <c r="O436" t="s">
        <v>71</v>
      </c>
      <c r="P436">
        <v>0</v>
      </c>
      <c r="Q436" t="s">
        <v>71</v>
      </c>
      <c r="R436">
        <v>0</v>
      </c>
      <c r="S436" t="s">
        <v>71</v>
      </c>
      <c r="T436">
        <v>0</v>
      </c>
      <c r="U436" t="s">
        <v>71</v>
      </c>
      <c r="V436">
        <v>0</v>
      </c>
      <c r="W436" t="s">
        <v>71</v>
      </c>
      <c r="X436">
        <v>0</v>
      </c>
      <c r="Y436">
        <v>0.16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13</v>
      </c>
      <c r="AF436">
        <v>42</v>
      </c>
      <c r="AG436">
        <v>31</v>
      </c>
      <c r="AI436">
        <v>1.7999999999999999E-2</v>
      </c>
      <c r="AK436" t="s">
        <v>288</v>
      </c>
      <c r="AL436" t="s">
        <v>827</v>
      </c>
      <c r="AM436">
        <v>200000</v>
      </c>
      <c r="AN436" t="s">
        <v>97</v>
      </c>
      <c r="AO436">
        <v>1</v>
      </c>
      <c r="AP436">
        <v>0</v>
      </c>
      <c r="AQ436">
        <v>16666.666666666668</v>
      </c>
      <c r="AR436" t="s">
        <v>1444</v>
      </c>
      <c r="AS436" t="s">
        <v>75</v>
      </c>
      <c r="AX436" t="s">
        <v>76</v>
      </c>
      <c r="AY436" t="s">
        <v>71</v>
      </c>
      <c r="AZ436">
        <v>0</v>
      </c>
      <c r="BA436" t="s">
        <v>71</v>
      </c>
      <c r="BB436">
        <v>0</v>
      </c>
      <c r="BD436">
        <v>0.16</v>
      </c>
    </row>
    <row r="437" spans="1:56" x14ac:dyDescent="0.15">
      <c r="A437" s="4" t="str">
        <f>HYPERLINK("https://ibp.a2mac1.com/costing(costing:projects/details/9760/part/8411576)","Charging Contact 2")</f>
        <v>Charging Contact 2</v>
      </c>
      <c r="B437">
        <v>8411576</v>
      </c>
      <c r="C437">
        <v>8411502</v>
      </c>
      <c r="E437">
        <v>0.16500000000000001</v>
      </c>
      <c r="F437">
        <v>0</v>
      </c>
      <c r="G437">
        <v>0</v>
      </c>
      <c r="H437">
        <v>0</v>
      </c>
      <c r="I437" t="s">
        <v>71</v>
      </c>
      <c r="J437">
        <v>0</v>
      </c>
      <c r="K437">
        <v>0.16500000000000001</v>
      </c>
      <c r="L437">
        <v>0</v>
      </c>
      <c r="M437">
        <v>0</v>
      </c>
      <c r="N437">
        <v>0.16500000000000001</v>
      </c>
      <c r="O437" t="s">
        <v>71</v>
      </c>
      <c r="P437">
        <v>0</v>
      </c>
      <c r="Q437" t="s">
        <v>71</v>
      </c>
      <c r="R437">
        <v>0</v>
      </c>
      <c r="S437" t="s">
        <v>71</v>
      </c>
      <c r="T437">
        <v>0</v>
      </c>
      <c r="U437" t="s">
        <v>71</v>
      </c>
      <c r="V437">
        <v>0</v>
      </c>
      <c r="W437" t="s">
        <v>71</v>
      </c>
      <c r="X437">
        <v>0</v>
      </c>
      <c r="Y437">
        <v>0.16500000000000001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13</v>
      </c>
      <c r="AF437">
        <v>42</v>
      </c>
      <c r="AG437">
        <v>31</v>
      </c>
      <c r="AI437">
        <v>1.9E-2</v>
      </c>
      <c r="AK437" t="s">
        <v>288</v>
      </c>
      <c r="AL437" t="s">
        <v>830</v>
      </c>
      <c r="AM437">
        <v>200000</v>
      </c>
      <c r="AN437" t="s">
        <v>97</v>
      </c>
      <c r="AO437">
        <v>1</v>
      </c>
      <c r="AP437">
        <v>0</v>
      </c>
      <c r="AQ437">
        <v>16666.666666666668</v>
      </c>
      <c r="AR437" t="s">
        <v>1445</v>
      </c>
      <c r="AS437" t="s">
        <v>75</v>
      </c>
      <c r="AX437" t="s">
        <v>76</v>
      </c>
      <c r="AY437" t="s">
        <v>71</v>
      </c>
      <c r="AZ437">
        <v>0</v>
      </c>
      <c r="BA437" t="s">
        <v>71</v>
      </c>
      <c r="BB437">
        <v>0</v>
      </c>
      <c r="BD437">
        <v>0.16500000000000001</v>
      </c>
    </row>
    <row r="438" spans="1:56" x14ac:dyDescent="0.15">
      <c r="A438" s="4" t="str">
        <f>HYPERLINK("https://ibp.a2mac1.com/costing(costing:projects/details/9760/part/8411503)","Wi-Fi Antenna")</f>
        <v>Wi-Fi Antenna</v>
      </c>
      <c r="B438">
        <v>8411503</v>
      </c>
      <c r="C438">
        <v>8411455</v>
      </c>
      <c r="E438">
        <v>0.9</v>
      </c>
      <c r="F438">
        <v>0</v>
      </c>
      <c r="G438">
        <v>0</v>
      </c>
      <c r="H438">
        <v>0</v>
      </c>
      <c r="I438" t="s">
        <v>71</v>
      </c>
      <c r="J438">
        <v>0</v>
      </c>
      <c r="K438">
        <v>0.9</v>
      </c>
      <c r="L438">
        <v>0</v>
      </c>
      <c r="M438">
        <v>0</v>
      </c>
      <c r="N438">
        <v>0.9</v>
      </c>
      <c r="O438" t="s">
        <v>71</v>
      </c>
      <c r="P438">
        <v>0</v>
      </c>
      <c r="Q438" t="s">
        <v>71</v>
      </c>
      <c r="R438">
        <v>0</v>
      </c>
      <c r="S438" t="s">
        <v>71</v>
      </c>
      <c r="T438">
        <v>0</v>
      </c>
      <c r="U438" t="s">
        <v>71</v>
      </c>
      <c r="V438">
        <v>0</v>
      </c>
      <c r="W438" t="s">
        <v>71</v>
      </c>
      <c r="X438">
        <v>0</v>
      </c>
      <c r="Y438">
        <v>0.9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14</v>
      </c>
      <c r="AF438">
        <v>77</v>
      </c>
      <c r="AG438">
        <v>26</v>
      </c>
      <c r="AI438">
        <v>3.4000000000000002E-2</v>
      </c>
      <c r="AK438" t="s">
        <v>365</v>
      </c>
      <c r="AL438" t="s">
        <v>830</v>
      </c>
      <c r="AM438">
        <v>400000</v>
      </c>
      <c r="AN438" t="s">
        <v>97</v>
      </c>
      <c r="AO438">
        <v>2</v>
      </c>
      <c r="AP438">
        <v>0</v>
      </c>
      <c r="AQ438">
        <v>33333.333333333336</v>
      </c>
      <c r="AR438" t="s">
        <v>1451</v>
      </c>
      <c r="AS438" t="s">
        <v>75</v>
      </c>
      <c r="AX438" t="s">
        <v>76</v>
      </c>
      <c r="AY438" t="s">
        <v>71</v>
      </c>
      <c r="AZ438">
        <v>0</v>
      </c>
      <c r="BA438" t="s">
        <v>71</v>
      </c>
      <c r="BB438">
        <v>0</v>
      </c>
      <c r="BD438">
        <v>0.45</v>
      </c>
    </row>
    <row r="439" spans="1:56" x14ac:dyDescent="0.15">
      <c r="A439" s="4" t="str">
        <f>HYPERLINK("https://ibp.a2mac1.com/costing(costing:projects/details/9760/part/8411504)","Warning Triangle")</f>
        <v>Warning Triangle</v>
      </c>
      <c r="B439">
        <v>8411504</v>
      </c>
      <c r="C439">
        <v>8411456</v>
      </c>
      <c r="E439">
        <v>0.78749999999999998</v>
      </c>
      <c r="F439">
        <v>0</v>
      </c>
      <c r="G439">
        <v>0</v>
      </c>
      <c r="H439">
        <v>0</v>
      </c>
      <c r="I439" t="s">
        <v>71</v>
      </c>
      <c r="J439">
        <v>0</v>
      </c>
      <c r="K439">
        <v>0.78749999999999998</v>
      </c>
      <c r="L439">
        <v>0</v>
      </c>
      <c r="M439">
        <v>0</v>
      </c>
      <c r="N439">
        <v>0.78749999999999998</v>
      </c>
      <c r="O439" t="s">
        <v>71</v>
      </c>
      <c r="P439">
        <v>0</v>
      </c>
      <c r="Q439" t="s">
        <v>71</v>
      </c>
      <c r="R439">
        <v>0</v>
      </c>
      <c r="S439" t="s">
        <v>71</v>
      </c>
      <c r="T439">
        <v>0</v>
      </c>
      <c r="U439" t="s">
        <v>71</v>
      </c>
      <c r="V439">
        <v>0</v>
      </c>
      <c r="W439" t="s">
        <v>71</v>
      </c>
      <c r="X439">
        <v>0</v>
      </c>
      <c r="Y439">
        <v>0.78749999999999998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685</v>
      </c>
      <c r="AF439">
        <v>710</v>
      </c>
      <c r="AG439">
        <v>511</v>
      </c>
      <c r="AI439">
        <v>0.41499999999999998</v>
      </c>
      <c r="AK439" t="s">
        <v>740</v>
      </c>
      <c r="AL439" t="s">
        <v>1455</v>
      </c>
      <c r="AM439">
        <v>200000</v>
      </c>
      <c r="AN439" t="s">
        <v>97</v>
      </c>
      <c r="AO439">
        <v>1</v>
      </c>
      <c r="AP439">
        <v>0</v>
      </c>
      <c r="AQ439">
        <v>16666.666666666668</v>
      </c>
      <c r="AR439" t="s">
        <v>1456</v>
      </c>
      <c r="AS439" t="s">
        <v>75</v>
      </c>
      <c r="AX439" t="s">
        <v>76</v>
      </c>
      <c r="AY439" t="s">
        <v>71</v>
      </c>
      <c r="AZ439">
        <v>0</v>
      </c>
      <c r="BA439" t="s">
        <v>71</v>
      </c>
      <c r="BB439">
        <v>0</v>
      </c>
      <c r="BD439">
        <v>0.78749999999999998</v>
      </c>
    </row>
    <row r="440" spans="1:56" x14ac:dyDescent="0.15">
      <c r="A440" s="4" t="str">
        <f>HYPERLINK("https://ibp.a2mac1.com/costing(costing:projects/details/9760/part/8411505)","Brand Emblem")</f>
        <v>Brand Emblem</v>
      </c>
      <c r="B440">
        <v>8411505</v>
      </c>
      <c r="C440">
        <v>8411457</v>
      </c>
      <c r="E440">
        <v>1.8575434500000002E-2</v>
      </c>
      <c r="F440">
        <v>0</v>
      </c>
      <c r="G440">
        <v>0</v>
      </c>
      <c r="H440">
        <v>9.4227266736842104E-5</v>
      </c>
      <c r="I440" t="s">
        <v>176</v>
      </c>
      <c r="J440">
        <v>6.5176963157894741E-4</v>
      </c>
      <c r="K440">
        <v>1.932143139831579E-2</v>
      </c>
      <c r="L440">
        <v>0.88540017204372801</v>
      </c>
      <c r="M440">
        <v>5.3124010322623683</v>
      </c>
      <c r="N440">
        <v>5.3317224636606841</v>
      </c>
      <c r="O440" t="s">
        <v>90</v>
      </c>
      <c r="P440">
        <v>0</v>
      </c>
      <c r="Q440" t="s">
        <v>90</v>
      </c>
      <c r="R440">
        <v>0</v>
      </c>
      <c r="S440" t="s">
        <v>90</v>
      </c>
      <c r="T440">
        <v>0</v>
      </c>
      <c r="U440" t="s">
        <v>90</v>
      </c>
      <c r="V440">
        <v>0</v>
      </c>
      <c r="W440" t="s">
        <v>90</v>
      </c>
      <c r="X440">
        <v>0</v>
      </c>
      <c r="Y440">
        <v>5.3317224636606841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2</v>
      </c>
      <c r="AF440">
        <v>164</v>
      </c>
      <c r="AG440">
        <v>25</v>
      </c>
      <c r="AI440">
        <v>7.0000000000000001E-3</v>
      </c>
      <c r="AK440" t="s">
        <v>1464</v>
      </c>
      <c r="AL440" t="s">
        <v>1465</v>
      </c>
      <c r="AM440">
        <v>200000</v>
      </c>
      <c r="AN440" t="s">
        <v>73</v>
      </c>
      <c r="AO440">
        <v>1</v>
      </c>
      <c r="AP440">
        <v>0</v>
      </c>
      <c r="AQ440">
        <v>16666.666666666668</v>
      </c>
      <c r="AR440" t="s">
        <v>1466</v>
      </c>
      <c r="AS440" t="s">
        <v>75</v>
      </c>
      <c r="AX440" t="s">
        <v>76</v>
      </c>
      <c r="AY440" t="s">
        <v>176</v>
      </c>
      <c r="AZ440">
        <v>0</v>
      </c>
      <c r="BA440" t="s">
        <v>176</v>
      </c>
      <c r="BB440">
        <v>0</v>
      </c>
    </row>
    <row r="441" spans="1:56" x14ac:dyDescent="0.15">
      <c r="A441" s="4" t="str">
        <f>HYPERLINK("https://ibp.a2mac1.com/costing(costing:projects/details/9760/part/8411506)","Model Emblem")</f>
        <v>Model Emblem</v>
      </c>
      <c r="B441">
        <v>8411506</v>
      </c>
      <c r="C441">
        <v>8411457</v>
      </c>
      <c r="E441">
        <v>1.3268167500000001E-2</v>
      </c>
      <c r="F441">
        <v>0</v>
      </c>
      <c r="G441">
        <v>0</v>
      </c>
      <c r="H441">
        <v>6.7305190526315787E-5</v>
      </c>
      <c r="I441" t="s">
        <v>176</v>
      </c>
      <c r="J441">
        <v>4.6554973684210529E-4</v>
      </c>
      <c r="K441">
        <v>1.3801022427368421E-2</v>
      </c>
      <c r="L441">
        <v>0.88540017204372801</v>
      </c>
      <c r="M441">
        <v>5.3124010322623683</v>
      </c>
      <c r="N441">
        <v>5.3262020546897366</v>
      </c>
      <c r="O441" t="s">
        <v>177</v>
      </c>
      <c r="P441">
        <v>8.2806134564210527E-4</v>
      </c>
      <c r="Q441" t="s">
        <v>177</v>
      </c>
      <c r="R441">
        <v>0.31874406193574212</v>
      </c>
      <c r="S441" t="s">
        <v>178</v>
      </c>
      <c r="T441">
        <v>0.63914424656276836</v>
      </c>
      <c r="U441" t="s">
        <v>90</v>
      </c>
      <c r="V441">
        <v>0</v>
      </c>
      <c r="W441" t="s">
        <v>90</v>
      </c>
      <c r="X441">
        <v>0</v>
      </c>
      <c r="Y441">
        <v>6.2849184245338892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144</v>
      </c>
      <c r="AG441">
        <v>25</v>
      </c>
      <c r="AI441">
        <v>5.0000000000000001E-3</v>
      </c>
      <c r="AK441" t="s">
        <v>740</v>
      </c>
      <c r="AL441" t="s">
        <v>1465</v>
      </c>
      <c r="AM441">
        <v>200000</v>
      </c>
      <c r="AN441" t="s">
        <v>97</v>
      </c>
      <c r="AO441">
        <v>1</v>
      </c>
      <c r="AP441">
        <v>0</v>
      </c>
      <c r="AQ441">
        <v>16666.666666666668</v>
      </c>
      <c r="AR441" t="s">
        <v>1472</v>
      </c>
      <c r="AS441" t="s">
        <v>75</v>
      </c>
      <c r="AX441" t="s">
        <v>76</v>
      </c>
      <c r="AY441" t="s">
        <v>176</v>
      </c>
      <c r="AZ441">
        <v>0</v>
      </c>
      <c r="BA441" t="s">
        <v>176</v>
      </c>
      <c r="BB441">
        <v>0</v>
      </c>
    </row>
    <row r="442" spans="1:56" x14ac:dyDescent="0.15">
      <c r="A442" s="4" t="str">
        <f>HYPERLINK("https://ibp.a2mac1.com/costing(costing:projects/details/9760/part/8411529)","Antenna Support")</f>
        <v>Antenna Support</v>
      </c>
      <c r="B442">
        <v>8411529</v>
      </c>
      <c r="C442">
        <v>8411458</v>
      </c>
      <c r="E442">
        <v>0.503</v>
      </c>
      <c r="F442">
        <v>0</v>
      </c>
      <c r="G442">
        <v>0</v>
      </c>
      <c r="H442">
        <v>0</v>
      </c>
      <c r="I442" t="s">
        <v>71</v>
      </c>
      <c r="J442">
        <v>0</v>
      </c>
      <c r="K442">
        <v>0.503</v>
      </c>
      <c r="L442">
        <v>0</v>
      </c>
      <c r="M442">
        <v>0</v>
      </c>
      <c r="N442">
        <v>0.503</v>
      </c>
      <c r="O442" t="s">
        <v>71</v>
      </c>
      <c r="P442">
        <v>0</v>
      </c>
      <c r="Q442" t="s">
        <v>71</v>
      </c>
      <c r="R442">
        <v>0</v>
      </c>
      <c r="S442" t="s">
        <v>71</v>
      </c>
      <c r="T442">
        <v>0</v>
      </c>
      <c r="U442" t="s">
        <v>71</v>
      </c>
      <c r="V442">
        <v>0</v>
      </c>
      <c r="W442" t="s">
        <v>71</v>
      </c>
      <c r="X442">
        <v>0</v>
      </c>
      <c r="Y442">
        <v>0.503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30</v>
      </c>
      <c r="AF442">
        <v>183</v>
      </c>
      <c r="AG442">
        <v>69</v>
      </c>
      <c r="AI442">
        <v>3.9E-2</v>
      </c>
      <c r="AK442" t="s">
        <v>288</v>
      </c>
      <c r="AL442" t="s">
        <v>951</v>
      </c>
      <c r="AM442">
        <v>200000</v>
      </c>
      <c r="AN442" t="s">
        <v>97</v>
      </c>
      <c r="AO442">
        <v>1</v>
      </c>
      <c r="AP442">
        <v>0</v>
      </c>
      <c r="AQ442">
        <v>16666.666666666668</v>
      </c>
      <c r="AR442" t="s">
        <v>1481</v>
      </c>
      <c r="AS442" t="s">
        <v>75</v>
      </c>
      <c r="AX442" t="s">
        <v>76</v>
      </c>
      <c r="AY442" t="s">
        <v>71</v>
      </c>
      <c r="AZ442">
        <v>0</v>
      </c>
      <c r="BA442" t="s">
        <v>71</v>
      </c>
      <c r="BB442">
        <v>0</v>
      </c>
      <c r="BD442">
        <v>0.503</v>
      </c>
    </row>
    <row r="443" spans="1:56" x14ac:dyDescent="0.15">
      <c r="A443" s="4" t="str">
        <f>HYPERLINK("https://ibp.a2mac1.com/costing(costing:projects/details/9760/part/8411530)","Pedestrian Sound Speaker Grill")</f>
        <v>Pedestrian Sound Speaker Grill</v>
      </c>
      <c r="B443">
        <v>8411530</v>
      </c>
      <c r="C443">
        <v>8411459</v>
      </c>
      <c r="E443">
        <v>3.87</v>
      </c>
      <c r="F443">
        <v>0</v>
      </c>
      <c r="G443">
        <v>0</v>
      </c>
      <c r="H443">
        <v>0</v>
      </c>
      <c r="I443" t="s">
        <v>71</v>
      </c>
      <c r="J443">
        <v>0</v>
      </c>
      <c r="K443">
        <v>3.87</v>
      </c>
      <c r="L443">
        <v>0</v>
      </c>
      <c r="M443">
        <v>0</v>
      </c>
      <c r="N443">
        <v>3.87</v>
      </c>
      <c r="O443" t="s">
        <v>71</v>
      </c>
      <c r="P443">
        <v>0</v>
      </c>
      <c r="Q443" t="s">
        <v>71</v>
      </c>
      <c r="R443">
        <v>0</v>
      </c>
      <c r="S443" t="s">
        <v>71</v>
      </c>
      <c r="T443">
        <v>0</v>
      </c>
      <c r="U443" t="s">
        <v>71</v>
      </c>
      <c r="V443">
        <v>0</v>
      </c>
      <c r="W443" t="s">
        <v>71</v>
      </c>
      <c r="X443">
        <v>0</v>
      </c>
      <c r="Y443">
        <v>3.87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125</v>
      </c>
      <c r="AF443">
        <v>159</v>
      </c>
      <c r="AG443">
        <v>143</v>
      </c>
      <c r="AI443">
        <v>0.56000000000000005</v>
      </c>
      <c r="AK443" t="s">
        <v>365</v>
      </c>
      <c r="AL443" t="s">
        <v>1484</v>
      </c>
      <c r="AM443">
        <v>200000</v>
      </c>
      <c r="AN443" t="s">
        <v>97</v>
      </c>
      <c r="AO443">
        <v>1</v>
      </c>
      <c r="AP443">
        <v>0</v>
      </c>
      <c r="AQ443">
        <v>16666.666666666668</v>
      </c>
      <c r="AR443" t="s">
        <v>1485</v>
      </c>
      <c r="AS443" t="s">
        <v>75</v>
      </c>
      <c r="AX443" t="s">
        <v>76</v>
      </c>
      <c r="AY443" t="s">
        <v>71</v>
      </c>
      <c r="AZ443">
        <v>0</v>
      </c>
      <c r="BA443" t="s">
        <v>71</v>
      </c>
      <c r="BB443">
        <v>0</v>
      </c>
      <c r="BD443">
        <v>3.87</v>
      </c>
    </row>
    <row r="444" spans="1:56" x14ac:dyDescent="0.15">
      <c r="A444" s="4" t="str">
        <f>HYPERLINK("https://ibp.a2mac1.com/costing(costing:projects/details/9760/part/8411634)","Front Camera Support")</f>
        <v>Front Camera Support</v>
      </c>
      <c r="B444">
        <v>8411634</v>
      </c>
      <c r="C444">
        <v>8411582</v>
      </c>
      <c r="E444">
        <v>0.12</v>
      </c>
      <c r="F444">
        <v>0</v>
      </c>
      <c r="G444">
        <v>0</v>
      </c>
      <c r="H444">
        <v>0</v>
      </c>
      <c r="I444" t="s">
        <v>71</v>
      </c>
      <c r="J444">
        <v>0</v>
      </c>
      <c r="K444">
        <v>0.12</v>
      </c>
      <c r="L444">
        <v>0</v>
      </c>
      <c r="M444">
        <v>0</v>
      </c>
      <c r="N444">
        <v>0.12</v>
      </c>
      <c r="O444" t="s">
        <v>71</v>
      </c>
      <c r="P444">
        <v>0</v>
      </c>
      <c r="Q444" t="s">
        <v>71</v>
      </c>
      <c r="R444">
        <v>0</v>
      </c>
      <c r="S444" t="s">
        <v>71</v>
      </c>
      <c r="T444">
        <v>0</v>
      </c>
      <c r="U444" t="s">
        <v>71</v>
      </c>
      <c r="V444">
        <v>0</v>
      </c>
      <c r="W444" t="s">
        <v>71</v>
      </c>
      <c r="X444">
        <v>0</v>
      </c>
      <c r="Y444">
        <v>0.12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9</v>
      </c>
      <c r="AF444">
        <v>59</v>
      </c>
      <c r="AG444">
        <v>29</v>
      </c>
      <c r="AI444">
        <v>6.0000000000000001E-3</v>
      </c>
      <c r="AK444" t="s">
        <v>288</v>
      </c>
      <c r="AL444" t="s">
        <v>448</v>
      </c>
      <c r="AM444">
        <v>200000</v>
      </c>
      <c r="AN444" t="s">
        <v>97</v>
      </c>
      <c r="AO444">
        <v>1</v>
      </c>
      <c r="AP444">
        <v>0</v>
      </c>
      <c r="AQ444">
        <v>16666.666666666668</v>
      </c>
      <c r="AR444" t="s">
        <v>1495</v>
      </c>
      <c r="AS444" t="s">
        <v>75</v>
      </c>
      <c r="AX444" t="s">
        <v>76</v>
      </c>
      <c r="AY444" t="s">
        <v>71</v>
      </c>
      <c r="AZ444">
        <v>0</v>
      </c>
      <c r="BA444" t="s">
        <v>71</v>
      </c>
      <c r="BB444">
        <v>0</v>
      </c>
      <c r="BD444">
        <v>0.12</v>
      </c>
    </row>
    <row r="445" spans="1:56" x14ac:dyDescent="0.15">
      <c r="A445" s="4" t="str">
        <f>HYPERLINK("https://ibp.a2mac1.com/costing(costing:projects/details/9760/part/8411635)","Front Camera Trim")</f>
        <v>Front Camera Trim</v>
      </c>
      <c r="B445">
        <v>8411635</v>
      </c>
      <c r="C445">
        <v>8411582</v>
      </c>
      <c r="E445">
        <v>0.1</v>
      </c>
      <c r="F445">
        <v>0</v>
      </c>
      <c r="G445">
        <v>0</v>
      </c>
      <c r="H445">
        <v>0</v>
      </c>
      <c r="I445" t="s">
        <v>71</v>
      </c>
      <c r="J445">
        <v>0</v>
      </c>
      <c r="K445">
        <v>0.1</v>
      </c>
      <c r="L445">
        <v>0</v>
      </c>
      <c r="M445">
        <v>0</v>
      </c>
      <c r="N445">
        <v>0.1</v>
      </c>
      <c r="O445" t="s">
        <v>71</v>
      </c>
      <c r="P445">
        <v>0</v>
      </c>
      <c r="Q445" t="s">
        <v>71</v>
      </c>
      <c r="R445">
        <v>0</v>
      </c>
      <c r="S445" t="s">
        <v>71</v>
      </c>
      <c r="T445">
        <v>0</v>
      </c>
      <c r="U445" t="s">
        <v>71</v>
      </c>
      <c r="V445">
        <v>0</v>
      </c>
      <c r="W445" t="s">
        <v>71</v>
      </c>
      <c r="X445">
        <v>0</v>
      </c>
      <c r="Y445">
        <v>0.1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22</v>
      </c>
      <c r="AF445">
        <v>71</v>
      </c>
      <c r="AG445">
        <v>32</v>
      </c>
      <c r="AI445">
        <v>1.2E-2</v>
      </c>
      <c r="AK445" t="s">
        <v>288</v>
      </c>
      <c r="AL445" t="s">
        <v>399</v>
      </c>
      <c r="AM445">
        <v>200000</v>
      </c>
      <c r="AN445" t="s">
        <v>97</v>
      </c>
      <c r="AO445">
        <v>1</v>
      </c>
      <c r="AP445">
        <v>0</v>
      </c>
      <c r="AQ445">
        <v>16666.666666666668</v>
      </c>
      <c r="AR445" t="s">
        <v>1496</v>
      </c>
      <c r="AS445" t="s">
        <v>75</v>
      </c>
      <c r="AX445" t="s">
        <v>76</v>
      </c>
      <c r="AY445" t="s">
        <v>71</v>
      </c>
      <c r="AZ445">
        <v>0</v>
      </c>
      <c r="BA445" t="s">
        <v>71</v>
      </c>
      <c r="BB445">
        <v>0</v>
      </c>
      <c r="BD445">
        <v>0.1</v>
      </c>
    </row>
    <row r="446" spans="1:56" x14ac:dyDescent="0.15">
      <c r="A446" s="4" t="str">
        <f>HYPERLINK("https://ibp.a2mac1.com/costing(costing:projects/details/9760/part/8411577)","Front Park Assist Sensor")</f>
        <v>Front Park Assist Sensor</v>
      </c>
      <c r="B446">
        <v>8411577</v>
      </c>
      <c r="C446">
        <v>8411531</v>
      </c>
      <c r="E446">
        <v>7.74</v>
      </c>
      <c r="F446">
        <v>0</v>
      </c>
      <c r="G446">
        <v>0</v>
      </c>
      <c r="H446">
        <v>0</v>
      </c>
      <c r="I446" t="s">
        <v>71</v>
      </c>
      <c r="J446">
        <v>0</v>
      </c>
      <c r="K446">
        <v>7.74</v>
      </c>
      <c r="L446">
        <v>0</v>
      </c>
      <c r="M446">
        <v>0</v>
      </c>
      <c r="N446">
        <v>7.74</v>
      </c>
      <c r="O446" t="s">
        <v>71</v>
      </c>
      <c r="P446">
        <v>0</v>
      </c>
      <c r="Q446" t="s">
        <v>71</v>
      </c>
      <c r="R446">
        <v>0</v>
      </c>
      <c r="S446" t="s">
        <v>71</v>
      </c>
      <c r="T446">
        <v>0</v>
      </c>
      <c r="U446" t="s">
        <v>71</v>
      </c>
      <c r="V446">
        <v>0</v>
      </c>
      <c r="W446" t="s">
        <v>71</v>
      </c>
      <c r="X446">
        <v>0</v>
      </c>
      <c r="Y446">
        <v>7.74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25</v>
      </c>
      <c r="AF446">
        <v>28</v>
      </c>
      <c r="AG446">
        <v>42</v>
      </c>
      <c r="AI446">
        <v>0.03</v>
      </c>
      <c r="AK446" t="s">
        <v>365</v>
      </c>
      <c r="AL446" t="s">
        <v>1433</v>
      </c>
      <c r="AM446">
        <v>400000</v>
      </c>
      <c r="AN446" t="s">
        <v>97</v>
      </c>
      <c r="AO446">
        <v>2</v>
      </c>
      <c r="AP446">
        <v>0</v>
      </c>
      <c r="AQ446">
        <v>33333.333333333336</v>
      </c>
      <c r="AR446" t="s">
        <v>1498</v>
      </c>
      <c r="AS446" t="s">
        <v>75</v>
      </c>
      <c r="AX446" t="s">
        <v>76</v>
      </c>
      <c r="AY446" t="s">
        <v>71</v>
      </c>
      <c r="AZ446">
        <v>0</v>
      </c>
      <c r="BA446" t="s">
        <v>71</v>
      </c>
      <c r="BB446">
        <v>0</v>
      </c>
      <c r="BD446">
        <v>3.87</v>
      </c>
    </row>
    <row r="447" spans="1:56" x14ac:dyDescent="0.15">
      <c r="A447" s="4" t="str">
        <f>HYPERLINK("https://ibp.a2mac1.com/costing(costing:projects/details/9760/part/8411578)","Front Park Assist Sensor Support")</f>
        <v>Front Park Assist Sensor Support</v>
      </c>
      <c r="B447">
        <v>8411578</v>
      </c>
      <c r="C447">
        <v>8411531</v>
      </c>
      <c r="E447">
        <v>0.48</v>
      </c>
      <c r="F447">
        <v>0</v>
      </c>
      <c r="G447">
        <v>0</v>
      </c>
      <c r="H447">
        <v>0</v>
      </c>
      <c r="I447" t="s">
        <v>71</v>
      </c>
      <c r="J447">
        <v>0</v>
      </c>
      <c r="K447">
        <v>0.48</v>
      </c>
      <c r="L447">
        <v>0</v>
      </c>
      <c r="M447">
        <v>0</v>
      </c>
      <c r="N447">
        <v>0.48</v>
      </c>
      <c r="O447" t="s">
        <v>71</v>
      </c>
      <c r="P447">
        <v>0</v>
      </c>
      <c r="Q447" t="s">
        <v>71</v>
      </c>
      <c r="R447">
        <v>0</v>
      </c>
      <c r="S447" t="s">
        <v>71</v>
      </c>
      <c r="T447">
        <v>0</v>
      </c>
      <c r="U447" t="s">
        <v>71</v>
      </c>
      <c r="V447">
        <v>0</v>
      </c>
      <c r="W447" t="s">
        <v>71</v>
      </c>
      <c r="X447">
        <v>0</v>
      </c>
      <c r="Y447">
        <v>0.48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27</v>
      </c>
      <c r="AF447">
        <v>76</v>
      </c>
      <c r="AG447">
        <v>30</v>
      </c>
      <c r="AI447">
        <v>1.6E-2</v>
      </c>
      <c r="AK447" t="s">
        <v>288</v>
      </c>
      <c r="AL447" t="s">
        <v>1346</v>
      </c>
      <c r="AM447">
        <v>400000</v>
      </c>
      <c r="AN447" t="s">
        <v>97</v>
      </c>
      <c r="AO447">
        <v>2</v>
      </c>
      <c r="AP447">
        <v>0</v>
      </c>
      <c r="AQ447">
        <v>33333.333333333336</v>
      </c>
      <c r="AR447" t="s">
        <v>1499</v>
      </c>
      <c r="AS447" t="s">
        <v>75</v>
      </c>
      <c r="AX447" t="s">
        <v>76</v>
      </c>
      <c r="AY447" t="s">
        <v>71</v>
      </c>
      <c r="AZ447">
        <v>0</v>
      </c>
      <c r="BA447" t="s">
        <v>71</v>
      </c>
      <c r="BB447">
        <v>0</v>
      </c>
      <c r="BD447">
        <v>0.24</v>
      </c>
    </row>
    <row r="448" spans="1:56" x14ac:dyDescent="0.15">
      <c r="A448" s="4" t="str">
        <f>HYPERLINK("https://ibp.a2mac1.com/costing(costing:projects/details/9760/part/8411579)","Front Park Assist Sensor 2")</f>
        <v>Front Park Assist Sensor 2</v>
      </c>
      <c r="B448">
        <v>8411579</v>
      </c>
      <c r="C448">
        <v>8411531</v>
      </c>
      <c r="E448">
        <v>15.48</v>
      </c>
      <c r="F448">
        <v>0</v>
      </c>
      <c r="G448">
        <v>0</v>
      </c>
      <c r="H448">
        <v>0</v>
      </c>
      <c r="I448" t="s">
        <v>71</v>
      </c>
      <c r="J448">
        <v>0</v>
      </c>
      <c r="K448">
        <v>15.48</v>
      </c>
      <c r="L448">
        <v>0</v>
      </c>
      <c r="M448">
        <v>0</v>
      </c>
      <c r="N448">
        <v>15.48</v>
      </c>
      <c r="O448" t="s">
        <v>71</v>
      </c>
      <c r="P448">
        <v>0</v>
      </c>
      <c r="Q448" t="s">
        <v>71</v>
      </c>
      <c r="R448">
        <v>0</v>
      </c>
      <c r="S448" t="s">
        <v>71</v>
      </c>
      <c r="T448">
        <v>0</v>
      </c>
      <c r="U448" t="s">
        <v>71</v>
      </c>
      <c r="V448">
        <v>0</v>
      </c>
      <c r="W448" t="s">
        <v>71</v>
      </c>
      <c r="X448">
        <v>0</v>
      </c>
      <c r="Y448">
        <v>15.48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25</v>
      </c>
      <c r="AF448">
        <v>28</v>
      </c>
      <c r="AG448">
        <v>41</v>
      </c>
      <c r="AI448">
        <v>0.06</v>
      </c>
      <c r="AK448" t="s">
        <v>365</v>
      </c>
      <c r="AL448" t="s">
        <v>827</v>
      </c>
      <c r="AM448">
        <v>800000</v>
      </c>
      <c r="AN448" t="s">
        <v>97</v>
      </c>
      <c r="AO448">
        <v>4</v>
      </c>
      <c r="AP448">
        <v>0</v>
      </c>
      <c r="AQ448">
        <v>66666.666666666672</v>
      </c>
      <c r="AR448" t="s">
        <v>1500</v>
      </c>
      <c r="AS448" t="s">
        <v>75</v>
      </c>
      <c r="AX448" t="s">
        <v>76</v>
      </c>
      <c r="AY448" t="s">
        <v>71</v>
      </c>
      <c r="AZ448">
        <v>0</v>
      </c>
      <c r="BA448" t="s">
        <v>71</v>
      </c>
      <c r="BB448">
        <v>0</v>
      </c>
      <c r="BD448">
        <v>3.87</v>
      </c>
    </row>
    <row r="449" spans="1:56" x14ac:dyDescent="0.15">
      <c r="A449" s="4" t="str">
        <f>HYPERLINK("https://ibp.a2mac1.com/costing(costing:projects/details/9760/part/8411580)","Front Park Assist Sensor 2 Support")</f>
        <v>Front Park Assist Sensor 2 Support</v>
      </c>
      <c r="B449">
        <v>8411580</v>
      </c>
      <c r="C449">
        <v>8411531</v>
      </c>
      <c r="E449">
        <v>0.48</v>
      </c>
      <c r="F449">
        <v>0</v>
      </c>
      <c r="G449">
        <v>0</v>
      </c>
      <c r="H449">
        <v>0</v>
      </c>
      <c r="I449" t="s">
        <v>71</v>
      </c>
      <c r="J449">
        <v>0</v>
      </c>
      <c r="K449">
        <v>0.48</v>
      </c>
      <c r="L449">
        <v>0</v>
      </c>
      <c r="M449">
        <v>0</v>
      </c>
      <c r="N449">
        <v>0.48</v>
      </c>
      <c r="O449" t="s">
        <v>71</v>
      </c>
      <c r="P449">
        <v>0</v>
      </c>
      <c r="Q449" t="s">
        <v>71</v>
      </c>
      <c r="R449">
        <v>0</v>
      </c>
      <c r="S449" t="s">
        <v>71</v>
      </c>
      <c r="T449">
        <v>0</v>
      </c>
      <c r="U449" t="s">
        <v>71</v>
      </c>
      <c r="V449">
        <v>0</v>
      </c>
      <c r="W449" t="s">
        <v>71</v>
      </c>
      <c r="X449">
        <v>0</v>
      </c>
      <c r="Y449">
        <v>0.48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31</v>
      </c>
      <c r="AF449">
        <v>37</v>
      </c>
      <c r="AG449">
        <v>72</v>
      </c>
      <c r="AI449">
        <v>1.6E-2</v>
      </c>
      <c r="AK449" t="s">
        <v>288</v>
      </c>
      <c r="AL449" t="s">
        <v>399</v>
      </c>
      <c r="AM449">
        <v>400000</v>
      </c>
      <c r="AN449" t="s">
        <v>97</v>
      </c>
      <c r="AO449">
        <v>2</v>
      </c>
      <c r="AP449">
        <v>0</v>
      </c>
      <c r="AQ449">
        <v>33333.333333333336</v>
      </c>
      <c r="AR449" t="s">
        <v>1501</v>
      </c>
      <c r="AS449" t="s">
        <v>75</v>
      </c>
      <c r="AX449" t="s">
        <v>76</v>
      </c>
      <c r="AY449" t="s">
        <v>71</v>
      </c>
      <c r="AZ449">
        <v>0</v>
      </c>
      <c r="BA449" t="s">
        <v>71</v>
      </c>
      <c r="BB449">
        <v>0</v>
      </c>
      <c r="BD449">
        <v>0.24</v>
      </c>
    </row>
    <row r="450" spans="1:56" x14ac:dyDescent="0.15">
      <c r="A450" s="4" t="str">
        <f>HYPERLINK("https://ibp.a2mac1.com/costing(costing:projects/details/9760/part/8411581)","Front Park Assist Sensor 2 Support 2")</f>
        <v>Front Park Assist Sensor 2 Support 2</v>
      </c>
      <c r="B450">
        <v>8411581</v>
      </c>
      <c r="C450">
        <v>8411531</v>
      </c>
      <c r="E450">
        <v>0.44</v>
      </c>
      <c r="F450">
        <v>0</v>
      </c>
      <c r="G450">
        <v>0</v>
      </c>
      <c r="H450">
        <v>0</v>
      </c>
      <c r="I450" t="s">
        <v>71</v>
      </c>
      <c r="J450">
        <v>0</v>
      </c>
      <c r="K450">
        <v>0.44</v>
      </c>
      <c r="L450">
        <v>0</v>
      </c>
      <c r="M450">
        <v>0</v>
      </c>
      <c r="N450">
        <v>0.44</v>
      </c>
      <c r="O450" t="s">
        <v>71</v>
      </c>
      <c r="P450">
        <v>0</v>
      </c>
      <c r="Q450" t="s">
        <v>71</v>
      </c>
      <c r="R450">
        <v>0</v>
      </c>
      <c r="S450" t="s">
        <v>71</v>
      </c>
      <c r="T450">
        <v>0</v>
      </c>
      <c r="U450" t="s">
        <v>71</v>
      </c>
      <c r="V450">
        <v>0</v>
      </c>
      <c r="W450" t="s">
        <v>71</v>
      </c>
      <c r="X450">
        <v>0</v>
      </c>
      <c r="Y450">
        <v>0.44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31</v>
      </c>
      <c r="AF450">
        <v>33</v>
      </c>
      <c r="AG450">
        <v>78</v>
      </c>
      <c r="AI450">
        <v>1.2999999999999999E-2</v>
      </c>
      <c r="AK450" t="s">
        <v>288</v>
      </c>
      <c r="AL450" t="s">
        <v>1346</v>
      </c>
      <c r="AM450">
        <v>400000</v>
      </c>
      <c r="AN450" t="s">
        <v>97</v>
      </c>
      <c r="AO450">
        <v>2</v>
      </c>
      <c r="AP450">
        <v>0</v>
      </c>
      <c r="AQ450">
        <v>33333.333333333336</v>
      </c>
      <c r="AR450" t="s">
        <v>1502</v>
      </c>
      <c r="AS450" t="s">
        <v>75</v>
      </c>
      <c r="AX450" t="s">
        <v>76</v>
      </c>
      <c r="AY450" t="s">
        <v>71</v>
      </c>
      <c r="AZ450">
        <v>0</v>
      </c>
      <c r="BA450" t="s">
        <v>71</v>
      </c>
      <c r="BB450">
        <v>0</v>
      </c>
      <c r="BD450">
        <v>0.22</v>
      </c>
    </row>
    <row r="451" spans="1:56" x14ac:dyDescent="0.15">
      <c r="A451" s="4" t="str">
        <f>HYPERLINK("https://ibp.a2mac1.com/costing(costing:projects/details/9760/part/8411637)","Rear Camera Support")</f>
        <v>Rear Camera Support</v>
      </c>
      <c r="B451">
        <v>8411637</v>
      </c>
      <c r="C451">
        <v>8411590</v>
      </c>
      <c r="E451">
        <v>0.11</v>
      </c>
      <c r="F451">
        <v>0</v>
      </c>
      <c r="G451">
        <v>0</v>
      </c>
      <c r="H451">
        <v>0</v>
      </c>
      <c r="I451" t="s">
        <v>71</v>
      </c>
      <c r="J451">
        <v>0</v>
      </c>
      <c r="K451">
        <v>0.11</v>
      </c>
      <c r="L451">
        <v>0</v>
      </c>
      <c r="M451">
        <v>0</v>
      </c>
      <c r="N451">
        <v>0.11</v>
      </c>
      <c r="O451" t="s">
        <v>71</v>
      </c>
      <c r="P451">
        <v>0</v>
      </c>
      <c r="Q451" t="s">
        <v>71</v>
      </c>
      <c r="R451">
        <v>0</v>
      </c>
      <c r="S451" t="s">
        <v>71</v>
      </c>
      <c r="T451">
        <v>0</v>
      </c>
      <c r="U451" t="s">
        <v>71</v>
      </c>
      <c r="V451">
        <v>0</v>
      </c>
      <c r="W451" t="s">
        <v>71</v>
      </c>
      <c r="X451">
        <v>0</v>
      </c>
      <c r="Y451">
        <v>0.11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10</v>
      </c>
      <c r="AF451">
        <v>59</v>
      </c>
      <c r="AG451">
        <v>29</v>
      </c>
      <c r="AI451">
        <v>5.0000000000000001E-3</v>
      </c>
      <c r="AK451" t="s">
        <v>288</v>
      </c>
      <c r="AL451" t="s">
        <v>448</v>
      </c>
      <c r="AM451">
        <v>200000</v>
      </c>
      <c r="AN451" t="s">
        <v>97</v>
      </c>
      <c r="AO451">
        <v>1</v>
      </c>
      <c r="AP451">
        <v>0</v>
      </c>
      <c r="AQ451">
        <v>16666.666666666668</v>
      </c>
      <c r="AR451" t="s">
        <v>1509</v>
      </c>
      <c r="AS451" t="s">
        <v>75</v>
      </c>
      <c r="AX451" t="s">
        <v>76</v>
      </c>
      <c r="AY451" t="s">
        <v>71</v>
      </c>
      <c r="AZ451">
        <v>0</v>
      </c>
      <c r="BA451" t="s">
        <v>71</v>
      </c>
      <c r="BB451">
        <v>0</v>
      </c>
      <c r="BD451">
        <v>0.11</v>
      </c>
    </row>
    <row r="452" spans="1:56" x14ac:dyDescent="0.15">
      <c r="A452" s="4" t="str">
        <f>HYPERLINK("https://ibp.a2mac1.com/costing(costing:projects/details/9760/part/8411638)","Rear Camera Support 2")</f>
        <v>Rear Camera Support 2</v>
      </c>
      <c r="B452">
        <v>8411638</v>
      </c>
      <c r="C452">
        <v>8411590</v>
      </c>
      <c r="E452">
        <v>7.0000000000000007E-2</v>
      </c>
      <c r="F452">
        <v>0</v>
      </c>
      <c r="G452">
        <v>0</v>
      </c>
      <c r="H452">
        <v>0</v>
      </c>
      <c r="I452" t="s">
        <v>71</v>
      </c>
      <c r="J452">
        <v>0</v>
      </c>
      <c r="K452">
        <v>7.0000000000000007E-2</v>
      </c>
      <c r="L452">
        <v>0</v>
      </c>
      <c r="M452">
        <v>0</v>
      </c>
      <c r="N452">
        <v>7.0000000000000007E-2</v>
      </c>
      <c r="O452" t="s">
        <v>71</v>
      </c>
      <c r="P452">
        <v>0</v>
      </c>
      <c r="Q452" t="s">
        <v>71</v>
      </c>
      <c r="R452">
        <v>0</v>
      </c>
      <c r="S452" t="s">
        <v>71</v>
      </c>
      <c r="T452">
        <v>0</v>
      </c>
      <c r="U452" t="s">
        <v>71</v>
      </c>
      <c r="V452">
        <v>0</v>
      </c>
      <c r="W452" t="s">
        <v>71</v>
      </c>
      <c r="X452">
        <v>0</v>
      </c>
      <c r="Y452">
        <v>7.0000000000000007E-2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20</v>
      </c>
      <c r="AF452">
        <v>91</v>
      </c>
      <c r="AG452">
        <v>26</v>
      </c>
      <c r="AI452">
        <v>5.0000000000000001E-3</v>
      </c>
      <c r="AK452" t="s">
        <v>288</v>
      </c>
      <c r="AL452" t="s">
        <v>951</v>
      </c>
      <c r="AM452">
        <v>200000</v>
      </c>
      <c r="AN452" t="s">
        <v>97</v>
      </c>
      <c r="AO452">
        <v>1</v>
      </c>
      <c r="AP452">
        <v>0</v>
      </c>
      <c r="AQ452">
        <v>16666.666666666668</v>
      </c>
      <c r="AR452" t="s">
        <v>1510</v>
      </c>
      <c r="AS452" t="s">
        <v>75</v>
      </c>
      <c r="AX452" t="s">
        <v>76</v>
      </c>
      <c r="AY452" t="s">
        <v>71</v>
      </c>
      <c r="AZ452">
        <v>0</v>
      </c>
      <c r="BA452" t="s">
        <v>71</v>
      </c>
      <c r="BB452">
        <v>0</v>
      </c>
      <c r="BD452">
        <v>7.0000000000000007E-2</v>
      </c>
    </row>
    <row r="453" spans="1:56" x14ac:dyDescent="0.15">
      <c r="A453" s="4" t="str">
        <f>HYPERLINK("https://ibp.a2mac1.com/costing(costing:projects/details/9760/part/8411583)","Rear Park Assist Sensor")</f>
        <v>Rear Park Assist Sensor</v>
      </c>
      <c r="B453">
        <v>8411583</v>
      </c>
      <c r="C453">
        <v>8411532</v>
      </c>
      <c r="E453">
        <v>7.74</v>
      </c>
      <c r="F453">
        <v>0</v>
      </c>
      <c r="G453">
        <v>0</v>
      </c>
      <c r="H453">
        <v>0</v>
      </c>
      <c r="I453" t="s">
        <v>71</v>
      </c>
      <c r="J453">
        <v>0</v>
      </c>
      <c r="K453">
        <v>7.74</v>
      </c>
      <c r="L453">
        <v>0</v>
      </c>
      <c r="M453">
        <v>0</v>
      </c>
      <c r="N453">
        <v>7.74</v>
      </c>
      <c r="O453" t="s">
        <v>71</v>
      </c>
      <c r="P453">
        <v>0</v>
      </c>
      <c r="Q453" t="s">
        <v>71</v>
      </c>
      <c r="R453">
        <v>0</v>
      </c>
      <c r="S453" t="s">
        <v>71</v>
      </c>
      <c r="T453">
        <v>0</v>
      </c>
      <c r="U453" t="s">
        <v>71</v>
      </c>
      <c r="V453">
        <v>0</v>
      </c>
      <c r="W453" t="s">
        <v>71</v>
      </c>
      <c r="X453">
        <v>0</v>
      </c>
      <c r="Y453">
        <v>7.74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25</v>
      </c>
      <c r="AF453">
        <v>28</v>
      </c>
      <c r="AG453">
        <v>41</v>
      </c>
      <c r="AI453">
        <v>2.9000000000000001E-2</v>
      </c>
      <c r="AK453" t="s">
        <v>365</v>
      </c>
      <c r="AL453" t="s">
        <v>830</v>
      </c>
      <c r="AM453">
        <v>400000</v>
      </c>
      <c r="AN453" t="s">
        <v>97</v>
      </c>
      <c r="AO453">
        <v>2</v>
      </c>
      <c r="AP453">
        <v>0</v>
      </c>
      <c r="AQ453">
        <v>33333.333333333336</v>
      </c>
      <c r="AR453" t="s">
        <v>1512</v>
      </c>
      <c r="AS453" t="s">
        <v>75</v>
      </c>
      <c r="AX453" t="s">
        <v>76</v>
      </c>
      <c r="AY453" t="s">
        <v>71</v>
      </c>
      <c r="AZ453">
        <v>0</v>
      </c>
      <c r="BA453" t="s">
        <v>71</v>
      </c>
      <c r="BB453">
        <v>0</v>
      </c>
      <c r="BD453">
        <v>3.87</v>
      </c>
    </row>
    <row r="454" spans="1:56" x14ac:dyDescent="0.15">
      <c r="A454" s="4" t="str">
        <f>HYPERLINK("https://ibp.a2mac1.com/costing(costing:projects/details/9760/part/8411584)","Rear Park Assist Sensor Support")</f>
        <v>Rear Park Assist Sensor Support</v>
      </c>
      <c r="B454">
        <v>8411584</v>
      </c>
      <c r="C454">
        <v>8411532</v>
      </c>
      <c r="E454">
        <v>0.42</v>
      </c>
      <c r="F454">
        <v>0</v>
      </c>
      <c r="G454">
        <v>0</v>
      </c>
      <c r="H454">
        <v>0</v>
      </c>
      <c r="I454" t="s">
        <v>71</v>
      </c>
      <c r="J454">
        <v>0</v>
      </c>
      <c r="K454">
        <v>0.42</v>
      </c>
      <c r="L454">
        <v>0</v>
      </c>
      <c r="M454">
        <v>0</v>
      </c>
      <c r="N454">
        <v>0.42</v>
      </c>
      <c r="O454" t="s">
        <v>71</v>
      </c>
      <c r="P454">
        <v>0</v>
      </c>
      <c r="Q454" t="s">
        <v>71</v>
      </c>
      <c r="R454">
        <v>0</v>
      </c>
      <c r="S454" t="s">
        <v>71</v>
      </c>
      <c r="T454">
        <v>0</v>
      </c>
      <c r="U454" t="s">
        <v>71</v>
      </c>
      <c r="V454">
        <v>0</v>
      </c>
      <c r="W454" t="s">
        <v>71</v>
      </c>
      <c r="X454">
        <v>0</v>
      </c>
      <c r="Y454">
        <v>0.42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31</v>
      </c>
      <c r="AF454">
        <v>29</v>
      </c>
      <c r="AG454">
        <v>85</v>
      </c>
      <c r="AI454">
        <v>1.2E-2</v>
      </c>
      <c r="AK454" t="s">
        <v>288</v>
      </c>
      <c r="AL454" t="s">
        <v>951</v>
      </c>
      <c r="AM454">
        <v>400000</v>
      </c>
      <c r="AN454" t="s">
        <v>97</v>
      </c>
      <c r="AO454">
        <v>2</v>
      </c>
      <c r="AP454">
        <v>0</v>
      </c>
      <c r="AQ454">
        <v>33333.333333333336</v>
      </c>
      <c r="AR454" t="s">
        <v>1513</v>
      </c>
      <c r="AS454" t="s">
        <v>75</v>
      </c>
      <c r="AX454" t="s">
        <v>76</v>
      </c>
      <c r="AY454" t="s">
        <v>71</v>
      </c>
      <c r="AZ454">
        <v>0</v>
      </c>
      <c r="BA454" t="s">
        <v>71</v>
      </c>
      <c r="BB454">
        <v>0</v>
      </c>
      <c r="BD454">
        <v>0.21</v>
      </c>
    </row>
    <row r="455" spans="1:56" x14ac:dyDescent="0.15">
      <c r="A455" s="4" t="str">
        <f>HYPERLINK("https://ibp.a2mac1.com/costing(costing:projects/details/9760/part/8411585)","Rear Park Assist Sensor 2")</f>
        <v>Rear Park Assist Sensor 2</v>
      </c>
      <c r="B455">
        <v>8411585</v>
      </c>
      <c r="C455">
        <v>8411532</v>
      </c>
      <c r="E455">
        <v>7.74</v>
      </c>
      <c r="F455">
        <v>0</v>
      </c>
      <c r="G455">
        <v>0</v>
      </c>
      <c r="H455">
        <v>0</v>
      </c>
      <c r="I455" t="s">
        <v>71</v>
      </c>
      <c r="J455">
        <v>0</v>
      </c>
      <c r="K455">
        <v>7.74</v>
      </c>
      <c r="L455">
        <v>0</v>
      </c>
      <c r="M455">
        <v>0</v>
      </c>
      <c r="N455">
        <v>7.74</v>
      </c>
      <c r="O455" t="s">
        <v>71</v>
      </c>
      <c r="P455">
        <v>0</v>
      </c>
      <c r="Q455" t="s">
        <v>71</v>
      </c>
      <c r="R455">
        <v>0</v>
      </c>
      <c r="S455" t="s">
        <v>71</v>
      </c>
      <c r="T455">
        <v>0</v>
      </c>
      <c r="U455" t="s">
        <v>71</v>
      </c>
      <c r="V455">
        <v>0</v>
      </c>
      <c r="W455" t="s">
        <v>71</v>
      </c>
      <c r="X455">
        <v>0</v>
      </c>
      <c r="Y455">
        <v>7.74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25</v>
      </c>
      <c r="AF455">
        <v>28</v>
      </c>
      <c r="AG455">
        <v>41</v>
      </c>
      <c r="AI455">
        <v>0.03</v>
      </c>
      <c r="AK455" t="s">
        <v>365</v>
      </c>
      <c r="AL455" t="s">
        <v>827</v>
      </c>
      <c r="AM455">
        <v>400000</v>
      </c>
      <c r="AN455" t="s">
        <v>97</v>
      </c>
      <c r="AO455">
        <v>2</v>
      </c>
      <c r="AP455">
        <v>0</v>
      </c>
      <c r="AQ455">
        <v>33333.333333333336</v>
      </c>
      <c r="AR455" t="s">
        <v>1514</v>
      </c>
      <c r="AS455" t="s">
        <v>75</v>
      </c>
      <c r="AX455" t="s">
        <v>76</v>
      </c>
      <c r="AY455" t="s">
        <v>71</v>
      </c>
      <c r="AZ455">
        <v>0</v>
      </c>
      <c r="BA455" t="s">
        <v>71</v>
      </c>
      <c r="BB455">
        <v>0</v>
      </c>
      <c r="BD455">
        <v>3.87</v>
      </c>
    </row>
    <row r="456" spans="1:56" x14ac:dyDescent="0.15">
      <c r="A456" s="4" t="str">
        <f>HYPERLINK("https://ibp.a2mac1.com/costing(costing:projects/details/9760/part/8411586)","Rear Park Assist Sensor 2 Support")</f>
        <v>Rear Park Assist Sensor 2 Support</v>
      </c>
      <c r="B456">
        <v>8411586</v>
      </c>
      <c r="C456">
        <v>8411532</v>
      </c>
      <c r="E456">
        <v>0.34</v>
      </c>
      <c r="F456">
        <v>0</v>
      </c>
      <c r="G456">
        <v>0</v>
      </c>
      <c r="H456">
        <v>0</v>
      </c>
      <c r="I456" t="s">
        <v>71</v>
      </c>
      <c r="J456">
        <v>0</v>
      </c>
      <c r="K456">
        <v>0.34</v>
      </c>
      <c r="L456">
        <v>0</v>
      </c>
      <c r="M456">
        <v>0</v>
      </c>
      <c r="N456">
        <v>0.34</v>
      </c>
      <c r="O456" t="s">
        <v>71</v>
      </c>
      <c r="P456">
        <v>0</v>
      </c>
      <c r="Q456" t="s">
        <v>71</v>
      </c>
      <c r="R456">
        <v>0</v>
      </c>
      <c r="S456" t="s">
        <v>71</v>
      </c>
      <c r="T456">
        <v>0</v>
      </c>
      <c r="U456" t="s">
        <v>71</v>
      </c>
      <c r="V456">
        <v>0</v>
      </c>
      <c r="W456" t="s">
        <v>71</v>
      </c>
      <c r="X456">
        <v>0</v>
      </c>
      <c r="Y456">
        <v>0.34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28</v>
      </c>
      <c r="AF456">
        <v>57</v>
      </c>
      <c r="AG456">
        <v>44</v>
      </c>
      <c r="AI456">
        <v>0.01</v>
      </c>
      <c r="AK456" t="s">
        <v>288</v>
      </c>
      <c r="AL456" t="s">
        <v>951</v>
      </c>
      <c r="AM456">
        <v>400000</v>
      </c>
      <c r="AN456" t="s">
        <v>97</v>
      </c>
      <c r="AO456">
        <v>2</v>
      </c>
      <c r="AP456">
        <v>0</v>
      </c>
      <c r="AQ456">
        <v>33333.333333333336</v>
      </c>
      <c r="AR456" t="s">
        <v>1515</v>
      </c>
      <c r="AS456" t="s">
        <v>75</v>
      </c>
      <c r="AX456" t="s">
        <v>76</v>
      </c>
      <c r="AY456" t="s">
        <v>71</v>
      </c>
      <c r="AZ456">
        <v>0</v>
      </c>
      <c r="BA456" t="s">
        <v>71</v>
      </c>
      <c r="BB456">
        <v>0</v>
      </c>
      <c r="BD456">
        <v>0.17</v>
      </c>
    </row>
    <row r="457" spans="1:56" x14ac:dyDescent="0.15">
      <c r="A457" s="4" t="str">
        <f>HYPERLINK("https://ibp.a2mac1.com/costing(costing:projects/details/9760/part/8411587)","Rear Park Assist Sensor 3")</f>
        <v>Rear Park Assist Sensor 3</v>
      </c>
      <c r="B457">
        <v>8411587</v>
      </c>
      <c r="C457">
        <v>8411532</v>
      </c>
      <c r="E457">
        <v>7.74</v>
      </c>
      <c r="F457">
        <v>0</v>
      </c>
      <c r="G457">
        <v>0</v>
      </c>
      <c r="H457">
        <v>0</v>
      </c>
      <c r="I457" t="s">
        <v>71</v>
      </c>
      <c r="J457">
        <v>0</v>
      </c>
      <c r="K457">
        <v>7.74</v>
      </c>
      <c r="L457">
        <v>0</v>
      </c>
      <c r="M457">
        <v>0</v>
      </c>
      <c r="N457">
        <v>7.74</v>
      </c>
      <c r="O457" t="s">
        <v>71</v>
      </c>
      <c r="P457">
        <v>0</v>
      </c>
      <c r="Q457" t="s">
        <v>71</v>
      </c>
      <c r="R457">
        <v>0</v>
      </c>
      <c r="S457" t="s">
        <v>71</v>
      </c>
      <c r="T457">
        <v>0</v>
      </c>
      <c r="U457" t="s">
        <v>71</v>
      </c>
      <c r="V457">
        <v>0</v>
      </c>
      <c r="W457" t="s">
        <v>71</v>
      </c>
      <c r="X457">
        <v>0</v>
      </c>
      <c r="Y457">
        <v>7.74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25</v>
      </c>
      <c r="AF457">
        <v>28</v>
      </c>
      <c r="AG457">
        <v>41</v>
      </c>
      <c r="AI457">
        <v>0.03</v>
      </c>
      <c r="AK457" t="s">
        <v>365</v>
      </c>
      <c r="AL457" t="s">
        <v>830</v>
      </c>
      <c r="AM457">
        <v>400000</v>
      </c>
      <c r="AN457" t="s">
        <v>97</v>
      </c>
      <c r="AO457">
        <v>2</v>
      </c>
      <c r="AP457">
        <v>0</v>
      </c>
      <c r="AQ457">
        <v>33333.333333333336</v>
      </c>
      <c r="AR457" t="s">
        <v>1516</v>
      </c>
      <c r="AS457" t="s">
        <v>75</v>
      </c>
      <c r="AX457" t="s">
        <v>76</v>
      </c>
      <c r="AY457" t="s">
        <v>71</v>
      </c>
      <c r="AZ457">
        <v>0</v>
      </c>
      <c r="BA457" t="s">
        <v>71</v>
      </c>
      <c r="BB457">
        <v>0</v>
      </c>
      <c r="BD457">
        <v>3.87</v>
      </c>
    </row>
    <row r="458" spans="1:56" x14ac:dyDescent="0.15">
      <c r="A458" s="4" t="str">
        <f>HYPERLINK("https://ibp.a2mac1.com/costing(costing:projects/details/9760/part/8411588)","Rear Park Assist Sensor 3 Support")</f>
        <v>Rear Park Assist Sensor 3 Support</v>
      </c>
      <c r="B458">
        <v>8411588</v>
      </c>
      <c r="C458">
        <v>8411532</v>
      </c>
      <c r="E458">
        <v>0.64</v>
      </c>
      <c r="F458">
        <v>0</v>
      </c>
      <c r="G458">
        <v>0</v>
      </c>
      <c r="H458">
        <v>0</v>
      </c>
      <c r="I458" t="s">
        <v>71</v>
      </c>
      <c r="J458">
        <v>0</v>
      </c>
      <c r="K458">
        <v>0.64</v>
      </c>
      <c r="L458">
        <v>0</v>
      </c>
      <c r="M458">
        <v>0</v>
      </c>
      <c r="N458">
        <v>0.64</v>
      </c>
      <c r="O458" t="s">
        <v>71</v>
      </c>
      <c r="P458">
        <v>0</v>
      </c>
      <c r="Q458" t="s">
        <v>71</v>
      </c>
      <c r="R458">
        <v>0</v>
      </c>
      <c r="S458" t="s">
        <v>71</v>
      </c>
      <c r="T458">
        <v>0</v>
      </c>
      <c r="U458" t="s">
        <v>71</v>
      </c>
      <c r="V458">
        <v>0</v>
      </c>
      <c r="W458" t="s">
        <v>71</v>
      </c>
      <c r="X458">
        <v>0</v>
      </c>
      <c r="Y458">
        <v>0.64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28</v>
      </c>
      <c r="AF458">
        <v>79</v>
      </c>
      <c r="AG458">
        <v>30</v>
      </c>
      <c r="AI458">
        <v>1.2E-2</v>
      </c>
      <c r="AK458" t="s">
        <v>288</v>
      </c>
      <c r="AL458" t="s">
        <v>951</v>
      </c>
      <c r="AM458">
        <v>400000</v>
      </c>
      <c r="AN458" t="s">
        <v>97</v>
      </c>
      <c r="AO458">
        <v>2</v>
      </c>
      <c r="AP458">
        <v>0</v>
      </c>
      <c r="AQ458">
        <v>33333.333333333336</v>
      </c>
      <c r="AR458" t="s">
        <v>1517</v>
      </c>
      <c r="AS458" t="s">
        <v>75</v>
      </c>
      <c r="AX458" t="s">
        <v>76</v>
      </c>
      <c r="AY458" t="s">
        <v>71</v>
      </c>
      <c r="AZ458">
        <v>0</v>
      </c>
      <c r="BA458" t="s">
        <v>71</v>
      </c>
      <c r="BB458">
        <v>0</v>
      </c>
      <c r="BD458">
        <v>0.32</v>
      </c>
    </row>
    <row r="459" spans="1:56" x14ac:dyDescent="0.15">
      <c r="A459" s="4" t="str">
        <f>HYPERLINK("https://ibp.a2mac1.com/costing(costing:projects/details/9760/part/8411589)","360 View Switch")</f>
        <v>360 View Switch</v>
      </c>
      <c r="B459">
        <v>8411589</v>
      </c>
      <c r="C459">
        <v>8411532</v>
      </c>
      <c r="E459">
        <v>0.63</v>
      </c>
      <c r="F459">
        <v>0</v>
      </c>
      <c r="G459">
        <v>0</v>
      </c>
      <c r="H459">
        <v>0</v>
      </c>
      <c r="I459" t="s">
        <v>71</v>
      </c>
      <c r="J459">
        <v>0</v>
      </c>
      <c r="K459">
        <v>0.63</v>
      </c>
      <c r="L459">
        <v>0</v>
      </c>
      <c r="M459">
        <v>0</v>
      </c>
      <c r="N459">
        <v>0.63</v>
      </c>
      <c r="O459" t="s">
        <v>71</v>
      </c>
      <c r="P459">
        <v>0</v>
      </c>
      <c r="Q459" t="s">
        <v>71</v>
      </c>
      <c r="R459">
        <v>0</v>
      </c>
      <c r="S459" t="s">
        <v>71</v>
      </c>
      <c r="T459">
        <v>0</v>
      </c>
      <c r="U459" t="s">
        <v>71</v>
      </c>
      <c r="V459">
        <v>0</v>
      </c>
      <c r="W459" t="s">
        <v>71</v>
      </c>
      <c r="X459">
        <v>0</v>
      </c>
      <c r="Y459">
        <v>0.63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57</v>
      </c>
      <c r="AF459">
        <v>61</v>
      </c>
      <c r="AG459">
        <v>39</v>
      </c>
      <c r="AI459">
        <v>3.7999999999999999E-2</v>
      </c>
      <c r="AK459" t="s">
        <v>288</v>
      </c>
      <c r="AM459">
        <v>200000</v>
      </c>
      <c r="AN459" t="s">
        <v>97</v>
      </c>
      <c r="AO459">
        <v>1</v>
      </c>
      <c r="AP459">
        <v>0</v>
      </c>
      <c r="AQ459">
        <v>16666.666666666668</v>
      </c>
      <c r="AR459" t="s">
        <v>1518</v>
      </c>
      <c r="AS459" t="s">
        <v>75</v>
      </c>
      <c r="AX459" t="s">
        <v>76</v>
      </c>
      <c r="AY459" t="s">
        <v>71</v>
      </c>
      <c r="AZ459">
        <v>0</v>
      </c>
      <c r="BA459" t="s">
        <v>71</v>
      </c>
      <c r="BB459">
        <v>0</v>
      </c>
      <c r="BD459">
        <v>0.63</v>
      </c>
    </row>
    <row r="460" spans="1:56" x14ac:dyDescent="0.15">
      <c r="A460" s="4" t="str">
        <f>HYPERLINK("https://ibp.a2mac1.com/costing(costing:projects/details/9760/part/8411534)","Distance Control Radar Support")</f>
        <v>Distance Control Radar Support</v>
      </c>
      <c r="B460">
        <v>8411534</v>
      </c>
      <c r="C460">
        <v>8411461</v>
      </c>
      <c r="E460">
        <v>0.17</v>
      </c>
      <c r="F460">
        <v>0</v>
      </c>
      <c r="G460">
        <v>0</v>
      </c>
      <c r="H460">
        <v>0</v>
      </c>
      <c r="I460" t="s">
        <v>71</v>
      </c>
      <c r="J460">
        <v>0</v>
      </c>
      <c r="K460">
        <v>0.17</v>
      </c>
      <c r="L460">
        <v>0</v>
      </c>
      <c r="M460">
        <v>0</v>
      </c>
      <c r="N460">
        <v>0.17</v>
      </c>
      <c r="O460" t="s">
        <v>71</v>
      </c>
      <c r="P460">
        <v>0</v>
      </c>
      <c r="Q460" t="s">
        <v>71</v>
      </c>
      <c r="R460">
        <v>0</v>
      </c>
      <c r="S460" t="s">
        <v>71</v>
      </c>
      <c r="T460">
        <v>0</v>
      </c>
      <c r="U460" t="s">
        <v>71</v>
      </c>
      <c r="V460">
        <v>0</v>
      </c>
      <c r="W460" t="s">
        <v>71</v>
      </c>
      <c r="X460">
        <v>0</v>
      </c>
      <c r="Y460">
        <v>0.17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24</v>
      </c>
      <c r="AF460">
        <v>149</v>
      </c>
      <c r="AG460">
        <v>96</v>
      </c>
      <c r="AI460">
        <v>3.4000000000000002E-2</v>
      </c>
      <c r="AK460" t="s">
        <v>288</v>
      </c>
      <c r="AL460" t="s">
        <v>399</v>
      </c>
      <c r="AM460">
        <v>200000</v>
      </c>
      <c r="AN460" t="s">
        <v>97</v>
      </c>
      <c r="AO460">
        <v>1</v>
      </c>
      <c r="AP460">
        <v>0</v>
      </c>
      <c r="AQ460">
        <v>16666.666666666668</v>
      </c>
      <c r="AR460" t="s">
        <v>1532</v>
      </c>
      <c r="AS460" t="s">
        <v>75</v>
      </c>
      <c r="AX460" t="s">
        <v>76</v>
      </c>
      <c r="AY460" t="s">
        <v>71</v>
      </c>
      <c r="AZ460">
        <v>0</v>
      </c>
      <c r="BA460" t="s">
        <v>71</v>
      </c>
      <c r="BB460">
        <v>0</v>
      </c>
      <c r="BD460">
        <v>0.17</v>
      </c>
    </row>
    <row r="461" spans="1:56" x14ac:dyDescent="0.15">
      <c r="A461" s="4" t="str">
        <f>HYPERLINK("https://ibp.a2mac1.com/costing(costing:projects/details/9760/part/8411536)","Front Corner Detection Camera Support")</f>
        <v>Front Corner Detection Camera Support</v>
      </c>
      <c r="B461">
        <v>8411536</v>
      </c>
      <c r="C461">
        <v>8411461</v>
      </c>
      <c r="E461">
        <v>0.17</v>
      </c>
      <c r="F461">
        <v>0</v>
      </c>
      <c r="G461">
        <v>0</v>
      </c>
      <c r="H461">
        <v>0</v>
      </c>
      <c r="I461" t="s">
        <v>71</v>
      </c>
      <c r="J461">
        <v>0</v>
      </c>
      <c r="K461">
        <v>0.17</v>
      </c>
      <c r="L461">
        <v>0</v>
      </c>
      <c r="M461">
        <v>0</v>
      </c>
      <c r="N461">
        <v>0.17</v>
      </c>
      <c r="O461" t="s">
        <v>71</v>
      </c>
      <c r="P461">
        <v>0</v>
      </c>
      <c r="Q461" t="s">
        <v>71</v>
      </c>
      <c r="R461">
        <v>0</v>
      </c>
      <c r="S461" t="s">
        <v>71</v>
      </c>
      <c r="T461">
        <v>0</v>
      </c>
      <c r="U461" t="s">
        <v>71</v>
      </c>
      <c r="V461">
        <v>0</v>
      </c>
      <c r="W461" t="s">
        <v>71</v>
      </c>
      <c r="X461">
        <v>0</v>
      </c>
      <c r="Y461">
        <v>0.17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39</v>
      </c>
      <c r="AF461">
        <v>28</v>
      </c>
      <c r="AG461">
        <v>63</v>
      </c>
      <c r="AI461">
        <v>0.01</v>
      </c>
      <c r="AK461" t="s">
        <v>288</v>
      </c>
      <c r="AL461" t="s">
        <v>112</v>
      </c>
      <c r="AM461">
        <v>200000</v>
      </c>
      <c r="AN461" t="s">
        <v>97</v>
      </c>
      <c r="AO461">
        <v>1</v>
      </c>
      <c r="AP461">
        <v>0</v>
      </c>
      <c r="AQ461">
        <v>16666.666666666668</v>
      </c>
      <c r="AR461" t="s">
        <v>1533</v>
      </c>
      <c r="AS461" t="s">
        <v>75</v>
      </c>
      <c r="AX461" t="s">
        <v>76</v>
      </c>
      <c r="AY461" t="s">
        <v>71</v>
      </c>
      <c r="AZ461">
        <v>0</v>
      </c>
      <c r="BA461" t="s">
        <v>71</v>
      </c>
      <c r="BB461">
        <v>0</v>
      </c>
      <c r="BD461">
        <v>0.17</v>
      </c>
    </row>
    <row r="462" spans="1:56" x14ac:dyDescent="0.15">
      <c r="A462" s="4" t="str">
        <f>HYPERLINK("https://ibp.a2mac1.com/costing(costing:projects/details/9760/part/8411538)","Front Corner Detection Camera 2 Support")</f>
        <v>Front Corner Detection Camera 2 Support</v>
      </c>
      <c r="B462">
        <v>8411538</v>
      </c>
      <c r="C462">
        <v>8411461</v>
      </c>
      <c r="E462">
        <v>0.17</v>
      </c>
      <c r="F462">
        <v>0</v>
      </c>
      <c r="G462">
        <v>0</v>
      </c>
      <c r="H462">
        <v>0</v>
      </c>
      <c r="I462" t="s">
        <v>71</v>
      </c>
      <c r="J462">
        <v>0</v>
      </c>
      <c r="K462">
        <v>0.17</v>
      </c>
      <c r="L462">
        <v>0</v>
      </c>
      <c r="M462">
        <v>0</v>
      </c>
      <c r="N462">
        <v>0.17</v>
      </c>
      <c r="O462" t="s">
        <v>71</v>
      </c>
      <c r="P462">
        <v>0</v>
      </c>
      <c r="Q462" t="s">
        <v>71</v>
      </c>
      <c r="R462">
        <v>0</v>
      </c>
      <c r="S462" t="s">
        <v>71</v>
      </c>
      <c r="T462">
        <v>0</v>
      </c>
      <c r="U462" t="s">
        <v>71</v>
      </c>
      <c r="V462">
        <v>0</v>
      </c>
      <c r="W462" t="s">
        <v>71</v>
      </c>
      <c r="X462">
        <v>0</v>
      </c>
      <c r="Y462">
        <v>0.17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39</v>
      </c>
      <c r="AF462">
        <v>28</v>
      </c>
      <c r="AG462">
        <v>63</v>
      </c>
      <c r="AI462">
        <v>0.01</v>
      </c>
      <c r="AK462" t="s">
        <v>288</v>
      </c>
      <c r="AL462" t="s">
        <v>112</v>
      </c>
      <c r="AM462">
        <v>200000</v>
      </c>
      <c r="AN462" t="s">
        <v>97</v>
      </c>
      <c r="AO462">
        <v>1</v>
      </c>
      <c r="AP462">
        <v>0</v>
      </c>
      <c r="AQ462">
        <v>16666.666666666668</v>
      </c>
      <c r="AR462" t="s">
        <v>1534</v>
      </c>
      <c r="AS462" t="s">
        <v>75</v>
      </c>
      <c r="AX462" t="s">
        <v>76</v>
      </c>
      <c r="AY462" t="s">
        <v>71</v>
      </c>
      <c r="AZ462">
        <v>0</v>
      </c>
      <c r="BA462" t="s">
        <v>71</v>
      </c>
      <c r="BB462">
        <v>0</v>
      </c>
      <c r="BD462">
        <v>0.17</v>
      </c>
    </row>
    <row r="463" spans="1:56" x14ac:dyDescent="0.15">
      <c r="A463" s="4" t="str">
        <f>HYPERLINK("https://ibp.a2mac1.com/costing(costing:projects/details/9760/part/8411542)","Blind Spot Detection Camera Support")</f>
        <v>Blind Spot Detection Camera Support</v>
      </c>
      <c r="B463">
        <v>8411542</v>
      </c>
      <c r="C463">
        <v>8411463</v>
      </c>
      <c r="E463">
        <v>0.42</v>
      </c>
      <c r="F463">
        <v>0</v>
      </c>
      <c r="G463">
        <v>0</v>
      </c>
      <c r="H463">
        <v>0</v>
      </c>
      <c r="I463" t="s">
        <v>71</v>
      </c>
      <c r="J463">
        <v>0</v>
      </c>
      <c r="K463">
        <v>0.42</v>
      </c>
      <c r="L463">
        <v>0</v>
      </c>
      <c r="M463">
        <v>0</v>
      </c>
      <c r="N463">
        <v>0.42</v>
      </c>
      <c r="O463" t="s">
        <v>71</v>
      </c>
      <c r="P463">
        <v>0</v>
      </c>
      <c r="Q463" t="s">
        <v>71</v>
      </c>
      <c r="R463">
        <v>0</v>
      </c>
      <c r="S463" t="s">
        <v>71</v>
      </c>
      <c r="T463">
        <v>0</v>
      </c>
      <c r="U463" t="s">
        <v>71</v>
      </c>
      <c r="V463">
        <v>0</v>
      </c>
      <c r="W463" t="s">
        <v>71</v>
      </c>
      <c r="X463">
        <v>0</v>
      </c>
      <c r="Y463">
        <v>0.42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46</v>
      </c>
      <c r="AF463">
        <v>55</v>
      </c>
      <c r="AG463">
        <v>48</v>
      </c>
      <c r="AI463">
        <v>1.4E-2</v>
      </c>
      <c r="AK463" t="s">
        <v>288</v>
      </c>
      <c r="AL463" t="s">
        <v>112</v>
      </c>
      <c r="AM463">
        <v>400000</v>
      </c>
      <c r="AN463" t="s">
        <v>97</v>
      </c>
      <c r="AO463">
        <v>2</v>
      </c>
      <c r="AP463">
        <v>0</v>
      </c>
      <c r="AQ463">
        <v>33333.333333333336</v>
      </c>
      <c r="AR463" t="s">
        <v>1553</v>
      </c>
      <c r="AS463" t="s">
        <v>75</v>
      </c>
      <c r="AX463" t="s">
        <v>76</v>
      </c>
      <c r="AY463" t="s">
        <v>71</v>
      </c>
      <c r="AZ463">
        <v>0</v>
      </c>
      <c r="BA463" t="s">
        <v>71</v>
      </c>
      <c r="BB463">
        <v>0</v>
      </c>
      <c r="BD463">
        <v>0.21</v>
      </c>
    </row>
    <row r="464" spans="1:56" x14ac:dyDescent="0.15">
      <c r="A464" s="4" t="str">
        <f>HYPERLINK("https://ibp.a2mac1.com/costing(costing:projects/details/9760/part/8411543)","Blind Spot Detection Camera Support 2")</f>
        <v>Blind Spot Detection Camera Support 2</v>
      </c>
      <c r="B464">
        <v>8411543</v>
      </c>
      <c r="C464">
        <v>8411463</v>
      </c>
      <c r="E464">
        <v>0.26</v>
      </c>
      <c r="F464">
        <v>0</v>
      </c>
      <c r="G464">
        <v>0</v>
      </c>
      <c r="H464">
        <v>0</v>
      </c>
      <c r="I464" t="s">
        <v>71</v>
      </c>
      <c r="J464">
        <v>0</v>
      </c>
      <c r="K464">
        <v>0.26</v>
      </c>
      <c r="L464">
        <v>0</v>
      </c>
      <c r="M464">
        <v>0</v>
      </c>
      <c r="N464">
        <v>0.26</v>
      </c>
      <c r="O464" t="s">
        <v>71</v>
      </c>
      <c r="P464">
        <v>0</v>
      </c>
      <c r="Q464" t="s">
        <v>71</v>
      </c>
      <c r="R464">
        <v>0</v>
      </c>
      <c r="S464" t="s">
        <v>71</v>
      </c>
      <c r="T464">
        <v>0</v>
      </c>
      <c r="U464" t="s">
        <v>71</v>
      </c>
      <c r="V464">
        <v>0</v>
      </c>
      <c r="W464" t="s">
        <v>71</v>
      </c>
      <c r="X464">
        <v>0</v>
      </c>
      <c r="Y464">
        <v>0.26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38</v>
      </c>
      <c r="AF464">
        <v>89</v>
      </c>
      <c r="AG464">
        <v>56</v>
      </c>
      <c r="AI464">
        <v>2.1000000000000001E-2</v>
      </c>
      <c r="AK464" t="s">
        <v>288</v>
      </c>
      <c r="AL464" t="s">
        <v>951</v>
      </c>
      <c r="AM464">
        <v>400000</v>
      </c>
      <c r="AN464" t="s">
        <v>97</v>
      </c>
      <c r="AO464">
        <v>2</v>
      </c>
      <c r="AP464">
        <v>0</v>
      </c>
      <c r="AQ464">
        <v>33333.333333333336</v>
      </c>
      <c r="AR464" t="s">
        <v>1554</v>
      </c>
      <c r="AS464" t="s">
        <v>75</v>
      </c>
      <c r="AX464" t="s">
        <v>76</v>
      </c>
      <c r="AY464" t="s">
        <v>71</v>
      </c>
      <c r="AZ464">
        <v>0</v>
      </c>
      <c r="BA464" t="s">
        <v>71</v>
      </c>
      <c r="BB464">
        <v>0</v>
      </c>
      <c r="BD464">
        <v>0.13</v>
      </c>
    </row>
    <row r="465" spans="1:56" x14ac:dyDescent="0.15">
      <c r="A465" s="4" t="str">
        <f>HYPERLINK("https://ibp.a2mac1.com/costing(costing:projects/details/9760/part/8411545)","Right Side Camera Support")</f>
        <v>Right Side Camera Support</v>
      </c>
      <c r="B465">
        <v>8411545</v>
      </c>
      <c r="C465">
        <v>8411463</v>
      </c>
      <c r="E465">
        <v>0.17</v>
      </c>
      <c r="F465">
        <v>0</v>
      </c>
      <c r="G465">
        <v>0</v>
      </c>
      <c r="H465">
        <v>0</v>
      </c>
      <c r="I465" t="s">
        <v>71</v>
      </c>
      <c r="J465">
        <v>0</v>
      </c>
      <c r="K465">
        <v>0.17</v>
      </c>
      <c r="L465">
        <v>0</v>
      </c>
      <c r="M465">
        <v>0</v>
      </c>
      <c r="N465">
        <v>0.17</v>
      </c>
      <c r="O465" t="s">
        <v>71</v>
      </c>
      <c r="P465">
        <v>0</v>
      </c>
      <c r="Q465" t="s">
        <v>71</v>
      </c>
      <c r="R465">
        <v>0</v>
      </c>
      <c r="S465" t="s">
        <v>71</v>
      </c>
      <c r="T465">
        <v>0</v>
      </c>
      <c r="U465" t="s">
        <v>71</v>
      </c>
      <c r="V465">
        <v>0</v>
      </c>
      <c r="W465" t="s">
        <v>71</v>
      </c>
      <c r="X465">
        <v>0</v>
      </c>
      <c r="Y465">
        <v>0.17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39</v>
      </c>
      <c r="AF465">
        <v>28</v>
      </c>
      <c r="AG465">
        <v>63</v>
      </c>
      <c r="AI465">
        <v>0.01</v>
      </c>
      <c r="AK465" t="s">
        <v>288</v>
      </c>
      <c r="AL465" t="s">
        <v>403</v>
      </c>
      <c r="AM465">
        <v>200000</v>
      </c>
      <c r="AN465" t="s">
        <v>97</v>
      </c>
      <c r="AO465">
        <v>1</v>
      </c>
      <c r="AP465">
        <v>0</v>
      </c>
      <c r="AQ465">
        <v>16666.666666666668</v>
      </c>
      <c r="AR465" t="s">
        <v>1555</v>
      </c>
      <c r="AS465" t="s">
        <v>75</v>
      </c>
      <c r="AX465" t="s">
        <v>76</v>
      </c>
      <c r="AY465" t="s">
        <v>71</v>
      </c>
      <c r="AZ465">
        <v>0</v>
      </c>
      <c r="BA465" t="s">
        <v>71</v>
      </c>
      <c r="BB465">
        <v>0</v>
      </c>
      <c r="BD465">
        <v>0.17</v>
      </c>
    </row>
    <row r="466" spans="1:56" x14ac:dyDescent="0.15">
      <c r="A466" s="4" t="str">
        <f>HYPERLINK("https://ibp.a2mac1.com/costing(costing:projects/details/9760/part/8411547)","LiDAR Trim")</f>
        <v>LiDAR Trim</v>
      </c>
      <c r="B466">
        <v>8411547</v>
      </c>
      <c r="C466">
        <v>8411464</v>
      </c>
      <c r="E466">
        <v>0.93</v>
      </c>
      <c r="F466">
        <v>0</v>
      </c>
      <c r="G466">
        <v>0</v>
      </c>
      <c r="H466">
        <v>0</v>
      </c>
      <c r="I466" t="s">
        <v>71</v>
      </c>
      <c r="J466">
        <v>0</v>
      </c>
      <c r="K466">
        <v>0.93</v>
      </c>
      <c r="L466">
        <v>0</v>
      </c>
      <c r="M466">
        <v>0</v>
      </c>
      <c r="N466">
        <v>0.93</v>
      </c>
      <c r="O466" t="s">
        <v>71</v>
      </c>
      <c r="P466">
        <v>0</v>
      </c>
      <c r="Q466" t="s">
        <v>71</v>
      </c>
      <c r="R466">
        <v>0</v>
      </c>
      <c r="S466" t="s">
        <v>71</v>
      </c>
      <c r="T466">
        <v>0</v>
      </c>
      <c r="U466" t="s">
        <v>71</v>
      </c>
      <c r="V466">
        <v>0</v>
      </c>
      <c r="W466" t="s">
        <v>71</v>
      </c>
      <c r="X466">
        <v>0</v>
      </c>
      <c r="Y466">
        <v>0.93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130</v>
      </c>
      <c r="AF466">
        <v>286</v>
      </c>
      <c r="AG466">
        <v>54</v>
      </c>
      <c r="AI466">
        <v>0.182</v>
      </c>
      <c r="AK466" t="s">
        <v>288</v>
      </c>
      <c r="AL466" t="s">
        <v>1565</v>
      </c>
      <c r="AM466">
        <v>200000</v>
      </c>
      <c r="AN466" t="s">
        <v>97</v>
      </c>
      <c r="AO466">
        <v>1</v>
      </c>
      <c r="AP466">
        <v>0</v>
      </c>
      <c r="AQ466">
        <v>16666.666666666668</v>
      </c>
      <c r="AR466" t="s">
        <v>1566</v>
      </c>
      <c r="AS466" t="s">
        <v>75</v>
      </c>
      <c r="AX466" t="s">
        <v>76</v>
      </c>
      <c r="AY466" t="s">
        <v>71</v>
      </c>
      <c r="AZ466">
        <v>0</v>
      </c>
      <c r="BA466" t="s">
        <v>71</v>
      </c>
      <c r="BB466">
        <v>0</v>
      </c>
      <c r="BD466">
        <v>0.93</v>
      </c>
    </row>
    <row r="467" spans="1:56" x14ac:dyDescent="0.15">
      <c r="A467" s="4" t="str">
        <f>HYPERLINK("https://ibp.a2mac1.com/costing(costing:projects/details/9760/part/8411549)","Driver Monitoring Camera Support")</f>
        <v>Driver Monitoring Camera Support</v>
      </c>
      <c r="B467">
        <v>8411549</v>
      </c>
      <c r="C467">
        <v>8411464</v>
      </c>
      <c r="E467">
        <v>0.1</v>
      </c>
      <c r="F467">
        <v>0</v>
      </c>
      <c r="G467">
        <v>0</v>
      </c>
      <c r="H467">
        <v>0</v>
      </c>
      <c r="I467" t="s">
        <v>71</v>
      </c>
      <c r="J467">
        <v>0</v>
      </c>
      <c r="K467">
        <v>0.1</v>
      </c>
      <c r="L467">
        <v>0</v>
      </c>
      <c r="M467">
        <v>0</v>
      </c>
      <c r="N467">
        <v>0.1</v>
      </c>
      <c r="O467" t="s">
        <v>71</v>
      </c>
      <c r="P467">
        <v>0</v>
      </c>
      <c r="Q467" t="s">
        <v>71</v>
      </c>
      <c r="R467">
        <v>0</v>
      </c>
      <c r="S467" t="s">
        <v>71</v>
      </c>
      <c r="T467">
        <v>0</v>
      </c>
      <c r="U467" t="s">
        <v>71</v>
      </c>
      <c r="V467">
        <v>0</v>
      </c>
      <c r="W467" t="s">
        <v>71</v>
      </c>
      <c r="X467">
        <v>0</v>
      </c>
      <c r="Y467">
        <v>0.1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10</v>
      </c>
      <c r="AF467">
        <v>93</v>
      </c>
      <c r="AG467">
        <v>24</v>
      </c>
      <c r="AI467">
        <v>5.0000000000000001E-3</v>
      </c>
      <c r="AK467" t="s">
        <v>288</v>
      </c>
      <c r="AL467" t="s">
        <v>1567</v>
      </c>
      <c r="AM467">
        <v>200000</v>
      </c>
      <c r="AN467" t="s">
        <v>97</v>
      </c>
      <c r="AO467">
        <v>1</v>
      </c>
      <c r="AP467">
        <v>0</v>
      </c>
      <c r="AQ467">
        <v>16666.666666666668</v>
      </c>
      <c r="AR467" t="s">
        <v>1568</v>
      </c>
      <c r="AS467" t="s">
        <v>75</v>
      </c>
      <c r="AX467" t="s">
        <v>76</v>
      </c>
      <c r="AY467" t="s">
        <v>71</v>
      </c>
      <c r="AZ467">
        <v>0</v>
      </c>
      <c r="BA467" t="s">
        <v>71</v>
      </c>
      <c r="BB467">
        <v>0</v>
      </c>
      <c r="BD467">
        <v>0.1</v>
      </c>
    </row>
    <row r="468" spans="1:56" x14ac:dyDescent="0.15">
      <c r="A468" s="4" t="str">
        <f>HYPERLINK("https://ibp.a2mac1.com/costing(costing:projects/details/9760/part/8411550)","Driver Monitoring Camera Trim")</f>
        <v>Driver Monitoring Camera Trim</v>
      </c>
      <c r="B468">
        <v>8411550</v>
      </c>
      <c r="C468">
        <v>8411464</v>
      </c>
      <c r="E468">
        <v>0.1</v>
      </c>
      <c r="F468">
        <v>0</v>
      </c>
      <c r="G468">
        <v>0</v>
      </c>
      <c r="H468">
        <v>0</v>
      </c>
      <c r="I468" t="s">
        <v>71</v>
      </c>
      <c r="J468">
        <v>0</v>
      </c>
      <c r="K468">
        <v>0.1</v>
      </c>
      <c r="L468">
        <v>0</v>
      </c>
      <c r="M468">
        <v>0</v>
      </c>
      <c r="N468">
        <v>0.1</v>
      </c>
      <c r="O468" t="s">
        <v>71</v>
      </c>
      <c r="P468">
        <v>0</v>
      </c>
      <c r="Q468" t="s">
        <v>71</v>
      </c>
      <c r="R468">
        <v>0</v>
      </c>
      <c r="S468" t="s">
        <v>71</v>
      </c>
      <c r="T468">
        <v>0</v>
      </c>
      <c r="U468" t="s">
        <v>71</v>
      </c>
      <c r="V468">
        <v>0</v>
      </c>
      <c r="W468" t="s">
        <v>71</v>
      </c>
      <c r="X468">
        <v>0</v>
      </c>
      <c r="Y468">
        <v>0.1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40</v>
      </c>
      <c r="AF468">
        <v>94</v>
      </c>
      <c r="AG468">
        <v>33</v>
      </c>
      <c r="AI468">
        <v>1.2E-2</v>
      </c>
      <c r="AK468" t="s">
        <v>288</v>
      </c>
      <c r="AL468" t="s">
        <v>951</v>
      </c>
      <c r="AM468">
        <v>200000</v>
      </c>
      <c r="AN468" t="s">
        <v>97</v>
      </c>
      <c r="AO468">
        <v>1</v>
      </c>
      <c r="AP468">
        <v>0</v>
      </c>
      <c r="AQ468">
        <v>16666.666666666668</v>
      </c>
      <c r="AR468" t="s">
        <v>1569</v>
      </c>
      <c r="AS468" t="s">
        <v>75</v>
      </c>
      <c r="AX468" t="s">
        <v>76</v>
      </c>
      <c r="AY468" t="s">
        <v>71</v>
      </c>
      <c r="AZ468">
        <v>0</v>
      </c>
      <c r="BA468" t="s">
        <v>71</v>
      </c>
      <c r="BB468">
        <v>0</v>
      </c>
      <c r="BD468">
        <v>0.1</v>
      </c>
    </row>
    <row r="469" spans="1:56" x14ac:dyDescent="0.15">
      <c r="A469" s="4" t="str">
        <f>HYPERLINK("https://ibp.a2mac1.com/costing(costing:projects/details/9760/part/8411552)","360 Surveillance Camera Bezel")</f>
        <v>360 Surveillance Camera Bezel</v>
      </c>
      <c r="B469">
        <v>8411552</v>
      </c>
      <c r="C469">
        <v>8411465</v>
      </c>
      <c r="E469">
        <v>1.3</v>
      </c>
      <c r="F469">
        <v>0</v>
      </c>
      <c r="G469">
        <v>0</v>
      </c>
      <c r="H469">
        <v>0</v>
      </c>
      <c r="I469" t="s">
        <v>71</v>
      </c>
      <c r="J469">
        <v>0</v>
      </c>
      <c r="K469">
        <v>1.3</v>
      </c>
      <c r="L469">
        <v>0</v>
      </c>
      <c r="M469">
        <v>0</v>
      </c>
      <c r="N469">
        <v>1.3</v>
      </c>
      <c r="O469" t="s">
        <v>71</v>
      </c>
      <c r="P469">
        <v>0</v>
      </c>
      <c r="Q469" t="s">
        <v>71</v>
      </c>
      <c r="R469">
        <v>0</v>
      </c>
      <c r="S469" t="s">
        <v>71</v>
      </c>
      <c r="T469">
        <v>0</v>
      </c>
      <c r="U469" t="s">
        <v>71</v>
      </c>
      <c r="V469">
        <v>0</v>
      </c>
      <c r="W469" t="s">
        <v>71</v>
      </c>
      <c r="X469">
        <v>0</v>
      </c>
      <c r="Y469">
        <v>1.3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108</v>
      </c>
      <c r="AF469">
        <v>367</v>
      </c>
      <c r="AG469">
        <v>60</v>
      </c>
      <c r="AI469">
        <v>0.187</v>
      </c>
      <c r="AK469" t="s">
        <v>288</v>
      </c>
      <c r="AL469" t="s">
        <v>412</v>
      </c>
      <c r="AM469">
        <v>200000</v>
      </c>
      <c r="AN469" t="s">
        <v>97</v>
      </c>
      <c r="AO469">
        <v>1</v>
      </c>
      <c r="AP469">
        <v>0</v>
      </c>
      <c r="AQ469">
        <v>16666.666666666668</v>
      </c>
      <c r="AR469" t="s">
        <v>1576</v>
      </c>
      <c r="AS469" t="s">
        <v>75</v>
      </c>
      <c r="AX469" t="s">
        <v>76</v>
      </c>
      <c r="AY469" t="s">
        <v>71</v>
      </c>
      <c r="AZ469">
        <v>0</v>
      </c>
      <c r="BA469" t="s">
        <v>71</v>
      </c>
      <c r="BB469">
        <v>0</v>
      </c>
      <c r="BD469">
        <v>1.3</v>
      </c>
    </row>
    <row r="470" spans="1:56" x14ac:dyDescent="0.15">
      <c r="A470" s="4" t="str">
        <f>HYPERLINK("https://ibp.a2mac1.com/costing(costing:projects/details/9760/part/8411446)","Safety Vest")</f>
        <v>Safety Vest</v>
      </c>
      <c r="B470">
        <v>8411446</v>
      </c>
      <c r="C470">
        <v>8411445</v>
      </c>
      <c r="E470">
        <v>0.33750000000000002</v>
      </c>
      <c r="F470">
        <v>0</v>
      </c>
      <c r="G470">
        <v>0</v>
      </c>
      <c r="H470">
        <v>0</v>
      </c>
      <c r="I470" t="s">
        <v>71</v>
      </c>
      <c r="J470">
        <v>0</v>
      </c>
      <c r="K470">
        <v>0.33750000000000002</v>
      </c>
      <c r="L470">
        <v>0</v>
      </c>
      <c r="M470">
        <v>0</v>
      </c>
      <c r="N470">
        <v>0.33750000000000002</v>
      </c>
      <c r="O470" t="s">
        <v>71</v>
      </c>
      <c r="P470">
        <v>0</v>
      </c>
      <c r="Q470" t="s">
        <v>71</v>
      </c>
      <c r="R470">
        <v>0</v>
      </c>
      <c r="S470" t="s">
        <v>71</v>
      </c>
      <c r="T470">
        <v>0</v>
      </c>
      <c r="U470" t="s">
        <v>71</v>
      </c>
      <c r="V470">
        <v>0</v>
      </c>
      <c r="W470" t="s">
        <v>71</v>
      </c>
      <c r="X470">
        <v>0</v>
      </c>
      <c r="Y470">
        <v>0.33750000000000002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10</v>
      </c>
      <c r="AF470">
        <v>635</v>
      </c>
      <c r="AG470">
        <v>655</v>
      </c>
      <c r="AI470">
        <v>0.123</v>
      </c>
      <c r="AK470" t="s">
        <v>288</v>
      </c>
      <c r="AL470" t="s">
        <v>403</v>
      </c>
      <c r="AM470">
        <v>200000</v>
      </c>
      <c r="AN470" t="s">
        <v>97</v>
      </c>
      <c r="AO470">
        <v>1</v>
      </c>
      <c r="AP470">
        <v>0</v>
      </c>
      <c r="AQ470">
        <v>16666.666666666668</v>
      </c>
      <c r="AR470" t="s">
        <v>1578</v>
      </c>
      <c r="AS470" t="s">
        <v>75</v>
      </c>
      <c r="AX470" t="s">
        <v>76</v>
      </c>
      <c r="AY470" t="s">
        <v>71</v>
      </c>
      <c r="AZ470">
        <v>0</v>
      </c>
      <c r="BA470" t="s">
        <v>71</v>
      </c>
      <c r="BB470">
        <v>0</v>
      </c>
      <c r="BD470">
        <v>0.33750000000000002</v>
      </c>
    </row>
    <row r="471" spans="1:56" x14ac:dyDescent="0.15">
      <c r="A471" s="4" t="str">
        <f>HYPERLINK("https://ibp.a2mac1.com/costing(costing:projects/details/9760/part/8411625)","Control")</f>
        <v>Control</v>
      </c>
      <c r="B471">
        <v>8411625</v>
      </c>
      <c r="C471">
        <v>8411609</v>
      </c>
      <c r="E471">
        <v>0.3</v>
      </c>
      <c r="F471">
        <v>0</v>
      </c>
      <c r="G471">
        <v>0</v>
      </c>
      <c r="H471">
        <v>0</v>
      </c>
      <c r="I471" t="s">
        <v>71</v>
      </c>
      <c r="J471">
        <v>0</v>
      </c>
      <c r="K471">
        <v>0.3</v>
      </c>
      <c r="L471">
        <v>0</v>
      </c>
      <c r="M471">
        <v>0</v>
      </c>
      <c r="N471">
        <v>0.3</v>
      </c>
      <c r="O471" t="s">
        <v>71</v>
      </c>
      <c r="P471">
        <v>0</v>
      </c>
      <c r="Q471" t="s">
        <v>71</v>
      </c>
      <c r="R471">
        <v>0</v>
      </c>
      <c r="S471" t="s">
        <v>71</v>
      </c>
      <c r="T471">
        <v>0</v>
      </c>
      <c r="U471" t="s">
        <v>71</v>
      </c>
      <c r="V471">
        <v>0</v>
      </c>
      <c r="W471" t="s">
        <v>71</v>
      </c>
      <c r="X471">
        <v>0</v>
      </c>
      <c r="Y471">
        <v>0.3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15</v>
      </c>
      <c r="AF471">
        <v>124</v>
      </c>
      <c r="AG471">
        <v>94</v>
      </c>
      <c r="AI471">
        <v>1.4999999999999999E-2</v>
      </c>
      <c r="AK471" t="s">
        <v>288</v>
      </c>
      <c r="AL471" t="s">
        <v>881</v>
      </c>
      <c r="AM471">
        <v>200000</v>
      </c>
      <c r="AN471" t="s">
        <v>97</v>
      </c>
      <c r="AO471">
        <v>1</v>
      </c>
      <c r="AP471">
        <v>0</v>
      </c>
      <c r="AQ471">
        <v>16666.666666666668</v>
      </c>
      <c r="AR471" t="s">
        <v>1584</v>
      </c>
      <c r="AS471" t="s">
        <v>75</v>
      </c>
      <c r="AX471" t="s">
        <v>76</v>
      </c>
      <c r="AY471" t="s">
        <v>71</v>
      </c>
      <c r="AZ471">
        <v>0</v>
      </c>
      <c r="BA471" t="s">
        <v>71</v>
      </c>
      <c r="BB471">
        <v>0</v>
      </c>
      <c r="BD471">
        <v>0.3</v>
      </c>
    </row>
    <row r="472" spans="1:56" x14ac:dyDescent="0.15">
      <c r="A472" s="4" t="str">
        <f>HYPERLINK("https://ibp.a2mac1.com/costing(costing:projects/details/9760/part/8411607)","Left")</f>
        <v>Left</v>
      </c>
      <c r="B472">
        <v>8411607</v>
      </c>
      <c r="C472">
        <v>8411591</v>
      </c>
      <c r="E472">
        <v>2.11</v>
      </c>
      <c r="F472">
        <v>0</v>
      </c>
      <c r="G472">
        <v>0</v>
      </c>
      <c r="H472">
        <v>0</v>
      </c>
      <c r="I472" t="s">
        <v>71</v>
      </c>
      <c r="J472">
        <v>0</v>
      </c>
      <c r="K472">
        <v>2.11</v>
      </c>
      <c r="L472">
        <v>0</v>
      </c>
      <c r="M472">
        <v>0</v>
      </c>
      <c r="N472">
        <v>2.11</v>
      </c>
      <c r="O472" t="s">
        <v>71</v>
      </c>
      <c r="P472">
        <v>0</v>
      </c>
      <c r="Q472" t="s">
        <v>71</v>
      </c>
      <c r="R472">
        <v>0</v>
      </c>
      <c r="S472" t="s">
        <v>71</v>
      </c>
      <c r="T472">
        <v>0</v>
      </c>
      <c r="U472" t="s">
        <v>71</v>
      </c>
      <c r="V472">
        <v>0</v>
      </c>
      <c r="W472" t="s">
        <v>71</v>
      </c>
      <c r="X472">
        <v>0</v>
      </c>
      <c r="Y472">
        <v>2.11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52</v>
      </c>
      <c r="AF472">
        <v>117</v>
      </c>
      <c r="AG472">
        <v>78</v>
      </c>
      <c r="AI472">
        <v>7.1999999999999995E-2</v>
      </c>
      <c r="AK472" t="s">
        <v>288</v>
      </c>
      <c r="AL472" t="s">
        <v>1586</v>
      </c>
      <c r="AM472">
        <v>200000</v>
      </c>
      <c r="AN472" t="s">
        <v>97</v>
      </c>
      <c r="AO472">
        <v>1</v>
      </c>
      <c r="AP472">
        <v>0</v>
      </c>
      <c r="AQ472">
        <v>16666.666666666668</v>
      </c>
      <c r="AR472" t="s">
        <v>1587</v>
      </c>
      <c r="AS472" t="s">
        <v>75</v>
      </c>
      <c r="AX472" t="s">
        <v>76</v>
      </c>
      <c r="AY472" t="s">
        <v>71</v>
      </c>
      <c r="AZ472">
        <v>0</v>
      </c>
      <c r="BA472" t="s">
        <v>71</v>
      </c>
      <c r="BB472">
        <v>0</v>
      </c>
      <c r="BD472">
        <v>2.11</v>
      </c>
    </row>
    <row r="473" spans="1:56" x14ac:dyDescent="0.15">
      <c r="A473" s="4" t="str">
        <f>HYPERLINK("https://ibp.a2mac1.com/costing(costing:projects/details/9760/part/8411608)","Right")</f>
        <v>Right</v>
      </c>
      <c r="B473">
        <v>8411608</v>
      </c>
      <c r="C473">
        <v>8411591</v>
      </c>
      <c r="E473">
        <v>2.11</v>
      </c>
      <c r="F473">
        <v>0</v>
      </c>
      <c r="G473">
        <v>0</v>
      </c>
      <c r="H473">
        <v>0</v>
      </c>
      <c r="I473" t="s">
        <v>71</v>
      </c>
      <c r="J473">
        <v>0</v>
      </c>
      <c r="K473">
        <v>2.11</v>
      </c>
      <c r="L473">
        <v>0</v>
      </c>
      <c r="M473">
        <v>0</v>
      </c>
      <c r="N473">
        <v>2.11</v>
      </c>
      <c r="O473" t="s">
        <v>71</v>
      </c>
      <c r="P473">
        <v>0</v>
      </c>
      <c r="Q473" t="s">
        <v>71</v>
      </c>
      <c r="R473">
        <v>0</v>
      </c>
      <c r="S473" t="s">
        <v>71</v>
      </c>
      <c r="T473">
        <v>0</v>
      </c>
      <c r="U473" t="s">
        <v>71</v>
      </c>
      <c r="V473">
        <v>0</v>
      </c>
      <c r="W473" t="s">
        <v>71</v>
      </c>
      <c r="X473">
        <v>0</v>
      </c>
      <c r="Y473">
        <v>2.11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52</v>
      </c>
      <c r="AF473">
        <v>115</v>
      </c>
      <c r="AG473">
        <v>82</v>
      </c>
      <c r="AI473">
        <v>7.1999999999999995E-2</v>
      </c>
      <c r="AK473" t="s">
        <v>288</v>
      </c>
      <c r="AL473" t="s">
        <v>1588</v>
      </c>
      <c r="AM473">
        <v>200000</v>
      </c>
      <c r="AN473" t="s">
        <v>97</v>
      </c>
      <c r="AO473">
        <v>1</v>
      </c>
      <c r="AP473">
        <v>0</v>
      </c>
      <c r="AQ473">
        <v>16666.666666666668</v>
      </c>
      <c r="AR473" t="s">
        <v>1589</v>
      </c>
      <c r="AS473" t="s">
        <v>75</v>
      </c>
      <c r="AX473" t="s">
        <v>76</v>
      </c>
      <c r="AY473" t="s">
        <v>71</v>
      </c>
      <c r="AZ473">
        <v>0</v>
      </c>
      <c r="BA473" t="s">
        <v>71</v>
      </c>
      <c r="BB473">
        <v>0</v>
      </c>
      <c r="BD473">
        <v>2.11</v>
      </c>
    </row>
    <row r="474" spans="1:56" x14ac:dyDescent="0.15">
      <c r="A474" s="4" t="str">
        <f>HYPERLINK("https://ibp.a2mac1.com/costing(costing:projects/details/9760/part/8411610)","Armature")</f>
        <v>Armature</v>
      </c>
      <c r="B474">
        <v>8411610</v>
      </c>
      <c r="C474">
        <v>8411592</v>
      </c>
      <c r="E474">
        <v>1.2319634316111112</v>
      </c>
      <c r="F474">
        <v>0.8</v>
      </c>
      <c r="G474">
        <v>0</v>
      </c>
      <c r="H474">
        <v>2.5936072244444446E-5</v>
      </c>
      <c r="I474" t="s">
        <v>176</v>
      </c>
      <c r="J474">
        <v>4.5388126427777779E-2</v>
      </c>
      <c r="K474">
        <v>2.1053774941111332</v>
      </c>
      <c r="L474">
        <v>0.2541238269612498</v>
      </c>
      <c r="M474">
        <v>1.5247429617674988</v>
      </c>
      <c r="N474">
        <v>3.6301204558786324</v>
      </c>
      <c r="O474" t="s">
        <v>90</v>
      </c>
      <c r="P474">
        <v>0</v>
      </c>
      <c r="Q474" t="s">
        <v>90</v>
      </c>
      <c r="R474">
        <v>0</v>
      </c>
      <c r="S474" t="s">
        <v>90</v>
      </c>
      <c r="T474">
        <v>0</v>
      </c>
      <c r="U474" t="s">
        <v>90</v>
      </c>
      <c r="V474">
        <v>0</v>
      </c>
      <c r="W474" t="s">
        <v>90</v>
      </c>
      <c r="X474">
        <v>0</v>
      </c>
      <c r="Y474">
        <v>3.6301204558786324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K474" t="s">
        <v>272</v>
      </c>
      <c r="AM474">
        <v>200000</v>
      </c>
      <c r="AN474" t="s">
        <v>73</v>
      </c>
      <c r="AO474">
        <v>1</v>
      </c>
      <c r="AP474">
        <v>0</v>
      </c>
      <c r="AQ474">
        <v>16666.666666666668</v>
      </c>
      <c r="AR474" t="s">
        <v>9</v>
      </c>
      <c r="AS474" t="s">
        <v>75</v>
      </c>
      <c r="AX474" t="s">
        <v>76</v>
      </c>
      <c r="AY474" t="s">
        <v>176</v>
      </c>
      <c r="AZ474">
        <v>2.8000000000000001E-2</v>
      </c>
      <c r="BA474" t="s">
        <v>176</v>
      </c>
      <c r="BB474">
        <v>0</v>
      </c>
    </row>
    <row r="475" spans="1:56" x14ac:dyDescent="0.15">
      <c r="A475" s="4" t="str">
        <f>HYPERLINK("https://ibp.a2mac1.com/costing(costing:projects/details/9760/part/8411611)","Foam Body")</f>
        <v>Foam Body</v>
      </c>
      <c r="B475">
        <v>8411611</v>
      </c>
      <c r="C475">
        <v>8411592</v>
      </c>
      <c r="E475">
        <v>11.255791508585714</v>
      </c>
      <c r="F475">
        <v>0</v>
      </c>
      <c r="G475">
        <v>0</v>
      </c>
      <c r="H475">
        <v>2.2549830474285714E-4</v>
      </c>
      <c r="I475" t="s">
        <v>176</v>
      </c>
      <c r="J475">
        <v>0.39462203330000001</v>
      </c>
      <c r="K475">
        <v>11.650639040190457</v>
      </c>
      <c r="L475">
        <v>9.8607819847267353E-2</v>
      </c>
      <c r="M475">
        <v>0.59164691908360412</v>
      </c>
      <c r="N475">
        <v>12.242285959274062</v>
      </c>
      <c r="O475" t="s">
        <v>90</v>
      </c>
      <c r="P475">
        <v>0</v>
      </c>
      <c r="Q475" t="s">
        <v>90</v>
      </c>
      <c r="R475">
        <v>0</v>
      </c>
      <c r="S475" t="s">
        <v>90</v>
      </c>
      <c r="T475">
        <v>0</v>
      </c>
      <c r="U475" t="s">
        <v>90</v>
      </c>
      <c r="V475">
        <v>0</v>
      </c>
      <c r="W475" t="s">
        <v>90</v>
      </c>
      <c r="X475">
        <v>0</v>
      </c>
      <c r="Y475">
        <v>12.242285959274062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K475" t="s">
        <v>272</v>
      </c>
      <c r="AM475">
        <v>200000</v>
      </c>
      <c r="AN475" t="s">
        <v>73</v>
      </c>
      <c r="AO475">
        <v>1</v>
      </c>
      <c r="AP475">
        <v>0</v>
      </c>
      <c r="AQ475">
        <v>16666.666666666668</v>
      </c>
      <c r="AR475" t="s">
        <v>9</v>
      </c>
      <c r="AS475" t="s">
        <v>75</v>
      </c>
      <c r="AX475" t="s">
        <v>76</v>
      </c>
      <c r="AY475" t="s">
        <v>176</v>
      </c>
      <c r="AZ475">
        <v>0</v>
      </c>
      <c r="BA475" t="s">
        <v>176</v>
      </c>
      <c r="BB475">
        <v>0</v>
      </c>
    </row>
    <row r="476" spans="1:56" x14ac:dyDescent="0.15">
      <c r="A476" s="4" t="str">
        <f>HYPERLINK("https://ibp.a2mac1.com/costing(costing:projects/details/9760/part/8411612)","Leather")</f>
        <v>Leather</v>
      </c>
      <c r="B476">
        <v>8411612</v>
      </c>
      <c r="C476">
        <v>8411592</v>
      </c>
      <c r="E476">
        <v>3.4304686166666665</v>
      </c>
      <c r="F476">
        <v>0</v>
      </c>
      <c r="G476">
        <v>0</v>
      </c>
      <c r="H476">
        <v>6.8609372333333334E-5</v>
      </c>
      <c r="I476" t="s">
        <v>176</v>
      </c>
      <c r="J476">
        <v>0.12006640158333333</v>
      </c>
      <c r="K476">
        <v>3.5506036276223334</v>
      </c>
      <c r="L476">
        <v>0.50090219750093534</v>
      </c>
      <c r="M476">
        <v>3.0054131850056121</v>
      </c>
      <c r="N476">
        <v>6.556016812627945</v>
      </c>
      <c r="O476" t="s">
        <v>90</v>
      </c>
      <c r="P476">
        <v>0</v>
      </c>
      <c r="Q476" t="s">
        <v>90</v>
      </c>
      <c r="R476">
        <v>0</v>
      </c>
      <c r="S476" t="s">
        <v>90</v>
      </c>
      <c r="T476">
        <v>0</v>
      </c>
      <c r="U476" t="s">
        <v>90</v>
      </c>
      <c r="V476">
        <v>0</v>
      </c>
      <c r="W476" t="s">
        <v>90</v>
      </c>
      <c r="X476">
        <v>0</v>
      </c>
      <c r="Y476">
        <v>6.556016812627945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K476" t="s">
        <v>272</v>
      </c>
      <c r="AM476">
        <v>200000</v>
      </c>
      <c r="AN476" t="s">
        <v>73</v>
      </c>
      <c r="AO476">
        <v>1</v>
      </c>
      <c r="AP476">
        <v>0</v>
      </c>
      <c r="AQ476">
        <v>16666.666666666668</v>
      </c>
      <c r="AR476" t="s">
        <v>9</v>
      </c>
      <c r="AS476" t="s">
        <v>75</v>
      </c>
      <c r="AX476" t="s">
        <v>76</v>
      </c>
      <c r="AY476" t="s">
        <v>176</v>
      </c>
      <c r="AZ476">
        <v>0</v>
      </c>
      <c r="BA476" t="s">
        <v>176</v>
      </c>
      <c r="BB476">
        <v>0</v>
      </c>
    </row>
    <row r="477" spans="1:56" x14ac:dyDescent="0.15">
      <c r="A477" s="4" t="str">
        <f>HYPERLINK("https://ibp.a2mac1.com/costing(costing:projects/details/9760/part/8411613)","Trim Bezel")</f>
        <v>Trim Bezel</v>
      </c>
      <c r="B477">
        <v>8411613</v>
      </c>
      <c r="C477">
        <v>8411593</v>
      </c>
      <c r="D477" t="s">
        <v>1632</v>
      </c>
      <c r="E477">
        <v>2.4862622924892424E-2</v>
      </c>
      <c r="F477">
        <v>2.5000000000000001E-2</v>
      </c>
      <c r="G477">
        <v>0</v>
      </c>
      <c r="H477">
        <v>3.2962187393826843E-4</v>
      </c>
      <c r="I477" t="s">
        <v>176</v>
      </c>
      <c r="J477">
        <v>8.7509367768400664E-4</v>
      </c>
      <c r="K477">
        <v>5.19423384765147E-2</v>
      </c>
      <c r="L477">
        <v>3.2691017811103264E-2</v>
      </c>
      <c r="M477">
        <v>0.1961461068666196</v>
      </c>
      <c r="N477">
        <v>0.24808844534313429</v>
      </c>
      <c r="O477" t="s">
        <v>177</v>
      </c>
      <c r="P477">
        <v>3.1165403085908821E-3</v>
      </c>
      <c r="Q477" t="s">
        <v>177</v>
      </c>
      <c r="R477">
        <v>1.1768766411997176E-2</v>
      </c>
      <c r="S477" t="s">
        <v>178</v>
      </c>
      <c r="T477">
        <v>2.9770613441176114E-2</v>
      </c>
      <c r="U477" t="s">
        <v>90</v>
      </c>
      <c r="V477">
        <v>0</v>
      </c>
      <c r="W477" t="s">
        <v>90</v>
      </c>
      <c r="X477">
        <v>0</v>
      </c>
      <c r="Y477">
        <v>0.29274436550489846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33</v>
      </c>
      <c r="AF477">
        <v>32</v>
      </c>
      <c r="AG477">
        <v>8</v>
      </c>
      <c r="AH477">
        <v>0</v>
      </c>
      <c r="AI477">
        <v>3.0000000000000001E-3</v>
      </c>
      <c r="AK477" t="s">
        <v>740</v>
      </c>
      <c r="AM477">
        <v>200000</v>
      </c>
      <c r="AN477" t="s">
        <v>97</v>
      </c>
      <c r="AO477">
        <v>1</v>
      </c>
      <c r="AP477">
        <v>0</v>
      </c>
      <c r="AQ477">
        <v>16666.666666666668</v>
      </c>
      <c r="AR477" t="s">
        <v>1633</v>
      </c>
      <c r="AS477" t="s">
        <v>75</v>
      </c>
      <c r="AX477" t="s">
        <v>76</v>
      </c>
      <c r="AY477" t="s">
        <v>176</v>
      </c>
      <c r="AZ477">
        <v>8.7500000000000002E-4</v>
      </c>
      <c r="BA477" t="s">
        <v>176</v>
      </c>
      <c r="BB477">
        <v>0</v>
      </c>
    </row>
    <row r="478" spans="1:56" x14ac:dyDescent="0.15">
      <c r="A478" s="4" t="str">
        <f>HYPERLINK("https://ibp.a2mac1.com/costing(costing:projects/details/9760/part/8411614)","Back")</f>
        <v>Back</v>
      </c>
      <c r="B478">
        <v>8411614</v>
      </c>
      <c r="C478">
        <v>8411593</v>
      </c>
      <c r="D478" t="s">
        <v>1641</v>
      </c>
      <c r="E478">
        <v>0.13926806179830181</v>
      </c>
      <c r="F478">
        <v>0</v>
      </c>
      <c r="G478">
        <v>0</v>
      </c>
      <c r="H478">
        <v>2.7946244378589858E-6</v>
      </c>
      <c r="I478" t="s">
        <v>176</v>
      </c>
      <c r="J478">
        <v>4.890592766253225E-3</v>
      </c>
      <c r="K478">
        <v>0.1441614491889929</v>
      </c>
      <c r="L478">
        <v>1.4147593329300613E-2</v>
      </c>
      <c r="M478">
        <v>8.4885559975803673E-2</v>
      </c>
      <c r="N478">
        <v>0.22904700916479659</v>
      </c>
      <c r="O478" t="s">
        <v>177</v>
      </c>
      <c r="P478">
        <v>8.649686951339575E-3</v>
      </c>
      <c r="Q478" t="s">
        <v>177</v>
      </c>
      <c r="R478">
        <v>5.0931335985482211E-3</v>
      </c>
      <c r="S478" t="s">
        <v>178</v>
      </c>
      <c r="T478">
        <v>2.7485641099775589E-2</v>
      </c>
      <c r="U478" t="s">
        <v>90</v>
      </c>
      <c r="V478">
        <v>0</v>
      </c>
      <c r="W478" t="s">
        <v>90</v>
      </c>
      <c r="X478">
        <v>0</v>
      </c>
      <c r="Y478">
        <v>0.27027547081445996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265</v>
      </c>
      <c r="AF478">
        <v>195</v>
      </c>
      <c r="AG478">
        <v>86</v>
      </c>
      <c r="AH478">
        <v>0</v>
      </c>
      <c r="AI478">
        <v>0.129</v>
      </c>
      <c r="AK478" t="s">
        <v>740</v>
      </c>
      <c r="AM478">
        <v>200000</v>
      </c>
      <c r="AN478" t="s">
        <v>97</v>
      </c>
      <c r="AO478">
        <v>1</v>
      </c>
      <c r="AP478">
        <v>0</v>
      </c>
      <c r="AQ478">
        <v>16666.666666666668</v>
      </c>
      <c r="AR478" t="s">
        <v>1642</v>
      </c>
      <c r="AS478" t="s">
        <v>75</v>
      </c>
      <c r="AX478" t="s">
        <v>76</v>
      </c>
      <c r="AY478" t="s">
        <v>176</v>
      </c>
      <c r="AZ478">
        <v>0</v>
      </c>
      <c r="BA478" t="s">
        <v>176</v>
      </c>
      <c r="BB478">
        <v>0</v>
      </c>
    </row>
    <row r="479" spans="1:56" x14ac:dyDescent="0.15">
      <c r="A479" s="4" t="str">
        <f>HYPERLINK("https://ibp.a2mac1.com/costing(costing:projects/details/9760/part/8411615)","Front")</f>
        <v>Front</v>
      </c>
      <c r="B479">
        <v>8411615</v>
      </c>
      <c r="C479">
        <v>8411593</v>
      </c>
      <c r="D479" t="s">
        <v>1656</v>
      </c>
      <c r="E479">
        <v>0.46172294152592608</v>
      </c>
      <c r="F479">
        <v>1.7500000000000002E-2</v>
      </c>
      <c r="G479">
        <v>0</v>
      </c>
      <c r="H479">
        <v>7.6326025049163349E-3</v>
      </c>
      <c r="I479" t="s">
        <v>176</v>
      </c>
      <c r="J479">
        <v>1.617543360358675E-2</v>
      </c>
      <c r="K479">
        <v>0.50364347763442918</v>
      </c>
      <c r="L479">
        <v>8.6048975790549195E-2</v>
      </c>
      <c r="M479">
        <v>0.51629385474329514</v>
      </c>
      <c r="N479">
        <v>1.0199373323777243</v>
      </c>
      <c r="O479" t="s">
        <v>177</v>
      </c>
      <c r="P479">
        <v>3.0218608658065749E-2</v>
      </c>
      <c r="Q479" t="s">
        <v>177</v>
      </c>
      <c r="R479">
        <v>3.0977631284597712E-2</v>
      </c>
      <c r="S479" t="s">
        <v>178</v>
      </c>
      <c r="T479">
        <v>0.12239247988532692</v>
      </c>
      <c r="U479" t="s">
        <v>90</v>
      </c>
      <c r="V479">
        <v>0</v>
      </c>
      <c r="W479" t="s">
        <v>90</v>
      </c>
      <c r="X479">
        <v>0</v>
      </c>
      <c r="Y479">
        <v>1.2035260522057147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157</v>
      </c>
      <c r="AF479">
        <v>156</v>
      </c>
      <c r="AG479">
        <v>71</v>
      </c>
      <c r="AH479">
        <v>0</v>
      </c>
      <c r="AI479">
        <v>4.2999999999999997E-2</v>
      </c>
      <c r="AK479" t="s">
        <v>740</v>
      </c>
      <c r="AM479">
        <v>200000</v>
      </c>
      <c r="AN479" t="s">
        <v>97</v>
      </c>
      <c r="AO479">
        <v>1</v>
      </c>
      <c r="AP479">
        <v>0</v>
      </c>
      <c r="AQ479">
        <v>16666.666666666668</v>
      </c>
      <c r="AR479" t="s">
        <v>1657</v>
      </c>
      <c r="AS479" t="s">
        <v>75</v>
      </c>
      <c r="AX479" t="s">
        <v>76</v>
      </c>
      <c r="AY479" t="s">
        <v>176</v>
      </c>
      <c r="AZ479">
        <v>6.1249999999999998E-4</v>
      </c>
      <c r="BA479" t="s">
        <v>176</v>
      </c>
      <c r="BB479">
        <v>0</v>
      </c>
    </row>
    <row r="480" spans="1:56" x14ac:dyDescent="0.15">
      <c r="A480" s="4" t="str">
        <f>HYPERLINK("https://ibp.a2mac1.com/costing(costing:projects/details/9760/part/8411616)","Lower Trim")</f>
        <v>Lower Trim</v>
      </c>
      <c r="B480">
        <v>8411616</v>
      </c>
      <c r="C480">
        <v>8411593</v>
      </c>
      <c r="D480" t="s">
        <v>1671</v>
      </c>
      <c r="E480">
        <v>0.14060813180027007</v>
      </c>
      <c r="F480">
        <v>0.01</v>
      </c>
      <c r="G480">
        <v>0</v>
      </c>
      <c r="H480">
        <v>2.1231741968439155E-3</v>
      </c>
      <c r="I480" t="s">
        <v>176</v>
      </c>
      <c r="J480">
        <v>4.9308730482806266E-3</v>
      </c>
      <c r="K480">
        <v>0.15801217904539464</v>
      </c>
      <c r="L480">
        <v>4.9966516692567818E-2</v>
      </c>
      <c r="M480">
        <v>0.29979910015540689</v>
      </c>
      <c r="N480">
        <v>0.4578112792008015</v>
      </c>
      <c r="O480" t="s">
        <v>177</v>
      </c>
      <c r="P480">
        <v>9.4807307427236774E-3</v>
      </c>
      <c r="Q480" t="s">
        <v>177</v>
      </c>
      <c r="R480">
        <v>1.7987946009324414E-2</v>
      </c>
      <c r="S480" t="s">
        <v>178</v>
      </c>
      <c r="T480">
        <v>5.4937353504096183E-2</v>
      </c>
      <c r="U480" t="s">
        <v>90</v>
      </c>
      <c r="V480">
        <v>0</v>
      </c>
      <c r="W480" t="s">
        <v>90</v>
      </c>
      <c r="X480">
        <v>0</v>
      </c>
      <c r="Y480">
        <v>0.54021730945694579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83</v>
      </c>
      <c r="AF480">
        <v>82</v>
      </c>
      <c r="AG480">
        <v>32</v>
      </c>
      <c r="AH480">
        <v>0</v>
      </c>
      <c r="AI480">
        <v>1.6E-2</v>
      </c>
      <c r="AK480" t="s">
        <v>740</v>
      </c>
      <c r="AM480">
        <v>200000</v>
      </c>
      <c r="AN480" t="s">
        <v>97</v>
      </c>
      <c r="AO480">
        <v>1</v>
      </c>
      <c r="AP480">
        <v>0</v>
      </c>
      <c r="AQ480">
        <v>16666.666666666668</v>
      </c>
      <c r="AR480" t="s">
        <v>1672</v>
      </c>
      <c r="AS480" t="s">
        <v>75</v>
      </c>
      <c r="AX480" t="s">
        <v>76</v>
      </c>
      <c r="AY480" t="s">
        <v>176</v>
      </c>
      <c r="AZ480">
        <v>3.5E-4</v>
      </c>
      <c r="BA480" t="s">
        <v>176</v>
      </c>
      <c r="BB480">
        <v>0</v>
      </c>
    </row>
    <row r="481" spans="1:56" x14ac:dyDescent="0.15">
      <c r="A481" s="4" t="str">
        <f>HYPERLINK("https://ibp.a2mac1.com/costing(costing:projects/details/9760/part/8411626)","Lower Support")</f>
        <v>Lower Support</v>
      </c>
      <c r="B481">
        <v>8411626</v>
      </c>
      <c r="C481">
        <v>8411618</v>
      </c>
      <c r="D481" t="s">
        <v>1679</v>
      </c>
      <c r="E481">
        <v>0.56999999999999995</v>
      </c>
      <c r="F481">
        <v>0</v>
      </c>
      <c r="G481">
        <v>0</v>
      </c>
      <c r="H481">
        <v>0</v>
      </c>
      <c r="I481" t="s">
        <v>71</v>
      </c>
      <c r="J481">
        <v>0</v>
      </c>
      <c r="K481">
        <v>0.56999999999999995</v>
      </c>
      <c r="L481">
        <v>0</v>
      </c>
      <c r="M481">
        <v>0</v>
      </c>
      <c r="N481">
        <v>0.56999999999999995</v>
      </c>
      <c r="O481" t="s">
        <v>71</v>
      </c>
      <c r="P481">
        <v>0</v>
      </c>
      <c r="Q481" t="s">
        <v>71</v>
      </c>
      <c r="R481">
        <v>0</v>
      </c>
      <c r="S481" t="s">
        <v>71</v>
      </c>
      <c r="T481">
        <v>0</v>
      </c>
      <c r="U481" t="s">
        <v>71</v>
      </c>
      <c r="V481">
        <v>0</v>
      </c>
      <c r="W481" t="s">
        <v>71</v>
      </c>
      <c r="X481">
        <v>0</v>
      </c>
      <c r="Y481">
        <v>0.56999999999999995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72</v>
      </c>
      <c r="AF481">
        <v>98</v>
      </c>
      <c r="AG481">
        <v>37</v>
      </c>
      <c r="AH481">
        <v>0</v>
      </c>
      <c r="AI481">
        <v>0.18</v>
      </c>
      <c r="AK481" t="s">
        <v>272</v>
      </c>
      <c r="AM481">
        <v>200000</v>
      </c>
      <c r="AN481" t="s">
        <v>73</v>
      </c>
      <c r="AO481">
        <v>1</v>
      </c>
      <c r="AP481">
        <v>0</v>
      </c>
      <c r="AQ481">
        <v>16666.666666666668</v>
      </c>
      <c r="AR481" t="s">
        <v>9</v>
      </c>
      <c r="AS481" t="s">
        <v>75</v>
      </c>
      <c r="AX481" t="s">
        <v>76</v>
      </c>
      <c r="AY481" t="s">
        <v>71</v>
      </c>
      <c r="AZ481">
        <v>0</v>
      </c>
      <c r="BA481" t="s">
        <v>71</v>
      </c>
      <c r="BB481">
        <v>0</v>
      </c>
      <c r="BD481">
        <v>0.56999999999999995</v>
      </c>
    </row>
    <row r="482" spans="1:56" x14ac:dyDescent="0.15">
      <c r="A482" s="4" t="str">
        <f>HYPERLINK("https://ibp.a2mac1.com/costing(costing:projects/details/9760/part/8411627)","Upper Support")</f>
        <v>Upper Support</v>
      </c>
      <c r="B482">
        <v>8411627</v>
      </c>
      <c r="C482">
        <v>8411618</v>
      </c>
      <c r="D482" t="s">
        <v>1680</v>
      </c>
      <c r="E482">
        <v>1.34</v>
      </c>
      <c r="F482">
        <v>0</v>
      </c>
      <c r="G482">
        <v>0</v>
      </c>
      <c r="H482">
        <v>0</v>
      </c>
      <c r="I482" t="s">
        <v>71</v>
      </c>
      <c r="J482">
        <v>0</v>
      </c>
      <c r="K482">
        <v>1.34</v>
      </c>
      <c r="L482">
        <v>0</v>
      </c>
      <c r="M482">
        <v>0</v>
      </c>
      <c r="N482">
        <v>1.34</v>
      </c>
      <c r="O482" t="s">
        <v>71</v>
      </c>
      <c r="P482">
        <v>0</v>
      </c>
      <c r="Q482" t="s">
        <v>71</v>
      </c>
      <c r="R482">
        <v>0</v>
      </c>
      <c r="S482" t="s">
        <v>71</v>
      </c>
      <c r="T482">
        <v>0</v>
      </c>
      <c r="U482" t="s">
        <v>71</v>
      </c>
      <c r="V482">
        <v>0</v>
      </c>
      <c r="W482" t="s">
        <v>71</v>
      </c>
      <c r="X482">
        <v>0</v>
      </c>
      <c r="Y482">
        <v>1.34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63</v>
      </c>
      <c r="AF482">
        <v>185</v>
      </c>
      <c r="AG482">
        <v>52</v>
      </c>
      <c r="AH482">
        <v>0</v>
      </c>
      <c r="AI482">
        <v>0.24099999999999999</v>
      </c>
      <c r="AK482" t="s">
        <v>272</v>
      </c>
      <c r="AM482">
        <v>200000</v>
      </c>
      <c r="AN482" t="s">
        <v>73</v>
      </c>
      <c r="AO482">
        <v>1</v>
      </c>
      <c r="AP482">
        <v>0</v>
      </c>
      <c r="AQ482">
        <v>16666.666666666668</v>
      </c>
      <c r="AR482" t="s">
        <v>9</v>
      </c>
      <c r="AS482" t="s">
        <v>75</v>
      </c>
      <c r="AX482" t="s">
        <v>76</v>
      </c>
      <c r="AY482" t="s">
        <v>71</v>
      </c>
      <c r="AZ482">
        <v>0</v>
      </c>
      <c r="BA482" t="s">
        <v>71</v>
      </c>
      <c r="BB482">
        <v>0</v>
      </c>
      <c r="BD482">
        <v>1.34</v>
      </c>
    </row>
    <row r="483" spans="1:56" x14ac:dyDescent="0.15">
      <c r="A483" s="4" t="str">
        <f>HYPERLINK("https://ibp.a2mac1.com/costing(costing:projects/details/9760/part/8411628)","Support on Column")</f>
        <v>Support on Column</v>
      </c>
      <c r="B483">
        <v>8411628</v>
      </c>
      <c r="C483">
        <v>8411618</v>
      </c>
      <c r="D483" t="s">
        <v>1681</v>
      </c>
      <c r="E483">
        <v>0.84</v>
      </c>
      <c r="F483">
        <v>0</v>
      </c>
      <c r="G483">
        <v>0</v>
      </c>
      <c r="H483">
        <v>0</v>
      </c>
      <c r="I483" t="s">
        <v>71</v>
      </c>
      <c r="J483">
        <v>0</v>
      </c>
      <c r="K483">
        <v>0.84</v>
      </c>
      <c r="L483">
        <v>0</v>
      </c>
      <c r="M483">
        <v>0</v>
      </c>
      <c r="N483">
        <v>0.84</v>
      </c>
      <c r="O483" t="s">
        <v>71</v>
      </c>
      <c r="P483">
        <v>0</v>
      </c>
      <c r="Q483" t="s">
        <v>71</v>
      </c>
      <c r="R483">
        <v>0</v>
      </c>
      <c r="S483" t="s">
        <v>71</v>
      </c>
      <c r="T483">
        <v>0</v>
      </c>
      <c r="U483" t="s">
        <v>71</v>
      </c>
      <c r="V483">
        <v>0</v>
      </c>
      <c r="W483" t="s">
        <v>71</v>
      </c>
      <c r="X483">
        <v>0</v>
      </c>
      <c r="Y483">
        <v>0.84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64</v>
      </c>
      <c r="AF483">
        <v>80</v>
      </c>
      <c r="AG483">
        <v>104</v>
      </c>
      <c r="AH483">
        <v>0</v>
      </c>
      <c r="AI483">
        <v>0.27200000000000002</v>
      </c>
      <c r="AK483" t="s">
        <v>272</v>
      </c>
      <c r="AM483">
        <v>200000</v>
      </c>
      <c r="AN483" t="s">
        <v>73</v>
      </c>
      <c r="AO483">
        <v>1</v>
      </c>
      <c r="AP483">
        <v>0</v>
      </c>
      <c r="AQ483">
        <v>16666.666666666668</v>
      </c>
      <c r="AR483" t="s">
        <v>9</v>
      </c>
      <c r="AS483" t="s">
        <v>75</v>
      </c>
      <c r="AX483" t="s">
        <v>76</v>
      </c>
      <c r="AY483" t="s">
        <v>71</v>
      </c>
      <c r="AZ483">
        <v>0</v>
      </c>
      <c r="BA483" t="s">
        <v>71</v>
      </c>
      <c r="BB483">
        <v>0</v>
      </c>
      <c r="BD483">
        <v>0.84</v>
      </c>
    </row>
    <row r="484" spans="1:56" x14ac:dyDescent="0.15">
      <c r="A484" s="4" t="str">
        <f>HYPERLINK("https://ibp.a2mac1.com/costing(costing:projects/details/9760/part/8411639)","Motor")</f>
        <v>Motor</v>
      </c>
      <c r="B484">
        <v>8411639</v>
      </c>
      <c r="C484">
        <v>8411629</v>
      </c>
      <c r="E484">
        <v>3.88</v>
      </c>
      <c r="F484">
        <v>0</v>
      </c>
      <c r="G484">
        <v>0</v>
      </c>
      <c r="H484">
        <v>0</v>
      </c>
      <c r="I484" t="s">
        <v>71</v>
      </c>
      <c r="J484">
        <v>0</v>
      </c>
      <c r="K484">
        <v>3.88</v>
      </c>
      <c r="L484">
        <v>0</v>
      </c>
      <c r="M484">
        <v>0</v>
      </c>
      <c r="N484">
        <v>3.88</v>
      </c>
      <c r="O484" t="s">
        <v>71</v>
      </c>
      <c r="P484">
        <v>0</v>
      </c>
      <c r="Q484" t="s">
        <v>71</v>
      </c>
      <c r="R484">
        <v>0</v>
      </c>
      <c r="S484" t="s">
        <v>71</v>
      </c>
      <c r="T484">
        <v>0</v>
      </c>
      <c r="U484" t="s">
        <v>71</v>
      </c>
      <c r="V484">
        <v>0</v>
      </c>
      <c r="W484" t="s">
        <v>71</v>
      </c>
      <c r="X484">
        <v>0</v>
      </c>
      <c r="Y484">
        <v>3.88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63</v>
      </c>
      <c r="AF484">
        <v>143</v>
      </c>
      <c r="AG484">
        <v>30</v>
      </c>
      <c r="AH484">
        <v>0</v>
      </c>
      <c r="AI484">
        <v>0.36399999999999999</v>
      </c>
      <c r="AK484" t="s">
        <v>272</v>
      </c>
      <c r="AM484">
        <v>200000</v>
      </c>
      <c r="AN484" t="s">
        <v>73</v>
      </c>
      <c r="AO484">
        <v>1</v>
      </c>
      <c r="AP484">
        <v>0</v>
      </c>
      <c r="AQ484">
        <v>16666.666666666668</v>
      </c>
      <c r="AR484" t="s">
        <v>9</v>
      </c>
      <c r="AS484" t="s">
        <v>75</v>
      </c>
      <c r="AX484" t="s">
        <v>76</v>
      </c>
      <c r="AY484" t="s">
        <v>71</v>
      </c>
      <c r="AZ484">
        <v>0</v>
      </c>
      <c r="BA484" t="s">
        <v>71</v>
      </c>
      <c r="BB484">
        <v>0</v>
      </c>
      <c r="BD484">
        <v>3.88</v>
      </c>
    </row>
    <row r="485" spans="1:56" x14ac:dyDescent="0.15">
      <c r="A485" s="4" t="str">
        <f>HYPERLINK("https://ibp.a2mac1.com/costing(costing:projects/details/9760/part/8411640)","Mechanism")</f>
        <v>Mechanism</v>
      </c>
      <c r="B485">
        <v>8411640</v>
      </c>
      <c r="C485">
        <v>8411629</v>
      </c>
      <c r="D485" t="s">
        <v>970</v>
      </c>
      <c r="E485">
        <v>3.06</v>
      </c>
      <c r="F485">
        <v>0</v>
      </c>
      <c r="G485">
        <v>0</v>
      </c>
      <c r="H485">
        <v>0</v>
      </c>
      <c r="I485" t="s">
        <v>71</v>
      </c>
      <c r="J485">
        <v>0</v>
      </c>
      <c r="K485">
        <v>3.06</v>
      </c>
      <c r="L485">
        <v>0</v>
      </c>
      <c r="M485">
        <v>0</v>
      </c>
      <c r="N485">
        <v>3.06</v>
      </c>
      <c r="O485" t="s">
        <v>71</v>
      </c>
      <c r="P485">
        <v>0</v>
      </c>
      <c r="Q485" t="s">
        <v>71</v>
      </c>
      <c r="R485">
        <v>0</v>
      </c>
      <c r="S485" t="s">
        <v>71</v>
      </c>
      <c r="T485">
        <v>0</v>
      </c>
      <c r="U485" t="s">
        <v>71</v>
      </c>
      <c r="V485">
        <v>0</v>
      </c>
      <c r="W485" t="s">
        <v>71</v>
      </c>
      <c r="X485">
        <v>0</v>
      </c>
      <c r="Y485">
        <v>3.06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179</v>
      </c>
      <c r="AF485">
        <v>66</v>
      </c>
      <c r="AG485">
        <v>50</v>
      </c>
      <c r="AH485">
        <v>0</v>
      </c>
      <c r="AI485">
        <v>0.20899999999999999</v>
      </c>
      <c r="AK485" t="s">
        <v>272</v>
      </c>
      <c r="AM485">
        <v>200000</v>
      </c>
      <c r="AN485" t="s">
        <v>73</v>
      </c>
      <c r="AO485">
        <v>1</v>
      </c>
      <c r="AP485">
        <v>0</v>
      </c>
      <c r="AQ485">
        <v>16666.666666666668</v>
      </c>
      <c r="AR485" t="s">
        <v>9</v>
      </c>
      <c r="AS485" t="s">
        <v>75</v>
      </c>
      <c r="AX485" t="s">
        <v>76</v>
      </c>
      <c r="AY485" t="s">
        <v>71</v>
      </c>
      <c r="AZ485">
        <v>0</v>
      </c>
      <c r="BA485" t="s">
        <v>71</v>
      </c>
      <c r="BB485">
        <v>0</v>
      </c>
      <c r="BD485">
        <v>3.06</v>
      </c>
    </row>
    <row r="486" spans="1:56" x14ac:dyDescent="0.15">
      <c r="A486" s="4" t="str">
        <f>HYPERLINK("https://ibp.a2mac1.com/costing(costing:projects/details/9760/part/8411641)","Motor Support")</f>
        <v>Motor Support</v>
      </c>
      <c r="B486">
        <v>8411641</v>
      </c>
      <c r="C486">
        <v>8411629</v>
      </c>
      <c r="D486" t="s">
        <v>1684</v>
      </c>
      <c r="E486">
        <v>0.18</v>
      </c>
      <c r="F486">
        <v>0</v>
      </c>
      <c r="G486">
        <v>0</v>
      </c>
      <c r="H486">
        <v>0</v>
      </c>
      <c r="I486" t="s">
        <v>71</v>
      </c>
      <c r="J486">
        <v>0</v>
      </c>
      <c r="K486">
        <v>0.18</v>
      </c>
      <c r="L486">
        <v>0</v>
      </c>
      <c r="M486">
        <v>0</v>
      </c>
      <c r="N486">
        <v>0.18</v>
      </c>
      <c r="O486" t="s">
        <v>71</v>
      </c>
      <c r="P486">
        <v>0</v>
      </c>
      <c r="Q486" t="s">
        <v>71</v>
      </c>
      <c r="R486">
        <v>0</v>
      </c>
      <c r="S486" t="s">
        <v>71</v>
      </c>
      <c r="T486">
        <v>0</v>
      </c>
      <c r="U486" t="s">
        <v>71</v>
      </c>
      <c r="V486">
        <v>0</v>
      </c>
      <c r="W486" t="s">
        <v>71</v>
      </c>
      <c r="X486">
        <v>0</v>
      </c>
      <c r="Y486">
        <v>0.18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34</v>
      </c>
      <c r="AF486">
        <v>14</v>
      </c>
      <c r="AG486">
        <v>57</v>
      </c>
      <c r="AH486">
        <v>0</v>
      </c>
      <c r="AI486">
        <v>3.4000000000000002E-2</v>
      </c>
      <c r="AK486" t="s">
        <v>272</v>
      </c>
      <c r="AM486">
        <v>200000</v>
      </c>
      <c r="AN486" t="s">
        <v>73</v>
      </c>
      <c r="AO486">
        <v>1</v>
      </c>
      <c r="AP486">
        <v>0</v>
      </c>
      <c r="AQ486">
        <v>16666.666666666668</v>
      </c>
      <c r="AR486" t="s">
        <v>9</v>
      </c>
      <c r="AS486" t="s">
        <v>75</v>
      </c>
      <c r="AX486" t="s">
        <v>76</v>
      </c>
      <c r="AY486" t="s">
        <v>71</v>
      </c>
      <c r="AZ486">
        <v>0</v>
      </c>
      <c r="BA486" t="s">
        <v>71</v>
      </c>
      <c r="BB486">
        <v>0</v>
      </c>
      <c r="BD486">
        <v>0.18</v>
      </c>
    </row>
    <row r="487" spans="1:56" x14ac:dyDescent="0.15">
      <c r="A487" s="4" t="str">
        <f>HYPERLINK("https://ibp.a2mac1.com/costing(costing:projects/details/9760/part/8411642)","Mechanism Support")</f>
        <v>Mechanism Support</v>
      </c>
      <c r="B487">
        <v>8411642</v>
      </c>
      <c r="C487">
        <v>8411629</v>
      </c>
      <c r="D487" t="s">
        <v>1684</v>
      </c>
      <c r="E487">
        <v>0.15</v>
      </c>
      <c r="F487">
        <v>0</v>
      </c>
      <c r="G487">
        <v>0</v>
      </c>
      <c r="H487">
        <v>0</v>
      </c>
      <c r="I487" t="s">
        <v>71</v>
      </c>
      <c r="J487">
        <v>0</v>
      </c>
      <c r="K487">
        <v>0.15</v>
      </c>
      <c r="L487">
        <v>0</v>
      </c>
      <c r="M487">
        <v>0</v>
      </c>
      <c r="N487">
        <v>0.15</v>
      </c>
      <c r="O487" t="s">
        <v>71</v>
      </c>
      <c r="P487">
        <v>0</v>
      </c>
      <c r="Q487" t="s">
        <v>71</v>
      </c>
      <c r="R487">
        <v>0</v>
      </c>
      <c r="S487" t="s">
        <v>71</v>
      </c>
      <c r="T487">
        <v>0</v>
      </c>
      <c r="U487" t="s">
        <v>71</v>
      </c>
      <c r="V487">
        <v>0</v>
      </c>
      <c r="W487" t="s">
        <v>71</v>
      </c>
      <c r="X487">
        <v>0</v>
      </c>
      <c r="Y487">
        <v>0.15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39</v>
      </c>
      <c r="AF487">
        <v>4</v>
      </c>
      <c r="AG487">
        <v>35</v>
      </c>
      <c r="AH487">
        <v>0</v>
      </c>
      <c r="AI487">
        <v>0.02</v>
      </c>
      <c r="AK487" t="s">
        <v>272</v>
      </c>
      <c r="AM487">
        <v>200000</v>
      </c>
      <c r="AN487" t="s">
        <v>73</v>
      </c>
      <c r="AO487">
        <v>1</v>
      </c>
      <c r="AP487">
        <v>0</v>
      </c>
      <c r="AQ487">
        <v>16666.666666666668</v>
      </c>
      <c r="AR487" t="s">
        <v>9</v>
      </c>
      <c r="AS487" t="s">
        <v>75</v>
      </c>
      <c r="AX487" t="s">
        <v>76</v>
      </c>
      <c r="AY487" t="s">
        <v>71</v>
      </c>
      <c r="AZ487">
        <v>0</v>
      </c>
      <c r="BA487" t="s">
        <v>71</v>
      </c>
      <c r="BB487">
        <v>0</v>
      </c>
      <c r="BD487">
        <v>0.15</v>
      </c>
    </row>
    <row r="488" spans="1:56" x14ac:dyDescent="0.15">
      <c r="A488" s="4" t="str">
        <f>HYPERLINK("https://ibp.a2mac1.com/costing(costing:projects/details/9760/part/8411643)","2nd Mechanism")</f>
        <v>2nd Mechanism</v>
      </c>
      <c r="B488">
        <v>8411643</v>
      </c>
      <c r="C488">
        <v>8411629</v>
      </c>
      <c r="D488" t="s">
        <v>1685</v>
      </c>
      <c r="E488">
        <v>0.03</v>
      </c>
      <c r="F488">
        <v>0</v>
      </c>
      <c r="G488">
        <v>0</v>
      </c>
      <c r="H488">
        <v>0</v>
      </c>
      <c r="I488" t="s">
        <v>71</v>
      </c>
      <c r="J488">
        <v>0</v>
      </c>
      <c r="K488">
        <v>0.03</v>
      </c>
      <c r="L488">
        <v>0</v>
      </c>
      <c r="M488">
        <v>0</v>
      </c>
      <c r="N488">
        <v>0.03</v>
      </c>
      <c r="O488" t="s">
        <v>71</v>
      </c>
      <c r="P488">
        <v>0</v>
      </c>
      <c r="Q488" t="s">
        <v>71</v>
      </c>
      <c r="R488">
        <v>0</v>
      </c>
      <c r="S488" t="s">
        <v>71</v>
      </c>
      <c r="T488">
        <v>0</v>
      </c>
      <c r="U488" t="s">
        <v>71</v>
      </c>
      <c r="V488">
        <v>0</v>
      </c>
      <c r="W488" t="s">
        <v>71</v>
      </c>
      <c r="X488">
        <v>0</v>
      </c>
      <c r="Y488">
        <v>0.03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29</v>
      </c>
      <c r="AF488">
        <v>30</v>
      </c>
      <c r="AG488">
        <v>8</v>
      </c>
      <c r="AH488">
        <v>0</v>
      </c>
      <c r="AI488">
        <v>4.0000000000000001E-3</v>
      </c>
      <c r="AK488" t="s">
        <v>272</v>
      </c>
      <c r="AM488">
        <v>200000</v>
      </c>
      <c r="AN488" t="s">
        <v>73</v>
      </c>
      <c r="AO488">
        <v>1</v>
      </c>
      <c r="AP488">
        <v>0</v>
      </c>
      <c r="AQ488">
        <v>16666.666666666668</v>
      </c>
      <c r="AR488" t="s">
        <v>9</v>
      </c>
      <c r="AS488" t="s">
        <v>75</v>
      </c>
      <c r="AX488" t="s">
        <v>76</v>
      </c>
      <c r="AY488" t="s">
        <v>71</v>
      </c>
      <c r="AZ488">
        <v>0</v>
      </c>
      <c r="BA488" t="s">
        <v>71</v>
      </c>
      <c r="BB488">
        <v>0</v>
      </c>
      <c r="BD488">
        <v>0.03</v>
      </c>
    </row>
    <row r="489" spans="1:56" x14ac:dyDescent="0.15">
      <c r="A489" s="4" t="str">
        <f>HYPERLINK("https://ibp.a2mac1.com/costing(costing:projects/details/9760/part/8411644)","Guide")</f>
        <v>Guide</v>
      </c>
      <c r="B489">
        <v>8411644</v>
      </c>
      <c r="C489">
        <v>8411629</v>
      </c>
      <c r="D489" t="s">
        <v>1685</v>
      </c>
      <c r="E489">
        <v>0.04</v>
      </c>
      <c r="F489">
        <v>0</v>
      </c>
      <c r="G489">
        <v>0</v>
      </c>
      <c r="H489">
        <v>0</v>
      </c>
      <c r="I489" t="s">
        <v>71</v>
      </c>
      <c r="J489">
        <v>0</v>
      </c>
      <c r="K489">
        <v>0.04</v>
      </c>
      <c r="L489">
        <v>0</v>
      </c>
      <c r="M489">
        <v>0</v>
      </c>
      <c r="N489">
        <v>0.04</v>
      </c>
      <c r="O489" t="s">
        <v>71</v>
      </c>
      <c r="P489">
        <v>0</v>
      </c>
      <c r="Q489" t="s">
        <v>71</v>
      </c>
      <c r="R489">
        <v>0</v>
      </c>
      <c r="S489" t="s">
        <v>71</v>
      </c>
      <c r="T489">
        <v>0</v>
      </c>
      <c r="U489" t="s">
        <v>71</v>
      </c>
      <c r="V489">
        <v>0</v>
      </c>
      <c r="W489" t="s">
        <v>71</v>
      </c>
      <c r="X489">
        <v>0</v>
      </c>
      <c r="Y489">
        <v>0.04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101</v>
      </c>
      <c r="AF489">
        <v>9</v>
      </c>
      <c r="AG489">
        <v>23</v>
      </c>
      <c r="AH489">
        <v>0</v>
      </c>
      <c r="AI489">
        <v>6.0000000000000001E-3</v>
      </c>
      <c r="AK489" t="s">
        <v>272</v>
      </c>
      <c r="AM489">
        <v>200000</v>
      </c>
      <c r="AN489" t="s">
        <v>73</v>
      </c>
      <c r="AO489">
        <v>1</v>
      </c>
      <c r="AP489">
        <v>0</v>
      </c>
      <c r="AQ489">
        <v>16666.666666666668</v>
      </c>
      <c r="AR489" t="s">
        <v>9</v>
      </c>
      <c r="AS489" t="s">
        <v>75</v>
      </c>
      <c r="AX489" t="s">
        <v>76</v>
      </c>
      <c r="AY489" t="s">
        <v>71</v>
      </c>
      <c r="AZ489">
        <v>0</v>
      </c>
      <c r="BA489" t="s">
        <v>71</v>
      </c>
      <c r="BB489">
        <v>0</v>
      </c>
      <c r="BD489">
        <v>0.04</v>
      </c>
    </row>
    <row r="490" spans="1:56" x14ac:dyDescent="0.15">
      <c r="A490" s="4" t="str">
        <f>HYPERLINK("https://ibp.a2mac1.com/costing(costing:projects/details/9760/part/8411645)","Guide Support")</f>
        <v>Guide Support</v>
      </c>
      <c r="B490">
        <v>8411645</v>
      </c>
      <c r="C490">
        <v>8411629</v>
      </c>
      <c r="D490" t="s">
        <v>1684</v>
      </c>
      <c r="E490">
        <v>0.27</v>
      </c>
      <c r="F490">
        <v>0</v>
      </c>
      <c r="G490">
        <v>0</v>
      </c>
      <c r="H490">
        <v>0</v>
      </c>
      <c r="I490" t="s">
        <v>71</v>
      </c>
      <c r="J490">
        <v>0</v>
      </c>
      <c r="K490">
        <v>0.27</v>
      </c>
      <c r="L490">
        <v>0</v>
      </c>
      <c r="M490">
        <v>0</v>
      </c>
      <c r="N490">
        <v>0.27</v>
      </c>
      <c r="O490" t="s">
        <v>71</v>
      </c>
      <c r="P490">
        <v>0</v>
      </c>
      <c r="Q490" t="s">
        <v>71</v>
      </c>
      <c r="R490">
        <v>0</v>
      </c>
      <c r="S490" t="s">
        <v>71</v>
      </c>
      <c r="T490">
        <v>0</v>
      </c>
      <c r="U490" t="s">
        <v>71</v>
      </c>
      <c r="V490">
        <v>0</v>
      </c>
      <c r="W490" t="s">
        <v>71</v>
      </c>
      <c r="X490">
        <v>0</v>
      </c>
      <c r="Y490">
        <v>0.27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123</v>
      </c>
      <c r="AF490">
        <v>11</v>
      </c>
      <c r="AG490">
        <v>19</v>
      </c>
      <c r="AH490">
        <v>0</v>
      </c>
      <c r="AI490">
        <v>7.1999999999999995E-2</v>
      </c>
      <c r="AK490" t="s">
        <v>272</v>
      </c>
      <c r="AM490">
        <v>200000</v>
      </c>
      <c r="AN490" t="s">
        <v>73</v>
      </c>
      <c r="AO490">
        <v>1</v>
      </c>
      <c r="AP490">
        <v>0</v>
      </c>
      <c r="AQ490">
        <v>16666.666666666668</v>
      </c>
      <c r="AR490" t="s">
        <v>9</v>
      </c>
      <c r="AS490" t="s">
        <v>75</v>
      </c>
      <c r="AX490" t="s">
        <v>76</v>
      </c>
      <c r="AY490" t="s">
        <v>71</v>
      </c>
      <c r="AZ490">
        <v>0</v>
      </c>
      <c r="BA490" t="s">
        <v>71</v>
      </c>
      <c r="BB490">
        <v>0</v>
      </c>
      <c r="BD490">
        <v>0.27</v>
      </c>
    </row>
    <row r="491" spans="1:56" x14ac:dyDescent="0.15">
      <c r="A491" s="4" t="str">
        <f>HYPERLINK("https://ibp.a2mac1.com/costing(costing:projects/details/9760/part/8411646)","Motor")</f>
        <v>Motor</v>
      </c>
      <c r="B491">
        <v>8411646</v>
      </c>
      <c r="C491">
        <v>8411630</v>
      </c>
      <c r="E491">
        <v>3.88</v>
      </c>
      <c r="F491">
        <v>0</v>
      </c>
      <c r="G491">
        <v>0</v>
      </c>
      <c r="H491">
        <v>0</v>
      </c>
      <c r="I491" t="s">
        <v>71</v>
      </c>
      <c r="J491">
        <v>0</v>
      </c>
      <c r="K491">
        <v>3.88</v>
      </c>
      <c r="L491">
        <v>0</v>
      </c>
      <c r="M491">
        <v>0</v>
      </c>
      <c r="N491">
        <v>3.88</v>
      </c>
      <c r="O491" t="s">
        <v>71</v>
      </c>
      <c r="P491">
        <v>0</v>
      </c>
      <c r="Q491" t="s">
        <v>71</v>
      </c>
      <c r="R491">
        <v>0</v>
      </c>
      <c r="S491" t="s">
        <v>71</v>
      </c>
      <c r="T491">
        <v>0</v>
      </c>
      <c r="U491" t="s">
        <v>71</v>
      </c>
      <c r="V491">
        <v>0</v>
      </c>
      <c r="W491" t="s">
        <v>71</v>
      </c>
      <c r="X491">
        <v>0</v>
      </c>
      <c r="Y491">
        <v>3.88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63</v>
      </c>
      <c r="AF491">
        <v>128</v>
      </c>
      <c r="AG491">
        <v>30</v>
      </c>
      <c r="AH491">
        <v>0</v>
      </c>
      <c r="AI491">
        <v>0.28599999999999998</v>
      </c>
      <c r="AK491" t="s">
        <v>272</v>
      </c>
      <c r="AM491">
        <v>200000</v>
      </c>
      <c r="AN491" t="s">
        <v>73</v>
      </c>
      <c r="AO491">
        <v>1</v>
      </c>
      <c r="AP491">
        <v>0</v>
      </c>
      <c r="AQ491">
        <v>16666.666666666668</v>
      </c>
      <c r="AR491" t="s">
        <v>9</v>
      </c>
      <c r="AS491" t="s">
        <v>75</v>
      </c>
      <c r="AX491" t="s">
        <v>76</v>
      </c>
      <c r="AY491" t="s">
        <v>71</v>
      </c>
      <c r="AZ491">
        <v>0</v>
      </c>
      <c r="BA491" t="s">
        <v>71</v>
      </c>
      <c r="BB491">
        <v>0</v>
      </c>
      <c r="BD491">
        <v>3.88</v>
      </c>
    </row>
    <row r="492" spans="1:56" x14ac:dyDescent="0.15">
      <c r="A492" s="4" t="str">
        <f>HYPERLINK("https://ibp.a2mac1.com/costing(costing:projects/details/9760/part/8411647)","Mechanism")</f>
        <v>Mechanism</v>
      </c>
      <c r="B492">
        <v>8411647</v>
      </c>
      <c r="C492">
        <v>8411630</v>
      </c>
      <c r="D492" t="s">
        <v>970</v>
      </c>
      <c r="E492">
        <v>3.06</v>
      </c>
      <c r="F492">
        <v>0</v>
      </c>
      <c r="G492">
        <v>0</v>
      </c>
      <c r="H492">
        <v>0</v>
      </c>
      <c r="I492" t="s">
        <v>71</v>
      </c>
      <c r="J492">
        <v>0</v>
      </c>
      <c r="K492">
        <v>3.06</v>
      </c>
      <c r="L492">
        <v>0</v>
      </c>
      <c r="M492">
        <v>0</v>
      </c>
      <c r="N492">
        <v>3.06</v>
      </c>
      <c r="O492" t="s">
        <v>71</v>
      </c>
      <c r="P492">
        <v>0</v>
      </c>
      <c r="Q492" t="s">
        <v>71</v>
      </c>
      <c r="R492">
        <v>0</v>
      </c>
      <c r="S492" t="s">
        <v>71</v>
      </c>
      <c r="T492">
        <v>0</v>
      </c>
      <c r="U492" t="s">
        <v>71</v>
      </c>
      <c r="V492">
        <v>0</v>
      </c>
      <c r="W492" t="s">
        <v>71</v>
      </c>
      <c r="X492">
        <v>0</v>
      </c>
      <c r="Y492">
        <v>3.06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150</v>
      </c>
      <c r="AF492">
        <v>66</v>
      </c>
      <c r="AG492">
        <v>50</v>
      </c>
      <c r="AH492">
        <v>0</v>
      </c>
      <c r="AI492">
        <v>0.20599999999999999</v>
      </c>
      <c r="AK492" t="s">
        <v>272</v>
      </c>
      <c r="AM492">
        <v>200000</v>
      </c>
      <c r="AN492" t="s">
        <v>73</v>
      </c>
      <c r="AO492">
        <v>1</v>
      </c>
      <c r="AP492">
        <v>0</v>
      </c>
      <c r="AQ492">
        <v>16666.666666666668</v>
      </c>
      <c r="AR492" t="s">
        <v>9</v>
      </c>
      <c r="AS492" t="s">
        <v>75</v>
      </c>
      <c r="AX492" t="s">
        <v>76</v>
      </c>
      <c r="AY492" t="s">
        <v>71</v>
      </c>
      <c r="AZ492">
        <v>0</v>
      </c>
      <c r="BA492" t="s">
        <v>71</v>
      </c>
      <c r="BB492">
        <v>0</v>
      </c>
      <c r="BD492">
        <v>3.06</v>
      </c>
    </row>
    <row r="493" spans="1:56" x14ac:dyDescent="0.15">
      <c r="A493" s="4" t="str">
        <f>HYPERLINK("https://ibp.a2mac1.com/costing(costing:projects/details/9760/part/8411617)","Steering Column Parts")</f>
        <v>Steering Column Parts</v>
      </c>
      <c r="B493">
        <v>8411617</v>
      </c>
      <c r="C493">
        <v>8411597</v>
      </c>
      <c r="D493" t="s">
        <v>1695</v>
      </c>
      <c r="E493">
        <v>9.9499999999999993</v>
      </c>
      <c r="F493">
        <v>0</v>
      </c>
      <c r="G493">
        <v>0</v>
      </c>
      <c r="H493">
        <v>1.9900000000000001E-4</v>
      </c>
      <c r="I493" t="s">
        <v>176</v>
      </c>
      <c r="J493">
        <v>0.34825</v>
      </c>
      <c r="K493">
        <v>10.298449</v>
      </c>
      <c r="L493">
        <v>1.4432730156461677</v>
      </c>
      <c r="M493">
        <v>8.6596380938770068</v>
      </c>
      <c r="N493">
        <v>18.958087093877008</v>
      </c>
      <c r="O493" t="s">
        <v>90</v>
      </c>
      <c r="P493">
        <v>0</v>
      </c>
      <c r="Q493" t="s">
        <v>90</v>
      </c>
      <c r="R493">
        <v>0</v>
      </c>
      <c r="S493" t="s">
        <v>90</v>
      </c>
      <c r="T493">
        <v>0</v>
      </c>
      <c r="U493" t="s">
        <v>90</v>
      </c>
      <c r="V493">
        <v>0</v>
      </c>
      <c r="W493" t="s">
        <v>90</v>
      </c>
      <c r="X493">
        <v>0</v>
      </c>
      <c r="Y493">
        <v>18.958087093877008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515</v>
      </c>
      <c r="AF493">
        <v>135</v>
      </c>
      <c r="AG493">
        <v>93</v>
      </c>
      <c r="AH493">
        <v>0</v>
      </c>
      <c r="AI493">
        <v>2.5150000000000001</v>
      </c>
      <c r="AK493" t="s">
        <v>483</v>
      </c>
      <c r="AM493">
        <v>200000</v>
      </c>
      <c r="AN493" t="s">
        <v>73</v>
      </c>
      <c r="AO493">
        <v>1</v>
      </c>
      <c r="AP493">
        <v>0</v>
      </c>
      <c r="AQ493">
        <v>16666.666666666668</v>
      </c>
      <c r="AR493" t="s">
        <v>9</v>
      </c>
      <c r="AS493" t="s">
        <v>75</v>
      </c>
      <c r="AX493" t="s">
        <v>76</v>
      </c>
      <c r="AY493" t="s">
        <v>176</v>
      </c>
      <c r="AZ493">
        <v>0</v>
      </c>
      <c r="BA493" t="s">
        <v>176</v>
      </c>
      <c r="BB493">
        <v>0</v>
      </c>
    </row>
    <row r="494" spans="1:56" x14ac:dyDescent="0.15">
      <c r="A494" s="4" t="str">
        <f>HYPERLINK("https://ibp.a2mac1.com/costing(costing:projects/details/9760/part/8411620)","Column Coupling")</f>
        <v>Column Coupling</v>
      </c>
      <c r="B494">
        <v>8411620</v>
      </c>
      <c r="C494">
        <v>8411598</v>
      </c>
      <c r="D494" t="s">
        <v>1704</v>
      </c>
      <c r="E494">
        <v>11.925000000000001</v>
      </c>
      <c r="F494">
        <v>0</v>
      </c>
      <c r="G494">
        <v>0</v>
      </c>
      <c r="H494">
        <v>2.385E-4</v>
      </c>
      <c r="I494" t="s">
        <v>176</v>
      </c>
      <c r="J494">
        <v>0.417375</v>
      </c>
      <c r="K494">
        <v>12.342613500000001</v>
      </c>
      <c r="L494">
        <v>0.94246318320588429</v>
      </c>
      <c r="M494">
        <v>5.6547790992353058</v>
      </c>
      <c r="N494">
        <v>17.997392599235305</v>
      </c>
      <c r="O494" t="s">
        <v>90</v>
      </c>
      <c r="P494">
        <v>0</v>
      </c>
      <c r="Q494" t="s">
        <v>90</v>
      </c>
      <c r="R494">
        <v>0</v>
      </c>
      <c r="S494" t="s">
        <v>90</v>
      </c>
      <c r="T494">
        <v>0</v>
      </c>
      <c r="U494" t="s">
        <v>90</v>
      </c>
      <c r="V494">
        <v>0</v>
      </c>
      <c r="W494" t="s">
        <v>90</v>
      </c>
      <c r="X494">
        <v>0</v>
      </c>
      <c r="Y494">
        <v>17.997392599235305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675</v>
      </c>
      <c r="AF494">
        <v>46</v>
      </c>
      <c r="AG494">
        <v>46</v>
      </c>
      <c r="AH494">
        <v>0</v>
      </c>
      <c r="AI494">
        <v>2.044</v>
      </c>
      <c r="AK494" t="s">
        <v>483</v>
      </c>
      <c r="AM494">
        <v>200000</v>
      </c>
      <c r="AN494" t="s">
        <v>73</v>
      </c>
      <c r="AO494">
        <v>1</v>
      </c>
      <c r="AP494">
        <v>0</v>
      </c>
      <c r="AQ494">
        <v>16666.666666666668</v>
      </c>
      <c r="AR494" t="s">
        <v>9</v>
      </c>
      <c r="AS494" t="s">
        <v>75</v>
      </c>
      <c r="AX494" t="s">
        <v>76</v>
      </c>
      <c r="AY494" t="s">
        <v>176</v>
      </c>
      <c r="AZ494">
        <v>0</v>
      </c>
      <c r="BA494" t="s">
        <v>176</v>
      </c>
      <c r="BB494">
        <v>0</v>
      </c>
    </row>
    <row r="495" spans="1:56" x14ac:dyDescent="0.15">
      <c r="A495" s="4" t="str">
        <f>HYPERLINK("https://ibp.a2mac1.com/costing(costing:projects/details/9760/part/8411648)","Cover")</f>
        <v>Cover</v>
      </c>
      <c r="B495">
        <v>8411648</v>
      </c>
      <c r="C495">
        <v>8411632</v>
      </c>
      <c r="E495">
        <v>0.24</v>
      </c>
      <c r="F495">
        <v>0</v>
      </c>
      <c r="G495">
        <v>0</v>
      </c>
      <c r="H495">
        <v>1.2144E-3</v>
      </c>
      <c r="I495" t="s">
        <v>176</v>
      </c>
      <c r="J495">
        <v>8.3999999999999995E-3</v>
      </c>
      <c r="K495">
        <v>0.24961439999999999</v>
      </c>
      <c r="L495">
        <v>3.0615645933770332E-2</v>
      </c>
      <c r="M495">
        <v>0.18369387560262199</v>
      </c>
      <c r="N495">
        <v>0.43330827560262197</v>
      </c>
      <c r="O495" t="s">
        <v>177</v>
      </c>
      <c r="P495">
        <v>1.4976863999999999E-2</v>
      </c>
      <c r="Q495" t="s">
        <v>177</v>
      </c>
      <c r="R495">
        <v>1.102163253615732E-2</v>
      </c>
      <c r="S495" t="s">
        <v>178</v>
      </c>
      <c r="T495">
        <v>5.1996993072314639E-2</v>
      </c>
      <c r="U495" t="s">
        <v>90</v>
      </c>
      <c r="V495">
        <v>0</v>
      </c>
      <c r="W495" t="s">
        <v>90</v>
      </c>
      <c r="X495">
        <v>0</v>
      </c>
      <c r="Y495">
        <v>0.511303765211094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178</v>
      </c>
      <c r="AF495">
        <v>181</v>
      </c>
      <c r="AG495">
        <v>120</v>
      </c>
      <c r="AH495">
        <v>0</v>
      </c>
      <c r="AI495">
        <v>0.16500000000000001</v>
      </c>
      <c r="AK495" t="s">
        <v>740</v>
      </c>
      <c r="AM495">
        <v>200000</v>
      </c>
      <c r="AN495" t="s">
        <v>97</v>
      </c>
      <c r="AO495">
        <v>1</v>
      </c>
      <c r="AP495">
        <v>0</v>
      </c>
      <c r="AQ495">
        <v>16666.666666666668</v>
      </c>
      <c r="AR495" t="s">
        <v>1713</v>
      </c>
      <c r="AS495" t="s">
        <v>75</v>
      </c>
      <c r="AV495">
        <v>0</v>
      </c>
      <c r="AW495">
        <v>0</v>
      </c>
      <c r="AX495" t="s">
        <v>76</v>
      </c>
      <c r="AY495" t="s">
        <v>176</v>
      </c>
      <c r="AZ495">
        <v>0</v>
      </c>
      <c r="BA495" t="s">
        <v>176</v>
      </c>
      <c r="BB495">
        <v>0</v>
      </c>
    </row>
    <row r="496" spans="1:56" x14ac:dyDescent="0.15">
      <c r="A496" s="4" t="str">
        <f>HYPERLINK("https://ibp.a2mac1.com/costing(costing:projects/details/9760/part/8411631)","Steering Switch Covers Upper")</f>
        <v>Steering Switch Covers Upper</v>
      </c>
      <c r="B496">
        <v>8411631</v>
      </c>
      <c r="C496">
        <v>8411621</v>
      </c>
      <c r="E496">
        <v>0.11</v>
      </c>
      <c r="F496">
        <v>0</v>
      </c>
      <c r="G496">
        <v>0</v>
      </c>
      <c r="H496">
        <v>5.5659999999999998E-4</v>
      </c>
      <c r="I496" t="s">
        <v>176</v>
      </c>
      <c r="J496">
        <v>3.8500000000000001E-3</v>
      </c>
      <c r="K496">
        <v>0.1144066</v>
      </c>
      <c r="L496">
        <v>1.2954808617448894E-2</v>
      </c>
      <c r="M496">
        <v>7.7728851704693361E-2</v>
      </c>
      <c r="N496">
        <v>0.19213545170469337</v>
      </c>
      <c r="O496" t="s">
        <v>177</v>
      </c>
      <c r="P496">
        <v>6.864396E-3</v>
      </c>
      <c r="Q496" t="s">
        <v>177</v>
      </c>
      <c r="R496">
        <v>4.6637311022816015E-3</v>
      </c>
      <c r="S496" t="s">
        <v>178</v>
      </c>
      <c r="T496">
        <v>2.3056254204563205E-2</v>
      </c>
      <c r="U496" t="s">
        <v>90</v>
      </c>
      <c r="V496">
        <v>0</v>
      </c>
      <c r="W496" t="s">
        <v>90</v>
      </c>
      <c r="X496">
        <v>0</v>
      </c>
      <c r="Y496">
        <v>0.22671983301153817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125</v>
      </c>
      <c r="AF496">
        <v>180</v>
      </c>
      <c r="AG496">
        <v>61</v>
      </c>
      <c r="AH496">
        <v>0</v>
      </c>
      <c r="AI496">
        <v>7.2999999999999995E-2</v>
      </c>
      <c r="AK496" t="s">
        <v>740</v>
      </c>
      <c r="AM496">
        <v>200000</v>
      </c>
      <c r="AN496" t="s">
        <v>97</v>
      </c>
      <c r="AO496">
        <v>1</v>
      </c>
      <c r="AP496">
        <v>0</v>
      </c>
      <c r="AQ496">
        <v>16666.666666666668</v>
      </c>
      <c r="AR496" t="s">
        <v>1717</v>
      </c>
      <c r="AS496" t="s">
        <v>75</v>
      </c>
      <c r="AV496">
        <v>0</v>
      </c>
      <c r="AW496">
        <v>0</v>
      </c>
      <c r="AX496" t="s">
        <v>76</v>
      </c>
      <c r="AY496" t="s">
        <v>176</v>
      </c>
      <c r="AZ496">
        <v>0</v>
      </c>
      <c r="BA496" t="s">
        <v>176</v>
      </c>
      <c r="BB496">
        <v>0</v>
      </c>
    </row>
    <row r="497" spans="1:56" x14ac:dyDescent="0.15">
      <c r="A497" s="4" t="str">
        <f>HYPERLINK("https://ibp.a2mac1.com/costing(costing:projects/details/9760/part/8411622)","Car Keys")</f>
        <v>Car Keys</v>
      </c>
      <c r="B497">
        <v>8411622</v>
      </c>
      <c r="C497">
        <v>8411603</v>
      </c>
      <c r="E497">
        <v>1</v>
      </c>
      <c r="F497">
        <v>0</v>
      </c>
      <c r="G497">
        <v>0</v>
      </c>
      <c r="H497">
        <v>0</v>
      </c>
      <c r="I497" t="s">
        <v>71</v>
      </c>
      <c r="J497">
        <v>0</v>
      </c>
      <c r="K497">
        <v>1</v>
      </c>
      <c r="L497">
        <v>0</v>
      </c>
      <c r="M497">
        <v>0</v>
      </c>
      <c r="N497">
        <v>1</v>
      </c>
      <c r="O497" t="s">
        <v>71</v>
      </c>
      <c r="P497">
        <v>0</v>
      </c>
      <c r="Q497" t="s">
        <v>71</v>
      </c>
      <c r="R497">
        <v>0</v>
      </c>
      <c r="S497" t="s">
        <v>71</v>
      </c>
      <c r="T497">
        <v>0</v>
      </c>
      <c r="U497" t="s">
        <v>71</v>
      </c>
      <c r="V497">
        <v>0</v>
      </c>
      <c r="W497" t="s">
        <v>71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K497" t="s">
        <v>272</v>
      </c>
      <c r="AM497">
        <v>200000</v>
      </c>
      <c r="AN497" t="s">
        <v>97</v>
      </c>
      <c r="AO497">
        <v>1</v>
      </c>
      <c r="AP497">
        <v>0</v>
      </c>
      <c r="AQ497">
        <v>16666.666666666668</v>
      </c>
      <c r="AR497" t="s">
        <v>1721</v>
      </c>
      <c r="AS497" t="s">
        <v>75</v>
      </c>
      <c r="AV497">
        <v>0</v>
      </c>
      <c r="AW497">
        <v>0</v>
      </c>
      <c r="AX497" t="s">
        <v>76</v>
      </c>
      <c r="AY497" t="s">
        <v>71</v>
      </c>
      <c r="AZ497">
        <v>0</v>
      </c>
      <c r="BA497" t="s">
        <v>71</v>
      </c>
      <c r="BB497">
        <v>0</v>
      </c>
      <c r="BD497">
        <v>1</v>
      </c>
    </row>
    <row r="498" spans="1:56" x14ac:dyDescent="0.15">
      <c r="A498" s="4" t="str">
        <f>HYPERLINK("https://ibp.a2mac1.com/costing(costing:projects/details/9760/part/8411594)","Seal Dash Panel (Inner/Single)")</f>
        <v>Seal Dash Panel (Inner/Single)</v>
      </c>
      <c r="B498">
        <v>8411594</v>
      </c>
      <c r="C498">
        <v>8411555</v>
      </c>
      <c r="D498" t="s">
        <v>1723</v>
      </c>
      <c r="E498">
        <v>0.53</v>
      </c>
      <c r="F498">
        <v>0</v>
      </c>
      <c r="G498">
        <v>0</v>
      </c>
      <c r="H498">
        <v>0</v>
      </c>
      <c r="I498" t="s">
        <v>71</v>
      </c>
      <c r="J498">
        <v>0</v>
      </c>
      <c r="K498">
        <v>0.53</v>
      </c>
      <c r="L498">
        <v>0</v>
      </c>
      <c r="M498">
        <v>0</v>
      </c>
      <c r="N498">
        <v>0.53</v>
      </c>
      <c r="O498" t="s">
        <v>71</v>
      </c>
      <c r="P498">
        <v>0</v>
      </c>
      <c r="Q498" t="s">
        <v>71</v>
      </c>
      <c r="R498">
        <v>0</v>
      </c>
      <c r="S498" t="s">
        <v>71</v>
      </c>
      <c r="T498">
        <v>0</v>
      </c>
      <c r="U498" t="s">
        <v>71</v>
      </c>
      <c r="V498">
        <v>0</v>
      </c>
      <c r="W498" t="s">
        <v>71</v>
      </c>
      <c r="X498">
        <v>0</v>
      </c>
      <c r="Y498">
        <v>0.53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49</v>
      </c>
      <c r="AF498">
        <v>133</v>
      </c>
      <c r="AG498">
        <v>130</v>
      </c>
      <c r="AH498">
        <v>0</v>
      </c>
      <c r="AI498">
        <v>5.5E-2</v>
      </c>
      <c r="AK498" t="s">
        <v>100</v>
      </c>
      <c r="AM498">
        <v>200000</v>
      </c>
      <c r="AN498" t="s">
        <v>97</v>
      </c>
      <c r="AO498">
        <v>1</v>
      </c>
      <c r="AP498">
        <v>0</v>
      </c>
      <c r="AQ498">
        <v>16666.666666666668</v>
      </c>
      <c r="AR498" t="s">
        <v>1724</v>
      </c>
      <c r="AS498" t="s">
        <v>75</v>
      </c>
      <c r="AX498" t="s">
        <v>76</v>
      </c>
      <c r="AY498" t="s">
        <v>71</v>
      </c>
      <c r="AZ498">
        <v>0</v>
      </c>
      <c r="BA498" t="s">
        <v>71</v>
      </c>
      <c r="BB498">
        <v>0</v>
      </c>
      <c r="BD498">
        <v>0.53</v>
      </c>
    </row>
    <row r="499" spans="1:56" x14ac:dyDescent="0.15">
      <c r="A499" s="4" t="str">
        <f>HYPERLINK("https://ibp.a2mac1.com/costing(costing:projects/details/9760/part/8411595)","2nd Seal Dash Panel (Engine Side)")</f>
        <v>2nd Seal Dash Panel (Engine Side)</v>
      </c>
      <c r="B499">
        <v>8411595</v>
      </c>
      <c r="C499">
        <v>8411555</v>
      </c>
      <c r="D499" t="s">
        <v>498</v>
      </c>
      <c r="E499">
        <v>0.05</v>
      </c>
      <c r="F499">
        <v>0</v>
      </c>
      <c r="G499">
        <v>0</v>
      </c>
      <c r="H499">
        <v>0</v>
      </c>
      <c r="I499" t="s">
        <v>71</v>
      </c>
      <c r="J499">
        <v>0</v>
      </c>
      <c r="K499">
        <v>0.05</v>
      </c>
      <c r="L499">
        <v>0</v>
      </c>
      <c r="M499">
        <v>0</v>
      </c>
      <c r="N499">
        <v>0.05</v>
      </c>
      <c r="O499" t="s">
        <v>71</v>
      </c>
      <c r="P499">
        <v>0</v>
      </c>
      <c r="Q499" t="s">
        <v>71</v>
      </c>
      <c r="R499">
        <v>0</v>
      </c>
      <c r="S499" t="s">
        <v>71</v>
      </c>
      <c r="T499">
        <v>0</v>
      </c>
      <c r="U499" t="s">
        <v>71</v>
      </c>
      <c r="V499">
        <v>0</v>
      </c>
      <c r="W499" t="s">
        <v>71</v>
      </c>
      <c r="X499">
        <v>0</v>
      </c>
      <c r="Y499">
        <v>0.05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48</v>
      </c>
      <c r="AF499">
        <v>48</v>
      </c>
      <c r="AG499">
        <v>65</v>
      </c>
      <c r="AH499">
        <v>0</v>
      </c>
      <c r="AI499">
        <v>1.2999999999999999E-2</v>
      </c>
      <c r="AK499" t="s">
        <v>100</v>
      </c>
      <c r="AM499">
        <v>200000</v>
      </c>
      <c r="AN499" t="s">
        <v>97</v>
      </c>
      <c r="AO499">
        <v>1</v>
      </c>
      <c r="AP499">
        <v>0</v>
      </c>
      <c r="AQ499">
        <v>16666.666666666668</v>
      </c>
      <c r="AR499" t="s">
        <v>1725</v>
      </c>
      <c r="AS499" t="s">
        <v>75</v>
      </c>
      <c r="AX499" t="s">
        <v>76</v>
      </c>
      <c r="AY499" t="s">
        <v>71</v>
      </c>
      <c r="AZ499">
        <v>0</v>
      </c>
      <c r="BA499" t="s">
        <v>71</v>
      </c>
      <c r="BB499">
        <v>0</v>
      </c>
      <c r="BD499">
        <v>0.05</v>
      </c>
    </row>
    <row r="500" spans="1:56" x14ac:dyDescent="0.15">
      <c r="A500" s="4" t="str">
        <f>HYPERLINK("https://ibp.a2mac1.com/costing(costing:projects/details/9760/part/8411596)","Seal Ring Support")</f>
        <v>Seal Ring Support</v>
      </c>
      <c r="B500">
        <v>8411596</v>
      </c>
      <c r="C500">
        <v>8411555</v>
      </c>
      <c r="D500" t="s">
        <v>1726</v>
      </c>
      <c r="E500">
        <v>1.1200000000000001</v>
      </c>
      <c r="F500">
        <v>0</v>
      </c>
      <c r="G500">
        <v>0</v>
      </c>
      <c r="H500">
        <v>0</v>
      </c>
      <c r="I500" t="s">
        <v>71</v>
      </c>
      <c r="J500">
        <v>0</v>
      </c>
      <c r="K500">
        <v>1.1200000000000001</v>
      </c>
      <c r="L500">
        <v>0</v>
      </c>
      <c r="M500">
        <v>0</v>
      </c>
      <c r="N500">
        <v>1.1200000000000001</v>
      </c>
      <c r="O500" t="s">
        <v>71</v>
      </c>
      <c r="P500">
        <v>0</v>
      </c>
      <c r="Q500" t="s">
        <v>71</v>
      </c>
      <c r="R500">
        <v>0</v>
      </c>
      <c r="S500" t="s">
        <v>71</v>
      </c>
      <c r="T500">
        <v>0</v>
      </c>
      <c r="U500" t="s">
        <v>71</v>
      </c>
      <c r="V500">
        <v>0</v>
      </c>
      <c r="W500" t="s">
        <v>71</v>
      </c>
      <c r="X500">
        <v>0</v>
      </c>
      <c r="Y500">
        <v>1.1200000000000001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54</v>
      </c>
      <c r="AF500">
        <v>126</v>
      </c>
      <c r="AG500">
        <v>124</v>
      </c>
      <c r="AH500">
        <v>0</v>
      </c>
      <c r="AI500">
        <v>7.0000000000000007E-2</v>
      </c>
      <c r="AK500" t="s">
        <v>100</v>
      </c>
      <c r="AM500">
        <v>200000</v>
      </c>
      <c r="AN500" t="s">
        <v>97</v>
      </c>
      <c r="AO500">
        <v>1</v>
      </c>
      <c r="AP500">
        <v>0</v>
      </c>
      <c r="AQ500">
        <v>16666.666666666668</v>
      </c>
      <c r="AR500" t="s">
        <v>1727</v>
      </c>
      <c r="AS500" t="s">
        <v>75</v>
      </c>
      <c r="AX500" t="s">
        <v>76</v>
      </c>
      <c r="AY500" t="s">
        <v>71</v>
      </c>
      <c r="AZ500">
        <v>0</v>
      </c>
      <c r="BA500" t="s">
        <v>71</v>
      </c>
      <c r="BB500">
        <v>0</v>
      </c>
      <c r="BD500">
        <v>1.1200000000000001</v>
      </c>
    </row>
    <row r="501" spans="1:56" x14ac:dyDescent="0.15">
      <c r="A501" s="4" t="str">
        <f>HYPERLINK("https://ibp.a2mac1.com/costing(costing:projects/details/9760/part/8411599)","Turning Switch")</f>
        <v>Turning Switch</v>
      </c>
      <c r="B501">
        <v>8411599</v>
      </c>
      <c r="C501">
        <v>8411555</v>
      </c>
      <c r="E501">
        <v>6.8</v>
      </c>
      <c r="F501">
        <v>0</v>
      </c>
      <c r="G501">
        <v>0</v>
      </c>
      <c r="H501">
        <v>0</v>
      </c>
      <c r="I501" t="s">
        <v>71</v>
      </c>
      <c r="J501">
        <v>0</v>
      </c>
      <c r="K501">
        <v>6.8</v>
      </c>
      <c r="L501">
        <v>0</v>
      </c>
      <c r="M501">
        <v>0</v>
      </c>
      <c r="N501">
        <v>6.8</v>
      </c>
      <c r="O501" t="s">
        <v>71</v>
      </c>
      <c r="P501">
        <v>0</v>
      </c>
      <c r="Q501" t="s">
        <v>71</v>
      </c>
      <c r="R501">
        <v>0</v>
      </c>
      <c r="S501" t="s">
        <v>71</v>
      </c>
      <c r="T501">
        <v>0</v>
      </c>
      <c r="U501" t="s">
        <v>71</v>
      </c>
      <c r="V501">
        <v>0</v>
      </c>
      <c r="W501" t="s">
        <v>71</v>
      </c>
      <c r="X501">
        <v>0</v>
      </c>
      <c r="Y501">
        <v>6.8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123</v>
      </c>
      <c r="AF501">
        <v>67</v>
      </c>
      <c r="AG501">
        <v>0</v>
      </c>
      <c r="AH501">
        <v>0</v>
      </c>
      <c r="AI501">
        <v>101</v>
      </c>
      <c r="AK501" t="s">
        <v>272</v>
      </c>
      <c r="AM501">
        <v>200000</v>
      </c>
      <c r="AN501" t="s">
        <v>97</v>
      </c>
      <c r="AO501">
        <v>1</v>
      </c>
      <c r="AP501">
        <v>0</v>
      </c>
      <c r="AQ501">
        <v>16666.666666666668</v>
      </c>
      <c r="AR501" t="s">
        <v>1728</v>
      </c>
      <c r="AS501" t="s">
        <v>75</v>
      </c>
      <c r="AV501">
        <v>0</v>
      </c>
      <c r="AW501">
        <v>0</v>
      </c>
      <c r="AX501" t="s">
        <v>76</v>
      </c>
      <c r="AY501" t="s">
        <v>71</v>
      </c>
      <c r="AZ501">
        <v>0</v>
      </c>
      <c r="BA501" t="s">
        <v>71</v>
      </c>
      <c r="BB501">
        <v>0</v>
      </c>
      <c r="BD501">
        <v>6.8</v>
      </c>
    </row>
    <row r="502" spans="1:56" x14ac:dyDescent="0.15">
      <c r="A502" s="4" t="str">
        <f>HYPERLINK("https://ibp.a2mac1.com/costing(costing:projects/details/9760/part/8411601)","Steering Adjuster Cover")</f>
        <v>Steering Adjuster Cover</v>
      </c>
      <c r="B502">
        <v>8411601</v>
      </c>
      <c r="C502">
        <v>8411555</v>
      </c>
      <c r="E502">
        <v>1.63</v>
      </c>
      <c r="F502">
        <v>0</v>
      </c>
      <c r="G502">
        <v>0</v>
      </c>
      <c r="H502">
        <v>8.2477999999999996E-3</v>
      </c>
      <c r="I502" t="s">
        <v>176</v>
      </c>
      <c r="J502">
        <v>5.7049999999999997E-2</v>
      </c>
      <c r="K502">
        <v>1.6952978000000001</v>
      </c>
      <c r="L502">
        <v>0.15247542341638826</v>
      </c>
      <c r="M502">
        <v>0.91485254049832965</v>
      </c>
      <c r="N502">
        <v>2.6101503404983295</v>
      </c>
      <c r="O502" t="s">
        <v>177</v>
      </c>
      <c r="P502">
        <v>0.101717868</v>
      </c>
      <c r="Q502" t="s">
        <v>177</v>
      </c>
      <c r="R502">
        <v>5.4891152429899774E-2</v>
      </c>
      <c r="S502" t="s">
        <v>178</v>
      </c>
      <c r="T502">
        <v>0.31321804085979954</v>
      </c>
      <c r="U502" t="s">
        <v>90</v>
      </c>
      <c r="V502">
        <v>0</v>
      </c>
      <c r="W502" t="s">
        <v>90</v>
      </c>
      <c r="X502">
        <v>0</v>
      </c>
      <c r="Y502">
        <v>3.079977401788029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115</v>
      </c>
      <c r="AF502">
        <v>395</v>
      </c>
      <c r="AG502">
        <v>385</v>
      </c>
      <c r="AH502">
        <v>0</v>
      </c>
      <c r="AI502">
        <v>0.3</v>
      </c>
      <c r="AK502" t="s">
        <v>740</v>
      </c>
      <c r="AM502">
        <v>200000</v>
      </c>
      <c r="AN502" t="s">
        <v>97</v>
      </c>
      <c r="AO502">
        <v>1</v>
      </c>
      <c r="AP502">
        <v>0</v>
      </c>
      <c r="AQ502">
        <v>16666.666666666668</v>
      </c>
      <c r="AR502" t="s">
        <v>1732</v>
      </c>
      <c r="AS502" t="s">
        <v>75</v>
      </c>
      <c r="AV502">
        <v>0</v>
      </c>
      <c r="AW502">
        <v>0</v>
      </c>
      <c r="AX502" t="s">
        <v>76</v>
      </c>
      <c r="AY502" t="s">
        <v>176</v>
      </c>
      <c r="AZ502">
        <v>0</v>
      </c>
      <c r="BA502" t="s">
        <v>176</v>
      </c>
      <c r="BB502">
        <v>0</v>
      </c>
    </row>
    <row r="503" spans="1:56" x14ac:dyDescent="0.15">
      <c r="A503" s="4" t="str">
        <f>HYPERLINK("https://ibp.a2mac1.com/costing(costing:projects/details/9760/part/8411602)","Steering Adjuster Cover Support")</f>
        <v>Steering Adjuster Cover Support</v>
      </c>
      <c r="B503">
        <v>8411602</v>
      </c>
      <c r="C503">
        <v>8411555</v>
      </c>
      <c r="E503">
        <v>0.12</v>
      </c>
      <c r="F503">
        <v>0</v>
      </c>
      <c r="G503">
        <v>0</v>
      </c>
      <c r="H503">
        <v>6.0720000000000001E-4</v>
      </c>
      <c r="I503" t="s">
        <v>176</v>
      </c>
      <c r="J503">
        <v>4.1999999999999997E-3</v>
      </c>
      <c r="K503">
        <v>0.12480719999999999</v>
      </c>
      <c r="L503">
        <v>9.422641154184605E-3</v>
      </c>
      <c r="M503">
        <v>5.653584692510763E-2</v>
      </c>
      <c r="N503">
        <v>0.18134304692510764</v>
      </c>
      <c r="O503" t="s">
        <v>177</v>
      </c>
      <c r="P503">
        <v>7.4884319999999997E-3</v>
      </c>
      <c r="Q503" t="s">
        <v>177</v>
      </c>
      <c r="R503">
        <v>3.392150815506458E-3</v>
      </c>
      <c r="S503" t="s">
        <v>178</v>
      </c>
      <c r="T503">
        <v>2.1761165631012915E-2</v>
      </c>
      <c r="U503" t="s">
        <v>90</v>
      </c>
      <c r="V503">
        <v>0</v>
      </c>
      <c r="W503" t="s">
        <v>90</v>
      </c>
      <c r="X503">
        <v>0</v>
      </c>
      <c r="Y503">
        <v>0.21398479537162701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38</v>
      </c>
      <c r="AF503">
        <v>175</v>
      </c>
      <c r="AG503">
        <v>163</v>
      </c>
      <c r="AH503">
        <v>0</v>
      </c>
      <c r="AI503">
        <v>4.7E-2</v>
      </c>
      <c r="AK503" t="s">
        <v>740</v>
      </c>
      <c r="AM503">
        <v>200000</v>
      </c>
      <c r="AN503" t="s">
        <v>97</v>
      </c>
      <c r="AO503">
        <v>1</v>
      </c>
      <c r="AP503">
        <v>0</v>
      </c>
      <c r="AQ503">
        <v>16666.666666666668</v>
      </c>
      <c r="AR503" t="s">
        <v>1735</v>
      </c>
      <c r="AS503" t="s">
        <v>75</v>
      </c>
      <c r="AV503">
        <v>0</v>
      </c>
      <c r="AW503">
        <v>0</v>
      </c>
      <c r="AX503" t="s">
        <v>76</v>
      </c>
      <c r="AY503" t="s">
        <v>176</v>
      </c>
      <c r="AZ503">
        <v>0</v>
      </c>
      <c r="BA503" t="s">
        <v>176</v>
      </c>
      <c r="BB503">
        <v>0</v>
      </c>
    </row>
    <row r="504" spans="1:56" x14ac:dyDescent="0.15">
      <c r="A504" s="4" t="str">
        <f>HYPERLINK("https://ibp.a2mac1.com/costing(costing:projects/details/9760/part/8411623)","Left Tie Rod End")</f>
        <v>Left Tie Rod End</v>
      </c>
      <c r="B504">
        <v>8411623</v>
      </c>
      <c r="C504">
        <v>8411606</v>
      </c>
      <c r="D504" t="s">
        <v>1739</v>
      </c>
      <c r="E504">
        <v>4.93</v>
      </c>
      <c r="F504">
        <v>0</v>
      </c>
      <c r="G504">
        <v>0</v>
      </c>
      <c r="H504">
        <v>0</v>
      </c>
      <c r="I504" t="s">
        <v>71</v>
      </c>
      <c r="J504">
        <v>0</v>
      </c>
      <c r="K504">
        <v>4.93</v>
      </c>
      <c r="L504">
        <v>0</v>
      </c>
      <c r="M504">
        <v>0</v>
      </c>
      <c r="N504">
        <v>4.93</v>
      </c>
      <c r="O504" t="s">
        <v>71</v>
      </c>
      <c r="P504">
        <v>0</v>
      </c>
      <c r="Q504" t="s">
        <v>71</v>
      </c>
      <c r="R504">
        <v>0</v>
      </c>
      <c r="S504" t="s">
        <v>71</v>
      </c>
      <c r="T504">
        <v>0</v>
      </c>
      <c r="U504" t="s">
        <v>71</v>
      </c>
      <c r="V504">
        <v>0</v>
      </c>
      <c r="W504" t="s">
        <v>71</v>
      </c>
      <c r="X504">
        <v>0</v>
      </c>
      <c r="Y504">
        <v>4.93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50</v>
      </c>
      <c r="AF504">
        <v>171</v>
      </c>
      <c r="AG504">
        <v>108</v>
      </c>
      <c r="AH504">
        <v>0</v>
      </c>
      <c r="AI504">
        <v>0.66500000000000004</v>
      </c>
      <c r="AK504" t="s">
        <v>95</v>
      </c>
      <c r="AM504">
        <v>200000</v>
      </c>
      <c r="AN504" t="s">
        <v>97</v>
      </c>
      <c r="AO504">
        <v>1</v>
      </c>
      <c r="AP504">
        <v>0</v>
      </c>
      <c r="AQ504">
        <v>16666.666666666668</v>
      </c>
      <c r="AR504" t="s">
        <v>1740</v>
      </c>
      <c r="AS504" t="s">
        <v>75</v>
      </c>
      <c r="AX504" t="s">
        <v>76</v>
      </c>
      <c r="AY504" t="s">
        <v>71</v>
      </c>
      <c r="AZ504">
        <v>0</v>
      </c>
      <c r="BA504" t="s">
        <v>71</v>
      </c>
      <c r="BB504">
        <v>0</v>
      </c>
      <c r="BD504">
        <v>4.93</v>
      </c>
    </row>
    <row r="505" spans="1:56" x14ac:dyDescent="0.15">
      <c r="A505" s="4" t="str">
        <f>HYPERLINK("https://ibp.a2mac1.com/costing(costing:projects/details/9760/part/8411624)","Right Tie Rod End")</f>
        <v>Right Tie Rod End</v>
      </c>
      <c r="B505">
        <v>8411624</v>
      </c>
      <c r="C505">
        <v>8411606</v>
      </c>
      <c r="D505" t="s">
        <v>1739</v>
      </c>
      <c r="E505">
        <v>4.93</v>
      </c>
      <c r="F505">
        <v>0</v>
      </c>
      <c r="G505">
        <v>0</v>
      </c>
      <c r="H505">
        <v>0</v>
      </c>
      <c r="I505" t="s">
        <v>71</v>
      </c>
      <c r="J505">
        <v>0</v>
      </c>
      <c r="K505">
        <v>4.93</v>
      </c>
      <c r="L505">
        <v>0</v>
      </c>
      <c r="M505">
        <v>0</v>
      </c>
      <c r="N505">
        <v>4.93</v>
      </c>
      <c r="O505" t="s">
        <v>71</v>
      </c>
      <c r="P505">
        <v>0</v>
      </c>
      <c r="Q505" t="s">
        <v>71</v>
      </c>
      <c r="R505">
        <v>0</v>
      </c>
      <c r="S505" t="s">
        <v>71</v>
      </c>
      <c r="T505">
        <v>0</v>
      </c>
      <c r="U505" t="s">
        <v>71</v>
      </c>
      <c r="V505">
        <v>0</v>
      </c>
      <c r="W505" t="s">
        <v>71</v>
      </c>
      <c r="X505">
        <v>0</v>
      </c>
      <c r="Y505">
        <v>4.93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50</v>
      </c>
      <c r="AF505">
        <v>171</v>
      </c>
      <c r="AG505">
        <v>108</v>
      </c>
      <c r="AH505">
        <v>0</v>
      </c>
      <c r="AI505">
        <v>0.66600000000000004</v>
      </c>
      <c r="AK505" t="s">
        <v>95</v>
      </c>
      <c r="AM505">
        <v>200000</v>
      </c>
      <c r="AN505" t="s">
        <v>97</v>
      </c>
      <c r="AO505">
        <v>1</v>
      </c>
      <c r="AP505">
        <v>0</v>
      </c>
      <c r="AQ505">
        <v>16666.666666666668</v>
      </c>
      <c r="AR505" t="s">
        <v>1741</v>
      </c>
      <c r="AS505" t="s">
        <v>75</v>
      </c>
      <c r="AX505" t="s">
        <v>76</v>
      </c>
      <c r="AY505" t="s">
        <v>71</v>
      </c>
      <c r="AZ505">
        <v>0</v>
      </c>
      <c r="BA505" t="s">
        <v>71</v>
      </c>
      <c r="BB505">
        <v>0</v>
      </c>
      <c r="BD505">
        <v>4.93</v>
      </c>
    </row>
    <row r="506" spans="1:56" x14ac:dyDescent="0.15">
      <c r="A506" s="4" t="str">
        <f>HYPERLINK("https://ibp.a2mac1.com/costing(costing:projects/details/9760/part/8411604)","Steering Bar Parts")</f>
        <v>Steering Bar Parts</v>
      </c>
      <c r="B506">
        <v>8411604</v>
      </c>
      <c r="C506">
        <v>8411556</v>
      </c>
      <c r="D506" t="s">
        <v>1747</v>
      </c>
      <c r="E506">
        <v>51.24</v>
      </c>
      <c r="F506">
        <v>0</v>
      </c>
      <c r="G506">
        <v>0</v>
      </c>
      <c r="H506">
        <v>1.0248E-3</v>
      </c>
      <c r="I506" t="s">
        <v>90</v>
      </c>
      <c r="J506">
        <v>0</v>
      </c>
      <c r="K506">
        <v>51.241024799999998</v>
      </c>
      <c r="L506">
        <v>0</v>
      </c>
      <c r="M506">
        <v>78.313946970171529</v>
      </c>
      <c r="N506">
        <v>129.55497177017153</v>
      </c>
      <c r="O506" t="s">
        <v>90</v>
      </c>
      <c r="P506">
        <v>0</v>
      </c>
      <c r="Q506" t="s">
        <v>90</v>
      </c>
      <c r="R506">
        <v>0</v>
      </c>
      <c r="S506" t="s">
        <v>90</v>
      </c>
      <c r="T506">
        <v>0</v>
      </c>
      <c r="U506" t="s">
        <v>90</v>
      </c>
      <c r="V506">
        <v>0</v>
      </c>
      <c r="W506" t="s">
        <v>90</v>
      </c>
      <c r="X506">
        <v>0</v>
      </c>
      <c r="Y506">
        <v>129.55497177017153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310</v>
      </c>
      <c r="AF506">
        <v>1345</v>
      </c>
      <c r="AG506">
        <v>215</v>
      </c>
      <c r="AH506">
        <v>0</v>
      </c>
      <c r="AI506">
        <v>15.331</v>
      </c>
      <c r="AK506" t="s">
        <v>72</v>
      </c>
      <c r="AL506" t="s">
        <v>1748</v>
      </c>
      <c r="AM506">
        <v>200000</v>
      </c>
      <c r="AN506" t="s">
        <v>73</v>
      </c>
      <c r="AO506">
        <v>1</v>
      </c>
      <c r="AP506">
        <v>0</v>
      </c>
      <c r="AQ506">
        <v>16666.666666666668</v>
      </c>
      <c r="AR506" t="s">
        <v>1749</v>
      </c>
      <c r="AS506" t="s">
        <v>75</v>
      </c>
      <c r="AX506" t="s">
        <v>76</v>
      </c>
      <c r="AY506" t="s">
        <v>90</v>
      </c>
      <c r="AZ506">
        <v>0</v>
      </c>
      <c r="BA506" t="s">
        <v>90</v>
      </c>
      <c r="BB506">
        <v>0</v>
      </c>
    </row>
    <row r="507" spans="1:56" x14ac:dyDescent="0.15">
      <c r="A507" s="4" t="str">
        <f>HYPERLINK("https://ibp.a2mac1.com/costing(costing:projects/details/9760/part/8411605)","EPS Motor")</f>
        <v>EPS Motor</v>
      </c>
      <c r="B507">
        <v>8411605</v>
      </c>
      <c r="C507">
        <v>8411556</v>
      </c>
      <c r="E507">
        <v>64.42</v>
      </c>
      <c r="F507">
        <v>0</v>
      </c>
      <c r="G507">
        <v>0</v>
      </c>
      <c r="H507">
        <v>0</v>
      </c>
      <c r="I507" t="s">
        <v>71</v>
      </c>
      <c r="J507">
        <v>0</v>
      </c>
      <c r="K507">
        <v>64.42</v>
      </c>
      <c r="L507">
        <v>0</v>
      </c>
      <c r="M507">
        <v>0</v>
      </c>
      <c r="N507">
        <v>64.42</v>
      </c>
      <c r="O507" t="s">
        <v>71</v>
      </c>
      <c r="P507">
        <v>0</v>
      </c>
      <c r="Q507" t="s">
        <v>71</v>
      </c>
      <c r="R507">
        <v>0</v>
      </c>
      <c r="S507" t="s">
        <v>71</v>
      </c>
      <c r="T507">
        <v>0</v>
      </c>
      <c r="U507" t="s">
        <v>71</v>
      </c>
      <c r="V507">
        <v>0</v>
      </c>
      <c r="W507" t="s">
        <v>71</v>
      </c>
      <c r="X507">
        <v>0</v>
      </c>
      <c r="Y507">
        <v>64.42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K507" t="s">
        <v>272</v>
      </c>
      <c r="AM507">
        <v>200000</v>
      </c>
      <c r="AN507" t="s">
        <v>73</v>
      </c>
      <c r="AO507">
        <v>1</v>
      </c>
      <c r="AP507">
        <v>0</v>
      </c>
      <c r="AQ507">
        <v>16666.666666666668</v>
      </c>
      <c r="AR507" t="s">
        <v>9</v>
      </c>
      <c r="AS507" t="s">
        <v>75</v>
      </c>
      <c r="AX507" t="s">
        <v>76</v>
      </c>
      <c r="AY507" t="s">
        <v>71</v>
      </c>
      <c r="AZ507">
        <v>0</v>
      </c>
      <c r="BA507" t="s">
        <v>71</v>
      </c>
      <c r="BB507">
        <v>0</v>
      </c>
      <c r="BD507">
        <v>64.42</v>
      </c>
    </row>
    <row r="508" spans="1:56" x14ac:dyDescent="0.15">
      <c r="A508" s="4" t="str">
        <f>HYPERLINK("https://ibp.a2mac1.com/costing(costing:projects/details/9760/part/8411557)","Chassis Fasteners")</f>
        <v>Chassis Fasteners</v>
      </c>
      <c r="B508">
        <v>8411557</v>
      </c>
      <c r="C508">
        <v>8411553</v>
      </c>
      <c r="E508">
        <v>4.46</v>
      </c>
      <c r="F508">
        <v>0</v>
      </c>
      <c r="G508">
        <v>0</v>
      </c>
      <c r="H508">
        <v>0</v>
      </c>
      <c r="I508" t="s">
        <v>71</v>
      </c>
      <c r="J508">
        <v>0</v>
      </c>
      <c r="K508">
        <v>4.46</v>
      </c>
      <c r="L508">
        <v>0</v>
      </c>
      <c r="M508">
        <v>0</v>
      </c>
      <c r="N508">
        <v>4.46</v>
      </c>
      <c r="O508" t="s">
        <v>71</v>
      </c>
      <c r="P508">
        <v>0</v>
      </c>
      <c r="Q508" t="s">
        <v>71</v>
      </c>
      <c r="R508">
        <v>0</v>
      </c>
      <c r="S508" t="s">
        <v>71</v>
      </c>
      <c r="T508">
        <v>0</v>
      </c>
      <c r="U508" t="s">
        <v>71</v>
      </c>
      <c r="V508">
        <v>0</v>
      </c>
      <c r="W508" t="s">
        <v>71</v>
      </c>
      <c r="X508">
        <v>0</v>
      </c>
      <c r="Y508">
        <v>4.46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K508" t="s">
        <v>272</v>
      </c>
      <c r="AM508">
        <v>200000</v>
      </c>
      <c r="AN508" t="s">
        <v>97</v>
      </c>
      <c r="AO508">
        <v>1</v>
      </c>
      <c r="AP508">
        <v>0</v>
      </c>
      <c r="AQ508">
        <v>16666.666666666668</v>
      </c>
      <c r="AR508" t="s">
        <v>9</v>
      </c>
      <c r="AS508" t="s">
        <v>75</v>
      </c>
      <c r="AV508">
        <v>0</v>
      </c>
      <c r="AW508">
        <v>0</v>
      </c>
      <c r="AX508" t="s">
        <v>76</v>
      </c>
      <c r="AY508" t="s">
        <v>71</v>
      </c>
      <c r="AZ508">
        <v>0</v>
      </c>
      <c r="BA508" t="s">
        <v>71</v>
      </c>
      <c r="BB508">
        <v>0</v>
      </c>
      <c r="BD508">
        <v>4.46</v>
      </c>
    </row>
    <row r="509" spans="1:56" x14ac:dyDescent="0.15">
      <c r="A509" s="4" t="str">
        <f>HYPERLINK("https://ibp.a2mac1.com/costing(costing:projects/details/9760/part/8411762)","Differential Ring Gear Opposite Side")</f>
        <v>Differential Ring Gear Opposite Side</v>
      </c>
      <c r="B509">
        <v>8411762</v>
      </c>
      <c r="C509">
        <v>8411750</v>
      </c>
      <c r="E509">
        <v>0.08</v>
      </c>
      <c r="F509">
        <v>0</v>
      </c>
      <c r="G509">
        <v>0</v>
      </c>
      <c r="H509">
        <v>0</v>
      </c>
      <c r="I509" t="s">
        <v>71</v>
      </c>
      <c r="J509">
        <v>0</v>
      </c>
      <c r="K509">
        <v>0.08</v>
      </c>
      <c r="L509">
        <v>0</v>
      </c>
      <c r="M509">
        <v>0</v>
      </c>
      <c r="N509">
        <v>0.08</v>
      </c>
      <c r="O509" t="s">
        <v>71</v>
      </c>
      <c r="P509">
        <v>0</v>
      </c>
      <c r="Q509" t="s">
        <v>71</v>
      </c>
      <c r="R509">
        <v>0</v>
      </c>
      <c r="S509" t="s">
        <v>71</v>
      </c>
      <c r="T509">
        <v>0</v>
      </c>
      <c r="U509" t="s">
        <v>71</v>
      </c>
      <c r="V509">
        <v>0</v>
      </c>
      <c r="W509" t="s">
        <v>71</v>
      </c>
      <c r="X509">
        <v>0</v>
      </c>
      <c r="Y509">
        <v>0.08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75</v>
      </c>
      <c r="AF509">
        <v>75</v>
      </c>
      <c r="AG509">
        <v>15</v>
      </c>
      <c r="AI509">
        <v>0.1</v>
      </c>
      <c r="AK509" t="s">
        <v>1761</v>
      </c>
      <c r="AL509" t="s">
        <v>96</v>
      </c>
      <c r="AM509">
        <v>200000</v>
      </c>
      <c r="AN509" t="s">
        <v>97</v>
      </c>
      <c r="AO509">
        <v>1</v>
      </c>
      <c r="AP509">
        <v>0</v>
      </c>
      <c r="AQ509">
        <v>16666.666666666668</v>
      </c>
      <c r="AR509" t="s">
        <v>1762</v>
      </c>
      <c r="AS509" t="s">
        <v>75</v>
      </c>
      <c r="AX509" t="s">
        <v>76</v>
      </c>
      <c r="AY509" t="s">
        <v>71</v>
      </c>
      <c r="AZ509">
        <v>0</v>
      </c>
      <c r="BA509" t="s">
        <v>71</v>
      </c>
      <c r="BB509">
        <v>0</v>
      </c>
      <c r="BD509">
        <v>0.08</v>
      </c>
    </row>
    <row r="510" spans="1:56" x14ac:dyDescent="0.15">
      <c r="A510" s="4" t="str">
        <f>HYPERLINK("https://ibp.a2mac1.com/costing(costing:projects/details/9760/part/8411763)","IN Differential Ring Gear Opposite Side")</f>
        <v>IN Differential Ring Gear Opposite Side</v>
      </c>
      <c r="B510">
        <v>8411763</v>
      </c>
      <c r="C510">
        <v>8411750</v>
      </c>
      <c r="E510">
        <v>0.08</v>
      </c>
      <c r="F510">
        <v>0</v>
      </c>
      <c r="G510">
        <v>0</v>
      </c>
      <c r="H510">
        <v>0</v>
      </c>
      <c r="I510" t="s">
        <v>71</v>
      </c>
      <c r="J510">
        <v>0</v>
      </c>
      <c r="K510">
        <v>0.08</v>
      </c>
      <c r="L510">
        <v>0</v>
      </c>
      <c r="M510">
        <v>0</v>
      </c>
      <c r="N510">
        <v>0.08</v>
      </c>
      <c r="O510" t="s">
        <v>71</v>
      </c>
      <c r="P510">
        <v>0</v>
      </c>
      <c r="Q510" t="s">
        <v>71</v>
      </c>
      <c r="R510">
        <v>0</v>
      </c>
      <c r="S510" t="s">
        <v>71</v>
      </c>
      <c r="T510">
        <v>0</v>
      </c>
      <c r="U510" t="s">
        <v>71</v>
      </c>
      <c r="V510">
        <v>0</v>
      </c>
      <c r="W510" t="s">
        <v>71</v>
      </c>
      <c r="X510">
        <v>0</v>
      </c>
      <c r="Y510">
        <v>0.08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75</v>
      </c>
      <c r="AF510">
        <v>75</v>
      </c>
      <c r="AG510">
        <v>16</v>
      </c>
      <c r="AI510">
        <v>0.1</v>
      </c>
      <c r="AK510" t="s">
        <v>1761</v>
      </c>
      <c r="AL510" t="s">
        <v>96</v>
      </c>
      <c r="AM510">
        <v>200000</v>
      </c>
      <c r="AN510" t="s">
        <v>97</v>
      </c>
      <c r="AO510">
        <v>1</v>
      </c>
      <c r="AP510">
        <v>0</v>
      </c>
      <c r="AQ510">
        <v>16666.666666666668</v>
      </c>
      <c r="AR510" t="s">
        <v>1763</v>
      </c>
      <c r="AS510" t="s">
        <v>75</v>
      </c>
      <c r="AX510" t="s">
        <v>76</v>
      </c>
      <c r="AY510" t="s">
        <v>71</v>
      </c>
      <c r="AZ510">
        <v>0</v>
      </c>
      <c r="BA510" t="s">
        <v>71</v>
      </c>
      <c r="BB510">
        <v>0</v>
      </c>
      <c r="BD510">
        <v>0.08</v>
      </c>
    </row>
    <row r="511" spans="1:56" x14ac:dyDescent="0.15">
      <c r="A511" s="4" t="str">
        <f>HYPERLINK("https://ibp.a2mac1.com/costing(costing:projects/details/9760/part/8411748)","Bearing (Differential Ring Gear Opposite Side)")</f>
        <v>Bearing (Differential Ring Gear Opposite Side)</v>
      </c>
      <c r="B511">
        <v>8411748</v>
      </c>
      <c r="C511">
        <v>8411688</v>
      </c>
      <c r="D511" t="s">
        <v>1765</v>
      </c>
      <c r="E511">
        <v>5.6014999999999997</v>
      </c>
      <c r="F511">
        <v>0</v>
      </c>
      <c r="G511">
        <v>0</v>
      </c>
      <c r="H511">
        <v>0</v>
      </c>
      <c r="I511" t="s">
        <v>71</v>
      </c>
      <c r="J511">
        <v>0</v>
      </c>
      <c r="K511">
        <v>5.6014999999999997</v>
      </c>
      <c r="L511">
        <v>0</v>
      </c>
      <c r="M511">
        <v>0</v>
      </c>
      <c r="N511">
        <v>5.6014999999999997</v>
      </c>
      <c r="O511" t="s">
        <v>71</v>
      </c>
      <c r="P511">
        <v>0</v>
      </c>
      <c r="Q511" t="s">
        <v>71</v>
      </c>
      <c r="R511">
        <v>0</v>
      </c>
      <c r="S511" t="s">
        <v>71</v>
      </c>
      <c r="T511">
        <v>0</v>
      </c>
      <c r="U511" t="s">
        <v>71</v>
      </c>
      <c r="V511">
        <v>0</v>
      </c>
      <c r="W511" t="s">
        <v>71</v>
      </c>
      <c r="X511">
        <v>0</v>
      </c>
      <c r="Y511">
        <v>5.6014999999999997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22</v>
      </c>
      <c r="AF511">
        <v>70</v>
      </c>
      <c r="AG511">
        <v>70</v>
      </c>
      <c r="AH511">
        <v>0</v>
      </c>
      <c r="AI511">
        <v>0.245</v>
      </c>
      <c r="AK511" t="s">
        <v>100</v>
      </c>
      <c r="AM511">
        <v>200000</v>
      </c>
      <c r="AN511" t="s">
        <v>97</v>
      </c>
      <c r="AO511">
        <v>1</v>
      </c>
      <c r="AP511">
        <v>0</v>
      </c>
      <c r="AQ511">
        <v>16666.666666666668</v>
      </c>
      <c r="AR511" t="s">
        <v>1766</v>
      </c>
      <c r="AS511" t="s">
        <v>75</v>
      </c>
      <c r="AX511" t="s">
        <v>76</v>
      </c>
      <c r="AY511" t="s">
        <v>71</v>
      </c>
      <c r="AZ511">
        <v>0</v>
      </c>
      <c r="BA511" t="s">
        <v>71</v>
      </c>
      <c r="BB511">
        <v>0</v>
      </c>
      <c r="BD511">
        <v>5.6014999999999997</v>
      </c>
    </row>
    <row r="512" spans="1:56" x14ac:dyDescent="0.15">
      <c r="A512" s="4" t="str">
        <f>HYPERLINK("https://ibp.a2mac1.com/costing(costing:projects/details/9760/part/8411749)","Bearing Differential Ring Gear Side")</f>
        <v>Bearing Differential Ring Gear Side</v>
      </c>
      <c r="B512">
        <v>8411749</v>
      </c>
      <c r="C512">
        <v>8411688</v>
      </c>
      <c r="D512" t="s">
        <v>1765</v>
      </c>
      <c r="E512">
        <v>5.6014999999999997</v>
      </c>
      <c r="F512">
        <v>0</v>
      </c>
      <c r="G512">
        <v>0</v>
      </c>
      <c r="H512">
        <v>0</v>
      </c>
      <c r="I512" t="s">
        <v>71</v>
      </c>
      <c r="J512">
        <v>0</v>
      </c>
      <c r="K512">
        <v>5.6014999999999997</v>
      </c>
      <c r="L512">
        <v>0</v>
      </c>
      <c r="M512">
        <v>0</v>
      </c>
      <c r="N512">
        <v>5.6014999999999997</v>
      </c>
      <c r="O512" t="s">
        <v>71</v>
      </c>
      <c r="P512">
        <v>0</v>
      </c>
      <c r="Q512" t="s">
        <v>71</v>
      </c>
      <c r="R512">
        <v>0</v>
      </c>
      <c r="S512" t="s">
        <v>71</v>
      </c>
      <c r="T512">
        <v>0</v>
      </c>
      <c r="U512" t="s">
        <v>71</v>
      </c>
      <c r="V512">
        <v>0</v>
      </c>
      <c r="W512" t="s">
        <v>71</v>
      </c>
      <c r="X512">
        <v>0</v>
      </c>
      <c r="Y512">
        <v>5.6014999999999997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22</v>
      </c>
      <c r="AF512">
        <v>70</v>
      </c>
      <c r="AG512">
        <v>70</v>
      </c>
      <c r="AH512">
        <v>0</v>
      </c>
      <c r="AI512">
        <v>0.24399999999999999</v>
      </c>
      <c r="AK512" t="s">
        <v>100</v>
      </c>
      <c r="AM512">
        <v>200000</v>
      </c>
      <c r="AN512" t="s">
        <v>97</v>
      </c>
      <c r="AO512">
        <v>1</v>
      </c>
      <c r="AP512">
        <v>0</v>
      </c>
      <c r="AQ512">
        <v>16666.666666666668</v>
      </c>
      <c r="AR512" t="s">
        <v>1767</v>
      </c>
      <c r="AS512" t="s">
        <v>75</v>
      </c>
      <c r="AX512" t="s">
        <v>76</v>
      </c>
      <c r="AY512" t="s">
        <v>71</v>
      </c>
      <c r="AZ512">
        <v>0</v>
      </c>
      <c r="BA512" t="s">
        <v>71</v>
      </c>
      <c r="BB512">
        <v>0</v>
      </c>
      <c r="BD512">
        <v>5.6014999999999997</v>
      </c>
    </row>
    <row r="513" spans="1:56" x14ac:dyDescent="0.15">
      <c r="A513" s="4" t="str">
        <f>HYPERLINK("https://ibp.a2mac1.com/costing(costing:projects/details/9760/part/8411683)","Ring Gear Mounting Case")</f>
        <v>Ring Gear Mounting Case</v>
      </c>
      <c r="B513">
        <v>8411683</v>
      </c>
      <c r="C513">
        <v>8411656</v>
      </c>
      <c r="D513" t="s">
        <v>1769</v>
      </c>
      <c r="E513">
        <v>5.1783000000000001</v>
      </c>
      <c r="F513">
        <v>0</v>
      </c>
      <c r="G513">
        <v>0</v>
      </c>
      <c r="H513">
        <v>0</v>
      </c>
      <c r="I513" t="s">
        <v>71</v>
      </c>
      <c r="J513">
        <v>0</v>
      </c>
      <c r="K513">
        <v>5.1783000000000001</v>
      </c>
      <c r="L513">
        <v>0</v>
      </c>
      <c r="M513">
        <v>0</v>
      </c>
      <c r="N513">
        <v>5.1783000000000001</v>
      </c>
      <c r="O513" t="s">
        <v>71</v>
      </c>
      <c r="P513">
        <v>0</v>
      </c>
      <c r="Q513" t="s">
        <v>71</v>
      </c>
      <c r="R513">
        <v>0</v>
      </c>
      <c r="S513" t="s">
        <v>71</v>
      </c>
      <c r="T513">
        <v>0</v>
      </c>
      <c r="U513" t="s">
        <v>71</v>
      </c>
      <c r="V513">
        <v>0</v>
      </c>
      <c r="W513" t="s">
        <v>71</v>
      </c>
      <c r="X513">
        <v>0</v>
      </c>
      <c r="Y513">
        <v>5.1783000000000001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167</v>
      </c>
      <c r="AF513">
        <v>136</v>
      </c>
      <c r="AG513">
        <v>167</v>
      </c>
      <c r="AH513">
        <v>0</v>
      </c>
      <c r="AI513">
        <v>2.927</v>
      </c>
      <c r="AK513" t="s">
        <v>100</v>
      </c>
      <c r="AM513">
        <v>200000</v>
      </c>
      <c r="AN513" t="s">
        <v>97</v>
      </c>
      <c r="AO513">
        <v>1</v>
      </c>
      <c r="AP513">
        <v>0</v>
      </c>
      <c r="AQ513">
        <v>16666.666666666668</v>
      </c>
      <c r="AR513" t="s">
        <v>1770</v>
      </c>
      <c r="AS513" t="s">
        <v>75</v>
      </c>
      <c r="AX513" t="s">
        <v>76</v>
      </c>
      <c r="AY513" t="s">
        <v>71</v>
      </c>
      <c r="AZ513">
        <v>0</v>
      </c>
      <c r="BA513" t="s">
        <v>71</v>
      </c>
      <c r="BB513">
        <v>0</v>
      </c>
      <c r="BD513">
        <v>5.1783000000000001</v>
      </c>
    </row>
    <row r="514" spans="1:56" x14ac:dyDescent="0.15">
      <c r="A514" s="4" t="str">
        <f>HYPERLINK("https://ibp.a2mac1.com/costing(costing:projects/details/9760/part/8411684)","Final Cascading Pinion")</f>
        <v>Final Cascading Pinion</v>
      </c>
      <c r="B514">
        <v>8411684</v>
      </c>
      <c r="C514">
        <v>8411656</v>
      </c>
      <c r="D514" t="s">
        <v>1778</v>
      </c>
      <c r="E514">
        <v>2.7132389586666665</v>
      </c>
      <c r="F514">
        <v>0</v>
      </c>
      <c r="G514">
        <v>0</v>
      </c>
      <c r="H514">
        <v>5.8664626133333332E-5</v>
      </c>
      <c r="I514" t="s">
        <v>176</v>
      </c>
      <c r="J514">
        <v>0.10266309573333333</v>
      </c>
      <c r="K514">
        <v>2.8159607190261333</v>
      </c>
      <c r="L514">
        <v>1.7588534991828364</v>
      </c>
      <c r="M514">
        <v>10.553120995097018</v>
      </c>
      <c r="N514">
        <v>13.369081714123151</v>
      </c>
      <c r="O514" t="s">
        <v>177</v>
      </c>
      <c r="P514">
        <v>0.168957643141568</v>
      </c>
      <c r="Q514" t="s">
        <v>177</v>
      </c>
      <c r="R514">
        <v>0.63318725970582102</v>
      </c>
      <c r="S514" t="s">
        <v>178</v>
      </c>
      <c r="T514">
        <v>1.6042898056947781</v>
      </c>
      <c r="U514" t="s">
        <v>90</v>
      </c>
      <c r="V514">
        <v>0</v>
      </c>
      <c r="W514" t="s">
        <v>90</v>
      </c>
      <c r="X514">
        <v>0</v>
      </c>
      <c r="Y514">
        <v>15.775516422665318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51</v>
      </c>
      <c r="AF514">
        <v>200</v>
      </c>
      <c r="AG514">
        <v>200</v>
      </c>
      <c r="AH514">
        <v>0</v>
      </c>
      <c r="AI514">
        <v>3.6459999999999999</v>
      </c>
      <c r="AK514" t="s">
        <v>100</v>
      </c>
      <c r="AM514">
        <v>200000</v>
      </c>
      <c r="AN514" t="s">
        <v>97</v>
      </c>
      <c r="AO514">
        <v>1</v>
      </c>
      <c r="AP514">
        <v>0</v>
      </c>
      <c r="AQ514">
        <v>16666.666666666668</v>
      </c>
      <c r="AR514" t="s">
        <v>1779</v>
      </c>
      <c r="AS514" t="s">
        <v>75</v>
      </c>
      <c r="AX514" t="s">
        <v>76</v>
      </c>
      <c r="AY514" t="s">
        <v>176</v>
      </c>
      <c r="AZ514">
        <v>0</v>
      </c>
      <c r="BA514" t="s">
        <v>176</v>
      </c>
      <c r="BB514">
        <v>0</v>
      </c>
    </row>
    <row r="515" spans="1:56" x14ac:dyDescent="0.15">
      <c r="A515" s="4" t="str">
        <f>HYPERLINK("https://ibp.a2mac1.com/costing(costing:projects/details/9760/part/8411685)","Planet Gear")</f>
        <v>Planet Gear</v>
      </c>
      <c r="B515">
        <v>8411685</v>
      </c>
      <c r="C515">
        <v>8411656</v>
      </c>
      <c r="D515" t="s">
        <v>1780</v>
      </c>
      <c r="E515">
        <v>1.7192000000000001</v>
      </c>
      <c r="F515">
        <v>0</v>
      </c>
      <c r="G515">
        <v>0</v>
      </c>
      <c r="H515">
        <v>0</v>
      </c>
      <c r="I515" t="s">
        <v>71</v>
      </c>
      <c r="J515">
        <v>0</v>
      </c>
      <c r="K515">
        <v>1.7192000000000001</v>
      </c>
      <c r="L515">
        <v>0</v>
      </c>
      <c r="M515">
        <v>0</v>
      </c>
      <c r="N515">
        <v>1.7192000000000001</v>
      </c>
      <c r="O515" t="s">
        <v>71</v>
      </c>
      <c r="P515">
        <v>0</v>
      </c>
      <c r="Q515" t="s">
        <v>71</v>
      </c>
      <c r="R515">
        <v>0</v>
      </c>
      <c r="S515" t="s">
        <v>71</v>
      </c>
      <c r="T515">
        <v>0</v>
      </c>
      <c r="U515" t="s">
        <v>71</v>
      </c>
      <c r="V515">
        <v>0</v>
      </c>
      <c r="W515" t="s">
        <v>71</v>
      </c>
      <c r="X515">
        <v>0</v>
      </c>
      <c r="Y515">
        <v>1.7192000000000001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23</v>
      </c>
      <c r="AF515">
        <v>54</v>
      </c>
      <c r="AG515">
        <v>54</v>
      </c>
      <c r="AH515">
        <v>0</v>
      </c>
      <c r="AI515">
        <v>0.17549999999999999</v>
      </c>
      <c r="AK515" t="s">
        <v>100</v>
      </c>
      <c r="AM515">
        <v>400000</v>
      </c>
      <c r="AN515" t="s">
        <v>97</v>
      </c>
      <c r="AO515">
        <v>2</v>
      </c>
      <c r="AP515">
        <v>0</v>
      </c>
      <c r="AQ515">
        <v>33333.333333333336</v>
      </c>
      <c r="AR515" t="s">
        <v>1781</v>
      </c>
      <c r="AS515" t="s">
        <v>75</v>
      </c>
      <c r="AX515" t="s">
        <v>76</v>
      </c>
      <c r="AY515" t="s">
        <v>71</v>
      </c>
      <c r="AZ515">
        <v>0</v>
      </c>
      <c r="BA515" t="s">
        <v>71</v>
      </c>
      <c r="BB515">
        <v>0</v>
      </c>
      <c r="BD515">
        <v>0.85960000000000003</v>
      </c>
    </row>
    <row r="516" spans="1:56" x14ac:dyDescent="0.15">
      <c r="A516" s="4" t="str">
        <f>HYPERLINK("https://ibp.a2mac1.com/costing(costing:projects/details/9760/part/8411686)","Planet Gear Axle")</f>
        <v>Planet Gear Axle</v>
      </c>
      <c r="B516">
        <v>8411686</v>
      </c>
      <c r="C516">
        <v>8411656</v>
      </c>
      <c r="D516" t="s">
        <v>1782</v>
      </c>
      <c r="E516">
        <v>0.70911000000000002</v>
      </c>
      <c r="F516">
        <v>0</v>
      </c>
      <c r="G516">
        <v>0</v>
      </c>
      <c r="H516">
        <v>0</v>
      </c>
      <c r="I516" t="s">
        <v>71</v>
      </c>
      <c r="J516">
        <v>0</v>
      </c>
      <c r="K516">
        <v>0.70911000000000002</v>
      </c>
      <c r="L516">
        <v>0</v>
      </c>
      <c r="M516">
        <v>0</v>
      </c>
      <c r="N516">
        <v>0.70911000000000002</v>
      </c>
      <c r="O516" t="s">
        <v>71</v>
      </c>
      <c r="P516">
        <v>0</v>
      </c>
      <c r="Q516" t="s">
        <v>71</v>
      </c>
      <c r="R516">
        <v>0</v>
      </c>
      <c r="S516" t="s">
        <v>71</v>
      </c>
      <c r="T516">
        <v>0</v>
      </c>
      <c r="U516" t="s">
        <v>71</v>
      </c>
      <c r="V516">
        <v>0</v>
      </c>
      <c r="W516" t="s">
        <v>71</v>
      </c>
      <c r="X516">
        <v>0</v>
      </c>
      <c r="Y516">
        <v>0.70911000000000002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20</v>
      </c>
      <c r="AF516">
        <v>20</v>
      </c>
      <c r="AG516">
        <v>113</v>
      </c>
      <c r="AH516">
        <v>0</v>
      </c>
      <c r="AI516">
        <v>0.26800000000000002</v>
      </c>
      <c r="AK516" t="s">
        <v>100</v>
      </c>
      <c r="AM516">
        <v>200000</v>
      </c>
      <c r="AN516" t="s">
        <v>97</v>
      </c>
      <c r="AO516">
        <v>1</v>
      </c>
      <c r="AP516">
        <v>0</v>
      </c>
      <c r="AQ516">
        <v>16666.666666666668</v>
      </c>
      <c r="AR516" t="s">
        <v>1783</v>
      </c>
      <c r="AS516" t="s">
        <v>75</v>
      </c>
      <c r="AX516" t="s">
        <v>76</v>
      </c>
      <c r="AY516" t="s">
        <v>71</v>
      </c>
      <c r="AZ516">
        <v>0</v>
      </c>
      <c r="BA516" t="s">
        <v>71</v>
      </c>
      <c r="BB516">
        <v>0</v>
      </c>
      <c r="BD516">
        <v>0.70911000000000002</v>
      </c>
    </row>
    <row r="517" spans="1:56" x14ac:dyDescent="0.15">
      <c r="A517" s="4" t="str">
        <f>HYPERLINK("https://ibp.a2mac1.com/costing(costing:projects/details/9760/part/8411687)","Sun Gear")</f>
        <v>Sun Gear</v>
      </c>
      <c r="B517">
        <v>8411687</v>
      </c>
      <c r="C517">
        <v>8411656</v>
      </c>
      <c r="D517" t="s">
        <v>1784</v>
      </c>
      <c r="E517">
        <v>3.1850000000000001</v>
      </c>
      <c r="F517">
        <v>0</v>
      </c>
      <c r="G517">
        <v>0</v>
      </c>
      <c r="H517">
        <v>0</v>
      </c>
      <c r="I517" t="s">
        <v>71</v>
      </c>
      <c r="J517">
        <v>0</v>
      </c>
      <c r="K517">
        <v>3.1850000000000001</v>
      </c>
      <c r="L517">
        <v>0</v>
      </c>
      <c r="M517">
        <v>0</v>
      </c>
      <c r="N517">
        <v>3.1850000000000001</v>
      </c>
      <c r="O517" t="s">
        <v>71</v>
      </c>
      <c r="P517">
        <v>0</v>
      </c>
      <c r="Q517" t="s">
        <v>71</v>
      </c>
      <c r="R517">
        <v>0</v>
      </c>
      <c r="S517" t="s">
        <v>71</v>
      </c>
      <c r="T517">
        <v>0</v>
      </c>
      <c r="U517" t="s">
        <v>71</v>
      </c>
      <c r="V517">
        <v>0</v>
      </c>
      <c r="W517" t="s">
        <v>71</v>
      </c>
      <c r="X517">
        <v>0</v>
      </c>
      <c r="Y517">
        <v>3.1850000000000001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24</v>
      </c>
      <c r="AF517">
        <v>75</v>
      </c>
      <c r="AG517">
        <v>75</v>
      </c>
      <c r="AH517">
        <v>0</v>
      </c>
      <c r="AI517">
        <v>0.34100000000000003</v>
      </c>
      <c r="AK517" t="s">
        <v>100</v>
      </c>
      <c r="AM517">
        <v>400000</v>
      </c>
      <c r="AN517" t="s">
        <v>97</v>
      </c>
      <c r="AO517">
        <v>2</v>
      </c>
      <c r="AP517">
        <v>0</v>
      </c>
      <c r="AQ517">
        <v>33333.333333333336</v>
      </c>
      <c r="AR517" t="s">
        <v>1785</v>
      </c>
      <c r="AS517" t="s">
        <v>75</v>
      </c>
      <c r="AX517" t="s">
        <v>76</v>
      </c>
      <c r="AY517" t="s">
        <v>71</v>
      </c>
      <c r="AZ517">
        <v>0</v>
      </c>
      <c r="BA517" t="s">
        <v>71</v>
      </c>
      <c r="BB517">
        <v>0</v>
      </c>
      <c r="BD517">
        <v>1.5925</v>
      </c>
    </row>
    <row r="518" spans="1:56" x14ac:dyDescent="0.15">
      <c r="A518" s="4" t="str">
        <f>HYPERLINK("https://ibp.a2mac1.com/costing(costing:projects/details/9760/part/8411689)","Lubrication spacer")</f>
        <v>Lubrication spacer</v>
      </c>
      <c r="B518">
        <v>8411689</v>
      </c>
      <c r="C518">
        <v>8411656</v>
      </c>
      <c r="D518" t="s">
        <v>1786</v>
      </c>
      <c r="E518">
        <v>0.11079</v>
      </c>
      <c r="F518">
        <v>0</v>
      </c>
      <c r="G518">
        <v>0</v>
      </c>
      <c r="H518">
        <v>0</v>
      </c>
      <c r="I518" t="s">
        <v>71</v>
      </c>
      <c r="J518">
        <v>0</v>
      </c>
      <c r="K518">
        <v>0.11079</v>
      </c>
      <c r="L518">
        <v>0</v>
      </c>
      <c r="M518">
        <v>0</v>
      </c>
      <c r="N518">
        <v>0.11079</v>
      </c>
      <c r="O518" t="s">
        <v>71</v>
      </c>
      <c r="P518">
        <v>0</v>
      </c>
      <c r="Q518" t="s">
        <v>71</v>
      </c>
      <c r="R518">
        <v>0</v>
      </c>
      <c r="S518" t="s">
        <v>71</v>
      </c>
      <c r="T518">
        <v>0</v>
      </c>
      <c r="U518" t="s">
        <v>71</v>
      </c>
      <c r="V518">
        <v>0</v>
      </c>
      <c r="W518" t="s">
        <v>71</v>
      </c>
      <c r="X518">
        <v>0</v>
      </c>
      <c r="Y518">
        <v>0.11079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74</v>
      </c>
      <c r="AG518">
        <v>74</v>
      </c>
      <c r="AH518">
        <v>0</v>
      </c>
      <c r="AI518">
        <v>1.0999999999999999E-2</v>
      </c>
      <c r="AK518" t="s">
        <v>100</v>
      </c>
      <c r="AM518">
        <v>200000</v>
      </c>
      <c r="AN518" t="s">
        <v>97</v>
      </c>
      <c r="AO518">
        <v>1</v>
      </c>
      <c r="AP518">
        <v>0</v>
      </c>
      <c r="AQ518">
        <v>16666.666666666668</v>
      </c>
      <c r="AR518" t="s">
        <v>1787</v>
      </c>
      <c r="AS518" t="s">
        <v>75</v>
      </c>
      <c r="AX518" t="s">
        <v>76</v>
      </c>
      <c r="AY518" t="s">
        <v>71</v>
      </c>
      <c r="AZ518">
        <v>0</v>
      </c>
      <c r="BA518" t="s">
        <v>71</v>
      </c>
      <c r="BB518">
        <v>0</v>
      </c>
      <c r="BD518">
        <v>0.11079</v>
      </c>
    </row>
    <row r="519" spans="1:56" x14ac:dyDescent="0.15">
      <c r="A519" s="4" t="str">
        <f>HYPERLINK("https://ibp.a2mac1.com/costing(costing:projects/details/9760/part/8411690)","Planet gears - shim")</f>
        <v>Planet gears - shim</v>
      </c>
      <c r="B519">
        <v>8411690</v>
      </c>
      <c r="C519">
        <v>8411656</v>
      </c>
      <c r="D519" t="s">
        <v>1788</v>
      </c>
      <c r="E519">
        <v>0.19500000000000001</v>
      </c>
      <c r="F519">
        <v>0</v>
      </c>
      <c r="G519">
        <v>0</v>
      </c>
      <c r="H519">
        <v>0</v>
      </c>
      <c r="I519" t="s">
        <v>71</v>
      </c>
      <c r="J519">
        <v>0</v>
      </c>
      <c r="K519">
        <v>0.19500000000000001</v>
      </c>
      <c r="L519">
        <v>0</v>
      </c>
      <c r="M519">
        <v>0</v>
      </c>
      <c r="N519">
        <v>0.19500000000000001</v>
      </c>
      <c r="O519" t="s">
        <v>71</v>
      </c>
      <c r="P519">
        <v>0</v>
      </c>
      <c r="Q519" t="s">
        <v>71</v>
      </c>
      <c r="R519">
        <v>0</v>
      </c>
      <c r="S519" t="s">
        <v>71</v>
      </c>
      <c r="T519">
        <v>0</v>
      </c>
      <c r="U519" t="s">
        <v>71</v>
      </c>
      <c r="V519">
        <v>0</v>
      </c>
      <c r="W519" t="s">
        <v>71</v>
      </c>
      <c r="X519">
        <v>0</v>
      </c>
      <c r="Y519">
        <v>0.19500000000000001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K519" t="s">
        <v>272</v>
      </c>
      <c r="AM519">
        <v>400000</v>
      </c>
      <c r="AN519" t="s">
        <v>97</v>
      </c>
      <c r="AO519">
        <v>2</v>
      </c>
      <c r="AP519">
        <v>0</v>
      </c>
      <c r="AQ519">
        <v>33333.333333333336</v>
      </c>
      <c r="AR519" t="s">
        <v>9</v>
      </c>
      <c r="AS519" t="s">
        <v>75</v>
      </c>
      <c r="AW519">
        <v>0</v>
      </c>
      <c r="AX519" t="s">
        <v>76</v>
      </c>
      <c r="AY519" t="s">
        <v>71</v>
      </c>
      <c r="AZ519">
        <v>0</v>
      </c>
      <c r="BA519" t="s">
        <v>71</v>
      </c>
      <c r="BB519">
        <v>0</v>
      </c>
      <c r="BD519">
        <v>9.7500000000000003E-2</v>
      </c>
    </row>
    <row r="520" spans="1:56" x14ac:dyDescent="0.15">
      <c r="A520" s="4" t="str">
        <f>HYPERLINK("https://ibp.a2mac1.com/costing(costing:projects/details/9760/part/8411691)","Sun wheels - shim")</f>
        <v>Sun wheels - shim</v>
      </c>
      <c r="B520">
        <v>8411691</v>
      </c>
      <c r="C520">
        <v>8411656</v>
      </c>
      <c r="D520" t="s">
        <v>1788</v>
      </c>
      <c r="E520">
        <v>0.21199999999999999</v>
      </c>
      <c r="F520">
        <v>0</v>
      </c>
      <c r="G520">
        <v>0</v>
      </c>
      <c r="H520">
        <v>0</v>
      </c>
      <c r="I520" t="s">
        <v>71</v>
      </c>
      <c r="J520">
        <v>0</v>
      </c>
      <c r="K520">
        <v>0.21199999999999999</v>
      </c>
      <c r="L520">
        <v>0</v>
      </c>
      <c r="M520">
        <v>0</v>
      </c>
      <c r="N520">
        <v>0.21199999999999999</v>
      </c>
      <c r="O520" t="s">
        <v>71</v>
      </c>
      <c r="P520">
        <v>0</v>
      </c>
      <c r="Q520" t="s">
        <v>71</v>
      </c>
      <c r="R520">
        <v>0</v>
      </c>
      <c r="S520" t="s">
        <v>71</v>
      </c>
      <c r="T520">
        <v>0</v>
      </c>
      <c r="U520" t="s">
        <v>71</v>
      </c>
      <c r="V520">
        <v>0</v>
      </c>
      <c r="W520" t="s">
        <v>71</v>
      </c>
      <c r="X520">
        <v>0</v>
      </c>
      <c r="Y520">
        <v>0.21199999999999999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K520" t="s">
        <v>272</v>
      </c>
      <c r="AM520">
        <v>400000</v>
      </c>
      <c r="AN520" t="s">
        <v>97</v>
      </c>
      <c r="AO520">
        <v>2</v>
      </c>
      <c r="AP520">
        <v>0</v>
      </c>
      <c r="AQ520">
        <v>33333.333333333336</v>
      </c>
      <c r="AR520" t="s">
        <v>9</v>
      </c>
      <c r="AS520" t="s">
        <v>75</v>
      </c>
      <c r="AV520">
        <v>0</v>
      </c>
      <c r="AW520">
        <v>0</v>
      </c>
      <c r="AX520" t="s">
        <v>76</v>
      </c>
      <c r="AY520" t="s">
        <v>71</v>
      </c>
      <c r="AZ520">
        <v>0</v>
      </c>
      <c r="BA520" t="s">
        <v>71</v>
      </c>
      <c r="BB520">
        <v>0</v>
      </c>
      <c r="BD520">
        <v>0.106</v>
      </c>
    </row>
    <row r="521" spans="1:56" x14ac:dyDescent="0.15">
      <c r="A521" s="4" t="str">
        <f>HYPERLINK("https://ibp.a2mac1.com/costing(costing:projects/details/9760/part/8411692)","Planet gear Axle- Pin")</f>
        <v>Planet gear Axle- Pin</v>
      </c>
      <c r="B521">
        <v>8411692</v>
      </c>
      <c r="C521">
        <v>8411656</v>
      </c>
      <c r="D521" t="s">
        <v>284</v>
      </c>
      <c r="E521">
        <v>6.5000000000000002E-2</v>
      </c>
      <c r="F521">
        <v>0</v>
      </c>
      <c r="G521">
        <v>0</v>
      </c>
      <c r="H521">
        <v>0</v>
      </c>
      <c r="I521" t="s">
        <v>71</v>
      </c>
      <c r="J521">
        <v>0</v>
      </c>
      <c r="K521">
        <v>6.5000000000000002E-2</v>
      </c>
      <c r="L521">
        <v>0</v>
      </c>
      <c r="M521">
        <v>0</v>
      </c>
      <c r="N521">
        <v>6.5000000000000002E-2</v>
      </c>
      <c r="O521" t="s">
        <v>71</v>
      </c>
      <c r="P521">
        <v>0</v>
      </c>
      <c r="Q521" t="s">
        <v>71</v>
      </c>
      <c r="R521">
        <v>0</v>
      </c>
      <c r="S521" t="s">
        <v>71</v>
      </c>
      <c r="T521">
        <v>0</v>
      </c>
      <c r="U521" t="s">
        <v>71</v>
      </c>
      <c r="V521">
        <v>0</v>
      </c>
      <c r="W521" t="s">
        <v>71</v>
      </c>
      <c r="X521">
        <v>0</v>
      </c>
      <c r="Y521">
        <v>6.5000000000000002E-2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K521" t="s">
        <v>272</v>
      </c>
      <c r="AM521">
        <v>200000</v>
      </c>
      <c r="AN521" t="s">
        <v>97</v>
      </c>
      <c r="AO521">
        <v>1</v>
      </c>
      <c r="AP521">
        <v>0</v>
      </c>
      <c r="AQ521">
        <v>16666.666666666668</v>
      </c>
      <c r="AR521" t="s">
        <v>9</v>
      </c>
      <c r="AS521" t="s">
        <v>75</v>
      </c>
      <c r="AV521">
        <v>0</v>
      </c>
      <c r="AW521">
        <v>0</v>
      </c>
      <c r="AX521" t="s">
        <v>76</v>
      </c>
      <c r="AY521" t="s">
        <v>71</v>
      </c>
      <c r="AZ521">
        <v>0</v>
      </c>
      <c r="BA521" t="s">
        <v>71</v>
      </c>
      <c r="BB521">
        <v>0</v>
      </c>
      <c r="BD521">
        <v>6.5000000000000002E-2</v>
      </c>
    </row>
    <row r="522" spans="1:56" x14ac:dyDescent="0.15">
      <c r="A522" s="4" t="str">
        <f>HYPERLINK("https://ibp.a2mac1.com/costing(costing:projects/details/9760/part/8411751)","Front")</f>
        <v>Front</v>
      </c>
      <c r="B522">
        <v>8411751</v>
      </c>
      <c r="C522">
        <v>8411695</v>
      </c>
      <c r="D522" t="s">
        <v>1765</v>
      </c>
      <c r="E522">
        <v>3.746</v>
      </c>
      <c r="F522">
        <v>0</v>
      </c>
      <c r="G522">
        <v>0</v>
      </c>
      <c r="H522">
        <v>0</v>
      </c>
      <c r="I522" t="s">
        <v>71</v>
      </c>
      <c r="J522">
        <v>0</v>
      </c>
      <c r="K522">
        <v>3.746</v>
      </c>
      <c r="L522">
        <v>0</v>
      </c>
      <c r="M522">
        <v>0</v>
      </c>
      <c r="N522">
        <v>3.746</v>
      </c>
      <c r="O522" t="s">
        <v>71</v>
      </c>
      <c r="P522">
        <v>0</v>
      </c>
      <c r="Q522" t="s">
        <v>71</v>
      </c>
      <c r="R522">
        <v>0</v>
      </c>
      <c r="S522" t="s">
        <v>71</v>
      </c>
      <c r="T522">
        <v>0</v>
      </c>
      <c r="U522" t="s">
        <v>71</v>
      </c>
      <c r="V522">
        <v>0</v>
      </c>
      <c r="W522" t="s">
        <v>71</v>
      </c>
      <c r="X522">
        <v>0</v>
      </c>
      <c r="Y522">
        <v>3.746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21</v>
      </c>
      <c r="AF522">
        <v>80</v>
      </c>
      <c r="AG522">
        <v>80</v>
      </c>
      <c r="AH522">
        <v>0</v>
      </c>
      <c r="AI522">
        <v>0.443</v>
      </c>
      <c r="AK522" t="s">
        <v>100</v>
      </c>
      <c r="AM522">
        <v>200000</v>
      </c>
      <c r="AN522" t="s">
        <v>97</v>
      </c>
      <c r="AO522">
        <v>1</v>
      </c>
      <c r="AP522">
        <v>0</v>
      </c>
      <c r="AQ522">
        <v>16666.666666666668</v>
      </c>
      <c r="AR522" t="s">
        <v>1795</v>
      </c>
      <c r="AS522" t="s">
        <v>75</v>
      </c>
      <c r="AX522" t="s">
        <v>76</v>
      </c>
      <c r="AY522" t="s">
        <v>71</v>
      </c>
      <c r="AZ522">
        <v>0</v>
      </c>
      <c r="BA522" t="s">
        <v>71</v>
      </c>
      <c r="BB522">
        <v>0</v>
      </c>
      <c r="BD522">
        <v>3.746</v>
      </c>
    </row>
    <row r="523" spans="1:56" x14ac:dyDescent="0.15">
      <c r="A523" s="4" t="str">
        <f>HYPERLINK("https://ibp.a2mac1.com/costing(costing:projects/details/9760/part/8411752)","Rear")</f>
        <v>Rear</v>
      </c>
      <c r="B523">
        <v>8411752</v>
      </c>
      <c r="C523">
        <v>8411695</v>
      </c>
      <c r="D523" t="s">
        <v>1765</v>
      </c>
      <c r="E523">
        <v>3.746</v>
      </c>
      <c r="F523">
        <v>0</v>
      </c>
      <c r="G523">
        <v>0</v>
      </c>
      <c r="H523">
        <v>0</v>
      </c>
      <c r="I523" t="s">
        <v>71</v>
      </c>
      <c r="J523">
        <v>0</v>
      </c>
      <c r="K523">
        <v>3.746</v>
      </c>
      <c r="L523">
        <v>0</v>
      </c>
      <c r="M523">
        <v>0</v>
      </c>
      <c r="N523">
        <v>3.746</v>
      </c>
      <c r="O523" t="s">
        <v>71</v>
      </c>
      <c r="P523">
        <v>0</v>
      </c>
      <c r="Q523" t="s">
        <v>71</v>
      </c>
      <c r="R523">
        <v>0</v>
      </c>
      <c r="S523" t="s">
        <v>71</v>
      </c>
      <c r="T523">
        <v>0</v>
      </c>
      <c r="U523" t="s">
        <v>71</v>
      </c>
      <c r="V523">
        <v>0</v>
      </c>
      <c r="W523" t="s">
        <v>71</v>
      </c>
      <c r="X523">
        <v>0</v>
      </c>
      <c r="Y523">
        <v>3.746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21</v>
      </c>
      <c r="AF523">
        <v>80</v>
      </c>
      <c r="AG523">
        <v>80</v>
      </c>
      <c r="AH523">
        <v>0</v>
      </c>
      <c r="AI523">
        <v>0.442</v>
      </c>
      <c r="AK523" t="s">
        <v>100</v>
      </c>
      <c r="AM523">
        <v>200000</v>
      </c>
      <c r="AN523" t="s">
        <v>97</v>
      </c>
      <c r="AO523">
        <v>1</v>
      </c>
      <c r="AP523">
        <v>0</v>
      </c>
      <c r="AQ523">
        <v>16666.666666666668</v>
      </c>
      <c r="AR523" t="s">
        <v>1796</v>
      </c>
      <c r="AS523" t="s">
        <v>75</v>
      </c>
      <c r="AX523" t="s">
        <v>76</v>
      </c>
      <c r="AY523" t="s">
        <v>71</v>
      </c>
      <c r="AZ523">
        <v>0</v>
      </c>
      <c r="BA523" t="s">
        <v>71</v>
      </c>
      <c r="BB523">
        <v>0</v>
      </c>
      <c r="BD523">
        <v>3.746</v>
      </c>
    </row>
    <row r="524" spans="1:56" x14ac:dyDescent="0.15">
      <c r="A524" s="4" t="str">
        <f>HYPERLINK("https://ibp.a2mac1.com/costing(costing:projects/details/9760/part/8411693)","Axle and Pinion")</f>
        <v>Axle and Pinion</v>
      </c>
      <c r="B524">
        <v>8411693</v>
      </c>
      <c r="C524">
        <v>8411657</v>
      </c>
      <c r="D524" t="s">
        <v>1798</v>
      </c>
      <c r="E524">
        <v>5.5852399999999998</v>
      </c>
      <c r="F524">
        <v>0</v>
      </c>
      <c r="G524">
        <v>0</v>
      </c>
      <c r="H524">
        <v>0</v>
      </c>
      <c r="I524" t="s">
        <v>71</v>
      </c>
      <c r="J524">
        <v>0</v>
      </c>
      <c r="K524">
        <v>5.5852399999999998</v>
      </c>
      <c r="L524">
        <v>0</v>
      </c>
      <c r="M524">
        <v>0</v>
      </c>
      <c r="N524">
        <v>5.5852399999999998</v>
      </c>
      <c r="O524" t="s">
        <v>71</v>
      </c>
      <c r="P524">
        <v>0</v>
      </c>
      <c r="Q524" t="s">
        <v>71</v>
      </c>
      <c r="R524">
        <v>0</v>
      </c>
      <c r="S524" t="s">
        <v>71</v>
      </c>
      <c r="T524">
        <v>0</v>
      </c>
      <c r="U524" t="s">
        <v>71</v>
      </c>
      <c r="V524">
        <v>0</v>
      </c>
      <c r="W524" t="s">
        <v>71</v>
      </c>
      <c r="X524">
        <v>0</v>
      </c>
      <c r="Y524">
        <v>5.5852399999999998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145</v>
      </c>
      <c r="AF524">
        <v>57</v>
      </c>
      <c r="AG524">
        <v>57</v>
      </c>
      <c r="AH524">
        <v>0</v>
      </c>
      <c r="AI524">
        <v>1.004</v>
      </c>
      <c r="AK524" t="s">
        <v>100</v>
      </c>
      <c r="AM524">
        <v>200000</v>
      </c>
      <c r="AN524" t="s">
        <v>97</v>
      </c>
      <c r="AO524">
        <v>1</v>
      </c>
      <c r="AP524">
        <v>0</v>
      </c>
      <c r="AQ524">
        <v>16666.666666666668</v>
      </c>
      <c r="AR524" t="s">
        <v>1799</v>
      </c>
      <c r="AS524" t="s">
        <v>75</v>
      </c>
      <c r="AX524" t="s">
        <v>76</v>
      </c>
      <c r="AY524" t="s">
        <v>71</v>
      </c>
      <c r="AZ524">
        <v>0</v>
      </c>
      <c r="BA524" t="s">
        <v>71</v>
      </c>
      <c r="BB524">
        <v>0</v>
      </c>
      <c r="BD524">
        <v>5.5852399999999998</v>
      </c>
    </row>
    <row r="525" spans="1:56" x14ac:dyDescent="0.15">
      <c r="A525" s="4" t="str">
        <f>HYPERLINK("https://ibp.a2mac1.com/costing(costing:projects/details/9760/part/8411694)","Pad")</f>
        <v>Pad</v>
      </c>
      <c r="B525">
        <v>8411694</v>
      </c>
      <c r="C525">
        <v>8411657</v>
      </c>
      <c r="D525" t="s">
        <v>1786</v>
      </c>
      <c r="E525">
        <v>0.12003999999999999</v>
      </c>
      <c r="F525">
        <v>0</v>
      </c>
      <c r="G525">
        <v>0</v>
      </c>
      <c r="H525">
        <v>0</v>
      </c>
      <c r="I525" t="s">
        <v>71</v>
      </c>
      <c r="J525">
        <v>0</v>
      </c>
      <c r="K525">
        <v>0.12003999999999999</v>
      </c>
      <c r="L525">
        <v>0</v>
      </c>
      <c r="M525">
        <v>0</v>
      </c>
      <c r="N525">
        <v>0.12003999999999999</v>
      </c>
      <c r="O525" t="s">
        <v>71</v>
      </c>
      <c r="P525">
        <v>0</v>
      </c>
      <c r="Q525" t="s">
        <v>71</v>
      </c>
      <c r="R525">
        <v>0</v>
      </c>
      <c r="S525" t="s">
        <v>71</v>
      </c>
      <c r="T525">
        <v>0</v>
      </c>
      <c r="U525" t="s">
        <v>71</v>
      </c>
      <c r="V525">
        <v>0</v>
      </c>
      <c r="W525" t="s">
        <v>71</v>
      </c>
      <c r="X525">
        <v>0</v>
      </c>
      <c r="Y525">
        <v>0.12003999999999999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</v>
      </c>
      <c r="AF525">
        <v>79</v>
      </c>
      <c r="AG525">
        <v>79</v>
      </c>
      <c r="AH525">
        <v>0</v>
      </c>
      <c r="AI525">
        <v>1.4E-2</v>
      </c>
      <c r="AK525" t="s">
        <v>100</v>
      </c>
      <c r="AM525">
        <v>200000</v>
      </c>
      <c r="AN525" t="s">
        <v>97</v>
      </c>
      <c r="AO525">
        <v>1</v>
      </c>
      <c r="AP525">
        <v>0</v>
      </c>
      <c r="AQ525">
        <v>16666.666666666668</v>
      </c>
      <c r="AR525" t="s">
        <v>1800</v>
      </c>
      <c r="AS525" t="s">
        <v>75</v>
      </c>
      <c r="AX525" t="s">
        <v>76</v>
      </c>
      <c r="AY525" t="s">
        <v>71</v>
      </c>
      <c r="AZ525">
        <v>0</v>
      </c>
      <c r="BA525" t="s">
        <v>71</v>
      </c>
      <c r="BB525">
        <v>0</v>
      </c>
      <c r="BD525">
        <v>0.12003999999999999</v>
      </c>
    </row>
    <row r="526" spans="1:56" x14ac:dyDescent="0.15">
      <c r="A526" s="4" t="str">
        <f>HYPERLINK("https://ibp.a2mac1.com/costing(costing:projects/details/9760/part/8411696)","Shaft")</f>
        <v>Shaft</v>
      </c>
      <c r="B526">
        <v>8411696</v>
      </c>
      <c r="C526">
        <v>8411658</v>
      </c>
      <c r="D526" t="s">
        <v>1803</v>
      </c>
      <c r="E526">
        <v>6.27752</v>
      </c>
      <c r="F526">
        <v>0</v>
      </c>
      <c r="G526">
        <v>0</v>
      </c>
      <c r="H526">
        <v>0</v>
      </c>
      <c r="I526" t="s">
        <v>71</v>
      </c>
      <c r="J526">
        <v>0</v>
      </c>
      <c r="K526">
        <v>6.27752</v>
      </c>
      <c r="L526">
        <v>0</v>
      </c>
      <c r="M526">
        <v>0</v>
      </c>
      <c r="N526">
        <v>6.27752</v>
      </c>
      <c r="O526" t="s">
        <v>71</v>
      </c>
      <c r="P526">
        <v>0</v>
      </c>
      <c r="Q526" t="s">
        <v>71</v>
      </c>
      <c r="R526">
        <v>0</v>
      </c>
      <c r="S526" t="s">
        <v>71</v>
      </c>
      <c r="T526">
        <v>0</v>
      </c>
      <c r="U526" t="s">
        <v>71</v>
      </c>
      <c r="V526">
        <v>0</v>
      </c>
      <c r="W526" t="s">
        <v>71</v>
      </c>
      <c r="X526">
        <v>0</v>
      </c>
      <c r="Y526">
        <v>6.27752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133</v>
      </c>
      <c r="AF526">
        <v>58</v>
      </c>
      <c r="AG526">
        <v>58</v>
      </c>
      <c r="AH526">
        <v>0</v>
      </c>
      <c r="AI526">
        <v>1.4319999999999999</v>
      </c>
      <c r="AK526" t="s">
        <v>100</v>
      </c>
      <c r="AM526">
        <v>200000</v>
      </c>
      <c r="AN526" t="s">
        <v>97</v>
      </c>
      <c r="AO526">
        <v>1</v>
      </c>
      <c r="AP526">
        <v>0</v>
      </c>
      <c r="AQ526">
        <v>16666.666666666668</v>
      </c>
      <c r="AR526" t="s">
        <v>1804</v>
      </c>
      <c r="AS526" t="s">
        <v>75</v>
      </c>
      <c r="AX526" t="s">
        <v>76</v>
      </c>
      <c r="AY526" t="s">
        <v>71</v>
      </c>
      <c r="AZ526">
        <v>0</v>
      </c>
      <c r="BA526" t="s">
        <v>71</v>
      </c>
      <c r="BB526">
        <v>0</v>
      </c>
      <c r="BD526">
        <v>6.27752</v>
      </c>
    </row>
    <row r="527" spans="1:56" x14ac:dyDescent="0.15">
      <c r="A527" s="4" t="str">
        <f>HYPERLINK("https://ibp.a2mac1.com/costing(costing:projects/details/9760/part/8411697)","Gear")</f>
        <v>Gear</v>
      </c>
      <c r="B527">
        <v>8411697</v>
      </c>
      <c r="C527">
        <v>8411658</v>
      </c>
      <c r="E527">
        <v>1.8232132333333333</v>
      </c>
      <c r="F527">
        <v>0</v>
      </c>
      <c r="G527">
        <v>0</v>
      </c>
      <c r="H527">
        <v>3.9420826666666664E-5</v>
      </c>
      <c r="I527" t="s">
        <v>176</v>
      </c>
      <c r="J527">
        <v>6.8986446666666673E-2</v>
      </c>
      <c r="K527">
        <v>1.8922391008266666</v>
      </c>
      <c r="L527">
        <v>1.2360431786648252</v>
      </c>
      <c r="M527">
        <v>7.4162590719889518</v>
      </c>
      <c r="N527">
        <v>9.308498172815618</v>
      </c>
      <c r="O527" t="s">
        <v>177</v>
      </c>
      <c r="P527">
        <v>0.1135343460496</v>
      </c>
      <c r="Q527" t="s">
        <v>177</v>
      </c>
      <c r="R527">
        <v>0.44497554431933711</v>
      </c>
      <c r="S527" t="s">
        <v>178</v>
      </c>
      <c r="T527">
        <v>1.1170197807378741</v>
      </c>
      <c r="U527" t="s">
        <v>90</v>
      </c>
      <c r="V527">
        <v>0</v>
      </c>
      <c r="W527" t="s">
        <v>90</v>
      </c>
      <c r="X527">
        <v>0</v>
      </c>
      <c r="Y527">
        <v>10.98402784392243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40</v>
      </c>
      <c r="AF527">
        <v>140</v>
      </c>
      <c r="AG527">
        <v>140</v>
      </c>
      <c r="AH527">
        <v>0</v>
      </c>
      <c r="AI527">
        <v>2.4500000000000002</v>
      </c>
      <c r="AK527" t="s">
        <v>100</v>
      </c>
      <c r="AM527">
        <v>200000</v>
      </c>
      <c r="AN527" t="s">
        <v>97</v>
      </c>
      <c r="AO527">
        <v>1</v>
      </c>
      <c r="AP527">
        <v>0</v>
      </c>
      <c r="AQ527">
        <v>16666.666666666668</v>
      </c>
      <c r="AR527" t="s">
        <v>1810</v>
      </c>
      <c r="AS527" t="s">
        <v>75</v>
      </c>
      <c r="AX527" t="s">
        <v>76</v>
      </c>
      <c r="AY527" t="s">
        <v>176</v>
      </c>
      <c r="AZ527">
        <v>0</v>
      </c>
      <c r="BA527" t="s">
        <v>176</v>
      </c>
      <c r="BB527">
        <v>0</v>
      </c>
    </row>
    <row r="528" spans="1:56" x14ac:dyDescent="0.15">
      <c r="A528" s="4" t="str">
        <f>HYPERLINK("https://ibp.a2mac1.com/costing(costing:projects/details/9760/part/8411698)","Bearing on Main Housing")</f>
        <v>Bearing on Main Housing</v>
      </c>
      <c r="B528">
        <v>8411698</v>
      </c>
      <c r="C528">
        <v>8411658</v>
      </c>
      <c r="D528" t="s">
        <v>1765</v>
      </c>
      <c r="E528">
        <v>3.31</v>
      </c>
      <c r="F528">
        <v>0</v>
      </c>
      <c r="G528">
        <v>0</v>
      </c>
      <c r="H528">
        <v>0</v>
      </c>
      <c r="I528" t="s">
        <v>71</v>
      </c>
      <c r="J528">
        <v>0</v>
      </c>
      <c r="K528">
        <v>3.31</v>
      </c>
      <c r="L528">
        <v>0</v>
      </c>
      <c r="M528">
        <v>0</v>
      </c>
      <c r="N528">
        <v>3.31</v>
      </c>
      <c r="O528" t="s">
        <v>71</v>
      </c>
      <c r="P528">
        <v>0</v>
      </c>
      <c r="Q528" t="s">
        <v>71</v>
      </c>
      <c r="R528">
        <v>0</v>
      </c>
      <c r="S528" t="s">
        <v>71</v>
      </c>
      <c r="T528">
        <v>0</v>
      </c>
      <c r="U528" t="s">
        <v>71</v>
      </c>
      <c r="V528">
        <v>0</v>
      </c>
      <c r="W528" t="s">
        <v>71</v>
      </c>
      <c r="X528">
        <v>0</v>
      </c>
      <c r="Y528">
        <v>3.31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21</v>
      </c>
      <c r="AF528">
        <v>72</v>
      </c>
      <c r="AG528">
        <v>72</v>
      </c>
      <c r="AH528">
        <v>0</v>
      </c>
      <c r="AI528">
        <v>0.27100000000000002</v>
      </c>
      <c r="AK528" t="s">
        <v>100</v>
      </c>
      <c r="AM528">
        <v>200000</v>
      </c>
      <c r="AN528" t="s">
        <v>97</v>
      </c>
      <c r="AO528">
        <v>1</v>
      </c>
      <c r="AP528">
        <v>0</v>
      </c>
      <c r="AQ528">
        <v>16666.666666666668</v>
      </c>
      <c r="AR528" t="s">
        <v>1811</v>
      </c>
      <c r="AS528" t="s">
        <v>75</v>
      </c>
      <c r="AX528" t="s">
        <v>76</v>
      </c>
      <c r="AY528" t="s">
        <v>71</v>
      </c>
      <c r="AZ528">
        <v>0</v>
      </c>
      <c r="BA528" t="s">
        <v>71</v>
      </c>
      <c r="BB528">
        <v>0</v>
      </c>
      <c r="BD528">
        <v>3.31</v>
      </c>
    </row>
    <row r="529" spans="1:56" x14ac:dyDescent="0.15">
      <c r="A529" s="4" t="str">
        <f>HYPERLINK("https://ibp.a2mac1.com/costing(costing:projects/details/9760/part/8411699)","Bearing on 2nd Housing")</f>
        <v>Bearing on 2nd Housing</v>
      </c>
      <c r="B529">
        <v>8411699</v>
      </c>
      <c r="C529">
        <v>8411658</v>
      </c>
      <c r="D529" t="s">
        <v>1765</v>
      </c>
      <c r="E529">
        <v>3.31</v>
      </c>
      <c r="F529">
        <v>0</v>
      </c>
      <c r="G529">
        <v>0</v>
      </c>
      <c r="H529">
        <v>0</v>
      </c>
      <c r="I529" t="s">
        <v>71</v>
      </c>
      <c r="J529">
        <v>0</v>
      </c>
      <c r="K529">
        <v>3.31</v>
      </c>
      <c r="L529">
        <v>0</v>
      </c>
      <c r="M529">
        <v>0</v>
      </c>
      <c r="N529">
        <v>3.31</v>
      </c>
      <c r="O529" t="s">
        <v>71</v>
      </c>
      <c r="P529">
        <v>0</v>
      </c>
      <c r="Q529" t="s">
        <v>71</v>
      </c>
      <c r="R529">
        <v>0</v>
      </c>
      <c r="S529" t="s">
        <v>71</v>
      </c>
      <c r="T529">
        <v>0</v>
      </c>
      <c r="U529" t="s">
        <v>71</v>
      </c>
      <c r="V529">
        <v>0</v>
      </c>
      <c r="W529" t="s">
        <v>71</v>
      </c>
      <c r="X529">
        <v>0</v>
      </c>
      <c r="Y529">
        <v>3.31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21</v>
      </c>
      <c r="AF529">
        <v>72</v>
      </c>
      <c r="AG529">
        <v>72</v>
      </c>
      <c r="AH529">
        <v>0</v>
      </c>
      <c r="AI529">
        <v>0.27100000000000002</v>
      </c>
      <c r="AK529" t="s">
        <v>100</v>
      </c>
      <c r="AM529">
        <v>200000</v>
      </c>
      <c r="AN529" t="s">
        <v>97</v>
      </c>
      <c r="AO529">
        <v>1</v>
      </c>
      <c r="AP529">
        <v>0</v>
      </c>
      <c r="AQ529">
        <v>16666.666666666668</v>
      </c>
      <c r="AR529" t="s">
        <v>1812</v>
      </c>
      <c r="AS529" t="s">
        <v>75</v>
      </c>
      <c r="AX529" t="s">
        <v>76</v>
      </c>
      <c r="AY529" t="s">
        <v>71</v>
      </c>
      <c r="AZ529">
        <v>0</v>
      </c>
      <c r="BA529" t="s">
        <v>71</v>
      </c>
      <c r="BB529">
        <v>0</v>
      </c>
      <c r="BD529">
        <v>3.31</v>
      </c>
    </row>
    <row r="530" spans="1:56" x14ac:dyDescent="0.15">
      <c r="A530" s="4" t="str">
        <f>HYPERLINK("https://ibp.a2mac1.com/costing(costing:projects/details/9760/part/8411700)","Ring on Main Housing")</f>
        <v>Ring on Main Housing</v>
      </c>
      <c r="B530">
        <v>8411700</v>
      </c>
      <c r="C530">
        <v>8411658</v>
      </c>
      <c r="D530" t="s">
        <v>1786</v>
      </c>
      <c r="E530">
        <v>0.10636</v>
      </c>
      <c r="F530">
        <v>0</v>
      </c>
      <c r="G530">
        <v>0</v>
      </c>
      <c r="H530">
        <v>0</v>
      </c>
      <c r="I530" t="s">
        <v>71</v>
      </c>
      <c r="J530">
        <v>0</v>
      </c>
      <c r="K530">
        <v>0.10636</v>
      </c>
      <c r="L530">
        <v>0</v>
      </c>
      <c r="M530">
        <v>0</v>
      </c>
      <c r="N530">
        <v>0.10636</v>
      </c>
      <c r="O530" t="s">
        <v>71</v>
      </c>
      <c r="P530">
        <v>0</v>
      </c>
      <c r="Q530" t="s">
        <v>71</v>
      </c>
      <c r="R530">
        <v>0</v>
      </c>
      <c r="S530" t="s">
        <v>71</v>
      </c>
      <c r="T530">
        <v>0</v>
      </c>
      <c r="U530" t="s">
        <v>71</v>
      </c>
      <c r="V530">
        <v>0</v>
      </c>
      <c r="W530" t="s">
        <v>71</v>
      </c>
      <c r="X530">
        <v>0</v>
      </c>
      <c r="Y530">
        <v>0.10636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79</v>
      </c>
      <c r="AG530">
        <v>79</v>
      </c>
      <c r="AH530">
        <v>0</v>
      </c>
      <c r="AI530">
        <v>1.2E-2</v>
      </c>
      <c r="AK530" t="s">
        <v>100</v>
      </c>
      <c r="AM530">
        <v>200000</v>
      </c>
      <c r="AN530" t="s">
        <v>97</v>
      </c>
      <c r="AO530">
        <v>1</v>
      </c>
      <c r="AP530">
        <v>0</v>
      </c>
      <c r="AQ530">
        <v>16666.666666666668</v>
      </c>
      <c r="AR530" t="s">
        <v>1813</v>
      </c>
      <c r="AS530" t="s">
        <v>75</v>
      </c>
      <c r="AX530" t="s">
        <v>76</v>
      </c>
      <c r="AY530" t="s">
        <v>71</v>
      </c>
      <c r="AZ530">
        <v>0</v>
      </c>
      <c r="BA530" t="s">
        <v>71</v>
      </c>
      <c r="BB530">
        <v>0</v>
      </c>
      <c r="BD530">
        <v>0.10636</v>
      </c>
    </row>
    <row r="531" spans="1:56" x14ac:dyDescent="0.15">
      <c r="A531" s="4" t="str">
        <f>HYPERLINK("https://ibp.a2mac1.com/costing(costing:projects/details/9760/part/8411701)","Bearing on 2nd housing races")</f>
        <v>Bearing on 2nd housing races</v>
      </c>
      <c r="B531">
        <v>8411701</v>
      </c>
      <c r="C531">
        <v>8411658</v>
      </c>
      <c r="E531">
        <v>0.1</v>
      </c>
      <c r="F531">
        <v>0</v>
      </c>
      <c r="G531">
        <v>0</v>
      </c>
      <c r="H531">
        <v>0</v>
      </c>
      <c r="I531" t="s">
        <v>71</v>
      </c>
      <c r="J531">
        <v>0</v>
      </c>
      <c r="K531">
        <v>0.1</v>
      </c>
      <c r="L531">
        <v>0</v>
      </c>
      <c r="M531">
        <v>0</v>
      </c>
      <c r="N531">
        <v>0.1</v>
      </c>
      <c r="O531" t="s">
        <v>71</v>
      </c>
      <c r="P531">
        <v>0</v>
      </c>
      <c r="Q531" t="s">
        <v>71</v>
      </c>
      <c r="R531">
        <v>0</v>
      </c>
      <c r="S531" t="s">
        <v>71</v>
      </c>
      <c r="T531">
        <v>0</v>
      </c>
      <c r="U531" t="s">
        <v>71</v>
      </c>
      <c r="V531">
        <v>0</v>
      </c>
      <c r="W531" t="s">
        <v>71</v>
      </c>
      <c r="X531">
        <v>0</v>
      </c>
      <c r="Y531">
        <v>0.1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80</v>
      </c>
      <c r="AF531">
        <v>80</v>
      </c>
      <c r="AG531">
        <v>16</v>
      </c>
      <c r="AI531">
        <v>0.14499999999999999</v>
      </c>
      <c r="AK531" t="s">
        <v>1761</v>
      </c>
      <c r="AL531" t="s">
        <v>96</v>
      </c>
      <c r="AM531">
        <v>200000</v>
      </c>
      <c r="AN531" t="s">
        <v>97</v>
      </c>
      <c r="AO531">
        <v>1</v>
      </c>
      <c r="AP531">
        <v>0</v>
      </c>
      <c r="AQ531">
        <v>16666.666666666668</v>
      </c>
      <c r="AR531" t="s">
        <v>1814</v>
      </c>
      <c r="AS531" t="s">
        <v>75</v>
      </c>
      <c r="AX531" t="s">
        <v>76</v>
      </c>
      <c r="AY531" t="s">
        <v>71</v>
      </c>
      <c r="AZ531">
        <v>0</v>
      </c>
      <c r="BA531" t="s">
        <v>71</v>
      </c>
      <c r="BB531">
        <v>0</v>
      </c>
      <c r="BD531">
        <v>0.1</v>
      </c>
    </row>
    <row r="532" spans="1:56" x14ac:dyDescent="0.15">
      <c r="A532" s="4" t="str">
        <f>HYPERLINK("https://ibp.a2mac1.com/costing(costing:projects/details/9760/part/8411702)","Bearing on Main Housing races")</f>
        <v>Bearing on Main Housing races</v>
      </c>
      <c r="B532">
        <v>8411702</v>
      </c>
      <c r="C532">
        <v>8411658</v>
      </c>
      <c r="E532">
        <v>0.1</v>
      </c>
      <c r="F532">
        <v>0</v>
      </c>
      <c r="G532">
        <v>0</v>
      </c>
      <c r="H532">
        <v>0</v>
      </c>
      <c r="I532" t="s">
        <v>71</v>
      </c>
      <c r="J532">
        <v>0</v>
      </c>
      <c r="K532">
        <v>0.1</v>
      </c>
      <c r="L532">
        <v>0</v>
      </c>
      <c r="M532">
        <v>0</v>
      </c>
      <c r="N532">
        <v>0.1</v>
      </c>
      <c r="O532" t="s">
        <v>71</v>
      </c>
      <c r="P532">
        <v>0</v>
      </c>
      <c r="Q532" t="s">
        <v>71</v>
      </c>
      <c r="R532">
        <v>0</v>
      </c>
      <c r="S532" t="s">
        <v>71</v>
      </c>
      <c r="T532">
        <v>0</v>
      </c>
      <c r="U532" t="s">
        <v>71</v>
      </c>
      <c r="V532">
        <v>0</v>
      </c>
      <c r="W532" t="s">
        <v>71</v>
      </c>
      <c r="X532">
        <v>0</v>
      </c>
      <c r="Y532">
        <v>0.1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80</v>
      </c>
      <c r="AF532">
        <v>80</v>
      </c>
      <c r="AG532">
        <v>16</v>
      </c>
      <c r="AI532">
        <v>0.14499999999999999</v>
      </c>
      <c r="AK532" t="s">
        <v>1761</v>
      </c>
      <c r="AL532" t="s">
        <v>96</v>
      </c>
      <c r="AM532">
        <v>200000</v>
      </c>
      <c r="AN532" t="s">
        <v>97</v>
      </c>
      <c r="AO532">
        <v>1</v>
      </c>
      <c r="AP532">
        <v>0</v>
      </c>
      <c r="AQ532">
        <v>16666.666666666668</v>
      </c>
      <c r="AR532" t="s">
        <v>1815</v>
      </c>
      <c r="AS532" t="s">
        <v>75</v>
      </c>
      <c r="AX532" t="s">
        <v>76</v>
      </c>
      <c r="AY532" t="s">
        <v>71</v>
      </c>
      <c r="AZ532">
        <v>0</v>
      </c>
      <c r="BA532" t="s">
        <v>71</v>
      </c>
      <c r="BB532">
        <v>0</v>
      </c>
      <c r="BD532">
        <v>0.1</v>
      </c>
    </row>
    <row r="533" spans="1:56" x14ac:dyDescent="0.15">
      <c r="A533" s="4" t="str">
        <f>HYPERLINK("https://ibp.a2mac1.com/costing(costing:projects/details/9760/part/8411703)","Oil Drain Plug")</f>
        <v>Oil Drain Plug</v>
      </c>
      <c r="B533">
        <v>8411703</v>
      </c>
      <c r="C533">
        <v>8411659</v>
      </c>
      <c r="D533" t="s">
        <v>1818</v>
      </c>
      <c r="E533">
        <v>0.24635000000000001</v>
      </c>
      <c r="F533">
        <v>0</v>
      </c>
      <c r="G533">
        <v>0</v>
      </c>
      <c r="H533">
        <v>0</v>
      </c>
      <c r="I533" t="s">
        <v>71</v>
      </c>
      <c r="J533">
        <v>0</v>
      </c>
      <c r="K533">
        <v>0.24635000000000001</v>
      </c>
      <c r="L533">
        <v>0</v>
      </c>
      <c r="M533">
        <v>0</v>
      </c>
      <c r="N533">
        <v>0.24635000000000001</v>
      </c>
      <c r="O533" t="s">
        <v>71</v>
      </c>
      <c r="P533">
        <v>0</v>
      </c>
      <c r="Q533" t="s">
        <v>71</v>
      </c>
      <c r="R533">
        <v>0</v>
      </c>
      <c r="S533" t="s">
        <v>71</v>
      </c>
      <c r="T533">
        <v>0</v>
      </c>
      <c r="U533" t="s">
        <v>71</v>
      </c>
      <c r="V533">
        <v>0</v>
      </c>
      <c r="W533" t="s">
        <v>71</v>
      </c>
      <c r="X533">
        <v>0</v>
      </c>
      <c r="Y533">
        <v>0.24635000000000001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21</v>
      </c>
      <c r="AF533">
        <v>29</v>
      </c>
      <c r="AG533">
        <v>29</v>
      </c>
      <c r="AH533">
        <v>0</v>
      </c>
      <c r="AI533">
        <v>4.2999999999999997E-2</v>
      </c>
      <c r="AK533" t="s">
        <v>100</v>
      </c>
      <c r="AM533">
        <v>200000</v>
      </c>
      <c r="AN533" t="s">
        <v>97</v>
      </c>
      <c r="AO533">
        <v>1</v>
      </c>
      <c r="AP533">
        <v>0</v>
      </c>
      <c r="AQ533">
        <v>16666.666666666668</v>
      </c>
      <c r="AR533" t="s">
        <v>1819</v>
      </c>
      <c r="AS533" t="s">
        <v>75</v>
      </c>
      <c r="AX533" t="s">
        <v>76</v>
      </c>
      <c r="AY533" t="s">
        <v>71</v>
      </c>
      <c r="AZ533">
        <v>0</v>
      </c>
      <c r="BA533" t="s">
        <v>71</v>
      </c>
      <c r="BB533">
        <v>0</v>
      </c>
      <c r="BD533">
        <v>0.24635000000000001</v>
      </c>
    </row>
    <row r="534" spans="1:56" x14ac:dyDescent="0.15">
      <c r="A534" s="4" t="str">
        <f>HYPERLINK("https://ibp.a2mac1.com/costing(costing:projects/details/9760/part/8411704)","Level Cap")</f>
        <v>Level Cap</v>
      </c>
      <c r="B534">
        <v>8411704</v>
      </c>
      <c r="C534">
        <v>8411659</v>
      </c>
      <c r="D534" t="s">
        <v>1818</v>
      </c>
      <c r="E534">
        <v>0.16880999999999999</v>
      </c>
      <c r="F534">
        <v>0</v>
      </c>
      <c r="G534">
        <v>0</v>
      </c>
      <c r="H534">
        <v>0</v>
      </c>
      <c r="I534" t="s">
        <v>71</v>
      </c>
      <c r="J534">
        <v>0</v>
      </c>
      <c r="K534">
        <v>0.16880999999999999</v>
      </c>
      <c r="L534">
        <v>0</v>
      </c>
      <c r="M534">
        <v>0</v>
      </c>
      <c r="N534">
        <v>0.16880999999999999</v>
      </c>
      <c r="O534" t="s">
        <v>71</v>
      </c>
      <c r="P534">
        <v>0</v>
      </c>
      <c r="Q534" t="s">
        <v>71</v>
      </c>
      <c r="R534">
        <v>0</v>
      </c>
      <c r="S534" t="s">
        <v>71</v>
      </c>
      <c r="T534">
        <v>0</v>
      </c>
      <c r="U534" t="s">
        <v>71</v>
      </c>
      <c r="V534">
        <v>0</v>
      </c>
      <c r="W534" t="s">
        <v>71</v>
      </c>
      <c r="X534">
        <v>0</v>
      </c>
      <c r="Y534">
        <v>0.16880999999999999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17</v>
      </c>
      <c r="AF534">
        <v>25</v>
      </c>
      <c r="AG534">
        <v>25</v>
      </c>
      <c r="AH534">
        <v>0</v>
      </c>
      <c r="AI534">
        <v>2.8000000000000001E-2</v>
      </c>
      <c r="AK534" t="s">
        <v>100</v>
      </c>
      <c r="AM534">
        <v>200000</v>
      </c>
      <c r="AN534" t="s">
        <v>97</v>
      </c>
      <c r="AO534">
        <v>1</v>
      </c>
      <c r="AP534">
        <v>0</v>
      </c>
      <c r="AQ534">
        <v>16666.666666666668</v>
      </c>
      <c r="AR534" t="s">
        <v>1820</v>
      </c>
      <c r="AS534" t="s">
        <v>75</v>
      </c>
      <c r="AX534" t="s">
        <v>76</v>
      </c>
      <c r="AY534" t="s">
        <v>71</v>
      </c>
      <c r="AZ534">
        <v>0</v>
      </c>
      <c r="BA534" t="s">
        <v>71</v>
      </c>
      <c r="BB534">
        <v>0</v>
      </c>
      <c r="BD534">
        <v>0.16880999999999999</v>
      </c>
    </row>
    <row r="535" spans="1:56" x14ac:dyDescent="0.15">
      <c r="A535" s="4" t="str">
        <f>HYPERLINK("https://ibp.a2mac1.com/costing(costing:projects/details/9760/part/8411705)","Magnet")</f>
        <v>Magnet</v>
      </c>
      <c r="B535">
        <v>8411705</v>
      </c>
      <c r="C535">
        <v>8411659</v>
      </c>
      <c r="D535" t="s">
        <v>1821</v>
      </c>
      <c r="E535">
        <v>0.36899999999999999</v>
      </c>
      <c r="F535">
        <v>0</v>
      </c>
      <c r="G535">
        <v>0</v>
      </c>
      <c r="H535">
        <v>0</v>
      </c>
      <c r="I535" t="s">
        <v>71</v>
      </c>
      <c r="J535">
        <v>0</v>
      </c>
      <c r="K535">
        <v>0.36899999999999999</v>
      </c>
      <c r="L535">
        <v>0</v>
      </c>
      <c r="M535">
        <v>0</v>
      </c>
      <c r="N535">
        <v>0.36899999999999999</v>
      </c>
      <c r="O535" t="s">
        <v>71</v>
      </c>
      <c r="P535">
        <v>0</v>
      </c>
      <c r="Q535" t="s">
        <v>71</v>
      </c>
      <c r="R535">
        <v>0</v>
      </c>
      <c r="S535" t="s">
        <v>71</v>
      </c>
      <c r="T535">
        <v>0</v>
      </c>
      <c r="U535" t="s">
        <v>71</v>
      </c>
      <c r="V535">
        <v>0</v>
      </c>
      <c r="W535" t="s">
        <v>71</v>
      </c>
      <c r="X535">
        <v>0</v>
      </c>
      <c r="Y535">
        <v>0.36899999999999999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25</v>
      </c>
      <c r="AF535">
        <v>40</v>
      </c>
      <c r="AG535">
        <v>6</v>
      </c>
      <c r="AH535">
        <v>0</v>
      </c>
      <c r="AI535">
        <v>0.03</v>
      </c>
      <c r="AK535" t="s">
        <v>100</v>
      </c>
      <c r="AM535">
        <v>200000</v>
      </c>
      <c r="AN535" t="s">
        <v>97</v>
      </c>
      <c r="AO535">
        <v>1</v>
      </c>
      <c r="AP535">
        <v>0</v>
      </c>
      <c r="AQ535">
        <v>16666.666666666668</v>
      </c>
      <c r="AR535" t="s">
        <v>1822</v>
      </c>
      <c r="AS535" t="s">
        <v>75</v>
      </c>
      <c r="AX535" t="s">
        <v>76</v>
      </c>
      <c r="AY535" t="s">
        <v>71</v>
      </c>
      <c r="AZ535">
        <v>0</v>
      </c>
      <c r="BA535" t="s">
        <v>71</v>
      </c>
      <c r="BB535">
        <v>0</v>
      </c>
      <c r="BD535">
        <v>0.36899999999999999</v>
      </c>
    </row>
    <row r="536" spans="1:56" x14ac:dyDescent="0.15">
      <c r="A536" s="4" t="str">
        <f>HYPERLINK("https://ibp.a2mac1.com/costing(costing:projects/details/9760/part/8411706)","Lubrication Screen")</f>
        <v>Lubrication Screen</v>
      </c>
      <c r="B536">
        <v>8411706</v>
      </c>
      <c r="C536">
        <v>8411659</v>
      </c>
      <c r="D536" t="s">
        <v>1823</v>
      </c>
      <c r="E536">
        <v>0.24989</v>
      </c>
      <c r="F536">
        <v>0</v>
      </c>
      <c r="G536">
        <v>0</v>
      </c>
      <c r="H536">
        <v>0</v>
      </c>
      <c r="I536" t="s">
        <v>71</v>
      </c>
      <c r="J536">
        <v>0</v>
      </c>
      <c r="K536">
        <v>0.24989</v>
      </c>
      <c r="L536">
        <v>0</v>
      </c>
      <c r="M536">
        <v>0</v>
      </c>
      <c r="N536">
        <v>0.24989</v>
      </c>
      <c r="O536" t="s">
        <v>71</v>
      </c>
      <c r="P536">
        <v>0</v>
      </c>
      <c r="Q536" t="s">
        <v>71</v>
      </c>
      <c r="R536">
        <v>0</v>
      </c>
      <c r="S536" t="s">
        <v>71</v>
      </c>
      <c r="T536">
        <v>0</v>
      </c>
      <c r="U536" t="s">
        <v>71</v>
      </c>
      <c r="V536">
        <v>0</v>
      </c>
      <c r="W536" t="s">
        <v>71</v>
      </c>
      <c r="X536">
        <v>0</v>
      </c>
      <c r="Y536">
        <v>0.24989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26</v>
      </c>
      <c r="AF536">
        <v>26</v>
      </c>
      <c r="AG536">
        <v>70</v>
      </c>
      <c r="AH536">
        <v>0</v>
      </c>
      <c r="AI536">
        <v>1.7000000000000001E-2</v>
      </c>
      <c r="AK536" t="s">
        <v>100</v>
      </c>
      <c r="AM536">
        <v>200000</v>
      </c>
      <c r="AN536" t="s">
        <v>97</v>
      </c>
      <c r="AO536">
        <v>1</v>
      </c>
      <c r="AP536">
        <v>0</v>
      </c>
      <c r="AQ536">
        <v>16666.666666666668</v>
      </c>
      <c r="AR536" t="s">
        <v>1824</v>
      </c>
      <c r="AS536" t="s">
        <v>75</v>
      </c>
      <c r="AX536" t="s">
        <v>76</v>
      </c>
      <c r="AY536" t="s">
        <v>71</v>
      </c>
      <c r="AZ536">
        <v>0</v>
      </c>
      <c r="BA536" t="s">
        <v>71</v>
      </c>
      <c r="BB536">
        <v>0</v>
      </c>
      <c r="BD536">
        <v>0.24989</v>
      </c>
    </row>
    <row r="537" spans="1:56" x14ac:dyDescent="0.15">
      <c r="A537" s="4" t="str">
        <f>HYPERLINK("https://ibp.a2mac1.com/costing(costing:projects/details/9760/part/8411707)","2nd Lubrication Screen")</f>
        <v>2nd Lubrication Screen</v>
      </c>
      <c r="B537">
        <v>8411707</v>
      </c>
      <c r="C537">
        <v>8411659</v>
      </c>
      <c r="D537" t="s">
        <v>1825</v>
      </c>
      <c r="E537">
        <v>0.19123000000000001</v>
      </c>
      <c r="F537">
        <v>0</v>
      </c>
      <c r="G537">
        <v>0</v>
      </c>
      <c r="H537">
        <v>0</v>
      </c>
      <c r="I537" t="s">
        <v>71</v>
      </c>
      <c r="J537">
        <v>0</v>
      </c>
      <c r="K537">
        <v>0.19123000000000001</v>
      </c>
      <c r="L537">
        <v>0</v>
      </c>
      <c r="M537">
        <v>0</v>
      </c>
      <c r="N537">
        <v>0.19123000000000001</v>
      </c>
      <c r="O537" t="s">
        <v>71</v>
      </c>
      <c r="P537">
        <v>0</v>
      </c>
      <c r="Q537" t="s">
        <v>71</v>
      </c>
      <c r="R537">
        <v>0</v>
      </c>
      <c r="S537" t="s">
        <v>71</v>
      </c>
      <c r="T537">
        <v>0</v>
      </c>
      <c r="U537" t="s">
        <v>71</v>
      </c>
      <c r="V537">
        <v>0</v>
      </c>
      <c r="W537" t="s">
        <v>71</v>
      </c>
      <c r="X537">
        <v>0</v>
      </c>
      <c r="Y537">
        <v>0.19123000000000001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27</v>
      </c>
      <c r="AF537">
        <v>25</v>
      </c>
      <c r="AG537">
        <v>62</v>
      </c>
      <c r="AH537">
        <v>0</v>
      </c>
      <c r="AI537">
        <v>0.01</v>
      </c>
      <c r="AK537" t="s">
        <v>100</v>
      </c>
      <c r="AM537">
        <v>200000</v>
      </c>
      <c r="AN537" t="s">
        <v>97</v>
      </c>
      <c r="AO537">
        <v>1</v>
      </c>
      <c r="AP537">
        <v>0</v>
      </c>
      <c r="AQ537">
        <v>16666.666666666668</v>
      </c>
      <c r="AR537" t="s">
        <v>1826</v>
      </c>
      <c r="AS537" t="s">
        <v>75</v>
      </c>
      <c r="AX537" t="s">
        <v>76</v>
      </c>
      <c r="AY537" t="s">
        <v>71</v>
      </c>
      <c r="AZ537">
        <v>0</v>
      </c>
      <c r="BA537" t="s">
        <v>71</v>
      </c>
      <c r="BB537">
        <v>0</v>
      </c>
      <c r="BD537">
        <v>0.19123000000000001</v>
      </c>
    </row>
    <row r="538" spans="1:56" x14ac:dyDescent="0.15">
      <c r="A538" s="4" t="str">
        <f>HYPERLINK("https://ibp.a2mac1.com/costing(costing:projects/details/9760/part/8411708)","Oil Gutter")</f>
        <v>Oil Gutter</v>
      </c>
      <c r="B538">
        <v>8411708</v>
      </c>
      <c r="C538">
        <v>8411659</v>
      </c>
      <c r="D538" t="s">
        <v>1827</v>
      </c>
      <c r="E538">
        <v>0.41194999999999998</v>
      </c>
      <c r="F538">
        <v>0</v>
      </c>
      <c r="G538">
        <v>0</v>
      </c>
      <c r="H538">
        <v>0</v>
      </c>
      <c r="I538" t="s">
        <v>71</v>
      </c>
      <c r="J538">
        <v>0</v>
      </c>
      <c r="K538">
        <v>0.41194999999999998</v>
      </c>
      <c r="L538">
        <v>0</v>
      </c>
      <c r="M538">
        <v>0</v>
      </c>
      <c r="N538">
        <v>0.41194999999999998</v>
      </c>
      <c r="O538" t="s">
        <v>71</v>
      </c>
      <c r="P538">
        <v>0</v>
      </c>
      <c r="Q538" t="s">
        <v>71</v>
      </c>
      <c r="R538">
        <v>0</v>
      </c>
      <c r="S538" t="s">
        <v>71</v>
      </c>
      <c r="T538">
        <v>0</v>
      </c>
      <c r="U538" t="s">
        <v>71</v>
      </c>
      <c r="V538">
        <v>0</v>
      </c>
      <c r="W538" t="s">
        <v>71</v>
      </c>
      <c r="X538">
        <v>0</v>
      </c>
      <c r="Y538">
        <v>0.41194999999999998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12</v>
      </c>
      <c r="AF538">
        <v>72</v>
      </c>
      <c r="AG538">
        <v>172</v>
      </c>
      <c r="AH538">
        <v>0</v>
      </c>
      <c r="AI538">
        <v>0.03</v>
      </c>
      <c r="AK538" t="s">
        <v>100</v>
      </c>
      <c r="AM538">
        <v>200000</v>
      </c>
      <c r="AN538" t="s">
        <v>97</v>
      </c>
      <c r="AO538">
        <v>1</v>
      </c>
      <c r="AP538">
        <v>0</v>
      </c>
      <c r="AQ538">
        <v>16666.666666666668</v>
      </c>
      <c r="AR538" t="s">
        <v>1828</v>
      </c>
      <c r="AS538" t="s">
        <v>75</v>
      </c>
      <c r="AX538" t="s">
        <v>76</v>
      </c>
      <c r="AY538" t="s">
        <v>71</v>
      </c>
      <c r="AZ538">
        <v>0</v>
      </c>
      <c r="BA538" t="s">
        <v>71</v>
      </c>
      <c r="BB538">
        <v>0</v>
      </c>
      <c r="BD538">
        <v>0.41194999999999998</v>
      </c>
    </row>
    <row r="539" spans="1:56" x14ac:dyDescent="0.15">
      <c r="A539" s="4" t="str">
        <f>HYPERLINK("https://ibp.a2mac1.com/costing(costing:projects/details/9760/part/8411709)","2nd Oil Gutter")</f>
        <v>2nd Oil Gutter</v>
      </c>
      <c r="B539">
        <v>8411709</v>
      </c>
      <c r="C539">
        <v>8411659</v>
      </c>
      <c r="D539" t="s">
        <v>1827</v>
      </c>
      <c r="E539">
        <v>0.62014000000000002</v>
      </c>
      <c r="F539">
        <v>0</v>
      </c>
      <c r="G539">
        <v>0</v>
      </c>
      <c r="H539">
        <v>0</v>
      </c>
      <c r="I539" t="s">
        <v>71</v>
      </c>
      <c r="J539">
        <v>0</v>
      </c>
      <c r="K539">
        <v>0.62014000000000002</v>
      </c>
      <c r="L539">
        <v>0</v>
      </c>
      <c r="M539">
        <v>0</v>
      </c>
      <c r="N539">
        <v>0.62014000000000002</v>
      </c>
      <c r="O539" t="s">
        <v>71</v>
      </c>
      <c r="P539">
        <v>0</v>
      </c>
      <c r="Q539" t="s">
        <v>71</v>
      </c>
      <c r="R539">
        <v>0</v>
      </c>
      <c r="S539" t="s">
        <v>71</v>
      </c>
      <c r="T539">
        <v>0</v>
      </c>
      <c r="U539" t="s">
        <v>71</v>
      </c>
      <c r="V539">
        <v>0</v>
      </c>
      <c r="W539" t="s">
        <v>71</v>
      </c>
      <c r="X539">
        <v>0</v>
      </c>
      <c r="Y539">
        <v>0.62014000000000002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38</v>
      </c>
      <c r="AF539">
        <v>134</v>
      </c>
      <c r="AG539">
        <v>158</v>
      </c>
      <c r="AH539">
        <v>0</v>
      </c>
      <c r="AI539">
        <v>5.8000000000000003E-2</v>
      </c>
      <c r="AK539" t="s">
        <v>100</v>
      </c>
      <c r="AM539">
        <v>200000</v>
      </c>
      <c r="AN539" t="s">
        <v>97</v>
      </c>
      <c r="AO539">
        <v>1</v>
      </c>
      <c r="AP539">
        <v>0</v>
      </c>
      <c r="AQ539">
        <v>16666.666666666668</v>
      </c>
      <c r="AR539" t="s">
        <v>1829</v>
      </c>
      <c r="AS539" t="s">
        <v>75</v>
      </c>
      <c r="AX539" t="s">
        <v>76</v>
      </c>
      <c r="AY539" t="s">
        <v>71</v>
      </c>
      <c r="AZ539">
        <v>0</v>
      </c>
      <c r="BA539" t="s">
        <v>71</v>
      </c>
      <c r="BB539">
        <v>0</v>
      </c>
      <c r="BD539">
        <v>0.62014000000000002</v>
      </c>
    </row>
    <row r="540" spans="1:56" x14ac:dyDescent="0.15">
      <c r="A540" s="4" t="str">
        <f>HYPERLINK("https://ibp.a2mac1.com/costing(costing:projects/details/9760/part/8411710)","Oil Pump")</f>
        <v>Oil Pump</v>
      </c>
      <c r="B540">
        <v>8411710</v>
      </c>
      <c r="C540">
        <v>8411659</v>
      </c>
      <c r="D540" t="s">
        <v>1830</v>
      </c>
      <c r="E540">
        <v>28.58</v>
      </c>
      <c r="F540">
        <v>0</v>
      </c>
      <c r="G540">
        <v>0</v>
      </c>
      <c r="H540">
        <v>0</v>
      </c>
      <c r="I540" t="s">
        <v>71</v>
      </c>
      <c r="J540">
        <v>0</v>
      </c>
      <c r="K540">
        <v>28.58</v>
      </c>
      <c r="L540">
        <v>0</v>
      </c>
      <c r="M540">
        <v>0</v>
      </c>
      <c r="N540">
        <v>28.58</v>
      </c>
      <c r="O540" t="s">
        <v>71</v>
      </c>
      <c r="P540">
        <v>0</v>
      </c>
      <c r="Q540" t="s">
        <v>71</v>
      </c>
      <c r="R540">
        <v>0</v>
      </c>
      <c r="S540" t="s">
        <v>71</v>
      </c>
      <c r="T540">
        <v>0</v>
      </c>
      <c r="U540" t="s">
        <v>71</v>
      </c>
      <c r="V540">
        <v>0</v>
      </c>
      <c r="W540" t="s">
        <v>71</v>
      </c>
      <c r="X540">
        <v>0</v>
      </c>
      <c r="Y540">
        <v>28.58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110</v>
      </c>
      <c r="AF540">
        <v>98</v>
      </c>
      <c r="AG540">
        <v>78</v>
      </c>
      <c r="AH540">
        <v>0</v>
      </c>
      <c r="AI540">
        <v>0.73699999999999999</v>
      </c>
      <c r="AK540" t="s">
        <v>95</v>
      </c>
      <c r="AM540">
        <v>200000</v>
      </c>
      <c r="AN540" t="s">
        <v>97</v>
      </c>
      <c r="AO540">
        <v>1</v>
      </c>
      <c r="AP540">
        <v>0</v>
      </c>
      <c r="AQ540">
        <v>16666.666666666668</v>
      </c>
      <c r="AR540" t="s">
        <v>1831</v>
      </c>
      <c r="AS540" t="s">
        <v>75</v>
      </c>
      <c r="AX540" t="s">
        <v>76</v>
      </c>
      <c r="AY540" t="s">
        <v>71</v>
      </c>
      <c r="AZ540">
        <v>0</v>
      </c>
      <c r="BA540" t="s">
        <v>71</v>
      </c>
      <c r="BB540">
        <v>0</v>
      </c>
      <c r="BD540">
        <v>28.58</v>
      </c>
    </row>
    <row r="541" spans="1:56" x14ac:dyDescent="0.15">
      <c r="A541" s="4" t="str">
        <f>HYPERLINK("https://ibp.a2mac1.com/costing(costing:projects/details/9760/part/8411711)","Oil Strainer")</f>
        <v>Oil Strainer</v>
      </c>
      <c r="B541">
        <v>8411711</v>
      </c>
      <c r="C541">
        <v>8411659</v>
      </c>
      <c r="D541" t="s">
        <v>1832</v>
      </c>
      <c r="E541">
        <v>1.00675</v>
      </c>
      <c r="F541">
        <v>0</v>
      </c>
      <c r="G541">
        <v>0</v>
      </c>
      <c r="H541">
        <v>0</v>
      </c>
      <c r="I541" t="s">
        <v>71</v>
      </c>
      <c r="J541">
        <v>0</v>
      </c>
      <c r="K541">
        <v>1.00675</v>
      </c>
      <c r="L541">
        <v>0</v>
      </c>
      <c r="M541">
        <v>0</v>
      </c>
      <c r="N541">
        <v>1.00675</v>
      </c>
      <c r="O541" t="s">
        <v>71</v>
      </c>
      <c r="P541">
        <v>0</v>
      </c>
      <c r="Q541" t="s">
        <v>71</v>
      </c>
      <c r="R541">
        <v>0</v>
      </c>
      <c r="S541" t="s">
        <v>71</v>
      </c>
      <c r="T541">
        <v>0</v>
      </c>
      <c r="U541" t="s">
        <v>71</v>
      </c>
      <c r="V541">
        <v>0</v>
      </c>
      <c r="W541" t="s">
        <v>71</v>
      </c>
      <c r="X541">
        <v>0</v>
      </c>
      <c r="Y541">
        <v>1.00675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64</v>
      </c>
      <c r="AF541">
        <v>103</v>
      </c>
      <c r="AG541">
        <v>48</v>
      </c>
      <c r="AH541">
        <v>0</v>
      </c>
      <c r="AI541">
        <v>5.7000000000000002E-2</v>
      </c>
      <c r="AK541" t="s">
        <v>100</v>
      </c>
      <c r="AM541">
        <v>200000</v>
      </c>
      <c r="AN541" t="s">
        <v>97</v>
      </c>
      <c r="AO541">
        <v>1</v>
      </c>
      <c r="AP541">
        <v>0</v>
      </c>
      <c r="AQ541">
        <v>16666.666666666668</v>
      </c>
      <c r="AR541" t="s">
        <v>1833</v>
      </c>
      <c r="AS541" t="s">
        <v>75</v>
      </c>
      <c r="AX541" t="s">
        <v>76</v>
      </c>
      <c r="AY541" t="s">
        <v>71</v>
      </c>
      <c r="AZ541">
        <v>0</v>
      </c>
      <c r="BA541" t="s">
        <v>71</v>
      </c>
      <c r="BB541">
        <v>0</v>
      </c>
      <c r="BD541">
        <v>1.00675</v>
      </c>
    </row>
    <row r="542" spans="1:56" x14ac:dyDescent="0.15">
      <c r="A542" s="4" t="str">
        <f>HYPERLINK("https://ibp.a2mac1.com/costing(costing:projects/details/9760/part/8411753)","Left")</f>
        <v>Left</v>
      </c>
      <c r="B542">
        <v>8411753</v>
      </c>
      <c r="C542">
        <v>8411714</v>
      </c>
      <c r="D542" t="s">
        <v>1837</v>
      </c>
      <c r="E542">
        <v>2.7117</v>
      </c>
      <c r="F542">
        <v>0</v>
      </c>
      <c r="G542">
        <v>0</v>
      </c>
      <c r="H542">
        <v>0</v>
      </c>
      <c r="I542" t="s">
        <v>71</v>
      </c>
      <c r="J542">
        <v>0</v>
      </c>
      <c r="K542">
        <v>2.7117</v>
      </c>
      <c r="L542">
        <v>0</v>
      </c>
      <c r="M542">
        <v>0</v>
      </c>
      <c r="N542">
        <v>2.7117</v>
      </c>
      <c r="O542" t="s">
        <v>71</v>
      </c>
      <c r="P542">
        <v>0</v>
      </c>
      <c r="Q542" t="s">
        <v>71</v>
      </c>
      <c r="R542">
        <v>0</v>
      </c>
      <c r="S542" t="s">
        <v>71</v>
      </c>
      <c r="T542">
        <v>0</v>
      </c>
      <c r="U542" t="s">
        <v>71</v>
      </c>
      <c r="V542">
        <v>0</v>
      </c>
      <c r="W542" t="s">
        <v>71</v>
      </c>
      <c r="X542">
        <v>0</v>
      </c>
      <c r="Y542">
        <v>2.7117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14</v>
      </c>
      <c r="AF542">
        <v>55</v>
      </c>
      <c r="AG542">
        <v>55</v>
      </c>
      <c r="AH542">
        <v>0</v>
      </c>
      <c r="AI542">
        <v>1.9E-2</v>
      </c>
      <c r="AK542" t="s">
        <v>100</v>
      </c>
      <c r="AM542">
        <v>200000</v>
      </c>
      <c r="AN542" t="s">
        <v>97</v>
      </c>
      <c r="AO542">
        <v>1</v>
      </c>
      <c r="AP542">
        <v>0</v>
      </c>
      <c r="AQ542">
        <v>16666.666666666668</v>
      </c>
      <c r="AR542" t="s">
        <v>1838</v>
      </c>
      <c r="AS542" t="s">
        <v>75</v>
      </c>
      <c r="AX542" t="s">
        <v>76</v>
      </c>
      <c r="AY542" t="s">
        <v>71</v>
      </c>
      <c r="AZ542">
        <v>0</v>
      </c>
      <c r="BA542" t="s">
        <v>71</v>
      </c>
      <c r="BB542">
        <v>0</v>
      </c>
      <c r="BD542">
        <v>2.7117</v>
      </c>
    </row>
    <row r="543" spans="1:56" x14ac:dyDescent="0.15">
      <c r="A543" s="4" t="str">
        <f>HYPERLINK("https://ibp.a2mac1.com/costing(costing:projects/details/9760/part/8411754)","Right")</f>
        <v>Right</v>
      </c>
      <c r="B543">
        <v>8411754</v>
      </c>
      <c r="C543">
        <v>8411714</v>
      </c>
      <c r="D543" t="s">
        <v>1837</v>
      </c>
      <c r="E543">
        <v>2.7117</v>
      </c>
      <c r="F543">
        <v>0</v>
      </c>
      <c r="G543">
        <v>0</v>
      </c>
      <c r="H543">
        <v>0</v>
      </c>
      <c r="I543" t="s">
        <v>71</v>
      </c>
      <c r="J543">
        <v>0</v>
      </c>
      <c r="K543">
        <v>2.7117</v>
      </c>
      <c r="L543">
        <v>0</v>
      </c>
      <c r="M543">
        <v>0</v>
      </c>
      <c r="N543">
        <v>2.7117</v>
      </c>
      <c r="O543" t="s">
        <v>71</v>
      </c>
      <c r="P543">
        <v>0</v>
      </c>
      <c r="Q543" t="s">
        <v>71</v>
      </c>
      <c r="R543">
        <v>0</v>
      </c>
      <c r="S543" t="s">
        <v>71</v>
      </c>
      <c r="T543">
        <v>0</v>
      </c>
      <c r="U543" t="s">
        <v>71</v>
      </c>
      <c r="V543">
        <v>0</v>
      </c>
      <c r="W543" t="s">
        <v>71</v>
      </c>
      <c r="X543">
        <v>0</v>
      </c>
      <c r="Y543">
        <v>2.7117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14</v>
      </c>
      <c r="AF543">
        <v>55</v>
      </c>
      <c r="AG543">
        <v>55</v>
      </c>
      <c r="AH543">
        <v>0</v>
      </c>
      <c r="AI543">
        <v>1.9E-2</v>
      </c>
      <c r="AK543" t="s">
        <v>100</v>
      </c>
      <c r="AM543">
        <v>200000</v>
      </c>
      <c r="AN543" t="s">
        <v>97</v>
      </c>
      <c r="AO543">
        <v>1</v>
      </c>
      <c r="AP543">
        <v>0</v>
      </c>
      <c r="AQ543">
        <v>16666.666666666668</v>
      </c>
      <c r="AR543" t="s">
        <v>1839</v>
      </c>
      <c r="AS543" t="s">
        <v>75</v>
      </c>
      <c r="AX543" t="s">
        <v>76</v>
      </c>
      <c r="AY543" t="s">
        <v>71</v>
      </c>
      <c r="AZ543">
        <v>0</v>
      </c>
      <c r="BA543" t="s">
        <v>71</v>
      </c>
      <c r="BB543">
        <v>0</v>
      </c>
      <c r="BD543">
        <v>2.7117</v>
      </c>
    </row>
    <row r="544" spans="1:56" x14ac:dyDescent="0.15">
      <c r="A544" s="4" t="str">
        <f>HYPERLINK("https://ibp.a2mac1.com/costing(costing:projects/details/9760/part/8411712)","Main Housing")</f>
        <v>Main Housing</v>
      </c>
      <c r="B544">
        <v>8411712</v>
      </c>
      <c r="C544">
        <v>8411660</v>
      </c>
      <c r="D544" t="s">
        <v>1846</v>
      </c>
      <c r="E544">
        <v>11.249107647162459</v>
      </c>
      <c r="F544">
        <v>0</v>
      </c>
      <c r="G544">
        <v>0</v>
      </c>
      <c r="H544">
        <v>2.3115396377607026E-4</v>
      </c>
      <c r="I544" t="s">
        <v>176</v>
      </c>
      <c r="J544">
        <v>0.40451943660812295</v>
      </c>
      <c r="K544">
        <v>11.653858237734358</v>
      </c>
      <c r="L544">
        <v>0.66197453248968063</v>
      </c>
      <c r="M544">
        <v>3.9718471949380838</v>
      </c>
      <c r="N544">
        <v>15.625705432672442</v>
      </c>
      <c r="O544" t="s">
        <v>177</v>
      </c>
      <c r="P544">
        <v>0.6992314942640615</v>
      </c>
      <c r="Q544" t="s">
        <v>177</v>
      </c>
      <c r="R544">
        <v>0.23831083169628503</v>
      </c>
      <c r="S544" t="s">
        <v>178</v>
      </c>
      <c r="T544">
        <v>1.875084651920693</v>
      </c>
      <c r="U544" t="s">
        <v>90</v>
      </c>
      <c r="V544">
        <v>0</v>
      </c>
      <c r="W544" t="s">
        <v>90</v>
      </c>
      <c r="X544">
        <v>0</v>
      </c>
      <c r="Y544">
        <v>18.438332410553482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415</v>
      </c>
      <c r="AF544">
        <v>118</v>
      </c>
      <c r="AG544">
        <v>270</v>
      </c>
      <c r="AH544">
        <v>0</v>
      </c>
      <c r="AI544">
        <v>4.3010000000000002</v>
      </c>
      <c r="AK544" t="s">
        <v>100</v>
      </c>
      <c r="AM544">
        <v>200000</v>
      </c>
      <c r="AN544" t="s">
        <v>97</v>
      </c>
      <c r="AO544">
        <v>1</v>
      </c>
      <c r="AP544">
        <v>0</v>
      </c>
      <c r="AQ544">
        <v>16666.666666666668</v>
      </c>
      <c r="AR544" t="s">
        <v>1847</v>
      </c>
      <c r="AS544" t="s">
        <v>75</v>
      </c>
      <c r="AX544" t="s">
        <v>76</v>
      </c>
      <c r="AY544" t="s">
        <v>176</v>
      </c>
      <c r="AZ544">
        <v>0</v>
      </c>
      <c r="BA544" t="s">
        <v>176</v>
      </c>
      <c r="BB544">
        <v>0</v>
      </c>
    </row>
    <row r="545" spans="1:56" x14ac:dyDescent="0.15">
      <c r="A545" s="4" t="str">
        <f>HYPERLINK("https://ibp.a2mac1.com/costing(costing:projects/details/9760/part/8411713)","End Protection")</f>
        <v>End Protection</v>
      </c>
      <c r="B545">
        <v>8411713</v>
      </c>
      <c r="C545">
        <v>8411660</v>
      </c>
      <c r="D545" t="s">
        <v>1848</v>
      </c>
      <c r="E545">
        <v>1.9161999999999999</v>
      </c>
      <c r="F545">
        <v>0</v>
      </c>
      <c r="G545">
        <v>0</v>
      </c>
      <c r="H545">
        <v>0</v>
      </c>
      <c r="I545" t="s">
        <v>71</v>
      </c>
      <c r="J545">
        <v>0</v>
      </c>
      <c r="K545">
        <v>1.9161999999999999</v>
      </c>
      <c r="L545">
        <v>0</v>
      </c>
      <c r="M545">
        <v>0</v>
      </c>
      <c r="N545">
        <v>1.9161999999999999</v>
      </c>
      <c r="O545" t="s">
        <v>71</v>
      </c>
      <c r="P545">
        <v>0</v>
      </c>
      <c r="Q545" t="s">
        <v>71</v>
      </c>
      <c r="R545">
        <v>0</v>
      </c>
      <c r="S545" t="s">
        <v>71</v>
      </c>
      <c r="T545">
        <v>0</v>
      </c>
      <c r="U545" t="s">
        <v>71</v>
      </c>
      <c r="V545">
        <v>0</v>
      </c>
      <c r="W545" t="s">
        <v>71</v>
      </c>
      <c r="X545">
        <v>0</v>
      </c>
      <c r="Y545">
        <v>1.9161999999999999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32</v>
      </c>
      <c r="AF545">
        <v>129</v>
      </c>
      <c r="AG545">
        <v>128</v>
      </c>
      <c r="AH545">
        <v>0</v>
      </c>
      <c r="AI545">
        <v>0.20799999999999999</v>
      </c>
      <c r="AK545" t="s">
        <v>100</v>
      </c>
      <c r="AM545">
        <v>200000</v>
      </c>
      <c r="AN545" t="s">
        <v>97</v>
      </c>
      <c r="AO545">
        <v>1</v>
      </c>
      <c r="AP545">
        <v>0</v>
      </c>
      <c r="AQ545">
        <v>16666.666666666668</v>
      </c>
      <c r="AR545" t="s">
        <v>1849</v>
      </c>
      <c r="AS545" t="s">
        <v>75</v>
      </c>
      <c r="AX545" t="s">
        <v>76</v>
      </c>
      <c r="AY545" t="s">
        <v>71</v>
      </c>
      <c r="AZ545">
        <v>0</v>
      </c>
      <c r="BA545" t="s">
        <v>71</v>
      </c>
      <c r="BB545">
        <v>0</v>
      </c>
      <c r="BD545">
        <v>1.9161999999999999</v>
      </c>
    </row>
    <row r="546" spans="1:56" x14ac:dyDescent="0.15">
      <c r="A546" s="4" t="str">
        <f>HYPERLINK("https://ibp.a2mac1.com/costing(costing:projects/details/9760/part/8411661)","Left Drive Shaft")</f>
        <v>Left Drive Shaft</v>
      </c>
      <c r="B546">
        <v>8411661</v>
      </c>
      <c r="C546">
        <v>8411653</v>
      </c>
      <c r="D546" t="s">
        <v>1857</v>
      </c>
      <c r="E546">
        <v>85.04</v>
      </c>
      <c r="F546">
        <v>0</v>
      </c>
      <c r="G546">
        <v>0</v>
      </c>
      <c r="H546">
        <v>0</v>
      </c>
      <c r="I546" t="s">
        <v>71</v>
      </c>
      <c r="J546">
        <v>0</v>
      </c>
      <c r="K546">
        <v>85.04</v>
      </c>
      <c r="L546">
        <v>0</v>
      </c>
      <c r="M546">
        <v>0</v>
      </c>
      <c r="N546">
        <v>85.04</v>
      </c>
      <c r="O546" t="s">
        <v>71</v>
      </c>
      <c r="P546">
        <v>0</v>
      </c>
      <c r="Q546" t="s">
        <v>71</v>
      </c>
      <c r="R546">
        <v>0</v>
      </c>
      <c r="S546" t="s">
        <v>71</v>
      </c>
      <c r="T546">
        <v>0</v>
      </c>
      <c r="U546" t="s">
        <v>71</v>
      </c>
      <c r="V546">
        <v>0</v>
      </c>
      <c r="W546" t="s">
        <v>71</v>
      </c>
      <c r="X546">
        <v>0</v>
      </c>
      <c r="Y546">
        <v>85.04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105</v>
      </c>
      <c r="AF546">
        <v>915</v>
      </c>
      <c r="AG546">
        <v>105</v>
      </c>
      <c r="AH546">
        <v>0</v>
      </c>
      <c r="AI546">
        <v>9.1050000000000004</v>
      </c>
      <c r="AK546" t="s">
        <v>95</v>
      </c>
      <c r="AM546">
        <v>200000</v>
      </c>
      <c r="AN546" t="s">
        <v>97</v>
      </c>
      <c r="AO546">
        <v>1</v>
      </c>
      <c r="AP546">
        <v>0</v>
      </c>
      <c r="AQ546">
        <v>16666.666666666668</v>
      </c>
      <c r="AR546" t="s">
        <v>1858</v>
      </c>
      <c r="AS546" t="s">
        <v>75</v>
      </c>
      <c r="AX546" t="s">
        <v>76</v>
      </c>
      <c r="AY546" t="s">
        <v>71</v>
      </c>
      <c r="AZ546">
        <v>0</v>
      </c>
      <c r="BA546" t="s">
        <v>71</v>
      </c>
      <c r="BB546">
        <v>0</v>
      </c>
      <c r="BD546">
        <v>85.04</v>
      </c>
    </row>
    <row r="547" spans="1:56" x14ac:dyDescent="0.15">
      <c r="A547" s="4" t="str">
        <f>HYPERLINK("https://ibp.a2mac1.com/costing(costing:projects/details/9760/part/8411662)","Right Drive Shaft")</f>
        <v>Right Drive Shaft</v>
      </c>
      <c r="B547">
        <v>8411662</v>
      </c>
      <c r="C547">
        <v>8411653</v>
      </c>
      <c r="D547" t="s">
        <v>1859</v>
      </c>
      <c r="E547">
        <v>72.739999999999995</v>
      </c>
      <c r="F547">
        <v>0</v>
      </c>
      <c r="G547">
        <v>0</v>
      </c>
      <c r="H547">
        <v>0</v>
      </c>
      <c r="I547" t="s">
        <v>71</v>
      </c>
      <c r="J547">
        <v>0</v>
      </c>
      <c r="K547">
        <v>72.739999999999995</v>
      </c>
      <c r="L547">
        <v>0</v>
      </c>
      <c r="M547">
        <v>0</v>
      </c>
      <c r="N547">
        <v>72.739999999999995</v>
      </c>
      <c r="O547" t="s">
        <v>71</v>
      </c>
      <c r="P547">
        <v>0</v>
      </c>
      <c r="Q547" t="s">
        <v>71</v>
      </c>
      <c r="R547">
        <v>0</v>
      </c>
      <c r="S547" t="s">
        <v>71</v>
      </c>
      <c r="T547">
        <v>0</v>
      </c>
      <c r="U547" t="s">
        <v>71</v>
      </c>
      <c r="V547">
        <v>0</v>
      </c>
      <c r="W547" t="s">
        <v>71</v>
      </c>
      <c r="X547">
        <v>0</v>
      </c>
      <c r="Y547">
        <v>72.739999999999995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105</v>
      </c>
      <c r="AF547">
        <v>710</v>
      </c>
      <c r="AG547">
        <v>105</v>
      </c>
      <c r="AH547">
        <v>0</v>
      </c>
      <c r="AI547">
        <v>7.3380000000000001</v>
      </c>
      <c r="AK547" t="s">
        <v>95</v>
      </c>
      <c r="AM547">
        <v>200000</v>
      </c>
      <c r="AN547" t="s">
        <v>97</v>
      </c>
      <c r="AO547">
        <v>1</v>
      </c>
      <c r="AP547">
        <v>0</v>
      </c>
      <c r="AQ547">
        <v>16666.666666666668</v>
      </c>
      <c r="AR547" t="s">
        <v>1860</v>
      </c>
      <c r="AS547" t="s">
        <v>75</v>
      </c>
      <c r="AX547" t="s">
        <v>76</v>
      </c>
      <c r="AY547" t="s">
        <v>71</v>
      </c>
      <c r="AZ547">
        <v>0</v>
      </c>
      <c r="BA547" t="s">
        <v>71</v>
      </c>
      <c r="BB547">
        <v>0</v>
      </c>
      <c r="BD547">
        <v>72.739999999999995</v>
      </c>
    </row>
    <row r="548" spans="1:56" x14ac:dyDescent="0.15">
      <c r="A548" s="4" t="str">
        <f>HYPERLINK("https://ibp.a2mac1.com/costing(costing:projects/details/9760/part/8411663)","Drive Shaft Support")</f>
        <v>Drive Shaft Support</v>
      </c>
      <c r="B548">
        <v>8411663</v>
      </c>
      <c r="C548">
        <v>8411653</v>
      </c>
      <c r="D548" t="s">
        <v>1846</v>
      </c>
      <c r="E548">
        <v>1.6426000000000001</v>
      </c>
      <c r="F548">
        <v>0</v>
      </c>
      <c r="G548">
        <v>0</v>
      </c>
      <c r="H548">
        <v>0</v>
      </c>
      <c r="I548" t="s">
        <v>71</v>
      </c>
      <c r="J548">
        <v>0</v>
      </c>
      <c r="K548">
        <v>1.6426000000000001</v>
      </c>
      <c r="L548">
        <v>0</v>
      </c>
      <c r="M548">
        <v>0</v>
      </c>
      <c r="N548">
        <v>1.6426000000000001</v>
      </c>
      <c r="O548" t="s">
        <v>71</v>
      </c>
      <c r="P548">
        <v>0</v>
      </c>
      <c r="Q548" t="s">
        <v>71</v>
      </c>
      <c r="R548">
        <v>0</v>
      </c>
      <c r="S548" t="s">
        <v>71</v>
      </c>
      <c r="T548">
        <v>0</v>
      </c>
      <c r="U548" t="s">
        <v>71</v>
      </c>
      <c r="V548">
        <v>0</v>
      </c>
      <c r="W548" t="s">
        <v>71</v>
      </c>
      <c r="X548">
        <v>0</v>
      </c>
      <c r="Y548">
        <v>1.6426000000000001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92</v>
      </c>
      <c r="AF548">
        <v>40</v>
      </c>
      <c r="AG548">
        <v>148</v>
      </c>
      <c r="AH548">
        <v>0</v>
      </c>
      <c r="AI548">
        <v>0.215</v>
      </c>
      <c r="AK548" t="s">
        <v>100</v>
      </c>
      <c r="AM548">
        <v>200000</v>
      </c>
      <c r="AN548" t="s">
        <v>97</v>
      </c>
      <c r="AO548">
        <v>1</v>
      </c>
      <c r="AP548">
        <v>0</v>
      </c>
      <c r="AQ548">
        <v>16666.666666666668</v>
      </c>
      <c r="AR548" t="s">
        <v>1861</v>
      </c>
      <c r="AS548" t="s">
        <v>75</v>
      </c>
      <c r="AX548" t="s">
        <v>76</v>
      </c>
      <c r="AY548" t="s">
        <v>71</v>
      </c>
      <c r="AZ548">
        <v>0</v>
      </c>
      <c r="BA548" t="s">
        <v>71</v>
      </c>
      <c r="BB548">
        <v>0</v>
      </c>
      <c r="BD548">
        <v>1.6426000000000001</v>
      </c>
    </row>
    <row r="549" spans="1:56" x14ac:dyDescent="0.15">
      <c r="A549" s="4" t="str">
        <f>HYPERLINK("https://ibp.a2mac1.com/costing(costing:projects/details/9760/part/8411664)","Dust Cover")</f>
        <v>Dust Cover</v>
      </c>
      <c r="B549">
        <v>8411664</v>
      </c>
      <c r="C549">
        <v>8411653</v>
      </c>
      <c r="D549" t="s">
        <v>1786</v>
      </c>
      <c r="E549">
        <v>0.34139999999999998</v>
      </c>
      <c r="F549">
        <v>0</v>
      </c>
      <c r="G549">
        <v>0</v>
      </c>
      <c r="H549">
        <v>0</v>
      </c>
      <c r="I549" t="s">
        <v>71</v>
      </c>
      <c r="J549">
        <v>0</v>
      </c>
      <c r="K549">
        <v>0.34139999999999998</v>
      </c>
      <c r="L549">
        <v>0</v>
      </c>
      <c r="M549">
        <v>0</v>
      </c>
      <c r="N549">
        <v>0.34139999999999998</v>
      </c>
      <c r="O549" t="s">
        <v>71</v>
      </c>
      <c r="P549">
        <v>0</v>
      </c>
      <c r="Q549" t="s">
        <v>71</v>
      </c>
      <c r="R549">
        <v>0</v>
      </c>
      <c r="S549" t="s">
        <v>71</v>
      </c>
      <c r="T549">
        <v>0</v>
      </c>
      <c r="U549" t="s">
        <v>71</v>
      </c>
      <c r="V549">
        <v>0</v>
      </c>
      <c r="W549" t="s">
        <v>71</v>
      </c>
      <c r="X549">
        <v>0</v>
      </c>
      <c r="Y549">
        <v>0.34139999999999998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6</v>
      </c>
      <c r="AF549">
        <v>64</v>
      </c>
      <c r="AG549">
        <v>64</v>
      </c>
      <c r="AH549">
        <v>0</v>
      </c>
      <c r="AI549">
        <v>1.7999999999999999E-2</v>
      </c>
      <c r="AK549" t="s">
        <v>100</v>
      </c>
      <c r="AM549">
        <v>200000</v>
      </c>
      <c r="AN549" t="s">
        <v>97</v>
      </c>
      <c r="AO549">
        <v>1</v>
      </c>
      <c r="AP549">
        <v>0</v>
      </c>
      <c r="AQ549">
        <v>16666.666666666668</v>
      </c>
      <c r="AR549" t="s">
        <v>1862</v>
      </c>
      <c r="AS549" t="s">
        <v>75</v>
      </c>
      <c r="AX549" t="s">
        <v>76</v>
      </c>
      <c r="AY549" t="s">
        <v>71</v>
      </c>
      <c r="AZ549">
        <v>0</v>
      </c>
      <c r="BA549" t="s">
        <v>71</v>
      </c>
      <c r="BB549">
        <v>0</v>
      </c>
      <c r="BD549">
        <v>0.34139999999999998</v>
      </c>
    </row>
    <row r="550" spans="1:56" x14ac:dyDescent="0.15">
      <c r="A550" s="4" t="str">
        <f>HYPERLINK("https://ibp.a2mac1.com/costing(costing:projects/details/9760/part/8411665)","2nd Dust Cover")</f>
        <v>2nd Dust Cover</v>
      </c>
      <c r="B550">
        <v>8411665</v>
      </c>
      <c r="C550">
        <v>8411653</v>
      </c>
      <c r="D550" t="s">
        <v>1786</v>
      </c>
      <c r="E550">
        <v>0.35139999999999999</v>
      </c>
      <c r="F550">
        <v>0</v>
      </c>
      <c r="G550">
        <v>0</v>
      </c>
      <c r="H550">
        <v>0</v>
      </c>
      <c r="I550" t="s">
        <v>71</v>
      </c>
      <c r="J550">
        <v>0</v>
      </c>
      <c r="K550">
        <v>0.35139999999999999</v>
      </c>
      <c r="L550">
        <v>0</v>
      </c>
      <c r="M550">
        <v>0</v>
      </c>
      <c r="N550">
        <v>0.35139999999999999</v>
      </c>
      <c r="O550" t="s">
        <v>71</v>
      </c>
      <c r="P550">
        <v>0</v>
      </c>
      <c r="Q550" t="s">
        <v>71</v>
      </c>
      <c r="R550">
        <v>0</v>
      </c>
      <c r="S550" t="s">
        <v>71</v>
      </c>
      <c r="T550">
        <v>0</v>
      </c>
      <c r="U550" t="s">
        <v>71</v>
      </c>
      <c r="V550">
        <v>0</v>
      </c>
      <c r="W550" t="s">
        <v>71</v>
      </c>
      <c r="X550">
        <v>0</v>
      </c>
      <c r="Y550">
        <v>0.35139999999999999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7</v>
      </c>
      <c r="AF550">
        <v>71</v>
      </c>
      <c r="AG550">
        <v>71</v>
      </c>
      <c r="AH550">
        <v>0</v>
      </c>
      <c r="AI550">
        <v>2.3E-2</v>
      </c>
      <c r="AK550" t="s">
        <v>100</v>
      </c>
      <c r="AM550">
        <v>200000</v>
      </c>
      <c r="AN550" t="s">
        <v>97</v>
      </c>
      <c r="AO550">
        <v>1</v>
      </c>
      <c r="AP550">
        <v>0</v>
      </c>
      <c r="AQ550">
        <v>16666.666666666668</v>
      </c>
      <c r="AR550" t="s">
        <v>1863</v>
      </c>
      <c r="AS550" t="s">
        <v>75</v>
      </c>
      <c r="AX550" t="s">
        <v>76</v>
      </c>
      <c r="AY550" t="s">
        <v>71</v>
      </c>
      <c r="AZ550">
        <v>0</v>
      </c>
      <c r="BA550" t="s">
        <v>71</v>
      </c>
      <c r="BB550">
        <v>0</v>
      </c>
      <c r="BD550">
        <v>0.35139999999999999</v>
      </c>
    </row>
    <row r="551" spans="1:56" x14ac:dyDescent="0.15">
      <c r="A551" s="4" t="str">
        <f>HYPERLINK("https://ibp.a2mac1.com/costing(costing:projects/details/9760/part/8411666)","Drive Shaft Protection")</f>
        <v>Drive Shaft Protection</v>
      </c>
      <c r="B551">
        <v>8411666</v>
      </c>
      <c r="C551">
        <v>8411653</v>
      </c>
      <c r="D551" t="s">
        <v>1786</v>
      </c>
      <c r="E551">
        <v>1.3218000000000001</v>
      </c>
      <c r="F551">
        <v>0</v>
      </c>
      <c r="G551">
        <v>0</v>
      </c>
      <c r="H551">
        <v>0</v>
      </c>
      <c r="I551" t="s">
        <v>71</v>
      </c>
      <c r="J551">
        <v>0</v>
      </c>
      <c r="K551">
        <v>1.3218000000000001</v>
      </c>
      <c r="L551">
        <v>0</v>
      </c>
      <c r="M551">
        <v>0</v>
      </c>
      <c r="N551">
        <v>1.3218000000000001</v>
      </c>
      <c r="O551" t="s">
        <v>71</v>
      </c>
      <c r="P551">
        <v>0</v>
      </c>
      <c r="Q551" t="s">
        <v>71</v>
      </c>
      <c r="R551">
        <v>0</v>
      </c>
      <c r="S551" t="s">
        <v>71</v>
      </c>
      <c r="T551">
        <v>0</v>
      </c>
      <c r="U551" t="s">
        <v>71</v>
      </c>
      <c r="V551">
        <v>0</v>
      </c>
      <c r="W551" t="s">
        <v>71</v>
      </c>
      <c r="X551">
        <v>0</v>
      </c>
      <c r="Y551">
        <v>1.3218000000000001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7</v>
      </c>
      <c r="AF551">
        <v>53</v>
      </c>
      <c r="AG551">
        <v>53</v>
      </c>
      <c r="AH551">
        <v>0</v>
      </c>
      <c r="AI551">
        <v>1.4999999999999999E-2</v>
      </c>
      <c r="AK551" t="s">
        <v>100</v>
      </c>
      <c r="AM551">
        <v>400000</v>
      </c>
      <c r="AN551" t="s">
        <v>97</v>
      </c>
      <c r="AO551">
        <v>2</v>
      </c>
      <c r="AP551">
        <v>0</v>
      </c>
      <c r="AQ551">
        <v>33333.333333333336</v>
      </c>
      <c r="AR551" t="s">
        <v>1864</v>
      </c>
      <c r="AS551" t="s">
        <v>75</v>
      </c>
      <c r="AX551" t="s">
        <v>76</v>
      </c>
      <c r="AY551" t="s">
        <v>71</v>
      </c>
      <c r="AZ551">
        <v>0</v>
      </c>
      <c r="BA551" t="s">
        <v>71</v>
      </c>
      <c r="BB551">
        <v>0</v>
      </c>
      <c r="BD551">
        <v>0.66090000000000004</v>
      </c>
    </row>
    <row r="552" spans="1:56" x14ac:dyDescent="0.15">
      <c r="A552" s="4" t="str">
        <f>HYPERLINK("https://ibp.a2mac1.com/costing(costing:projects/details/9760/part/8411667)","Bearing on Cardan")</f>
        <v>Bearing on Cardan</v>
      </c>
      <c r="B552">
        <v>8411667</v>
      </c>
      <c r="C552">
        <v>8411653</v>
      </c>
      <c r="D552" t="s">
        <v>1765</v>
      </c>
      <c r="E552">
        <v>5.8090000000000002</v>
      </c>
      <c r="F552">
        <v>0</v>
      </c>
      <c r="G552">
        <v>0</v>
      </c>
      <c r="H552">
        <v>0</v>
      </c>
      <c r="I552" t="s">
        <v>71</v>
      </c>
      <c r="J552">
        <v>0</v>
      </c>
      <c r="K552">
        <v>5.8090000000000002</v>
      </c>
      <c r="L552">
        <v>0</v>
      </c>
      <c r="M552">
        <v>0</v>
      </c>
      <c r="N552">
        <v>5.8090000000000002</v>
      </c>
      <c r="O552" t="s">
        <v>71</v>
      </c>
      <c r="P552">
        <v>0</v>
      </c>
      <c r="Q552" t="s">
        <v>71</v>
      </c>
      <c r="R552">
        <v>0</v>
      </c>
      <c r="S552" t="s">
        <v>71</v>
      </c>
      <c r="T552">
        <v>0</v>
      </c>
      <c r="U552" t="s">
        <v>71</v>
      </c>
      <c r="V552">
        <v>0</v>
      </c>
      <c r="W552" t="s">
        <v>71</v>
      </c>
      <c r="X552">
        <v>0</v>
      </c>
      <c r="Y552">
        <v>5.8090000000000002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25</v>
      </c>
      <c r="AF552">
        <v>72</v>
      </c>
      <c r="AG552">
        <v>72</v>
      </c>
      <c r="AH552">
        <v>0</v>
      </c>
      <c r="AI552">
        <v>0.379</v>
      </c>
      <c r="AK552" t="s">
        <v>100</v>
      </c>
      <c r="AM552">
        <v>200000</v>
      </c>
      <c r="AN552" t="s">
        <v>97</v>
      </c>
      <c r="AO552">
        <v>1</v>
      </c>
      <c r="AP552">
        <v>0</v>
      </c>
      <c r="AQ552">
        <v>16666.666666666668</v>
      </c>
      <c r="AR552" t="s">
        <v>1865</v>
      </c>
      <c r="AS552" t="s">
        <v>75</v>
      </c>
      <c r="AX552" t="s">
        <v>76</v>
      </c>
      <c r="AY552" t="s">
        <v>71</v>
      </c>
      <c r="AZ552">
        <v>0</v>
      </c>
      <c r="BA552" t="s">
        <v>71</v>
      </c>
      <c r="BB552">
        <v>0</v>
      </c>
      <c r="BD552">
        <v>5.8090000000000002</v>
      </c>
    </row>
    <row r="553" spans="1:56" x14ac:dyDescent="0.15">
      <c r="A553" s="4" t="str">
        <f>HYPERLINK("https://ibp.a2mac1.com/costing(costing:projects/details/9760/part/8411668)","Left and Right Drive shaft Lock nut-M16")</f>
        <v>Left and Right Drive shaft Lock nut-M16</v>
      </c>
      <c r="B553">
        <v>8411668</v>
      </c>
      <c r="C553">
        <v>8411653</v>
      </c>
      <c r="D553" t="s">
        <v>1866</v>
      </c>
      <c r="E553">
        <v>1.256</v>
      </c>
      <c r="F553">
        <v>0</v>
      </c>
      <c r="G553">
        <v>0</v>
      </c>
      <c r="H553">
        <v>0</v>
      </c>
      <c r="I553" t="s">
        <v>71</v>
      </c>
      <c r="J553">
        <v>0</v>
      </c>
      <c r="K553">
        <v>1.256</v>
      </c>
      <c r="L553">
        <v>0</v>
      </c>
      <c r="M553">
        <v>0</v>
      </c>
      <c r="N553">
        <v>1.256</v>
      </c>
      <c r="O553" t="s">
        <v>71</v>
      </c>
      <c r="P553">
        <v>0</v>
      </c>
      <c r="Q553" t="s">
        <v>71</v>
      </c>
      <c r="R553">
        <v>0</v>
      </c>
      <c r="S553" t="s">
        <v>71</v>
      </c>
      <c r="T553">
        <v>0</v>
      </c>
      <c r="U553" t="s">
        <v>71</v>
      </c>
      <c r="V553">
        <v>0</v>
      </c>
      <c r="W553" t="s">
        <v>71</v>
      </c>
      <c r="X553">
        <v>0</v>
      </c>
      <c r="Y553">
        <v>1.256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0.1</v>
      </c>
      <c r="AK553" t="s">
        <v>272</v>
      </c>
      <c r="AM553">
        <v>400000</v>
      </c>
      <c r="AN553" t="s">
        <v>97</v>
      </c>
      <c r="AO553">
        <v>2</v>
      </c>
      <c r="AP553">
        <v>0</v>
      </c>
      <c r="AQ553">
        <v>33333.333333333336</v>
      </c>
      <c r="AR553" t="s">
        <v>9</v>
      </c>
      <c r="AS553" t="s">
        <v>75</v>
      </c>
      <c r="AV553">
        <v>0</v>
      </c>
      <c r="AW553">
        <v>0</v>
      </c>
      <c r="AX553" t="s">
        <v>76</v>
      </c>
      <c r="AY553" t="s">
        <v>71</v>
      </c>
      <c r="AZ553">
        <v>0</v>
      </c>
      <c r="BA553" t="s">
        <v>71</v>
      </c>
      <c r="BB553">
        <v>0</v>
      </c>
      <c r="BD553">
        <v>0.628</v>
      </c>
    </row>
    <row r="554" spans="1:56" x14ac:dyDescent="0.15">
      <c r="A554" s="4" t="str">
        <f>HYPERLINK("https://ibp.a2mac1.com/costing(costing:projects/details/9760/part/8411669)","Spring")</f>
        <v>Spring</v>
      </c>
      <c r="B554">
        <v>8411669</v>
      </c>
      <c r="C554">
        <v>8411653</v>
      </c>
      <c r="D554" t="s">
        <v>284</v>
      </c>
      <c r="E554">
        <v>0.35</v>
      </c>
      <c r="F554">
        <v>0</v>
      </c>
      <c r="G554">
        <v>0</v>
      </c>
      <c r="H554">
        <v>0</v>
      </c>
      <c r="I554" t="s">
        <v>71</v>
      </c>
      <c r="J554">
        <v>0</v>
      </c>
      <c r="K554">
        <v>0.35</v>
      </c>
      <c r="L554">
        <v>0</v>
      </c>
      <c r="M554">
        <v>0</v>
      </c>
      <c r="N554">
        <v>0.35</v>
      </c>
      <c r="O554" t="s">
        <v>71</v>
      </c>
      <c r="P554">
        <v>0</v>
      </c>
      <c r="Q554" t="s">
        <v>71</v>
      </c>
      <c r="R554">
        <v>0</v>
      </c>
      <c r="S554" t="s">
        <v>71</v>
      </c>
      <c r="T554">
        <v>0</v>
      </c>
      <c r="U554" t="s">
        <v>71</v>
      </c>
      <c r="V554">
        <v>0</v>
      </c>
      <c r="W554" t="s">
        <v>71</v>
      </c>
      <c r="X554">
        <v>0</v>
      </c>
      <c r="Y554">
        <v>0.35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K554" t="s">
        <v>272</v>
      </c>
      <c r="AM554">
        <v>400000</v>
      </c>
      <c r="AN554" t="s">
        <v>97</v>
      </c>
      <c r="AO554">
        <v>2</v>
      </c>
      <c r="AP554">
        <v>0</v>
      </c>
      <c r="AQ554">
        <v>33333.333333333336</v>
      </c>
      <c r="AR554" t="s">
        <v>9</v>
      </c>
      <c r="AS554" t="s">
        <v>75</v>
      </c>
      <c r="AV554">
        <v>0</v>
      </c>
      <c r="AW554">
        <v>0</v>
      </c>
      <c r="AX554" t="s">
        <v>76</v>
      </c>
      <c r="AY554" t="s">
        <v>71</v>
      </c>
      <c r="AZ554">
        <v>0</v>
      </c>
      <c r="BA554" t="s">
        <v>71</v>
      </c>
      <c r="BB554">
        <v>0</v>
      </c>
      <c r="BD554">
        <v>0.17499999999999999</v>
      </c>
    </row>
    <row r="555" spans="1:56" x14ac:dyDescent="0.15">
      <c r="A555" s="4" t="str">
        <f>HYPERLINK("https://ibp.a2mac1.com/costing(costing:projects/details/9760/part/8411755)","Bearing Races Differential Ring Gear Side")</f>
        <v>Bearing Races Differential Ring Gear Side</v>
      </c>
      <c r="B555">
        <v>8411755</v>
      </c>
      <c r="C555">
        <v>8411725</v>
      </c>
      <c r="E555">
        <v>0.1</v>
      </c>
      <c r="F555">
        <v>0</v>
      </c>
      <c r="G555">
        <v>0</v>
      </c>
      <c r="H555">
        <v>0</v>
      </c>
      <c r="I555" t="s">
        <v>71</v>
      </c>
      <c r="J555">
        <v>0</v>
      </c>
      <c r="K555">
        <v>0.1</v>
      </c>
      <c r="L555">
        <v>0</v>
      </c>
      <c r="M555">
        <v>0</v>
      </c>
      <c r="N555">
        <v>0.1</v>
      </c>
      <c r="O555" t="s">
        <v>71</v>
      </c>
      <c r="P555">
        <v>0</v>
      </c>
      <c r="Q555" t="s">
        <v>71</v>
      </c>
      <c r="R555">
        <v>0</v>
      </c>
      <c r="S555" t="s">
        <v>71</v>
      </c>
      <c r="T555">
        <v>0</v>
      </c>
      <c r="U555" t="s">
        <v>71</v>
      </c>
      <c r="V555">
        <v>0</v>
      </c>
      <c r="W555" t="s">
        <v>71</v>
      </c>
      <c r="X555">
        <v>0</v>
      </c>
      <c r="Y555">
        <v>0.1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90</v>
      </c>
      <c r="AF555">
        <v>90</v>
      </c>
      <c r="AG555">
        <v>17</v>
      </c>
      <c r="AI555">
        <v>0.155</v>
      </c>
      <c r="AK555" t="s">
        <v>1761</v>
      </c>
      <c r="AL555" t="s">
        <v>96</v>
      </c>
      <c r="AM555">
        <v>200000</v>
      </c>
      <c r="AN555" t="s">
        <v>97</v>
      </c>
      <c r="AO555">
        <v>1</v>
      </c>
      <c r="AP555">
        <v>0</v>
      </c>
      <c r="AQ555">
        <v>16666.666666666668</v>
      </c>
      <c r="AR555" t="s">
        <v>1872</v>
      </c>
      <c r="AS555" t="s">
        <v>75</v>
      </c>
      <c r="AX555" t="s">
        <v>76</v>
      </c>
      <c r="AY555" t="s">
        <v>71</v>
      </c>
      <c r="AZ555">
        <v>0</v>
      </c>
      <c r="BA555" t="s">
        <v>71</v>
      </c>
      <c r="BB555">
        <v>0</v>
      </c>
      <c r="BD555">
        <v>0.1</v>
      </c>
    </row>
    <row r="556" spans="1:56" x14ac:dyDescent="0.15">
      <c r="A556" s="4" t="str">
        <f>HYPERLINK("https://ibp.a2mac1.com/costing(costing:projects/details/9760/part/8411756)","Bearing Race (Differential Ring Gear Opposite Side)")</f>
        <v>Bearing Race (Differential Ring Gear Opposite Side)</v>
      </c>
      <c r="B556">
        <v>8411756</v>
      </c>
      <c r="C556">
        <v>8411725</v>
      </c>
      <c r="E556">
        <v>0.1</v>
      </c>
      <c r="F556">
        <v>0</v>
      </c>
      <c r="G556">
        <v>0</v>
      </c>
      <c r="H556">
        <v>0</v>
      </c>
      <c r="I556" t="s">
        <v>71</v>
      </c>
      <c r="J556">
        <v>0</v>
      </c>
      <c r="K556">
        <v>0.1</v>
      </c>
      <c r="L556">
        <v>0</v>
      </c>
      <c r="M556">
        <v>0</v>
      </c>
      <c r="N556">
        <v>0.1</v>
      </c>
      <c r="O556" t="s">
        <v>71</v>
      </c>
      <c r="P556">
        <v>0</v>
      </c>
      <c r="Q556" t="s">
        <v>71</v>
      </c>
      <c r="R556">
        <v>0</v>
      </c>
      <c r="S556" t="s">
        <v>71</v>
      </c>
      <c r="T556">
        <v>0</v>
      </c>
      <c r="U556" t="s">
        <v>71</v>
      </c>
      <c r="V556">
        <v>0</v>
      </c>
      <c r="W556" t="s">
        <v>71</v>
      </c>
      <c r="X556">
        <v>0</v>
      </c>
      <c r="Y556">
        <v>0.1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90</v>
      </c>
      <c r="AF556">
        <v>90</v>
      </c>
      <c r="AG556">
        <v>17</v>
      </c>
      <c r="AI556">
        <v>0.155</v>
      </c>
      <c r="AK556" t="s">
        <v>1761</v>
      </c>
      <c r="AL556" t="s">
        <v>96</v>
      </c>
      <c r="AM556">
        <v>200000</v>
      </c>
      <c r="AN556" t="s">
        <v>97</v>
      </c>
      <c r="AO556">
        <v>1</v>
      </c>
      <c r="AP556">
        <v>0</v>
      </c>
      <c r="AQ556">
        <v>16666.666666666668</v>
      </c>
      <c r="AR556" t="s">
        <v>1873</v>
      </c>
      <c r="AS556" t="s">
        <v>75</v>
      </c>
      <c r="AX556" t="s">
        <v>76</v>
      </c>
      <c r="AY556" t="s">
        <v>71</v>
      </c>
      <c r="AZ556">
        <v>0</v>
      </c>
      <c r="BA556" t="s">
        <v>71</v>
      </c>
      <c r="BB556">
        <v>0</v>
      </c>
      <c r="BD556">
        <v>0.1</v>
      </c>
    </row>
    <row r="557" spans="1:56" x14ac:dyDescent="0.15">
      <c r="A557" s="4" t="str">
        <f>HYPERLINK("https://ibp.a2mac1.com/costing(costing:projects/details/9760/part/8411715)","Differential Case")</f>
        <v>Differential Case</v>
      </c>
      <c r="B557">
        <v>8411715</v>
      </c>
      <c r="C557">
        <v>8411670</v>
      </c>
      <c r="D557" t="s">
        <v>1769</v>
      </c>
      <c r="E557">
        <v>6.9630700000000001</v>
      </c>
      <c r="F557">
        <v>0</v>
      </c>
      <c r="G557">
        <v>0</v>
      </c>
      <c r="H557">
        <v>0</v>
      </c>
      <c r="I557" t="s">
        <v>71</v>
      </c>
      <c r="J557">
        <v>0</v>
      </c>
      <c r="K557">
        <v>6.9630700000000001</v>
      </c>
      <c r="L557">
        <v>0</v>
      </c>
      <c r="M557">
        <v>0</v>
      </c>
      <c r="N557">
        <v>6.9630700000000001</v>
      </c>
      <c r="O557" t="s">
        <v>71</v>
      </c>
      <c r="P557">
        <v>0</v>
      </c>
      <c r="Q557" t="s">
        <v>71</v>
      </c>
      <c r="R557">
        <v>0</v>
      </c>
      <c r="S557" t="s">
        <v>71</v>
      </c>
      <c r="T557">
        <v>0</v>
      </c>
      <c r="U557" t="s">
        <v>71</v>
      </c>
      <c r="V557">
        <v>0</v>
      </c>
      <c r="W557" t="s">
        <v>71</v>
      </c>
      <c r="X557">
        <v>0</v>
      </c>
      <c r="Y557">
        <v>6.9630700000000001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183</v>
      </c>
      <c r="AF557">
        <v>166</v>
      </c>
      <c r="AG557">
        <v>183</v>
      </c>
      <c r="AH557">
        <v>0</v>
      </c>
      <c r="AI557">
        <v>4.5199999999999996</v>
      </c>
      <c r="AK557" t="s">
        <v>100</v>
      </c>
      <c r="AM557">
        <v>200000</v>
      </c>
      <c r="AN557" t="s">
        <v>97</v>
      </c>
      <c r="AO557">
        <v>1</v>
      </c>
      <c r="AP557">
        <v>0</v>
      </c>
      <c r="AQ557">
        <v>16666.666666666668</v>
      </c>
      <c r="AR557" t="s">
        <v>1875</v>
      </c>
      <c r="AS557" t="s">
        <v>75</v>
      </c>
      <c r="AX557" t="s">
        <v>76</v>
      </c>
      <c r="AY557" t="s">
        <v>71</v>
      </c>
      <c r="AZ557">
        <v>0</v>
      </c>
      <c r="BA557" t="s">
        <v>71</v>
      </c>
      <c r="BB557">
        <v>0</v>
      </c>
      <c r="BD557">
        <v>6.9630700000000001</v>
      </c>
    </row>
    <row r="558" spans="1:56" x14ac:dyDescent="0.15">
      <c r="A558" s="4" t="str">
        <f>HYPERLINK("https://ibp.a2mac1.com/costing(costing:projects/details/9760/part/8411716)","Sun Gear")</f>
        <v>Sun Gear</v>
      </c>
      <c r="B558">
        <v>8411716</v>
      </c>
      <c r="C558">
        <v>8411670</v>
      </c>
      <c r="D558" t="s">
        <v>1784</v>
      </c>
      <c r="E558">
        <v>4.56046</v>
      </c>
      <c r="F558">
        <v>0</v>
      </c>
      <c r="G558">
        <v>0</v>
      </c>
      <c r="H558">
        <v>0</v>
      </c>
      <c r="I558" t="s">
        <v>71</v>
      </c>
      <c r="J558">
        <v>0</v>
      </c>
      <c r="K558">
        <v>4.56046</v>
      </c>
      <c r="L558">
        <v>0</v>
      </c>
      <c r="M558">
        <v>0</v>
      </c>
      <c r="N558">
        <v>4.56046</v>
      </c>
      <c r="O558" t="s">
        <v>71</v>
      </c>
      <c r="P558">
        <v>0</v>
      </c>
      <c r="Q558" t="s">
        <v>71</v>
      </c>
      <c r="R558">
        <v>0</v>
      </c>
      <c r="S558" t="s">
        <v>71</v>
      </c>
      <c r="T558">
        <v>0</v>
      </c>
      <c r="U558" t="s">
        <v>71</v>
      </c>
      <c r="V558">
        <v>0</v>
      </c>
      <c r="W558" t="s">
        <v>71</v>
      </c>
      <c r="X558">
        <v>0</v>
      </c>
      <c r="Y558">
        <v>4.56046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34</v>
      </c>
      <c r="AF558">
        <v>85</v>
      </c>
      <c r="AG558">
        <v>85</v>
      </c>
      <c r="AH558">
        <v>0</v>
      </c>
      <c r="AI558">
        <v>0.59899999999999998</v>
      </c>
      <c r="AK558" t="s">
        <v>100</v>
      </c>
      <c r="AM558">
        <v>400000</v>
      </c>
      <c r="AN558" t="s">
        <v>97</v>
      </c>
      <c r="AO558">
        <v>2</v>
      </c>
      <c r="AP558">
        <v>0</v>
      </c>
      <c r="AQ558">
        <v>33333.333333333336</v>
      </c>
      <c r="AR558" t="s">
        <v>1876</v>
      </c>
      <c r="AS558" t="s">
        <v>75</v>
      </c>
      <c r="AX558" t="s">
        <v>76</v>
      </c>
      <c r="AY558" t="s">
        <v>71</v>
      </c>
      <c r="AZ558">
        <v>0</v>
      </c>
      <c r="BA558" t="s">
        <v>71</v>
      </c>
      <c r="BB558">
        <v>0</v>
      </c>
      <c r="BD558">
        <v>2.28023</v>
      </c>
    </row>
    <row r="559" spans="1:56" x14ac:dyDescent="0.15">
      <c r="A559" s="4" t="str">
        <f>HYPERLINK("https://ibp.a2mac1.com/costing(costing:projects/details/9760/part/8411717)","Planet Gear")</f>
        <v>Planet Gear</v>
      </c>
      <c r="B559">
        <v>8411717</v>
      </c>
      <c r="C559">
        <v>8411670</v>
      </c>
      <c r="D559" t="s">
        <v>1780</v>
      </c>
      <c r="E559">
        <v>1.96218</v>
      </c>
      <c r="F559">
        <v>0</v>
      </c>
      <c r="G559">
        <v>0</v>
      </c>
      <c r="H559">
        <v>0</v>
      </c>
      <c r="I559" t="s">
        <v>71</v>
      </c>
      <c r="J559">
        <v>0</v>
      </c>
      <c r="K559">
        <v>1.96218</v>
      </c>
      <c r="L559">
        <v>0</v>
      </c>
      <c r="M559">
        <v>0</v>
      </c>
      <c r="N559">
        <v>1.96218</v>
      </c>
      <c r="O559" t="s">
        <v>71</v>
      </c>
      <c r="P559">
        <v>0</v>
      </c>
      <c r="Q559" t="s">
        <v>71</v>
      </c>
      <c r="R559">
        <v>0</v>
      </c>
      <c r="S559" t="s">
        <v>71</v>
      </c>
      <c r="T559">
        <v>0</v>
      </c>
      <c r="U559" t="s">
        <v>71</v>
      </c>
      <c r="V559">
        <v>0</v>
      </c>
      <c r="W559" t="s">
        <v>71</v>
      </c>
      <c r="X559">
        <v>0</v>
      </c>
      <c r="Y559">
        <v>1.96218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25</v>
      </c>
      <c r="AF559">
        <v>62</v>
      </c>
      <c r="AG559">
        <v>61</v>
      </c>
      <c r="AH559">
        <v>0</v>
      </c>
      <c r="AI559">
        <v>0.23649999999999999</v>
      </c>
      <c r="AK559" t="s">
        <v>100</v>
      </c>
      <c r="AM559">
        <v>400000</v>
      </c>
      <c r="AN559" t="s">
        <v>97</v>
      </c>
      <c r="AO559">
        <v>2</v>
      </c>
      <c r="AP559">
        <v>0</v>
      </c>
      <c r="AQ559">
        <v>33333.333333333336</v>
      </c>
      <c r="AR559" t="s">
        <v>1877</v>
      </c>
      <c r="AS559" t="s">
        <v>75</v>
      </c>
      <c r="AX559" t="s">
        <v>76</v>
      </c>
      <c r="AY559" t="s">
        <v>71</v>
      </c>
      <c r="AZ559">
        <v>0</v>
      </c>
      <c r="BA559" t="s">
        <v>71</v>
      </c>
      <c r="BB559">
        <v>0</v>
      </c>
      <c r="BD559">
        <v>0.98109000000000002</v>
      </c>
    </row>
    <row r="560" spans="1:56" x14ac:dyDescent="0.15">
      <c r="A560" s="4" t="str">
        <f>HYPERLINK("https://ibp.a2mac1.com/costing(costing:projects/details/9760/part/8411718)","Final Cascading Pinion")</f>
        <v>Final Cascading Pinion</v>
      </c>
      <c r="B560">
        <v>8411718</v>
      </c>
      <c r="C560">
        <v>8411670</v>
      </c>
      <c r="E560">
        <v>3.1627168333333335</v>
      </c>
      <c r="F560">
        <v>0</v>
      </c>
      <c r="G560">
        <v>0</v>
      </c>
      <c r="H560">
        <v>6.8383066666666666E-5</v>
      </c>
      <c r="I560" t="s">
        <v>176</v>
      </c>
      <c r="J560">
        <v>0.11967036666666667</v>
      </c>
      <c r="K560">
        <v>3.2824555830666666</v>
      </c>
      <c r="L560">
        <v>2.001487917430381</v>
      </c>
      <c r="M560">
        <v>12.008927504582287</v>
      </c>
      <c r="N560">
        <v>15.291383087648954</v>
      </c>
      <c r="O560" t="s">
        <v>177</v>
      </c>
      <c r="P560">
        <v>0.19694733498399999</v>
      </c>
      <c r="Q560" t="s">
        <v>177</v>
      </c>
      <c r="R560">
        <v>0.72053565027493727</v>
      </c>
      <c r="S560" t="s">
        <v>178</v>
      </c>
      <c r="T560">
        <v>1.8349659705178745</v>
      </c>
      <c r="U560" t="s">
        <v>90</v>
      </c>
      <c r="V560">
        <v>0</v>
      </c>
      <c r="W560" t="s">
        <v>90</v>
      </c>
      <c r="X560">
        <v>0</v>
      </c>
      <c r="Y560">
        <v>18.043832043425766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54</v>
      </c>
      <c r="AF560">
        <v>220</v>
      </c>
      <c r="AG560">
        <v>220</v>
      </c>
      <c r="AH560">
        <v>0</v>
      </c>
      <c r="AI560">
        <v>4.25</v>
      </c>
      <c r="AK560" t="s">
        <v>100</v>
      </c>
      <c r="AM560">
        <v>200000</v>
      </c>
      <c r="AN560" t="s">
        <v>97</v>
      </c>
      <c r="AO560">
        <v>1</v>
      </c>
      <c r="AP560">
        <v>0</v>
      </c>
      <c r="AQ560">
        <v>16666.666666666668</v>
      </c>
      <c r="AR560" t="s">
        <v>1882</v>
      </c>
      <c r="AS560" t="s">
        <v>75</v>
      </c>
      <c r="AX560" t="s">
        <v>76</v>
      </c>
      <c r="AY560" t="s">
        <v>176</v>
      </c>
      <c r="AZ560">
        <v>0</v>
      </c>
      <c r="BA560" t="s">
        <v>176</v>
      </c>
      <c r="BB560">
        <v>0</v>
      </c>
    </row>
    <row r="561" spans="1:56" x14ac:dyDescent="0.15">
      <c r="A561" s="4" t="str">
        <f>HYPERLINK("https://ibp.a2mac1.com/costing(costing:projects/details/9760/part/8411719)","Planet Gear Axle")</f>
        <v>Planet Gear Axle</v>
      </c>
      <c r="B561">
        <v>8411719</v>
      </c>
      <c r="C561">
        <v>8411670</v>
      </c>
      <c r="D561" t="s">
        <v>1782</v>
      </c>
      <c r="E561">
        <v>0.78902000000000005</v>
      </c>
      <c r="F561">
        <v>0</v>
      </c>
      <c r="G561">
        <v>0</v>
      </c>
      <c r="H561">
        <v>0</v>
      </c>
      <c r="I561" t="s">
        <v>71</v>
      </c>
      <c r="J561">
        <v>0</v>
      </c>
      <c r="K561">
        <v>0.78902000000000005</v>
      </c>
      <c r="L561">
        <v>0</v>
      </c>
      <c r="M561">
        <v>0</v>
      </c>
      <c r="N561">
        <v>0.78902000000000005</v>
      </c>
      <c r="O561" t="s">
        <v>71</v>
      </c>
      <c r="P561">
        <v>0</v>
      </c>
      <c r="Q561" t="s">
        <v>71</v>
      </c>
      <c r="R561">
        <v>0</v>
      </c>
      <c r="S561" t="s">
        <v>71</v>
      </c>
      <c r="T561">
        <v>0</v>
      </c>
      <c r="U561" t="s">
        <v>71</v>
      </c>
      <c r="V561">
        <v>0</v>
      </c>
      <c r="W561" t="s">
        <v>71</v>
      </c>
      <c r="X561">
        <v>0</v>
      </c>
      <c r="Y561">
        <v>0.78902000000000005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21</v>
      </c>
      <c r="AF561">
        <v>21</v>
      </c>
      <c r="AG561">
        <v>125</v>
      </c>
      <c r="AH561">
        <v>0</v>
      </c>
      <c r="AI561">
        <v>0.32900000000000001</v>
      </c>
      <c r="AK561" t="s">
        <v>100</v>
      </c>
      <c r="AM561">
        <v>200000</v>
      </c>
      <c r="AN561" t="s">
        <v>97</v>
      </c>
      <c r="AO561">
        <v>1</v>
      </c>
      <c r="AP561">
        <v>0</v>
      </c>
      <c r="AQ561">
        <v>16666.666666666668</v>
      </c>
      <c r="AR561" t="s">
        <v>1883</v>
      </c>
      <c r="AS561" t="s">
        <v>75</v>
      </c>
      <c r="AX561" t="s">
        <v>76</v>
      </c>
      <c r="AY561" t="s">
        <v>71</v>
      </c>
      <c r="AZ561">
        <v>0</v>
      </c>
      <c r="BA561" t="s">
        <v>71</v>
      </c>
      <c r="BB561">
        <v>0</v>
      </c>
      <c r="BD561">
        <v>0.78902000000000005</v>
      </c>
    </row>
    <row r="562" spans="1:56" x14ac:dyDescent="0.15">
      <c r="A562" s="4" t="str">
        <f>HYPERLINK("https://ibp.a2mac1.com/costing(costing:projects/details/9760/part/8411720)","Bearing Differential Ring Gear Side")</f>
        <v>Bearing Differential Ring Gear Side</v>
      </c>
      <c r="B562">
        <v>8411720</v>
      </c>
      <c r="C562">
        <v>8411670</v>
      </c>
      <c r="D562" t="s">
        <v>1765</v>
      </c>
      <c r="E562">
        <v>6.6539999999999999</v>
      </c>
      <c r="F562">
        <v>0</v>
      </c>
      <c r="G562">
        <v>0</v>
      </c>
      <c r="H562">
        <v>0</v>
      </c>
      <c r="I562" t="s">
        <v>71</v>
      </c>
      <c r="J562">
        <v>0</v>
      </c>
      <c r="K562">
        <v>6.6539999999999999</v>
      </c>
      <c r="L562">
        <v>0</v>
      </c>
      <c r="M562">
        <v>0</v>
      </c>
      <c r="N562">
        <v>6.6539999999999999</v>
      </c>
      <c r="O562" t="s">
        <v>71</v>
      </c>
      <c r="P562">
        <v>0</v>
      </c>
      <c r="Q562" t="s">
        <v>71</v>
      </c>
      <c r="R562">
        <v>0</v>
      </c>
      <c r="S562" t="s">
        <v>71</v>
      </c>
      <c r="T562">
        <v>0</v>
      </c>
      <c r="U562" t="s">
        <v>71</v>
      </c>
      <c r="V562">
        <v>0</v>
      </c>
      <c r="W562" t="s">
        <v>71</v>
      </c>
      <c r="X562">
        <v>0</v>
      </c>
      <c r="Y562">
        <v>6.6539999999999999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25</v>
      </c>
      <c r="AF562">
        <v>85</v>
      </c>
      <c r="AG562">
        <v>85</v>
      </c>
      <c r="AH562">
        <v>0</v>
      </c>
      <c r="AI562">
        <v>0.40200000000000002</v>
      </c>
      <c r="AK562" t="s">
        <v>100</v>
      </c>
      <c r="AM562">
        <v>200000</v>
      </c>
      <c r="AN562" t="s">
        <v>97</v>
      </c>
      <c r="AO562">
        <v>1</v>
      </c>
      <c r="AP562">
        <v>0</v>
      </c>
      <c r="AQ562">
        <v>16666.666666666668</v>
      </c>
      <c r="AR562" t="s">
        <v>1884</v>
      </c>
      <c r="AS562" t="s">
        <v>75</v>
      </c>
      <c r="AX562" t="s">
        <v>76</v>
      </c>
      <c r="AY562" t="s">
        <v>71</v>
      </c>
      <c r="AZ562">
        <v>0</v>
      </c>
      <c r="BA562" t="s">
        <v>71</v>
      </c>
      <c r="BB562">
        <v>0</v>
      </c>
      <c r="BD562">
        <v>6.6539999999999999</v>
      </c>
    </row>
    <row r="563" spans="1:56" x14ac:dyDescent="0.15">
      <c r="A563" s="4" t="str">
        <f>HYPERLINK("https://ibp.a2mac1.com/costing(costing:projects/details/9760/part/8411721)","Bearing (Differential Ring Gear Opposite Side)")</f>
        <v>Bearing (Differential Ring Gear Opposite Side)</v>
      </c>
      <c r="B563">
        <v>8411721</v>
      </c>
      <c r="C563">
        <v>8411670</v>
      </c>
      <c r="D563" t="s">
        <v>1765</v>
      </c>
      <c r="E563">
        <v>6.6539999999999999</v>
      </c>
      <c r="F563">
        <v>0</v>
      </c>
      <c r="G563">
        <v>0</v>
      </c>
      <c r="H563">
        <v>0</v>
      </c>
      <c r="I563" t="s">
        <v>71</v>
      </c>
      <c r="J563">
        <v>0</v>
      </c>
      <c r="K563">
        <v>6.6539999999999999</v>
      </c>
      <c r="L563">
        <v>0</v>
      </c>
      <c r="M563">
        <v>0</v>
      </c>
      <c r="N563">
        <v>6.6539999999999999</v>
      </c>
      <c r="O563" t="s">
        <v>71</v>
      </c>
      <c r="P563">
        <v>0</v>
      </c>
      <c r="Q563" t="s">
        <v>71</v>
      </c>
      <c r="R563">
        <v>0</v>
      </c>
      <c r="S563" t="s">
        <v>71</v>
      </c>
      <c r="T563">
        <v>0</v>
      </c>
      <c r="U563" t="s">
        <v>71</v>
      </c>
      <c r="V563">
        <v>0</v>
      </c>
      <c r="W563" t="s">
        <v>71</v>
      </c>
      <c r="X563">
        <v>0</v>
      </c>
      <c r="Y563">
        <v>6.6539999999999999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25</v>
      </c>
      <c r="AF563">
        <v>85</v>
      </c>
      <c r="AG563">
        <v>85</v>
      </c>
      <c r="AH563">
        <v>0</v>
      </c>
      <c r="AI563">
        <v>0.40100000000000002</v>
      </c>
      <c r="AK563" t="s">
        <v>100</v>
      </c>
      <c r="AM563">
        <v>200000</v>
      </c>
      <c r="AN563" t="s">
        <v>97</v>
      </c>
      <c r="AO563">
        <v>1</v>
      </c>
      <c r="AP563">
        <v>0</v>
      </c>
      <c r="AQ563">
        <v>16666.666666666668</v>
      </c>
      <c r="AR563" t="s">
        <v>1885</v>
      </c>
      <c r="AS563" t="s">
        <v>75</v>
      </c>
      <c r="AX563" t="s">
        <v>76</v>
      </c>
      <c r="AY563" t="s">
        <v>71</v>
      </c>
      <c r="AZ563">
        <v>0</v>
      </c>
      <c r="BA563" t="s">
        <v>71</v>
      </c>
      <c r="BB563">
        <v>0</v>
      </c>
      <c r="BD563">
        <v>6.6539999999999999</v>
      </c>
    </row>
    <row r="564" spans="1:56" x14ac:dyDescent="0.15">
      <c r="A564" s="4" t="str">
        <f>HYPERLINK("https://ibp.a2mac1.com/costing(costing:projects/details/9760/part/8411722)","Adjustment spacer")</f>
        <v>Adjustment spacer</v>
      </c>
      <c r="B564">
        <v>8411722</v>
      </c>
      <c r="C564">
        <v>8411670</v>
      </c>
      <c r="D564" t="s">
        <v>1786</v>
      </c>
      <c r="E564">
        <v>0.10933</v>
      </c>
      <c r="F564">
        <v>0</v>
      </c>
      <c r="G564">
        <v>0</v>
      </c>
      <c r="H564">
        <v>0</v>
      </c>
      <c r="I564" t="s">
        <v>71</v>
      </c>
      <c r="J564">
        <v>0</v>
      </c>
      <c r="K564">
        <v>0.10933</v>
      </c>
      <c r="L564">
        <v>0</v>
      </c>
      <c r="M564">
        <v>0</v>
      </c>
      <c r="N564">
        <v>0.10933</v>
      </c>
      <c r="O564" t="s">
        <v>71</v>
      </c>
      <c r="P564">
        <v>0</v>
      </c>
      <c r="Q564" t="s">
        <v>71</v>
      </c>
      <c r="R564">
        <v>0</v>
      </c>
      <c r="S564" t="s">
        <v>71</v>
      </c>
      <c r="T564">
        <v>0</v>
      </c>
      <c r="U564" t="s">
        <v>71</v>
      </c>
      <c r="V564">
        <v>0</v>
      </c>
      <c r="W564" t="s">
        <v>71</v>
      </c>
      <c r="X564">
        <v>0</v>
      </c>
      <c r="Y564">
        <v>0.10933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90</v>
      </c>
      <c r="AG564">
        <v>90</v>
      </c>
      <c r="AH564">
        <v>0</v>
      </c>
      <c r="AI564">
        <v>1.2E-2</v>
      </c>
      <c r="AK564" t="s">
        <v>100</v>
      </c>
      <c r="AM564">
        <v>200000</v>
      </c>
      <c r="AN564" t="s">
        <v>97</v>
      </c>
      <c r="AO564">
        <v>1</v>
      </c>
      <c r="AP564">
        <v>0</v>
      </c>
      <c r="AQ564">
        <v>16666.666666666668</v>
      </c>
      <c r="AR564" t="s">
        <v>1886</v>
      </c>
      <c r="AS564" t="s">
        <v>75</v>
      </c>
      <c r="AX564" t="s">
        <v>76</v>
      </c>
      <c r="AY564" t="s">
        <v>71</v>
      </c>
      <c r="AZ564">
        <v>0</v>
      </c>
      <c r="BA564" t="s">
        <v>71</v>
      </c>
      <c r="BB564">
        <v>0</v>
      </c>
      <c r="BD564">
        <v>0.10933</v>
      </c>
    </row>
    <row r="565" spans="1:56" x14ac:dyDescent="0.15">
      <c r="A565" s="4" t="str">
        <f>HYPERLINK("https://ibp.a2mac1.com/costing(costing:projects/details/9760/part/8411723)","Planet gears - shim")</f>
        <v>Planet gears - shim</v>
      </c>
      <c r="B565">
        <v>8411723</v>
      </c>
      <c r="C565">
        <v>8411670</v>
      </c>
      <c r="D565" t="s">
        <v>1788</v>
      </c>
      <c r="E565">
        <v>0.19500000000000001</v>
      </c>
      <c r="F565">
        <v>0</v>
      </c>
      <c r="G565">
        <v>0</v>
      </c>
      <c r="H565">
        <v>0</v>
      </c>
      <c r="I565" t="s">
        <v>71</v>
      </c>
      <c r="J565">
        <v>0</v>
      </c>
      <c r="K565">
        <v>0.19500000000000001</v>
      </c>
      <c r="L565">
        <v>0</v>
      </c>
      <c r="M565">
        <v>0</v>
      </c>
      <c r="N565">
        <v>0.19500000000000001</v>
      </c>
      <c r="O565" t="s">
        <v>71</v>
      </c>
      <c r="P565">
        <v>0</v>
      </c>
      <c r="Q565" t="s">
        <v>71</v>
      </c>
      <c r="R565">
        <v>0</v>
      </c>
      <c r="S565" t="s">
        <v>71</v>
      </c>
      <c r="T565">
        <v>0</v>
      </c>
      <c r="U565" t="s">
        <v>71</v>
      </c>
      <c r="V565">
        <v>0</v>
      </c>
      <c r="W565" t="s">
        <v>71</v>
      </c>
      <c r="X565">
        <v>0</v>
      </c>
      <c r="Y565">
        <v>0.19500000000000001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K565" t="s">
        <v>272</v>
      </c>
      <c r="AM565">
        <v>400000</v>
      </c>
      <c r="AN565" t="s">
        <v>97</v>
      </c>
      <c r="AO565">
        <v>2</v>
      </c>
      <c r="AP565">
        <v>0</v>
      </c>
      <c r="AQ565">
        <v>33333.333333333336</v>
      </c>
      <c r="AR565" t="s">
        <v>9</v>
      </c>
      <c r="AS565" t="s">
        <v>75</v>
      </c>
      <c r="AW565">
        <v>0</v>
      </c>
      <c r="AX565" t="s">
        <v>76</v>
      </c>
      <c r="AY565" t="s">
        <v>71</v>
      </c>
      <c r="AZ565">
        <v>0</v>
      </c>
      <c r="BA565" t="s">
        <v>71</v>
      </c>
      <c r="BB565">
        <v>0</v>
      </c>
      <c r="BD565">
        <v>9.7500000000000003E-2</v>
      </c>
    </row>
    <row r="566" spans="1:56" x14ac:dyDescent="0.15">
      <c r="A566" s="4" t="str">
        <f>HYPERLINK("https://ibp.a2mac1.com/costing(costing:projects/details/9760/part/8411724)","Sun wheels - shim")</f>
        <v>Sun wheels - shim</v>
      </c>
      <c r="B566">
        <v>8411724</v>
      </c>
      <c r="C566">
        <v>8411670</v>
      </c>
      <c r="D566" t="s">
        <v>1788</v>
      </c>
      <c r="E566">
        <v>0.21199999999999999</v>
      </c>
      <c r="F566">
        <v>0</v>
      </c>
      <c r="G566">
        <v>0</v>
      </c>
      <c r="H566">
        <v>0</v>
      </c>
      <c r="I566" t="s">
        <v>71</v>
      </c>
      <c r="J566">
        <v>0</v>
      </c>
      <c r="K566">
        <v>0.21199999999999999</v>
      </c>
      <c r="L566">
        <v>0</v>
      </c>
      <c r="M566">
        <v>0</v>
      </c>
      <c r="N566">
        <v>0.21199999999999999</v>
      </c>
      <c r="O566" t="s">
        <v>71</v>
      </c>
      <c r="P566">
        <v>0</v>
      </c>
      <c r="Q566" t="s">
        <v>71</v>
      </c>
      <c r="R566">
        <v>0</v>
      </c>
      <c r="S566" t="s">
        <v>71</v>
      </c>
      <c r="T566">
        <v>0</v>
      </c>
      <c r="U566" t="s">
        <v>71</v>
      </c>
      <c r="V566">
        <v>0</v>
      </c>
      <c r="W566" t="s">
        <v>71</v>
      </c>
      <c r="X566">
        <v>0</v>
      </c>
      <c r="Y566">
        <v>0.21199999999999999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K566" t="s">
        <v>272</v>
      </c>
      <c r="AM566">
        <v>400000</v>
      </c>
      <c r="AN566" t="s">
        <v>97</v>
      </c>
      <c r="AO566">
        <v>2</v>
      </c>
      <c r="AP566">
        <v>0</v>
      </c>
      <c r="AQ566">
        <v>33333.333333333336</v>
      </c>
      <c r="AR566" t="s">
        <v>9</v>
      </c>
      <c r="AS566" t="s">
        <v>75</v>
      </c>
      <c r="AV566">
        <v>0</v>
      </c>
      <c r="AW566">
        <v>0</v>
      </c>
      <c r="AX566" t="s">
        <v>76</v>
      </c>
      <c r="AY566" t="s">
        <v>71</v>
      </c>
      <c r="AZ566">
        <v>0</v>
      </c>
      <c r="BA566" t="s">
        <v>71</v>
      </c>
      <c r="BB566">
        <v>0</v>
      </c>
      <c r="BD566">
        <v>0.106</v>
      </c>
    </row>
    <row r="567" spans="1:56" x14ac:dyDescent="0.15">
      <c r="A567" s="4" t="str">
        <f>HYPERLINK("https://ibp.a2mac1.com/costing(costing:projects/details/9760/part/8411757)","Front")</f>
        <v>Front</v>
      </c>
      <c r="B567">
        <v>8411757</v>
      </c>
      <c r="C567">
        <v>8411727</v>
      </c>
      <c r="D567" t="s">
        <v>1765</v>
      </c>
      <c r="E567">
        <v>4.4109999999999996</v>
      </c>
      <c r="F567">
        <v>0</v>
      </c>
      <c r="G567">
        <v>0</v>
      </c>
      <c r="H567">
        <v>0</v>
      </c>
      <c r="I567" t="s">
        <v>71</v>
      </c>
      <c r="J567">
        <v>0</v>
      </c>
      <c r="K567">
        <v>4.4109999999999996</v>
      </c>
      <c r="L567">
        <v>0</v>
      </c>
      <c r="M567">
        <v>0</v>
      </c>
      <c r="N567">
        <v>4.4109999999999996</v>
      </c>
      <c r="O567" t="s">
        <v>71</v>
      </c>
      <c r="P567">
        <v>0</v>
      </c>
      <c r="Q567" t="s">
        <v>71</v>
      </c>
      <c r="R567">
        <v>0</v>
      </c>
      <c r="S567" t="s">
        <v>71</v>
      </c>
      <c r="T567">
        <v>0</v>
      </c>
      <c r="U567" t="s">
        <v>71</v>
      </c>
      <c r="V567">
        <v>0</v>
      </c>
      <c r="W567" t="s">
        <v>71</v>
      </c>
      <c r="X567">
        <v>0</v>
      </c>
      <c r="Y567">
        <v>4.4109999999999996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23</v>
      </c>
      <c r="AF567">
        <v>90</v>
      </c>
      <c r="AG567">
        <v>90</v>
      </c>
      <c r="AH567">
        <v>0</v>
      </c>
      <c r="AI567">
        <v>0.60799999999999998</v>
      </c>
      <c r="AK567" t="s">
        <v>100</v>
      </c>
      <c r="AM567">
        <v>200000</v>
      </c>
      <c r="AN567" t="s">
        <v>97</v>
      </c>
      <c r="AO567">
        <v>1</v>
      </c>
      <c r="AP567">
        <v>0</v>
      </c>
      <c r="AQ567">
        <v>16666.666666666668</v>
      </c>
      <c r="AR567" t="s">
        <v>1893</v>
      </c>
      <c r="AS567" t="s">
        <v>75</v>
      </c>
      <c r="AX567" t="s">
        <v>76</v>
      </c>
      <c r="AY567" t="s">
        <v>71</v>
      </c>
      <c r="AZ567">
        <v>0</v>
      </c>
      <c r="BA567" t="s">
        <v>71</v>
      </c>
      <c r="BB567">
        <v>0</v>
      </c>
      <c r="BD567">
        <v>4.4109999999999996</v>
      </c>
    </row>
    <row r="568" spans="1:56" x14ac:dyDescent="0.15">
      <c r="A568" s="4" t="str">
        <f>HYPERLINK("https://ibp.a2mac1.com/costing(costing:projects/details/9760/part/8411758)","Rear")</f>
        <v>Rear</v>
      </c>
      <c r="B568">
        <v>8411758</v>
      </c>
      <c r="C568">
        <v>8411727</v>
      </c>
      <c r="D568" t="s">
        <v>1765</v>
      </c>
      <c r="E568">
        <v>4.4109999999999996</v>
      </c>
      <c r="F568">
        <v>0</v>
      </c>
      <c r="G568">
        <v>0</v>
      </c>
      <c r="H568">
        <v>0</v>
      </c>
      <c r="I568" t="s">
        <v>71</v>
      </c>
      <c r="J568">
        <v>0</v>
      </c>
      <c r="K568">
        <v>4.4109999999999996</v>
      </c>
      <c r="L568">
        <v>0</v>
      </c>
      <c r="M568">
        <v>0</v>
      </c>
      <c r="N568">
        <v>4.4109999999999996</v>
      </c>
      <c r="O568" t="s">
        <v>71</v>
      </c>
      <c r="P568">
        <v>0</v>
      </c>
      <c r="Q568" t="s">
        <v>71</v>
      </c>
      <c r="R568">
        <v>0</v>
      </c>
      <c r="S568" t="s">
        <v>71</v>
      </c>
      <c r="T568">
        <v>0</v>
      </c>
      <c r="U568" t="s">
        <v>71</v>
      </c>
      <c r="V568">
        <v>0</v>
      </c>
      <c r="W568" t="s">
        <v>71</v>
      </c>
      <c r="X568">
        <v>0</v>
      </c>
      <c r="Y568">
        <v>4.4109999999999996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23</v>
      </c>
      <c r="AF568">
        <v>90</v>
      </c>
      <c r="AG568">
        <v>90</v>
      </c>
      <c r="AH568">
        <v>0</v>
      </c>
      <c r="AI568">
        <v>0.60799999999999998</v>
      </c>
      <c r="AK568" t="s">
        <v>100</v>
      </c>
      <c r="AM568">
        <v>200000</v>
      </c>
      <c r="AN568" t="s">
        <v>97</v>
      </c>
      <c r="AO568">
        <v>1</v>
      </c>
      <c r="AP568">
        <v>0</v>
      </c>
      <c r="AQ568">
        <v>16666.666666666668</v>
      </c>
      <c r="AR568" t="s">
        <v>1894</v>
      </c>
      <c r="AS568" t="s">
        <v>75</v>
      </c>
      <c r="AX568" t="s">
        <v>76</v>
      </c>
      <c r="AY568" t="s">
        <v>71</v>
      </c>
      <c r="AZ568">
        <v>0</v>
      </c>
      <c r="BA568" t="s">
        <v>71</v>
      </c>
      <c r="BB568">
        <v>0</v>
      </c>
      <c r="BD568">
        <v>4.4109999999999996</v>
      </c>
    </row>
    <row r="569" spans="1:56" x14ac:dyDescent="0.15">
      <c r="A569" s="4" t="str">
        <f>HYPERLINK("https://ibp.a2mac1.com/costing(costing:projects/details/9760/part/8411759)","Adjustement ring")</f>
        <v>Adjustement ring</v>
      </c>
      <c r="B569">
        <v>8411759</v>
      </c>
      <c r="C569">
        <v>8411727</v>
      </c>
      <c r="D569" t="s">
        <v>1786</v>
      </c>
      <c r="E569">
        <v>0.11260000000000001</v>
      </c>
      <c r="F569">
        <v>0</v>
      </c>
      <c r="G569">
        <v>0</v>
      </c>
      <c r="H569">
        <v>0</v>
      </c>
      <c r="I569" t="s">
        <v>71</v>
      </c>
      <c r="J569">
        <v>0</v>
      </c>
      <c r="K569">
        <v>0.11260000000000001</v>
      </c>
      <c r="L569">
        <v>0</v>
      </c>
      <c r="M569">
        <v>0</v>
      </c>
      <c r="N569">
        <v>0.11260000000000001</v>
      </c>
      <c r="O569" t="s">
        <v>71</v>
      </c>
      <c r="P569">
        <v>0</v>
      </c>
      <c r="Q569" t="s">
        <v>71</v>
      </c>
      <c r="R569">
        <v>0</v>
      </c>
      <c r="S569" t="s">
        <v>71</v>
      </c>
      <c r="T569">
        <v>0</v>
      </c>
      <c r="U569" t="s">
        <v>71</v>
      </c>
      <c r="V569">
        <v>0</v>
      </c>
      <c r="W569" t="s">
        <v>71</v>
      </c>
      <c r="X569">
        <v>0</v>
      </c>
      <c r="Y569">
        <v>0.11260000000000001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2</v>
      </c>
      <c r="AF569">
        <v>90</v>
      </c>
      <c r="AG569">
        <v>90</v>
      </c>
      <c r="AH569">
        <v>0</v>
      </c>
      <c r="AI569">
        <v>1.4E-2</v>
      </c>
      <c r="AK569" t="s">
        <v>100</v>
      </c>
      <c r="AM569">
        <v>200000</v>
      </c>
      <c r="AN569" t="s">
        <v>97</v>
      </c>
      <c r="AO569">
        <v>1</v>
      </c>
      <c r="AP569">
        <v>0</v>
      </c>
      <c r="AQ569">
        <v>16666.666666666668</v>
      </c>
      <c r="AR569" t="s">
        <v>1895</v>
      </c>
      <c r="AS569" t="s">
        <v>75</v>
      </c>
      <c r="AX569" t="s">
        <v>76</v>
      </c>
      <c r="AY569" t="s">
        <v>71</v>
      </c>
      <c r="AZ569">
        <v>0</v>
      </c>
      <c r="BA569" t="s">
        <v>71</v>
      </c>
      <c r="BB569">
        <v>0</v>
      </c>
      <c r="BD569">
        <v>0.11260000000000001</v>
      </c>
    </row>
    <row r="570" spans="1:56" x14ac:dyDescent="0.15">
      <c r="A570" s="4" t="str">
        <f>HYPERLINK("https://ibp.a2mac1.com/costing(costing:projects/details/9760/part/8411726)","Pinion and Axle")</f>
        <v>Pinion and Axle</v>
      </c>
      <c r="B570">
        <v>8411726</v>
      </c>
      <c r="C570">
        <v>8411671</v>
      </c>
      <c r="D570" t="s">
        <v>1798</v>
      </c>
      <c r="E570">
        <v>5.1630000000000003</v>
      </c>
      <c r="F570">
        <v>0</v>
      </c>
      <c r="G570">
        <v>0</v>
      </c>
      <c r="H570">
        <v>0</v>
      </c>
      <c r="I570" t="s">
        <v>71</v>
      </c>
      <c r="J570">
        <v>0</v>
      </c>
      <c r="K570">
        <v>5.1630000000000003</v>
      </c>
      <c r="L570">
        <v>0</v>
      </c>
      <c r="M570">
        <v>0</v>
      </c>
      <c r="N570">
        <v>5.1630000000000003</v>
      </c>
      <c r="O570" t="s">
        <v>71</v>
      </c>
      <c r="P570">
        <v>0</v>
      </c>
      <c r="Q570" t="s">
        <v>71</v>
      </c>
      <c r="R570">
        <v>0</v>
      </c>
      <c r="S570" t="s">
        <v>71</v>
      </c>
      <c r="T570">
        <v>0</v>
      </c>
      <c r="U570" t="s">
        <v>71</v>
      </c>
      <c r="V570">
        <v>0</v>
      </c>
      <c r="W570" t="s">
        <v>71</v>
      </c>
      <c r="X570">
        <v>0</v>
      </c>
      <c r="Y570">
        <v>5.1630000000000003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151</v>
      </c>
      <c r="AF570">
        <v>58</v>
      </c>
      <c r="AG570">
        <v>58</v>
      </c>
      <c r="AH570">
        <v>0</v>
      </c>
      <c r="AI570">
        <v>1.1100000000000001</v>
      </c>
      <c r="AK570" t="s">
        <v>100</v>
      </c>
      <c r="AM570">
        <v>200000</v>
      </c>
      <c r="AN570" t="s">
        <v>97</v>
      </c>
      <c r="AO570">
        <v>1</v>
      </c>
      <c r="AP570">
        <v>0</v>
      </c>
      <c r="AQ570">
        <v>16666.666666666668</v>
      </c>
      <c r="AR570" t="s">
        <v>1897</v>
      </c>
      <c r="AS570" t="s">
        <v>75</v>
      </c>
      <c r="AX570" t="s">
        <v>76</v>
      </c>
      <c r="AY570" t="s">
        <v>71</v>
      </c>
      <c r="AZ570">
        <v>0</v>
      </c>
      <c r="BA570" t="s">
        <v>71</v>
      </c>
      <c r="BB570">
        <v>0</v>
      </c>
      <c r="BD570">
        <v>5.1630000000000003</v>
      </c>
    </row>
    <row r="571" spans="1:56" x14ac:dyDescent="0.15">
      <c r="A571" s="4" t="str">
        <f>HYPERLINK("https://ibp.a2mac1.com/costing(costing:projects/details/9760/part/8411728)","Shaft")</f>
        <v>Shaft</v>
      </c>
      <c r="B571">
        <v>8411728</v>
      </c>
      <c r="C571">
        <v>8411672</v>
      </c>
      <c r="D571" t="s">
        <v>1803</v>
      </c>
      <c r="E571">
        <v>6.9718299999999997</v>
      </c>
      <c r="F571">
        <v>0</v>
      </c>
      <c r="G571">
        <v>0</v>
      </c>
      <c r="H571">
        <v>0</v>
      </c>
      <c r="I571" t="s">
        <v>71</v>
      </c>
      <c r="J571">
        <v>0</v>
      </c>
      <c r="K571">
        <v>6.9718299999999997</v>
      </c>
      <c r="L571">
        <v>0</v>
      </c>
      <c r="M571">
        <v>0</v>
      </c>
      <c r="N571">
        <v>6.9718299999999997</v>
      </c>
      <c r="O571" t="s">
        <v>71</v>
      </c>
      <c r="P571">
        <v>0</v>
      </c>
      <c r="Q571" t="s">
        <v>71</v>
      </c>
      <c r="R571">
        <v>0</v>
      </c>
      <c r="S571" t="s">
        <v>71</v>
      </c>
      <c r="T571">
        <v>0</v>
      </c>
      <c r="U571" t="s">
        <v>71</v>
      </c>
      <c r="V571">
        <v>0</v>
      </c>
      <c r="W571" t="s">
        <v>71</v>
      </c>
      <c r="X571">
        <v>0</v>
      </c>
      <c r="Y571">
        <v>6.9718299999999997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151</v>
      </c>
      <c r="AF571">
        <v>64</v>
      </c>
      <c r="AG571">
        <v>64</v>
      </c>
      <c r="AH571">
        <v>0</v>
      </c>
      <c r="AI571">
        <v>1.877</v>
      </c>
      <c r="AK571" t="s">
        <v>100</v>
      </c>
      <c r="AM571">
        <v>200000</v>
      </c>
      <c r="AN571" t="s">
        <v>97</v>
      </c>
      <c r="AO571">
        <v>1</v>
      </c>
      <c r="AP571">
        <v>0</v>
      </c>
      <c r="AQ571">
        <v>16666.666666666668</v>
      </c>
      <c r="AR571" t="s">
        <v>1900</v>
      </c>
      <c r="AS571" t="s">
        <v>75</v>
      </c>
      <c r="AX571" t="s">
        <v>76</v>
      </c>
      <c r="AY571" t="s">
        <v>71</v>
      </c>
      <c r="AZ571">
        <v>0</v>
      </c>
      <c r="BA571" t="s">
        <v>71</v>
      </c>
      <c r="BB571">
        <v>0</v>
      </c>
      <c r="BD571">
        <v>6.9718299999999997</v>
      </c>
    </row>
    <row r="572" spans="1:56" x14ac:dyDescent="0.15">
      <c r="A572" s="4" t="str">
        <f>HYPERLINK("https://ibp.a2mac1.com/costing(costing:projects/details/9760/part/8411729)","Gear")</f>
        <v>Gear</v>
      </c>
      <c r="B572">
        <v>8411729</v>
      </c>
      <c r="C572">
        <v>8411672</v>
      </c>
      <c r="E572">
        <v>1.9236760033333333</v>
      </c>
      <c r="F572">
        <v>0</v>
      </c>
      <c r="G572">
        <v>0</v>
      </c>
      <c r="H572">
        <v>4.159299466666667E-5</v>
      </c>
      <c r="I572" t="s">
        <v>176</v>
      </c>
      <c r="J572">
        <v>7.278774066666667E-2</v>
      </c>
      <c r="K572">
        <v>1.9965053369946666</v>
      </c>
      <c r="L572">
        <v>1.2206850104699898</v>
      </c>
      <c r="M572">
        <v>7.3241100628199396</v>
      </c>
      <c r="N572">
        <v>9.3206153998146064</v>
      </c>
      <c r="O572" t="s">
        <v>177</v>
      </c>
      <c r="P572">
        <v>0.11979032021968</v>
      </c>
      <c r="Q572" t="s">
        <v>177</v>
      </c>
      <c r="R572">
        <v>0.43944660376919636</v>
      </c>
      <c r="S572" t="s">
        <v>178</v>
      </c>
      <c r="T572">
        <v>1.1184738479777527</v>
      </c>
      <c r="U572" t="s">
        <v>90</v>
      </c>
      <c r="V572">
        <v>0</v>
      </c>
      <c r="W572" t="s">
        <v>90</v>
      </c>
      <c r="X572">
        <v>0</v>
      </c>
      <c r="Y572">
        <v>10.998326171781235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44</v>
      </c>
      <c r="AF572">
        <v>140</v>
      </c>
      <c r="AG572">
        <v>140</v>
      </c>
      <c r="AH572">
        <v>0</v>
      </c>
      <c r="AI572">
        <v>2.59</v>
      </c>
      <c r="AK572" t="s">
        <v>100</v>
      </c>
      <c r="AM572">
        <v>200000</v>
      </c>
      <c r="AN572" t="s">
        <v>97</v>
      </c>
      <c r="AO572">
        <v>1</v>
      </c>
      <c r="AP572">
        <v>0</v>
      </c>
      <c r="AQ572">
        <v>16666.666666666668</v>
      </c>
      <c r="AR572" t="s">
        <v>1905</v>
      </c>
      <c r="AS572" t="s">
        <v>75</v>
      </c>
      <c r="AX572" t="s">
        <v>76</v>
      </c>
      <c r="AY572" t="s">
        <v>176</v>
      </c>
      <c r="AZ572">
        <v>0</v>
      </c>
      <c r="BA572" t="s">
        <v>176</v>
      </c>
      <c r="BB572">
        <v>0</v>
      </c>
    </row>
    <row r="573" spans="1:56" x14ac:dyDescent="0.15">
      <c r="A573" s="4" t="str">
        <f>HYPERLINK("https://ibp.a2mac1.com/costing(costing:projects/details/9760/part/8411730)","Bearing on Main Housing-Left Bearing")</f>
        <v>Bearing on Main Housing-Left Bearing</v>
      </c>
      <c r="B573">
        <v>8411730</v>
      </c>
      <c r="C573">
        <v>8411672</v>
      </c>
      <c r="D573" t="s">
        <v>1765</v>
      </c>
      <c r="E573">
        <v>3.86</v>
      </c>
      <c r="F573">
        <v>0</v>
      </c>
      <c r="G573">
        <v>0</v>
      </c>
      <c r="H573">
        <v>0</v>
      </c>
      <c r="I573" t="s">
        <v>71</v>
      </c>
      <c r="J573">
        <v>0</v>
      </c>
      <c r="K573">
        <v>3.86</v>
      </c>
      <c r="L573">
        <v>0</v>
      </c>
      <c r="M573">
        <v>0</v>
      </c>
      <c r="N573">
        <v>3.86</v>
      </c>
      <c r="O573" t="s">
        <v>71</v>
      </c>
      <c r="P573">
        <v>0</v>
      </c>
      <c r="Q573" t="s">
        <v>71</v>
      </c>
      <c r="R573">
        <v>0</v>
      </c>
      <c r="S573" t="s">
        <v>71</v>
      </c>
      <c r="T573">
        <v>0</v>
      </c>
      <c r="U573" t="s">
        <v>71</v>
      </c>
      <c r="V573">
        <v>0</v>
      </c>
      <c r="W573" t="s">
        <v>71</v>
      </c>
      <c r="X573">
        <v>0</v>
      </c>
      <c r="Y573">
        <v>3.86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25</v>
      </c>
      <c r="AF573">
        <v>73</v>
      </c>
      <c r="AG573">
        <v>73</v>
      </c>
      <c r="AH573">
        <v>0</v>
      </c>
      <c r="AI573">
        <v>0.35799999999999998</v>
      </c>
      <c r="AK573" t="s">
        <v>100</v>
      </c>
      <c r="AM573">
        <v>200000</v>
      </c>
      <c r="AN573" t="s">
        <v>97</v>
      </c>
      <c r="AO573">
        <v>1</v>
      </c>
      <c r="AP573">
        <v>0</v>
      </c>
      <c r="AQ573">
        <v>16666.666666666668</v>
      </c>
      <c r="AR573" t="s">
        <v>1906</v>
      </c>
      <c r="AS573" t="s">
        <v>75</v>
      </c>
      <c r="AX573" t="s">
        <v>76</v>
      </c>
      <c r="AY573" t="s">
        <v>71</v>
      </c>
      <c r="AZ573">
        <v>0</v>
      </c>
      <c r="BA573" t="s">
        <v>71</v>
      </c>
      <c r="BB573">
        <v>0</v>
      </c>
      <c r="BD573">
        <v>3.86</v>
      </c>
    </row>
    <row r="574" spans="1:56" x14ac:dyDescent="0.15">
      <c r="A574" s="4" t="str">
        <f>HYPERLINK("https://ibp.a2mac1.com/costing(costing:projects/details/9760/part/8411731)","Bearing on Secondary Housing-Right Bearing")</f>
        <v>Bearing on Secondary Housing-Right Bearing</v>
      </c>
      <c r="B574">
        <v>8411731</v>
      </c>
      <c r="C574">
        <v>8411672</v>
      </c>
      <c r="D574" t="s">
        <v>1765</v>
      </c>
      <c r="E574">
        <v>4.8114999999999997</v>
      </c>
      <c r="F574">
        <v>0</v>
      </c>
      <c r="G574">
        <v>0</v>
      </c>
      <c r="H574">
        <v>0</v>
      </c>
      <c r="I574" t="s">
        <v>71</v>
      </c>
      <c r="J574">
        <v>0</v>
      </c>
      <c r="K574">
        <v>4.8114999999999997</v>
      </c>
      <c r="L574">
        <v>0</v>
      </c>
      <c r="M574">
        <v>0</v>
      </c>
      <c r="N574">
        <v>4.8114999999999997</v>
      </c>
      <c r="O574" t="s">
        <v>71</v>
      </c>
      <c r="P574">
        <v>0</v>
      </c>
      <c r="Q574" t="s">
        <v>71</v>
      </c>
      <c r="R574">
        <v>0</v>
      </c>
      <c r="S574" t="s">
        <v>71</v>
      </c>
      <c r="T574">
        <v>0</v>
      </c>
      <c r="U574" t="s">
        <v>71</v>
      </c>
      <c r="V574">
        <v>0</v>
      </c>
      <c r="W574" t="s">
        <v>71</v>
      </c>
      <c r="X574">
        <v>0</v>
      </c>
      <c r="Y574">
        <v>4.8114999999999997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25</v>
      </c>
      <c r="AF574">
        <v>79</v>
      </c>
      <c r="AG574">
        <v>79</v>
      </c>
      <c r="AH574">
        <v>0</v>
      </c>
      <c r="AI574">
        <v>0.40200000000000002</v>
      </c>
      <c r="AK574" t="s">
        <v>100</v>
      </c>
      <c r="AM574">
        <v>200000</v>
      </c>
      <c r="AN574" t="s">
        <v>97</v>
      </c>
      <c r="AO574">
        <v>1</v>
      </c>
      <c r="AP574">
        <v>0</v>
      </c>
      <c r="AQ574">
        <v>16666.666666666668</v>
      </c>
      <c r="AR574" t="s">
        <v>1907</v>
      </c>
      <c r="AS574" t="s">
        <v>75</v>
      </c>
      <c r="AX574" t="s">
        <v>76</v>
      </c>
      <c r="AY574" t="s">
        <v>71</v>
      </c>
      <c r="AZ574">
        <v>0</v>
      </c>
      <c r="BA574" t="s">
        <v>71</v>
      </c>
      <c r="BB574">
        <v>0</v>
      </c>
      <c r="BD574">
        <v>4.8114999999999997</v>
      </c>
    </row>
    <row r="575" spans="1:56" x14ac:dyDescent="0.15">
      <c r="A575" s="4" t="str">
        <f>HYPERLINK("https://ibp.a2mac1.com/costing(costing:projects/details/9760/part/8411732)","Adjustment Ring")</f>
        <v>Adjustment Ring</v>
      </c>
      <c r="B575">
        <v>8411732</v>
      </c>
      <c r="C575">
        <v>8411672</v>
      </c>
      <c r="D575" t="s">
        <v>1786</v>
      </c>
      <c r="E575">
        <v>0.1077</v>
      </c>
      <c r="F575">
        <v>0</v>
      </c>
      <c r="G575">
        <v>0</v>
      </c>
      <c r="H575">
        <v>0</v>
      </c>
      <c r="I575" t="s">
        <v>71</v>
      </c>
      <c r="J575">
        <v>0</v>
      </c>
      <c r="K575">
        <v>0.1077</v>
      </c>
      <c r="L575">
        <v>0</v>
      </c>
      <c r="M575">
        <v>0</v>
      </c>
      <c r="N575">
        <v>0.1077</v>
      </c>
      <c r="O575" t="s">
        <v>71</v>
      </c>
      <c r="P575">
        <v>0</v>
      </c>
      <c r="Q575" t="s">
        <v>71</v>
      </c>
      <c r="R575">
        <v>0</v>
      </c>
      <c r="S575" t="s">
        <v>71</v>
      </c>
      <c r="T575">
        <v>0</v>
      </c>
      <c r="U575" t="s">
        <v>71</v>
      </c>
      <c r="V575">
        <v>0</v>
      </c>
      <c r="W575" t="s">
        <v>71</v>
      </c>
      <c r="X575">
        <v>0</v>
      </c>
      <c r="Y575">
        <v>0.1077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80</v>
      </c>
      <c r="AG575">
        <v>80</v>
      </c>
      <c r="AH575">
        <v>0</v>
      </c>
      <c r="AI575">
        <v>1.0999999999999999E-2</v>
      </c>
      <c r="AK575" t="s">
        <v>100</v>
      </c>
      <c r="AM575">
        <v>200000</v>
      </c>
      <c r="AN575" t="s">
        <v>97</v>
      </c>
      <c r="AO575">
        <v>1</v>
      </c>
      <c r="AP575">
        <v>0</v>
      </c>
      <c r="AQ575">
        <v>16666.666666666668</v>
      </c>
      <c r="AR575" t="s">
        <v>1908</v>
      </c>
      <c r="AS575" t="s">
        <v>75</v>
      </c>
      <c r="AX575" t="s">
        <v>76</v>
      </c>
      <c r="AY575" t="s">
        <v>71</v>
      </c>
      <c r="AZ575">
        <v>0</v>
      </c>
      <c r="BA575" t="s">
        <v>71</v>
      </c>
      <c r="BB575">
        <v>0</v>
      </c>
      <c r="BD575">
        <v>0.1077</v>
      </c>
    </row>
    <row r="576" spans="1:56" x14ac:dyDescent="0.15">
      <c r="A576" s="4" t="str">
        <f>HYPERLINK("https://ibp.a2mac1.com/costing(costing:projects/details/9760/part/8411733)","Bearing Cage on Right Housing")</f>
        <v>Bearing Cage on Right Housing</v>
      </c>
      <c r="B576">
        <v>8411733</v>
      </c>
      <c r="C576">
        <v>8411672</v>
      </c>
      <c r="E576">
        <v>0.1</v>
      </c>
      <c r="F576">
        <v>0</v>
      </c>
      <c r="G576">
        <v>0</v>
      </c>
      <c r="H576">
        <v>0</v>
      </c>
      <c r="I576" t="s">
        <v>71</v>
      </c>
      <c r="J576">
        <v>0</v>
      </c>
      <c r="K576">
        <v>0.1</v>
      </c>
      <c r="L576">
        <v>0</v>
      </c>
      <c r="M576">
        <v>0</v>
      </c>
      <c r="N576">
        <v>0.1</v>
      </c>
      <c r="O576" t="s">
        <v>71</v>
      </c>
      <c r="P576">
        <v>0</v>
      </c>
      <c r="Q576" t="s">
        <v>71</v>
      </c>
      <c r="R576">
        <v>0</v>
      </c>
      <c r="S576" t="s">
        <v>71</v>
      </c>
      <c r="T576">
        <v>0</v>
      </c>
      <c r="U576" t="s">
        <v>71</v>
      </c>
      <c r="V576">
        <v>0</v>
      </c>
      <c r="W576" t="s">
        <v>71</v>
      </c>
      <c r="X576">
        <v>0</v>
      </c>
      <c r="Y576">
        <v>0.1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80</v>
      </c>
      <c r="AF576">
        <v>80</v>
      </c>
      <c r="AG576">
        <v>19</v>
      </c>
      <c r="AI576">
        <v>0.17799999999999999</v>
      </c>
      <c r="AK576" t="s">
        <v>1761</v>
      </c>
      <c r="AL576" t="s">
        <v>96</v>
      </c>
      <c r="AM576">
        <v>200000</v>
      </c>
      <c r="AN576" t="s">
        <v>97</v>
      </c>
      <c r="AO576">
        <v>1</v>
      </c>
      <c r="AP576">
        <v>0</v>
      </c>
      <c r="AQ576">
        <v>16666.666666666668</v>
      </c>
      <c r="AR576" t="s">
        <v>1909</v>
      </c>
      <c r="AS576" t="s">
        <v>75</v>
      </c>
      <c r="AX576" t="s">
        <v>76</v>
      </c>
      <c r="AY576" t="s">
        <v>71</v>
      </c>
      <c r="AZ576">
        <v>0</v>
      </c>
      <c r="BA576" t="s">
        <v>71</v>
      </c>
      <c r="BB576">
        <v>0</v>
      </c>
      <c r="BD576">
        <v>0.1</v>
      </c>
    </row>
    <row r="577" spans="1:56" x14ac:dyDescent="0.15">
      <c r="A577" s="4" t="str">
        <f>HYPERLINK("https://ibp.a2mac1.com/costing(costing:projects/details/9760/part/8411734)","Bearing Cage on Left Housing")</f>
        <v>Bearing Cage on Left Housing</v>
      </c>
      <c r="B577">
        <v>8411734</v>
      </c>
      <c r="C577">
        <v>8411672</v>
      </c>
      <c r="E577">
        <v>0.1</v>
      </c>
      <c r="F577">
        <v>0</v>
      </c>
      <c r="G577">
        <v>0</v>
      </c>
      <c r="H577">
        <v>0</v>
      </c>
      <c r="I577" t="s">
        <v>71</v>
      </c>
      <c r="J577">
        <v>0</v>
      </c>
      <c r="K577">
        <v>0.1</v>
      </c>
      <c r="L577">
        <v>0</v>
      </c>
      <c r="M577">
        <v>0</v>
      </c>
      <c r="N577">
        <v>0.1</v>
      </c>
      <c r="O577" t="s">
        <v>71</v>
      </c>
      <c r="P577">
        <v>0</v>
      </c>
      <c r="Q577" t="s">
        <v>71</v>
      </c>
      <c r="R577">
        <v>0</v>
      </c>
      <c r="S577" t="s">
        <v>71</v>
      </c>
      <c r="T577">
        <v>0</v>
      </c>
      <c r="U577" t="s">
        <v>71</v>
      </c>
      <c r="V577">
        <v>0</v>
      </c>
      <c r="W577" t="s">
        <v>71</v>
      </c>
      <c r="X577">
        <v>0</v>
      </c>
      <c r="Y577">
        <v>0.1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85</v>
      </c>
      <c r="AF577">
        <v>85</v>
      </c>
      <c r="AG577">
        <v>19</v>
      </c>
      <c r="AI577">
        <v>0.184</v>
      </c>
      <c r="AK577" t="s">
        <v>1761</v>
      </c>
      <c r="AL577" t="s">
        <v>96</v>
      </c>
      <c r="AM577">
        <v>200000</v>
      </c>
      <c r="AN577" t="s">
        <v>97</v>
      </c>
      <c r="AO577">
        <v>1</v>
      </c>
      <c r="AP577">
        <v>0</v>
      </c>
      <c r="AQ577">
        <v>16666.666666666668</v>
      </c>
      <c r="AR577" t="s">
        <v>1910</v>
      </c>
      <c r="AS577" t="s">
        <v>75</v>
      </c>
      <c r="AX577" t="s">
        <v>76</v>
      </c>
      <c r="AY577" t="s">
        <v>71</v>
      </c>
      <c r="AZ577">
        <v>0</v>
      </c>
      <c r="BA577" t="s">
        <v>71</v>
      </c>
      <c r="BB577">
        <v>0</v>
      </c>
      <c r="BD577">
        <v>0.1</v>
      </c>
    </row>
    <row r="578" spans="1:56" x14ac:dyDescent="0.15">
      <c r="A578" s="4" t="str">
        <f>HYPERLINK("https://ibp.a2mac1.com/costing(costing:projects/details/9760/part/8411735)","Oil Drain Plug")</f>
        <v>Oil Drain Plug</v>
      </c>
      <c r="B578">
        <v>8411735</v>
      </c>
      <c r="C578">
        <v>8411673</v>
      </c>
      <c r="D578" t="s">
        <v>1818</v>
      </c>
      <c r="E578">
        <v>0.24635000000000001</v>
      </c>
      <c r="F578">
        <v>0</v>
      </c>
      <c r="G578">
        <v>0</v>
      </c>
      <c r="H578">
        <v>0</v>
      </c>
      <c r="I578" t="s">
        <v>71</v>
      </c>
      <c r="J578">
        <v>0</v>
      </c>
      <c r="K578">
        <v>0.24635000000000001</v>
      </c>
      <c r="L578">
        <v>0</v>
      </c>
      <c r="M578">
        <v>0</v>
      </c>
      <c r="N578">
        <v>0.24635000000000001</v>
      </c>
      <c r="O578" t="s">
        <v>71</v>
      </c>
      <c r="P578">
        <v>0</v>
      </c>
      <c r="Q578" t="s">
        <v>71</v>
      </c>
      <c r="R578">
        <v>0</v>
      </c>
      <c r="S578" t="s">
        <v>71</v>
      </c>
      <c r="T578">
        <v>0</v>
      </c>
      <c r="U578" t="s">
        <v>71</v>
      </c>
      <c r="V578">
        <v>0</v>
      </c>
      <c r="W578" t="s">
        <v>71</v>
      </c>
      <c r="X578">
        <v>0</v>
      </c>
      <c r="Y578">
        <v>0.24635000000000001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21</v>
      </c>
      <c r="AF578">
        <v>29</v>
      </c>
      <c r="AG578">
        <v>29</v>
      </c>
      <c r="AH578">
        <v>0</v>
      </c>
      <c r="AI578">
        <v>4.2999999999999997E-2</v>
      </c>
      <c r="AK578" t="s">
        <v>100</v>
      </c>
      <c r="AM578">
        <v>200000</v>
      </c>
      <c r="AN578" t="s">
        <v>97</v>
      </c>
      <c r="AO578">
        <v>1</v>
      </c>
      <c r="AP578">
        <v>0</v>
      </c>
      <c r="AQ578">
        <v>16666.666666666668</v>
      </c>
      <c r="AR578" t="s">
        <v>1913</v>
      </c>
      <c r="AS578" t="s">
        <v>75</v>
      </c>
      <c r="AX578" t="s">
        <v>76</v>
      </c>
      <c r="AY578" t="s">
        <v>71</v>
      </c>
      <c r="AZ578">
        <v>0</v>
      </c>
      <c r="BA578" t="s">
        <v>71</v>
      </c>
      <c r="BB578">
        <v>0</v>
      </c>
      <c r="BD578">
        <v>0.24635000000000001</v>
      </c>
    </row>
    <row r="579" spans="1:56" x14ac:dyDescent="0.15">
      <c r="A579" s="4" t="str">
        <f>HYPERLINK("https://ibp.a2mac1.com/costing(costing:projects/details/9760/part/8411736)","Level Cap")</f>
        <v>Level Cap</v>
      </c>
      <c r="B579">
        <v>8411736</v>
      </c>
      <c r="C579">
        <v>8411673</v>
      </c>
      <c r="D579" t="s">
        <v>1818</v>
      </c>
      <c r="E579">
        <v>0.16880999999999999</v>
      </c>
      <c r="F579">
        <v>0</v>
      </c>
      <c r="G579">
        <v>0</v>
      </c>
      <c r="H579">
        <v>0</v>
      </c>
      <c r="I579" t="s">
        <v>71</v>
      </c>
      <c r="J579">
        <v>0</v>
      </c>
      <c r="K579">
        <v>0.16880999999999999</v>
      </c>
      <c r="L579">
        <v>0</v>
      </c>
      <c r="M579">
        <v>0</v>
      </c>
      <c r="N579">
        <v>0.16880999999999999</v>
      </c>
      <c r="O579" t="s">
        <v>71</v>
      </c>
      <c r="P579">
        <v>0</v>
      </c>
      <c r="Q579" t="s">
        <v>71</v>
      </c>
      <c r="R579">
        <v>0</v>
      </c>
      <c r="S579" t="s">
        <v>71</v>
      </c>
      <c r="T579">
        <v>0</v>
      </c>
      <c r="U579" t="s">
        <v>71</v>
      </c>
      <c r="V579">
        <v>0</v>
      </c>
      <c r="W579" t="s">
        <v>71</v>
      </c>
      <c r="X579">
        <v>0</v>
      </c>
      <c r="Y579">
        <v>0.16880999999999999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17</v>
      </c>
      <c r="AF579">
        <v>25</v>
      </c>
      <c r="AG579">
        <v>25</v>
      </c>
      <c r="AH579">
        <v>0</v>
      </c>
      <c r="AI579">
        <v>2.8000000000000001E-2</v>
      </c>
      <c r="AK579" t="s">
        <v>100</v>
      </c>
      <c r="AM579">
        <v>200000</v>
      </c>
      <c r="AN579" t="s">
        <v>97</v>
      </c>
      <c r="AO579">
        <v>1</v>
      </c>
      <c r="AP579">
        <v>0</v>
      </c>
      <c r="AQ579">
        <v>16666.666666666668</v>
      </c>
      <c r="AR579" t="s">
        <v>1914</v>
      </c>
      <c r="AS579" t="s">
        <v>75</v>
      </c>
      <c r="AX579" t="s">
        <v>76</v>
      </c>
      <c r="AY579" t="s">
        <v>71</v>
      </c>
      <c r="AZ579">
        <v>0</v>
      </c>
      <c r="BA579" t="s">
        <v>71</v>
      </c>
      <c r="BB579">
        <v>0</v>
      </c>
      <c r="BD579">
        <v>0.16880999999999999</v>
      </c>
    </row>
    <row r="580" spans="1:56" x14ac:dyDescent="0.15">
      <c r="A580" s="4" t="str">
        <f>HYPERLINK("https://ibp.a2mac1.com/costing(costing:projects/details/9760/part/8411737)","Filling Up Cap")</f>
        <v>Filling Up Cap</v>
      </c>
      <c r="B580">
        <v>8411737</v>
      </c>
      <c r="C580">
        <v>8411673</v>
      </c>
      <c r="D580" t="s">
        <v>1818</v>
      </c>
      <c r="E580">
        <v>0.16880999999999999</v>
      </c>
      <c r="F580">
        <v>0</v>
      </c>
      <c r="G580">
        <v>0</v>
      </c>
      <c r="H580">
        <v>0</v>
      </c>
      <c r="I580" t="s">
        <v>71</v>
      </c>
      <c r="J580">
        <v>0</v>
      </c>
      <c r="K580">
        <v>0.16880999999999999</v>
      </c>
      <c r="L580">
        <v>0</v>
      </c>
      <c r="M580">
        <v>0</v>
      </c>
      <c r="N580">
        <v>0.16880999999999999</v>
      </c>
      <c r="O580" t="s">
        <v>71</v>
      </c>
      <c r="P580">
        <v>0</v>
      </c>
      <c r="Q580" t="s">
        <v>71</v>
      </c>
      <c r="R580">
        <v>0</v>
      </c>
      <c r="S580" t="s">
        <v>71</v>
      </c>
      <c r="T580">
        <v>0</v>
      </c>
      <c r="U580" t="s">
        <v>71</v>
      </c>
      <c r="V580">
        <v>0</v>
      </c>
      <c r="W580" t="s">
        <v>71</v>
      </c>
      <c r="X580">
        <v>0</v>
      </c>
      <c r="Y580">
        <v>0.16880999999999999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17</v>
      </c>
      <c r="AF580">
        <v>25</v>
      </c>
      <c r="AG580">
        <v>25</v>
      </c>
      <c r="AH580">
        <v>0</v>
      </c>
      <c r="AI580">
        <v>2.8000000000000001E-2</v>
      </c>
      <c r="AK580" t="s">
        <v>100</v>
      </c>
      <c r="AM580">
        <v>200000</v>
      </c>
      <c r="AN580" t="s">
        <v>97</v>
      </c>
      <c r="AO580">
        <v>1</v>
      </c>
      <c r="AP580">
        <v>0</v>
      </c>
      <c r="AQ580">
        <v>16666.666666666668</v>
      </c>
      <c r="AR580" t="s">
        <v>1915</v>
      </c>
      <c r="AS580" t="s">
        <v>75</v>
      </c>
      <c r="AX580" t="s">
        <v>76</v>
      </c>
      <c r="AY580" t="s">
        <v>71</v>
      </c>
      <c r="AZ580">
        <v>0</v>
      </c>
      <c r="BA580" t="s">
        <v>71</v>
      </c>
      <c r="BB580">
        <v>0</v>
      </c>
      <c r="BD580">
        <v>0.16880999999999999</v>
      </c>
    </row>
    <row r="581" spans="1:56" x14ac:dyDescent="0.15">
      <c r="A581" s="4" t="str">
        <f>HYPERLINK("https://ibp.a2mac1.com/costing(costing:projects/details/9760/part/8411738)","Lubrication Screen")</f>
        <v>Lubrication Screen</v>
      </c>
      <c r="B581">
        <v>8411738</v>
      </c>
      <c r="C581">
        <v>8411673</v>
      </c>
      <c r="D581" t="s">
        <v>1827</v>
      </c>
      <c r="E581">
        <v>0.98540000000000005</v>
      </c>
      <c r="F581">
        <v>0</v>
      </c>
      <c r="G581">
        <v>0</v>
      </c>
      <c r="H581">
        <v>0</v>
      </c>
      <c r="I581" t="s">
        <v>71</v>
      </c>
      <c r="J581">
        <v>0</v>
      </c>
      <c r="K581">
        <v>0.98540000000000005</v>
      </c>
      <c r="L581">
        <v>0</v>
      </c>
      <c r="M581">
        <v>0</v>
      </c>
      <c r="N581">
        <v>0.98540000000000005</v>
      </c>
      <c r="O581" t="s">
        <v>71</v>
      </c>
      <c r="P581">
        <v>0</v>
      </c>
      <c r="Q581" t="s">
        <v>71</v>
      </c>
      <c r="R581">
        <v>0</v>
      </c>
      <c r="S581" t="s">
        <v>71</v>
      </c>
      <c r="T581">
        <v>0</v>
      </c>
      <c r="U581" t="s">
        <v>71</v>
      </c>
      <c r="V581">
        <v>0</v>
      </c>
      <c r="W581" t="s">
        <v>71</v>
      </c>
      <c r="X581">
        <v>0</v>
      </c>
      <c r="Y581">
        <v>0.98540000000000005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82</v>
      </c>
      <c r="AF581">
        <v>114</v>
      </c>
      <c r="AG581">
        <v>185</v>
      </c>
      <c r="AH581">
        <v>0</v>
      </c>
      <c r="AI581">
        <v>6.4000000000000001E-2</v>
      </c>
      <c r="AK581" t="s">
        <v>100</v>
      </c>
      <c r="AM581">
        <v>200000</v>
      </c>
      <c r="AN581" t="s">
        <v>97</v>
      </c>
      <c r="AO581">
        <v>1</v>
      </c>
      <c r="AP581">
        <v>0</v>
      </c>
      <c r="AQ581">
        <v>16666.666666666668</v>
      </c>
      <c r="AR581" t="s">
        <v>1916</v>
      </c>
      <c r="AS581" t="s">
        <v>75</v>
      </c>
      <c r="AX581" t="s">
        <v>76</v>
      </c>
      <c r="AY581" t="s">
        <v>71</v>
      </c>
      <c r="AZ581">
        <v>0</v>
      </c>
      <c r="BA581" t="s">
        <v>71</v>
      </c>
      <c r="BB581">
        <v>0</v>
      </c>
      <c r="BD581">
        <v>0.98540000000000005</v>
      </c>
    </row>
    <row r="582" spans="1:56" x14ac:dyDescent="0.15">
      <c r="A582" s="4" t="str">
        <f>HYPERLINK("https://ibp.a2mac1.com/costing(costing:projects/details/9760/part/8411739)","2nd Lubrication Screen")</f>
        <v>2nd Lubrication Screen</v>
      </c>
      <c r="B582">
        <v>8411739</v>
      </c>
      <c r="C582">
        <v>8411673</v>
      </c>
      <c r="D582" t="s">
        <v>1827</v>
      </c>
      <c r="E582">
        <v>0.66376999999999997</v>
      </c>
      <c r="F582">
        <v>0</v>
      </c>
      <c r="G582">
        <v>0</v>
      </c>
      <c r="H582">
        <v>0</v>
      </c>
      <c r="I582" t="s">
        <v>71</v>
      </c>
      <c r="J582">
        <v>0</v>
      </c>
      <c r="K582">
        <v>0.66376999999999997</v>
      </c>
      <c r="L582">
        <v>0</v>
      </c>
      <c r="M582">
        <v>0</v>
      </c>
      <c r="N582">
        <v>0.66376999999999997</v>
      </c>
      <c r="O582" t="s">
        <v>71</v>
      </c>
      <c r="P582">
        <v>0</v>
      </c>
      <c r="Q582" t="s">
        <v>71</v>
      </c>
      <c r="R582">
        <v>0</v>
      </c>
      <c r="S582" t="s">
        <v>71</v>
      </c>
      <c r="T582">
        <v>0</v>
      </c>
      <c r="U582" t="s">
        <v>71</v>
      </c>
      <c r="V582">
        <v>0</v>
      </c>
      <c r="W582" t="s">
        <v>71</v>
      </c>
      <c r="X582">
        <v>0</v>
      </c>
      <c r="Y582">
        <v>0.66376999999999997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18</v>
      </c>
      <c r="AF582">
        <v>169</v>
      </c>
      <c r="AG582">
        <v>86</v>
      </c>
      <c r="AH582">
        <v>0</v>
      </c>
      <c r="AI582">
        <v>2.7E-2</v>
      </c>
      <c r="AK582" t="s">
        <v>100</v>
      </c>
      <c r="AM582">
        <v>200000</v>
      </c>
      <c r="AN582" t="s">
        <v>97</v>
      </c>
      <c r="AO582">
        <v>1</v>
      </c>
      <c r="AP582">
        <v>0</v>
      </c>
      <c r="AQ582">
        <v>16666.666666666668</v>
      </c>
      <c r="AR582" t="s">
        <v>1917</v>
      </c>
      <c r="AS582" t="s">
        <v>75</v>
      </c>
      <c r="AX582" t="s">
        <v>76</v>
      </c>
      <c r="AY582" t="s">
        <v>71</v>
      </c>
      <c r="AZ582">
        <v>0</v>
      </c>
      <c r="BA582" t="s">
        <v>71</v>
      </c>
      <c r="BB582">
        <v>0</v>
      </c>
      <c r="BD582">
        <v>0.66376999999999997</v>
      </c>
    </row>
    <row r="583" spans="1:56" x14ac:dyDescent="0.15">
      <c r="A583" s="4" t="str">
        <f>HYPERLINK("https://ibp.a2mac1.com/costing(costing:projects/details/9760/part/8411740)","3rd Lubrication Screen")</f>
        <v>3rd Lubrication Screen</v>
      </c>
      <c r="B583">
        <v>8411740</v>
      </c>
      <c r="C583">
        <v>8411673</v>
      </c>
      <c r="D583" t="s">
        <v>1823</v>
      </c>
      <c r="E583">
        <v>0.29332000000000003</v>
      </c>
      <c r="F583">
        <v>0</v>
      </c>
      <c r="G583">
        <v>0</v>
      </c>
      <c r="H583">
        <v>0</v>
      </c>
      <c r="I583" t="s">
        <v>71</v>
      </c>
      <c r="J583">
        <v>0</v>
      </c>
      <c r="K583">
        <v>0.29332000000000003</v>
      </c>
      <c r="L583">
        <v>0</v>
      </c>
      <c r="M583">
        <v>0</v>
      </c>
      <c r="N583">
        <v>0.29332000000000003</v>
      </c>
      <c r="O583" t="s">
        <v>71</v>
      </c>
      <c r="P583">
        <v>0</v>
      </c>
      <c r="Q583" t="s">
        <v>71</v>
      </c>
      <c r="R583">
        <v>0</v>
      </c>
      <c r="S583" t="s">
        <v>71</v>
      </c>
      <c r="T583">
        <v>0</v>
      </c>
      <c r="U583" t="s">
        <v>71</v>
      </c>
      <c r="V583">
        <v>0</v>
      </c>
      <c r="W583" t="s">
        <v>71</v>
      </c>
      <c r="X583">
        <v>0</v>
      </c>
      <c r="Y583">
        <v>0.29332000000000003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83</v>
      </c>
      <c r="AF583">
        <v>30</v>
      </c>
      <c r="AG583">
        <v>30</v>
      </c>
      <c r="AH583">
        <v>0</v>
      </c>
      <c r="AI583">
        <v>2.1000000000000001E-2</v>
      </c>
      <c r="AK583" t="s">
        <v>100</v>
      </c>
      <c r="AM583">
        <v>200000</v>
      </c>
      <c r="AN583" t="s">
        <v>97</v>
      </c>
      <c r="AO583">
        <v>1</v>
      </c>
      <c r="AP583">
        <v>0</v>
      </c>
      <c r="AQ583">
        <v>16666.666666666668</v>
      </c>
      <c r="AR583" t="s">
        <v>1918</v>
      </c>
      <c r="AS583" t="s">
        <v>75</v>
      </c>
      <c r="AX583" t="s">
        <v>76</v>
      </c>
      <c r="AY583" t="s">
        <v>71</v>
      </c>
      <c r="AZ583">
        <v>0</v>
      </c>
      <c r="BA583" t="s">
        <v>71</v>
      </c>
      <c r="BB583">
        <v>0</v>
      </c>
      <c r="BD583">
        <v>0.29332000000000003</v>
      </c>
    </row>
    <row r="584" spans="1:56" x14ac:dyDescent="0.15">
      <c r="A584" s="4" t="str">
        <f>HYPERLINK("https://ibp.a2mac1.com/costing(costing:projects/details/9760/part/8411741)","Inner Pipe")</f>
        <v>Inner Pipe</v>
      </c>
      <c r="B584">
        <v>8411741</v>
      </c>
      <c r="C584">
        <v>8411673</v>
      </c>
      <c r="D584" t="s">
        <v>1825</v>
      </c>
      <c r="E584">
        <v>0.19853999999999999</v>
      </c>
      <c r="F584">
        <v>0</v>
      </c>
      <c r="G584">
        <v>0</v>
      </c>
      <c r="H584">
        <v>0</v>
      </c>
      <c r="I584" t="s">
        <v>71</v>
      </c>
      <c r="J584">
        <v>0</v>
      </c>
      <c r="K584">
        <v>0.19853999999999999</v>
      </c>
      <c r="L584">
        <v>0</v>
      </c>
      <c r="M584">
        <v>0</v>
      </c>
      <c r="N584">
        <v>0.19853999999999999</v>
      </c>
      <c r="O584" t="s">
        <v>71</v>
      </c>
      <c r="P584">
        <v>0</v>
      </c>
      <c r="Q584" t="s">
        <v>71</v>
      </c>
      <c r="R584">
        <v>0</v>
      </c>
      <c r="S584" t="s">
        <v>71</v>
      </c>
      <c r="T584">
        <v>0</v>
      </c>
      <c r="U584" t="s">
        <v>71</v>
      </c>
      <c r="V584">
        <v>0</v>
      </c>
      <c r="W584" t="s">
        <v>71</v>
      </c>
      <c r="X584">
        <v>0</v>
      </c>
      <c r="Y584">
        <v>0.19853999999999999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28</v>
      </c>
      <c r="AF584">
        <v>26</v>
      </c>
      <c r="AG584">
        <v>42</v>
      </c>
      <c r="AH584">
        <v>0</v>
      </c>
      <c r="AI584">
        <v>1.2E-2</v>
      </c>
      <c r="AK584" t="s">
        <v>100</v>
      </c>
      <c r="AM584">
        <v>200000</v>
      </c>
      <c r="AN584" t="s">
        <v>97</v>
      </c>
      <c r="AO584">
        <v>1</v>
      </c>
      <c r="AP584">
        <v>0</v>
      </c>
      <c r="AQ584">
        <v>16666.666666666668</v>
      </c>
      <c r="AR584" t="s">
        <v>1919</v>
      </c>
      <c r="AS584" t="s">
        <v>75</v>
      </c>
      <c r="AX584" t="s">
        <v>76</v>
      </c>
      <c r="AY584" t="s">
        <v>71</v>
      </c>
      <c r="AZ584">
        <v>0</v>
      </c>
      <c r="BA584" t="s">
        <v>71</v>
      </c>
      <c r="BB584">
        <v>0</v>
      </c>
      <c r="BD584">
        <v>0.19853999999999999</v>
      </c>
    </row>
    <row r="585" spans="1:56" x14ac:dyDescent="0.15">
      <c r="A585" s="4" t="str">
        <f>HYPERLINK("https://ibp.a2mac1.com/costing(costing:projects/details/9760/part/8411742)","Magnet")</f>
        <v>Magnet</v>
      </c>
      <c r="B585">
        <v>8411742</v>
      </c>
      <c r="C585">
        <v>8411673</v>
      </c>
      <c r="D585" t="s">
        <v>1821</v>
      </c>
      <c r="E585">
        <v>0.47970000000000002</v>
      </c>
      <c r="F585">
        <v>0</v>
      </c>
      <c r="G585">
        <v>0</v>
      </c>
      <c r="H585">
        <v>0</v>
      </c>
      <c r="I585" t="s">
        <v>71</v>
      </c>
      <c r="J585">
        <v>0</v>
      </c>
      <c r="K585">
        <v>0.47970000000000002</v>
      </c>
      <c r="L585">
        <v>0</v>
      </c>
      <c r="M585">
        <v>0</v>
      </c>
      <c r="N585">
        <v>0.47970000000000002</v>
      </c>
      <c r="O585" t="s">
        <v>71</v>
      </c>
      <c r="P585">
        <v>0</v>
      </c>
      <c r="Q585" t="s">
        <v>71</v>
      </c>
      <c r="R585">
        <v>0</v>
      </c>
      <c r="S585" t="s">
        <v>71</v>
      </c>
      <c r="T585">
        <v>0</v>
      </c>
      <c r="U585" t="s">
        <v>71</v>
      </c>
      <c r="V585">
        <v>0</v>
      </c>
      <c r="W585" t="s">
        <v>71</v>
      </c>
      <c r="X585">
        <v>0</v>
      </c>
      <c r="Y585">
        <v>0.47970000000000002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6</v>
      </c>
      <c r="AF585">
        <v>60</v>
      </c>
      <c r="AG585">
        <v>22</v>
      </c>
      <c r="AH585">
        <v>0</v>
      </c>
      <c r="AI585">
        <v>3.9E-2</v>
      </c>
      <c r="AK585" t="s">
        <v>100</v>
      </c>
      <c r="AM585">
        <v>200000</v>
      </c>
      <c r="AN585" t="s">
        <v>97</v>
      </c>
      <c r="AO585">
        <v>1</v>
      </c>
      <c r="AP585">
        <v>0</v>
      </c>
      <c r="AQ585">
        <v>16666.666666666668</v>
      </c>
      <c r="AR585" t="s">
        <v>1920</v>
      </c>
      <c r="AS585" t="s">
        <v>75</v>
      </c>
      <c r="AX585" t="s">
        <v>76</v>
      </c>
      <c r="AY585" t="s">
        <v>71</v>
      </c>
      <c r="AZ585">
        <v>0</v>
      </c>
      <c r="BA585" t="s">
        <v>71</v>
      </c>
      <c r="BB585">
        <v>0</v>
      </c>
      <c r="BD585">
        <v>0.47970000000000002</v>
      </c>
    </row>
    <row r="586" spans="1:56" x14ac:dyDescent="0.15">
      <c r="A586" s="4" t="str">
        <f>HYPERLINK("https://ibp.a2mac1.com/costing(costing:projects/details/9760/part/8411743)","Complete oil pump")</f>
        <v>Complete oil pump</v>
      </c>
      <c r="B586">
        <v>8411743</v>
      </c>
      <c r="C586">
        <v>8411673</v>
      </c>
      <c r="D586" t="s">
        <v>1830</v>
      </c>
      <c r="E586">
        <v>28.58</v>
      </c>
      <c r="F586">
        <v>0</v>
      </c>
      <c r="G586">
        <v>0</v>
      </c>
      <c r="H586">
        <v>0</v>
      </c>
      <c r="I586" t="s">
        <v>71</v>
      </c>
      <c r="J586">
        <v>0</v>
      </c>
      <c r="K586">
        <v>28.58</v>
      </c>
      <c r="L586">
        <v>0</v>
      </c>
      <c r="M586">
        <v>0</v>
      </c>
      <c r="N586">
        <v>28.58</v>
      </c>
      <c r="O586" t="s">
        <v>71</v>
      </c>
      <c r="P586">
        <v>0</v>
      </c>
      <c r="Q586" t="s">
        <v>71</v>
      </c>
      <c r="R586">
        <v>0</v>
      </c>
      <c r="S586" t="s">
        <v>71</v>
      </c>
      <c r="T586">
        <v>0</v>
      </c>
      <c r="U586" t="s">
        <v>71</v>
      </c>
      <c r="V586">
        <v>0</v>
      </c>
      <c r="W586" t="s">
        <v>71</v>
      </c>
      <c r="X586">
        <v>0</v>
      </c>
      <c r="Y586">
        <v>28.58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110</v>
      </c>
      <c r="AF586">
        <v>98</v>
      </c>
      <c r="AG586">
        <v>77</v>
      </c>
      <c r="AH586">
        <v>0</v>
      </c>
      <c r="AI586">
        <v>0.73399999999999999</v>
      </c>
      <c r="AK586" t="s">
        <v>95</v>
      </c>
      <c r="AM586">
        <v>200000</v>
      </c>
      <c r="AN586" t="s">
        <v>97</v>
      </c>
      <c r="AO586">
        <v>1</v>
      </c>
      <c r="AP586">
        <v>0</v>
      </c>
      <c r="AQ586">
        <v>16666.666666666668</v>
      </c>
      <c r="AR586" t="s">
        <v>1921</v>
      </c>
      <c r="AS586" t="s">
        <v>75</v>
      </c>
      <c r="AX586" t="s">
        <v>76</v>
      </c>
      <c r="AY586" t="s">
        <v>71</v>
      </c>
      <c r="AZ586">
        <v>0</v>
      </c>
      <c r="BA586" t="s">
        <v>71</v>
      </c>
      <c r="BB586">
        <v>0</v>
      </c>
      <c r="BD586">
        <v>28.58</v>
      </c>
    </row>
    <row r="587" spans="1:56" x14ac:dyDescent="0.15">
      <c r="A587" s="4" t="str">
        <f>HYPERLINK("https://ibp.a2mac1.com/costing(costing:projects/details/9760/part/8411744)","Oil Strainer")</f>
        <v>Oil Strainer</v>
      </c>
      <c r="B587">
        <v>8411744</v>
      </c>
      <c r="C587">
        <v>8411673</v>
      </c>
      <c r="D587" t="s">
        <v>1832</v>
      </c>
      <c r="E587">
        <v>1.14178</v>
      </c>
      <c r="F587">
        <v>0</v>
      </c>
      <c r="G587">
        <v>0</v>
      </c>
      <c r="H587">
        <v>0</v>
      </c>
      <c r="I587" t="s">
        <v>71</v>
      </c>
      <c r="J587">
        <v>0</v>
      </c>
      <c r="K587">
        <v>1.14178</v>
      </c>
      <c r="L587">
        <v>0</v>
      </c>
      <c r="M587">
        <v>0</v>
      </c>
      <c r="N587">
        <v>1.14178</v>
      </c>
      <c r="O587" t="s">
        <v>71</v>
      </c>
      <c r="P587">
        <v>0</v>
      </c>
      <c r="Q587" t="s">
        <v>71</v>
      </c>
      <c r="R587">
        <v>0</v>
      </c>
      <c r="S587" t="s">
        <v>71</v>
      </c>
      <c r="T587">
        <v>0</v>
      </c>
      <c r="U587" t="s">
        <v>71</v>
      </c>
      <c r="V587">
        <v>0</v>
      </c>
      <c r="W587" t="s">
        <v>71</v>
      </c>
      <c r="X587">
        <v>0</v>
      </c>
      <c r="Y587">
        <v>1.14178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80</v>
      </c>
      <c r="AF587">
        <v>104</v>
      </c>
      <c r="AG587">
        <v>50</v>
      </c>
      <c r="AH587">
        <v>0</v>
      </c>
      <c r="AI587">
        <v>6.9000000000000006E-2</v>
      </c>
      <c r="AK587" t="s">
        <v>100</v>
      </c>
      <c r="AM587">
        <v>200000</v>
      </c>
      <c r="AN587" t="s">
        <v>97</v>
      </c>
      <c r="AO587">
        <v>1</v>
      </c>
      <c r="AP587">
        <v>0</v>
      </c>
      <c r="AQ587">
        <v>16666.666666666668</v>
      </c>
      <c r="AR587" t="s">
        <v>1922</v>
      </c>
      <c r="AS587" t="s">
        <v>75</v>
      </c>
      <c r="AX587" t="s">
        <v>76</v>
      </c>
      <c r="AY587" t="s">
        <v>71</v>
      </c>
      <c r="AZ587">
        <v>0</v>
      </c>
      <c r="BA587" t="s">
        <v>71</v>
      </c>
      <c r="BB587">
        <v>0</v>
      </c>
      <c r="BD587">
        <v>1.14178</v>
      </c>
    </row>
    <row r="588" spans="1:56" x14ac:dyDescent="0.15">
      <c r="A588" s="4" t="str">
        <f>HYPERLINK("https://ibp.a2mac1.com/costing(costing:projects/details/9760/part/8411760)","Left")</f>
        <v>Left</v>
      </c>
      <c r="B588">
        <v>8411760</v>
      </c>
      <c r="C588">
        <v>8411747</v>
      </c>
      <c r="D588" t="s">
        <v>1837</v>
      </c>
      <c r="E588">
        <v>2.57</v>
      </c>
      <c r="F588">
        <v>0</v>
      </c>
      <c r="G588">
        <v>0</v>
      </c>
      <c r="H588">
        <v>0</v>
      </c>
      <c r="I588" t="s">
        <v>71</v>
      </c>
      <c r="J588">
        <v>0</v>
      </c>
      <c r="K588">
        <v>2.57</v>
      </c>
      <c r="L588">
        <v>0</v>
      </c>
      <c r="M588">
        <v>0</v>
      </c>
      <c r="N588">
        <v>2.57</v>
      </c>
      <c r="O588" t="s">
        <v>71</v>
      </c>
      <c r="P588">
        <v>0</v>
      </c>
      <c r="Q588" t="s">
        <v>71</v>
      </c>
      <c r="R588">
        <v>0</v>
      </c>
      <c r="S588" t="s">
        <v>71</v>
      </c>
      <c r="T588">
        <v>0</v>
      </c>
      <c r="U588" t="s">
        <v>71</v>
      </c>
      <c r="V588">
        <v>0</v>
      </c>
      <c r="W588" t="s">
        <v>71</v>
      </c>
      <c r="X588">
        <v>0</v>
      </c>
      <c r="Y588">
        <v>2.57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14</v>
      </c>
      <c r="AF588">
        <v>55</v>
      </c>
      <c r="AG588">
        <v>55</v>
      </c>
      <c r="AH588">
        <v>0</v>
      </c>
      <c r="AI588">
        <v>1.7999999999999999E-2</v>
      </c>
      <c r="AK588" t="s">
        <v>100</v>
      </c>
      <c r="AM588">
        <v>200000</v>
      </c>
      <c r="AN588" t="s">
        <v>97</v>
      </c>
      <c r="AO588">
        <v>1</v>
      </c>
      <c r="AP588">
        <v>0</v>
      </c>
      <c r="AQ588">
        <v>16666.666666666668</v>
      </c>
      <c r="AR588" t="s">
        <v>1926</v>
      </c>
      <c r="AS588" t="s">
        <v>75</v>
      </c>
      <c r="AX588" t="s">
        <v>76</v>
      </c>
      <c r="AY588" t="s">
        <v>71</v>
      </c>
      <c r="AZ588">
        <v>0</v>
      </c>
      <c r="BA588" t="s">
        <v>71</v>
      </c>
      <c r="BB588">
        <v>0</v>
      </c>
      <c r="BD588">
        <v>2.57</v>
      </c>
    </row>
    <row r="589" spans="1:56" x14ac:dyDescent="0.15">
      <c r="A589" s="4" t="str">
        <f>HYPERLINK("https://ibp.a2mac1.com/costing(costing:projects/details/9760/part/8411761)","Right")</f>
        <v>Right</v>
      </c>
      <c r="B589">
        <v>8411761</v>
      </c>
      <c r="C589">
        <v>8411747</v>
      </c>
      <c r="D589" t="s">
        <v>1837</v>
      </c>
      <c r="E589">
        <v>2.57</v>
      </c>
      <c r="F589">
        <v>0</v>
      </c>
      <c r="G589">
        <v>0</v>
      </c>
      <c r="H589">
        <v>0</v>
      </c>
      <c r="I589" t="s">
        <v>71</v>
      </c>
      <c r="J589">
        <v>0</v>
      </c>
      <c r="K589">
        <v>2.57</v>
      </c>
      <c r="L589">
        <v>0</v>
      </c>
      <c r="M589">
        <v>0</v>
      </c>
      <c r="N589">
        <v>2.57</v>
      </c>
      <c r="O589" t="s">
        <v>71</v>
      </c>
      <c r="P589">
        <v>0</v>
      </c>
      <c r="Q589" t="s">
        <v>71</v>
      </c>
      <c r="R589">
        <v>0</v>
      </c>
      <c r="S589" t="s">
        <v>71</v>
      </c>
      <c r="T589">
        <v>0</v>
      </c>
      <c r="U589" t="s">
        <v>71</v>
      </c>
      <c r="V589">
        <v>0</v>
      </c>
      <c r="W589" t="s">
        <v>71</v>
      </c>
      <c r="X589">
        <v>0</v>
      </c>
      <c r="Y589">
        <v>2.57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14</v>
      </c>
      <c r="AF589">
        <v>55</v>
      </c>
      <c r="AG589">
        <v>55</v>
      </c>
      <c r="AH589">
        <v>0</v>
      </c>
      <c r="AI589">
        <v>1.7999999999999999E-2</v>
      </c>
      <c r="AK589" t="s">
        <v>100</v>
      </c>
      <c r="AM589">
        <v>200000</v>
      </c>
      <c r="AN589" t="s">
        <v>97</v>
      </c>
      <c r="AO589">
        <v>1</v>
      </c>
      <c r="AP589">
        <v>0</v>
      </c>
      <c r="AQ589">
        <v>16666.666666666668</v>
      </c>
      <c r="AR589" t="s">
        <v>1927</v>
      </c>
      <c r="AS589" t="s">
        <v>75</v>
      </c>
      <c r="AX589" t="s">
        <v>76</v>
      </c>
      <c r="AY589" t="s">
        <v>71</v>
      </c>
      <c r="AZ589">
        <v>0</v>
      </c>
      <c r="BA589" t="s">
        <v>71</v>
      </c>
      <c r="BB589">
        <v>0</v>
      </c>
      <c r="BD589">
        <v>2.57</v>
      </c>
    </row>
    <row r="590" spans="1:56" x14ac:dyDescent="0.15">
      <c r="A590" s="4" t="str">
        <f>HYPERLINK("https://ibp.a2mac1.com/costing(costing:projects/details/9760/part/8411745)","Main Housing")</f>
        <v>Main Housing</v>
      </c>
      <c r="B590">
        <v>8411745</v>
      </c>
      <c r="C590">
        <v>8411674</v>
      </c>
      <c r="E590">
        <v>11.963129127672888</v>
      </c>
      <c r="F590">
        <v>0</v>
      </c>
      <c r="G590">
        <v>0</v>
      </c>
      <c r="H590">
        <v>2.4582614050493965E-4</v>
      </c>
      <c r="I590" t="s">
        <v>176</v>
      </c>
      <c r="J590">
        <v>0.43019574588364434</v>
      </c>
      <c r="K590">
        <v>12.393570699697037</v>
      </c>
      <c r="L590">
        <v>0.73528606304900912</v>
      </c>
      <c r="M590">
        <v>4.4117163782940549</v>
      </c>
      <c r="N590">
        <v>16.805287077991093</v>
      </c>
      <c r="O590" t="s">
        <v>177</v>
      </c>
      <c r="P590">
        <v>0.74361424198182213</v>
      </c>
      <c r="Q590" t="s">
        <v>177</v>
      </c>
      <c r="R590">
        <v>0.26470298269764331</v>
      </c>
      <c r="S590" t="s">
        <v>178</v>
      </c>
      <c r="T590">
        <v>2.0166344493589308</v>
      </c>
      <c r="U590" t="s">
        <v>90</v>
      </c>
      <c r="V590">
        <v>0</v>
      </c>
      <c r="W590" t="s">
        <v>90</v>
      </c>
      <c r="X590">
        <v>0</v>
      </c>
      <c r="Y590">
        <v>19.830238752029487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480</v>
      </c>
      <c r="AF590">
        <v>80</v>
      </c>
      <c r="AG590">
        <v>313</v>
      </c>
      <c r="AH590">
        <v>0</v>
      </c>
      <c r="AI590">
        <v>4.5739999999999998</v>
      </c>
      <c r="AK590" t="s">
        <v>100</v>
      </c>
      <c r="AM590">
        <v>200000</v>
      </c>
      <c r="AN590" t="s">
        <v>97</v>
      </c>
      <c r="AO590">
        <v>1</v>
      </c>
      <c r="AP590">
        <v>0</v>
      </c>
      <c r="AQ590">
        <v>16666.666666666668</v>
      </c>
      <c r="AR590" t="s">
        <v>1933</v>
      </c>
      <c r="AS590" t="s">
        <v>75</v>
      </c>
      <c r="AX590" t="s">
        <v>76</v>
      </c>
      <c r="AY590" t="s">
        <v>176</v>
      </c>
      <c r="AZ590">
        <v>0</v>
      </c>
      <c r="BA590" t="s">
        <v>176</v>
      </c>
      <c r="BB590">
        <v>0</v>
      </c>
    </row>
    <row r="591" spans="1:56" x14ac:dyDescent="0.15">
      <c r="A591" s="4" t="str">
        <f>HYPERLINK("https://ibp.a2mac1.com/costing(costing:projects/details/9760/part/8411746)","End Protection")</f>
        <v>End Protection</v>
      </c>
      <c r="B591">
        <v>8411746</v>
      </c>
      <c r="C591">
        <v>8411674</v>
      </c>
      <c r="D591" t="s">
        <v>1848</v>
      </c>
      <c r="E591">
        <v>2.0718399999999999</v>
      </c>
      <c r="F591">
        <v>0</v>
      </c>
      <c r="G591">
        <v>0</v>
      </c>
      <c r="H591">
        <v>0</v>
      </c>
      <c r="I591" t="s">
        <v>71</v>
      </c>
      <c r="J591">
        <v>0</v>
      </c>
      <c r="K591">
        <v>2.0718399999999999</v>
      </c>
      <c r="L591">
        <v>0</v>
      </c>
      <c r="M591">
        <v>0</v>
      </c>
      <c r="N591">
        <v>2.0718399999999999</v>
      </c>
      <c r="O591" t="s">
        <v>71</v>
      </c>
      <c r="P591">
        <v>0</v>
      </c>
      <c r="Q591" t="s">
        <v>71</v>
      </c>
      <c r="R591">
        <v>0</v>
      </c>
      <c r="S591" t="s">
        <v>71</v>
      </c>
      <c r="T591">
        <v>0</v>
      </c>
      <c r="U591" t="s">
        <v>71</v>
      </c>
      <c r="V591">
        <v>0</v>
      </c>
      <c r="W591" t="s">
        <v>71</v>
      </c>
      <c r="X591">
        <v>0</v>
      </c>
      <c r="Y591">
        <v>2.0718399999999999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34</v>
      </c>
      <c r="AF591">
        <v>144</v>
      </c>
      <c r="AG591">
        <v>118</v>
      </c>
      <c r="AH591">
        <v>0</v>
      </c>
      <c r="AI591">
        <v>0.27900000000000003</v>
      </c>
      <c r="AK591" t="s">
        <v>100</v>
      </c>
      <c r="AM591">
        <v>200000</v>
      </c>
      <c r="AN591" t="s">
        <v>97</v>
      </c>
      <c r="AO591">
        <v>1</v>
      </c>
      <c r="AP591">
        <v>0</v>
      </c>
      <c r="AQ591">
        <v>16666.666666666668</v>
      </c>
      <c r="AR591" t="s">
        <v>1934</v>
      </c>
      <c r="AS591" t="s">
        <v>75</v>
      </c>
      <c r="AX591" t="s">
        <v>76</v>
      </c>
      <c r="AY591" t="s">
        <v>71</v>
      </c>
      <c r="AZ591">
        <v>0</v>
      </c>
      <c r="BA591" t="s">
        <v>71</v>
      </c>
      <c r="BB591">
        <v>0</v>
      </c>
      <c r="BD591">
        <v>2.0718399999999999</v>
      </c>
    </row>
    <row r="592" spans="1:56" x14ac:dyDescent="0.15">
      <c r="A592" s="4" t="str">
        <f>HYPERLINK("https://ibp.a2mac1.com/costing(costing:projects/details/9760/part/8411675)","Left drive shaft")</f>
        <v>Left drive shaft</v>
      </c>
      <c r="B592">
        <v>8411675</v>
      </c>
      <c r="C592">
        <v>8411655</v>
      </c>
      <c r="D592" t="s">
        <v>1857</v>
      </c>
      <c r="E592">
        <v>99.489990000000006</v>
      </c>
      <c r="F592">
        <v>0</v>
      </c>
      <c r="G592">
        <v>0</v>
      </c>
      <c r="H592">
        <v>0</v>
      </c>
      <c r="I592" t="s">
        <v>71</v>
      </c>
      <c r="J592">
        <v>0</v>
      </c>
      <c r="K592">
        <v>99.489990000000006</v>
      </c>
      <c r="L592">
        <v>0</v>
      </c>
      <c r="M592">
        <v>0</v>
      </c>
      <c r="N592">
        <v>99.489990000000006</v>
      </c>
      <c r="O592" t="s">
        <v>71</v>
      </c>
      <c r="P592">
        <v>0</v>
      </c>
      <c r="Q592" t="s">
        <v>71</v>
      </c>
      <c r="R592">
        <v>0</v>
      </c>
      <c r="S592" t="s">
        <v>71</v>
      </c>
      <c r="T592">
        <v>0</v>
      </c>
      <c r="U592" t="s">
        <v>71</v>
      </c>
      <c r="V592">
        <v>0</v>
      </c>
      <c r="W592" t="s">
        <v>71</v>
      </c>
      <c r="X592">
        <v>0</v>
      </c>
      <c r="Y592">
        <v>99.489990000000006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100</v>
      </c>
      <c r="AF592">
        <v>935</v>
      </c>
      <c r="AG592">
        <v>100</v>
      </c>
      <c r="AH592">
        <v>0</v>
      </c>
      <c r="AI592">
        <v>9.5139999999999993</v>
      </c>
      <c r="AK592" t="s">
        <v>95</v>
      </c>
      <c r="AM592">
        <v>200000</v>
      </c>
      <c r="AN592" t="s">
        <v>97</v>
      </c>
      <c r="AO592">
        <v>1</v>
      </c>
      <c r="AP592">
        <v>0</v>
      </c>
      <c r="AQ592">
        <v>16666.666666666668</v>
      </c>
      <c r="AR592" t="s">
        <v>1938</v>
      </c>
      <c r="AS592" t="s">
        <v>75</v>
      </c>
      <c r="AX592" t="s">
        <v>76</v>
      </c>
      <c r="AY592" t="s">
        <v>71</v>
      </c>
      <c r="AZ592">
        <v>0</v>
      </c>
      <c r="BA592" t="s">
        <v>71</v>
      </c>
      <c r="BB592">
        <v>0</v>
      </c>
      <c r="BD592">
        <v>99.489990000000006</v>
      </c>
    </row>
    <row r="593" spans="1:56" x14ac:dyDescent="0.15">
      <c r="A593" s="4" t="str">
        <f>HYPERLINK("https://ibp.a2mac1.com/costing(costing:projects/details/9760/part/8411676)","Right drive shaft")</f>
        <v>Right drive shaft</v>
      </c>
      <c r="B593">
        <v>8411676</v>
      </c>
      <c r="C593">
        <v>8411655</v>
      </c>
      <c r="D593" t="s">
        <v>1857</v>
      </c>
      <c r="E593">
        <v>88.58</v>
      </c>
      <c r="F593">
        <v>0</v>
      </c>
      <c r="G593">
        <v>0</v>
      </c>
      <c r="H593">
        <v>0</v>
      </c>
      <c r="I593" t="s">
        <v>71</v>
      </c>
      <c r="J593">
        <v>0</v>
      </c>
      <c r="K593">
        <v>88.58</v>
      </c>
      <c r="L593">
        <v>0</v>
      </c>
      <c r="M593">
        <v>0</v>
      </c>
      <c r="N593">
        <v>88.58</v>
      </c>
      <c r="O593" t="s">
        <v>71</v>
      </c>
      <c r="P593">
        <v>0</v>
      </c>
      <c r="Q593" t="s">
        <v>71</v>
      </c>
      <c r="R593">
        <v>0</v>
      </c>
      <c r="S593" t="s">
        <v>71</v>
      </c>
      <c r="T593">
        <v>0</v>
      </c>
      <c r="U593" t="s">
        <v>71</v>
      </c>
      <c r="V593">
        <v>0</v>
      </c>
      <c r="W593" t="s">
        <v>71</v>
      </c>
      <c r="X593">
        <v>0</v>
      </c>
      <c r="Y593">
        <v>88.58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100</v>
      </c>
      <c r="AF593">
        <v>740</v>
      </c>
      <c r="AG593">
        <v>100</v>
      </c>
      <c r="AH593">
        <v>0</v>
      </c>
      <c r="AI593">
        <v>7.8819999999999997</v>
      </c>
      <c r="AK593" t="s">
        <v>95</v>
      </c>
      <c r="AM593">
        <v>200000</v>
      </c>
      <c r="AN593" t="s">
        <v>97</v>
      </c>
      <c r="AO593">
        <v>1</v>
      </c>
      <c r="AP593">
        <v>0</v>
      </c>
      <c r="AQ593">
        <v>16666.666666666668</v>
      </c>
      <c r="AR593" t="s">
        <v>1939</v>
      </c>
      <c r="AS593" t="s">
        <v>75</v>
      </c>
      <c r="AX593" t="s">
        <v>76</v>
      </c>
      <c r="AY593" t="s">
        <v>71</v>
      </c>
      <c r="AZ593">
        <v>0</v>
      </c>
      <c r="BA593" t="s">
        <v>71</v>
      </c>
      <c r="BB593">
        <v>0</v>
      </c>
      <c r="BD593">
        <v>88.58</v>
      </c>
    </row>
    <row r="594" spans="1:56" x14ac:dyDescent="0.15">
      <c r="A594" s="4" t="str">
        <f>HYPERLINK("https://ibp.a2mac1.com/costing(costing:projects/details/9760/part/8411677)","Drive shaft protection")</f>
        <v>Drive shaft protection</v>
      </c>
      <c r="B594">
        <v>8411677</v>
      </c>
      <c r="C594">
        <v>8411655</v>
      </c>
      <c r="D594" t="s">
        <v>1786</v>
      </c>
      <c r="E594">
        <v>1.3218000000000001</v>
      </c>
      <c r="F594">
        <v>0</v>
      </c>
      <c r="G594">
        <v>0</v>
      </c>
      <c r="H594">
        <v>0</v>
      </c>
      <c r="I594" t="s">
        <v>71</v>
      </c>
      <c r="J594">
        <v>0</v>
      </c>
      <c r="K594">
        <v>1.3218000000000001</v>
      </c>
      <c r="L594">
        <v>0</v>
      </c>
      <c r="M594">
        <v>0</v>
      </c>
      <c r="N594">
        <v>1.3218000000000001</v>
      </c>
      <c r="O594" t="s">
        <v>71</v>
      </c>
      <c r="P594">
        <v>0</v>
      </c>
      <c r="Q594" t="s">
        <v>71</v>
      </c>
      <c r="R594">
        <v>0</v>
      </c>
      <c r="S594" t="s">
        <v>71</v>
      </c>
      <c r="T594">
        <v>0</v>
      </c>
      <c r="U594" t="s">
        <v>71</v>
      </c>
      <c r="V594">
        <v>0</v>
      </c>
      <c r="W594" t="s">
        <v>71</v>
      </c>
      <c r="X594">
        <v>0</v>
      </c>
      <c r="Y594">
        <v>1.3218000000000001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8</v>
      </c>
      <c r="AF594">
        <v>52</v>
      </c>
      <c r="AG594">
        <v>52</v>
      </c>
      <c r="AH594">
        <v>0</v>
      </c>
      <c r="AI594">
        <v>1.4500000000000001E-2</v>
      </c>
      <c r="AK594" t="s">
        <v>100</v>
      </c>
      <c r="AM594">
        <v>400000</v>
      </c>
      <c r="AN594" t="s">
        <v>97</v>
      </c>
      <c r="AO594">
        <v>2</v>
      </c>
      <c r="AP594">
        <v>0</v>
      </c>
      <c r="AQ594">
        <v>33333.333333333336</v>
      </c>
      <c r="AR594" t="s">
        <v>1940</v>
      </c>
      <c r="AS594" t="s">
        <v>75</v>
      </c>
      <c r="AX594" t="s">
        <v>76</v>
      </c>
      <c r="AY594" t="s">
        <v>71</v>
      </c>
      <c r="AZ594">
        <v>0</v>
      </c>
      <c r="BA594" t="s">
        <v>71</v>
      </c>
      <c r="BB594">
        <v>0</v>
      </c>
      <c r="BD594">
        <v>0.66090000000000004</v>
      </c>
    </row>
    <row r="595" spans="1:56" x14ac:dyDescent="0.15">
      <c r="A595" s="4" t="str">
        <f>HYPERLINK("https://ibp.a2mac1.com/costing(costing:projects/details/9760/part/8411678)","Drive Shaft Distributor Shaft Bearing")</f>
        <v>Drive Shaft Distributor Shaft Bearing</v>
      </c>
      <c r="B595">
        <v>8411678</v>
      </c>
      <c r="C595">
        <v>8411655</v>
      </c>
      <c r="D595" t="s">
        <v>1765</v>
      </c>
      <c r="E595">
        <v>5.8090000000000002</v>
      </c>
      <c r="F595">
        <v>0</v>
      </c>
      <c r="G595">
        <v>0</v>
      </c>
      <c r="H595">
        <v>0</v>
      </c>
      <c r="I595" t="s">
        <v>71</v>
      </c>
      <c r="J595">
        <v>0</v>
      </c>
      <c r="K595">
        <v>5.8090000000000002</v>
      </c>
      <c r="L595">
        <v>0</v>
      </c>
      <c r="M595">
        <v>0</v>
      </c>
      <c r="N595">
        <v>5.8090000000000002</v>
      </c>
      <c r="O595" t="s">
        <v>71</v>
      </c>
      <c r="P595">
        <v>0</v>
      </c>
      <c r="Q595" t="s">
        <v>71</v>
      </c>
      <c r="R595">
        <v>0</v>
      </c>
      <c r="S595" t="s">
        <v>71</v>
      </c>
      <c r="T595">
        <v>0</v>
      </c>
      <c r="U595" t="s">
        <v>71</v>
      </c>
      <c r="V595">
        <v>0</v>
      </c>
      <c r="W595" t="s">
        <v>71</v>
      </c>
      <c r="X595">
        <v>0</v>
      </c>
      <c r="Y595">
        <v>5.8090000000000002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25</v>
      </c>
      <c r="AF595">
        <v>72</v>
      </c>
      <c r="AG595">
        <v>72</v>
      </c>
      <c r="AH595">
        <v>0</v>
      </c>
      <c r="AI595">
        <v>0.38</v>
      </c>
      <c r="AK595" t="s">
        <v>100</v>
      </c>
      <c r="AM595">
        <v>200000</v>
      </c>
      <c r="AN595" t="s">
        <v>97</v>
      </c>
      <c r="AO595">
        <v>1</v>
      </c>
      <c r="AP595">
        <v>0</v>
      </c>
      <c r="AQ595">
        <v>16666.666666666668</v>
      </c>
      <c r="AR595" t="s">
        <v>1941</v>
      </c>
      <c r="AS595" t="s">
        <v>75</v>
      </c>
      <c r="AX595" t="s">
        <v>76</v>
      </c>
      <c r="AY595" t="s">
        <v>71</v>
      </c>
      <c r="AZ595">
        <v>0</v>
      </c>
      <c r="BA595" t="s">
        <v>71</v>
      </c>
      <c r="BB595">
        <v>0</v>
      </c>
      <c r="BD595">
        <v>5.8090000000000002</v>
      </c>
    </row>
    <row r="596" spans="1:56" x14ac:dyDescent="0.15">
      <c r="A596" s="4" t="str">
        <f>HYPERLINK("https://ibp.a2mac1.com/costing(costing:projects/details/9760/part/8411679)","Drive Shaft Distributor Shaft Bearing Protection")</f>
        <v>Drive Shaft Distributor Shaft Bearing Protection</v>
      </c>
      <c r="B596">
        <v>8411679</v>
      </c>
      <c r="C596">
        <v>8411655</v>
      </c>
      <c r="D596" t="s">
        <v>1786</v>
      </c>
      <c r="E596">
        <v>0.67310000000000003</v>
      </c>
      <c r="F596">
        <v>0</v>
      </c>
      <c r="G596">
        <v>0</v>
      </c>
      <c r="H596">
        <v>0</v>
      </c>
      <c r="I596" t="s">
        <v>71</v>
      </c>
      <c r="J596">
        <v>0</v>
      </c>
      <c r="K596">
        <v>0.67310000000000003</v>
      </c>
      <c r="L596">
        <v>0</v>
      </c>
      <c r="M596">
        <v>0</v>
      </c>
      <c r="N596">
        <v>0.67310000000000003</v>
      </c>
      <c r="O596" t="s">
        <v>71</v>
      </c>
      <c r="P596">
        <v>0</v>
      </c>
      <c r="Q596" t="s">
        <v>71</v>
      </c>
      <c r="R596">
        <v>0</v>
      </c>
      <c r="S596" t="s">
        <v>71</v>
      </c>
      <c r="T596">
        <v>0</v>
      </c>
      <c r="U596" t="s">
        <v>71</v>
      </c>
      <c r="V596">
        <v>0</v>
      </c>
      <c r="W596" t="s">
        <v>71</v>
      </c>
      <c r="X596">
        <v>0</v>
      </c>
      <c r="Y596">
        <v>0.67310000000000003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7</v>
      </c>
      <c r="AF596">
        <v>65</v>
      </c>
      <c r="AG596">
        <v>65</v>
      </c>
      <c r="AH596">
        <v>0</v>
      </c>
      <c r="AI596">
        <v>5.8999999999999997E-2</v>
      </c>
      <c r="AK596" t="s">
        <v>100</v>
      </c>
      <c r="AM596">
        <v>200000</v>
      </c>
      <c r="AN596" t="s">
        <v>97</v>
      </c>
      <c r="AO596">
        <v>1</v>
      </c>
      <c r="AP596">
        <v>0</v>
      </c>
      <c r="AQ596">
        <v>16666.666666666668</v>
      </c>
      <c r="AR596" t="s">
        <v>1942</v>
      </c>
      <c r="AS596" t="s">
        <v>75</v>
      </c>
      <c r="AX596" t="s">
        <v>76</v>
      </c>
      <c r="AY596" t="s">
        <v>71</v>
      </c>
      <c r="AZ596">
        <v>0</v>
      </c>
      <c r="BA596" t="s">
        <v>71</v>
      </c>
      <c r="BB596">
        <v>0</v>
      </c>
      <c r="BD596">
        <v>0.67310000000000003</v>
      </c>
    </row>
    <row r="597" spans="1:56" x14ac:dyDescent="0.15">
      <c r="A597" s="4" t="str">
        <f>HYPERLINK("https://ibp.a2mac1.com/costing(costing:projects/details/9760/part/8411680)","Drive Shaft Support")</f>
        <v>Drive Shaft Support</v>
      </c>
      <c r="B597">
        <v>8411680</v>
      </c>
      <c r="C597">
        <v>8411655</v>
      </c>
      <c r="D597" t="s">
        <v>1846</v>
      </c>
      <c r="E597">
        <v>1.7404999999999999</v>
      </c>
      <c r="F597">
        <v>0</v>
      </c>
      <c r="G597">
        <v>0</v>
      </c>
      <c r="H597">
        <v>0</v>
      </c>
      <c r="I597" t="s">
        <v>71</v>
      </c>
      <c r="J597">
        <v>0</v>
      </c>
      <c r="K597">
        <v>1.7404999999999999</v>
      </c>
      <c r="L597">
        <v>0</v>
      </c>
      <c r="M597">
        <v>0</v>
      </c>
      <c r="N597">
        <v>1.7404999999999999</v>
      </c>
      <c r="O597" t="s">
        <v>71</v>
      </c>
      <c r="P597">
        <v>0</v>
      </c>
      <c r="Q597" t="s">
        <v>71</v>
      </c>
      <c r="R597">
        <v>0</v>
      </c>
      <c r="S597" t="s">
        <v>71</v>
      </c>
      <c r="T597">
        <v>0</v>
      </c>
      <c r="U597" t="s">
        <v>71</v>
      </c>
      <c r="V597">
        <v>0</v>
      </c>
      <c r="W597" t="s">
        <v>71</v>
      </c>
      <c r="X597">
        <v>0</v>
      </c>
      <c r="Y597">
        <v>1.7404999999999999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96</v>
      </c>
      <c r="AF597">
        <v>41</v>
      </c>
      <c r="AG597">
        <v>151</v>
      </c>
      <c r="AH597">
        <v>0</v>
      </c>
      <c r="AI597">
        <v>0.23499999999999999</v>
      </c>
      <c r="AK597" t="s">
        <v>100</v>
      </c>
      <c r="AM597">
        <v>200000</v>
      </c>
      <c r="AN597" t="s">
        <v>97</v>
      </c>
      <c r="AO597">
        <v>1</v>
      </c>
      <c r="AP597">
        <v>0</v>
      </c>
      <c r="AQ597">
        <v>16666.666666666668</v>
      </c>
      <c r="AR597" t="s">
        <v>1943</v>
      </c>
      <c r="AS597" t="s">
        <v>75</v>
      </c>
      <c r="AX597" t="s">
        <v>76</v>
      </c>
      <c r="AY597" t="s">
        <v>71</v>
      </c>
      <c r="AZ597">
        <v>0</v>
      </c>
      <c r="BA597" t="s">
        <v>71</v>
      </c>
      <c r="BB597">
        <v>0</v>
      </c>
      <c r="BD597">
        <v>1.7404999999999999</v>
      </c>
    </row>
    <row r="598" spans="1:56" x14ac:dyDescent="0.15">
      <c r="A598" s="4" t="str">
        <f>HYPERLINK("https://ibp.a2mac1.com/costing(costing:projects/details/9760/part/8411681)","Left and Right Drive shaft Lock nut-M16")</f>
        <v>Left and Right Drive shaft Lock nut-M16</v>
      </c>
      <c r="B598">
        <v>8411681</v>
      </c>
      <c r="C598">
        <v>8411655</v>
      </c>
      <c r="D598" t="s">
        <v>1866</v>
      </c>
      <c r="E598">
        <v>1.256</v>
      </c>
      <c r="F598">
        <v>0</v>
      </c>
      <c r="G598">
        <v>0</v>
      </c>
      <c r="H598">
        <v>0</v>
      </c>
      <c r="I598" t="s">
        <v>71</v>
      </c>
      <c r="J598">
        <v>0</v>
      </c>
      <c r="K598">
        <v>1.256</v>
      </c>
      <c r="L598">
        <v>0</v>
      </c>
      <c r="M598">
        <v>0</v>
      </c>
      <c r="N598">
        <v>1.256</v>
      </c>
      <c r="O598" t="s">
        <v>71</v>
      </c>
      <c r="P598">
        <v>0</v>
      </c>
      <c r="Q598" t="s">
        <v>71</v>
      </c>
      <c r="R598">
        <v>0</v>
      </c>
      <c r="S598" t="s">
        <v>71</v>
      </c>
      <c r="T598">
        <v>0</v>
      </c>
      <c r="U598" t="s">
        <v>71</v>
      </c>
      <c r="V598">
        <v>0</v>
      </c>
      <c r="W598" t="s">
        <v>71</v>
      </c>
      <c r="X598">
        <v>0</v>
      </c>
      <c r="Y598">
        <v>1.256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0.1</v>
      </c>
      <c r="AK598" t="s">
        <v>272</v>
      </c>
      <c r="AM598">
        <v>400000</v>
      </c>
      <c r="AN598" t="s">
        <v>97</v>
      </c>
      <c r="AO598">
        <v>2</v>
      </c>
      <c r="AP598">
        <v>0</v>
      </c>
      <c r="AQ598">
        <v>33333.333333333336</v>
      </c>
      <c r="AR598" t="s">
        <v>9</v>
      </c>
      <c r="AS598" t="s">
        <v>75</v>
      </c>
      <c r="AV598">
        <v>0</v>
      </c>
      <c r="AW598">
        <v>0</v>
      </c>
      <c r="AX598" t="s">
        <v>76</v>
      </c>
      <c r="AY598" t="s">
        <v>71</v>
      </c>
      <c r="AZ598">
        <v>0</v>
      </c>
      <c r="BA598" t="s">
        <v>71</v>
      </c>
      <c r="BB598">
        <v>0</v>
      </c>
      <c r="BD598">
        <v>0.628</v>
      </c>
    </row>
    <row r="599" spans="1:56" x14ac:dyDescent="0.15">
      <c r="A599" s="4" t="str">
        <f>HYPERLINK("https://ibp.a2mac1.com/costing(costing:projects/details/9760/part/8411682)","Spring")</f>
        <v>Spring</v>
      </c>
      <c r="B599">
        <v>8411682</v>
      </c>
      <c r="C599">
        <v>8411655</v>
      </c>
      <c r="D599" t="s">
        <v>284</v>
      </c>
      <c r="E599">
        <v>0.35</v>
      </c>
      <c r="F599">
        <v>0</v>
      </c>
      <c r="G599">
        <v>0</v>
      </c>
      <c r="H599">
        <v>0</v>
      </c>
      <c r="I599" t="s">
        <v>71</v>
      </c>
      <c r="J599">
        <v>0</v>
      </c>
      <c r="K599">
        <v>0.35</v>
      </c>
      <c r="L599">
        <v>0</v>
      </c>
      <c r="M599">
        <v>0</v>
      </c>
      <c r="N599">
        <v>0.35</v>
      </c>
      <c r="O599" t="s">
        <v>71</v>
      </c>
      <c r="P599">
        <v>0</v>
      </c>
      <c r="Q599" t="s">
        <v>71</v>
      </c>
      <c r="R599">
        <v>0</v>
      </c>
      <c r="S599" t="s">
        <v>71</v>
      </c>
      <c r="T599">
        <v>0</v>
      </c>
      <c r="U599" t="s">
        <v>71</v>
      </c>
      <c r="V599">
        <v>0</v>
      </c>
      <c r="W599" t="s">
        <v>71</v>
      </c>
      <c r="X599">
        <v>0</v>
      </c>
      <c r="Y599">
        <v>0.35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K599" t="s">
        <v>272</v>
      </c>
      <c r="AM599">
        <v>400000</v>
      </c>
      <c r="AN599" t="s">
        <v>97</v>
      </c>
      <c r="AO599">
        <v>2</v>
      </c>
      <c r="AP599">
        <v>0</v>
      </c>
      <c r="AQ599">
        <v>33333.333333333336</v>
      </c>
      <c r="AR599" t="s">
        <v>9</v>
      </c>
      <c r="AS599" t="s">
        <v>75</v>
      </c>
      <c r="AV599">
        <v>0</v>
      </c>
      <c r="AW599">
        <v>0</v>
      </c>
      <c r="AX599" t="s">
        <v>76</v>
      </c>
      <c r="AY599" t="s">
        <v>71</v>
      </c>
      <c r="AZ599">
        <v>0</v>
      </c>
      <c r="BA599" t="s">
        <v>71</v>
      </c>
      <c r="BB599">
        <v>0</v>
      </c>
      <c r="BD599">
        <v>0.17499999999999999</v>
      </c>
    </row>
    <row r="600" spans="1:56" x14ac:dyDescent="0.15">
      <c r="A600" s="4" t="str">
        <f>HYPERLINK("https://ibp.a2mac1.com/costing(costing:projects/details/9760/part/8412585)","Cover")</f>
        <v>Cover</v>
      </c>
      <c r="B600">
        <v>8412585</v>
      </c>
      <c r="C600">
        <v>8412553</v>
      </c>
      <c r="E600">
        <v>3.6</v>
      </c>
      <c r="F600">
        <v>0</v>
      </c>
      <c r="G600">
        <v>0</v>
      </c>
      <c r="H600">
        <v>1.8216E-2</v>
      </c>
      <c r="I600" t="s">
        <v>176</v>
      </c>
      <c r="J600">
        <v>0.126</v>
      </c>
      <c r="K600">
        <v>3.7442160000000002</v>
      </c>
      <c r="L600">
        <v>7.3001655492941783E-2</v>
      </c>
      <c r="M600">
        <v>0.43800993295765073</v>
      </c>
      <c r="N600">
        <v>4.1822259329576505</v>
      </c>
      <c r="O600" t="s">
        <v>90</v>
      </c>
      <c r="P600">
        <v>0</v>
      </c>
      <c r="Q600" t="s">
        <v>90</v>
      </c>
      <c r="R600">
        <v>0</v>
      </c>
      <c r="S600" t="s">
        <v>90</v>
      </c>
      <c r="T600">
        <v>0</v>
      </c>
      <c r="U600" t="s">
        <v>90</v>
      </c>
      <c r="V600">
        <v>0</v>
      </c>
      <c r="W600" t="s">
        <v>90</v>
      </c>
      <c r="X600">
        <v>0</v>
      </c>
      <c r="Y600">
        <v>4.1822259329576505</v>
      </c>
      <c r="Z600">
        <v>0</v>
      </c>
      <c r="AA600">
        <v>0</v>
      </c>
      <c r="AB600">
        <v>0</v>
      </c>
      <c r="AC600">
        <v>0</v>
      </c>
      <c r="AD600">
        <v>0</v>
      </c>
      <c r="AI600">
        <v>9.5000000000000001E-2</v>
      </c>
      <c r="AK600" t="s">
        <v>740</v>
      </c>
      <c r="AL600" t="s">
        <v>1952</v>
      </c>
      <c r="AM600">
        <v>200000</v>
      </c>
      <c r="AN600" t="s">
        <v>73</v>
      </c>
      <c r="AO600">
        <v>1</v>
      </c>
      <c r="AP600">
        <v>0</v>
      </c>
      <c r="AQ600">
        <v>16666.666666666668</v>
      </c>
      <c r="AR600" t="s">
        <v>1953</v>
      </c>
      <c r="AS600" t="s">
        <v>75</v>
      </c>
      <c r="AX600" t="s">
        <v>76</v>
      </c>
      <c r="AY600" t="s">
        <v>176</v>
      </c>
      <c r="AZ600">
        <v>0</v>
      </c>
      <c r="BA600" t="s">
        <v>176</v>
      </c>
      <c r="BB600">
        <v>0</v>
      </c>
    </row>
    <row r="601" spans="1:56" x14ac:dyDescent="0.15">
      <c r="A601" s="4" t="str">
        <f>HYPERLINK("https://ibp.a2mac1.com/costing(costing:projects/details/9760/part/8412586)","Padding")</f>
        <v>Padding</v>
      </c>
      <c r="B601">
        <v>8412586</v>
      </c>
      <c r="C601">
        <v>8412553</v>
      </c>
      <c r="E601">
        <v>0.18</v>
      </c>
      <c r="F601">
        <v>0</v>
      </c>
      <c r="G601">
        <v>0</v>
      </c>
      <c r="H601">
        <v>9.1080000000000002E-4</v>
      </c>
      <c r="I601" t="s">
        <v>176</v>
      </c>
      <c r="J601">
        <v>6.3E-3</v>
      </c>
      <c r="K601">
        <v>0.18721080000000001</v>
      </c>
      <c r="L601">
        <v>9.422641154184605E-3</v>
      </c>
      <c r="M601">
        <v>5.653584692510763E-2</v>
      </c>
      <c r="N601">
        <v>0.24374664692510764</v>
      </c>
      <c r="O601" t="s">
        <v>90</v>
      </c>
      <c r="P601">
        <v>0</v>
      </c>
      <c r="Q601" t="s">
        <v>90</v>
      </c>
      <c r="R601">
        <v>0</v>
      </c>
      <c r="S601" t="s">
        <v>90</v>
      </c>
      <c r="T601">
        <v>0</v>
      </c>
      <c r="U601" t="s">
        <v>90</v>
      </c>
      <c r="V601">
        <v>0</v>
      </c>
      <c r="W601" t="s">
        <v>90</v>
      </c>
      <c r="X601">
        <v>0</v>
      </c>
      <c r="Y601">
        <v>0.24374664692510764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92</v>
      </c>
      <c r="AF601">
        <v>190</v>
      </c>
      <c r="AG601">
        <v>242</v>
      </c>
      <c r="AI601">
        <v>7.9000000000000001E-2</v>
      </c>
      <c r="AK601" t="s">
        <v>740</v>
      </c>
      <c r="AL601" t="s">
        <v>1957</v>
      </c>
      <c r="AM601">
        <v>200000</v>
      </c>
      <c r="AN601" t="s">
        <v>73</v>
      </c>
      <c r="AO601">
        <v>1</v>
      </c>
      <c r="AP601">
        <v>0</v>
      </c>
      <c r="AQ601">
        <v>16666.666666666668</v>
      </c>
      <c r="AR601" t="s">
        <v>1958</v>
      </c>
      <c r="AS601" t="s">
        <v>75</v>
      </c>
      <c r="AX601" t="s">
        <v>76</v>
      </c>
      <c r="AY601" t="s">
        <v>176</v>
      </c>
      <c r="AZ601">
        <v>0</v>
      </c>
      <c r="BA601" t="s">
        <v>176</v>
      </c>
      <c r="BB601">
        <v>0</v>
      </c>
    </row>
    <row r="602" spans="1:56" x14ac:dyDescent="0.15">
      <c r="A602" s="4" t="str">
        <f>HYPERLINK("https://ibp.a2mac1.com/costing(costing:projects/details/9760/part/8412587)","2nd padding")</f>
        <v>2nd padding</v>
      </c>
      <c r="B602">
        <v>8412587</v>
      </c>
      <c r="C602">
        <v>8412553</v>
      </c>
      <c r="D602" t="s">
        <v>1959</v>
      </c>
      <c r="E602">
        <v>0.1</v>
      </c>
      <c r="F602">
        <v>0</v>
      </c>
      <c r="G602">
        <v>0</v>
      </c>
      <c r="H602">
        <v>0</v>
      </c>
      <c r="I602" t="s">
        <v>71</v>
      </c>
      <c r="J602">
        <v>0</v>
      </c>
      <c r="K602">
        <v>0.1</v>
      </c>
      <c r="L602">
        <v>0</v>
      </c>
      <c r="M602">
        <v>0</v>
      </c>
      <c r="N602">
        <v>0.1</v>
      </c>
      <c r="O602" t="s">
        <v>71</v>
      </c>
      <c r="P602">
        <v>0</v>
      </c>
      <c r="Q602" t="s">
        <v>71</v>
      </c>
      <c r="R602">
        <v>0</v>
      </c>
      <c r="S602" t="s">
        <v>71</v>
      </c>
      <c r="T602">
        <v>0</v>
      </c>
      <c r="U602" t="s">
        <v>71</v>
      </c>
      <c r="V602">
        <v>0</v>
      </c>
      <c r="W602" t="s">
        <v>71</v>
      </c>
      <c r="X602">
        <v>0</v>
      </c>
      <c r="Y602">
        <v>0.1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30</v>
      </c>
      <c r="AF602">
        <v>163</v>
      </c>
      <c r="AG602">
        <v>217</v>
      </c>
      <c r="AI602">
        <v>6.0000000000000001E-3</v>
      </c>
      <c r="AK602" t="s">
        <v>740</v>
      </c>
      <c r="AL602" t="s">
        <v>1375</v>
      </c>
      <c r="AM602">
        <v>200000</v>
      </c>
      <c r="AN602" t="s">
        <v>73</v>
      </c>
      <c r="AO602">
        <v>1</v>
      </c>
      <c r="AP602">
        <v>0</v>
      </c>
      <c r="AQ602">
        <v>16666.666666666668</v>
      </c>
      <c r="AR602" t="s">
        <v>1960</v>
      </c>
      <c r="AS602" t="s">
        <v>75</v>
      </c>
      <c r="AX602" t="s">
        <v>76</v>
      </c>
      <c r="AY602" t="s">
        <v>71</v>
      </c>
      <c r="AZ602">
        <v>0</v>
      </c>
      <c r="BA602" t="s">
        <v>71</v>
      </c>
      <c r="BB602">
        <v>0</v>
      </c>
      <c r="BD602">
        <v>0.1</v>
      </c>
    </row>
    <row r="603" spans="1:56" x14ac:dyDescent="0.15">
      <c r="A603" s="4" t="str">
        <f>HYPERLINK("https://ibp.a2mac1.com/costing(costing:projects/details/9760/part/8412588)","Rear Pad")</f>
        <v>Rear Pad</v>
      </c>
      <c r="B603">
        <v>8412588</v>
      </c>
      <c r="C603">
        <v>8412553</v>
      </c>
      <c r="D603" t="s">
        <v>1961</v>
      </c>
      <c r="E603">
        <v>0.04</v>
      </c>
      <c r="F603">
        <v>0</v>
      </c>
      <c r="G603">
        <v>0</v>
      </c>
      <c r="H603">
        <v>0</v>
      </c>
      <c r="I603" t="s">
        <v>71</v>
      </c>
      <c r="J603">
        <v>0</v>
      </c>
      <c r="K603">
        <v>0.04</v>
      </c>
      <c r="L603">
        <v>0</v>
      </c>
      <c r="M603">
        <v>0</v>
      </c>
      <c r="N603">
        <v>0.04</v>
      </c>
      <c r="O603" t="s">
        <v>71</v>
      </c>
      <c r="P603">
        <v>0</v>
      </c>
      <c r="Q603" t="s">
        <v>71</v>
      </c>
      <c r="R603">
        <v>0</v>
      </c>
      <c r="S603" t="s">
        <v>71</v>
      </c>
      <c r="T603">
        <v>0</v>
      </c>
      <c r="U603" t="s">
        <v>71</v>
      </c>
      <c r="V603">
        <v>0</v>
      </c>
      <c r="W603" t="s">
        <v>71</v>
      </c>
      <c r="X603">
        <v>0</v>
      </c>
      <c r="Y603">
        <v>0.04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37</v>
      </c>
      <c r="AF603">
        <v>40</v>
      </c>
      <c r="AG603">
        <v>40</v>
      </c>
      <c r="AI603">
        <v>2E-3</v>
      </c>
      <c r="AK603" t="s">
        <v>740</v>
      </c>
      <c r="AL603" t="s">
        <v>403</v>
      </c>
      <c r="AM603">
        <v>400000</v>
      </c>
      <c r="AN603" t="s">
        <v>73</v>
      </c>
      <c r="AO603">
        <v>2</v>
      </c>
      <c r="AP603">
        <v>0</v>
      </c>
      <c r="AQ603">
        <v>33333.333333333336</v>
      </c>
      <c r="AR603" t="s">
        <v>1962</v>
      </c>
      <c r="AS603" t="s">
        <v>75</v>
      </c>
      <c r="AX603" t="s">
        <v>76</v>
      </c>
      <c r="AY603" t="s">
        <v>71</v>
      </c>
      <c r="AZ603">
        <v>0</v>
      </c>
      <c r="BA603" t="s">
        <v>71</v>
      </c>
      <c r="BB603">
        <v>0</v>
      </c>
      <c r="BD603">
        <v>0.02</v>
      </c>
    </row>
    <row r="604" spans="1:56" x14ac:dyDescent="0.15">
      <c r="A604" s="4" t="str">
        <f>HYPERLINK("https://ibp.a2mac1.com/costing(costing:projects/details/9760/part/8412589)","Frame")</f>
        <v>Frame</v>
      </c>
      <c r="B604">
        <v>8412589</v>
      </c>
      <c r="C604">
        <v>8412553</v>
      </c>
      <c r="E604">
        <v>0.4</v>
      </c>
      <c r="F604">
        <v>0</v>
      </c>
      <c r="G604">
        <v>0</v>
      </c>
      <c r="H604">
        <v>2.0240000000000002E-3</v>
      </c>
      <c r="I604" t="s">
        <v>176</v>
      </c>
      <c r="J604">
        <v>1.4E-2</v>
      </c>
      <c r="K604">
        <v>0.416024</v>
      </c>
      <c r="L604">
        <v>0.13128241863680254</v>
      </c>
      <c r="M604">
        <v>0.78769451182081529</v>
      </c>
      <c r="N604">
        <v>1.2037185118208154</v>
      </c>
      <c r="O604" t="s">
        <v>90</v>
      </c>
      <c r="P604">
        <v>0</v>
      </c>
      <c r="Q604" t="s">
        <v>90</v>
      </c>
      <c r="R604">
        <v>0</v>
      </c>
      <c r="S604" t="s">
        <v>90</v>
      </c>
      <c r="T604">
        <v>0</v>
      </c>
      <c r="U604" t="s">
        <v>90</v>
      </c>
      <c r="V604">
        <v>0</v>
      </c>
      <c r="W604" t="s">
        <v>90</v>
      </c>
      <c r="X604">
        <v>0</v>
      </c>
      <c r="Y604">
        <v>1.2037185118208154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46</v>
      </c>
      <c r="AF604">
        <v>185</v>
      </c>
      <c r="AG604">
        <v>306</v>
      </c>
      <c r="AI604">
        <v>0.47699999999999998</v>
      </c>
      <c r="AK604" t="s">
        <v>740</v>
      </c>
      <c r="AL604" t="s">
        <v>96</v>
      </c>
      <c r="AM604">
        <v>200000</v>
      </c>
      <c r="AN604" t="s">
        <v>73</v>
      </c>
      <c r="AO604">
        <v>1</v>
      </c>
      <c r="AP604">
        <v>0</v>
      </c>
      <c r="AQ604">
        <v>16666.666666666668</v>
      </c>
      <c r="AR604" t="s">
        <v>1966</v>
      </c>
      <c r="AS604" t="s">
        <v>75</v>
      </c>
      <c r="AX604" t="s">
        <v>76</v>
      </c>
      <c r="AY604" t="s">
        <v>176</v>
      </c>
      <c r="AZ604">
        <v>0</v>
      </c>
      <c r="BA604" t="s">
        <v>176</v>
      </c>
      <c r="BB604">
        <v>0</v>
      </c>
    </row>
    <row r="605" spans="1:56" x14ac:dyDescent="0.15">
      <c r="A605" s="4" t="str">
        <f>HYPERLINK("https://ibp.a2mac1.com/costing(costing:projects/details/9760/part/8412590)","Reinforcement Mechanism")</f>
        <v>Reinforcement Mechanism</v>
      </c>
      <c r="B605">
        <v>8412590</v>
      </c>
      <c r="C605">
        <v>8412553</v>
      </c>
      <c r="E605">
        <v>0.29128999999999999</v>
      </c>
      <c r="F605">
        <v>0</v>
      </c>
      <c r="G605">
        <v>0</v>
      </c>
      <c r="H605">
        <v>1.4739274E-3</v>
      </c>
      <c r="I605" t="s">
        <v>176</v>
      </c>
      <c r="J605">
        <v>1.019515E-2</v>
      </c>
      <c r="K605">
        <v>0.3029590774</v>
      </c>
      <c r="L605">
        <v>3.2381729665402474E-2</v>
      </c>
      <c r="M605">
        <v>0.19429037799241486</v>
      </c>
      <c r="N605">
        <v>0.49724945539241489</v>
      </c>
      <c r="O605" t="s">
        <v>177</v>
      </c>
      <c r="P605">
        <v>1.8177544644E-2</v>
      </c>
      <c r="Q605" t="s">
        <v>177</v>
      </c>
      <c r="R605">
        <v>1.1657422679544891E-2</v>
      </c>
      <c r="S605" t="s">
        <v>178</v>
      </c>
      <c r="T605">
        <v>5.9669934647089785E-2</v>
      </c>
      <c r="U605" t="s">
        <v>90</v>
      </c>
      <c r="V605">
        <v>0</v>
      </c>
      <c r="W605" t="s">
        <v>90</v>
      </c>
      <c r="X605">
        <v>0</v>
      </c>
      <c r="Y605">
        <v>0.58675435736304959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51</v>
      </c>
      <c r="AF605">
        <v>150</v>
      </c>
      <c r="AG605">
        <v>160</v>
      </c>
      <c r="AI605">
        <v>0.17599999999999999</v>
      </c>
      <c r="AK605" t="s">
        <v>740</v>
      </c>
      <c r="AL605" t="s">
        <v>403</v>
      </c>
      <c r="AM605">
        <v>200000</v>
      </c>
      <c r="AN605" t="s">
        <v>97</v>
      </c>
      <c r="AO605">
        <v>1</v>
      </c>
      <c r="AP605">
        <v>0</v>
      </c>
      <c r="AQ605">
        <v>16666.666666666668</v>
      </c>
      <c r="AR605" t="s">
        <v>1969</v>
      </c>
      <c r="AS605" t="s">
        <v>75</v>
      </c>
      <c r="AX605" t="s">
        <v>76</v>
      </c>
      <c r="AY605" t="s">
        <v>176</v>
      </c>
      <c r="AZ605">
        <v>0</v>
      </c>
      <c r="BA605" t="s">
        <v>176</v>
      </c>
      <c r="BB605">
        <v>0</v>
      </c>
    </row>
    <row r="606" spans="1:56" x14ac:dyDescent="0.15">
      <c r="A606" s="4" t="str">
        <f>HYPERLINK("https://ibp.a2mac1.com/costing(costing:projects/details/9760/part/8412591)","Rear Bezel")</f>
        <v>Rear Bezel</v>
      </c>
      <c r="B606">
        <v>8412591</v>
      </c>
      <c r="C606">
        <v>8412553</v>
      </c>
      <c r="E606">
        <v>0.52</v>
      </c>
      <c r="F606">
        <v>0</v>
      </c>
      <c r="G606">
        <v>0</v>
      </c>
      <c r="H606">
        <v>2.6312000000000002E-3</v>
      </c>
      <c r="I606" t="s">
        <v>176</v>
      </c>
      <c r="J606">
        <v>1.8200000000000001E-2</v>
      </c>
      <c r="K606">
        <v>0.54083119999999996</v>
      </c>
      <c r="L606">
        <v>2.7083478470506045E-2</v>
      </c>
      <c r="M606">
        <v>0.16250087082303627</v>
      </c>
      <c r="N606">
        <v>0.70333207082303628</v>
      </c>
      <c r="O606" t="s">
        <v>90</v>
      </c>
      <c r="P606">
        <v>0</v>
      </c>
      <c r="Q606" t="s">
        <v>90</v>
      </c>
      <c r="R606">
        <v>0</v>
      </c>
      <c r="S606" t="s">
        <v>90</v>
      </c>
      <c r="T606">
        <v>0</v>
      </c>
      <c r="U606" t="s">
        <v>90</v>
      </c>
      <c r="V606">
        <v>0</v>
      </c>
      <c r="W606" t="s">
        <v>90</v>
      </c>
      <c r="X606">
        <v>0</v>
      </c>
      <c r="Y606">
        <v>0.70333207082303628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75</v>
      </c>
      <c r="AF606">
        <v>192</v>
      </c>
      <c r="AG606">
        <v>213</v>
      </c>
      <c r="AI606">
        <v>0.14399999999999999</v>
      </c>
      <c r="AK606" t="s">
        <v>740</v>
      </c>
      <c r="AL606" t="s">
        <v>412</v>
      </c>
      <c r="AM606">
        <v>200000</v>
      </c>
      <c r="AN606" t="s">
        <v>73</v>
      </c>
      <c r="AO606">
        <v>1</v>
      </c>
      <c r="AP606">
        <v>0</v>
      </c>
      <c r="AQ606">
        <v>16666.666666666668</v>
      </c>
      <c r="AR606" t="s">
        <v>1972</v>
      </c>
      <c r="AS606" t="s">
        <v>75</v>
      </c>
      <c r="AX606" t="s">
        <v>76</v>
      </c>
      <c r="AY606" t="s">
        <v>176</v>
      </c>
      <c r="AZ606">
        <v>0</v>
      </c>
      <c r="BA606" t="s">
        <v>176</v>
      </c>
      <c r="BB606">
        <v>0</v>
      </c>
    </row>
    <row r="607" spans="1:56" x14ac:dyDescent="0.15">
      <c r="A607" s="4" t="str">
        <f>HYPERLINK("https://ibp.a2mac1.com/costing(costing:projects/details/9760/part/8412592)","Rear Bezel Support")</f>
        <v>Rear Bezel Support</v>
      </c>
      <c r="B607">
        <v>8412592</v>
      </c>
      <c r="C607">
        <v>8412553</v>
      </c>
      <c r="E607">
        <v>0.34342</v>
      </c>
      <c r="F607">
        <v>0</v>
      </c>
      <c r="G607">
        <v>0</v>
      </c>
      <c r="H607">
        <v>1.7377052E-3</v>
      </c>
      <c r="I607" t="s">
        <v>176</v>
      </c>
      <c r="J607">
        <v>1.2019699999999999E-2</v>
      </c>
      <c r="K607">
        <v>0.35717740520000002</v>
      </c>
      <c r="L607">
        <v>3.767998086029891E-2</v>
      </c>
      <c r="M607">
        <v>0.22607988516179345</v>
      </c>
      <c r="N607">
        <v>0.58325729036179341</v>
      </c>
      <c r="O607" t="s">
        <v>90</v>
      </c>
      <c r="P607">
        <v>0</v>
      </c>
      <c r="Q607" t="s">
        <v>90</v>
      </c>
      <c r="R607">
        <v>0</v>
      </c>
      <c r="S607" t="s">
        <v>90</v>
      </c>
      <c r="T607">
        <v>0</v>
      </c>
      <c r="U607" t="s">
        <v>90</v>
      </c>
      <c r="V607">
        <v>0</v>
      </c>
      <c r="W607" t="s">
        <v>90</v>
      </c>
      <c r="X607">
        <v>0</v>
      </c>
      <c r="Y607">
        <v>0.58325729036179341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85</v>
      </c>
      <c r="AF607">
        <v>195</v>
      </c>
      <c r="AG607">
        <v>227</v>
      </c>
      <c r="AI607">
        <v>0.20699999999999999</v>
      </c>
      <c r="AK607" t="s">
        <v>740</v>
      </c>
      <c r="AL607" t="s">
        <v>403</v>
      </c>
      <c r="AM607">
        <v>200000</v>
      </c>
      <c r="AN607" t="s">
        <v>73</v>
      </c>
      <c r="AO607">
        <v>1</v>
      </c>
      <c r="AP607">
        <v>0</v>
      </c>
      <c r="AQ607">
        <v>16666.666666666668</v>
      </c>
      <c r="AR607" t="s">
        <v>1975</v>
      </c>
      <c r="AS607" t="s">
        <v>75</v>
      </c>
      <c r="AX607" t="s">
        <v>76</v>
      </c>
      <c r="AY607" t="s">
        <v>176</v>
      </c>
      <c r="AZ607">
        <v>0</v>
      </c>
      <c r="BA607" t="s">
        <v>176</v>
      </c>
      <c r="BB607">
        <v>0</v>
      </c>
    </row>
    <row r="608" spans="1:56" x14ac:dyDescent="0.15">
      <c r="A608" s="4" t="str">
        <f>HYPERLINK("https://ibp.a2mac1.com/costing(costing:projects/details/9760/part/8412696)","Guide")</f>
        <v>Guide</v>
      </c>
      <c r="B608">
        <v>8412696</v>
      </c>
      <c r="C608">
        <v>8412604</v>
      </c>
      <c r="E608">
        <v>0.2</v>
      </c>
      <c r="F608">
        <v>0</v>
      </c>
      <c r="G608">
        <v>0</v>
      </c>
      <c r="H608">
        <v>1.0059999999999999E-3</v>
      </c>
      <c r="I608" t="s">
        <v>176</v>
      </c>
      <c r="J608">
        <v>7.0000000000000001E-3</v>
      </c>
      <c r="K608">
        <v>0.208006</v>
      </c>
      <c r="L608">
        <v>9.422359898105739E-3</v>
      </c>
      <c r="M608">
        <v>5.6534159388634431E-2</v>
      </c>
      <c r="N608">
        <v>0.26454015938863445</v>
      </c>
      <c r="O608" t="s">
        <v>90</v>
      </c>
      <c r="P608">
        <v>0</v>
      </c>
      <c r="Q608" t="s">
        <v>90</v>
      </c>
      <c r="R608">
        <v>0</v>
      </c>
      <c r="S608" t="s">
        <v>90</v>
      </c>
      <c r="T608">
        <v>0</v>
      </c>
      <c r="U608" t="s">
        <v>90</v>
      </c>
      <c r="V608">
        <v>0</v>
      </c>
      <c r="W608" t="s">
        <v>90</v>
      </c>
      <c r="X608">
        <v>0</v>
      </c>
      <c r="Y608">
        <v>0.26454015938863445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24</v>
      </c>
      <c r="AF608">
        <v>33</v>
      </c>
      <c r="AG608">
        <v>107</v>
      </c>
      <c r="AI608">
        <v>3.6999999999999998E-2</v>
      </c>
      <c r="AK608" t="s">
        <v>740</v>
      </c>
      <c r="AL608" t="s">
        <v>1981</v>
      </c>
      <c r="AM608">
        <v>400000</v>
      </c>
      <c r="AN608" t="s">
        <v>73</v>
      </c>
      <c r="AO608">
        <v>2</v>
      </c>
      <c r="AP608">
        <v>0</v>
      </c>
      <c r="AQ608">
        <v>33333.333333333336</v>
      </c>
      <c r="AR608" t="s">
        <v>1982</v>
      </c>
      <c r="AS608" t="s">
        <v>75</v>
      </c>
      <c r="AX608" t="s">
        <v>76</v>
      </c>
      <c r="AY608" t="s">
        <v>176</v>
      </c>
      <c r="AZ608">
        <v>0</v>
      </c>
      <c r="BA608" t="s">
        <v>176</v>
      </c>
      <c r="BB608">
        <v>0</v>
      </c>
    </row>
    <row r="609" spans="1:56" x14ac:dyDescent="0.15">
      <c r="A609" s="4" t="str">
        <f>HYPERLINK("https://ibp.a2mac1.com/costing(costing:projects/details/9760/part/8412697)","Back Cover")</f>
        <v>Back Cover</v>
      </c>
      <c r="B609">
        <v>8412697</v>
      </c>
      <c r="C609">
        <v>8412605</v>
      </c>
      <c r="E609">
        <v>14.81</v>
      </c>
      <c r="F609">
        <v>0</v>
      </c>
      <c r="G609">
        <v>0</v>
      </c>
      <c r="H609">
        <v>7.4938599999999994E-2</v>
      </c>
      <c r="I609" t="s">
        <v>176</v>
      </c>
      <c r="J609">
        <v>0.51834999999999998</v>
      </c>
      <c r="K609">
        <v>15.4032886</v>
      </c>
      <c r="L609">
        <v>0.369703722407142</v>
      </c>
      <c r="M609">
        <v>2.218222334442852</v>
      </c>
      <c r="N609">
        <v>17.621510934442853</v>
      </c>
      <c r="O609" t="s">
        <v>90</v>
      </c>
      <c r="P609">
        <v>0</v>
      </c>
      <c r="Q609" t="s">
        <v>90</v>
      </c>
      <c r="R609">
        <v>0</v>
      </c>
      <c r="S609" t="s">
        <v>90</v>
      </c>
      <c r="T609">
        <v>0</v>
      </c>
      <c r="U609" t="s">
        <v>90</v>
      </c>
      <c r="V609">
        <v>0</v>
      </c>
      <c r="W609" t="s">
        <v>90</v>
      </c>
      <c r="X609">
        <v>0</v>
      </c>
      <c r="Y609">
        <v>17.621510934442853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210</v>
      </c>
      <c r="AF609">
        <v>520</v>
      </c>
      <c r="AG609">
        <v>832</v>
      </c>
      <c r="AI609">
        <v>1.5089999999999999</v>
      </c>
      <c r="AK609" t="s">
        <v>740</v>
      </c>
      <c r="AL609" t="s">
        <v>1988</v>
      </c>
      <c r="AM609">
        <v>200000</v>
      </c>
      <c r="AN609" t="s">
        <v>73</v>
      </c>
      <c r="AO609">
        <v>1</v>
      </c>
      <c r="AP609">
        <v>0</v>
      </c>
      <c r="AQ609">
        <v>16666.666666666668</v>
      </c>
      <c r="AR609" t="s">
        <v>1989</v>
      </c>
      <c r="AS609" t="s">
        <v>75</v>
      </c>
      <c r="AX609" t="s">
        <v>76</v>
      </c>
      <c r="AY609" t="s">
        <v>176</v>
      </c>
      <c r="AZ609">
        <v>0</v>
      </c>
      <c r="BA609" t="s">
        <v>176</v>
      </c>
      <c r="BB609">
        <v>0</v>
      </c>
    </row>
    <row r="610" spans="1:56" x14ac:dyDescent="0.15">
      <c r="A610" s="4" t="str">
        <f>HYPERLINK("https://ibp.a2mac1.com/costing(costing:projects/details/9760/part/8412698)","Cover Upper Part")</f>
        <v>Cover Upper Part</v>
      </c>
      <c r="B610">
        <v>8412698</v>
      </c>
      <c r="C610">
        <v>8412605</v>
      </c>
      <c r="E610">
        <v>0.89</v>
      </c>
      <c r="F610">
        <v>0</v>
      </c>
      <c r="G610">
        <v>0</v>
      </c>
      <c r="H610">
        <v>4.5034000000000003E-3</v>
      </c>
      <c r="I610" t="s">
        <v>176</v>
      </c>
      <c r="J610">
        <v>3.1150000000000001E-2</v>
      </c>
      <c r="K610">
        <v>0.92565339999999996</v>
      </c>
      <c r="L610">
        <v>0.1454110884898597</v>
      </c>
      <c r="M610">
        <v>0.87246653093915816</v>
      </c>
      <c r="N610">
        <v>1.7981199309391582</v>
      </c>
      <c r="O610" t="s">
        <v>90</v>
      </c>
      <c r="P610">
        <v>0</v>
      </c>
      <c r="Q610" t="s">
        <v>90</v>
      </c>
      <c r="R610">
        <v>0</v>
      </c>
      <c r="S610" t="s">
        <v>90</v>
      </c>
      <c r="T610">
        <v>0</v>
      </c>
      <c r="U610" t="s">
        <v>90</v>
      </c>
      <c r="V610">
        <v>0</v>
      </c>
      <c r="W610" t="s">
        <v>90</v>
      </c>
      <c r="X610">
        <v>0</v>
      </c>
      <c r="Y610">
        <v>1.7981199309391582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84</v>
      </c>
      <c r="AF610">
        <v>343</v>
      </c>
      <c r="AG610">
        <v>282</v>
      </c>
      <c r="AI610">
        <v>0.20399999999999999</v>
      </c>
      <c r="AK610" t="s">
        <v>740</v>
      </c>
      <c r="AL610" t="s">
        <v>412</v>
      </c>
      <c r="AM610">
        <v>200000</v>
      </c>
      <c r="AN610" t="s">
        <v>73</v>
      </c>
      <c r="AO610">
        <v>1</v>
      </c>
      <c r="AP610">
        <v>0</v>
      </c>
      <c r="AQ610">
        <v>16666.666666666668</v>
      </c>
      <c r="AR610" t="s">
        <v>1993</v>
      </c>
      <c r="AS610" t="s">
        <v>75</v>
      </c>
      <c r="AX610" t="s">
        <v>76</v>
      </c>
      <c r="AY610" t="s">
        <v>176</v>
      </c>
      <c r="AZ610">
        <v>0</v>
      </c>
      <c r="BA610" t="s">
        <v>176</v>
      </c>
      <c r="BB610">
        <v>0</v>
      </c>
    </row>
    <row r="611" spans="1:56" x14ac:dyDescent="0.15">
      <c r="A611" s="4" t="str">
        <f>HYPERLINK("https://ibp.a2mac1.com/costing(costing:projects/details/9760/part/8412699)","Cover Lower Part")</f>
        <v>Cover Lower Part</v>
      </c>
      <c r="B611">
        <v>8412699</v>
      </c>
      <c r="C611">
        <v>8412605</v>
      </c>
      <c r="E611">
        <v>0.51</v>
      </c>
      <c r="F611">
        <v>0</v>
      </c>
      <c r="G611">
        <v>0</v>
      </c>
      <c r="H611">
        <v>2.5806000000000002E-3</v>
      </c>
      <c r="I611" t="s">
        <v>176</v>
      </c>
      <c r="J611">
        <v>1.7850000000000001E-2</v>
      </c>
      <c r="K611">
        <v>0.53043059999999997</v>
      </c>
      <c r="L611">
        <v>0.15777367461128469</v>
      </c>
      <c r="M611">
        <v>0.94664204766770821</v>
      </c>
      <c r="N611">
        <v>1.4770726476677083</v>
      </c>
      <c r="O611" t="s">
        <v>90</v>
      </c>
      <c r="P611">
        <v>0</v>
      </c>
      <c r="Q611" t="s">
        <v>90</v>
      </c>
      <c r="R611">
        <v>0</v>
      </c>
      <c r="S611" t="s">
        <v>90</v>
      </c>
      <c r="T611">
        <v>0</v>
      </c>
      <c r="U611" t="s">
        <v>90</v>
      </c>
      <c r="V611">
        <v>0</v>
      </c>
      <c r="W611" t="s">
        <v>90</v>
      </c>
      <c r="X611">
        <v>0</v>
      </c>
      <c r="Y611">
        <v>1.4770726476677083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10</v>
      </c>
      <c r="AF611">
        <v>532</v>
      </c>
      <c r="AG611">
        <v>280</v>
      </c>
      <c r="AI611">
        <v>0.1</v>
      </c>
      <c r="AK611" t="s">
        <v>740</v>
      </c>
      <c r="AL611" t="s">
        <v>1997</v>
      </c>
      <c r="AM611">
        <v>200000</v>
      </c>
      <c r="AN611" t="s">
        <v>73</v>
      </c>
      <c r="AO611">
        <v>1</v>
      </c>
      <c r="AP611">
        <v>0</v>
      </c>
      <c r="AQ611">
        <v>16666.666666666668</v>
      </c>
      <c r="AR611" t="s">
        <v>1998</v>
      </c>
      <c r="AS611" t="s">
        <v>75</v>
      </c>
      <c r="AX611" t="s">
        <v>76</v>
      </c>
      <c r="AY611" t="s">
        <v>176</v>
      </c>
      <c r="AZ611">
        <v>0</v>
      </c>
      <c r="BA611" t="s">
        <v>176</v>
      </c>
      <c r="BB611">
        <v>0</v>
      </c>
    </row>
    <row r="612" spans="1:56" x14ac:dyDescent="0.15">
      <c r="A612" s="4" t="str">
        <f>HYPERLINK("https://ibp.a2mac1.com/costing(costing:projects/details/9760/part/8412700)","Bezel")</f>
        <v>Bezel</v>
      </c>
      <c r="B612">
        <v>8412700</v>
      </c>
      <c r="C612">
        <v>8412605</v>
      </c>
      <c r="E612">
        <v>0.1</v>
      </c>
      <c r="F612">
        <v>0</v>
      </c>
      <c r="G612">
        <v>0</v>
      </c>
      <c r="H612">
        <v>5.0600000000000005E-4</v>
      </c>
      <c r="I612" t="s">
        <v>176</v>
      </c>
      <c r="J612">
        <v>3.5000000000000001E-3</v>
      </c>
      <c r="K612">
        <v>0.104006</v>
      </c>
      <c r="L612">
        <v>2.5317394738873903E-2</v>
      </c>
      <c r="M612">
        <v>0.1519043684332434</v>
      </c>
      <c r="N612">
        <v>0.25591036843324338</v>
      </c>
      <c r="O612" t="s">
        <v>90</v>
      </c>
      <c r="P612">
        <v>0</v>
      </c>
      <c r="Q612" t="s">
        <v>90</v>
      </c>
      <c r="R612">
        <v>0</v>
      </c>
      <c r="S612" t="s">
        <v>90</v>
      </c>
      <c r="T612">
        <v>0</v>
      </c>
      <c r="U612" t="s">
        <v>90</v>
      </c>
      <c r="V612">
        <v>0</v>
      </c>
      <c r="W612" t="s">
        <v>90</v>
      </c>
      <c r="X612">
        <v>0</v>
      </c>
      <c r="Y612">
        <v>0.25591036843324338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25</v>
      </c>
      <c r="AF612">
        <v>123</v>
      </c>
      <c r="AG612">
        <v>86</v>
      </c>
      <c r="AI612">
        <v>2.3E-2</v>
      </c>
      <c r="AK612" t="s">
        <v>740</v>
      </c>
      <c r="AL612" t="s">
        <v>412</v>
      </c>
      <c r="AM612">
        <v>200000</v>
      </c>
      <c r="AN612" t="s">
        <v>73</v>
      </c>
      <c r="AO612">
        <v>1</v>
      </c>
      <c r="AP612">
        <v>0</v>
      </c>
      <c r="AQ612">
        <v>16666.666666666668</v>
      </c>
      <c r="AR612" t="s">
        <v>2001</v>
      </c>
      <c r="AS612" t="s">
        <v>75</v>
      </c>
      <c r="AX612" t="s">
        <v>76</v>
      </c>
      <c r="AY612" t="s">
        <v>176</v>
      </c>
      <c r="AZ612">
        <v>0</v>
      </c>
      <c r="BA612" t="s">
        <v>176</v>
      </c>
      <c r="BB612">
        <v>0</v>
      </c>
    </row>
    <row r="613" spans="1:56" x14ac:dyDescent="0.15">
      <c r="A613" s="4" t="str">
        <f>HYPERLINK("https://ibp.a2mac1.com/costing(costing:projects/details/9760/part/8412701)","Support 1")</f>
        <v>Support 1</v>
      </c>
      <c r="B613">
        <v>8412701</v>
      </c>
      <c r="C613">
        <v>8412605</v>
      </c>
      <c r="E613">
        <v>0.04</v>
      </c>
      <c r="F613">
        <v>0</v>
      </c>
      <c r="G613">
        <v>0</v>
      </c>
      <c r="H613">
        <v>2.0239999999999999E-4</v>
      </c>
      <c r="I613" t="s">
        <v>176</v>
      </c>
      <c r="J613">
        <v>1.4E-3</v>
      </c>
      <c r="K613">
        <v>4.1602399999999998E-2</v>
      </c>
      <c r="L613">
        <v>5.8904736909203177E-3</v>
      </c>
      <c r="M613">
        <v>3.5342842145521906E-2</v>
      </c>
      <c r="N613">
        <v>7.6945242145521897E-2</v>
      </c>
      <c r="O613" t="s">
        <v>90</v>
      </c>
      <c r="P613">
        <v>0</v>
      </c>
      <c r="Q613" t="s">
        <v>90</v>
      </c>
      <c r="R613">
        <v>0</v>
      </c>
      <c r="S613" t="s">
        <v>90</v>
      </c>
      <c r="T613">
        <v>0</v>
      </c>
      <c r="U613" t="s">
        <v>90</v>
      </c>
      <c r="V613">
        <v>0</v>
      </c>
      <c r="W613" t="s">
        <v>90</v>
      </c>
      <c r="X613">
        <v>0</v>
      </c>
      <c r="Y613">
        <v>7.6945242145521897E-2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13</v>
      </c>
      <c r="AF613">
        <v>422</v>
      </c>
      <c r="AG613">
        <v>116</v>
      </c>
      <c r="AI613">
        <v>3.1E-2</v>
      </c>
      <c r="AK613" t="s">
        <v>740</v>
      </c>
      <c r="AL613" t="s">
        <v>399</v>
      </c>
      <c r="AM613">
        <v>200000</v>
      </c>
      <c r="AN613" t="s">
        <v>73</v>
      </c>
      <c r="AO613">
        <v>1</v>
      </c>
      <c r="AP613">
        <v>0</v>
      </c>
      <c r="AQ613">
        <v>16666.666666666668</v>
      </c>
      <c r="AR613" t="s">
        <v>2004</v>
      </c>
      <c r="AS613" t="s">
        <v>75</v>
      </c>
      <c r="AX613" t="s">
        <v>76</v>
      </c>
      <c r="AY613" t="s">
        <v>176</v>
      </c>
      <c r="AZ613">
        <v>0</v>
      </c>
      <c r="BA613" t="s">
        <v>176</v>
      </c>
      <c r="BB613">
        <v>0</v>
      </c>
    </row>
    <row r="614" spans="1:56" x14ac:dyDescent="0.15">
      <c r="A614" s="4" t="str">
        <f>HYPERLINK("https://ibp.a2mac1.com/costing(costing:projects/details/9760/part/8412702)","Support 2")</f>
        <v>Support 2</v>
      </c>
      <c r="B614">
        <v>8412702</v>
      </c>
      <c r="C614">
        <v>8412605</v>
      </c>
      <c r="E614">
        <v>7.0000000000000007E-2</v>
      </c>
      <c r="F614">
        <v>0</v>
      </c>
      <c r="G614">
        <v>0</v>
      </c>
      <c r="H614">
        <v>3.5419999999999999E-4</v>
      </c>
      <c r="I614" t="s">
        <v>176</v>
      </c>
      <c r="J614">
        <v>2.4499999999999999E-3</v>
      </c>
      <c r="K614">
        <v>7.2804199999999999E-2</v>
      </c>
      <c r="L614">
        <v>9.422641154184605E-3</v>
      </c>
      <c r="M614">
        <v>5.653584692510763E-2</v>
      </c>
      <c r="N614">
        <v>0.12934004692510764</v>
      </c>
      <c r="O614" t="s">
        <v>90</v>
      </c>
      <c r="P614">
        <v>0</v>
      </c>
      <c r="Q614" t="s">
        <v>90</v>
      </c>
      <c r="R614">
        <v>0</v>
      </c>
      <c r="S614" t="s">
        <v>90</v>
      </c>
      <c r="T614">
        <v>0</v>
      </c>
      <c r="U614" t="s">
        <v>90</v>
      </c>
      <c r="V614">
        <v>0</v>
      </c>
      <c r="W614" t="s">
        <v>90</v>
      </c>
      <c r="X614">
        <v>0</v>
      </c>
      <c r="Y614">
        <v>0.12934004692510764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9</v>
      </c>
      <c r="AF614">
        <v>199</v>
      </c>
      <c r="AG614">
        <v>68</v>
      </c>
      <c r="AI614">
        <v>8.3000000000000004E-2</v>
      </c>
      <c r="AK614" t="s">
        <v>740</v>
      </c>
      <c r="AL614" t="s">
        <v>96</v>
      </c>
      <c r="AM614">
        <v>200000</v>
      </c>
      <c r="AN614" t="s">
        <v>73</v>
      </c>
      <c r="AO614">
        <v>1</v>
      </c>
      <c r="AP614">
        <v>0</v>
      </c>
      <c r="AQ614">
        <v>16666.666666666668</v>
      </c>
      <c r="AR614" t="s">
        <v>2008</v>
      </c>
      <c r="AS614" t="s">
        <v>75</v>
      </c>
      <c r="AX614" t="s">
        <v>76</v>
      </c>
      <c r="AY614" t="s">
        <v>176</v>
      </c>
      <c r="AZ614">
        <v>0</v>
      </c>
      <c r="BA614" t="s">
        <v>176</v>
      </c>
      <c r="BB614">
        <v>0</v>
      </c>
    </row>
    <row r="615" spans="1:56" x14ac:dyDescent="0.15">
      <c r="A615" s="4" t="str">
        <f>HYPERLINK("https://ibp.a2mac1.com/costing(costing:projects/details/9760/part/8412593)","Cover")</f>
        <v>Cover</v>
      </c>
      <c r="B615">
        <v>8412593</v>
      </c>
      <c r="C615">
        <v>8412554</v>
      </c>
      <c r="E615">
        <v>22.05</v>
      </c>
      <c r="F615">
        <v>0</v>
      </c>
      <c r="G615">
        <v>0</v>
      </c>
      <c r="H615">
        <v>0.11157300000000001</v>
      </c>
      <c r="I615" t="s">
        <v>176</v>
      </c>
      <c r="J615">
        <v>0.77175000000000005</v>
      </c>
      <c r="K615">
        <v>22.933323000000001</v>
      </c>
      <c r="L615">
        <v>0.63461628215196353</v>
      </c>
      <c r="M615">
        <v>3.8076976929117814</v>
      </c>
      <c r="N615">
        <v>26.741020692911782</v>
      </c>
      <c r="O615" t="s">
        <v>90</v>
      </c>
      <c r="P615">
        <v>0</v>
      </c>
      <c r="Q615" t="s">
        <v>90</v>
      </c>
      <c r="R615">
        <v>0</v>
      </c>
      <c r="S615" t="s">
        <v>90</v>
      </c>
      <c r="T615">
        <v>0</v>
      </c>
      <c r="U615" t="s">
        <v>90</v>
      </c>
      <c r="V615">
        <v>0</v>
      </c>
      <c r="W615" t="s">
        <v>90</v>
      </c>
      <c r="X615">
        <v>0</v>
      </c>
      <c r="Y615">
        <v>26.741020692911782</v>
      </c>
      <c r="Z615">
        <v>0</v>
      </c>
      <c r="AA615">
        <v>0</v>
      </c>
      <c r="AB615">
        <v>0</v>
      </c>
      <c r="AC615">
        <v>0</v>
      </c>
      <c r="AD615">
        <v>0</v>
      </c>
      <c r="AI615">
        <v>0.745</v>
      </c>
      <c r="AK615" t="s">
        <v>740</v>
      </c>
      <c r="AL615" t="s">
        <v>1952</v>
      </c>
      <c r="AM615">
        <v>200000</v>
      </c>
      <c r="AN615" t="s">
        <v>73</v>
      </c>
      <c r="AO615">
        <v>1</v>
      </c>
      <c r="AP615">
        <v>0</v>
      </c>
      <c r="AQ615">
        <v>16666.666666666668</v>
      </c>
      <c r="AR615" t="s">
        <v>2013</v>
      </c>
      <c r="AS615" t="s">
        <v>75</v>
      </c>
      <c r="AX615" t="s">
        <v>76</v>
      </c>
      <c r="AY615" t="s">
        <v>176</v>
      </c>
      <c r="AZ615">
        <v>0</v>
      </c>
      <c r="BA615" t="s">
        <v>176</v>
      </c>
      <c r="BB615">
        <v>0</v>
      </c>
    </row>
    <row r="616" spans="1:56" x14ac:dyDescent="0.15">
      <c r="A616" s="4" t="str">
        <f>HYPERLINK("https://ibp.a2mac1.com/costing(costing:projects/details/9760/part/8412594)","Pad")</f>
        <v>Pad</v>
      </c>
      <c r="B616">
        <v>8412594</v>
      </c>
      <c r="C616">
        <v>8412554</v>
      </c>
      <c r="E616">
        <v>2.57</v>
      </c>
      <c r="F616">
        <v>0</v>
      </c>
      <c r="G616">
        <v>0</v>
      </c>
      <c r="H616">
        <v>1.30042E-2</v>
      </c>
      <c r="I616" t="s">
        <v>176</v>
      </c>
      <c r="J616">
        <v>8.9950000000000002E-2</v>
      </c>
      <c r="K616">
        <v>2.6729541999999999</v>
      </c>
      <c r="L616">
        <v>0.11891983251537754</v>
      </c>
      <c r="M616">
        <v>0.71351899509226524</v>
      </c>
      <c r="N616">
        <v>3.3864731950922651</v>
      </c>
      <c r="O616" t="s">
        <v>90</v>
      </c>
      <c r="P616">
        <v>0</v>
      </c>
      <c r="Q616" t="s">
        <v>90</v>
      </c>
      <c r="R616">
        <v>0</v>
      </c>
      <c r="S616" t="s">
        <v>90</v>
      </c>
      <c r="T616">
        <v>0</v>
      </c>
      <c r="U616" t="s">
        <v>90</v>
      </c>
      <c r="V616">
        <v>0</v>
      </c>
      <c r="W616" t="s">
        <v>90</v>
      </c>
      <c r="X616">
        <v>0</v>
      </c>
      <c r="Y616">
        <v>3.3864731950922651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225</v>
      </c>
      <c r="AF616">
        <v>535</v>
      </c>
      <c r="AG616">
        <v>858</v>
      </c>
      <c r="AI616">
        <v>0.86599999999999999</v>
      </c>
      <c r="AK616" t="s">
        <v>740</v>
      </c>
      <c r="AL616" t="s">
        <v>1957</v>
      </c>
      <c r="AM616">
        <v>200000</v>
      </c>
      <c r="AN616" t="s">
        <v>73</v>
      </c>
      <c r="AO616">
        <v>1</v>
      </c>
      <c r="AP616">
        <v>0</v>
      </c>
      <c r="AQ616">
        <v>16666.666666666668</v>
      </c>
      <c r="AR616" t="s">
        <v>2016</v>
      </c>
      <c r="AS616" t="s">
        <v>75</v>
      </c>
      <c r="AX616" t="s">
        <v>76</v>
      </c>
      <c r="AY616" t="s">
        <v>176</v>
      </c>
      <c r="AZ616">
        <v>0</v>
      </c>
      <c r="BA616" t="s">
        <v>176</v>
      </c>
      <c r="BB616">
        <v>0</v>
      </c>
    </row>
    <row r="617" spans="1:56" x14ac:dyDescent="0.15">
      <c r="A617" s="4" t="str">
        <f>HYPERLINK("https://ibp.a2mac1.com/costing(costing:projects/details/9760/part/8412595)","Pad Protection")</f>
        <v>Pad Protection</v>
      </c>
      <c r="B617">
        <v>8412595</v>
      </c>
      <c r="C617">
        <v>8412554</v>
      </c>
      <c r="D617" t="s">
        <v>2017</v>
      </c>
      <c r="E617">
        <v>0.1</v>
      </c>
      <c r="F617">
        <v>0</v>
      </c>
      <c r="G617">
        <v>0</v>
      </c>
      <c r="H617">
        <v>0</v>
      </c>
      <c r="I617" t="s">
        <v>71</v>
      </c>
      <c r="J617">
        <v>0</v>
      </c>
      <c r="K617">
        <v>0.1</v>
      </c>
      <c r="L617">
        <v>0</v>
      </c>
      <c r="M617">
        <v>0</v>
      </c>
      <c r="N617">
        <v>0.1</v>
      </c>
      <c r="O617" t="s">
        <v>71</v>
      </c>
      <c r="P617">
        <v>0</v>
      </c>
      <c r="Q617" t="s">
        <v>71</v>
      </c>
      <c r="R617">
        <v>0</v>
      </c>
      <c r="S617" t="s">
        <v>71</v>
      </c>
      <c r="T617">
        <v>0</v>
      </c>
      <c r="U617" t="s">
        <v>71</v>
      </c>
      <c r="V617">
        <v>0</v>
      </c>
      <c r="W617" t="s">
        <v>71</v>
      </c>
      <c r="X617">
        <v>0</v>
      </c>
      <c r="Y617">
        <v>0.1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330</v>
      </c>
      <c r="AG617">
        <v>705</v>
      </c>
      <c r="AI617">
        <v>2.1999999999999999E-2</v>
      </c>
      <c r="AK617" t="s">
        <v>740</v>
      </c>
      <c r="AL617" t="s">
        <v>403</v>
      </c>
      <c r="AM617">
        <v>200000</v>
      </c>
      <c r="AN617" t="s">
        <v>73</v>
      </c>
      <c r="AO617">
        <v>1</v>
      </c>
      <c r="AP617">
        <v>0</v>
      </c>
      <c r="AQ617">
        <v>16666.666666666668</v>
      </c>
      <c r="AR617" t="s">
        <v>2018</v>
      </c>
      <c r="AS617" t="s">
        <v>75</v>
      </c>
      <c r="AX617" t="s">
        <v>76</v>
      </c>
      <c r="AY617" t="s">
        <v>71</v>
      </c>
      <c r="AZ617">
        <v>0</v>
      </c>
      <c r="BA617" t="s">
        <v>71</v>
      </c>
      <c r="BB617">
        <v>0</v>
      </c>
      <c r="BD617">
        <v>0.1</v>
      </c>
    </row>
    <row r="618" spans="1:56" x14ac:dyDescent="0.15">
      <c r="A618" s="4" t="str">
        <f>HYPERLINK("https://ibp.a2mac1.com/costing(costing:projects/details/9760/part/8412596)","2nd Pad")</f>
        <v>2nd Pad</v>
      </c>
      <c r="B618">
        <v>8412596</v>
      </c>
      <c r="C618">
        <v>8412554</v>
      </c>
      <c r="E618">
        <v>0.21</v>
      </c>
      <c r="F618">
        <v>0</v>
      </c>
      <c r="G618">
        <v>0</v>
      </c>
      <c r="H618">
        <v>1.0625999999999999E-3</v>
      </c>
      <c r="I618" t="s">
        <v>176</v>
      </c>
      <c r="J618">
        <v>7.3499999999999998E-3</v>
      </c>
      <c r="K618">
        <v>0.21841260000000001</v>
      </c>
      <c r="L618">
        <v>1.1188724885816749E-2</v>
      </c>
      <c r="M618">
        <v>6.7132349314900502E-2</v>
      </c>
      <c r="N618">
        <v>0.28554494931490049</v>
      </c>
      <c r="O618" t="s">
        <v>90</v>
      </c>
      <c r="P618">
        <v>0</v>
      </c>
      <c r="Q618" t="s">
        <v>90</v>
      </c>
      <c r="R618">
        <v>0</v>
      </c>
      <c r="S618" t="s">
        <v>90</v>
      </c>
      <c r="T618">
        <v>0</v>
      </c>
      <c r="U618" t="s">
        <v>90</v>
      </c>
      <c r="V618">
        <v>0</v>
      </c>
      <c r="W618" t="s">
        <v>90</v>
      </c>
      <c r="X618">
        <v>0</v>
      </c>
      <c r="Y618">
        <v>0.28554494931490049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15</v>
      </c>
      <c r="AF618">
        <v>315</v>
      </c>
      <c r="AG618">
        <v>475</v>
      </c>
      <c r="AI618">
        <v>9.0999999999999998E-2</v>
      </c>
      <c r="AK618" t="s">
        <v>740</v>
      </c>
      <c r="AL618" t="s">
        <v>1957</v>
      </c>
      <c r="AM618">
        <v>200000</v>
      </c>
      <c r="AN618" t="s">
        <v>73</v>
      </c>
      <c r="AO618">
        <v>1</v>
      </c>
      <c r="AP618">
        <v>0</v>
      </c>
      <c r="AQ618">
        <v>16666.666666666668</v>
      </c>
      <c r="AR618" t="s">
        <v>2021</v>
      </c>
      <c r="AS618" t="s">
        <v>75</v>
      </c>
      <c r="AX618" t="s">
        <v>76</v>
      </c>
      <c r="AY618" t="s">
        <v>176</v>
      </c>
      <c r="AZ618">
        <v>0</v>
      </c>
      <c r="BA618" t="s">
        <v>176</v>
      </c>
      <c r="BB618">
        <v>0</v>
      </c>
    </row>
    <row r="619" spans="1:56" x14ac:dyDescent="0.15">
      <c r="A619" s="4" t="str">
        <f>HYPERLINK("https://ibp.a2mac1.com/costing(costing:projects/details/9760/part/8412597)","Frame")</f>
        <v>Frame</v>
      </c>
      <c r="B619">
        <v>8412597</v>
      </c>
      <c r="C619">
        <v>8412554</v>
      </c>
      <c r="E619">
        <v>3.05</v>
      </c>
      <c r="F619">
        <v>0</v>
      </c>
      <c r="G619">
        <v>0</v>
      </c>
      <c r="H619">
        <v>1.5433000000000001E-2</v>
      </c>
      <c r="I619" t="s">
        <v>176</v>
      </c>
      <c r="J619">
        <v>0.10675</v>
      </c>
      <c r="K619">
        <v>3.172183</v>
      </c>
      <c r="L619">
        <v>1.3357515236099247</v>
      </c>
      <c r="M619">
        <v>8.0145091416595484</v>
      </c>
      <c r="N619">
        <v>11.186692141659549</v>
      </c>
      <c r="O619" t="s">
        <v>90</v>
      </c>
      <c r="P619">
        <v>0</v>
      </c>
      <c r="Q619" t="s">
        <v>90</v>
      </c>
      <c r="R619">
        <v>0</v>
      </c>
      <c r="S619" t="s">
        <v>90</v>
      </c>
      <c r="T619">
        <v>0</v>
      </c>
      <c r="U619" t="s">
        <v>90</v>
      </c>
      <c r="V619">
        <v>0</v>
      </c>
      <c r="W619" t="s">
        <v>90</v>
      </c>
      <c r="X619">
        <v>0</v>
      </c>
      <c r="Y619">
        <v>11.186692141659549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134</v>
      </c>
      <c r="AF619">
        <v>484</v>
      </c>
      <c r="AG619">
        <v>687</v>
      </c>
      <c r="AI619">
        <v>2.855</v>
      </c>
      <c r="AK619" t="s">
        <v>740</v>
      </c>
      <c r="AL619" t="s">
        <v>96</v>
      </c>
      <c r="AM619">
        <v>200000</v>
      </c>
      <c r="AN619" t="s">
        <v>73</v>
      </c>
      <c r="AO619">
        <v>1</v>
      </c>
      <c r="AP619">
        <v>0</v>
      </c>
      <c r="AQ619">
        <v>16666.666666666668</v>
      </c>
      <c r="AR619" t="s">
        <v>2025</v>
      </c>
      <c r="AS619" t="s">
        <v>75</v>
      </c>
      <c r="AX619" t="s">
        <v>76</v>
      </c>
      <c r="AY619" t="s">
        <v>176</v>
      </c>
      <c r="AZ619">
        <v>0</v>
      </c>
      <c r="BA619" t="s">
        <v>176</v>
      </c>
      <c r="BB619">
        <v>0</v>
      </c>
    </row>
    <row r="620" spans="1:56" x14ac:dyDescent="0.15">
      <c r="A620" s="4" t="str">
        <f>HYPERLINK("https://ibp.a2mac1.com/costing(costing:projects/details/9760/part/8412598)","Frame Protection")</f>
        <v>Frame Protection</v>
      </c>
      <c r="B620">
        <v>8412598</v>
      </c>
      <c r="C620">
        <v>8412554</v>
      </c>
      <c r="E620">
        <v>0.4</v>
      </c>
      <c r="F620">
        <v>0</v>
      </c>
      <c r="G620">
        <v>0</v>
      </c>
      <c r="H620">
        <v>2.0240000000000002E-3</v>
      </c>
      <c r="I620" t="s">
        <v>176</v>
      </c>
      <c r="J620">
        <v>1.4E-2</v>
      </c>
      <c r="K620">
        <v>0.416024</v>
      </c>
      <c r="L620">
        <v>2.884956220213819E-2</v>
      </c>
      <c r="M620">
        <v>0.17309737321282914</v>
      </c>
      <c r="N620">
        <v>0.58912137321282909</v>
      </c>
      <c r="O620" t="s">
        <v>90</v>
      </c>
      <c r="P620">
        <v>0</v>
      </c>
      <c r="Q620" t="s">
        <v>90</v>
      </c>
      <c r="R620">
        <v>0</v>
      </c>
      <c r="S620" t="s">
        <v>90</v>
      </c>
      <c r="T620">
        <v>0</v>
      </c>
      <c r="U620" t="s">
        <v>90</v>
      </c>
      <c r="V620">
        <v>0</v>
      </c>
      <c r="W620" t="s">
        <v>90</v>
      </c>
      <c r="X620">
        <v>0</v>
      </c>
      <c r="Y620">
        <v>0.58912137321282909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135</v>
      </c>
      <c r="AF620">
        <v>138</v>
      </c>
      <c r="AG620">
        <v>618</v>
      </c>
      <c r="AI620">
        <v>0.19700000000000001</v>
      </c>
      <c r="AK620" t="s">
        <v>740</v>
      </c>
      <c r="AL620" t="s">
        <v>951</v>
      </c>
      <c r="AM620">
        <v>200000</v>
      </c>
      <c r="AN620" t="s">
        <v>73</v>
      </c>
      <c r="AO620">
        <v>1</v>
      </c>
      <c r="AP620">
        <v>0</v>
      </c>
      <c r="AQ620">
        <v>16666.666666666668</v>
      </c>
      <c r="AR620" t="s">
        <v>2028</v>
      </c>
      <c r="AS620" t="s">
        <v>75</v>
      </c>
      <c r="AX620" t="s">
        <v>76</v>
      </c>
      <c r="AY620" t="s">
        <v>176</v>
      </c>
      <c r="AZ620">
        <v>0</v>
      </c>
      <c r="BA620" t="s">
        <v>176</v>
      </c>
      <c r="BB620">
        <v>0</v>
      </c>
    </row>
    <row r="621" spans="1:56" x14ac:dyDescent="0.15">
      <c r="A621" s="4" t="str">
        <f>HYPERLINK("https://ibp.a2mac1.com/costing(costing:projects/details/9760/part/8412599)","2nd Frame Protection")</f>
        <v>2nd Frame Protection</v>
      </c>
      <c r="B621">
        <v>8412599</v>
      </c>
      <c r="C621">
        <v>8412554</v>
      </c>
      <c r="E621">
        <v>0.4</v>
      </c>
      <c r="F621">
        <v>0</v>
      </c>
      <c r="G621">
        <v>0</v>
      </c>
      <c r="H621">
        <v>2.0240000000000002E-3</v>
      </c>
      <c r="I621" t="s">
        <v>176</v>
      </c>
      <c r="J621">
        <v>1.4E-2</v>
      </c>
      <c r="K621">
        <v>0.416024</v>
      </c>
      <c r="L621">
        <v>2.884956220213819E-2</v>
      </c>
      <c r="M621">
        <v>0.17309737321282914</v>
      </c>
      <c r="N621">
        <v>0.58912137321282909</v>
      </c>
      <c r="O621" t="s">
        <v>90</v>
      </c>
      <c r="P621">
        <v>0</v>
      </c>
      <c r="Q621" t="s">
        <v>90</v>
      </c>
      <c r="R621">
        <v>0</v>
      </c>
      <c r="S621" t="s">
        <v>90</v>
      </c>
      <c r="T621">
        <v>0</v>
      </c>
      <c r="U621" t="s">
        <v>90</v>
      </c>
      <c r="V621">
        <v>0</v>
      </c>
      <c r="W621" t="s">
        <v>90</v>
      </c>
      <c r="X621">
        <v>0</v>
      </c>
      <c r="Y621">
        <v>0.58912137321282909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135</v>
      </c>
      <c r="AF621">
        <v>138</v>
      </c>
      <c r="AG621">
        <v>618</v>
      </c>
      <c r="AI621">
        <v>0.19800000000000001</v>
      </c>
      <c r="AK621" t="s">
        <v>740</v>
      </c>
      <c r="AL621" t="s">
        <v>951</v>
      </c>
      <c r="AM621">
        <v>200000</v>
      </c>
      <c r="AN621" t="s">
        <v>73</v>
      </c>
      <c r="AO621">
        <v>1</v>
      </c>
      <c r="AP621">
        <v>0</v>
      </c>
      <c r="AQ621">
        <v>16666.666666666668</v>
      </c>
      <c r="AR621" t="s">
        <v>2031</v>
      </c>
      <c r="AS621" t="s">
        <v>75</v>
      </c>
      <c r="AX621" t="s">
        <v>76</v>
      </c>
      <c r="AY621" t="s">
        <v>176</v>
      </c>
      <c r="AZ621">
        <v>0</v>
      </c>
      <c r="BA621" t="s">
        <v>176</v>
      </c>
      <c r="BB621">
        <v>0</v>
      </c>
    </row>
    <row r="622" spans="1:56" x14ac:dyDescent="0.15">
      <c r="A622" s="4" t="str">
        <f>HYPERLINK("https://ibp.a2mac1.com/costing(costing:projects/details/9760/part/8412600)","Frame Reinforcement")</f>
        <v>Frame Reinforcement</v>
      </c>
      <c r="B622">
        <v>8412600</v>
      </c>
      <c r="C622">
        <v>8412554</v>
      </c>
      <c r="E622">
        <v>0.05</v>
      </c>
      <c r="F622">
        <v>0</v>
      </c>
      <c r="G622">
        <v>0</v>
      </c>
      <c r="H622">
        <v>2.5300000000000002E-4</v>
      </c>
      <c r="I622" t="s">
        <v>176</v>
      </c>
      <c r="J622">
        <v>1.75E-3</v>
      </c>
      <c r="K622">
        <v>5.2003000000000001E-2</v>
      </c>
      <c r="L622">
        <v>5.8904736909203177E-3</v>
      </c>
      <c r="M622">
        <v>3.5342842145521906E-2</v>
      </c>
      <c r="N622">
        <v>8.7345842145521907E-2</v>
      </c>
      <c r="O622" t="s">
        <v>90</v>
      </c>
      <c r="P622">
        <v>0</v>
      </c>
      <c r="Q622" t="s">
        <v>90</v>
      </c>
      <c r="R622">
        <v>0</v>
      </c>
      <c r="S622" t="s">
        <v>90</v>
      </c>
      <c r="T622">
        <v>0</v>
      </c>
      <c r="U622" t="s">
        <v>90</v>
      </c>
      <c r="V622">
        <v>0</v>
      </c>
      <c r="W622" t="s">
        <v>90</v>
      </c>
      <c r="X622">
        <v>0</v>
      </c>
      <c r="Y622">
        <v>8.7345842145521907E-2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13</v>
      </c>
      <c r="AF622">
        <v>49</v>
      </c>
      <c r="AG622">
        <v>176</v>
      </c>
      <c r="AI622">
        <v>5.3999999999999999E-2</v>
      </c>
      <c r="AK622" t="s">
        <v>740</v>
      </c>
      <c r="AL622" t="s">
        <v>96</v>
      </c>
      <c r="AM622">
        <v>200000</v>
      </c>
      <c r="AN622" t="s">
        <v>73</v>
      </c>
      <c r="AO622">
        <v>1</v>
      </c>
      <c r="AP622">
        <v>0</v>
      </c>
      <c r="AQ622">
        <v>16666.666666666668</v>
      </c>
      <c r="AR622" t="s">
        <v>2035</v>
      </c>
      <c r="AS622" t="s">
        <v>75</v>
      </c>
      <c r="AX622" t="s">
        <v>76</v>
      </c>
      <c r="AY622" t="s">
        <v>176</v>
      </c>
      <c r="AZ622">
        <v>0</v>
      </c>
      <c r="BA622" t="s">
        <v>176</v>
      </c>
      <c r="BB622">
        <v>0</v>
      </c>
    </row>
    <row r="623" spans="1:56" x14ac:dyDescent="0.15">
      <c r="A623" s="4" t="str">
        <f>HYPERLINK("https://ibp.a2mac1.com/costing(costing:projects/details/9760/part/8412601)","2nd Frame Reinforcement")</f>
        <v>2nd Frame Reinforcement</v>
      </c>
      <c r="B623">
        <v>8412601</v>
      </c>
      <c r="C623">
        <v>8412554</v>
      </c>
      <c r="E623">
        <v>0.04</v>
      </c>
      <c r="F623">
        <v>0</v>
      </c>
      <c r="G623">
        <v>0</v>
      </c>
      <c r="H623">
        <v>2.0239999999999999E-4</v>
      </c>
      <c r="I623" t="s">
        <v>176</v>
      </c>
      <c r="J623">
        <v>1.4E-3</v>
      </c>
      <c r="K623">
        <v>4.1602399999999998E-2</v>
      </c>
      <c r="L623">
        <v>5.8904736909203177E-3</v>
      </c>
      <c r="M623">
        <v>3.5342842145521906E-2</v>
      </c>
      <c r="N623">
        <v>7.6945242145521897E-2</v>
      </c>
      <c r="O623" t="s">
        <v>90</v>
      </c>
      <c r="P623">
        <v>0</v>
      </c>
      <c r="Q623" t="s">
        <v>90</v>
      </c>
      <c r="R623">
        <v>0</v>
      </c>
      <c r="S623" t="s">
        <v>90</v>
      </c>
      <c r="T623">
        <v>0</v>
      </c>
      <c r="U623" t="s">
        <v>90</v>
      </c>
      <c r="V623">
        <v>0</v>
      </c>
      <c r="W623" t="s">
        <v>90</v>
      </c>
      <c r="X623">
        <v>0</v>
      </c>
      <c r="Y623">
        <v>7.6945242145521897E-2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13</v>
      </c>
      <c r="AF623">
        <v>49</v>
      </c>
      <c r="AG623">
        <v>176</v>
      </c>
      <c r="AI623">
        <v>5.1999999999999998E-2</v>
      </c>
      <c r="AK623" t="s">
        <v>740</v>
      </c>
      <c r="AL623" t="s">
        <v>96</v>
      </c>
      <c r="AM623">
        <v>200000</v>
      </c>
      <c r="AN623" t="s">
        <v>73</v>
      </c>
      <c r="AO623">
        <v>1</v>
      </c>
      <c r="AP623">
        <v>0</v>
      </c>
      <c r="AQ623">
        <v>16666.666666666668</v>
      </c>
      <c r="AR623" t="s">
        <v>2038</v>
      </c>
      <c r="AS623" t="s">
        <v>75</v>
      </c>
      <c r="AX623" t="s">
        <v>76</v>
      </c>
      <c r="AY623" t="s">
        <v>176</v>
      </c>
      <c r="AZ623">
        <v>0</v>
      </c>
      <c r="BA623" t="s">
        <v>176</v>
      </c>
      <c r="BB623">
        <v>0</v>
      </c>
    </row>
    <row r="624" spans="1:56" x14ac:dyDescent="0.15">
      <c r="A624" s="4" t="str">
        <f>HYPERLINK("https://ibp.a2mac1.com/costing(costing:projects/details/9760/part/8412602)","Suspension")</f>
        <v>Suspension</v>
      </c>
      <c r="B624">
        <v>8412602</v>
      </c>
      <c r="C624">
        <v>8412554</v>
      </c>
      <c r="D624" t="s">
        <v>2039</v>
      </c>
      <c r="E624">
        <v>0.88119999999999998</v>
      </c>
      <c r="F624">
        <v>0</v>
      </c>
      <c r="G624">
        <v>0</v>
      </c>
      <c r="H624">
        <v>0</v>
      </c>
      <c r="I624" t="s">
        <v>71</v>
      </c>
      <c r="J624">
        <v>0</v>
      </c>
      <c r="K624">
        <v>0.88119999999999998</v>
      </c>
      <c r="L624">
        <v>0</v>
      </c>
      <c r="M624">
        <v>0</v>
      </c>
      <c r="N624">
        <v>0.88119999999999998</v>
      </c>
      <c r="O624" t="s">
        <v>71</v>
      </c>
      <c r="P624">
        <v>0</v>
      </c>
      <c r="Q624" t="s">
        <v>71</v>
      </c>
      <c r="R624">
        <v>0</v>
      </c>
      <c r="S624" t="s">
        <v>71</v>
      </c>
      <c r="T624">
        <v>0</v>
      </c>
      <c r="U624" t="s">
        <v>71</v>
      </c>
      <c r="V624">
        <v>0</v>
      </c>
      <c r="W624" t="s">
        <v>71</v>
      </c>
      <c r="X624">
        <v>0</v>
      </c>
      <c r="Y624">
        <v>0.88119999999999998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57</v>
      </c>
      <c r="AF624">
        <v>467</v>
      </c>
      <c r="AG624">
        <v>540</v>
      </c>
      <c r="AI624">
        <v>0.29699999999999999</v>
      </c>
      <c r="AK624" t="s">
        <v>740</v>
      </c>
      <c r="AL624" t="s">
        <v>405</v>
      </c>
      <c r="AM624">
        <v>200000</v>
      </c>
      <c r="AN624" t="s">
        <v>73</v>
      </c>
      <c r="AO624">
        <v>1</v>
      </c>
      <c r="AP624">
        <v>0</v>
      </c>
      <c r="AQ624">
        <v>16666.666666666668</v>
      </c>
      <c r="AR624" t="s">
        <v>2040</v>
      </c>
      <c r="AS624" t="s">
        <v>75</v>
      </c>
      <c r="AX624" t="s">
        <v>76</v>
      </c>
      <c r="AY624" t="s">
        <v>71</v>
      </c>
      <c r="AZ624">
        <v>0</v>
      </c>
      <c r="BA624" t="s">
        <v>71</v>
      </c>
      <c r="BB624">
        <v>0</v>
      </c>
      <c r="BD624">
        <v>0.88119999999999998</v>
      </c>
    </row>
    <row r="625" spans="1:56" x14ac:dyDescent="0.15">
      <c r="A625" s="4" t="str">
        <f>HYPERLINK("https://ibp.a2mac1.com/costing(costing:projects/details/9760/part/8412603)","Cover Fastener")</f>
        <v>Cover Fastener</v>
      </c>
      <c r="B625">
        <v>8412603</v>
      </c>
      <c r="C625">
        <v>8412554</v>
      </c>
      <c r="E625">
        <v>0.24</v>
      </c>
      <c r="F625">
        <v>0</v>
      </c>
      <c r="G625">
        <v>0</v>
      </c>
      <c r="H625">
        <v>1.2144E-3</v>
      </c>
      <c r="I625" t="s">
        <v>176</v>
      </c>
      <c r="J625">
        <v>8.3999999999999995E-3</v>
      </c>
      <c r="K625">
        <v>0.24961439999999999</v>
      </c>
      <c r="L625">
        <v>2.5317394738873903E-2</v>
      </c>
      <c r="M625">
        <v>0.1519043684332434</v>
      </c>
      <c r="N625">
        <v>0.40151876843324341</v>
      </c>
      <c r="O625" t="s">
        <v>90</v>
      </c>
      <c r="P625">
        <v>0</v>
      </c>
      <c r="Q625" t="s">
        <v>90</v>
      </c>
      <c r="R625">
        <v>0</v>
      </c>
      <c r="S625" t="s">
        <v>90</v>
      </c>
      <c r="T625">
        <v>0</v>
      </c>
      <c r="U625" t="s">
        <v>90</v>
      </c>
      <c r="V625">
        <v>0</v>
      </c>
      <c r="W625" t="s">
        <v>90</v>
      </c>
      <c r="X625">
        <v>0</v>
      </c>
      <c r="Y625">
        <v>0.40151876843324341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63</v>
      </c>
      <c r="AF625">
        <v>225</v>
      </c>
      <c r="AG625">
        <v>242</v>
      </c>
      <c r="AI625">
        <v>0.13800000000000001</v>
      </c>
      <c r="AK625" t="s">
        <v>740</v>
      </c>
      <c r="AL625" t="s">
        <v>399</v>
      </c>
      <c r="AM625">
        <v>200000</v>
      </c>
      <c r="AN625" t="s">
        <v>73</v>
      </c>
      <c r="AO625">
        <v>1</v>
      </c>
      <c r="AP625">
        <v>0</v>
      </c>
      <c r="AQ625">
        <v>16666.666666666668</v>
      </c>
      <c r="AR625" t="s">
        <v>2043</v>
      </c>
      <c r="AS625" t="s">
        <v>75</v>
      </c>
      <c r="AX625" t="s">
        <v>76</v>
      </c>
      <c r="AY625" t="s">
        <v>176</v>
      </c>
      <c r="AZ625">
        <v>0</v>
      </c>
      <c r="BA625" t="s">
        <v>176</v>
      </c>
      <c r="BB625">
        <v>0</v>
      </c>
    </row>
    <row r="626" spans="1:56" x14ac:dyDescent="0.15">
      <c r="A626" s="4" t="str">
        <f>HYPERLINK("https://ibp.a2mac1.com/costing(costing:projects/details/9760/part/8412703)","Outer Side")</f>
        <v>Outer Side</v>
      </c>
      <c r="B626">
        <v>8412703</v>
      </c>
      <c r="C626">
        <v>8412613</v>
      </c>
      <c r="E626">
        <v>0.47</v>
      </c>
      <c r="F626">
        <v>0</v>
      </c>
      <c r="G626">
        <v>0</v>
      </c>
      <c r="H626">
        <v>2.3782E-3</v>
      </c>
      <c r="I626" t="s">
        <v>176</v>
      </c>
      <c r="J626">
        <v>1.6449999999999999E-2</v>
      </c>
      <c r="K626">
        <v>0.48882819999999999</v>
      </c>
      <c r="L626">
        <v>3.414781339703462E-2</v>
      </c>
      <c r="M626">
        <v>0.20488688038220773</v>
      </c>
      <c r="N626">
        <v>0.69371508038220775</v>
      </c>
      <c r="O626" t="s">
        <v>90</v>
      </c>
      <c r="P626">
        <v>0</v>
      </c>
      <c r="Q626" t="s">
        <v>90</v>
      </c>
      <c r="R626">
        <v>0</v>
      </c>
      <c r="S626" t="s">
        <v>90</v>
      </c>
      <c r="T626">
        <v>0</v>
      </c>
      <c r="U626" t="s">
        <v>90</v>
      </c>
      <c r="V626">
        <v>0</v>
      </c>
      <c r="W626" t="s">
        <v>90</v>
      </c>
      <c r="X626">
        <v>0</v>
      </c>
      <c r="Y626">
        <v>0.69371508038220775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62</v>
      </c>
      <c r="AF626">
        <v>590</v>
      </c>
      <c r="AG626">
        <v>220</v>
      </c>
      <c r="AI626">
        <v>0.23100000000000001</v>
      </c>
      <c r="AK626" t="s">
        <v>740</v>
      </c>
      <c r="AL626" t="s">
        <v>951</v>
      </c>
      <c r="AM626">
        <v>200000</v>
      </c>
      <c r="AN626" t="s">
        <v>73</v>
      </c>
      <c r="AO626">
        <v>1</v>
      </c>
      <c r="AP626">
        <v>0</v>
      </c>
      <c r="AQ626">
        <v>16666.666666666668</v>
      </c>
      <c r="AR626" t="s">
        <v>2049</v>
      </c>
      <c r="AS626" t="s">
        <v>75</v>
      </c>
      <c r="AX626" t="s">
        <v>76</v>
      </c>
      <c r="AY626" t="s">
        <v>176</v>
      </c>
      <c r="AZ626">
        <v>0</v>
      </c>
      <c r="BA626" t="s">
        <v>176</v>
      </c>
      <c r="BB626">
        <v>0</v>
      </c>
    </row>
    <row r="627" spans="1:56" x14ac:dyDescent="0.15">
      <c r="A627" s="4" t="str">
        <f>HYPERLINK("https://ibp.a2mac1.com/costing(costing:projects/details/9760/part/8412704)","2nd Outer Cover")</f>
        <v>2nd Outer Cover</v>
      </c>
      <c r="B627">
        <v>8412704</v>
      </c>
      <c r="C627">
        <v>8412613</v>
      </c>
      <c r="E627">
        <v>0.23</v>
      </c>
      <c r="F627">
        <v>0</v>
      </c>
      <c r="G627">
        <v>0</v>
      </c>
      <c r="H627">
        <v>1.1638E-3</v>
      </c>
      <c r="I627" t="s">
        <v>176</v>
      </c>
      <c r="J627">
        <v>8.0499999999999999E-3</v>
      </c>
      <c r="K627">
        <v>0.2392138</v>
      </c>
      <c r="L627">
        <v>2.001914354397747E-2</v>
      </c>
      <c r="M627">
        <v>0.12011486126386482</v>
      </c>
      <c r="N627">
        <v>0.35932866126386481</v>
      </c>
      <c r="O627" t="s">
        <v>90</v>
      </c>
      <c r="P627">
        <v>0</v>
      </c>
      <c r="Q627" t="s">
        <v>90</v>
      </c>
      <c r="R627">
        <v>0</v>
      </c>
      <c r="S627" t="s">
        <v>90</v>
      </c>
      <c r="T627">
        <v>0</v>
      </c>
      <c r="U627" t="s">
        <v>90</v>
      </c>
      <c r="V627">
        <v>0</v>
      </c>
      <c r="W627" t="s">
        <v>90</v>
      </c>
      <c r="X627">
        <v>0</v>
      </c>
      <c r="Y627">
        <v>0.35932866126386481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30</v>
      </c>
      <c r="AF627">
        <v>258</v>
      </c>
      <c r="AG627">
        <v>195</v>
      </c>
      <c r="AI627">
        <v>0.111</v>
      </c>
      <c r="AK627" t="s">
        <v>740</v>
      </c>
      <c r="AL627" t="s">
        <v>951</v>
      </c>
      <c r="AM627">
        <v>200000</v>
      </c>
      <c r="AN627" t="s">
        <v>73</v>
      </c>
      <c r="AO627">
        <v>1</v>
      </c>
      <c r="AP627">
        <v>0</v>
      </c>
      <c r="AQ627">
        <v>16666.666666666668</v>
      </c>
      <c r="AR627" t="s">
        <v>2052</v>
      </c>
      <c r="AS627" t="s">
        <v>75</v>
      </c>
      <c r="AX627" t="s">
        <v>76</v>
      </c>
      <c r="AY627" t="s">
        <v>176</v>
      </c>
      <c r="AZ627">
        <v>0</v>
      </c>
      <c r="BA627" t="s">
        <v>176</v>
      </c>
      <c r="BB627">
        <v>0</v>
      </c>
    </row>
    <row r="628" spans="1:56" x14ac:dyDescent="0.15">
      <c r="A628" s="4" t="str">
        <f>HYPERLINK("https://ibp.a2mac1.com/costing(costing:projects/details/9760/part/8412705)","Exterior Trim Support")</f>
        <v>Exterior Trim Support</v>
      </c>
      <c r="B628">
        <v>8412705</v>
      </c>
      <c r="C628">
        <v>8412613</v>
      </c>
      <c r="E628">
        <v>0.08</v>
      </c>
      <c r="F628">
        <v>0</v>
      </c>
      <c r="G628">
        <v>0</v>
      </c>
      <c r="H628">
        <v>4.0479999999999997E-4</v>
      </c>
      <c r="I628" t="s">
        <v>176</v>
      </c>
      <c r="J628">
        <v>2.8E-3</v>
      </c>
      <c r="K628">
        <v>8.3204799999999995E-2</v>
      </c>
      <c r="L628">
        <v>7.6565574225524614E-3</v>
      </c>
      <c r="M628">
        <v>4.5939344535314765E-2</v>
      </c>
      <c r="N628">
        <v>0.12914414453531478</v>
      </c>
      <c r="O628" t="s">
        <v>90</v>
      </c>
      <c r="P628">
        <v>0</v>
      </c>
      <c r="Q628" t="s">
        <v>90</v>
      </c>
      <c r="R628">
        <v>0</v>
      </c>
      <c r="S628" t="s">
        <v>90</v>
      </c>
      <c r="T628">
        <v>0</v>
      </c>
      <c r="U628" t="s">
        <v>90</v>
      </c>
      <c r="V628">
        <v>0</v>
      </c>
      <c r="W628" t="s">
        <v>90</v>
      </c>
      <c r="X628">
        <v>0</v>
      </c>
      <c r="Y628">
        <v>0.12914414453531478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42</v>
      </c>
      <c r="AF628">
        <v>225</v>
      </c>
      <c r="AG628">
        <v>123</v>
      </c>
      <c r="AI628">
        <v>3.7999999999999999E-2</v>
      </c>
      <c r="AK628" t="s">
        <v>740</v>
      </c>
      <c r="AL628" t="s">
        <v>951</v>
      </c>
      <c r="AM628">
        <v>200000</v>
      </c>
      <c r="AN628" t="s">
        <v>73</v>
      </c>
      <c r="AO628">
        <v>1</v>
      </c>
      <c r="AP628">
        <v>0</v>
      </c>
      <c r="AQ628">
        <v>16666.666666666668</v>
      </c>
      <c r="AR628" t="s">
        <v>2055</v>
      </c>
      <c r="AS628" t="s">
        <v>75</v>
      </c>
      <c r="AX628" t="s">
        <v>76</v>
      </c>
      <c r="AY628" t="s">
        <v>176</v>
      </c>
      <c r="AZ628">
        <v>0</v>
      </c>
      <c r="BA628" t="s">
        <v>176</v>
      </c>
      <c r="BB628">
        <v>0</v>
      </c>
    </row>
    <row r="629" spans="1:56" x14ac:dyDescent="0.15">
      <c r="A629" s="4" t="str">
        <f>HYPERLINK("https://ibp.a2mac1.com/costing(costing:projects/details/9760/part/8412706)","Exterior Trim 2nd Support")</f>
        <v>Exterior Trim 2nd Support</v>
      </c>
      <c r="B629">
        <v>8412706</v>
      </c>
      <c r="C629">
        <v>8412613</v>
      </c>
      <c r="E629">
        <v>0.17</v>
      </c>
      <c r="F629">
        <v>0</v>
      </c>
      <c r="G629">
        <v>0</v>
      </c>
      <c r="H629">
        <v>8.6019999999999998E-4</v>
      </c>
      <c r="I629" t="s">
        <v>176</v>
      </c>
      <c r="J629">
        <v>5.9500000000000004E-3</v>
      </c>
      <c r="K629">
        <v>0.1768102</v>
      </c>
      <c r="L629">
        <v>2.1785227275609612E-2</v>
      </c>
      <c r="M629">
        <v>0.13071136365365768</v>
      </c>
      <c r="N629">
        <v>0.30752156365365768</v>
      </c>
      <c r="O629" t="s">
        <v>90</v>
      </c>
      <c r="P629">
        <v>0</v>
      </c>
      <c r="Q629" t="s">
        <v>90</v>
      </c>
      <c r="R629">
        <v>0</v>
      </c>
      <c r="S629" t="s">
        <v>90</v>
      </c>
      <c r="T629">
        <v>0</v>
      </c>
      <c r="U629" t="s">
        <v>90</v>
      </c>
      <c r="V629">
        <v>0</v>
      </c>
      <c r="W629" t="s">
        <v>90</v>
      </c>
      <c r="X629">
        <v>0</v>
      </c>
      <c r="Y629">
        <v>0.30752156365365768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52</v>
      </c>
      <c r="AF629">
        <v>497</v>
      </c>
      <c r="AG629">
        <v>118</v>
      </c>
      <c r="AI629">
        <v>0.2</v>
      </c>
      <c r="AK629" t="s">
        <v>740</v>
      </c>
      <c r="AL629" t="s">
        <v>96</v>
      </c>
      <c r="AM629">
        <v>200000</v>
      </c>
      <c r="AN629" t="s">
        <v>73</v>
      </c>
      <c r="AO629">
        <v>1</v>
      </c>
      <c r="AP629">
        <v>0</v>
      </c>
      <c r="AQ629">
        <v>16666.666666666668</v>
      </c>
      <c r="AR629" t="s">
        <v>2059</v>
      </c>
      <c r="AS629" t="s">
        <v>75</v>
      </c>
      <c r="AX629" t="s">
        <v>76</v>
      </c>
      <c r="AY629" t="s">
        <v>176</v>
      </c>
      <c r="AZ629">
        <v>0</v>
      </c>
      <c r="BA629" t="s">
        <v>176</v>
      </c>
      <c r="BB629">
        <v>0</v>
      </c>
    </row>
    <row r="630" spans="1:56" x14ac:dyDescent="0.15">
      <c r="A630" s="4" t="str">
        <f>HYPERLINK("https://ibp.a2mac1.com/costing(costing:projects/details/9760/part/8412707)","Inner Side")</f>
        <v>Inner Side</v>
      </c>
      <c r="B630">
        <v>8412707</v>
      </c>
      <c r="C630">
        <v>8412613</v>
      </c>
      <c r="E630">
        <v>0.21</v>
      </c>
      <c r="F630">
        <v>0</v>
      </c>
      <c r="G630">
        <v>0</v>
      </c>
      <c r="H630">
        <v>1.0625999999999999E-3</v>
      </c>
      <c r="I630" t="s">
        <v>176</v>
      </c>
      <c r="J630">
        <v>7.3499999999999998E-3</v>
      </c>
      <c r="K630">
        <v>0.21841260000000001</v>
      </c>
      <c r="L630">
        <v>1.8253059812345325E-2</v>
      </c>
      <c r="M630">
        <v>0.10951835887407195</v>
      </c>
      <c r="N630">
        <v>0.32793095887407198</v>
      </c>
      <c r="O630" t="s">
        <v>90</v>
      </c>
      <c r="P630">
        <v>0</v>
      </c>
      <c r="Q630" t="s">
        <v>90</v>
      </c>
      <c r="R630">
        <v>0</v>
      </c>
      <c r="S630" t="s">
        <v>90</v>
      </c>
      <c r="T630">
        <v>0</v>
      </c>
      <c r="U630" t="s">
        <v>90</v>
      </c>
      <c r="V630">
        <v>0</v>
      </c>
      <c r="W630" t="s">
        <v>90</v>
      </c>
      <c r="X630">
        <v>0</v>
      </c>
      <c r="Y630">
        <v>0.32793095887407198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49</v>
      </c>
      <c r="AF630">
        <v>285</v>
      </c>
      <c r="AG630">
        <v>170</v>
      </c>
      <c r="AI630">
        <v>0.10299999999999999</v>
      </c>
      <c r="AK630" t="s">
        <v>740</v>
      </c>
      <c r="AL630" t="s">
        <v>951</v>
      </c>
      <c r="AM630">
        <v>200000</v>
      </c>
      <c r="AN630" t="s">
        <v>73</v>
      </c>
      <c r="AO630">
        <v>1</v>
      </c>
      <c r="AP630">
        <v>0</v>
      </c>
      <c r="AQ630">
        <v>16666.666666666668</v>
      </c>
      <c r="AR630" t="s">
        <v>2062</v>
      </c>
      <c r="AS630" t="s">
        <v>75</v>
      </c>
      <c r="AX630" t="s">
        <v>76</v>
      </c>
      <c r="AY630" t="s">
        <v>176</v>
      </c>
      <c r="AZ630">
        <v>0</v>
      </c>
      <c r="BA630" t="s">
        <v>176</v>
      </c>
      <c r="BB630">
        <v>0</v>
      </c>
    </row>
    <row r="631" spans="1:56" x14ac:dyDescent="0.15">
      <c r="A631" s="4" t="str">
        <f>HYPERLINK("https://ibp.a2mac1.com/costing(costing:projects/details/9760/part/8412708)","Interior Trim Support")</f>
        <v>Interior Trim Support</v>
      </c>
      <c r="B631">
        <v>8412708</v>
      </c>
      <c r="C631">
        <v>8412613</v>
      </c>
      <c r="E631">
        <v>0.08</v>
      </c>
      <c r="F631">
        <v>0</v>
      </c>
      <c r="G631">
        <v>0</v>
      </c>
      <c r="H631">
        <v>4.0479999999999997E-4</v>
      </c>
      <c r="I631" t="s">
        <v>176</v>
      </c>
      <c r="J631">
        <v>2.8E-3</v>
      </c>
      <c r="K631">
        <v>8.3204799999999995E-2</v>
      </c>
      <c r="L631">
        <v>7.6565574225524614E-3</v>
      </c>
      <c r="M631">
        <v>4.5939344535314765E-2</v>
      </c>
      <c r="N631">
        <v>0.12914414453531478</v>
      </c>
      <c r="O631" t="s">
        <v>90</v>
      </c>
      <c r="P631">
        <v>0</v>
      </c>
      <c r="Q631" t="s">
        <v>90</v>
      </c>
      <c r="R631">
        <v>0</v>
      </c>
      <c r="S631" t="s">
        <v>90</v>
      </c>
      <c r="T631">
        <v>0</v>
      </c>
      <c r="U631" t="s">
        <v>90</v>
      </c>
      <c r="V631">
        <v>0</v>
      </c>
      <c r="W631" t="s">
        <v>90</v>
      </c>
      <c r="X631">
        <v>0</v>
      </c>
      <c r="Y631">
        <v>0.12914414453531478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42</v>
      </c>
      <c r="AF631">
        <v>225</v>
      </c>
      <c r="AG631">
        <v>123</v>
      </c>
      <c r="AI631">
        <v>3.7999999999999999E-2</v>
      </c>
      <c r="AK631" t="s">
        <v>740</v>
      </c>
      <c r="AL631" t="s">
        <v>951</v>
      </c>
      <c r="AM631">
        <v>200000</v>
      </c>
      <c r="AN631" t="s">
        <v>73</v>
      </c>
      <c r="AO631">
        <v>1</v>
      </c>
      <c r="AP631">
        <v>0</v>
      </c>
      <c r="AQ631">
        <v>16666.666666666668</v>
      </c>
      <c r="AR631" t="s">
        <v>2065</v>
      </c>
      <c r="AS631" t="s">
        <v>75</v>
      </c>
      <c r="AX631" t="s">
        <v>76</v>
      </c>
      <c r="AY631" t="s">
        <v>176</v>
      </c>
      <c r="AZ631">
        <v>0</v>
      </c>
      <c r="BA631" t="s">
        <v>176</v>
      </c>
      <c r="BB631">
        <v>0</v>
      </c>
    </row>
    <row r="632" spans="1:56" x14ac:dyDescent="0.15">
      <c r="A632" s="4" t="str">
        <f>HYPERLINK("https://ibp.a2mac1.com/costing(costing:projects/details/9760/part/8412606)","Cover")</f>
        <v>Cover</v>
      </c>
      <c r="B632">
        <v>8412606</v>
      </c>
      <c r="C632">
        <v>8412555</v>
      </c>
      <c r="E632">
        <v>14.76</v>
      </c>
      <c r="F632">
        <v>0</v>
      </c>
      <c r="G632">
        <v>0</v>
      </c>
      <c r="H632">
        <v>7.4685600000000005E-2</v>
      </c>
      <c r="I632" t="s">
        <v>176</v>
      </c>
      <c r="J632">
        <v>0.51659999999999995</v>
      </c>
      <c r="K632">
        <v>15.351285600000001</v>
      </c>
      <c r="L632">
        <v>0.56044076542341359</v>
      </c>
      <c r="M632">
        <v>3.3626445925404811</v>
      </c>
      <c r="N632">
        <v>18.713930192540481</v>
      </c>
      <c r="O632" t="s">
        <v>90</v>
      </c>
      <c r="P632">
        <v>0</v>
      </c>
      <c r="Q632" t="s">
        <v>90</v>
      </c>
      <c r="R632">
        <v>0</v>
      </c>
      <c r="S632" t="s">
        <v>90</v>
      </c>
      <c r="T632">
        <v>0</v>
      </c>
      <c r="U632" t="s">
        <v>90</v>
      </c>
      <c r="V632">
        <v>0</v>
      </c>
      <c r="W632" t="s">
        <v>90</v>
      </c>
      <c r="X632">
        <v>0</v>
      </c>
      <c r="Y632">
        <v>18.713930192540481</v>
      </c>
      <c r="Z632">
        <v>0</v>
      </c>
      <c r="AA632">
        <v>0</v>
      </c>
      <c r="AB632">
        <v>0</v>
      </c>
      <c r="AC632">
        <v>0</v>
      </c>
      <c r="AD632">
        <v>0</v>
      </c>
      <c r="AI632">
        <v>0.7</v>
      </c>
      <c r="AK632" t="s">
        <v>740</v>
      </c>
      <c r="AL632" t="s">
        <v>1952</v>
      </c>
      <c r="AM632">
        <v>200000</v>
      </c>
      <c r="AN632" t="s">
        <v>73</v>
      </c>
      <c r="AO632">
        <v>1</v>
      </c>
      <c r="AP632">
        <v>0</v>
      </c>
      <c r="AQ632">
        <v>16666.666666666668</v>
      </c>
      <c r="AR632" t="s">
        <v>2069</v>
      </c>
      <c r="AS632" t="s">
        <v>75</v>
      </c>
      <c r="AX632" t="s">
        <v>76</v>
      </c>
      <c r="AY632" t="s">
        <v>176</v>
      </c>
      <c r="AZ632">
        <v>0</v>
      </c>
      <c r="BA632" t="s">
        <v>176</v>
      </c>
      <c r="BB632">
        <v>0</v>
      </c>
    </row>
    <row r="633" spans="1:56" x14ac:dyDescent="0.15">
      <c r="A633" s="4" t="str">
        <f>HYPERLINK("https://ibp.a2mac1.com/costing(costing:projects/details/9760/part/8412607)","Pad")</f>
        <v>Pad</v>
      </c>
      <c r="B633">
        <v>8412607</v>
      </c>
      <c r="C633">
        <v>8412555</v>
      </c>
      <c r="E633">
        <v>2.85</v>
      </c>
      <c r="F633">
        <v>0</v>
      </c>
      <c r="G633">
        <v>0</v>
      </c>
      <c r="H633">
        <v>1.4421E-2</v>
      </c>
      <c r="I633" t="s">
        <v>176</v>
      </c>
      <c r="J633">
        <v>9.9750000000000005E-2</v>
      </c>
      <c r="K633">
        <v>2.9641709999999999</v>
      </c>
      <c r="L633">
        <v>0.13304850236843468</v>
      </c>
      <c r="M633">
        <v>0.79829101421060811</v>
      </c>
      <c r="N633">
        <v>3.762462014210608</v>
      </c>
      <c r="O633" t="s">
        <v>90</v>
      </c>
      <c r="P633">
        <v>0</v>
      </c>
      <c r="Q633" t="s">
        <v>90</v>
      </c>
      <c r="R633">
        <v>0</v>
      </c>
      <c r="S633" t="s">
        <v>90</v>
      </c>
      <c r="T633">
        <v>0</v>
      </c>
      <c r="U633" t="s">
        <v>90</v>
      </c>
      <c r="V633">
        <v>0</v>
      </c>
      <c r="W633" t="s">
        <v>90</v>
      </c>
      <c r="X633">
        <v>0</v>
      </c>
      <c r="Y633">
        <v>3.762462014210608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580</v>
      </c>
      <c r="AF633">
        <v>510</v>
      </c>
      <c r="AG633">
        <v>135</v>
      </c>
      <c r="AI633">
        <v>0.98299999999999998</v>
      </c>
      <c r="AK633" t="s">
        <v>740</v>
      </c>
      <c r="AL633" t="s">
        <v>1957</v>
      </c>
      <c r="AM633">
        <v>200000</v>
      </c>
      <c r="AN633" t="s">
        <v>73</v>
      </c>
      <c r="AO633">
        <v>1</v>
      </c>
      <c r="AP633">
        <v>0</v>
      </c>
      <c r="AQ633">
        <v>16666.666666666668</v>
      </c>
      <c r="AR633" t="s">
        <v>2072</v>
      </c>
      <c r="AS633" t="s">
        <v>75</v>
      </c>
      <c r="AX633" t="s">
        <v>76</v>
      </c>
      <c r="AY633" t="s">
        <v>176</v>
      </c>
      <c r="AZ633">
        <v>0</v>
      </c>
      <c r="BA633" t="s">
        <v>176</v>
      </c>
      <c r="BB633">
        <v>0</v>
      </c>
    </row>
    <row r="634" spans="1:56" x14ac:dyDescent="0.15">
      <c r="A634" s="4" t="str">
        <f>HYPERLINK("https://ibp.a2mac1.com/costing(costing:projects/details/9760/part/8412608)","Interior Pad")</f>
        <v>Interior Pad</v>
      </c>
      <c r="B634">
        <v>8412608</v>
      </c>
      <c r="C634">
        <v>8412555</v>
      </c>
      <c r="E634">
        <v>0.21</v>
      </c>
      <c r="F634">
        <v>0</v>
      </c>
      <c r="G634">
        <v>0</v>
      </c>
      <c r="H634">
        <v>1.0625999999999999E-3</v>
      </c>
      <c r="I634" t="s">
        <v>176</v>
      </c>
      <c r="J634">
        <v>7.3499999999999998E-3</v>
      </c>
      <c r="K634">
        <v>0.21841260000000001</v>
      </c>
      <c r="L634">
        <v>1.1188724885816749E-2</v>
      </c>
      <c r="M634">
        <v>6.7132349314900502E-2</v>
      </c>
      <c r="N634">
        <v>0.28554494931490049</v>
      </c>
      <c r="O634" t="s">
        <v>90</v>
      </c>
      <c r="P634">
        <v>0</v>
      </c>
      <c r="Q634" t="s">
        <v>90</v>
      </c>
      <c r="R634">
        <v>0</v>
      </c>
      <c r="S634" t="s">
        <v>90</v>
      </c>
      <c r="T634">
        <v>0</v>
      </c>
      <c r="U634" t="s">
        <v>90</v>
      </c>
      <c r="V634">
        <v>0</v>
      </c>
      <c r="W634" t="s">
        <v>90</v>
      </c>
      <c r="X634">
        <v>0</v>
      </c>
      <c r="Y634">
        <v>0.28554494931490049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450</v>
      </c>
      <c r="AF634">
        <v>355</v>
      </c>
      <c r="AG634">
        <v>15</v>
      </c>
      <c r="AI634">
        <v>9.0999999999999998E-2</v>
      </c>
      <c r="AK634" t="s">
        <v>740</v>
      </c>
      <c r="AL634" t="s">
        <v>1957</v>
      </c>
      <c r="AM634">
        <v>200000</v>
      </c>
      <c r="AN634" t="s">
        <v>73</v>
      </c>
      <c r="AO634">
        <v>1</v>
      </c>
      <c r="AP634">
        <v>0</v>
      </c>
      <c r="AQ634">
        <v>16666.666666666668</v>
      </c>
      <c r="AR634" t="s">
        <v>2075</v>
      </c>
      <c r="AS634" t="s">
        <v>75</v>
      </c>
      <c r="AX634" t="s">
        <v>76</v>
      </c>
      <c r="AY634" t="s">
        <v>176</v>
      </c>
      <c r="AZ634">
        <v>0</v>
      </c>
      <c r="BA634" t="s">
        <v>176</v>
      </c>
      <c r="BB634">
        <v>0</v>
      </c>
    </row>
    <row r="635" spans="1:56" x14ac:dyDescent="0.15">
      <c r="A635" s="4" t="str">
        <f>HYPERLINK("https://ibp.a2mac1.com/costing(costing:projects/details/9760/part/8412609)","Frame")</f>
        <v>Frame</v>
      </c>
      <c r="B635">
        <v>8412609</v>
      </c>
      <c r="C635">
        <v>8412555</v>
      </c>
      <c r="E635">
        <v>4.41</v>
      </c>
      <c r="F635">
        <v>0</v>
      </c>
      <c r="G635">
        <v>0</v>
      </c>
      <c r="H635">
        <v>2.23146E-2</v>
      </c>
      <c r="I635" t="s">
        <v>176</v>
      </c>
      <c r="J635">
        <v>0.15434999999999999</v>
      </c>
      <c r="K635">
        <v>4.5866645999999998</v>
      </c>
      <c r="L635">
        <v>0.47743483003670278</v>
      </c>
      <c r="M635">
        <v>2.8646089802202166</v>
      </c>
      <c r="N635">
        <v>7.4512735802202164</v>
      </c>
      <c r="O635" t="s">
        <v>90</v>
      </c>
      <c r="P635">
        <v>0</v>
      </c>
      <c r="Q635" t="s">
        <v>90</v>
      </c>
      <c r="R635">
        <v>0</v>
      </c>
      <c r="S635" t="s">
        <v>90</v>
      </c>
      <c r="T635">
        <v>0</v>
      </c>
      <c r="U635" t="s">
        <v>90</v>
      </c>
      <c r="V635">
        <v>0</v>
      </c>
      <c r="W635" t="s">
        <v>90</v>
      </c>
      <c r="X635">
        <v>0</v>
      </c>
      <c r="Y635">
        <v>7.4512735802202164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528</v>
      </c>
      <c r="AF635">
        <v>484</v>
      </c>
      <c r="AG635">
        <v>172</v>
      </c>
      <c r="AI635">
        <v>2.476</v>
      </c>
      <c r="AK635" t="s">
        <v>740</v>
      </c>
      <c r="AL635" t="s">
        <v>96</v>
      </c>
      <c r="AM635">
        <v>200000</v>
      </c>
      <c r="AN635" t="s">
        <v>73</v>
      </c>
      <c r="AO635">
        <v>1</v>
      </c>
      <c r="AP635">
        <v>0</v>
      </c>
      <c r="AQ635">
        <v>16666.666666666668</v>
      </c>
      <c r="AR635" t="s">
        <v>2079</v>
      </c>
      <c r="AS635" t="s">
        <v>75</v>
      </c>
      <c r="AX635" t="s">
        <v>76</v>
      </c>
      <c r="AY635" t="s">
        <v>176</v>
      </c>
      <c r="AZ635">
        <v>0</v>
      </c>
      <c r="BA635" t="s">
        <v>176</v>
      </c>
      <c r="BB635">
        <v>0</v>
      </c>
    </row>
    <row r="636" spans="1:56" x14ac:dyDescent="0.15">
      <c r="A636" s="4" t="str">
        <f>HYPERLINK("https://ibp.a2mac1.com/costing(costing:projects/details/9760/part/8412610)","Base Assembly")</f>
        <v>Base Assembly</v>
      </c>
      <c r="B636">
        <v>8412610</v>
      </c>
      <c r="C636">
        <v>8412555</v>
      </c>
      <c r="E636">
        <v>1.28</v>
      </c>
      <c r="F636">
        <v>0</v>
      </c>
      <c r="G636">
        <v>0</v>
      </c>
      <c r="H636">
        <v>6.4767999999999996E-3</v>
      </c>
      <c r="I636" t="s">
        <v>176</v>
      </c>
      <c r="J636">
        <v>4.48E-2</v>
      </c>
      <c r="K636">
        <v>1.3312767999999999</v>
      </c>
      <c r="L636">
        <v>0.13834675356333112</v>
      </c>
      <c r="M636">
        <v>0.83008052137998667</v>
      </c>
      <c r="N636">
        <v>2.1613573213799868</v>
      </c>
      <c r="O636" t="s">
        <v>90</v>
      </c>
      <c r="P636">
        <v>0</v>
      </c>
      <c r="Q636" t="s">
        <v>90</v>
      </c>
      <c r="R636">
        <v>0</v>
      </c>
      <c r="S636" t="s">
        <v>90</v>
      </c>
      <c r="T636">
        <v>0</v>
      </c>
      <c r="U636" t="s">
        <v>90</v>
      </c>
      <c r="V636">
        <v>0</v>
      </c>
      <c r="W636" t="s">
        <v>90</v>
      </c>
      <c r="X636">
        <v>0</v>
      </c>
      <c r="Y636">
        <v>2.1613573213799868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296</v>
      </c>
      <c r="AF636">
        <v>482</v>
      </c>
      <c r="AG636">
        <v>82</v>
      </c>
      <c r="AI636">
        <v>0.71699999999999997</v>
      </c>
      <c r="AK636" t="s">
        <v>740</v>
      </c>
      <c r="AL636" t="s">
        <v>96</v>
      </c>
      <c r="AM636">
        <v>200000</v>
      </c>
      <c r="AN636" t="s">
        <v>73</v>
      </c>
      <c r="AO636">
        <v>1</v>
      </c>
      <c r="AP636">
        <v>0</v>
      </c>
      <c r="AQ636">
        <v>16666.666666666668</v>
      </c>
      <c r="AR636" t="s">
        <v>2083</v>
      </c>
      <c r="AS636" t="s">
        <v>75</v>
      </c>
      <c r="AX636" t="s">
        <v>76</v>
      </c>
      <c r="AY636" t="s">
        <v>176</v>
      </c>
      <c r="AZ636">
        <v>0</v>
      </c>
      <c r="BA636" t="s">
        <v>176</v>
      </c>
      <c r="BB636">
        <v>0</v>
      </c>
    </row>
    <row r="637" spans="1:56" x14ac:dyDescent="0.15">
      <c r="A637" s="4" t="str">
        <f>HYPERLINK("https://ibp.a2mac1.com/costing(costing:projects/details/9760/part/8412611)","Base Assembly Support")</f>
        <v>Base Assembly Support</v>
      </c>
      <c r="B637">
        <v>8412611</v>
      </c>
      <c r="C637">
        <v>8412555</v>
      </c>
      <c r="E637">
        <v>0.16</v>
      </c>
      <c r="F637">
        <v>0</v>
      </c>
      <c r="G637">
        <v>0</v>
      </c>
      <c r="H637">
        <v>8.0480000000000005E-4</v>
      </c>
      <c r="I637" t="s">
        <v>176</v>
      </c>
      <c r="J637">
        <v>5.5999999999999999E-3</v>
      </c>
      <c r="K637">
        <v>0.16640479999999999</v>
      </c>
      <c r="L637">
        <v>9.422359898105739E-3</v>
      </c>
      <c r="M637">
        <v>5.6534159388634431E-2</v>
      </c>
      <c r="N637">
        <v>0.22293895938863442</v>
      </c>
      <c r="O637" t="s">
        <v>90</v>
      </c>
      <c r="P637">
        <v>0</v>
      </c>
      <c r="Q637" t="s">
        <v>90</v>
      </c>
      <c r="R637">
        <v>0</v>
      </c>
      <c r="S637" t="s">
        <v>90</v>
      </c>
      <c r="T637">
        <v>0</v>
      </c>
      <c r="U637" t="s">
        <v>90</v>
      </c>
      <c r="V637">
        <v>0</v>
      </c>
      <c r="W637" t="s">
        <v>90</v>
      </c>
      <c r="X637">
        <v>0</v>
      </c>
      <c r="Y637">
        <v>0.22293895938863442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64</v>
      </c>
      <c r="AF637">
        <v>30</v>
      </c>
      <c r="AG637">
        <v>38</v>
      </c>
      <c r="AI637">
        <v>0.05</v>
      </c>
      <c r="AK637" t="s">
        <v>740</v>
      </c>
      <c r="AL637" t="s">
        <v>2086</v>
      </c>
      <c r="AM637">
        <v>400000</v>
      </c>
      <c r="AN637" t="s">
        <v>73</v>
      </c>
      <c r="AO637">
        <v>2</v>
      </c>
      <c r="AP637">
        <v>0</v>
      </c>
      <c r="AQ637">
        <v>33333.333333333336</v>
      </c>
      <c r="AR637" t="s">
        <v>2087</v>
      </c>
      <c r="AS637" t="s">
        <v>75</v>
      </c>
      <c r="AX637" t="s">
        <v>76</v>
      </c>
      <c r="AY637" t="s">
        <v>176</v>
      </c>
      <c r="AZ637">
        <v>0</v>
      </c>
      <c r="BA637" t="s">
        <v>176</v>
      </c>
      <c r="BB637">
        <v>0</v>
      </c>
    </row>
    <row r="638" spans="1:56" x14ac:dyDescent="0.15">
      <c r="A638" s="4" t="str">
        <f>HYPERLINK("https://ibp.a2mac1.com/costing(costing:projects/details/9760/part/8412612)","Suspension")</f>
        <v>Suspension</v>
      </c>
      <c r="B638">
        <v>8412612</v>
      </c>
      <c r="C638">
        <v>8412555</v>
      </c>
      <c r="D638" t="s">
        <v>2088</v>
      </c>
      <c r="E638">
        <v>1.4592099999999999</v>
      </c>
      <c r="F638">
        <v>0</v>
      </c>
      <c r="G638">
        <v>0</v>
      </c>
      <c r="H638">
        <v>0</v>
      </c>
      <c r="I638" t="s">
        <v>71</v>
      </c>
      <c r="J638">
        <v>0</v>
      </c>
      <c r="K638">
        <v>1.4592099999999999</v>
      </c>
      <c r="L638">
        <v>0</v>
      </c>
      <c r="M638">
        <v>0</v>
      </c>
      <c r="N638">
        <v>1.4592099999999999</v>
      </c>
      <c r="O638" t="s">
        <v>71</v>
      </c>
      <c r="P638">
        <v>0</v>
      </c>
      <c r="Q638" t="s">
        <v>71</v>
      </c>
      <c r="R638">
        <v>0</v>
      </c>
      <c r="S638" t="s">
        <v>71</v>
      </c>
      <c r="T638">
        <v>0</v>
      </c>
      <c r="U638" t="s">
        <v>71</v>
      </c>
      <c r="V638">
        <v>0</v>
      </c>
      <c r="W638" t="s">
        <v>71</v>
      </c>
      <c r="X638">
        <v>0</v>
      </c>
      <c r="Y638">
        <v>1.4592099999999999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315</v>
      </c>
      <c r="AF638">
        <v>322</v>
      </c>
      <c r="AG638">
        <v>68</v>
      </c>
      <c r="AI638">
        <v>0.25900000000000001</v>
      </c>
      <c r="AK638" t="s">
        <v>740</v>
      </c>
      <c r="AL638" t="s">
        <v>911</v>
      </c>
      <c r="AM638">
        <v>200000</v>
      </c>
      <c r="AN638" t="s">
        <v>73</v>
      </c>
      <c r="AO638">
        <v>1</v>
      </c>
      <c r="AP638">
        <v>0</v>
      </c>
      <c r="AQ638">
        <v>16666.666666666668</v>
      </c>
      <c r="AR638" t="s">
        <v>2089</v>
      </c>
      <c r="AS638" t="s">
        <v>75</v>
      </c>
      <c r="AX638" t="s">
        <v>76</v>
      </c>
      <c r="AY638" t="s">
        <v>71</v>
      </c>
      <c r="AZ638">
        <v>0</v>
      </c>
      <c r="BA638" t="s">
        <v>71</v>
      </c>
      <c r="BB638">
        <v>0</v>
      </c>
      <c r="BD638">
        <v>1.4592099999999999</v>
      </c>
    </row>
    <row r="639" spans="1:56" x14ac:dyDescent="0.15">
      <c r="A639" s="4" t="str">
        <f>HYPERLINK("https://ibp.a2mac1.com/costing(costing:projects/details/9760/part/8412709)","Side Airbag")</f>
        <v>Side Airbag</v>
      </c>
      <c r="B639">
        <v>8412709</v>
      </c>
      <c r="C639">
        <v>8412615</v>
      </c>
      <c r="E639">
        <v>20</v>
      </c>
      <c r="F639">
        <v>0</v>
      </c>
      <c r="G639">
        <v>0</v>
      </c>
      <c r="H639">
        <v>0.1012</v>
      </c>
      <c r="I639" t="s">
        <v>176</v>
      </c>
      <c r="J639">
        <v>0.7</v>
      </c>
      <c r="K639">
        <v>20.801200000000001</v>
      </c>
      <c r="L639">
        <v>0.10479116266232039</v>
      </c>
      <c r="M639">
        <v>0.62874697597392226</v>
      </c>
      <c r="N639">
        <v>21.429946975973923</v>
      </c>
      <c r="O639" t="s">
        <v>90</v>
      </c>
      <c r="P639">
        <v>0</v>
      </c>
      <c r="Q639" t="s">
        <v>90</v>
      </c>
      <c r="R639">
        <v>0</v>
      </c>
      <c r="S639" t="s">
        <v>90</v>
      </c>
      <c r="T639">
        <v>0</v>
      </c>
      <c r="U639" t="s">
        <v>90</v>
      </c>
      <c r="V639">
        <v>0</v>
      </c>
      <c r="W639" t="s">
        <v>90</v>
      </c>
      <c r="X639">
        <v>0</v>
      </c>
      <c r="Y639">
        <v>21.429946975973923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5</v>
      </c>
      <c r="AF639">
        <v>440</v>
      </c>
      <c r="AG639">
        <v>565</v>
      </c>
      <c r="AI639">
        <v>0.14199999999999999</v>
      </c>
      <c r="AK639" t="s">
        <v>740</v>
      </c>
      <c r="AL639" t="s">
        <v>2095</v>
      </c>
      <c r="AM639">
        <v>200000</v>
      </c>
      <c r="AN639" t="s">
        <v>73</v>
      </c>
      <c r="AO639">
        <v>1</v>
      </c>
      <c r="AP639">
        <v>0</v>
      </c>
      <c r="AQ639">
        <v>16666.666666666668</v>
      </c>
      <c r="AR639" t="s">
        <v>2096</v>
      </c>
      <c r="AS639" t="s">
        <v>75</v>
      </c>
      <c r="AX639" t="s">
        <v>76</v>
      </c>
      <c r="AY639" t="s">
        <v>176</v>
      </c>
      <c r="AZ639">
        <v>0</v>
      </c>
      <c r="BA639" t="s">
        <v>176</v>
      </c>
      <c r="BB639">
        <v>0</v>
      </c>
    </row>
    <row r="640" spans="1:56" x14ac:dyDescent="0.15">
      <c r="A640" s="4" t="str">
        <f>HYPERLINK("https://ibp.a2mac1.com/costing(costing:projects/details/9760/part/8412710)","Airbag Cylinder")</f>
        <v>Airbag Cylinder</v>
      </c>
      <c r="B640">
        <v>8412710</v>
      </c>
      <c r="C640">
        <v>8412615</v>
      </c>
      <c r="D640" t="s">
        <v>756</v>
      </c>
      <c r="E640">
        <v>5.9299900000000001</v>
      </c>
      <c r="F640">
        <v>0</v>
      </c>
      <c r="G640">
        <v>0</v>
      </c>
      <c r="H640">
        <v>0</v>
      </c>
      <c r="I640" t="s">
        <v>71</v>
      </c>
      <c r="J640">
        <v>0</v>
      </c>
      <c r="K640">
        <v>5.9299900000000001</v>
      </c>
      <c r="L640">
        <v>0</v>
      </c>
      <c r="M640">
        <v>0</v>
      </c>
      <c r="N640">
        <v>5.9299900000000001</v>
      </c>
      <c r="O640" t="s">
        <v>71</v>
      </c>
      <c r="P640">
        <v>0</v>
      </c>
      <c r="Q640" t="s">
        <v>71</v>
      </c>
      <c r="R640">
        <v>0</v>
      </c>
      <c r="S640" t="s">
        <v>71</v>
      </c>
      <c r="T640">
        <v>0</v>
      </c>
      <c r="U640" t="s">
        <v>71</v>
      </c>
      <c r="V640">
        <v>0</v>
      </c>
      <c r="W640" t="s">
        <v>71</v>
      </c>
      <c r="X640">
        <v>0</v>
      </c>
      <c r="Y640">
        <v>5.9299900000000001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46</v>
      </c>
      <c r="AF640">
        <v>27</v>
      </c>
      <c r="AG640">
        <v>147</v>
      </c>
      <c r="AI640">
        <v>0.183</v>
      </c>
      <c r="AK640" t="s">
        <v>740</v>
      </c>
      <c r="AL640" t="s">
        <v>2097</v>
      </c>
      <c r="AM640">
        <v>200000</v>
      </c>
      <c r="AN640" t="s">
        <v>97</v>
      </c>
      <c r="AO640">
        <v>1</v>
      </c>
      <c r="AP640">
        <v>0</v>
      </c>
      <c r="AQ640">
        <v>16666.666666666668</v>
      </c>
      <c r="AR640" t="s">
        <v>2098</v>
      </c>
      <c r="AS640" t="s">
        <v>75</v>
      </c>
      <c r="AX640" t="s">
        <v>76</v>
      </c>
      <c r="AY640" t="s">
        <v>71</v>
      </c>
      <c r="AZ640">
        <v>0</v>
      </c>
      <c r="BA640" t="s">
        <v>71</v>
      </c>
      <c r="BB640">
        <v>0</v>
      </c>
      <c r="BD640">
        <v>5.9299900000000001</v>
      </c>
    </row>
    <row r="641" spans="1:56" x14ac:dyDescent="0.15">
      <c r="A641" s="4" t="str">
        <f>HYPERLINK("https://ibp.a2mac1.com/costing(costing:projects/details/9760/part/8412711)","Side Airbag Garnish")</f>
        <v>Side Airbag Garnish</v>
      </c>
      <c r="B641">
        <v>8412711</v>
      </c>
      <c r="C641">
        <v>8412615</v>
      </c>
      <c r="D641" t="s">
        <v>2099</v>
      </c>
      <c r="E641">
        <v>0.29998999999999998</v>
      </c>
      <c r="F641">
        <v>0</v>
      </c>
      <c r="G641">
        <v>0</v>
      </c>
      <c r="H641">
        <v>0</v>
      </c>
      <c r="I641" t="s">
        <v>71</v>
      </c>
      <c r="J641">
        <v>0</v>
      </c>
      <c r="K641">
        <v>0.29998999999999998</v>
      </c>
      <c r="L641">
        <v>0</v>
      </c>
      <c r="M641">
        <v>0</v>
      </c>
      <c r="N641">
        <v>0.29998999999999998</v>
      </c>
      <c r="O641" t="s">
        <v>71</v>
      </c>
      <c r="P641">
        <v>0</v>
      </c>
      <c r="Q641" t="s">
        <v>71</v>
      </c>
      <c r="R641">
        <v>0</v>
      </c>
      <c r="S641" t="s">
        <v>71</v>
      </c>
      <c r="T641">
        <v>0</v>
      </c>
      <c r="U641" t="s">
        <v>71</v>
      </c>
      <c r="V641">
        <v>0</v>
      </c>
      <c r="W641" t="s">
        <v>71</v>
      </c>
      <c r="X641">
        <v>0</v>
      </c>
      <c r="Y641">
        <v>0.29998999999999998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155</v>
      </c>
      <c r="AF641">
        <v>1</v>
      </c>
      <c r="AG641">
        <v>300</v>
      </c>
      <c r="AI641">
        <v>6.0000000000000001E-3</v>
      </c>
      <c r="AK641" t="s">
        <v>740</v>
      </c>
      <c r="AL641" t="s">
        <v>399</v>
      </c>
      <c r="AM641">
        <v>200000</v>
      </c>
      <c r="AN641" t="s">
        <v>97</v>
      </c>
      <c r="AO641">
        <v>1</v>
      </c>
      <c r="AP641">
        <v>0</v>
      </c>
      <c r="AQ641">
        <v>16666.666666666668</v>
      </c>
      <c r="AR641" t="s">
        <v>2100</v>
      </c>
      <c r="AS641" t="s">
        <v>75</v>
      </c>
      <c r="AX641" t="s">
        <v>76</v>
      </c>
      <c r="AY641" t="s">
        <v>71</v>
      </c>
      <c r="AZ641">
        <v>0</v>
      </c>
      <c r="BA641" t="s">
        <v>71</v>
      </c>
      <c r="BB641">
        <v>0</v>
      </c>
      <c r="BD641">
        <v>0.29998999999999998</v>
      </c>
    </row>
    <row r="642" spans="1:56" x14ac:dyDescent="0.15">
      <c r="A642" s="4" t="str">
        <f>HYPERLINK("https://ibp.a2mac1.com/costing(costing:projects/details/9760/part/8412712)","Inner Side Airbag")</f>
        <v>Inner Side Airbag</v>
      </c>
      <c r="B642">
        <v>8412712</v>
      </c>
      <c r="C642">
        <v>8412616</v>
      </c>
      <c r="E642">
        <v>20</v>
      </c>
      <c r="F642">
        <v>0</v>
      </c>
      <c r="G642">
        <v>0</v>
      </c>
      <c r="H642">
        <v>0.1012</v>
      </c>
      <c r="I642" t="s">
        <v>176</v>
      </c>
      <c r="J642">
        <v>0.7</v>
      </c>
      <c r="K642">
        <v>20.801200000000001</v>
      </c>
      <c r="L642">
        <v>0.11891983251537754</v>
      </c>
      <c r="M642">
        <v>0.71351899509226524</v>
      </c>
      <c r="N642">
        <v>21.514718995092267</v>
      </c>
      <c r="O642" t="s">
        <v>90</v>
      </c>
      <c r="P642">
        <v>0</v>
      </c>
      <c r="Q642" t="s">
        <v>90</v>
      </c>
      <c r="R642">
        <v>0</v>
      </c>
      <c r="S642" t="s">
        <v>90</v>
      </c>
      <c r="T642">
        <v>0</v>
      </c>
      <c r="U642" t="s">
        <v>90</v>
      </c>
      <c r="V642">
        <v>0</v>
      </c>
      <c r="W642" t="s">
        <v>90</v>
      </c>
      <c r="X642">
        <v>0</v>
      </c>
      <c r="Y642">
        <v>21.514718995092267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12</v>
      </c>
      <c r="AF642">
        <v>680</v>
      </c>
      <c r="AG642">
        <v>770</v>
      </c>
      <c r="AI642">
        <v>0.34699999999999998</v>
      </c>
      <c r="AK642" t="s">
        <v>740</v>
      </c>
      <c r="AL642" t="s">
        <v>2095</v>
      </c>
      <c r="AM642">
        <v>200000</v>
      </c>
      <c r="AN642" t="s">
        <v>73</v>
      </c>
      <c r="AO642">
        <v>1</v>
      </c>
      <c r="AP642">
        <v>0</v>
      </c>
      <c r="AQ642">
        <v>16666.666666666668</v>
      </c>
      <c r="AR642" t="s">
        <v>2106</v>
      </c>
      <c r="AS642" t="s">
        <v>75</v>
      </c>
      <c r="AX642" t="s">
        <v>76</v>
      </c>
      <c r="AY642" t="s">
        <v>176</v>
      </c>
      <c r="AZ642">
        <v>0</v>
      </c>
      <c r="BA642" t="s">
        <v>176</v>
      </c>
      <c r="BB642">
        <v>0</v>
      </c>
    </row>
    <row r="643" spans="1:56" x14ac:dyDescent="0.15">
      <c r="A643" s="4" t="str">
        <f>HYPERLINK("https://ibp.a2mac1.com/costing(costing:projects/details/9760/part/8412713)","Airbag Cylinder")</f>
        <v>Airbag Cylinder</v>
      </c>
      <c r="B643">
        <v>8412713</v>
      </c>
      <c r="C643">
        <v>8412616</v>
      </c>
      <c r="D643" t="s">
        <v>756</v>
      </c>
      <c r="E643">
        <v>6.2199900000000001</v>
      </c>
      <c r="F643">
        <v>0</v>
      </c>
      <c r="G643">
        <v>0</v>
      </c>
      <c r="H643">
        <v>0</v>
      </c>
      <c r="I643" t="s">
        <v>71</v>
      </c>
      <c r="J643">
        <v>0</v>
      </c>
      <c r="K643">
        <v>6.2199900000000001</v>
      </c>
      <c r="L643">
        <v>0</v>
      </c>
      <c r="M643">
        <v>0</v>
      </c>
      <c r="N643">
        <v>6.2199900000000001</v>
      </c>
      <c r="O643" t="s">
        <v>71</v>
      </c>
      <c r="P643">
        <v>0</v>
      </c>
      <c r="Q643" t="s">
        <v>71</v>
      </c>
      <c r="R643">
        <v>0</v>
      </c>
      <c r="S643" t="s">
        <v>71</v>
      </c>
      <c r="T643">
        <v>0</v>
      </c>
      <c r="U643" t="s">
        <v>71</v>
      </c>
      <c r="V643">
        <v>0</v>
      </c>
      <c r="W643" t="s">
        <v>71</v>
      </c>
      <c r="X643">
        <v>0</v>
      </c>
      <c r="Y643">
        <v>6.2199900000000001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47</v>
      </c>
      <c r="AF643">
        <v>25</v>
      </c>
      <c r="AG643">
        <v>282</v>
      </c>
      <c r="AI643">
        <v>0.433</v>
      </c>
      <c r="AK643" t="s">
        <v>740</v>
      </c>
      <c r="AL643" t="s">
        <v>788</v>
      </c>
      <c r="AM643">
        <v>200000</v>
      </c>
      <c r="AN643" t="s">
        <v>97</v>
      </c>
      <c r="AO643">
        <v>1</v>
      </c>
      <c r="AP643">
        <v>0</v>
      </c>
      <c r="AQ643">
        <v>16666.666666666668</v>
      </c>
      <c r="AR643" t="s">
        <v>2107</v>
      </c>
      <c r="AS643" t="s">
        <v>75</v>
      </c>
      <c r="AX643" t="s">
        <v>76</v>
      </c>
      <c r="AY643" t="s">
        <v>71</v>
      </c>
      <c r="AZ643">
        <v>0</v>
      </c>
      <c r="BA643" t="s">
        <v>71</v>
      </c>
      <c r="BB643">
        <v>0</v>
      </c>
      <c r="BD643">
        <v>6.2199900000000001</v>
      </c>
    </row>
    <row r="644" spans="1:56" x14ac:dyDescent="0.15">
      <c r="A644" s="4" t="str">
        <f>HYPERLINK("https://ibp.a2mac1.com/costing(costing:projects/details/9760/part/8412714)","Airbag Garnish")</f>
        <v>Airbag Garnish</v>
      </c>
      <c r="B644">
        <v>8412714</v>
      </c>
      <c r="C644">
        <v>8412616</v>
      </c>
      <c r="D644" t="s">
        <v>2099</v>
      </c>
      <c r="E644">
        <v>0.35</v>
      </c>
      <c r="F644">
        <v>0</v>
      </c>
      <c r="G644">
        <v>0</v>
      </c>
      <c r="H644">
        <v>0</v>
      </c>
      <c r="I644" t="s">
        <v>71</v>
      </c>
      <c r="J644">
        <v>0</v>
      </c>
      <c r="K644">
        <v>0.35</v>
      </c>
      <c r="L644">
        <v>0</v>
      </c>
      <c r="M644">
        <v>0</v>
      </c>
      <c r="N644">
        <v>0.35</v>
      </c>
      <c r="O644" t="s">
        <v>71</v>
      </c>
      <c r="P644">
        <v>0</v>
      </c>
      <c r="Q644" t="s">
        <v>71</v>
      </c>
      <c r="R644">
        <v>0</v>
      </c>
      <c r="S644" t="s">
        <v>71</v>
      </c>
      <c r="T644">
        <v>0</v>
      </c>
      <c r="U644" t="s">
        <v>71</v>
      </c>
      <c r="V644">
        <v>0</v>
      </c>
      <c r="W644" t="s">
        <v>71</v>
      </c>
      <c r="X644">
        <v>0</v>
      </c>
      <c r="Y644">
        <v>0.35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110</v>
      </c>
      <c r="AF644">
        <v>1</v>
      </c>
      <c r="AG644">
        <v>513</v>
      </c>
      <c r="AI644">
        <v>0.01</v>
      </c>
      <c r="AK644" t="s">
        <v>740</v>
      </c>
      <c r="AL644" t="s">
        <v>399</v>
      </c>
      <c r="AM644">
        <v>200000</v>
      </c>
      <c r="AN644" t="s">
        <v>97</v>
      </c>
      <c r="AO644">
        <v>1</v>
      </c>
      <c r="AP644">
        <v>0</v>
      </c>
      <c r="AQ644">
        <v>16666.666666666668</v>
      </c>
      <c r="AR644" t="s">
        <v>2108</v>
      </c>
      <c r="AS644" t="s">
        <v>75</v>
      </c>
      <c r="AX644" t="s">
        <v>76</v>
      </c>
      <c r="AY644" t="s">
        <v>71</v>
      </c>
      <c r="AZ644">
        <v>0</v>
      </c>
      <c r="BA644" t="s">
        <v>71</v>
      </c>
      <c r="BB644">
        <v>0</v>
      </c>
      <c r="BD644">
        <v>0.35</v>
      </c>
    </row>
    <row r="645" spans="1:56" x14ac:dyDescent="0.15">
      <c r="A645" s="4" t="str">
        <f>HYPERLINK("https://ibp.a2mac1.com/costing(costing:projects/details/9760/part/8412614)","Occupant Detection")</f>
        <v>Occupant Detection</v>
      </c>
      <c r="B645">
        <v>8412614</v>
      </c>
      <c r="C645">
        <v>8412556</v>
      </c>
      <c r="E645">
        <v>5</v>
      </c>
      <c r="F645">
        <v>0</v>
      </c>
      <c r="G645">
        <v>0</v>
      </c>
      <c r="H645">
        <v>0</v>
      </c>
      <c r="I645" t="s">
        <v>71</v>
      </c>
      <c r="J645">
        <v>0</v>
      </c>
      <c r="K645">
        <v>5</v>
      </c>
      <c r="L645">
        <v>0</v>
      </c>
      <c r="M645">
        <v>0</v>
      </c>
      <c r="N645">
        <v>5</v>
      </c>
      <c r="O645" t="s">
        <v>71</v>
      </c>
      <c r="P645">
        <v>0</v>
      </c>
      <c r="Q645" t="s">
        <v>71</v>
      </c>
      <c r="R645">
        <v>0</v>
      </c>
      <c r="S645" t="s">
        <v>71</v>
      </c>
      <c r="T645">
        <v>0</v>
      </c>
      <c r="U645" t="s">
        <v>71</v>
      </c>
      <c r="V645">
        <v>0</v>
      </c>
      <c r="W645" t="s">
        <v>71</v>
      </c>
      <c r="X645">
        <v>0</v>
      </c>
      <c r="Y645">
        <v>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5</v>
      </c>
      <c r="AF645">
        <v>114</v>
      </c>
      <c r="AG645">
        <v>355</v>
      </c>
      <c r="AI645">
        <v>1.6E-2</v>
      </c>
      <c r="AK645" t="s">
        <v>185</v>
      </c>
      <c r="AL645" t="s">
        <v>856</v>
      </c>
      <c r="AM645">
        <v>200000</v>
      </c>
      <c r="AN645" t="s">
        <v>73</v>
      </c>
      <c r="AO645">
        <v>1</v>
      </c>
      <c r="AP645">
        <v>0</v>
      </c>
      <c r="AQ645">
        <v>16666.666666666668</v>
      </c>
      <c r="AR645" t="s">
        <v>2111</v>
      </c>
      <c r="AS645" t="s">
        <v>75</v>
      </c>
      <c r="AX645" t="s">
        <v>76</v>
      </c>
      <c r="AY645" t="s">
        <v>71</v>
      </c>
      <c r="AZ645">
        <v>0</v>
      </c>
      <c r="BA645" t="s">
        <v>71</v>
      </c>
      <c r="BB645">
        <v>0</v>
      </c>
      <c r="BD645">
        <v>5</v>
      </c>
    </row>
    <row r="646" spans="1:56" x14ac:dyDescent="0.15">
      <c r="A646" s="4" t="str">
        <f>HYPERLINK("https://ibp.a2mac1.com/costing(costing:projects/details/9760/part/8412800)","Inner Side")</f>
        <v>Inner Side</v>
      </c>
      <c r="B646">
        <v>8412800</v>
      </c>
      <c r="C646">
        <v>8412720</v>
      </c>
      <c r="E646">
        <v>2.2999999999999998</v>
      </c>
      <c r="F646">
        <v>0</v>
      </c>
      <c r="G646">
        <v>0</v>
      </c>
      <c r="H646">
        <v>1.1638000000000001E-2</v>
      </c>
      <c r="I646" t="s">
        <v>176</v>
      </c>
      <c r="J646">
        <v>8.0500000000000002E-2</v>
      </c>
      <c r="K646">
        <v>2.3921380000000001</v>
      </c>
      <c r="L646">
        <v>0.53748167691219562</v>
      </c>
      <c r="M646">
        <v>3.2248900614731739</v>
      </c>
      <c r="N646">
        <v>5.6170280614731736</v>
      </c>
      <c r="O646" t="s">
        <v>90</v>
      </c>
      <c r="P646">
        <v>0</v>
      </c>
      <c r="Q646" t="s">
        <v>90</v>
      </c>
      <c r="R646">
        <v>0</v>
      </c>
      <c r="S646" t="s">
        <v>90</v>
      </c>
      <c r="T646">
        <v>0</v>
      </c>
      <c r="U646" t="s">
        <v>90</v>
      </c>
      <c r="V646">
        <v>0</v>
      </c>
      <c r="W646" t="s">
        <v>90</v>
      </c>
      <c r="X646">
        <v>0</v>
      </c>
      <c r="Y646">
        <v>5.6170280614731736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474</v>
      </c>
      <c r="AF646">
        <v>63</v>
      </c>
      <c r="AG646">
        <v>106</v>
      </c>
      <c r="AI646">
        <v>1.782</v>
      </c>
      <c r="AK646" t="s">
        <v>740</v>
      </c>
      <c r="AL646" t="s">
        <v>96</v>
      </c>
      <c r="AM646">
        <v>200000</v>
      </c>
      <c r="AN646" t="s">
        <v>73</v>
      </c>
      <c r="AO646">
        <v>1</v>
      </c>
      <c r="AP646">
        <v>0</v>
      </c>
      <c r="AQ646">
        <v>16666.666666666668</v>
      </c>
      <c r="AR646" t="s">
        <v>2119</v>
      </c>
      <c r="AS646" t="s">
        <v>75</v>
      </c>
      <c r="AX646" t="s">
        <v>76</v>
      </c>
      <c r="AY646" t="s">
        <v>176</v>
      </c>
      <c r="AZ646">
        <v>0</v>
      </c>
      <c r="BA646" t="s">
        <v>176</v>
      </c>
      <c r="BB646">
        <v>0</v>
      </c>
    </row>
    <row r="647" spans="1:56" x14ac:dyDescent="0.15">
      <c r="A647" s="4" t="str">
        <f>HYPERLINK("https://ibp.a2mac1.com/costing(costing:projects/details/9760/part/8412801)","Outer Side")</f>
        <v>Outer Side</v>
      </c>
      <c r="B647">
        <v>8412801</v>
      </c>
      <c r="C647">
        <v>8412720</v>
      </c>
      <c r="E647">
        <v>2.2999999999999998</v>
      </c>
      <c r="F647">
        <v>0</v>
      </c>
      <c r="G647">
        <v>0</v>
      </c>
      <c r="H647">
        <v>1.1638000000000001E-2</v>
      </c>
      <c r="I647" t="s">
        <v>176</v>
      </c>
      <c r="J647">
        <v>8.0500000000000002E-2</v>
      </c>
      <c r="K647">
        <v>2.3921380000000001</v>
      </c>
      <c r="L647">
        <v>0.53748167691219562</v>
      </c>
      <c r="M647">
        <v>3.2248900614731739</v>
      </c>
      <c r="N647">
        <v>5.6170280614731736</v>
      </c>
      <c r="O647" t="s">
        <v>90</v>
      </c>
      <c r="P647">
        <v>0</v>
      </c>
      <c r="Q647" t="s">
        <v>90</v>
      </c>
      <c r="R647">
        <v>0</v>
      </c>
      <c r="S647" t="s">
        <v>90</v>
      </c>
      <c r="T647">
        <v>0</v>
      </c>
      <c r="U647" t="s">
        <v>90</v>
      </c>
      <c r="V647">
        <v>0</v>
      </c>
      <c r="W647" t="s">
        <v>90</v>
      </c>
      <c r="X647">
        <v>0</v>
      </c>
      <c r="Y647">
        <v>5.6170280614731736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474</v>
      </c>
      <c r="AF647">
        <v>60</v>
      </c>
      <c r="AG647">
        <v>95</v>
      </c>
      <c r="AI647">
        <v>1.766</v>
      </c>
      <c r="AK647" t="s">
        <v>740</v>
      </c>
      <c r="AL647" t="s">
        <v>96</v>
      </c>
      <c r="AM647">
        <v>200000</v>
      </c>
      <c r="AN647" t="s">
        <v>73</v>
      </c>
      <c r="AO647">
        <v>1</v>
      </c>
      <c r="AP647">
        <v>0</v>
      </c>
      <c r="AQ647">
        <v>16666.666666666668</v>
      </c>
      <c r="AR647" t="s">
        <v>2122</v>
      </c>
      <c r="AS647" t="s">
        <v>75</v>
      </c>
      <c r="AX647" t="s">
        <v>76</v>
      </c>
      <c r="AY647" t="s">
        <v>176</v>
      </c>
      <c r="AZ647">
        <v>0</v>
      </c>
      <c r="BA647" t="s">
        <v>176</v>
      </c>
      <c r="BB647">
        <v>0</v>
      </c>
    </row>
    <row r="648" spans="1:56" x14ac:dyDescent="0.15">
      <c r="A648" s="4" t="str">
        <f>HYPERLINK("https://ibp.a2mac1.com/costing(costing:projects/details/9760/part/8412715)","Motor")</f>
        <v>Motor</v>
      </c>
      <c r="B648">
        <v>8412715</v>
      </c>
      <c r="C648">
        <v>8412619</v>
      </c>
      <c r="E648">
        <v>4.3</v>
      </c>
      <c r="F648">
        <v>0</v>
      </c>
      <c r="G648">
        <v>0</v>
      </c>
      <c r="H648">
        <v>0</v>
      </c>
      <c r="I648" t="s">
        <v>71</v>
      </c>
      <c r="J648">
        <v>0</v>
      </c>
      <c r="K648">
        <v>4.3</v>
      </c>
      <c r="L648">
        <v>0</v>
      </c>
      <c r="M648">
        <v>0</v>
      </c>
      <c r="N648">
        <v>4.3</v>
      </c>
      <c r="O648" t="s">
        <v>71</v>
      </c>
      <c r="P648">
        <v>0</v>
      </c>
      <c r="Q648" t="s">
        <v>71</v>
      </c>
      <c r="R648">
        <v>0</v>
      </c>
      <c r="S648" t="s">
        <v>71</v>
      </c>
      <c r="T648">
        <v>0</v>
      </c>
      <c r="U648" t="s">
        <v>71</v>
      </c>
      <c r="V648">
        <v>0</v>
      </c>
      <c r="W648" t="s">
        <v>71</v>
      </c>
      <c r="X648">
        <v>0</v>
      </c>
      <c r="Y648">
        <v>4.3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60</v>
      </c>
      <c r="AF648">
        <v>94</v>
      </c>
      <c r="AG648">
        <v>42</v>
      </c>
      <c r="AI648">
        <v>0.36099999999999999</v>
      </c>
      <c r="AK648" t="s">
        <v>284</v>
      </c>
      <c r="AL648" t="s">
        <v>2124</v>
      </c>
      <c r="AM648">
        <v>200000</v>
      </c>
      <c r="AN648" t="s">
        <v>97</v>
      </c>
      <c r="AO648">
        <v>1</v>
      </c>
      <c r="AP648">
        <v>0</v>
      </c>
      <c r="AQ648">
        <v>16666.666666666668</v>
      </c>
      <c r="AR648" t="s">
        <v>2125</v>
      </c>
      <c r="AS648" t="s">
        <v>75</v>
      </c>
      <c r="AX648" t="s">
        <v>76</v>
      </c>
      <c r="AY648" t="s">
        <v>71</v>
      </c>
      <c r="AZ648">
        <v>0</v>
      </c>
      <c r="BA648" t="s">
        <v>71</v>
      </c>
      <c r="BB648">
        <v>0</v>
      </c>
      <c r="BD648">
        <v>4.3</v>
      </c>
    </row>
    <row r="649" spans="1:56" x14ac:dyDescent="0.15">
      <c r="A649" s="4" t="str">
        <f>HYPERLINK("https://ibp.a2mac1.com/costing(costing:projects/details/9760/part/8412716)","Mount Bracket")</f>
        <v>Mount Bracket</v>
      </c>
      <c r="B649">
        <v>8412716</v>
      </c>
      <c r="C649">
        <v>8412619</v>
      </c>
      <c r="E649">
        <v>0.25</v>
      </c>
      <c r="F649">
        <v>0</v>
      </c>
      <c r="G649">
        <v>0</v>
      </c>
      <c r="H649">
        <v>1.2650000000000001E-3</v>
      </c>
      <c r="I649" t="s">
        <v>176</v>
      </c>
      <c r="J649">
        <v>8.7500000000000008E-3</v>
      </c>
      <c r="K649">
        <v>0.260015</v>
      </c>
      <c r="L649">
        <v>2.1785227275609612E-2</v>
      </c>
      <c r="M649">
        <v>0.13071136365365768</v>
      </c>
      <c r="N649">
        <v>0.3907263636536577</v>
      </c>
      <c r="O649" t="s">
        <v>90</v>
      </c>
      <c r="P649">
        <v>0</v>
      </c>
      <c r="Q649" t="s">
        <v>90</v>
      </c>
      <c r="R649">
        <v>0</v>
      </c>
      <c r="S649" t="s">
        <v>90</v>
      </c>
      <c r="T649">
        <v>0</v>
      </c>
      <c r="U649" t="s">
        <v>90</v>
      </c>
      <c r="V649">
        <v>0</v>
      </c>
      <c r="W649" t="s">
        <v>90</v>
      </c>
      <c r="X649">
        <v>0</v>
      </c>
      <c r="Y649">
        <v>0.3907263636536577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90</v>
      </c>
      <c r="AF649">
        <v>425</v>
      </c>
      <c r="AG649">
        <v>29</v>
      </c>
      <c r="AI649">
        <v>0.12</v>
      </c>
      <c r="AK649" t="s">
        <v>740</v>
      </c>
      <c r="AL649" t="s">
        <v>399</v>
      </c>
      <c r="AM649">
        <v>200000</v>
      </c>
      <c r="AN649" t="s">
        <v>73</v>
      </c>
      <c r="AO649">
        <v>1</v>
      </c>
      <c r="AP649">
        <v>0</v>
      </c>
      <c r="AQ649">
        <v>16666.666666666668</v>
      </c>
      <c r="AR649" t="s">
        <v>2128</v>
      </c>
      <c r="AS649" t="s">
        <v>75</v>
      </c>
      <c r="AX649" t="s">
        <v>76</v>
      </c>
      <c r="AY649" t="s">
        <v>176</v>
      </c>
      <c r="AZ649">
        <v>0</v>
      </c>
      <c r="BA649" t="s">
        <v>176</v>
      </c>
      <c r="BB649">
        <v>0</v>
      </c>
    </row>
    <row r="650" spans="1:56" x14ac:dyDescent="0.15">
      <c r="A650" s="4" t="str">
        <f>HYPERLINK("https://ibp.a2mac1.com/costing(costing:projects/details/9760/part/8412717)","Cable")</f>
        <v>Cable</v>
      </c>
      <c r="B650">
        <v>8412717</v>
      </c>
      <c r="C650">
        <v>8412619</v>
      </c>
      <c r="D650" t="s">
        <v>2129</v>
      </c>
      <c r="E650">
        <v>0.13800000000000001</v>
      </c>
      <c r="F650">
        <v>0</v>
      </c>
      <c r="G650">
        <v>0</v>
      </c>
      <c r="H650">
        <v>0</v>
      </c>
      <c r="I650" t="s">
        <v>71</v>
      </c>
      <c r="J650">
        <v>0</v>
      </c>
      <c r="K650">
        <v>0.13800000000000001</v>
      </c>
      <c r="L650">
        <v>0</v>
      </c>
      <c r="M650">
        <v>0</v>
      </c>
      <c r="N650">
        <v>0.13800000000000001</v>
      </c>
      <c r="O650" t="s">
        <v>71</v>
      </c>
      <c r="P650">
        <v>0</v>
      </c>
      <c r="Q650" t="s">
        <v>71</v>
      </c>
      <c r="R650">
        <v>0</v>
      </c>
      <c r="S650" t="s">
        <v>71</v>
      </c>
      <c r="T650">
        <v>0</v>
      </c>
      <c r="U650" t="s">
        <v>71</v>
      </c>
      <c r="V650">
        <v>0</v>
      </c>
      <c r="W650" t="s">
        <v>71</v>
      </c>
      <c r="X650">
        <v>0</v>
      </c>
      <c r="Y650">
        <v>0.13800000000000001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</v>
      </c>
      <c r="AF650">
        <v>319</v>
      </c>
      <c r="AG650">
        <v>5</v>
      </c>
      <c r="AI650">
        <v>2.1999999999999999E-2</v>
      </c>
      <c r="AK650" t="s">
        <v>740</v>
      </c>
      <c r="AL650" t="s">
        <v>96</v>
      </c>
      <c r="AM650">
        <v>200000</v>
      </c>
      <c r="AN650" t="s">
        <v>73</v>
      </c>
      <c r="AO650">
        <v>1</v>
      </c>
      <c r="AP650">
        <v>0</v>
      </c>
      <c r="AQ650">
        <v>16666.666666666668</v>
      </c>
      <c r="AR650" t="s">
        <v>2130</v>
      </c>
      <c r="AS650" t="s">
        <v>75</v>
      </c>
      <c r="AX650" t="s">
        <v>76</v>
      </c>
      <c r="AY650" t="s">
        <v>71</v>
      </c>
      <c r="AZ650">
        <v>0</v>
      </c>
      <c r="BA650" t="s">
        <v>71</v>
      </c>
      <c r="BB650">
        <v>0</v>
      </c>
      <c r="BD650">
        <v>0.13800000000000001</v>
      </c>
    </row>
    <row r="651" spans="1:56" x14ac:dyDescent="0.15">
      <c r="A651" s="4" t="str">
        <f>HYPERLINK("https://ibp.a2mac1.com/costing(costing:projects/details/9760/part/8412718)","2nd Cable")</f>
        <v>2nd Cable</v>
      </c>
      <c r="B651">
        <v>8412718</v>
      </c>
      <c r="C651">
        <v>8412619</v>
      </c>
      <c r="D651" t="s">
        <v>2129</v>
      </c>
      <c r="E651">
        <v>0.04</v>
      </c>
      <c r="F651">
        <v>0</v>
      </c>
      <c r="G651">
        <v>0</v>
      </c>
      <c r="H651">
        <v>0</v>
      </c>
      <c r="I651" t="s">
        <v>71</v>
      </c>
      <c r="J651">
        <v>0</v>
      </c>
      <c r="K651">
        <v>0.04</v>
      </c>
      <c r="L651">
        <v>0</v>
      </c>
      <c r="M651">
        <v>0</v>
      </c>
      <c r="N651">
        <v>0.04</v>
      </c>
      <c r="O651" t="s">
        <v>71</v>
      </c>
      <c r="P651">
        <v>0</v>
      </c>
      <c r="Q651" t="s">
        <v>71</v>
      </c>
      <c r="R651">
        <v>0</v>
      </c>
      <c r="S651" t="s">
        <v>71</v>
      </c>
      <c r="T651">
        <v>0</v>
      </c>
      <c r="U651" t="s">
        <v>71</v>
      </c>
      <c r="V651">
        <v>0</v>
      </c>
      <c r="W651" t="s">
        <v>71</v>
      </c>
      <c r="X651">
        <v>0</v>
      </c>
      <c r="Y651">
        <v>0.04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</v>
      </c>
      <c r="AF651">
        <v>58</v>
      </c>
      <c r="AG651">
        <v>3</v>
      </c>
      <c r="AI651">
        <v>3.0000000000000001E-3</v>
      </c>
      <c r="AK651" t="s">
        <v>740</v>
      </c>
      <c r="AL651" t="s">
        <v>96</v>
      </c>
      <c r="AM651">
        <v>200000</v>
      </c>
      <c r="AN651" t="s">
        <v>73</v>
      </c>
      <c r="AO651">
        <v>1</v>
      </c>
      <c r="AP651">
        <v>0</v>
      </c>
      <c r="AQ651">
        <v>16666.666666666668</v>
      </c>
      <c r="AR651" t="s">
        <v>2131</v>
      </c>
      <c r="AS651" t="s">
        <v>75</v>
      </c>
      <c r="AX651" t="s">
        <v>76</v>
      </c>
      <c r="AY651" t="s">
        <v>71</v>
      </c>
      <c r="AZ651">
        <v>0</v>
      </c>
      <c r="BA651" t="s">
        <v>71</v>
      </c>
      <c r="BB651">
        <v>0</v>
      </c>
      <c r="BD651">
        <v>0.04</v>
      </c>
    </row>
    <row r="652" spans="1:56" x14ac:dyDescent="0.15">
      <c r="A652" s="4" t="str">
        <f>HYPERLINK("https://ibp.a2mac1.com/costing(costing:projects/details/9760/part/8412719)","Cable sheath")</f>
        <v>Cable sheath</v>
      </c>
      <c r="B652">
        <v>8412719</v>
      </c>
      <c r="C652">
        <v>8412619</v>
      </c>
      <c r="D652" t="s">
        <v>2132</v>
      </c>
      <c r="E652">
        <v>8.1000000000000003E-2</v>
      </c>
      <c r="F652">
        <v>0</v>
      </c>
      <c r="G652">
        <v>0</v>
      </c>
      <c r="H652">
        <v>0</v>
      </c>
      <c r="I652" t="s">
        <v>71</v>
      </c>
      <c r="J652">
        <v>0</v>
      </c>
      <c r="K652">
        <v>8.1000000000000003E-2</v>
      </c>
      <c r="L652">
        <v>0</v>
      </c>
      <c r="M652">
        <v>0</v>
      </c>
      <c r="N652">
        <v>8.1000000000000003E-2</v>
      </c>
      <c r="O652" t="s">
        <v>71</v>
      </c>
      <c r="P652">
        <v>0</v>
      </c>
      <c r="Q652" t="s">
        <v>71</v>
      </c>
      <c r="R652">
        <v>0</v>
      </c>
      <c r="S652" t="s">
        <v>71</v>
      </c>
      <c r="T652">
        <v>0</v>
      </c>
      <c r="U652" t="s">
        <v>71</v>
      </c>
      <c r="V652">
        <v>0</v>
      </c>
      <c r="W652" t="s">
        <v>71</v>
      </c>
      <c r="X652">
        <v>0</v>
      </c>
      <c r="Y652">
        <v>8.1000000000000003E-2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8</v>
      </c>
      <c r="AF652">
        <v>271</v>
      </c>
      <c r="AG652">
        <v>8</v>
      </c>
      <c r="AI652">
        <v>7.0000000000000001E-3</v>
      </c>
      <c r="AK652" t="s">
        <v>740</v>
      </c>
      <c r="AL652" t="s">
        <v>112</v>
      </c>
      <c r="AM652">
        <v>200000</v>
      </c>
      <c r="AN652" t="s">
        <v>73</v>
      </c>
      <c r="AO652">
        <v>1</v>
      </c>
      <c r="AP652">
        <v>0</v>
      </c>
      <c r="AQ652">
        <v>16666.666666666668</v>
      </c>
      <c r="AR652" t="s">
        <v>2133</v>
      </c>
      <c r="AS652" t="s">
        <v>75</v>
      </c>
      <c r="AX652" t="s">
        <v>76</v>
      </c>
      <c r="AY652" t="s">
        <v>71</v>
      </c>
      <c r="AZ652">
        <v>0</v>
      </c>
      <c r="BA652" t="s">
        <v>71</v>
      </c>
      <c r="BB652">
        <v>0</v>
      </c>
      <c r="BD652">
        <v>8.1000000000000003E-2</v>
      </c>
    </row>
    <row r="653" spans="1:56" x14ac:dyDescent="0.15">
      <c r="A653" s="4" t="str">
        <f>HYPERLINK("https://ibp.a2mac1.com/costing(costing:projects/details/9760/part/8412721)","Control")</f>
        <v>Control</v>
      </c>
      <c r="B653">
        <v>8412721</v>
      </c>
      <c r="C653">
        <v>8412620</v>
      </c>
      <c r="E653">
        <v>0.02</v>
      </c>
      <c r="F653">
        <v>0</v>
      </c>
      <c r="G653">
        <v>0</v>
      </c>
      <c r="H653">
        <v>1.0119999999999999E-4</v>
      </c>
      <c r="I653" t="s">
        <v>176</v>
      </c>
      <c r="J653">
        <v>6.9999999999999999E-4</v>
      </c>
      <c r="K653">
        <v>2.0801199999999999E-2</v>
      </c>
      <c r="L653">
        <v>9.422641154184605E-3</v>
      </c>
      <c r="M653">
        <v>5.653584692510763E-2</v>
      </c>
      <c r="N653">
        <v>7.7337046925107636E-2</v>
      </c>
      <c r="O653" t="s">
        <v>90</v>
      </c>
      <c r="P653">
        <v>0</v>
      </c>
      <c r="Q653" t="s">
        <v>90</v>
      </c>
      <c r="R653">
        <v>0</v>
      </c>
      <c r="S653" t="s">
        <v>90</v>
      </c>
      <c r="T653">
        <v>0</v>
      </c>
      <c r="U653" t="s">
        <v>90</v>
      </c>
      <c r="V653">
        <v>0</v>
      </c>
      <c r="W653" t="s">
        <v>90</v>
      </c>
      <c r="X653">
        <v>0</v>
      </c>
      <c r="Y653">
        <v>7.7337046925107636E-2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16</v>
      </c>
      <c r="AF653">
        <v>53</v>
      </c>
      <c r="AG653">
        <v>20</v>
      </c>
      <c r="AI653">
        <v>5.0000000000000001E-3</v>
      </c>
      <c r="AK653" t="s">
        <v>740</v>
      </c>
      <c r="AL653" t="s">
        <v>412</v>
      </c>
      <c r="AM653">
        <v>200000</v>
      </c>
      <c r="AN653" t="s">
        <v>73</v>
      </c>
      <c r="AO653">
        <v>1</v>
      </c>
      <c r="AP653">
        <v>0</v>
      </c>
      <c r="AQ653">
        <v>16666.666666666668</v>
      </c>
      <c r="AR653" t="s">
        <v>2139</v>
      </c>
      <c r="AS653" t="s">
        <v>75</v>
      </c>
      <c r="AX653" t="s">
        <v>76</v>
      </c>
      <c r="AY653" t="s">
        <v>176</v>
      </c>
      <c r="AZ653">
        <v>0</v>
      </c>
      <c r="BA653" t="s">
        <v>176</v>
      </c>
      <c r="BB653">
        <v>0</v>
      </c>
    </row>
    <row r="654" spans="1:56" x14ac:dyDescent="0.15">
      <c r="A654" s="4" t="str">
        <f>HYPERLINK("https://ibp.a2mac1.com/costing(costing:projects/details/9760/part/8412802)","Motor")</f>
        <v>Motor</v>
      </c>
      <c r="B654">
        <v>8412802</v>
      </c>
      <c r="C654">
        <v>8412722</v>
      </c>
      <c r="E654">
        <v>2.52</v>
      </c>
      <c r="F654">
        <v>0</v>
      </c>
      <c r="G654">
        <v>0</v>
      </c>
      <c r="H654">
        <v>0</v>
      </c>
      <c r="I654" t="s">
        <v>71</v>
      </c>
      <c r="J654">
        <v>0</v>
      </c>
      <c r="K654">
        <v>2.52</v>
      </c>
      <c r="L654">
        <v>0</v>
      </c>
      <c r="M654">
        <v>0</v>
      </c>
      <c r="N654">
        <v>2.52</v>
      </c>
      <c r="O654" t="s">
        <v>71</v>
      </c>
      <c r="P654">
        <v>0</v>
      </c>
      <c r="Q654" t="s">
        <v>71</v>
      </c>
      <c r="R654">
        <v>0</v>
      </c>
      <c r="S654" t="s">
        <v>71</v>
      </c>
      <c r="T654">
        <v>0</v>
      </c>
      <c r="U654" t="s">
        <v>71</v>
      </c>
      <c r="V654">
        <v>0</v>
      </c>
      <c r="W654" t="s">
        <v>71</v>
      </c>
      <c r="X654">
        <v>0</v>
      </c>
      <c r="Y654">
        <v>2.52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46</v>
      </c>
      <c r="AF654">
        <v>106</v>
      </c>
      <c r="AG654">
        <v>31</v>
      </c>
      <c r="AI654">
        <v>0.184</v>
      </c>
      <c r="AK654" t="s">
        <v>284</v>
      </c>
      <c r="AL654" t="s">
        <v>2143</v>
      </c>
      <c r="AM654">
        <v>200000</v>
      </c>
      <c r="AN654" t="s">
        <v>97</v>
      </c>
      <c r="AO654">
        <v>1</v>
      </c>
      <c r="AP654">
        <v>0</v>
      </c>
      <c r="AQ654">
        <v>16666.666666666668</v>
      </c>
      <c r="AR654" t="s">
        <v>2144</v>
      </c>
      <c r="AS654" t="s">
        <v>75</v>
      </c>
      <c r="AX654" t="s">
        <v>76</v>
      </c>
      <c r="AY654" t="s">
        <v>71</v>
      </c>
      <c r="AZ654">
        <v>0</v>
      </c>
      <c r="BA654" t="s">
        <v>71</v>
      </c>
      <c r="BB654">
        <v>0</v>
      </c>
      <c r="BD654">
        <v>2.52</v>
      </c>
    </row>
    <row r="655" spans="1:56" x14ac:dyDescent="0.15">
      <c r="A655" s="4" t="str">
        <f>HYPERLINK("https://ibp.a2mac1.com/costing(costing:projects/details/9760/part/8412803)","Mechanism")</f>
        <v>Mechanism</v>
      </c>
      <c r="B655">
        <v>8412803</v>
      </c>
      <c r="C655">
        <v>8412722</v>
      </c>
      <c r="D655" t="s">
        <v>2145</v>
      </c>
      <c r="E655">
        <v>3.5</v>
      </c>
      <c r="F655">
        <v>0</v>
      </c>
      <c r="G655">
        <v>0</v>
      </c>
      <c r="H655">
        <v>0</v>
      </c>
      <c r="I655" t="s">
        <v>71</v>
      </c>
      <c r="J655">
        <v>0</v>
      </c>
      <c r="K655">
        <v>3.5</v>
      </c>
      <c r="L655">
        <v>0</v>
      </c>
      <c r="M655">
        <v>0</v>
      </c>
      <c r="N655">
        <v>3.5</v>
      </c>
      <c r="O655" t="s">
        <v>71</v>
      </c>
      <c r="P655">
        <v>0</v>
      </c>
      <c r="Q655" t="s">
        <v>71</v>
      </c>
      <c r="R655">
        <v>0</v>
      </c>
      <c r="S655" t="s">
        <v>71</v>
      </c>
      <c r="T655">
        <v>0</v>
      </c>
      <c r="U655" t="s">
        <v>71</v>
      </c>
      <c r="V655">
        <v>0</v>
      </c>
      <c r="W655" t="s">
        <v>71</v>
      </c>
      <c r="X655">
        <v>0</v>
      </c>
      <c r="Y655">
        <v>3.5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126</v>
      </c>
      <c r="AF655">
        <v>40</v>
      </c>
      <c r="AG655">
        <v>54</v>
      </c>
      <c r="AI655">
        <v>0.114</v>
      </c>
      <c r="AK655" t="s">
        <v>740</v>
      </c>
      <c r="AL655" t="s">
        <v>405</v>
      </c>
      <c r="AM655">
        <v>200000</v>
      </c>
      <c r="AN655" t="s">
        <v>97</v>
      </c>
      <c r="AO655">
        <v>1</v>
      </c>
      <c r="AP655">
        <v>0</v>
      </c>
      <c r="AQ655">
        <v>16666.666666666668</v>
      </c>
      <c r="AR655" t="s">
        <v>2146</v>
      </c>
      <c r="AS655" t="s">
        <v>75</v>
      </c>
      <c r="AX655" t="s">
        <v>76</v>
      </c>
      <c r="AY655" t="s">
        <v>71</v>
      </c>
      <c r="AZ655">
        <v>0</v>
      </c>
      <c r="BA655" t="s">
        <v>71</v>
      </c>
      <c r="BB655">
        <v>0</v>
      </c>
      <c r="BD655">
        <v>3.5</v>
      </c>
    </row>
    <row r="656" spans="1:56" x14ac:dyDescent="0.15">
      <c r="A656" s="4" t="str">
        <f>HYPERLINK("https://ibp.a2mac1.com/costing(costing:projects/details/9760/part/8412804)","Mechanism Support")</f>
        <v>Mechanism Support</v>
      </c>
      <c r="B656">
        <v>8412804</v>
      </c>
      <c r="C656">
        <v>8412722</v>
      </c>
      <c r="E656">
        <v>0.1235</v>
      </c>
      <c r="F656">
        <v>0</v>
      </c>
      <c r="G656">
        <v>0</v>
      </c>
      <c r="H656">
        <v>6.2491000000000001E-4</v>
      </c>
      <c r="I656" t="s">
        <v>176</v>
      </c>
      <c r="J656">
        <v>4.3225E-3</v>
      </c>
      <c r="K656">
        <v>0.12844741000000001</v>
      </c>
      <c r="L656">
        <v>1.1188724885816749E-2</v>
      </c>
      <c r="M656">
        <v>6.7132349314900502E-2</v>
      </c>
      <c r="N656">
        <v>0.19557975931490049</v>
      </c>
      <c r="O656" t="s">
        <v>90</v>
      </c>
      <c r="P656">
        <v>0</v>
      </c>
      <c r="Q656" t="s">
        <v>90</v>
      </c>
      <c r="R656">
        <v>0</v>
      </c>
      <c r="S656" t="s">
        <v>90</v>
      </c>
      <c r="T656">
        <v>0</v>
      </c>
      <c r="U656" t="s">
        <v>90</v>
      </c>
      <c r="V656">
        <v>0</v>
      </c>
      <c r="W656" t="s">
        <v>90</v>
      </c>
      <c r="X656">
        <v>0</v>
      </c>
      <c r="Y656">
        <v>0.19557975931490049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36</v>
      </c>
      <c r="AF656">
        <v>77</v>
      </c>
      <c r="AG656">
        <v>118</v>
      </c>
      <c r="AI656">
        <v>0.10199999999999999</v>
      </c>
      <c r="AK656" t="s">
        <v>740</v>
      </c>
      <c r="AL656" t="s">
        <v>96</v>
      </c>
      <c r="AM656">
        <v>200000</v>
      </c>
      <c r="AN656" t="s">
        <v>73</v>
      </c>
      <c r="AO656">
        <v>1</v>
      </c>
      <c r="AP656">
        <v>0</v>
      </c>
      <c r="AQ656">
        <v>16666.666666666668</v>
      </c>
      <c r="AR656" t="s">
        <v>2150</v>
      </c>
      <c r="AS656" t="s">
        <v>75</v>
      </c>
      <c r="AX656" t="s">
        <v>76</v>
      </c>
      <c r="AY656" t="s">
        <v>176</v>
      </c>
      <c r="AZ656">
        <v>0</v>
      </c>
      <c r="BA656" t="s">
        <v>176</v>
      </c>
      <c r="BB656">
        <v>0</v>
      </c>
    </row>
    <row r="657" spans="1:56" x14ac:dyDescent="0.15">
      <c r="A657" s="4" t="str">
        <f>HYPERLINK("https://ibp.a2mac1.com/costing(costing:projects/details/9760/part/8412805)","Coupling Bar")</f>
        <v>Coupling Bar</v>
      </c>
      <c r="B657">
        <v>8412805</v>
      </c>
      <c r="C657">
        <v>8412722</v>
      </c>
      <c r="E657">
        <v>0.53337000000000001</v>
      </c>
      <c r="F657">
        <v>0</v>
      </c>
      <c r="G657">
        <v>0</v>
      </c>
      <c r="H657">
        <v>2.6988521999999999E-3</v>
      </c>
      <c r="I657" t="s">
        <v>176</v>
      </c>
      <c r="J657">
        <v>1.8667949999999999E-2</v>
      </c>
      <c r="K657">
        <v>0.55473680219999999</v>
      </c>
      <c r="L657">
        <v>4.651039951845963E-2</v>
      </c>
      <c r="M657">
        <v>0.27906239711075775</v>
      </c>
      <c r="N657">
        <v>0.83379919931075774</v>
      </c>
      <c r="O657" t="s">
        <v>90</v>
      </c>
      <c r="P657">
        <v>0</v>
      </c>
      <c r="Q657" t="s">
        <v>90</v>
      </c>
      <c r="R657">
        <v>0</v>
      </c>
      <c r="S657" t="s">
        <v>90</v>
      </c>
      <c r="T657">
        <v>0</v>
      </c>
      <c r="U657" t="s">
        <v>90</v>
      </c>
      <c r="V657">
        <v>0</v>
      </c>
      <c r="W657" t="s">
        <v>90</v>
      </c>
      <c r="X657">
        <v>0</v>
      </c>
      <c r="Y657">
        <v>0.83379919931075774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95</v>
      </c>
      <c r="AF657">
        <v>416</v>
      </c>
      <c r="AG657">
        <v>65</v>
      </c>
      <c r="AI657">
        <v>0.44</v>
      </c>
      <c r="AK657" t="s">
        <v>740</v>
      </c>
      <c r="AL657" t="s">
        <v>96</v>
      </c>
      <c r="AM657">
        <v>200000</v>
      </c>
      <c r="AN657" t="s">
        <v>73</v>
      </c>
      <c r="AO657">
        <v>1</v>
      </c>
      <c r="AP657">
        <v>0</v>
      </c>
      <c r="AQ657">
        <v>16666.666666666668</v>
      </c>
      <c r="AR657" t="s">
        <v>2154</v>
      </c>
      <c r="AS657" t="s">
        <v>75</v>
      </c>
      <c r="AX657" t="s">
        <v>76</v>
      </c>
      <c r="AY657" t="s">
        <v>176</v>
      </c>
      <c r="AZ657">
        <v>0</v>
      </c>
      <c r="BA657" t="s">
        <v>176</v>
      </c>
      <c r="BB657">
        <v>0</v>
      </c>
    </row>
    <row r="658" spans="1:56" x14ac:dyDescent="0.15">
      <c r="A658" s="4" t="str">
        <f>HYPERLINK("https://ibp.a2mac1.com/costing(costing:projects/details/9760/part/8412806)","Motor")</f>
        <v>Motor</v>
      </c>
      <c r="B658">
        <v>8412806</v>
      </c>
      <c r="C658">
        <v>8412723</v>
      </c>
      <c r="E658">
        <v>3.62</v>
      </c>
      <c r="F658">
        <v>0</v>
      </c>
      <c r="G658">
        <v>0</v>
      </c>
      <c r="H658">
        <v>0</v>
      </c>
      <c r="I658" t="s">
        <v>71</v>
      </c>
      <c r="J658">
        <v>0</v>
      </c>
      <c r="K658">
        <v>3.62</v>
      </c>
      <c r="L658">
        <v>0</v>
      </c>
      <c r="M658">
        <v>0</v>
      </c>
      <c r="N658">
        <v>3.62</v>
      </c>
      <c r="O658" t="s">
        <v>71</v>
      </c>
      <c r="P658">
        <v>0</v>
      </c>
      <c r="Q658" t="s">
        <v>71</v>
      </c>
      <c r="R658">
        <v>0</v>
      </c>
      <c r="S658" t="s">
        <v>71</v>
      </c>
      <c r="T658">
        <v>0</v>
      </c>
      <c r="U658" t="s">
        <v>71</v>
      </c>
      <c r="V658">
        <v>0</v>
      </c>
      <c r="W658" t="s">
        <v>71</v>
      </c>
      <c r="X658">
        <v>0</v>
      </c>
      <c r="Y658">
        <v>3.62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63</v>
      </c>
      <c r="AF658">
        <v>118</v>
      </c>
      <c r="AG658">
        <v>31</v>
      </c>
      <c r="AI658">
        <v>0.29299999999999998</v>
      </c>
      <c r="AK658" t="s">
        <v>284</v>
      </c>
      <c r="AL658" t="s">
        <v>2157</v>
      </c>
      <c r="AM658">
        <v>200000</v>
      </c>
      <c r="AN658" t="s">
        <v>97</v>
      </c>
      <c r="AO658">
        <v>1</v>
      </c>
      <c r="AP658">
        <v>0</v>
      </c>
      <c r="AQ658">
        <v>16666.666666666668</v>
      </c>
      <c r="AR658" t="s">
        <v>2158</v>
      </c>
      <c r="AS658" t="s">
        <v>75</v>
      </c>
      <c r="AX658" t="s">
        <v>76</v>
      </c>
      <c r="AY658" t="s">
        <v>71</v>
      </c>
      <c r="AZ658">
        <v>0</v>
      </c>
      <c r="BA658" t="s">
        <v>71</v>
      </c>
      <c r="BB658">
        <v>0</v>
      </c>
      <c r="BD658">
        <v>3.62</v>
      </c>
    </row>
    <row r="659" spans="1:56" x14ac:dyDescent="0.15">
      <c r="A659" s="4" t="str">
        <f>HYPERLINK("https://ibp.a2mac1.com/costing(costing:projects/details/9760/part/8412807)","Mechanism")</f>
        <v>Mechanism</v>
      </c>
      <c r="B659">
        <v>8412807</v>
      </c>
      <c r="C659">
        <v>8412723</v>
      </c>
      <c r="D659" t="s">
        <v>2159</v>
      </c>
      <c r="E659">
        <v>3.5</v>
      </c>
      <c r="F659">
        <v>0</v>
      </c>
      <c r="G659">
        <v>0</v>
      </c>
      <c r="H659">
        <v>0</v>
      </c>
      <c r="I659" t="s">
        <v>71</v>
      </c>
      <c r="J659">
        <v>0</v>
      </c>
      <c r="K659">
        <v>3.5</v>
      </c>
      <c r="L659">
        <v>0</v>
      </c>
      <c r="M659">
        <v>0</v>
      </c>
      <c r="N659">
        <v>3.5</v>
      </c>
      <c r="O659" t="s">
        <v>71</v>
      </c>
      <c r="P659">
        <v>0</v>
      </c>
      <c r="Q659" t="s">
        <v>71</v>
      </c>
      <c r="R659">
        <v>0</v>
      </c>
      <c r="S659" t="s">
        <v>71</v>
      </c>
      <c r="T659">
        <v>0</v>
      </c>
      <c r="U659" t="s">
        <v>71</v>
      </c>
      <c r="V659">
        <v>0</v>
      </c>
      <c r="W659" t="s">
        <v>71</v>
      </c>
      <c r="X659">
        <v>0</v>
      </c>
      <c r="Y659">
        <v>3.5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342</v>
      </c>
      <c r="AF659">
        <v>50</v>
      </c>
      <c r="AG659">
        <v>50</v>
      </c>
      <c r="AI659">
        <v>0.49</v>
      </c>
      <c r="AK659" t="s">
        <v>740</v>
      </c>
      <c r="AL659" t="s">
        <v>878</v>
      </c>
      <c r="AM659">
        <v>200000</v>
      </c>
      <c r="AN659" t="s">
        <v>97</v>
      </c>
      <c r="AO659">
        <v>1</v>
      </c>
      <c r="AP659">
        <v>0</v>
      </c>
      <c r="AQ659">
        <v>16666.666666666668</v>
      </c>
      <c r="AR659" t="s">
        <v>2160</v>
      </c>
      <c r="AS659" t="s">
        <v>75</v>
      </c>
      <c r="AX659" t="s">
        <v>76</v>
      </c>
      <c r="AY659" t="s">
        <v>71</v>
      </c>
      <c r="AZ659">
        <v>0</v>
      </c>
      <c r="BA659" t="s">
        <v>71</v>
      </c>
      <c r="BB659">
        <v>0</v>
      </c>
      <c r="BD659">
        <v>3.5</v>
      </c>
    </row>
    <row r="660" spans="1:56" x14ac:dyDescent="0.15">
      <c r="A660" s="4" t="str">
        <f>HYPERLINK("https://ibp.a2mac1.com/costing(costing:projects/details/9760/part/8412808)","Outer Side")</f>
        <v>Outer Side</v>
      </c>
      <c r="B660">
        <v>8412808</v>
      </c>
      <c r="C660">
        <v>8412726</v>
      </c>
      <c r="D660" t="s">
        <v>2165</v>
      </c>
      <c r="E660">
        <v>2</v>
      </c>
      <c r="F660">
        <v>0</v>
      </c>
      <c r="G660">
        <v>0</v>
      </c>
      <c r="H660">
        <v>0</v>
      </c>
      <c r="I660" t="s">
        <v>71</v>
      </c>
      <c r="J660">
        <v>0</v>
      </c>
      <c r="K660">
        <v>2</v>
      </c>
      <c r="L660">
        <v>0</v>
      </c>
      <c r="M660">
        <v>0</v>
      </c>
      <c r="N660">
        <v>2</v>
      </c>
      <c r="O660" t="s">
        <v>71</v>
      </c>
      <c r="P660">
        <v>0</v>
      </c>
      <c r="Q660" t="s">
        <v>71</v>
      </c>
      <c r="R660">
        <v>0</v>
      </c>
      <c r="S660" t="s">
        <v>71</v>
      </c>
      <c r="T660">
        <v>0</v>
      </c>
      <c r="U660" t="s">
        <v>71</v>
      </c>
      <c r="V660">
        <v>0</v>
      </c>
      <c r="W660" t="s">
        <v>71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64</v>
      </c>
      <c r="AF660">
        <v>60</v>
      </c>
      <c r="AG660">
        <v>94</v>
      </c>
      <c r="AI660">
        <v>0.129</v>
      </c>
      <c r="AK660" t="s">
        <v>740</v>
      </c>
      <c r="AL660" t="s">
        <v>2166</v>
      </c>
      <c r="AM660">
        <v>200000</v>
      </c>
      <c r="AN660" t="s">
        <v>97</v>
      </c>
      <c r="AO660">
        <v>1</v>
      </c>
      <c r="AP660">
        <v>0</v>
      </c>
      <c r="AQ660">
        <v>16666.666666666668</v>
      </c>
      <c r="AR660" t="s">
        <v>2167</v>
      </c>
      <c r="AS660" t="s">
        <v>75</v>
      </c>
      <c r="AX660" t="s">
        <v>76</v>
      </c>
      <c r="AY660" t="s">
        <v>71</v>
      </c>
      <c r="AZ660">
        <v>0</v>
      </c>
      <c r="BA660" t="s">
        <v>71</v>
      </c>
      <c r="BB660">
        <v>0</v>
      </c>
      <c r="BD660">
        <v>2</v>
      </c>
    </row>
    <row r="661" spans="1:56" x14ac:dyDescent="0.15">
      <c r="A661" s="4" t="str">
        <f>HYPERLINK("https://ibp.a2mac1.com/costing(costing:projects/details/9760/part/8412809)","Linking Bar")</f>
        <v>Linking Bar</v>
      </c>
      <c r="B661">
        <v>8412809</v>
      </c>
      <c r="C661">
        <v>8412726</v>
      </c>
      <c r="D661" t="s">
        <v>2168</v>
      </c>
      <c r="E661">
        <v>0.67500000000000004</v>
      </c>
      <c r="F661">
        <v>0</v>
      </c>
      <c r="G661">
        <v>0</v>
      </c>
      <c r="H661">
        <v>0</v>
      </c>
      <c r="I661" t="s">
        <v>71</v>
      </c>
      <c r="J661">
        <v>0</v>
      </c>
      <c r="K661">
        <v>0.67500000000000004</v>
      </c>
      <c r="L661">
        <v>0</v>
      </c>
      <c r="M661">
        <v>0</v>
      </c>
      <c r="N661">
        <v>0.67500000000000004</v>
      </c>
      <c r="O661" t="s">
        <v>71</v>
      </c>
      <c r="P661">
        <v>0</v>
      </c>
      <c r="Q661" t="s">
        <v>71</v>
      </c>
      <c r="R661">
        <v>0</v>
      </c>
      <c r="S661" t="s">
        <v>71</v>
      </c>
      <c r="T661">
        <v>0</v>
      </c>
      <c r="U661" t="s">
        <v>71</v>
      </c>
      <c r="V661">
        <v>0</v>
      </c>
      <c r="W661" t="s">
        <v>71</v>
      </c>
      <c r="X661">
        <v>0</v>
      </c>
      <c r="Y661">
        <v>0.67500000000000004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10</v>
      </c>
      <c r="AF661">
        <v>480</v>
      </c>
      <c r="AG661">
        <v>9</v>
      </c>
      <c r="AI661">
        <v>0.13500000000000001</v>
      </c>
      <c r="AK661" t="s">
        <v>740</v>
      </c>
      <c r="AL661" t="s">
        <v>96</v>
      </c>
      <c r="AM661">
        <v>200000</v>
      </c>
      <c r="AN661" t="s">
        <v>97</v>
      </c>
      <c r="AO661">
        <v>1</v>
      </c>
      <c r="AP661">
        <v>0</v>
      </c>
      <c r="AQ661">
        <v>16666.666666666668</v>
      </c>
      <c r="AR661" t="s">
        <v>2169</v>
      </c>
      <c r="AS661" t="s">
        <v>75</v>
      </c>
      <c r="AX661" t="s">
        <v>76</v>
      </c>
      <c r="AY661" t="s">
        <v>71</v>
      </c>
      <c r="AZ661">
        <v>0</v>
      </c>
      <c r="BA661" t="s">
        <v>71</v>
      </c>
      <c r="BB661">
        <v>0</v>
      </c>
      <c r="BD661">
        <v>0.67500000000000004</v>
      </c>
    </row>
    <row r="662" spans="1:56" x14ac:dyDescent="0.15">
      <c r="A662" s="4" t="str">
        <f>HYPERLINK("https://ibp.a2mac1.com/costing(costing:projects/details/9760/part/8412724)","Control")</f>
        <v>Control</v>
      </c>
      <c r="B662">
        <v>8412724</v>
      </c>
      <c r="C662">
        <v>8412622</v>
      </c>
      <c r="E662">
        <v>0.02</v>
      </c>
      <c r="F662">
        <v>0</v>
      </c>
      <c r="G662">
        <v>0</v>
      </c>
      <c r="H662">
        <v>1.0119999999999999E-4</v>
      </c>
      <c r="I662" t="s">
        <v>176</v>
      </c>
      <c r="J662">
        <v>6.9999999999999999E-4</v>
      </c>
      <c r="K662">
        <v>2.0801199999999999E-2</v>
      </c>
      <c r="L662">
        <v>9.422641154184605E-3</v>
      </c>
      <c r="M662">
        <v>5.653584692510763E-2</v>
      </c>
      <c r="N662">
        <v>7.7337046925107636E-2</v>
      </c>
      <c r="O662" t="s">
        <v>90</v>
      </c>
      <c r="P662">
        <v>0</v>
      </c>
      <c r="Q662" t="s">
        <v>90</v>
      </c>
      <c r="R662">
        <v>0</v>
      </c>
      <c r="S662" t="s">
        <v>90</v>
      </c>
      <c r="T662">
        <v>0</v>
      </c>
      <c r="U662" t="s">
        <v>90</v>
      </c>
      <c r="V662">
        <v>0</v>
      </c>
      <c r="W662" t="s">
        <v>90</v>
      </c>
      <c r="X662">
        <v>0</v>
      </c>
      <c r="Y662">
        <v>7.7337046925107636E-2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16</v>
      </c>
      <c r="AF662">
        <v>18</v>
      </c>
      <c r="AG662">
        <v>45</v>
      </c>
      <c r="AI662">
        <v>4.0000000000000001E-3</v>
      </c>
      <c r="AK662" t="s">
        <v>740</v>
      </c>
      <c r="AL662" t="s">
        <v>412</v>
      </c>
      <c r="AM662">
        <v>200000</v>
      </c>
      <c r="AN662" t="s">
        <v>73</v>
      </c>
      <c r="AO662">
        <v>1</v>
      </c>
      <c r="AP662">
        <v>0</v>
      </c>
      <c r="AQ662">
        <v>16666.666666666668</v>
      </c>
      <c r="AR662" t="s">
        <v>2173</v>
      </c>
      <c r="AS662" t="s">
        <v>75</v>
      </c>
      <c r="AX662" t="s">
        <v>76</v>
      </c>
      <c r="AY662" t="s">
        <v>176</v>
      </c>
      <c r="AZ662">
        <v>0</v>
      </c>
      <c r="BA662" t="s">
        <v>176</v>
      </c>
      <c r="BB662">
        <v>0</v>
      </c>
    </row>
    <row r="663" spans="1:56" x14ac:dyDescent="0.15">
      <c r="A663" s="4" t="str">
        <f>HYPERLINK("https://ibp.a2mac1.com/costing(costing:projects/details/9760/part/8412725)","Motor")</f>
        <v>Motor</v>
      </c>
      <c r="B663">
        <v>8412725</v>
      </c>
      <c r="C663">
        <v>8412622</v>
      </c>
      <c r="E663">
        <v>3.43</v>
      </c>
      <c r="F663">
        <v>0</v>
      </c>
      <c r="G663">
        <v>0</v>
      </c>
      <c r="H663">
        <v>0</v>
      </c>
      <c r="I663" t="s">
        <v>71</v>
      </c>
      <c r="J663">
        <v>0</v>
      </c>
      <c r="K663">
        <v>3.43</v>
      </c>
      <c r="L663">
        <v>0</v>
      </c>
      <c r="M663">
        <v>0</v>
      </c>
      <c r="N663">
        <v>3.43</v>
      </c>
      <c r="O663" t="s">
        <v>71</v>
      </c>
      <c r="P663">
        <v>0</v>
      </c>
      <c r="Q663" t="s">
        <v>71</v>
      </c>
      <c r="R663">
        <v>0</v>
      </c>
      <c r="S663" t="s">
        <v>71</v>
      </c>
      <c r="T663">
        <v>0</v>
      </c>
      <c r="U663" t="s">
        <v>71</v>
      </c>
      <c r="V663">
        <v>0</v>
      </c>
      <c r="W663" t="s">
        <v>71</v>
      </c>
      <c r="X663">
        <v>0</v>
      </c>
      <c r="Y663">
        <v>3.43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56</v>
      </c>
      <c r="AF663">
        <v>55</v>
      </c>
      <c r="AG663">
        <v>118</v>
      </c>
      <c r="AI663">
        <v>0.27400000000000002</v>
      </c>
      <c r="AK663" t="s">
        <v>284</v>
      </c>
      <c r="AL663" t="s">
        <v>2124</v>
      </c>
      <c r="AM663">
        <v>200000</v>
      </c>
      <c r="AN663" t="s">
        <v>97</v>
      </c>
      <c r="AO663">
        <v>1</v>
      </c>
      <c r="AP663">
        <v>0</v>
      </c>
      <c r="AQ663">
        <v>16666.666666666668</v>
      </c>
      <c r="AR663" t="s">
        <v>2174</v>
      </c>
      <c r="AS663" t="s">
        <v>75</v>
      </c>
      <c r="AX663" t="s">
        <v>76</v>
      </c>
      <c r="AY663" t="s">
        <v>71</v>
      </c>
      <c r="AZ663">
        <v>0</v>
      </c>
      <c r="BA663" t="s">
        <v>71</v>
      </c>
      <c r="BB663">
        <v>0</v>
      </c>
      <c r="BD663">
        <v>3.43</v>
      </c>
    </row>
    <row r="664" spans="1:56" x14ac:dyDescent="0.15">
      <c r="A664" s="4" t="str">
        <f>HYPERLINK("https://ibp.a2mac1.com/costing(costing:projects/details/9760/part/8412810)","Pressure Knob")</f>
        <v>Pressure Knob</v>
      </c>
      <c r="B664">
        <v>8412810</v>
      </c>
      <c r="C664">
        <v>8412729</v>
      </c>
      <c r="D664" t="s">
        <v>2182</v>
      </c>
      <c r="E664">
        <v>6</v>
      </c>
      <c r="F664">
        <v>0</v>
      </c>
      <c r="G664">
        <v>0</v>
      </c>
      <c r="H664">
        <v>0</v>
      </c>
      <c r="I664" t="s">
        <v>71</v>
      </c>
      <c r="J664">
        <v>0</v>
      </c>
      <c r="K664">
        <v>6</v>
      </c>
      <c r="L664">
        <v>0</v>
      </c>
      <c r="M664">
        <v>0</v>
      </c>
      <c r="N664">
        <v>6</v>
      </c>
      <c r="O664" t="s">
        <v>71</v>
      </c>
      <c r="P664">
        <v>0</v>
      </c>
      <c r="Q664" t="s">
        <v>71</v>
      </c>
      <c r="R664">
        <v>0</v>
      </c>
      <c r="S664" t="s">
        <v>71</v>
      </c>
      <c r="T664">
        <v>0</v>
      </c>
      <c r="U664" t="s">
        <v>71</v>
      </c>
      <c r="V664">
        <v>0</v>
      </c>
      <c r="W664" t="s">
        <v>71</v>
      </c>
      <c r="X664">
        <v>0</v>
      </c>
      <c r="Y664">
        <v>6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5</v>
      </c>
      <c r="AF664">
        <v>250</v>
      </c>
      <c r="AG664">
        <v>172</v>
      </c>
      <c r="AI664">
        <v>8.1000000000000003E-2</v>
      </c>
      <c r="AK664" t="s">
        <v>740</v>
      </c>
      <c r="AL664" t="s">
        <v>403</v>
      </c>
      <c r="AM664">
        <v>400000</v>
      </c>
      <c r="AN664" t="s">
        <v>97</v>
      </c>
      <c r="AO664">
        <v>2</v>
      </c>
      <c r="AP664">
        <v>0</v>
      </c>
      <c r="AQ664">
        <v>33333.333333333336</v>
      </c>
      <c r="AR664" t="s">
        <v>2183</v>
      </c>
      <c r="AS664" t="s">
        <v>75</v>
      </c>
      <c r="AX664" t="s">
        <v>76</v>
      </c>
      <c r="AY664" t="s">
        <v>71</v>
      </c>
      <c r="AZ664">
        <v>0</v>
      </c>
      <c r="BA664" t="s">
        <v>71</v>
      </c>
      <c r="BB664">
        <v>0</v>
      </c>
      <c r="BD664">
        <v>3</v>
      </c>
    </row>
    <row r="665" spans="1:56" x14ac:dyDescent="0.15">
      <c r="A665" s="4" t="str">
        <f>HYPERLINK("https://ibp.a2mac1.com/costing(costing:projects/details/9760/part/8412811)","Motor")</f>
        <v>Motor</v>
      </c>
      <c r="B665">
        <v>8412811</v>
      </c>
      <c r="C665">
        <v>8412729</v>
      </c>
      <c r="E665">
        <v>2.17</v>
      </c>
      <c r="F665">
        <v>0</v>
      </c>
      <c r="G665">
        <v>0</v>
      </c>
      <c r="H665">
        <v>0</v>
      </c>
      <c r="I665" t="s">
        <v>71</v>
      </c>
      <c r="J665">
        <v>0</v>
      </c>
      <c r="K665">
        <v>2.17</v>
      </c>
      <c r="L665">
        <v>0</v>
      </c>
      <c r="M665">
        <v>0</v>
      </c>
      <c r="N665">
        <v>2.17</v>
      </c>
      <c r="O665" t="s">
        <v>71</v>
      </c>
      <c r="P665">
        <v>0</v>
      </c>
      <c r="Q665" t="s">
        <v>71</v>
      </c>
      <c r="R665">
        <v>0</v>
      </c>
      <c r="S665" t="s">
        <v>71</v>
      </c>
      <c r="T665">
        <v>0</v>
      </c>
      <c r="U665" t="s">
        <v>71</v>
      </c>
      <c r="V665">
        <v>0</v>
      </c>
      <c r="W665" t="s">
        <v>71</v>
      </c>
      <c r="X665">
        <v>0</v>
      </c>
      <c r="Y665">
        <v>2.17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36</v>
      </c>
      <c r="AF665">
        <v>36</v>
      </c>
      <c r="AG665">
        <v>102</v>
      </c>
      <c r="AI665">
        <v>0.14899999999999999</v>
      </c>
      <c r="AK665" t="s">
        <v>284</v>
      </c>
      <c r="AL665" t="s">
        <v>1433</v>
      </c>
      <c r="AM665">
        <v>200000</v>
      </c>
      <c r="AN665" t="s">
        <v>97</v>
      </c>
      <c r="AO665">
        <v>1</v>
      </c>
      <c r="AP665">
        <v>0</v>
      </c>
      <c r="AQ665">
        <v>16666.666666666668</v>
      </c>
      <c r="AR665" t="s">
        <v>2184</v>
      </c>
      <c r="AS665" t="s">
        <v>75</v>
      </c>
      <c r="AX665" t="s">
        <v>76</v>
      </c>
      <c r="AY665" t="s">
        <v>71</v>
      </c>
      <c r="AZ665">
        <v>0</v>
      </c>
      <c r="BA665" t="s">
        <v>71</v>
      </c>
      <c r="BB665">
        <v>0</v>
      </c>
      <c r="BD665">
        <v>2.17</v>
      </c>
    </row>
    <row r="666" spans="1:56" x14ac:dyDescent="0.15">
      <c r="A666" s="4" t="str">
        <f>HYPERLINK("https://ibp.a2mac1.com/costing(costing:projects/details/9760/part/8412812)","Motor Cover")</f>
        <v>Motor Cover</v>
      </c>
      <c r="B666">
        <v>8412812</v>
      </c>
      <c r="C666">
        <v>8412729</v>
      </c>
      <c r="E666">
        <v>0.09</v>
      </c>
      <c r="F666">
        <v>0</v>
      </c>
      <c r="G666">
        <v>0</v>
      </c>
      <c r="H666">
        <v>4.5540000000000001E-4</v>
      </c>
      <c r="I666" t="s">
        <v>176</v>
      </c>
      <c r="J666">
        <v>3.15E-3</v>
      </c>
      <c r="K666">
        <v>9.3605400000000005E-2</v>
      </c>
      <c r="L666">
        <v>1.2954808617448894E-2</v>
      </c>
      <c r="M666">
        <v>7.7728851704693361E-2</v>
      </c>
      <c r="N666">
        <v>0.17133425170469335</v>
      </c>
      <c r="O666" t="s">
        <v>90</v>
      </c>
      <c r="P666">
        <v>0</v>
      </c>
      <c r="Q666" t="s">
        <v>90</v>
      </c>
      <c r="R666">
        <v>0</v>
      </c>
      <c r="S666" t="s">
        <v>90</v>
      </c>
      <c r="T666">
        <v>0</v>
      </c>
      <c r="U666" t="s">
        <v>90</v>
      </c>
      <c r="V666">
        <v>0</v>
      </c>
      <c r="W666" t="s">
        <v>90</v>
      </c>
      <c r="X666">
        <v>0</v>
      </c>
      <c r="Y666">
        <v>0.17133425170469335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49</v>
      </c>
      <c r="AF666">
        <v>94</v>
      </c>
      <c r="AG666">
        <v>145</v>
      </c>
      <c r="AI666">
        <v>1.0999999999999999E-2</v>
      </c>
      <c r="AK666" t="s">
        <v>740</v>
      </c>
      <c r="AL666" t="s">
        <v>403</v>
      </c>
      <c r="AM666">
        <v>200000</v>
      </c>
      <c r="AN666" t="s">
        <v>73</v>
      </c>
      <c r="AO666">
        <v>1</v>
      </c>
      <c r="AP666">
        <v>0</v>
      </c>
      <c r="AQ666">
        <v>16666.666666666668</v>
      </c>
      <c r="AR666" t="s">
        <v>2188</v>
      </c>
      <c r="AS666" t="s">
        <v>75</v>
      </c>
      <c r="AX666" t="s">
        <v>76</v>
      </c>
      <c r="AY666" t="s">
        <v>176</v>
      </c>
      <c r="AZ666">
        <v>0</v>
      </c>
      <c r="BA666" t="s">
        <v>176</v>
      </c>
      <c r="BB666">
        <v>0</v>
      </c>
    </row>
    <row r="667" spans="1:56" x14ac:dyDescent="0.15">
      <c r="A667" s="4" t="str">
        <f>HYPERLINK("https://ibp.a2mac1.com/costing(costing:projects/details/9760/part/8412813)","Motor 2")</f>
        <v>Motor 2</v>
      </c>
      <c r="B667">
        <v>8412813</v>
      </c>
      <c r="C667">
        <v>8412729</v>
      </c>
      <c r="E667">
        <v>2.17</v>
      </c>
      <c r="F667">
        <v>0</v>
      </c>
      <c r="G667">
        <v>0</v>
      </c>
      <c r="H667">
        <v>0</v>
      </c>
      <c r="I667" t="s">
        <v>71</v>
      </c>
      <c r="J667">
        <v>0</v>
      </c>
      <c r="K667">
        <v>2.17</v>
      </c>
      <c r="L667">
        <v>0</v>
      </c>
      <c r="M667">
        <v>0</v>
      </c>
      <c r="N667">
        <v>2.17</v>
      </c>
      <c r="O667" t="s">
        <v>71</v>
      </c>
      <c r="P667">
        <v>0</v>
      </c>
      <c r="Q667" t="s">
        <v>71</v>
      </c>
      <c r="R667">
        <v>0</v>
      </c>
      <c r="S667" t="s">
        <v>71</v>
      </c>
      <c r="T667">
        <v>0</v>
      </c>
      <c r="U667" t="s">
        <v>71</v>
      </c>
      <c r="V667">
        <v>0</v>
      </c>
      <c r="W667" t="s">
        <v>71</v>
      </c>
      <c r="X667">
        <v>0</v>
      </c>
      <c r="Y667">
        <v>2.17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36</v>
      </c>
      <c r="AF667">
        <v>36</v>
      </c>
      <c r="AG667">
        <v>102</v>
      </c>
      <c r="AI667">
        <v>0.14899999999999999</v>
      </c>
      <c r="AK667" t="s">
        <v>288</v>
      </c>
      <c r="AL667" t="s">
        <v>466</v>
      </c>
      <c r="AM667">
        <v>200000</v>
      </c>
      <c r="AN667" t="s">
        <v>97</v>
      </c>
      <c r="AO667">
        <v>1</v>
      </c>
      <c r="AP667">
        <v>0</v>
      </c>
      <c r="AQ667">
        <v>16666.666666666668</v>
      </c>
      <c r="AR667" t="s">
        <v>2189</v>
      </c>
      <c r="AS667" t="s">
        <v>75</v>
      </c>
      <c r="AX667" t="s">
        <v>76</v>
      </c>
      <c r="AY667" t="s">
        <v>71</v>
      </c>
      <c r="AZ667">
        <v>0</v>
      </c>
      <c r="BA667" t="s">
        <v>71</v>
      </c>
      <c r="BB667">
        <v>0</v>
      </c>
      <c r="BD667">
        <v>2.17</v>
      </c>
    </row>
    <row r="668" spans="1:56" x14ac:dyDescent="0.15">
      <c r="A668" s="4" t="str">
        <f>HYPERLINK("https://ibp.a2mac1.com/costing(costing:projects/details/9760/part/8412814)","Motor 2 Cover")</f>
        <v>Motor 2 Cover</v>
      </c>
      <c r="B668">
        <v>8412814</v>
      </c>
      <c r="C668">
        <v>8412729</v>
      </c>
      <c r="E668">
        <v>7.0000000000000007E-2</v>
      </c>
      <c r="F668">
        <v>0</v>
      </c>
      <c r="G668">
        <v>0</v>
      </c>
      <c r="H668">
        <v>3.5419999999999999E-4</v>
      </c>
      <c r="I668" t="s">
        <v>176</v>
      </c>
      <c r="J668">
        <v>2.4499999999999999E-3</v>
      </c>
      <c r="K668">
        <v>7.2804199999999999E-2</v>
      </c>
      <c r="L668">
        <v>1.1188724885816749E-2</v>
      </c>
      <c r="M668">
        <v>6.7132349314900502E-2</v>
      </c>
      <c r="N668">
        <v>0.13993654931490049</v>
      </c>
      <c r="O668" t="s">
        <v>90</v>
      </c>
      <c r="P668">
        <v>0</v>
      </c>
      <c r="Q668" t="s">
        <v>90</v>
      </c>
      <c r="R668">
        <v>0</v>
      </c>
      <c r="S668" t="s">
        <v>90</v>
      </c>
      <c r="T668">
        <v>0</v>
      </c>
      <c r="U668" t="s">
        <v>90</v>
      </c>
      <c r="V668">
        <v>0</v>
      </c>
      <c r="W668" t="s">
        <v>90</v>
      </c>
      <c r="X668">
        <v>0</v>
      </c>
      <c r="Y668">
        <v>0.13993654931490049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26</v>
      </c>
      <c r="AF668">
        <v>73</v>
      </c>
      <c r="AG668">
        <v>144</v>
      </c>
      <c r="AI668">
        <v>1.2E-2</v>
      </c>
      <c r="AK668" t="s">
        <v>740</v>
      </c>
      <c r="AL668" t="s">
        <v>2192</v>
      </c>
      <c r="AM668">
        <v>200000</v>
      </c>
      <c r="AN668" t="s">
        <v>73</v>
      </c>
      <c r="AO668">
        <v>1</v>
      </c>
      <c r="AP668">
        <v>0</v>
      </c>
      <c r="AQ668">
        <v>16666.666666666668</v>
      </c>
      <c r="AR668" t="s">
        <v>2193</v>
      </c>
      <c r="AS668" t="s">
        <v>75</v>
      </c>
      <c r="AX668" t="s">
        <v>76</v>
      </c>
      <c r="AY668" t="s">
        <v>176</v>
      </c>
      <c r="AZ668">
        <v>0</v>
      </c>
      <c r="BA668" t="s">
        <v>176</v>
      </c>
      <c r="BB668">
        <v>0</v>
      </c>
    </row>
    <row r="669" spans="1:56" x14ac:dyDescent="0.15">
      <c r="A669" s="4" t="str">
        <f>HYPERLINK("https://ibp.a2mac1.com/costing(costing:projects/details/9760/part/8412728)","Air Distributor Support")</f>
        <v>Air Distributor Support</v>
      </c>
      <c r="B669">
        <v>8412728</v>
      </c>
      <c r="C669">
        <v>8412623</v>
      </c>
      <c r="E669">
        <v>0.04</v>
      </c>
      <c r="F669">
        <v>0</v>
      </c>
      <c r="G669">
        <v>0</v>
      </c>
      <c r="H669">
        <v>2.0239999999999999E-4</v>
      </c>
      <c r="I669" t="s">
        <v>176</v>
      </c>
      <c r="J669">
        <v>1.4E-3</v>
      </c>
      <c r="K669">
        <v>4.1602399999999998E-2</v>
      </c>
      <c r="L669">
        <v>1.4720892349081038E-2</v>
      </c>
      <c r="M669">
        <v>8.8325354094486219E-2</v>
      </c>
      <c r="N669">
        <v>0.12992775409448623</v>
      </c>
      <c r="O669" t="s">
        <v>90</v>
      </c>
      <c r="P669">
        <v>0</v>
      </c>
      <c r="Q669" t="s">
        <v>90</v>
      </c>
      <c r="R669">
        <v>0</v>
      </c>
      <c r="S669" t="s">
        <v>90</v>
      </c>
      <c r="T669">
        <v>0</v>
      </c>
      <c r="U669" t="s">
        <v>90</v>
      </c>
      <c r="V669">
        <v>0</v>
      </c>
      <c r="W669" t="s">
        <v>90</v>
      </c>
      <c r="X669">
        <v>0</v>
      </c>
      <c r="Y669">
        <v>0.12992775409448623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6</v>
      </c>
      <c r="AF669">
        <v>55</v>
      </c>
      <c r="AG669">
        <v>233</v>
      </c>
      <c r="AI669">
        <v>5.5E-2</v>
      </c>
      <c r="AK669" t="s">
        <v>740</v>
      </c>
      <c r="AL669" t="s">
        <v>1375</v>
      </c>
      <c r="AM669">
        <v>200000</v>
      </c>
      <c r="AN669" t="s">
        <v>73</v>
      </c>
      <c r="AO669">
        <v>1</v>
      </c>
      <c r="AP669">
        <v>0</v>
      </c>
      <c r="AQ669">
        <v>16666.666666666668</v>
      </c>
      <c r="AR669" t="s">
        <v>2197</v>
      </c>
      <c r="AS669" t="s">
        <v>75</v>
      </c>
      <c r="AX669" t="s">
        <v>76</v>
      </c>
      <c r="AY669" t="s">
        <v>176</v>
      </c>
      <c r="AZ669">
        <v>0</v>
      </c>
      <c r="BA669" t="s">
        <v>176</v>
      </c>
      <c r="BB669">
        <v>0</v>
      </c>
    </row>
    <row r="670" spans="1:56" x14ac:dyDescent="0.15">
      <c r="A670" s="4" t="str">
        <f>HYPERLINK("https://ibp.a2mac1.com/costing(costing:projects/details/9760/part/8412730)","Back Adjustment")</f>
        <v>Back Adjustment</v>
      </c>
      <c r="B670">
        <v>8412730</v>
      </c>
      <c r="C670">
        <v>8412624</v>
      </c>
      <c r="E670">
        <v>1.1599999999999999</v>
      </c>
      <c r="F670">
        <v>0</v>
      </c>
      <c r="G670">
        <v>0</v>
      </c>
      <c r="H670">
        <v>5.8348000000000002E-3</v>
      </c>
      <c r="I670" t="s">
        <v>176</v>
      </c>
      <c r="J670">
        <v>4.0599999999999997E-2</v>
      </c>
      <c r="K670">
        <v>1.2064348</v>
      </c>
      <c r="L670">
        <v>4.1210918183621596E-2</v>
      </c>
      <c r="M670">
        <v>0.24726550910172956</v>
      </c>
      <c r="N670">
        <v>1.4537003091017295</v>
      </c>
      <c r="O670" t="s">
        <v>90</v>
      </c>
      <c r="P670">
        <v>0</v>
      </c>
      <c r="Q670" t="s">
        <v>90</v>
      </c>
      <c r="R670">
        <v>0</v>
      </c>
      <c r="S670" t="s">
        <v>90</v>
      </c>
      <c r="T670">
        <v>0</v>
      </c>
      <c r="U670" t="s">
        <v>90</v>
      </c>
      <c r="V670">
        <v>0</v>
      </c>
      <c r="W670" t="s">
        <v>90</v>
      </c>
      <c r="X670">
        <v>0</v>
      </c>
      <c r="Y670">
        <v>1.4537003091017295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28</v>
      </c>
      <c r="AF670">
        <v>84</v>
      </c>
      <c r="AG670">
        <v>94</v>
      </c>
      <c r="AI670">
        <v>0.21199999999999999</v>
      </c>
      <c r="AK670" t="s">
        <v>740</v>
      </c>
      <c r="AL670" t="s">
        <v>448</v>
      </c>
      <c r="AM670">
        <v>400000</v>
      </c>
      <c r="AN670" t="s">
        <v>73</v>
      </c>
      <c r="AO670">
        <v>2</v>
      </c>
      <c r="AP670">
        <v>0</v>
      </c>
      <c r="AQ670">
        <v>33333.333333333336</v>
      </c>
      <c r="AR670" t="s">
        <v>2203</v>
      </c>
      <c r="AS670" t="s">
        <v>75</v>
      </c>
      <c r="AX670" t="s">
        <v>76</v>
      </c>
      <c r="AY670" t="s">
        <v>176</v>
      </c>
      <c r="AZ670">
        <v>0</v>
      </c>
      <c r="BA670" t="s">
        <v>176</v>
      </c>
      <c r="BB670">
        <v>0</v>
      </c>
    </row>
    <row r="671" spans="1:56" x14ac:dyDescent="0.15">
      <c r="A671" s="4" t="str">
        <f>HYPERLINK("https://ibp.a2mac1.com/costing(costing:projects/details/9760/part/8412731)","Back Adjustment Protection")</f>
        <v>Back Adjustment Protection</v>
      </c>
      <c r="B671">
        <v>8412731</v>
      </c>
      <c r="C671">
        <v>8412624</v>
      </c>
      <c r="E671">
        <v>0.1</v>
      </c>
      <c r="F671">
        <v>0</v>
      </c>
      <c r="G671">
        <v>0</v>
      </c>
      <c r="H671">
        <v>5.0299999999999997E-4</v>
      </c>
      <c r="I671" t="s">
        <v>176</v>
      </c>
      <c r="J671">
        <v>3.5000000000000001E-3</v>
      </c>
      <c r="K671">
        <v>0.104003</v>
      </c>
      <c r="L671">
        <v>3.4146794120173629E-2</v>
      </c>
      <c r="M671">
        <v>0.20488076472104177</v>
      </c>
      <c r="N671">
        <v>0.30888376472104179</v>
      </c>
      <c r="O671" t="s">
        <v>90</v>
      </c>
      <c r="P671">
        <v>0</v>
      </c>
      <c r="Q671" t="s">
        <v>90</v>
      </c>
      <c r="R671">
        <v>0</v>
      </c>
      <c r="S671" t="s">
        <v>90</v>
      </c>
      <c r="T671">
        <v>0</v>
      </c>
      <c r="U671" t="s">
        <v>90</v>
      </c>
      <c r="V671">
        <v>0</v>
      </c>
      <c r="W671" t="s">
        <v>90</v>
      </c>
      <c r="X671">
        <v>0</v>
      </c>
      <c r="Y671">
        <v>0.30888376472104179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95</v>
      </c>
      <c r="AG671">
        <v>155</v>
      </c>
      <c r="AI671">
        <v>2.1000000000000001E-2</v>
      </c>
      <c r="AK671" t="s">
        <v>740</v>
      </c>
      <c r="AL671" t="s">
        <v>403</v>
      </c>
      <c r="AM671">
        <v>400000</v>
      </c>
      <c r="AN671" t="s">
        <v>73</v>
      </c>
      <c r="AO671">
        <v>2</v>
      </c>
      <c r="AP671">
        <v>0</v>
      </c>
      <c r="AQ671">
        <v>33333.333333333336</v>
      </c>
      <c r="AR671" t="s">
        <v>2207</v>
      </c>
      <c r="AS671" t="s">
        <v>75</v>
      </c>
      <c r="AX671" t="s">
        <v>76</v>
      </c>
      <c r="AY671" t="s">
        <v>176</v>
      </c>
      <c r="AZ671">
        <v>0</v>
      </c>
      <c r="BA671" t="s">
        <v>176</v>
      </c>
      <c r="BB671">
        <v>0</v>
      </c>
    </row>
    <row r="672" spans="1:56" x14ac:dyDescent="0.15">
      <c r="A672" s="4" t="str">
        <f>HYPERLINK("https://ibp.a2mac1.com/costing(costing:projects/details/9760/part/8412617)","Adjustment Control")</f>
        <v>Adjustment Control</v>
      </c>
      <c r="B672">
        <v>8412617</v>
      </c>
      <c r="C672">
        <v>8412557</v>
      </c>
      <c r="E672">
        <v>3.67</v>
      </c>
      <c r="F672">
        <v>0</v>
      </c>
      <c r="G672">
        <v>0</v>
      </c>
      <c r="H672">
        <v>0</v>
      </c>
      <c r="I672" t="s">
        <v>71</v>
      </c>
      <c r="J672">
        <v>0</v>
      </c>
      <c r="K672">
        <v>3.67</v>
      </c>
      <c r="L672">
        <v>0</v>
      </c>
      <c r="M672">
        <v>0</v>
      </c>
      <c r="N672">
        <v>3.67</v>
      </c>
      <c r="O672" t="s">
        <v>71</v>
      </c>
      <c r="P672">
        <v>0</v>
      </c>
      <c r="Q672" t="s">
        <v>71</v>
      </c>
      <c r="R672">
        <v>0</v>
      </c>
      <c r="S672" t="s">
        <v>71</v>
      </c>
      <c r="T672">
        <v>0</v>
      </c>
      <c r="U672" t="s">
        <v>71</v>
      </c>
      <c r="V672">
        <v>0</v>
      </c>
      <c r="W672" t="s">
        <v>71</v>
      </c>
      <c r="X672">
        <v>0</v>
      </c>
      <c r="Y672">
        <v>3.67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35</v>
      </c>
      <c r="AF672">
        <v>189</v>
      </c>
      <c r="AG672">
        <v>55</v>
      </c>
      <c r="AI672">
        <v>0.13300000000000001</v>
      </c>
      <c r="AK672" t="s">
        <v>365</v>
      </c>
      <c r="AL672" t="s">
        <v>2209</v>
      </c>
      <c r="AM672">
        <v>200000</v>
      </c>
      <c r="AN672" t="s">
        <v>97</v>
      </c>
      <c r="AO672">
        <v>1</v>
      </c>
      <c r="AP672">
        <v>0</v>
      </c>
      <c r="AQ672">
        <v>16666.666666666668</v>
      </c>
      <c r="AR672" t="s">
        <v>2210</v>
      </c>
      <c r="AS672" t="s">
        <v>75</v>
      </c>
      <c r="AX672" t="s">
        <v>76</v>
      </c>
      <c r="AY672" t="s">
        <v>71</v>
      </c>
      <c r="AZ672">
        <v>0</v>
      </c>
      <c r="BA672" t="s">
        <v>71</v>
      </c>
      <c r="BB672">
        <v>0</v>
      </c>
      <c r="BD672">
        <v>3.67</v>
      </c>
    </row>
    <row r="673" spans="1:56" x14ac:dyDescent="0.15">
      <c r="A673" s="4" t="str">
        <f>HYPERLINK("https://ibp.a2mac1.com/costing(costing:projects/details/9760/part/8412618)","Adjustment Control Support")</f>
        <v>Adjustment Control Support</v>
      </c>
      <c r="B673">
        <v>8412618</v>
      </c>
      <c r="C673">
        <v>8412557</v>
      </c>
      <c r="E673">
        <v>0.08</v>
      </c>
      <c r="F673">
        <v>0</v>
      </c>
      <c r="G673">
        <v>0</v>
      </c>
      <c r="H673">
        <v>4.0479999999999997E-4</v>
      </c>
      <c r="I673" t="s">
        <v>176</v>
      </c>
      <c r="J673">
        <v>2.8E-3</v>
      </c>
      <c r="K673">
        <v>8.3204799999999995E-2</v>
      </c>
      <c r="L673">
        <v>7.6565574225524614E-3</v>
      </c>
      <c r="M673">
        <v>4.5939344535314765E-2</v>
      </c>
      <c r="N673">
        <v>0.12914414453531478</v>
      </c>
      <c r="O673" t="s">
        <v>90</v>
      </c>
      <c r="P673">
        <v>0</v>
      </c>
      <c r="Q673" t="s">
        <v>90</v>
      </c>
      <c r="R673">
        <v>0</v>
      </c>
      <c r="S673" t="s">
        <v>90</v>
      </c>
      <c r="T673">
        <v>0</v>
      </c>
      <c r="U673" t="s">
        <v>90</v>
      </c>
      <c r="V673">
        <v>0</v>
      </c>
      <c r="W673" t="s">
        <v>90</v>
      </c>
      <c r="X673">
        <v>0</v>
      </c>
      <c r="Y673">
        <v>0.12914414453531478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30</v>
      </c>
      <c r="AF673">
        <v>212</v>
      </c>
      <c r="AG673">
        <v>95</v>
      </c>
      <c r="AI673">
        <v>3.9E-2</v>
      </c>
      <c r="AK673" t="s">
        <v>740</v>
      </c>
      <c r="AL673" t="s">
        <v>951</v>
      </c>
      <c r="AM673">
        <v>200000</v>
      </c>
      <c r="AN673" t="s">
        <v>73</v>
      </c>
      <c r="AO673">
        <v>1</v>
      </c>
      <c r="AP673">
        <v>0</v>
      </c>
      <c r="AQ673">
        <v>16666.666666666668</v>
      </c>
      <c r="AR673" t="s">
        <v>2213</v>
      </c>
      <c r="AS673" t="s">
        <v>75</v>
      </c>
      <c r="AX673" t="s">
        <v>76</v>
      </c>
      <c r="AY673" t="s">
        <v>176</v>
      </c>
      <c r="AZ673">
        <v>0</v>
      </c>
      <c r="BA673" t="s">
        <v>176</v>
      </c>
      <c r="BB673">
        <v>0</v>
      </c>
    </row>
    <row r="674" spans="1:56" x14ac:dyDescent="0.15">
      <c r="A674" s="4" t="str">
        <f>HYPERLINK("https://ibp.a2mac1.com/costing(costing:projects/details/9760/part/8412625)","Front Inner Trim and Outer if the Same")</f>
        <v>Front Inner Trim and Outer if the Same</v>
      </c>
      <c r="B674">
        <v>8412625</v>
      </c>
      <c r="C674">
        <v>8412558</v>
      </c>
      <c r="E674">
        <v>0.06</v>
      </c>
      <c r="F674">
        <v>0</v>
      </c>
      <c r="G674">
        <v>0</v>
      </c>
      <c r="H674">
        <v>3.0360000000000001E-4</v>
      </c>
      <c r="I674" t="s">
        <v>176</v>
      </c>
      <c r="J674">
        <v>2.0999999999999999E-3</v>
      </c>
      <c r="K674">
        <v>6.2403599999999997E-2</v>
      </c>
      <c r="L674">
        <v>4.1243899592881732E-3</v>
      </c>
      <c r="M674">
        <v>2.4746339755729041E-2</v>
      </c>
      <c r="N674">
        <v>8.7149939755729044E-2</v>
      </c>
      <c r="O674" t="s">
        <v>90</v>
      </c>
      <c r="P674">
        <v>0</v>
      </c>
      <c r="Q674" t="s">
        <v>90</v>
      </c>
      <c r="R674">
        <v>0</v>
      </c>
      <c r="S674" t="s">
        <v>90</v>
      </c>
      <c r="T674">
        <v>0</v>
      </c>
      <c r="U674" t="s">
        <v>90</v>
      </c>
      <c r="V674">
        <v>0</v>
      </c>
      <c r="W674" t="s">
        <v>90</v>
      </c>
      <c r="X674">
        <v>0</v>
      </c>
      <c r="Y674">
        <v>8.7149939755729044E-2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82</v>
      </c>
      <c r="AF674">
        <v>72</v>
      </c>
      <c r="AG674">
        <v>40</v>
      </c>
      <c r="AI674">
        <v>2.1999999999999999E-2</v>
      </c>
      <c r="AK674" t="s">
        <v>740</v>
      </c>
      <c r="AL674" t="s">
        <v>435</v>
      </c>
      <c r="AM674">
        <v>200000</v>
      </c>
      <c r="AN674" t="s">
        <v>73</v>
      </c>
      <c r="AO674">
        <v>1</v>
      </c>
      <c r="AP674">
        <v>0</v>
      </c>
      <c r="AQ674">
        <v>16666.666666666668</v>
      </c>
      <c r="AR674" t="s">
        <v>2218</v>
      </c>
      <c r="AS674" t="s">
        <v>75</v>
      </c>
      <c r="AX674" t="s">
        <v>76</v>
      </c>
      <c r="AY674" t="s">
        <v>176</v>
      </c>
      <c r="AZ674">
        <v>0</v>
      </c>
      <c r="BA674" t="s">
        <v>176</v>
      </c>
      <c r="BB674">
        <v>0</v>
      </c>
    </row>
    <row r="675" spans="1:56" x14ac:dyDescent="0.15">
      <c r="A675" s="4" t="str">
        <f>HYPERLINK("https://ibp.a2mac1.com/costing(costing:projects/details/9760/part/8412626)","Front Outer Trim")</f>
        <v>Front Outer Trim</v>
      </c>
      <c r="B675">
        <v>8412626</v>
      </c>
      <c r="C675">
        <v>8412558</v>
      </c>
      <c r="E675">
        <v>0.06</v>
      </c>
      <c r="F675">
        <v>0</v>
      </c>
      <c r="G675">
        <v>0</v>
      </c>
      <c r="H675">
        <v>3.0360000000000001E-4</v>
      </c>
      <c r="I675" t="s">
        <v>176</v>
      </c>
      <c r="J675">
        <v>2.0999999999999999E-3</v>
      </c>
      <c r="K675">
        <v>6.2403599999999997E-2</v>
      </c>
      <c r="L675">
        <v>4.1243899592881732E-3</v>
      </c>
      <c r="M675">
        <v>2.4746339755729041E-2</v>
      </c>
      <c r="N675">
        <v>8.7149939755729044E-2</v>
      </c>
      <c r="O675" t="s">
        <v>90</v>
      </c>
      <c r="P675">
        <v>0</v>
      </c>
      <c r="Q675" t="s">
        <v>90</v>
      </c>
      <c r="R675">
        <v>0</v>
      </c>
      <c r="S675" t="s">
        <v>90</v>
      </c>
      <c r="T675">
        <v>0</v>
      </c>
      <c r="U675" t="s">
        <v>90</v>
      </c>
      <c r="V675">
        <v>0</v>
      </c>
      <c r="W675" t="s">
        <v>90</v>
      </c>
      <c r="X675">
        <v>0</v>
      </c>
      <c r="Y675">
        <v>8.7149939755729044E-2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82</v>
      </c>
      <c r="AF675">
        <v>72</v>
      </c>
      <c r="AG675">
        <v>40</v>
      </c>
      <c r="AI675">
        <v>2.1999999999999999E-2</v>
      </c>
      <c r="AK675" t="s">
        <v>740</v>
      </c>
      <c r="AL675" t="s">
        <v>435</v>
      </c>
      <c r="AM675">
        <v>200000</v>
      </c>
      <c r="AN675" t="s">
        <v>73</v>
      </c>
      <c r="AO675">
        <v>1</v>
      </c>
      <c r="AP675">
        <v>0</v>
      </c>
      <c r="AQ675">
        <v>16666.666666666668</v>
      </c>
      <c r="AR675" t="s">
        <v>2221</v>
      </c>
      <c r="AS675" t="s">
        <v>75</v>
      </c>
      <c r="AX675" t="s">
        <v>76</v>
      </c>
      <c r="AY675" t="s">
        <v>176</v>
      </c>
      <c r="AZ675">
        <v>0</v>
      </c>
      <c r="BA675" t="s">
        <v>176</v>
      </c>
      <c r="BB675">
        <v>0</v>
      </c>
    </row>
    <row r="676" spans="1:56" x14ac:dyDescent="0.15">
      <c r="A676" s="4" t="str">
        <f>HYPERLINK("https://ibp.a2mac1.com/costing(costing:projects/details/9760/part/8412627)","Rear Inner Trim and Outer if the Same")</f>
        <v>Rear Inner Trim and Outer if the Same</v>
      </c>
      <c r="B676">
        <v>8412627</v>
      </c>
      <c r="C676">
        <v>8412558</v>
      </c>
      <c r="E676">
        <v>0.06</v>
      </c>
      <c r="F676">
        <v>0</v>
      </c>
      <c r="G676">
        <v>0</v>
      </c>
      <c r="H676">
        <v>3.0360000000000001E-4</v>
      </c>
      <c r="I676" t="s">
        <v>176</v>
      </c>
      <c r="J676">
        <v>2.0999999999999999E-3</v>
      </c>
      <c r="K676">
        <v>6.2403599999999997E-2</v>
      </c>
      <c r="L676">
        <v>4.1243899592881732E-3</v>
      </c>
      <c r="M676">
        <v>2.4746339755729041E-2</v>
      </c>
      <c r="N676">
        <v>8.7149939755729044E-2</v>
      </c>
      <c r="O676" t="s">
        <v>90</v>
      </c>
      <c r="P676">
        <v>0</v>
      </c>
      <c r="Q676" t="s">
        <v>90</v>
      </c>
      <c r="R676">
        <v>0</v>
      </c>
      <c r="S676" t="s">
        <v>90</v>
      </c>
      <c r="T676">
        <v>0</v>
      </c>
      <c r="U676" t="s">
        <v>90</v>
      </c>
      <c r="V676">
        <v>0</v>
      </c>
      <c r="W676" t="s">
        <v>90</v>
      </c>
      <c r="X676">
        <v>0</v>
      </c>
      <c r="Y676">
        <v>8.7149939755729044E-2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82</v>
      </c>
      <c r="AF676">
        <v>72</v>
      </c>
      <c r="AG676">
        <v>40</v>
      </c>
      <c r="AI676">
        <v>2.1999999999999999E-2</v>
      </c>
      <c r="AK676" t="s">
        <v>740</v>
      </c>
      <c r="AL676" t="s">
        <v>435</v>
      </c>
      <c r="AM676">
        <v>200000</v>
      </c>
      <c r="AN676" t="s">
        <v>73</v>
      </c>
      <c r="AO676">
        <v>1</v>
      </c>
      <c r="AP676">
        <v>0</v>
      </c>
      <c r="AQ676">
        <v>16666.666666666668</v>
      </c>
      <c r="AR676" t="s">
        <v>2224</v>
      </c>
      <c r="AS676" t="s">
        <v>75</v>
      </c>
      <c r="AX676" t="s">
        <v>76</v>
      </c>
      <c r="AY676" t="s">
        <v>176</v>
      </c>
      <c r="AZ676">
        <v>0</v>
      </c>
      <c r="BA676" t="s">
        <v>176</v>
      </c>
      <c r="BB676">
        <v>0</v>
      </c>
    </row>
    <row r="677" spans="1:56" x14ac:dyDescent="0.15">
      <c r="A677" s="4" t="str">
        <f>HYPERLINK("https://ibp.a2mac1.com/costing(costing:projects/details/9760/part/8412628)","Rear Outer Trim")</f>
        <v>Rear Outer Trim</v>
      </c>
      <c r="B677">
        <v>8412628</v>
      </c>
      <c r="C677">
        <v>8412558</v>
      </c>
      <c r="E677">
        <v>0.06</v>
      </c>
      <c r="F677">
        <v>0</v>
      </c>
      <c r="G677">
        <v>0</v>
      </c>
      <c r="H677">
        <v>3.0360000000000001E-4</v>
      </c>
      <c r="I677" t="s">
        <v>176</v>
      </c>
      <c r="J677">
        <v>2.0999999999999999E-3</v>
      </c>
      <c r="K677">
        <v>6.2403599999999997E-2</v>
      </c>
      <c r="L677">
        <v>4.1243899592881732E-3</v>
      </c>
      <c r="M677">
        <v>2.4746339755729041E-2</v>
      </c>
      <c r="N677">
        <v>8.7149939755729044E-2</v>
      </c>
      <c r="O677" t="s">
        <v>90</v>
      </c>
      <c r="P677">
        <v>0</v>
      </c>
      <c r="Q677" t="s">
        <v>90</v>
      </c>
      <c r="R677">
        <v>0</v>
      </c>
      <c r="S677" t="s">
        <v>90</v>
      </c>
      <c r="T677">
        <v>0</v>
      </c>
      <c r="U677" t="s">
        <v>90</v>
      </c>
      <c r="V677">
        <v>0</v>
      </c>
      <c r="W677" t="s">
        <v>90</v>
      </c>
      <c r="X677">
        <v>0</v>
      </c>
      <c r="Y677">
        <v>8.7149939755729044E-2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82</v>
      </c>
      <c r="AF677">
        <v>72</v>
      </c>
      <c r="AG677">
        <v>40</v>
      </c>
      <c r="AI677">
        <v>2.1999999999999999E-2</v>
      </c>
      <c r="AK677" t="s">
        <v>740</v>
      </c>
      <c r="AL677" t="s">
        <v>435</v>
      </c>
      <c r="AM677">
        <v>200000</v>
      </c>
      <c r="AN677" t="s">
        <v>73</v>
      </c>
      <c r="AO677">
        <v>1</v>
      </c>
      <c r="AP677">
        <v>0</v>
      </c>
      <c r="AQ677">
        <v>16666.666666666668</v>
      </c>
      <c r="AR677" t="s">
        <v>2227</v>
      </c>
      <c r="AS677" t="s">
        <v>75</v>
      </c>
      <c r="AX677" t="s">
        <v>76</v>
      </c>
      <c r="AY677" t="s">
        <v>176</v>
      </c>
      <c r="AZ677">
        <v>0</v>
      </c>
      <c r="BA677" t="s">
        <v>176</v>
      </c>
      <c r="BB677">
        <v>0</v>
      </c>
    </row>
    <row r="678" spans="1:56" x14ac:dyDescent="0.15">
      <c r="A678" s="4" t="str">
        <f>HYPERLINK("https://ibp.a2mac1.com/costing(costing:projects/details/9760/part/8412629)","Cushion Heating")</f>
        <v>Cushion Heating</v>
      </c>
      <c r="B678">
        <v>8412629</v>
      </c>
      <c r="C678">
        <v>8412559</v>
      </c>
      <c r="E678">
        <v>4</v>
      </c>
      <c r="F678">
        <v>0</v>
      </c>
      <c r="G678">
        <v>0</v>
      </c>
      <c r="H678">
        <v>0</v>
      </c>
      <c r="I678" t="s">
        <v>71</v>
      </c>
      <c r="J678">
        <v>0</v>
      </c>
      <c r="K678">
        <v>4</v>
      </c>
      <c r="L678">
        <v>0</v>
      </c>
      <c r="M678">
        <v>0</v>
      </c>
      <c r="N678">
        <v>4</v>
      </c>
      <c r="O678" t="s">
        <v>71</v>
      </c>
      <c r="P678">
        <v>0</v>
      </c>
      <c r="Q678" t="s">
        <v>71</v>
      </c>
      <c r="R678">
        <v>0</v>
      </c>
      <c r="S678" t="s">
        <v>71</v>
      </c>
      <c r="T678">
        <v>0</v>
      </c>
      <c r="U678" t="s">
        <v>71</v>
      </c>
      <c r="V678">
        <v>0</v>
      </c>
      <c r="W678" t="s">
        <v>71</v>
      </c>
      <c r="X678">
        <v>0</v>
      </c>
      <c r="Y678">
        <v>4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3</v>
      </c>
      <c r="AF678">
        <v>345</v>
      </c>
      <c r="AG678">
        <v>575</v>
      </c>
      <c r="AI678">
        <v>3.5000000000000003E-2</v>
      </c>
      <c r="AK678" t="s">
        <v>284</v>
      </c>
      <c r="AL678" t="s">
        <v>1433</v>
      </c>
      <c r="AM678">
        <v>200000</v>
      </c>
      <c r="AN678" t="s">
        <v>97</v>
      </c>
      <c r="AO678">
        <v>1</v>
      </c>
      <c r="AP678">
        <v>0</v>
      </c>
      <c r="AQ678">
        <v>16666.666666666668</v>
      </c>
      <c r="AR678" t="s">
        <v>2230</v>
      </c>
      <c r="AS678" t="s">
        <v>75</v>
      </c>
      <c r="AX678" t="s">
        <v>76</v>
      </c>
      <c r="AY678" t="s">
        <v>71</v>
      </c>
      <c r="AZ678">
        <v>0</v>
      </c>
      <c r="BA678" t="s">
        <v>71</v>
      </c>
      <c r="BB678">
        <v>0</v>
      </c>
      <c r="BD678">
        <v>4</v>
      </c>
    </row>
    <row r="679" spans="1:56" x14ac:dyDescent="0.15">
      <c r="A679" s="4" t="str">
        <f>HYPERLINK("https://ibp.a2mac1.com/costing(costing:projects/details/9760/part/8412630)","Back Heating")</f>
        <v>Back Heating</v>
      </c>
      <c r="B679">
        <v>8412630</v>
      </c>
      <c r="C679">
        <v>8412559</v>
      </c>
      <c r="E679">
        <v>4</v>
      </c>
      <c r="F679">
        <v>0</v>
      </c>
      <c r="G679">
        <v>0</v>
      </c>
      <c r="H679">
        <v>0</v>
      </c>
      <c r="I679" t="s">
        <v>71</v>
      </c>
      <c r="J679">
        <v>0</v>
      </c>
      <c r="K679">
        <v>4</v>
      </c>
      <c r="L679">
        <v>0</v>
      </c>
      <c r="M679">
        <v>0</v>
      </c>
      <c r="N679">
        <v>4</v>
      </c>
      <c r="O679" t="s">
        <v>71</v>
      </c>
      <c r="P679">
        <v>0</v>
      </c>
      <c r="Q679" t="s">
        <v>71</v>
      </c>
      <c r="R679">
        <v>0</v>
      </c>
      <c r="S679" t="s">
        <v>71</v>
      </c>
      <c r="T679">
        <v>0</v>
      </c>
      <c r="U679" t="s">
        <v>71</v>
      </c>
      <c r="V679">
        <v>0</v>
      </c>
      <c r="W679" t="s">
        <v>71</v>
      </c>
      <c r="X679">
        <v>0</v>
      </c>
      <c r="Y679">
        <v>4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3</v>
      </c>
      <c r="AF679">
        <v>305</v>
      </c>
      <c r="AG679">
        <v>575</v>
      </c>
      <c r="AI679">
        <v>2.8000000000000001E-2</v>
      </c>
      <c r="AK679" t="s">
        <v>284</v>
      </c>
      <c r="AL679" t="s">
        <v>2231</v>
      </c>
      <c r="AM679">
        <v>200000</v>
      </c>
      <c r="AN679" t="s">
        <v>97</v>
      </c>
      <c r="AO679">
        <v>1</v>
      </c>
      <c r="AP679">
        <v>0</v>
      </c>
      <c r="AQ679">
        <v>16666.666666666668</v>
      </c>
      <c r="AR679" t="s">
        <v>2232</v>
      </c>
      <c r="AS679" t="s">
        <v>75</v>
      </c>
      <c r="AX679" t="s">
        <v>76</v>
      </c>
      <c r="AY679" t="s">
        <v>71</v>
      </c>
      <c r="AZ679">
        <v>0</v>
      </c>
      <c r="BA679" t="s">
        <v>71</v>
      </c>
      <c r="BB679">
        <v>0</v>
      </c>
      <c r="BD679">
        <v>4</v>
      </c>
    </row>
    <row r="680" spans="1:56" x14ac:dyDescent="0.15">
      <c r="A680" s="4" t="str">
        <f>HYPERLINK("https://ibp.a2mac1.com/costing(costing:projects/details/9760/part/8412631)","Air Blower on Back")</f>
        <v>Air Blower on Back</v>
      </c>
      <c r="B680">
        <v>8412631</v>
      </c>
      <c r="C680">
        <v>8412560</v>
      </c>
      <c r="E680">
        <v>4.3</v>
      </c>
      <c r="F680">
        <v>0</v>
      </c>
      <c r="G680">
        <v>0</v>
      </c>
      <c r="H680">
        <v>0</v>
      </c>
      <c r="I680" t="s">
        <v>71</v>
      </c>
      <c r="J680">
        <v>0</v>
      </c>
      <c r="K680">
        <v>4.3</v>
      </c>
      <c r="L680">
        <v>0</v>
      </c>
      <c r="M680">
        <v>0</v>
      </c>
      <c r="N680">
        <v>4.3</v>
      </c>
      <c r="O680" t="s">
        <v>71</v>
      </c>
      <c r="P680">
        <v>0</v>
      </c>
      <c r="Q680" t="s">
        <v>71</v>
      </c>
      <c r="R680">
        <v>0</v>
      </c>
      <c r="S680" t="s">
        <v>71</v>
      </c>
      <c r="T680">
        <v>0</v>
      </c>
      <c r="U680" t="s">
        <v>71</v>
      </c>
      <c r="V680">
        <v>0</v>
      </c>
      <c r="W680" t="s">
        <v>71</v>
      </c>
      <c r="X680">
        <v>0</v>
      </c>
      <c r="Y680">
        <v>4.3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37</v>
      </c>
      <c r="AF680">
        <v>105</v>
      </c>
      <c r="AG680">
        <v>93</v>
      </c>
      <c r="AI680">
        <v>0.11</v>
      </c>
      <c r="AK680" t="s">
        <v>365</v>
      </c>
      <c r="AL680" t="s">
        <v>2235</v>
      </c>
      <c r="AM680">
        <v>200000</v>
      </c>
      <c r="AN680" t="s">
        <v>97</v>
      </c>
      <c r="AO680">
        <v>1</v>
      </c>
      <c r="AP680">
        <v>0</v>
      </c>
      <c r="AQ680">
        <v>16666.666666666668</v>
      </c>
      <c r="AR680" t="s">
        <v>2236</v>
      </c>
      <c r="AS680" t="s">
        <v>75</v>
      </c>
      <c r="AX680" t="s">
        <v>76</v>
      </c>
      <c r="AY680" t="s">
        <v>71</v>
      </c>
      <c r="AZ680">
        <v>0</v>
      </c>
      <c r="BA680" t="s">
        <v>71</v>
      </c>
      <c r="BB680">
        <v>0</v>
      </c>
      <c r="BD680">
        <v>4.3</v>
      </c>
    </row>
    <row r="681" spans="1:56" x14ac:dyDescent="0.15">
      <c r="A681" s="4" t="str">
        <f>HYPERLINK("https://ibp.a2mac1.com/costing(costing:projects/details/9760/part/8412632)","Back Blower Housing Support")</f>
        <v>Back Blower Housing Support</v>
      </c>
      <c r="B681">
        <v>8412632</v>
      </c>
      <c r="C681">
        <v>8412560</v>
      </c>
      <c r="E681">
        <v>9.3299999999999994E-2</v>
      </c>
      <c r="F681">
        <v>0</v>
      </c>
      <c r="G681">
        <v>0</v>
      </c>
      <c r="H681">
        <v>4.7209800000000001E-4</v>
      </c>
      <c r="I681" t="s">
        <v>176</v>
      </c>
      <c r="J681">
        <v>3.2655000000000002E-3</v>
      </c>
      <c r="K681">
        <v>9.7037598000000003E-2</v>
      </c>
      <c r="L681">
        <v>9.422641154184605E-3</v>
      </c>
      <c r="M681">
        <v>5.653584692510763E-2</v>
      </c>
      <c r="N681">
        <v>0.15357344492510763</v>
      </c>
      <c r="O681" t="s">
        <v>177</v>
      </c>
      <c r="P681">
        <v>5.8222558800000001E-3</v>
      </c>
      <c r="Q681" t="s">
        <v>177</v>
      </c>
      <c r="R681">
        <v>3.392150815506458E-3</v>
      </c>
      <c r="S681" t="s">
        <v>178</v>
      </c>
      <c r="T681">
        <v>1.8428813391012915E-2</v>
      </c>
      <c r="U681" t="s">
        <v>90</v>
      </c>
      <c r="V681">
        <v>0</v>
      </c>
      <c r="W681" t="s">
        <v>90</v>
      </c>
      <c r="X681">
        <v>0</v>
      </c>
      <c r="Y681">
        <v>0.181216665011627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12</v>
      </c>
      <c r="AF681">
        <v>166</v>
      </c>
      <c r="AG681">
        <v>130</v>
      </c>
      <c r="AI681">
        <v>7.6999999999999999E-2</v>
      </c>
      <c r="AK681" t="s">
        <v>288</v>
      </c>
      <c r="AL681" t="s">
        <v>96</v>
      </c>
      <c r="AM681">
        <v>200000</v>
      </c>
      <c r="AN681" t="s">
        <v>97</v>
      </c>
      <c r="AO681">
        <v>1</v>
      </c>
      <c r="AP681">
        <v>0</v>
      </c>
      <c r="AQ681">
        <v>16666.666666666668</v>
      </c>
      <c r="AR681" t="s">
        <v>2239</v>
      </c>
      <c r="AS681" t="s">
        <v>75</v>
      </c>
      <c r="AX681" t="s">
        <v>76</v>
      </c>
      <c r="AY681" t="s">
        <v>176</v>
      </c>
      <c r="AZ681">
        <v>0</v>
      </c>
      <c r="BA681" t="s">
        <v>176</v>
      </c>
      <c r="BB681">
        <v>0</v>
      </c>
    </row>
    <row r="682" spans="1:56" x14ac:dyDescent="0.15">
      <c r="A682" s="4" t="str">
        <f>HYPERLINK("https://ibp.a2mac1.com/costing(costing:projects/details/9760/part/8412633)","Diffuser on Backrest")</f>
        <v>Diffuser on Backrest</v>
      </c>
      <c r="B682">
        <v>8412633</v>
      </c>
      <c r="C682">
        <v>8412560</v>
      </c>
      <c r="E682">
        <v>0.86</v>
      </c>
      <c r="F682">
        <v>0</v>
      </c>
      <c r="G682">
        <v>0</v>
      </c>
      <c r="H682">
        <v>4.3515999999999997E-3</v>
      </c>
      <c r="I682" t="s">
        <v>176</v>
      </c>
      <c r="J682">
        <v>3.0099999999999998E-2</v>
      </c>
      <c r="K682">
        <v>0.89445160000000001</v>
      </c>
      <c r="L682">
        <v>0.2655047822408455</v>
      </c>
      <c r="M682">
        <v>1.5930286934450728</v>
      </c>
      <c r="N682">
        <v>2.4874802934450728</v>
      </c>
      <c r="O682" t="s">
        <v>177</v>
      </c>
      <c r="P682">
        <v>5.3667095999999997E-2</v>
      </c>
      <c r="Q682" t="s">
        <v>177</v>
      </c>
      <c r="R682">
        <v>9.5581721606704376E-2</v>
      </c>
      <c r="S682" t="s">
        <v>178</v>
      </c>
      <c r="T682">
        <v>0.29849763521340877</v>
      </c>
      <c r="U682" t="s">
        <v>90</v>
      </c>
      <c r="V682">
        <v>0</v>
      </c>
      <c r="W682" t="s">
        <v>90</v>
      </c>
      <c r="X682">
        <v>0</v>
      </c>
      <c r="Y682">
        <v>2.9352267462651862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28</v>
      </c>
      <c r="AF682">
        <v>300</v>
      </c>
      <c r="AG682">
        <v>420</v>
      </c>
      <c r="AI682">
        <v>0.14899999999999999</v>
      </c>
      <c r="AK682" t="s">
        <v>740</v>
      </c>
      <c r="AL682" t="s">
        <v>403</v>
      </c>
      <c r="AM682">
        <v>200000</v>
      </c>
      <c r="AN682" t="s">
        <v>97</v>
      </c>
      <c r="AO682">
        <v>1</v>
      </c>
      <c r="AP682">
        <v>0</v>
      </c>
      <c r="AQ682">
        <v>16666.666666666668</v>
      </c>
      <c r="AR682" t="s">
        <v>2242</v>
      </c>
      <c r="AS682" t="s">
        <v>75</v>
      </c>
      <c r="AX682" t="s">
        <v>76</v>
      </c>
      <c r="AY682" t="s">
        <v>176</v>
      </c>
      <c r="AZ682">
        <v>0</v>
      </c>
      <c r="BA682" t="s">
        <v>176</v>
      </c>
      <c r="BB682">
        <v>0</v>
      </c>
    </row>
    <row r="683" spans="1:56" x14ac:dyDescent="0.15">
      <c r="A683" s="4" t="str">
        <f>HYPERLINK("https://ibp.a2mac1.com/costing(costing:projects/details/9760/part/8412634)","Air Blower on Cushion")</f>
        <v>Air Blower on Cushion</v>
      </c>
      <c r="B683">
        <v>8412634</v>
      </c>
      <c r="C683">
        <v>8412560</v>
      </c>
      <c r="E683">
        <v>4.3</v>
      </c>
      <c r="F683">
        <v>0</v>
      </c>
      <c r="G683">
        <v>0</v>
      </c>
      <c r="H683">
        <v>0</v>
      </c>
      <c r="I683" t="s">
        <v>71</v>
      </c>
      <c r="J683">
        <v>0</v>
      </c>
      <c r="K683">
        <v>4.3</v>
      </c>
      <c r="L683">
        <v>0</v>
      </c>
      <c r="M683">
        <v>0</v>
      </c>
      <c r="N683">
        <v>4.3</v>
      </c>
      <c r="O683" t="s">
        <v>71</v>
      </c>
      <c r="P683">
        <v>0</v>
      </c>
      <c r="Q683" t="s">
        <v>71</v>
      </c>
      <c r="R683">
        <v>0</v>
      </c>
      <c r="S683" t="s">
        <v>71</v>
      </c>
      <c r="T683">
        <v>0</v>
      </c>
      <c r="U683" t="s">
        <v>71</v>
      </c>
      <c r="V683">
        <v>0</v>
      </c>
      <c r="W683" t="s">
        <v>71</v>
      </c>
      <c r="X683">
        <v>0</v>
      </c>
      <c r="Y683">
        <v>4.3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32</v>
      </c>
      <c r="AF683">
        <v>105</v>
      </c>
      <c r="AG683">
        <v>93</v>
      </c>
      <c r="AI683">
        <v>0.109</v>
      </c>
      <c r="AK683" t="s">
        <v>365</v>
      </c>
      <c r="AL683" t="s">
        <v>2235</v>
      </c>
      <c r="AM683">
        <v>200000</v>
      </c>
      <c r="AN683" t="s">
        <v>97</v>
      </c>
      <c r="AO683">
        <v>1</v>
      </c>
      <c r="AP683">
        <v>0</v>
      </c>
      <c r="AQ683">
        <v>16666.666666666668</v>
      </c>
      <c r="AR683" t="s">
        <v>2243</v>
      </c>
      <c r="AS683" t="s">
        <v>75</v>
      </c>
      <c r="AX683" t="s">
        <v>76</v>
      </c>
      <c r="AY683" t="s">
        <v>71</v>
      </c>
      <c r="AZ683">
        <v>0</v>
      </c>
      <c r="BA683" t="s">
        <v>71</v>
      </c>
      <c r="BB683">
        <v>0</v>
      </c>
      <c r="BD683">
        <v>4.3</v>
      </c>
    </row>
    <row r="684" spans="1:56" x14ac:dyDescent="0.15">
      <c r="A684" s="4" t="str">
        <f>HYPERLINK("https://ibp.a2mac1.com/costing(costing:projects/details/9760/part/8412635)","Diffuser on Cushion")</f>
        <v>Diffuser on Cushion</v>
      </c>
      <c r="B684">
        <v>8412635</v>
      </c>
      <c r="C684">
        <v>8412560</v>
      </c>
      <c r="E684">
        <v>0.66</v>
      </c>
      <c r="F684">
        <v>0</v>
      </c>
      <c r="G684">
        <v>0</v>
      </c>
      <c r="H684">
        <v>3.3395999999999999E-3</v>
      </c>
      <c r="I684" t="s">
        <v>176</v>
      </c>
      <c r="J684">
        <v>2.3099999999999999E-2</v>
      </c>
      <c r="K684">
        <v>0.68643960000000004</v>
      </c>
      <c r="L684">
        <v>0.20722401909698474</v>
      </c>
      <c r="M684">
        <v>1.2433441145819084</v>
      </c>
      <c r="N684">
        <v>1.9297837145819083</v>
      </c>
      <c r="O684" t="s">
        <v>177</v>
      </c>
      <c r="P684">
        <v>4.1186375999999997E-2</v>
      </c>
      <c r="Q684" t="s">
        <v>177</v>
      </c>
      <c r="R684">
        <v>7.4600646874914509E-2</v>
      </c>
      <c r="S684" t="s">
        <v>178</v>
      </c>
      <c r="T684">
        <v>0.23157404574982901</v>
      </c>
      <c r="U684" t="s">
        <v>90</v>
      </c>
      <c r="V684">
        <v>0</v>
      </c>
      <c r="W684" t="s">
        <v>90</v>
      </c>
      <c r="X684">
        <v>0</v>
      </c>
      <c r="Y684">
        <v>2.2771447832066518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35</v>
      </c>
      <c r="AF684">
        <v>305</v>
      </c>
      <c r="AG684">
        <v>320</v>
      </c>
      <c r="AI684">
        <v>0.13500000000000001</v>
      </c>
      <c r="AK684" t="s">
        <v>740</v>
      </c>
      <c r="AL684" t="s">
        <v>2246</v>
      </c>
      <c r="AM684">
        <v>200000</v>
      </c>
      <c r="AN684" t="s">
        <v>97</v>
      </c>
      <c r="AO684">
        <v>1</v>
      </c>
      <c r="AP684">
        <v>0</v>
      </c>
      <c r="AQ684">
        <v>16666.666666666668</v>
      </c>
      <c r="AR684" t="s">
        <v>2247</v>
      </c>
      <c r="AS684" t="s">
        <v>75</v>
      </c>
      <c r="AX684" t="s">
        <v>76</v>
      </c>
      <c r="AY684" t="s">
        <v>176</v>
      </c>
      <c r="AZ684">
        <v>0</v>
      </c>
      <c r="BA684" t="s">
        <v>176</v>
      </c>
      <c r="BB684">
        <v>0</v>
      </c>
    </row>
    <row r="685" spans="1:56" x14ac:dyDescent="0.15">
      <c r="A685" s="4" t="str">
        <f>HYPERLINK("https://ibp.a2mac1.com/costing(costing:projects/details/9760/part/8412636)","Speaker on Head Rest")</f>
        <v>Speaker on Head Rest</v>
      </c>
      <c r="B685">
        <v>8412636</v>
      </c>
      <c r="C685">
        <v>8412561</v>
      </c>
      <c r="E685">
        <v>7</v>
      </c>
      <c r="F685">
        <v>0</v>
      </c>
      <c r="G685">
        <v>0</v>
      </c>
      <c r="H685">
        <v>0</v>
      </c>
      <c r="I685" t="s">
        <v>71</v>
      </c>
      <c r="J685">
        <v>0</v>
      </c>
      <c r="K685">
        <v>7</v>
      </c>
      <c r="L685">
        <v>0</v>
      </c>
      <c r="M685">
        <v>0</v>
      </c>
      <c r="N685">
        <v>7</v>
      </c>
      <c r="O685" t="s">
        <v>71</v>
      </c>
      <c r="P685">
        <v>0</v>
      </c>
      <c r="Q685" t="s">
        <v>71</v>
      </c>
      <c r="R685">
        <v>0</v>
      </c>
      <c r="S685" t="s">
        <v>71</v>
      </c>
      <c r="T685">
        <v>0</v>
      </c>
      <c r="U685" t="s">
        <v>71</v>
      </c>
      <c r="V685">
        <v>0</v>
      </c>
      <c r="W685" t="s">
        <v>71</v>
      </c>
      <c r="X685">
        <v>0</v>
      </c>
      <c r="Y685">
        <v>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27</v>
      </c>
      <c r="AF685">
        <v>52</v>
      </c>
      <c r="AG685">
        <v>128</v>
      </c>
      <c r="AI685">
        <v>0.126</v>
      </c>
      <c r="AK685" t="s">
        <v>288</v>
      </c>
      <c r="AL685" t="s">
        <v>1484</v>
      </c>
      <c r="AM685">
        <v>400000</v>
      </c>
      <c r="AN685" t="s">
        <v>97</v>
      </c>
      <c r="AO685">
        <v>2</v>
      </c>
      <c r="AP685">
        <v>0</v>
      </c>
      <c r="AQ685">
        <v>33333.333333333336</v>
      </c>
      <c r="AR685" t="s">
        <v>2250</v>
      </c>
      <c r="AS685" t="s">
        <v>75</v>
      </c>
      <c r="AX685" t="s">
        <v>76</v>
      </c>
      <c r="AY685" t="s">
        <v>71</v>
      </c>
      <c r="AZ685">
        <v>0</v>
      </c>
      <c r="BA685" t="s">
        <v>71</v>
      </c>
      <c r="BB685">
        <v>0</v>
      </c>
      <c r="BD685">
        <v>3.5</v>
      </c>
    </row>
    <row r="686" spans="1:56" x14ac:dyDescent="0.15">
      <c r="A686" s="4" t="str">
        <f>HYPERLINK("https://ibp.a2mac1.com/costing(costing:projects/details/9760/part/8412552)","Harness Guide Support")</f>
        <v>Harness Guide Support</v>
      </c>
      <c r="B686">
        <v>8412552</v>
      </c>
      <c r="C686">
        <v>8412549</v>
      </c>
      <c r="E686">
        <v>0.28000000000000003</v>
      </c>
      <c r="F686">
        <v>0</v>
      </c>
      <c r="G686">
        <v>0</v>
      </c>
      <c r="H686">
        <v>1.4168E-3</v>
      </c>
      <c r="I686" t="s">
        <v>176</v>
      </c>
      <c r="J686">
        <v>9.7999999999999997E-3</v>
      </c>
      <c r="K686">
        <v>0.2912168</v>
      </c>
      <c r="L686">
        <v>2.3551311007241758E-2</v>
      </c>
      <c r="M686">
        <v>0.14130786604345055</v>
      </c>
      <c r="N686">
        <v>0.43252466604345052</v>
      </c>
      <c r="O686" t="s">
        <v>90</v>
      </c>
      <c r="P686">
        <v>0</v>
      </c>
      <c r="Q686" t="s">
        <v>90</v>
      </c>
      <c r="R686">
        <v>0</v>
      </c>
      <c r="S686" t="s">
        <v>90</v>
      </c>
      <c r="T686">
        <v>0</v>
      </c>
      <c r="U686" t="s">
        <v>90</v>
      </c>
      <c r="V686">
        <v>0</v>
      </c>
      <c r="W686" t="s">
        <v>90</v>
      </c>
      <c r="X686">
        <v>0</v>
      </c>
      <c r="Y686">
        <v>0.43252466604345052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114</v>
      </c>
      <c r="AF686">
        <v>246</v>
      </c>
      <c r="AG686">
        <v>80</v>
      </c>
      <c r="AI686">
        <v>0.22500000000000001</v>
      </c>
      <c r="AK686" t="s">
        <v>740</v>
      </c>
      <c r="AL686" t="s">
        <v>96</v>
      </c>
      <c r="AM686">
        <v>200000</v>
      </c>
      <c r="AN686" t="s">
        <v>73</v>
      </c>
      <c r="AO686">
        <v>1</v>
      </c>
      <c r="AP686">
        <v>0</v>
      </c>
      <c r="AQ686">
        <v>16666.666666666668</v>
      </c>
      <c r="AR686" t="s">
        <v>2257</v>
      </c>
      <c r="AS686" t="s">
        <v>75</v>
      </c>
      <c r="AX686" t="s">
        <v>76</v>
      </c>
      <c r="AY686" t="s">
        <v>176</v>
      </c>
      <c r="AZ686">
        <v>0</v>
      </c>
      <c r="BA686" t="s">
        <v>176</v>
      </c>
      <c r="BB686">
        <v>0</v>
      </c>
    </row>
    <row r="687" spans="1:56" x14ac:dyDescent="0.15">
      <c r="A687" s="4" t="str">
        <f>HYPERLINK("https://ibp.a2mac1.com/costing(costing:projects/details/9760/part/8412563)","Fasteners")</f>
        <v>Fasteners</v>
      </c>
      <c r="B687">
        <v>8412563</v>
      </c>
      <c r="C687">
        <v>8412549</v>
      </c>
      <c r="E687">
        <v>6.1</v>
      </c>
      <c r="F687">
        <v>0</v>
      </c>
      <c r="G687">
        <v>0</v>
      </c>
      <c r="H687">
        <v>0</v>
      </c>
      <c r="I687" t="s">
        <v>71</v>
      </c>
      <c r="J687">
        <v>0</v>
      </c>
      <c r="K687">
        <v>6.1</v>
      </c>
      <c r="L687">
        <v>0</v>
      </c>
      <c r="M687">
        <v>0</v>
      </c>
      <c r="N687">
        <v>6.1</v>
      </c>
      <c r="O687" t="s">
        <v>71</v>
      </c>
      <c r="P687">
        <v>0</v>
      </c>
      <c r="Q687" t="s">
        <v>71</v>
      </c>
      <c r="R687">
        <v>0</v>
      </c>
      <c r="S687" t="s">
        <v>71</v>
      </c>
      <c r="T687">
        <v>0</v>
      </c>
      <c r="U687" t="s">
        <v>71</v>
      </c>
      <c r="V687">
        <v>0</v>
      </c>
      <c r="W687" t="s">
        <v>71</v>
      </c>
      <c r="X687">
        <v>0</v>
      </c>
      <c r="Y687">
        <v>6.1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K687" t="s">
        <v>272</v>
      </c>
      <c r="AM687">
        <v>200000</v>
      </c>
      <c r="AN687" t="s">
        <v>97</v>
      </c>
      <c r="AO687">
        <v>1</v>
      </c>
      <c r="AP687">
        <v>0</v>
      </c>
      <c r="AQ687">
        <v>16666.666666666668</v>
      </c>
      <c r="AR687" t="s">
        <v>9</v>
      </c>
      <c r="AS687" t="s">
        <v>75</v>
      </c>
      <c r="AV687">
        <v>0</v>
      </c>
      <c r="AW687">
        <v>0</v>
      </c>
      <c r="AX687" t="s">
        <v>76</v>
      </c>
      <c r="AY687" t="s">
        <v>71</v>
      </c>
      <c r="AZ687">
        <v>0</v>
      </c>
      <c r="BA687" t="s">
        <v>71</v>
      </c>
      <c r="BB687">
        <v>0</v>
      </c>
      <c r="BD687">
        <v>6.1</v>
      </c>
    </row>
    <row r="688" spans="1:56" x14ac:dyDescent="0.15">
      <c r="A688" s="4" t="str">
        <f>HYPERLINK("https://ibp.a2mac1.com/costing(costing:projects/details/9760/part/8412637)","Cover")</f>
        <v>Cover</v>
      </c>
      <c r="B688">
        <v>8412637</v>
      </c>
      <c r="C688">
        <v>8412567</v>
      </c>
      <c r="E688">
        <v>3.6</v>
      </c>
      <c r="F688">
        <v>0</v>
      </c>
      <c r="G688">
        <v>0</v>
      </c>
      <c r="H688">
        <v>1.8216E-2</v>
      </c>
      <c r="I688" t="s">
        <v>176</v>
      </c>
      <c r="J688">
        <v>0.126</v>
      </c>
      <c r="K688">
        <v>3.7442160000000002</v>
      </c>
      <c r="L688">
        <v>7.3001655492941783E-2</v>
      </c>
      <c r="M688">
        <v>0.43800993295765073</v>
      </c>
      <c r="N688">
        <v>4.1822259329576505</v>
      </c>
      <c r="O688" t="s">
        <v>90</v>
      </c>
      <c r="P688">
        <v>0</v>
      </c>
      <c r="Q688" t="s">
        <v>90</v>
      </c>
      <c r="R688">
        <v>0</v>
      </c>
      <c r="S688" t="s">
        <v>90</v>
      </c>
      <c r="T688">
        <v>0</v>
      </c>
      <c r="U688" t="s">
        <v>90</v>
      </c>
      <c r="V688">
        <v>0</v>
      </c>
      <c r="W688" t="s">
        <v>90</v>
      </c>
      <c r="X688">
        <v>0</v>
      </c>
      <c r="Y688">
        <v>4.1822259329576505</v>
      </c>
      <c r="Z688">
        <v>0</v>
      </c>
      <c r="AA688">
        <v>0</v>
      </c>
      <c r="AB688">
        <v>0</v>
      </c>
      <c r="AC688">
        <v>0</v>
      </c>
      <c r="AD688">
        <v>0</v>
      </c>
      <c r="AI688">
        <v>9.1999999999999998E-2</v>
      </c>
      <c r="AK688" t="s">
        <v>740</v>
      </c>
      <c r="AL688" t="s">
        <v>1952</v>
      </c>
      <c r="AM688">
        <v>200000</v>
      </c>
      <c r="AN688" t="s">
        <v>73</v>
      </c>
      <c r="AO688">
        <v>1</v>
      </c>
      <c r="AP688">
        <v>0</v>
      </c>
      <c r="AQ688">
        <v>16666.666666666668</v>
      </c>
      <c r="AR688" t="s">
        <v>2267</v>
      </c>
      <c r="AS688" t="s">
        <v>75</v>
      </c>
      <c r="AX688" t="s">
        <v>76</v>
      </c>
      <c r="AY688" t="s">
        <v>176</v>
      </c>
      <c r="AZ688">
        <v>0</v>
      </c>
      <c r="BA688" t="s">
        <v>176</v>
      </c>
      <c r="BB688">
        <v>0</v>
      </c>
    </row>
    <row r="689" spans="1:56" x14ac:dyDescent="0.15">
      <c r="A689" s="4" t="str">
        <f>HYPERLINK("https://ibp.a2mac1.com/costing(costing:projects/details/9760/part/8412638)","Padding")</f>
        <v>Padding</v>
      </c>
      <c r="B689">
        <v>8412638</v>
      </c>
      <c r="C689">
        <v>8412567</v>
      </c>
      <c r="E689">
        <v>0.19</v>
      </c>
      <c r="F689">
        <v>0</v>
      </c>
      <c r="G689">
        <v>0</v>
      </c>
      <c r="H689">
        <v>9.6139999999999995E-4</v>
      </c>
      <c r="I689" t="s">
        <v>176</v>
      </c>
      <c r="J689">
        <v>6.6499999999999997E-3</v>
      </c>
      <c r="K689">
        <v>0.19761139999999999</v>
      </c>
      <c r="L689">
        <v>9.422641154184605E-3</v>
      </c>
      <c r="M689">
        <v>5.653584692510763E-2</v>
      </c>
      <c r="N689">
        <v>0.25414724692510765</v>
      </c>
      <c r="O689" t="s">
        <v>90</v>
      </c>
      <c r="P689">
        <v>0</v>
      </c>
      <c r="Q689" t="s">
        <v>90</v>
      </c>
      <c r="R689">
        <v>0</v>
      </c>
      <c r="S689" t="s">
        <v>90</v>
      </c>
      <c r="T689">
        <v>0</v>
      </c>
      <c r="U689" t="s">
        <v>90</v>
      </c>
      <c r="V689">
        <v>0</v>
      </c>
      <c r="W689" t="s">
        <v>90</v>
      </c>
      <c r="X689">
        <v>0</v>
      </c>
      <c r="Y689">
        <v>0.25414724692510765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92</v>
      </c>
      <c r="AF689">
        <v>190</v>
      </c>
      <c r="AG689">
        <v>242</v>
      </c>
      <c r="AI689">
        <v>8.2000000000000003E-2</v>
      </c>
      <c r="AK689" t="s">
        <v>740</v>
      </c>
      <c r="AL689" t="s">
        <v>403</v>
      </c>
      <c r="AM689">
        <v>200000</v>
      </c>
      <c r="AN689" t="s">
        <v>73</v>
      </c>
      <c r="AO689">
        <v>1</v>
      </c>
      <c r="AP689">
        <v>0</v>
      </c>
      <c r="AQ689">
        <v>16666.666666666668</v>
      </c>
      <c r="AR689" t="s">
        <v>2270</v>
      </c>
      <c r="AS689" t="s">
        <v>75</v>
      </c>
      <c r="AX689" t="s">
        <v>76</v>
      </c>
      <c r="AY689" t="s">
        <v>176</v>
      </c>
      <c r="AZ689">
        <v>0</v>
      </c>
      <c r="BA689" t="s">
        <v>176</v>
      </c>
      <c r="BB689">
        <v>0</v>
      </c>
    </row>
    <row r="690" spans="1:56" x14ac:dyDescent="0.15">
      <c r="A690" s="4" t="str">
        <f>HYPERLINK("https://ibp.a2mac1.com/costing(costing:projects/details/9760/part/8412639)","Frame")</f>
        <v>Frame</v>
      </c>
      <c r="B690">
        <v>8412639</v>
      </c>
      <c r="C690">
        <v>8412567</v>
      </c>
      <c r="E690">
        <v>0.36</v>
      </c>
      <c r="F690">
        <v>0</v>
      </c>
      <c r="G690">
        <v>0</v>
      </c>
      <c r="H690">
        <v>1.8216E-3</v>
      </c>
      <c r="I690" t="s">
        <v>176</v>
      </c>
      <c r="J690">
        <v>1.26E-2</v>
      </c>
      <c r="K690">
        <v>0.37442160000000002</v>
      </c>
      <c r="L690">
        <v>0.11538766505211324</v>
      </c>
      <c r="M690">
        <v>0.6923259903126795</v>
      </c>
      <c r="N690">
        <v>1.0667475903126795</v>
      </c>
      <c r="O690" t="s">
        <v>90</v>
      </c>
      <c r="P690">
        <v>0</v>
      </c>
      <c r="Q690" t="s">
        <v>90</v>
      </c>
      <c r="R690">
        <v>0</v>
      </c>
      <c r="S690" t="s">
        <v>90</v>
      </c>
      <c r="T690">
        <v>0</v>
      </c>
      <c r="U690" t="s">
        <v>90</v>
      </c>
      <c r="V690">
        <v>0</v>
      </c>
      <c r="W690" t="s">
        <v>90</v>
      </c>
      <c r="X690">
        <v>0</v>
      </c>
      <c r="Y690">
        <v>1.0667475903126795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46</v>
      </c>
      <c r="AF690">
        <v>185</v>
      </c>
      <c r="AG690">
        <v>306</v>
      </c>
      <c r="AI690">
        <v>0.42199999999999999</v>
      </c>
      <c r="AK690" t="s">
        <v>740</v>
      </c>
      <c r="AL690" t="s">
        <v>96</v>
      </c>
      <c r="AM690">
        <v>200000</v>
      </c>
      <c r="AN690" t="s">
        <v>73</v>
      </c>
      <c r="AO690">
        <v>1</v>
      </c>
      <c r="AP690">
        <v>0</v>
      </c>
      <c r="AQ690">
        <v>16666.666666666668</v>
      </c>
      <c r="AR690" t="s">
        <v>2273</v>
      </c>
      <c r="AS690" t="s">
        <v>75</v>
      </c>
      <c r="AX690" t="s">
        <v>76</v>
      </c>
      <c r="AY690" t="s">
        <v>176</v>
      </c>
      <c r="AZ690">
        <v>0</v>
      </c>
      <c r="BA690" t="s">
        <v>176</v>
      </c>
      <c r="BB690">
        <v>0</v>
      </c>
    </row>
    <row r="691" spans="1:56" x14ac:dyDescent="0.15">
      <c r="A691" s="4" t="str">
        <f>HYPERLINK("https://ibp.a2mac1.com/costing(costing:projects/details/9760/part/8412640)","Reinforcement")</f>
        <v>Reinforcement</v>
      </c>
      <c r="B691">
        <v>8412640</v>
      </c>
      <c r="C691">
        <v>8412567</v>
      </c>
      <c r="E691">
        <v>0.29128999999999999</v>
      </c>
      <c r="F691">
        <v>0</v>
      </c>
      <c r="G691">
        <v>0</v>
      </c>
      <c r="H691">
        <v>1.4739274E-3</v>
      </c>
      <c r="I691" t="s">
        <v>176</v>
      </c>
      <c r="J691">
        <v>1.019515E-2</v>
      </c>
      <c r="K691">
        <v>0.3029590774</v>
      </c>
      <c r="L691">
        <v>3.2381729665402474E-2</v>
      </c>
      <c r="M691">
        <v>0.19429037799241486</v>
      </c>
      <c r="N691">
        <v>0.49724945539241489</v>
      </c>
      <c r="O691" t="s">
        <v>90</v>
      </c>
      <c r="P691">
        <v>0</v>
      </c>
      <c r="Q691" t="s">
        <v>90</v>
      </c>
      <c r="R691">
        <v>0</v>
      </c>
      <c r="S691" t="s">
        <v>90</v>
      </c>
      <c r="T691">
        <v>0</v>
      </c>
      <c r="U691" t="s">
        <v>90</v>
      </c>
      <c r="V691">
        <v>0</v>
      </c>
      <c r="W691" t="s">
        <v>90</v>
      </c>
      <c r="X691">
        <v>0</v>
      </c>
      <c r="Y691">
        <v>0.49724945539241489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51</v>
      </c>
      <c r="AF691">
        <v>150</v>
      </c>
      <c r="AG691">
        <v>160</v>
      </c>
      <c r="AI691">
        <v>0.16900000000000001</v>
      </c>
      <c r="AK691" t="s">
        <v>740</v>
      </c>
      <c r="AL691" t="s">
        <v>112</v>
      </c>
      <c r="AM691">
        <v>200000</v>
      </c>
      <c r="AN691" t="s">
        <v>73</v>
      </c>
      <c r="AO691">
        <v>1</v>
      </c>
      <c r="AP691">
        <v>0</v>
      </c>
      <c r="AQ691">
        <v>16666.666666666668</v>
      </c>
      <c r="AR691" t="s">
        <v>2276</v>
      </c>
      <c r="AS691" t="s">
        <v>75</v>
      </c>
      <c r="AX691" t="s">
        <v>76</v>
      </c>
      <c r="AY691" t="s">
        <v>176</v>
      </c>
      <c r="AZ691">
        <v>0</v>
      </c>
      <c r="BA691" t="s">
        <v>176</v>
      </c>
      <c r="BB691">
        <v>0</v>
      </c>
    </row>
    <row r="692" spans="1:56" x14ac:dyDescent="0.15">
      <c r="A692" s="4" t="str">
        <f>HYPERLINK("https://ibp.a2mac1.com/costing(costing:projects/details/9760/part/8412641)","Rear Bezel")</f>
        <v>Rear Bezel</v>
      </c>
      <c r="B692">
        <v>8412641</v>
      </c>
      <c r="C692">
        <v>8412567</v>
      </c>
      <c r="E692">
        <v>0.52</v>
      </c>
      <c r="F692">
        <v>0</v>
      </c>
      <c r="G692">
        <v>0</v>
      </c>
      <c r="H692">
        <v>2.6312000000000002E-3</v>
      </c>
      <c r="I692" t="s">
        <v>176</v>
      </c>
      <c r="J692">
        <v>1.8200000000000001E-2</v>
      </c>
      <c r="K692">
        <v>0.54083119999999996</v>
      </c>
      <c r="L692">
        <v>2.7083478470506045E-2</v>
      </c>
      <c r="M692">
        <v>0.16250087082303627</v>
      </c>
      <c r="N692">
        <v>0.70333207082303628</v>
      </c>
      <c r="O692" t="s">
        <v>90</v>
      </c>
      <c r="P692">
        <v>0</v>
      </c>
      <c r="Q692" t="s">
        <v>90</v>
      </c>
      <c r="R692">
        <v>0</v>
      </c>
      <c r="S692" t="s">
        <v>90</v>
      </c>
      <c r="T692">
        <v>0</v>
      </c>
      <c r="U692" t="s">
        <v>90</v>
      </c>
      <c r="V692">
        <v>0</v>
      </c>
      <c r="W692" t="s">
        <v>90</v>
      </c>
      <c r="X692">
        <v>0</v>
      </c>
      <c r="Y692">
        <v>0.70333207082303628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75</v>
      </c>
      <c r="AF692">
        <v>192</v>
      </c>
      <c r="AG692">
        <v>213</v>
      </c>
      <c r="AI692">
        <v>0.14299999999999999</v>
      </c>
      <c r="AK692" t="s">
        <v>740</v>
      </c>
      <c r="AL692" t="s">
        <v>412</v>
      </c>
      <c r="AM692">
        <v>200000</v>
      </c>
      <c r="AN692" t="s">
        <v>73</v>
      </c>
      <c r="AO692">
        <v>1</v>
      </c>
      <c r="AP692">
        <v>0</v>
      </c>
      <c r="AQ692">
        <v>16666.666666666668</v>
      </c>
      <c r="AR692" t="s">
        <v>2279</v>
      </c>
      <c r="AS692" t="s">
        <v>75</v>
      </c>
      <c r="AX692" t="s">
        <v>76</v>
      </c>
      <c r="AY692" t="s">
        <v>176</v>
      </c>
      <c r="AZ692">
        <v>0</v>
      </c>
      <c r="BA692" t="s">
        <v>176</v>
      </c>
      <c r="BB692">
        <v>0</v>
      </c>
    </row>
    <row r="693" spans="1:56" x14ac:dyDescent="0.15">
      <c r="A693" s="4" t="str">
        <f>HYPERLINK("https://ibp.a2mac1.com/costing(costing:projects/details/9760/part/8412642)","Rear Bezel Support")</f>
        <v>Rear Bezel Support</v>
      </c>
      <c r="B693">
        <v>8412642</v>
      </c>
      <c r="C693">
        <v>8412567</v>
      </c>
      <c r="E693">
        <v>0.34342</v>
      </c>
      <c r="F693">
        <v>0</v>
      </c>
      <c r="G693">
        <v>0</v>
      </c>
      <c r="H693">
        <v>1.7377052E-3</v>
      </c>
      <c r="I693" t="s">
        <v>176</v>
      </c>
      <c r="J693">
        <v>1.2019699999999999E-2</v>
      </c>
      <c r="K693">
        <v>0.35717740520000002</v>
      </c>
      <c r="L693">
        <v>3.767998086029891E-2</v>
      </c>
      <c r="M693">
        <v>0.22607988516179345</v>
      </c>
      <c r="N693">
        <v>0.58325729036179341</v>
      </c>
      <c r="O693" t="s">
        <v>90</v>
      </c>
      <c r="P693">
        <v>0</v>
      </c>
      <c r="Q693" t="s">
        <v>90</v>
      </c>
      <c r="R693">
        <v>0</v>
      </c>
      <c r="S693" t="s">
        <v>90</v>
      </c>
      <c r="T693">
        <v>0</v>
      </c>
      <c r="U693" t="s">
        <v>90</v>
      </c>
      <c r="V693">
        <v>0</v>
      </c>
      <c r="W693" t="s">
        <v>90</v>
      </c>
      <c r="X693">
        <v>0</v>
      </c>
      <c r="Y693">
        <v>0.58325729036179341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85</v>
      </c>
      <c r="AF693">
        <v>195</v>
      </c>
      <c r="AG693">
        <v>227</v>
      </c>
      <c r="AI693">
        <v>0.20899999999999999</v>
      </c>
      <c r="AK693" t="s">
        <v>740</v>
      </c>
      <c r="AL693" t="s">
        <v>2282</v>
      </c>
      <c r="AM693">
        <v>200000</v>
      </c>
      <c r="AN693" t="s">
        <v>73</v>
      </c>
      <c r="AO693">
        <v>1</v>
      </c>
      <c r="AP693">
        <v>0</v>
      </c>
      <c r="AQ693">
        <v>16666.666666666668</v>
      </c>
      <c r="AR693" t="s">
        <v>2283</v>
      </c>
      <c r="AS693" t="s">
        <v>75</v>
      </c>
      <c r="AX693" t="s">
        <v>76</v>
      </c>
      <c r="AY693" t="s">
        <v>176</v>
      </c>
      <c r="AZ693">
        <v>0</v>
      </c>
      <c r="BA693" t="s">
        <v>176</v>
      </c>
      <c r="BB693">
        <v>0</v>
      </c>
    </row>
    <row r="694" spans="1:56" x14ac:dyDescent="0.15">
      <c r="A694" s="4" t="str">
        <f>HYPERLINK("https://ibp.a2mac1.com/costing(costing:projects/details/9760/part/8412643)","Upper Padding")</f>
        <v>Upper Padding</v>
      </c>
      <c r="B694">
        <v>8412643</v>
      </c>
      <c r="C694">
        <v>8412567</v>
      </c>
      <c r="D694" t="s">
        <v>1959</v>
      </c>
      <c r="E694">
        <v>0.12</v>
      </c>
      <c r="F694">
        <v>0</v>
      </c>
      <c r="G694">
        <v>0</v>
      </c>
      <c r="H694">
        <v>0</v>
      </c>
      <c r="I694" t="s">
        <v>71</v>
      </c>
      <c r="J694">
        <v>0</v>
      </c>
      <c r="K694">
        <v>0.12</v>
      </c>
      <c r="L694">
        <v>0</v>
      </c>
      <c r="M694">
        <v>0</v>
      </c>
      <c r="N694">
        <v>0.12</v>
      </c>
      <c r="O694" t="s">
        <v>71</v>
      </c>
      <c r="P694">
        <v>0</v>
      </c>
      <c r="Q694" t="s">
        <v>71</v>
      </c>
      <c r="R694">
        <v>0</v>
      </c>
      <c r="S694" t="s">
        <v>71</v>
      </c>
      <c r="T694">
        <v>0</v>
      </c>
      <c r="U694" t="s">
        <v>71</v>
      </c>
      <c r="V694">
        <v>0</v>
      </c>
      <c r="W694" t="s">
        <v>71</v>
      </c>
      <c r="X694">
        <v>0</v>
      </c>
      <c r="Y694">
        <v>0.12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30</v>
      </c>
      <c r="AF694">
        <v>163</v>
      </c>
      <c r="AG694">
        <v>217</v>
      </c>
      <c r="AI694">
        <v>8.9999999999999993E-3</v>
      </c>
      <c r="AK694" t="s">
        <v>740</v>
      </c>
      <c r="AL694" t="s">
        <v>1375</v>
      </c>
      <c r="AM694">
        <v>200000</v>
      </c>
      <c r="AN694" t="s">
        <v>73</v>
      </c>
      <c r="AO694">
        <v>1</v>
      </c>
      <c r="AP694">
        <v>0</v>
      </c>
      <c r="AQ694">
        <v>16666.666666666668</v>
      </c>
      <c r="AR694" t="s">
        <v>2284</v>
      </c>
      <c r="AS694" t="s">
        <v>75</v>
      </c>
      <c r="AX694" t="s">
        <v>76</v>
      </c>
      <c r="AY694" t="s">
        <v>71</v>
      </c>
      <c r="AZ694">
        <v>0</v>
      </c>
      <c r="BA694" t="s">
        <v>71</v>
      </c>
      <c r="BB694">
        <v>0</v>
      </c>
      <c r="BD694">
        <v>0.12</v>
      </c>
    </row>
    <row r="695" spans="1:56" x14ac:dyDescent="0.15">
      <c r="A695" s="4" t="str">
        <f>HYPERLINK("https://ibp.a2mac1.com/costing(costing:projects/details/9760/part/8412732)","Back Cover")</f>
        <v>Back Cover</v>
      </c>
      <c r="B695">
        <v>8412732</v>
      </c>
      <c r="C695">
        <v>8412647</v>
      </c>
      <c r="E695">
        <v>14.81</v>
      </c>
      <c r="F695">
        <v>0</v>
      </c>
      <c r="G695">
        <v>0</v>
      </c>
      <c r="H695">
        <v>7.4938599999999994E-2</v>
      </c>
      <c r="I695" t="s">
        <v>176</v>
      </c>
      <c r="J695">
        <v>0.51834999999999998</v>
      </c>
      <c r="K695">
        <v>15.4032886</v>
      </c>
      <c r="L695">
        <v>0.369703722407142</v>
      </c>
      <c r="M695">
        <v>2.218222334442852</v>
      </c>
      <c r="N695">
        <v>17.621510934442853</v>
      </c>
      <c r="O695" t="s">
        <v>90</v>
      </c>
      <c r="P695">
        <v>0</v>
      </c>
      <c r="Q695" t="s">
        <v>90</v>
      </c>
      <c r="R695">
        <v>0</v>
      </c>
      <c r="S695" t="s">
        <v>90</v>
      </c>
      <c r="T695">
        <v>0</v>
      </c>
      <c r="U695" t="s">
        <v>90</v>
      </c>
      <c r="V695">
        <v>0</v>
      </c>
      <c r="W695" t="s">
        <v>90</v>
      </c>
      <c r="X695">
        <v>0</v>
      </c>
      <c r="Y695">
        <v>17.621510934442853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210</v>
      </c>
      <c r="AF695">
        <v>520</v>
      </c>
      <c r="AG695">
        <v>832</v>
      </c>
      <c r="AI695">
        <v>1.5329999999999999</v>
      </c>
      <c r="AK695" t="s">
        <v>740</v>
      </c>
      <c r="AL695" t="s">
        <v>1988</v>
      </c>
      <c r="AM695">
        <v>200000</v>
      </c>
      <c r="AN695" t="s">
        <v>73</v>
      </c>
      <c r="AO695">
        <v>1</v>
      </c>
      <c r="AP695">
        <v>0</v>
      </c>
      <c r="AQ695">
        <v>16666.666666666668</v>
      </c>
      <c r="AR695" t="s">
        <v>2290</v>
      </c>
      <c r="AS695" t="s">
        <v>75</v>
      </c>
      <c r="AX695" t="s">
        <v>76</v>
      </c>
      <c r="AY695" t="s">
        <v>176</v>
      </c>
      <c r="AZ695">
        <v>0</v>
      </c>
      <c r="BA695" t="s">
        <v>176</v>
      </c>
      <c r="BB695">
        <v>0</v>
      </c>
    </row>
    <row r="696" spans="1:56" x14ac:dyDescent="0.15">
      <c r="A696" s="4" t="str">
        <f>HYPERLINK("https://ibp.a2mac1.com/costing(costing:projects/details/9760/part/8412733)","Cover Upper Part")</f>
        <v>Cover Upper Part</v>
      </c>
      <c r="B696">
        <v>8412733</v>
      </c>
      <c r="C696">
        <v>8412647</v>
      </c>
      <c r="E696">
        <v>0.89</v>
      </c>
      <c r="F696">
        <v>0</v>
      </c>
      <c r="G696">
        <v>0</v>
      </c>
      <c r="H696">
        <v>4.5034000000000003E-3</v>
      </c>
      <c r="I696" t="s">
        <v>176</v>
      </c>
      <c r="J696">
        <v>3.1150000000000001E-2</v>
      </c>
      <c r="K696">
        <v>0.92565339999999996</v>
      </c>
      <c r="L696">
        <v>0.1454110884898597</v>
      </c>
      <c r="M696">
        <v>0.87246653093915816</v>
      </c>
      <c r="N696">
        <v>1.7981199309391582</v>
      </c>
      <c r="O696" t="s">
        <v>90</v>
      </c>
      <c r="P696">
        <v>0</v>
      </c>
      <c r="Q696" t="s">
        <v>90</v>
      </c>
      <c r="R696">
        <v>0</v>
      </c>
      <c r="S696" t="s">
        <v>90</v>
      </c>
      <c r="T696">
        <v>0</v>
      </c>
      <c r="U696" t="s">
        <v>90</v>
      </c>
      <c r="V696">
        <v>0</v>
      </c>
      <c r="W696" t="s">
        <v>90</v>
      </c>
      <c r="X696">
        <v>0</v>
      </c>
      <c r="Y696">
        <v>1.7981199309391582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84</v>
      </c>
      <c r="AF696">
        <v>190</v>
      </c>
      <c r="AG696">
        <v>282</v>
      </c>
      <c r="AI696">
        <v>0.20200000000000001</v>
      </c>
      <c r="AK696" t="s">
        <v>740</v>
      </c>
      <c r="AL696" t="s">
        <v>412</v>
      </c>
      <c r="AM696">
        <v>200000</v>
      </c>
      <c r="AN696" t="s">
        <v>73</v>
      </c>
      <c r="AO696">
        <v>1</v>
      </c>
      <c r="AP696">
        <v>0</v>
      </c>
      <c r="AQ696">
        <v>16666.666666666668</v>
      </c>
      <c r="AR696" t="s">
        <v>2293</v>
      </c>
      <c r="AS696" t="s">
        <v>75</v>
      </c>
      <c r="AX696" t="s">
        <v>76</v>
      </c>
      <c r="AY696" t="s">
        <v>176</v>
      </c>
      <c r="AZ696">
        <v>0</v>
      </c>
      <c r="BA696" t="s">
        <v>176</v>
      </c>
      <c r="BB696">
        <v>0</v>
      </c>
    </row>
    <row r="697" spans="1:56" x14ac:dyDescent="0.15">
      <c r="A697" s="4" t="str">
        <f>HYPERLINK("https://ibp.a2mac1.com/costing(costing:projects/details/9760/part/8412734)","Cover Lower Part")</f>
        <v>Cover Lower Part</v>
      </c>
      <c r="B697">
        <v>8412734</v>
      </c>
      <c r="C697">
        <v>8412647</v>
      </c>
      <c r="E697">
        <v>0.51</v>
      </c>
      <c r="F697">
        <v>0</v>
      </c>
      <c r="G697">
        <v>0</v>
      </c>
      <c r="H697">
        <v>2.5806000000000002E-3</v>
      </c>
      <c r="I697" t="s">
        <v>176</v>
      </c>
      <c r="J697">
        <v>1.7850000000000001E-2</v>
      </c>
      <c r="K697">
        <v>0.53043059999999997</v>
      </c>
      <c r="L697">
        <v>0.15777367461128469</v>
      </c>
      <c r="M697">
        <v>0.94664204766770821</v>
      </c>
      <c r="N697">
        <v>1.4770726476677083</v>
      </c>
      <c r="O697" t="s">
        <v>90</v>
      </c>
      <c r="P697">
        <v>0</v>
      </c>
      <c r="Q697" t="s">
        <v>90</v>
      </c>
      <c r="R697">
        <v>0</v>
      </c>
      <c r="S697" t="s">
        <v>90</v>
      </c>
      <c r="T697">
        <v>0</v>
      </c>
      <c r="U697" t="s">
        <v>90</v>
      </c>
      <c r="V697">
        <v>0</v>
      </c>
      <c r="W697" t="s">
        <v>90</v>
      </c>
      <c r="X697">
        <v>0</v>
      </c>
      <c r="Y697">
        <v>1.4770726476677083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10</v>
      </c>
      <c r="AF697">
        <v>532</v>
      </c>
      <c r="AG697">
        <v>383</v>
      </c>
      <c r="AI697">
        <v>0.105</v>
      </c>
      <c r="AK697" t="s">
        <v>740</v>
      </c>
      <c r="AL697" t="s">
        <v>1997</v>
      </c>
      <c r="AM697">
        <v>200000</v>
      </c>
      <c r="AN697" t="s">
        <v>73</v>
      </c>
      <c r="AO697">
        <v>1</v>
      </c>
      <c r="AP697">
        <v>0</v>
      </c>
      <c r="AQ697">
        <v>16666.666666666668</v>
      </c>
      <c r="AR697" t="s">
        <v>2296</v>
      </c>
      <c r="AS697" t="s">
        <v>75</v>
      </c>
      <c r="AX697" t="s">
        <v>76</v>
      </c>
      <c r="AY697" t="s">
        <v>176</v>
      </c>
      <c r="AZ697">
        <v>0</v>
      </c>
      <c r="BA697" t="s">
        <v>176</v>
      </c>
      <c r="BB697">
        <v>0</v>
      </c>
    </row>
    <row r="698" spans="1:56" x14ac:dyDescent="0.15">
      <c r="A698" s="4" t="str">
        <f>HYPERLINK("https://ibp.a2mac1.com/costing(costing:projects/details/9760/part/8412735)","Bezel")</f>
        <v>Bezel</v>
      </c>
      <c r="B698">
        <v>8412735</v>
      </c>
      <c r="C698">
        <v>8412647</v>
      </c>
      <c r="E698">
        <v>0.1</v>
      </c>
      <c r="F698">
        <v>0</v>
      </c>
      <c r="G698">
        <v>0</v>
      </c>
      <c r="H698">
        <v>5.0600000000000005E-4</v>
      </c>
      <c r="I698" t="s">
        <v>176</v>
      </c>
      <c r="J698">
        <v>3.5000000000000001E-3</v>
      </c>
      <c r="K698">
        <v>0.104006</v>
      </c>
      <c r="L698">
        <v>2.5317394738873903E-2</v>
      </c>
      <c r="M698">
        <v>0.1519043684332434</v>
      </c>
      <c r="N698">
        <v>0.25591036843324338</v>
      </c>
      <c r="O698" t="s">
        <v>90</v>
      </c>
      <c r="P698">
        <v>0</v>
      </c>
      <c r="Q698" t="s">
        <v>90</v>
      </c>
      <c r="R698">
        <v>0</v>
      </c>
      <c r="S698" t="s">
        <v>90</v>
      </c>
      <c r="T698">
        <v>0</v>
      </c>
      <c r="U698" t="s">
        <v>90</v>
      </c>
      <c r="V698">
        <v>0</v>
      </c>
      <c r="W698" t="s">
        <v>90</v>
      </c>
      <c r="X698">
        <v>0</v>
      </c>
      <c r="Y698">
        <v>0.25591036843324338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25</v>
      </c>
      <c r="AF698">
        <v>123</v>
      </c>
      <c r="AG698">
        <v>86</v>
      </c>
      <c r="AI698">
        <v>2.1999999999999999E-2</v>
      </c>
      <c r="AK698" t="s">
        <v>740</v>
      </c>
      <c r="AL698" t="s">
        <v>412</v>
      </c>
      <c r="AM698">
        <v>200000</v>
      </c>
      <c r="AN698" t="s">
        <v>73</v>
      </c>
      <c r="AO698">
        <v>1</v>
      </c>
      <c r="AP698">
        <v>0</v>
      </c>
      <c r="AQ698">
        <v>16666.666666666668</v>
      </c>
      <c r="AR698" t="s">
        <v>2299</v>
      </c>
      <c r="AS698" t="s">
        <v>75</v>
      </c>
      <c r="AX698" t="s">
        <v>76</v>
      </c>
      <c r="AY698" t="s">
        <v>176</v>
      </c>
      <c r="AZ698">
        <v>0</v>
      </c>
      <c r="BA698" t="s">
        <v>176</v>
      </c>
      <c r="BB698">
        <v>0</v>
      </c>
    </row>
    <row r="699" spans="1:56" x14ac:dyDescent="0.15">
      <c r="A699" s="4" t="str">
        <f>HYPERLINK("https://ibp.a2mac1.com/costing(costing:projects/details/9760/part/8412736)","Support 1")</f>
        <v>Support 1</v>
      </c>
      <c r="B699">
        <v>8412736</v>
      </c>
      <c r="C699">
        <v>8412647</v>
      </c>
      <c r="E699">
        <v>7.0000000000000007E-2</v>
      </c>
      <c r="F699">
        <v>0</v>
      </c>
      <c r="G699">
        <v>0</v>
      </c>
      <c r="H699">
        <v>3.5419999999999999E-4</v>
      </c>
      <c r="I699" t="s">
        <v>176</v>
      </c>
      <c r="J699">
        <v>2.4499999999999999E-3</v>
      </c>
      <c r="K699">
        <v>7.2804199999999999E-2</v>
      </c>
      <c r="L699">
        <v>9.422641154184605E-3</v>
      </c>
      <c r="M699">
        <v>5.653584692510763E-2</v>
      </c>
      <c r="N699">
        <v>0.12934004692510764</v>
      </c>
      <c r="O699" t="s">
        <v>90</v>
      </c>
      <c r="P699">
        <v>0</v>
      </c>
      <c r="Q699" t="s">
        <v>90</v>
      </c>
      <c r="R699">
        <v>0</v>
      </c>
      <c r="S699" t="s">
        <v>90</v>
      </c>
      <c r="T699">
        <v>0</v>
      </c>
      <c r="U699" t="s">
        <v>90</v>
      </c>
      <c r="V699">
        <v>0</v>
      </c>
      <c r="W699" t="s">
        <v>90</v>
      </c>
      <c r="X699">
        <v>0</v>
      </c>
      <c r="Y699">
        <v>0.12934004692510764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9</v>
      </c>
      <c r="AF699">
        <v>199</v>
      </c>
      <c r="AG699">
        <v>70</v>
      </c>
      <c r="AI699">
        <v>8.4000000000000005E-2</v>
      </c>
      <c r="AK699" t="s">
        <v>740</v>
      </c>
      <c r="AL699" t="s">
        <v>96</v>
      </c>
      <c r="AM699">
        <v>200000</v>
      </c>
      <c r="AN699" t="s">
        <v>73</v>
      </c>
      <c r="AO699">
        <v>1</v>
      </c>
      <c r="AP699">
        <v>0</v>
      </c>
      <c r="AQ699">
        <v>16666.666666666668</v>
      </c>
      <c r="AR699" t="s">
        <v>2302</v>
      </c>
      <c r="AS699" t="s">
        <v>75</v>
      </c>
      <c r="AX699" t="s">
        <v>76</v>
      </c>
      <c r="AY699" t="s">
        <v>176</v>
      </c>
      <c r="AZ699">
        <v>0</v>
      </c>
      <c r="BA699" t="s">
        <v>176</v>
      </c>
      <c r="BB699">
        <v>0</v>
      </c>
    </row>
    <row r="700" spans="1:56" x14ac:dyDescent="0.15">
      <c r="A700" s="4" t="str">
        <f>HYPERLINK("https://ibp.a2mac1.com/costing(costing:projects/details/9760/part/8412737)","Support 2")</f>
        <v>Support 2</v>
      </c>
      <c r="B700">
        <v>8412737</v>
      </c>
      <c r="C700">
        <v>8412647</v>
      </c>
      <c r="E700">
        <v>0.04</v>
      </c>
      <c r="F700">
        <v>0</v>
      </c>
      <c r="G700">
        <v>0</v>
      </c>
      <c r="H700">
        <v>2.0239999999999999E-4</v>
      </c>
      <c r="I700" t="s">
        <v>176</v>
      </c>
      <c r="J700">
        <v>1.4E-3</v>
      </c>
      <c r="K700">
        <v>4.1602399999999998E-2</v>
      </c>
      <c r="L700">
        <v>5.8904736909203177E-3</v>
      </c>
      <c r="M700">
        <v>3.5342842145521906E-2</v>
      </c>
      <c r="N700">
        <v>7.6945242145521897E-2</v>
      </c>
      <c r="O700" t="s">
        <v>90</v>
      </c>
      <c r="P700">
        <v>0</v>
      </c>
      <c r="Q700" t="s">
        <v>90</v>
      </c>
      <c r="R700">
        <v>0</v>
      </c>
      <c r="S700" t="s">
        <v>90</v>
      </c>
      <c r="T700">
        <v>0</v>
      </c>
      <c r="U700" t="s">
        <v>90</v>
      </c>
      <c r="V700">
        <v>0</v>
      </c>
      <c r="W700" t="s">
        <v>90</v>
      </c>
      <c r="X700">
        <v>0</v>
      </c>
      <c r="Y700">
        <v>7.6945242145521897E-2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13</v>
      </c>
      <c r="AF700">
        <v>422</v>
      </c>
      <c r="AG700">
        <v>116</v>
      </c>
      <c r="AI700">
        <v>3.2000000000000001E-2</v>
      </c>
      <c r="AK700" t="s">
        <v>740</v>
      </c>
      <c r="AL700" t="s">
        <v>399</v>
      </c>
      <c r="AM700">
        <v>200000</v>
      </c>
      <c r="AN700" t="s">
        <v>73</v>
      </c>
      <c r="AO700">
        <v>1</v>
      </c>
      <c r="AP700">
        <v>0</v>
      </c>
      <c r="AQ700">
        <v>16666.666666666668</v>
      </c>
      <c r="AR700" t="s">
        <v>2305</v>
      </c>
      <c r="AS700" t="s">
        <v>75</v>
      </c>
      <c r="AX700" t="s">
        <v>76</v>
      </c>
      <c r="AY700" t="s">
        <v>176</v>
      </c>
      <c r="AZ700">
        <v>0</v>
      </c>
      <c r="BA700" t="s">
        <v>176</v>
      </c>
      <c r="BB700">
        <v>0</v>
      </c>
    </row>
    <row r="701" spans="1:56" x14ac:dyDescent="0.15">
      <c r="A701" s="4" t="str">
        <f>HYPERLINK("https://ibp.a2mac1.com/costing(costing:projects/details/9760/part/8412738)","Guide")</f>
        <v>Guide</v>
      </c>
      <c r="B701">
        <v>8412738</v>
      </c>
      <c r="C701">
        <v>8412648</v>
      </c>
      <c r="E701">
        <v>0.2</v>
      </c>
      <c r="F701">
        <v>0</v>
      </c>
      <c r="G701">
        <v>0</v>
      </c>
      <c r="H701">
        <v>1.0059999999999999E-3</v>
      </c>
      <c r="I701" t="s">
        <v>176</v>
      </c>
      <c r="J701">
        <v>7.0000000000000001E-3</v>
      </c>
      <c r="K701">
        <v>0.208006</v>
      </c>
      <c r="L701">
        <v>9.422359898105739E-3</v>
      </c>
      <c r="M701">
        <v>5.6534159388634431E-2</v>
      </c>
      <c r="N701">
        <v>0.26454015938863445</v>
      </c>
      <c r="O701" t="s">
        <v>90</v>
      </c>
      <c r="P701">
        <v>0</v>
      </c>
      <c r="Q701" t="s">
        <v>90</v>
      </c>
      <c r="R701">
        <v>0</v>
      </c>
      <c r="S701" t="s">
        <v>90</v>
      </c>
      <c r="T701">
        <v>0</v>
      </c>
      <c r="U701" t="s">
        <v>90</v>
      </c>
      <c r="V701">
        <v>0</v>
      </c>
      <c r="W701" t="s">
        <v>90</v>
      </c>
      <c r="X701">
        <v>0</v>
      </c>
      <c r="Y701">
        <v>0.26454015938863445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24</v>
      </c>
      <c r="AF701">
        <v>33</v>
      </c>
      <c r="AG701">
        <v>107</v>
      </c>
      <c r="AI701">
        <v>3.6999999999999998E-2</v>
      </c>
      <c r="AK701" t="s">
        <v>740</v>
      </c>
      <c r="AL701" t="s">
        <v>1981</v>
      </c>
      <c r="AM701">
        <v>400000</v>
      </c>
      <c r="AN701" t="s">
        <v>73</v>
      </c>
      <c r="AO701">
        <v>2</v>
      </c>
      <c r="AP701">
        <v>0</v>
      </c>
      <c r="AQ701">
        <v>33333.333333333336</v>
      </c>
      <c r="AR701" t="s">
        <v>2310</v>
      </c>
      <c r="AS701" t="s">
        <v>75</v>
      </c>
      <c r="AX701" t="s">
        <v>76</v>
      </c>
      <c r="AY701" t="s">
        <v>176</v>
      </c>
      <c r="AZ701">
        <v>0</v>
      </c>
      <c r="BA701" t="s">
        <v>176</v>
      </c>
      <c r="BB701">
        <v>0</v>
      </c>
    </row>
    <row r="702" spans="1:56" x14ac:dyDescent="0.15">
      <c r="A702" s="4" t="str">
        <f>HYPERLINK("https://ibp.a2mac1.com/costing(costing:projects/details/9760/part/8412644)","Frame Protection")</f>
        <v>Frame Protection</v>
      </c>
      <c r="B702">
        <v>8412644</v>
      </c>
      <c r="C702">
        <v>8412568</v>
      </c>
      <c r="E702">
        <v>0.4</v>
      </c>
      <c r="F702">
        <v>0</v>
      </c>
      <c r="G702">
        <v>0</v>
      </c>
      <c r="H702">
        <v>2.0240000000000002E-3</v>
      </c>
      <c r="I702" t="s">
        <v>176</v>
      </c>
      <c r="J702">
        <v>1.4E-2</v>
      </c>
      <c r="K702">
        <v>0.416024</v>
      </c>
      <c r="L702">
        <v>2.884956220213819E-2</v>
      </c>
      <c r="M702">
        <v>0.17309737321282914</v>
      </c>
      <c r="N702">
        <v>0.58912137321282909</v>
      </c>
      <c r="O702" t="s">
        <v>90</v>
      </c>
      <c r="P702">
        <v>0</v>
      </c>
      <c r="Q702" t="s">
        <v>90</v>
      </c>
      <c r="R702">
        <v>0</v>
      </c>
      <c r="S702" t="s">
        <v>90</v>
      </c>
      <c r="T702">
        <v>0</v>
      </c>
      <c r="U702" t="s">
        <v>90</v>
      </c>
      <c r="V702">
        <v>0</v>
      </c>
      <c r="W702" t="s">
        <v>90</v>
      </c>
      <c r="X702">
        <v>0</v>
      </c>
      <c r="Y702">
        <v>0.58912137321282909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135</v>
      </c>
      <c r="AF702">
        <v>138</v>
      </c>
      <c r="AG702">
        <v>618</v>
      </c>
      <c r="AI702">
        <v>0.2</v>
      </c>
      <c r="AK702" t="s">
        <v>740</v>
      </c>
      <c r="AL702" t="s">
        <v>951</v>
      </c>
      <c r="AM702">
        <v>200000</v>
      </c>
      <c r="AN702" t="s">
        <v>73</v>
      </c>
      <c r="AO702">
        <v>1</v>
      </c>
      <c r="AP702">
        <v>0</v>
      </c>
      <c r="AQ702">
        <v>16666.666666666668</v>
      </c>
      <c r="AR702" t="s">
        <v>2314</v>
      </c>
      <c r="AS702" t="s">
        <v>75</v>
      </c>
      <c r="AX702" t="s">
        <v>76</v>
      </c>
      <c r="AY702" t="s">
        <v>176</v>
      </c>
      <c r="AZ702">
        <v>0</v>
      </c>
      <c r="BA702" t="s">
        <v>176</v>
      </c>
      <c r="BB702">
        <v>0</v>
      </c>
    </row>
    <row r="703" spans="1:56" x14ac:dyDescent="0.15">
      <c r="A703" s="4" t="str">
        <f>HYPERLINK("https://ibp.a2mac1.com/costing(costing:projects/details/9760/part/8412645)","2nd Frame Protection")</f>
        <v>2nd Frame Protection</v>
      </c>
      <c r="B703">
        <v>8412645</v>
      </c>
      <c r="C703">
        <v>8412568</v>
      </c>
      <c r="E703">
        <v>0.4</v>
      </c>
      <c r="F703">
        <v>0</v>
      </c>
      <c r="G703">
        <v>0</v>
      </c>
      <c r="H703">
        <v>2.0240000000000002E-3</v>
      </c>
      <c r="I703" t="s">
        <v>176</v>
      </c>
      <c r="J703">
        <v>1.4E-2</v>
      </c>
      <c r="K703">
        <v>0.416024</v>
      </c>
      <c r="L703">
        <v>2.884956220213819E-2</v>
      </c>
      <c r="M703">
        <v>0.17309737321282914</v>
      </c>
      <c r="N703">
        <v>0.58912137321282909</v>
      </c>
      <c r="O703" t="s">
        <v>90</v>
      </c>
      <c r="P703">
        <v>0</v>
      </c>
      <c r="Q703" t="s">
        <v>90</v>
      </c>
      <c r="R703">
        <v>0</v>
      </c>
      <c r="S703" t="s">
        <v>90</v>
      </c>
      <c r="T703">
        <v>0</v>
      </c>
      <c r="U703" t="s">
        <v>90</v>
      </c>
      <c r="V703">
        <v>0</v>
      </c>
      <c r="W703" t="s">
        <v>90</v>
      </c>
      <c r="X703">
        <v>0</v>
      </c>
      <c r="Y703">
        <v>0.58912137321282909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135</v>
      </c>
      <c r="AF703">
        <v>138</v>
      </c>
      <c r="AG703">
        <v>618</v>
      </c>
      <c r="AI703">
        <v>0.19900000000000001</v>
      </c>
      <c r="AK703" t="s">
        <v>740</v>
      </c>
      <c r="AL703" t="s">
        <v>951</v>
      </c>
      <c r="AM703">
        <v>200000</v>
      </c>
      <c r="AN703" t="s">
        <v>73</v>
      </c>
      <c r="AO703">
        <v>1</v>
      </c>
      <c r="AP703">
        <v>0</v>
      </c>
      <c r="AQ703">
        <v>16666.666666666668</v>
      </c>
      <c r="AR703" t="s">
        <v>2317</v>
      </c>
      <c r="AS703" t="s">
        <v>75</v>
      </c>
      <c r="AX703" t="s">
        <v>76</v>
      </c>
      <c r="AY703" t="s">
        <v>176</v>
      </c>
      <c r="AZ703">
        <v>0</v>
      </c>
      <c r="BA703" t="s">
        <v>176</v>
      </c>
      <c r="BB703">
        <v>0</v>
      </c>
    </row>
    <row r="704" spans="1:56" x14ac:dyDescent="0.15">
      <c r="A704" s="4" t="str">
        <f>HYPERLINK("https://ibp.a2mac1.com/costing(costing:projects/details/9760/part/8412646)","Cover Fastener")</f>
        <v>Cover Fastener</v>
      </c>
      <c r="B704">
        <v>8412646</v>
      </c>
      <c r="C704">
        <v>8412568</v>
      </c>
      <c r="E704">
        <v>0.24</v>
      </c>
      <c r="F704">
        <v>0</v>
      </c>
      <c r="G704">
        <v>0</v>
      </c>
      <c r="H704">
        <v>1.2144E-3</v>
      </c>
      <c r="I704" t="s">
        <v>176</v>
      </c>
      <c r="J704">
        <v>8.3999999999999995E-3</v>
      </c>
      <c r="K704">
        <v>0.24961439999999999</v>
      </c>
      <c r="L704">
        <v>2.5317394738873903E-2</v>
      </c>
      <c r="M704">
        <v>0.1519043684332434</v>
      </c>
      <c r="N704">
        <v>0.40151876843324341</v>
      </c>
      <c r="O704" t="s">
        <v>90</v>
      </c>
      <c r="P704">
        <v>0</v>
      </c>
      <c r="Q704" t="s">
        <v>90</v>
      </c>
      <c r="R704">
        <v>0</v>
      </c>
      <c r="S704" t="s">
        <v>90</v>
      </c>
      <c r="T704">
        <v>0</v>
      </c>
      <c r="U704" t="s">
        <v>90</v>
      </c>
      <c r="V704">
        <v>0</v>
      </c>
      <c r="W704" t="s">
        <v>90</v>
      </c>
      <c r="X704">
        <v>0</v>
      </c>
      <c r="Y704">
        <v>0.40151876843324341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63</v>
      </c>
      <c r="AF704">
        <v>225</v>
      </c>
      <c r="AG704">
        <v>242</v>
      </c>
      <c r="AI704">
        <v>0.13900000000000001</v>
      </c>
      <c r="AK704" t="s">
        <v>740</v>
      </c>
      <c r="AL704" t="s">
        <v>399</v>
      </c>
      <c r="AM704">
        <v>200000</v>
      </c>
      <c r="AN704" t="s">
        <v>73</v>
      </c>
      <c r="AO704">
        <v>1</v>
      </c>
      <c r="AP704">
        <v>0</v>
      </c>
      <c r="AQ704">
        <v>16666.666666666668</v>
      </c>
      <c r="AR704" t="s">
        <v>2320</v>
      </c>
      <c r="AS704" t="s">
        <v>75</v>
      </c>
      <c r="AX704" t="s">
        <v>76</v>
      </c>
      <c r="AY704" t="s">
        <v>176</v>
      </c>
      <c r="AZ704">
        <v>0</v>
      </c>
      <c r="BA704" t="s">
        <v>176</v>
      </c>
      <c r="BB704">
        <v>0</v>
      </c>
    </row>
    <row r="705" spans="1:56" x14ac:dyDescent="0.15">
      <c r="A705" s="4" t="str">
        <f>HYPERLINK("https://ibp.a2mac1.com/costing(costing:projects/details/9760/part/8412649)","Suspension")</f>
        <v>Suspension</v>
      </c>
      <c r="B705">
        <v>8412649</v>
      </c>
      <c r="C705">
        <v>8412568</v>
      </c>
      <c r="D705" t="s">
        <v>2039</v>
      </c>
      <c r="E705">
        <v>0.71799999999999997</v>
      </c>
      <c r="F705">
        <v>0</v>
      </c>
      <c r="G705">
        <v>0</v>
      </c>
      <c r="H705">
        <v>0</v>
      </c>
      <c r="I705" t="s">
        <v>71</v>
      </c>
      <c r="J705">
        <v>0</v>
      </c>
      <c r="K705">
        <v>0.71799999999999997</v>
      </c>
      <c r="L705">
        <v>0</v>
      </c>
      <c r="M705">
        <v>0</v>
      </c>
      <c r="N705">
        <v>0.71799999999999997</v>
      </c>
      <c r="O705" t="s">
        <v>71</v>
      </c>
      <c r="P705">
        <v>0</v>
      </c>
      <c r="Q705" t="s">
        <v>71</v>
      </c>
      <c r="R705">
        <v>0</v>
      </c>
      <c r="S705" t="s">
        <v>71</v>
      </c>
      <c r="T705">
        <v>0</v>
      </c>
      <c r="U705" t="s">
        <v>71</v>
      </c>
      <c r="V705">
        <v>0</v>
      </c>
      <c r="W705" t="s">
        <v>71</v>
      </c>
      <c r="X705">
        <v>0</v>
      </c>
      <c r="Y705">
        <v>0.71799999999999997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57</v>
      </c>
      <c r="AF705">
        <v>467</v>
      </c>
      <c r="AG705">
        <v>540</v>
      </c>
      <c r="AI705">
        <v>0.24199999999999999</v>
      </c>
      <c r="AK705" t="s">
        <v>740</v>
      </c>
      <c r="AL705" t="s">
        <v>405</v>
      </c>
      <c r="AM705">
        <v>200000</v>
      </c>
      <c r="AN705" t="s">
        <v>73</v>
      </c>
      <c r="AO705">
        <v>1</v>
      </c>
      <c r="AP705">
        <v>0</v>
      </c>
      <c r="AQ705">
        <v>16666.666666666668</v>
      </c>
      <c r="AR705" t="s">
        <v>2321</v>
      </c>
      <c r="AS705" t="s">
        <v>75</v>
      </c>
      <c r="AX705" t="s">
        <v>76</v>
      </c>
      <c r="AY705" t="s">
        <v>71</v>
      </c>
      <c r="AZ705">
        <v>0</v>
      </c>
      <c r="BA705" t="s">
        <v>71</v>
      </c>
      <c r="BB705">
        <v>0</v>
      </c>
      <c r="BD705">
        <v>0.71799999999999997</v>
      </c>
    </row>
    <row r="706" spans="1:56" x14ac:dyDescent="0.15">
      <c r="A706" s="4" t="str">
        <f>HYPERLINK("https://ibp.a2mac1.com/costing(costing:projects/details/9760/part/8412650)","Frame")</f>
        <v>Frame</v>
      </c>
      <c r="B706">
        <v>8412650</v>
      </c>
      <c r="C706">
        <v>8412568</v>
      </c>
      <c r="E706">
        <v>3.05</v>
      </c>
      <c r="F706">
        <v>0</v>
      </c>
      <c r="G706">
        <v>0</v>
      </c>
      <c r="H706">
        <v>1.5433000000000001E-2</v>
      </c>
      <c r="I706" t="s">
        <v>176</v>
      </c>
      <c r="J706">
        <v>0.10675</v>
      </c>
      <c r="K706">
        <v>3.172183</v>
      </c>
      <c r="L706">
        <v>1.3357515236099247</v>
      </c>
      <c r="M706">
        <v>8.0145091416595484</v>
      </c>
      <c r="N706">
        <v>11.186692141659549</v>
      </c>
      <c r="O706" t="s">
        <v>90</v>
      </c>
      <c r="P706">
        <v>0</v>
      </c>
      <c r="Q706" t="s">
        <v>90</v>
      </c>
      <c r="R706">
        <v>0</v>
      </c>
      <c r="S706" t="s">
        <v>90</v>
      </c>
      <c r="T706">
        <v>0</v>
      </c>
      <c r="U706" t="s">
        <v>90</v>
      </c>
      <c r="V706">
        <v>0</v>
      </c>
      <c r="W706" t="s">
        <v>90</v>
      </c>
      <c r="X706">
        <v>0</v>
      </c>
      <c r="Y706">
        <v>11.186692141659549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134</v>
      </c>
      <c r="AF706">
        <v>484</v>
      </c>
      <c r="AG706">
        <v>687</v>
      </c>
      <c r="AI706">
        <v>2.85</v>
      </c>
      <c r="AK706" t="s">
        <v>740</v>
      </c>
      <c r="AL706" t="s">
        <v>96</v>
      </c>
      <c r="AM706">
        <v>200000</v>
      </c>
      <c r="AN706" t="s">
        <v>73</v>
      </c>
      <c r="AO706">
        <v>1</v>
      </c>
      <c r="AP706">
        <v>0</v>
      </c>
      <c r="AQ706">
        <v>16666.666666666668</v>
      </c>
      <c r="AR706" t="s">
        <v>2324</v>
      </c>
      <c r="AS706" t="s">
        <v>75</v>
      </c>
      <c r="AX706" t="s">
        <v>76</v>
      </c>
      <c r="AY706" t="s">
        <v>176</v>
      </c>
      <c r="AZ706">
        <v>0</v>
      </c>
      <c r="BA706" t="s">
        <v>176</v>
      </c>
      <c r="BB706">
        <v>0</v>
      </c>
    </row>
    <row r="707" spans="1:56" x14ac:dyDescent="0.15">
      <c r="A707" s="4" t="str">
        <f>HYPERLINK("https://ibp.a2mac1.com/costing(costing:projects/details/9760/part/8412651)","2nd Pad")</f>
        <v>2nd Pad</v>
      </c>
      <c r="B707">
        <v>8412651</v>
      </c>
      <c r="C707">
        <v>8412568</v>
      </c>
      <c r="E707">
        <v>0.21</v>
      </c>
      <c r="F707">
        <v>0</v>
      </c>
      <c r="G707">
        <v>0</v>
      </c>
      <c r="H707">
        <v>1.0625999999999999E-3</v>
      </c>
      <c r="I707" t="s">
        <v>176</v>
      </c>
      <c r="J707">
        <v>7.3499999999999998E-3</v>
      </c>
      <c r="K707">
        <v>0.21841260000000001</v>
      </c>
      <c r="L707">
        <v>1.1188724885816749E-2</v>
      </c>
      <c r="M707">
        <v>6.7132349314900502E-2</v>
      </c>
      <c r="N707">
        <v>0.28554494931490049</v>
      </c>
      <c r="O707" t="s">
        <v>90</v>
      </c>
      <c r="P707">
        <v>0</v>
      </c>
      <c r="Q707" t="s">
        <v>90</v>
      </c>
      <c r="R707">
        <v>0</v>
      </c>
      <c r="S707" t="s">
        <v>90</v>
      </c>
      <c r="T707">
        <v>0</v>
      </c>
      <c r="U707" t="s">
        <v>90</v>
      </c>
      <c r="V707">
        <v>0</v>
      </c>
      <c r="W707" t="s">
        <v>90</v>
      </c>
      <c r="X707">
        <v>0</v>
      </c>
      <c r="Y707">
        <v>0.28554494931490049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15</v>
      </c>
      <c r="AF707">
        <v>315</v>
      </c>
      <c r="AG707">
        <v>475</v>
      </c>
      <c r="AI707">
        <v>8.8999999999999996E-2</v>
      </c>
      <c r="AK707" t="s">
        <v>740</v>
      </c>
      <c r="AL707" t="s">
        <v>403</v>
      </c>
      <c r="AM707">
        <v>200000</v>
      </c>
      <c r="AN707" t="s">
        <v>73</v>
      </c>
      <c r="AO707">
        <v>1</v>
      </c>
      <c r="AP707">
        <v>0</v>
      </c>
      <c r="AQ707">
        <v>16666.666666666668</v>
      </c>
      <c r="AR707" t="s">
        <v>2327</v>
      </c>
      <c r="AS707" t="s">
        <v>75</v>
      </c>
      <c r="AX707" t="s">
        <v>76</v>
      </c>
      <c r="AY707" t="s">
        <v>176</v>
      </c>
      <c r="AZ707">
        <v>0</v>
      </c>
      <c r="BA707" t="s">
        <v>176</v>
      </c>
      <c r="BB707">
        <v>0</v>
      </c>
    </row>
    <row r="708" spans="1:56" x14ac:dyDescent="0.15">
      <c r="A708" s="4" t="str">
        <f>HYPERLINK("https://ibp.a2mac1.com/costing(costing:projects/details/9760/part/8412652)","Pad")</f>
        <v>Pad</v>
      </c>
      <c r="B708">
        <v>8412652</v>
      </c>
      <c r="C708">
        <v>8412568</v>
      </c>
      <c r="E708">
        <v>2.82</v>
      </c>
      <c r="F708">
        <v>0</v>
      </c>
      <c r="G708">
        <v>0</v>
      </c>
      <c r="H708">
        <v>1.4269199999999999E-2</v>
      </c>
      <c r="I708" t="s">
        <v>176</v>
      </c>
      <c r="J708">
        <v>9.8699999999999996E-2</v>
      </c>
      <c r="K708">
        <v>2.9329692000000001</v>
      </c>
      <c r="L708">
        <v>0.13128241863680254</v>
      </c>
      <c r="M708">
        <v>0.78769451182081529</v>
      </c>
      <c r="N708">
        <v>3.7206637118208152</v>
      </c>
      <c r="O708" t="s">
        <v>90</v>
      </c>
      <c r="P708">
        <v>0</v>
      </c>
      <c r="Q708" t="s">
        <v>90</v>
      </c>
      <c r="R708">
        <v>0</v>
      </c>
      <c r="S708" t="s">
        <v>90</v>
      </c>
      <c r="T708">
        <v>0</v>
      </c>
      <c r="U708" t="s">
        <v>90</v>
      </c>
      <c r="V708">
        <v>0</v>
      </c>
      <c r="W708" t="s">
        <v>90</v>
      </c>
      <c r="X708">
        <v>0</v>
      </c>
      <c r="Y708">
        <v>3.7206637118208152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225</v>
      </c>
      <c r="AF708">
        <v>535</v>
      </c>
      <c r="AG708">
        <v>858</v>
      </c>
      <c r="AI708">
        <v>0.97</v>
      </c>
      <c r="AK708" t="s">
        <v>740</v>
      </c>
      <c r="AL708" t="s">
        <v>1957</v>
      </c>
      <c r="AM708">
        <v>200000</v>
      </c>
      <c r="AN708" t="s">
        <v>73</v>
      </c>
      <c r="AO708">
        <v>1</v>
      </c>
      <c r="AP708">
        <v>0</v>
      </c>
      <c r="AQ708">
        <v>16666.666666666668</v>
      </c>
      <c r="AR708" t="s">
        <v>2330</v>
      </c>
      <c r="AS708" t="s">
        <v>75</v>
      </c>
      <c r="AX708" t="s">
        <v>76</v>
      </c>
      <c r="AY708" t="s">
        <v>176</v>
      </c>
      <c r="AZ708">
        <v>0</v>
      </c>
      <c r="BA708" t="s">
        <v>176</v>
      </c>
      <c r="BB708">
        <v>0</v>
      </c>
    </row>
    <row r="709" spans="1:56" x14ac:dyDescent="0.15">
      <c r="A709" s="4" t="str">
        <f>HYPERLINK("https://ibp.a2mac1.com/costing(costing:projects/details/9760/part/8412653)","Cover")</f>
        <v>Cover</v>
      </c>
      <c r="B709">
        <v>8412653</v>
      </c>
      <c r="C709">
        <v>8412568</v>
      </c>
      <c r="E709">
        <v>22.05</v>
      </c>
      <c r="F709">
        <v>0</v>
      </c>
      <c r="G709">
        <v>0</v>
      </c>
      <c r="H709">
        <v>0.11157300000000001</v>
      </c>
      <c r="I709" t="s">
        <v>176</v>
      </c>
      <c r="J709">
        <v>0.77175000000000005</v>
      </c>
      <c r="K709">
        <v>22.933323000000001</v>
      </c>
      <c r="L709">
        <v>0.63461628215196353</v>
      </c>
      <c r="M709">
        <v>3.8076976929117814</v>
      </c>
      <c r="N709">
        <v>26.741020692911782</v>
      </c>
      <c r="O709" t="s">
        <v>90</v>
      </c>
      <c r="P709">
        <v>0</v>
      </c>
      <c r="Q709" t="s">
        <v>90</v>
      </c>
      <c r="R709">
        <v>0</v>
      </c>
      <c r="S709" t="s">
        <v>90</v>
      </c>
      <c r="T709">
        <v>0</v>
      </c>
      <c r="U709" t="s">
        <v>90</v>
      </c>
      <c r="V709">
        <v>0</v>
      </c>
      <c r="W709" t="s">
        <v>90</v>
      </c>
      <c r="X709">
        <v>0</v>
      </c>
      <c r="Y709">
        <v>26.741020692911782</v>
      </c>
      <c r="Z709">
        <v>0</v>
      </c>
      <c r="AA709">
        <v>0</v>
      </c>
      <c r="AB709">
        <v>0</v>
      </c>
      <c r="AC709">
        <v>0</v>
      </c>
      <c r="AD709">
        <v>0</v>
      </c>
      <c r="AI709">
        <v>0.749</v>
      </c>
      <c r="AK709" t="s">
        <v>740</v>
      </c>
      <c r="AL709" t="s">
        <v>1952</v>
      </c>
      <c r="AM709">
        <v>200000</v>
      </c>
      <c r="AN709" t="s">
        <v>73</v>
      </c>
      <c r="AO709">
        <v>1</v>
      </c>
      <c r="AP709">
        <v>0</v>
      </c>
      <c r="AQ709">
        <v>16666.666666666668</v>
      </c>
      <c r="AR709" t="s">
        <v>2333</v>
      </c>
      <c r="AS709" t="s">
        <v>75</v>
      </c>
      <c r="AX709" t="s">
        <v>76</v>
      </c>
      <c r="AY709" t="s">
        <v>176</v>
      </c>
      <c r="AZ709">
        <v>0</v>
      </c>
      <c r="BA709" t="s">
        <v>176</v>
      </c>
      <c r="BB709">
        <v>0</v>
      </c>
    </row>
    <row r="710" spans="1:56" x14ac:dyDescent="0.15">
      <c r="A710" s="4" t="str">
        <f>HYPERLINK("https://ibp.a2mac1.com/costing(costing:projects/details/9760/part/8412739)","Outer Side")</f>
        <v>Outer Side</v>
      </c>
      <c r="B710">
        <v>8412739</v>
      </c>
      <c r="C710">
        <v>8412659</v>
      </c>
      <c r="E710">
        <v>0.47</v>
      </c>
      <c r="F710">
        <v>0</v>
      </c>
      <c r="G710">
        <v>0</v>
      </c>
      <c r="H710">
        <v>2.3782E-3</v>
      </c>
      <c r="I710" t="s">
        <v>176</v>
      </c>
      <c r="J710">
        <v>1.6449999999999999E-2</v>
      </c>
      <c r="K710">
        <v>0.48882819999999999</v>
      </c>
      <c r="L710">
        <v>3.414781339703462E-2</v>
      </c>
      <c r="M710">
        <v>0.20488688038220773</v>
      </c>
      <c r="N710">
        <v>0.69371508038220775</v>
      </c>
      <c r="O710" t="s">
        <v>90</v>
      </c>
      <c r="P710">
        <v>0</v>
      </c>
      <c r="Q710" t="s">
        <v>90</v>
      </c>
      <c r="R710">
        <v>0</v>
      </c>
      <c r="S710" t="s">
        <v>90</v>
      </c>
      <c r="T710">
        <v>0</v>
      </c>
      <c r="U710" t="s">
        <v>90</v>
      </c>
      <c r="V710">
        <v>0</v>
      </c>
      <c r="W710" t="s">
        <v>90</v>
      </c>
      <c r="X710">
        <v>0</v>
      </c>
      <c r="Y710">
        <v>0.69371508038220775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62</v>
      </c>
      <c r="AF710">
        <v>590</v>
      </c>
      <c r="AG710">
        <v>220</v>
      </c>
      <c r="AI710">
        <v>0.23100000000000001</v>
      </c>
      <c r="AK710" t="s">
        <v>740</v>
      </c>
      <c r="AL710" t="s">
        <v>951</v>
      </c>
      <c r="AM710">
        <v>200000</v>
      </c>
      <c r="AN710" t="s">
        <v>73</v>
      </c>
      <c r="AO710">
        <v>1</v>
      </c>
      <c r="AP710">
        <v>0</v>
      </c>
      <c r="AQ710">
        <v>16666.666666666668</v>
      </c>
      <c r="AR710" t="s">
        <v>2339</v>
      </c>
      <c r="AS710" t="s">
        <v>75</v>
      </c>
      <c r="AX710" t="s">
        <v>76</v>
      </c>
      <c r="AY710" t="s">
        <v>176</v>
      </c>
      <c r="AZ710">
        <v>0</v>
      </c>
      <c r="BA710" t="s">
        <v>176</v>
      </c>
      <c r="BB710">
        <v>0</v>
      </c>
    </row>
    <row r="711" spans="1:56" x14ac:dyDescent="0.15">
      <c r="A711" s="4" t="str">
        <f>HYPERLINK("https://ibp.a2mac1.com/costing(costing:projects/details/9760/part/8412740)","Inner Side")</f>
        <v>Inner Side</v>
      </c>
      <c r="B711">
        <v>8412740</v>
      </c>
      <c r="C711">
        <v>8412659</v>
      </c>
      <c r="E711">
        <v>0.21</v>
      </c>
      <c r="F711">
        <v>0</v>
      </c>
      <c r="G711">
        <v>0</v>
      </c>
      <c r="H711">
        <v>1.0625999999999999E-3</v>
      </c>
      <c r="I711" t="s">
        <v>176</v>
      </c>
      <c r="J711">
        <v>7.3499999999999998E-3</v>
      </c>
      <c r="K711">
        <v>0.21841260000000001</v>
      </c>
      <c r="L711">
        <v>1.8253059812345325E-2</v>
      </c>
      <c r="M711">
        <v>0.10951835887407195</v>
      </c>
      <c r="N711">
        <v>0.32793095887407198</v>
      </c>
      <c r="O711" t="s">
        <v>90</v>
      </c>
      <c r="P711">
        <v>0</v>
      </c>
      <c r="Q711" t="s">
        <v>90</v>
      </c>
      <c r="R711">
        <v>0</v>
      </c>
      <c r="S711" t="s">
        <v>90</v>
      </c>
      <c r="T711">
        <v>0</v>
      </c>
      <c r="U711" t="s">
        <v>90</v>
      </c>
      <c r="V711">
        <v>0</v>
      </c>
      <c r="W711" t="s">
        <v>90</v>
      </c>
      <c r="X711">
        <v>0</v>
      </c>
      <c r="Y711">
        <v>0.32793095887407198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49</v>
      </c>
      <c r="AF711">
        <v>258</v>
      </c>
      <c r="AG711">
        <v>170</v>
      </c>
      <c r="AI711">
        <v>0.10199999999999999</v>
      </c>
      <c r="AK711" t="s">
        <v>740</v>
      </c>
      <c r="AL711" t="s">
        <v>951</v>
      </c>
      <c r="AM711">
        <v>200000</v>
      </c>
      <c r="AN711" t="s">
        <v>73</v>
      </c>
      <c r="AO711">
        <v>1</v>
      </c>
      <c r="AP711">
        <v>0</v>
      </c>
      <c r="AQ711">
        <v>16666.666666666668</v>
      </c>
      <c r="AR711" t="s">
        <v>2342</v>
      </c>
      <c r="AS711" t="s">
        <v>75</v>
      </c>
      <c r="AX711" t="s">
        <v>76</v>
      </c>
      <c r="AY711" t="s">
        <v>176</v>
      </c>
      <c r="AZ711">
        <v>0</v>
      </c>
      <c r="BA711" t="s">
        <v>176</v>
      </c>
      <c r="BB711">
        <v>0</v>
      </c>
    </row>
    <row r="712" spans="1:56" x14ac:dyDescent="0.15">
      <c r="A712" s="4" t="str">
        <f>HYPERLINK("https://ibp.a2mac1.com/costing(costing:projects/details/9760/part/8412741)","2nd Outer Cover")</f>
        <v>2nd Outer Cover</v>
      </c>
      <c r="B712">
        <v>8412741</v>
      </c>
      <c r="C712">
        <v>8412659</v>
      </c>
      <c r="E712">
        <v>0.23</v>
      </c>
      <c r="F712">
        <v>0</v>
      </c>
      <c r="G712">
        <v>0</v>
      </c>
      <c r="H712">
        <v>1.1638E-3</v>
      </c>
      <c r="I712" t="s">
        <v>176</v>
      </c>
      <c r="J712">
        <v>8.0499999999999999E-3</v>
      </c>
      <c r="K712">
        <v>0.2392138</v>
      </c>
      <c r="L712">
        <v>2.001914354397747E-2</v>
      </c>
      <c r="M712">
        <v>0.12011486126386482</v>
      </c>
      <c r="N712">
        <v>0.35932866126386481</v>
      </c>
      <c r="O712" t="s">
        <v>90</v>
      </c>
      <c r="P712">
        <v>0</v>
      </c>
      <c r="Q712" t="s">
        <v>90</v>
      </c>
      <c r="R712">
        <v>0</v>
      </c>
      <c r="S712" t="s">
        <v>90</v>
      </c>
      <c r="T712">
        <v>0</v>
      </c>
      <c r="U712" t="s">
        <v>90</v>
      </c>
      <c r="V712">
        <v>0</v>
      </c>
      <c r="W712" t="s">
        <v>90</v>
      </c>
      <c r="X712">
        <v>0</v>
      </c>
      <c r="Y712">
        <v>0.35932866126386481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30</v>
      </c>
      <c r="AF712">
        <v>258</v>
      </c>
      <c r="AG712">
        <v>195</v>
      </c>
      <c r="AI712">
        <v>0.11</v>
      </c>
      <c r="AK712" t="s">
        <v>740</v>
      </c>
      <c r="AL712" t="s">
        <v>951</v>
      </c>
      <c r="AM712">
        <v>200000</v>
      </c>
      <c r="AN712" t="s">
        <v>73</v>
      </c>
      <c r="AO712">
        <v>1</v>
      </c>
      <c r="AP712">
        <v>0</v>
      </c>
      <c r="AQ712">
        <v>16666.666666666668</v>
      </c>
      <c r="AR712" t="s">
        <v>2345</v>
      </c>
      <c r="AS712" t="s">
        <v>75</v>
      </c>
      <c r="AX712" t="s">
        <v>76</v>
      </c>
      <c r="AY712" t="s">
        <v>176</v>
      </c>
      <c r="AZ712">
        <v>0</v>
      </c>
      <c r="BA712" t="s">
        <v>176</v>
      </c>
      <c r="BB712">
        <v>0</v>
      </c>
    </row>
    <row r="713" spans="1:56" x14ac:dyDescent="0.15">
      <c r="A713" s="4" t="str">
        <f>HYPERLINK("https://ibp.a2mac1.com/costing(costing:projects/details/9760/part/8412742)","Exterior Trim Support")</f>
        <v>Exterior Trim Support</v>
      </c>
      <c r="B713">
        <v>8412742</v>
      </c>
      <c r="C713">
        <v>8412659</v>
      </c>
      <c r="E713">
        <v>0.17</v>
      </c>
      <c r="F713">
        <v>0</v>
      </c>
      <c r="G713">
        <v>0</v>
      </c>
      <c r="H713">
        <v>8.6019999999999998E-4</v>
      </c>
      <c r="I713" t="s">
        <v>176</v>
      </c>
      <c r="J713">
        <v>5.9500000000000004E-3</v>
      </c>
      <c r="K713">
        <v>0.1768102</v>
      </c>
      <c r="L713">
        <v>2.1785227275609612E-2</v>
      </c>
      <c r="M713">
        <v>0.13071136365365768</v>
      </c>
      <c r="N713">
        <v>0.30752156365365768</v>
      </c>
      <c r="O713" t="s">
        <v>90</v>
      </c>
      <c r="P713">
        <v>0</v>
      </c>
      <c r="Q713" t="s">
        <v>90</v>
      </c>
      <c r="R713">
        <v>0</v>
      </c>
      <c r="S713" t="s">
        <v>90</v>
      </c>
      <c r="T713">
        <v>0</v>
      </c>
      <c r="U713" t="s">
        <v>90</v>
      </c>
      <c r="V713">
        <v>0</v>
      </c>
      <c r="W713" t="s">
        <v>90</v>
      </c>
      <c r="X713">
        <v>0</v>
      </c>
      <c r="Y713">
        <v>0.30752156365365768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52</v>
      </c>
      <c r="AF713">
        <v>497</v>
      </c>
      <c r="AG713">
        <v>118</v>
      </c>
      <c r="AI713">
        <v>0.2</v>
      </c>
      <c r="AK713" t="s">
        <v>740</v>
      </c>
      <c r="AL713" t="s">
        <v>96</v>
      </c>
      <c r="AM713">
        <v>200000</v>
      </c>
      <c r="AN713" t="s">
        <v>73</v>
      </c>
      <c r="AO713">
        <v>1</v>
      </c>
      <c r="AP713">
        <v>0</v>
      </c>
      <c r="AQ713">
        <v>16666.666666666668</v>
      </c>
      <c r="AR713" t="s">
        <v>2348</v>
      </c>
      <c r="AS713" t="s">
        <v>75</v>
      </c>
      <c r="AX713" t="s">
        <v>76</v>
      </c>
      <c r="AY713" t="s">
        <v>176</v>
      </c>
      <c r="AZ713">
        <v>0</v>
      </c>
      <c r="BA713" t="s">
        <v>176</v>
      </c>
      <c r="BB713">
        <v>0</v>
      </c>
    </row>
    <row r="714" spans="1:56" x14ac:dyDescent="0.15">
      <c r="A714" s="4" t="str">
        <f>HYPERLINK("https://ibp.a2mac1.com/costing(costing:projects/details/9760/part/8412743)","Exterior Trim 2nd Support")</f>
        <v>Exterior Trim 2nd Support</v>
      </c>
      <c r="B714">
        <v>8412743</v>
      </c>
      <c r="C714">
        <v>8412659</v>
      </c>
      <c r="E714">
        <v>0.08</v>
      </c>
      <c r="F714">
        <v>0</v>
      </c>
      <c r="G714">
        <v>0</v>
      </c>
      <c r="H714">
        <v>4.0479999999999997E-4</v>
      </c>
      <c r="I714" t="s">
        <v>176</v>
      </c>
      <c r="J714">
        <v>2.8E-3</v>
      </c>
      <c r="K714">
        <v>8.3204799999999995E-2</v>
      </c>
      <c r="L714">
        <v>7.6565574225524614E-3</v>
      </c>
      <c r="M714">
        <v>4.5939344535314765E-2</v>
      </c>
      <c r="N714">
        <v>0.12914414453531478</v>
      </c>
      <c r="O714" t="s">
        <v>90</v>
      </c>
      <c r="P714">
        <v>0</v>
      </c>
      <c r="Q714" t="s">
        <v>90</v>
      </c>
      <c r="R714">
        <v>0</v>
      </c>
      <c r="S714" t="s">
        <v>90</v>
      </c>
      <c r="T714">
        <v>0</v>
      </c>
      <c r="U714" t="s">
        <v>90</v>
      </c>
      <c r="V714">
        <v>0</v>
      </c>
      <c r="W714" t="s">
        <v>90</v>
      </c>
      <c r="X714">
        <v>0</v>
      </c>
      <c r="Y714">
        <v>0.12914414453531478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42</v>
      </c>
      <c r="AF714">
        <v>225</v>
      </c>
      <c r="AG714">
        <v>123</v>
      </c>
      <c r="AI714">
        <v>3.7999999999999999E-2</v>
      </c>
      <c r="AK714" t="s">
        <v>740</v>
      </c>
      <c r="AL714" t="s">
        <v>951</v>
      </c>
      <c r="AM714">
        <v>200000</v>
      </c>
      <c r="AN714" t="s">
        <v>73</v>
      </c>
      <c r="AO714">
        <v>1</v>
      </c>
      <c r="AP714">
        <v>0</v>
      </c>
      <c r="AQ714">
        <v>16666.666666666668</v>
      </c>
      <c r="AR714" t="s">
        <v>2351</v>
      </c>
      <c r="AS714" t="s">
        <v>75</v>
      </c>
      <c r="AX714" t="s">
        <v>76</v>
      </c>
      <c r="AY714" t="s">
        <v>176</v>
      </c>
      <c r="AZ714">
        <v>0</v>
      </c>
      <c r="BA714" t="s">
        <v>176</v>
      </c>
      <c r="BB714">
        <v>0</v>
      </c>
    </row>
    <row r="715" spans="1:56" x14ac:dyDescent="0.15">
      <c r="A715" s="4" t="str">
        <f>HYPERLINK("https://ibp.a2mac1.com/costing(costing:projects/details/9760/part/8412744)","Interior Trim Support")</f>
        <v>Interior Trim Support</v>
      </c>
      <c r="B715">
        <v>8412744</v>
      </c>
      <c r="C715">
        <v>8412659</v>
      </c>
      <c r="E715">
        <v>0.08</v>
      </c>
      <c r="F715">
        <v>0</v>
      </c>
      <c r="G715">
        <v>0</v>
      </c>
      <c r="H715">
        <v>4.0479999999999997E-4</v>
      </c>
      <c r="I715" t="s">
        <v>176</v>
      </c>
      <c r="J715">
        <v>2.8E-3</v>
      </c>
      <c r="K715">
        <v>8.3204799999999995E-2</v>
      </c>
      <c r="L715">
        <v>7.6565574225524614E-3</v>
      </c>
      <c r="M715">
        <v>4.5939344535314765E-2</v>
      </c>
      <c r="N715">
        <v>0.12914414453531478</v>
      </c>
      <c r="O715" t="s">
        <v>90</v>
      </c>
      <c r="P715">
        <v>0</v>
      </c>
      <c r="Q715" t="s">
        <v>90</v>
      </c>
      <c r="R715">
        <v>0</v>
      </c>
      <c r="S715" t="s">
        <v>90</v>
      </c>
      <c r="T715">
        <v>0</v>
      </c>
      <c r="U715" t="s">
        <v>90</v>
      </c>
      <c r="V715">
        <v>0</v>
      </c>
      <c r="W715" t="s">
        <v>90</v>
      </c>
      <c r="X715">
        <v>0</v>
      </c>
      <c r="Y715">
        <v>0.12914414453531478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42</v>
      </c>
      <c r="AF715">
        <v>225</v>
      </c>
      <c r="AG715">
        <v>123</v>
      </c>
      <c r="AI715">
        <v>3.7999999999999999E-2</v>
      </c>
      <c r="AK715" t="s">
        <v>740</v>
      </c>
      <c r="AL715" t="s">
        <v>951</v>
      </c>
      <c r="AM715">
        <v>200000</v>
      </c>
      <c r="AN715" t="s">
        <v>73</v>
      </c>
      <c r="AO715">
        <v>1</v>
      </c>
      <c r="AP715">
        <v>0</v>
      </c>
      <c r="AQ715">
        <v>16666.666666666668</v>
      </c>
      <c r="AR715" t="s">
        <v>2354</v>
      </c>
      <c r="AS715" t="s">
        <v>75</v>
      </c>
      <c r="AX715" t="s">
        <v>76</v>
      </c>
      <c r="AY715" t="s">
        <v>176</v>
      </c>
      <c r="AZ715">
        <v>0</v>
      </c>
      <c r="BA715" t="s">
        <v>176</v>
      </c>
      <c r="BB715">
        <v>0</v>
      </c>
    </row>
    <row r="716" spans="1:56" x14ac:dyDescent="0.15">
      <c r="A716" s="4" t="str">
        <f>HYPERLINK("https://ibp.a2mac1.com/costing(costing:projects/details/9760/part/8412654)","Cover")</f>
        <v>Cover</v>
      </c>
      <c r="B716">
        <v>8412654</v>
      </c>
      <c r="C716">
        <v>8412569</v>
      </c>
      <c r="E716">
        <v>14.76</v>
      </c>
      <c r="F716">
        <v>0</v>
      </c>
      <c r="G716">
        <v>0</v>
      </c>
      <c r="H716">
        <v>7.4685600000000005E-2</v>
      </c>
      <c r="I716" t="s">
        <v>176</v>
      </c>
      <c r="J716">
        <v>0.51659999999999995</v>
      </c>
      <c r="K716">
        <v>15.351285600000001</v>
      </c>
      <c r="L716">
        <v>0.56044076542341359</v>
      </c>
      <c r="M716">
        <v>3.3626445925404811</v>
      </c>
      <c r="N716">
        <v>18.713930192540481</v>
      </c>
      <c r="O716" t="s">
        <v>90</v>
      </c>
      <c r="P716">
        <v>0</v>
      </c>
      <c r="Q716" t="s">
        <v>90</v>
      </c>
      <c r="R716">
        <v>0</v>
      </c>
      <c r="S716" t="s">
        <v>90</v>
      </c>
      <c r="T716">
        <v>0</v>
      </c>
      <c r="U716" t="s">
        <v>90</v>
      </c>
      <c r="V716">
        <v>0</v>
      </c>
      <c r="W716" t="s">
        <v>90</v>
      </c>
      <c r="X716">
        <v>0</v>
      </c>
      <c r="Y716">
        <v>18.713930192540481</v>
      </c>
      <c r="Z716">
        <v>0</v>
      </c>
      <c r="AA716">
        <v>0</v>
      </c>
      <c r="AB716">
        <v>0</v>
      </c>
      <c r="AC716">
        <v>0</v>
      </c>
      <c r="AD716">
        <v>0</v>
      </c>
      <c r="AI716">
        <v>0.71899999999999997</v>
      </c>
      <c r="AK716" t="s">
        <v>740</v>
      </c>
      <c r="AL716" t="s">
        <v>1952</v>
      </c>
      <c r="AM716">
        <v>200000</v>
      </c>
      <c r="AN716" t="s">
        <v>73</v>
      </c>
      <c r="AO716">
        <v>1</v>
      </c>
      <c r="AP716">
        <v>0</v>
      </c>
      <c r="AQ716">
        <v>16666.666666666668</v>
      </c>
      <c r="AR716" t="s">
        <v>2358</v>
      </c>
      <c r="AS716" t="s">
        <v>75</v>
      </c>
      <c r="AX716" t="s">
        <v>76</v>
      </c>
      <c r="AY716" t="s">
        <v>176</v>
      </c>
      <c r="AZ716">
        <v>0</v>
      </c>
      <c r="BA716" t="s">
        <v>176</v>
      </c>
      <c r="BB716">
        <v>0</v>
      </c>
    </row>
    <row r="717" spans="1:56" x14ac:dyDescent="0.15">
      <c r="A717" s="4" t="str">
        <f>HYPERLINK("https://ibp.a2mac1.com/costing(costing:projects/details/9760/part/8412655)","Pad")</f>
        <v>Pad</v>
      </c>
      <c r="B717">
        <v>8412655</v>
      </c>
      <c r="C717">
        <v>8412569</v>
      </c>
      <c r="E717">
        <v>2.85</v>
      </c>
      <c r="F717">
        <v>0</v>
      </c>
      <c r="G717">
        <v>0</v>
      </c>
      <c r="H717">
        <v>1.4421E-2</v>
      </c>
      <c r="I717" t="s">
        <v>176</v>
      </c>
      <c r="J717">
        <v>9.9750000000000005E-2</v>
      </c>
      <c r="K717">
        <v>2.9641709999999999</v>
      </c>
      <c r="L717">
        <v>0.13304850236843468</v>
      </c>
      <c r="M717">
        <v>0.79829101421060811</v>
      </c>
      <c r="N717">
        <v>3.762462014210608</v>
      </c>
      <c r="O717" t="s">
        <v>90</v>
      </c>
      <c r="P717">
        <v>0</v>
      </c>
      <c r="Q717" t="s">
        <v>90</v>
      </c>
      <c r="R717">
        <v>0</v>
      </c>
      <c r="S717" t="s">
        <v>90</v>
      </c>
      <c r="T717">
        <v>0</v>
      </c>
      <c r="U717" t="s">
        <v>90</v>
      </c>
      <c r="V717">
        <v>0</v>
      </c>
      <c r="W717" t="s">
        <v>90</v>
      </c>
      <c r="X717">
        <v>0</v>
      </c>
      <c r="Y717">
        <v>3.762462014210608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580</v>
      </c>
      <c r="AF717">
        <v>510</v>
      </c>
      <c r="AG717">
        <v>135</v>
      </c>
      <c r="AI717">
        <v>0.96599999999999997</v>
      </c>
      <c r="AK717" t="s">
        <v>740</v>
      </c>
      <c r="AL717" t="s">
        <v>1957</v>
      </c>
      <c r="AM717">
        <v>200000</v>
      </c>
      <c r="AN717" t="s">
        <v>73</v>
      </c>
      <c r="AO717">
        <v>1</v>
      </c>
      <c r="AP717">
        <v>0</v>
      </c>
      <c r="AQ717">
        <v>16666.666666666668</v>
      </c>
      <c r="AR717" t="s">
        <v>2361</v>
      </c>
      <c r="AS717" t="s">
        <v>75</v>
      </c>
      <c r="AX717" t="s">
        <v>76</v>
      </c>
      <c r="AY717" t="s">
        <v>176</v>
      </c>
      <c r="AZ717">
        <v>0</v>
      </c>
      <c r="BA717" t="s">
        <v>176</v>
      </c>
      <c r="BB717">
        <v>0</v>
      </c>
    </row>
    <row r="718" spans="1:56" x14ac:dyDescent="0.15">
      <c r="A718" s="4" t="str">
        <f>HYPERLINK("https://ibp.a2mac1.com/costing(costing:projects/details/9760/part/8412656)","Frame")</f>
        <v>Frame</v>
      </c>
      <c r="B718">
        <v>8412656</v>
      </c>
      <c r="C718">
        <v>8412569</v>
      </c>
      <c r="E718">
        <v>6.47</v>
      </c>
      <c r="F718">
        <v>0</v>
      </c>
      <c r="G718">
        <v>0</v>
      </c>
      <c r="H718">
        <v>3.2738200000000002E-2</v>
      </c>
      <c r="I718" t="s">
        <v>176</v>
      </c>
      <c r="J718">
        <v>0.22645000000000001</v>
      </c>
      <c r="K718">
        <v>6.7291882000000003</v>
      </c>
      <c r="L718">
        <v>0.69819529649072076</v>
      </c>
      <c r="M718">
        <v>4.189171778944325</v>
      </c>
      <c r="N718">
        <v>10.918359978944325</v>
      </c>
      <c r="O718" t="s">
        <v>90</v>
      </c>
      <c r="P718">
        <v>0</v>
      </c>
      <c r="Q718" t="s">
        <v>90</v>
      </c>
      <c r="R718">
        <v>0</v>
      </c>
      <c r="S718" t="s">
        <v>90</v>
      </c>
      <c r="T718">
        <v>0</v>
      </c>
      <c r="U718" t="s">
        <v>90</v>
      </c>
      <c r="V718">
        <v>0</v>
      </c>
      <c r="W718" t="s">
        <v>90</v>
      </c>
      <c r="X718">
        <v>0</v>
      </c>
      <c r="Y718">
        <v>10.918359978944325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580</v>
      </c>
      <c r="AF718">
        <v>483</v>
      </c>
      <c r="AG718">
        <v>172</v>
      </c>
      <c r="AI718">
        <v>3.6320000000000001</v>
      </c>
      <c r="AK718" t="s">
        <v>740</v>
      </c>
      <c r="AL718" t="s">
        <v>96</v>
      </c>
      <c r="AM718">
        <v>200000</v>
      </c>
      <c r="AN718" t="s">
        <v>73</v>
      </c>
      <c r="AO718">
        <v>1</v>
      </c>
      <c r="AP718">
        <v>0</v>
      </c>
      <c r="AQ718">
        <v>16666.666666666668</v>
      </c>
      <c r="AR718" t="s">
        <v>2364</v>
      </c>
      <c r="AS718" t="s">
        <v>75</v>
      </c>
      <c r="AX718" t="s">
        <v>76</v>
      </c>
      <c r="AY718" t="s">
        <v>176</v>
      </c>
      <c r="AZ718">
        <v>0</v>
      </c>
      <c r="BA718" t="s">
        <v>176</v>
      </c>
      <c r="BB718">
        <v>0</v>
      </c>
    </row>
    <row r="719" spans="1:56" x14ac:dyDescent="0.15">
      <c r="A719" s="4" t="str">
        <f>HYPERLINK("https://ibp.a2mac1.com/costing(costing:projects/details/9760/part/8412657)","Suspension")</f>
        <v>Suspension</v>
      </c>
      <c r="B719">
        <v>8412657</v>
      </c>
      <c r="C719">
        <v>8412569</v>
      </c>
      <c r="D719" t="s">
        <v>2088</v>
      </c>
      <c r="E719">
        <v>1.4592099999999999</v>
      </c>
      <c r="F719">
        <v>0</v>
      </c>
      <c r="G719">
        <v>0</v>
      </c>
      <c r="H719">
        <v>0</v>
      </c>
      <c r="I719" t="s">
        <v>71</v>
      </c>
      <c r="J719">
        <v>0</v>
      </c>
      <c r="K719">
        <v>1.4592099999999999</v>
      </c>
      <c r="L719">
        <v>0</v>
      </c>
      <c r="M719">
        <v>0</v>
      </c>
      <c r="N719">
        <v>1.4592099999999999</v>
      </c>
      <c r="O719" t="s">
        <v>71</v>
      </c>
      <c r="P719">
        <v>0</v>
      </c>
      <c r="Q719" t="s">
        <v>71</v>
      </c>
      <c r="R719">
        <v>0</v>
      </c>
      <c r="S719" t="s">
        <v>71</v>
      </c>
      <c r="T719">
        <v>0</v>
      </c>
      <c r="U719" t="s">
        <v>71</v>
      </c>
      <c r="V719">
        <v>0</v>
      </c>
      <c r="W719" t="s">
        <v>71</v>
      </c>
      <c r="X719">
        <v>0</v>
      </c>
      <c r="Y719">
        <v>1.4592099999999999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315</v>
      </c>
      <c r="AF719">
        <v>322</v>
      </c>
      <c r="AG719">
        <v>68</v>
      </c>
      <c r="AI719">
        <v>0.26</v>
      </c>
      <c r="AK719" t="s">
        <v>740</v>
      </c>
      <c r="AL719" t="s">
        <v>911</v>
      </c>
      <c r="AM719">
        <v>200000</v>
      </c>
      <c r="AN719" t="s">
        <v>73</v>
      </c>
      <c r="AO719">
        <v>1</v>
      </c>
      <c r="AP719">
        <v>0</v>
      </c>
      <c r="AQ719">
        <v>16666.666666666668</v>
      </c>
      <c r="AR719" t="s">
        <v>2365</v>
      </c>
      <c r="AS719" t="s">
        <v>75</v>
      </c>
      <c r="AX719" t="s">
        <v>76</v>
      </c>
      <c r="AY719" t="s">
        <v>71</v>
      </c>
      <c r="AZ719">
        <v>0</v>
      </c>
      <c r="BA719" t="s">
        <v>71</v>
      </c>
      <c r="BB719">
        <v>0</v>
      </c>
      <c r="BD719">
        <v>1.4592099999999999</v>
      </c>
    </row>
    <row r="720" spans="1:56" x14ac:dyDescent="0.15">
      <c r="A720" s="4" t="str">
        <f>HYPERLINK("https://ibp.a2mac1.com/costing(costing:projects/details/9760/part/8412658)","Interior Pad")</f>
        <v>Interior Pad</v>
      </c>
      <c r="B720">
        <v>8412658</v>
      </c>
      <c r="C720">
        <v>8412569</v>
      </c>
      <c r="E720">
        <v>0.21</v>
      </c>
      <c r="F720">
        <v>0</v>
      </c>
      <c r="G720">
        <v>0</v>
      </c>
      <c r="H720">
        <v>1.0625999999999999E-3</v>
      </c>
      <c r="I720" t="s">
        <v>176</v>
      </c>
      <c r="J720">
        <v>7.3499999999999998E-3</v>
      </c>
      <c r="K720">
        <v>0.21841260000000001</v>
      </c>
      <c r="L720">
        <v>1.1188724885816749E-2</v>
      </c>
      <c r="M720">
        <v>6.7132349314900502E-2</v>
      </c>
      <c r="N720">
        <v>0.28554494931490049</v>
      </c>
      <c r="O720" t="s">
        <v>90</v>
      </c>
      <c r="P720">
        <v>0</v>
      </c>
      <c r="Q720" t="s">
        <v>90</v>
      </c>
      <c r="R720">
        <v>0</v>
      </c>
      <c r="S720" t="s">
        <v>90</v>
      </c>
      <c r="T720">
        <v>0</v>
      </c>
      <c r="U720" t="s">
        <v>90</v>
      </c>
      <c r="V720">
        <v>0</v>
      </c>
      <c r="W720" t="s">
        <v>90</v>
      </c>
      <c r="X720">
        <v>0</v>
      </c>
      <c r="Y720">
        <v>0.28554494931490049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450</v>
      </c>
      <c r="AF720">
        <v>355</v>
      </c>
      <c r="AG720">
        <v>15</v>
      </c>
      <c r="AI720">
        <v>9.5000000000000001E-2</v>
      </c>
      <c r="AK720" t="s">
        <v>740</v>
      </c>
      <c r="AL720" t="s">
        <v>1957</v>
      </c>
      <c r="AM720">
        <v>200000</v>
      </c>
      <c r="AN720" t="s">
        <v>73</v>
      </c>
      <c r="AO720">
        <v>1</v>
      </c>
      <c r="AP720">
        <v>0</v>
      </c>
      <c r="AQ720">
        <v>16666.666666666668</v>
      </c>
      <c r="AR720" t="s">
        <v>2368</v>
      </c>
      <c r="AS720" t="s">
        <v>75</v>
      </c>
      <c r="AX720" t="s">
        <v>76</v>
      </c>
      <c r="AY720" t="s">
        <v>176</v>
      </c>
      <c r="AZ720">
        <v>0</v>
      </c>
      <c r="BA720" t="s">
        <v>176</v>
      </c>
      <c r="BB720">
        <v>0</v>
      </c>
    </row>
    <row r="721" spans="1:56" x14ac:dyDescent="0.15">
      <c r="A721" s="4" t="str">
        <f>HYPERLINK("https://ibp.a2mac1.com/costing(costing:projects/details/9760/part/8412745)","Airbag Cylinder")</f>
        <v>Airbag Cylinder</v>
      </c>
      <c r="B721">
        <v>8412745</v>
      </c>
      <c r="C721">
        <v>8412660</v>
      </c>
      <c r="D721" t="s">
        <v>756</v>
      </c>
      <c r="E721">
        <v>5.9299900000000001</v>
      </c>
      <c r="F721">
        <v>0</v>
      </c>
      <c r="G721">
        <v>0</v>
      </c>
      <c r="H721">
        <v>0</v>
      </c>
      <c r="I721" t="s">
        <v>71</v>
      </c>
      <c r="J721">
        <v>0</v>
      </c>
      <c r="K721">
        <v>5.9299900000000001</v>
      </c>
      <c r="L721">
        <v>0</v>
      </c>
      <c r="M721">
        <v>0</v>
      </c>
      <c r="N721">
        <v>5.9299900000000001</v>
      </c>
      <c r="O721" t="s">
        <v>71</v>
      </c>
      <c r="P721">
        <v>0</v>
      </c>
      <c r="Q721" t="s">
        <v>71</v>
      </c>
      <c r="R721">
        <v>0</v>
      </c>
      <c r="S721" t="s">
        <v>71</v>
      </c>
      <c r="T721">
        <v>0</v>
      </c>
      <c r="U721" t="s">
        <v>71</v>
      </c>
      <c r="V721">
        <v>0</v>
      </c>
      <c r="W721" t="s">
        <v>71</v>
      </c>
      <c r="X721">
        <v>0</v>
      </c>
      <c r="Y721">
        <v>5.9299900000000001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46</v>
      </c>
      <c r="AF721">
        <v>27</v>
      </c>
      <c r="AG721">
        <v>147</v>
      </c>
      <c r="AI721">
        <v>0.184</v>
      </c>
      <c r="AK721" t="s">
        <v>740</v>
      </c>
      <c r="AL721" t="s">
        <v>788</v>
      </c>
      <c r="AM721">
        <v>200000</v>
      </c>
      <c r="AN721" t="s">
        <v>97</v>
      </c>
      <c r="AO721">
        <v>1</v>
      </c>
      <c r="AP721">
        <v>0</v>
      </c>
      <c r="AQ721">
        <v>16666.666666666668</v>
      </c>
      <c r="AR721" t="s">
        <v>2372</v>
      </c>
      <c r="AS721" t="s">
        <v>75</v>
      </c>
      <c r="AX721" t="s">
        <v>76</v>
      </c>
      <c r="AY721" t="s">
        <v>71</v>
      </c>
      <c r="AZ721">
        <v>0</v>
      </c>
      <c r="BA721" t="s">
        <v>71</v>
      </c>
      <c r="BB721">
        <v>0</v>
      </c>
      <c r="BD721">
        <v>5.9299900000000001</v>
      </c>
    </row>
    <row r="722" spans="1:56" x14ac:dyDescent="0.15">
      <c r="A722" s="4" t="str">
        <f>HYPERLINK("https://ibp.a2mac1.com/costing(costing:projects/details/9760/part/8412746)","Side Airbag")</f>
        <v>Side Airbag</v>
      </c>
      <c r="B722">
        <v>8412746</v>
      </c>
      <c r="C722">
        <v>8412660</v>
      </c>
      <c r="E722">
        <v>4.08</v>
      </c>
      <c r="F722">
        <v>0</v>
      </c>
      <c r="G722">
        <v>0</v>
      </c>
      <c r="H722">
        <v>2.0644800000000001E-2</v>
      </c>
      <c r="I722" t="s">
        <v>176</v>
      </c>
      <c r="J722">
        <v>0.14280000000000001</v>
      </c>
      <c r="K722">
        <v>4.2434447999999998</v>
      </c>
      <c r="L722">
        <v>0.10479116266232039</v>
      </c>
      <c r="M722">
        <v>0.62874697597392226</v>
      </c>
      <c r="N722">
        <v>4.8721917759739224</v>
      </c>
      <c r="O722" t="s">
        <v>90</v>
      </c>
      <c r="P722">
        <v>0</v>
      </c>
      <c r="Q722" t="s">
        <v>90</v>
      </c>
      <c r="R722">
        <v>0</v>
      </c>
      <c r="S722" t="s">
        <v>90</v>
      </c>
      <c r="T722">
        <v>0</v>
      </c>
      <c r="U722" t="s">
        <v>90</v>
      </c>
      <c r="V722">
        <v>0</v>
      </c>
      <c r="W722" t="s">
        <v>90</v>
      </c>
      <c r="X722">
        <v>0</v>
      </c>
      <c r="Y722">
        <v>4.8721917759739224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5</v>
      </c>
      <c r="AF722">
        <v>440</v>
      </c>
      <c r="AG722">
        <v>565</v>
      </c>
      <c r="AI722">
        <v>0.14299999999999999</v>
      </c>
      <c r="AK722" t="s">
        <v>740</v>
      </c>
      <c r="AL722" t="s">
        <v>2095</v>
      </c>
      <c r="AM722">
        <v>200000</v>
      </c>
      <c r="AN722" t="s">
        <v>73</v>
      </c>
      <c r="AO722">
        <v>1</v>
      </c>
      <c r="AP722">
        <v>0</v>
      </c>
      <c r="AQ722">
        <v>16666.666666666668</v>
      </c>
      <c r="AR722" t="s">
        <v>2375</v>
      </c>
      <c r="AS722" t="s">
        <v>75</v>
      </c>
      <c r="AX722" t="s">
        <v>76</v>
      </c>
      <c r="AY722" t="s">
        <v>176</v>
      </c>
      <c r="AZ722">
        <v>0</v>
      </c>
      <c r="BA722" t="s">
        <v>176</v>
      </c>
      <c r="BB722">
        <v>0</v>
      </c>
    </row>
    <row r="723" spans="1:56" x14ac:dyDescent="0.15">
      <c r="A723" s="4" t="str">
        <f>HYPERLINK("https://ibp.a2mac1.com/costing(costing:projects/details/9760/part/8412747)","Side Airbag Garnish")</f>
        <v>Side Airbag Garnish</v>
      </c>
      <c r="B723">
        <v>8412747</v>
      </c>
      <c r="C723">
        <v>8412660</v>
      </c>
      <c r="D723" t="s">
        <v>2099</v>
      </c>
      <c r="E723">
        <v>0.29998999999999998</v>
      </c>
      <c r="F723">
        <v>0</v>
      </c>
      <c r="G723">
        <v>0</v>
      </c>
      <c r="H723">
        <v>0</v>
      </c>
      <c r="I723" t="s">
        <v>71</v>
      </c>
      <c r="J723">
        <v>0</v>
      </c>
      <c r="K723">
        <v>0.29998999999999998</v>
      </c>
      <c r="L723">
        <v>0</v>
      </c>
      <c r="M723">
        <v>0</v>
      </c>
      <c r="N723">
        <v>0.29998999999999998</v>
      </c>
      <c r="O723" t="s">
        <v>71</v>
      </c>
      <c r="P723">
        <v>0</v>
      </c>
      <c r="Q723" t="s">
        <v>71</v>
      </c>
      <c r="R723">
        <v>0</v>
      </c>
      <c r="S723" t="s">
        <v>71</v>
      </c>
      <c r="T723">
        <v>0</v>
      </c>
      <c r="U723" t="s">
        <v>71</v>
      </c>
      <c r="V723">
        <v>0</v>
      </c>
      <c r="W723" t="s">
        <v>71</v>
      </c>
      <c r="X723">
        <v>0</v>
      </c>
      <c r="Y723">
        <v>0.29998999999999998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155</v>
      </c>
      <c r="AG723">
        <v>300</v>
      </c>
      <c r="AI723">
        <v>6.0000000000000001E-3</v>
      </c>
      <c r="AK723" t="s">
        <v>740</v>
      </c>
      <c r="AL723" t="s">
        <v>399</v>
      </c>
      <c r="AM723">
        <v>200000</v>
      </c>
      <c r="AN723" t="s">
        <v>97</v>
      </c>
      <c r="AO723">
        <v>1</v>
      </c>
      <c r="AP723">
        <v>0</v>
      </c>
      <c r="AQ723">
        <v>16666.666666666668</v>
      </c>
      <c r="AR723" t="s">
        <v>2376</v>
      </c>
      <c r="AS723" t="s">
        <v>75</v>
      </c>
      <c r="AX723" t="s">
        <v>76</v>
      </c>
      <c r="AY723" t="s">
        <v>71</v>
      </c>
      <c r="AZ723">
        <v>0</v>
      </c>
      <c r="BA723" t="s">
        <v>71</v>
      </c>
      <c r="BB723">
        <v>0</v>
      </c>
      <c r="BD723">
        <v>0.29998999999999998</v>
      </c>
    </row>
    <row r="724" spans="1:56" x14ac:dyDescent="0.15">
      <c r="A724" s="4" t="str">
        <f>HYPERLINK("https://ibp.a2mac1.com/costing(costing:projects/details/9760/part/8412748)","Sensor Mat")</f>
        <v>Sensor Mat</v>
      </c>
      <c r="B724">
        <v>8412748</v>
      </c>
      <c r="C724">
        <v>8412661</v>
      </c>
      <c r="E724">
        <v>5</v>
      </c>
      <c r="F724">
        <v>0</v>
      </c>
      <c r="G724">
        <v>0</v>
      </c>
      <c r="H724">
        <v>0</v>
      </c>
      <c r="I724" t="s">
        <v>71</v>
      </c>
      <c r="J724">
        <v>0</v>
      </c>
      <c r="K724">
        <v>5</v>
      </c>
      <c r="L724">
        <v>0</v>
      </c>
      <c r="M724">
        <v>0</v>
      </c>
      <c r="N724">
        <v>5</v>
      </c>
      <c r="O724" t="s">
        <v>71</v>
      </c>
      <c r="P724">
        <v>0</v>
      </c>
      <c r="Q724" t="s">
        <v>71</v>
      </c>
      <c r="R724">
        <v>0</v>
      </c>
      <c r="S724" t="s">
        <v>71</v>
      </c>
      <c r="T724">
        <v>0</v>
      </c>
      <c r="U724" t="s">
        <v>71</v>
      </c>
      <c r="V724">
        <v>0</v>
      </c>
      <c r="W724" t="s">
        <v>71</v>
      </c>
      <c r="X724">
        <v>0</v>
      </c>
      <c r="Y724">
        <v>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5</v>
      </c>
      <c r="AF724">
        <v>113</v>
      </c>
      <c r="AG724">
        <v>350</v>
      </c>
      <c r="AI724">
        <v>1.6E-2</v>
      </c>
      <c r="AK724" t="s">
        <v>284</v>
      </c>
      <c r="AL724" t="s">
        <v>1433</v>
      </c>
      <c r="AM724">
        <v>200000</v>
      </c>
      <c r="AN724" t="s">
        <v>97</v>
      </c>
      <c r="AO724">
        <v>1</v>
      </c>
      <c r="AP724">
        <v>0</v>
      </c>
      <c r="AQ724">
        <v>16666.666666666668</v>
      </c>
      <c r="AR724" t="s">
        <v>2380</v>
      </c>
      <c r="AS724" t="s">
        <v>75</v>
      </c>
      <c r="AX724" t="s">
        <v>76</v>
      </c>
      <c r="AY724" t="s">
        <v>71</v>
      </c>
      <c r="AZ724">
        <v>0</v>
      </c>
      <c r="BA724" t="s">
        <v>71</v>
      </c>
      <c r="BB724">
        <v>0</v>
      </c>
      <c r="BD724">
        <v>5</v>
      </c>
    </row>
    <row r="725" spans="1:56" x14ac:dyDescent="0.15">
      <c r="A725" s="4" t="str">
        <f>HYPERLINK("https://ibp.a2mac1.com/costing(costing:projects/details/9760/part/8412815)","Inner Side")</f>
        <v>Inner Side</v>
      </c>
      <c r="B725">
        <v>8412815</v>
      </c>
      <c r="C725">
        <v>8412754</v>
      </c>
      <c r="E725">
        <v>2.2999999999999998</v>
      </c>
      <c r="F725">
        <v>0</v>
      </c>
      <c r="G725">
        <v>0</v>
      </c>
      <c r="H725">
        <v>1.1638000000000001E-2</v>
      </c>
      <c r="I725" t="s">
        <v>176</v>
      </c>
      <c r="J725">
        <v>8.0500000000000002E-2</v>
      </c>
      <c r="K725">
        <v>2.3921380000000001</v>
      </c>
      <c r="L725">
        <v>0.53748167691219562</v>
      </c>
      <c r="M725">
        <v>3.2248900614731739</v>
      </c>
      <c r="N725">
        <v>5.6170280614731736</v>
      </c>
      <c r="O725" t="s">
        <v>90</v>
      </c>
      <c r="P725">
        <v>0</v>
      </c>
      <c r="Q725" t="s">
        <v>90</v>
      </c>
      <c r="R725">
        <v>0</v>
      </c>
      <c r="S725" t="s">
        <v>90</v>
      </c>
      <c r="T725">
        <v>0</v>
      </c>
      <c r="U725" t="s">
        <v>90</v>
      </c>
      <c r="V725">
        <v>0</v>
      </c>
      <c r="W725" t="s">
        <v>90</v>
      </c>
      <c r="X725">
        <v>0</v>
      </c>
      <c r="Y725">
        <v>5.6170280614731736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475</v>
      </c>
      <c r="AF725">
        <v>60</v>
      </c>
      <c r="AG725">
        <v>108</v>
      </c>
      <c r="AI725">
        <v>1.784</v>
      </c>
      <c r="AK725" t="s">
        <v>740</v>
      </c>
      <c r="AL725" t="s">
        <v>96</v>
      </c>
      <c r="AM725">
        <v>200000</v>
      </c>
      <c r="AN725" t="s">
        <v>73</v>
      </c>
      <c r="AO725">
        <v>1</v>
      </c>
      <c r="AP725">
        <v>0</v>
      </c>
      <c r="AQ725">
        <v>16666.666666666668</v>
      </c>
      <c r="AR725" t="s">
        <v>2388</v>
      </c>
      <c r="AS725" t="s">
        <v>75</v>
      </c>
      <c r="AX725" t="s">
        <v>76</v>
      </c>
      <c r="AY725" t="s">
        <v>176</v>
      </c>
      <c r="AZ725">
        <v>0</v>
      </c>
      <c r="BA725" t="s">
        <v>176</v>
      </c>
      <c r="BB725">
        <v>0</v>
      </c>
    </row>
    <row r="726" spans="1:56" x14ac:dyDescent="0.15">
      <c r="A726" s="4" t="str">
        <f>HYPERLINK("https://ibp.a2mac1.com/costing(costing:projects/details/9760/part/8412816)","Outer Side")</f>
        <v>Outer Side</v>
      </c>
      <c r="B726">
        <v>8412816</v>
      </c>
      <c r="C726">
        <v>8412754</v>
      </c>
      <c r="E726">
        <v>2.2999999999999998</v>
      </c>
      <c r="F726">
        <v>0</v>
      </c>
      <c r="G726">
        <v>0</v>
      </c>
      <c r="H726">
        <v>1.1638000000000001E-2</v>
      </c>
      <c r="I726" t="s">
        <v>176</v>
      </c>
      <c r="J726">
        <v>8.0500000000000002E-2</v>
      </c>
      <c r="K726">
        <v>2.3921380000000001</v>
      </c>
      <c r="L726">
        <v>0.53748167691219562</v>
      </c>
      <c r="M726">
        <v>3.2248900614731739</v>
      </c>
      <c r="N726">
        <v>5.6170280614731736</v>
      </c>
      <c r="O726" t="s">
        <v>90</v>
      </c>
      <c r="P726">
        <v>0</v>
      </c>
      <c r="Q726" t="s">
        <v>90</v>
      </c>
      <c r="R726">
        <v>0</v>
      </c>
      <c r="S726" t="s">
        <v>90</v>
      </c>
      <c r="T726">
        <v>0</v>
      </c>
      <c r="U726" t="s">
        <v>90</v>
      </c>
      <c r="V726">
        <v>0</v>
      </c>
      <c r="W726" t="s">
        <v>90</v>
      </c>
      <c r="X726">
        <v>0</v>
      </c>
      <c r="Y726">
        <v>5.6170280614731736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475</v>
      </c>
      <c r="AF726">
        <v>58</v>
      </c>
      <c r="AG726">
        <v>99</v>
      </c>
      <c r="AI726">
        <v>1.772</v>
      </c>
      <c r="AK726" t="s">
        <v>740</v>
      </c>
      <c r="AL726" t="s">
        <v>96</v>
      </c>
      <c r="AM726">
        <v>200000</v>
      </c>
      <c r="AN726" t="s">
        <v>73</v>
      </c>
      <c r="AO726">
        <v>1</v>
      </c>
      <c r="AP726">
        <v>0</v>
      </c>
      <c r="AQ726">
        <v>16666.666666666668</v>
      </c>
      <c r="AR726" t="s">
        <v>2391</v>
      </c>
      <c r="AS726" t="s">
        <v>75</v>
      </c>
      <c r="AX726" t="s">
        <v>76</v>
      </c>
      <c r="AY726" t="s">
        <v>176</v>
      </c>
      <c r="AZ726">
        <v>0</v>
      </c>
      <c r="BA726" t="s">
        <v>176</v>
      </c>
      <c r="BB726">
        <v>0</v>
      </c>
    </row>
    <row r="727" spans="1:56" x14ac:dyDescent="0.15">
      <c r="A727" s="4" t="str">
        <f>HYPERLINK("https://ibp.a2mac1.com/costing(costing:projects/details/9760/part/8412749)","Motor")</f>
        <v>Motor</v>
      </c>
      <c r="B727">
        <v>8412749</v>
      </c>
      <c r="C727">
        <v>8412664</v>
      </c>
      <c r="E727">
        <v>4.2789999999999999</v>
      </c>
      <c r="F727">
        <v>0</v>
      </c>
      <c r="G727">
        <v>0</v>
      </c>
      <c r="H727">
        <v>0</v>
      </c>
      <c r="I727" t="s">
        <v>71</v>
      </c>
      <c r="J727">
        <v>0</v>
      </c>
      <c r="K727">
        <v>4.2789999999999999</v>
      </c>
      <c r="L727">
        <v>0</v>
      </c>
      <c r="M727">
        <v>0</v>
      </c>
      <c r="N727">
        <v>4.2789999999999999</v>
      </c>
      <c r="O727" t="s">
        <v>71</v>
      </c>
      <c r="P727">
        <v>0</v>
      </c>
      <c r="Q727" t="s">
        <v>71</v>
      </c>
      <c r="R727">
        <v>0</v>
      </c>
      <c r="S727" t="s">
        <v>71</v>
      </c>
      <c r="T727">
        <v>0</v>
      </c>
      <c r="U727" t="s">
        <v>71</v>
      </c>
      <c r="V727">
        <v>0</v>
      </c>
      <c r="W727" t="s">
        <v>71</v>
      </c>
      <c r="X727">
        <v>0</v>
      </c>
      <c r="Y727">
        <v>4.2789999999999999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60</v>
      </c>
      <c r="AF727">
        <v>94</v>
      </c>
      <c r="AG727">
        <v>42</v>
      </c>
      <c r="AI727">
        <v>0.35899999999999999</v>
      </c>
      <c r="AK727" t="s">
        <v>284</v>
      </c>
      <c r="AL727" t="s">
        <v>2124</v>
      </c>
      <c r="AM727">
        <v>200000</v>
      </c>
      <c r="AN727" t="s">
        <v>97</v>
      </c>
      <c r="AO727">
        <v>1</v>
      </c>
      <c r="AP727">
        <v>0</v>
      </c>
      <c r="AQ727">
        <v>16666.666666666668</v>
      </c>
      <c r="AR727" t="s">
        <v>2393</v>
      </c>
      <c r="AS727" t="s">
        <v>75</v>
      </c>
      <c r="AX727" t="s">
        <v>76</v>
      </c>
      <c r="AY727" t="s">
        <v>71</v>
      </c>
      <c r="AZ727">
        <v>0</v>
      </c>
      <c r="BA727" t="s">
        <v>71</v>
      </c>
      <c r="BB727">
        <v>0</v>
      </c>
      <c r="BD727">
        <v>4.2789999999999999</v>
      </c>
    </row>
    <row r="728" spans="1:56" x14ac:dyDescent="0.15">
      <c r="A728" s="4" t="str">
        <f>HYPERLINK("https://ibp.a2mac1.com/costing(costing:projects/details/9760/part/8412750)","Mount Bracket")</f>
        <v>Mount Bracket</v>
      </c>
      <c r="B728">
        <v>8412750</v>
      </c>
      <c r="C728">
        <v>8412664</v>
      </c>
      <c r="E728">
        <v>0.25</v>
      </c>
      <c r="F728">
        <v>0</v>
      </c>
      <c r="G728">
        <v>0</v>
      </c>
      <c r="H728">
        <v>1.2650000000000001E-3</v>
      </c>
      <c r="I728" t="s">
        <v>176</v>
      </c>
      <c r="J728">
        <v>8.7500000000000008E-3</v>
      </c>
      <c r="K728">
        <v>0.260015</v>
      </c>
      <c r="L728">
        <v>2.1785227275609612E-2</v>
      </c>
      <c r="M728">
        <v>0.13071136365365768</v>
      </c>
      <c r="N728">
        <v>0.3907263636536577</v>
      </c>
      <c r="O728" t="s">
        <v>90</v>
      </c>
      <c r="P728">
        <v>0</v>
      </c>
      <c r="Q728" t="s">
        <v>90</v>
      </c>
      <c r="R728">
        <v>0</v>
      </c>
      <c r="S728" t="s">
        <v>90</v>
      </c>
      <c r="T728">
        <v>0</v>
      </c>
      <c r="U728" t="s">
        <v>90</v>
      </c>
      <c r="V728">
        <v>0</v>
      </c>
      <c r="W728" t="s">
        <v>90</v>
      </c>
      <c r="X728">
        <v>0</v>
      </c>
      <c r="Y728">
        <v>0.3907263636536577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90</v>
      </c>
      <c r="AF728">
        <v>425</v>
      </c>
      <c r="AG728">
        <v>30</v>
      </c>
      <c r="AI728">
        <v>0.11799999999999999</v>
      </c>
      <c r="AK728" t="s">
        <v>740</v>
      </c>
      <c r="AL728" t="s">
        <v>399</v>
      </c>
      <c r="AM728">
        <v>200000</v>
      </c>
      <c r="AN728" t="s">
        <v>73</v>
      </c>
      <c r="AO728">
        <v>1</v>
      </c>
      <c r="AP728">
        <v>0</v>
      </c>
      <c r="AQ728">
        <v>16666.666666666668</v>
      </c>
      <c r="AR728" t="s">
        <v>2396</v>
      </c>
      <c r="AS728" t="s">
        <v>75</v>
      </c>
      <c r="AX728" t="s">
        <v>76</v>
      </c>
      <c r="AY728" t="s">
        <v>176</v>
      </c>
      <c r="AZ728">
        <v>0</v>
      </c>
      <c r="BA728" t="s">
        <v>176</v>
      </c>
      <c r="BB728">
        <v>0</v>
      </c>
    </row>
    <row r="729" spans="1:56" x14ac:dyDescent="0.15">
      <c r="A729" s="4" t="str">
        <f>HYPERLINK("https://ibp.a2mac1.com/costing(costing:projects/details/9760/part/8412751)","Cable")</f>
        <v>Cable</v>
      </c>
      <c r="B729">
        <v>8412751</v>
      </c>
      <c r="C729">
        <v>8412664</v>
      </c>
      <c r="D729" t="s">
        <v>2129</v>
      </c>
      <c r="E729">
        <v>0.13800000000000001</v>
      </c>
      <c r="F729">
        <v>0</v>
      </c>
      <c r="G729">
        <v>0</v>
      </c>
      <c r="H729">
        <v>0</v>
      </c>
      <c r="I729" t="s">
        <v>71</v>
      </c>
      <c r="J729">
        <v>0</v>
      </c>
      <c r="K729">
        <v>0.13800000000000001</v>
      </c>
      <c r="L729">
        <v>0</v>
      </c>
      <c r="M729">
        <v>0</v>
      </c>
      <c r="N729">
        <v>0.13800000000000001</v>
      </c>
      <c r="O729" t="s">
        <v>71</v>
      </c>
      <c r="P729">
        <v>0</v>
      </c>
      <c r="Q729" t="s">
        <v>71</v>
      </c>
      <c r="R729">
        <v>0</v>
      </c>
      <c r="S729" t="s">
        <v>71</v>
      </c>
      <c r="T729">
        <v>0</v>
      </c>
      <c r="U729" t="s">
        <v>71</v>
      </c>
      <c r="V729">
        <v>0</v>
      </c>
      <c r="W729" t="s">
        <v>71</v>
      </c>
      <c r="X729">
        <v>0</v>
      </c>
      <c r="Y729">
        <v>0.13800000000000001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5</v>
      </c>
      <c r="AF729">
        <v>319</v>
      </c>
      <c r="AG729">
        <v>5</v>
      </c>
      <c r="AI729">
        <v>2.1000000000000001E-2</v>
      </c>
      <c r="AK729" t="s">
        <v>740</v>
      </c>
      <c r="AL729" t="s">
        <v>96</v>
      </c>
      <c r="AM729">
        <v>200000</v>
      </c>
      <c r="AN729" t="s">
        <v>73</v>
      </c>
      <c r="AO729">
        <v>1</v>
      </c>
      <c r="AP729">
        <v>0</v>
      </c>
      <c r="AQ729">
        <v>16666.666666666668</v>
      </c>
      <c r="AR729" t="s">
        <v>2397</v>
      </c>
      <c r="AS729" t="s">
        <v>75</v>
      </c>
      <c r="AX729" t="s">
        <v>76</v>
      </c>
      <c r="AY729" t="s">
        <v>71</v>
      </c>
      <c r="AZ729">
        <v>0</v>
      </c>
      <c r="BA729" t="s">
        <v>71</v>
      </c>
      <c r="BB729">
        <v>0</v>
      </c>
      <c r="BD729">
        <v>0.13800000000000001</v>
      </c>
    </row>
    <row r="730" spans="1:56" x14ac:dyDescent="0.15">
      <c r="A730" s="4" t="str">
        <f>HYPERLINK("https://ibp.a2mac1.com/costing(costing:projects/details/9760/part/8412752)","2nd Cable")</f>
        <v>2nd Cable</v>
      </c>
      <c r="B730">
        <v>8412752</v>
      </c>
      <c r="C730">
        <v>8412664</v>
      </c>
      <c r="D730" t="s">
        <v>2129</v>
      </c>
      <c r="E730">
        <v>0.04</v>
      </c>
      <c r="F730">
        <v>0</v>
      </c>
      <c r="G730">
        <v>0</v>
      </c>
      <c r="H730">
        <v>0</v>
      </c>
      <c r="I730" t="s">
        <v>71</v>
      </c>
      <c r="J730">
        <v>0</v>
      </c>
      <c r="K730">
        <v>0.04</v>
      </c>
      <c r="L730">
        <v>0</v>
      </c>
      <c r="M730">
        <v>0</v>
      </c>
      <c r="N730">
        <v>0.04</v>
      </c>
      <c r="O730" t="s">
        <v>71</v>
      </c>
      <c r="P730">
        <v>0</v>
      </c>
      <c r="Q730" t="s">
        <v>71</v>
      </c>
      <c r="R730">
        <v>0</v>
      </c>
      <c r="S730" t="s">
        <v>71</v>
      </c>
      <c r="T730">
        <v>0</v>
      </c>
      <c r="U730" t="s">
        <v>71</v>
      </c>
      <c r="V730">
        <v>0</v>
      </c>
      <c r="W730" t="s">
        <v>71</v>
      </c>
      <c r="X730">
        <v>0</v>
      </c>
      <c r="Y730">
        <v>0.04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</v>
      </c>
      <c r="AF730">
        <v>58</v>
      </c>
      <c r="AG730">
        <v>3</v>
      </c>
      <c r="AI730">
        <v>3.0000000000000001E-3</v>
      </c>
      <c r="AK730" t="s">
        <v>740</v>
      </c>
      <c r="AL730" t="s">
        <v>96</v>
      </c>
      <c r="AM730">
        <v>200000</v>
      </c>
      <c r="AN730" t="s">
        <v>73</v>
      </c>
      <c r="AO730">
        <v>1</v>
      </c>
      <c r="AP730">
        <v>0</v>
      </c>
      <c r="AQ730">
        <v>16666.666666666668</v>
      </c>
      <c r="AR730" t="s">
        <v>2398</v>
      </c>
      <c r="AS730" t="s">
        <v>75</v>
      </c>
      <c r="AX730" t="s">
        <v>76</v>
      </c>
      <c r="AY730" t="s">
        <v>71</v>
      </c>
      <c r="AZ730">
        <v>0</v>
      </c>
      <c r="BA730" t="s">
        <v>71</v>
      </c>
      <c r="BB730">
        <v>0</v>
      </c>
      <c r="BD730">
        <v>0.04</v>
      </c>
    </row>
    <row r="731" spans="1:56" x14ac:dyDescent="0.15">
      <c r="A731" s="4" t="str">
        <f>HYPERLINK("https://ibp.a2mac1.com/costing(costing:projects/details/9760/part/8412753)","cable sheath")</f>
        <v>cable sheath</v>
      </c>
      <c r="B731">
        <v>8412753</v>
      </c>
      <c r="C731">
        <v>8412664</v>
      </c>
      <c r="D731" t="s">
        <v>2399</v>
      </c>
      <c r="E731">
        <v>8.1000000000000003E-2</v>
      </c>
      <c r="F731">
        <v>0</v>
      </c>
      <c r="G731">
        <v>0</v>
      </c>
      <c r="H731">
        <v>0</v>
      </c>
      <c r="I731" t="s">
        <v>71</v>
      </c>
      <c r="J731">
        <v>0</v>
      </c>
      <c r="K731">
        <v>8.1000000000000003E-2</v>
      </c>
      <c r="L731">
        <v>0</v>
      </c>
      <c r="M731">
        <v>0</v>
      </c>
      <c r="N731">
        <v>8.1000000000000003E-2</v>
      </c>
      <c r="O731" t="s">
        <v>71</v>
      </c>
      <c r="P731">
        <v>0</v>
      </c>
      <c r="Q731" t="s">
        <v>71</v>
      </c>
      <c r="R731">
        <v>0</v>
      </c>
      <c r="S731" t="s">
        <v>71</v>
      </c>
      <c r="T731">
        <v>0</v>
      </c>
      <c r="U731" t="s">
        <v>71</v>
      </c>
      <c r="V731">
        <v>0</v>
      </c>
      <c r="W731" t="s">
        <v>71</v>
      </c>
      <c r="X731">
        <v>0</v>
      </c>
      <c r="Y731">
        <v>8.1000000000000003E-2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8</v>
      </c>
      <c r="AF731">
        <v>271</v>
      </c>
      <c r="AG731">
        <v>8</v>
      </c>
      <c r="AI731">
        <v>7.0000000000000001E-3</v>
      </c>
      <c r="AK731" t="s">
        <v>740</v>
      </c>
      <c r="AL731" t="s">
        <v>397</v>
      </c>
      <c r="AM731">
        <v>200000</v>
      </c>
      <c r="AN731" t="s">
        <v>73</v>
      </c>
      <c r="AO731">
        <v>1</v>
      </c>
      <c r="AP731">
        <v>0</v>
      </c>
      <c r="AQ731">
        <v>16666.666666666668</v>
      </c>
      <c r="AR731" t="s">
        <v>2400</v>
      </c>
      <c r="AS731" t="s">
        <v>75</v>
      </c>
      <c r="AX731" t="s">
        <v>76</v>
      </c>
      <c r="AY731" t="s">
        <v>71</v>
      </c>
      <c r="AZ731">
        <v>0</v>
      </c>
      <c r="BA731" t="s">
        <v>71</v>
      </c>
      <c r="BB731">
        <v>0</v>
      </c>
      <c r="BD731">
        <v>8.1000000000000003E-2</v>
      </c>
    </row>
    <row r="732" spans="1:56" x14ac:dyDescent="0.15">
      <c r="A732" s="4" t="str">
        <f>HYPERLINK("https://ibp.a2mac1.com/costing(costing:projects/details/9760/part/8412755)","Control")</f>
        <v>Control</v>
      </c>
      <c r="B732">
        <v>8412755</v>
      </c>
      <c r="C732">
        <v>8412665</v>
      </c>
      <c r="D732" t="s">
        <v>2138</v>
      </c>
      <c r="E732">
        <v>0.02</v>
      </c>
      <c r="F732">
        <v>0</v>
      </c>
      <c r="G732">
        <v>0</v>
      </c>
      <c r="H732">
        <v>1.0119999999999999E-4</v>
      </c>
      <c r="I732" t="s">
        <v>176</v>
      </c>
      <c r="J732">
        <v>6.9999999999999999E-4</v>
      </c>
      <c r="K732">
        <v>2.0801199999999999E-2</v>
      </c>
      <c r="L732">
        <v>9.422641154184605E-3</v>
      </c>
      <c r="M732">
        <v>5.653584692510763E-2</v>
      </c>
      <c r="N732">
        <v>7.7337046925107636E-2</v>
      </c>
      <c r="O732" t="s">
        <v>90</v>
      </c>
      <c r="P732">
        <v>0</v>
      </c>
      <c r="Q732" t="s">
        <v>90</v>
      </c>
      <c r="R732">
        <v>0</v>
      </c>
      <c r="S732" t="s">
        <v>90</v>
      </c>
      <c r="T732">
        <v>0</v>
      </c>
      <c r="U732" t="s">
        <v>90</v>
      </c>
      <c r="V732">
        <v>0</v>
      </c>
      <c r="W732" t="s">
        <v>90</v>
      </c>
      <c r="X732">
        <v>0</v>
      </c>
      <c r="Y732">
        <v>7.7337046925107636E-2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16</v>
      </c>
      <c r="AF732">
        <v>53</v>
      </c>
      <c r="AG732">
        <v>20</v>
      </c>
      <c r="AI732">
        <v>5.0000000000000001E-3</v>
      </c>
      <c r="AK732" t="s">
        <v>740</v>
      </c>
      <c r="AL732" t="s">
        <v>412</v>
      </c>
      <c r="AM732">
        <v>200000</v>
      </c>
      <c r="AN732" t="s">
        <v>73</v>
      </c>
      <c r="AO732">
        <v>1</v>
      </c>
      <c r="AP732">
        <v>0</v>
      </c>
      <c r="AQ732">
        <v>16666.666666666668</v>
      </c>
      <c r="AR732" t="s">
        <v>2405</v>
      </c>
      <c r="AS732" t="s">
        <v>75</v>
      </c>
      <c r="AX732" t="s">
        <v>76</v>
      </c>
      <c r="AY732" t="s">
        <v>176</v>
      </c>
      <c r="AZ732">
        <v>0</v>
      </c>
      <c r="BA732" t="s">
        <v>176</v>
      </c>
      <c r="BB732">
        <v>0</v>
      </c>
    </row>
    <row r="733" spans="1:56" x14ac:dyDescent="0.15">
      <c r="A733" s="4" t="str">
        <f>HYPERLINK("https://ibp.a2mac1.com/costing(costing:projects/details/9760/part/8412756)","Motor")</f>
        <v>Motor</v>
      </c>
      <c r="B733">
        <v>8412756</v>
      </c>
      <c r="C733">
        <v>8412666</v>
      </c>
      <c r="E733">
        <v>3.61</v>
      </c>
      <c r="F733">
        <v>0</v>
      </c>
      <c r="G733">
        <v>0</v>
      </c>
      <c r="H733">
        <v>0</v>
      </c>
      <c r="I733" t="s">
        <v>71</v>
      </c>
      <c r="J733">
        <v>0</v>
      </c>
      <c r="K733">
        <v>3.61</v>
      </c>
      <c r="L733">
        <v>0</v>
      </c>
      <c r="M733">
        <v>0</v>
      </c>
      <c r="N733">
        <v>3.61</v>
      </c>
      <c r="O733" t="s">
        <v>71</v>
      </c>
      <c r="P733">
        <v>0</v>
      </c>
      <c r="Q733" t="s">
        <v>71</v>
      </c>
      <c r="R733">
        <v>0</v>
      </c>
      <c r="S733" t="s">
        <v>71</v>
      </c>
      <c r="T733">
        <v>0</v>
      </c>
      <c r="U733" t="s">
        <v>71</v>
      </c>
      <c r="V733">
        <v>0</v>
      </c>
      <c r="W733" t="s">
        <v>71</v>
      </c>
      <c r="X733">
        <v>0</v>
      </c>
      <c r="Y733">
        <v>3.61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63</v>
      </c>
      <c r="AF733">
        <v>118</v>
      </c>
      <c r="AG733">
        <v>30</v>
      </c>
      <c r="AI733">
        <v>0.29299999999999998</v>
      </c>
      <c r="AK733" t="s">
        <v>288</v>
      </c>
      <c r="AL733" t="s">
        <v>2124</v>
      </c>
      <c r="AM733">
        <v>200000</v>
      </c>
      <c r="AN733" t="s">
        <v>97</v>
      </c>
      <c r="AO733">
        <v>1</v>
      </c>
      <c r="AP733">
        <v>0</v>
      </c>
      <c r="AQ733">
        <v>16666.666666666668</v>
      </c>
      <c r="AR733" t="s">
        <v>2408</v>
      </c>
      <c r="AS733" t="s">
        <v>75</v>
      </c>
      <c r="AX733" t="s">
        <v>76</v>
      </c>
      <c r="AY733" t="s">
        <v>71</v>
      </c>
      <c r="AZ733">
        <v>0</v>
      </c>
      <c r="BA733" t="s">
        <v>71</v>
      </c>
      <c r="BB733">
        <v>0</v>
      </c>
      <c r="BD733">
        <v>3.61</v>
      </c>
    </row>
    <row r="734" spans="1:56" x14ac:dyDescent="0.15">
      <c r="A734" s="4" t="str">
        <f>HYPERLINK("https://ibp.a2mac1.com/costing(costing:projects/details/9760/part/8412757)","Mechanism")</f>
        <v>Mechanism</v>
      </c>
      <c r="B734">
        <v>8412757</v>
      </c>
      <c r="C734">
        <v>8412666</v>
      </c>
      <c r="D734" t="s">
        <v>2409</v>
      </c>
      <c r="E734">
        <v>4.415</v>
      </c>
      <c r="F734">
        <v>0</v>
      </c>
      <c r="G734">
        <v>0</v>
      </c>
      <c r="H734">
        <v>0</v>
      </c>
      <c r="I734" t="s">
        <v>71</v>
      </c>
      <c r="J734">
        <v>0</v>
      </c>
      <c r="K734">
        <v>4.415</v>
      </c>
      <c r="L734">
        <v>0</v>
      </c>
      <c r="M734">
        <v>0</v>
      </c>
      <c r="N734">
        <v>4.415</v>
      </c>
      <c r="O734" t="s">
        <v>71</v>
      </c>
      <c r="P734">
        <v>0</v>
      </c>
      <c r="Q734" t="s">
        <v>71</v>
      </c>
      <c r="R734">
        <v>0</v>
      </c>
      <c r="S734" t="s">
        <v>71</v>
      </c>
      <c r="T734">
        <v>0</v>
      </c>
      <c r="U734" t="s">
        <v>71</v>
      </c>
      <c r="V734">
        <v>0</v>
      </c>
      <c r="W734" t="s">
        <v>71</v>
      </c>
      <c r="X734">
        <v>0</v>
      </c>
      <c r="Y734">
        <v>4.415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330</v>
      </c>
      <c r="AF734">
        <v>50</v>
      </c>
      <c r="AG734">
        <v>49</v>
      </c>
      <c r="AI734">
        <v>0.48799999999999999</v>
      </c>
      <c r="AK734" t="s">
        <v>185</v>
      </c>
      <c r="AL734" t="s">
        <v>2410</v>
      </c>
      <c r="AM734">
        <v>200000</v>
      </c>
      <c r="AN734" t="s">
        <v>73</v>
      </c>
      <c r="AO734">
        <v>1</v>
      </c>
      <c r="AP734">
        <v>0</v>
      </c>
      <c r="AQ734">
        <v>16666.666666666668</v>
      </c>
      <c r="AR734" t="s">
        <v>2411</v>
      </c>
      <c r="AS734" t="s">
        <v>75</v>
      </c>
      <c r="AX734" t="s">
        <v>76</v>
      </c>
      <c r="AY734" t="s">
        <v>71</v>
      </c>
      <c r="AZ734">
        <v>0</v>
      </c>
      <c r="BA734" t="s">
        <v>71</v>
      </c>
      <c r="BB734">
        <v>0</v>
      </c>
      <c r="BD734">
        <v>4.415</v>
      </c>
    </row>
    <row r="735" spans="1:56" x14ac:dyDescent="0.15">
      <c r="A735" s="4" t="str">
        <f>HYPERLINK("https://ibp.a2mac1.com/costing(costing:projects/details/9760/part/8412817)","Inner Side")</f>
        <v>Inner Side</v>
      </c>
      <c r="B735">
        <v>8412817</v>
      </c>
      <c r="C735">
        <v>8412760</v>
      </c>
      <c r="D735" t="s">
        <v>2165</v>
      </c>
      <c r="E735">
        <v>2</v>
      </c>
      <c r="F735">
        <v>0</v>
      </c>
      <c r="G735">
        <v>0</v>
      </c>
      <c r="H735">
        <v>0</v>
      </c>
      <c r="I735" t="s">
        <v>71</v>
      </c>
      <c r="J735">
        <v>0</v>
      </c>
      <c r="K735">
        <v>2</v>
      </c>
      <c r="L735">
        <v>0</v>
      </c>
      <c r="M735">
        <v>0</v>
      </c>
      <c r="N735">
        <v>2</v>
      </c>
      <c r="O735" t="s">
        <v>71</v>
      </c>
      <c r="P735">
        <v>0</v>
      </c>
      <c r="Q735" t="s">
        <v>71</v>
      </c>
      <c r="R735">
        <v>0</v>
      </c>
      <c r="S735" t="s">
        <v>71</v>
      </c>
      <c r="T735">
        <v>0</v>
      </c>
      <c r="U735" t="s">
        <v>71</v>
      </c>
      <c r="V735">
        <v>0</v>
      </c>
      <c r="W735" t="s">
        <v>71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64</v>
      </c>
      <c r="AF735">
        <v>60</v>
      </c>
      <c r="AG735">
        <v>94</v>
      </c>
      <c r="AI735">
        <v>0.129</v>
      </c>
      <c r="AK735" t="s">
        <v>740</v>
      </c>
      <c r="AL735" t="s">
        <v>2166</v>
      </c>
      <c r="AM735">
        <v>200000</v>
      </c>
      <c r="AN735" t="s">
        <v>97</v>
      </c>
      <c r="AO735">
        <v>1</v>
      </c>
      <c r="AP735">
        <v>0</v>
      </c>
      <c r="AQ735">
        <v>16666.666666666668</v>
      </c>
      <c r="AR735" t="s">
        <v>2415</v>
      </c>
      <c r="AS735" t="s">
        <v>75</v>
      </c>
      <c r="AX735" t="s">
        <v>76</v>
      </c>
      <c r="AY735" t="s">
        <v>71</v>
      </c>
      <c r="AZ735">
        <v>0</v>
      </c>
      <c r="BA735" t="s">
        <v>71</v>
      </c>
      <c r="BB735">
        <v>0</v>
      </c>
      <c r="BD735">
        <v>2</v>
      </c>
    </row>
    <row r="736" spans="1:56" x14ac:dyDescent="0.15">
      <c r="A736" s="4" t="str">
        <f>HYPERLINK("https://ibp.a2mac1.com/costing(costing:projects/details/9760/part/8412818)","Linking Bar")</f>
        <v>Linking Bar</v>
      </c>
      <c r="B736">
        <v>8412818</v>
      </c>
      <c r="C736">
        <v>8412760</v>
      </c>
      <c r="D736" t="s">
        <v>2168</v>
      </c>
      <c r="E736">
        <v>0.67500000000000004</v>
      </c>
      <c r="F736">
        <v>0</v>
      </c>
      <c r="G736">
        <v>0</v>
      </c>
      <c r="H736">
        <v>0</v>
      </c>
      <c r="I736" t="s">
        <v>71</v>
      </c>
      <c r="J736">
        <v>0</v>
      </c>
      <c r="K736">
        <v>0.67500000000000004</v>
      </c>
      <c r="L736">
        <v>0</v>
      </c>
      <c r="M736">
        <v>0</v>
      </c>
      <c r="N736">
        <v>0.67500000000000004</v>
      </c>
      <c r="O736" t="s">
        <v>71</v>
      </c>
      <c r="P736">
        <v>0</v>
      </c>
      <c r="Q736" t="s">
        <v>71</v>
      </c>
      <c r="R736">
        <v>0</v>
      </c>
      <c r="S736" t="s">
        <v>71</v>
      </c>
      <c r="T736">
        <v>0</v>
      </c>
      <c r="U736" t="s">
        <v>71</v>
      </c>
      <c r="V736">
        <v>0</v>
      </c>
      <c r="W736" t="s">
        <v>71</v>
      </c>
      <c r="X736">
        <v>0</v>
      </c>
      <c r="Y736">
        <v>0.67500000000000004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10</v>
      </c>
      <c r="AF736">
        <v>480</v>
      </c>
      <c r="AG736">
        <v>9</v>
      </c>
      <c r="AI736">
        <v>0.13400000000000001</v>
      </c>
      <c r="AK736" t="s">
        <v>740</v>
      </c>
      <c r="AL736" t="s">
        <v>96</v>
      </c>
      <c r="AM736">
        <v>200000</v>
      </c>
      <c r="AN736" t="s">
        <v>73</v>
      </c>
      <c r="AO736">
        <v>1</v>
      </c>
      <c r="AP736">
        <v>0</v>
      </c>
      <c r="AQ736">
        <v>16666.666666666668</v>
      </c>
      <c r="AR736" t="s">
        <v>2416</v>
      </c>
      <c r="AS736" t="s">
        <v>75</v>
      </c>
      <c r="AX736" t="s">
        <v>76</v>
      </c>
      <c r="AY736" t="s">
        <v>71</v>
      </c>
      <c r="AZ736">
        <v>0</v>
      </c>
      <c r="BA736" t="s">
        <v>71</v>
      </c>
      <c r="BB736">
        <v>0</v>
      </c>
      <c r="BD736">
        <v>0.67500000000000004</v>
      </c>
    </row>
    <row r="737" spans="1:56" x14ac:dyDescent="0.15">
      <c r="A737" s="4" t="str">
        <f>HYPERLINK("https://ibp.a2mac1.com/costing(costing:projects/details/9760/part/8412758)","Control")</f>
        <v>Control</v>
      </c>
      <c r="B737">
        <v>8412758</v>
      </c>
      <c r="C737">
        <v>8412667</v>
      </c>
      <c r="E737">
        <v>0.02</v>
      </c>
      <c r="F737">
        <v>0</v>
      </c>
      <c r="G737">
        <v>0</v>
      </c>
      <c r="H737">
        <v>1.0119999999999999E-4</v>
      </c>
      <c r="I737" t="s">
        <v>176</v>
      </c>
      <c r="J737">
        <v>6.9999999999999999E-4</v>
      </c>
      <c r="K737">
        <v>2.0801199999999999E-2</v>
      </c>
      <c r="L737">
        <v>9.422641154184605E-3</v>
      </c>
      <c r="M737">
        <v>5.653584692510763E-2</v>
      </c>
      <c r="N737">
        <v>7.7337046925107636E-2</v>
      </c>
      <c r="O737" t="s">
        <v>90</v>
      </c>
      <c r="P737">
        <v>0</v>
      </c>
      <c r="Q737" t="s">
        <v>90</v>
      </c>
      <c r="R737">
        <v>0</v>
      </c>
      <c r="S737" t="s">
        <v>90</v>
      </c>
      <c r="T737">
        <v>0</v>
      </c>
      <c r="U737" t="s">
        <v>90</v>
      </c>
      <c r="V737">
        <v>0</v>
      </c>
      <c r="W737" t="s">
        <v>90</v>
      </c>
      <c r="X737">
        <v>0</v>
      </c>
      <c r="Y737">
        <v>7.7337046925107636E-2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16</v>
      </c>
      <c r="AF737">
        <v>18</v>
      </c>
      <c r="AG737">
        <v>45</v>
      </c>
      <c r="AI737">
        <v>4.0000000000000001E-3</v>
      </c>
      <c r="AK737" t="s">
        <v>740</v>
      </c>
      <c r="AL737" t="s">
        <v>412</v>
      </c>
      <c r="AM737">
        <v>200000</v>
      </c>
      <c r="AN737" t="s">
        <v>73</v>
      </c>
      <c r="AO737">
        <v>1</v>
      </c>
      <c r="AP737">
        <v>0</v>
      </c>
      <c r="AQ737">
        <v>16666.666666666668</v>
      </c>
      <c r="AR737" t="s">
        <v>2420</v>
      </c>
      <c r="AS737" t="s">
        <v>75</v>
      </c>
      <c r="AX737" t="s">
        <v>76</v>
      </c>
      <c r="AY737" t="s">
        <v>176</v>
      </c>
      <c r="AZ737">
        <v>0</v>
      </c>
      <c r="BA737" t="s">
        <v>176</v>
      </c>
      <c r="BB737">
        <v>0</v>
      </c>
    </row>
    <row r="738" spans="1:56" x14ac:dyDescent="0.15">
      <c r="A738" s="4" t="str">
        <f>HYPERLINK("https://ibp.a2mac1.com/costing(costing:projects/details/9760/part/8412759)","Motor")</f>
        <v>Motor</v>
      </c>
      <c r="B738">
        <v>8412759</v>
      </c>
      <c r="C738">
        <v>8412667</v>
      </c>
      <c r="E738">
        <v>3.4</v>
      </c>
      <c r="F738">
        <v>0</v>
      </c>
      <c r="G738">
        <v>0</v>
      </c>
      <c r="H738">
        <v>0</v>
      </c>
      <c r="I738" t="s">
        <v>71</v>
      </c>
      <c r="J738">
        <v>0</v>
      </c>
      <c r="K738">
        <v>3.4</v>
      </c>
      <c r="L738">
        <v>0</v>
      </c>
      <c r="M738">
        <v>0</v>
      </c>
      <c r="N738">
        <v>3.4</v>
      </c>
      <c r="O738" t="s">
        <v>71</v>
      </c>
      <c r="P738">
        <v>0</v>
      </c>
      <c r="Q738" t="s">
        <v>71</v>
      </c>
      <c r="R738">
        <v>0</v>
      </c>
      <c r="S738" t="s">
        <v>71</v>
      </c>
      <c r="T738">
        <v>0</v>
      </c>
      <c r="U738" t="s">
        <v>71</v>
      </c>
      <c r="V738">
        <v>0</v>
      </c>
      <c r="W738" t="s">
        <v>71</v>
      </c>
      <c r="X738">
        <v>0</v>
      </c>
      <c r="Y738">
        <v>3.4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53</v>
      </c>
      <c r="AF738">
        <v>36</v>
      </c>
      <c r="AG738">
        <v>118</v>
      </c>
      <c r="AI738">
        <v>0.27200000000000002</v>
      </c>
      <c r="AK738" t="s">
        <v>284</v>
      </c>
      <c r="AL738" t="s">
        <v>2421</v>
      </c>
      <c r="AM738">
        <v>200000</v>
      </c>
      <c r="AN738" t="s">
        <v>97</v>
      </c>
      <c r="AO738">
        <v>1</v>
      </c>
      <c r="AP738">
        <v>0</v>
      </c>
      <c r="AQ738">
        <v>16666.666666666668</v>
      </c>
      <c r="AR738" t="s">
        <v>2422</v>
      </c>
      <c r="AS738" t="s">
        <v>75</v>
      </c>
      <c r="AX738" t="s">
        <v>76</v>
      </c>
      <c r="AY738" t="s">
        <v>71</v>
      </c>
      <c r="AZ738">
        <v>0</v>
      </c>
      <c r="BA738" t="s">
        <v>71</v>
      </c>
      <c r="BB738">
        <v>0</v>
      </c>
      <c r="BD738">
        <v>3.4</v>
      </c>
    </row>
    <row r="739" spans="1:56" x14ac:dyDescent="0.15">
      <c r="A739" s="4" t="str">
        <f>HYPERLINK("https://ibp.a2mac1.com/costing(costing:projects/details/9760/part/8412662)","Adjustment Control")</f>
        <v>Adjustment Control</v>
      </c>
      <c r="B739">
        <v>8412662</v>
      </c>
      <c r="C739">
        <v>8412571</v>
      </c>
      <c r="E739">
        <v>3.67</v>
      </c>
      <c r="F739">
        <v>0</v>
      </c>
      <c r="G739">
        <v>0</v>
      </c>
      <c r="H739">
        <v>0</v>
      </c>
      <c r="I739" t="s">
        <v>71</v>
      </c>
      <c r="J739">
        <v>0</v>
      </c>
      <c r="K739">
        <v>3.67</v>
      </c>
      <c r="L739">
        <v>0</v>
      </c>
      <c r="M739">
        <v>0</v>
      </c>
      <c r="N739">
        <v>3.67</v>
      </c>
      <c r="O739" t="s">
        <v>71</v>
      </c>
      <c r="P739">
        <v>0</v>
      </c>
      <c r="Q739" t="s">
        <v>71</v>
      </c>
      <c r="R739">
        <v>0</v>
      </c>
      <c r="S739" t="s">
        <v>71</v>
      </c>
      <c r="T739">
        <v>0</v>
      </c>
      <c r="U739" t="s">
        <v>71</v>
      </c>
      <c r="V739">
        <v>0</v>
      </c>
      <c r="W739" t="s">
        <v>71</v>
      </c>
      <c r="X739">
        <v>0</v>
      </c>
      <c r="Y739">
        <v>3.67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35</v>
      </c>
      <c r="AF739">
        <v>189</v>
      </c>
      <c r="AG739">
        <v>55</v>
      </c>
      <c r="AI739">
        <v>0.11700000000000001</v>
      </c>
      <c r="AK739" t="s">
        <v>365</v>
      </c>
      <c r="AL739" t="s">
        <v>1360</v>
      </c>
      <c r="AM739">
        <v>200000</v>
      </c>
      <c r="AN739" t="s">
        <v>97</v>
      </c>
      <c r="AO739">
        <v>1</v>
      </c>
      <c r="AP739">
        <v>0</v>
      </c>
      <c r="AQ739">
        <v>16666.666666666668</v>
      </c>
      <c r="AR739" t="s">
        <v>2424</v>
      </c>
      <c r="AS739" t="s">
        <v>75</v>
      </c>
      <c r="AX739" t="s">
        <v>76</v>
      </c>
      <c r="AY739" t="s">
        <v>71</v>
      </c>
      <c r="AZ739">
        <v>0</v>
      </c>
      <c r="BA739" t="s">
        <v>71</v>
      </c>
      <c r="BB739">
        <v>0</v>
      </c>
      <c r="BD739">
        <v>3.67</v>
      </c>
    </row>
    <row r="740" spans="1:56" x14ac:dyDescent="0.15">
      <c r="A740" s="4" t="str">
        <f>HYPERLINK("https://ibp.a2mac1.com/costing(costing:projects/details/9760/part/8412663)","Adjustment Control Support")</f>
        <v>Adjustment Control Support</v>
      </c>
      <c r="B740">
        <v>8412663</v>
      </c>
      <c r="C740">
        <v>8412571</v>
      </c>
      <c r="E740">
        <v>0.08</v>
      </c>
      <c r="F740">
        <v>0</v>
      </c>
      <c r="G740">
        <v>0</v>
      </c>
      <c r="H740">
        <v>4.0479999999999997E-4</v>
      </c>
      <c r="I740" t="s">
        <v>176</v>
      </c>
      <c r="J740">
        <v>2.8E-3</v>
      </c>
      <c r="K740">
        <v>8.3204799999999995E-2</v>
      </c>
      <c r="L740">
        <v>7.6565574225524614E-3</v>
      </c>
      <c r="M740">
        <v>4.5939344535314765E-2</v>
      </c>
      <c r="N740">
        <v>0.12914414453531478</v>
      </c>
      <c r="O740" t="s">
        <v>90</v>
      </c>
      <c r="P740">
        <v>0</v>
      </c>
      <c r="Q740" t="s">
        <v>90</v>
      </c>
      <c r="R740">
        <v>0</v>
      </c>
      <c r="S740" t="s">
        <v>90</v>
      </c>
      <c r="T740">
        <v>0</v>
      </c>
      <c r="U740" t="s">
        <v>90</v>
      </c>
      <c r="V740">
        <v>0</v>
      </c>
      <c r="W740" t="s">
        <v>90</v>
      </c>
      <c r="X740">
        <v>0</v>
      </c>
      <c r="Y740">
        <v>0.12914414453531478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30</v>
      </c>
      <c r="AF740">
        <v>212</v>
      </c>
      <c r="AG740">
        <v>95</v>
      </c>
      <c r="AI740">
        <v>4.2999999999999997E-2</v>
      </c>
      <c r="AK740" t="s">
        <v>740</v>
      </c>
      <c r="AL740" t="s">
        <v>951</v>
      </c>
      <c r="AM740">
        <v>200000</v>
      </c>
      <c r="AN740" t="s">
        <v>73</v>
      </c>
      <c r="AO740">
        <v>1</v>
      </c>
      <c r="AP740">
        <v>0</v>
      </c>
      <c r="AQ740">
        <v>16666.666666666668</v>
      </c>
      <c r="AR740" t="s">
        <v>2427</v>
      </c>
      <c r="AS740" t="s">
        <v>75</v>
      </c>
      <c r="AX740" t="s">
        <v>76</v>
      </c>
      <c r="AY740" t="s">
        <v>176</v>
      </c>
      <c r="AZ740">
        <v>0</v>
      </c>
      <c r="BA740" t="s">
        <v>176</v>
      </c>
      <c r="BB740">
        <v>0</v>
      </c>
    </row>
    <row r="741" spans="1:56" x14ac:dyDescent="0.15">
      <c r="A741" s="4" t="str">
        <f>HYPERLINK("https://ibp.a2mac1.com/costing(costing:projects/details/9760/part/8412668)","Front Inner Trim and Outer if Similar")</f>
        <v>Front Inner Trim and Outer if Similar</v>
      </c>
      <c r="B741">
        <v>8412668</v>
      </c>
      <c r="C741">
        <v>8412572</v>
      </c>
      <c r="E741">
        <v>0.06</v>
      </c>
      <c r="F741">
        <v>0</v>
      </c>
      <c r="G741">
        <v>0</v>
      </c>
      <c r="H741">
        <v>3.0360000000000001E-4</v>
      </c>
      <c r="I741" t="s">
        <v>176</v>
      </c>
      <c r="J741">
        <v>2.0999999999999999E-3</v>
      </c>
      <c r="K741">
        <v>6.2403599999999997E-2</v>
      </c>
      <c r="L741">
        <v>4.1243899592881732E-3</v>
      </c>
      <c r="M741">
        <v>2.4746339755729041E-2</v>
      </c>
      <c r="N741">
        <v>8.7149939755729044E-2</v>
      </c>
      <c r="O741" t="s">
        <v>90</v>
      </c>
      <c r="P741">
        <v>0</v>
      </c>
      <c r="Q741" t="s">
        <v>90</v>
      </c>
      <c r="R741">
        <v>0</v>
      </c>
      <c r="S741" t="s">
        <v>90</v>
      </c>
      <c r="T741">
        <v>0</v>
      </c>
      <c r="U741" t="s">
        <v>90</v>
      </c>
      <c r="V741">
        <v>0</v>
      </c>
      <c r="W741" t="s">
        <v>90</v>
      </c>
      <c r="X741">
        <v>0</v>
      </c>
      <c r="Y741">
        <v>8.7149939755729044E-2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82</v>
      </c>
      <c r="AF741">
        <v>72</v>
      </c>
      <c r="AG741">
        <v>40</v>
      </c>
      <c r="AI741">
        <v>2.3E-2</v>
      </c>
      <c r="AK741" t="s">
        <v>740</v>
      </c>
      <c r="AL741" t="s">
        <v>435</v>
      </c>
      <c r="AM741">
        <v>200000</v>
      </c>
      <c r="AN741" t="s">
        <v>73</v>
      </c>
      <c r="AO741">
        <v>1</v>
      </c>
      <c r="AP741">
        <v>0</v>
      </c>
      <c r="AQ741">
        <v>16666.666666666668</v>
      </c>
      <c r="AR741" t="s">
        <v>2432</v>
      </c>
      <c r="AS741" t="s">
        <v>75</v>
      </c>
      <c r="AX741" t="s">
        <v>76</v>
      </c>
      <c r="AY741" t="s">
        <v>176</v>
      </c>
      <c r="AZ741">
        <v>0</v>
      </c>
      <c r="BA741" t="s">
        <v>176</v>
      </c>
      <c r="BB741">
        <v>0</v>
      </c>
    </row>
    <row r="742" spans="1:56" x14ac:dyDescent="0.15">
      <c r="A742" s="4" t="str">
        <f>HYPERLINK("https://ibp.a2mac1.com/costing(costing:projects/details/9760/part/8412669)","Front Outer Trim")</f>
        <v>Front Outer Trim</v>
      </c>
      <c r="B742">
        <v>8412669</v>
      </c>
      <c r="C742">
        <v>8412572</v>
      </c>
      <c r="E742">
        <v>0.06</v>
      </c>
      <c r="F742">
        <v>0</v>
      </c>
      <c r="G742">
        <v>0</v>
      </c>
      <c r="H742">
        <v>3.0360000000000001E-4</v>
      </c>
      <c r="I742" t="s">
        <v>176</v>
      </c>
      <c r="J742">
        <v>2.0999999999999999E-3</v>
      </c>
      <c r="K742">
        <v>6.2403599999999997E-2</v>
      </c>
      <c r="L742">
        <v>4.1243899592881732E-3</v>
      </c>
      <c r="M742">
        <v>2.4746339755729041E-2</v>
      </c>
      <c r="N742">
        <v>8.7149939755729044E-2</v>
      </c>
      <c r="O742" t="s">
        <v>90</v>
      </c>
      <c r="P742">
        <v>0</v>
      </c>
      <c r="Q742" t="s">
        <v>90</v>
      </c>
      <c r="R742">
        <v>0</v>
      </c>
      <c r="S742" t="s">
        <v>90</v>
      </c>
      <c r="T742">
        <v>0</v>
      </c>
      <c r="U742" t="s">
        <v>90</v>
      </c>
      <c r="V742">
        <v>0</v>
      </c>
      <c r="W742" t="s">
        <v>90</v>
      </c>
      <c r="X742">
        <v>0</v>
      </c>
      <c r="Y742">
        <v>8.7149939755729044E-2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82</v>
      </c>
      <c r="AF742">
        <v>72</v>
      </c>
      <c r="AG742">
        <v>400</v>
      </c>
      <c r="AI742">
        <v>2.3E-2</v>
      </c>
      <c r="AK742" t="s">
        <v>740</v>
      </c>
      <c r="AL742" t="s">
        <v>435</v>
      </c>
      <c r="AM742">
        <v>200000</v>
      </c>
      <c r="AN742" t="s">
        <v>73</v>
      </c>
      <c r="AO742">
        <v>1</v>
      </c>
      <c r="AP742">
        <v>0</v>
      </c>
      <c r="AQ742">
        <v>16666.666666666668</v>
      </c>
      <c r="AR742" t="s">
        <v>2435</v>
      </c>
      <c r="AS742" t="s">
        <v>75</v>
      </c>
      <c r="AX742" t="s">
        <v>76</v>
      </c>
      <c r="AY742" t="s">
        <v>176</v>
      </c>
      <c r="AZ742">
        <v>0</v>
      </c>
      <c r="BA742" t="s">
        <v>176</v>
      </c>
      <c r="BB742">
        <v>0</v>
      </c>
    </row>
    <row r="743" spans="1:56" x14ac:dyDescent="0.15">
      <c r="A743" s="4" t="str">
        <f>HYPERLINK("https://ibp.a2mac1.com/costing(costing:projects/details/9760/part/8412670)","Rear Inner Trim and Outer if Similar")</f>
        <v>Rear Inner Trim and Outer if Similar</v>
      </c>
      <c r="B743">
        <v>8412670</v>
      </c>
      <c r="C743">
        <v>8412572</v>
      </c>
      <c r="E743">
        <v>0.06</v>
      </c>
      <c r="F743">
        <v>0</v>
      </c>
      <c r="G743">
        <v>0</v>
      </c>
      <c r="H743">
        <v>3.0360000000000001E-4</v>
      </c>
      <c r="I743" t="s">
        <v>176</v>
      </c>
      <c r="J743">
        <v>2.0999999999999999E-3</v>
      </c>
      <c r="K743">
        <v>6.2403599999999997E-2</v>
      </c>
      <c r="L743">
        <v>4.1243899592881732E-3</v>
      </c>
      <c r="M743">
        <v>2.4746339755729041E-2</v>
      </c>
      <c r="N743">
        <v>8.7149939755729044E-2</v>
      </c>
      <c r="O743" t="s">
        <v>90</v>
      </c>
      <c r="P743">
        <v>0</v>
      </c>
      <c r="Q743" t="s">
        <v>90</v>
      </c>
      <c r="R743">
        <v>0</v>
      </c>
      <c r="S743" t="s">
        <v>90</v>
      </c>
      <c r="T743">
        <v>0</v>
      </c>
      <c r="U743" t="s">
        <v>90</v>
      </c>
      <c r="V743">
        <v>0</v>
      </c>
      <c r="W743" t="s">
        <v>90</v>
      </c>
      <c r="X743">
        <v>0</v>
      </c>
      <c r="Y743">
        <v>8.7149939755729044E-2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82</v>
      </c>
      <c r="AF743">
        <v>72</v>
      </c>
      <c r="AG743">
        <v>40</v>
      </c>
      <c r="AI743">
        <v>2.3E-2</v>
      </c>
      <c r="AK743" t="s">
        <v>740</v>
      </c>
      <c r="AL743" t="s">
        <v>435</v>
      </c>
      <c r="AM743">
        <v>200000</v>
      </c>
      <c r="AN743" t="s">
        <v>73</v>
      </c>
      <c r="AO743">
        <v>1</v>
      </c>
      <c r="AP743">
        <v>0</v>
      </c>
      <c r="AQ743">
        <v>16666.666666666668</v>
      </c>
      <c r="AR743" t="s">
        <v>2438</v>
      </c>
      <c r="AS743" t="s">
        <v>75</v>
      </c>
      <c r="AX743" t="s">
        <v>76</v>
      </c>
      <c r="AY743" t="s">
        <v>176</v>
      </c>
      <c r="AZ743">
        <v>0</v>
      </c>
      <c r="BA743" t="s">
        <v>176</v>
      </c>
      <c r="BB743">
        <v>0</v>
      </c>
    </row>
    <row r="744" spans="1:56" x14ac:dyDescent="0.15">
      <c r="A744" s="4" t="str">
        <f>HYPERLINK("https://ibp.a2mac1.com/costing(costing:projects/details/9760/part/8412671)","Rear Outer Trim")</f>
        <v>Rear Outer Trim</v>
      </c>
      <c r="B744">
        <v>8412671</v>
      </c>
      <c r="C744">
        <v>8412572</v>
      </c>
      <c r="E744">
        <v>0.06</v>
      </c>
      <c r="F744">
        <v>0</v>
      </c>
      <c r="G744">
        <v>0</v>
      </c>
      <c r="H744">
        <v>3.0360000000000001E-4</v>
      </c>
      <c r="I744" t="s">
        <v>176</v>
      </c>
      <c r="J744">
        <v>2.0999999999999999E-3</v>
      </c>
      <c r="K744">
        <v>6.2403599999999997E-2</v>
      </c>
      <c r="L744">
        <v>4.1243899592881732E-3</v>
      </c>
      <c r="M744">
        <v>2.4746339755729041E-2</v>
      </c>
      <c r="N744">
        <v>8.7149939755729044E-2</v>
      </c>
      <c r="O744" t="s">
        <v>90</v>
      </c>
      <c r="P744">
        <v>0</v>
      </c>
      <c r="Q744" t="s">
        <v>90</v>
      </c>
      <c r="R744">
        <v>0</v>
      </c>
      <c r="S744" t="s">
        <v>90</v>
      </c>
      <c r="T744">
        <v>0</v>
      </c>
      <c r="U744" t="s">
        <v>90</v>
      </c>
      <c r="V744">
        <v>0</v>
      </c>
      <c r="W744" t="s">
        <v>90</v>
      </c>
      <c r="X744">
        <v>0</v>
      </c>
      <c r="Y744">
        <v>8.7149939755729044E-2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82</v>
      </c>
      <c r="AF744">
        <v>72</v>
      </c>
      <c r="AG744">
        <v>40</v>
      </c>
      <c r="AI744">
        <v>2.3E-2</v>
      </c>
      <c r="AK744" t="s">
        <v>740</v>
      </c>
      <c r="AL744" t="s">
        <v>435</v>
      </c>
      <c r="AM744">
        <v>200000</v>
      </c>
      <c r="AN744" t="s">
        <v>73</v>
      </c>
      <c r="AO744">
        <v>1</v>
      </c>
      <c r="AP744">
        <v>0</v>
      </c>
      <c r="AQ744">
        <v>16666.666666666668</v>
      </c>
      <c r="AR744" t="s">
        <v>2441</v>
      </c>
      <c r="AS744" t="s">
        <v>75</v>
      </c>
      <c r="AX744" t="s">
        <v>76</v>
      </c>
      <c r="AY744" t="s">
        <v>176</v>
      </c>
      <c r="AZ744">
        <v>0</v>
      </c>
      <c r="BA744" t="s">
        <v>176</v>
      </c>
      <c r="BB744">
        <v>0</v>
      </c>
    </row>
    <row r="745" spans="1:56" x14ac:dyDescent="0.15">
      <c r="A745" s="4" t="str">
        <f>HYPERLINK("https://ibp.a2mac1.com/costing(costing:projects/details/9760/part/8412672)","Cushion Heating")</f>
        <v>Cushion Heating</v>
      </c>
      <c r="B745">
        <v>8412672</v>
      </c>
      <c r="C745">
        <v>8412573</v>
      </c>
      <c r="E745">
        <v>4</v>
      </c>
      <c r="F745">
        <v>0</v>
      </c>
      <c r="G745">
        <v>0</v>
      </c>
      <c r="H745">
        <v>0</v>
      </c>
      <c r="I745" t="s">
        <v>71</v>
      </c>
      <c r="J745">
        <v>0</v>
      </c>
      <c r="K745">
        <v>4</v>
      </c>
      <c r="L745">
        <v>0</v>
      </c>
      <c r="M745">
        <v>0</v>
      </c>
      <c r="N745">
        <v>4</v>
      </c>
      <c r="O745" t="s">
        <v>71</v>
      </c>
      <c r="P745">
        <v>0</v>
      </c>
      <c r="Q745" t="s">
        <v>71</v>
      </c>
      <c r="R745">
        <v>0</v>
      </c>
      <c r="S745" t="s">
        <v>71</v>
      </c>
      <c r="T745">
        <v>0</v>
      </c>
      <c r="U745" t="s">
        <v>71</v>
      </c>
      <c r="V745">
        <v>0</v>
      </c>
      <c r="W745" t="s">
        <v>71</v>
      </c>
      <c r="X745">
        <v>0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3</v>
      </c>
      <c r="AF745">
        <v>345</v>
      </c>
      <c r="AG745">
        <v>575</v>
      </c>
      <c r="AI745">
        <v>3.5999999999999997E-2</v>
      </c>
      <c r="AK745" t="s">
        <v>284</v>
      </c>
      <c r="AL745" t="s">
        <v>1433</v>
      </c>
      <c r="AM745">
        <v>200000</v>
      </c>
      <c r="AN745" t="s">
        <v>97</v>
      </c>
      <c r="AO745">
        <v>1</v>
      </c>
      <c r="AP745">
        <v>0</v>
      </c>
      <c r="AQ745">
        <v>16666.666666666668</v>
      </c>
      <c r="AR745" t="s">
        <v>2444</v>
      </c>
      <c r="AS745" t="s">
        <v>75</v>
      </c>
      <c r="AX745" t="s">
        <v>76</v>
      </c>
      <c r="AY745" t="s">
        <v>71</v>
      </c>
      <c r="AZ745">
        <v>0</v>
      </c>
      <c r="BA745" t="s">
        <v>71</v>
      </c>
      <c r="BB745">
        <v>0</v>
      </c>
      <c r="BD745">
        <v>4</v>
      </c>
    </row>
    <row r="746" spans="1:56" x14ac:dyDescent="0.15">
      <c r="A746" s="4" t="str">
        <f>HYPERLINK("https://ibp.a2mac1.com/costing(costing:projects/details/9760/part/8412673)","Back Heating")</f>
        <v>Back Heating</v>
      </c>
      <c r="B746">
        <v>8412673</v>
      </c>
      <c r="C746">
        <v>8412573</v>
      </c>
      <c r="E746">
        <v>4</v>
      </c>
      <c r="F746">
        <v>0</v>
      </c>
      <c r="G746">
        <v>0</v>
      </c>
      <c r="H746">
        <v>0</v>
      </c>
      <c r="I746" t="s">
        <v>71</v>
      </c>
      <c r="J746">
        <v>0</v>
      </c>
      <c r="K746">
        <v>4</v>
      </c>
      <c r="L746">
        <v>0</v>
      </c>
      <c r="M746">
        <v>0</v>
      </c>
      <c r="N746">
        <v>4</v>
      </c>
      <c r="O746" t="s">
        <v>71</v>
      </c>
      <c r="P746">
        <v>0</v>
      </c>
      <c r="Q746" t="s">
        <v>71</v>
      </c>
      <c r="R746">
        <v>0</v>
      </c>
      <c r="S746" t="s">
        <v>71</v>
      </c>
      <c r="T746">
        <v>0</v>
      </c>
      <c r="U746" t="s">
        <v>71</v>
      </c>
      <c r="V746">
        <v>0</v>
      </c>
      <c r="W746" t="s">
        <v>71</v>
      </c>
      <c r="X746">
        <v>0</v>
      </c>
      <c r="Y746">
        <v>4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3</v>
      </c>
      <c r="AF746">
        <v>305</v>
      </c>
      <c r="AG746">
        <v>575</v>
      </c>
      <c r="AI746">
        <v>2.9000000000000001E-2</v>
      </c>
      <c r="AK746" t="s">
        <v>284</v>
      </c>
      <c r="AL746" t="s">
        <v>2231</v>
      </c>
      <c r="AM746">
        <v>200000</v>
      </c>
      <c r="AN746" t="s">
        <v>97</v>
      </c>
      <c r="AO746">
        <v>1</v>
      </c>
      <c r="AP746">
        <v>0</v>
      </c>
      <c r="AQ746">
        <v>16666.666666666668</v>
      </c>
      <c r="AR746" t="s">
        <v>2445</v>
      </c>
      <c r="AS746" t="s">
        <v>75</v>
      </c>
      <c r="AX746" t="s">
        <v>76</v>
      </c>
      <c r="AY746" t="s">
        <v>71</v>
      </c>
      <c r="AZ746">
        <v>0</v>
      </c>
      <c r="BA746" t="s">
        <v>71</v>
      </c>
      <c r="BB746">
        <v>0</v>
      </c>
      <c r="BD746">
        <v>4</v>
      </c>
    </row>
    <row r="747" spans="1:56" x14ac:dyDescent="0.15">
      <c r="A747" s="4" t="str">
        <f>HYPERLINK("https://ibp.a2mac1.com/costing(costing:projects/details/9760/part/8412761)","Blower Unit Support on Back")</f>
        <v>Blower Unit Support on Back</v>
      </c>
      <c r="B747">
        <v>8412761</v>
      </c>
      <c r="C747">
        <v>8412678</v>
      </c>
      <c r="E747">
        <v>9.3299999999999994E-2</v>
      </c>
      <c r="F747">
        <v>0</v>
      </c>
      <c r="G747">
        <v>0</v>
      </c>
      <c r="H747">
        <v>4.7209800000000001E-4</v>
      </c>
      <c r="I747" t="s">
        <v>176</v>
      </c>
      <c r="J747">
        <v>3.2655000000000002E-3</v>
      </c>
      <c r="K747">
        <v>9.7037598000000003E-2</v>
      </c>
      <c r="L747">
        <v>9.422641154184605E-3</v>
      </c>
      <c r="M747">
        <v>5.653584692510763E-2</v>
      </c>
      <c r="N747">
        <v>0.15357344492510763</v>
      </c>
      <c r="O747" t="s">
        <v>90</v>
      </c>
      <c r="P747">
        <v>0</v>
      </c>
      <c r="Q747" t="s">
        <v>90</v>
      </c>
      <c r="R747">
        <v>0</v>
      </c>
      <c r="S747" t="s">
        <v>90</v>
      </c>
      <c r="T747">
        <v>0</v>
      </c>
      <c r="U747" t="s">
        <v>90</v>
      </c>
      <c r="V747">
        <v>0</v>
      </c>
      <c r="W747" t="s">
        <v>90</v>
      </c>
      <c r="X747">
        <v>0</v>
      </c>
      <c r="Y747">
        <v>0.15357344492510763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12</v>
      </c>
      <c r="AF747">
        <v>166</v>
      </c>
      <c r="AG747">
        <v>130</v>
      </c>
      <c r="AI747">
        <v>7.8E-2</v>
      </c>
      <c r="AK747" t="s">
        <v>740</v>
      </c>
      <c r="AL747" t="s">
        <v>96</v>
      </c>
      <c r="AM747">
        <v>200000</v>
      </c>
      <c r="AN747" t="s">
        <v>73</v>
      </c>
      <c r="AO747">
        <v>1</v>
      </c>
      <c r="AP747">
        <v>0</v>
      </c>
      <c r="AQ747">
        <v>16666.666666666668</v>
      </c>
      <c r="AR747" t="s">
        <v>2451</v>
      </c>
      <c r="AS747" t="s">
        <v>75</v>
      </c>
      <c r="AX747" t="s">
        <v>76</v>
      </c>
      <c r="AY747" t="s">
        <v>176</v>
      </c>
      <c r="AZ747">
        <v>0</v>
      </c>
      <c r="BA747" t="s">
        <v>176</v>
      </c>
      <c r="BB747">
        <v>0</v>
      </c>
    </row>
    <row r="748" spans="1:56" x14ac:dyDescent="0.15">
      <c r="A748" s="4" t="str">
        <f>HYPERLINK("https://ibp.a2mac1.com/costing(costing:projects/details/9760/part/8412674)","On Back")</f>
        <v>On Back</v>
      </c>
      <c r="B748">
        <v>8412674</v>
      </c>
      <c r="C748">
        <v>8412574</v>
      </c>
      <c r="E748">
        <v>4.3</v>
      </c>
      <c r="F748">
        <v>0</v>
      </c>
      <c r="G748">
        <v>0</v>
      </c>
      <c r="H748">
        <v>0</v>
      </c>
      <c r="I748" t="s">
        <v>71</v>
      </c>
      <c r="J748">
        <v>0</v>
      </c>
      <c r="K748">
        <v>4.3</v>
      </c>
      <c r="L748">
        <v>0</v>
      </c>
      <c r="M748">
        <v>0</v>
      </c>
      <c r="N748">
        <v>4.3</v>
      </c>
      <c r="O748" t="s">
        <v>71</v>
      </c>
      <c r="P748">
        <v>0</v>
      </c>
      <c r="Q748" t="s">
        <v>71</v>
      </c>
      <c r="R748">
        <v>0</v>
      </c>
      <c r="S748" t="s">
        <v>71</v>
      </c>
      <c r="T748">
        <v>0</v>
      </c>
      <c r="U748" t="s">
        <v>71</v>
      </c>
      <c r="V748">
        <v>0</v>
      </c>
      <c r="W748" t="s">
        <v>71</v>
      </c>
      <c r="X748">
        <v>0</v>
      </c>
      <c r="Y748">
        <v>4.3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37</v>
      </c>
      <c r="AF748">
        <v>105</v>
      </c>
      <c r="AG748">
        <v>93</v>
      </c>
      <c r="AI748">
        <v>0.11</v>
      </c>
      <c r="AK748" t="s">
        <v>185</v>
      </c>
      <c r="AL748" t="s">
        <v>2235</v>
      </c>
      <c r="AM748">
        <v>200000</v>
      </c>
      <c r="AN748" t="s">
        <v>73</v>
      </c>
      <c r="AO748">
        <v>1</v>
      </c>
      <c r="AP748">
        <v>0</v>
      </c>
      <c r="AQ748">
        <v>16666.666666666668</v>
      </c>
      <c r="AR748" t="s">
        <v>2453</v>
      </c>
      <c r="AS748" t="s">
        <v>75</v>
      </c>
      <c r="AX748" t="s">
        <v>76</v>
      </c>
      <c r="AY748" t="s">
        <v>71</v>
      </c>
      <c r="AZ748">
        <v>0</v>
      </c>
      <c r="BA748" t="s">
        <v>71</v>
      </c>
      <c r="BB748">
        <v>0</v>
      </c>
      <c r="BD748">
        <v>4.3</v>
      </c>
    </row>
    <row r="749" spans="1:56" x14ac:dyDescent="0.15">
      <c r="A749" s="4" t="str">
        <f>HYPERLINK("https://ibp.a2mac1.com/costing(costing:projects/details/9760/part/8412675)","On Cushion")</f>
        <v>On Cushion</v>
      </c>
      <c r="B749">
        <v>8412675</v>
      </c>
      <c r="C749">
        <v>8412574</v>
      </c>
      <c r="E749">
        <v>4.3</v>
      </c>
      <c r="F749">
        <v>0</v>
      </c>
      <c r="G749">
        <v>0</v>
      </c>
      <c r="H749">
        <v>0</v>
      </c>
      <c r="I749" t="s">
        <v>71</v>
      </c>
      <c r="J749">
        <v>0</v>
      </c>
      <c r="K749">
        <v>4.3</v>
      </c>
      <c r="L749">
        <v>0</v>
      </c>
      <c r="M749">
        <v>0</v>
      </c>
      <c r="N749">
        <v>4.3</v>
      </c>
      <c r="O749" t="s">
        <v>71</v>
      </c>
      <c r="P749">
        <v>0</v>
      </c>
      <c r="Q749" t="s">
        <v>71</v>
      </c>
      <c r="R749">
        <v>0</v>
      </c>
      <c r="S749" t="s">
        <v>71</v>
      </c>
      <c r="T749">
        <v>0</v>
      </c>
      <c r="U749" t="s">
        <v>71</v>
      </c>
      <c r="V749">
        <v>0</v>
      </c>
      <c r="W749" t="s">
        <v>71</v>
      </c>
      <c r="X749">
        <v>0</v>
      </c>
      <c r="Y749">
        <v>4.3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32</v>
      </c>
      <c r="AF749">
        <v>105</v>
      </c>
      <c r="AG749">
        <v>93</v>
      </c>
      <c r="AI749">
        <v>0.11</v>
      </c>
      <c r="AK749" t="s">
        <v>107</v>
      </c>
      <c r="AL749" t="s">
        <v>2235</v>
      </c>
      <c r="AM749">
        <v>200000</v>
      </c>
      <c r="AN749" t="s">
        <v>97</v>
      </c>
      <c r="AO749">
        <v>1</v>
      </c>
      <c r="AP749">
        <v>0</v>
      </c>
      <c r="AQ749">
        <v>16666.666666666668</v>
      </c>
      <c r="AR749" t="s">
        <v>2454</v>
      </c>
      <c r="AS749" t="s">
        <v>75</v>
      </c>
      <c r="AX749" t="s">
        <v>76</v>
      </c>
      <c r="AY749" t="s">
        <v>71</v>
      </c>
      <c r="AZ749">
        <v>0</v>
      </c>
      <c r="BA749" t="s">
        <v>71</v>
      </c>
      <c r="BB749">
        <v>0</v>
      </c>
      <c r="BD749">
        <v>4.3</v>
      </c>
    </row>
    <row r="750" spans="1:56" x14ac:dyDescent="0.15">
      <c r="A750" s="4" t="str">
        <f>HYPERLINK("https://ibp.a2mac1.com/costing(costing:projects/details/9760/part/8412676)","Diffuser on Cushion")</f>
        <v>Diffuser on Cushion</v>
      </c>
      <c r="B750">
        <v>8412676</v>
      </c>
      <c r="C750">
        <v>8412574</v>
      </c>
      <c r="E750">
        <v>0.66</v>
      </c>
      <c r="F750">
        <v>0</v>
      </c>
      <c r="G750">
        <v>0</v>
      </c>
      <c r="H750">
        <v>3.3395999999999999E-3</v>
      </c>
      <c r="I750" t="s">
        <v>176</v>
      </c>
      <c r="J750">
        <v>2.3099999999999999E-2</v>
      </c>
      <c r="K750">
        <v>0.68643960000000004</v>
      </c>
      <c r="L750">
        <v>0.20722401909698474</v>
      </c>
      <c r="M750">
        <v>1.2433441145819084</v>
      </c>
      <c r="N750">
        <v>1.9297837145819083</v>
      </c>
      <c r="O750" t="s">
        <v>177</v>
      </c>
      <c r="P750">
        <v>4.1186375999999997E-2</v>
      </c>
      <c r="Q750" t="s">
        <v>177</v>
      </c>
      <c r="R750">
        <v>7.4600646874914509E-2</v>
      </c>
      <c r="S750" t="s">
        <v>178</v>
      </c>
      <c r="T750">
        <v>0.23157404574982901</v>
      </c>
      <c r="U750" t="s">
        <v>90</v>
      </c>
      <c r="V750">
        <v>0</v>
      </c>
      <c r="W750" t="s">
        <v>90</v>
      </c>
      <c r="X750">
        <v>0</v>
      </c>
      <c r="Y750">
        <v>2.2771447832066518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35</v>
      </c>
      <c r="AF750">
        <v>305</v>
      </c>
      <c r="AG750">
        <v>320</v>
      </c>
      <c r="AI750">
        <v>0.13400000000000001</v>
      </c>
      <c r="AK750" t="s">
        <v>288</v>
      </c>
      <c r="AL750" t="s">
        <v>403</v>
      </c>
      <c r="AM750">
        <v>200000</v>
      </c>
      <c r="AN750" t="s">
        <v>97</v>
      </c>
      <c r="AO750">
        <v>1</v>
      </c>
      <c r="AP750">
        <v>0</v>
      </c>
      <c r="AQ750">
        <v>16666.666666666668</v>
      </c>
      <c r="AR750" t="s">
        <v>2457</v>
      </c>
      <c r="AS750" t="s">
        <v>75</v>
      </c>
      <c r="AX750" t="s">
        <v>76</v>
      </c>
      <c r="AY750" t="s">
        <v>176</v>
      </c>
      <c r="AZ750">
        <v>0</v>
      </c>
      <c r="BA750" t="s">
        <v>176</v>
      </c>
      <c r="BB750">
        <v>0</v>
      </c>
    </row>
    <row r="751" spans="1:56" x14ac:dyDescent="0.15">
      <c r="A751" s="4" t="str">
        <f>HYPERLINK("https://ibp.a2mac1.com/costing(costing:projects/details/9760/part/8412677)","Diffuser on Backrest")</f>
        <v>Diffuser on Backrest</v>
      </c>
      <c r="B751">
        <v>8412677</v>
      </c>
      <c r="C751">
        <v>8412574</v>
      </c>
      <c r="E751">
        <v>0.86</v>
      </c>
      <c r="F751">
        <v>0</v>
      </c>
      <c r="G751">
        <v>0</v>
      </c>
      <c r="H751">
        <v>4.3515999999999997E-3</v>
      </c>
      <c r="I751" t="s">
        <v>176</v>
      </c>
      <c r="J751">
        <v>3.0099999999999998E-2</v>
      </c>
      <c r="K751">
        <v>0.89445160000000001</v>
      </c>
      <c r="L751">
        <v>0.2655047822408455</v>
      </c>
      <c r="M751">
        <v>1.5930286934450728</v>
      </c>
      <c r="N751">
        <v>2.4874802934450728</v>
      </c>
      <c r="O751" t="s">
        <v>177</v>
      </c>
      <c r="P751">
        <v>5.3667095999999997E-2</v>
      </c>
      <c r="Q751" t="s">
        <v>177</v>
      </c>
      <c r="R751">
        <v>9.5581721606704376E-2</v>
      </c>
      <c r="S751" t="s">
        <v>178</v>
      </c>
      <c r="T751">
        <v>0.29849763521340877</v>
      </c>
      <c r="U751" t="s">
        <v>90</v>
      </c>
      <c r="V751">
        <v>0</v>
      </c>
      <c r="W751" t="s">
        <v>90</v>
      </c>
      <c r="X751">
        <v>0</v>
      </c>
      <c r="Y751">
        <v>2.9352267462651862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28</v>
      </c>
      <c r="AF751">
        <v>300</v>
      </c>
      <c r="AG751">
        <v>420</v>
      </c>
      <c r="AI751">
        <v>0.14499999999999999</v>
      </c>
      <c r="AK751" t="s">
        <v>288</v>
      </c>
      <c r="AL751" t="s">
        <v>1375</v>
      </c>
      <c r="AM751">
        <v>200000</v>
      </c>
      <c r="AN751" t="s">
        <v>97</v>
      </c>
      <c r="AO751">
        <v>1</v>
      </c>
      <c r="AP751">
        <v>0</v>
      </c>
      <c r="AQ751">
        <v>16666.666666666668</v>
      </c>
      <c r="AR751" t="s">
        <v>2460</v>
      </c>
      <c r="AS751" t="s">
        <v>75</v>
      </c>
      <c r="AX751" t="s">
        <v>76</v>
      </c>
      <c r="AY751" t="s">
        <v>176</v>
      </c>
      <c r="AZ751">
        <v>0</v>
      </c>
      <c r="BA751" t="s">
        <v>176</v>
      </c>
      <c r="BB751">
        <v>0</v>
      </c>
    </row>
    <row r="752" spans="1:56" x14ac:dyDescent="0.15">
      <c r="A752" s="4" t="str">
        <f>HYPERLINK("https://ibp.a2mac1.com/costing(costing:projects/details/9760/part/8412565)","Harness Guide Support")</f>
        <v>Harness Guide Support</v>
      </c>
      <c r="B752">
        <v>8412565</v>
      </c>
      <c r="C752">
        <v>8412550</v>
      </c>
      <c r="E752">
        <v>0.04</v>
      </c>
      <c r="F752">
        <v>0</v>
      </c>
      <c r="G752">
        <v>0</v>
      </c>
      <c r="H752">
        <v>2.0239999999999999E-4</v>
      </c>
      <c r="I752" t="s">
        <v>176</v>
      </c>
      <c r="J752">
        <v>1.4E-3</v>
      </c>
      <c r="K752">
        <v>4.1602399999999998E-2</v>
      </c>
      <c r="L752">
        <v>7.6565574225524614E-3</v>
      </c>
      <c r="M752">
        <v>4.5939344535314765E-2</v>
      </c>
      <c r="N752">
        <v>8.7541744535314769E-2</v>
      </c>
      <c r="O752" t="s">
        <v>90</v>
      </c>
      <c r="P752">
        <v>0</v>
      </c>
      <c r="Q752" t="s">
        <v>90</v>
      </c>
      <c r="R752">
        <v>0</v>
      </c>
      <c r="S752" t="s">
        <v>90</v>
      </c>
      <c r="T752">
        <v>0</v>
      </c>
      <c r="U752" t="s">
        <v>90</v>
      </c>
      <c r="V752">
        <v>0</v>
      </c>
      <c r="W752" t="s">
        <v>90</v>
      </c>
      <c r="X752">
        <v>0</v>
      </c>
      <c r="Y752">
        <v>8.7541744535314769E-2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12</v>
      </c>
      <c r="AF752">
        <v>52</v>
      </c>
      <c r="AG752">
        <v>43</v>
      </c>
      <c r="AI752">
        <v>2.9000000000000001E-2</v>
      </c>
      <c r="AK752" t="s">
        <v>740</v>
      </c>
      <c r="AL752" t="s">
        <v>96</v>
      </c>
      <c r="AM752">
        <v>200000</v>
      </c>
      <c r="AN752" t="s">
        <v>73</v>
      </c>
      <c r="AO752">
        <v>1</v>
      </c>
      <c r="AP752">
        <v>0</v>
      </c>
      <c r="AQ752">
        <v>16666.666666666668</v>
      </c>
      <c r="AR752" t="s">
        <v>2464</v>
      </c>
      <c r="AS752" t="s">
        <v>75</v>
      </c>
      <c r="AX752" t="s">
        <v>76</v>
      </c>
      <c r="AY752" t="s">
        <v>176</v>
      </c>
      <c r="AZ752">
        <v>0</v>
      </c>
      <c r="BA752" t="s">
        <v>176</v>
      </c>
      <c r="BB752">
        <v>0</v>
      </c>
    </row>
    <row r="753" spans="1:56" x14ac:dyDescent="0.15">
      <c r="A753" s="4" t="str">
        <f>HYPERLINK("https://ibp.a2mac1.com/costing(costing:projects/details/9760/part/8412566)","Harness Guide Support 2")</f>
        <v>Harness Guide Support 2</v>
      </c>
      <c r="B753">
        <v>8412566</v>
      </c>
      <c r="C753">
        <v>8412550</v>
      </c>
      <c r="E753">
        <v>0.13</v>
      </c>
      <c r="F753">
        <v>0</v>
      </c>
      <c r="G753">
        <v>0</v>
      </c>
      <c r="H753">
        <v>6.5780000000000005E-4</v>
      </c>
      <c r="I753" t="s">
        <v>176</v>
      </c>
      <c r="J753">
        <v>4.5500000000000002E-3</v>
      </c>
      <c r="K753">
        <v>0.13520779999999999</v>
      </c>
      <c r="L753">
        <v>4.8276483250091776E-2</v>
      </c>
      <c r="M753">
        <v>0.28965889950055063</v>
      </c>
      <c r="N753">
        <v>0.42486669950055062</v>
      </c>
      <c r="O753" t="s">
        <v>90</v>
      </c>
      <c r="P753">
        <v>0</v>
      </c>
      <c r="Q753" t="s">
        <v>90</v>
      </c>
      <c r="R753">
        <v>0</v>
      </c>
      <c r="S753" t="s">
        <v>90</v>
      </c>
      <c r="T753">
        <v>0</v>
      </c>
      <c r="U753" t="s">
        <v>90</v>
      </c>
      <c r="V753">
        <v>0</v>
      </c>
      <c r="W753" t="s">
        <v>90</v>
      </c>
      <c r="X753">
        <v>0</v>
      </c>
      <c r="Y753">
        <v>0.42486669950055062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88</v>
      </c>
      <c r="AF753">
        <v>166</v>
      </c>
      <c r="AG753">
        <v>53</v>
      </c>
      <c r="AI753">
        <v>0.214</v>
      </c>
      <c r="AK753" t="s">
        <v>740</v>
      </c>
      <c r="AL753" t="s">
        <v>96</v>
      </c>
      <c r="AM753">
        <v>200000</v>
      </c>
      <c r="AN753" t="s">
        <v>73</v>
      </c>
      <c r="AO753">
        <v>1</v>
      </c>
      <c r="AP753">
        <v>0</v>
      </c>
      <c r="AQ753">
        <v>16666.666666666668</v>
      </c>
      <c r="AR753" t="s">
        <v>2467</v>
      </c>
      <c r="AS753" t="s">
        <v>75</v>
      </c>
      <c r="AX753" t="s">
        <v>76</v>
      </c>
      <c r="AY753" t="s">
        <v>176</v>
      </c>
      <c r="AZ753">
        <v>0</v>
      </c>
      <c r="BA753" t="s">
        <v>176</v>
      </c>
      <c r="BB753">
        <v>0</v>
      </c>
    </row>
    <row r="754" spans="1:56" x14ac:dyDescent="0.15">
      <c r="A754" s="4" t="str">
        <f>HYPERLINK("https://ibp.a2mac1.com/costing(costing:projects/details/9760/part/8412575)","Fasteners")</f>
        <v>Fasteners</v>
      </c>
      <c r="B754">
        <v>8412575</v>
      </c>
      <c r="C754">
        <v>8412550</v>
      </c>
      <c r="E754">
        <v>4.75</v>
      </c>
      <c r="F754">
        <v>0</v>
      </c>
      <c r="G754">
        <v>0</v>
      </c>
      <c r="H754">
        <v>0</v>
      </c>
      <c r="I754" t="s">
        <v>71</v>
      </c>
      <c r="J754">
        <v>0</v>
      </c>
      <c r="K754">
        <v>4.75</v>
      </c>
      <c r="L754">
        <v>0</v>
      </c>
      <c r="M754">
        <v>0</v>
      </c>
      <c r="N754">
        <v>4.75</v>
      </c>
      <c r="O754" t="s">
        <v>71</v>
      </c>
      <c r="P754">
        <v>0</v>
      </c>
      <c r="Q754" t="s">
        <v>71</v>
      </c>
      <c r="R754">
        <v>0</v>
      </c>
      <c r="S754" t="s">
        <v>71</v>
      </c>
      <c r="T754">
        <v>0</v>
      </c>
      <c r="U754" t="s">
        <v>71</v>
      </c>
      <c r="V754">
        <v>0</v>
      </c>
      <c r="W754" t="s">
        <v>71</v>
      </c>
      <c r="X754">
        <v>0</v>
      </c>
      <c r="Y754">
        <v>4.75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K754" t="s">
        <v>272</v>
      </c>
      <c r="AM754">
        <v>200000</v>
      </c>
      <c r="AN754" t="s">
        <v>97</v>
      </c>
      <c r="AO754">
        <v>1</v>
      </c>
      <c r="AP754">
        <v>0</v>
      </c>
      <c r="AQ754">
        <v>16666.666666666668</v>
      </c>
      <c r="AR754" t="s">
        <v>9</v>
      </c>
      <c r="AS754" t="s">
        <v>75</v>
      </c>
      <c r="AV754">
        <v>0</v>
      </c>
      <c r="AW754">
        <v>0</v>
      </c>
      <c r="AX754" t="s">
        <v>76</v>
      </c>
      <c r="AY754" t="s">
        <v>71</v>
      </c>
      <c r="AZ754">
        <v>0</v>
      </c>
      <c r="BA754" t="s">
        <v>71</v>
      </c>
      <c r="BB754">
        <v>0</v>
      </c>
      <c r="BD754">
        <v>4.75</v>
      </c>
    </row>
    <row r="755" spans="1:56" x14ac:dyDescent="0.15">
      <c r="A755" s="4" t="str">
        <f>HYPERLINK("https://ibp.a2mac1.com/costing(costing:projects/details/9760/part/8412762)","Cover")</f>
        <v>Cover</v>
      </c>
      <c r="B755">
        <v>8412762</v>
      </c>
      <c r="C755">
        <v>8412679</v>
      </c>
      <c r="E755">
        <v>6</v>
      </c>
      <c r="F755">
        <v>0</v>
      </c>
      <c r="G755">
        <v>0</v>
      </c>
      <c r="H755">
        <v>3.0360000000000002E-2</v>
      </c>
      <c r="I755" t="s">
        <v>176</v>
      </c>
      <c r="J755">
        <v>0.21</v>
      </c>
      <c r="K755">
        <v>6.2403599999999999</v>
      </c>
      <c r="L755">
        <v>0.17543451192760615</v>
      </c>
      <c r="M755">
        <v>1.0526070715656368</v>
      </c>
      <c r="N755">
        <v>7.2929670715656369</v>
      </c>
      <c r="O755" t="s">
        <v>177</v>
      </c>
      <c r="P755">
        <v>0.37442160000000002</v>
      </c>
      <c r="Q755" t="s">
        <v>177</v>
      </c>
      <c r="R755">
        <v>6.315642429393821E-2</v>
      </c>
      <c r="S755" t="s">
        <v>178</v>
      </c>
      <c r="T755">
        <v>0.87515604858787643</v>
      </c>
      <c r="U755" t="s">
        <v>90</v>
      </c>
      <c r="V755">
        <v>0</v>
      </c>
      <c r="W755" t="s">
        <v>90</v>
      </c>
      <c r="X755">
        <v>0</v>
      </c>
      <c r="Y755">
        <v>8.6057011444474512</v>
      </c>
      <c r="Z755">
        <v>0</v>
      </c>
      <c r="AA755">
        <v>0</v>
      </c>
      <c r="AB755">
        <v>0</v>
      </c>
      <c r="AC755">
        <v>0</v>
      </c>
      <c r="AD755">
        <v>0</v>
      </c>
      <c r="AI755">
        <v>0.14399999999999999</v>
      </c>
      <c r="AK755" t="s">
        <v>272</v>
      </c>
      <c r="AL755" t="s">
        <v>1952</v>
      </c>
      <c r="AM755">
        <v>200000</v>
      </c>
      <c r="AN755" t="s">
        <v>97</v>
      </c>
      <c r="AO755">
        <v>1</v>
      </c>
      <c r="AP755">
        <v>0</v>
      </c>
      <c r="AQ755">
        <v>16666.666666666668</v>
      </c>
      <c r="AR755" t="s">
        <v>9</v>
      </c>
      <c r="AS755" t="s">
        <v>75</v>
      </c>
      <c r="AX755" t="s">
        <v>76</v>
      </c>
      <c r="AY755" t="s">
        <v>176</v>
      </c>
      <c r="AZ755">
        <v>0</v>
      </c>
      <c r="BA755" t="s">
        <v>176</v>
      </c>
      <c r="BB755">
        <v>0</v>
      </c>
    </row>
    <row r="756" spans="1:56" x14ac:dyDescent="0.15">
      <c r="A756" s="4" t="str">
        <f>HYPERLINK("https://ibp.a2mac1.com/costing(costing:projects/details/9760/part/8412763)","Padding")</f>
        <v>Padding</v>
      </c>
      <c r="B756">
        <v>8412763</v>
      </c>
      <c r="C756">
        <v>8412679</v>
      </c>
      <c r="E756">
        <v>0.27500000000000002</v>
      </c>
      <c r="F756">
        <v>0</v>
      </c>
      <c r="G756">
        <v>0</v>
      </c>
      <c r="H756">
        <v>1.3914999999999999E-3</v>
      </c>
      <c r="I756" t="s">
        <v>176</v>
      </c>
      <c r="J756">
        <v>9.6249999999999999E-3</v>
      </c>
      <c r="K756">
        <v>0.28601650000000001</v>
      </c>
      <c r="L756">
        <v>1.2954808617448894E-2</v>
      </c>
      <c r="M756">
        <v>7.7728851704693361E-2</v>
      </c>
      <c r="N756">
        <v>0.36374535170469335</v>
      </c>
      <c r="O756" t="s">
        <v>177</v>
      </c>
      <c r="P756">
        <v>1.7160990000000001E-2</v>
      </c>
      <c r="Q756" t="s">
        <v>177</v>
      </c>
      <c r="R756">
        <v>4.6637311022816015E-3</v>
      </c>
      <c r="S756" t="s">
        <v>178</v>
      </c>
      <c r="T756">
        <v>4.3649442204563203E-2</v>
      </c>
      <c r="U756" t="s">
        <v>90</v>
      </c>
      <c r="V756">
        <v>0</v>
      </c>
      <c r="W756" t="s">
        <v>90</v>
      </c>
      <c r="X756">
        <v>0</v>
      </c>
      <c r="Y756">
        <v>0.42921951501153816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115</v>
      </c>
      <c r="AF756">
        <v>205</v>
      </c>
      <c r="AG756">
        <v>150</v>
      </c>
      <c r="AI756">
        <v>0.11799999999999999</v>
      </c>
      <c r="AK756" t="s">
        <v>272</v>
      </c>
      <c r="AL756" t="s">
        <v>1957</v>
      </c>
      <c r="AM756">
        <v>200000</v>
      </c>
      <c r="AN756" t="s">
        <v>97</v>
      </c>
      <c r="AO756">
        <v>1</v>
      </c>
      <c r="AP756">
        <v>0</v>
      </c>
      <c r="AQ756">
        <v>16666.666666666668</v>
      </c>
      <c r="AR756" t="s">
        <v>9</v>
      </c>
      <c r="AS756" t="s">
        <v>75</v>
      </c>
      <c r="AX756" t="s">
        <v>76</v>
      </c>
      <c r="AY756" t="s">
        <v>176</v>
      </c>
      <c r="AZ756">
        <v>0</v>
      </c>
      <c r="BA756" t="s">
        <v>176</v>
      </c>
      <c r="BB756">
        <v>0</v>
      </c>
    </row>
    <row r="757" spans="1:56" x14ac:dyDescent="0.15">
      <c r="A757" s="4" t="str">
        <f>HYPERLINK("https://ibp.a2mac1.com/costing(costing:projects/details/9760/part/8412764)","Frame")</f>
        <v>Frame</v>
      </c>
      <c r="B757">
        <v>8412764</v>
      </c>
      <c r="C757">
        <v>8412679</v>
      </c>
      <c r="E757">
        <v>1.927</v>
      </c>
      <c r="F757">
        <v>0</v>
      </c>
      <c r="G757">
        <v>0</v>
      </c>
      <c r="H757">
        <v>9.7506199999999998E-3</v>
      </c>
      <c r="I757" t="s">
        <v>176</v>
      </c>
      <c r="J757">
        <v>6.7445000000000005E-2</v>
      </c>
      <c r="K757">
        <v>2.00419562</v>
      </c>
      <c r="L757">
        <v>0.1259841674419061</v>
      </c>
      <c r="M757">
        <v>0.75590500465143662</v>
      </c>
      <c r="N757">
        <v>2.7601006246514368</v>
      </c>
      <c r="O757" t="s">
        <v>177</v>
      </c>
      <c r="P757">
        <v>0.1202517372</v>
      </c>
      <c r="Q757" t="s">
        <v>177</v>
      </c>
      <c r="R757">
        <v>4.5354300279086199E-2</v>
      </c>
      <c r="S757" t="s">
        <v>178</v>
      </c>
      <c r="T757">
        <v>0.3312120749581724</v>
      </c>
      <c r="U757" t="s">
        <v>90</v>
      </c>
      <c r="V757">
        <v>0</v>
      </c>
      <c r="W757" t="s">
        <v>90</v>
      </c>
      <c r="X757">
        <v>0</v>
      </c>
      <c r="Y757">
        <v>3.2569187370886952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64</v>
      </c>
      <c r="AF757">
        <v>115</v>
      </c>
      <c r="AG757">
        <v>237</v>
      </c>
      <c r="AI757">
        <v>0.29599999999999999</v>
      </c>
      <c r="AK757" t="s">
        <v>272</v>
      </c>
      <c r="AL757" t="s">
        <v>96</v>
      </c>
      <c r="AM757">
        <v>200000</v>
      </c>
      <c r="AN757" t="s">
        <v>97</v>
      </c>
      <c r="AO757">
        <v>1</v>
      </c>
      <c r="AP757">
        <v>0</v>
      </c>
      <c r="AQ757">
        <v>16666.666666666668</v>
      </c>
      <c r="AR757" t="s">
        <v>9</v>
      </c>
      <c r="AS757" t="s">
        <v>75</v>
      </c>
      <c r="AX757" t="s">
        <v>76</v>
      </c>
      <c r="AY757" t="s">
        <v>176</v>
      </c>
      <c r="AZ757">
        <v>0</v>
      </c>
      <c r="BA757" t="s">
        <v>176</v>
      </c>
      <c r="BB757">
        <v>0</v>
      </c>
    </row>
    <row r="758" spans="1:56" x14ac:dyDescent="0.15">
      <c r="A758" s="4" t="str">
        <f>HYPERLINK("https://ibp.a2mac1.com/costing(costing:projects/details/9760/part/8412819)","Lock Support")</f>
        <v>Lock Support</v>
      </c>
      <c r="B758">
        <v>8412819</v>
      </c>
      <c r="C758">
        <v>8412770</v>
      </c>
      <c r="E758">
        <v>0.11600000000000001</v>
      </c>
      <c r="F758">
        <v>0</v>
      </c>
      <c r="G758">
        <v>0</v>
      </c>
      <c r="H758">
        <v>5.8695999999999998E-4</v>
      </c>
      <c r="I758" t="s">
        <v>176</v>
      </c>
      <c r="J758">
        <v>4.0600000000000002E-3</v>
      </c>
      <c r="K758">
        <v>0.12064696</v>
      </c>
      <c r="L758">
        <v>4.1243899592881732E-3</v>
      </c>
      <c r="M758">
        <v>2.4746339755729041E-2</v>
      </c>
      <c r="N758">
        <v>0.14539329975572904</v>
      </c>
      <c r="O758" t="s">
        <v>90</v>
      </c>
      <c r="P758">
        <v>0</v>
      </c>
      <c r="Q758" t="s">
        <v>90</v>
      </c>
      <c r="R758">
        <v>0</v>
      </c>
      <c r="S758" t="s">
        <v>90</v>
      </c>
      <c r="T758">
        <v>0</v>
      </c>
      <c r="U758" t="s">
        <v>90</v>
      </c>
      <c r="V758">
        <v>0</v>
      </c>
      <c r="W758" t="s">
        <v>90</v>
      </c>
      <c r="X758">
        <v>0</v>
      </c>
      <c r="Y758">
        <v>0.14539329975572904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39</v>
      </c>
      <c r="AF758">
        <v>40</v>
      </c>
      <c r="AG758">
        <v>97</v>
      </c>
      <c r="AI758">
        <v>2.1000000000000001E-2</v>
      </c>
      <c r="AK758" t="s">
        <v>740</v>
      </c>
      <c r="AL758" t="s">
        <v>2485</v>
      </c>
      <c r="AM758">
        <v>200000</v>
      </c>
      <c r="AN758" t="s">
        <v>73</v>
      </c>
      <c r="AO758">
        <v>1</v>
      </c>
      <c r="AP758">
        <v>0</v>
      </c>
      <c r="AQ758">
        <v>16666.666666666668</v>
      </c>
      <c r="AR758" t="s">
        <v>2486</v>
      </c>
      <c r="AS758" t="s">
        <v>75</v>
      </c>
      <c r="AX758" t="s">
        <v>76</v>
      </c>
      <c r="AY758" t="s">
        <v>176</v>
      </c>
      <c r="AZ758">
        <v>0</v>
      </c>
      <c r="BA758" t="s">
        <v>176</v>
      </c>
      <c r="BB758">
        <v>0</v>
      </c>
    </row>
    <row r="759" spans="1:56" x14ac:dyDescent="0.15">
      <c r="A759" s="4" t="str">
        <f>HYPERLINK("https://ibp.a2mac1.com/costing(costing:projects/details/9760/part/8412820)","Simple Guide Support")</f>
        <v>Simple Guide Support</v>
      </c>
      <c r="B759">
        <v>8412820</v>
      </c>
      <c r="C759">
        <v>8412770</v>
      </c>
      <c r="E759">
        <v>0.11600000000000001</v>
      </c>
      <c r="F759">
        <v>0</v>
      </c>
      <c r="G759">
        <v>0</v>
      </c>
      <c r="H759">
        <v>5.8695999999999998E-4</v>
      </c>
      <c r="I759" t="s">
        <v>176</v>
      </c>
      <c r="J759">
        <v>4.0600000000000002E-3</v>
      </c>
      <c r="K759">
        <v>0.12064696</v>
      </c>
      <c r="L759">
        <v>4.1243899592881732E-3</v>
      </c>
      <c r="M759">
        <v>2.4746339755729041E-2</v>
      </c>
      <c r="N759">
        <v>0.14539329975572904</v>
      </c>
      <c r="O759" t="s">
        <v>90</v>
      </c>
      <c r="P759">
        <v>0</v>
      </c>
      <c r="Q759" t="s">
        <v>90</v>
      </c>
      <c r="R759">
        <v>0</v>
      </c>
      <c r="S759" t="s">
        <v>90</v>
      </c>
      <c r="T759">
        <v>0</v>
      </c>
      <c r="U759" t="s">
        <v>90</v>
      </c>
      <c r="V759">
        <v>0</v>
      </c>
      <c r="W759" t="s">
        <v>90</v>
      </c>
      <c r="X759">
        <v>0</v>
      </c>
      <c r="Y759">
        <v>0.14539329975572904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39</v>
      </c>
      <c r="AF759">
        <v>40</v>
      </c>
      <c r="AG759">
        <v>97</v>
      </c>
      <c r="AI759">
        <v>2.1000000000000001E-2</v>
      </c>
      <c r="AK759" t="s">
        <v>740</v>
      </c>
      <c r="AL759" t="s">
        <v>2485</v>
      </c>
      <c r="AM759">
        <v>200000</v>
      </c>
      <c r="AN759" t="s">
        <v>73</v>
      </c>
      <c r="AO759">
        <v>1</v>
      </c>
      <c r="AP759">
        <v>0</v>
      </c>
      <c r="AQ759">
        <v>16666.666666666668</v>
      </c>
      <c r="AR759" t="s">
        <v>2489</v>
      </c>
      <c r="AS759" t="s">
        <v>75</v>
      </c>
      <c r="AX759" t="s">
        <v>76</v>
      </c>
      <c r="AY759" t="s">
        <v>176</v>
      </c>
      <c r="AZ759">
        <v>0</v>
      </c>
      <c r="BA759" t="s">
        <v>176</v>
      </c>
      <c r="BB759">
        <v>0</v>
      </c>
    </row>
    <row r="760" spans="1:56" x14ac:dyDescent="0.15">
      <c r="A760" s="4" t="str">
        <f>HYPERLINK("https://ibp.a2mac1.com/costing(costing:projects/details/9760/part/8412846)","Lever")</f>
        <v>Lever</v>
      </c>
      <c r="B760">
        <v>8412846</v>
      </c>
      <c r="C760">
        <v>8412823</v>
      </c>
      <c r="E760">
        <v>0.115</v>
      </c>
      <c r="F760">
        <v>0</v>
      </c>
      <c r="G760">
        <v>0</v>
      </c>
      <c r="H760">
        <v>5.819E-4</v>
      </c>
      <c r="I760" t="s">
        <v>176</v>
      </c>
      <c r="J760">
        <v>4.0249999999999999E-3</v>
      </c>
      <c r="K760">
        <v>0.1196069</v>
      </c>
      <c r="L760">
        <v>5.8904736909203177E-3</v>
      </c>
      <c r="M760">
        <v>3.5342842145521906E-2</v>
      </c>
      <c r="N760">
        <v>0.1549497421455219</v>
      </c>
      <c r="O760" t="s">
        <v>90</v>
      </c>
      <c r="P760">
        <v>0</v>
      </c>
      <c r="Q760" t="s">
        <v>90</v>
      </c>
      <c r="R760">
        <v>0</v>
      </c>
      <c r="S760" t="s">
        <v>90</v>
      </c>
      <c r="T760">
        <v>0</v>
      </c>
      <c r="U760" t="s">
        <v>90</v>
      </c>
      <c r="V760">
        <v>0</v>
      </c>
      <c r="W760" t="s">
        <v>90</v>
      </c>
      <c r="X760">
        <v>0</v>
      </c>
      <c r="Y760">
        <v>0.1549497421455219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63</v>
      </c>
      <c r="AF760">
        <v>52</v>
      </c>
      <c r="AG760">
        <v>58</v>
      </c>
      <c r="AI760">
        <v>3.2000000000000001E-2</v>
      </c>
      <c r="AK760" t="s">
        <v>740</v>
      </c>
      <c r="AL760" t="s">
        <v>2495</v>
      </c>
      <c r="AM760">
        <v>200000</v>
      </c>
      <c r="AN760" t="s">
        <v>73</v>
      </c>
      <c r="AO760">
        <v>1</v>
      </c>
      <c r="AP760">
        <v>0</v>
      </c>
      <c r="AQ760">
        <v>16666.666666666668</v>
      </c>
      <c r="AR760" t="s">
        <v>2496</v>
      </c>
      <c r="AS760" t="s">
        <v>75</v>
      </c>
      <c r="AX760" t="s">
        <v>76</v>
      </c>
      <c r="AY760" t="s">
        <v>176</v>
      </c>
      <c r="AZ760">
        <v>0</v>
      </c>
      <c r="BA760" t="s">
        <v>176</v>
      </c>
      <c r="BB760">
        <v>0</v>
      </c>
    </row>
    <row r="761" spans="1:56" x14ac:dyDescent="0.15">
      <c r="A761" s="4" t="str">
        <f>HYPERLINK("https://ibp.a2mac1.com/costing(costing:projects/details/9760/part/8412847)","Bezel")</f>
        <v>Bezel</v>
      </c>
      <c r="B761">
        <v>8412847</v>
      </c>
      <c r="C761">
        <v>8412823</v>
      </c>
      <c r="E761">
        <v>0.158</v>
      </c>
      <c r="F761">
        <v>0</v>
      </c>
      <c r="G761">
        <v>0</v>
      </c>
      <c r="H761">
        <v>7.9947999999999998E-4</v>
      </c>
      <c r="I761" t="s">
        <v>176</v>
      </c>
      <c r="J761">
        <v>5.5300000000000002E-3</v>
      </c>
      <c r="K761">
        <v>0.16432948</v>
      </c>
      <c r="L761">
        <v>7.6565574225524614E-3</v>
      </c>
      <c r="M761">
        <v>4.5939344535314765E-2</v>
      </c>
      <c r="N761">
        <v>0.21026882453531476</v>
      </c>
      <c r="O761" t="s">
        <v>90</v>
      </c>
      <c r="P761">
        <v>0</v>
      </c>
      <c r="Q761" t="s">
        <v>90</v>
      </c>
      <c r="R761">
        <v>0</v>
      </c>
      <c r="S761" t="s">
        <v>90</v>
      </c>
      <c r="T761">
        <v>0</v>
      </c>
      <c r="U761" t="s">
        <v>90</v>
      </c>
      <c r="V761">
        <v>0</v>
      </c>
      <c r="W761" t="s">
        <v>90</v>
      </c>
      <c r="X761">
        <v>0</v>
      </c>
      <c r="Y761">
        <v>0.21026882453531476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105</v>
      </c>
      <c r="AF761">
        <v>77</v>
      </c>
      <c r="AG761">
        <v>100</v>
      </c>
      <c r="AI761">
        <v>4.3999999999999997E-2</v>
      </c>
      <c r="AK761" t="s">
        <v>740</v>
      </c>
      <c r="AL761" t="s">
        <v>412</v>
      </c>
      <c r="AM761">
        <v>200000</v>
      </c>
      <c r="AN761" t="s">
        <v>73</v>
      </c>
      <c r="AO761">
        <v>1</v>
      </c>
      <c r="AP761">
        <v>0</v>
      </c>
      <c r="AQ761">
        <v>16666.666666666668</v>
      </c>
      <c r="AR761" t="s">
        <v>2499</v>
      </c>
      <c r="AS761" t="s">
        <v>75</v>
      </c>
      <c r="AX761" t="s">
        <v>76</v>
      </c>
      <c r="AY761" t="s">
        <v>176</v>
      </c>
      <c r="AZ761">
        <v>0</v>
      </c>
      <c r="BA761" t="s">
        <v>176</v>
      </c>
      <c r="BB761">
        <v>0</v>
      </c>
    </row>
    <row r="762" spans="1:56" x14ac:dyDescent="0.15">
      <c r="A762" s="4" t="str">
        <f>HYPERLINK("https://ibp.a2mac1.com/costing(costing:projects/details/9760/part/8412848)","Support")</f>
        <v>Support</v>
      </c>
      <c r="B762">
        <v>8412848</v>
      </c>
      <c r="C762">
        <v>8412823</v>
      </c>
      <c r="E762">
        <v>0.22700000000000001</v>
      </c>
      <c r="F762">
        <v>0</v>
      </c>
      <c r="G762">
        <v>0</v>
      </c>
      <c r="H762">
        <v>1.1486199999999999E-3</v>
      </c>
      <c r="I762" t="s">
        <v>176</v>
      </c>
      <c r="J762">
        <v>7.9450000000000007E-3</v>
      </c>
      <c r="K762">
        <v>0.23609362</v>
      </c>
      <c r="L762">
        <v>2.001914354397747E-2</v>
      </c>
      <c r="M762">
        <v>0.12011486126386482</v>
      </c>
      <c r="N762">
        <v>0.35620848126386484</v>
      </c>
      <c r="O762" t="s">
        <v>90</v>
      </c>
      <c r="P762">
        <v>0</v>
      </c>
      <c r="Q762" t="s">
        <v>90</v>
      </c>
      <c r="R762">
        <v>0</v>
      </c>
      <c r="S762" t="s">
        <v>90</v>
      </c>
      <c r="T762">
        <v>0</v>
      </c>
      <c r="U762" t="s">
        <v>90</v>
      </c>
      <c r="V762">
        <v>0</v>
      </c>
      <c r="W762" t="s">
        <v>90</v>
      </c>
      <c r="X762">
        <v>0</v>
      </c>
      <c r="Y762">
        <v>0.35620848126386484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109</v>
      </c>
      <c r="AF762">
        <v>90</v>
      </c>
      <c r="AG762">
        <v>99</v>
      </c>
      <c r="AI762">
        <v>0.11</v>
      </c>
      <c r="AK762" t="s">
        <v>740</v>
      </c>
      <c r="AL762" t="s">
        <v>399</v>
      </c>
      <c r="AM762">
        <v>200000</v>
      </c>
      <c r="AN762" t="s">
        <v>73</v>
      </c>
      <c r="AO762">
        <v>1</v>
      </c>
      <c r="AP762">
        <v>0</v>
      </c>
      <c r="AQ762">
        <v>16666.666666666668</v>
      </c>
      <c r="AR762" t="s">
        <v>2502</v>
      </c>
      <c r="AS762" t="s">
        <v>75</v>
      </c>
      <c r="AX762" t="s">
        <v>76</v>
      </c>
      <c r="AY762" t="s">
        <v>176</v>
      </c>
      <c r="AZ762">
        <v>0</v>
      </c>
      <c r="BA762" t="s">
        <v>176</v>
      </c>
      <c r="BB762">
        <v>0</v>
      </c>
    </row>
    <row r="763" spans="1:56" x14ac:dyDescent="0.15">
      <c r="A763" s="4" t="str">
        <f>HYPERLINK("https://ibp.a2mac1.com/costing(costing:projects/details/9760/part/8412849)","Cable")</f>
        <v>Cable</v>
      </c>
      <c r="B763">
        <v>8412849</v>
      </c>
      <c r="C763">
        <v>8412823</v>
      </c>
      <c r="D763" t="s">
        <v>2503</v>
      </c>
      <c r="E763">
        <v>0.434</v>
      </c>
      <c r="F763">
        <v>0</v>
      </c>
      <c r="G763">
        <v>0</v>
      </c>
      <c r="H763">
        <v>0</v>
      </c>
      <c r="I763" t="s">
        <v>71</v>
      </c>
      <c r="J763">
        <v>0</v>
      </c>
      <c r="K763">
        <v>0.434</v>
      </c>
      <c r="L763">
        <v>0</v>
      </c>
      <c r="M763">
        <v>0</v>
      </c>
      <c r="N763">
        <v>0.434</v>
      </c>
      <c r="O763" t="s">
        <v>71</v>
      </c>
      <c r="P763">
        <v>0</v>
      </c>
      <c r="Q763" t="s">
        <v>71</v>
      </c>
      <c r="R763">
        <v>0</v>
      </c>
      <c r="S763" t="s">
        <v>71</v>
      </c>
      <c r="T763">
        <v>0</v>
      </c>
      <c r="U763" t="s">
        <v>71</v>
      </c>
      <c r="V763">
        <v>0</v>
      </c>
      <c r="W763" t="s">
        <v>71</v>
      </c>
      <c r="X763">
        <v>0</v>
      </c>
      <c r="Y763">
        <v>0.434</v>
      </c>
      <c r="Z763">
        <v>0</v>
      </c>
      <c r="AA763">
        <v>0</v>
      </c>
      <c r="AB763">
        <v>0</v>
      </c>
      <c r="AC763">
        <v>0</v>
      </c>
      <c r="AD763">
        <v>0</v>
      </c>
      <c r="AI763">
        <v>4.2000000000000003E-2</v>
      </c>
      <c r="AK763" t="s">
        <v>740</v>
      </c>
      <c r="AL763" t="s">
        <v>2504</v>
      </c>
      <c r="AM763">
        <v>200000</v>
      </c>
      <c r="AN763" t="s">
        <v>73</v>
      </c>
      <c r="AO763">
        <v>1</v>
      </c>
      <c r="AP763">
        <v>0</v>
      </c>
      <c r="AQ763">
        <v>16666.666666666668</v>
      </c>
      <c r="AR763" t="s">
        <v>2505</v>
      </c>
      <c r="AS763" t="s">
        <v>75</v>
      </c>
      <c r="AX763" t="s">
        <v>76</v>
      </c>
      <c r="AY763" t="s">
        <v>71</v>
      </c>
      <c r="AZ763">
        <v>0</v>
      </c>
      <c r="BA763" t="s">
        <v>71</v>
      </c>
      <c r="BB763">
        <v>0</v>
      </c>
      <c r="BD763">
        <v>0.434</v>
      </c>
    </row>
    <row r="764" spans="1:56" x14ac:dyDescent="0.15">
      <c r="A764" s="4" t="str">
        <f>HYPERLINK("https://ibp.a2mac1.com/costing(costing:projects/details/9760/part/8412821)","Lock")</f>
        <v>Lock</v>
      </c>
      <c r="B764">
        <v>8412821</v>
      </c>
      <c r="C764">
        <v>8412771</v>
      </c>
      <c r="D764" t="s">
        <v>2507</v>
      </c>
      <c r="E764">
        <v>2</v>
      </c>
      <c r="F764">
        <v>0</v>
      </c>
      <c r="G764">
        <v>0</v>
      </c>
      <c r="H764">
        <v>0</v>
      </c>
      <c r="I764" t="s">
        <v>71</v>
      </c>
      <c r="J764">
        <v>0</v>
      </c>
      <c r="K764">
        <v>2</v>
      </c>
      <c r="L764">
        <v>0</v>
      </c>
      <c r="M764">
        <v>0</v>
      </c>
      <c r="N764">
        <v>2</v>
      </c>
      <c r="O764" t="s">
        <v>71</v>
      </c>
      <c r="P764">
        <v>0</v>
      </c>
      <c r="Q764" t="s">
        <v>71</v>
      </c>
      <c r="R764">
        <v>0</v>
      </c>
      <c r="S764" t="s">
        <v>71</v>
      </c>
      <c r="T764">
        <v>0</v>
      </c>
      <c r="U764" t="s">
        <v>71</v>
      </c>
      <c r="V764">
        <v>0</v>
      </c>
      <c r="W764" t="s">
        <v>71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132</v>
      </c>
      <c r="AF764">
        <v>34</v>
      </c>
      <c r="AG764">
        <v>64</v>
      </c>
      <c r="AI764">
        <v>0.26900000000000002</v>
      </c>
      <c r="AK764" t="s">
        <v>740</v>
      </c>
      <c r="AL764" t="s">
        <v>765</v>
      </c>
      <c r="AM764">
        <v>200000</v>
      </c>
      <c r="AN764" t="s">
        <v>73</v>
      </c>
      <c r="AO764">
        <v>1</v>
      </c>
      <c r="AP764">
        <v>0</v>
      </c>
      <c r="AQ764">
        <v>16666.666666666668</v>
      </c>
      <c r="AR764" t="s">
        <v>2508</v>
      </c>
      <c r="AS764" t="s">
        <v>75</v>
      </c>
      <c r="AX764" t="s">
        <v>76</v>
      </c>
      <c r="AY764" t="s">
        <v>71</v>
      </c>
      <c r="AZ764">
        <v>0</v>
      </c>
      <c r="BA764" t="s">
        <v>71</v>
      </c>
      <c r="BB764">
        <v>0</v>
      </c>
      <c r="BD764">
        <v>2</v>
      </c>
    </row>
    <row r="765" spans="1:56" x14ac:dyDescent="0.15">
      <c r="A765" s="4" t="str">
        <f>HYPERLINK("https://ibp.a2mac1.com/costing(costing:projects/details/9760/part/8412822)","Stoppers")</f>
        <v>Stoppers</v>
      </c>
      <c r="B765">
        <v>8412822</v>
      </c>
      <c r="C765">
        <v>8412771</v>
      </c>
      <c r="D765" t="s">
        <v>2509</v>
      </c>
      <c r="E765">
        <v>0.05</v>
      </c>
      <c r="F765">
        <v>0</v>
      </c>
      <c r="G765">
        <v>0</v>
      </c>
      <c r="H765">
        <v>0</v>
      </c>
      <c r="I765" t="s">
        <v>71</v>
      </c>
      <c r="J765">
        <v>0</v>
      </c>
      <c r="K765">
        <v>0.05</v>
      </c>
      <c r="L765">
        <v>0</v>
      </c>
      <c r="M765">
        <v>0</v>
      </c>
      <c r="N765">
        <v>0.05</v>
      </c>
      <c r="O765" t="s">
        <v>71</v>
      </c>
      <c r="P765">
        <v>0</v>
      </c>
      <c r="Q765" t="s">
        <v>71</v>
      </c>
      <c r="R765">
        <v>0</v>
      </c>
      <c r="S765" t="s">
        <v>71</v>
      </c>
      <c r="T765">
        <v>0</v>
      </c>
      <c r="U765" t="s">
        <v>71</v>
      </c>
      <c r="V765">
        <v>0</v>
      </c>
      <c r="W765" t="s">
        <v>71</v>
      </c>
      <c r="X765">
        <v>0</v>
      </c>
      <c r="Y765">
        <v>0.05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19</v>
      </c>
      <c r="AF765">
        <v>10</v>
      </c>
      <c r="AG765">
        <v>10</v>
      </c>
      <c r="AI765">
        <v>1E-3</v>
      </c>
      <c r="AK765" t="s">
        <v>740</v>
      </c>
      <c r="AL765" t="s">
        <v>2246</v>
      </c>
      <c r="AM765">
        <v>200000</v>
      </c>
      <c r="AN765" t="s">
        <v>73</v>
      </c>
      <c r="AO765">
        <v>1</v>
      </c>
      <c r="AP765">
        <v>0</v>
      </c>
      <c r="AQ765">
        <v>16666.666666666668</v>
      </c>
      <c r="AR765" t="s">
        <v>2510</v>
      </c>
      <c r="AS765" t="s">
        <v>75</v>
      </c>
      <c r="AX765" t="s">
        <v>76</v>
      </c>
      <c r="AY765" t="s">
        <v>71</v>
      </c>
      <c r="AZ765">
        <v>0</v>
      </c>
      <c r="BA765" t="s">
        <v>71</v>
      </c>
      <c r="BB765">
        <v>0</v>
      </c>
      <c r="BD765">
        <v>0.05</v>
      </c>
    </row>
    <row r="766" spans="1:56" x14ac:dyDescent="0.15">
      <c r="A766" s="4" t="str">
        <f>HYPERLINK("https://ibp.a2mac1.com/costing(costing:projects/details/9760/part/8412765)","Cover")</f>
        <v>Cover</v>
      </c>
      <c r="B766">
        <v>8412765</v>
      </c>
      <c r="C766">
        <v>8412680</v>
      </c>
      <c r="E766">
        <v>23.15</v>
      </c>
      <c r="F766">
        <v>0</v>
      </c>
      <c r="G766">
        <v>0</v>
      </c>
      <c r="H766">
        <v>0.11713899999999999</v>
      </c>
      <c r="I766" t="s">
        <v>176</v>
      </c>
      <c r="J766">
        <v>0.81025000000000003</v>
      </c>
      <c r="K766">
        <v>24.077389</v>
      </c>
      <c r="L766">
        <v>0.57456943527647064</v>
      </c>
      <c r="M766">
        <v>3.4474166116588241</v>
      </c>
      <c r="N766">
        <v>27.524805611658824</v>
      </c>
      <c r="O766" t="s">
        <v>90</v>
      </c>
      <c r="P766">
        <v>0</v>
      </c>
      <c r="Q766" t="s">
        <v>90</v>
      </c>
      <c r="R766">
        <v>0</v>
      </c>
      <c r="S766" t="s">
        <v>90</v>
      </c>
      <c r="T766">
        <v>0</v>
      </c>
      <c r="U766" t="s">
        <v>90</v>
      </c>
      <c r="V766">
        <v>0</v>
      </c>
      <c r="W766" t="s">
        <v>90</v>
      </c>
      <c r="X766">
        <v>0</v>
      </c>
      <c r="Y766">
        <v>27.524805611658824</v>
      </c>
      <c r="Z766">
        <v>0</v>
      </c>
      <c r="AA766">
        <v>0</v>
      </c>
      <c r="AB766">
        <v>0</v>
      </c>
      <c r="AC766">
        <v>0</v>
      </c>
      <c r="AD766">
        <v>0</v>
      </c>
      <c r="AI766">
        <v>0.63900000000000001</v>
      </c>
      <c r="AK766" t="s">
        <v>740</v>
      </c>
      <c r="AL766" t="s">
        <v>1952</v>
      </c>
      <c r="AM766">
        <v>200000</v>
      </c>
      <c r="AN766" t="s">
        <v>73</v>
      </c>
      <c r="AO766">
        <v>1</v>
      </c>
      <c r="AP766">
        <v>0</v>
      </c>
      <c r="AQ766">
        <v>16666.666666666668</v>
      </c>
      <c r="AR766" t="s">
        <v>2514</v>
      </c>
      <c r="AS766" t="s">
        <v>75</v>
      </c>
      <c r="AX766" t="s">
        <v>76</v>
      </c>
      <c r="AY766" t="s">
        <v>176</v>
      </c>
      <c r="AZ766">
        <v>0</v>
      </c>
      <c r="BA766" t="s">
        <v>176</v>
      </c>
      <c r="BB766">
        <v>0</v>
      </c>
    </row>
    <row r="767" spans="1:56" x14ac:dyDescent="0.15">
      <c r="A767" s="4" t="str">
        <f>HYPERLINK("https://ibp.a2mac1.com/costing(costing:projects/details/9760/part/8412766)","Pad")</f>
        <v>Pad</v>
      </c>
      <c r="B767">
        <v>8412766</v>
      </c>
      <c r="C767">
        <v>8412680</v>
      </c>
      <c r="E767">
        <v>3.58</v>
      </c>
      <c r="F767">
        <v>0</v>
      </c>
      <c r="G767">
        <v>0</v>
      </c>
      <c r="H767">
        <v>1.81148E-2</v>
      </c>
      <c r="I767" t="s">
        <v>176</v>
      </c>
      <c r="J767">
        <v>0.12529999999999999</v>
      </c>
      <c r="K767">
        <v>3.7234148</v>
      </c>
      <c r="L767">
        <v>0.17543451192760615</v>
      </c>
      <c r="M767">
        <v>1.0526070715656368</v>
      </c>
      <c r="N767">
        <v>4.7760218715656366</v>
      </c>
      <c r="O767" t="s">
        <v>90</v>
      </c>
      <c r="P767">
        <v>0</v>
      </c>
      <c r="Q767" t="s">
        <v>90</v>
      </c>
      <c r="R767">
        <v>0</v>
      </c>
      <c r="S767" t="s">
        <v>90</v>
      </c>
      <c r="T767">
        <v>0</v>
      </c>
      <c r="U767" t="s">
        <v>90</v>
      </c>
      <c r="V767">
        <v>0</v>
      </c>
      <c r="W767" t="s">
        <v>90</v>
      </c>
      <c r="X767">
        <v>0</v>
      </c>
      <c r="Y767">
        <v>4.7760218715656366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155</v>
      </c>
      <c r="AF767">
        <v>495</v>
      </c>
      <c r="AG767">
        <v>663</v>
      </c>
      <c r="AI767">
        <v>1.2969999999999999</v>
      </c>
      <c r="AK767" t="s">
        <v>740</v>
      </c>
      <c r="AL767" t="s">
        <v>1957</v>
      </c>
      <c r="AM767">
        <v>200000</v>
      </c>
      <c r="AN767" t="s">
        <v>73</v>
      </c>
      <c r="AO767">
        <v>1</v>
      </c>
      <c r="AP767">
        <v>0</v>
      </c>
      <c r="AQ767">
        <v>16666.666666666668</v>
      </c>
      <c r="AR767" t="s">
        <v>2517</v>
      </c>
      <c r="AS767" t="s">
        <v>75</v>
      </c>
      <c r="AX767" t="s">
        <v>76</v>
      </c>
      <c r="AY767" t="s">
        <v>176</v>
      </c>
      <c r="AZ767">
        <v>0</v>
      </c>
      <c r="BA767" t="s">
        <v>176</v>
      </c>
      <c r="BB767">
        <v>0</v>
      </c>
    </row>
    <row r="768" spans="1:56" x14ac:dyDescent="0.15">
      <c r="A768" s="4" t="str">
        <f>HYPERLINK("https://ibp.a2mac1.com/costing(costing:projects/details/9760/part/8412767)","Frame")</f>
        <v>Frame</v>
      </c>
      <c r="B768">
        <v>8412767</v>
      </c>
      <c r="C768">
        <v>8412680</v>
      </c>
      <c r="E768">
        <v>2.96</v>
      </c>
      <c r="F768">
        <v>0</v>
      </c>
      <c r="G768">
        <v>0</v>
      </c>
      <c r="H768">
        <v>1.4977600000000001E-2</v>
      </c>
      <c r="I768" t="s">
        <v>176</v>
      </c>
      <c r="J768">
        <v>0.1036</v>
      </c>
      <c r="K768">
        <v>3.0785776</v>
      </c>
      <c r="L768">
        <v>1.2968976815140176</v>
      </c>
      <c r="M768">
        <v>7.7813860890841058</v>
      </c>
      <c r="N768">
        <v>10.859963689084106</v>
      </c>
      <c r="O768" t="s">
        <v>90</v>
      </c>
      <c r="P768">
        <v>0</v>
      </c>
      <c r="Q768" t="s">
        <v>90</v>
      </c>
      <c r="R768">
        <v>0</v>
      </c>
      <c r="S768" t="s">
        <v>90</v>
      </c>
      <c r="T768">
        <v>0</v>
      </c>
      <c r="U768" t="s">
        <v>90</v>
      </c>
      <c r="V768">
        <v>0</v>
      </c>
      <c r="W768" t="s">
        <v>90</v>
      </c>
      <c r="X768">
        <v>0</v>
      </c>
      <c r="Y768">
        <v>10.859963689084106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95</v>
      </c>
      <c r="AF768">
        <v>440</v>
      </c>
      <c r="AG768">
        <v>613</v>
      </c>
      <c r="AI768">
        <v>2.77</v>
      </c>
      <c r="AK768" t="s">
        <v>740</v>
      </c>
      <c r="AL768" t="s">
        <v>96</v>
      </c>
      <c r="AM768">
        <v>200000</v>
      </c>
      <c r="AN768" t="s">
        <v>73</v>
      </c>
      <c r="AO768">
        <v>1</v>
      </c>
      <c r="AP768">
        <v>0</v>
      </c>
      <c r="AQ768">
        <v>16666.666666666668</v>
      </c>
      <c r="AR768" t="s">
        <v>2520</v>
      </c>
      <c r="AS768" t="s">
        <v>75</v>
      </c>
      <c r="AX768" t="s">
        <v>76</v>
      </c>
      <c r="AY768" t="s">
        <v>176</v>
      </c>
      <c r="AZ768">
        <v>0</v>
      </c>
      <c r="BA768" t="s">
        <v>176</v>
      </c>
      <c r="BB768">
        <v>0</v>
      </c>
    </row>
    <row r="769" spans="1:56" x14ac:dyDescent="0.15">
      <c r="A769" s="4" t="str">
        <f>HYPERLINK("https://ibp.a2mac1.com/costing(costing:projects/details/9760/part/8412768)","Rear Panel")</f>
        <v>Rear Panel</v>
      </c>
      <c r="B769">
        <v>8412768</v>
      </c>
      <c r="C769">
        <v>8412680</v>
      </c>
      <c r="E769">
        <v>0.91800000000000004</v>
      </c>
      <c r="F769">
        <v>0</v>
      </c>
      <c r="G769">
        <v>0</v>
      </c>
      <c r="H769">
        <v>4.6450800000000002E-3</v>
      </c>
      <c r="I769" t="s">
        <v>176</v>
      </c>
      <c r="J769">
        <v>3.2129999999999999E-2</v>
      </c>
      <c r="K769">
        <v>0.95477508</v>
      </c>
      <c r="L769">
        <v>0.28493170328879908</v>
      </c>
      <c r="M769">
        <v>1.7095902197327943</v>
      </c>
      <c r="N769">
        <v>2.6643652997327942</v>
      </c>
      <c r="O769" t="s">
        <v>90</v>
      </c>
      <c r="P769">
        <v>0</v>
      </c>
      <c r="Q769" t="s">
        <v>90</v>
      </c>
      <c r="R769">
        <v>0</v>
      </c>
      <c r="S769" t="s">
        <v>90</v>
      </c>
      <c r="T769">
        <v>0</v>
      </c>
      <c r="U769" t="s">
        <v>90</v>
      </c>
      <c r="V769">
        <v>0</v>
      </c>
      <c r="W769" t="s">
        <v>90</v>
      </c>
      <c r="X769">
        <v>0</v>
      </c>
      <c r="Y769">
        <v>2.6643652997327942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25</v>
      </c>
      <c r="AF769">
        <v>430</v>
      </c>
      <c r="AG769">
        <v>625</v>
      </c>
      <c r="AI769">
        <v>0.29399999999999998</v>
      </c>
      <c r="AK769" t="s">
        <v>740</v>
      </c>
      <c r="AL769" t="s">
        <v>1375</v>
      </c>
      <c r="AM769">
        <v>200000</v>
      </c>
      <c r="AN769" t="s">
        <v>73</v>
      </c>
      <c r="AO769">
        <v>1</v>
      </c>
      <c r="AP769">
        <v>0</v>
      </c>
      <c r="AQ769">
        <v>16666.666666666668</v>
      </c>
      <c r="AR769" t="s">
        <v>2523</v>
      </c>
      <c r="AS769" t="s">
        <v>75</v>
      </c>
      <c r="AX769" t="s">
        <v>76</v>
      </c>
      <c r="AY769" t="s">
        <v>176</v>
      </c>
      <c r="AZ769">
        <v>0</v>
      </c>
      <c r="BA769" t="s">
        <v>176</v>
      </c>
      <c r="BB769">
        <v>0</v>
      </c>
    </row>
    <row r="770" spans="1:56" x14ac:dyDescent="0.15">
      <c r="A770" s="4" t="str">
        <f>HYPERLINK("https://ibp.a2mac1.com/costing(costing:projects/details/9760/part/8412769)","2nd Pad")</f>
        <v>2nd Pad</v>
      </c>
      <c r="B770">
        <v>8412769</v>
      </c>
      <c r="C770">
        <v>8412680</v>
      </c>
      <c r="E770">
        <v>0.184</v>
      </c>
      <c r="F770">
        <v>0</v>
      </c>
      <c r="G770">
        <v>0</v>
      </c>
      <c r="H770">
        <v>9.3103999999999995E-4</v>
      </c>
      <c r="I770" t="s">
        <v>176</v>
      </c>
      <c r="J770">
        <v>6.4400000000000004E-3</v>
      </c>
      <c r="K770">
        <v>0.19137103999999999</v>
      </c>
      <c r="L770">
        <v>9.422641154184605E-3</v>
      </c>
      <c r="M770">
        <v>5.653584692510763E-2</v>
      </c>
      <c r="N770">
        <v>0.24790688692510762</v>
      </c>
      <c r="O770" t="s">
        <v>90</v>
      </c>
      <c r="P770">
        <v>0</v>
      </c>
      <c r="Q770" t="s">
        <v>90</v>
      </c>
      <c r="R770">
        <v>0</v>
      </c>
      <c r="S770" t="s">
        <v>90</v>
      </c>
      <c r="T770">
        <v>0</v>
      </c>
      <c r="U770" t="s">
        <v>90</v>
      </c>
      <c r="V770">
        <v>0</v>
      </c>
      <c r="W770" t="s">
        <v>90</v>
      </c>
      <c r="X770">
        <v>0</v>
      </c>
      <c r="Y770">
        <v>0.24790688692510762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10</v>
      </c>
      <c r="AF770">
        <v>295</v>
      </c>
      <c r="AG770">
        <v>420</v>
      </c>
      <c r="AI770">
        <v>7.9000000000000001E-2</v>
      </c>
      <c r="AK770" t="s">
        <v>740</v>
      </c>
      <c r="AL770" t="s">
        <v>403</v>
      </c>
      <c r="AM770">
        <v>200000</v>
      </c>
      <c r="AN770" t="s">
        <v>73</v>
      </c>
      <c r="AO770">
        <v>1</v>
      </c>
      <c r="AP770">
        <v>0</v>
      </c>
      <c r="AQ770">
        <v>16666.666666666668</v>
      </c>
      <c r="AR770" t="s">
        <v>2526</v>
      </c>
      <c r="AS770" t="s">
        <v>75</v>
      </c>
      <c r="AX770" t="s">
        <v>76</v>
      </c>
      <c r="AY770" t="s">
        <v>176</v>
      </c>
      <c r="AZ770">
        <v>0</v>
      </c>
      <c r="BA770" t="s">
        <v>176</v>
      </c>
      <c r="BB770">
        <v>0</v>
      </c>
    </row>
    <row r="771" spans="1:56" x14ac:dyDescent="0.15">
      <c r="A771" s="4" t="str">
        <f>HYPERLINK("https://ibp.a2mac1.com/costing(costing:projects/details/9760/part/8412772)","Exterior Support")</f>
        <v>Exterior Support</v>
      </c>
      <c r="B771">
        <v>8412772</v>
      </c>
      <c r="C771">
        <v>8412681</v>
      </c>
      <c r="E771">
        <v>0.16300000000000001</v>
      </c>
      <c r="F771">
        <v>0</v>
      </c>
      <c r="G771">
        <v>0</v>
      </c>
      <c r="H771">
        <v>8.2478E-4</v>
      </c>
      <c r="I771" t="s">
        <v>176</v>
      </c>
      <c r="J771">
        <v>5.705E-3</v>
      </c>
      <c r="K771">
        <v>0.16952977999999999</v>
      </c>
      <c r="L771">
        <v>2.001914354397747E-2</v>
      </c>
      <c r="M771">
        <v>0.12011486126386482</v>
      </c>
      <c r="N771">
        <v>0.2896446412638648</v>
      </c>
      <c r="O771" t="s">
        <v>90</v>
      </c>
      <c r="P771">
        <v>0</v>
      </c>
      <c r="Q771" t="s">
        <v>90</v>
      </c>
      <c r="R771">
        <v>0</v>
      </c>
      <c r="S771" t="s">
        <v>90</v>
      </c>
      <c r="T771">
        <v>0</v>
      </c>
      <c r="U771" t="s">
        <v>90</v>
      </c>
      <c r="V771">
        <v>0</v>
      </c>
      <c r="W771" t="s">
        <v>90</v>
      </c>
      <c r="X771">
        <v>0</v>
      </c>
      <c r="Y771">
        <v>0.2896446412638648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78</v>
      </c>
      <c r="AF771">
        <v>91</v>
      </c>
      <c r="AG771">
        <v>100</v>
      </c>
      <c r="AI771">
        <v>0.19400000000000001</v>
      </c>
      <c r="AK771" t="s">
        <v>740</v>
      </c>
      <c r="AL771" t="s">
        <v>96</v>
      </c>
      <c r="AM771">
        <v>200000</v>
      </c>
      <c r="AN771" t="s">
        <v>73</v>
      </c>
      <c r="AO771">
        <v>1</v>
      </c>
      <c r="AP771">
        <v>0</v>
      </c>
      <c r="AQ771">
        <v>16666.666666666668</v>
      </c>
      <c r="AR771" t="s">
        <v>2531</v>
      </c>
      <c r="AS771" t="s">
        <v>75</v>
      </c>
      <c r="AX771" t="s">
        <v>76</v>
      </c>
      <c r="AY771" t="s">
        <v>176</v>
      </c>
      <c r="AZ771">
        <v>0</v>
      </c>
      <c r="BA771" t="s">
        <v>176</v>
      </c>
      <c r="BB771">
        <v>0</v>
      </c>
    </row>
    <row r="772" spans="1:56" x14ac:dyDescent="0.15">
      <c r="A772" s="4" t="str">
        <f>HYPERLINK("https://ibp.a2mac1.com/costing(costing:projects/details/9760/part/8412824)","Cover")</f>
        <v>Cover</v>
      </c>
      <c r="B772">
        <v>8412824</v>
      </c>
      <c r="C772">
        <v>8412773</v>
      </c>
      <c r="E772">
        <v>3.66</v>
      </c>
      <c r="F772">
        <v>0</v>
      </c>
      <c r="G772">
        <v>0</v>
      </c>
      <c r="H772">
        <v>1.8519600000000001E-2</v>
      </c>
      <c r="I772" t="s">
        <v>176</v>
      </c>
      <c r="J772">
        <v>0.12809999999999999</v>
      </c>
      <c r="K772">
        <v>3.8066195999999999</v>
      </c>
      <c r="L772">
        <v>0.10832333012558466</v>
      </c>
      <c r="M772">
        <v>0.64993998075350801</v>
      </c>
      <c r="N772">
        <v>4.4565595807535079</v>
      </c>
      <c r="O772" t="s">
        <v>90</v>
      </c>
      <c r="P772">
        <v>0</v>
      </c>
      <c r="Q772" t="s">
        <v>90</v>
      </c>
      <c r="R772">
        <v>0</v>
      </c>
      <c r="S772" t="s">
        <v>90</v>
      </c>
      <c r="T772">
        <v>0</v>
      </c>
      <c r="U772" t="s">
        <v>90</v>
      </c>
      <c r="V772">
        <v>0</v>
      </c>
      <c r="W772" t="s">
        <v>90</v>
      </c>
      <c r="X772">
        <v>0</v>
      </c>
      <c r="Y772">
        <v>4.4565595807535079</v>
      </c>
      <c r="Z772">
        <v>0</v>
      </c>
      <c r="AA772">
        <v>0</v>
      </c>
      <c r="AB772">
        <v>0</v>
      </c>
      <c r="AC772">
        <v>0</v>
      </c>
      <c r="AD772">
        <v>0</v>
      </c>
      <c r="AI772">
        <v>8.1000000000000003E-2</v>
      </c>
      <c r="AK772" t="s">
        <v>740</v>
      </c>
      <c r="AL772" t="s">
        <v>1952</v>
      </c>
      <c r="AM772">
        <v>200000</v>
      </c>
      <c r="AN772" t="s">
        <v>73</v>
      </c>
      <c r="AO772">
        <v>1</v>
      </c>
      <c r="AP772">
        <v>0</v>
      </c>
      <c r="AQ772">
        <v>16666.666666666668</v>
      </c>
      <c r="AR772" t="s">
        <v>2539</v>
      </c>
      <c r="AS772" t="s">
        <v>75</v>
      </c>
      <c r="AX772" t="s">
        <v>76</v>
      </c>
      <c r="AY772" t="s">
        <v>176</v>
      </c>
      <c r="AZ772">
        <v>0</v>
      </c>
      <c r="BA772" t="s">
        <v>176</v>
      </c>
      <c r="BB772">
        <v>0</v>
      </c>
    </row>
    <row r="773" spans="1:56" x14ac:dyDescent="0.15">
      <c r="A773" s="4" t="str">
        <f>HYPERLINK("https://ibp.a2mac1.com/costing(costing:projects/details/9760/part/8412825)","Padding")</f>
        <v>Padding</v>
      </c>
      <c r="B773">
        <v>8412825</v>
      </c>
      <c r="C773">
        <v>8412773</v>
      </c>
      <c r="E773">
        <v>0.151</v>
      </c>
      <c r="F773">
        <v>0</v>
      </c>
      <c r="G773">
        <v>0</v>
      </c>
      <c r="H773">
        <v>7.6406E-4</v>
      </c>
      <c r="I773" t="s">
        <v>176</v>
      </c>
      <c r="J773">
        <v>5.2849999999999998E-3</v>
      </c>
      <c r="K773">
        <v>0.15704905999999999</v>
      </c>
      <c r="L773">
        <v>7.6565574225524614E-3</v>
      </c>
      <c r="M773">
        <v>4.5939344535314765E-2</v>
      </c>
      <c r="N773">
        <v>0.20298840453531478</v>
      </c>
      <c r="O773" t="s">
        <v>90</v>
      </c>
      <c r="P773">
        <v>0</v>
      </c>
      <c r="Q773" t="s">
        <v>90</v>
      </c>
      <c r="R773">
        <v>0</v>
      </c>
      <c r="S773" t="s">
        <v>90</v>
      </c>
      <c r="T773">
        <v>0</v>
      </c>
      <c r="U773" t="s">
        <v>90</v>
      </c>
      <c r="V773">
        <v>0</v>
      </c>
      <c r="W773" t="s">
        <v>90</v>
      </c>
      <c r="X773">
        <v>0</v>
      </c>
      <c r="Y773">
        <v>0.20298840453531478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146</v>
      </c>
      <c r="AF773">
        <v>184</v>
      </c>
      <c r="AG773">
        <v>68</v>
      </c>
      <c r="AI773">
        <v>6.5000000000000002E-2</v>
      </c>
      <c r="AK773" t="s">
        <v>740</v>
      </c>
      <c r="AL773" t="s">
        <v>1957</v>
      </c>
      <c r="AM773">
        <v>200000</v>
      </c>
      <c r="AN773" t="s">
        <v>73</v>
      </c>
      <c r="AO773">
        <v>1</v>
      </c>
      <c r="AP773">
        <v>0</v>
      </c>
      <c r="AQ773">
        <v>16666.666666666668</v>
      </c>
      <c r="AR773" t="s">
        <v>2542</v>
      </c>
      <c r="AS773" t="s">
        <v>75</v>
      </c>
      <c r="AX773" t="s">
        <v>76</v>
      </c>
      <c r="AY773" t="s">
        <v>176</v>
      </c>
      <c r="AZ773">
        <v>0</v>
      </c>
      <c r="BA773" t="s">
        <v>176</v>
      </c>
      <c r="BB773">
        <v>0</v>
      </c>
    </row>
    <row r="774" spans="1:56" x14ac:dyDescent="0.15">
      <c r="A774" s="4" t="str">
        <f>HYPERLINK("https://ibp.a2mac1.com/costing(costing:projects/details/9760/part/8412826)","Frame")</f>
        <v>Frame</v>
      </c>
      <c r="B774">
        <v>8412826</v>
      </c>
      <c r="C774">
        <v>8412773</v>
      </c>
      <c r="E774">
        <v>1.33</v>
      </c>
      <c r="F774">
        <v>0</v>
      </c>
      <c r="G774">
        <v>0</v>
      </c>
      <c r="H774">
        <v>6.7298000000000002E-3</v>
      </c>
      <c r="I774" t="s">
        <v>176</v>
      </c>
      <c r="J774">
        <v>4.6550000000000001E-2</v>
      </c>
      <c r="K774">
        <v>1.3832797999999999</v>
      </c>
      <c r="L774">
        <v>9.949291146742395E-2</v>
      </c>
      <c r="M774">
        <v>0.5969574688045437</v>
      </c>
      <c r="N774">
        <v>1.9802372688045438</v>
      </c>
      <c r="O774" t="s">
        <v>90</v>
      </c>
      <c r="P774">
        <v>0</v>
      </c>
      <c r="Q774" t="s">
        <v>90</v>
      </c>
      <c r="R774">
        <v>0</v>
      </c>
      <c r="S774" t="s">
        <v>90</v>
      </c>
      <c r="T774">
        <v>0</v>
      </c>
      <c r="U774" t="s">
        <v>90</v>
      </c>
      <c r="V774">
        <v>0</v>
      </c>
      <c r="W774" t="s">
        <v>90</v>
      </c>
      <c r="X774">
        <v>0</v>
      </c>
      <c r="Y774">
        <v>1.9802372688045438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67</v>
      </c>
      <c r="AF774">
        <v>115</v>
      </c>
      <c r="AG774">
        <v>126</v>
      </c>
      <c r="AI774">
        <v>0.20399999999999999</v>
      </c>
      <c r="AK774" t="s">
        <v>740</v>
      </c>
      <c r="AL774" t="s">
        <v>96</v>
      </c>
      <c r="AM774">
        <v>200000</v>
      </c>
      <c r="AN774" t="s">
        <v>73</v>
      </c>
      <c r="AO774">
        <v>1</v>
      </c>
      <c r="AP774">
        <v>0</v>
      </c>
      <c r="AQ774">
        <v>16666.666666666668</v>
      </c>
      <c r="AR774" t="s">
        <v>2545</v>
      </c>
      <c r="AS774" t="s">
        <v>75</v>
      </c>
      <c r="AX774" t="s">
        <v>76</v>
      </c>
      <c r="AY774" t="s">
        <v>176</v>
      </c>
      <c r="AZ774">
        <v>0</v>
      </c>
      <c r="BA774" t="s">
        <v>176</v>
      </c>
      <c r="BB774">
        <v>0</v>
      </c>
    </row>
    <row r="775" spans="1:56" x14ac:dyDescent="0.15">
      <c r="A775" s="4" t="str">
        <f>HYPERLINK("https://ibp.a2mac1.com/costing(costing:projects/details/9760/part/8412827)","Cover")</f>
        <v>Cover</v>
      </c>
      <c r="B775">
        <v>8412827</v>
      </c>
      <c r="C775">
        <v>8412774</v>
      </c>
      <c r="E775">
        <v>6</v>
      </c>
      <c r="F775">
        <v>0</v>
      </c>
      <c r="G775">
        <v>0</v>
      </c>
      <c r="H775">
        <v>3.0360000000000002E-2</v>
      </c>
      <c r="I775" t="s">
        <v>176</v>
      </c>
      <c r="J775">
        <v>0.21</v>
      </c>
      <c r="K775">
        <v>6.2403599999999999</v>
      </c>
      <c r="L775">
        <v>0.17543451192760615</v>
      </c>
      <c r="M775">
        <v>1.0526070715656368</v>
      </c>
      <c r="N775">
        <v>7.2929670715656369</v>
      </c>
      <c r="O775" t="s">
        <v>90</v>
      </c>
      <c r="P775">
        <v>0</v>
      </c>
      <c r="Q775" t="s">
        <v>90</v>
      </c>
      <c r="R775">
        <v>0</v>
      </c>
      <c r="S775" t="s">
        <v>90</v>
      </c>
      <c r="T775">
        <v>0</v>
      </c>
      <c r="U775" t="s">
        <v>90</v>
      </c>
      <c r="V775">
        <v>0</v>
      </c>
      <c r="W775" t="s">
        <v>90</v>
      </c>
      <c r="X775">
        <v>0</v>
      </c>
      <c r="Y775">
        <v>7.2929670715656369</v>
      </c>
      <c r="Z775">
        <v>0</v>
      </c>
      <c r="AA775">
        <v>0</v>
      </c>
      <c r="AB775">
        <v>0</v>
      </c>
      <c r="AC775">
        <v>0</v>
      </c>
      <c r="AD775">
        <v>0</v>
      </c>
      <c r="AI775">
        <v>0.14399999999999999</v>
      </c>
      <c r="AK775" t="s">
        <v>740</v>
      </c>
      <c r="AL775" t="s">
        <v>1952</v>
      </c>
      <c r="AM775">
        <v>200000</v>
      </c>
      <c r="AN775" t="s">
        <v>73</v>
      </c>
      <c r="AO775">
        <v>1</v>
      </c>
      <c r="AP775">
        <v>0</v>
      </c>
      <c r="AQ775">
        <v>16666.666666666668</v>
      </c>
      <c r="AR775" t="s">
        <v>2550</v>
      </c>
      <c r="AS775" t="s">
        <v>75</v>
      </c>
      <c r="AX775" t="s">
        <v>76</v>
      </c>
      <c r="AY775" t="s">
        <v>176</v>
      </c>
      <c r="AZ775">
        <v>0</v>
      </c>
      <c r="BA775" t="s">
        <v>176</v>
      </c>
      <c r="BB775">
        <v>0</v>
      </c>
    </row>
    <row r="776" spans="1:56" x14ac:dyDescent="0.15">
      <c r="A776" s="4" t="str">
        <f>HYPERLINK("https://ibp.a2mac1.com/costing(costing:projects/details/9760/part/8412828)","Padding")</f>
        <v>Padding</v>
      </c>
      <c r="B776">
        <v>8412828</v>
      </c>
      <c r="C776">
        <v>8412774</v>
      </c>
      <c r="E776">
        <v>0.27500000000000002</v>
      </c>
      <c r="F776">
        <v>0</v>
      </c>
      <c r="G776">
        <v>0</v>
      </c>
      <c r="H776">
        <v>1.3914999999999999E-3</v>
      </c>
      <c r="I776" t="s">
        <v>176</v>
      </c>
      <c r="J776">
        <v>9.6249999999999999E-3</v>
      </c>
      <c r="K776">
        <v>0.28601650000000001</v>
      </c>
      <c r="L776">
        <v>1.2954808617448894E-2</v>
      </c>
      <c r="M776">
        <v>7.7728851704693361E-2</v>
      </c>
      <c r="N776">
        <v>0.36374535170469335</v>
      </c>
      <c r="O776" t="s">
        <v>90</v>
      </c>
      <c r="P776">
        <v>0</v>
      </c>
      <c r="Q776" t="s">
        <v>90</v>
      </c>
      <c r="R776">
        <v>0</v>
      </c>
      <c r="S776" t="s">
        <v>90</v>
      </c>
      <c r="T776">
        <v>0</v>
      </c>
      <c r="U776" t="s">
        <v>90</v>
      </c>
      <c r="V776">
        <v>0</v>
      </c>
      <c r="W776" t="s">
        <v>90</v>
      </c>
      <c r="X776">
        <v>0</v>
      </c>
      <c r="Y776">
        <v>0.36374535170469335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115</v>
      </c>
      <c r="AF776">
        <v>205</v>
      </c>
      <c r="AG776">
        <v>150</v>
      </c>
      <c r="AI776">
        <v>0.11799999999999999</v>
      </c>
      <c r="AK776" t="s">
        <v>740</v>
      </c>
      <c r="AL776" t="s">
        <v>1957</v>
      </c>
      <c r="AM776">
        <v>200000</v>
      </c>
      <c r="AN776" t="s">
        <v>73</v>
      </c>
      <c r="AO776">
        <v>1</v>
      </c>
      <c r="AP776">
        <v>0</v>
      </c>
      <c r="AQ776">
        <v>16666.666666666668</v>
      </c>
      <c r="AR776" t="s">
        <v>2553</v>
      </c>
      <c r="AS776" t="s">
        <v>75</v>
      </c>
      <c r="AX776" t="s">
        <v>76</v>
      </c>
      <c r="AY776" t="s">
        <v>176</v>
      </c>
      <c r="AZ776">
        <v>0</v>
      </c>
      <c r="BA776" t="s">
        <v>176</v>
      </c>
      <c r="BB776">
        <v>0</v>
      </c>
    </row>
    <row r="777" spans="1:56" x14ac:dyDescent="0.15">
      <c r="A777" s="4" t="str">
        <f>HYPERLINK("https://ibp.a2mac1.com/costing(costing:projects/details/9760/part/8412829)","Frame")</f>
        <v>Frame</v>
      </c>
      <c r="B777">
        <v>8412829</v>
      </c>
      <c r="C777">
        <v>8412774</v>
      </c>
      <c r="E777">
        <v>1.927</v>
      </c>
      <c r="F777">
        <v>0</v>
      </c>
      <c r="G777">
        <v>0</v>
      </c>
      <c r="H777">
        <v>9.7506199999999998E-3</v>
      </c>
      <c r="I777" t="s">
        <v>176</v>
      </c>
      <c r="J777">
        <v>6.7445000000000005E-2</v>
      </c>
      <c r="K777">
        <v>2.00419562</v>
      </c>
      <c r="L777">
        <v>0.1259841674419061</v>
      </c>
      <c r="M777">
        <v>0.75590500465143662</v>
      </c>
      <c r="N777">
        <v>2.7601006246514368</v>
      </c>
      <c r="O777" t="s">
        <v>90</v>
      </c>
      <c r="P777">
        <v>0</v>
      </c>
      <c r="Q777" t="s">
        <v>90</v>
      </c>
      <c r="R777">
        <v>0</v>
      </c>
      <c r="S777" t="s">
        <v>90</v>
      </c>
      <c r="T777">
        <v>0</v>
      </c>
      <c r="U777" t="s">
        <v>90</v>
      </c>
      <c r="V777">
        <v>0</v>
      </c>
      <c r="W777" t="s">
        <v>90</v>
      </c>
      <c r="X777">
        <v>0</v>
      </c>
      <c r="Y777">
        <v>2.7601006246514368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64</v>
      </c>
      <c r="AF777">
        <v>115</v>
      </c>
      <c r="AG777">
        <v>237</v>
      </c>
      <c r="AI777">
        <v>0.29599999999999999</v>
      </c>
      <c r="AK777" t="s">
        <v>740</v>
      </c>
      <c r="AL777" t="s">
        <v>96</v>
      </c>
      <c r="AM777">
        <v>200000</v>
      </c>
      <c r="AN777" t="s">
        <v>73</v>
      </c>
      <c r="AO777">
        <v>1</v>
      </c>
      <c r="AP777">
        <v>0</v>
      </c>
      <c r="AQ777">
        <v>16666.666666666668</v>
      </c>
      <c r="AR777" t="s">
        <v>2556</v>
      </c>
      <c r="AS777" t="s">
        <v>75</v>
      </c>
      <c r="AX777" t="s">
        <v>76</v>
      </c>
      <c r="AY777" t="s">
        <v>176</v>
      </c>
      <c r="AZ777">
        <v>0</v>
      </c>
      <c r="BA777" t="s">
        <v>176</v>
      </c>
      <c r="BB777">
        <v>0</v>
      </c>
    </row>
    <row r="778" spans="1:56" x14ac:dyDescent="0.15">
      <c r="A778" s="4" t="str">
        <f>HYPERLINK("https://ibp.a2mac1.com/costing(costing:projects/details/9760/part/8412830)","Lock Support")</f>
        <v>Lock Support</v>
      </c>
      <c r="B778">
        <v>8412830</v>
      </c>
      <c r="C778">
        <v>8412780</v>
      </c>
      <c r="E778">
        <v>0.11600000000000001</v>
      </c>
      <c r="F778">
        <v>0</v>
      </c>
      <c r="G778">
        <v>0</v>
      </c>
      <c r="H778">
        <v>5.8695999999999998E-4</v>
      </c>
      <c r="I778" t="s">
        <v>176</v>
      </c>
      <c r="J778">
        <v>4.0600000000000002E-3</v>
      </c>
      <c r="K778">
        <v>0.12064696</v>
      </c>
      <c r="L778">
        <v>4.1243899592881732E-3</v>
      </c>
      <c r="M778">
        <v>2.4746339755729041E-2</v>
      </c>
      <c r="N778">
        <v>0.14539329975572904</v>
      </c>
      <c r="O778" t="s">
        <v>90</v>
      </c>
      <c r="P778">
        <v>0</v>
      </c>
      <c r="Q778" t="s">
        <v>90</v>
      </c>
      <c r="R778">
        <v>0</v>
      </c>
      <c r="S778" t="s">
        <v>90</v>
      </c>
      <c r="T778">
        <v>0</v>
      </c>
      <c r="U778" t="s">
        <v>90</v>
      </c>
      <c r="V778">
        <v>0</v>
      </c>
      <c r="W778" t="s">
        <v>90</v>
      </c>
      <c r="X778">
        <v>0</v>
      </c>
      <c r="Y778">
        <v>0.14539329975572904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39</v>
      </c>
      <c r="AF778">
        <v>40</v>
      </c>
      <c r="AG778">
        <v>97</v>
      </c>
      <c r="AI778">
        <v>2.1000000000000001E-2</v>
      </c>
      <c r="AK778" t="s">
        <v>740</v>
      </c>
      <c r="AL778" t="s">
        <v>2485</v>
      </c>
      <c r="AM778">
        <v>200000</v>
      </c>
      <c r="AN778" t="s">
        <v>73</v>
      </c>
      <c r="AO778">
        <v>1</v>
      </c>
      <c r="AP778">
        <v>0</v>
      </c>
      <c r="AQ778">
        <v>16666.666666666668</v>
      </c>
      <c r="AR778" t="s">
        <v>2563</v>
      </c>
      <c r="AS778" t="s">
        <v>75</v>
      </c>
      <c r="AX778" t="s">
        <v>76</v>
      </c>
      <c r="AY778" t="s">
        <v>176</v>
      </c>
      <c r="AZ778">
        <v>0</v>
      </c>
      <c r="BA778" t="s">
        <v>176</v>
      </c>
      <c r="BB778">
        <v>0</v>
      </c>
    </row>
    <row r="779" spans="1:56" x14ac:dyDescent="0.15">
      <c r="A779" s="4" t="str">
        <f>HYPERLINK("https://ibp.a2mac1.com/costing(costing:projects/details/9760/part/8412831)","Simple Guide Support")</f>
        <v>Simple Guide Support</v>
      </c>
      <c r="B779">
        <v>8412831</v>
      </c>
      <c r="C779">
        <v>8412780</v>
      </c>
      <c r="E779">
        <v>0.34799999999999998</v>
      </c>
      <c r="F779">
        <v>0</v>
      </c>
      <c r="G779">
        <v>0</v>
      </c>
      <c r="H779">
        <v>1.75392E-3</v>
      </c>
      <c r="I779" t="s">
        <v>176</v>
      </c>
      <c r="J779">
        <v>1.218E-2</v>
      </c>
      <c r="K779">
        <v>0.36193392000000002</v>
      </c>
      <c r="L779">
        <v>7.656405062346652E-3</v>
      </c>
      <c r="M779">
        <v>4.5938430374079908E-2</v>
      </c>
      <c r="N779">
        <v>0.40787235037407993</v>
      </c>
      <c r="O779" t="s">
        <v>90</v>
      </c>
      <c r="P779">
        <v>0</v>
      </c>
      <c r="Q779" t="s">
        <v>90</v>
      </c>
      <c r="R779">
        <v>0</v>
      </c>
      <c r="S779" t="s">
        <v>90</v>
      </c>
      <c r="T779">
        <v>0</v>
      </c>
      <c r="U779" t="s">
        <v>90</v>
      </c>
      <c r="V779">
        <v>0</v>
      </c>
      <c r="W779" t="s">
        <v>90</v>
      </c>
      <c r="X779">
        <v>0</v>
      </c>
      <c r="Y779">
        <v>0.40787235037407993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39</v>
      </c>
      <c r="AF779">
        <v>40</v>
      </c>
      <c r="AG779">
        <v>97</v>
      </c>
      <c r="AI779">
        <v>6.3E-2</v>
      </c>
      <c r="AK779" t="s">
        <v>740</v>
      </c>
      <c r="AL779" t="s">
        <v>2485</v>
      </c>
      <c r="AM779">
        <v>600000</v>
      </c>
      <c r="AN779" t="s">
        <v>73</v>
      </c>
      <c r="AO779">
        <v>3</v>
      </c>
      <c r="AP779">
        <v>0</v>
      </c>
      <c r="AQ779">
        <v>50000</v>
      </c>
      <c r="AR779" t="s">
        <v>2566</v>
      </c>
      <c r="AS779" t="s">
        <v>75</v>
      </c>
      <c r="AX779" t="s">
        <v>76</v>
      </c>
      <c r="AY779" t="s">
        <v>176</v>
      </c>
      <c r="AZ779">
        <v>0</v>
      </c>
      <c r="BA779" t="s">
        <v>176</v>
      </c>
      <c r="BB779">
        <v>0</v>
      </c>
    </row>
    <row r="780" spans="1:56" x14ac:dyDescent="0.15">
      <c r="A780" s="4" t="str">
        <f>HYPERLINK("https://ibp.a2mac1.com/costing(costing:projects/details/9760/part/8412850)","Lever")</f>
        <v>Lever</v>
      </c>
      <c r="B780">
        <v>8412850</v>
      </c>
      <c r="C780">
        <v>8412833</v>
      </c>
      <c r="E780">
        <v>0.115</v>
      </c>
      <c r="F780">
        <v>0</v>
      </c>
      <c r="G780">
        <v>0</v>
      </c>
      <c r="H780">
        <v>5.819E-4</v>
      </c>
      <c r="I780" t="s">
        <v>176</v>
      </c>
      <c r="J780">
        <v>4.0249999999999999E-3</v>
      </c>
      <c r="K780">
        <v>0.1196069</v>
      </c>
      <c r="L780">
        <v>5.8904736909203177E-3</v>
      </c>
      <c r="M780">
        <v>3.5342842145521906E-2</v>
      </c>
      <c r="N780">
        <v>0.1549497421455219</v>
      </c>
      <c r="O780" t="s">
        <v>90</v>
      </c>
      <c r="P780">
        <v>0</v>
      </c>
      <c r="Q780" t="s">
        <v>90</v>
      </c>
      <c r="R780">
        <v>0</v>
      </c>
      <c r="S780" t="s">
        <v>90</v>
      </c>
      <c r="T780">
        <v>0</v>
      </c>
      <c r="U780" t="s">
        <v>90</v>
      </c>
      <c r="V780">
        <v>0</v>
      </c>
      <c r="W780" t="s">
        <v>90</v>
      </c>
      <c r="X780">
        <v>0</v>
      </c>
      <c r="Y780">
        <v>0.1549497421455219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63</v>
      </c>
      <c r="AF780">
        <v>52</v>
      </c>
      <c r="AG780">
        <v>58</v>
      </c>
      <c r="AI780">
        <v>3.2000000000000001E-2</v>
      </c>
      <c r="AK780" t="s">
        <v>740</v>
      </c>
      <c r="AL780" t="s">
        <v>2495</v>
      </c>
      <c r="AM780">
        <v>200000</v>
      </c>
      <c r="AN780" t="s">
        <v>73</v>
      </c>
      <c r="AO780">
        <v>1</v>
      </c>
      <c r="AP780">
        <v>0</v>
      </c>
      <c r="AQ780">
        <v>16666.666666666668</v>
      </c>
      <c r="AR780" t="s">
        <v>2572</v>
      </c>
      <c r="AS780" t="s">
        <v>75</v>
      </c>
      <c r="AX780" t="s">
        <v>76</v>
      </c>
      <c r="AY780" t="s">
        <v>176</v>
      </c>
      <c r="AZ780">
        <v>0</v>
      </c>
      <c r="BA780" t="s">
        <v>176</v>
      </c>
      <c r="BB780">
        <v>0</v>
      </c>
    </row>
    <row r="781" spans="1:56" x14ac:dyDescent="0.15">
      <c r="A781" s="4" t="str">
        <f>HYPERLINK("https://ibp.a2mac1.com/costing(costing:projects/details/9760/part/8412851)","Bezel")</f>
        <v>Bezel</v>
      </c>
      <c r="B781">
        <v>8412851</v>
      </c>
      <c r="C781">
        <v>8412833</v>
      </c>
      <c r="E781">
        <v>0.158</v>
      </c>
      <c r="F781">
        <v>0</v>
      </c>
      <c r="G781">
        <v>0</v>
      </c>
      <c r="H781">
        <v>7.9947999999999998E-4</v>
      </c>
      <c r="I781" t="s">
        <v>176</v>
      </c>
      <c r="J781">
        <v>5.5300000000000002E-3</v>
      </c>
      <c r="K781">
        <v>0.16432948</v>
      </c>
      <c r="L781">
        <v>7.6565574225524614E-3</v>
      </c>
      <c r="M781">
        <v>4.5939344535314765E-2</v>
      </c>
      <c r="N781">
        <v>0.21026882453531476</v>
      </c>
      <c r="O781" t="s">
        <v>90</v>
      </c>
      <c r="P781">
        <v>0</v>
      </c>
      <c r="Q781" t="s">
        <v>90</v>
      </c>
      <c r="R781">
        <v>0</v>
      </c>
      <c r="S781" t="s">
        <v>90</v>
      </c>
      <c r="T781">
        <v>0</v>
      </c>
      <c r="U781" t="s">
        <v>90</v>
      </c>
      <c r="V781">
        <v>0</v>
      </c>
      <c r="W781" t="s">
        <v>90</v>
      </c>
      <c r="X781">
        <v>0</v>
      </c>
      <c r="Y781">
        <v>0.21026882453531476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105</v>
      </c>
      <c r="AF781">
        <v>77</v>
      </c>
      <c r="AG781">
        <v>100</v>
      </c>
      <c r="AI781">
        <v>4.3999999999999997E-2</v>
      </c>
      <c r="AK781" t="s">
        <v>740</v>
      </c>
      <c r="AL781" t="s">
        <v>412</v>
      </c>
      <c r="AM781">
        <v>200000</v>
      </c>
      <c r="AN781" t="s">
        <v>73</v>
      </c>
      <c r="AO781">
        <v>1</v>
      </c>
      <c r="AP781">
        <v>0</v>
      </c>
      <c r="AQ781">
        <v>16666.666666666668</v>
      </c>
      <c r="AR781" t="s">
        <v>2575</v>
      </c>
      <c r="AS781" t="s">
        <v>75</v>
      </c>
      <c r="AX781" t="s">
        <v>76</v>
      </c>
      <c r="AY781" t="s">
        <v>176</v>
      </c>
      <c r="AZ781">
        <v>0</v>
      </c>
      <c r="BA781" t="s">
        <v>176</v>
      </c>
      <c r="BB781">
        <v>0</v>
      </c>
    </row>
    <row r="782" spans="1:56" x14ac:dyDescent="0.15">
      <c r="A782" s="4" t="str">
        <f>HYPERLINK("https://ibp.a2mac1.com/costing(costing:projects/details/9760/part/8412852)","Cable")</f>
        <v>Cable</v>
      </c>
      <c r="B782">
        <v>8412852</v>
      </c>
      <c r="C782">
        <v>8412833</v>
      </c>
      <c r="D782" t="s">
        <v>2576</v>
      </c>
      <c r="E782">
        <v>0.434</v>
      </c>
      <c r="F782">
        <v>0</v>
      </c>
      <c r="G782">
        <v>0</v>
      </c>
      <c r="H782">
        <v>0</v>
      </c>
      <c r="I782" t="s">
        <v>71</v>
      </c>
      <c r="J782">
        <v>0</v>
      </c>
      <c r="K782">
        <v>0.434</v>
      </c>
      <c r="L782">
        <v>0</v>
      </c>
      <c r="M782">
        <v>0</v>
      </c>
      <c r="N782">
        <v>0.434</v>
      </c>
      <c r="O782" t="s">
        <v>71</v>
      </c>
      <c r="P782">
        <v>0</v>
      </c>
      <c r="Q782" t="s">
        <v>71</v>
      </c>
      <c r="R782">
        <v>0</v>
      </c>
      <c r="S782" t="s">
        <v>71</v>
      </c>
      <c r="T782">
        <v>0</v>
      </c>
      <c r="U782" t="s">
        <v>71</v>
      </c>
      <c r="V782">
        <v>0</v>
      </c>
      <c r="W782" t="s">
        <v>71</v>
      </c>
      <c r="X782">
        <v>0</v>
      </c>
      <c r="Y782">
        <v>0.434</v>
      </c>
      <c r="Z782">
        <v>0</v>
      </c>
      <c r="AA782">
        <v>0</v>
      </c>
      <c r="AB782">
        <v>0</v>
      </c>
      <c r="AC782">
        <v>0</v>
      </c>
      <c r="AD782">
        <v>0</v>
      </c>
      <c r="AI782">
        <v>4.2000000000000003E-2</v>
      </c>
      <c r="AK782" t="s">
        <v>740</v>
      </c>
      <c r="AL782" t="s">
        <v>2577</v>
      </c>
      <c r="AM782">
        <v>200000</v>
      </c>
      <c r="AN782" t="s">
        <v>73</v>
      </c>
      <c r="AO782">
        <v>1</v>
      </c>
      <c r="AP782">
        <v>0</v>
      </c>
      <c r="AQ782">
        <v>16666.666666666668</v>
      </c>
      <c r="AR782" t="s">
        <v>2578</v>
      </c>
      <c r="AS782" t="s">
        <v>75</v>
      </c>
      <c r="AX782" t="s">
        <v>76</v>
      </c>
      <c r="AY782" t="s">
        <v>71</v>
      </c>
      <c r="AZ782">
        <v>0</v>
      </c>
      <c r="BA782" t="s">
        <v>71</v>
      </c>
      <c r="BB782">
        <v>0</v>
      </c>
      <c r="BD782">
        <v>0.434</v>
      </c>
    </row>
    <row r="783" spans="1:56" x14ac:dyDescent="0.15">
      <c r="A783" s="4" t="str">
        <f>HYPERLINK("https://ibp.a2mac1.com/costing(costing:projects/details/9760/part/8412853)","Support")</f>
        <v>Support</v>
      </c>
      <c r="B783">
        <v>8412853</v>
      </c>
      <c r="C783">
        <v>8412833</v>
      </c>
      <c r="E783">
        <v>0.22700000000000001</v>
      </c>
      <c r="F783">
        <v>0</v>
      </c>
      <c r="G783">
        <v>0</v>
      </c>
      <c r="H783">
        <v>1.1486199999999999E-3</v>
      </c>
      <c r="I783" t="s">
        <v>176</v>
      </c>
      <c r="J783">
        <v>7.9450000000000007E-3</v>
      </c>
      <c r="K783">
        <v>0.23609362</v>
      </c>
      <c r="L783">
        <v>2.001914354397747E-2</v>
      </c>
      <c r="M783">
        <v>0.12011486126386482</v>
      </c>
      <c r="N783">
        <v>0.35620848126386484</v>
      </c>
      <c r="O783" t="s">
        <v>90</v>
      </c>
      <c r="P783">
        <v>0</v>
      </c>
      <c r="Q783" t="s">
        <v>90</v>
      </c>
      <c r="R783">
        <v>0</v>
      </c>
      <c r="S783" t="s">
        <v>90</v>
      </c>
      <c r="T783">
        <v>0</v>
      </c>
      <c r="U783" t="s">
        <v>90</v>
      </c>
      <c r="V783">
        <v>0</v>
      </c>
      <c r="W783" t="s">
        <v>90</v>
      </c>
      <c r="X783">
        <v>0</v>
      </c>
      <c r="Y783">
        <v>0.35620848126386484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109</v>
      </c>
      <c r="AF783">
        <v>90</v>
      </c>
      <c r="AG783">
        <v>99</v>
      </c>
      <c r="AI783">
        <v>0.11</v>
      </c>
      <c r="AK783" t="s">
        <v>740</v>
      </c>
      <c r="AL783" t="s">
        <v>399</v>
      </c>
      <c r="AM783">
        <v>200000</v>
      </c>
      <c r="AN783" t="s">
        <v>73</v>
      </c>
      <c r="AO783">
        <v>1</v>
      </c>
      <c r="AP783">
        <v>0</v>
      </c>
      <c r="AQ783">
        <v>16666.666666666668</v>
      </c>
      <c r="AR783" t="s">
        <v>2581</v>
      </c>
      <c r="AS783" t="s">
        <v>75</v>
      </c>
      <c r="AX783" t="s">
        <v>76</v>
      </c>
      <c r="AY783" t="s">
        <v>176</v>
      </c>
      <c r="AZ783">
        <v>0</v>
      </c>
      <c r="BA783" t="s">
        <v>176</v>
      </c>
      <c r="BB783">
        <v>0</v>
      </c>
    </row>
    <row r="784" spans="1:56" x14ac:dyDescent="0.15">
      <c r="A784" s="4" t="str">
        <f>HYPERLINK("https://ibp.a2mac1.com/costing(costing:projects/details/9760/part/8412854)","Stopper")</f>
        <v>Stopper</v>
      </c>
      <c r="B784">
        <v>8412854</v>
      </c>
      <c r="C784">
        <v>8412833</v>
      </c>
      <c r="D784" t="s">
        <v>2509</v>
      </c>
      <c r="E784">
        <v>0.05</v>
      </c>
      <c r="F784">
        <v>0</v>
      </c>
      <c r="G784">
        <v>0</v>
      </c>
      <c r="H784">
        <v>0</v>
      </c>
      <c r="I784" t="s">
        <v>71</v>
      </c>
      <c r="J784">
        <v>0</v>
      </c>
      <c r="K784">
        <v>0.05</v>
      </c>
      <c r="L784">
        <v>0</v>
      </c>
      <c r="M784">
        <v>0</v>
      </c>
      <c r="N784">
        <v>0.05</v>
      </c>
      <c r="O784" t="s">
        <v>71</v>
      </c>
      <c r="P784">
        <v>0</v>
      </c>
      <c r="Q784" t="s">
        <v>71</v>
      </c>
      <c r="R784">
        <v>0</v>
      </c>
      <c r="S784" t="s">
        <v>71</v>
      </c>
      <c r="T784">
        <v>0</v>
      </c>
      <c r="U784" t="s">
        <v>71</v>
      </c>
      <c r="V784">
        <v>0</v>
      </c>
      <c r="W784" t="s">
        <v>71</v>
      </c>
      <c r="X784">
        <v>0</v>
      </c>
      <c r="Y784">
        <v>0.05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19</v>
      </c>
      <c r="AF784">
        <v>10</v>
      </c>
      <c r="AG784">
        <v>10</v>
      </c>
      <c r="AI784">
        <v>1E-3</v>
      </c>
      <c r="AK784" t="s">
        <v>740</v>
      </c>
      <c r="AL784" t="s">
        <v>2582</v>
      </c>
      <c r="AM784">
        <v>200000</v>
      </c>
      <c r="AN784" t="s">
        <v>73</v>
      </c>
      <c r="AO784">
        <v>1</v>
      </c>
      <c r="AP784">
        <v>0</v>
      </c>
      <c r="AQ784">
        <v>16666.666666666668</v>
      </c>
      <c r="AR784" t="s">
        <v>2583</v>
      </c>
      <c r="AS784" t="s">
        <v>75</v>
      </c>
      <c r="AX784" t="s">
        <v>76</v>
      </c>
      <c r="AY784" t="s">
        <v>71</v>
      </c>
      <c r="AZ784">
        <v>0</v>
      </c>
      <c r="BA784" t="s">
        <v>71</v>
      </c>
      <c r="BB784">
        <v>0</v>
      </c>
      <c r="BD784">
        <v>0.05</v>
      </c>
    </row>
    <row r="785" spans="1:56" x14ac:dyDescent="0.15">
      <c r="A785" s="4" t="str">
        <f>HYPERLINK("https://ibp.a2mac1.com/costing(costing:projects/details/9760/part/8412832)","Lock")</f>
        <v>Lock</v>
      </c>
      <c r="B785">
        <v>8412832</v>
      </c>
      <c r="C785">
        <v>8412781</v>
      </c>
      <c r="D785" t="s">
        <v>2585</v>
      </c>
      <c r="E785">
        <v>2</v>
      </c>
      <c r="F785">
        <v>0</v>
      </c>
      <c r="G785">
        <v>0</v>
      </c>
      <c r="H785">
        <v>0</v>
      </c>
      <c r="I785" t="s">
        <v>71</v>
      </c>
      <c r="J785">
        <v>0</v>
      </c>
      <c r="K785">
        <v>2</v>
      </c>
      <c r="L785">
        <v>0</v>
      </c>
      <c r="M785">
        <v>0</v>
      </c>
      <c r="N785">
        <v>2</v>
      </c>
      <c r="O785" t="s">
        <v>71</v>
      </c>
      <c r="P785">
        <v>0</v>
      </c>
      <c r="Q785" t="s">
        <v>71</v>
      </c>
      <c r="R785">
        <v>0</v>
      </c>
      <c r="S785" t="s">
        <v>71</v>
      </c>
      <c r="T785">
        <v>0</v>
      </c>
      <c r="U785" t="s">
        <v>71</v>
      </c>
      <c r="V785">
        <v>0</v>
      </c>
      <c r="W785" t="s">
        <v>71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61</v>
      </c>
      <c r="AF785">
        <v>36</v>
      </c>
      <c r="AG785">
        <v>132</v>
      </c>
      <c r="AI785">
        <v>0.27100000000000002</v>
      </c>
      <c r="AK785" t="s">
        <v>740</v>
      </c>
      <c r="AL785" t="s">
        <v>765</v>
      </c>
      <c r="AM785">
        <v>200000</v>
      </c>
      <c r="AN785" t="s">
        <v>73</v>
      </c>
      <c r="AO785">
        <v>1</v>
      </c>
      <c r="AP785">
        <v>0</v>
      </c>
      <c r="AQ785">
        <v>16666.666666666668</v>
      </c>
      <c r="AR785" t="s">
        <v>2586</v>
      </c>
      <c r="AS785" t="s">
        <v>75</v>
      </c>
      <c r="AX785" t="s">
        <v>76</v>
      </c>
      <c r="AY785" t="s">
        <v>71</v>
      </c>
      <c r="AZ785">
        <v>0</v>
      </c>
      <c r="BA785" t="s">
        <v>71</v>
      </c>
      <c r="BB785">
        <v>0</v>
      </c>
      <c r="BD785">
        <v>2</v>
      </c>
    </row>
    <row r="786" spans="1:56" x14ac:dyDescent="0.15">
      <c r="A786" s="4" t="str">
        <f>HYPERLINK("https://ibp.a2mac1.com/costing(costing:projects/details/9760/part/8412855)","Center Safety Belt Guide")</f>
        <v>Center Safety Belt Guide</v>
      </c>
      <c r="B786">
        <v>8412855</v>
      </c>
      <c r="C786">
        <v>8412834</v>
      </c>
      <c r="E786">
        <v>9.2999999999999999E-2</v>
      </c>
      <c r="F786">
        <v>0</v>
      </c>
      <c r="G786">
        <v>0</v>
      </c>
      <c r="H786">
        <v>4.7058000000000001E-4</v>
      </c>
      <c r="I786" t="s">
        <v>176</v>
      </c>
      <c r="J786">
        <v>3.2550000000000001E-3</v>
      </c>
      <c r="K786">
        <v>9.6725580000000005E-2</v>
      </c>
      <c r="L786">
        <v>5.8904736909203177E-3</v>
      </c>
      <c r="M786">
        <v>3.5342842145521906E-2</v>
      </c>
      <c r="N786">
        <v>0.13206842214552189</v>
      </c>
      <c r="O786" t="s">
        <v>177</v>
      </c>
      <c r="P786">
        <v>5.8035348000000002E-3</v>
      </c>
      <c r="Q786" t="s">
        <v>177</v>
      </c>
      <c r="R786">
        <v>2.1205705287313144E-3</v>
      </c>
      <c r="S786" t="s">
        <v>178</v>
      </c>
      <c r="T786">
        <v>1.5848210657462627E-2</v>
      </c>
      <c r="U786" t="s">
        <v>90</v>
      </c>
      <c r="V786">
        <v>0</v>
      </c>
      <c r="W786" t="s">
        <v>90</v>
      </c>
      <c r="X786">
        <v>0</v>
      </c>
      <c r="Y786">
        <v>0.15584073813171584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48</v>
      </c>
      <c r="AF786">
        <v>92</v>
      </c>
      <c r="AG786">
        <v>21</v>
      </c>
      <c r="AI786">
        <v>2.5999999999999999E-2</v>
      </c>
      <c r="AK786" t="s">
        <v>740</v>
      </c>
      <c r="AL786" t="s">
        <v>412</v>
      </c>
      <c r="AM786">
        <v>200000</v>
      </c>
      <c r="AN786" t="s">
        <v>97</v>
      </c>
      <c r="AO786">
        <v>1</v>
      </c>
      <c r="AP786">
        <v>0</v>
      </c>
      <c r="AQ786">
        <v>16666.666666666668</v>
      </c>
      <c r="AR786" t="s">
        <v>2592</v>
      </c>
      <c r="AS786" t="s">
        <v>75</v>
      </c>
      <c r="AX786" t="s">
        <v>76</v>
      </c>
      <c r="AY786" t="s">
        <v>176</v>
      </c>
      <c r="AZ786">
        <v>0</v>
      </c>
      <c r="BA786" t="s">
        <v>176</v>
      </c>
      <c r="BB786">
        <v>0</v>
      </c>
    </row>
    <row r="787" spans="1:56" x14ac:dyDescent="0.15">
      <c r="A787" s="4" t="str">
        <f>HYPERLINK("https://ibp.a2mac1.com/costing(costing:projects/details/9760/part/8412856)","Inner")</f>
        <v>Inner</v>
      </c>
      <c r="B787">
        <v>8412856</v>
      </c>
      <c r="C787">
        <v>8412839</v>
      </c>
      <c r="E787">
        <v>4.4999999999999998E-2</v>
      </c>
      <c r="F787">
        <v>0</v>
      </c>
      <c r="G787">
        <v>0</v>
      </c>
      <c r="H787">
        <v>2.2770000000000001E-4</v>
      </c>
      <c r="I787" t="s">
        <v>176</v>
      </c>
      <c r="J787">
        <v>1.575E-3</v>
      </c>
      <c r="K787">
        <v>4.6802700000000003E-2</v>
      </c>
      <c r="L787">
        <v>4.1243899592881732E-3</v>
      </c>
      <c r="M787">
        <v>2.4746339755729041E-2</v>
      </c>
      <c r="N787">
        <v>7.1549039755729044E-2</v>
      </c>
      <c r="O787" t="s">
        <v>90</v>
      </c>
      <c r="P787">
        <v>0</v>
      </c>
      <c r="Q787" t="s">
        <v>90</v>
      </c>
      <c r="R787">
        <v>0</v>
      </c>
      <c r="S787" t="s">
        <v>90</v>
      </c>
      <c r="T787">
        <v>0</v>
      </c>
      <c r="U787" t="s">
        <v>90</v>
      </c>
      <c r="V787">
        <v>0</v>
      </c>
      <c r="W787" t="s">
        <v>90</v>
      </c>
      <c r="X787">
        <v>0</v>
      </c>
      <c r="Y787">
        <v>7.1549039755729044E-2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61</v>
      </c>
      <c r="AF787">
        <v>12</v>
      </c>
      <c r="AG787">
        <v>58</v>
      </c>
      <c r="AI787">
        <v>1.4E-2</v>
      </c>
      <c r="AK787" t="s">
        <v>740</v>
      </c>
      <c r="AL787" t="s">
        <v>2086</v>
      </c>
      <c r="AM787">
        <v>200000</v>
      </c>
      <c r="AN787" t="s">
        <v>73</v>
      </c>
      <c r="AO787">
        <v>1</v>
      </c>
      <c r="AP787">
        <v>0</v>
      </c>
      <c r="AQ787">
        <v>16666.666666666668</v>
      </c>
      <c r="AR787" t="s">
        <v>2599</v>
      </c>
      <c r="AS787" t="s">
        <v>75</v>
      </c>
      <c r="AX787" t="s">
        <v>76</v>
      </c>
      <c r="AY787" t="s">
        <v>176</v>
      </c>
      <c r="AZ787">
        <v>0</v>
      </c>
      <c r="BA787" t="s">
        <v>176</v>
      </c>
      <c r="BB787">
        <v>0</v>
      </c>
    </row>
    <row r="788" spans="1:56" x14ac:dyDescent="0.15">
      <c r="A788" s="4" t="str">
        <f>HYPERLINK("https://ibp.a2mac1.com/costing(costing:projects/details/9760/part/8412857)","Outer")</f>
        <v>Outer</v>
      </c>
      <c r="B788">
        <v>8412857</v>
      </c>
      <c r="C788">
        <v>8412839</v>
      </c>
      <c r="E788">
        <v>2.5999999999999999E-2</v>
      </c>
      <c r="F788">
        <v>0</v>
      </c>
      <c r="G788">
        <v>0</v>
      </c>
      <c r="H788">
        <v>1.3155999999999999E-4</v>
      </c>
      <c r="I788" t="s">
        <v>176</v>
      </c>
      <c r="J788">
        <v>9.1E-4</v>
      </c>
      <c r="K788">
        <v>2.7041559999999999E-2</v>
      </c>
      <c r="L788">
        <v>4.1243899592881732E-3</v>
      </c>
      <c r="M788">
        <v>2.4746339755729041E-2</v>
      </c>
      <c r="N788">
        <v>5.178789975572904E-2</v>
      </c>
      <c r="O788" t="s">
        <v>90</v>
      </c>
      <c r="P788">
        <v>0</v>
      </c>
      <c r="Q788" t="s">
        <v>90</v>
      </c>
      <c r="R788">
        <v>0</v>
      </c>
      <c r="S788" t="s">
        <v>90</v>
      </c>
      <c r="T788">
        <v>0</v>
      </c>
      <c r="U788" t="s">
        <v>90</v>
      </c>
      <c r="V788">
        <v>0</v>
      </c>
      <c r="W788" t="s">
        <v>90</v>
      </c>
      <c r="X788">
        <v>0</v>
      </c>
      <c r="Y788">
        <v>5.178789975572904E-2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58</v>
      </c>
      <c r="AF788">
        <v>16</v>
      </c>
      <c r="AG788">
        <v>46</v>
      </c>
      <c r="AI788">
        <v>8.0000000000000002E-3</v>
      </c>
      <c r="AK788" t="s">
        <v>740</v>
      </c>
      <c r="AL788" t="s">
        <v>2086</v>
      </c>
      <c r="AM788">
        <v>200000</v>
      </c>
      <c r="AN788" t="s">
        <v>73</v>
      </c>
      <c r="AO788">
        <v>1</v>
      </c>
      <c r="AP788">
        <v>0</v>
      </c>
      <c r="AQ788">
        <v>16666.666666666668</v>
      </c>
      <c r="AR788" t="s">
        <v>2602</v>
      </c>
      <c r="AS788" t="s">
        <v>75</v>
      </c>
      <c r="AX788" t="s">
        <v>76</v>
      </c>
      <c r="AY788" t="s">
        <v>176</v>
      </c>
      <c r="AZ788">
        <v>0</v>
      </c>
      <c r="BA788" t="s">
        <v>176</v>
      </c>
      <c r="BB788">
        <v>0</v>
      </c>
    </row>
    <row r="789" spans="1:56" x14ac:dyDescent="0.15">
      <c r="A789" s="4" t="str">
        <f>HYPERLINK("https://ibp.a2mac1.com/costing(costing:projects/details/9760/part/8412858)","Exterior")</f>
        <v>Exterior</v>
      </c>
      <c r="B789">
        <v>8412858</v>
      </c>
      <c r="C789">
        <v>8412840</v>
      </c>
      <c r="E789">
        <v>8.4000000000000005E-2</v>
      </c>
      <c r="F789">
        <v>0</v>
      </c>
      <c r="G789">
        <v>0</v>
      </c>
      <c r="H789">
        <v>4.2504000000000001E-4</v>
      </c>
      <c r="I789" t="s">
        <v>176</v>
      </c>
      <c r="J789">
        <v>2.9399999999999999E-3</v>
      </c>
      <c r="K789">
        <v>8.7365040000000005E-2</v>
      </c>
      <c r="L789">
        <v>7.6565574225524614E-3</v>
      </c>
      <c r="M789">
        <v>4.5939344535314765E-2</v>
      </c>
      <c r="N789">
        <v>0.13330438453531476</v>
      </c>
      <c r="O789" t="s">
        <v>90</v>
      </c>
      <c r="P789">
        <v>0</v>
      </c>
      <c r="Q789" t="s">
        <v>90</v>
      </c>
      <c r="R789">
        <v>0</v>
      </c>
      <c r="S789" t="s">
        <v>90</v>
      </c>
      <c r="T789">
        <v>0</v>
      </c>
      <c r="U789" t="s">
        <v>90</v>
      </c>
      <c r="V789">
        <v>0</v>
      </c>
      <c r="W789" t="s">
        <v>90</v>
      </c>
      <c r="X789">
        <v>0</v>
      </c>
      <c r="Y789">
        <v>0.13330438453531476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75</v>
      </c>
      <c r="AF789">
        <v>36</v>
      </c>
      <c r="AG789">
        <v>131</v>
      </c>
      <c r="AI789">
        <v>4.1000000000000002E-2</v>
      </c>
      <c r="AK789" t="s">
        <v>740</v>
      </c>
      <c r="AL789" t="s">
        <v>951</v>
      </c>
      <c r="AM789">
        <v>200000</v>
      </c>
      <c r="AN789" t="s">
        <v>73</v>
      </c>
      <c r="AO789">
        <v>1</v>
      </c>
      <c r="AP789">
        <v>0</v>
      </c>
      <c r="AQ789">
        <v>16666.666666666668</v>
      </c>
      <c r="AR789" t="s">
        <v>2607</v>
      </c>
      <c r="AS789" t="s">
        <v>75</v>
      </c>
      <c r="AX789" t="s">
        <v>76</v>
      </c>
      <c r="AY789" t="s">
        <v>176</v>
      </c>
      <c r="AZ789">
        <v>0</v>
      </c>
      <c r="BA789" t="s">
        <v>176</v>
      </c>
      <c r="BB789">
        <v>0</v>
      </c>
    </row>
    <row r="790" spans="1:56" x14ac:dyDescent="0.15">
      <c r="A790" s="4" t="str">
        <f>HYPERLINK("https://ibp.a2mac1.com/costing(costing:projects/details/9760/part/8412859)","Cup Holder")</f>
        <v>Cup Holder</v>
      </c>
      <c r="B790">
        <v>8412859</v>
      </c>
      <c r="C790">
        <v>8412841</v>
      </c>
      <c r="E790">
        <v>0.57399999999999995</v>
      </c>
      <c r="F790">
        <v>0</v>
      </c>
      <c r="G790">
        <v>0</v>
      </c>
      <c r="H790">
        <v>2.9044399999999999E-3</v>
      </c>
      <c r="I790" t="s">
        <v>176</v>
      </c>
      <c r="J790">
        <v>2.009E-2</v>
      </c>
      <c r="K790">
        <v>0.59699444000000002</v>
      </c>
      <c r="L790">
        <v>2.884956220213819E-2</v>
      </c>
      <c r="M790">
        <v>0.17309737321282914</v>
      </c>
      <c r="N790">
        <v>0.77009181321282916</v>
      </c>
      <c r="O790" t="s">
        <v>90</v>
      </c>
      <c r="P790">
        <v>0</v>
      </c>
      <c r="Q790" t="s">
        <v>90</v>
      </c>
      <c r="R790">
        <v>0</v>
      </c>
      <c r="S790" t="s">
        <v>90</v>
      </c>
      <c r="T790">
        <v>0</v>
      </c>
      <c r="U790" t="s">
        <v>90</v>
      </c>
      <c r="V790">
        <v>0</v>
      </c>
      <c r="W790" t="s">
        <v>90</v>
      </c>
      <c r="X790">
        <v>0</v>
      </c>
      <c r="Y790">
        <v>0.77009181321282916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60</v>
      </c>
      <c r="AF790">
        <v>101</v>
      </c>
      <c r="AG790">
        <v>207</v>
      </c>
      <c r="AI790">
        <v>0.16</v>
      </c>
      <c r="AK790" t="s">
        <v>740</v>
      </c>
      <c r="AL790" t="s">
        <v>2612</v>
      </c>
      <c r="AM790">
        <v>200000</v>
      </c>
      <c r="AN790" t="s">
        <v>73</v>
      </c>
      <c r="AO790">
        <v>1</v>
      </c>
      <c r="AP790">
        <v>0</v>
      </c>
      <c r="AQ790">
        <v>16666.666666666668</v>
      </c>
      <c r="AR790" t="s">
        <v>2613</v>
      </c>
      <c r="AS790" t="s">
        <v>75</v>
      </c>
      <c r="AX790" t="s">
        <v>76</v>
      </c>
      <c r="AY790" t="s">
        <v>176</v>
      </c>
      <c r="AZ790">
        <v>0</v>
      </c>
      <c r="BA790" t="s">
        <v>176</v>
      </c>
      <c r="BB790">
        <v>0</v>
      </c>
    </row>
    <row r="791" spans="1:56" x14ac:dyDescent="0.15">
      <c r="A791" s="4" t="str">
        <f>HYPERLINK("https://ibp.a2mac1.com/costing(costing:projects/details/9760/part/8412860)","Cup holder bottom")</f>
        <v>Cup holder bottom</v>
      </c>
      <c r="B791">
        <v>8412860</v>
      </c>
      <c r="C791">
        <v>8412841</v>
      </c>
      <c r="E791">
        <v>0.06</v>
      </c>
      <c r="F791">
        <v>0</v>
      </c>
      <c r="G791">
        <v>0</v>
      </c>
      <c r="H791">
        <v>3.0360000000000001E-4</v>
      </c>
      <c r="I791" t="s">
        <v>176</v>
      </c>
      <c r="J791">
        <v>2.0999999999999999E-3</v>
      </c>
      <c r="K791">
        <v>6.2403599999999997E-2</v>
      </c>
      <c r="L791">
        <v>4.1243899592881732E-3</v>
      </c>
      <c r="M791">
        <v>2.4746339755729041E-2</v>
      </c>
      <c r="N791">
        <v>8.7149939755729044E-2</v>
      </c>
      <c r="O791" t="s">
        <v>90</v>
      </c>
      <c r="P791">
        <v>0</v>
      </c>
      <c r="Q791" t="s">
        <v>90</v>
      </c>
      <c r="R791">
        <v>0</v>
      </c>
      <c r="S791" t="s">
        <v>90</v>
      </c>
      <c r="T791">
        <v>0</v>
      </c>
      <c r="U791" t="s">
        <v>90</v>
      </c>
      <c r="V791">
        <v>0</v>
      </c>
      <c r="W791" t="s">
        <v>90</v>
      </c>
      <c r="X791">
        <v>0</v>
      </c>
      <c r="Y791">
        <v>8.7149939755729044E-2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14</v>
      </c>
      <c r="AF791">
        <v>72</v>
      </c>
      <c r="AG791">
        <v>166</v>
      </c>
      <c r="AI791">
        <v>2.4E-2</v>
      </c>
      <c r="AK791" t="s">
        <v>740</v>
      </c>
      <c r="AL791" t="s">
        <v>2246</v>
      </c>
      <c r="AM791">
        <v>200000</v>
      </c>
      <c r="AN791" t="s">
        <v>73</v>
      </c>
      <c r="AO791">
        <v>1</v>
      </c>
      <c r="AP791">
        <v>0</v>
      </c>
      <c r="AQ791">
        <v>16666.666666666668</v>
      </c>
      <c r="AR791" t="s">
        <v>2616</v>
      </c>
      <c r="AS791" t="s">
        <v>75</v>
      </c>
      <c r="AX791" t="s">
        <v>76</v>
      </c>
      <c r="AY791" t="s">
        <v>176</v>
      </c>
      <c r="AZ791">
        <v>0</v>
      </c>
      <c r="BA791" t="s">
        <v>176</v>
      </c>
      <c r="BB791">
        <v>0</v>
      </c>
    </row>
    <row r="792" spans="1:56" x14ac:dyDescent="0.15">
      <c r="A792" s="4" t="str">
        <f>HYPERLINK("https://ibp.a2mac1.com/costing(costing:projects/details/9760/part/8412861)","Cup Holder Bezel")</f>
        <v>Cup Holder Bezel</v>
      </c>
      <c r="B792">
        <v>8412861</v>
      </c>
      <c r="C792">
        <v>8412841</v>
      </c>
      <c r="E792">
        <v>3.9E-2</v>
      </c>
      <c r="F792">
        <v>0</v>
      </c>
      <c r="G792">
        <v>0</v>
      </c>
      <c r="H792">
        <v>1.9734E-4</v>
      </c>
      <c r="I792" t="s">
        <v>176</v>
      </c>
      <c r="J792">
        <v>1.3649999999999999E-3</v>
      </c>
      <c r="K792">
        <v>4.0562340000000002E-2</v>
      </c>
      <c r="L792">
        <v>4.1243899592881732E-3</v>
      </c>
      <c r="M792">
        <v>2.4746339755729041E-2</v>
      </c>
      <c r="N792">
        <v>6.5308679755729043E-2</v>
      </c>
      <c r="O792" t="s">
        <v>90</v>
      </c>
      <c r="P792">
        <v>0</v>
      </c>
      <c r="Q792" t="s">
        <v>90</v>
      </c>
      <c r="R792">
        <v>0</v>
      </c>
      <c r="S792" t="s">
        <v>90</v>
      </c>
      <c r="T792">
        <v>0</v>
      </c>
      <c r="U792" t="s">
        <v>90</v>
      </c>
      <c r="V792">
        <v>0</v>
      </c>
      <c r="W792" t="s">
        <v>90</v>
      </c>
      <c r="X792">
        <v>0</v>
      </c>
      <c r="Y792">
        <v>6.5308679755729043E-2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15</v>
      </c>
      <c r="AF792">
        <v>100</v>
      </c>
      <c r="AG792">
        <v>206</v>
      </c>
      <c r="AI792">
        <v>1.0999999999999999E-2</v>
      </c>
      <c r="AK792" t="s">
        <v>740</v>
      </c>
      <c r="AL792" t="s">
        <v>412</v>
      </c>
      <c r="AM792">
        <v>200000</v>
      </c>
      <c r="AN792" t="s">
        <v>73</v>
      </c>
      <c r="AO792">
        <v>1</v>
      </c>
      <c r="AP792">
        <v>0</v>
      </c>
      <c r="AQ792">
        <v>16666.666666666668</v>
      </c>
      <c r="AR792" t="s">
        <v>2619</v>
      </c>
      <c r="AS792" t="s">
        <v>75</v>
      </c>
      <c r="AX792" t="s">
        <v>76</v>
      </c>
      <c r="AY792" t="s">
        <v>176</v>
      </c>
      <c r="AZ792">
        <v>0</v>
      </c>
      <c r="BA792" t="s">
        <v>176</v>
      </c>
      <c r="BB792">
        <v>0</v>
      </c>
    </row>
    <row r="793" spans="1:56" x14ac:dyDescent="0.15">
      <c r="A793" s="4" t="str">
        <f>HYPERLINK("https://ibp.a2mac1.com/costing(costing:projects/details/9760/part/8412862)","Cup Holder Support")</f>
        <v>Cup Holder Support</v>
      </c>
      <c r="B793">
        <v>8412862</v>
      </c>
      <c r="C793">
        <v>8412841</v>
      </c>
      <c r="E793">
        <v>0.13600000000000001</v>
      </c>
      <c r="F793">
        <v>0</v>
      </c>
      <c r="G793">
        <v>0</v>
      </c>
      <c r="H793">
        <v>6.8816000000000005E-4</v>
      </c>
      <c r="I793" t="s">
        <v>176</v>
      </c>
      <c r="J793">
        <v>4.7600000000000003E-3</v>
      </c>
      <c r="K793">
        <v>0.14144815999999999</v>
      </c>
      <c r="L793">
        <v>1.4720892349081038E-2</v>
      </c>
      <c r="M793">
        <v>8.8325354094486219E-2</v>
      </c>
      <c r="N793">
        <v>0.22977351409448624</v>
      </c>
      <c r="O793" t="s">
        <v>90</v>
      </c>
      <c r="P793">
        <v>0</v>
      </c>
      <c r="Q793" t="s">
        <v>90</v>
      </c>
      <c r="R793">
        <v>0</v>
      </c>
      <c r="S793" t="s">
        <v>90</v>
      </c>
      <c r="T793">
        <v>0</v>
      </c>
      <c r="U793" t="s">
        <v>90</v>
      </c>
      <c r="V793">
        <v>0</v>
      </c>
      <c r="W793" t="s">
        <v>90</v>
      </c>
      <c r="X793">
        <v>0</v>
      </c>
      <c r="Y793">
        <v>0.22977351409448624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49</v>
      </c>
      <c r="AF793">
        <v>119</v>
      </c>
      <c r="AG793">
        <v>226</v>
      </c>
      <c r="AI793">
        <v>8.2000000000000003E-2</v>
      </c>
      <c r="AK793" t="s">
        <v>740</v>
      </c>
      <c r="AL793" t="s">
        <v>403</v>
      </c>
      <c r="AM793">
        <v>200000</v>
      </c>
      <c r="AN793" t="s">
        <v>73</v>
      </c>
      <c r="AO793">
        <v>1</v>
      </c>
      <c r="AP793">
        <v>0</v>
      </c>
      <c r="AQ793">
        <v>16666.666666666668</v>
      </c>
      <c r="AR793" t="s">
        <v>2622</v>
      </c>
      <c r="AS793" t="s">
        <v>75</v>
      </c>
      <c r="AX793" t="s">
        <v>76</v>
      </c>
      <c r="AY793" t="s">
        <v>176</v>
      </c>
      <c r="AZ793">
        <v>0</v>
      </c>
      <c r="BA793" t="s">
        <v>176</v>
      </c>
      <c r="BB793">
        <v>0</v>
      </c>
    </row>
    <row r="794" spans="1:56" x14ac:dyDescent="0.15">
      <c r="A794" s="4" t="str">
        <f>HYPERLINK("https://ibp.a2mac1.com/costing(costing:projects/details/9760/part/8412835)","Lid")</f>
        <v>Lid</v>
      </c>
      <c r="B794">
        <v>8412835</v>
      </c>
      <c r="C794">
        <v>8412783</v>
      </c>
      <c r="E794">
        <v>10.59</v>
      </c>
      <c r="F794">
        <v>0</v>
      </c>
      <c r="G794">
        <v>0</v>
      </c>
      <c r="H794">
        <v>5.3585399999999998E-2</v>
      </c>
      <c r="I794" t="s">
        <v>176</v>
      </c>
      <c r="J794">
        <v>0.37064999999999998</v>
      </c>
      <c r="K794">
        <v>11.0142354</v>
      </c>
      <c r="L794">
        <v>0.18249884685413473</v>
      </c>
      <c r="M794">
        <v>1.0949930811248083</v>
      </c>
      <c r="N794">
        <v>12.109228481124807</v>
      </c>
      <c r="O794" t="s">
        <v>90</v>
      </c>
      <c r="P794">
        <v>0</v>
      </c>
      <c r="Q794" t="s">
        <v>90</v>
      </c>
      <c r="R794">
        <v>0</v>
      </c>
      <c r="S794" t="s">
        <v>90</v>
      </c>
      <c r="T794">
        <v>0</v>
      </c>
      <c r="U794" t="s">
        <v>90</v>
      </c>
      <c r="V794">
        <v>0</v>
      </c>
      <c r="W794" t="s">
        <v>90</v>
      </c>
      <c r="X794">
        <v>0</v>
      </c>
      <c r="Y794">
        <v>12.109228481124807</v>
      </c>
      <c r="Z794">
        <v>0</v>
      </c>
      <c r="AA794">
        <v>0</v>
      </c>
      <c r="AB794">
        <v>0</v>
      </c>
      <c r="AC794">
        <v>0</v>
      </c>
      <c r="AD794">
        <v>0</v>
      </c>
      <c r="AI794">
        <v>0.216</v>
      </c>
      <c r="AK794" t="s">
        <v>740</v>
      </c>
      <c r="AL794" t="s">
        <v>1952</v>
      </c>
      <c r="AM794">
        <v>200000</v>
      </c>
      <c r="AN794" t="s">
        <v>73</v>
      </c>
      <c r="AO794">
        <v>1</v>
      </c>
      <c r="AP794">
        <v>0</v>
      </c>
      <c r="AQ794">
        <v>16666.666666666668</v>
      </c>
      <c r="AR794" t="s">
        <v>2626</v>
      </c>
      <c r="AS794" t="s">
        <v>75</v>
      </c>
      <c r="AX794" t="s">
        <v>76</v>
      </c>
      <c r="AY794" t="s">
        <v>176</v>
      </c>
      <c r="AZ794">
        <v>0</v>
      </c>
      <c r="BA794" t="s">
        <v>176</v>
      </c>
      <c r="BB794">
        <v>0</v>
      </c>
    </row>
    <row r="795" spans="1:56" x14ac:dyDescent="0.15">
      <c r="A795" s="4" t="str">
        <f>HYPERLINK("https://ibp.a2mac1.com/costing(costing:projects/details/9760/part/8412836)","Padding")</f>
        <v>Padding</v>
      </c>
      <c r="B795">
        <v>8412836</v>
      </c>
      <c r="C795">
        <v>8412783</v>
      </c>
      <c r="E795">
        <v>1.004</v>
      </c>
      <c r="F795">
        <v>0</v>
      </c>
      <c r="G795">
        <v>0</v>
      </c>
      <c r="H795">
        <v>5.0802399999999998E-3</v>
      </c>
      <c r="I795" t="s">
        <v>176</v>
      </c>
      <c r="J795">
        <v>3.5139999999999998E-2</v>
      </c>
      <c r="K795">
        <v>1.04422024</v>
      </c>
      <c r="L795">
        <v>4.8276483250091776E-2</v>
      </c>
      <c r="M795">
        <v>0.28965889950055063</v>
      </c>
      <c r="N795">
        <v>1.3338791395005507</v>
      </c>
      <c r="O795" t="s">
        <v>90</v>
      </c>
      <c r="P795">
        <v>0</v>
      </c>
      <c r="Q795" t="s">
        <v>90</v>
      </c>
      <c r="R795">
        <v>0</v>
      </c>
      <c r="S795" t="s">
        <v>90</v>
      </c>
      <c r="T795">
        <v>0</v>
      </c>
      <c r="U795" t="s">
        <v>90</v>
      </c>
      <c r="V795">
        <v>0</v>
      </c>
      <c r="W795" t="s">
        <v>90</v>
      </c>
      <c r="X795">
        <v>0</v>
      </c>
      <c r="Y795">
        <v>1.3338791395005507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75</v>
      </c>
      <c r="AF795">
        <v>215</v>
      </c>
      <c r="AG795">
        <v>415</v>
      </c>
      <c r="AI795">
        <v>0.43099999999999999</v>
      </c>
      <c r="AK795" t="s">
        <v>740</v>
      </c>
      <c r="AL795" t="s">
        <v>1957</v>
      </c>
      <c r="AM795">
        <v>200000</v>
      </c>
      <c r="AN795" t="s">
        <v>73</v>
      </c>
      <c r="AO795">
        <v>1</v>
      </c>
      <c r="AP795">
        <v>0</v>
      </c>
      <c r="AQ795">
        <v>16666.666666666668</v>
      </c>
      <c r="AR795" t="s">
        <v>2629</v>
      </c>
      <c r="AS795" t="s">
        <v>75</v>
      </c>
      <c r="AX795" t="s">
        <v>76</v>
      </c>
      <c r="AY795" t="s">
        <v>176</v>
      </c>
      <c r="AZ795">
        <v>0</v>
      </c>
      <c r="BA795" t="s">
        <v>176</v>
      </c>
      <c r="BB795">
        <v>0</v>
      </c>
    </row>
    <row r="796" spans="1:56" x14ac:dyDescent="0.15">
      <c r="A796" s="4" t="str">
        <f>HYPERLINK("https://ibp.a2mac1.com/costing(costing:projects/details/9760/part/8412837)","Frame")</f>
        <v>Frame</v>
      </c>
      <c r="B796">
        <v>8412837</v>
      </c>
      <c r="C796">
        <v>8412783</v>
      </c>
      <c r="E796">
        <v>1.024</v>
      </c>
      <c r="F796">
        <v>0</v>
      </c>
      <c r="G796">
        <v>0</v>
      </c>
      <c r="H796">
        <v>5.1814399999999998E-3</v>
      </c>
      <c r="I796" t="s">
        <v>176</v>
      </c>
      <c r="J796">
        <v>3.5839999999999997E-2</v>
      </c>
      <c r="K796">
        <v>1.06502144</v>
      </c>
      <c r="L796">
        <v>0.12775025117353825</v>
      </c>
      <c r="M796">
        <v>0.76650150704122955</v>
      </c>
      <c r="N796">
        <v>1.8315229470412295</v>
      </c>
      <c r="O796" t="s">
        <v>90</v>
      </c>
      <c r="P796">
        <v>0</v>
      </c>
      <c r="Q796" t="s">
        <v>90</v>
      </c>
      <c r="R796">
        <v>0</v>
      </c>
      <c r="S796" t="s">
        <v>90</v>
      </c>
      <c r="T796">
        <v>0</v>
      </c>
      <c r="U796" t="s">
        <v>90</v>
      </c>
      <c r="V796">
        <v>0</v>
      </c>
      <c r="W796" t="s">
        <v>90</v>
      </c>
      <c r="X796">
        <v>0</v>
      </c>
      <c r="Y796">
        <v>1.8315229470412295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41</v>
      </c>
      <c r="AF796">
        <v>248</v>
      </c>
      <c r="AG796">
        <v>377</v>
      </c>
      <c r="AI796">
        <v>1.216</v>
      </c>
      <c r="AK796" t="s">
        <v>740</v>
      </c>
      <c r="AL796" t="s">
        <v>96</v>
      </c>
      <c r="AM796">
        <v>200000</v>
      </c>
      <c r="AN796" t="s">
        <v>73</v>
      </c>
      <c r="AO796">
        <v>1</v>
      </c>
      <c r="AP796">
        <v>0</v>
      </c>
      <c r="AQ796">
        <v>16666.666666666668</v>
      </c>
      <c r="AR796" t="s">
        <v>2633</v>
      </c>
      <c r="AS796" t="s">
        <v>75</v>
      </c>
      <c r="AX796" t="s">
        <v>76</v>
      </c>
      <c r="AY796" t="s">
        <v>176</v>
      </c>
      <c r="AZ796">
        <v>0</v>
      </c>
      <c r="BA796" t="s">
        <v>176</v>
      </c>
      <c r="BB796">
        <v>0</v>
      </c>
    </row>
    <row r="797" spans="1:56" x14ac:dyDescent="0.15">
      <c r="A797" s="4" t="str">
        <f>HYPERLINK("https://ibp.a2mac1.com/costing(costing:projects/details/9760/part/8412838)","Reinforcement")</f>
        <v>Reinforcement</v>
      </c>
      <c r="B797">
        <v>8412838</v>
      </c>
      <c r="C797">
        <v>8412783</v>
      </c>
      <c r="E797">
        <v>3.6999999999999998E-2</v>
      </c>
      <c r="F797">
        <v>0</v>
      </c>
      <c r="G797">
        <v>0</v>
      </c>
      <c r="H797">
        <v>1.8722000000000001E-4</v>
      </c>
      <c r="I797" t="s">
        <v>176</v>
      </c>
      <c r="J797">
        <v>1.2949999999999999E-3</v>
      </c>
      <c r="K797">
        <v>3.8482219999999998E-2</v>
      </c>
      <c r="L797">
        <v>4.1243899592881732E-3</v>
      </c>
      <c r="M797">
        <v>2.4746339755729041E-2</v>
      </c>
      <c r="N797">
        <v>6.3228559755729039E-2</v>
      </c>
      <c r="O797" t="s">
        <v>90</v>
      </c>
      <c r="P797">
        <v>0</v>
      </c>
      <c r="Q797" t="s">
        <v>90</v>
      </c>
      <c r="R797">
        <v>0</v>
      </c>
      <c r="S797" t="s">
        <v>90</v>
      </c>
      <c r="T797">
        <v>0</v>
      </c>
      <c r="U797" t="s">
        <v>90</v>
      </c>
      <c r="V797">
        <v>0</v>
      </c>
      <c r="W797" t="s">
        <v>90</v>
      </c>
      <c r="X797">
        <v>0</v>
      </c>
      <c r="Y797">
        <v>6.3228559755729039E-2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32</v>
      </c>
      <c r="AF797">
        <v>104</v>
      </c>
      <c r="AG797">
        <v>52</v>
      </c>
      <c r="AI797">
        <v>1.7999999999999999E-2</v>
      </c>
      <c r="AK797" t="s">
        <v>740</v>
      </c>
      <c r="AL797" t="s">
        <v>951</v>
      </c>
      <c r="AM797">
        <v>200000</v>
      </c>
      <c r="AN797" t="s">
        <v>73</v>
      </c>
      <c r="AO797">
        <v>1</v>
      </c>
      <c r="AP797">
        <v>0</v>
      </c>
      <c r="AQ797">
        <v>16666.666666666668</v>
      </c>
      <c r="AR797" t="s">
        <v>2636</v>
      </c>
      <c r="AS797" t="s">
        <v>75</v>
      </c>
      <c r="AX797" t="s">
        <v>76</v>
      </c>
      <c r="AY797" t="s">
        <v>176</v>
      </c>
      <c r="AZ797">
        <v>0</v>
      </c>
      <c r="BA797" t="s">
        <v>176</v>
      </c>
      <c r="BB797">
        <v>0</v>
      </c>
    </row>
    <row r="798" spans="1:56" x14ac:dyDescent="0.15">
      <c r="A798" s="4" t="str">
        <f>HYPERLINK("https://ibp.a2mac1.com/costing(costing:projects/details/9760/part/8412775)","Cover")</f>
        <v>Cover</v>
      </c>
      <c r="B798">
        <v>8412775</v>
      </c>
      <c r="C798">
        <v>8412683</v>
      </c>
      <c r="E798">
        <v>32.92</v>
      </c>
      <c r="F798">
        <v>0</v>
      </c>
      <c r="G798">
        <v>0</v>
      </c>
      <c r="H798">
        <v>0.16657520000000001</v>
      </c>
      <c r="I798" t="s">
        <v>176</v>
      </c>
      <c r="J798">
        <v>1.1521999999999999</v>
      </c>
      <c r="K798">
        <v>34.238775199999999</v>
      </c>
      <c r="L798">
        <v>0.79179773426722444</v>
      </c>
      <c r="M798">
        <v>4.7507864056033462</v>
      </c>
      <c r="N798">
        <v>38.989561605603349</v>
      </c>
      <c r="O798" t="s">
        <v>90</v>
      </c>
      <c r="P798">
        <v>0</v>
      </c>
      <c r="Q798" t="s">
        <v>90</v>
      </c>
      <c r="R798">
        <v>0</v>
      </c>
      <c r="S798" t="s">
        <v>90</v>
      </c>
      <c r="T798">
        <v>0</v>
      </c>
      <c r="U798" t="s">
        <v>90</v>
      </c>
      <c r="V798">
        <v>0</v>
      </c>
      <c r="W798" t="s">
        <v>90</v>
      </c>
      <c r="X798">
        <v>0</v>
      </c>
      <c r="Y798">
        <v>38.989561605603349</v>
      </c>
      <c r="Z798">
        <v>0</v>
      </c>
      <c r="AA798">
        <v>0</v>
      </c>
      <c r="AB798">
        <v>0</v>
      </c>
      <c r="AC798">
        <v>0</v>
      </c>
      <c r="AD798">
        <v>0</v>
      </c>
      <c r="AI798">
        <v>0.81799999999999995</v>
      </c>
      <c r="AK798" t="s">
        <v>740</v>
      </c>
      <c r="AL798" t="s">
        <v>1952</v>
      </c>
      <c r="AM798">
        <v>200000</v>
      </c>
      <c r="AN798" t="s">
        <v>73</v>
      </c>
      <c r="AO798">
        <v>1</v>
      </c>
      <c r="AP798">
        <v>0</v>
      </c>
      <c r="AQ798">
        <v>16666.666666666668</v>
      </c>
      <c r="AR798" t="s">
        <v>2640</v>
      </c>
      <c r="AS798" t="s">
        <v>75</v>
      </c>
      <c r="AX798" t="s">
        <v>76</v>
      </c>
      <c r="AY798" t="s">
        <v>176</v>
      </c>
      <c r="AZ798">
        <v>0</v>
      </c>
      <c r="BA798" t="s">
        <v>176</v>
      </c>
      <c r="BB798">
        <v>0</v>
      </c>
    </row>
    <row r="799" spans="1:56" x14ac:dyDescent="0.15">
      <c r="A799" s="4" t="str">
        <f>HYPERLINK("https://ibp.a2mac1.com/costing(costing:projects/details/9760/part/8412776)","Pad")</f>
        <v>Pad</v>
      </c>
      <c r="B799">
        <v>8412776</v>
      </c>
      <c r="C799">
        <v>8412683</v>
      </c>
      <c r="E799">
        <v>4.7350000000000003</v>
      </c>
      <c r="F799">
        <v>0</v>
      </c>
      <c r="G799">
        <v>0</v>
      </c>
      <c r="H799">
        <v>2.3959100000000001E-2</v>
      </c>
      <c r="I799" t="s">
        <v>176</v>
      </c>
      <c r="J799">
        <v>0.16572500000000001</v>
      </c>
      <c r="K799">
        <v>4.9246841000000003</v>
      </c>
      <c r="L799">
        <v>0.24254569372962761</v>
      </c>
      <c r="M799">
        <v>1.4552741623777656</v>
      </c>
      <c r="N799">
        <v>6.379958262377766</v>
      </c>
      <c r="O799" t="s">
        <v>90</v>
      </c>
      <c r="P799">
        <v>0</v>
      </c>
      <c r="Q799" t="s">
        <v>90</v>
      </c>
      <c r="R799">
        <v>0</v>
      </c>
      <c r="S799" t="s">
        <v>90</v>
      </c>
      <c r="T799">
        <v>0</v>
      </c>
      <c r="U799" t="s">
        <v>90</v>
      </c>
      <c r="V799">
        <v>0</v>
      </c>
      <c r="W799" t="s">
        <v>90</v>
      </c>
      <c r="X799">
        <v>0</v>
      </c>
      <c r="Y799">
        <v>6.379958262377766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145</v>
      </c>
      <c r="AF799">
        <v>715</v>
      </c>
      <c r="AG799">
        <v>660</v>
      </c>
      <c r="AI799">
        <v>1.794</v>
      </c>
      <c r="AK799" t="s">
        <v>740</v>
      </c>
      <c r="AL799" t="s">
        <v>1957</v>
      </c>
      <c r="AM799">
        <v>200000</v>
      </c>
      <c r="AN799" t="s">
        <v>73</v>
      </c>
      <c r="AO799">
        <v>1</v>
      </c>
      <c r="AP799">
        <v>0</v>
      </c>
      <c r="AQ799">
        <v>16666.666666666668</v>
      </c>
      <c r="AR799" t="s">
        <v>2643</v>
      </c>
      <c r="AS799" t="s">
        <v>75</v>
      </c>
      <c r="AX799" t="s">
        <v>76</v>
      </c>
      <c r="AY799" t="s">
        <v>176</v>
      </c>
      <c r="AZ799">
        <v>0</v>
      </c>
      <c r="BA799" t="s">
        <v>176</v>
      </c>
      <c r="BB799">
        <v>0</v>
      </c>
    </row>
    <row r="800" spans="1:56" x14ac:dyDescent="0.15">
      <c r="A800" s="4" t="str">
        <f>HYPERLINK("https://ibp.a2mac1.com/costing(costing:projects/details/9760/part/8412777)","Frame")</f>
        <v>Frame</v>
      </c>
      <c r="B800">
        <v>8412777</v>
      </c>
      <c r="C800">
        <v>8412683</v>
      </c>
      <c r="E800">
        <v>5.76</v>
      </c>
      <c r="F800">
        <v>0</v>
      </c>
      <c r="G800">
        <v>0</v>
      </c>
      <c r="H800">
        <v>2.9145600000000001E-2</v>
      </c>
      <c r="I800" t="s">
        <v>176</v>
      </c>
      <c r="J800">
        <v>0.2016</v>
      </c>
      <c r="K800">
        <v>5.9907456000000003</v>
      </c>
      <c r="L800">
        <v>2.5243258749983575</v>
      </c>
      <c r="M800">
        <v>15.145955249990147</v>
      </c>
      <c r="N800">
        <v>21.136700849990145</v>
      </c>
      <c r="O800" t="s">
        <v>90</v>
      </c>
      <c r="P800">
        <v>0</v>
      </c>
      <c r="Q800" t="s">
        <v>90</v>
      </c>
      <c r="R800">
        <v>0</v>
      </c>
      <c r="S800" t="s">
        <v>90</v>
      </c>
      <c r="T800">
        <v>0</v>
      </c>
      <c r="U800" t="s">
        <v>90</v>
      </c>
      <c r="V800">
        <v>0</v>
      </c>
      <c r="W800" t="s">
        <v>90</v>
      </c>
      <c r="X800">
        <v>0</v>
      </c>
      <c r="Y800">
        <v>21.136700849990145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105</v>
      </c>
      <c r="AF800">
        <v>745</v>
      </c>
      <c r="AG800">
        <v>613</v>
      </c>
      <c r="AI800">
        <v>5.3890000000000002</v>
      </c>
      <c r="AK800" t="s">
        <v>740</v>
      </c>
      <c r="AL800" t="s">
        <v>96</v>
      </c>
      <c r="AM800">
        <v>200000</v>
      </c>
      <c r="AN800" t="s">
        <v>73</v>
      </c>
      <c r="AO800">
        <v>1</v>
      </c>
      <c r="AP800">
        <v>0</v>
      </c>
      <c r="AQ800">
        <v>16666.666666666668</v>
      </c>
      <c r="AR800" t="s">
        <v>2646</v>
      </c>
      <c r="AS800" t="s">
        <v>75</v>
      </c>
      <c r="AX800" t="s">
        <v>76</v>
      </c>
      <c r="AY800" t="s">
        <v>176</v>
      </c>
      <c r="AZ800">
        <v>0</v>
      </c>
      <c r="BA800" t="s">
        <v>176</v>
      </c>
      <c r="BB800">
        <v>0</v>
      </c>
    </row>
    <row r="801" spans="1:56" x14ac:dyDescent="0.15">
      <c r="A801" s="4" t="str">
        <f>HYPERLINK("https://ibp.a2mac1.com/costing(costing:projects/details/9760/part/8412778)","Rear Panel")</f>
        <v>Rear Panel</v>
      </c>
      <c r="B801">
        <v>8412778</v>
      </c>
      <c r="C801">
        <v>8412683</v>
      </c>
      <c r="E801">
        <v>1.409</v>
      </c>
      <c r="F801">
        <v>0</v>
      </c>
      <c r="G801">
        <v>0</v>
      </c>
      <c r="H801">
        <v>7.1295400000000002E-3</v>
      </c>
      <c r="I801" t="s">
        <v>176</v>
      </c>
      <c r="J801">
        <v>4.9314999999999998E-2</v>
      </c>
      <c r="K801">
        <v>1.46544454</v>
      </c>
      <c r="L801">
        <v>0.43328273674589918</v>
      </c>
      <c r="M801">
        <v>2.5996964204753952</v>
      </c>
      <c r="N801">
        <v>4.0651409604753947</v>
      </c>
      <c r="O801" t="s">
        <v>90</v>
      </c>
      <c r="P801">
        <v>0</v>
      </c>
      <c r="Q801" t="s">
        <v>90</v>
      </c>
      <c r="R801">
        <v>0</v>
      </c>
      <c r="S801" t="s">
        <v>90</v>
      </c>
      <c r="T801">
        <v>0</v>
      </c>
      <c r="U801" t="s">
        <v>90</v>
      </c>
      <c r="V801">
        <v>0</v>
      </c>
      <c r="W801" t="s">
        <v>90</v>
      </c>
      <c r="X801">
        <v>0</v>
      </c>
      <c r="Y801">
        <v>4.0651409604753947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27</v>
      </c>
      <c r="AF801">
        <v>660</v>
      </c>
      <c r="AG801">
        <v>625</v>
      </c>
      <c r="AI801">
        <v>0.45200000000000001</v>
      </c>
      <c r="AK801" t="s">
        <v>740</v>
      </c>
      <c r="AL801" t="s">
        <v>1375</v>
      </c>
      <c r="AM801">
        <v>200000</v>
      </c>
      <c r="AN801" t="s">
        <v>73</v>
      </c>
      <c r="AO801">
        <v>1</v>
      </c>
      <c r="AP801">
        <v>0</v>
      </c>
      <c r="AQ801">
        <v>16666.666666666668</v>
      </c>
      <c r="AR801" t="s">
        <v>2649</v>
      </c>
      <c r="AS801" t="s">
        <v>75</v>
      </c>
      <c r="AX801" t="s">
        <v>76</v>
      </c>
      <c r="AY801" t="s">
        <v>176</v>
      </c>
      <c r="AZ801">
        <v>0</v>
      </c>
      <c r="BA801" t="s">
        <v>176</v>
      </c>
      <c r="BB801">
        <v>0</v>
      </c>
    </row>
    <row r="802" spans="1:56" x14ac:dyDescent="0.15">
      <c r="A802" s="4" t="str">
        <f>HYPERLINK("https://ibp.a2mac1.com/costing(costing:projects/details/9760/part/8412779)","2nd Pad")</f>
        <v>2nd Pad</v>
      </c>
      <c r="B802">
        <v>8412779</v>
      </c>
      <c r="C802">
        <v>8412683</v>
      </c>
      <c r="E802">
        <v>0.219</v>
      </c>
      <c r="F802">
        <v>0</v>
      </c>
      <c r="G802">
        <v>0</v>
      </c>
      <c r="H802">
        <v>1.1081400000000001E-3</v>
      </c>
      <c r="I802" t="s">
        <v>176</v>
      </c>
      <c r="J802">
        <v>7.6649999999999999E-3</v>
      </c>
      <c r="K802">
        <v>0.22777314000000001</v>
      </c>
      <c r="L802">
        <v>1.1188724885816749E-2</v>
      </c>
      <c r="M802">
        <v>6.7132349314900502E-2</v>
      </c>
      <c r="N802">
        <v>0.29490548931490052</v>
      </c>
      <c r="O802" t="s">
        <v>90</v>
      </c>
      <c r="P802">
        <v>0</v>
      </c>
      <c r="Q802" t="s">
        <v>90</v>
      </c>
      <c r="R802">
        <v>0</v>
      </c>
      <c r="S802" t="s">
        <v>90</v>
      </c>
      <c r="T802">
        <v>0</v>
      </c>
      <c r="U802" t="s">
        <v>90</v>
      </c>
      <c r="V802">
        <v>0</v>
      </c>
      <c r="W802" t="s">
        <v>90</v>
      </c>
      <c r="X802">
        <v>0</v>
      </c>
      <c r="Y802">
        <v>0.29490548931490052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10</v>
      </c>
      <c r="AF802">
        <v>295</v>
      </c>
      <c r="AG802">
        <v>425</v>
      </c>
      <c r="AI802">
        <v>9.4E-2</v>
      </c>
      <c r="AK802" t="s">
        <v>740</v>
      </c>
      <c r="AL802" t="s">
        <v>1957</v>
      </c>
      <c r="AM802">
        <v>200000</v>
      </c>
      <c r="AN802" t="s">
        <v>73</v>
      </c>
      <c r="AO802">
        <v>1</v>
      </c>
      <c r="AP802">
        <v>0</v>
      </c>
      <c r="AQ802">
        <v>16666.666666666668</v>
      </c>
      <c r="AR802" t="s">
        <v>2652</v>
      </c>
      <c r="AS802" t="s">
        <v>75</v>
      </c>
      <c r="AX802" t="s">
        <v>76</v>
      </c>
      <c r="AY802" t="s">
        <v>176</v>
      </c>
      <c r="AZ802">
        <v>0</v>
      </c>
      <c r="BA802" t="s">
        <v>176</v>
      </c>
      <c r="BB802">
        <v>0</v>
      </c>
    </row>
    <row r="803" spans="1:56" x14ac:dyDescent="0.15">
      <c r="A803" s="4" t="str">
        <f>HYPERLINK("https://ibp.a2mac1.com/costing(costing:projects/details/9760/part/8412784)","Exterior Support")</f>
        <v>Exterior Support</v>
      </c>
      <c r="B803">
        <v>8412784</v>
      </c>
      <c r="C803">
        <v>8412684</v>
      </c>
      <c r="E803">
        <v>0.16300000000000001</v>
      </c>
      <c r="F803">
        <v>0</v>
      </c>
      <c r="G803">
        <v>0</v>
      </c>
      <c r="H803">
        <v>8.2478E-4</v>
      </c>
      <c r="I803" t="s">
        <v>176</v>
      </c>
      <c r="J803">
        <v>5.705E-3</v>
      </c>
      <c r="K803">
        <v>0.16952977999999999</v>
      </c>
      <c r="L803">
        <v>2.001914354397747E-2</v>
      </c>
      <c r="M803">
        <v>0.12011486126386482</v>
      </c>
      <c r="N803">
        <v>0.2896446412638648</v>
      </c>
      <c r="O803" t="s">
        <v>90</v>
      </c>
      <c r="P803">
        <v>0</v>
      </c>
      <c r="Q803" t="s">
        <v>90</v>
      </c>
      <c r="R803">
        <v>0</v>
      </c>
      <c r="S803" t="s">
        <v>90</v>
      </c>
      <c r="T803">
        <v>0</v>
      </c>
      <c r="U803" t="s">
        <v>90</v>
      </c>
      <c r="V803">
        <v>0</v>
      </c>
      <c r="W803" t="s">
        <v>90</v>
      </c>
      <c r="X803">
        <v>0</v>
      </c>
      <c r="Y803">
        <v>0.2896446412638648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65</v>
      </c>
      <c r="AF803">
        <v>91</v>
      </c>
      <c r="AG803">
        <v>100</v>
      </c>
      <c r="AI803">
        <v>0.19400000000000001</v>
      </c>
      <c r="AK803" t="s">
        <v>740</v>
      </c>
      <c r="AL803" t="s">
        <v>96</v>
      </c>
      <c r="AM803">
        <v>200000</v>
      </c>
      <c r="AN803" t="s">
        <v>73</v>
      </c>
      <c r="AO803">
        <v>1</v>
      </c>
      <c r="AP803">
        <v>0</v>
      </c>
      <c r="AQ803">
        <v>16666.666666666668</v>
      </c>
      <c r="AR803" t="s">
        <v>2657</v>
      </c>
      <c r="AS803" t="s">
        <v>75</v>
      </c>
      <c r="AX803" t="s">
        <v>76</v>
      </c>
      <c r="AY803" t="s">
        <v>176</v>
      </c>
      <c r="AZ803">
        <v>0</v>
      </c>
      <c r="BA803" t="s">
        <v>176</v>
      </c>
      <c r="BB803">
        <v>0</v>
      </c>
    </row>
    <row r="804" spans="1:56" x14ac:dyDescent="0.15">
      <c r="A804" s="4" t="str">
        <f>HYPERLINK("https://ibp.a2mac1.com/costing(costing:projects/details/9760/part/8412785)","Heating Pad Left")</f>
        <v>Heating Pad Left</v>
      </c>
      <c r="B804">
        <v>8412785</v>
      </c>
      <c r="C804">
        <v>8412689</v>
      </c>
      <c r="E804">
        <v>4</v>
      </c>
      <c r="F804">
        <v>0</v>
      </c>
      <c r="G804">
        <v>0</v>
      </c>
      <c r="H804">
        <v>0</v>
      </c>
      <c r="I804" t="s">
        <v>71</v>
      </c>
      <c r="J804">
        <v>0</v>
      </c>
      <c r="K804">
        <v>4</v>
      </c>
      <c r="L804">
        <v>0</v>
      </c>
      <c r="M804">
        <v>0</v>
      </c>
      <c r="N804">
        <v>4</v>
      </c>
      <c r="O804" t="s">
        <v>71</v>
      </c>
      <c r="P804">
        <v>0</v>
      </c>
      <c r="Q804" t="s">
        <v>71</v>
      </c>
      <c r="R804">
        <v>0</v>
      </c>
      <c r="S804" t="s">
        <v>71</v>
      </c>
      <c r="T804">
        <v>0</v>
      </c>
      <c r="U804" t="s">
        <v>71</v>
      </c>
      <c r="V804">
        <v>0</v>
      </c>
      <c r="W804" t="s">
        <v>71</v>
      </c>
      <c r="X804">
        <v>0</v>
      </c>
      <c r="Y804">
        <v>4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340</v>
      </c>
      <c r="AG804">
        <v>630</v>
      </c>
      <c r="AI804">
        <v>3.9E-2</v>
      </c>
      <c r="AK804" t="s">
        <v>740</v>
      </c>
      <c r="AL804" t="s">
        <v>2209</v>
      </c>
      <c r="AM804">
        <v>200000</v>
      </c>
      <c r="AN804" t="s">
        <v>97</v>
      </c>
      <c r="AO804">
        <v>1</v>
      </c>
      <c r="AP804">
        <v>0</v>
      </c>
      <c r="AQ804">
        <v>16666.666666666668</v>
      </c>
      <c r="AR804" t="s">
        <v>2662</v>
      </c>
      <c r="AS804" t="s">
        <v>75</v>
      </c>
      <c r="AX804" t="s">
        <v>76</v>
      </c>
      <c r="AY804" t="s">
        <v>71</v>
      </c>
      <c r="AZ804">
        <v>0</v>
      </c>
      <c r="BA804" t="s">
        <v>71</v>
      </c>
      <c r="BB804">
        <v>0</v>
      </c>
      <c r="BD804">
        <v>4</v>
      </c>
    </row>
    <row r="805" spans="1:56" x14ac:dyDescent="0.15">
      <c r="A805" s="4" t="str">
        <f>HYPERLINK("https://ibp.a2mac1.com/costing(costing:projects/details/9760/part/8412786)","Heating Pad Right")</f>
        <v>Heating Pad Right</v>
      </c>
      <c r="B805">
        <v>8412786</v>
      </c>
      <c r="C805">
        <v>8412689</v>
      </c>
      <c r="E805">
        <v>4</v>
      </c>
      <c r="F805">
        <v>0</v>
      </c>
      <c r="G805">
        <v>0</v>
      </c>
      <c r="H805">
        <v>0</v>
      </c>
      <c r="I805" t="s">
        <v>71</v>
      </c>
      <c r="J805">
        <v>0</v>
      </c>
      <c r="K805">
        <v>4</v>
      </c>
      <c r="L805">
        <v>0</v>
      </c>
      <c r="M805">
        <v>0</v>
      </c>
      <c r="N805">
        <v>4</v>
      </c>
      <c r="O805" t="s">
        <v>71</v>
      </c>
      <c r="P805">
        <v>0</v>
      </c>
      <c r="Q805" t="s">
        <v>71</v>
      </c>
      <c r="R805">
        <v>0</v>
      </c>
      <c r="S805" t="s">
        <v>71</v>
      </c>
      <c r="T805">
        <v>0</v>
      </c>
      <c r="U805" t="s">
        <v>71</v>
      </c>
      <c r="V805">
        <v>0</v>
      </c>
      <c r="W805" t="s">
        <v>71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340</v>
      </c>
      <c r="AG805">
        <v>630</v>
      </c>
      <c r="AI805">
        <v>3.7999999999999999E-2</v>
      </c>
      <c r="AK805" t="s">
        <v>740</v>
      </c>
      <c r="AL805" t="s">
        <v>2209</v>
      </c>
      <c r="AM805">
        <v>200000</v>
      </c>
      <c r="AN805" t="s">
        <v>97</v>
      </c>
      <c r="AO805">
        <v>1</v>
      </c>
      <c r="AP805">
        <v>0</v>
      </c>
      <c r="AQ805">
        <v>16666.666666666668</v>
      </c>
      <c r="AR805" t="s">
        <v>2663</v>
      </c>
      <c r="AS805" t="s">
        <v>75</v>
      </c>
      <c r="AX805" t="s">
        <v>76</v>
      </c>
      <c r="AY805" t="s">
        <v>71</v>
      </c>
      <c r="AZ805">
        <v>0</v>
      </c>
      <c r="BA805" t="s">
        <v>71</v>
      </c>
      <c r="BB805">
        <v>0</v>
      </c>
      <c r="BD805">
        <v>4</v>
      </c>
    </row>
    <row r="806" spans="1:56" x14ac:dyDescent="0.15">
      <c r="A806" s="4" t="str">
        <f>HYPERLINK("https://ibp.a2mac1.com/costing(costing:projects/details/9760/part/8412787)","Anti-Submarining")</f>
        <v>Anti-Submarining</v>
      </c>
      <c r="B806">
        <v>8412787</v>
      </c>
      <c r="C806">
        <v>8412690</v>
      </c>
      <c r="E806">
        <v>1.1299999999999999</v>
      </c>
      <c r="F806">
        <v>0</v>
      </c>
      <c r="G806">
        <v>0</v>
      </c>
      <c r="H806">
        <v>5.7178000000000003E-3</v>
      </c>
      <c r="I806" t="s">
        <v>176</v>
      </c>
      <c r="J806">
        <v>3.9550000000000002E-2</v>
      </c>
      <c r="K806">
        <v>1.1752678000000001</v>
      </c>
      <c r="L806">
        <v>0.10832333012558466</v>
      </c>
      <c r="M806">
        <v>0.64993998075350801</v>
      </c>
      <c r="N806">
        <v>1.8252077807535081</v>
      </c>
      <c r="O806" t="s">
        <v>90</v>
      </c>
      <c r="P806">
        <v>0</v>
      </c>
      <c r="Q806" t="s">
        <v>90</v>
      </c>
      <c r="R806">
        <v>0</v>
      </c>
      <c r="S806" t="s">
        <v>90</v>
      </c>
      <c r="T806">
        <v>0</v>
      </c>
      <c r="U806" t="s">
        <v>90</v>
      </c>
      <c r="V806">
        <v>0</v>
      </c>
      <c r="W806" t="s">
        <v>90</v>
      </c>
      <c r="X806">
        <v>0</v>
      </c>
      <c r="Y806">
        <v>1.8252077807535081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328</v>
      </c>
      <c r="AF806">
        <v>1255</v>
      </c>
      <c r="AG806">
        <v>63</v>
      </c>
      <c r="AI806">
        <v>0.27700000000000002</v>
      </c>
      <c r="AK806" t="s">
        <v>740</v>
      </c>
      <c r="AL806" t="s">
        <v>2669</v>
      </c>
      <c r="AM806">
        <v>200000</v>
      </c>
      <c r="AN806" t="s">
        <v>73</v>
      </c>
      <c r="AO806">
        <v>1</v>
      </c>
      <c r="AP806">
        <v>0</v>
      </c>
      <c r="AQ806">
        <v>16666.666666666668</v>
      </c>
      <c r="AR806" t="s">
        <v>2670</v>
      </c>
      <c r="AS806" t="s">
        <v>75</v>
      </c>
      <c r="AX806" t="s">
        <v>76</v>
      </c>
      <c r="AY806" t="s">
        <v>176</v>
      </c>
      <c r="AZ806">
        <v>0</v>
      </c>
      <c r="BA806" t="s">
        <v>176</v>
      </c>
      <c r="BB806">
        <v>0</v>
      </c>
    </row>
    <row r="807" spans="1:56" x14ac:dyDescent="0.15">
      <c r="A807" s="4" t="str">
        <f>HYPERLINK("https://ibp.a2mac1.com/costing(costing:projects/details/9760/part/8412685)","Frame")</f>
        <v>Frame</v>
      </c>
      <c r="B807">
        <v>8412685</v>
      </c>
      <c r="C807">
        <v>8412580</v>
      </c>
      <c r="E807">
        <v>1.51</v>
      </c>
      <c r="F807">
        <v>0</v>
      </c>
      <c r="G807">
        <v>0</v>
      </c>
      <c r="H807">
        <v>7.6406E-3</v>
      </c>
      <c r="I807" t="s">
        <v>176</v>
      </c>
      <c r="J807">
        <v>5.2850000000000001E-2</v>
      </c>
      <c r="K807">
        <v>1.5704906000000001</v>
      </c>
      <c r="L807">
        <v>0.53394950944893138</v>
      </c>
      <c r="M807">
        <v>3.2036970566935881</v>
      </c>
      <c r="N807">
        <v>4.7741876566935879</v>
      </c>
      <c r="O807" t="s">
        <v>90</v>
      </c>
      <c r="P807">
        <v>0</v>
      </c>
      <c r="Q807" t="s">
        <v>90</v>
      </c>
      <c r="R807">
        <v>0</v>
      </c>
      <c r="S807" t="s">
        <v>90</v>
      </c>
      <c r="T807">
        <v>0</v>
      </c>
      <c r="U807" t="s">
        <v>90</v>
      </c>
      <c r="V807">
        <v>0</v>
      </c>
      <c r="W807" t="s">
        <v>90</v>
      </c>
      <c r="X807">
        <v>0</v>
      </c>
      <c r="Y807">
        <v>4.7741876566935879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513</v>
      </c>
      <c r="AF807">
        <v>1220</v>
      </c>
      <c r="AG807">
        <v>85</v>
      </c>
      <c r="AI807">
        <v>1.3</v>
      </c>
      <c r="AK807" t="s">
        <v>740</v>
      </c>
      <c r="AL807" t="s">
        <v>96</v>
      </c>
      <c r="AM807">
        <v>200000</v>
      </c>
      <c r="AN807" t="s">
        <v>73</v>
      </c>
      <c r="AO807">
        <v>1</v>
      </c>
      <c r="AP807">
        <v>0</v>
      </c>
      <c r="AQ807">
        <v>16666.666666666668</v>
      </c>
      <c r="AR807" t="s">
        <v>2675</v>
      </c>
      <c r="AS807" t="s">
        <v>75</v>
      </c>
      <c r="AX807" t="s">
        <v>76</v>
      </c>
      <c r="AY807" t="s">
        <v>176</v>
      </c>
      <c r="AZ807">
        <v>0</v>
      </c>
      <c r="BA807" t="s">
        <v>176</v>
      </c>
      <c r="BB807">
        <v>0</v>
      </c>
    </row>
    <row r="808" spans="1:56" x14ac:dyDescent="0.15">
      <c r="A808" s="4" t="str">
        <f>HYPERLINK("https://ibp.a2mac1.com/costing(costing:projects/details/9760/part/8412686)","Cover")</f>
        <v>Cover</v>
      </c>
      <c r="B808">
        <v>8412686</v>
      </c>
      <c r="C808">
        <v>8412580</v>
      </c>
      <c r="E808">
        <v>32.58</v>
      </c>
      <c r="F808">
        <v>0</v>
      </c>
      <c r="G808">
        <v>0</v>
      </c>
      <c r="H808">
        <v>0.1648548</v>
      </c>
      <c r="I808" t="s">
        <v>176</v>
      </c>
      <c r="J808">
        <v>1.1403000000000001</v>
      </c>
      <c r="K808">
        <v>33.885154800000002</v>
      </c>
      <c r="L808">
        <v>1.0284529543059318</v>
      </c>
      <c r="M808">
        <v>6.1707177258355905</v>
      </c>
      <c r="N808">
        <v>40.055872525835589</v>
      </c>
      <c r="O808" t="s">
        <v>90</v>
      </c>
      <c r="P808">
        <v>0</v>
      </c>
      <c r="Q808" t="s">
        <v>90</v>
      </c>
      <c r="R808">
        <v>0</v>
      </c>
      <c r="S808" t="s">
        <v>90</v>
      </c>
      <c r="T808">
        <v>0</v>
      </c>
      <c r="U808" t="s">
        <v>90</v>
      </c>
      <c r="V808">
        <v>0</v>
      </c>
      <c r="W808" t="s">
        <v>90</v>
      </c>
      <c r="X808">
        <v>0</v>
      </c>
      <c r="Y808">
        <v>40.055872525835589</v>
      </c>
      <c r="Z808">
        <v>0</v>
      </c>
      <c r="AA808">
        <v>0</v>
      </c>
      <c r="AB808">
        <v>0</v>
      </c>
      <c r="AC808">
        <v>0</v>
      </c>
      <c r="AD808">
        <v>0</v>
      </c>
      <c r="AI808">
        <v>1.3819999999999999</v>
      </c>
      <c r="AK808" t="s">
        <v>740</v>
      </c>
      <c r="AL808" t="s">
        <v>1952</v>
      </c>
      <c r="AM808">
        <v>200000</v>
      </c>
      <c r="AN808" t="s">
        <v>73</v>
      </c>
      <c r="AO808">
        <v>1</v>
      </c>
      <c r="AP808">
        <v>0</v>
      </c>
      <c r="AQ808">
        <v>16666.666666666668</v>
      </c>
      <c r="AR808" t="s">
        <v>2679</v>
      </c>
      <c r="AS808" t="s">
        <v>75</v>
      </c>
      <c r="AX808" t="s">
        <v>76</v>
      </c>
      <c r="AY808" t="s">
        <v>176</v>
      </c>
      <c r="AZ808">
        <v>0</v>
      </c>
      <c r="BA808" t="s">
        <v>176</v>
      </c>
      <c r="BB808">
        <v>0</v>
      </c>
    </row>
    <row r="809" spans="1:56" x14ac:dyDescent="0.15">
      <c r="A809" s="4" t="str">
        <f>HYPERLINK("https://ibp.a2mac1.com/costing(costing:projects/details/9760/part/8412687)","Pad")</f>
        <v>Pad</v>
      </c>
      <c r="B809">
        <v>8412687</v>
      </c>
      <c r="C809">
        <v>8412580</v>
      </c>
      <c r="E809">
        <v>7.3769999999999998</v>
      </c>
      <c r="F809">
        <v>0</v>
      </c>
      <c r="G809">
        <v>0</v>
      </c>
      <c r="H809">
        <v>3.7327619999999999E-2</v>
      </c>
      <c r="I809" t="s">
        <v>176</v>
      </c>
      <c r="J809">
        <v>0.25819500000000001</v>
      </c>
      <c r="K809">
        <v>7.6725226199999996</v>
      </c>
      <c r="L809">
        <v>0.39619497838162415</v>
      </c>
      <c r="M809">
        <v>2.377169870289745</v>
      </c>
      <c r="N809">
        <v>10.049692490289745</v>
      </c>
      <c r="O809" t="s">
        <v>90</v>
      </c>
      <c r="P809">
        <v>0</v>
      </c>
      <c r="Q809" t="s">
        <v>90</v>
      </c>
      <c r="R809">
        <v>0</v>
      </c>
      <c r="S809" t="s">
        <v>90</v>
      </c>
      <c r="T809">
        <v>0</v>
      </c>
      <c r="U809" t="s">
        <v>90</v>
      </c>
      <c r="V809">
        <v>0</v>
      </c>
      <c r="W809" t="s">
        <v>90</v>
      </c>
      <c r="X809">
        <v>0</v>
      </c>
      <c r="Y809">
        <v>10.049692490289745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600</v>
      </c>
      <c r="AF809">
        <v>1295</v>
      </c>
      <c r="AG809">
        <v>125</v>
      </c>
      <c r="AI809">
        <v>2.9279999999999999</v>
      </c>
      <c r="AK809" t="s">
        <v>740</v>
      </c>
      <c r="AL809" t="s">
        <v>1957</v>
      </c>
      <c r="AM809">
        <v>200000</v>
      </c>
      <c r="AN809" t="s">
        <v>73</v>
      </c>
      <c r="AO809">
        <v>1</v>
      </c>
      <c r="AP809">
        <v>0</v>
      </c>
      <c r="AQ809">
        <v>16666.666666666668</v>
      </c>
      <c r="AR809" t="s">
        <v>2682</v>
      </c>
      <c r="AS809" t="s">
        <v>75</v>
      </c>
      <c r="AX809" t="s">
        <v>76</v>
      </c>
      <c r="AY809" t="s">
        <v>176</v>
      </c>
      <c r="AZ809">
        <v>0</v>
      </c>
      <c r="BA809" t="s">
        <v>176</v>
      </c>
      <c r="BB809">
        <v>0</v>
      </c>
    </row>
    <row r="810" spans="1:56" x14ac:dyDescent="0.15">
      <c r="A810" s="4" t="str">
        <f>HYPERLINK("https://ibp.a2mac1.com/costing(costing:projects/details/9760/part/8412688)","Pad 2")</f>
        <v>Pad 2</v>
      </c>
      <c r="B810">
        <v>8412688</v>
      </c>
      <c r="C810">
        <v>8412580</v>
      </c>
      <c r="E810">
        <v>0.64400000000000002</v>
      </c>
      <c r="F810">
        <v>0</v>
      </c>
      <c r="G810">
        <v>0</v>
      </c>
      <c r="H810">
        <v>3.23932E-3</v>
      </c>
      <c r="I810" t="s">
        <v>176</v>
      </c>
      <c r="J810">
        <v>2.2540000000000001E-2</v>
      </c>
      <c r="K810">
        <v>0.66977931999999996</v>
      </c>
      <c r="L810">
        <v>3.0614732088449642E-2</v>
      </c>
      <c r="M810">
        <v>0.18368839253069785</v>
      </c>
      <c r="N810">
        <v>0.85346771253069786</v>
      </c>
      <c r="O810" t="s">
        <v>90</v>
      </c>
      <c r="P810">
        <v>0</v>
      </c>
      <c r="Q810" t="s">
        <v>90</v>
      </c>
      <c r="R810">
        <v>0</v>
      </c>
      <c r="S810" t="s">
        <v>90</v>
      </c>
      <c r="T810">
        <v>0</v>
      </c>
      <c r="U810" t="s">
        <v>90</v>
      </c>
      <c r="V810">
        <v>0</v>
      </c>
      <c r="W810" t="s">
        <v>90</v>
      </c>
      <c r="X810">
        <v>0</v>
      </c>
      <c r="Y810">
        <v>0.85346771253069786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20</v>
      </c>
      <c r="AF810">
        <v>350</v>
      </c>
      <c r="AG810">
        <v>462</v>
      </c>
      <c r="AI810">
        <v>0.27600000000000002</v>
      </c>
      <c r="AK810" t="s">
        <v>740</v>
      </c>
      <c r="AL810" t="s">
        <v>1957</v>
      </c>
      <c r="AM810">
        <v>400000</v>
      </c>
      <c r="AN810" t="s">
        <v>73</v>
      </c>
      <c r="AO810">
        <v>2</v>
      </c>
      <c r="AP810">
        <v>0</v>
      </c>
      <c r="AQ810">
        <v>33333.333333333336</v>
      </c>
      <c r="AR810" t="s">
        <v>2685</v>
      </c>
      <c r="AS810" t="s">
        <v>75</v>
      </c>
      <c r="AX810" t="s">
        <v>76</v>
      </c>
      <c r="AY810" t="s">
        <v>176</v>
      </c>
      <c r="AZ810">
        <v>0</v>
      </c>
      <c r="BA810" t="s">
        <v>176</v>
      </c>
      <c r="BB810">
        <v>0</v>
      </c>
    </row>
    <row r="811" spans="1:56" x14ac:dyDescent="0.15">
      <c r="A811" s="4" t="str">
        <f>HYPERLINK("https://ibp.a2mac1.com/costing(costing:projects/details/9760/part/8412788)","Left")</f>
        <v>Left</v>
      </c>
      <c r="B811">
        <v>8412788</v>
      </c>
      <c r="C811">
        <v>8412692</v>
      </c>
      <c r="E811">
        <v>0.11899999999999999</v>
      </c>
      <c r="F811">
        <v>0</v>
      </c>
      <c r="G811">
        <v>0</v>
      </c>
      <c r="H811">
        <v>6.0214000000000003E-4</v>
      </c>
      <c r="I811" t="s">
        <v>176</v>
      </c>
      <c r="J811">
        <v>4.1650000000000003E-3</v>
      </c>
      <c r="K811">
        <v>0.12376714</v>
      </c>
      <c r="L811">
        <v>1.1188724885816749E-2</v>
      </c>
      <c r="M811">
        <v>6.7132349314900502E-2</v>
      </c>
      <c r="N811">
        <v>0.1908994893149005</v>
      </c>
      <c r="O811" t="s">
        <v>90</v>
      </c>
      <c r="P811">
        <v>0</v>
      </c>
      <c r="Q811" t="s">
        <v>90</v>
      </c>
      <c r="R811">
        <v>0</v>
      </c>
      <c r="S811" t="s">
        <v>90</v>
      </c>
      <c r="T811">
        <v>0</v>
      </c>
      <c r="U811" t="s">
        <v>90</v>
      </c>
      <c r="V811">
        <v>0</v>
      </c>
      <c r="W811" t="s">
        <v>90</v>
      </c>
      <c r="X811">
        <v>0</v>
      </c>
      <c r="Y811">
        <v>0.1908994893149005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15</v>
      </c>
      <c r="AF811">
        <v>356</v>
      </c>
      <c r="AG811">
        <v>110</v>
      </c>
      <c r="AI811">
        <v>6.2E-2</v>
      </c>
      <c r="AK811" t="s">
        <v>740</v>
      </c>
      <c r="AL811" t="s">
        <v>403</v>
      </c>
      <c r="AM811">
        <v>200000</v>
      </c>
      <c r="AN811" t="s">
        <v>73</v>
      </c>
      <c r="AO811">
        <v>1</v>
      </c>
      <c r="AP811">
        <v>0</v>
      </c>
      <c r="AQ811">
        <v>16666.666666666668</v>
      </c>
      <c r="AR811" t="s">
        <v>2696</v>
      </c>
      <c r="AS811" t="s">
        <v>75</v>
      </c>
      <c r="AX811" t="s">
        <v>76</v>
      </c>
      <c r="AY811" t="s">
        <v>176</v>
      </c>
      <c r="AZ811">
        <v>0</v>
      </c>
      <c r="BA811" t="s">
        <v>176</v>
      </c>
      <c r="BB811">
        <v>0</v>
      </c>
    </row>
    <row r="812" spans="1:56" x14ac:dyDescent="0.15">
      <c r="A812" s="4" t="str">
        <f>HYPERLINK("https://ibp.a2mac1.com/costing(costing:projects/details/9760/part/8412789)","Right")</f>
        <v>Right</v>
      </c>
      <c r="B812">
        <v>8412789</v>
      </c>
      <c r="C812">
        <v>8412692</v>
      </c>
      <c r="E812">
        <v>0.11899999999999999</v>
      </c>
      <c r="F812">
        <v>0</v>
      </c>
      <c r="G812">
        <v>0</v>
      </c>
      <c r="H812">
        <v>6.0214000000000003E-4</v>
      </c>
      <c r="I812" t="s">
        <v>176</v>
      </c>
      <c r="J812">
        <v>4.1650000000000003E-3</v>
      </c>
      <c r="K812">
        <v>0.12376714</v>
      </c>
      <c r="L812">
        <v>1.1188724885816749E-2</v>
      </c>
      <c r="M812">
        <v>6.7132349314900502E-2</v>
      </c>
      <c r="N812">
        <v>0.1908994893149005</v>
      </c>
      <c r="O812" t="s">
        <v>90</v>
      </c>
      <c r="P812">
        <v>0</v>
      </c>
      <c r="Q812" t="s">
        <v>90</v>
      </c>
      <c r="R812">
        <v>0</v>
      </c>
      <c r="S812" t="s">
        <v>90</v>
      </c>
      <c r="T812">
        <v>0</v>
      </c>
      <c r="U812" t="s">
        <v>90</v>
      </c>
      <c r="V812">
        <v>0</v>
      </c>
      <c r="W812" t="s">
        <v>90</v>
      </c>
      <c r="X812">
        <v>0</v>
      </c>
      <c r="Y812">
        <v>0.1908994893149005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15</v>
      </c>
      <c r="AF812">
        <v>356</v>
      </c>
      <c r="AG812">
        <v>110</v>
      </c>
      <c r="AI812">
        <v>6.2E-2</v>
      </c>
      <c r="AK812" t="s">
        <v>740</v>
      </c>
      <c r="AL812" t="s">
        <v>403</v>
      </c>
      <c r="AM812">
        <v>200000</v>
      </c>
      <c r="AN812" t="s">
        <v>73</v>
      </c>
      <c r="AO812">
        <v>1</v>
      </c>
      <c r="AP812">
        <v>0</v>
      </c>
      <c r="AQ812">
        <v>16666.666666666668</v>
      </c>
      <c r="AR812" t="s">
        <v>2699</v>
      </c>
      <c r="AS812" t="s">
        <v>75</v>
      </c>
      <c r="AX812" t="s">
        <v>76</v>
      </c>
      <c r="AY812" t="s">
        <v>176</v>
      </c>
      <c r="AZ812">
        <v>0</v>
      </c>
      <c r="BA812" t="s">
        <v>176</v>
      </c>
      <c r="BB812">
        <v>0</v>
      </c>
    </row>
    <row r="813" spans="1:56" x14ac:dyDescent="0.15">
      <c r="A813" s="4" t="str">
        <f>HYPERLINK("https://ibp.a2mac1.com/costing(costing:projects/details/9760/part/8412842)","Drawer")</f>
        <v>Drawer</v>
      </c>
      <c r="B813">
        <v>8412842</v>
      </c>
      <c r="C813">
        <v>8412790</v>
      </c>
      <c r="E813">
        <v>0.90400000000000003</v>
      </c>
      <c r="F813">
        <v>0</v>
      </c>
      <c r="G813">
        <v>0</v>
      </c>
      <c r="H813">
        <v>4.5742400000000003E-3</v>
      </c>
      <c r="I813" t="s">
        <v>176</v>
      </c>
      <c r="J813">
        <v>3.1640000000000001E-2</v>
      </c>
      <c r="K813">
        <v>0.94021423999999998</v>
      </c>
      <c r="L813">
        <v>3.767998086029891E-2</v>
      </c>
      <c r="M813">
        <v>0.22607988516179345</v>
      </c>
      <c r="N813">
        <v>1.1662941251617935</v>
      </c>
      <c r="O813" t="s">
        <v>90</v>
      </c>
      <c r="P813">
        <v>0</v>
      </c>
      <c r="Q813" t="s">
        <v>90</v>
      </c>
      <c r="R813">
        <v>0</v>
      </c>
      <c r="S813" t="s">
        <v>90</v>
      </c>
      <c r="T813">
        <v>0</v>
      </c>
      <c r="U813" t="s">
        <v>90</v>
      </c>
      <c r="V813">
        <v>0</v>
      </c>
      <c r="W813" t="s">
        <v>90</v>
      </c>
      <c r="X813">
        <v>0</v>
      </c>
      <c r="Y813">
        <v>1.1662941251617935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70</v>
      </c>
      <c r="AF813">
        <v>367</v>
      </c>
      <c r="AG813">
        <v>118</v>
      </c>
      <c r="AI813">
        <v>0.252</v>
      </c>
      <c r="AK813" t="s">
        <v>740</v>
      </c>
      <c r="AL813" t="s">
        <v>412</v>
      </c>
      <c r="AM813">
        <v>200000</v>
      </c>
      <c r="AN813" t="s">
        <v>73</v>
      </c>
      <c r="AO813">
        <v>1</v>
      </c>
      <c r="AP813">
        <v>0</v>
      </c>
      <c r="AQ813">
        <v>16666.666666666668</v>
      </c>
      <c r="AR813" t="s">
        <v>2705</v>
      </c>
      <c r="AS813" t="s">
        <v>75</v>
      </c>
      <c r="AX813" t="s">
        <v>76</v>
      </c>
      <c r="AY813" t="s">
        <v>176</v>
      </c>
      <c r="AZ813">
        <v>0</v>
      </c>
      <c r="BA813" t="s">
        <v>176</v>
      </c>
      <c r="BB813">
        <v>0</v>
      </c>
    </row>
    <row r="814" spans="1:56" x14ac:dyDescent="0.15">
      <c r="A814" s="4" t="str">
        <f>HYPERLINK("https://ibp.a2mac1.com/costing(costing:projects/details/9760/part/8412843)","Mounting Bracket")</f>
        <v>Mounting Bracket</v>
      </c>
      <c r="B814">
        <v>8412843</v>
      </c>
      <c r="C814">
        <v>8412790</v>
      </c>
      <c r="E814">
        <v>1.1890000000000001</v>
      </c>
      <c r="F814">
        <v>0</v>
      </c>
      <c r="G814">
        <v>0</v>
      </c>
      <c r="H814">
        <v>6.0163400000000002E-3</v>
      </c>
      <c r="I814" t="s">
        <v>176</v>
      </c>
      <c r="J814">
        <v>4.1614999999999999E-2</v>
      </c>
      <c r="K814">
        <v>1.23663134</v>
      </c>
      <c r="L814">
        <v>0.38383239226019911</v>
      </c>
      <c r="M814">
        <v>2.302994353561195</v>
      </c>
      <c r="N814">
        <v>3.5396256935611947</v>
      </c>
      <c r="O814" t="s">
        <v>90</v>
      </c>
      <c r="P814">
        <v>0</v>
      </c>
      <c r="Q814" t="s">
        <v>90</v>
      </c>
      <c r="R814">
        <v>0</v>
      </c>
      <c r="S814" t="s">
        <v>90</v>
      </c>
      <c r="T814">
        <v>0</v>
      </c>
      <c r="U814" t="s">
        <v>90</v>
      </c>
      <c r="V814">
        <v>0</v>
      </c>
      <c r="W814" t="s">
        <v>90</v>
      </c>
      <c r="X814">
        <v>0</v>
      </c>
      <c r="Y814">
        <v>3.5396256935611947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70</v>
      </c>
      <c r="AF814">
        <v>1310</v>
      </c>
      <c r="AG814">
        <v>160</v>
      </c>
      <c r="AI814">
        <v>1.4119999999999999</v>
      </c>
      <c r="AK814" t="s">
        <v>740</v>
      </c>
      <c r="AL814" t="s">
        <v>96</v>
      </c>
      <c r="AM814">
        <v>200000</v>
      </c>
      <c r="AN814" t="s">
        <v>73</v>
      </c>
      <c r="AO814">
        <v>1</v>
      </c>
      <c r="AP814">
        <v>0</v>
      </c>
      <c r="AQ814">
        <v>16666.666666666668</v>
      </c>
      <c r="AR814" t="s">
        <v>2708</v>
      </c>
      <c r="AS814" t="s">
        <v>75</v>
      </c>
      <c r="AX814" t="s">
        <v>76</v>
      </c>
      <c r="AY814" t="s">
        <v>176</v>
      </c>
      <c r="AZ814">
        <v>0</v>
      </c>
      <c r="BA814" t="s">
        <v>176</v>
      </c>
      <c r="BB814">
        <v>0</v>
      </c>
    </row>
    <row r="815" spans="1:56" x14ac:dyDescent="0.15">
      <c r="A815" s="4" t="str">
        <f>HYPERLINK("https://ibp.a2mac1.com/costing(costing:projects/details/9760/part/8412844)","Drawer")</f>
        <v>Drawer</v>
      </c>
      <c r="B815">
        <v>8412844</v>
      </c>
      <c r="C815">
        <v>8412791</v>
      </c>
      <c r="E815">
        <v>0.90400000000000003</v>
      </c>
      <c r="F815">
        <v>0</v>
      </c>
      <c r="G815">
        <v>0</v>
      </c>
      <c r="H815">
        <v>4.5742400000000003E-3</v>
      </c>
      <c r="I815" t="s">
        <v>176</v>
      </c>
      <c r="J815">
        <v>3.1640000000000001E-2</v>
      </c>
      <c r="K815">
        <v>0.94021423999999998</v>
      </c>
      <c r="L815">
        <v>3.767998086029891E-2</v>
      </c>
      <c r="M815">
        <v>0.22607988516179345</v>
      </c>
      <c r="N815">
        <v>1.1662941251617935</v>
      </c>
      <c r="O815" t="s">
        <v>90</v>
      </c>
      <c r="P815">
        <v>0</v>
      </c>
      <c r="Q815" t="s">
        <v>90</v>
      </c>
      <c r="R815">
        <v>0</v>
      </c>
      <c r="S815" t="s">
        <v>90</v>
      </c>
      <c r="T815">
        <v>0</v>
      </c>
      <c r="U815" t="s">
        <v>90</v>
      </c>
      <c r="V815">
        <v>0</v>
      </c>
      <c r="W815" t="s">
        <v>90</v>
      </c>
      <c r="X815">
        <v>0</v>
      </c>
      <c r="Y815">
        <v>1.1662941251617935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70</v>
      </c>
      <c r="AF815">
        <v>367</v>
      </c>
      <c r="AG815">
        <v>118</v>
      </c>
      <c r="AI815">
        <v>0.24399999999999999</v>
      </c>
      <c r="AK815" t="s">
        <v>740</v>
      </c>
      <c r="AL815" t="s">
        <v>412</v>
      </c>
      <c r="AM815">
        <v>200000</v>
      </c>
      <c r="AN815" t="s">
        <v>73</v>
      </c>
      <c r="AO815">
        <v>1</v>
      </c>
      <c r="AP815">
        <v>0</v>
      </c>
      <c r="AQ815">
        <v>16666.666666666668</v>
      </c>
      <c r="AR815" t="s">
        <v>2713</v>
      </c>
      <c r="AS815" t="s">
        <v>75</v>
      </c>
      <c r="AX815" t="s">
        <v>76</v>
      </c>
      <c r="AY815" t="s">
        <v>176</v>
      </c>
      <c r="AZ815">
        <v>0</v>
      </c>
      <c r="BA815" t="s">
        <v>176</v>
      </c>
      <c r="BB815">
        <v>0</v>
      </c>
    </row>
    <row r="816" spans="1:56" x14ac:dyDescent="0.15">
      <c r="A816" s="4" t="str">
        <f>HYPERLINK("https://ibp.a2mac1.com/costing(costing:projects/details/9760/part/8412845)","Mounting Bracket")</f>
        <v>Mounting Bracket</v>
      </c>
      <c r="B816">
        <v>8412845</v>
      </c>
      <c r="C816">
        <v>8412791</v>
      </c>
      <c r="E816">
        <v>0.26800000000000002</v>
      </c>
      <c r="F816">
        <v>0</v>
      </c>
      <c r="G816">
        <v>0</v>
      </c>
      <c r="H816">
        <v>1.34804E-3</v>
      </c>
      <c r="I816" t="s">
        <v>176</v>
      </c>
      <c r="J816">
        <v>9.3799999999999994E-3</v>
      </c>
      <c r="K816">
        <v>0.27872804000000001</v>
      </c>
      <c r="L816">
        <v>3.4146794120173629E-2</v>
      </c>
      <c r="M816">
        <v>0.20488076472104177</v>
      </c>
      <c r="N816">
        <v>0.48360880472104179</v>
      </c>
      <c r="O816" t="s">
        <v>90</v>
      </c>
      <c r="P816">
        <v>0</v>
      </c>
      <c r="Q816" t="s">
        <v>90</v>
      </c>
      <c r="R816">
        <v>0</v>
      </c>
      <c r="S816" t="s">
        <v>90</v>
      </c>
      <c r="T816">
        <v>0</v>
      </c>
      <c r="U816" t="s">
        <v>90</v>
      </c>
      <c r="V816">
        <v>0</v>
      </c>
      <c r="W816" t="s">
        <v>90</v>
      </c>
      <c r="X816">
        <v>0</v>
      </c>
      <c r="Y816">
        <v>0.48360880472104179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44</v>
      </c>
      <c r="AF816">
        <v>132</v>
      </c>
      <c r="AG816">
        <v>131</v>
      </c>
      <c r="AI816">
        <v>0.31900000000000001</v>
      </c>
      <c r="AK816" t="s">
        <v>740</v>
      </c>
      <c r="AL816" t="s">
        <v>96</v>
      </c>
      <c r="AM816">
        <v>400000</v>
      </c>
      <c r="AN816" t="s">
        <v>73</v>
      </c>
      <c r="AO816">
        <v>2</v>
      </c>
      <c r="AP816">
        <v>0</v>
      </c>
      <c r="AQ816">
        <v>33333.333333333336</v>
      </c>
      <c r="AR816" t="s">
        <v>2716</v>
      </c>
      <c r="AS816" t="s">
        <v>75</v>
      </c>
      <c r="AX816" t="s">
        <v>76</v>
      </c>
      <c r="AY816" t="s">
        <v>176</v>
      </c>
      <c r="AZ816">
        <v>0</v>
      </c>
      <c r="BA816" t="s">
        <v>176</v>
      </c>
      <c r="BB816">
        <v>0</v>
      </c>
    </row>
    <row r="817" spans="1:56" x14ac:dyDescent="0.15">
      <c r="A817" s="4" t="str">
        <f>HYPERLINK("https://ibp.a2mac1.com/costing(costing:projects/details/9760/part/8412694)","Trim")</f>
        <v>Trim</v>
      </c>
      <c r="B817">
        <v>8412694</v>
      </c>
      <c r="C817">
        <v>8412583</v>
      </c>
      <c r="E817">
        <v>6.8000000000000005E-2</v>
      </c>
      <c r="F817">
        <v>0</v>
      </c>
      <c r="G817">
        <v>0</v>
      </c>
      <c r="H817">
        <v>3.4204E-4</v>
      </c>
      <c r="I817" t="s">
        <v>176</v>
      </c>
      <c r="J817">
        <v>2.3800000000000002E-3</v>
      </c>
      <c r="K817">
        <v>7.072204E-2</v>
      </c>
      <c r="L817">
        <v>9.422359898105739E-3</v>
      </c>
      <c r="M817">
        <v>5.6534159388634431E-2</v>
      </c>
      <c r="N817">
        <v>0.12725619938863444</v>
      </c>
      <c r="O817" t="s">
        <v>90</v>
      </c>
      <c r="P817">
        <v>0</v>
      </c>
      <c r="Q817" t="s">
        <v>90</v>
      </c>
      <c r="R817">
        <v>0</v>
      </c>
      <c r="S817" t="s">
        <v>90</v>
      </c>
      <c r="T817">
        <v>0</v>
      </c>
      <c r="U817" t="s">
        <v>90</v>
      </c>
      <c r="V817">
        <v>0</v>
      </c>
      <c r="W817" t="s">
        <v>90</v>
      </c>
      <c r="X817">
        <v>0</v>
      </c>
      <c r="Y817">
        <v>0.12725619938863444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10</v>
      </c>
      <c r="AF817">
        <v>38</v>
      </c>
      <c r="AG817">
        <v>52</v>
      </c>
      <c r="AI817">
        <v>2.4E-2</v>
      </c>
      <c r="AK817" t="s">
        <v>740</v>
      </c>
      <c r="AL817" t="s">
        <v>112</v>
      </c>
      <c r="AM817">
        <v>800000</v>
      </c>
      <c r="AN817" t="s">
        <v>73</v>
      </c>
      <c r="AO817">
        <v>4</v>
      </c>
      <c r="AP817">
        <v>0</v>
      </c>
      <c r="AQ817">
        <v>66666.666666666672</v>
      </c>
      <c r="AR817" t="s">
        <v>2723</v>
      </c>
      <c r="AS817" t="s">
        <v>75</v>
      </c>
      <c r="AX817" t="s">
        <v>76</v>
      </c>
      <c r="AY817" t="s">
        <v>176</v>
      </c>
      <c r="AZ817">
        <v>0</v>
      </c>
      <c r="BA817" t="s">
        <v>176</v>
      </c>
      <c r="BB817">
        <v>0</v>
      </c>
    </row>
    <row r="818" spans="1:56" x14ac:dyDescent="0.15">
      <c r="A818" s="4" t="str">
        <f>HYPERLINK("https://ibp.a2mac1.com/costing(costing:projects/details/9760/part/8412695)","Isofix Cover Support")</f>
        <v>Isofix Cover Support</v>
      </c>
      <c r="B818">
        <v>8412695</v>
      </c>
      <c r="C818">
        <v>8412583</v>
      </c>
      <c r="E818">
        <v>0.33600000000000002</v>
      </c>
      <c r="F818">
        <v>0</v>
      </c>
      <c r="G818">
        <v>0</v>
      </c>
      <c r="H818">
        <v>1.6900800000000001E-3</v>
      </c>
      <c r="I818" t="s">
        <v>176</v>
      </c>
      <c r="J818">
        <v>1.176E-2</v>
      </c>
      <c r="K818">
        <v>0.34945008</v>
      </c>
      <c r="L818">
        <v>1.6486483961553708E-2</v>
      </c>
      <c r="M818">
        <v>9.8918903769322247E-2</v>
      </c>
      <c r="N818">
        <v>0.44836898376932222</v>
      </c>
      <c r="O818" t="s">
        <v>90</v>
      </c>
      <c r="P818">
        <v>0</v>
      </c>
      <c r="Q818" t="s">
        <v>90</v>
      </c>
      <c r="R818">
        <v>0</v>
      </c>
      <c r="S818" t="s">
        <v>90</v>
      </c>
      <c r="T818">
        <v>0</v>
      </c>
      <c r="U818" t="s">
        <v>90</v>
      </c>
      <c r="V818">
        <v>0</v>
      </c>
      <c r="W818" t="s">
        <v>90</v>
      </c>
      <c r="X818">
        <v>0</v>
      </c>
      <c r="Y818">
        <v>0.44836898376932222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55</v>
      </c>
      <c r="AF818">
        <v>51</v>
      </c>
      <c r="AG818">
        <v>79</v>
      </c>
      <c r="AI818">
        <v>6.0999999999999999E-2</v>
      </c>
      <c r="AK818" t="s">
        <v>740</v>
      </c>
      <c r="AL818" t="s">
        <v>2485</v>
      </c>
      <c r="AM818">
        <v>800000</v>
      </c>
      <c r="AN818" t="s">
        <v>73</v>
      </c>
      <c r="AO818">
        <v>4</v>
      </c>
      <c r="AP818">
        <v>0</v>
      </c>
      <c r="AQ818">
        <v>66666.666666666672</v>
      </c>
      <c r="AR818" t="s">
        <v>2726</v>
      </c>
      <c r="AS818" t="s">
        <v>75</v>
      </c>
      <c r="AX818" t="s">
        <v>76</v>
      </c>
      <c r="AY818" t="s">
        <v>176</v>
      </c>
      <c r="AZ818">
        <v>0</v>
      </c>
      <c r="BA818" t="s">
        <v>176</v>
      </c>
      <c r="BB818">
        <v>0</v>
      </c>
    </row>
    <row r="819" spans="1:56" x14ac:dyDescent="0.15">
      <c r="A819" s="4" t="str">
        <f>HYPERLINK("https://ibp.a2mac1.com/costing(costing:projects/details/9760/part/8412576)","Occupant Detection")</f>
        <v>Occupant Detection</v>
      </c>
      <c r="B819">
        <v>8412576</v>
      </c>
      <c r="C819">
        <v>8412551</v>
      </c>
      <c r="E819">
        <v>10</v>
      </c>
      <c r="F819">
        <v>0</v>
      </c>
      <c r="G819">
        <v>0</v>
      </c>
      <c r="H819">
        <v>0</v>
      </c>
      <c r="I819" t="s">
        <v>71</v>
      </c>
      <c r="J819">
        <v>0</v>
      </c>
      <c r="K819">
        <v>10</v>
      </c>
      <c r="L819">
        <v>0</v>
      </c>
      <c r="M819">
        <v>0</v>
      </c>
      <c r="N819">
        <v>10</v>
      </c>
      <c r="O819" t="s">
        <v>71</v>
      </c>
      <c r="P819">
        <v>0</v>
      </c>
      <c r="Q819" t="s">
        <v>71</v>
      </c>
      <c r="R819">
        <v>0</v>
      </c>
      <c r="S819" t="s">
        <v>71</v>
      </c>
      <c r="T819">
        <v>0</v>
      </c>
      <c r="U819" t="s">
        <v>71</v>
      </c>
      <c r="V819">
        <v>0</v>
      </c>
      <c r="W819" t="s">
        <v>71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121</v>
      </c>
      <c r="AG819">
        <v>350</v>
      </c>
      <c r="AI819">
        <v>3.4000000000000002E-2</v>
      </c>
      <c r="AK819" t="s">
        <v>185</v>
      </c>
      <c r="AL819" t="s">
        <v>1433</v>
      </c>
      <c r="AM819">
        <v>400000</v>
      </c>
      <c r="AN819" t="s">
        <v>73</v>
      </c>
      <c r="AO819">
        <v>2</v>
      </c>
      <c r="AP819">
        <v>0</v>
      </c>
      <c r="AQ819">
        <v>33333.333333333336</v>
      </c>
      <c r="AR819" t="s">
        <v>2728</v>
      </c>
      <c r="AS819" t="s">
        <v>75</v>
      </c>
      <c r="AX819" t="s">
        <v>76</v>
      </c>
      <c r="AY819" t="s">
        <v>71</v>
      </c>
      <c r="AZ819">
        <v>0</v>
      </c>
      <c r="BA819" t="s">
        <v>71</v>
      </c>
      <c r="BB819">
        <v>0</v>
      </c>
      <c r="BD819">
        <v>5</v>
      </c>
    </row>
    <row r="820" spans="1:56" x14ac:dyDescent="0.15">
      <c r="A820" s="4" t="str">
        <f>HYPERLINK("https://ibp.a2mac1.com/costing(costing:projects/details/9760/part/8412577)","Occupant Detection central")</f>
        <v>Occupant Detection central</v>
      </c>
      <c r="B820">
        <v>8412577</v>
      </c>
      <c r="C820">
        <v>8412551</v>
      </c>
      <c r="E820">
        <v>5</v>
      </c>
      <c r="F820">
        <v>0</v>
      </c>
      <c r="G820">
        <v>0</v>
      </c>
      <c r="H820">
        <v>0</v>
      </c>
      <c r="I820" t="s">
        <v>71</v>
      </c>
      <c r="J820">
        <v>0</v>
      </c>
      <c r="K820">
        <v>5</v>
      </c>
      <c r="L820">
        <v>0</v>
      </c>
      <c r="M820">
        <v>0</v>
      </c>
      <c r="N820">
        <v>5</v>
      </c>
      <c r="O820" t="s">
        <v>71</v>
      </c>
      <c r="P820">
        <v>0</v>
      </c>
      <c r="Q820" t="s">
        <v>71</v>
      </c>
      <c r="R820">
        <v>0</v>
      </c>
      <c r="S820" t="s">
        <v>71</v>
      </c>
      <c r="T820">
        <v>0</v>
      </c>
      <c r="U820" t="s">
        <v>71</v>
      </c>
      <c r="V820">
        <v>0</v>
      </c>
      <c r="W820" t="s">
        <v>71</v>
      </c>
      <c r="X820">
        <v>0</v>
      </c>
      <c r="Y820">
        <v>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112</v>
      </c>
      <c r="AG820">
        <v>193</v>
      </c>
      <c r="AI820">
        <v>1.4E-2</v>
      </c>
      <c r="AK820" t="s">
        <v>740</v>
      </c>
      <c r="AL820" t="s">
        <v>2209</v>
      </c>
      <c r="AM820">
        <v>200000</v>
      </c>
      <c r="AN820" t="s">
        <v>97</v>
      </c>
      <c r="AO820">
        <v>1</v>
      </c>
      <c r="AP820">
        <v>0</v>
      </c>
      <c r="AQ820">
        <v>16666.666666666668</v>
      </c>
      <c r="AR820" t="s">
        <v>2729</v>
      </c>
      <c r="AS820" t="s">
        <v>75</v>
      </c>
      <c r="AX820" t="s">
        <v>76</v>
      </c>
      <c r="AY820" t="s">
        <v>71</v>
      </c>
      <c r="AZ820">
        <v>0</v>
      </c>
      <c r="BA820" t="s">
        <v>71</v>
      </c>
      <c r="BB820">
        <v>0</v>
      </c>
      <c r="BD820">
        <v>5</v>
      </c>
    </row>
    <row r="821" spans="1:56" x14ac:dyDescent="0.15">
      <c r="A821" s="4" t="str">
        <f>HYPERLINK("https://ibp.a2mac1.com/costing(costing:projects/details/9760/part/8412584)","Fasteners")</f>
        <v>Fasteners</v>
      </c>
      <c r="B821">
        <v>8412584</v>
      </c>
      <c r="C821">
        <v>8412551</v>
      </c>
      <c r="E821">
        <v>6.74</v>
      </c>
      <c r="F821">
        <v>0</v>
      </c>
      <c r="G821">
        <v>0</v>
      </c>
      <c r="H821">
        <v>0</v>
      </c>
      <c r="I821" t="s">
        <v>71</v>
      </c>
      <c r="J821">
        <v>0</v>
      </c>
      <c r="K821">
        <v>6.74</v>
      </c>
      <c r="L821">
        <v>0</v>
      </c>
      <c r="M821">
        <v>0</v>
      </c>
      <c r="N821">
        <v>6.74</v>
      </c>
      <c r="O821" t="s">
        <v>71</v>
      </c>
      <c r="P821">
        <v>0</v>
      </c>
      <c r="Q821" t="s">
        <v>71</v>
      </c>
      <c r="R821">
        <v>0</v>
      </c>
      <c r="S821" t="s">
        <v>71</v>
      </c>
      <c r="T821">
        <v>0</v>
      </c>
      <c r="U821" t="s">
        <v>71</v>
      </c>
      <c r="V821">
        <v>0</v>
      </c>
      <c r="W821" t="s">
        <v>71</v>
      </c>
      <c r="X821">
        <v>0</v>
      </c>
      <c r="Y821">
        <v>6.74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K821" t="s">
        <v>272</v>
      </c>
      <c r="AM821">
        <v>200000</v>
      </c>
      <c r="AN821" t="s">
        <v>97</v>
      </c>
      <c r="AO821">
        <v>1</v>
      </c>
      <c r="AP821">
        <v>0</v>
      </c>
      <c r="AQ821">
        <v>16666.666666666668</v>
      </c>
      <c r="AR821" t="s">
        <v>9</v>
      </c>
      <c r="AS821" t="s">
        <v>75</v>
      </c>
      <c r="AV821">
        <v>0</v>
      </c>
      <c r="AW821">
        <v>0</v>
      </c>
      <c r="AX821" t="s">
        <v>76</v>
      </c>
      <c r="AY821" t="s">
        <v>71</v>
      </c>
      <c r="AZ821">
        <v>0</v>
      </c>
      <c r="BA821" t="s">
        <v>71</v>
      </c>
      <c r="BB821">
        <v>0</v>
      </c>
      <c r="BD821">
        <v>6.74</v>
      </c>
    </row>
    <row r="822" spans="1:56" x14ac:dyDescent="0.15">
      <c r="A822" s="4" t="str">
        <f>HYPERLINK("https://ibp.a2mac1.com/costing(costing:projects/details/9760/part/8412987)","Support 1")</f>
        <v>Support 1</v>
      </c>
      <c r="B822">
        <v>8412987</v>
      </c>
      <c r="C822">
        <v>8412886</v>
      </c>
      <c r="D822" t="s">
        <v>2737</v>
      </c>
      <c r="E822">
        <v>0.62</v>
      </c>
      <c r="F822">
        <v>0</v>
      </c>
      <c r="G822">
        <v>0</v>
      </c>
      <c r="H822">
        <v>0</v>
      </c>
      <c r="I822" t="s">
        <v>71</v>
      </c>
      <c r="J822">
        <v>0</v>
      </c>
      <c r="K822">
        <v>0.62</v>
      </c>
      <c r="L822">
        <v>0</v>
      </c>
      <c r="M822">
        <v>0</v>
      </c>
      <c r="N822">
        <v>0.62</v>
      </c>
      <c r="O822" t="s">
        <v>71</v>
      </c>
      <c r="P822">
        <v>0</v>
      </c>
      <c r="Q822" t="s">
        <v>71</v>
      </c>
      <c r="R822">
        <v>0</v>
      </c>
      <c r="S822" t="s">
        <v>71</v>
      </c>
      <c r="T822">
        <v>0</v>
      </c>
      <c r="U822" t="s">
        <v>71</v>
      </c>
      <c r="V822">
        <v>0</v>
      </c>
      <c r="W822" t="s">
        <v>71</v>
      </c>
      <c r="X822">
        <v>0</v>
      </c>
      <c r="Y822">
        <v>0.62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535</v>
      </c>
      <c r="AF822">
        <v>230</v>
      </c>
      <c r="AG822">
        <v>90</v>
      </c>
      <c r="AI822">
        <v>0.57899999999999996</v>
      </c>
      <c r="AK822" t="s">
        <v>107</v>
      </c>
      <c r="AL822" t="s">
        <v>96</v>
      </c>
      <c r="AM822">
        <v>200000</v>
      </c>
      <c r="AN822" t="s">
        <v>97</v>
      </c>
      <c r="AO822">
        <v>1</v>
      </c>
      <c r="AP822">
        <v>0</v>
      </c>
      <c r="AQ822">
        <v>16666.666666666668</v>
      </c>
      <c r="AR822" t="s">
        <v>2738</v>
      </c>
      <c r="AS822" t="s">
        <v>75</v>
      </c>
      <c r="AX822" t="s">
        <v>76</v>
      </c>
      <c r="AY822" t="s">
        <v>71</v>
      </c>
      <c r="AZ822">
        <v>0</v>
      </c>
      <c r="BA822" t="s">
        <v>71</v>
      </c>
      <c r="BB822">
        <v>0</v>
      </c>
      <c r="BD822">
        <v>0.62</v>
      </c>
    </row>
    <row r="823" spans="1:56" x14ac:dyDescent="0.15">
      <c r="A823" s="4" t="str">
        <f>HYPERLINK("https://ibp.a2mac1.com/costing(costing:projects/details/9760/part/8412988)","Support 2")</f>
        <v>Support 2</v>
      </c>
      <c r="B823">
        <v>8412988</v>
      </c>
      <c r="C823">
        <v>8412886</v>
      </c>
      <c r="D823" t="s">
        <v>2737</v>
      </c>
      <c r="E823">
        <v>0.7</v>
      </c>
      <c r="F823">
        <v>0</v>
      </c>
      <c r="G823">
        <v>0</v>
      </c>
      <c r="H823">
        <v>0</v>
      </c>
      <c r="I823" t="s">
        <v>71</v>
      </c>
      <c r="J823">
        <v>0</v>
      </c>
      <c r="K823">
        <v>0.7</v>
      </c>
      <c r="L823">
        <v>0</v>
      </c>
      <c r="M823">
        <v>0</v>
      </c>
      <c r="N823">
        <v>0.7</v>
      </c>
      <c r="O823" t="s">
        <v>71</v>
      </c>
      <c r="P823">
        <v>0</v>
      </c>
      <c r="Q823" t="s">
        <v>71</v>
      </c>
      <c r="R823">
        <v>0</v>
      </c>
      <c r="S823" t="s">
        <v>71</v>
      </c>
      <c r="T823">
        <v>0</v>
      </c>
      <c r="U823" t="s">
        <v>71</v>
      </c>
      <c r="V823">
        <v>0</v>
      </c>
      <c r="W823" t="s">
        <v>71</v>
      </c>
      <c r="X823">
        <v>0</v>
      </c>
      <c r="Y823">
        <v>0.7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605</v>
      </c>
      <c r="AF823">
        <v>157</v>
      </c>
      <c r="AG823">
        <v>63</v>
      </c>
      <c r="AI823">
        <v>0.81599999999999995</v>
      </c>
      <c r="AK823" t="s">
        <v>107</v>
      </c>
      <c r="AL823" t="s">
        <v>96</v>
      </c>
      <c r="AM823">
        <v>200000</v>
      </c>
      <c r="AN823" t="s">
        <v>97</v>
      </c>
      <c r="AO823">
        <v>1</v>
      </c>
      <c r="AP823">
        <v>0</v>
      </c>
      <c r="AQ823">
        <v>16666.666666666668</v>
      </c>
      <c r="AR823" t="s">
        <v>2739</v>
      </c>
      <c r="AS823" t="s">
        <v>75</v>
      </c>
      <c r="AX823" t="s">
        <v>76</v>
      </c>
      <c r="AY823" t="s">
        <v>71</v>
      </c>
      <c r="AZ823">
        <v>0</v>
      </c>
      <c r="BA823" t="s">
        <v>71</v>
      </c>
      <c r="BB823">
        <v>0</v>
      </c>
      <c r="BD823">
        <v>0.7</v>
      </c>
    </row>
    <row r="824" spans="1:56" x14ac:dyDescent="0.15">
      <c r="A824" s="4" t="str">
        <f>HYPERLINK("https://ibp.a2mac1.com/costing(costing:projects/details/9760/part/8412989)","Support 3")</f>
        <v>Support 3</v>
      </c>
      <c r="B824">
        <v>8412989</v>
      </c>
      <c r="C824">
        <v>8412886</v>
      </c>
      <c r="D824" t="s">
        <v>2737</v>
      </c>
      <c r="E824">
        <v>1.22</v>
      </c>
      <c r="F824">
        <v>0</v>
      </c>
      <c r="G824">
        <v>0</v>
      </c>
      <c r="H824">
        <v>0</v>
      </c>
      <c r="I824" t="s">
        <v>71</v>
      </c>
      <c r="J824">
        <v>0</v>
      </c>
      <c r="K824">
        <v>1.22</v>
      </c>
      <c r="L824">
        <v>0</v>
      </c>
      <c r="M824">
        <v>0</v>
      </c>
      <c r="N824">
        <v>1.22</v>
      </c>
      <c r="O824" t="s">
        <v>71</v>
      </c>
      <c r="P824">
        <v>0</v>
      </c>
      <c r="Q824" t="s">
        <v>71</v>
      </c>
      <c r="R824">
        <v>0</v>
      </c>
      <c r="S824" t="s">
        <v>71</v>
      </c>
      <c r="T824">
        <v>0</v>
      </c>
      <c r="U824" t="s">
        <v>71</v>
      </c>
      <c r="V824">
        <v>0</v>
      </c>
      <c r="W824" t="s">
        <v>71</v>
      </c>
      <c r="X824">
        <v>0</v>
      </c>
      <c r="Y824">
        <v>1.22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605</v>
      </c>
      <c r="AF824">
        <v>250</v>
      </c>
      <c r="AG824">
        <v>193</v>
      </c>
      <c r="AI824">
        <v>1.5549999999999999</v>
      </c>
      <c r="AK824" t="s">
        <v>107</v>
      </c>
      <c r="AL824" t="s">
        <v>96</v>
      </c>
      <c r="AM824">
        <v>200000</v>
      </c>
      <c r="AN824" t="s">
        <v>97</v>
      </c>
      <c r="AO824">
        <v>1</v>
      </c>
      <c r="AP824">
        <v>0</v>
      </c>
      <c r="AQ824">
        <v>16666.666666666668</v>
      </c>
      <c r="AR824" t="s">
        <v>2740</v>
      </c>
      <c r="AS824" t="s">
        <v>75</v>
      </c>
      <c r="AX824" t="s">
        <v>76</v>
      </c>
      <c r="AY824" t="s">
        <v>71</v>
      </c>
      <c r="AZ824">
        <v>0</v>
      </c>
      <c r="BA824" t="s">
        <v>71</v>
      </c>
      <c r="BB824">
        <v>0</v>
      </c>
      <c r="BD824">
        <v>1.22</v>
      </c>
    </row>
    <row r="825" spans="1:56" x14ac:dyDescent="0.15">
      <c r="A825" s="4" t="str">
        <f>HYPERLINK("https://ibp.a2mac1.com/costing(costing:projects/details/9760/part/8412990)","Support 4")</f>
        <v>Support 4</v>
      </c>
      <c r="B825">
        <v>8412990</v>
      </c>
      <c r="C825">
        <v>8412886</v>
      </c>
      <c r="D825" t="s">
        <v>2737</v>
      </c>
      <c r="E825">
        <v>0.76</v>
      </c>
      <c r="F825">
        <v>0</v>
      </c>
      <c r="G825">
        <v>0</v>
      </c>
      <c r="H825">
        <v>0</v>
      </c>
      <c r="I825" t="s">
        <v>71</v>
      </c>
      <c r="J825">
        <v>0</v>
      </c>
      <c r="K825">
        <v>0.76</v>
      </c>
      <c r="L825">
        <v>0</v>
      </c>
      <c r="M825">
        <v>0</v>
      </c>
      <c r="N825">
        <v>0.76</v>
      </c>
      <c r="O825" t="s">
        <v>71</v>
      </c>
      <c r="P825">
        <v>0</v>
      </c>
      <c r="Q825" t="s">
        <v>71</v>
      </c>
      <c r="R825">
        <v>0</v>
      </c>
      <c r="S825" t="s">
        <v>71</v>
      </c>
      <c r="T825">
        <v>0</v>
      </c>
      <c r="U825" t="s">
        <v>71</v>
      </c>
      <c r="V825">
        <v>0</v>
      </c>
      <c r="W825" t="s">
        <v>71</v>
      </c>
      <c r="X825">
        <v>0</v>
      </c>
      <c r="Y825">
        <v>0.76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575</v>
      </c>
      <c r="AF825">
        <v>165</v>
      </c>
      <c r="AG825">
        <v>135</v>
      </c>
      <c r="AI825">
        <v>0.54</v>
      </c>
      <c r="AK825" t="s">
        <v>107</v>
      </c>
      <c r="AL825" t="s">
        <v>96</v>
      </c>
      <c r="AM825">
        <v>200000</v>
      </c>
      <c r="AN825" t="s">
        <v>97</v>
      </c>
      <c r="AO825">
        <v>1</v>
      </c>
      <c r="AP825">
        <v>0</v>
      </c>
      <c r="AQ825">
        <v>16666.666666666668</v>
      </c>
      <c r="AR825" t="s">
        <v>2741</v>
      </c>
      <c r="AS825" t="s">
        <v>75</v>
      </c>
      <c r="AX825" t="s">
        <v>76</v>
      </c>
      <c r="AY825" t="s">
        <v>71</v>
      </c>
      <c r="AZ825">
        <v>0</v>
      </c>
      <c r="BA825" t="s">
        <v>71</v>
      </c>
      <c r="BB825">
        <v>0</v>
      </c>
      <c r="BD825">
        <v>0.76</v>
      </c>
    </row>
    <row r="826" spans="1:56" x14ac:dyDescent="0.15">
      <c r="A826" s="4" t="str">
        <f>HYPERLINK("https://ibp.a2mac1.com/costing(costing:projects/details/9760/part/8413530)","HV Connector 1")</f>
        <v>HV Connector 1</v>
      </c>
      <c r="B826">
        <v>8413530</v>
      </c>
      <c r="C826">
        <v>8413327</v>
      </c>
      <c r="E826">
        <v>2.47777</v>
      </c>
      <c r="F826">
        <v>0</v>
      </c>
      <c r="G826">
        <v>0</v>
      </c>
      <c r="H826">
        <v>0</v>
      </c>
      <c r="I826" t="s">
        <v>71</v>
      </c>
      <c r="J826">
        <v>0</v>
      </c>
      <c r="K826">
        <v>2.47777</v>
      </c>
      <c r="L826">
        <v>0</v>
      </c>
      <c r="M826">
        <v>0</v>
      </c>
      <c r="N826">
        <v>2.47777</v>
      </c>
      <c r="O826" t="s">
        <v>71</v>
      </c>
      <c r="P826">
        <v>0</v>
      </c>
      <c r="Q826" t="s">
        <v>71</v>
      </c>
      <c r="R826">
        <v>0</v>
      </c>
      <c r="S826" t="s">
        <v>71</v>
      </c>
      <c r="T826">
        <v>0</v>
      </c>
      <c r="U826" t="s">
        <v>71</v>
      </c>
      <c r="V826">
        <v>0</v>
      </c>
      <c r="W826" t="s">
        <v>71</v>
      </c>
      <c r="X826">
        <v>0</v>
      </c>
      <c r="Y826">
        <v>2.47777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43</v>
      </c>
      <c r="AF826">
        <v>53</v>
      </c>
      <c r="AG826">
        <v>29</v>
      </c>
      <c r="AH826">
        <v>0</v>
      </c>
      <c r="AI826">
        <v>2.7E-2</v>
      </c>
      <c r="AK826" t="s">
        <v>1761</v>
      </c>
      <c r="AM826">
        <v>200000</v>
      </c>
      <c r="AN826" t="s">
        <v>73</v>
      </c>
      <c r="AO826">
        <v>1</v>
      </c>
      <c r="AP826">
        <v>0</v>
      </c>
      <c r="AQ826">
        <v>16666.666666666668</v>
      </c>
      <c r="AR826" t="s">
        <v>9</v>
      </c>
      <c r="AS826" t="s">
        <v>75</v>
      </c>
      <c r="AX826" t="s">
        <v>76</v>
      </c>
      <c r="AY826" t="s">
        <v>71</v>
      </c>
      <c r="AZ826">
        <v>0</v>
      </c>
      <c r="BA826" t="s">
        <v>71</v>
      </c>
      <c r="BB826">
        <v>0</v>
      </c>
      <c r="BD826">
        <v>2.47777</v>
      </c>
    </row>
    <row r="827" spans="1:56" x14ac:dyDescent="0.15">
      <c r="A827" s="4" t="str">
        <f>HYPERLINK("https://ibp.a2mac1.com/costing(costing:projects/details/9760/part/8413531)","HV Connector 2")</f>
        <v>HV Connector 2</v>
      </c>
      <c r="B827">
        <v>8413531</v>
      </c>
      <c r="C827">
        <v>8413327</v>
      </c>
      <c r="E827">
        <v>2.8002899999999999</v>
      </c>
      <c r="F827">
        <v>0</v>
      </c>
      <c r="G827">
        <v>0</v>
      </c>
      <c r="H827">
        <v>0</v>
      </c>
      <c r="I827" t="s">
        <v>71</v>
      </c>
      <c r="J827">
        <v>0</v>
      </c>
      <c r="K827">
        <v>2.8002899999999999</v>
      </c>
      <c r="L827">
        <v>0</v>
      </c>
      <c r="M827">
        <v>0</v>
      </c>
      <c r="N827">
        <v>2.8002899999999999</v>
      </c>
      <c r="O827" t="s">
        <v>71</v>
      </c>
      <c r="P827">
        <v>0</v>
      </c>
      <c r="Q827" t="s">
        <v>71</v>
      </c>
      <c r="R827">
        <v>0</v>
      </c>
      <c r="S827" t="s">
        <v>71</v>
      </c>
      <c r="T827">
        <v>0</v>
      </c>
      <c r="U827" t="s">
        <v>71</v>
      </c>
      <c r="V827">
        <v>0</v>
      </c>
      <c r="W827" t="s">
        <v>71</v>
      </c>
      <c r="X827">
        <v>0</v>
      </c>
      <c r="Y827">
        <v>2.8002899999999999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56</v>
      </c>
      <c r="AF827">
        <v>72</v>
      </c>
      <c r="AG827">
        <v>34</v>
      </c>
      <c r="AH827">
        <v>0</v>
      </c>
      <c r="AI827">
        <v>3.5999999999999997E-2</v>
      </c>
      <c r="AK827" t="s">
        <v>272</v>
      </c>
      <c r="AM827">
        <v>200000</v>
      </c>
      <c r="AN827" t="s">
        <v>73</v>
      </c>
      <c r="AO827">
        <v>1</v>
      </c>
      <c r="AP827">
        <v>0</v>
      </c>
      <c r="AQ827">
        <v>16666.666666666668</v>
      </c>
      <c r="AR827" t="s">
        <v>9</v>
      </c>
      <c r="AS827" t="s">
        <v>75</v>
      </c>
      <c r="AX827" t="s">
        <v>76</v>
      </c>
      <c r="AY827" t="s">
        <v>71</v>
      </c>
      <c r="AZ827">
        <v>0</v>
      </c>
      <c r="BA827" t="s">
        <v>71</v>
      </c>
      <c r="BB827">
        <v>0</v>
      </c>
      <c r="BD827">
        <v>2.8002899999999999</v>
      </c>
    </row>
    <row r="828" spans="1:56" x14ac:dyDescent="0.15">
      <c r="A828" s="4" t="str">
        <f>HYPERLINK("https://ibp.a2mac1.com/costing(costing:projects/details/9760/part/8413328)","Ferrite 1")</f>
        <v>Ferrite 1</v>
      </c>
      <c r="B828">
        <v>8413328</v>
      </c>
      <c r="C828">
        <v>8413207</v>
      </c>
      <c r="E828">
        <v>0.16</v>
      </c>
      <c r="F828">
        <v>0</v>
      </c>
      <c r="G828">
        <v>0</v>
      </c>
      <c r="H828">
        <v>0</v>
      </c>
      <c r="I828" t="s">
        <v>71</v>
      </c>
      <c r="J828">
        <v>0</v>
      </c>
      <c r="K828">
        <v>0.16</v>
      </c>
      <c r="L828">
        <v>0</v>
      </c>
      <c r="M828">
        <v>0</v>
      </c>
      <c r="N828">
        <v>0.16</v>
      </c>
      <c r="O828" t="s">
        <v>71</v>
      </c>
      <c r="P828">
        <v>0</v>
      </c>
      <c r="Q828" t="s">
        <v>71</v>
      </c>
      <c r="R828">
        <v>0</v>
      </c>
      <c r="S828" t="s">
        <v>71</v>
      </c>
      <c r="T828">
        <v>0</v>
      </c>
      <c r="U828" t="s">
        <v>71</v>
      </c>
      <c r="V828">
        <v>0</v>
      </c>
      <c r="W828" t="s">
        <v>71</v>
      </c>
      <c r="X828">
        <v>0</v>
      </c>
      <c r="Y828">
        <v>0.16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30</v>
      </c>
      <c r="AF828">
        <v>20</v>
      </c>
      <c r="AG828">
        <v>5</v>
      </c>
      <c r="AH828">
        <v>0</v>
      </c>
      <c r="AI828">
        <v>0.01</v>
      </c>
      <c r="AK828" t="s">
        <v>272</v>
      </c>
      <c r="AM828">
        <v>400000</v>
      </c>
      <c r="AN828" t="s">
        <v>73</v>
      </c>
      <c r="AO828">
        <v>2</v>
      </c>
      <c r="AP828">
        <v>0</v>
      </c>
      <c r="AQ828">
        <v>33333.333333333336</v>
      </c>
      <c r="AR828" t="s">
        <v>9</v>
      </c>
      <c r="AS828" t="s">
        <v>75</v>
      </c>
      <c r="AX828" t="s">
        <v>76</v>
      </c>
      <c r="AY828" t="s">
        <v>71</v>
      </c>
      <c r="AZ828">
        <v>0</v>
      </c>
      <c r="BA828" t="s">
        <v>71</v>
      </c>
      <c r="BB828">
        <v>0</v>
      </c>
      <c r="BD828">
        <v>0.08</v>
      </c>
    </row>
    <row r="829" spans="1:56" x14ac:dyDescent="0.15">
      <c r="A829" s="4" t="str">
        <f>HYPERLINK("https://ibp.a2mac1.com/costing(costing:projects/details/9760/part/8413329)","Inductor 1")</f>
        <v>Inductor 1</v>
      </c>
      <c r="B829">
        <v>8413329</v>
      </c>
      <c r="C829">
        <v>8413208</v>
      </c>
      <c r="E829">
        <v>2.96</v>
      </c>
      <c r="F829">
        <v>0</v>
      </c>
      <c r="G829">
        <v>0</v>
      </c>
      <c r="H829">
        <v>0</v>
      </c>
      <c r="I829" t="s">
        <v>71</v>
      </c>
      <c r="J829">
        <v>0</v>
      </c>
      <c r="K829">
        <v>2.96</v>
      </c>
      <c r="L829">
        <v>0</v>
      </c>
      <c r="M829">
        <v>0</v>
      </c>
      <c r="N829">
        <v>2.96</v>
      </c>
      <c r="O829" t="s">
        <v>71</v>
      </c>
      <c r="P829">
        <v>0</v>
      </c>
      <c r="Q829" t="s">
        <v>71</v>
      </c>
      <c r="R829">
        <v>0</v>
      </c>
      <c r="S829" t="s">
        <v>71</v>
      </c>
      <c r="T829">
        <v>0</v>
      </c>
      <c r="U829" t="s">
        <v>71</v>
      </c>
      <c r="V829">
        <v>0</v>
      </c>
      <c r="W829" t="s">
        <v>71</v>
      </c>
      <c r="X829">
        <v>0</v>
      </c>
      <c r="Y829">
        <v>2.96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25</v>
      </c>
      <c r="AF829">
        <v>32</v>
      </c>
      <c r="AG829">
        <v>32</v>
      </c>
      <c r="AH829">
        <v>0</v>
      </c>
      <c r="AI829">
        <v>9.5000000000000001E-2</v>
      </c>
      <c r="AK829" t="s">
        <v>272</v>
      </c>
      <c r="AM829">
        <v>200000</v>
      </c>
      <c r="AN829" t="s">
        <v>73</v>
      </c>
      <c r="AO829">
        <v>1</v>
      </c>
      <c r="AP829">
        <v>0</v>
      </c>
      <c r="AQ829">
        <v>16666.666666666668</v>
      </c>
      <c r="AR829" t="s">
        <v>9</v>
      </c>
      <c r="AS829" t="s">
        <v>75</v>
      </c>
      <c r="AX829" t="s">
        <v>76</v>
      </c>
      <c r="AY829" t="s">
        <v>71</v>
      </c>
      <c r="AZ829">
        <v>0</v>
      </c>
      <c r="BA829" t="s">
        <v>71</v>
      </c>
      <c r="BB829">
        <v>0</v>
      </c>
      <c r="BD829">
        <v>2.96</v>
      </c>
    </row>
    <row r="830" spans="1:56" x14ac:dyDescent="0.15">
      <c r="A830" s="4" t="str">
        <f>HYPERLINK("https://ibp.a2mac1.com/costing(costing:projects/details/9760/part/8413330)","Inductor 2")</f>
        <v>Inductor 2</v>
      </c>
      <c r="B830">
        <v>8413330</v>
      </c>
      <c r="C830">
        <v>8413208</v>
      </c>
      <c r="E830">
        <v>6.83</v>
      </c>
      <c r="F830">
        <v>0</v>
      </c>
      <c r="G830">
        <v>0</v>
      </c>
      <c r="H830">
        <v>0</v>
      </c>
      <c r="I830" t="s">
        <v>71</v>
      </c>
      <c r="J830">
        <v>0</v>
      </c>
      <c r="K830">
        <v>6.83</v>
      </c>
      <c r="L830">
        <v>0</v>
      </c>
      <c r="M830">
        <v>0</v>
      </c>
      <c r="N830">
        <v>6.83</v>
      </c>
      <c r="O830" t="s">
        <v>71</v>
      </c>
      <c r="P830">
        <v>0</v>
      </c>
      <c r="Q830" t="s">
        <v>71</v>
      </c>
      <c r="R830">
        <v>0</v>
      </c>
      <c r="S830" t="s">
        <v>71</v>
      </c>
      <c r="T830">
        <v>0</v>
      </c>
      <c r="U830" t="s">
        <v>71</v>
      </c>
      <c r="V830">
        <v>0</v>
      </c>
      <c r="W830" t="s">
        <v>71</v>
      </c>
      <c r="X830">
        <v>0</v>
      </c>
      <c r="Y830">
        <v>6.83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40</v>
      </c>
      <c r="AF830">
        <v>56</v>
      </c>
      <c r="AG830">
        <v>36</v>
      </c>
      <c r="AH830">
        <v>0</v>
      </c>
      <c r="AI830">
        <v>0.28499999999999998</v>
      </c>
      <c r="AK830" t="s">
        <v>272</v>
      </c>
      <c r="AM830">
        <v>200000</v>
      </c>
      <c r="AN830" t="s">
        <v>73</v>
      </c>
      <c r="AO830">
        <v>1</v>
      </c>
      <c r="AP830">
        <v>0</v>
      </c>
      <c r="AQ830">
        <v>16666.666666666668</v>
      </c>
      <c r="AR830" t="s">
        <v>9</v>
      </c>
      <c r="AS830" t="s">
        <v>75</v>
      </c>
      <c r="AX830" t="s">
        <v>76</v>
      </c>
      <c r="AY830" t="s">
        <v>71</v>
      </c>
      <c r="AZ830">
        <v>0</v>
      </c>
      <c r="BA830" t="s">
        <v>71</v>
      </c>
      <c r="BB830">
        <v>0</v>
      </c>
      <c r="BD830">
        <v>6.83</v>
      </c>
    </row>
    <row r="831" spans="1:56" x14ac:dyDescent="0.15">
      <c r="A831" s="4" t="str">
        <f>HYPERLINK("https://ibp.a2mac1.com/costing(costing:projects/details/9760/part/8413331)","Inductor 3")</f>
        <v>Inductor 3</v>
      </c>
      <c r="B831">
        <v>8413331</v>
      </c>
      <c r="C831">
        <v>8413208</v>
      </c>
      <c r="E831">
        <v>16.010000000000002</v>
      </c>
      <c r="F831">
        <v>0</v>
      </c>
      <c r="G831">
        <v>0</v>
      </c>
      <c r="H831">
        <v>0</v>
      </c>
      <c r="I831" t="s">
        <v>71</v>
      </c>
      <c r="J831">
        <v>0</v>
      </c>
      <c r="K831">
        <v>16.010000000000002</v>
      </c>
      <c r="L831">
        <v>0</v>
      </c>
      <c r="M831">
        <v>0</v>
      </c>
      <c r="N831">
        <v>16.010000000000002</v>
      </c>
      <c r="O831" t="s">
        <v>71</v>
      </c>
      <c r="P831">
        <v>0</v>
      </c>
      <c r="Q831" t="s">
        <v>71</v>
      </c>
      <c r="R831">
        <v>0</v>
      </c>
      <c r="S831" t="s">
        <v>71</v>
      </c>
      <c r="T831">
        <v>0</v>
      </c>
      <c r="U831" t="s">
        <v>71</v>
      </c>
      <c r="V831">
        <v>0</v>
      </c>
      <c r="W831" t="s">
        <v>71</v>
      </c>
      <c r="X831">
        <v>0</v>
      </c>
      <c r="Y831">
        <v>16.010000000000002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82</v>
      </c>
      <c r="AF831">
        <v>61</v>
      </c>
      <c r="AG831">
        <v>70</v>
      </c>
      <c r="AH831">
        <v>0</v>
      </c>
      <c r="AI831">
        <v>0.75600000000000001</v>
      </c>
      <c r="AK831" t="s">
        <v>272</v>
      </c>
      <c r="AM831">
        <v>200000</v>
      </c>
      <c r="AN831" t="s">
        <v>73</v>
      </c>
      <c r="AO831">
        <v>1</v>
      </c>
      <c r="AP831">
        <v>0</v>
      </c>
      <c r="AQ831">
        <v>16666.666666666668</v>
      </c>
      <c r="AR831" t="s">
        <v>9</v>
      </c>
      <c r="AS831" t="s">
        <v>75</v>
      </c>
      <c r="AX831" t="s">
        <v>76</v>
      </c>
      <c r="AY831" t="s">
        <v>71</v>
      </c>
      <c r="AZ831">
        <v>0</v>
      </c>
      <c r="BA831" t="s">
        <v>71</v>
      </c>
      <c r="BB831">
        <v>0</v>
      </c>
      <c r="BD831">
        <v>16.010000000000002</v>
      </c>
    </row>
    <row r="832" spans="1:56" x14ac:dyDescent="0.15">
      <c r="A832" s="4" t="str">
        <f>HYPERLINK("https://ibp.a2mac1.com/costing(costing:projects/details/9760/part/8413332)","Transformer 1")</f>
        <v>Transformer 1</v>
      </c>
      <c r="B832">
        <v>8413332</v>
      </c>
      <c r="C832">
        <v>8413209</v>
      </c>
      <c r="E832">
        <v>6.2789999999999999</v>
      </c>
      <c r="F832">
        <v>0</v>
      </c>
      <c r="G832">
        <v>0</v>
      </c>
      <c r="H832">
        <v>0</v>
      </c>
      <c r="I832" t="s">
        <v>71</v>
      </c>
      <c r="J832">
        <v>0</v>
      </c>
      <c r="K832">
        <v>6.2789999999999999</v>
      </c>
      <c r="L832">
        <v>0</v>
      </c>
      <c r="M832">
        <v>0</v>
      </c>
      <c r="N832">
        <v>6.2789999999999999</v>
      </c>
      <c r="O832" t="s">
        <v>71</v>
      </c>
      <c r="P832">
        <v>0</v>
      </c>
      <c r="Q832" t="s">
        <v>71</v>
      </c>
      <c r="R832">
        <v>0</v>
      </c>
      <c r="S832" t="s">
        <v>71</v>
      </c>
      <c r="T832">
        <v>0</v>
      </c>
      <c r="U832" t="s">
        <v>71</v>
      </c>
      <c r="V832">
        <v>0</v>
      </c>
      <c r="W832" t="s">
        <v>71</v>
      </c>
      <c r="X832">
        <v>0</v>
      </c>
      <c r="Y832">
        <v>6.2789999999999999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21</v>
      </c>
      <c r="AF832">
        <v>68</v>
      </c>
      <c r="AG832">
        <v>41</v>
      </c>
      <c r="AH832">
        <v>0</v>
      </c>
      <c r="AI832">
        <v>0.16800000000000001</v>
      </c>
      <c r="AK832" t="s">
        <v>272</v>
      </c>
      <c r="AM832">
        <v>200000</v>
      </c>
      <c r="AN832" t="s">
        <v>73</v>
      </c>
      <c r="AO832">
        <v>1</v>
      </c>
      <c r="AP832">
        <v>0</v>
      </c>
      <c r="AQ832">
        <v>16666.666666666668</v>
      </c>
      <c r="AR832" t="s">
        <v>9</v>
      </c>
      <c r="AS832" t="s">
        <v>75</v>
      </c>
      <c r="AX832" t="s">
        <v>76</v>
      </c>
      <c r="AY832" t="s">
        <v>71</v>
      </c>
      <c r="AZ832">
        <v>0</v>
      </c>
      <c r="BA832" t="s">
        <v>71</v>
      </c>
      <c r="BB832">
        <v>0</v>
      </c>
      <c r="BD832">
        <v>6.2789999999999999</v>
      </c>
    </row>
    <row r="833" spans="1:56" x14ac:dyDescent="0.15">
      <c r="A833" s="4" t="str">
        <f>HYPERLINK("https://ibp.a2mac1.com/costing(costing:projects/details/9760/part/8413210)","PCB 1")</f>
        <v>PCB 1</v>
      </c>
      <c r="B833">
        <v>8413210</v>
      </c>
      <c r="C833">
        <v>8413078</v>
      </c>
      <c r="E833">
        <v>168.53</v>
      </c>
      <c r="F833">
        <v>0</v>
      </c>
      <c r="G833">
        <v>0</v>
      </c>
      <c r="H833">
        <v>0</v>
      </c>
      <c r="I833" t="s">
        <v>71</v>
      </c>
      <c r="J833">
        <v>0</v>
      </c>
      <c r="K833">
        <v>168.53</v>
      </c>
      <c r="L833">
        <v>0</v>
      </c>
      <c r="M833">
        <v>0</v>
      </c>
      <c r="N833">
        <v>168.53</v>
      </c>
      <c r="O833" t="s">
        <v>71</v>
      </c>
      <c r="P833">
        <v>0</v>
      </c>
      <c r="Q833" t="s">
        <v>71</v>
      </c>
      <c r="R833">
        <v>0</v>
      </c>
      <c r="S833" t="s">
        <v>71</v>
      </c>
      <c r="T833">
        <v>0</v>
      </c>
      <c r="U833" t="s">
        <v>71</v>
      </c>
      <c r="V833">
        <v>0</v>
      </c>
      <c r="W833" t="s">
        <v>71</v>
      </c>
      <c r="X833">
        <v>0</v>
      </c>
      <c r="Y833">
        <v>168.53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61</v>
      </c>
      <c r="AF833">
        <v>301</v>
      </c>
      <c r="AG833">
        <v>292</v>
      </c>
      <c r="AH833">
        <v>1.77</v>
      </c>
      <c r="AI833">
        <v>0</v>
      </c>
      <c r="AK833" t="s">
        <v>272</v>
      </c>
      <c r="AM833">
        <v>200000</v>
      </c>
      <c r="AN833" t="s">
        <v>73</v>
      </c>
      <c r="AO833">
        <v>1</v>
      </c>
      <c r="AP833">
        <v>0</v>
      </c>
      <c r="AQ833">
        <v>16666.666666666668</v>
      </c>
      <c r="AR833" t="s">
        <v>9</v>
      </c>
      <c r="AS833" t="s">
        <v>75</v>
      </c>
      <c r="AX833" t="s">
        <v>76</v>
      </c>
      <c r="AY833" t="s">
        <v>71</v>
      </c>
      <c r="AZ833">
        <v>0</v>
      </c>
      <c r="BA833" t="s">
        <v>71</v>
      </c>
      <c r="BB833">
        <v>0</v>
      </c>
      <c r="BD833">
        <v>168.53</v>
      </c>
    </row>
    <row r="834" spans="1:56" x14ac:dyDescent="0.15">
      <c r="A834" s="4" t="str">
        <f>HYPERLINK("https://ibp.a2mac1.com/costing(costing:projects/details/9760/part/8413211)","PCB 2")</f>
        <v>PCB 2</v>
      </c>
      <c r="B834">
        <v>8413211</v>
      </c>
      <c r="C834">
        <v>8413078</v>
      </c>
      <c r="E834">
        <v>2.5676000000000001</v>
      </c>
      <c r="F834">
        <v>0</v>
      </c>
      <c r="G834">
        <v>0</v>
      </c>
      <c r="H834">
        <v>0</v>
      </c>
      <c r="I834" t="s">
        <v>71</v>
      </c>
      <c r="J834">
        <v>0</v>
      </c>
      <c r="K834">
        <v>2.5676000000000001</v>
      </c>
      <c r="L834">
        <v>0</v>
      </c>
      <c r="M834">
        <v>0</v>
      </c>
      <c r="N834">
        <v>2.5676000000000001</v>
      </c>
      <c r="O834" t="s">
        <v>71</v>
      </c>
      <c r="P834">
        <v>0</v>
      </c>
      <c r="Q834" t="s">
        <v>71</v>
      </c>
      <c r="R834">
        <v>0</v>
      </c>
      <c r="S834" t="s">
        <v>71</v>
      </c>
      <c r="T834">
        <v>0</v>
      </c>
      <c r="U834" t="s">
        <v>71</v>
      </c>
      <c r="V834">
        <v>0</v>
      </c>
      <c r="W834" t="s">
        <v>71</v>
      </c>
      <c r="X834">
        <v>0</v>
      </c>
      <c r="Y834">
        <v>2.5676000000000001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33</v>
      </c>
      <c r="AF834">
        <v>65</v>
      </c>
      <c r="AG834">
        <v>49</v>
      </c>
      <c r="AH834">
        <v>0</v>
      </c>
      <c r="AI834">
        <v>0</v>
      </c>
      <c r="AK834" t="s">
        <v>272</v>
      </c>
      <c r="AM834">
        <v>200000</v>
      </c>
      <c r="AN834" t="s">
        <v>73</v>
      </c>
      <c r="AO834">
        <v>1</v>
      </c>
      <c r="AP834">
        <v>0</v>
      </c>
      <c r="AQ834">
        <v>16666.666666666668</v>
      </c>
      <c r="AR834" t="s">
        <v>9</v>
      </c>
      <c r="AS834" t="s">
        <v>75</v>
      </c>
      <c r="AX834" t="s">
        <v>76</v>
      </c>
      <c r="AY834" t="s">
        <v>71</v>
      </c>
      <c r="AZ834">
        <v>0</v>
      </c>
      <c r="BA834" t="s">
        <v>71</v>
      </c>
      <c r="BB834">
        <v>0</v>
      </c>
      <c r="BD834">
        <v>2.5676000000000001</v>
      </c>
    </row>
    <row r="835" spans="1:56" x14ac:dyDescent="0.15">
      <c r="A835" s="4" t="str">
        <f>HYPERLINK("https://ibp.a2mac1.com/costing(costing:projects/details/9760/part/8413212)","PCB 3")</f>
        <v>PCB 3</v>
      </c>
      <c r="B835">
        <v>8413212</v>
      </c>
      <c r="C835">
        <v>8413078</v>
      </c>
      <c r="E835">
        <v>4.0663</v>
      </c>
      <c r="F835">
        <v>0</v>
      </c>
      <c r="G835">
        <v>0</v>
      </c>
      <c r="H835">
        <v>0</v>
      </c>
      <c r="I835" t="s">
        <v>71</v>
      </c>
      <c r="J835">
        <v>0</v>
      </c>
      <c r="K835">
        <v>4.0663</v>
      </c>
      <c r="L835">
        <v>0</v>
      </c>
      <c r="M835">
        <v>0</v>
      </c>
      <c r="N835">
        <v>4.0663</v>
      </c>
      <c r="O835" t="s">
        <v>71</v>
      </c>
      <c r="P835">
        <v>0</v>
      </c>
      <c r="Q835" t="s">
        <v>71</v>
      </c>
      <c r="R835">
        <v>0</v>
      </c>
      <c r="S835" t="s">
        <v>71</v>
      </c>
      <c r="T835">
        <v>0</v>
      </c>
      <c r="U835" t="s">
        <v>71</v>
      </c>
      <c r="V835">
        <v>0</v>
      </c>
      <c r="W835" t="s">
        <v>71</v>
      </c>
      <c r="X835">
        <v>0</v>
      </c>
      <c r="Y835">
        <v>4.0663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15</v>
      </c>
      <c r="AF835">
        <v>62</v>
      </c>
      <c r="AG835">
        <v>49</v>
      </c>
      <c r="AH835">
        <v>0</v>
      </c>
      <c r="AI835">
        <v>0</v>
      </c>
      <c r="AK835" t="s">
        <v>272</v>
      </c>
      <c r="AM835">
        <v>200000</v>
      </c>
      <c r="AN835" t="s">
        <v>73</v>
      </c>
      <c r="AO835">
        <v>1</v>
      </c>
      <c r="AP835">
        <v>0</v>
      </c>
      <c r="AQ835">
        <v>16666.666666666668</v>
      </c>
      <c r="AR835" t="s">
        <v>9</v>
      </c>
      <c r="AS835" t="s">
        <v>75</v>
      </c>
      <c r="AX835" t="s">
        <v>76</v>
      </c>
      <c r="AY835" t="s">
        <v>71</v>
      </c>
      <c r="AZ835">
        <v>0</v>
      </c>
      <c r="BA835" t="s">
        <v>71</v>
      </c>
      <c r="BB835">
        <v>0</v>
      </c>
      <c r="BD835">
        <v>4.0663</v>
      </c>
    </row>
    <row r="836" spans="1:56" x14ac:dyDescent="0.15">
      <c r="A836" s="4" t="str">
        <f>HYPERLINK("https://ibp.a2mac1.com/costing(costing:projects/details/9760/part/8413213)","PCB 4")</f>
        <v>PCB 4</v>
      </c>
      <c r="B836">
        <v>8413213</v>
      </c>
      <c r="C836">
        <v>8413078</v>
      </c>
      <c r="E836">
        <v>2.7010000000000001</v>
      </c>
      <c r="F836">
        <v>0</v>
      </c>
      <c r="G836">
        <v>0</v>
      </c>
      <c r="H836">
        <v>0</v>
      </c>
      <c r="I836" t="s">
        <v>71</v>
      </c>
      <c r="J836">
        <v>0</v>
      </c>
      <c r="K836">
        <v>2.7010000000000001</v>
      </c>
      <c r="L836">
        <v>0</v>
      </c>
      <c r="M836">
        <v>0</v>
      </c>
      <c r="N836">
        <v>2.7010000000000001</v>
      </c>
      <c r="O836" t="s">
        <v>71</v>
      </c>
      <c r="P836">
        <v>0</v>
      </c>
      <c r="Q836" t="s">
        <v>71</v>
      </c>
      <c r="R836">
        <v>0</v>
      </c>
      <c r="S836" t="s">
        <v>71</v>
      </c>
      <c r="T836">
        <v>0</v>
      </c>
      <c r="U836" t="s">
        <v>71</v>
      </c>
      <c r="V836">
        <v>0</v>
      </c>
      <c r="W836" t="s">
        <v>71</v>
      </c>
      <c r="X836">
        <v>0</v>
      </c>
      <c r="Y836">
        <v>2.7010000000000001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28</v>
      </c>
      <c r="AF836">
        <v>55</v>
      </c>
      <c r="AG836">
        <v>58</v>
      </c>
      <c r="AH836">
        <v>1.96</v>
      </c>
      <c r="AI836">
        <v>0</v>
      </c>
      <c r="AK836" t="s">
        <v>272</v>
      </c>
      <c r="AM836">
        <v>200000</v>
      </c>
      <c r="AN836" t="s">
        <v>73</v>
      </c>
      <c r="AO836">
        <v>1</v>
      </c>
      <c r="AP836">
        <v>0</v>
      </c>
      <c r="AQ836">
        <v>16666.666666666668</v>
      </c>
      <c r="AR836" t="s">
        <v>9</v>
      </c>
      <c r="AS836" t="s">
        <v>75</v>
      </c>
      <c r="AX836" t="s">
        <v>76</v>
      </c>
      <c r="AY836" t="s">
        <v>71</v>
      </c>
      <c r="AZ836">
        <v>0</v>
      </c>
      <c r="BA836" t="s">
        <v>71</v>
      </c>
      <c r="BB836">
        <v>0</v>
      </c>
      <c r="BD836">
        <v>2.7010000000000001</v>
      </c>
    </row>
    <row r="837" spans="1:56" x14ac:dyDescent="0.15">
      <c r="A837" s="4" t="str">
        <f>HYPERLINK("https://ibp.a2mac1.com/costing(costing:projects/details/9760/part/8413214)","PCB 5")</f>
        <v>PCB 5</v>
      </c>
      <c r="B837">
        <v>8413214</v>
      </c>
      <c r="C837">
        <v>8413078</v>
      </c>
      <c r="E837">
        <v>2.9275000000000002</v>
      </c>
      <c r="F837">
        <v>0</v>
      </c>
      <c r="G837">
        <v>0</v>
      </c>
      <c r="H837">
        <v>0</v>
      </c>
      <c r="I837" t="s">
        <v>71</v>
      </c>
      <c r="J837">
        <v>0</v>
      </c>
      <c r="K837">
        <v>2.9275000000000002</v>
      </c>
      <c r="L837">
        <v>0</v>
      </c>
      <c r="M837">
        <v>0</v>
      </c>
      <c r="N837">
        <v>2.9275000000000002</v>
      </c>
      <c r="O837" t="s">
        <v>71</v>
      </c>
      <c r="P837">
        <v>0</v>
      </c>
      <c r="Q837" t="s">
        <v>71</v>
      </c>
      <c r="R837">
        <v>0</v>
      </c>
      <c r="S837" t="s">
        <v>71</v>
      </c>
      <c r="T837">
        <v>0</v>
      </c>
      <c r="U837" t="s">
        <v>71</v>
      </c>
      <c r="V837">
        <v>0</v>
      </c>
      <c r="W837" t="s">
        <v>71</v>
      </c>
      <c r="X837">
        <v>0</v>
      </c>
      <c r="Y837">
        <v>2.9275000000000002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25</v>
      </c>
      <c r="AF837">
        <v>49</v>
      </c>
      <c r="AG837">
        <v>68</v>
      </c>
      <c r="AH837">
        <v>0</v>
      </c>
      <c r="AI837">
        <v>0</v>
      </c>
      <c r="AK837" t="s">
        <v>272</v>
      </c>
      <c r="AM837">
        <v>200000</v>
      </c>
      <c r="AN837" t="s">
        <v>73</v>
      </c>
      <c r="AO837">
        <v>1</v>
      </c>
      <c r="AP837">
        <v>0</v>
      </c>
      <c r="AQ837">
        <v>16666.666666666668</v>
      </c>
      <c r="AR837" t="s">
        <v>9</v>
      </c>
      <c r="AS837" t="s">
        <v>75</v>
      </c>
      <c r="AX837" t="s">
        <v>76</v>
      </c>
      <c r="AY837" t="s">
        <v>71</v>
      </c>
      <c r="AZ837">
        <v>0</v>
      </c>
      <c r="BA837" t="s">
        <v>71</v>
      </c>
      <c r="BB837">
        <v>0</v>
      </c>
      <c r="BD837">
        <v>2.9275000000000002</v>
      </c>
    </row>
    <row r="838" spans="1:56" x14ac:dyDescent="0.15">
      <c r="A838" s="4" t="str">
        <f>HYPERLINK("https://ibp.a2mac1.com/costing(costing:projects/details/9760/part/8413215)","PCB 6")</f>
        <v>PCB 6</v>
      </c>
      <c r="B838">
        <v>8413215</v>
      </c>
      <c r="C838">
        <v>8413078</v>
      </c>
      <c r="E838">
        <v>30.710999999999999</v>
      </c>
      <c r="F838">
        <v>0</v>
      </c>
      <c r="G838">
        <v>0</v>
      </c>
      <c r="H838">
        <v>0</v>
      </c>
      <c r="I838" t="s">
        <v>71</v>
      </c>
      <c r="J838">
        <v>0</v>
      </c>
      <c r="K838">
        <v>30.710999999999999</v>
      </c>
      <c r="L838">
        <v>0</v>
      </c>
      <c r="M838">
        <v>0</v>
      </c>
      <c r="N838">
        <v>30.710999999999999</v>
      </c>
      <c r="O838" t="s">
        <v>71</v>
      </c>
      <c r="P838">
        <v>0</v>
      </c>
      <c r="Q838" t="s">
        <v>71</v>
      </c>
      <c r="R838">
        <v>0</v>
      </c>
      <c r="S838" t="s">
        <v>71</v>
      </c>
      <c r="T838">
        <v>0</v>
      </c>
      <c r="U838" t="s">
        <v>71</v>
      </c>
      <c r="V838">
        <v>0</v>
      </c>
      <c r="W838" t="s">
        <v>71</v>
      </c>
      <c r="X838">
        <v>0</v>
      </c>
      <c r="Y838">
        <v>30.710999999999999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43</v>
      </c>
      <c r="AF838">
        <v>139</v>
      </c>
      <c r="AG838">
        <v>190</v>
      </c>
      <c r="AH838">
        <v>1.85</v>
      </c>
      <c r="AI838">
        <v>0</v>
      </c>
      <c r="AK838" t="s">
        <v>272</v>
      </c>
      <c r="AM838">
        <v>200000</v>
      </c>
      <c r="AN838" t="s">
        <v>73</v>
      </c>
      <c r="AO838">
        <v>1</v>
      </c>
      <c r="AP838">
        <v>0</v>
      </c>
      <c r="AQ838">
        <v>16666.666666666668</v>
      </c>
      <c r="AR838" t="s">
        <v>9</v>
      </c>
      <c r="AS838" t="s">
        <v>75</v>
      </c>
      <c r="AX838" t="s">
        <v>76</v>
      </c>
      <c r="AY838" t="s">
        <v>71</v>
      </c>
      <c r="AZ838">
        <v>0</v>
      </c>
      <c r="BA838" t="s">
        <v>71</v>
      </c>
      <c r="BB838">
        <v>0</v>
      </c>
      <c r="BD838">
        <v>30.710999999999999</v>
      </c>
    </row>
    <row r="839" spans="1:56" x14ac:dyDescent="0.15">
      <c r="A839" s="4" t="str">
        <f>HYPERLINK("https://ibp.a2mac1.com/costing(costing:projects/details/9760/part/8413216)","PCB 7")</f>
        <v>PCB 7</v>
      </c>
      <c r="B839">
        <v>8413216</v>
      </c>
      <c r="C839">
        <v>8413078</v>
      </c>
      <c r="E839">
        <v>3.4599000000000002</v>
      </c>
      <c r="F839">
        <v>0</v>
      </c>
      <c r="G839">
        <v>0</v>
      </c>
      <c r="H839">
        <v>0</v>
      </c>
      <c r="I839" t="s">
        <v>71</v>
      </c>
      <c r="J839">
        <v>0</v>
      </c>
      <c r="K839">
        <v>3.4599000000000002</v>
      </c>
      <c r="L839">
        <v>0</v>
      </c>
      <c r="M839">
        <v>0</v>
      </c>
      <c r="N839">
        <v>3.4599000000000002</v>
      </c>
      <c r="O839" t="s">
        <v>71</v>
      </c>
      <c r="P839">
        <v>0</v>
      </c>
      <c r="Q839" t="s">
        <v>71</v>
      </c>
      <c r="R839">
        <v>0</v>
      </c>
      <c r="S839" t="s">
        <v>71</v>
      </c>
      <c r="T839">
        <v>0</v>
      </c>
      <c r="U839" t="s">
        <v>71</v>
      </c>
      <c r="V839">
        <v>0</v>
      </c>
      <c r="W839" t="s">
        <v>71</v>
      </c>
      <c r="X839">
        <v>0</v>
      </c>
      <c r="Y839">
        <v>3.4599000000000002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14</v>
      </c>
      <c r="AF839">
        <v>41</v>
      </c>
      <c r="AG839">
        <v>51</v>
      </c>
      <c r="AH839">
        <v>0</v>
      </c>
      <c r="AI839">
        <v>0</v>
      </c>
      <c r="AK839" t="s">
        <v>272</v>
      </c>
      <c r="AM839">
        <v>200000</v>
      </c>
      <c r="AN839" t="s">
        <v>73</v>
      </c>
      <c r="AO839">
        <v>1</v>
      </c>
      <c r="AP839">
        <v>0</v>
      </c>
      <c r="AQ839">
        <v>16666.666666666668</v>
      </c>
      <c r="AR839" t="s">
        <v>9</v>
      </c>
      <c r="AS839" t="s">
        <v>75</v>
      </c>
      <c r="AX839" t="s">
        <v>76</v>
      </c>
      <c r="AY839" t="s">
        <v>71</v>
      </c>
      <c r="AZ839">
        <v>0</v>
      </c>
      <c r="BA839" t="s">
        <v>71</v>
      </c>
      <c r="BB839">
        <v>0</v>
      </c>
      <c r="BD839">
        <v>3.4599000000000002</v>
      </c>
    </row>
    <row r="840" spans="1:56" x14ac:dyDescent="0.15">
      <c r="A840" s="4" t="str">
        <f>HYPERLINK("https://ibp.a2mac1.com/costing(costing:projects/details/9760/part/8413217)","PCB 8")</f>
        <v>PCB 8</v>
      </c>
      <c r="B840">
        <v>8413217</v>
      </c>
      <c r="C840">
        <v>8413078</v>
      </c>
      <c r="E840">
        <v>29.675999999999998</v>
      </c>
      <c r="F840">
        <v>0</v>
      </c>
      <c r="G840">
        <v>0</v>
      </c>
      <c r="H840">
        <v>0</v>
      </c>
      <c r="I840" t="s">
        <v>71</v>
      </c>
      <c r="J840">
        <v>0</v>
      </c>
      <c r="K840">
        <v>29.675999999999998</v>
      </c>
      <c r="L840">
        <v>0</v>
      </c>
      <c r="M840">
        <v>0</v>
      </c>
      <c r="N840">
        <v>29.675999999999998</v>
      </c>
      <c r="O840" t="s">
        <v>71</v>
      </c>
      <c r="P840">
        <v>0</v>
      </c>
      <c r="Q840" t="s">
        <v>71</v>
      </c>
      <c r="R840">
        <v>0</v>
      </c>
      <c r="S840" t="s">
        <v>71</v>
      </c>
      <c r="T840">
        <v>0</v>
      </c>
      <c r="U840" t="s">
        <v>71</v>
      </c>
      <c r="V840">
        <v>0</v>
      </c>
      <c r="W840" t="s">
        <v>71</v>
      </c>
      <c r="X840">
        <v>0</v>
      </c>
      <c r="Y840">
        <v>29.675999999999998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65</v>
      </c>
      <c r="AF840">
        <v>146</v>
      </c>
      <c r="AG840">
        <v>88</v>
      </c>
      <c r="AH840">
        <v>1.79</v>
      </c>
      <c r="AI840">
        <v>0</v>
      </c>
      <c r="AK840" t="s">
        <v>272</v>
      </c>
      <c r="AM840">
        <v>200000</v>
      </c>
      <c r="AN840" t="s">
        <v>73</v>
      </c>
      <c r="AO840">
        <v>1</v>
      </c>
      <c r="AP840">
        <v>0</v>
      </c>
      <c r="AQ840">
        <v>16666.666666666668</v>
      </c>
      <c r="AR840" t="s">
        <v>9</v>
      </c>
      <c r="AS840" t="s">
        <v>75</v>
      </c>
      <c r="AX840" t="s">
        <v>76</v>
      </c>
      <c r="AY840" t="s">
        <v>71</v>
      </c>
      <c r="AZ840">
        <v>0</v>
      </c>
      <c r="BA840" t="s">
        <v>71</v>
      </c>
      <c r="BB840">
        <v>0</v>
      </c>
      <c r="BD840">
        <v>29.675999999999998</v>
      </c>
    </row>
    <row r="841" spans="1:56" x14ac:dyDescent="0.15">
      <c r="A841" s="4" t="str">
        <f>HYPERLINK("https://ibp.a2mac1.com/costing(costing:projects/details/9760/part/8413333)","Bracket 1")</f>
        <v>Bracket 1</v>
      </c>
      <c r="B841">
        <v>8413333</v>
      </c>
      <c r="C841">
        <v>8413218</v>
      </c>
      <c r="D841" t="s">
        <v>2755</v>
      </c>
      <c r="E841">
        <v>8.3409999999999998E-2</v>
      </c>
      <c r="F841">
        <v>0</v>
      </c>
      <c r="G841">
        <v>0</v>
      </c>
      <c r="H841">
        <v>0</v>
      </c>
      <c r="I841" t="s">
        <v>71</v>
      </c>
      <c r="J841">
        <v>0</v>
      </c>
      <c r="K841">
        <v>8.3409999999999998E-2</v>
      </c>
      <c r="L841">
        <v>0</v>
      </c>
      <c r="M841">
        <v>0</v>
      </c>
      <c r="N841">
        <v>8.3409999999999998E-2</v>
      </c>
      <c r="O841" t="s">
        <v>71</v>
      </c>
      <c r="P841">
        <v>0</v>
      </c>
      <c r="Q841" t="s">
        <v>71</v>
      </c>
      <c r="R841">
        <v>0</v>
      </c>
      <c r="S841" t="s">
        <v>71</v>
      </c>
      <c r="T841">
        <v>0</v>
      </c>
      <c r="U841" t="s">
        <v>71</v>
      </c>
      <c r="V841">
        <v>0</v>
      </c>
      <c r="W841" t="s">
        <v>71</v>
      </c>
      <c r="X841">
        <v>0</v>
      </c>
      <c r="Y841">
        <v>8.3409999999999998E-2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36</v>
      </c>
      <c r="AF841">
        <v>11</v>
      </c>
      <c r="AG841">
        <v>11</v>
      </c>
      <c r="AH841">
        <v>0</v>
      </c>
      <c r="AI841">
        <v>2E-3</v>
      </c>
      <c r="AK841" t="s">
        <v>272</v>
      </c>
      <c r="AM841">
        <v>200000</v>
      </c>
      <c r="AN841" t="s">
        <v>73</v>
      </c>
      <c r="AO841">
        <v>1</v>
      </c>
      <c r="AP841">
        <v>0</v>
      </c>
      <c r="AQ841">
        <v>16666.666666666668</v>
      </c>
      <c r="AR841" t="s">
        <v>9</v>
      </c>
      <c r="AS841" t="s">
        <v>75</v>
      </c>
      <c r="AX841" t="s">
        <v>76</v>
      </c>
      <c r="AY841" t="s">
        <v>71</v>
      </c>
      <c r="AZ841">
        <v>0</v>
      </c>
      <c r="BA841" t="s">
        <v>71</v>
      </c>
      <c r="BB841">
        <v>0</v>
      </c>
      <c r="BD841">
        <v>8.3409999999999998E-2</v>
      </c>
    </row>
    <row r="842" spans="1:56" x14ac:dyDescent="0.15">
      <c r="A842" s="4" t="str">
        <f>HYPERLINK("https://ibp.a2mac1.com/costing(costing:projects/details/9760/part/8413334)","Bracket 2")</f>
        <v>Bracket 2</v>
      </c>
      <c r="B842">
        <v>8413334</v>
      </c>
      <c r="C842">
        <v>8413218</v>
      </c>
      <c r="D842" t="s">
        <v>2755</v>
      </c>
      <c r="E842">
        <v>8.7929999999999994E-2</v>
      </c>
      <c r="F842">
        <v>0</v>
      </c>
      <c r="G842">
        <v>0</v>
      </c>
      <c r="H842">
        <v>0</v>
      </c>
      <c r="I842" t="s">
        <v>71</v>
      </c>
      <c r="J842">
        <v>0</v>
      </c>
      <c r="K842">
        <v>8.7929999999999994E-2</v>
      </c>
      <c r="L842">
        <v>0</v>
      </c>
      <c r="M842">
        <v>0</v>
      </c>
      <c r="N842">
        <v>8.7929999999999994E-2</v>
      </c>
      <c r="O842" t="s">
        <v>71</v>
      </c>
      <c r="P842">
        <v>0</v>
      </c>
      <c r="Q842" t="s">
        <v>71</v>
      </c>
      <c r="R842">
        <v>0</v>
      </c>
      <c r="S842" t="s">
        <v>71</v>
      </c>
      <c r="T842">
        <v>0</v>
      </c>
      <c r="U842" t="s">
        <v>71</v>
      </c>
      <c r="V842">
        <v>0</v>
      </c>
      <c r="W842" t="s">
        <v>71</v>
      </c>
      <c r="X842">
        <v>0</v>
      </c>
      <c r="Y842">
        <v>8.7929999999999994E-2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9</v>
      </c>
      <c r="AF842">
        <v>107</v>
      </c>
      <c r="AG842">
        <v>12</v>
      </c>
      <c r="AH842">
        <v>0</v>
      </c>
      <c r="AI842">
        <v>6.0000000000000001E-3</v>
      </c>
      <c r="AK842" t="s">
        <v>272</v>
      </c>
      <c r="AM842">
        <v>200000</v>
      </c>
      <c r="AN842" t="s">
        <v>73</v>
      </c>
      <c r="AO842">
        <v>1</v>
      </c>
      <c r="AP842">
        <v>0</v>
      </c>
      <c r="AQ842">
        <v>16666.666666666668</v>
      </c>
      <c r="AR842" t="s">
        <v>9</v>
      </c>
      <c r="AS842" t="s">
        <v>75</v>
      </c>
      <c r="AX842" t="s">
        <v>76</v>
      </c>
      <c r="AY842" t="s">
        <v>71</v>
      </c>
      <c r="AZ842">
        <v>0</v>
      </c>
      <c r="BA842" t="s">
        <v>71</v>
      </c>
      <c r="BB842">
        <v>0</v>
      </c>
      <c r="BD842">
        <v>8.7929999999999994E-2</v>
      </c>
    </row>
    <row r="843" spans="1:56" x14ac:dyDescent="0.15">
      <c r="A843" s="4" t="str">
        <f>HYPERLINK("https://ibp.a2mac1.com/costing(costing:projects/details/9760/part/8413335)","Bracket 3")</f>
        <v>Bracket 3</v>
      </c>
      <c r="B843">
        <v>8413335</v>
      </c>
      <c r="C843">
        <v>8413218</v>
      </c>
      <c r="D843" t="s">
        <v>2755</v>
      </c>
      <c r="E843">
        <v>0.17019999999999999</v>
      </c>
      <c r="F843">
        <v>0</v>
      </c>
      <c r="G843">
        <v>0</v>
      </c>
      <c r="H843">
        <v>0</v>
      </c>
      <c r="I843" t="s">
        <v>71</v>
      </c>
      <c r="J843">
        <v>0</v>
      </c>
      <c r="K843">
        <v>0.17019999999999999</v>
      </c>
      <c r="L843">
        <v>0</v>
      </c>
      <c r="M843">
        <v>0</v>
      </c>
      <c r="N843">
        <v>0.17019999999999999</v>
      </c>
      <c r="O843" t="s">
        <v>71</v>
      </c>
      <c r="P843">
        <v>0</v>
      </c>
      <c r="Q843" t="s">
        <v>71</v>
      </c>
      <c r="R843">
        <v>0</v>
      </c>
      <c r="S843" t="s">
        <v>71</v>
      </c>
      <c r="T843">
        <v>0</v>
      </c>
      <c r="U843" t="s">
        <v>71</v>
      </c>
      <c r="V843">
        <v>0</v>
      </c>
      <c r="W843" t="s">
        <v>71</v>
      </c>
      <c r="X843">
        <v>0</v>
      </c>
      <c r="Y843">
        <v>0.17019999999999999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8</v>
      </c>
      <c r="AF843">
        <v>69</v>
      </c>
      <c r="AG843">
        <v>14</v>
      </c>
      <c r="AH843">
        <v>0</v>
      </c>
      <c r="AI843">
        <v>3.5000000000000001E-3</v>
      </c>
      <c r="AK843" t="s">
        <v>272</v>
      </c>
      <c r="AM843">
        <v>400000</v>
      </c>
      <c r="AN843" t="s">
        <v>73</v>
      </c>
      <c r="AO843">
        <v>2</v>
      </c>
      <c r="AP843">
        <v>0</v>
      </c>
      <c r="AQ843">
        <v>33333.333333333336</v>
      </c>
      <c r="AR843" t="s">
        <v>9</v>
      </c>
      <c r="AS843" t="s">
        <v>75</v>
      </c>
      <c r="AX843" t="s">
        <v>76</v>
      </c>
      <c r="AY843" t="s">
        <v>71</v>
      </c>
      <c r="AZ843">
        <v>0</v>
      </c>
      <c r="BA843" t="s">
        <v>71</v>
      </c>
      <c r="BB843">
        <v>0</v>
      </c>
      <c r="BD843">
        <v>8.5099999999999995E-2</v>
      </c>
    </row>
    <row r="844" spans="1:56" x14ac:dyDescent="0.15">
      <c r="A844" s="4" t="str">
        <f>HYPERLINK("https://ibp.a2mac1.com/costing(costing:projects/details/9760/part/8413336)","Connector Bracket 1")</f>
        <v>Connector Bracket 1</v>
      </c>
      <c r="B844">
        <v>8413336</v>
      </c>
      <c r="C844">
        <v>8413218</v>
      </c>
      <c r="D844" t="s">
        <v>2756</v>
      </c>
      <c r="E844">
        <v>0.11423999999999999</v>
      </c>
      <c r="F844">
        <v>0</v>
      </c>
      <c r="G844">
        <v>0</v>
      </c>
      <c r="H844">
        <v>0</v>
      </c>
      <c r="I844" t="s">
        <v>71</v>
      </c>
      <c r="J844">
        <v>0</v>
      </c>
      <c r="K844">
        <v>0.11423999999999999</v>
      </c>
      <c r="L844">
        <v>0</v>
      </c>
      <c r="M844">
        <v>0</v>
      </c>
      <c r="N844">
        <v>0.11423999999999999</v>
      </c>
      <c r="O844" t="s">
        <v>71</v>
      </c>
      <c r="P844">
        <v>0</v>
      </c>
      <c r="Q844" t="s">
        <v>71</v>
      </c>
      <c r="R844">
        <v>0</v>
      </c>
      <c r="S844" t="s">
        <v>71</v>
      </c>
      <c r="T844">
        <v>0</v>
      </c>
      <c r="U844" t="s">
        <v>71</v>
      </c>
      <c r="V844">
        <v>0</v>
      </c>
      <c r="W844" t="s">
        <v>71</v>
      </c>
      <c r="X844">
        <v>0</v>
      </c>
      <c r="Y844">
        <v>0.11423999999999999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32</v>
      </c>
      <c r="AF844">
        <v>27</v>
      </c>
      <c r="AG844">
        <v>19</v>
      </c>
      <c r="AH844">
        <v>0</v>
      </c>
      <c r="AI844">
        <v>3.0000000000000001E-3</v>
      </c>
      <c r="AK844" t="s">
        <v>272</v>
      </c>
      <c r="AM844">
        <v>200000</v>
      </c>
      <c r="AN844" t="s">
        <v>73</v>
      </c>
      <c r="AO844">
        <v>1</v>
      </c>
      <c r="AP844">
        <v>0</v>
      </c>
      <c r="AQ844">
        <v>16666.666666666668</v>
      </c>
      <c r="AR844" t="s">
        <v>9</v>
      </c>
      <c r="AS844" t="s">
        <v>75</v>
      </c>
      <c r="AX844" t="s">
        <v>76</v>
      </c>
      <c r="AY844" t="s">
        <v>71</v>
      </c>
      <c r="AZ844">
        <v>0</v>
      </c>
      <c r="BA844" t="s">
        <v>71</v>
      </c>
      <c r="BB844">
        <v>0</v>
      </c>
      <c r="BD844">
        <v>0.11423999999999999</v>
      </c>
    </row>
    <row r="845" spans="1:56" x14ac:dyDescent="0.15">
      <c r="A845" s="4" t="str">
        <f>HYPERLINK("https://ibp.a2mac1.com/costing(costing:projects/details/9760/part/8413337)","PCB Bracket 1")</f>
        <v>PCB Bracket 1</v>
      </c>
      <c r="B845">
        <v>8413337</v>
      </c>
      <c r="C845">
        <v>8413218</v>
      </c>
      <c r="D845" t="s">
        <v>2755</v>
      </c>
      <c r="E845">
        <v>0.24931</v>
      </c>
      <c r="F845">
        <v>0</v>
      </c>
      <c r="G845">
        <v>0</v>
      </c>
      <c r="H845">
        <v>0</v>
      </c>
      <c r="I845" t="s">
        <v>71</v>
      </c>
      <c r="J845">
        <v>0</v>
      </c>
      <c r="K845">
        <v>0.24931</v>
      </c>
      <c r="L845">
        <v>0</v>
      </c>
      <c r="M845">
        <v>0</v>
      </c>
      <c r="N845">
        <v>0.24931</v>
      </c>
      <c r="O845" t="s">
        <v>71</v>
      </c>
      <c r="P845">
        <v>0</v>
      </c>
      <c r="Q845" t="s">
        <v>71</v>
      </c>
      <c r="R845">
        <v>0</v>
      </c>
      <c r="S845" t="s">
        <v>71</v>
      </c>
      <c r="T845">
        <v>0</v>
      </c>
      <c r="U845" t="s">
        <v>71</v>
      </c>
      <c r="V845">
        <v>0</v>
      </c>
      <c r="W845" t="s">
        <v>71</v>
      </c>
      <c r="X845">
        <v>0</v>
      </c>
      <c r="Y845">
        <v>0.24931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214</v>
      </c>
      <c r="AF845">
        <v>146</v>
      </c>
      <c r="AG845">
        <v>35</v>
      </c>
      <c r="AH845">
        <v>0</v>
      </c>
      <c r="AI845">
        <v>0.14899999999999999</v>
      </c>
      <c r="AK845" t="s">
        <v>272</v>
      </c>
      <c r="AM845">
        <v>200000</v>
      </c>
      <c r="AN845" t="s">
        <v>73</v>
      </c>
      <c r="AO845">
        <v>1</v>
      </c>
      <c r="AP845">
        <v>0</v>
      </c>
      <c r="AQ845">
        <v>16666.666666666668</v>
      </c>
      <c r="AR845" t="s">
        <v>9</v>
      </c>
      <c r="AS845" t="s">
        <v>75</v>
      </c>
      <c r="AX845" t="s">
        <v>76</v>
      </c>
      <c r="AY845" t="s">
        <v>71</v>
      </c>
      <c r="AZ845">
        <v>0</v>
      </c>
      <c r="BA845" t="s">
        <v>71</v>
      </c>
      <c r="BB845">
        <v>0</v>
      </c>
      <c r="BD845">
        <v>0.24931</v>
      </c>
    </row>
    <row r="846" spans="1:56" x14ac:dyDescent="0.15">
      <c r="A846" s="4" t="str">
        <f>HYPERLINK("https://ibp.a2mac1.com/costing(costing:projects/details/9760/part/8413338)","Transistor (or diode) Bracket 1")</f>
        <v>Transistor (or diode) Bracket 1</v>
      </c>
      <c r="B846">
        <v>8413338</v>
      </c>
      <c r="C846">
        <v>8413218</v>
      </c>
      <c r="D846" t="s">
        <v>2756</v>
      </c>
      <c r="E846">
        <v>0.24524000000000001</v>
      </c>
      <c r="F846">
        <v>0</v>
      </c>
      <c r="G846">
        <v>0</v>
      </c>
      <c r="H846">
        <v>0</v>
      </c>
      <c r="I846" t="s">
        <v>71</v>
      </c>
      <c r="J846">
        <v>0</v>
      </c>
      <c r="K846">
        <v>0.24524000000000001</v>
      </c>
      <c r="L846">
        <v>0</v>
      </c>
      <c r="M846">
        <v>0</v>
      </c>
      <c r="N846">
        <v>0.24524000000000001</v>
      </c>
      <c r="O846" t="s">
        <v>71</v>
      </c>
      <c r="P846">
        <v>0</v>
      </c>
      <c r="Q846" t="s">
        <v>71</v>
      </c>
      <c r="R846">
        <v>0</v>
      </c>
      <c r="S846" t="s">
        <v>71</v>
      </c>
      <c r="T846">
        <v>0</v>
      </c>
      <c r="U846" t="s">
        <v>71</v>
      </c>
      <c r="V846">
        <v>0</v>
      </c>
      <c r="W846" t="s">
        <v>71</v>
      </c>
      <c r="X846">
        <v>0</v>
      </c>
      <c r="Y846">
        <v>0.24524000000000001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9</v>
      </c>
      <c r="AF846">
        <v>74</v>
      </c>
      <c r="AG846">
        <v>38</v>
      </c>
      <c r="AH846">
        <v>0</v>
      </c>
      <c r="AI846">
        <v>4.0000000000000001E-3</v>
      </c>
      <c r="AK846" t="s">
        <v>272</v>
      </c>
      <c r="AM846">
        <v>400000</v>
      </c>
      <c r="AN846" t="s">
        <v>73</v>
      </c>
      <c r="AO846">
        <v>2</v>
      </c>
      <c r="AP846">
        <v>0</v>
      </c>
      <c r="AQ846">
        <v>33333.333333333336</v>
      </c>
      <c r="AR846" t="s">
        <v>9</v>
      </c>
      <c r="AS846" t="s">
        <v>75</v>
      </c>
      <c r="AX846" t="s">
        <v>76</v>
      </c>
      <c r="AY846" t="s">
        <v>71</v>
      </c>
      <c r="AZ846">
        <v>0</v>
      </c>
      <c r="BA846" t="s">
        <v>71</v>
      </c>
      <c r="BB846">
        <v>0</v>
      </c>
      <c r="BD846">
        <v>0.12262000000000001</v>
      </c>
    </row>
    <row r="847" spans="1:56" x14ac:dyDescent="0.15">
      <c r="A847" s="4" t="str">
        <f>HYPERLINK("https://ibp.a2mac1.com/costing(costing:projects/details/9760/part/8413339)","Transistor (or diode) Bracket 2")</f>
        <v>Transistor (or diode) Bracket 2</v>
      </c>
      <c r="B847">
        <v>8413339</v>
      </c>
      <c r="C847">
        <v>8413218</v>
      </c>
      <c r="D847" t="s">
        <v>2756</v>
      </c>
      <c r="E847">
        <v>0.14777000000000001</v>
      </c>
      <c r="F847">
        <v>0</v>
      </c>
      <c r="G847">
        <v>0</v>
      </c>
      <c r="H847">
        <v>0</v>
      </c>
      <c r="I847" t="s">
        <v>71</v>
      </c>
      <c r="J847">
        <v>0</v>
      </c>
      <c r="K847">
        <v>0.14777000000000001</v>
      </c>
      <c r="L847">
        <v>0</v>
      </c>
      <c r="M847">
        <v>0</v>
      </c>
      <c r="N847">
        <v>0.14777000000000001</v>
      </c>
      <c r="O847" t="s">
        <v>71</v>
      </c>
      <c r="P847">
        <v>0</v>
      </c>
      <c r="Q847" t="s">
        <v>71</v>
      </c>
      <c r="R847">
        <v>0</v>
      </c>
      <c r="S847" t="s">
        <v>71</v>
      </c>
      <c r="T847">
        <v>0</v>
      </c>
      <c r="U847" t="s">
        <v>71</v>
      </c>
      <c r="V847">
        <v>0</v>
      </c>
      <c r="W847" t="s">
        <v>71</v>
      </c>
      <c r="X847">
        <v>0</v>
      </c>
      <c r="Y847">
        <v>0.14777000000000001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9</v>
      </c>
      <c r="AF847">
        <v>110</v>
      </c>
      <c r="AG847">
        <v>37</v>
      </c>
      <c r="AH847">
        <v>0</v>
      </c>
      <c r="AI847">
        <v>7.0000000000000001E-3</v>
      </c>
      <c r="AK847" t="s">
        <v>272</v>
      </c>
      <c r="AM847">
        <v>200000</v>
      </c>
      <c r="AN847" t="s">
        <v>73</v>
      </c>
      <c r="AO847">
        <v>1</v>
      </c>
      <c r="AP847">
        <v>0</v>
      </c>
      <c r="AQ847">
        <v>16666.666666666668</v>
      </c>
      <c r="AR847" t="s">
        <v>9</v>
      </c>
      <c r="AS847" t="s">
        <v>75</v>
      </c>
      <c r="AX847" t="s">
        <v>76</v>
      </c>
      <c r="AY847" t="s">
        <v>71</v>
      </c>
      <c r="AZ847">
        <v>0</v>
      </c>
      <c r="BA847" t="s">
        <v>71</v>
      </c>
      <c r="BB847">
        <v>0</v>
      </c>
      <c r="BD847">
        <v>0.14777000000000001</v>
      </c>
    </row>
    <row r="848" spans="1:56" x14ac:dyDescent="0.15">
      <c r="A848" s="4" t="str">
        <f>HYPERLINK("https://ibp.a2mac1.com/costing(costing:projects/details/9760/part/8413340)","Transistor (or diode) Bracket 3")</f>
        <v>Transistor (or diode) Bracket 3</v>
      </c>
      <c r="B848">
        <v>8413340</v>
      </c>
      <c r="C848">
        <v>8413218</v>
      </c>
      <c r="D848" t="s">
        <v>2755</v>
      </c>
      <c r="E848">
        <v>8.7929999999999994E-2</v>
      </c>
      <c r="F848">
        <v>0</v>
      </c>
      <c r="G848">
        <v>0</v>
      </c>
      <c r="H848">
        <v>0</v>
      </c>
      <c r="I848" t="s">
        <v>71</v>
      </c>
      <c r="J848">
        <v>0</v>
      </c>
      <c r="K848">
        <v>8.7929999999999994E-2</v>
      </c>
      <c r="L848">
        <v>0</v>
      </c>
      <c r="M848">
        <v>0</v>
      </c>
      <c r="N848">
        <v>8.7929999999999994E-2</v>
      </c>
      <c r="O848" t="s">
        <v>71</v>
      </c>
      <c r="P848">
        <v>0</v>
      </c>
      <c r="Q848" t="s">
        <v>71</v>
      </c>
      <c r="R848">
        <v>0</v>
      </c>
      <c r="S848" t="s">
        <v>71</v>
      </c>
      <c r="T848">
        <v>0</v>
      </c>
      <c r="U848" t="s">
        <v>71</v>
      </c>
      <c r="V848">
        <v>0</v>
      </c>
      <c r="W848" t="s">
        <v>71</v>
      </c>
      <c r="X848">
        <v>0</v>
      </c>
      <c r="Y848">
        <v>8.7929999999999994E-2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28</v>
      </c>
      <c r="AF848">
        <v>29</v>
      </c>
      <c r="AG848">
        <v>8</v>
      </c>
      <c r="AH848">
        <v>0</v>
      </c>
      <c r="AI848">
        <v>6.0000000000000001E-3</v>
      </c>
      <c r="AK848" t="s">
        <v>272</v>
      </c>
      <c r="AM848">
        <v>200000</v>
      </c>
      <c r="AN848" t="s">
        <v>73</v>
      </c>
      <c r="AO848">
        <v>1</v>
      </c>
      <c r="AP848">
        <v>0</v>
      </c>
      <c r="AQ848">
        <v>16666.666666666668</v>
      </c>
      <c r="AR848" t="s">
        <v>9</v>
      </c>
      <c r="AS848" t="s">
        <v>75</v>
      </c>
      <c r="AX848" t="s">
        <v>76</v>
      </c>
      <c r="AY848" t="s">
        <v>71</v>
      </c>
      <c r="AZ848">
        <v>0</v>
      </c>
      <c r="BA848" t="s">
        <v>71</v>
      </c>
      <c r="BB848">
        <v>0</v>
      </c>
      <c r="BD848">
        <v>8.7929999999999994E-2</v>
      </c>
    </row>
    <row r="849" spans="1:56" x14ac:dyDescent="0.15">
      <c r="A849" s="4" t="str">
        <f>HYPERLINK("https://ibp.a2mac1.com/costing(costing:projects/details/9760/part/8413341)","Main Housing")</f>
        <v>Main Housing</v>
      </c>
      <c r="B849">
        <v>8413341</v>
      </c>
      <c r="C849">
        <v>8413219</v>
      </c>
      <c r="E849">
        <v>8.191490049285715</v>
      </c>
      <c r="F849">
        <v>0</v>
      </c>
      <c r="G849">
        <v>0</v>
      </c>
      <c r="H849">
        <v>0.34381183587142855</v>
      </c>
      <c r="I849" t="s">
        <v>176</v>
      </c>
      <c r="J849">
        <v>0.28843274821428572</v>
      </c>
      <c r="K849">
        <v>8.8237346333714282</v>
      </c>
      <c r="L849">
        <v>1.367999118928908</v>
      </c>
      <c r="M849">
        <v>8.2079947135734486</v>
      </c>
      <c r="N849">
        <v>17.031729346944875</v>
      </c>
      <c r="O849" t="s">
        <v>177</v>
      </c>
      <c r="P849">
        <v>0.52942407800228575</v>
      </c>
      <c r="Q849" t="s">
        <v>177</v>
      </c>
      <c r="R849">
        <v>0.4924796828144069</v>
      </c>
      <c r="S849" t="s">
        <v>178</v>
      </c>
      <c r="T849">
        <v>2.0438075216333851</v>
      </c>
      <c r="U849" t="s">
        <v>90</v>
      </c>
      <c r="V849">
        <v>0</v>
      </c>
      <c r="W849" t="s">
        <v>90</v>
      </c>
      <c r="X849">
        <v>0</v>
      </c>
      <c r="Y849">
        <v>20.097440629394953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357</v>
      </c>
      <c r="AF849">
        <v>393</v>
      </c>
      <c r="AG849">
        <v>74</v>
      </c>
      <c r="AH849">
        <v>0</v>
      </c>
      <c r="AI849">
        <v>3.2989999999999999</v>
      </c>
      <c r="AK849" t="s">
        <v>100</v>
      </c>
      <c r="AM849">
        <v>200000</v>
      </c>
      <c r="AN849" t="s">
        <v>97</v>
      </c>
      <c r="AO849">
        <v>1</v>
      </c>
      <c r="AP849">
        <v>0</v>
      </c>
      <c r="AQ849">
        <v>16666.666666666668</v>
      </c>
      <c r="AR849" t="s">
        <v>9</v>
      </c>
      <c r="AS849" t="s">
        <v>75</v>
      </c>
      <c r="AX849" t="s">
        <v>76</v>
      </c>
      <c r="AY849" t="s">
        <v>176</v>
      </c>
      <c r="AZ849">
        <v>0</v>
      </c>
      <c r="BA849" t="s">
        <v>176</v>
      </c>
      <c r="BB849">
        <v>0</v>
      </c>
    </row>
    <row r="850" spans="1:56" x14ac:dyDescent="0.15">
      <c r="A850" s="4" t="str">
        <f>HYPERLINK("https://ibp.a2mac1.com/costing(costing:projects/details/9760/part/8413342)","Top Lid")</f>
        <v>Top Lid</v>
      </c>
      <c r="B850">
        <v>8413342</v>
      </c>
      <c r="C850">
        <v>8413219</v>
      </c>
      <c r="D850" t="s">
        <v>2763</v>
      </c>
      <c r="E850">
        <v>2.0885899999999999</v>
      </c>
      <c r="F850">
        <v>0</v>
      </c>
      <c r="G850">
        <v>0</v>
      </c>
      <c r="H850">
        <v>0</v>
      </c>
      <c r="I850" t="s">
        <v>71</v>
      </c>
      <c r="J850">
        <v>0</v>
      </c>
      <c r="K850">
        <v>2.0885899999999999</v>
      </c>
      <c r="L850">
        <v>0</v>
      </c>
      <c r="M850">
        <v>0</v>
      </c>
      <c r="N850">
        <v>2.0885899999999999</v>
      </c>
      <c r="O850" t="s">
        <v>71</v>
      </c>
      <c r="P850">
        <v>0</v>
      </c>
      <c r="Q850" t="s">
        <v>71</v>
      </c>
      <c r="R850">
        <v>0</v>
      </c>
      <c r="S850" t="s">
        <v>71</v>
      </c>
      <c r="T850">
        <v>0</v>
      </c>
      <c r="U850" t="s">
        <v>71</v>
      </c>
      <c r="V850">
        <v>0</v>
      </c>
      <c r="W850" t="s">
        <v>71</v>
      </c>
      <c r="X850">
        <v>0</v>
      </c>
      <c r="Y850">
        <v>2.0885899999999999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321</v>
      </c>
      <c r="AF850">
        <v>320</v>
      </c>
      <c r="AG850">
        <v>16</v>
      </c>
      <c r="AH850">
        <v>0</v>
      </c>
      <c r="AI850">
        <v>0.39</v>
      </c>
      <c r="AK850" t="s">
        <v>272</v>
      </c>
      <c r="AM850">
        <v>200000</v>
      </c>
      <c r="AN850" t="s">
        <v>73</v>
      </c>
      <c r="AO850">
        <v>1</v>
      </c>
      <c r="AP850">
        <v>0</v>
      </c>
      <c r="AQ850">
        <v>16666.666666666668</v>
      </c>
      <c r="AR850" t="s">
        <v>9</v>
      </c>
      <c r="AS850" t="s">
        <v>75</v>
      </c>
      <c r="AX850" t="s">
        <v>76</v>
      </c>
      <c r="AY850" t="s">
        <v>71</v>
      </c>
      <c r="AZ850">
        <v>0</v>
      </c>
      <c r="BA850" t="s">
        <v>71</v>
      </c>
      <c r="BB850">
        <v>0</v>
      </c>
      <c r="BD850">
        <v>2.0885899999999999</v>
      </c>
    </row>
    <row r="851" spans="1:56" x14ac:dyDescent="0.15">
      <c r="A851" s="4" t="str">
        <f>HYPERLINK("https://ibp.a2mac1.com/costing(costing:projects/details/9760/part/8413343)","Insulation Sheet 1")</f>
        <v>Insulation Sheet 1</v>
      </c>
      <c r="B851">
        <v>8413343</v>
      </c>
      <c r="C851">
        <v>8413220</v>
      </c>
      <c r="E851">
        <v>9.5189999999999997E-2</v>
      </c>
      <c r="F851">
        <v>0</v>
      </c>
      <c r="G851">
        <v>0</v>
      </c>
      <c r="H851">
        <v>0</v>
      </c>
      <c r="I851" t="s">
        <v>71</v>
      </c>
      <c r="J851">
        <v>0</v>
      </c>
      <c r="K851">
        <v>9.5189999999999997E-2</v>
      </c>
      <c r="L851">
        <v>0</v>
      </c>
      <c r="M851">
        <v>0</v>
      </c>
      <c r="N851">
        <v>9.5189999999999997E-2</v>
      </c>
      <c r="O851" t="s">
        <v>71</v>
      </c>
      <c r="P851">
        <v>0</v>
      </c>
      <c r="Q851" t="s">
        <v>71</v>
      </c>
      <c r="R851">
        <v>0</v>
      </c>
      <c r="S851" t="s">
        <v>71</v>
      </c>
      <c r="T851">
        <v>0</v>
      </c>
      <c r="U851" t="s">
        <v>71</v>
      </c>
      <c r="V851">
        <v>0</v>
      </c>
      <c r="W851" t="s">
        <v>71</v>
      </c>
      <c r="X851">
        <v>0</v>
      </c>
      <c r="Y851">
        <v>9.5189999999999997E-2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0.3</v>
      </c>
      <c r="AF851">
        <v>163</v>
      </c>
      <c r="AG851">
        <v>73</v>
      </c>
      <c r="AH851">
        <v>0</v>
      </c>
      <c r="AI851">
        <v>3.0000000000000001E-3</v>
      </c>
      <c r="AK851" t="s">
        <v>272</v>
      </c>
      <c r="AM851">
        <v>200000</v>
      </c>
      <c r="AN851" t="s">
        <v>73</v>
      </c>
      <c r="AO851">
        <v>1</v>
      </c>
      <c r="AP851">
        <v>0</v>
      </c>
      <c r="AQ851">
        <v>16666.666666666668</v>
      </c>
      <c r="AR851" t="s">
        <v>9</v>
      </c>
      <c r="AS851" t="s">
        <v>75</v>
      </c>
      <c r="AX851" t="s">
        <v>76</v>
      </c>
      <c r="AY851" t="s">
        <v>71</v>
      </c>
      <c r="AZ851">
        <v>0</v>
      </c>
      <c r="BA851" t="s">
        <v>71</v>
      </c>
      <c r="BB851">
        <v>0</v>
      </c>
      <c r="BD851">
        <v>9.5189999999999997E-2</v>
      </c>
    </row>
    <row r="852" spans="1:56" x14ac:dyDescent="0.15">
      <c r="A852" s="4" t="str">
        <f>HYPERLINK("https://ibp.a2mac1.com/costing(costing:projects/details/9760/part/8413344)","Insulation Sheet 2")</f>
        <v>Insulation Sheet 2</v>
      </c>
      <c r="B852">
        <v>8413344</v>
      </c>
      <c r="C852">
        <v>8413220</v>
      </c>
      <c r="E852">
        <v>4.2340000000000003E-2</v>
      </c>
      <c r="F852">
        <v>0</v>
      </c>
      <c r="G852">
        <v>0</v>
      </c>
      <c r="H852">
        <v>0</v>
      </c>
      <c r="I852" t="s">
        <v>71</v>
      </c>
      <c r="J852">
        <v>0</v>
      </c>
      <c r="K852">
        <v>4.2340000000000003E-2</v>
      </c>
      <c r="L852">
        <v>0</v>
      </c>
      <c r="M852">
        <v>0</v>
      </c>
      <c r="N852">
        <v>4.2340000000000003E-2</v>
      </c>
      <c r="O852" t="s">
        <v>71</v>
      </c>
      <c r="P852">
        <v>0</v>
      </c>
      <c r="Q852" t="s">
        <v>71</v>
      </c>
      <c r="R852">
        <v>0</v>
      </c>
      <c r="S852" t="s">
        <v>71</v>
      </c>
      <c r="T852">
        <v>0</v>
      </c>
      <c r="U852" t="s">
        <v>71</v>
      </c>
      <c r="V852">
        <v>0</v>
      </c>
      <c r="W852" t="s">
        <v>71</v>
      </c>
      <c r="X852">
        <v>0</v>
      </c>
      <c r="Y852">
        <v>4.2340000000000003E-2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0.3</v>
      </c>
      <c r="AF852">
        <v>63</v>
      </c>
      <c r="AG852">
        <v>70</v>
      </c>
      <c r="AH852">
        <v>0</v>
      </c>
      <c r="AI852">
        <v>1E-3</v>
      </c>
      <c r="AK852" t="s">
        <v>272</v>
      </c>
      <c r="AM852">
        <v>200000</v>
      </c>
      <c r="AN852" t="s">
        <v>73</v>
      </c>
      <c r="AO852">
        <v>1</v>
      </c>
      <c r="AP852">
        <v>0</v>
      </c>
      <c r="AQ852">
        <v>16666.666666666668</v>
      </c>
      <c r="AR852" t="s">
        <v>9</v>
      </c>
      <c r="AS852" t="s">
        <v>75</v>
      </c>
      <c r="AX852" t="s">
        <v>76</v>
      </c>
      <c r="AY852" t="s">
        <v>71</v>
      </c>
      <c r="AZ852">
        <v>0</v>
      </c>
      <c r="BA852" t="s">
        <v>71</v>
      </c>
      <c r="BB852">
        <v>0</v>
      </c>
      <c r="BD852">
        <v>4.2340000000000003E-2</v>
      </c>
    </row>
    <row r="853" spans="1:56" x14ac:dyDescent="0.15">
      <c r="A853" s="4" t="str">
        <f>HYPERLINK("https://ibp.a2mac1.com/costing(costing:projects/details/9760/part/8413345)","Insulation Sheet 3")</f>
        <v>Insulation Sheet 3</v>
      </c>
      <c r="B853">
        <v>8413345</v>
      </c>
      <c r="C853">
        <v>8413220</v>
      </c>
      <c r="E853">
        <v>0.30742000000000003</v>
      </c>
      <c r="F853">
        <v>0</v>
      </c>
      <c r="G853">
        <v>0</v>
      </c>
      <c r="H853">
        <v>0</v>
      </c>
      <c r="I853" t="s">
        <v>71</v>
      </c>
      <c r="J853">
        <v>0</v>
      </c>
      <c r="K853">
        <v>0.30742000000000003</v>
      </c>
      <c r="L853">
        <v>0</v>
      </c>
      <c r="M853">
        <v>0</v>
      </c>
      <c r="N853">
        <v>0.30742000000000003</v>
      </c>
      <c r="O853" t="s">
        <v>71</v>
      </c>
      <c r="P853">
        <v>0</v>
      </c>
      <c r="Q853" t="s">
        <v>71</v>
      </c>
      <c r="R853">
        <v>0</v>
      </c>
      <c r="S853" t="s">
        <v>71</v>
      </c>
      <c r="T853">
        <v>0</v>
      </c>
      <c r="U853" t="s">
        <v>71</v>
      </c>
      <c r="V853">
        <v>0</v>
      </c>
      <c r="W853" t="s">
        <v>71</v>
      </c>
      <c r="X853">
        <v>0</v>
      </c>
      <c r="Y853">
        <v>0.30742000000000003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0.2</v>
      </c>
      <c r="AF853">
        <v>47</v>
      </c>
      <c r="AG853">
        <v>56</v>
      </c>
      <c r="AH853">
        <v>0</v>
      </c>
      <c r="AI853">
        <v>1E-3</v>
      </c>
      <c r="AK853" t="s">
        <v>272</v>
      </c>
      <c r="AM853">
        <v>200000</v>
      </c>
      <c r="AN853" t="s">
        <v>73</v>
      </c>
      <c r="AO853">
        <v>1</v>
      </c>
      <c r="AP853">
        <v>0</v>
      </c>
      <c r="AQ853">
        <v>16666.666666666668</v>
      </c>
      <c r="AR853" t="s">
        <v>9</v>
      </c>
      <c r="AS853" t="s">
        <v>75</v>
      </c>
      <c r="AX853" t="s">
        <v>76</v>
      </c>
      <c r="AY853" t="s">
        <v>71</v>
      </c>
      <c r="AZ853">
        <v>0</v>
      </c>
      <c r="BA853" t="s">
        <v>71</v>
      </c>
      <c r="BB853">
        <v>0</v>
      </c>
      <c r="BD853">
        <v>0.30742000000000003</v>
      </c>
    </row>
    <row r="854" spans="1:56" x14ac:dyDescent="0.15">
      <c r="A854" s="4" t="str">
        <f>HYPERLINK("https://ibp.a2mac1.com/costing(costing:projects/details/9760/part/8413346)","Insulation Sheet 4")</f>
        <v>Insulation Sheet 4</v>
      </c>
      <c r="B854">
        <v>8413346</v>
      </c>
      <c r="C854">
        <v>8413220</v>
      </c>
      <c r="E854">
        <v>2.6290000000000001E-2</v>
      </c>
      <c r="F854">
        <v>0</v>
      </c>
      <c r="G854">
        <v>0</v>
      </c>
      <c r="H854">
        <v>0</v>
      </c>
      <c r="I854" t="s">
        <v>71</v>
      </c>
      <c r="J854">
        <v>0</v>
      </c>
      <c r="K854">
        <v>2.6290000000000001E-2</v>
      </c>
      <c r="L854">
        <v>0</v>
      </c>
      <c r="M854">
        <v>0</v>
      </c>
      <c r="N854">
        <v>2.6290000000000001E-2</v>
      </c>
      <c r="O854" t="s">
        <v>71</v>
      </c>
      <c r="P854">
        <v>0</v>
      </c>
      <c r="Q854" t="s">
        <v>71</v>
      </c>
      <c r="R854">
        <v>0</v>
      </c>
      <c r="S854" t="s">
        <v>71</v>
      </c>
      <c r="T854">
        <v>0</v>
      </c>
      <c r="U854" t="s">
        <v>71</v>
      </c>
      <c r="V854">
        <v>0</v>
      </c>
      <c r="W854" t="s">
        <v>71</v>
      </c>
      <c r="X854">
        <v>0</v>
      </c>
      <c r="Y854">
        <v>2.6290000000000001E-2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0.4</v>
      </c>
      <c r="AF854">
        <v>62</v>
      </c>
      <c r="AG854">
        <v>53</v>
      </c>
      <c r="AH854">
        <v>0</v>
      </c>
      <c r="AI854">
        <v>1E-3</v>
      </c>
      <c r="AK854" t="s">
        <v>272</v>
      </c>
      <c r="AM854">
        <v>200000</v>
      </c>
      <c r="AN854" t="s">
        <v>73</v>
      </c>
      <c r="AO854">
        <v>1</v>
      </c>
      <c r="AP854">
        <v>0</v>
      </c>
      <c r="AQ854">
        <v>16666.666666666668</v>
      </c>
      <c r="AR854" t="s">
        <v>9</v>
      </c>
      <c r="AS854" t="s">
        <v>75</v>
      </c>
      <c r="AX854" t="s">
        <v>76</v>
      </c>
      <c r="AY854" t="s">
        <v>71</v>
      </c>
      <c r="AZ854">
        <v>0</v>
      </c>
      <c r="BA854" t="s">
        <v>71</v>
      </c>
      <c r="BB854">
        <v>0</v>
      </c>
      <c r="BD854">
        <v>2.6290000000000001E-2</v>
      </c>
    </row>
    <row r="855" spans="1:56" x14ac:dyDescent="0.15">
      <c r="A855" s="4" t="str">
        <f>HYPERLINK("https://ibp.a2mac1.com/costing(costing:projects/details/9760/part/8413347)","Insulation Sheet 5")</f>
        <v>Insulation Sheet 5</v>
      </c>
      <c r="B855">
        <v>8413347</v>
      </c>
      <c r="C855">
        <v>8413220</v>
      </c>
      <c r="E855">
        <v>2.4E-2</v>
      </c>
      <c r="F855">
        <v>0</v>
      </c>
      <c r="G855">
        <v>0</v>
      </c>
      <c r="H855">
        <v>0</v>
      </c>
      <c r="I855" t="s">
        <v>71</v>
      </c>
      <c r="J855">
        <v>0</v>
      </c>
      <c r="K855">
        <v>2.4E-2</v>
      </c>
      <c r="L855">
        <v>0</v>
      </c>
      <c r="M855">
        <v>0</v>
      </c>
      <c r="N855">
        <v>2.4E-2</v>
      </c>
      <c r="O855" t="s">
        <v>71</v>
      </c>
      <c r="P855">
        <v>0</v>
      </c>
      <c r="Q855" t="s">
        <v>71</v>
      </c>
      <c r="R855">
        <v>0</v>
      </c>
      <c r="S855" t="s">
        <v>71</v>
      </c>
      <c r="T855">
        <v>0</v>
      </c>
      <c r="U855" t="s">
        <v>71</v>
      </c>
      <c r="V855">
        <v>0</v>
      </c>
      <c r="W855" t="s">
        <v>71</v>
      </c>
      <c r="X855">
        <v>0</v>
      </c>
      <c r="Y855">
        <v>2.4E-2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0.1</v>
      </c>
      <c r="AF855">
        <v>50</v>
      </c>
      <c r="AG855">
        <v>50</v>
      </c>
      <c r="AH855">
        <v>0</v>
      </c>
      <c r="AI855">
        <v>1E-3</v>
      </c>
      <c r="AK855" t="s">
        <v>272</v>
      </c>
      <c r="AM855">
        <v>200000</v>
      </c>
      <c r="AN855" t="s">
        <v>73</v>
      </c>
      <c r="AO855">
        <v>1</v>
      </c>
      <c r="AP855">
        <v>0</v>
      </c>
      <c r="AQ855">
        <v>16666.666666666668</v>
      </c>
      <c r="AR855" t="s">
        <v>9</v>
      </c>
      <c r="AS855" t="s">
        <v>75</v>
      </c>
      <c r="AX855" t="s">
        <v>76</v>
      </c>
      <c r="AY855" t="s">
        <v>71</v>
      </c>
      <c r="AZ855">
        <v>0</v>
      </c>
      <c r="BA855" t="s">
        <v>71</v>
      </c>
      <c r="BB855">
        <v>0</v>
      </c>
      <c r="BD855">
        <v>2.4E-2</v>
      </c>
    </row>
    <row r="856" spans="1:56" x14ac:dyDescent="0.15">
      <c r="A856" s="4" t="str">
        <f>HYPERLINK("https://ibp.a2mac1.com/costing(costing:projects/details/9760/part/8413348)","Insulation Sheet 6")</f>
        <v>Insulation Sheet 6</v>
      </c>
      <c r="B856">
        <v>8413348</v>
      </c>
      <c r="C856">
        <v>8413220</v>
      </c>
      <c r="E856">
        <v>1.512E-2</v>
      </c>
      <c r="F856">
        <v>0</v>
      </c>
      <c r="G856">
        <v>0</v>
      </c>
      <c r="H856">
        <v>0</v>
      </c>
      <c r="I856" t="s">
        <v>71</v>
      </c>
      <c r="J856">
        <v>0</v>
      </c>
      <c r="K856">
        <v>1.512E-2</v>
      </c>
      <c r="L856">
        <v>0</v>
      </c>
      <c r="M856">
        <v>0</v>
      </c>
      <c r="N856">
        <v>1.512E-2</v>
      </c>
      <c r="O856" t="s">
        <v>71</v>
      </c>
      <c r="P856">
        <v>0</v>
      </c>
      <c r="Q856" t="s">
        <v>71</v>
      </c>
      <c r="R856">
        <v>0</v>
      </c>
      <c r="S856" t="s">
        <v>71</v>
      </c>
      <c r="T856">
        <v>0</v>
      </c>
      <c r="U856" t="s">
        <v>71</v>
      </c>
      <c r="V856">
        <v>0</v>
      </c>
      <c r="W856" t="s">
        <v>71</v>
      </c>
      <c r="X856">
        <v>0</v>
      </c>
      <c r="Y856">
        <v>1.512E-2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0.6</v>
      </c>
      <c r="AF856">
        <v>54</v>
      </c>
      <c r="AG856">
        <v>35</v>
      </c>
      <c r="AH856">
        <v>0</v>
      </c>
      <c r="AI856">
        <v>1E-3</v>
      </c>
      <c r="AK856" t="s">
        <v>272</v>
      </c>
      <c r="AM856">
        <v>200000</v>
      </c>
      <c r="AN856" t="s">
        <v>73</v>
      </c>
      <c r="AO856">
        <v>1</v>
      </c>
      <c r="AP856">
        <v>0</v>
      </c>
      <c r="AQ856">
        <v>16666.666666666668</v>
      </c>
      <c r="AR856" t="s">
        <v>9</v>
      </c>
      <c r="AS856" t="s">
        <v>75</v>
      </c>
      <c r="AX856" t="s">
        <v>76</v>
      </c>
      <c r="AY856" t="s">
        <v>71</v>
      </c>
      <c r="AZ856">
        <v>0</v>
      </c>
      <c r="BA856" t="s">
        <v>71</v>
      </c>
      <c r="BB856">
        <v>0</v>
      </c>
      <c r="BD856">
        <v>1.512E-2</v>
      </c>
    </row>
    <row r="857" spans="1:56" x14ac:dyDescent="0.15">
      <c r="A857" s="4" t="str">
        <f>HYPERLINK("https://ibp.a2mac1.com/costing(costing:projects/details/9760/part/8413349)","Insulation Sheet 7")</f>
        <v>Insulation Sheet 7</v>
      </c>
      <c r="B857">
        <v>8413349</v>
      </c>
      <c r="C857">
        <v>8413220</v>
      </c>
      <c r="E857">
        <v>4.8439999999999997E-2</v>
      </c>
      <c r="F857">
        <v>0</v>
      </c>
      <c r="G857">
        <v>0</v>
      </c>
      <c r="H857">
        <v>0</v>
      </c>
      <c r="I857" t="s">
        <v>71</v>
      </c>
      <c r="J857">
        <v>0</v>
      </c>
      <c r="K857">
        <v>4.8439999999999997E-2</v>
      </c>
      <c r="L857">
        <v>0</v>
      </c>
      <c r="M857">
        <v>0</v>
      </c>
      <c r="N857">
        <v>4.8439999999999997E-2</v>
      </c>
      <c r="O857" t="s">
        <v>71</v>
      </c>
      <c r="P857">
        <v>0</v>
      </c>
      <c r="Q857" t="s">
        <v>71</v>
      </c>
      <c r="R857">
        <v>0</v>
      </c>
      <c r="S857" t="s">
        <v>71</v>
      </c>
      <c r="T857">
        <v>0</v>
      </c>
      <c r="U857" t="s">
        <v>71</v>
      </c>
      <c r="V857">
        <v>0</v>
      </c>
      <c r="W857" t="s">
        <v>71</v>
      </c>
      <c r="X857">
        <v>0</v>
      </c>
      <c r="Y857">
        <v>4.8439999999999997E-2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0.3</v>
      </c>
      <c r="AF857">
        <v>0</v>
      </c>
      <c r="AG857">
        <v>35</v>
      </c>
      <c r="AH857">
        <v>0</v>
      </c>
      <c r="AI857">
        <v>1E-3</v>
      </c>
      <c r="AK857" t="s">
        <v>272</v>
      </c>
      <c r="AM857">
        <v>200000</v>
      </c>
      <c r="AN857" t="s">
        <v>73</v>
      </c>
      <c r="AO857">
        <v>1</v>
      </c>
      <c r="AP857">
        <v>0</v>
      </c>
      <c r="AQ857">
        <v>16666.666666666668</v>
      </c>
      <c r="AR857" t="s">
        <v>9</v>
      </c>
      <c r="AS857" t="s">
        <v>75</v>
      </c>
      <c r="AX857" t="s">
        <v>76</v>
      </c>
      <c r="AY857" t="s">
        <v>71</v>
      </c>
      <c r="AZ857">
        <v>0</v>
      </c>
      <c r="BA857" t="s">
        <v>71</v>
      </c>
      <c r="BB857">
        <v>0</v>
      </c>
      <c r="BD857">
        <v>4.8439999999999997E-2</v>
      </c>
    </row>
    <row r="858" spans="1:56" x14ac:dyDescent="0.15">
      <c r="A858" s="4" t="str">
        <f>HYPERLINK("https://ibp.a2mac1.com/costing(costing:projects/details/9760/part/8413350)","Insulation Sheet 8")</f>
        <v>Insulation Sheet 8</v>
      </c>
      <c r="B858">
        <v>8413350</v>
      </c>
      <c r="C858">
        <v>8413220</v>
      </c>
      <c r="E858">
        <v>3.5639999999999998E-2</v>
      </c>
      <c r="F858">
        <v>0</v>
      </c>
      <c r="G858">
        <v>0</v>
      </c>
      <c r="H858">
        <v>0</v>
      </c>
      <c r="I858" t="s">
        <v>71</v>
      </c>
      <c r="J858">
        <v>0</v>
      </c>
      <c r="K858">
        <v>3.5639999999999998E-2</v>
      </c>
      <c r="L858">
        <v>0</v>
      </c>
      <c r="M858">
        <v>0</v>
      </c>
      <c r="N858">
        <v>3.5639999999999998E-2</v>
      </c>
      <c r="O858" t="s">
        <v>71</v>
      </c>
      <c r="P858">
        <v>0</v>
      </c>
      <c r="Q858" t="s">
        <v>71</v>
      </c>
      <c r="R858">
        <v>0</v>
      </c>
      <c r="S858" t="s">
        <v>71</v>
      </c>
      <c r="T858">
        <v>0</v>
      </c>
      <c r="U858" t="s">
        <v>71</v>
      </c>
      <c r="V858">
        <v>0</v>
      </c>
      <c r="W858" t="s">
        <v>71</v>
      </c>
      <c r="X858">
        <v>0</v>
      </c>
      <c r="Y858">
        <v>3.5639999999999998E-2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18</v>
      </c>
      <c r="AF858">
        <v>135</v>
      </c>
      <c r="AG858">
        <v>33</v>
      </c>
      <c r="AH858">
        <v>0</v>
      </c>
      <c r="AI858">
        <v>2E-3</v>
      </c>
      <c r="AK858" t="s">
        <v>272</v>
      </c>
      <c r="AM858">
        <v>200000</v>
      </c>
      <c r="AN858" t="s">
        <v>73</v>
      </c>
      <c r="AO858">
        <v>1</v>
      </c>
      <c r="AP858">
        <v>0</v>
      </c>
      <c r="AQ858">
        <v>16666.666666666668</v>
      </c>
      <c r="AR858" t="s">
        <v>9</v>
      </c>
      <c r="AS858" t="s">
        <v>75</v>
      </c>
      <c r="AX858" t="s">
        <v>76</v>
      </c>
      <c r="AY858" t="s">
        <v>71</v>
      </c>
      <c r="AZ858">
        <v>0</v>
      </c>
      <c r="BA858" t="s">
        <v>71</v>
      </c>
      <c r="BB858">
        <v>0</v>
      </c>
      <c r="BD858">
        <v>3.5639999999999998E-2</v>
      </c>
    </row>
    <row r="859" spans="1:56" x14ac:dyDescent="0.15">
      <c r="A859" s="4" t="str">
        <f>HYPERLINK("https://ibp.a2mac1.com/costing(costing:projects/details/9760/part/8413351)","Insulation Sheet 9")</f>
        <v>Insulation Sheet 9</v>
      </c>
      <c r="B859">
        <v>8413351</v>
      </c>
      <c r="C859">
        <v>8413220</v>
      </c>
      <c r="E859">
        <v>5.253E-2</v>
      </c>
      <c r="F859">
        <v>0</v>
      </c>
      <c r="G859">
        <v>0</v>
      </c>
      <c r="H859">
        <v>0</v>
      </c>
      <c r="I859" t="s">
        <v>71</v>
      </c>
      <c r="J859">
        <v>0</v>
      </c>
      <c r="K859">
        <v>5.253E-2</v>
      </c>
      <c r="L859">
        <v>0</v>
      </c>
      <c r="M859">
        <v>0</v>
      </c>
      <c r="N859">
        <v>5.253E-2</v>
      </c>
      <c r="O859" t="s">
        <v>71</v>
      </c>
      <c r="P859">
        <v>0</v>
      </c>
      <c r="Q859" t="s">
        <v>71</v>
      </c>
      <c r="R859">
        <v>0</v>
      </c>
      <c r="S859" t="s">
        <v>71</v>
      </c>
      <c r="T859">
        <v>0</v>
      </c>
      <c r="U859" t="s">
        <v>71</v>
      </c>
      <c r="V859">
        <v>0</v>
      </c>
      <c r="W859" t="s">
        <v>71</v>
      </c>
      <c r="X859">
        <v>0</v>
      </c>
      <c r="Y859">
        <v>5.253E-2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19</v>
      </c>
      <c r="AF859">
        <v>134</v>
      </c>
      <c r="AG859">
        <v>49</v>
      </c>
      <c r="AH859">
        <v>0</v>
      </c>
      <c r="AI859">
        <v>3.0000000000000001E-3</v>
      </c>
      <c r="AK859" t="s">
        <v>272</v>
      </c>
      <c r="AM859">
        <v>200000</v>
      </c>
      <c r="AN859" t="s">
        <v>73</v>
      </c>
      <c r="AO859">
        <v>1</v>
      </c>
      <c r="AP859">
        <v>0</v>
      </c>
      <c r="AQ859">
        <v>16666.666666666668</v>
      </c>
      <c r="AR859" t="s">
        <v>9</v>
      </c>
      <c r="AS859" t="s">
        <v>75</v>
      </c>
      <c r="AX859" t="s">
        <v>76</v>
      </c>
      <c r="AY859" t="s">
        <v>71</v>
      </c>
      <c r="AZ859">
        <v>0</v>
      </c>
      <c r="BA859" t="s">
        <v>71</v>
      </c>
      <c r="BB859">
        <v>0</v>
      </c>
      <c r="BD859">
        <v>5.253E-2</v>
      </c>
    </row>
    <row r="860" spans="1:56" x14ac:dyDescent="0.15">
      <c r="A860" s="4" t="str">
        <f>HYPERLINK("https://ibp.a2mac1.com/costing(costing:projects/details/9760/part/8413352)","Insulation Sheet 10")</f>
        <v>Insulation Sheet 10</v>
      </c>
      <c r="B860">
        <v>8413352</v>
      </c>
      <c r="C860">
        <v>8413220</v>
      </c>
      <c r="E860">
        <v>2.4799999999999999E-2</v>
      </c>
      <c r="F860">
        <v>0</v>
      </c>
      <c r="G860">
        <v>0</v>
      </c>
      <c r="H860">
        <v>0</v>
      </c>
      <c r="I860" t="s">
        <v>71</v>
      </c>
      <c r="J860">
        <v>0</v>
      </c>
      <c r="K860">
        <v>2.4799999999999999E-2</v>
      </c>
      <c r="L860">
        <v>0</v>
      </c>
      <c r="M860">
        <v>0</v>
      </c>
      <c r="N860">
        <v>2.4799999999999999E-2</v>
      </c>
      <c r="O860" t="s">
        <v>71</v>
      </c>
      <c r="P860">
        <v>0</v>
      </c>
      <c r="Q860" t="s">
        <v>71</v>
      </c>
      <c r="R860">
        <v>0</v>
      </c>
      <c r="S860" t="s">
        <v>71</v>
      </c>
      <c r="T860">
        <v>0</v>
      </c>
      <c r="U860" t="s">
        <v>71</v>
      </c>
      <c r="V860">
        <v>0</v>
      </c>
      <c r="W860" t="s">
        <v>71</v>
      </c>
      <c r="X860">
        <v>0</v>
      </c>
      <c r="Y860">
        <v>2.4799999999999999E-2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36</v>
      </c>
      <c r="AF860">
        <v>62</v>
      </c>
      <c r="AG860">
        <v>50</v>
      </c>
      <c r="AH860">
        <v>0</v>
      </c>
      <c r="AI860">
        <v>2E-3</v>
      </c>
      <c r="AK860" t="s">
        <v>272</v>
      </c>
      <c r="AM860">
        <v>200000</v>
      </c>
      <c r="AN860" t="s">
        <v>73</v>
      </c>
      <c r="AO860">
        <v>1</v>
      </c>
      <c r="AP860">
        <v>0</v>
      </c>
      <c r="AQ860">
        <v>16666.666666666668</v>
      </c>
      <c r="AR860" t="s">
        <v>9</v>
      </c>
      <c r="AS860" t="s">
        <v>75</v>
      </c>
      <c r="AX860" t="s">
        <v>76</v>
      </c>
      <c r="AY860" t="s">
        <v>71</v>
      </c>
      <c r="AZ860">
        <v>0</v>
      </c>
      <c r="BA860" t="s">
        <v>71</v>
      </c>
      <c r="BB860">
        <v>0</v>
      </c>
      <c r="BD860">
        <v>2.4799999999999999E-2</v>
      </c>
    </row>
    <row r="861" spans="1:56" x14ac:dyDescent="0.15">
      <c r="A861" s="4" t="str">
        <f>HYPERLINK("https://ibp.a2mac1.com/costing(costing:projects/details/9760/part/8413353)","Insulation Sheet 11")</f>
        <v>Insulation Sheet 11</v>
      </c>
      <c r="B861">
        <v>8413353</v>
      </c>
      <c r="C861">
        <v>8413220</v>
      </c>
      <c r="E861">
        <v>1.9539999999999998E-2</v>
      </c>
      <c r="F861">
        <v>0</v>
      </c>
      <c r="G861">
        <v>0</v>
      </c>
      <c r="H861">
        <v>0</v>
      </c>
      <c r="I861" t="s">
        <v>71</v>
      </c>
      <c r="J861">
        <v>0</v>
      </c>
      <c r="K861">
        <v>1.9539999999999998E-2</v>
      </c>
      <c r="L861">
        <v>0</v>
      </c>
      <c r="M861">
        <v>0</v>
      </c>
      <c r="N861">
        <v>1.9539999999999998E-2</v>
      </c>
      <c r="O861" t="s">
        <v>71</v>
      </c>
      <c r="P861">
        <v>0</v>
      </c>
      <c r="Q861" t="s">
        <v>71</v>
      </c>
      <c r="R861">
        <v>0</v>
      </c>
      <c r="S861" t="s">
        <v>71</v>
      </c>
      <c r="T861">
        <v>0</v>
      </c>
      <c r="U861" t="s">
        <v>71</v>
      </c>
      <c r="V861">
        <v>0</v>
      </c>
      <c r="W861" t="s">
        <v>71</v>
      </c>
      <c r="X861">
        <v>0</v>
      </c>
      <c r="Y861">
        <v>1.9539999999999998E-2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9</v>
      </c>
      <c r="AF861">
        <v>111</v>
      </c>
      <c r="AG861">
        <v>22</v>
      </c>
      <c r="AH861">
        <v>0</v>
      </c>
      <c r="AI861">
        <v>1E-3</v>
      </c>
      <c r="AK861" t="s">
        <v>272</v>
      </c>
      <c r="AM861">
        <v>200000</v>
      </c>
      <c r="AN861" t="s">
        <v>73</v>
      </c>
      <c r="AO861">
        <v>1</v>
      </c>
      <c r="AP861">
        <v>0</v>
      </c>
      <c r="AQ861">
        <v>16666.666666666668</v>
      </c>
      <c r="AR861" t="s">
        <v>9</v>
      </c>
      <c r="AS861" t="s">
        <v>75</v>
      </c>
      <c r="AX861" t="s">
        <v>76</v>
      </c>
      <c r="AY861" t="s">
        <v>71</v>
      </c>
      <c r="AZ861">
        <v>0</v>
      </c>
      <c r="BA861" t="s">
        <v>71</v>
      </c>
      <c r="BB861">
        <v>0</v>
      </c>
      <c r="BD861">
        <v>1.9539999999999998E-2</v>
      </c>
    </row>
    <row r="862" spans="1:56" x14ac:dyDescent="0.15">
      <c r="A862" s="4" t="str">
        <f>HYPERLINK("https://ibp.a2mac1.com/costing(costing:projects/details/9760/part/8413354)","Insulation Sheet 12")</f>
        <v>Insulation Sheet 12</v>
      </c>
      <c r="B862">
        <v>8413354</v>
      </c>
      <c r="C862">
        <v>8413220</v>
      </c>
      <c r="E862">
        <v>2.6859999999999998E-2</v>
      </c>
      <c r="F862">
        <v>0</v>
      </c>
      <c r="G862">
        <v>0</v>
      </c>
      <c r="H862">
        <v>0</v>
      </c>
      <c r="I862" t="s">
        <v>71</v>
      </c>
      <c r="J862">
        <v>0</v>
      </c>
      <c r="K862">
        <v>2.6859999999999998E-2</v>
      </c>
      <c r="L862">
        <v>0</v>
      </c>
      <c r="M862">
        <v>0</v>
      </c>
      <c r="N862">
        <v>2.6859999999999998E-2</v>
      </c>
      <c r="O862" t="s">
        <v>71</v>
      </c>
      <c r="P862">
        <v>0</v>
      </c>
      <c r="Q862" t="s">
        <v>71</v>
      </c>
      <c r="R862">
        <v>0</v>
      </c>
      <c r="S862" t="s">
        <v>71</v>
      </c>
      <c r="T862">
        <v>0</v>
      </c>
      <c r="U862" t="s">
        <v>71</v>
      </c>
      <c r="V862">
        <v>0</v>
      </c>
      <c r="W862" t="s">
        <v>71</v>
      </c>
      <c r="X862">
        <v>0</v>
      </c>
      <c r="Y862">
        <v>2.6859999999999998E-2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0.4</v>
      </c>
      <c r="AF862">
        <v>73</v>
      </c>
      <c r="AG862">
        <v>46</v>
      </c>
      <c r="AH862">
        <v>0</v>
      </c>
      <c r="AI862">
        <v>1E-3</v>
      </c>
      <c r="AK862" t="s">
        <v>272</v>
      </c>
      <c r="AM862">
        <v>200000</v>
      </c>
      <c r="AN862" t="s">
        <v>73</v>
      </c>
      <c r="AO862">
        <v>1</v>
      </c>
      <c r="AP862">
        <v>0</v>
      </c>
      <c r="AQ862">
        <v>16666.666666666668</v>
      </c>
      <c r="AR862" t="s">
        <v>9</v>
      </c>
      <c r="AS862" t="s">
        <v>75</v>
      </c>
      <c r="AX862" t="s">
        <v>76</v>
      </c>
      <c r="AY862" t="s">
        <v>71</v>
      </c>
      <c r="AZ862">
        <v>0</v>
      </c>
      <c r="BA862" t="s">
        <v>71</v>
      </c>
      <c r="BB862">
        <v>0</v>
      </c>
      <c r="BD862">
        <v>2.6859999999999998E-2</v>
      </c>
    </row>
    <row r="863" spans="1:56" x14ac:dyDescent="0.15">
      <c r="A863" s="4" t="str">
        <f>HYPERLINK("https://ibp.a2mac1.com/costing(costing:projects/details/9760/part/8413355)","Insulation Sheet 13")</f>
        <v>Insulation Sheet 13</v>
      </c>
      <c r="B863">
        <v>8413355</v>
      </c>
      <c r="C863">
        <v>8413220</v>
      </c>
      <c r="E863">
        <v>0.01</v>
      </c>
      <c r="F863">
        <v>0</v>
      </c>
      <c r="G863">
        <v>0</v>
      </c>
      <c r="H863">
        <v>0</v>
      </c>
      <c r="I863" t="s">
        <v>71</v>
      </c>
      <c r="J863">
        <v>0</v>
      </c>
      <c r="K863">
        <v>0.01</v>
      </c>
      <c r="L863">
        <v>0</v>
      </c>
      <c r="M863">
        <v>0</v>
      </c>
      <c r="N863">
        <v>0.01</v>
      </c>
      <c r="O863" t="s">
        <v>71</v>
      </c>
      <c r="P863">
        <v>0</v>
      </c>
      <c r="Q863" t="s">
        <v>71</v>
      </c>
      <c r="R863">
        <v>0</v>
      </c>
      <c r="S863" t="s">
        <v>71</v>
      </c>
      <c r="T863">
        <v>0</v>
      </c>
      <c r="U863" t="s">
        <v>71</v>
      </c>
      <c r="V863">
        <v>0</v>
      </c>
      <c r="W863" t="s">
        <v>71</v>
      </c>
      <c r="X863">
        <v>0</v>
      </c>
      <c r="Y863">
        <v>0.01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0.3</v>
      </c>
      <c r="AF863">
        <v>50</v>
      </c>
      <c r="AG863">
        <v>25</v>
      </c>
      <c r="AH863">
        <v>0</v>
      </c>
      <c r="AI863">
        <v>1E-3</v>
      </c>
      <c r="AK863" t="s">
        <v>272</v>
      </c>
      <c r="AM863">
        <v>200000</v>
      </c>
      <c r="AN863" t="s">
        <v>73</v>
      </c>
      <c r="AO863">
        <v>1</v>
      </c>
      <c r="AP863">
        <v>0</v>
      </c>
      <c r="AQ863">
        <v>16666.666666666668</v>
      </c>
      <c r="AR863" t="s">
        <v>9</v>
      </c>
      <c r="AS863" t="s">
        <v>75</v>
      </c>
      <c r="AX863" t="s">
        <v>76</v>
      </c>
      <c r="AY863" t="s">
        <v>71</v>
      </c>
      <c r="AZ863">
        <v>0</v>
      </c>
      <c r="BA863" t="s">
        <v>71</v>
      </c>
      <c r="BB863">
        <v>0</v>
      </c>
      <c r="BD863">
        <v>0.01</v>
      </c>
    </row>
    <row r="864" spans="1:56" x14ac:dyDescent="0.15">
      <c r="A864" s="4" t="str">
        <f>HYPERLINK("https://ibp.a2mac1.com/costing(costing:projects/details/9760/part/8413356)","PCB Shield 1")</f>
        <v>PCB Shield 1</v>
      </c>
      <c r="B864">
        <v>8413356</v>
      </c>
      <c r="C864">
        <v>8413221</v>
      </c>
      <c r="D864" t="s">
        <v>2755</v>
      </c>
      <c r="E864">
        <v>0.15676999999999999</v>
      </c>
      <c r="F864">
        <v>0</v>
      </c>
      <c r="G864">
        <v>0</v>
      </c>
      <c r="H864">
        <v>0</v>
      </c>
      <c r="I864" t="s">
        <v>71</v>
      </c>
      <c r="J864">
        <v>0</v>
      </c>
      <c r="K864">
        <v>0.15676999999999999</v>
      </c>
      <c r="L864">
        <v>0</v>
      </c>
      <c r="M864">
        <v>0</v>
      </c>
      <c r="N864">
        <v>0.15676999999999999</v>
      </c>
      <c r="O864" t="s">
        <v>71</v>
      </c>
      <c r="P864">
        <v>0</v>
      </c>
      <c r="Q864" t="s">
        <v>71</v>
      </c>
      <c r="R864">
        <v>0</v>
      </c>
      <c r="S864" t="s">
        <v>71</v>
      </c>
      <c r="T864">
        <v>0</v>
      </c>
      <c r="U864" t="s">
        <v>71</v>
      </c>
      <c r="V864">
        <v>0</v>
      </c>
      <c r="W864" t="s">
        <v>71</v>
      </c>
      <c r="X864">
        <v>0</v>
      </c>
      <c r="Y864">
        <v>0.15676999999999999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82</v>
      </c>
      <c r="AF864">
        <v>160</v>
      </c>
      <c r="AG864">
        <v>5</v>
      </c>
      <c r="AH864">
        <v>0</v>
      </c>
      <c r="AI864">
        <v>6.7000000000000004E-2</v>
      </c>
      <c r="AK864" t="s">
        <v>272</v>
      </c>
      <c r="AM864">
        <v>200000</v>
      </c>
      <c r="AN864" t="s">
        <v>73</v>
      </c>
      <c r="AO864">
        <v>1</v>
      </c>
      <c r="AP864">
        <v>0</v>
      </c>
      <c r="AQ864">
        <v>16666.666666666668</v>
      </c>
      <c r="AR864" t="s">
        <v>9</v>
      </c>
      <c r="AS864" t="s">
        <v>75</v>
      </c>
      <c r="AX864" t="s">
        <v>76</v>
      </c>
      <c r="AY864" t="s">
        <v>71</v>
      </c>
      <c r="AZ864">
        <v>0</v>
      </c>
      <c r="BA864" t="s">
        <v>71</v>
      </c>
      <c r="BB864">
        <v>0</v>
      </c>
      <c r="BD864">
        <v>0.15676999999999999</v>
      </c>
    </row>
    <row r="865" spans="1:56" x14ac:dyDescent="0.15">
      <c r="A865" s="4" t="str">
        <f>HYPERLINK("https://ibp.a2mac1.com/costing(costing:projects/details/9760/part/8413357)","Thermal Paste / Gap Pad 1")</f>
        <v>Thermal Paste / Gap Pad 1</v>
      </c>
      <c r="B865">
        <v>8413357</v>
      </c>
      <c r="C865">
        <v>8413222</v>
      </c>
      <c r="E865">
        <v>0.46400000000000002</v>
      </c>
      <c r="F865">
        <v>0</v>
      </c>
      <c r="G865">
        <v>0</v>
      </c>
      <c r="H865">
        <v>0</v>
      </c>
      <c r="I865" t="s">
        <v>71</v>
      </c>
      <c r="J865">
        <v>0</v>
      </c>
      <c r="K865">
        <v>0.46400000000000002</v>
      </c>
      <c r="L865">
        <v>0</v>
      </c>
      <c r="M865">
        <v>0</v>
      </c>
      <c r="N865">
        <v>0.46400000000000002</v>
      </c>
      <c r="O865" t="s">
        <v>71</v>
      </c>
      <c r="P865">
        <v>0</v>
      </c>
      <c r="Q865" t="s">
        <v>71</v>
      </c>
      <c r="R865">
        <v>0</v>
      </c>
      <c r="S865" t="s">
        <v>71</v>
      </c>
      <c r="T865">
        <v>0</v>
      </c>
      <c r="U865" t="s">
        <v>71</v>
      </c>
      <c r="V865">
        <v>0</v>
      </c>
      <c r="W865" t="s">
        <v>71</v>
      </c>
      <c r="X865">
        <v>0</v>
      </c>
      <c r="Y865">
        <v>0.46400000000000002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5.8000000000000003E-2</v>
      </c>
      <c r="AK865" t="s">
        <v>272</v>
      </c>
      <c r="AM865">
        <v>200000</v>
      </c>
      <c r="AN865" t="s">
        <v>73</v>
      </c>
      <c r="AO865">
        <v>1</v>
      </c>
      <c r="AP865">
        <v>0</v>
      </c>
      <c r="AQ865">
        <v>16666.666666666668</v>
      </c>
      <c r="AR865" t="s">
        <v>9</v>
      </c>
      <c r="AS865" t="s">
        <v>75</v>
      </c>
      <c r="AX865" t="s">
        <v>76</v>
      </c>
      <c r="AY865" t="s">
        <v>71</v>
      </c>
      <c r="AZ865">
        <v>0</v>
      </c>
      <c r="BA865" t="s">
        <v>71</v>
      </c>
      <c r="BB865">
        <v>0</v>
      </c>
      <c r="BD865">
        <v>0.46400000000000002</v>
      </c>
    </row>
    <row r="866" spans="1:56" x14ac:dyDescent="0.15">
      <c r="A866" s="4" t="str">
        <f>HYPERLINK("https://ibp.a2mac1.com/costing(costing:projects/details/9760/part/8413358)","Thermal Paste / Gap Pad 2")</f>
        <v>Thermal Paste / Gap Pad 2</v>
      </c>
      <c r="B866">
        <v>8413358</v>
      </c>
      <c r="C866">
        <v>8413222</v>
      </c>
      <c r="E866">
        <v>0.68799999999999994</v>
      </c>
      <c r="F866">
        <v>0</v>
      </c>
      <c r="G866">
        <v>0</v>
      </c>
      <c r="H866">
        <v>0</v>
      </c>
      <c r="I866" t="s">
        <v>71</v>
      </c>
      <c r="J866">
        <v>0</v>
      </c>
      <c r="K866">
        <v>0.68799999999999994</v>
      </c>
      <c r="L866">
        <v>0</v>
      </c>
      <c r="M866">
        <v>0</v>
      </c>
      <c r="N866">
        <v>0.68799999999999994</v>
      </c>
      <c r="O866" t="s">
        <v>71</v>
      </c>
      <c r="P866">
        <v>0</v>
      </c>
      <c r="Q866" t="s">
        <v>71</v>
      </c>
      <c r="R866">
        <v>0</v>
      </c>
      <c r="S866" t="s">
        <v>71</v>
      </c>
      <c r="T866">
        <v>0</v>
      </c>
      <c r="U866" t="s">
        <v>71</v>
      </c>
      <c r="V866">
        <v>0</v>
      </c>
      <c r="W866" t="s">
        <v>71</v>
      </c>
      <c r="X866">
        <v>0</v>
      </c>
      <c r="Y866">
        <v>0.68799999999999994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8.5999999999999993E-2</v>
      </c>
      <c r="AK866" t="s">
        <v>272</v>
      </c>
      <c r="AM866">
        <v>200000</v>
      </c>
      <c r="AN866" t="s">
        <v>73</v>
      </c>
      <c r="AO866">
        <v>1</v>
      </c>
      <c r="AP866">
        <v>0</v>
      </c>
      <c r="AQ866">
        <v>16666.666666666668</v>
      </c>
      <c r="AR866" t="s">
        <v>9</v>
      </c>
      <c r="AS866" t="s">
        <v>75</v>
      </c>
      <c r="AX866" t="s">
        <v>76</v>
      </c>
      <c r="AY866" t="s">
        <v>71</v>
      </c>
      <c r="AZ866">
        <v>0</v>
      </c>
      <c r="BA866" t="s">
        <v>71</v>
      </c>
      <c r="BB866">
        <v>0</v>
      </c>
      <c r="BD866">
        <v>0.68799999999999994</v>
      </c>
    </row>
    <row r="867" spans="1:56" x14ac:dyDescent="0.15">
      <c r="A867" s="4" t="str">
        <f>HYPERLINK("https://ibp.a2mac1.com/costing(costing:projects/details/9760/part/8413359)","Thermal Paste / Gap Pad 3")</f>
        <v>Thermal Paste / Gap Pad 3</v>
      </c>
      <c r="B867">
        <v>8413359</v>
      </c>
      <c r="C867">
        <v>8413222</v>
      </c>
      <c r="E867">
        <v>4.4992000000000001</v>
      </c>
      <c r="F867">
        <v>0</v>
      </c>
      <c r="G867">
        <v>0</v>
      </c>
      <c r="H867">
        <v>0</v>
      </c>
      <c r="I867" t="s">
        <v>71</v>
      </c>
      <c r="J867">
        <v>0</v>
      </c>
      <c r="K867">
        <v>4.4992000000000001</v>
      </c>
      <c r="L867">
        <v>0</v>
      </c>
      <c r="M867">
        <v>0</v>
      </c>
      <c r="N867">
        <v>4.4992000000000001</v>
      </c>
      <c r="O867" t="s">
        <v>71</v>
      </c>
      <c r="P867">
        <v>0</v>
      </c>
      <c r="Q867" t="s">
        <v>71</v>
      </c>
      <c r="R867">
        <v>0</v>
      </c>
      <c r="S867" t="s">
        <v>71</v>
      </c>
      <c r="T867">
        <v>0</v>
      </c>
      <c r="U867" t="s">
        <v>71</v>
      </c>
      <c r="V867">
        <v>0</v>
      </c>
      <c r="W867" t="s">
        <v>71</v>
      </c>
      <c r="X867">
        <v>0</v>
      </c>
      <c r="Y867">
        <v>4.4992000000000001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0.29599999999999999</v>
      </c>
      <c r="AK867" t="s">
        <v>272</v>
      </c>
      <c r="AM867">
        <v>200000</v>
      </c>
      <c r="AN867" t="s">
        <v>73</v>
      </c>
      <c r="AO867">
        <v>1</v>
      </c>
      <c r="AP867">
        <v>0</v>
      </c>
      <c r="AQ867">
        <v>16666.666666666668</v>
      </c>
      <c r="AR867" t="s">
        <v>9</v>
      </c>
      <c r="AS867" t="s">
        <v>75</v>
      </c>
      <c r="AX867" t="s">
        <v>76</v>
      </c>
      <c r="AY867" t="s">
        <v>71</v>
      </c>
      <c r="AZ867">
        <v>0</v>
      </c>
      <c r="BA867" t="s">
        <v>71</v>
      </c>
      <c r="BB867">
        <v>0</v>
      </c>
      <c r="BD867">
        <v>4.4992000000000001</v>
      </c>
    </row>
    <row r="868" spans="1:56" x14ac:dyDescent="0.15">
      <c r="A868" s="4" t="str">
        <f>HYPERLINK("https://ibp.a2mac1.com/costing(costing:projects/details/9760/part/8413360)","Thermal Paste / Gap Pad 4")</f>
        <v>Thermal Paste / Gap Pad 4</v>
      </c>
      <c r="B868">
        <v>8413360</v>
      </c>
      <c r="C868">
        <v>8413222</v>
      </c>
      <c r="E868">
        <v>6.2472000000000003</v>
      </c>
      <c r="F868">
        <v>0</v>
      </c>
      <c r="G868">
        <v>0</v>
      </c>
      <c r="H868">
        <v>0</v>
      </c>
      <c r="I868" t="s">
        <v>71</v>
      </c>
      <c r="J868">
        <v>0</v>
      </c>
      <c r="K868">
        <v>6.2472000000000003</v>
      </c>
      <c r="L868">
        <v>0</v>
      </c>
      <c r="M868">
        <v>0</v>
      </c>
      <c r="N868">
        <v>6.2472000000000003</v>
      </c>
      <c r="O868" t="s">
        <v>71</v>
      </c>
      <c r="P868">
        <v>0</v>
      </c>
      <c r="Q868" t="s">
        <v>71</v>
      </c>
      <c r="R868">
        <v>0</v>
      </c>
      <c r="S868" t="s">
        <v>71</v>
      </c>
      <c r="T868">
        <v>0</v>
      </c>
      <c r="U868" t="s">
        <v>71</v>
      </c>
      <c r="V868">
        <v>0</v>
      </c>
      <c r="W868" t="s">
        <v>71</v>
      </c>
      <c r="X868">
        <v>0</v>
      </c>
      <c r="Y868">
        <v>6.2472000000000003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0.41099999999999998</v>
      </c>
      <c r="AK868" t="s">
        <v>272</v>
      </c>
      <c r="AM868">
        <v>200000</v>
      </c>
      <c r="AN868" t="s">
        <v>73</v>
      </c>
      <c r="AO868">
        <v>1</v>
      </c>
      <c r="AP868">
        <v>0</v>
      </c>
      <c r="AQ868">
        <v>16666.666666666668</v>
      </c>
      <c r="AR868" t="s">
        <v>9</v>
      </c>
      <c r="AS868" t="s">
        <v>75</v>
      </c>
      <c r="AX868" t="s">
        <v>76</v>
      </c>
      <c r="AY868" t="s">
        <v>71</v>
      </c>
      <c r="AZ868">
        <v>0</v>
      </c>
      <c r="BA868" t="s">
        <v>71</v>
      </c>
      <c r="BB868">
        <v>0</v>
      </c>
      <c r="BD868">
        <v>6.2472000000000003</v>
      </c>
    </row>
    <row r="869" spans="1:56" x14ac:dyDescent="0.15">
      <c r="A869" s="4" t="str">
        <f>HYPERLINK("https://ibp.a2mac1.com/costing(costing:projects/details/9760/part/8413361)","Foam Pad 1")</f>
        <v>Foam Pad 1</v>
      </c>
      <c r="B869">
        <v>8413361</v>
      </c>
      <c r="C869">
        <v>8413223</v>
      </c>
      <c r="E869">
        <v>1.38219</v>
      </c>
      <c r="F869">
        <v>0</v>
      </c>
      <c r="G869">
        <v>0</v>
      </c>
      <c r="H869">
        <v>0</v>
      </c>
      <c r="I869" t="s">
        <v>71</v>
      </c>
      <c r="J869">
        <v>0</v>
      </c>
      <c r="K869">
        <v>1.38219</v>
      </c>
      <c r="L869">
        <v>0</v>
      </c>
      <c r="M869">
        <v>0</v>
      </c>
      <c r="N869">
        <v>1.38219</v>
      </c>
      <c r="O869" t="s">
        <v>71</v>
      </c>
      <c r="P869">
        <v>0</v>
      </c>
      <c r="Q869" t="s">
        <v>71</v>
      </c>
      <c r="R869">
        <v>0</v>
      </c>
      <c r="S869" t="s">
        <v>71</v>
      </c>
      <c r="T869">
        <v>0</v>
      </c>
      <c r="U869" t="s">
        <v>71</v>
      </c>
      <c r="V869">
        <v>0</v>
      </c>
      <c r="W869" t="s">
        <v>71</v>
      </c>
      <c r="X869">
        <v>0</v>
      </c>
      <c r="Y869">
        <v>1.38219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3</v>
      </c>
      <c r="AF869">
        <v>301</v>
      </c>
      <c r="AG869">
        <v>287</v>
      </c>
      <c r="AH869">
        <v>0</v>
      </c>
      <c r="AI869">
        <v>1.4E-2</v>
      </c>
      <c r="AK869" t="s">
        <v>272</v>
      </c>
      <c r="AM869">
        <v>200000</v>
      </c>
      <c r="AN869" t="s">
        <v>73</v>
      </c>
      <c r="AO869">
        <v>1</v>
      </c>
      <c r="AP869">
        <v>0</v>
      </c>
      <c r="AQ869">
        <v>16666.666666666668</v>
      </c>
      <c r="AR869" t="s">
        <v>9</v>
      </c>
      <c r="AS869" t="s">
        <v>75</v>
      </c>
      <c r="AX869" t="s">
        <v>76</v>
      </c>
      <c r="AY869" t="s">
        <v>71</v>
      </c>
      <c r="AZ869">
        <v>0</v>
      </c>
      <c r="BA869" t="s">
        <v>71</v>
      </c>
      <c r="BB869">
        <v>0</v>
      </c>
      <c r="BD869">
        <v>1.38219</v>
      </c>
    </row>
    <row r="870" spans="1:56" x14ac:dyDescent="0.15">
      <c r="A870" s="4" t="str">
        <f>HYPERLINK("https://ibp.a2mac1.com/costing(costing:projects/details/9760/part/8413362)","Spacer 1")</f>
        <v>Spacer 1</v>
      </c>
      <c r="B870">
        <v>8413362</v>
      </c>
      <c r="C870">
        <v>8413224</v>
      </c>
      <c r="E870">
        <v>0.2356</v>
      </c>
      <c r="F870">
        <v>0</v>
      </c>
      <c r="G870">
        <v>0</v>
      </c>
      <c r="H870">
        <v>0</v>
      </c>
      <c r="I870" t="s">
        <v>71</v>
      </c>
      <c r="J870">
        <v>0</v>
      </c>
      <c r="K870">
        <v>0.2356</v>
      </c>
      <c r="L870">
        <v>0</v>
      </c>
      <c r="M870">
        <v>0</v>
      </c>
      <c r="N870">
        <v>0.2356</v>
      </c>
      <c r="O870" t="s">
        <v>71</v>
      </c>
      <c r="P870">
        <v>0</v>
      </c>
      <c r="Q870" t="s">
        <v>71</v>
      </c>
      <c r="R870">
        <v>0</v>
      </c>
      <c r="S870" t="s">
        <v>71</v>
      </c>
      <c r="T870">
        <v>0</v>
      </c>
      <c r="U870" t="s">
        <v>71</v>
      </c>
      <c r="V870">
        <v>0</v>
      </c>
      <c r="W870" t="s">
        <v>71</v>
      </c>
      <c r="X870">
        <v>0</v>
      </c>
      <c r="Y870">
        <v>0.2356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155</v>
      </c>
      <c r="AG870">
        <v>38</v>
      </c>
      <c r="AH870">
        <v>0</v>
      </c>
      <c r="AI870">
        <v>0.02</v>
      </c>
      <c r="AK870" t="s">
        <v>272</v>
      </c>
      <c r="AM870">
        <v>200000</v>
      </c>
      <c r="AN870" t="s">
        <v>73</v>
      </c>
      <c r="AO870">
        <v>1</v>
      </c>
      <c r="AP870">
        <v>0</v>
      </c>
      <c r="AQ870">
        <v>16666.666666666668</v>
      </c>
      <c r="AR870" t="s">
        <v>9</v>
      </c>
      <c r="AS870" t="s">
        <v>75</v>
      </c>
      <c r="AX870" t="s">
        <v>76</v>
      </c>
      <c r="AY870" t="s">
        <v>71</v>
      </c>
      <c r="AZ870">
        <v>0</v>
      </c>
      <c r="BA870" t="s">
        <v>71</v>
      </c>
      <c r="BB870">
        <v>0</v>
      </c>
      <c r="BD870">
        <v>0.2356</v>
      </c>
    </row>
    <row r="871" spans="1:56" x14ac:dyDescent="0.15">
      <c r="A871" s="4" t="str">
        <f>HYPERLINK("https://ibp.a2mac1.com/costing(costing:projects/details/9760/part/8413363)","Spacer 2")</f>
        <v>Spacer 2</v>
      </c>
      <c r="B871">
        <v>8413363</v>
      </c>
      <c r="C871">
        <v>8413224</v>
      </c>
      <c r="E871">
        <v>0.16847999999999999</v>
      </c>
      <c r="F871">
        <v>0</v>
      </c>
      <c r="G871">
        <v>0</v>
      </c>
      <c r="H871">
        <v>0</v>
      </c>
      <c r="I871" t="s">
        <v>71</v>
      </c>
      <c r="J871">
        <v>0</v>
      </c>
      <c r="K871">
        <v>0.16847999999999999</v>
      </c>
      <c r="L871">
        <v>0</v>
      </c>
      <c r="M871">
        <v>0</v>
      </c>
      <c r="N871">
        <v>0.16847999999999999</v>
      </c>
      <c r="O871" t="s">
        <v>71</v>
      </c>
      <c r="P871">
        <v>0</v>
      </c>
      <c r="Q871" t="s">
        <v>71</v>
      </c>
      <c r="R871">
        <v>0</v>
      </c>
      <c r="S871" t="s">
        <v>71</v>
      </c>
      <c r="T871">
        <v>0</v>
      </c>
      <c r="U871" t="s">
        <v>71</v>
      </c>
      <c r="V871">
        <v>0</v>
      </c>
      <c r="W871" t="s">
        <v>71</v>
      </c>
      <c r="X871">
        <v>0</v>
      </c>
      <c r="Y871">
        <v>0.16847999999999999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117</v>
      </c>
      <c r="AG871">
        <v>36</v>
      </c>
      <c r="AH871">
        <v>0</v>
      </c>
      <c r="AI871">
        <v>1.4999999999999999E-2</v>
      </c>
      <c r="AK871" t="s">
        <v>272</v>
      </c>
      <c r="AM871">
        <v>200000</v>
      </c>
      <c r="AN871" t="s">
        <v>73</v>
      </c>
      <c r="AO871">
        <v>1</v>
      </c>
      <c r="AP871">
        <v>0</v>
      </c>
      <c r="AQ871">
        <v>16666.666666666668</v>
      </c>
      <c r="AR871" t="s">
        <v>9</v>
      </c>
      <c r="AS871" t="s">
        <v>75</v>
      </c>
      <c r="AX871" t="s">
        <v>76</v>
      </c>
      <c r="AY871" t="s">
        <v>71</v>
      </c>
      <c r="AZ871">
        <v>0</v>
      </c>
      <c r="BA871" t="s">
        <v>71</v>
      </c>
      <c r="BB871">
        <v>0</v>
      </c>
      <c r="BD871">
        <v>0.16847999999999999</v>
      </c>
    </row>
    <row r="872" spans="1:56" x14ac:dyDescent="0.15">
      <c r="A872" s="4" t="str">
        <f>HYPERLINK("https://ibp.a2mac1.com/costing(costing:projects/details/9760/part/8413364)","Busbar 1")</f>
        <v>Busbar 1</v>
      </c>
      <c r="B872">
        <v>8413364</v>
      </c>
      <c r="C872">
        <v>8413225</v>
      </c>
      <c r="D872" t="s">
        <v>2772</v>
      </c>
      <c r="E872">
        <v>0.61787999999999998</v>
      </c>
      <c r="F872">
        <v>0</v>
      </c>
      <c r="G872">
        <v>0</v>
      </c>
      <c r="H872">
        <v>0</v>
      </c>
      <c r="I872" t="s">
        <v>71</v>
      </c>
      <c r="J872">
        <v>0</v>
      </c>
      <c r="K872">
        <v>0.61787999999999998</v>
      </c>
      <c r="L872">
        <v>0</v>
      </c>
      <c r="M872">
        <v>0</v>
      </c>
      <c r="N872">
        <v>0.61787999999999998</v>
      </c>
      <c r="O872" t="s">
        <v>71</v>
      </c>
      <c r="P872">
        <v>0</v>
      </c>
      <c r="Q872" t="s">
        <v>71</v>
      </c>
      <c r="R872">
        <v>0</v>
      </c>
      <c r="S872" t="s">
        <v>71</v>
      </c>
      <c r="T872">
        <v>0</v>
      </c>
      <c r="U872" t="s">
        <v>71</v>
      </c>
      <c r="V872">
        <v>0</v>
      </c>
      <c r="W872" t="s">
        <v>71</v>
      </c>
      <c r="X872">
        <v>0</v>
      </c>
      <c r="Y872">
        <v>0.61787999999999998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54</v>
      </c>
      <c r="AF872">
        <v>41</v>
      </c>
      <c r="AG872">
        <v>31</v>
      </c>
      <c r="AH872">
        <v>0</v>
      </c>
      <c r="AI872">
        <v>5.6000000000000001E-2</v>
      </c>
      <c r="AK872" t="s">
        <v>272</v>
      </c>
      <c r="AM872">
        <v>200000</v>
      </c>
      <c r="AN872" t="s">
        <v>73</v>
      </c>
      <c r="AO872">
        <v>1</v>
      </c>
      <c r="AP872">
        <v>0</v>
      </c>
      <c r="AQ872">
        <v>16666.666666666668</v>
      </c>
      <c r="AR872" t="s">
        <v>9</v>
      </c>
      <c r="AS872" t="s">
        <v>75</v>
      </c>
      <c r="AX872" t="s">
        <v>76</v>
      </c>
      <c r="AY872" t="s">
        <v>71</v>
      </c>
      <c r="AZ872">
        <v>0</v>
      </c>
      <c r="BA872" t="s">
        <v>71</v>
      </c>
      <c r="BB872">
        <v>0</v>
      </c>
      <c r="BD872">
        <v>0.61787999999999998</v>
      </c>
    </row>
    <row r="873" spans="1:56" x14ac:dyDescent="0.15">
      <c r="A873" s="4" t="str">
        <f>HYPERLINK("https://ibp.a2mac1.com/costing(costing:projects/details/9760/part/8413532)","12V Power Connector 1")</f>
        <v>12V Power Connector 1</v>
      </c>
      <c r="B873">
        <v>8413532</v>
      </c>
      <c r="C873">
        <v>8413365</v>
      </c>
      <c r="E873">
        <v>2.375</v>
      </c>
      <c r="F873">
        <v>0</v>
      </c>
      <c r="G873">
        <v>0</v>
      </c>
      <c r="H873">
        <v>0</v>
      </c>
      <c r="I873" t="s">
        <v>71</v>
      </c>
      <c r="J873">
        <v>0</v>
      </c>
      <c r="K873">
        <v>2.375</v>
      </c>
      <c r="L873">
        <v>0</v>
      </c>
      <c r="M873">
        <v>0</v>
      </c>
      <c r="N873">
        <v>2.375</v>
      </c>
      <c r="O873" t="s">
        <v>71</v>
      </c>
      <c r="P873">
        <v>0</v>
      </c>
      <c r="Q873" t="s">
        <v>71</v>
      </c>
      <c r="R873">
        <v>0</v>
      </c>
      <c r="S873" t="s">
        <v>71</v>
      </c>
      <c r="T873">
        <v>0</v>
      </c>
      <c r="U873" t="s">
        <v>71</v>
      </c>
      <c r="V873">
        <v>0</v>
      </c>
      <c r="W873" t="s">
        <v>71</v>
      </c>
      <c r="X873">
        <v>0</v>
      </c>
      <c r="Y873">
        <v>2.375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62</v>
      </c>
      <c r="AF873">
        <v>54</v>
      </c>
      <c r="AG873">
        <v>22</v>
      </c>
      <c r="AH873">
        <v>0</v>
      </c>
      <c r="AI873">
        <v>3.9E-2</v>
      </c>
      <c r="AK873" t="s">
        <v>1761</v>
      </c>
      <c r="AM873">
        <v>200000</v>
      </c>
      <c r="AN873" t="s">
        <v>97</v>
      </c>
      <c r="AO873">
        <v>1</v>
      </c>
      <c r="AP873">
        <v>0</v>
      </c>
      <c r="AQ873">
        <v>16666.666666666668</v>
      </c>
      <c r="AR873" t="s">
        <v>9</v>
      </c>
      <c r="AS873" t="s">
        <v>75</v>
      </c>
      <c r="AX873" t="s">
        <v>76</v>
      </c>
      <c r="AY873" t="s">
        <v>71</v>
      </c>
      <c r="AZ873">
        <v>0</v>
      </c>
      <c r="BA873" t="s">
        <v>71</v>
      </c>
      <c r="BB873">
        <v>0</v>
      </c>
      <c r="BD873">
        <v>2.375</v>
      </c>
    </row>
    <row r="874" spans="1:56" x14ac:dyDescent="0.15">
      <c r="A874" s="4" t="str">
        <f>HYPERLINK("https://ibp.a2mac1.com/costing(costing:projects/details/9760/part/8413366)","Ferrite 1")</f>
        <v>Ferrite 1</v>
      </c>
      <c r="B874">
        <v>8413366</v>
      </c>
      <c r="C874">
        <v>8413227</v>
      </c>
      <c r="E874">
        <v>0.52</v>
      </c>
      <c r="F874">
        <v>0</v>
      </c>
      <c r="G874">
        <v>0</v>
      </c>
      <c r="H874">
        <v>0</v>
      </c>
      <c r="I874" t="s">
        <v>71</v>
      </c>
      <c r="J874">
        <v>0</v>
      </c>
      <c r="K874">
        <v>0.52</v>
      </c>
      <c r="L874">
        <v>0</v>
      </c>
      <c r="M874">
        <v>0</v>
      </c>
      <c r="N874">
        <v>0.52</v>
      </c>
      <c r="O874" t="s">
        <v>71</v>
      </c>
      <c r="P874">
        <v>0</v>
      </c>
      <c r="Q874" t="s">
        <v>71</v>
      </c>
      <c r="R874">
        <v>0</v>
      </c>
      <c r="S874" t="s">
        <v>71</v>
      </c>
      <c r="T874">
        <v>0</v>
      </c>
      <c r="U874" t="s">
        <v>71</v>
      </c>
      <c r="V874">
        <v>0</v>
      </c>
      <c r="W874" t="s">
        <v>71</v>
      </c>
      <c r="X874">
        <v>0</v>
      </c>
      <c r="Y874">
        <v>0.52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7</v>
      </c>
      <c r="AF874">
        <v>30</v>
      </c>
      <c r="AG874">
        <v>30</v>
      </c>
      <c r="AH874">
        <v>0</v>
      </c>
      <c r="AI874">
        <v>3.2500000000000001E-2</v>
      </c>
      <c r="AK874" t="s">
        <v>272</v>
      </c>
      <c r="AM874">
        <v>400000</v>
      </c>
      <c r="AN874" t="s">
        <v>73</v>
      </c>
      <c r="AO874">
        <v>2</v>
      </c>
      <c r="AP874">
        <v>0</v>
      </c>
      <c r="AQ874">
        <v>33333.333333333336</v>
      </c>
      <c r="AR874" t="s">
        <v>9</v>
      </c>
      <c r="AS874" t="s">
        <v>75</v>
      </c>
      <c r="AX874" t="s">
        <v>76</v>
      </c>
      <c r="AY874" t="s">
        <v>71</v>
      </c>
      <c r="AZ874">
        <v>0</v>
      </c>
      <c r="BA874" t="s">
        <v>71</v>
      </c>
      <c r="BB874">
        <v>0</v>
      </c>
      <c r="BD874">
        <v>0.26</v>
      </c>
    </row>
    <row r="875" spans="1:56" x14ac:dyDescent="0.15">
      <c r="A875" s="4" t="str">
        <f>HYPERLINK("https://ibp.a2mac1.com/costing(costing:projects/details/9760/part/8413228)","PCB 1")</f>
        <v>PCB 1</v>
      </c>
      <c r="B875">
        <v>8413228</v>
      </c>
      <c r="C875">
        <v>8413082</v>
      </c>
      <c r="E875">
        <v>1.7794000000000001</v>
      </c>
      <c r="F875">
        <v>0</v>
      </c>
      <c r="G875">
        <v>0</v>
      </c>
      <c r="H875">
        <v>0</v>
      </c>
      <c r="I875" t="s">
        <v>71</v>
      </c>
      <c r="J875">
        <v>0</v>
      </c>
      <c r="K875">
        <v>1.7794000000000001</v>
      </c>
      <c r="L875">
        <v>0</v>
      </c>
      <c r="M875">
        <v>0</v>
      </c>
      <c r="N875">
        <v>1.7794000000000001</v>
      </c>
      <c r="O875" t="s">
        <v>71</v>
      </c>
      <c r="P875">
        <v>0</v>
      </c>
      <c r="Q875" t="s">
        <v>71</v>
      </c>
      <c r="R875">
        <v>0</v>
      </c>
      <c r="S875" t="s">
        <v>71</v>
      </c>
      <c r="T875">
        <v>0</v>
      </c>
      <c r="U875" t="s">
        <v>71</v>
      </c>
      <c r="V875">
        <v>0</v>
      </c>
      <c r="W875" t="s">
        <v>71</v>
      </c>
      <c r="X875">
        <v>0</v>
      </c>
      <c r="Y875">
        <v>1.7794000000000001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15</v>
      </c>
      <c r="AF875">
        <v>43</v>
      </c>
      <c r="AG875">
        <v>39</v>
      </c>
      <c r="AH875">
        <v>2.0299999999999998</v>
      </c>
      <c r="AI875">
        <v>0</v>
      </c>
      <c r="AK875" t="s">
        <v>272</v>
      </c>
      <c r="AM875">
        <v>200000</v>
      </c>
      <c r="AN875" t="s">
        <v>73</v>
      </c>
      <c r="AO875">
        <v>1</v>
      </c>
      <c r="AP875">
        <v>0</v>
      </c>
      <c r="AQ875">
        <v>16666.666666666668</v>
      </c>
      <c r="AR875" t="s">
        <v>9</v>
      </c>
      <c r="AS875" t="s">
        <v>75</v>
      </c>
      <c r="AX875" t="s">
        <v>76</v>
      </c>
      <c r="AY875" t="s">
        <v>71</v>
      </c>
      <c r="AZ875">
        <v>0</v>
      </c>
      <c r="BA875" t="s">
        <v>71</v>
      </c>
      <c r="BB875">
        <v>0</v>
      </c>
      <c r="BD875">
        <v>1.7794000000000001</v>
      </c>
    </row>
    <row r="876" spans="1:56" x14ac:dyDescent="0.15">
      <c r="A876" s="4" t="str">
        <f>HYPERLINK("https://ibp.a2mac1.com/costing(costing:projects/details/9760/part/8413083)","Cell")</f>
        <v>Cell</v>
      </c>
      <c r="B876">
        <v>8413083</v>
      </c>
      <c r="C876">
        <v>8412993</v>
      </c>
      <c r="D876" t="s">
        <v>2781</v>
      </c>
      <c r="E876">
        <v>8862.48</v>
      </c>
      <c r="F876">
        <v>0</v>
      </c>
      <c r="G876">
        <v>0</v>
      </c>
      <c r="H876">
        <v>0</v>
      </c>
      <c r="I876" t="s">
        <v>71</v>
      </c>
      <c r="J876">
        <v>0</v>
      </c>
      <c r="K876">
        <v>8862.48</v>
      </c>
      <c r="L876">
        <v>0</v>
      </c>
      <c r="M876">
        <v>0</v>
      </c>
      <c r="N876">
        <v>8862.48</v>
      </c>
      <c r="O876" t="s">
        <v>71</v>
      </c>
      <c r="P876">
        <v>0</v>
      </c>
      <c r="Q876" t="s">
        <v>71</v>
      </c>
      <c r="R876">
        <v>0</v>
      </c>
      <c r="S876" t="s">
        <v>71</v>
      </c>
      <c r="T876">
        <v>0</v>
      </c>
      <c r="U876" t="s">
        <v>71</v>
      </c>
      <c r="V876">
        <v>0</v>
      </c>
      <c r="W876" t="s">
        <v>71</v>
      </c>
      <c r="X876">
        <v>0</v>
      </c>
      <c r="Y876">
        <v>8862.48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211</v>
      </c>
      <c r="AF876">
        <v>105</v>
      </c>
      <c r="AG876">
        <v>48</v>
      </c>
      <c r="AI876">
        <v>2.2440000000000002</v>
      </c>
      <c r="AK876" t="s">
        <v>2782</v>
      </c>
      <c r="AM876">
        <v>39600000</v>
      </c>
      <c r="AN876" t="s">
        <v>97</v>
      </c>
      <c r="AO876">
        <v>198</v>
      </c>
      <c r="AP876">
        <v>0</v>
      </c>
      <c r="AQ876">
        <v>3300000</v>
      </c>
      <c r="AR876" t="s">
        <v>2783</v>
      </c>
      <c r="AS876" t="s">
        <v>75</v>
      </c>
      <c r="AX876" t="s">
        <v>76</v>
      </c>
      <c r="AY876" t="s">
        <v>71</v>
      </c>
      <c r="AZ876">
        <v>0</v>
      </c>
      <c r="BA876" t="s">
        <v>71</v>
      </c>
      <c r="BB876">
        <v>0</v>
      </c>
      <c r="BD876">
        <v>44.76</v>
      </c>
    </row>
    <row r="877" spans="1:56" x14ac:dyDescent="0.15">
      <c r="A877" s="4" t="str">
        <f>HYPERLINK("https://ibp.a2mac1.com/costing(costing:projects/details/9760/part/8413367)","Cell to Cell Interconnect")</f>
        <v>Cell to Cell Interconnect</v>
      </c>
      <c r="B877">
        <v>8413367</v>
      </c>
      <c r="C877">
        <v>8413229</v>
      </c>
      <c r="D877" t="s">
        <v>2790</v>
      </c>
      <c r="E877">
        <v>37.823999999999998</v>
      </c>
      <c r="F877">
        <v>0</v>
      </c>
      <c r="G877">
        <v>0</v>
      </c>
      <c r="H877">
        <v>0</v>
      </c>
      <c r="I877" t="s">
        <v>71</v>
      </c>
      <c r="J877">
        <v>0</v>
      </c>
      <c r="K877">
        <v>37.823999999999998</v>
      </c>
      <c r="L877">
        <v>0</v>
      </c>
      <c r="M877">
        <v>0</v>
      </c>
      <c r="N877">
        <v>37.823999999999998</v>
      </c>
      <c r="O877" t="s">
        <v>71</v>
      </c>
      <c r="P877">
        <v>0</v>
      </c>
      <c r="Q877" t="s">
        <v>71</v>
      </c>
      <c r="R877">
        <v>0</v>
      </c>
      <c r="S877" t="s">
        <v>71</v>
      </c>
      <c r="T877">
        <v>0</v>
      </c>
      <c r="U877" t="s">
        <v>71</v>
      </c>
      <c r="V877">
        <v>0</v>
      </c>
      <c r="W877" t="s">
        <v>71</v>
      </c>
      <c r="X877">
        <v>0</v>
      </c>
      <c r="Y877">
        <v>37.823999999999998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88</v>
      </c>
      <c r="AF877">
        <v>59</v>
      </c>
      <c r="AG877">
        <v>3</v>
      </c>
      <c r="AI877">
        <v>1.755E-2</v>
      </c>
      <c r="AK877" t="s">
        <v>2791</v>
      </c>
      <c r="AM877">
        <v>38400000</v>
      </c>
      <c r="AN877" t="s">
        <v>97</v>
      </c>
      <c r="AO877">
        <v>192</v>
      </c>
      <c r="AP877">
        <v>0</v>
      </c>
      <c r="AQ877">
        <v>3200000</v>
      </c>
      <c r="AR877" t="s">
        <v>2792</v>
      </c>
      <c r="AS877" t="s">
        <v>75</v>
      </c>
      <c r="AX877" t="s">
        <v>76</v>
      </c>
      <c r="AY877" t="s">
        <v>71</v>
      </c>
      <c r="AZ877">
        <v>0</v>
      </c>
      <c r="BA877" t="s">
        <v>71</v>
      </c>
      <c r="BB877">
        <v>0</v>
      </c>
      <c r="BD877">
        <v>0.19700000000000001</v>
      </c>
    </row>
    <row r="878" spans="1:56" x14ac:dyDescent="0.15">
      <c r="A878" s="4" t="str">
        <f>HYPERLINK("https://ibp.a2mac1.com/costing(costing:projects/details/9760/part/8413368)","Second Cell to Cell Interconnect")</f>
        <v>Second Cell to Cell Interconnect</v>
      </c>
      <c r="B878">
        <v>8413368</v>
      </c>
      <c r="C878">
        <v>8413229</v>
      </c>
      <c r="D878" t="s">
        <v>2790</v>
      </c>
      <c r="E878">
        <v>0.747</v>
      </c>
      <c r="F878">
        <v>0</v>
      </c>
      <c r="G878">
        <v>0</v>
      </c>
      <c r="H878">
        <v>0</v>
      </c>
      <c r="I878" t="s">
        <v>71</v>
      </c>
      <c r="J878">
        <v>0</v>
      </c>
      <c r="K878">
        <v>0.747</v>
      </c>
      <c r="L878">
        <v>0</v>
      </c>
      <c r="M878">
        <v>0</v>
      </c>
      <c r="N878">
        <v>0.747</v>
      </c>
      <c r="O878" t="s">
        <v>71</v>
      </c>
      <c r="P878">
        <v>0</v>
      </c>
      <c r="Q878" t="s">
        <v>71</v>
      </c>
      <c r="R878">
        <v>0</v>
      </c>
      <c r="S878" t="s">
        <v>71</v>
      </c>
      <c r="T878">
        <v>0</v>
      </c>
      <c r="U878" t="s">
        <v>71</v>
      </c>
      <c r="V878">
        <v>0</v>
      </c>
      <c r="W878" t="s">
        <v>71</v>
      </c>
      <c r="X878">
        <v>0</v>
      </c>
      <c r="Y878">
        <v>0.747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146</v>
      </c>
      <c r="AF878">
        <v>49</v>
      </c>
      <c r="AG878">
        <v>6</v>
      </c>
      <c r="AI878">
        <v>2.5000000000000001E-2</v>
      </c>
      <c r="AK878" t="s">
        <v>2791</v>
      </c>
      <c r="AM878">
        <v>600000</v>
      </c>
      <c r="AN878" t="s">
        <v>97</v>
      </c>
      <c r="AO878">
        <v>3</v>
      </c>
      <c r="AP878">
        <v>0</v>
      </c>
      <c r="AQ878">
        <v>50000</v>
      </c>
      <c r="AR878" t="s">
        <v>2793</v>
      </c>
      <c r="AS878" t="s">
        <v>75</v>
      </c>
      <c r="AX878" t="s">
        <v>76</v>
      </c>
      <c r="AY878" t="s">
        <v>71</v>
      </c>
      <c r="AZ878">
        <v>0</v>
      </c>
      <c r="BA878" t="s">
        <v>71</v>
      </c>
      <c r="BB878">
        <v>0</v>
      </c>
      <c r="BD878">
        <v>0.249</v>
      </c>
    </row>
    <row r="879" spans="1:56" x14ac:dyDescent="0.15">
      <c r="A879" s="4" t="str">
        <f>HYPERLINK("https://ibp.a2mac1.com/costing(costing:projects/details/9760/part/8413369)","Cell Separator")</f>
        <v>Cell Separator</v>
      </c>
      <c r="B879">
        <v>8413369</v>
      </c>
      <c r="C879">
        <v>8413229</v>
      </c>
      <c r="D879" t="s">
        <v>2794</v>
      </c>
      <c r="E879">
        <v>1.65</v>
      </c>
      <c r="F879">
        <v>0</v>
      </c>
      <c r="G879">
        <v>0</v>
      </c>
      <c r="H879">
        <v>0</v>
      </c>
      <c r="I879" t="s">
        <v>71</v>
      </c>
      <c r="J879">
        <v>0</v>
      </c>
      <c r="K879">
        <v>1.65</v>
      </c>
      <c r="L879">
        <v>0</v>
      </c>
      <c r="M879">
        <v>0</v>
      </c>
      <c r="N879">
        <v>1.65</v>
      </c>
      <c r="O879" t="s">
        <v>71</v>
      </c>
      <c r="P879">
        <v>0</v>
      </c>
      <c r="Q879" t="s">
        <v>71</v>
      </c>
      <c r="R879">
        <v>0</v>
      </c>
      <c r="S879" t="s">
        <v>71</v>
      </c>
      <c r="T879">
        <v>0</v>
      </c>
      <c r="U879" t="s">
        <v>71</v>
      </c>
      <c r="V879">
        <v>0</v>
      </c>
      <c r="W879" t="s">
        <v>71</v>
      </c>
      <c r="X879">
        <v>0</v>
      </c>
      <c r="Y879">
        <v>1.65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78</v>
      </c>
      <c r="AF879">
        <v>41</v>
      </c>
      <c r="AG879">
        <v>1</v>
      </c>
      <c r="AI879">
        <v>1.6999999999999999E-3</v>
      </c>
      <c r="AK879" t="s">
        <v>2791</v>
      </c>
      <c r="AM879">
        <v>33000000</v>
      </c>
      <c r="AN879" t="s">
        <v>97</v>
      </c>
      <c r="AO879">
        <v>165</v>
      </c>
      <c r="AP879">
        <v>0</v>
      </c>
      <c r="AQ879">
        <v>2750000</v>
      </c>
      <c r="AR879" t="s">
        <v>2795</v>
      </c>
      <c r="AS879" t="s">
        <v>75</v>
      </c>
      <c r="AX879" t="s">
        <v>76</v>
      </c>
      <c r="AY879" t="s">
        <v>71</v>
      </c>
      <c r="AZ879">
        <v>0</v>
      </c>
      <c r="BA879" t="s">
        <v>71</v>
      </c>
      <c r="BB879">
        <v>0</v>
      </c>
      <c r="BD879">
        <v>0.01</v>
      </c>
    </row>
    <row r="880" spans="1:56" x14ac:dyDescent="0.15">
      <c r="A880" s="4" t="str">
        <f>HYPERLINK("https://ibp.a2mac1.com/costing(costing:projects/details/9760/part/8413370)","Cell Module Enclosure")</f>
        <v>Cell Module Enclosure</v>
      </c>
      <c r="B880">
        <v>8413370</v>
      </c>
      <c r="C880">
        <v>8413229</v>
      </c>
      <c r="D880" t="s">
        <v>2796</v>
      </c>
      <c r="E880">
        <v>6.8310000000000004</v>
      </c>
      <c r="F880">
        <v>0</v>
      </c>
      <c r="G880">
        <v>0</v>
      </c>
      <c r="H880">
        <v>0</v>
      </c>
      <c r="I880" t="s">
        <v>71</v>
      </c>
      <c r="J880">
        <v>0</v>
      </c>
      <c r="K880">
        <v>6.8310000000000004</v>
      </c>
      <c r="L880">
        <v>0</v>
      </c>
      <c r="M880">
        <v>0</v>
      </c>
      <c r="N880">
        <v>6.8310000000000004</v>
      </c>
      <c r="O880" t="s">
        <v>71</v>
      </c>
      <c r="P880">
        <v>0</v>
      </c>
      <c r="Q880" t="s">
        <v>71</v>
      </c>
      <c r="R880">
        <v>0</v>
      </c>
      <c r="S880" t="s">
        <v>71</v>
      </c>
      <c r="T880">
        <v>0</v>
      </c>
      <c r="U880" t="s">
        <v>71</v>
      </c>
      <c r="V880">
        <v>0</v>
      </c>
      <c r="W880" t="s">
        <v>71</v>
      </c>
      <c r="X880">
        <v>0</v>
      </c>
      <c r="Y880">
        <v>6.8310000000000004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1750</v>
      </c>
      <c r="AF880">
        <v>431</v>
      </c>
      <c r="AG880">
        <v>4</v>
      </c>
      <c r="AI880">
        <v>0.27467000000000003</v>
      </c>
      <c r="AK880" t="s">
        <v>272</v>
      </c>
      <c r="AM880">
        <v>600000</v>
      </c>
      <c r="AN880" t="s">
        <v>73</v>
      </c>
      <c r="AO880">
        <v>3</v>
      </c>
      <c r="AP880">
        <v>0</v>
      </c>
      <c r="AQ880">
        <v>50000</v>
      </c>
      <c r="AR880" t="s">
        <v>2797</v>
      </c>
      <c r="AS880" t="s">
        <v>75</v>
      </c>
      <c r="AX880" t="s">
        <v>76</v>
      </c>
      <c r="AY880" t="s">
        <v>71</v>
      </c>
      <c r="AZ880">
        <v>0</v>
      </c>
      <c r="BA880" t="s">
        <v>71</v>
      </c>
      <c r="BB880">
        <v>0</v>
      </c>
      <c r="BD880">
        <v>2.2770000000000001</v>
      </c>
    </row>
    <row r="881" spans="1:56" x14ac:dyDescent="0.15">
      <c r="A881" s="4" t="str">
        <f>HYPERLINK("https://ibp.a2mac1.com/costing(costing:projects/details/9760/part/8413371)","Terminal 1")</f>
        <v>Terminal 1</v>
      </c>
      <c r="B881">
        <v>8413371</v>
      </c>
      <c r="C881">
        <v>8413229</v>
      </c>
      <c r="D881" t="s">
        <v>2790</v>
      </c>
      <c r="E881">
        <v>1.3320000000000001</v>
      </c>
      <c r="F881">
        <v>0</v>
      </c>
      <c r="G881">
        <v>0</v>
      </c>
      <c r="H881">
        <v>0</v>
      </c>
      <c r="I881" t="s">
        <v>71</v>
      </c>
      <c r="J881">
        <v>0</v>
      </c>
      <c r="K881">
        <v>1.3320000000000001</v>
      </c>
      <c r="L881">
        <v>0</v>
      </c>
      <c r="M881">
        <v>0</v>
      </c>
      <c r="N881">
        <v>1.3320000000000001</v>
      </c>
      <c r="O881" t="s">
        <v>71</v>
      </c>
      <c r="P881">
        <v>0</v>
      </c>
      <c r="Q881" t="s">
        <v>71</v>
      </c>
      <c r="R881">
        <v>0</v>
      </c>
      <c r="S881" t="s">
        <v>71</v>
      </c>
      <c r="T881">
        <v>0</v>
      </c>
      <c r="U881" t="s">
        <v>71</v>
      </c>
      <c r="V881">
        <v>0</v>
      </c>
      <c r="W881" t="s">
        <v>71</v>
      </c>
      <c r="X881">
        <v>0</v>
      </c>
      <c r="Y881">
        <v>1.3320000000000001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90</v>
      </c>
      <c r="AF881">
        <v>60</v>
      </c>
      <c r="AG881">
        <v>14</v>
      </c>
      <c r="AI881">
        <v>2.0670000000000001E-2</v>
      </c>
      <c r="AK881" t="s">
        <v>2791</v>
      </c>
      <c r="AM881">
        <v>1200000</v>
      </c>
      <c r="AN881" t="s">
        <v>97</v>
      </c>
      <c r="AO881">
        <v>6</v>
      </c>
      <c r="AP881">
        <v>0</v>
      </c>
      <c r="AQ881">
        <v>100000</v>
      </c>
      <c r="AR881" t="s">
        <v>2798</v>
      </c>
      <c r="AS881" t="s">
        <v>75</v>
      </c>
      <c r="AX881" t="s">
        <v>76</v>
      </c>
      <c r="AY881" t="s">
        <v>71</v>
      </c>
      <c r="AZ881">
        <v>0</v>
      </c>
      <c r="BA881" t="s">
        <v>71</v>
      </c>
      <c r="BB881">
        <v>0</v>
      </c>
      <c r="BD881">
        <v>0.222</v>
      </c>
    </row>
    <row r="882" spans="1:56" x14ac:dyDescent="0.15">
      <c r="A882" s="4" t="str">
        <f>HYPERLINK("https://ibp.a2mac1.com/costing(costing:projects/details/9760/part/8413372)","Terminal 1 Support")</f>
        <v>Terminal 1 Support</v>
      </c>
      <c r="B882">
        <v>8413372</v>
      </c>
      <c r="C882">
        <v>8413229</v>
      </c>
      <c r="D882" t="s">
        <v>2799</v>
      </c>
      <c r="E882">
        <v>1.512</v>
      </c>
      <c r="F882">
        <v>0</v>
      </c>
      <c r="G882">
        <v>0</v>
      </c>
      <c r="H882">
        <v>0</v>
      </c>
      <c r="I882" t="s">
        <v>71</v>
      </c>
      <c r="J882">
        <v>0</v>
      </c>
      <c r="K882">
        <v>1.512</v>
      </c>
      <c r="L882">
        <v>0</v>
      </c>
      <c r="M882">
        <v>0</v>
      </c>
      <c r="N882">
        <v>1.512</v>
      </c>
      <c r="O882" t="s">
        <v>71</v>
      </c>
      <c r="P882">
        <v>0</v>
      </c>
      <c r="Q882" t="s">
        <v>71</v>
      </c>
      <c r="R882">
        <v>0</v>
      </c>
      <c r="S882" t="s">
        <v>71</v>
      </c>
      <c r="T882">
        <v>0</v>
      </c>
      <c r="U882" t="s">
        <v>71</v>
      </c>
      <c r="V882">
        <v>0</v>
      </c>
      <c r="W882" t="s">
        <v>71</v>
      </c>
      <c r="X882">
        <v>0</v>
      </c>
      <c r="Y882">
        <v>1.512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89</v>
      </c>
      <c r="AF882">
        <v>37</v>
      </c>
      <c r="AG882">
        <v>37</v>
      </c>
      <c r="AI882">
        <v>2.5329999999999998E-2</v>
      </c>
      <c r="AK882" t="s">
        <v>2791</v>
      </c>
      <c r="AM882">
        <v>1200000</v>
      </c>
      <c r="AN882" t="s">
        <v>97</v>
      </c>
      <c r="AO882">
        <v>6</v>
      </c>
      <c r="AP882">
        <v>0</v>
      </c>
      <c r="AQ882">
        <v>100000</v>
      </c>
      <c r="AR882" t="s">
        <v>2800</v>
      </c>
      <c r="AS882" t="s">
        <v>75</v>
      </c>
      <c r="AX882" t="s">
        <v>76</v>
      </c>
      <c r="AY882" t="s">
        <v>71</v>
      </c>
      <c r="AZ882">
        <v>0</v>
      </c>
      <c r="BA882" t="s">
        <v>71</v>
      </c>
      <c r="BB882">
        <v>0</v>
      </c>
      <c r="BD882">
        <v>0.252</v>
      </c>
    </row>
    <row r="883" spans="1:56" x14ac:dyDescent="0.15">
      <c r="A883" s="4" t="str">
        <f>HYPERLINK("https://ibp.a2mac1.com/costing(costing:projects/details/9760/part/8413373)","Terminal Protection")</f>
        <v>Terminal Protection</v>
      </c>
      <c r="B883">
        <v>8413373</v>
      </c>
      <c r="C883">
        <v>8413229</v>
      </c>
      <c r="D883" t="s">
        <v>2801</v>
      </c>
      <c r="E883">
        <v>0.378</v>
      </c>
      <c r="F883">
        <v>0</v>
      </c>
      <c r="G883">
        <v>0</v>
      </c>
      <c r="H883">
        <v>0</v>
      </c>
      <c r="I883" t="s">
        <v>71</v>
      </c>
      <c r="J883">
        <v>0</v>
      </c>
      <c r="K883">
        <v>0.378</v>
      </c>
      <c r="L883">
        <v>0</v>
      </c>
      <c r="M883">
        <v>0</v>
      </c>
      <c r="N883">
        <v>0.378</v>
      </c>
      <c r="O883" t="s">
        <v>71</v>
      </c>
      <c r="P883">
        <v>0</v>
      </c>
      <c r="Q883" t="s">
        <v>71</v>
      </c>
      <c r="R883">
        <v>0</v>
      </c>
      <c r="S883" t="s">
        <v>71</v>
      </c>
      <c r="T883">
        <v>0</v>
      </c>
      <c r="U883" t="s">
        <v>71</v>
      </c>
      <c r="V883">
        <v>0</v>
      </c>
      <c r="W883" t="s">
        <v>71</v>
      </c>
      <c r="X883">
        <v>0</v>
      </c>
      <c r="Y883">
        <v>0.378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63</v>
      </c>
      <c r="AF883">
        <v>53</v>
      </c>
      <c r="AG883">
        <v>22</v>
      </c>
      <c r="AI883">
        <v>8.0000000000000002E-3</v>
      </c>
      <c r="AK883" t="s">
        <v>272</v>
      </c>
      <c r="AM883">
        <v>1200000</v>
      </c>
      <c r="AN883" t="s">
        <v>73</v>
      </c>
      <c r="AO883">
        <v>6</v>
      </c>
      <c r="AP883">
        <v>0</v>
      </c>
      <c r="AQ883">
        <v>100000</v>
      </c>
      <c r="AR883" t="s">
        <v>2802</v>
      </c>
      <c r="AS883" t="s">
        <v>75</v>
      </c>
      <c r="AX883" t="s">
        <v>76</v>
      </c>
      <c r="AY883" t="s">
        <v>71</v>
      </c>
      <c r="AZ883">
        <v>0</v>
      </c>
      <c r="BA883" t="s">
        <v>71</v>
      </c>
      <c r="BB883">
        <v>0</v>
      </c>
      <c r="BD883">
        <v>6.3E-2</v>
      </c>
    </row>
    <row r="884" spans="1:56" x14ac:dyDescent="0.15">
      <c r="A884" s="4" t="str">
        <f>HYPERLINK("https://ibp.a2mac1.com/costing(costing:projects/details/9760/part/8413374)","Support")</f>
        <v>Support</v>
      </c>
      <c r="B884">
        <v>8413374</v>
      </c>
      <c r="C884">
        <v>8413229</v>
      </c>
      <c r="D884" t="s">
        <v>2803</v>
      </c>
      <c r="E884">
        <v>0.14699999999999999</v>
      </c>
      <c r="F884">
        <v>0</v>
      </c>
      <c r="G884">
        <v>0</v>
      </c>
      <c r="H884">
        <v>0</v>
      </c>
      <c r="I884" t="s">
        <v>71</v>
      </c>
      <c r="J884">
        <v>0</v>
      </c>
      <c r="K884">
        <v>0.14699999999999999</v>
      </c>
      <c r="L884">
        <v>0</v>
      </c>
      <c r="M884">
        <v>0</v>
      </c>
      <c r="N884">
        <v>0.14699999999999999</v>
      </c>
      <c r="O884" t="s">
        <v>71</v>
      </c>
      <c r="P884">
        <v>0</v>
      </c>
      <c r="Q884" t="s">
        <v>71</v>
      </c>
      <c r="R884">
        <v>0</v>
      </c>
      <c r="S884" t="s">
        <v>71</v>
      </c>
      <c r="T884">
        <v>0</v>
      </c>
      <c r="U884" t="s">
        <v>71</v>
      </c>
      <c r="V884">
        <v>0</v>
      </c>
      <c r="W884" t="s">
        <v>71</v>
      </c>
      <c r="X884">
        <v>0</v>
      </c>
      <c r="Y884">
        <v>0.14699999999999999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92</v>
      </c>
      <c r="AF884">
        <v>36</v>
      </c>
      <c r="AG884">
        <v>4</v>
      </c>
      <c r="AI884">
        <v>4.3299999999999996E-3</v>
      </c>
      <c r="AK884" t="s">
        <v>272</v>
      </c>
      <c r="AM884">
        <v>600000</v>
      </c>
      <c r="AN884" t="s">
        <v>73</v>
      </c>
      <c r="AO884">
        <v>3</v>
      </c>
      <c r="AP884">
        <v>0</v>
      </c>
      <c r="AQ884">
        <v>50000</v>
      </c>
      <c r="AR884" t="s">
        <v>2804</v>
      </c>
      <c r="AS884" t="s">
        <v>75</v>
      </c>
      <c r="AX884" t="s">
        <v>76</v>
      </c>
      <c r="AY884" t="s">
        <v>71</v>
      </c>
      <c r="AZ884">
        <v>0</v>
      </c>
      <c r="BA884" t="s">
        <v>71</v>
      </c>
      <c r="BB884">
        <v>0</v>
      </c>
      <c r="BD884">
        <v>4.9000000000000002E-2</v>
      </c>
    </row>
    <row r="885" spans="1:56" x14ac:dyDescent="0.15">
      <c r="A885" s="4" t="str">
        <f>HYPERLINK("https://ibp.a2mac1.com/costing(costing:projects/details/9760/part/8413375)","Insulation Sheet 1")</f>
        <v>Insulation Sheet 1</v>
      </c>
      <c r="B885">
        <v>8413375</v>
      </c>
      <c r="C885">
        <v>8413229</v>
      </c>
      <c r="D885" t="s">
        <v>2805</v>
      </c>
      <c r="E885">
        <v>5.532</v>
      </c>
      <c r="F885">
        <v>0</v>
      </c>
      <c r="G885">
        <v>0</v>
      </c>
      <c r="H885">
        <v>0</v>
      </c>
      <c r="I885" t="s">
        <v>71</v>
      </c>
      <c r="J885">
        <v>0</v>
      </c>
      <c r="K885">
        <v>5.532</v>
      </c>
      <c r="L885">
        <v>0</v>
      </c>
      <c r="M885">
        <v>0</v>
      </c>
      <c r="N885">
        <v>5.532</v>
      </c>
      <c r="O885" t="s">
        <v>71</v>
      </c>
      <c r="P885">
        <v>0</v>
      </c>
      <c r="Q885" t="s">
        <v>71</v>
      </c>
      <c r="R885">
        <v>0</v>
      </c>
      <c r="S885" t="s">
        <v>71</v>
      </c>
      <c r="T885">
        <v>0</v>
      </c>
      <c r="U885" t="s">
        <v>71</v>
      </c>
      <c r="V885">
        <v>0</v>
      </c>
      <c r="W885" t="s">
        <v>71</v>
      </c>
      <c r="X885">
        <v>0</v>
      </c>
      <c r="Y885">
        <v>5.532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1750</v>
      </c>
      <c r="AF885">
        <v>75</v>
      </c>
      <c r="AG885">
        <v>0.4</v>
      </c>
      <c r="AI885">
        <v>6.5579999999999999E-2</v>
      </c>
      <c r="AK885" t="s">
        <v>272</v>
      </c>
      <c r="AM885">
        <v>2400000</v>
      </c>
      <c r="AN885" t="s">
        <v>73</v>
      </c>
      <c r="AO885">
        <v>12</v>
      </c>
      <c r="AP885">
        <v>0</v>
      </c>
      <c r="AQ885">
        <v>200000</v>
      </c>
      <c r="AR885" t="s">
        <v>2806</v>
      </c>
      <c r="AS885" t="s">
        <v>75</v>
      </c>
      <c r="AX885" t="s">
        <v>76</v>
      </c>
      <c r="AY885" t="s">
        <v>71</v>
      </c>
      <c r="AZ885">
        <v>0</v>
      </c>
      <c r="BA885" t="s">
        <v>71</v>
      </c>
      <c r="BB885">
        <v>0</v>
      </c>
      <c r="BD885">
        <v>0.46100000000000002</v>
      </c>
    </row>
    <row r="886" spans="1:56" x14ac:dyDescent="0.15">
      <c r="A886" s="4" t="str">
        <f>HYPERLINK("https://ibp.a2mac1.com/costing(costing:projects/details/9760/part/8413376)","Bracket 1")</f>
        <v>Bracket 1</v>
      </c>
      <c r="B886">
        <v>8413376</v>
      </c>
      <c r="C886">
        <v>8413229</v>
      </c>
      <c r="D886" t="s">
        <v>2803</v>
      </c>
      <c r="E886">
        <v>0.27</v>
      </c>
      <c r="F886">
        <v>0</v>
      </c>
      <c r="G886">
        <v>0</v>
      </c>
      <c r="H886">
        <v>0</v>
      </c>
      <c r="I886" t="s">
        <v>71</v>
      </c>
      <c r="J886">
        <v>0</v>
      </c>
      <c r="K886">
        <v>0.27</v>
      </c>
      <c r="L886">
        <v>0</v>
      </c>
      <c r="M886">
        <v>0</v>
      </c>
      <c r="N886">
        <v>0.27</v>
      </c>
      <c r="O886" t="s">
        <v>71</v>
      </c>
      <c r="P886">
        <v>0</v>
      </c>
      <c r="Q886" t="s">
        <v>71</v>
      </c>
      <c r="R886">
        <v>0</v>
      </c>
      <c r="S886" t="s">
        <v>71</v>
      </c>
      <c r="T886">
        <v>0</v>
      </c>
      <c r="U886" t="s">
        <v>71</v>
      </c>
      <c r="V886">
        <v>0</v>
      </c>
      <c r="W886" t="s">
        <v>71</v>
      </c>
      <c r="X886">
        <v>0</v>
      </c>
      <c r="Y886">
        <v>0.27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100</v>
      </c>
      <c r="AF886">
        <v>36</v>
      </c>
      <c r="AG886">
        <v>4</v>
      </c>
      <c r="AI886">
        <v>3.6700000000000001E-3</v>
      </c>
      <c r="AK886" t="s">
        <v>272</v>
      </c>
      <c r="AM886">
        <v>1200000</v>
      </c>
      <c r="AN886" t="s">
        <v>73</v>
      </c>
      <c r="AO886">
        <v>6</v>
      </c>
      <c r="AP886">
        <v>0</v>
      </c>
      <c r="AQ886">
        <v>100000</v>
      </c>
      <c r="AR886" t="s">
        <v>2807</v>
      </c>
      <c r="AS886" t="s">
        <v>75</v>
      </c>
      <c r="AX886" t="s">
        <v>76</v>
      </c>
      <c r="AY886" t="s">
        <v>71</v>
      </c>
      <c r="AZ886">
        <v>0</v>
      </c>
      <c r="BA886" t="s">
        <v>71</v>
      </c>
      <c r="BB886">
        <v>0</v>
      </c>
      <c r="BD886">
        <v>4.4999999999999998E-2</v>
      </c>
    </row>
    <row r="887" spans="1:56" x14ac:dyDescent="0.15">
      <c r="A887" s="4" t="str">
        <f>HYPERLINK("https://ibp.a2mac1.com/costing(costing:projects/details/9760/part/8413377)","Bracket 2")</f>
        <v>Bracket 2</v>
      </c>
      <c r="B887">
        <v>8413377</v>
      </c>
      <c r="C887">
        <v>8413229</v>
      </c>
      <c r="D887" t="s">
        <v>2803</v>
      </c>
      <c r="E887">
        <v>0.61599999999999999</v>
      </c>
      <c r="F887">
        <v>0</v>
      </c>
      <c r="G887">
        <v>0</v>
      </c>
      <c r="H887">
        <v>0</v>
      </c>
      <c r="I887" t="s">
        <v>71</v>
      </c>
      <c r="J887">
        <v>0</v>
      </c>
      <c r="K887">
        <v>0.61599999999999999</v>
      </c>
      <c r="L887">
        <v>0</v>
      </c>
      <c r="M887">
        <v>0</v>
      </c>
      <c r="N887">
        <v>0.61599999999999999</v>
      </c>
      <c r="O887" t="s">
        <v>71</v>
      </c>
      <c r="P887">
        <v>0</v>
      </c>
      <c r="Q887" t="s">
        <v>71</v>
      </c>
      <c r="R887">
        <v>0</v>
      </c>
      <c r="S887" t="s">
        <v>71</v>
      </c>
      <c r="T887">
        <v>0</v>
      </c>
      <c r="U887" t="s">
        <v>71</v>
      </c>
      <c r="V887">
        <v>0</v>
      </c>
      <c r="W887" t="s">
        <v>71</v>
      </c>
      <c r="X887">
        <v>0</v>
      </c>
      <c r="Y887">
        <v>0.61599999999999999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100</v>
      </c>
      <c r="AF887">
        <v>36</v>
      </c>
      <c r="AG887">
        <v>4</v>
      </c>
      <c r="AI887">
        <v>3.5000000000000001E-3</v>
      </c>
      <c r="AK887" t="s">
        <v>272</v>
      </c>
      <c r="AM887">
        <v>2800000</v>
      </c>
      <c r="AN887" t="s">
        <v>73</v>
      </c>
      <c r="AO887">
        <v>14</v>
      </c>
      <c r="AP887">
        <v>0</v>
      </c>
      <c r="AQ887">
        <v>233333.33333333334</v>
      </c>
      <c r="AR887" t="s">
        <v>2808</v>
      </c>
      <c r="AS887" t="s">
        <v>75</v>
      </c>
      <c r="AX887" t="s">
        <v>76</v>
      </c>
      <c r="AY887" t="s">
        <v>71</v>
      </c>
      <c r="AZ887">
        <v>0</v>
      </c>
      <c r="BA887" t="s">
        <v>71</v>
      </c>
      <c r="BB887">
        <v>0</v>
      </c>
      <c r="BD887">
        <v>4.3999999999999997E-2</v>
      </c>
    </row>
    <row r="888" spans="1:56" x14ac:dyDescent="0.15">
      <c r="A888" s="4" t="str">
        <f>HYPERLINK("https://ibp.a2mac1.com/costing(costing:projects/details/9760/part/8413378)","Flex PCB 1")</f>
        <v>Flex PCB 1</v>
      </c>
      <c r="B888">
        <v>8413378</v>
      </c>
      <c r="C888">
        <v>8413229</v>
      </c>
      <c r="D888" t="s">
        <v>284</v>
      </c>
      <c r="E888">
        <v>96.762</v>
      </c>
      <c r="F888">
        <v>0</v>
      </c>
      <c r="G888">
        <v>0</v>
      </c>
      <c r="H888">
        <v>0</v>
      </c>
      <c r="I888" t="s">
        <v>71</v>
      </c>
      <c r="J888">
        <v>0</v>
      </c>
      <c r="K888">
        <v>96.762</v>
      </c>
      <c r="L888">
        <v>0</v>
      </c>
      <c r="M888">
        <v>0</v>
      </c>
      <c r="N888">
        <v>96.762</v>
      </c>
      <c r="O888" t="s">
        <v>71</v>
      </c>
      <c r="P888">
        <v>0</v>
      </c>
      <c r="Q888" t="s">
        <v>71</v>
      </c>
      <c r="R888">
        <v>0</v>
      </c>
      <c r="S888" t="s">
        <v>71</v>
      </c>
      <c r="T888">
        <v>0</v>
      </c>
      <c r="U888" t="s">
        <v>71</v>
      </c>
      <c r="V888">
        <v>0</v>
      </c>
      <c r="W888" t="s">
        <v>71</v>
      </c>
      <c r="X888">
        <v>0</v>
      </c>
      <c r="Y888">
        <v>96.762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K888" t="s">
        <v>272</v>
      </c>
      <c r="AM888">
        <v>600000</v>
      </c>
      <c r="AN888" t="s">
        <v>97</v>
      </c>
      <c r="AO888">
        <v>3</v>
      </c>
      <c r="AP888">
        <v>0</v>
      </c>
      <c r="AQ888">
        <v>50000</v>
      </c>
      <c r="AR888" t="s">
        <v>9</v>
      </c>
      <c r="AS888" t="s">
        <v>75</v>
      </c>
      <c r="AV888">
        <v>0</v>
      </c>
      <c r="AW888">
        <v>0</v>
      </c>
      <c r="AX888" t="s">
        <v>76</v>
      </c>
      <c r="AY888" t="s">
        <v>71</v>
      </c>
      <c r="AZ888">
        <v>0</v>
      </c>
      <c r="BA888" t="s">
        <v>71</v>
      </c>
      <c r="BB888">
        <v>0</v>
      </c>
      <c r="BD888">
        <v>32.253999999999998</v>
      </c>
    </row>
    <row r="889" spans="1:56" x14ac:dyDescent="0.15">
      <c r="A889" s="4" t="str">
        <f>HYPERLINK("https://ibp.a2mac1.com/costing(costing:projects/details/9760/part/8413379)","Flex PCB 2")</f>
        <v>Flex PCB 2</v>
      </c>
      <c r="B889">
        <v>8413379</v>
      </c>
      <c r="C889">
        <v>8413229</v>
      </c>
      <c r="D889" t="s">
        <v>284</v>
      </c>
      <c r="E889">
        <v>96.75</v>
      </c>
      <c r="F889">
        <v>0</v>
      </c>
      <c r="G889">
        <v>0</v>
      </c>
      <c r="H889">
        <v>0</v>
      </c>
      <c r="I889" t="s">
        <v>71</v>
      </c>
      <c r="J889">
        <v>0</v>
      </c>
      <c r="K889">
        <v>96.75</v>
      </c>
      <c r="L889">
        <v>0</v>
      </c>
      <c r="M889">
        <v>0</v>
      </c>
      <c r="N889">
        <v>96.75</v>
      </c>
      <c r="O889" t="s">
        <v>71</v>
      </c>
      <c r="P889">
        <v>0</v>
      </c>
      <c r="Q889" t="s">
        <v>71</v>
      </c>
      <c r="R889">
        <v>0</v>
      </c>
      <c r="S889" t="s">
        <v>71</v>
      </c>
      <c r="T889">
        <v>0</v>
      </c>
      <c r="U889" t="s">
        <v>71</v>
      </c>
      <c r="V889">
        <v>0</v>
      </c>
      <c r="W889" t="s">
        <v>71</v>
      </c>
      <c r="X889">
        <v>0</v>
      </c>
      <c r="Y889">
        <v>96.75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K889" t="s">
        <v>272</v>
      </c>
      <c r="AM889">
        <v>600000</v>
      </c>
      <c r="AN889" t="s">
        <v>97</v>
      </c>
      <c r="AO889">
        <v>3</v>
      </c>
      <c r="AP889">
        <v>0</v>
      </c>
      <c r="AQ889">
        <v>50000</v>
      </c>
      <c r="AR889" t="s">
        <v>9</v>
      </c>
      <c r="AS889" t="s">
        <v>75</v>
      </c>
      <c r="AV889">
        <v>0</v>
      </c>
      <c r="AW889">
        <v>0</v>
      </c>
      <c r="AX889" t="s">
        <v>76</v>
      </c>
      <c r="AY889" t="s">
        <v>71</v>
      </c>
      <c r="AZ889">
        <v>0</v>
      </c>
      <c r="BA889" t="s">
        <v>71</v>
      </c>
      <c r="BB889">
        <v>0</v>
      </c>
      <c r="BD889">
        <v>32.25</v>
      </c>
    </row>
    <row r="890" spans="1:56" x14ac:dyDescent="0.15">
      <c r="A890" s="4" t="str">
        <f>HYPERLINK("https://ibp.a2mac1.com/costing(costing:projects/details/9760/part/8413641)","Cross Member 01")</f>
        <v>Cross Member 01</v>
      </c>
      <c r="B890">
        <v>8413641</v>
      </c>
      <c r="C890">
        <v>8413617</v>
      </c>
      <c r="D890" t="s">
        <v>2824</v>
      </c>
      <c r="E890">
        <v>12.825183867730647</v>
      </c>
      <c r="F890">
        <v>0</v>
      </c>
      <c r="G890">
        <v>0</v>
      </c>
      <c r="H890">
        <v>1.3570242366914105E-2</v>
      </c>
      <c r="I890" t="s">
        <v>176</v>
      </c>
      <c r="J890">
        <v>0.45669084888653233</v>
      </c>
      <c r="K890">
        <v>13.295444958984094</v>
      </c>
      <c r="L890">
        <v>2.8695511775764753</v>
      </c>
      <c r="M890">
        <v>17.217307065458851</v>
      </c>
      <c r="N890">
        <v>30.512752024442943</v>
      </c>
      <c r="O890" t="s">
        <v>177</v>
      </c>
      <c r="P890">
        <v>0.79772669753904557</v>
      </c>
      <c r="Q890" t="s">
        <v>177</v>
      </c>
      <c r="R890">
        <v>1.033038423927531</v>
      </c>
      <c r="S890" t="s">
        <v>178</v>
      </c>
      <c r="T890">
        <v>3.6615302429331531</v>
      </c>
      <c r="U890" t="s">
        <v>90</v>
      </c>
      <c r="V890">
        <v>0</v>
      </c>
      <c r="W890" t="s">
        <v>90</v>
      </c>
      <c r="X890">
        <v>0</v>
      </c>
      <c r="Y890">
        <v>36.005047388842677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1380</v>
      </c>
      <c r="AF890">
        <v>99</v>
      </c>
      <c r="AG890">
        <v>50</v>
      </c>
      <c r="AI890">
        <v>3.5339999999999998</v>
      </c>
      <c r="AK890" t="s">
        <v>2791</v>
      </c>
      <c r="AM890">
        <v>200000</v>
      </c>
      <c r="AN890" t="s">
        <v>97</v>
      </c>
      <c r="AO890">
        <v>1</v>
      </c>
      <c r="AP890">
        <v>0</v>
      </c>
      <c r="AQ890">
        <v>16666.666666666668</v>
      </c>
      <c r="AR890" t="s">
        <v>2825</v>
      </c>
      <c r="AS890" t="s">
        <v>75</v>
      </c>
      <c r="AX890" t="s">
        <v>76</v>
      </c>
      <c r="AY890" t="s">
        <v>176</v>
      </c>
      <c r="AZ890">
        <v>0</v>
      </c>
      <c r="BA890" t="s">
        <v>176</v>
      </c>
      <c r="BB890">
        <v>0</v>
      </c>
    </row>
    <row r="891" spans="1:56" x14ac:dyDescent="0.15">
      <c r="A891" s="4" t="str">
        <f>HYPERLINK("https://ibp.a2mac1.com/costing(costing:projects/details/9760/part/8413642)","Bracket 01")</f>
        <v>Bracket 01</v>
      </c>
      <c r="B891">
        <v>8413642</v>
      </c>
      <c r="C891">
        <v>8413617</v>
      </c>
      <c r="D891" t="s">
        <v>2790</v>
      </c>
      <c r="E891">
        <v>1.92</v>
      </c>
      <c r="F891">
        <v>0</v>
      </c>
      <c r="G891">
        <v>0</v>
      </c>
      <c r="H891">
        <v>0</v>
      </c>
      <c r="I891" t="s">
        <v>71</v>
      </c>
      <c r="J891">
        <v>0</v>
      </c>
      <c r="K891">
        <v>1.92</v>
      </c>
      <c r="L891">
        <v>0</v>
      </c>
      <c r="M891">
        <v>0</v>
      </c>
      <c r="N891">
        <v>1.92</v>
      </c>
      <c r="O891" t="s">
        <v>71</v>
      </c>
      <c r="P891">
        <v>0</v>
      </c>
      <c r="Q891" t="s">
        <v>71</v>
      </c>
      <c r="R891">
        <v>0</v>
      </c>
      <c r="S891" t="s">
        <v>71</v>
      </c>
      <c r="T891">
        <v>0</v>
      </c>
      <c r="U891" t="s">
        <v>71</v>
      </c>
      <c r="V891">
        <v>0</v>
      </c>
      <c r="W891" t="s">
        <v>71</v>
      </c>
      <c r="X891">
        <v>0</v>
      </c>
      <c r="Y891">
        <v>1.92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50</v>
      </c>
      <c r="AF891">
        <v>40</v>
      </c>
      <c r="AG891">
        <v>0</v>
      </c>
      <c r="AI891">
        <v>1.567E-2</v>
      </c>
      <c r="AK891" t="s">
        <v>2826</v>
      </c>
      <c r="AM891">
        <v>1200000</v>
      </c>
      <c r="AN891" t="s">
        <v>97</v>
      </c>
      <c r="AO891">
        <v>6</v>
      </c>
      <c r="AP891">
        <v>0</v>
      </c>
      <c r="AQ891">
        <v>100000</v>
      </c>
      <c r="AR891" t="s">
        <v>2827</v>
      </c>
      <c r="AS891" t="s">
        <v>75</v>
      </c>
      <c r="AX891" t="s">
        <v>76</v>
      </c>
      <c r="AY891" t="s">
        <v>71</v>
      </c>
      <c r="AZ891">
        <v>0</v>
      </c>
      <c r="BA891" t="s">
        <v>71</v>
      </c>
      <c r="BB891">
        <v>0</v>
      </c>
      <c r="BD891">
        <v>0.32</v>
      </c>
    </row>
    <row r="892" spans="1:56" x14ac:dyDescent="0.15">
      <c r="A892" s="4" t="str">
        <f>HYPERLINK("https://ibp.a2mac1.com/costing(costing:projects/details/9760/part/8413643)","Longitudinal Member 01")</f>
        <v>Longitudinal Member 01</v>
      </c>
      <c r="B892">
        <v>8413643</v>
      </c>
      <c r="C892">
        <v>8413618</v>
      </c>
      <c r="D892" t="s">
        <v>2824</v>
      </c>
      <c r="E892">
        <v>2.1800000000000002</v>
      </c>
      <c r="F892">
        <v>0</v>
      </c>
      <c r="G892">
        <v>0</v>
      </c>
      <c r="H892">
        <v>0</v>
      </c>
      <c r="I892" t="s">
        <v>71</v>
      </c>
      <c r="J892">
        <v>0</v>
      </c>
      <c r="K892">
        <v>2.1800000000000002</v>
      </c>
      <c r="L892">
        <v>0</v>
      </c>
      <c r="M892">
        <v>0</v>
      </c>
      <c r="N892">
        <v>2.1800000000000002</v>
      </c>
      <c r="O892" t="s">
        <v>71</v>
      </c>
      <c r="P892">
        <v>0</v>
      </c>
      <c r="Q892" t="s">
        <v>71</v>
      </c>
      <c r="R892">
        <v>0</v>
      </c>
      <c r="S892" t="s">
        <v>71</v>
      </c>
      <c r="T892">
        <v>0</v>
      </c>
      <c r="U892" t="s">
        <v>71</v>
      </c>
      <c r="V892">
        <v>0</v>
      </c>
      <c r="W892" t="s">
        <v>71</v>
      </c>
      <c r="X892">
        <v>0</v>
      </c>
      <c r="Y892">
        <v>2.1800000000000002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144</v>
      </c>
      <c r="AF892">
        <v>40</v>
      </c>
      <c r="AG892">
        <v>30</v>
      </c>
      <c r="AI892">
        <v>0.14199999999999999</v>
      </c>
      <c r="AK892" t="s">
        <v>2791</v>
      </c>
      <c r="AM892">
        <v>200000</v>
      </c>
      <c r="AN892" t="s">
        <v>97</v>
      </c>
      <c r="AO892">
        <v>1</v>
      </c>
      <c r="AP892">
        <v>0</v>
      </c>
      <c r="AQ892">
        <v>16666.666666666668</v>
      </c>
      <c r="AR892" t="s">
        <v>2832</v>
      </c>
      <c r="AS892" t="s">
        <v>75</v>
      </c>
      <c r="AX892" t="s">
        <v>76</v>
      </c>
      <c r="AY892" t="s">
        <v>71</v>
      </c>
      <c r="AZ892">
        <v>0</v>
      </c>
      <c r="BA892" t="s">
        <v>71</v>
      </c>
      <c r="BB892">
        <v>0</v>
      </c>
      <c r="BD892">
        <v>2.1800000000000002</v>
      </c>
    </row>
    <row r="893" spans="1:56" x14ac:dyDescent="0.15">
      <c r="A893" s="4" t="str">
        <f>HYPERLINK("https://ibp.a2mac1.com/costing(costing:projects/details/9760/part/8413644)","Longitudinal Member 02")</f>
        <v>Longitudinal Member 02</v>
      </c>
      <c r="B893">
        <v>8413644</v>
      </c>
      <c r="C893">
        <v>8413619</v>
      </c>
      <c r="D893" t="s">
        <v>2824</v>
      </c>
      <c r="E893">
        <v>2.16</v>
      </c>
      <c r="F893">
        <v>0</v>
      </c>
      <c r="G893">
        <v>0</v>
      </c>
      <c r="H893">
        <v>0</v>
      </c>
      <c r="I893" t="s">
        <v>71</v>
      </c>
      <c r="J893">
        <v>0</v>
      </c>
      <c r="K893">
        <v>2.16</v>
      </c>
      <c r="L893">
        <v>0</v>
      </c>
      <c r="M893">
        <v>0</v>
      </c>
      <c r="N893">
        <v>2.16</v>
      </c>
      <c r="O893" t="s">
        <v>71</v>
      </c>
      <c r="P893">
        <v>0</v>
      </c>
      <c r="Q893" t="s">
        <v>71</v>
      </c>
      <c r="R893">
        <v>0</v>
      </c>
      <c r="S893" t="s">
        <v>71</v>
      </c>
      <c r="T893">
        <v>0</v>
      </c>
      <c r="U893" t="s">
        <v>71</v>
      </c>
      <c r="V893">
        <v>0</v>
      </c>
      <c r="W893" t="s">
        <v>71</v>
      </c>
      <c r="X893">
        <v>0</v>
      </c>
      <c r="Y893">
        <v>2.16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144</v>
      </c>
      <c r="AF893">
        <v>40</v>
      </c>
      <c r="AG893">
        <v>30</v>
      </c>
      <c r="AI893">
        <v>0.14499999999999999</v>
      </c>
      <c r="AK893" t="s">
        <v>2791</v>
      </c>
      <c r="AM893">
        <v>200000</v>
      </c>
      <c r="AN893" t="s">
        <v>97</v>
      </c>
      <c r="AO893">
        <v>1</v>
      </c>
      <c r="AP893">
        <v>0</v>
      </c>
      <c r="AQ893">
        <v>16666.666666666668</v>
      </c>
      <c r="AR893" t="s">
        <v>2835</v>
      </c>
      <c r="AS893" t="s">
        <v>75</v>
      </c>
      <c r="AX893" t="s">
        <v>76</v>
      </c>
      <c r="AY893" t="s">
        <v>71</v>
      </c>
      <c r="AZ893">
        <v>0</v>
      </c>
      <c r="BA893" t="s">
        <v>71</v>
      </c>
      <c r="BB893">
        <v>0</v>
      </c>
      <c r="BD893">
        <v>2.16</v>
      </c>
    </row>
    <row r="894" spans="1:56" x14ac:dyDescent="0.15">
      <c r="A894" s="4" t="str">
        <f>HYPERLINK("https://ibp.a2mac1.com/costing(costing:projects/details/9760/part/8413620)","Outer Front Member 01")</f>
        <v>Outer Front Member 01</v>
      </c>
      <c r="B894">
        <v>8413620</v>
      </c>
      <c r="C894">
        <v>8413583</v>
      </c>
      <c r="D894" t="s">
        <v>2824</v>
      </c>
      <c r="E894">
        <v>28.702252848462354</v>
      </c>
      <c r="F894">
        <v>0</v>
      </c>
      <c r="G894">
        <v>0</v>
      </c>
      <c r="H894">
        <v>3.0369664220572641E-2</v>
      </c>
      <c r="I894" t="s">
        <v>176</v>
      </c>
      <c r="J894">
        <v>1.0220560074231178</v>
      </c>
      <c r="K894">
        <v>29.754678520106044</v>
      </c>
      <c r="L894">
        <v>5.4517922710044253</v>
      </c>
      <c r="M894">
        <v>32.710753626026552</v>
      </c>
      <c r="N894">
        <v>62.465432146132599</v>
      </c>
      <c r="O894" t="s">
        <v>177</v>
      </c>
      <c r="P894">
        <v>1.7852807112063627</v>
      </c>
      <c r="Q894" t="s">
        <v>177</v>
      </c>
      <c r="R894">
        <v>1.9626452175615932</v>
      </c>
      <c r="S894" t="s">
        <v>178</v>
      </c>
      <c r="T894">
        <v>7.4958518575359117</v>
      </c>
      <c r="U894" t="s">
        <v>90</v>
      </c>
      <c r="V894">
        <v>0</v>
      </c>
      <c r="W894" t="s">
        <v>90</v>
      </c>
      <c r="X894">
        <v>0</v>
      </c>
      <c r="Y894">
        <v>73.709209932436465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1395</v>
      </c>
      <c r="AF894">
        <v>169</v>
      </c>
      <c r="AG894">
        <v>111</v>
      </c>
      <c r="AI894">
        <v>7.9020000000000001</v>
      </c>
      <c r="AK894" t="s">
        <v>2791</v>
      </c>
      <c r="AM894">
        <v>200000</v>
      </c>
      <c r="AN894" t="s">
        <v>97</v>
      </c>
      <c r="AO894">
        <v>1</v>
      </c>
      <c r="AP894">
        <v>0</v>
      </c>
      <c r="AQ894">
        <v>16666.666666666668</v>
      </c>
      <c r="AR894" t="s">
        <v>2846</v>
      </c>
      <c r="AS894" t="s">
        <v>75</v>
      </c>
      <c r="AX894" t="s">
        <v>76</v>
      </c>
      <c r="AY894" t="s">
        <v>176</v>
      </c>
      <c r="AZ894">
        <v>0</v>
      </c>
      <c r="BA894" t="s">
        <v>176</v>
      </c>
      <c r="BB894">
        <v>0</v>
      </c>
    </row>
    <row r="895" spans="1:56" x14ac:dyDescent="0.15">
      <c r="A895" s="4" t="str">
        <f>HYPERLINK("https://ibp.a2mac1.com/costing(costing:projects/details/9760/part/8413621)","Member 01 Fixing 01")</f>
        <v>Member 01 Fixing 01</v>
      </c>
      <c r="B895">
        <v>8413621</v>
      </c>
      <c r="C895">
        <v>8413583</v>
      </c>
      <c r="D895" t="s">
        <v>2824</v>
      </c>
      <c r="E895">
        <v>0.44</v>
      </c>
      <c r="F895">
        <v>0</v>
      </c>
      <c r="G895">
        <v>0</v>
      </c>
      <c r="H895">
        <v>0</v>
      </c>
      <c r="I895" t="s">
        <v>71</v>
      </c>
      <c r="J895">
        <v>0</v>
      </c>
      <c r="K895">
        <v>0.44</v>
      </c>
      <c r="L895">
        <v>0</v>
      </c>
      <c r="M895">
        <v>0</v>
      </c>
      <c r="N895">
        <v>0.44</v>
      </c>
      <c r="O895" t="s">
        <v>71</v>
      </c>
      <c r="P895">
        <v>0</v>
      </c>
      <c r="Q895" t="s">
        <v>71</v>
      </c>
      <c r="R895">
        <v>0</v>
      </c>
      <c r="S895" t="s">
        <v>71</v>
      </c>
      <c r="T895">
        <v>0</v>
      </c>
      <c r="U895" t="s">
        <v>71</v>
      </c>
      <c r="V895">
        <v>0</v>
      </c>
      <c r="W895" t="s">
        <v>71</v>
      </c>
      <c r="X895">
        <v>0</v>
      </c>
      <c r="Y895">
        <v>0.44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45</v>
      </c>
      <c r="AF895">
        <v>25</v>
      </c>
      <c r="AG895">
        <v>0</v>
      </c>
      <c r="AI895">
        <v>1.325E-2</v>
      </c>
      <c r="AK895" t="s">
        <v>2826</v>
      </c>
      <c r="AM895">
        <v>800000</v>
      </c>
      <c r="AN895" t="s">
        <v>97</v>
      </c>
      <c r="AO895">
        <v>4</v>
      </c>
      <c r="AP895">
        <v>0</v>
      </c>
      <c r="AQ895">
        <v>66666.666666666672</v>
      </c>
      <c r="AR895" t="s">
        <v>2847</v>
      </c>
      <c r="AS895" t="s">
        <v>75</v>
      </c>
      <c r="AX895" t="s">
        <v>76</v>
      </c>
      <c r="AY895" t="s">
        <v>71</v>
      </c>
      <c r="AZ895">
        <v>0</v>
      </c>
      <c r="BA895" t="s">
        <v>71</v>
      </c>
      <c r="BB895">
        <v>0</v>
      </c>
      <c r="BD895">
        <v>0.11</v>
      </c>
    </row>
    <row r="896" spans="1:56" x14ac:dyDescent="0.15">
      <c r="A896" s="4" t="str">
        <f>HYPERLINK("https://ibp.a2mac1.com/costing(costing:projects/details/9760/part/8413622)","Member 01 Fixing 02")</f>
        <v>Member 01 Fixing 02</v>
      </c>
      <c r="B896">
        <v>8413622</v>
      </c>
      <c r="C896">
        <v>8413583</v>
      </c>
      <c r="D896" t="s">
        <v>2824</v>
      </c>
      <c r="E896">
        <v>1.74</v>
      </c>
      <c r="F896">
        <v>0</v>
      </c>
      <c r="G896">
        <v>0</v>
      </c>
      <c r="H896">
        <v>0</v>
      </c>
      <c r="I896" t="s">
        <v>71</v>
      </c>
      <c r="J896">
        <v>0</v>
      </c>
      <c r="K896">
        <v>1.74</v>
      </c>
      <c r="L896">
        <v>0</v>
      </c>
      <c r="M896">
        <v>0</v>
      </c>
      <c r="N896">
        <v>1.74</v>
      </c>
      <c r="O896" t="s">
        <v>71</v>
      </c>
      <c r="P896">
        <v>0</v>
      </c>
      <c r="Q896" t="s">
        <v>71</v>
      </c>
      <c r="R896">
        <v>0</v>
      </c>
      <c r="S896" t="s">
        <v>71</v>
      </c>
      <c r="T896">
        <v>0</v>
      </c>
      <c r="U896" t="s">
        <v>71</v>
      </c>
      <c r="V896">
        <v>0</v>
      </c>
      <c r="W896" t="s">
        <v>71</v>
      </c>
      <c r="X896">
        <v>0</v>
      </c>
      <c r="Y896">
        <v>1.74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55</v>
      </c>
      <c r="AF896">
        <v>34</v>
      </c>
      <c r="AG896">
        <v>0</v>
      </c>
      <c r="AI896">
        <v>3.9170000000000003E-2</v>
      </c>
      <c r="AK896" t="s">
        <v>2826</v>
      </c>
      <c r="AM896">
        <v>1200000</v>
      </c>
      <c r="AN896" t="s">
        <v>97</v>
      </c>
      <c r="AO896">
        <v>6</v>
      </c>
      <c r="AP896">
        <v>0</v>
      </c>
      <c r="AQ896">
        <v>100000</v>
      </c>
      <c r="AR896" t="s">
        <v>2848</v>
      </c>
      <c r="AS896" t="s">
        <v>75</v>
      </c>
      <c r="AX896" t="s">
        <v>76</v>
      </c>
      <c r="AY896" t="s">
        <v>71</v>
      </c>
      <c r="AZ896">
        <v>0</v>
      </c>
      <c r="BA896" t="s">
        <v>71</v>
      </c>
      <c r="BB896">
        <v>0</v>
      </c>
      <c r="BD896">
        <v>0.28999999999999998</v>
      </c>
    </row>
    <row r="897" spans="1:56" x14ac:dyDescent="0.15">
      <c r="A897" s="4" t="str">
        <f>HYPERLINK("https://ibp.a2mac1.com/costing(costing:projects/details/9760/part/8413623)","Member 01 Closure 01")</f>
        <v>Member 01 Closure 01</v>
      </c>
      <c r="B897">
        <v>8413623</v>
      </c>
      <c r="C897">
        <v>8413583</v>
      </c>
      <c r="D897" t="s">
        <v>2790</v>
      </c>
      <c r="E897">
        <v>1.05999</v>
      </c>
      <c r="F897">
        <v>0</v>
      </c>
      <c r="G897">
        <v>0</v>
      </c>
      <c r="H897">
        <v>0</v>
      </c>
      <c r="I897" t="s">
        <v>71</v>
      </c>
      <c r="J897">
        <v>0</v>
      </c>
      <c r="K897">
        <v>1.05999</v>
      </c>
      <c r="L897">
        <v>0</v>
      </c>
      <c r="M897">
        <v>0</v>
      </c>
      <c r="N897">
        <v>1.05999</v>
      </c>
      <c r="O897" t="s">
        <v>71</v>
      </c>
      <c r="P897">
        <v>0</v>
      </c>
      <c r="Q897" t="s">
        <v>71</v>
      </c>
      <c r="R897">
        <v>0</v>
      </c>
      <c r="S897" t="s">
        <v>71</v>
      </c>
      <c r="T897">
        <v>0</v>
      </c>
      <c r="U897" t="s">
        <v>71</v>
      </c>
      <c r="V897">
        <v>0</v>
      </c>
      <c r="W897" t="s">
        <v>71</v>
      </c>
      <c r="X897">
        <v>0</v>
      </c>
      <c r="Y897">
        <v>1.05999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90</v>
      </c>
      <c r="AF897">
        <v>28</v>
      </c>
      <c r="AG897">
        <v>0</v>
      </c>
      <c r="AI897">
        <v>7.4999999999999997E-2</v>
      </c>
      <c r="AK897" t="s">
        <v>2826</v>
      </c>
      <c r="AM897">
        <v>200000</v>
      </c>
      <c r="AN897" t="s">
        <v>97</v>
      </c>
      <c r="AO897">
        <v>1</v>
      </c>
      <c r="AP897">
        <v>0</v>
      </c>
      <c r="AQ897">
        <v>16666.666666666668</v>
      </c>
      <c r="AR897" t="s">
        <v>2849</v>
      </c>
      <c r="AS897" t="s">
        <v>75</v>
      </c>
      <c r="AX897" t="s">
        <v>76</v>
      </c>
      <c r="AY897" t="s">
        <v>71</v>
      </c>
      <c r="AZ897">
        <v>0</v>
      </c>
      <c r="BA897" t="s">
        <v>71</v>
      </c>
      <c r="BB897">
        <v>0</v>
      </c>
      <c r="BD897">
        <v>1.05999</v>
      </c>
    </row>
    <row r="898" spans="1:56" x14ac:dyDescent="0.15">
      <c r="A898" s="4" t="str">
        <f>HYPERLINK("https://ibp.a2mac1.com/costing(costing:projects/details/9760/part/8413624)","Member 01 Closure 02")</f>
        <v>Member 01 Closure 02</v>
      </c>
      <c r="B898">
        <v>8413624</v>
      </c>
      <c r="C898">
        <v>8413583</v>
      </c>
      <c r="D898" t="s">
        <v>2790</v>
      </c>
      <c r="E898">
        <v>1.06</v>
      </c>
      <c r="F898">
        <v>0</v>
      </c>
      <c r="G898">
        <v>0</v>
      </c>
      <c r="H898">
        <v>0</v>
      </c>
      <c r="I898" t="s">
        <v>71</v>
      </c>
      <c r="J898">
        <v>0</v>
      </c>
      <c r="K898">
        <v>1.06</v>
      </c>
      <c r="L898">
        <v>0</v>
      </c>
      <c r="M898">
        <v>0</v>
      </c>
      <c r="N898">
        <v>1.06</v>
      </c>
      <c r="O898" t="s">
        <v>71</v>
      </c>
      <c r="P898">
        <v>0</v>
      </c>
      <c r="Q898" t="s">
        <v>71</v>
      </c>
      <c r="R898">
        <v>0</v>
      </c>
      <c r="S898" t="s">
        <v>71</v>
      </c>
      <c r="T898">
        <v>0</v>
      </c>
      <c r="U898" t="s">
        <v>71</v>
      </c>
      <c r="V898">
        <v>0</v>
      </c>
      <c r="W898" t="s">
        <v>71</v>
      </c>
      <c r="X898">
        <v>0</v>
      </c>
      <c r="Y898">
        <v>1.06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55</v>
      </c>
      <c r="AF898">
        <v>30</v>
      </c>
      <c r="AG898">
        <v>0</v>
      </c>
      <c r="AI898">
        <v>1.9E-2</v>
      </c>
      <c r="AK898" t="s">
        <v>2826</v>
      </c>
      <c r="AM898">
        <v>400000</v>
      </c>
      <c r="AN898" t="s">
        <v>97</v>
      </c>
      <c r="AO898">
        <v>2</v>
      </c>
      <c r="AP898">
        <v>0</v>
      </c>
      <c r="AQ898">
        <v>33333.333333333336</v>
      </c>
      <c r="AR898" t="s">
        <v>2850</v>
      </c>
      <c r="AS898" t="s">
        <v>75</v>
      </c>
      <c r="AX898" t="s">
        <v>76</v>
      </c>
      <c r="AY898" t="s">
        <v>71</v>
      </c>
      <c r="AZ898">
        <v>0</v>
      </c>
      <c r="BA898" t="s">
        <v>71</v>
      </c>
      <c r="BB898">
        <v>0</v>
      </c>
      <c r="BD898">
        <v>0.53</v>
      </c>
    </row>
    <row r="899" spans="1:56" x14ac:dyDescent="0.15">
      <c r="A899" s="4" t="str">
        <f>HYPERLINK("https://ibp.a2mac1.com/costing(costing:projects/details/9760/part/8413625)","Member 01 Closure 03")</f>
        <v>Member 01 Closure 03</v>
      </c>
      <c r="B899">
        <v>8413625</v>
      </c>
      <c r="C899">
        <v>8413583</v>
      </c>
      <c r="D899" t="s">
        <v>2790</v>
      </c>
      <c r="E899">
        <v>0.9</v>
      </c>
      <c r="F899">
        <v>0</v>
      </c>
      <c r="G899">
        <v>0</v>
      </c>
      <c r="H899">
        <v>0</v>
      </c>
      <c r="I899" t="s">
        <v>71</v>
      </c>
      <c r="J899">
        <v>0</v>
      </c>
      <c r="K899">
        <v>0.9</v>
      </c>
      <c r="L899">
        <v>0</v>
      </c>
      <c r="M899">
        <v>0</v>
      </c>
      <c r="N899">
        <v>0.9</v>
      </c>
      <c r="O899" t="s">
        <v>71</v>
      </c>
      <c r="P899">
        <v>0</v>
      </c>
      <c r="Q899" t="s">
        <v>71</v>
      </c>
      <c r="R899">
        <v>0</v>
      </c>
      <c r="S899" t="s">
        <v>71</v>
      </c>
      <c r="T899">
        <v>0</v>
      </c>
      <c r="U899" t="s">
        <v>71</v>
      </c>
      <c r="V899">
        <v>0</v>
      </c>
      <c r="W899" t="s">
        <v>71</v>
      </c>
      <c r="X899">
        <v>0</v>
      </c>
      <c r="Y899">
        <v>0.9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25</v>
      </c>
      <c r="AF899">
        <v>18</v>
      </c>
      <c r="AG899">
        <v>0</v>
      </c>
      <c r="AI899">
        <v>9.4999999999999998E-3</v>
      </c>
      <c r="AK899" t="s">
        <v>2826</v>
      </c>
      <c r="AM899">
        <v>400000</v>
      </c>
      <c r="AN899" t="s">
        <v>97</v>
      </c>
      <c r="AO899">
        <v>2</v>
      </c>
      <c r="AP899">
        <v>0</v>
      </c>
      <c r="AQ899">
        <v>33333.333333333336</v>
      </c>
      <c r="AR899" t="s">
        <v>2851</v>
      </c>
      <c r="AS899" t="s">
        <v>75</v>
      </c>
      <c r="AX899" t="s">
        <v>76</v>
      </c>
      <c r="AY899" t="s">
        <v>71</v>
      </c>
      <c r="AZ899">
        <v>0</v>
      </c>
      <c r="BA899" t="s">
        <v>71</v>
      </c>
      <c r="BB899">
        <v>0</v>
      </c>
      <c r="BD899">
        <v>0.45</v>
      </c>
    </row>
    <row r="900" spans="1:56" x14ac:dyDescent="0.15">
      <c r="A900" s="4" t="str">
        <f>HYPERLINK("https://ibp.a2mac1.com/costing(costing:projects/details/9760/part/8413626)","Spacer 01")</f>
        <v>Spacer 01</v>
      </c>
      <c r="B900">
        <v>8413626</v>
      </c>
      <c r="C900">
        <v>8413583</v>
      </c>
      <c r="D900" t="s">
        <v>2824</v>
      </c>
      <c r="E900">
        <v>2.58</v>
      </c>
      <c r="F900">
        <v>0</v>
      </c>
      <c r="G900">
        <v>0</v>
      </c>
      <c r="H900">
        <v>0</v>
      </c>
      <c r="I900" t="s">
        <v>71</v>
      </c>
      <c r="J900">
        <v>0</v>
      </c>
      <c r="K900">
        <v>2.58</v>
      </c>
      <c r="L900">
        <v>0</v>
      </c>
      <c r="M900">
        <v>0</v>
      </c>
      <c r="N900">
        <v>2.58</v>
      </c>
      <c r="O900" t="s">
        <v>71</v>
      </c>
      <c r="P900">
        <v>0</v>
      </c>
      <c r="Q900" t="s">
        <v>71</v>
      </c>
      <c r="R900">
        <v>0</v>
      </c>
      <c r="S900" t="s">
        <v>71</v>
      </c>
      <c r="T900">
        <v>0</v>
      </c>
      <c r="U900" t="s">
        <v>71</v>
      </c>
      <c r="V900">
        <v>0</v>
      </c>
      <c r="W900" t="s">
        <v>71</v>
      </c>
      <c r="X900">
        <v>0</v>
      </c>
      <c r="Y900">
        <v>2.58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100</v>
      </c>
      <c r="AF900">
        <v>55</v>
      </c>
      <c r="AG900">
        <v>26</v>
      </c>
      <c r="AI900">
        <v>0.16950000000000001</v>
      </c>
      <c r="AK900" t="s">
        <v>2826</v>
      </c>
      <c r="AM900">
        <v>400000</v>
      </c>
      <c r="AN900" t="s">
        <v>97</v>
      </c>
      <c r="AO900">
        <v>2</v>
      </c>
      <c r="AP900">
        <v>0</v>
      </c>
      <c r="AQ900">
        <v>33333.333333333336</v>
      </c>
      <c r="AR900" t="s">
        <v>2852</v>
      </c>
      <c r="AS900" t="s">
        <v>75</v>
      </c>
      <c r="AX900" t="s">
        <v>76</v>
      </c>
      <c r="AY900" t="s">
        <v>71</v>
      </c>
      <c r="AZ900">
        <v>0</v>
      </c>
      <c r="BA900" t="s">
        <v>71</v>
      </c>
      <c r="BB900">
        <v>0</v>
      </c>
      <c r="BD900">
        <v>1.29</v>
      </c>
    </row>
    <row r="901" spans="1:56" x14ac:dyDescent="0.15">
      <c r="A901" s="4" t="str">
        <f>HYPERLINK("https://ibp.a2mac1.com/costing(costing:projects/details/9760/part/8413627)","Spacer 02")</f>
        <v>Spacer 02</v>
      </c>
      <c r="B901">
        <v>8413627</v>
      </c>
      <c r="C901">
        <v>8413583</v>
      </c>
      <c r="D901" t="s">
        <v>2824</v>
      </c>
      <c r="E901">
        <v>1.49</v>
      </c>
      <c r="F901">
        <v>0</v>
      </c>
      <c r="G901">
        <v>0</v>
      </c>
      <c r="H901">
        <v>0</v>
      </c>
      <c r="I901" t="s">
        <v>71</v>
      </c>
      <c r="J901">
        <v>0</v>
      </c>
      <c r="K901">
        <v>1.49</v>
      </c>
      <c r="L901">
        <v>0</v>
      </c>
      <c r="M901">
        <v>0</v>
      </c>
      <c r="N901">
        <v>1.49</v>
      </c>
      <c r="O901" t="s">
        <v>71</v>
      </c>
      <c r="P901">
        <v>0</v>
      </c>
      <c r="Q901" t="s">
        <v>71</v>
      </c>
      <c r="R901">
        <v>0</v>
      </c>
      <c r="S901" t="s">
        <v>71</v>
      </c>
      <c r="T901">
        <v>0</v>
      </c>
      <c r="U901" t="s">
        <v>71</v>
      </c>
      <c r="V901">
        <v>0</v>
      </c>
      <c r="W901" t="s">
        <v>71</v>
      </c>
      <c r="X901">
        <v>0</v>
      </c>
      <c r="Y901">
        <v>1.49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200</v>
      </c>
      <c r="AF901">
        <v>50</v>
      </c>
      <c r="AG901">
        <v>15</v>
      </c>
      <c r="AI901">
        <v>0.20399999999999999</v>
      </c>
      <c r="AK901" t="s">
        <v>2826</v>
      </c>
      <c r="AM901">
        <v>200000</v>
      </c>
      <c r="AN901" t="s">
        <v>97</v>
      </c>
      <c r="AO901">
        <v>1</v>
      </c>
      <c r="AP901">
        <v>0</v>
      </c>
      <c r="AQ901">
        <v>16666.666666666668</v>
      </c>
      <c r="AR901" t="s">
        <v>2853</v>
      </c>
      <c r="AS901" t="s">
        <v>75</v>
      </c>
      <c r="AX901" t="s">
        <v>76</v>
      </c>
      <c r="AY901" t="s">
        <v>71</v>
      </c>
      <c r="AZ901">
        <v>0</v>
      </c>
      <c r="BA901" t="s">
        <v>71</v>
      </c>
      <c r="BB901">
        <v>0</v>
      </c>
      <c r="BD901">
        <v>1.49</v>
      </c>
    </row>
    <row r="902" spans="1:56" x14ac:dyDescent="0.15">
      <c r="A902" s="4" t="str">
        <f>HYPERLINK("https://ibp.a2mac1.com/costing(costing:projects/details/9760/part/8413628)","Outer Side Member 01")</f>
        <v>Outer Side Member 01</v>
      </c>
      <c r="B902">
        <v>8413628</v>
      </c>
      <c r="C902">
        <v>8413584</v>
      </c>
      <c r="D902" t="s">
        <v>2824</v>
      </c>
      <c r="E902">
        <v>39.747170400275714</v>
      </c>
      <c r="F902">
        <v>0</v>
      </c>
      <c r="G902">
        <v>0</v>
      </c>
      <c r="H902">
        <v>4.2056218553552495E-2</v>
      </c>
      <c r="I902" t="s">
        <v>176</v>
      </c>
      <c r="J902">
        <v>1.4153535090137859</v>
      </c>
      <c r="K902">
        <v>41.204580127843052</v>
      </c>
      <c r="L902">
        <v>7.6628801827475685</v>
      </c>
      <c r="M902">
        <v>45.977281096485413</v>
      </c>
      <c r="N902">
        <v>87.181861224328458</v>
      </c>
      <c r="O902" t="s">
        <v>177</v>
      </c>
      <c r="P902">
        <v>2.4722748076705834</v>
      </c>
      <c r="Q902" t="s">
        <v>177</v>
      </c>
      <c r="R902">
        <v>2.7586368657891245</v>
      </c>
      <c r="S902" t="s">
        <v>178</v>
      </c>
      <c r="T902">
        <v>10.461823346919415</v>
      </c>
      <c r="U902" t="s">
        <v>90</v>
      </c>
      <c r="V902">
        <v>0</v>
      </c>
      <c r="W902" t="s">
        <v>90</v>
      </c>
      <c r="X902">
        <v>0</v>
      </c>
      <c r="Y902">
        <v>102.87459624470759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2060</v>
      </c>
      <c r="AF902">
        <v>111</v>
      </c>
      <c r="AG902">
        <v>109</v>
      </c>
      <c r="AI902">
        <v>10.935</v>
      </c>
      <c r="AK902" t="s">
        <v>2791</v>
      </c>
      <c r="AM902">
        <v>200000</v>
      </c>
      <c r="AN902" t="s">
        <v>97</v>
      </c>
      <c r="AO902">
        <v>1</v>
      </c>
      <c r="AP902">
        <v>0</v>
      </c>
      <c r="AQ902">
        <v>16666.666666666668</v>
      </c>
      <c r="AR902" t="s">
        <v>2860</v>
      </c>
      <c r="AS902" t="s">
        <v>75</v>
      </c>
      <c r="AX902" t="s">
        <v>76</v>
      </c>
      <c r="AY902" t="s">
        <v>176</v>
      </c>
      <c r="AZ902">
        <v>0</v>
      </c>
      <c r="BA902" t="s">
        <v>176</v>
      </c>
      <c r="BB902">
        <v>0</v>
      </c>
    </row>
    <row r="903" spans="1:56" x14ac:dyDescent="0.15">
      <c r="A903" s="4" t="str">
        <f>HYPERLINK("https://ibp.a2mac1.com/costing(costing:projects/details/9760/part/8413629)","Member 01 Fixing 01")</f>
        <v>Member 01 Fixing 01</v>
      </c>
      <c r="B903">
        <v>8413629</v>
      </c>
      <c r="C903">
        <v>8413584</v>
      </c>
      <c r="D903" t="s">
        <v>2824</v>
      </c>
      <c r="E903">
        <v>0.64</v>
      </c>
      <c r="F903">
        <v>0</v>
      </c>
      <c r="G903">
        <v>0</v>
      </c>
      <c r="H903">
        <v>0</v>
      </c>
      <c r="I903" t="s">
        <v>71</v>
      </c>
      <c r="J903">
        <v>0</v>
      </c>
      <c r="K903">
        <v>0.64</v>
      </c>
      <c r="L903">
        <v>0</v>
      </c>
      <c r="M903">
        <v>0</v>
      </c>
      <c r="N903">
        <v>0.64</v>
      </c>
      <c r="O903" t="s">
        <v>71</v>
      </c>
      <c r="P903">
        <v>0</v>
      </c>
      <c r="Q903" t="s">
        <v>71</v>
      </c>
      <c r="R903">
        <v>0</v>
      </c>
      <c r="S903" t="s">
        <v>71</v>
      </c>
      <c r="T903">
        <v>0</v>
      </c>
      <c r="U903" t="s">
        <v>71</v>
      </c>
      <c r="V903">
        <v>0</v>
      </c>
      <c r="W903" t="s">
        <v>71</v>
      </c>
      <c r="X903">
        <v>0</v>
      </c>
      <c r="Y903">
        <v>0.64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38</v>
      </c>
      <c r="AF903">
        <v>34</v>
      </c>
      <c r="AG903">
        <v>0</v>
      </c>
      <c r="AI903">
        <v>3.85E-2</v>
      </c>
      <c r="AK903" t="s">
        <v>2791</v>
      </c>
      <c r="AM903">
        <v>400000</v>
      </c>
      <c r="AN903" t="s">
        <v>97</v>
      </c>
      <c r="AO903">
        <v>2</v>
      </c>
      <c r="AP903">
        <v>0</v>
      </c>
      <c r="AQ903">
        <v>33333.333333333336</v>
      </c>
      <c r="AR903" t="s">
        <v>2861</v>
      </c>
      <c r="AS903" t="s">
        <v>75</v>
      </c>
      <c r="AX903" t="s">
        <v>76</v>
      </c>
      <c r="AY903" t="s">
        <v>71</v>
      </c>
      <c r="AZ903">
        <v>0</v>
      </c>
      <c r="BA903" t="s">
        <v>71</v>
      </c>
      <c r="BB903">
        <v>0</v>
      </c>
      <c r="BD903">
        <v>0.32</v>
      </c>
    </row>
    <row r="904" spans="1:56" x14ac:dyDescent="0.15">
      <c r="A904" s="4" t="str">
        <f>HYPERLINK("https://ibp.a2mac1.com/costing(costing:projects/details/9760/part/8413630)","Member 01 Fixing 02")</f>
        <v>Member 01 Fixing 02</v>
      </c>
      <c r="B904">
        <v>8413630</v>
      </c>
      <c r="C904">
        <v>8413584</v>
      </c>
      <c r="D904" t="s">
        <v>2824</v>
      </c>
      <c r="E904">
        <v>2.7</v>
      </c>
      <c r="F904">
        <v>0</v>
      </c>
      <c r="G904">
        <v>0</v>
      </c>
      <c r="H904">
        <v>0</v>
      </c>
      <c r="I904" t="s">
        <v>71</v>
      </c>
      <c r="J904">
        <v>0</v>
      </c>
      <c r="K904">
        <v>2.7</v>
      </c>
      <c r="L904">
        <v>0</v>
      </c>
      <c r="M904">
        <v>0</v>
      </c>
      <c r="N904">
        <v>2.7</v>
      </c>
      <c r="O904" t="s">
        <v>71</v>
      </c>
      <c r="P904">
        <v>0</v>
      </c>
      <c r="Q904" t="s">
        <v>71</v>
      </c>
      <c r="R904">
        <v>0</v>
      </c>
      <c r="S904" t="s">
        <v>71</v>
      </c>
      <c r="T904">
        <v>0</v>
      </c>
      <c r="U904" t="s">
        <v>71</v>
      </c>
      <c r="V904">
        <v>0</v>
      </c>
      <c r="W904" t="s">
        <v>71</v>
      </c>
      <c r="X904">
        <v>0</v>
      </c>
      <c r="Y904">
        <v>2.7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40</v>
      </c>
      <c r="AF904">
        <v>34</v>
      </c>
      <c r="AG904">
        <v>0</v>
      </c>
      <c r="AI904">
        <v>3.0599999999999999E-2</v>
      </c>
      <c r="AK904" t="s">
        <v>2791</v>
      </c>
      <c r="AM904">
        <v>2000000</v>
      </c>
      <c r="AN904" t="s">
        <v>97</v>
      </c>
      <c r="AO904">
        <v>10</v>
      </c>
      <c r="AP904">
        <v>0</v>
      </c>
      <c r="AQ904">
        <v>166666.66666666666</v>
      </c>
      <c r="AR904" t="s">
        <v>2862</v>
      </c>
      <c r="AS904" t="s">
        <v>75</v>
      </c>
      <c r="AX904" t="s">
        <v>76</v>
      </c>
      <c r="AY904" t="s">
        <v>71</v>
      </c>
      <c r="AZ904">
        <v>0</v>
      </c>
      <c r="BA904" t="s">
        <v>71</v>
      </c>
      <c r="BB904">
        <v>0</v>
      </c>
      <c r="BD904">
        <v>0.27</v>
      </c>
    </row>
    <row r="905" spans="1:56" x14ac:dyDescent="0.15">
      <c r="A905" s="4" t="str">
        <f>HYPERLINK("https://ibp.a2mac1.com/costing(costing:projects/details/9760/part/8413631)","Outer Side Member 02")</f>
        <v>Outer Side Member 02</v>
      </c>
      <c r="B905">
        <v>8413631</v>
      </c>
      <c r="C905">
        <v>8413584</v>
      </c>
      <c r="D905" t="s">
        <v>2824</v>
      </c>
      <c r="E905">
        <v>39.492846640858964</v>
      </c>
      <c r="F905">
        <v>0</v>
      </c>
      <c r="G905">
        <v>0</v>
      </c>
      <c r="H905">
        <v>4.1787120262990453E-2</v>
      </c>
      <c r="I905" t="s">
        <v>176</v>
      </c>
      <c r="J905">
        <v>1.406297316542948</v>
      </c>
      <c r="K905">
        <v>40.940931077664899</v>
      </c>
      <c r="L905">
        <v>7.3638468136176289</v>
      </c>
      <c r="M905">
        <v>44.18308088170577</v>
      </c>
      <c r="N905">
        <v>85.124011959370677</v>
      </c>
      <c r="O905" t="s">
        <v>177</v>
      </c>
      <c r="P905">
        <v>2.456455864659894</v>
      </c>
      <c r="Q905" t="s">
        <v>177</v>
      </c>
      <c r="R905">
        <v>2.6509848529023463</v>
      </c>
      <c r="S905" t="s">
        <v>178</v>
      </c>
      <c r="T905">
        <v>10.214881435124481</v>
      </c>
      <c r="U905" t="s">
        <v>90</v>
      </c>
      <c r="V905">
        <v>0</v>
      </c>
      <c r="W905" t="s">
        <v>90</v>
      </c>
      <c r="X905">
        <v>0</v>
      </c>
      <c r="Y905">
        <v>100.44633411205739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2060</v>
      </c>
      <c r="AF905">
        <v>111</v>
      </c>
      <c r="AG905">
        <v>109</v>
      </c>
      <c r="AI905">
        <v>10.866</v>
      </c>
      <c r="AK905" t="s">
        <v>2791</v>
      </c>
      <c r="AM905">
        <v>200000</v>
      </c>
      <c r="AN905" t="s">
        <v>97</v>
      </c>
      <c r="AO905">
        <v>1</v>
      </c>
      <c r="AP905">
        <v>0</v>
      </c>
      <c r="AQ905">
        <v>16666.666666666668</v>
      </c>
      <c r="AR905" t="s">
        <v>2867</v>
      </c>
      <c r="AS905" t="s">
        <v>75</v>
      </c>
      <c r="AX905" t="s">
        <v>76</v>
      </c>
      <c r="AY905" t="s">
        <v>176</v>
      </c>
      <c r="AZ905">
        <v>0</v>
      </c>
      <c r="BA905" t="s">
        <v>176</v>
      </c>
      <c r="BB905">
        <v>0</v>
      </c>
    </row>
    <row r="906" spans="1:56" x14ac:dyDescent="0.15">
      <c r="A906" s="4" t="str">
        <f>HYPERLINK("https://ibp.a2mac1.com/costing(costing:projects/details/9760/part/8413632)","Outer Rear Member 01")</f>
        <v>Outer Rear Member 01</v>
      </c>
      <c r="B906">
        <v>8413632</v>
      </c>
      <c r="C906">
        <v>8413585</v>
      </c>
      <c r="D906" t="s">
        <v>2824</v>
      </c>
      <c r="E906">
        <v>17.875327090434784</v>
      </c>
      <c r="F906">
        <v>0</v>
      </c>
      <c r="G906">
        <v>0</v>
      </c>
      <c r="H906">
        <v>1.8913765565217393E-2</v>
      </c>
      <c r="I906" t="s">
        <v>176</v>
      </c>
      <c r="J906">
        <v>0.63652095652173912</v>
      </c>
      <c r="K906">
        <v>18.530761812521739</v>
      </c>
      <c r="L906">
        <v>3.6083395013092674</v>
      </c>
      <c r="M906">
        <v>21.650037007855605</v>
      </c>
      <c r="N906">
        <v>40.180798820377341</v>
      </c>
      <c r="O906" t="s">
        <v>177</v>
      </c>
      <c r="P906">
        <v>1.1118457087513043</v>
      </c>
      <c r="Q906" t="s">
        <v>177</v>
      </c>
      <c r="R906">
        <v>1.2990022204713363</v>
      </c>
      <c r="S906" t="s">
        <v>178</v>
      </c>
      <c r="T906">
        <v>4.8216958584452811</v>
      </c>
      <c r="U906" t="s">
        <v>90</v>
      </c>
      <c r="V906">
        <v>0</v>
      </c>
      <c r="W906" t="s">
        <v>90</v>
      </c>
      <c r="X906">
        <v>0</v>
      </c>
      <c r="Y906">
        <v>47.413342608045262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1350</v>
      </c>
      <c r="AF906">
        <v>170</v>
      </c>
      <c r="AG906">
        <v>111</v>
      </c>
      <c r="AI906">
        <v>4.9180000000000001</v>
      </c>
      <c r="AK906" t="s">
        <v>2791</v>
      </c>
      <c r="AM906">
        <v>200000</v>
      </c>
      <c r="AN906" t="s">
        <v>97</v>
      </c>
      <c r="AO906">
        <v>1</v>
      </c>
      <c r="AP906">
        <v>0</v>
      </c>
      <c r="AQ906">
        <v>16666.666666666668</v>
      </c>
      <c r="AR906" t="s">
        <v>2874</v>
      </c>
      <c r="AS906" t="s">
        <v>75</v>
      </c>
      <c r="AX906" t="s">
        <v>76</v>
      </c>
      <c r="AY906" t="s">
        <v>176</v>
      </c>
      <c r="AZ906">
        <v>0</v>
      </c>
      <c r="BA906" t="s">
        <v>176</v>
      </c>
      <c r="BB906">
        <v>0</v>
      </c>
    </row>
    <row r="907" spans="1:56" x14ac:dyDescent="0.15">
      <c r="A907" s="4" t="str">
        <f>HYPERLINK("https://ibp.a2mac1.com/costing(costing:projects/details/9760/part/8413633)","Member 01 Fixing 01")</f>
        <v>Member 01 Fixing 01</v>
      </c>
      <c r="B907">
        <v>8413633</v>
      </c>
      <c r="C907">
        <v>8413585</v>
      </c>
      <c r="D907" t="s">
        <v>2824</v>
      </c>
      <c r="E907">
        <v>1.45</v>
      </c>
      <c r="F907">
        <v>0</v>
      </c>
      <c r="G907">
        <v>0</v>
      </c>
      <c r="H907">
        <v>0</v>
      </c>
      <c r="I907" t="s">
        <v>71</v>
      </c>
      <c r="J907">
        <v>0</v>
      </c>
      <c r="K907">
        <v>1.45</v>
      </c>
      <c r="L907">
        <v>0</v>
      </c>
      <c r="M907">
        <v>0</v>
      </c>
      <c r="N907">
        <v>1.45</v>
      </c>
      <c r="O907" t="s">
        <v>71</v>
      </c>
      <c r="P907">
        <v>0</v>
      </c>
      <c r="Q907" t="s">
        <v>71</v>
      </c>
      <c r="R907">
        <v>0</v>
      </c>
      <c r="S907" t="s">
        <v>71</v>
      </c>
      <c r="T907">
        <v>0</v>
      </c>
      <c r="U907" t="s">
        <v>71</v>
      </c>
      <c r="V907">
        <v>0</v>
      </c>
      <c r="W907" t="s">
        <v>71</v>
      </c>
      <c r="X907">
        <v>0</v>
      </c>
      <c r="Y907">
        <v>1.45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35</v>
      </c>
      <c r="AF907">
        <v>26</v>
      </c>
      <c r="AG907">
        <v>20</v>
      </c>
      <c r="AI907">
        <v>3.6200000000000003E-2</v>
      </c>
      <c r="AK907" t="s">
        <v>2826</v>
      </c>
      <c r="AM907">
        <v>1000000</v>
      </c>
      <c r="AN907" t="s">
        <v>97</v>
      </c>
      <c r="AO907">
        <v>5</v>
      </c>
      <c r="AP907">
        <v>0</v>
      </c>
      <c r="AQ907">
        <v>83333.333333333328</v>
      </c>
      <c r="AR907" t="s">
        <v>2875</v>
      </c>
      <c r="AS907" t="s">
        <v>75</v>
      </c>
      <c r="AX907" t="s">
        <v>76</v>
      </c>
      <c r="AY907" t="s">
        <v>71</v>
      </c>
      <c r="AZ907">
        <v>0</v>
      </c>
      <c r="BA907" t="s">
        <v>71</v>
      </c>
      <c r="BB907">
        <v>0</v>
      </c>
      <c r="BD907">
        <v>0.28999999999999998</v>
      </c>
    </row>
    <row r="908" spans="1:56" x14ac:dyDescent="0.15">
      <c r="A908" s="4" t="str">
        <f>HYPERLINK("https://ibp.a2mac1.com/costing(costing:projects/details/9760/part/8413634)","Member 01 Fixing 02")</f>
        <v>Member 01 Fixing 02</v>
      </c>
      <c r="B908">
        <v>8413634</v>
      </c>
      <c r="C908">
        <v>8413585</v>
      </c>
      <c r="D908" t="s">
        <v>2824</v>
      </c>
      <c r="E908">
        <v>0.17</v>
      </c>
      <c r="F908">
        <v>0</v>
      </c>
      <c r="G908">
        <v>0</v>
      </c>
      <c r="H908">
        <v>0</v>
      </c>
      <c r="I908" t="s">
        <v>71</v>
      </c>
      <c r="J908">
        <v>0</v>
      </c>
      <c r="K908">
        <v>0.17</v>
      </c>
      <c r="L908">
        <v>0</v>
      </c>
      <c r="M908">
        <v>0</v>
      </c>
      <c r="N908">
        <v>0.17</v>
      </c>
      <c r="O908" t="s">
        <v>71</v>
      </c>
      <c r="P908">
        <v>0</v>
      </c>
      <c r="Q908" t="s">
        <v>71</v>
      </c>
      <c r="R908">
        <v>0</v>
      </c>
      <c r="S908" t="s">
        <v>71</v>
      </c>
      <c r="T908">
        <v>0</v>
      </c>
      <c r="U908" t="s">
        <v>71</v>
      </c>
      <c r="V908">
        <v>0</v>
      </c>
      <c r="W908" t="s">
        <v>71</v>
      </c>
      <c r="X908">
        <v>0</v>
      </c>
      <c r="Y908">
        <v>0.17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50</v>
      </c>
      <c r="AF908">
        <v>25</v>
      </c>
      <c r="AG908">
        <v>0</v>
      </c>
      <c r="AI908">
        <v>1.4E-2</v>
      </c>
      <c r="AK908" t="s">
        <v>2826</v>
      </c>
      <c r="AM908">
        <v>200000</v>
      </c>
      <c r="AN908" t="s">
        <v>97</v>
      </c>
      <c r="AO908">
        <v>1</v>
      </c>
      <c r="AP908">
        <v>0</v>
      </c>
      <c r="AQ908">
        <v>16666.666666666668</v>
      </c>
      <c r="AR908" t="s">
        <v>2876</v>
      </c>
      <c r="AS908" t="s">
        <v>75</v>
      </c>
      <c r="AX908" t="s">
        <v>76</v>
      </c>
      <c r="AY908" t="s">
        <v>71</v>
      </c>
      <c r="AZ908">
        <v>0</v>
      </c>
      <c r="BA908" t="s">
        <v>71</v>
      </c>
      <c r="BB908">
        <v>0</v>
      </c>
      <c r="BD908">
        <v>0.17</v>
      </c>
    </row>
    <row r="909" spans="1:56" x14ac:dyDescent="0.15">
      <c r="A909" s="4" t="str">
        <f>HYPERLINK("https://ibp.a2mac1.com/costing(costing:projects/details/9760/part/8413635)","Member 01 Fixing 03")</f>
        <v>Member 01 Fixing 03</v>
      </c>
      <c r="B909">
        <v>8413635</v>
      </c>
      <c r="C909">
        <v>8413585</v>
      </c>
      <c r="D909" t="s">
        <v>2824</v>
      </c>
      <c r="E909">
        <v>0.46</v>
      </c>
      <c r="F909">
        <v>0</v>
      </c>
      <c r="G909">
        <v>0</v>
      </c>
      <c r="H909">
        <v>0</v>
      </c>
      <c r="I909" t="s">
        <v>71</v>
      </c>
      <c r="J909">
        <v>0</v>
      </c>
      <c r="K909">
        <v>0.46</v>
      </c>
      <c r="L909">
        <v>0</v>
      </c>
      <c r="M909">
        <v>0</v>
      </c>
      <c r="N909">
        <v>0.46</v>
      </c>
      <c r="O909" t="s">
        <v>71</v>
      </c>
      <c r="P909">
        <v>0</v>
      </c>
      <c r="Q909" t="s">
        <v>71</v>
      </c>
      <c r="R909">
        <v>0</v>
      </c>
      <c r="S909" t="s">
        <v>71</v>
      </c>
      <c r="T909">
        <v>0</v>
      </c>
      <c r="U909" t="s">
        <v>71</v>
      </c>
      <c r="V909">
        <v>0</v>
      </c>
      <c r="W909" t="s">
        <v>71</v>
      </c>
      <c r="X909">
        <v>0</v>
      </c>
      <c r="Y909">
        <v>0.46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34</v>
      </c>
      <c r="AF909">
        <v>27</v>
      </c>
      <c r="AG909">
        <v>0</v>
      </c>
      <c r="AI909">
        <v>2.7E-2</v>
      </c>
      <c r="AK909" t="s">
        <v>2826</v>
      </c>
      <c r="AM909">
        <v>400000</v>
      </c>
      <c r="AN909" t="s">
        <v>97</v>
      </c>
      <c r="AO909">
        <v>2</v>
      </c>
      <c r="AP909">
        <v>0</v>
      </c>
      <c r="AQ909">
        <v>33333.333333333336</v>
      </c>
      <c r="AR909" t="s">
        <v>2877</v>
      </c>
      <c r="AS909" t="s">
        <v>75</v>
      </c>
      <c r="AX909" t="s">
        <v>76</v>
      </c>
      <c r="AY909" t="s">
        <v>71</v>
      </c>
      <c r="AZ909">
        <v>0</v>
      </c>
      <c r="BA909" t="s">
        <v>71</v>
      </c>
      <c r="BB909">
        <v>0</v>
      </c>
      <c r="BD909">
        <v>0.23</v>
      </c>
    </row>
    <row r="910" spans="1:56" x14ac:dyDescent="0.15">
      <c r="A910" s="4" t="str">
        <f>HYPERLINK("https://ibp.a2mac1.com/costing(costing:projects/details/9760/part/8413636)","Member 01 Fixing 04")</f>
        <v>Member 01 Fixing 04</v>
      </c>
      <c r="B910">
        <v>8413636</v>
      </c>
      <c r="C910">
        <v>8413585</v>
      </c>
      <c r="D910" t="s">
        <v>2824</v>
      </c>
      <c r="E910">
        <v>1.62</v>
      </c>
      <c r="F910">
        <v>0</v>
      </c>
      <c r="G910">
        <v>0</v>
      </c>
      <c r="H910">
        <v>0</v>
      </c>
      <c r="I910" t="s">
        <v>71</v>
      </c>
      <c r="J910">
        <v>0</v>
      </c>
      <c r="K910">
        <v>1.62</v>
      </c>
      <c r="L910">
        <v>0</v>
      </c>
      <c r="M910">
        <v>0</v>
      </c>
      <c r="N910">
        <v>1.62</v>
      </c>
      <c r="O910" t="s">
        <v>71</v>
      </c>
      <c r="P910">
        <v>0</v>
      </c>
      <c r="Q910" t="s">
        <v>71</v>
      </c>
      <c r="R910">
        <v>0</v>
      </c>
      <c r="S910" t="s">
        <v>71</v>
      </c>
      <c r="T910">
        <v>0</v>
      </c>
      <c r="U910" t="s">
        <v>71</v>
      </c>
      <c r="V910">
        <v>0</v>
      </c>
      <c r="W910" t="s">
        <v>71</v>
      </c>
      <c r="X910">
        <v>0</v>
      </c>
      <c r="Y910">
        <v>1.62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34</v>
      </c>
      <c r="AF910">
        <v>27</v>
      </c>
      <c r="AG910">
        <v>0</v>
      </c>
      <c r="AI910">
        <v>3.3669999999999999E-2</v>
      </c>
      <c r="AK910" t="s">
        <v>2826</v>
      </c>
      <c r="AM910">
        <v>1200000</v>
      </c>
      <c r="AN910" t="s">
        <v>97</v>
      </c>
      <c r="AO910">
        <v>6</v>
      </c>
      <c r="AP910">
        <v>0</v>
      </c>
      <c r="AQ910">
        <v>100000</v>
      </c>
      <c r="AR910" t="s">
        <v>2878</v>
      </c>
      <c r="AS910" t="s">
        <v>75</v>
      </c>
      <c r="AX910" t="s">
        <v>76</v>
      </c>
      <c r="AY910" t="s">
        <v>71</v>
      </c>
      <c r="AZ910">
        <v>0</v>
      </c>
      <c r="BA910" t="s">
        <v>71</v>
      </c>
      <c r="BB910">
        <v>0</v>
      </c>
      <c r="BD910">
        <v>0.27</v>
      </c>
    </row>
    <row r="911" spans="1:56" x14ac:dyDescent="0.15">
      <c r="A911" s="4" t="str">
        <f>HYPERLINK("https://ibp.a2mac1.com/costing(costing:projects/details/9760/part/8413535)","Fasteners on Body")</f>
        <v>Fasteners on Body</v>
      </c>
      <c r="B911">
        <v>8413535</v>
      </c>
      <c r="C911">
        <v>8413380</v>
      </c>
      <c r="D911" t="s">
        <v>284</v>
      </c>
      <c r="E911">
        <v>7.84</v>
      </c>
      <c r="F911">
        <v>0</v>
      </c>
      <c r="G911">
        <v>0</v>
      </c>
      <c r="H911">
        <v>0</v>
      </c>
      <c r="I911" t="s">
        <v>71</v>
      </c>
      <c r="J911">
        <v>0</v>
      </c>
      <c r="K911">
        <v>7.84</v>
      </c>
      <c r="L911">
        <v>0</v>
      </c>
      <c r="M911">
        <v>0</v>
      </c>
      <c r="N911">
        <v>7.84</v>
      </c>
      <c r="O911" t="s">
        <v>71</v>
      </c>
      <c r="P911">
        <v>0</v>
      </c>
      <c r="Q911" t="s">
        <v>71</v>
      </c>
      <c r="R911">
        <v>0</v>
      </c>
      <c r="S911" t="s">
        <v>71</v>
      </c>
      <c r="T911">
        <v>0</v>
      </c>
      <c r="U911" t="s">
        <v>71</v>
      </c>
      <c r="V911">
        <v>0</v>
      </c>
      <c r="W911" t="s">
        <v>71</v>
      </c>
      <c r="X911">
        <v>0</v>
      </c>
      <c r="Y911">
        <v>7.84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I911">
        <v>1E-4</v>
      </c>
      <c r="AK911" t="s">
        <v>72</v>
      </c>
      <c r="AM911">
        <v>3200000</v>
      </c>
      <c r="AN911" t="s">
        <v>73</v>
      </c>
      <c r="AO911">
        <v>16</v>
      </c>
      <c r="AP911">
        <v>0</v>
      </c>
      <c r="AQ911">
        <v>266666.66666666669</v>
      </c>
      <c r="AR911" t="s">
        <v>2881</v>
      </c>
      <c r="AS911" t="s">
        <v>75</v>
      </c>
      <c r="AX911" t="s">
        <v>76</v>
      </c>
      <c r="AY911" t="s">
        <v>71</v>
      </c>
      <c r="AZ911">
        <v>0</v>
      </c>
      <c r="BA911" t="s">
        <v>71</v>
      </c>
      <c r="BB911">
        <v>0</v>
      </c>
      <c r="BD911">
        <v>0.49</v>
      </c>
    </row>
    <row r="912" spans="1:56" x14ac:dyDescent="0.15">
      <c r="A912" s="4" t="str">
        <f>HYPERLINK("https://ibp.a2mac1.com/costing(costing:projects/details/9760/part/8413586)","Fixing Part 1")</f>
        <v>Fixing Part 1</v>
      </c>
      <c r="B912">
        <v>8413586</v>
      </c>
      <c r="C912">
        <v>8413536</v>
      </c>
      <c r="D912" t="s">
        <v>2737</v>
      </c>
      <c r="E912">
        <v>0.17</v>
      </c>
      <c r="F912">
        <v>0</v>
      </c>
      <c r="G912">
        <v>0</v>
      </c>
      <c r="H912">
        <v>0</v>
      </c>
      <c r="I912" t="s">
        <v>71</v>
      </c>
      <c r="J912">
        <v>0</v>
      </c>
      <c r="K912">
        <v>0.17</v>
      </c>
      <c r="L912">
        <v>0</v>
      </c>
      <c r="M912">
        <v>0</v>
      </c>
      <c r="N912">
        <v>0.17</v>
      </c>
      <c r="O912" t="s">
        <v>71</v>
      </c>
      <c r="P912">
        <v>0</v>
      </c>
      <c r="Q912" t="s">
        <v>71</v>
      </c>
      <c r="R912">
        <v>0</v>
      </c>
      <c r="S912" t="s">
        <v>71</v>
      </c>
      <c r="T912">
        <v>0</v>
      </c>
      <c r="U912" t="s">
        <v>71</v>
      </c>
      <c r="V912">
        <v>0</v>
      </c>
      <c r="W912" t="s">
        <v>71</v>
      </c>
      <c r="X912">
        <v>0</v>
      </c>
      <c r="Y912">
        <v>0.17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130</v>
      </c>
      <c r="AF912">
        <v>25</v>
      </c>
      <c r="AG912">
        <v>0</v>
      </c>
      <c r="AI912">
        <v>5.3999999999999999E-2</v>
      </c>
      <c r="AK912" t="s">
        <v>2826</v>
      </c>
      <c r="AM912">
        <v>200000</v>
      </c>
      <c r="AN912" t="s">
        <v>97</v>
      </c>
      <c r="AO912">
        <v>1</v>
      </c>
      <c r="AP912">
        <v>0</v>
      </c>
      <c r="AQ912">
        <v>16666.666666666668</v>
      </c>
      <c r="AR912" t="s">
        <v>2886</v>
      </c>
      <c r="AS912" t="s">
        <v>75</v>
      </c>
      <c r="AX912" t="s">
        <v>76</v>
      </c>
      <c r="AY912" t="s">
        <v>71</v>
      </c>
      <c r="AZ912">
        <v>0</v>
      </c>
      <c r="BA912" t="s">
        <v>71</v>
      </c>
      <c r="BB912">
        <v>0</v>
      </c>
      <c r="BD912">
        <v>0.17</v>
      </c>
    </row>
    <row r="913" spans="1:56" x14ac:dyDescent="0.15">
      <c r="A913" s="4" t="str">
        <f>HYPERLINK("https://ibp.a2mac1.com/costing(costing:projects/details/9760/part/8413587)","Fixing Part 2")</f>
        <v>Fixing Part 2</v>
      </c>
      <c r="B913">
        <v>8413587</v>
      </c>
      <c r="C913">
        <v>8413536</v>
      </c>
      <c r="D913" t="s">
        <v>2737</v>
      </c>
      <c r="E913">
        <v>0.28000000000000003</v>
      </c>
      <c r="F913">
        <v>0</v>
      </c>
      <c r="G913">
        <v>0</v>
      </c>
      <c r="H913">
        <v>0</v>
      </c>
      <c r="I913" t="s">
        <v>71</v>
      </c>
      <c r="J913">
        <v>0</v>
      </c>
      <c r="K913">
        <v>0.28000000000000003</v>
      </c>
      <c r="L913">
        <v>0</v>
      </c>
      <c r="M913">
        <v>0</v>
      </c>
      <c r="N913">
        <v>0.28000000000000003</v>
      </c>
      <c r="O913" t="s">
        <v>71</v>
      </c>
      <c r="P913">
        <v>0</v>
      </c>
      <c r="Q913" t="s">
        <v>71</v>
      </c>
      <c r="R913">
        <v>0</v>
      </c>
      <c r="S913" t="s">
        <v>71</v>
      </c>
      <c r="T913">
        <v>0</v>
      </c>
      <c r="U913" t="s">
        <v>71</v>
      </c>
      <c r="V913">
        <v>0</v>
      </c>
      <c r="W913" t="s">
        <v>71</v>
      </c>
      <c r="X913">
        <v>0</v>
      </c>
      <c r="Y913">
        <v>0.28000000000000003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110</v>
      </c>
      <c r="AF913">
        <v>21</v>
      </c>
      <c r="AG913">
        <v>0</v>
      </c>
      <c r="AI913">
        <v>3.7499999999999999E-2</v>
      </c>
      <c r="AK913" t="s">
        <v>2826</v>
      </c>
      <c r="AM913">
        <v>400000</v>
      </c>
      <c r="AN913" t="s">
        <v>97</v>
      </c>
      <c r="AO913">
        <v>2</v>
      </c>
      <c r="AP913">
        <v>0</v>
      </c>
      <c r="AQ913">
        <v>33333.333333333336</v>
      </c>
      <c r="AR913" t="s">
        <v>2887</v>
      </c>
      <c r="AS913" t="s">
        <v>75</v>
      </c>
      <c r="AX913" t="s">
        <v>76</v>
      </c>
      <c r="AY913" t="s">
        <v>71</v>
      </c>
      <c r="AZ913">
        <v>0</v>
      </c>
      <c r="BA913" t="s">
        <v>71</v>
      </c>
      <c r="BB913">
        <v>0</v>
      </c>
      <c r="BD913">
        <v>0.14000000000000001</v>
      </c>
    </row>
    <row r="914" spans="1:56" x14ac:dyDescent="0.15">
      <c r="A914" s="4" t="str">
        <f>HYPERLINK("https://ibp.a2mac1.com/costing(costing:projects/details/9760/part/8413588)","Fixing Part 3")</f>
        <v>Fixing Part 3</v>
      </c>
      <c r="B914">
        <v>8413588</v>
      </c>
      <c r="C914">
        <v>8413536</v>
      </c>
      <c r="D914" t="s">
        <v>2888</v>
      </c>
      <c r="E914">
        <v>0.63</v>
      </c>
      <c r="F914">
        <v>0</v>
      </c>
      <c r="G914">
        <v>0</v>
      </c>
      <c r="H914">
        <v>0</v>
      </c>
      <c r="I914" t="s">
        <v>71</v>
      </c>
      <c r="J914">
        <v>0</v>
      </c>
      <c r="K914">
        <v>0.63</v>
      </c>
      <c r="L914">
        <v>0</v>
      </c>
      <c r="M914">
        <v>0</v>
      </c>
      <c r="N914">
        <v>0.63</v>
      </c>
      <c r="O914" t="s">
        <v>71</v>
      </c>
      <c r="P914">
        <v>0</v>
      </c>
      <c r="Q914" t="s">
        <v>71</v>
      </c>
      <c r="R914">
        <v>0</v>
      </c>
      <c r="S914" t="s">
        <v>71</v>
      </c>
      <c r="T914">
        <v>0</v>
      </c>
      <c r="U914" t="s">
        <v>71</v>
      </c>
      <c r="V914">
        <v>0</v>
      </c>
      <c r="W914" t="s">
        <v>71</v>
      </c>
      <c r="X914">
        <v>0</v>
      </c>
      <c r="Y914">
        <v>0.63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179</v>
      </c>
      <c r="AF914">
        <v>93</v>
      </c>
      <c r="AG914">
        <v>31</v>
      </c>
      <c r="AI914">
        <v>0.36599999999999999</v>
      </c>
      <c r="AK914" t="s">
        <v>2826</v>
      </c>
      <c r="AM914">
        <v>200000</v>
      </c>
      <c r="AN914" t="s">
        <v>97</v>
      </c>
      <c r="AO914">
        <v>1</v>
      </c>
      <c r="AP914">
        <v>0</v>
      </c>
      <c r="AQ914">
        <v>16666.666666666668</v>
      </c>
      <c r="AR914" t="s">
        <v>2889</v>
      </c>
      <c r="AS914" t="s">
        <v>75</v>
      </c>
      <c r="AX914" t="s">
        <v>76</v>
      </c>
      <c r="AY914" t="s">
        <v>71</v>
      </c>
      <c r="AZ914">
        <v>0</v>
      </c>
      <c r="BA914" t="s">
        <v>71</v>
      </c>
      <c r="BB914">
        <v>0</v>
      </c>
      <c r="BD914">
        <v>0.63</v>
      </c>
    </row>
    <row r="915" spans="1:56" x14ac:dyDescent="0.15">
      <c r="A915" s="4" t="str">
        <f>HYPERLINK("https://ibp.a2mac1.com/costing(costing:projects/details/9760/part/8413589)","Fixing Part 4")</f>
        <v>Fixing Part 4</v>
      </c>
      <c r="B915">
        <v>8413589</v>
      </c>
      <c r="C915">
        <v>8413536</v>
      </c>
      <c r="D915" t="s">
        <v>2888</v>
      </c>
      <c r="E915">
        <v>0.81</v>
      </c>
      <c r="F915">
        <v>0</v>
      </c>
      <c r="G915">
        <v>0</v>
      </c>
      <c r="H915">
        <v>0</v>
      </c>
      <c r="I915" t="s">
        <v>71</v>
      </c>
      <c r="J915">
        <v>0</v>
      </c>
      <c r="K915">
        <v>0.81</v>
      </c>
      <c r="L915">
        <v>0</v>
      </c>
      <c r="M915">
        <v>0</v>
      </c>
      <c r="N915">
        <v>0.81</v>
      </c>
      <c r="O915" t="s">
        <v>71</v>
      </c>
      <c r="P915">
        <v>0</v>
      </c>
      <c r="Q915" t="s">
        <v>71</v>
      </c>
      <c r="R915">
        <v>0</v>
      </c>
      <c r="S915" t="s">
        <v>71</v>
      </c>
      <c r="T915">
        <v>0</v>
      </c>
      <c r="U915" t="s">
        <v>71</v>
      </c>
      <c r="V915">
        <v>0</v>
      </c>
      <c r="W915" t="s">
        <v>71</v>
      </c>
      <c r="X915">
        <v>0</v>
      </c>
      <c r="Y915">
        <v>0.81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225</v>
      </c>
      <c r="AF915">
        <v>95</v>
      </c>
      <c r="AG915">
        <v>37</v>
      </c>
      <c r="AI915">
        <v>0.49199999999999999</v>
      </c>
      <c r="AK915" t="s">
        <v>2826</v>
      </c>
      <c r="AM915">
        <v>200000</v>
      </c>
      <c r="AN915" t="s">
        <v>97</v>
      </c>
      <c r="AO915">
        <v>1</v>
      </c>
      <c r="AP915">
        <v>0</v>
      </c>
      <c r="AQ915">
        <v>16666.666666666668</v>
      </c>
      <c r="AR915" t="s">
        <v>2890</v>
      </c>
      <c r="AS915" t="s">
        <v>75</v>
      </c>
      <c r="AX915" t="s">
        <v>76</v>
      </c>
      <c r="AY915" t="s">
        <v>71</v>
      </c>
      <c r="AZ915">
        <v>0</v>
      </c>
      <c r="BA915" t="s">
        <v>71</v>
      </c>
      <c r="BB915">
        <v>0</v>
      </c>
      <c r="BD915">
        <v>0.81</v>
      </c>
    </row>
    <row r="916" spans="1:56" x14ac:dyDescent="0.15">
      <c r="A916" s="4" t="str">
        <f>HYPERLINK("https://ibp.a2mac1.com/costing(costing:projects/details/9760/part/8413590)","Fixing Part 5")</f>
        <v>Fixing Part 5</v>
      </c>
      <c r="B916">
        <v>8413590</v>
      </c>
      <c r="C916">
        <v>8413536</v>
      </c>
      <c r="D916" t="s">
        <v>2888</v>
      </c>
      <c r="E916">
        <v>0.65</v>
      </c>
      <c r="F916">
        <v>0</v>
      </c>
      <c r="G916">
        <v>0</v>
      </c>
      <c r="H916">
        <v>0</v>
      </c>
      <c r="I916" t="s">
        <v>71</v>
      </c>
      <c r="J916">
        <v>0</v>
      </c>
      <c r="K916">
        <v>0.65</v>
      </c>
      <c r="L916">
        <v>0</v>
      </c>
      <c r="M916">
        <v>0</v>
      </c>
      <c r="N916">
        <v>0.65</v>
      </c>
      <c r="O916" t="s">
        <v>71</v>
      </c>
      <c r="P916">
        <v>0</v>
      </c>
      <c r="Q916" t="s">
        <v>71</v>
      </c>
      <c r="R916">
        <v>0</v>
      </c>
      <c r="S916" t="s">
        <v>71</v>
      </c>
      <c r="T916">
        <v>0</v>
      </c>
      <c r="U916" t="s">
        <v>71</v>
      </c>
      <c r="V916">
        <v>0</v>
      </c>
      <c r="W916" t="s">
        <v>71</v>
      </c>
      <c r="X916">
        <v>0</v>
      </c>
      <c r="Y916">
        <v>0.65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182</v>
      </c>
      <c r="AF916">
        <v>92</v>
      </c>
      <c r="AG916">
        <v>32</v>
      </c>
      <c r="AI916">
        <v>0.38500000000000001</v>
      </c>
      <c r="AK916" t="s">
        <v>2826</v>
      </c>
      <c r="AM916">
        <v>200000</v>
      </c>
      <c r="AN916" t="s">
        <v>97</v>
      </c>
      <c r="AO916">
        <v>1</v>
      </c>
      <c r="AP916">
        <v>0</v>
      </c>
      <c r="AQ916">
        <v>16666.666666666668</v>
      </c>
      <c r="AR916" t="s">
        <v>2891</v>
      </c>
      <c r="AS916" t="s">
        <v>75</v>
      </c>
      <c r="AX916" t="s">
        <v>76</v>
      </c>
      <c r="AY916" t="s">
        <v>71</v>
      </c>
      <c r="AZ916">
        <v>0</v>
      </c>
      <c r="BA916" t="s">
        <v>71</v>
      </c>
      <c r="BB916">
        <v>0</v>
      </c>
      <c r="BD916">
        <v>0.65</v>
      </c>
    </row>
    <row r="917" spans="1:56" x14ac:dyDescent="0.15">
      <c r="A917" s="4" t="str">
        <f>HYPERLINK("https://ibp.a2mac1.com/costing(costing:projects/details/9760/part/8413591)","Cross Member 1")</f>
        <v>Cross Member 1</v>
      </c>
      <c r="B917">
        <v>8413591</v>
      </c>
      <c r="C917">
        <v>8413537</v>
      </c>
      <c r="D917" t="s">
        <v>2737</v>
      </c>
      <c r="E917">
        <v>2.85</v>
      </c>
      <c r="F917">
        <v>0</v>
      </c>
      <c r="G917">
        <v>0</v>
      </c>
      <c r="H917">
        <v>0</v>
      </c>
      <c r="I917" t="s">
        <v>71</v>
      </c>
      <c r="J917">
        <v>0</v>
      </c>
      <c r="K917">
        <v>2.85</v>
      </c>
      <c r="L917">
        <v>0</v>
      </c>
      <c r="M917">
        <v>0</v>
      </c>
      <c r="N917">
        <v>2.85</v>
      </c>
      <c r="O917" t="s">
        <v>71</v>
      </c>
      <c r="P917">
        <v>0</v>
      </c>
      <c r="Q917" t="s">
        <v>71</v>
      </c>
      <c r="R917">
        <v>0</v>
      </c>
      <c r="S917" t="s">
        <v>71</v>
      </c>
      <c r="T917">
        <v>0</v>
      </c>
      <c r="U917" t="s">
        <v>71</v>
      </c>
      <c r="V917">
        <v>0</v>
      </c>
      <c r="W917" t="s">
        <v>71</v>
      </c>
      <c r="X917">
        <v>0</v>
      </c>
      <c r="Y917">
        <v>2.85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1438</v>
      </c>
      <c r="AF917">
        <v>177</v>
      </c>
      <c r="AG917">
        <v>0</v>
      </c>
      <c r="AI917">
        <v>1.931</v>
      </c>
      <c r="AK917" t="s">
        <v>2826</v>
      </c>
      <c r="AM917">
        <v>200000</v>
      </c>
      <c r="AN917" t="s">
        <v>97</v>
      </c>
      <c r="AO917">
        <v>1</v>
      </c>
      <c r="AP917">
        <v>0</v>
      </c>
      <c r="AQ917">
        <v>16666.666666666668</v>
      </c>
      <c r="AR917" t="s">
        <v>2894</v>
      </c>
      <c r="AS917" t="s">
        <v>75</v>
      </c>
      <c r="AX917" t="s">
        <v>76</v>
      </c>
      <c r="AY917" t="s">
        <v>71</v>
      </c>
      <c r="AZ917">
        <v>0</v>
      </c>
      <c r="BA917" t="s">
        <v>71</v>
      </c>
      <c r="BB917">
        <v>0</v>
      </c>
      <c r="BD917">
        <v>2.85</v>
      </c>
    </row>
    <row r="918" spans="1:56" x14ac:dyDescent="0.15">
      <c r="A918" s="4" t="str">
        <f>HYPERLINK("https://ibp.a2mac1.com/costing(costing:projects/details/9760/part/8413592)","Cross Member 2")</f>
        <v>Cross Member 2</v>
      </c>
      <c r="B918">
        <v>8413592</v>
      </c>
      <c r="C918">
        <v>8413537</v>
      </c>
      <c r="D918" t="s">
        <v>2737</v>
      </c>
      <c r="E918">
        <v>2.14</v>
      </c>
      <c r="F918">
        <v>0</v>
      </c>
      <c r="G918">
        <v>0</v>
      </c>
      <c r="H918">
        <v>0</v>
      </c>
      <c r="I918" t="s">
        <v>71</v>
      </c>
      <c r="J918">
        <v>0</v>
      </c>
      <c r="K918">
        <v>2.14</v>
      </c>
      <c r="L918">
        <v>0</v>
      </c>
      <c r="M918">
        <v>0</v>
      </c>
      <c r="N918">
        <v>2.14</v>
      </c>
      <c r="O918" t="s">
        <v>71</v>
      </c>
      <c r="P918">
        <v>0</v>
      </c>
      <c r="Q918" t="s">
        <v>71</v>
      </c>
      <c r="R918">
        <v>0</v>
      </c>
      <c r="S918" t="s">
        <v>71</v>
      </c>
      <c r="T918">
        <v>0</v>
      </c>
      <c r="U918" t="s">
        <v>71</v>
      </c>
      <c r="V918">
        <v>0</v>
      </c>
      <c r="W918" t="s">
        <v>71</v>
      </c>
      <c r="X918">
        <v>0</v>
      </c>
      <c r="Y918">
        <v>2.14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1340</v>
      </c>
      <c r="AF918">
        <v>87</v>
      </c>
      <c r="AG918">
        <v>0</v>
      </c>
      <c r="AI918">
        <v>1.462</v>
      </c>
      <c r="AK918" t="s">
        <v>2826</v>
      </c>
      <c r="AM918">
        <v>200000</v>
      </c>
      <c r="AN918" t="s">
        <v>97</v>
      </c>
      <c r="AO918">
        <v>1</v>
      </c>
      <c r="AP918">
        <v>0</v>
      </c>
      <c r="AQ918">
        <v>16666.666666666668</v>
      </c>
      <c r="AR918" t="s">
        <v>2895</v>
      </c>
      <c r="AS918" t="s">
        <v>75</v>
      </c>
      <c r="AX918" t="s">
        <v>76</v>
      </c>
      <c r="AY918" t="s">
        <v>71</v>
      </c>
      <c r="AZ918">
        <v>0</v>
      </c>
      <c r="BA918" t="s">
        <v>71</v>
      </c>
      <c r="BB918">
        <v>0</v>
      </c>
      <c r="BD918">
        <v>2.14</v>
      </c>
    </row>
    <row r="919" spans="1:56" x14ac:dyDescent="0.15">
      <c r="A919" s="4" t="str">
        <f>HYPERLINK("https://ibp.a2mac1.com/costing(costing:projects/details/9760/part/8413593)","Cross Member 3")</f>
        <v>Cross Member 3</v>
      </c>
      <c r="B919">
        <v>8413593</v>
      </c>
      <c r="C919">
        <v>8413537</v>
      </c>
      <c r="D919" t="s">
        <v>2737</v>
      </c>
      <c r="E919">
        <v>2.72</v>
      </c>
      <c r="F919">
        <v>0</v>
      </c>
      <c r="G919">
        <v>0</v>
      </c>
      <c r="H919">
        <v>0</v>
      </c>
      <c r="I919" t="s">
        <v>71</v>
      </c>
      <c r="J919">
        <v>0</v>
      </c>
      <c r="K919">
        <v>2.72</v>
      </c>
      <c r="L919">
        <v>0</v>
      </c>
      <c r="M919">
        <v>0</v>
      </c>
      <c r="N919">
        <v>2.72</v>
      </c>
      <c r="O919" t="s">
        <v>71</v>
      </c>
      <c r="P919">
        <v>0</v>
      </c>
      <c r="Q919" t="s">
        <v>71</v>
      </c>
      <c r="R919">
        <v>0</v>
      </c>
      <c r="S919" t="s">
        <v>71</v>
      </c>
      <c r="T919">
        <v>0</v>
      </c>
      <c r="U919" t="s">
        <v>71</v>
      </c>
      <c r="V919">
        <v>0</v>
      </c>
      <c r="W919" t="s">
        <v>71</v>
      </c>
      <c r="X919">
        <v>0</v>
      </c>
      <c r="Y919">
        <v>2.72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1226</v>
      </c>
      <c r="AF919">
        <v>130</v>
      </c>
      <c r="AG919">
        <v>0</v>
      </c>
      <c r="AI919">
        <v>1.3680000000000001</v>
      </c>
      <c r="AK919" t="s">
        <v>2826</v>
      </c>
      <c r="AM919">
        <v>200000</v>
      </c>
      <c r="AN919" t="s">
        <v>97</v>
      </c>
      <c r="AO919">
        <v>1</v>
      </c>
      <c r="AP919">
        <v>0</v>
      </c>
      <c r="AQ919">
        <v>16666.666666666668</v>
      </c>
      <c r="AR919" t="s">
        <v>2896</v>
      </c>
      <c r="AS919" t="s">
        <v>75</v>
      </c>
      <c r="AX919" t="s">
        <v>76</v>
      </c>
      <c r="AY919" t="s">
        <v>71</v>
      </c>
      <c r="AZ919">
        <v>0</v>
      </c>
      <c r="BA919" t="s">
        <v>71</v>
      </c>
      <c r="BB919">
        <v>0</v>
      </c>
      <c r="BD919">
        <v>2.72</v>
      </c>
    </row>
    <row r="920" spans="1:56" x14ac:dyDescent="0.15">
      <c r="A920" s="4" t="str">
        <f>HYPERLINK("https://ibp.a2mac1.com/costing(costing:projects/details/9760/part/8413594)","Reinforcement 1")</f>
        <v>Reinforcement 1</v>
      </c>
      <c r="B920">
        <v>8413594</v>
      </c>
      <c r="C920">
        <v>8413538</v>
      </c>
      <c r="D920" t="s">
        <v>2737</v>
      </c>
      <c r="E920">
        <v>0.74</v>
      </c>
      <c r="F920">
        <v>0</v>
      </c>
      <c r="G920">
        <v>0</v>
      </c>
      <c r="H920">
        <v>0</v>
      </c>
      <c r="I920" t="s">
        <v>71</v>
      </c>
      <c r="J920">
        <v>0</v>
      </c>
      <c r="K920">
        <v>0.74</v>
      </c>
      <c r="L920">
        <v>0</v>
      </c>
      <c r="M920">
        <v>0</v>
      </c>
      <c r="N920">
        <v>0.74</v>
      </c>
      <c r="O920" t="s">
        <v>71</v>
      </c>
      <c r="P920">
        <v>0</v>
      </c>
      <c r="Q920" t="s">
        <v>71</v>
      </c>
      <c r="R920">
        <v>0</v>
      </c>
      <c r="S920" t="s">
        <v>71</v>
      </c>
      <c r="T920">
        <v>0</v>
      </c>
      <c r="U920" t="s">
        <v>71</v>
      </c>
      <c r="V920">
        <v>0</v>
      </c>
      <c r="W920" t="s">
        <v>71</v>
      </c>
      <c r="X920">
        <v>0</v>
      </c>
      <c r="Y920">
        <v>0.74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222</v>
      </c>
      <c r="AF920">
        <v>95</v>
      </c>
      <c r="AG920">
        <v>0</v>
      </c>
      <c r="AI920">
        <v>0.19550000000000001</v>
      </c>
      <c r="AK920" t="s">
        <v>2826</v>
      </c>
      <c r="AM920">
        <v>400000</v>
      </c>
      <c r="AN920" t="s">
        <v>97</v>
      </c>
      <c r="AO920">
        <v>2</v>
      </c>
      <c r="AP920">
        <v>0</v>
      </c>
      <c r="AQ920">
        <v>33333.333333333336</v>
      </c>
      <c r="AR920" t="s">
        <v>2899</v>
      </c>
      <c r="AS920" t="s">
        <v>75</v>
      </c>
      <c r="AX920" t="s">
        <v>76</v>
      </c>
      <c r="AY920" t="s">
        <v>71</v>
      </c>
      <c r="AZ920">
        <v>0</v>
      </c>
      <c r="BA920" t="s">
        <v>71</v>
      </c>
      <c r="BB920">
        <v>0</v>
      </c>
      <c r="BD920">
        <v>0.37</v>
      </c>
    </row>
    <row r="921" spans="1:56" x14ac:dyDescent="0.15">
      <c r="A921" s="4" t="str">
        <f>HYPERLINK("https://ibp.a2mac1.com/costing(costing:projects/details/9760/part/8413595)","Reinforcement 2")</f>
        <v>Reinforcement 2</v>
      </c>
      <c r="B921">
        <v>8413595</v>
      </c>
      <c r="C921">
        <v>8413538</v>
      </c>
      <c r="D921" t="s">
        <v>2737</v>
      </c>
      <c r="E921">
        <v>0.82</v>
      </c>
      <c r="F921">
        <v>0</v>
      </c>
      <c r="G921">
        <v>0</v>
      </c>
      <c r="H921">
        <v>0</v>
      </c>
      <c r="I921" t="s">
        <v>71</v>
      </c>
      <c r="J921">
        <v>0</v>
      </c>
      <c r="K921">
        <v>0.82</v>
      </c>
      <c r="L921">
        <v>0</v>
      </c>
      <c r="M921">
        <v>0</v>
      </c>
      <c r="N921">
        <v>0.82</v>
      </c>
      <c r="O921" t="s">
        <v>71</v>
      </c>
      <c r="P921">
        <v>0</v>
      </c>
      <c r="Q921" t="s">
        <v>71</v>
      </c>
      <c r="R921">
        <v>0</v>
      </c>
      <c r="S921" t="s">
        <v>71</v>
      </c>
      <c r="T921">
        <v>0</v>
      </c>
      <c r="U921" t="s">
        <v>71</v>
      </c>
      <c r="V921">
        <v>0</v>
      </c>
      <c r="W921" t="s">
        <v>71</v>
      </c>
      <c r="X921">
        <v>0</v>
      </c>
      <c r="Y921">
        <v>0.82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220</v>
      </c>
      <c r="AF921">
        <v>95</v>
      </c>
      <c r="AG921">
        <v>0</v>
      </c>
      <c r="AI921">
        <v>0.2225</v>
      </c>
      <c r="AK921" t="s">
        <v>2826</v>
      </c>
      <c r="AM921">
        <v>400000</v>
      </c>
      <c r="AN921" t="s">
        <v>97</v>
      </c>
      <c r="AO921">
        <v>2</v>
      </c>
      <c r="AP921">
        <v>0</v>
      </c>
      <c r="AQ921">
        <v>33333.333333333336</v>
      </c>
      <c r="AR921" t="s">
        <v>2900</v>
      </c>
      <c r="AS921" t="s">
        <v>75</v>
      </c>
      <c r="AX921" t="s">
        <v>76</v>
      </c>
      <c r="AY921" t="s">
        <v>71</v>
      </c>
      <c r="AZ921">
        <v>0</v>
      </c>
      <c r="BA921" t="s">
        <v>71</v>
      </c>
      <c r="BB921">
        <v>0</v>
      </c>
      <c r="BD921">
        <v>0.41</v>
      </c>
    </row>
    <row r="922" spans="1:56" x14ac:dyDescent="0.15">
      <c r="A922" s="4" t="str">
        <f>HYPERLINK("https://ibp.a2mac1.com/costing(costing:projects/details/9760/part/8413596)","Reinforcement 3")</f>
        <v>Reinforcement 3</v>
      </c>
      <c r="B922">
        <v>8413596</v>
      </c>
      <c r="C922">
        <v>8413538</v>
      </c>
      <c r="D922" t="s">
        <v>2737</v>
      </c>
      <c r="E922">
        <v>0.5</v>
      </c>
      <c r="F922">
        <v>0</v>
      </c>
      <c r="G922">
        <v>0</v>
      </c>
      <c r="H922">
        <v>0</v>
      </c>
      <c r="I922" t="s">
        <v>71</v>
      </c>
      <c r="J922">
        <v>0</v>
      </c>
      <c r="K922">
        <v>0.5</v>
      </c>
      <c r="L922">
        <v>0</v>
      </c>
      <c r="M922">
        <v>0</v>
      </c>
      <c r="N922">
        <v>0.5</v>
      </c>
      <c r="O922" t="s">
        <v>71</v>
      </c>
      <c r="P922">
        <v>0</v>
      </c>
      <c r="Q922" t="s">
        <v>71</v>
      </c>
      <c r="R922">
        <v>0</v>
      </c>
      <c r="S922" t="s">
        <v>71</v>
      </c>
      <c r="T922">
        <v>0</v>
      </c>
      <c r="U922" t="s">
        <v>71</v>
      </c>
      <c r="V922">
        <v>0</v>
      </c>
      <c r="W922" t="s">
        <v>71</v>
      </c>
      <c r="X922">
        <v>0</v>
      </c>
      <c r="Y922">
        <v>0.5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270</v>
      </c>
      <c r="AF922">
        <v>70</v>
      </c>
      <c r="AG922">
        <v>0</v>
      </c>
      <c r="AI922">
        <v>0.1125</v>
      </c>
      <c r="AK922" t="s">
        <v>2826</v>
      </c>
      <c r="AM922">
        <v>400000</v>
      </c>
      <c r="AN922" t="s">
        <v>97</v>
      </c>
      <c r="AO922">
        <v>2</v>
      </c>
      <c r="AP922">
        <v>0</v>
      </c>
      <c r="AQ922">
        <v>33333.333333333336</v>
      </c>
      <c r="AR922" t="s">
        <v>2901</v>
      </c>
      <c r="AS922" t="s">
        <v>75</v>
      </c>
      <c r="AX922" t="s">
        <v>76</v>
      </c>
      <c r="AY922" t="s">
        <v>71</v>
      </c>
      <c r="AZ922">
        <v>0</v>
      </c>
      <c r="BA922" t="s">
        <v>71</v>
      </c>
      <c r="BB922">
        <v>0</v>
      </c>
      <c r="BD922">
        <v>0.25</v>
      </c>
    </row>
    <row r="923" spans="1:56" x14ac:dyDescent="0.15">
      <c r="A923" s="4" t="str">
        <f>HYPERLINK("https://ibp.a2mac1.com/costing(costing:projects/details/9760/part/8413597)","Reinforcement 4")</f>
        <v>Reinforcement 4</v>
      </c>
      <c r="B923">
        <v>8413597</v>
      </c>
      <c r="C923">
        <v>8413538</v>
      </c>
      <c r="D923" t="s">
        <v>2737</v>
      </c>
      <c r="E923">
        <v>1.46</v>
      </c>
      <c r="F923">
        <v>0</v>
      </c>
      <c r="G923">
        <v>0</v>
      </c>
      <c r="H923">
        <v>0</v>
      </c>
      <c r="I923" t="s">
        <v>71</v>
      </c>
      <c r="J923">
        <v>0</v>
      </c>
      <c r="K923">
        <v>1.46</v>
      </c>
      <c r="L923">
        <v>0</v>
      </c>
      <c r="M923">
        <v>0</v>
      </c>
      <c r="N923">
        <v>1.46</v>
      </c>
      <c r="O923" t="s">
        <v>71</v>
      </c>
      <c r="P923">
        <v>0</v>
      </c>
      <c r="Q923" t="s">
        <v>71</v>
      </c>
      <c r="R923">
        <v>0</v>
      </c>
      <c r="S923" t="s">
        <v>71</v>
      </c>
      <c r="T923">
        <v>0</v>
      </c>
      <c r="U923" t="s">
        <v>71</v>
      </c>
      <c r="V923">
        <v>0</v>
      </c>
      <c r="W923" t="s">
        <v>71</v>
      </c>
      <c r="X923">
        <v>0</v>
      </c>
      <c r="Y923">
        <v>1.46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436</v>
      </c>
      <c r="AF923">
        <v>107</v>
      </c>
      <c r="AG923">
        <v>0</v>
      </c>
      <c r="AI923">
        <v>0.441</v>
      </c>
      <c r="AK923" t="s">
        <v>2826</v>
      </c>
      <c r="AM923">
        <v>400000</v>
      </c>
      <c r="AN923" t="s">
        <v>97</v>
      </c>
      <c r="AO923">
        <v>2</v>
      </c>
      <c r="AP923">
        <v>0</v>
      </c>
      <c r="AQ923">
        <v>33333.333333333336</v>
      </c>
      <c r="AR923" t="s">
        <v>2902</v>
      </c>
      <c r="AS923" t="s">
        <v>75</v>
      </c>
      <c r="AX923" t="s">
        <v>76</v>
      </c>
      <c r="AY923" t="s">
        <v>71</v>
      </c>
      <c r="AZ923">
        <v>0</v>
      </c>
      <c r="BA923" t="s">
        <v>71</v>
      </c>
      <c r="BB923">
        <v>0</v>
      </c>
      <c r="BD923">
        <v>0.73</v>
      </c>
    </row>
    <row r="924" spans="1:56" x14ac:dyDescent="0.15">
      <c r="A924" s="4" t="str">
        <f>HYPERLINK("https://ibp.a2mac1.com/costing(costing:projects/details/9760/part/8413598)","Reinforcement 5")</f>
        <v>Reinforcement 5</v>
      </c>
      <c r="B924">
        <v>8413598</v>
      </c>
      <c r="C924">
        <v>8413538</v>
      </c>
      <c r="D924" t="s">
        <v>2737</v>
      </c>
      <c r="E924">
        <v>0.56000000000000005</v>
      </c>
      <c r="F924">
        <v>0</v>
      </c>
      <c r="G924">
        <v>0</v>
      </c>
      <c r="H924">
        <v>0</v>
      </c>
      <c r="I924" t="s">
        <v>71</v>
      </c>
      <c r="J924">
        <v>0</v>
      </c>
      <c r="K924">
        <v>0.56000000000000005</v>
      </c>
      <c r="L924">
        <v>0</v>
      </c>
      <c r="M924">
        <v>0</v>
      </c>
      <c r="N924">
        <v>0.56000000000000005</v>
      </c>
      <c r="O924" t="s">
        <v>71</v>
      </c>
      <c r="P924">
        <v>0</v>
      </c>
      <c r="Q924" t="s">
        <v>71</v>
      </c>
      <c r="R924">
        <v>0</v>
      </c>
      <c r="S924" t="s">
        <v>71</v>
      </c>
      <c r="T924">
        <v>0</v>
      </c>
      <c r="U924" t="s">
        <v>71</v>
      </c>
      <c r="V924">
        <v>0</v>
      </c>
      <c r="W924" t="s">
        <v>71</v>
      </c>
      <c r="X924">
        <v>0</v>
      </c>
      <c r="Y924">
        <v>0.56000000000000005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418</v>
      </c>
      <c r="AF924">
        <v>29</v>
      </c>
      <c r="AG924">
        <v>0</v>
      </c>
      <c r="AI924">
        <v>0.13300000000000001</v>
      </c>
      <c r="AK924" t="s">
        <v>2826</v>
      </c>
      <c r="AM924">
        <v>400000</v>
      </c>
      <c r="AN924" t="s">
        <v>97</v>
      </c>
      <c r="AO924">
        <v>2</v>
      </c>
      <c r="AP924">
        <v>0</v>
      </c>
      <c r="AQ924">
        <v>33333.333333333336</v>
      </c>
      <c r="AR924" t="s">
        <v>2903</v>
      </c>
      <c r="AS924" t="s">
        <v>75</v>
      </c>
      <c r="AX924" t="s">
        <v>76</v>
      </c>
      <c r="AY924" t="s">
        <v>71</v>
      </c>
      <c r="AZ924">
        <v>0</v>
      </c>
      <c r="BA924" t="s">
        <v>71</v>
      </c>
      <c r="BB924">
        <v>0</v>
      </c>
      <c r="BD924">
        <v>0.28000000000000003</v>
      </c>
    </row>
    <row r="925" spans="1:56" x14ac:dyDescent="0.15">
      <c r="A925" s="4" t="str">
        <f>HYPERLINK("https://ibp.a2mac1.com/costing(costing:projects/details/9760/part/8413599)","Reinforcement 6")</f>
        <v>Reinforcement 6</v>
      </c>
      <c r="B925">
        <v>8413599</v>
      </c>
      <c r="C925">
        <v>8413538</v>
      </c>
      <c r="D925" t="s">
        <v>2737</v>
      </c>
      <c r="E925">
        <v>0.24</v>
      </c>
      <c r="F925">
        <v>0</v>
      </c>
      <c r="G925">
        <v>0</v>
      </c>
      <c r="H925">
        <v>0</v>
      </c>
      <c r="I925" t="s">
        <v>71</v>
      </c>
      <c r="J925">
        <v>0</v>
      </c>
      <c r="K925">
        <v>0.24</v>
      </c>
      <c r="L925">
        <v>0</v>
      </c>
      <c r="M925">
        <v>0</v>
      </c>
      <c r="N925">
        <v>0.24</v>
      </c>
      <c r="O925" t="s">
        <v>71</v>
      </c>
      <c r="P925">
        <v>0</v>
      </c>
      <c r="Q925" t="s">
        <v>71</v>
      </c>
      <c r="R925">
        <v>0</v>
      </c>
      <c r="S925" t="s">
        <v>71</v>
      </c>
      <c r="T925">
        <v>0</v>
      </c>
      <c r="U925" t="s">
        <v>71</v>
      </c>
      <c r="V925">
        <v>0</v>
      </c>
      <c r="W925" t="s">
        <v>71</v>
      </c>
      <c r="X925">
        <v>0</v>
      </c>
      <c r="Y925">
        <v>0.24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121</v>
      </c>
      <c r="AF925">
        <v>86</v>
      </c>
      <c r="AG925">
        <v>0</v>
      </c>
      <c r="AI925">
        <v>0.104</v>
      </c>
      <c r="AK925" t="s">
        <v>2826</v>
      </c>
      <c r="AM925">
        <v>200000</v>
      </c>
      <c r="AN925" t="s">
        <v>97</v>
      </c>
      <c r="AO925">
        <v>1</v>
      </c>
      <c r="AP925">
        <v>0</v>
      </c>
      <c r="AQ925">
        <v>16666.666666666668</v>
      </c>
      <c r="AR925" t="s">
        <v>2904</v>
      </c>
      <c r="AS925" t="s">
        <v>75</v>
      </c>
      <c r="AX925" t="s">
        <v>76</v>
      </c>
      <c r="AY925" t="s">
        <v>71</v>
      </c>
      <c r="AZ925">
        <v>0</v>
      </c>
      <c r="BA925" t="s">
        <v>71</v>
      </c>
      <c r="BB925">
        <v>0</v>
      </c>
      <c r="BD925">
        <v>0.24</v>
      </c>
    </row>
    <row r="926" spans="1:56" x14ac:dyDescent="0.15">
      <c r="A926" s="4" t="str">
        <f>HYPERLINK("https://ibp.a2mac1.com/costing(costing:projects/details/9760/part/8413600)","Center Console Fixing")</f>
        <v>Center Console Fixing</v>
      </c>
      <c r="B926">
        <v>8413600</v>
      </c>
      <c r="C926">
        <v>8413539</v>
      </c>
      <c r="D926" t="s">
        <v>2737</v>
      </c>
      <c r="E926">
        <v>0.52</v>
      </c>
      <c r="F926">
        <v>0</v>
      </c>
      <c r="G926">
        <v>0</v>
      </c>
      <c r="H926">
        <v>0</v>
      </c>
      <c r="I926" t="s">
        <v>71</v>
      </c>
      <c r="J926">
        <v>0</v>
      </c>
      <c r="K926">
        <v>0.52</v>
      </c>
      <c r="L926">
        <v>0</v>
      </c>
      <c r="M926">
        <v>0</v>
      </c>
      <c r="N926">
        <v>0.52</v>
      </c>
      <c r="O926" t="s">
        <v>71</v>
      </c>
      <c r="P926">
        <v>0</v>
      </c>
      <c r="Q926" t="s">
        <v>71</v>
      </c>
      <c r="R926">
        <v>0</v>
      </c>
      <c r="S926" t="s">
        <v>71</v>
      </c>
      <c r="T926">
        <v>0</v>
      </c>
      <c r="U926" t="s">
        <v>71</v>
      </c>
      <c r="V926">
        <v>0</v>
      </c>
      <c r="W926" t="s">
        <v>71</v>
      </c>
      <c r="X926">
        <v>0</v>
      </c>
      <c r="Y926">
        <v>0.52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200</v>
      </c>
      <c r="AF926">
        <v>167</v>
      </c>
      <c r="AG926">
        <v>0</v>
      </c>
      <c r="AI926">
        <v>0.29799999999999999</v>
      </c>
      <c r="AK926" t="s">
        <v>2826</v>
      </c>
      <c r="AM926">
        <v>200000</v>
      </c>
      <c r="AN926" t="s">
        <v>97</v>
      </c>
      <c r="AO926">
        <v>1</v>
      </c>
      <c r="AP926">
        <v>0</v>
      </c>
      <c r="AQ926">
        <v>16666.666666666668</v>
      </c>
      <c r="AR926" t="s">
        <v>2907</v>
      </c>
      <c r="AS926" t="s">
        <v>75</v>
      </c>
      <c r="AX926" t="s">
        <v>76</v>
      </c>
      <c r="AY926" t="s">
        <v>71</v>
      </c>
      <c r="AZ926">
        <v>0</v>
      </c>
      <c r="BA926" t="s">
        <v>71</v>
      </c>
      <c r="BB926">
        <v>0</v>
      </c>
      <c r="BD926">
        <v>0.52</v>
      </c>
    </row>
    <row r="927" spans="1:56" x14ac:dyDescent="0.15">
      <c r="A927" s="4" t="str">
        <f>HYPERLINK("https://ibp.a2mac1.com/costing(costing:projects/details/9760/part/8413601)","Center Console Fixing 2")</f>
        <v>Center Console Fixing 2</v>
      </c>
      <c r="B927">
        <v>8413601</v>
      </c>
      <c r="C927">
        <v>8413539</v>
      </c>
      <c r="D927" t="s">
        <v>2737</v>
      </c>
      <c r="E927">
        <v>0.37</v>
      </c>
      <c r="F927">
        <v>0</v>
      </c>
      <c r="G927">
        <v>0</v>
      </c>
      <c r="H927">
        <v>0</v>
      </c>
      <c r="I927" t="s">
        <v>71</v>
      </c>
      <c r="J927">
        <v>0</v>
      </c>
      <c r="K927">
        <v>0.37</v>
      </c>
      <c r="L927">
        <v>0</v>
      </c>
      <c r="M927">
        <v>0</v>
      </c>
      <c r="N927">
        <v>0.37</v>
      </c>
      <c r="O927" t="s">
        <v>71</v>
      </c>
      <c r="P927">
        <v>0</v>
      </c>
      <c r="Q927" t="s">
        <v>71</v>
      </c>
      <c r="R927">
        <v>0</v>
      </c>
      <c r="S927" t="s">
        <v>71</v>
      </c>
      <c r="T927">
        <v>0</v>
      </c>
      <c r="U927" t="s">
        <v>71</v>
      </c>
      <c r="V927">
        <v>0</v>
      </c>
      <c r="W927" t="s">
        <v>71</v>
      </c>
      <c r="X927">
        <v>0</v>
      </c>
      <c r="Y927">
        <v>0.37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152</v>
      </c>
      <c r="AF927">
        <v>125</v>
      </c>
      <c r="AG927">
        <v>0</v>
      </c>
      <c r="AI927">
        <v>0.19</v>
      </c>
      <c r="AK927" t="s">
        <v>2826</v>
      </c>
      <c r="AM927">
        <v>200000</v>
      </c>
      <c r="AN927" t="s">
        <v>97</v>
      </c>
      <c r="AO927">
        <v>1</v>
      </c>
      <c r="AP927">
        <v>0</v>
      </c>
      <c r="AQ927">
        <v>16666.666666666668</v>
      </c>
      <c r="AR927" t="s">
        <v>2908</v>
      </c>
      <c r="AS927" t="s">
        <v>75</v>
      </c>
      <c r="AX927" t="s">
        <v>76</v>
      </c>
      <c r="AY927" t="s">
        <v>71</v>
      </c>
      <c r="AZ927">
        <v>0</v>
      </c>
      <c r="BA927" t="s">
        <v>71</v>
      </c>
      <c r="BB927">
        <v>0</v>
      </c>
      <c r="BD927">
        <v>0.37</v>
      </c>
    </row>
    <row r="928" spans="1:56" x14ac:dyDescent="0.15">
      <c r="A928" s="4" t="str">
        <f>HYPERLINK("https://ibp.a2mac1.com/costing(costing:projects/details/9760/part/8413602)","Front Seats Cross Member 1")</f>
        <v>Front Seats Cross Member 1</v>
      </c>
      <c r="B928">
        <v>8413602</v>
      </c>
      <c r="C928">
        <v>8413539</v>
      </c>
      <c r="D928" t="s">
        <v>2737</v>
      </c>
      <c r="E928">
        <v>8.2100000000000009</v>
      </c>
      <c r="F928">
        <v>0</v>
      </c>
      <c r="G928">
        <v>0</v>
      </c>
      <c r="H928">
        <v>0</v>
      </c>
      <c r="I928" t="s">
        <v>71</v>
      </c>
      <c r="J928">
        <v>0</v>
      </c>
      <c r="K928">
        <v>8.2100000000000009</v>
      </c>
      <c r="L928">
        <v>0</v>
      </c>
      <c r="M928">
        <v>0</v>
      </c>
      <c r="N928">
        <v>8.2100000000000009</v>
      </c>
      <c r="O928" t="s">
        <v>71</v>
      </c>
      <c r="P928">
        <v>0</v>
      </c>
      <c r="Q928" t="s">
        <v>71</v>
      </c>
      <c r="R928">
        <v>0</v>
      </c>
      <c r="S928" t="s">
        <v>71</v>
      </c>
      <c r="T928">
        <v>0</v>
      </c>
      <c r="U928" t="s">
        <v>71</v>
      </c>
      <c r="V928">
        <v>0</v>
      </c>
      <c r="W928" t="s">
        <v>71</v>
      </c>
      <c r="X928">
        <v>0</v>
      </c>
      <c r="Y928">
        <v>8.2100000000000009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1434</v>
      </c>
      <c r="AF928">
        <v>359</v>
      </c>
      <c r="AG928">
        <v>0</v>
      </c>
      <c r="AI928">
        <v>4.968</v>
      </c>
      <c r="AK928" t="s">
        <v>2826</v>
      </c>
      <c r="AM928">
        <v>200000</v>
      </c>
      <c r="AN928" t="s">
        <v>97</v>
      </c>
      <c r="AO928">
        <v>1</v>
      </c>
      <c r="AP928">
        <v>0</v>
      </c>
      <c r="AQ928">
        <v>16666.666666666668</v>
      </c>
      <c r="AR928" t="s">
        <v>2909</v>
      </c>
      <c r="AS928" t="s">
        <v>75</v>
      </c>
      <c r="AX928" t="s">
        <v>76</v>
      </c>
      <c r="AY928" t="s">
        <v>71</v>
      </c>
      <c r="AZ928">
        <v>0</v>
      </c>
      <c r="BA928" t="s">
        <v>71</v>
      </c>
      <c r="BB928">
        <v>0</v>
      </c>
      <c r="BD928">
        <v>8.2100000000000009</v>
      </c>
    </row>
    <row r="929" spans="1:56" x14ac:dyDescent="0.15">
      <c r="A929" s="4" t="str">
        <f>HYPERLINK("https://ibp.a2mac1.com/costing(costing:projects/details/9760/part/8413603)","Member 1 Front Seat Attachement 1")</f>
        <v>Member 1 Front Seat Attachement 1</v>
      </c>
      <c r="B929">
        <v>8413603</v>
      </c>
      <c r="C929">
        <v>8413539</v>
      </c>
      <c r="D929" t="s">
        <v>2737</v>
      </c>
      <c r="E929">
        <v>0.34</v>
      </c>
      <c r="F929">
        <v>0</v>
      </c>
      <c r="G929">
        <v>0</v>
      </c>
      <c r="H929">
        <v>0</v>
      </c>
      <c r="I929" t="s">
        <v>71</v>
      </c>
      <c r="J929">
        <v>0</v>
      </c>
      <c r="K929">
        <v>0.34</v>
      </c>
      <c r="L929">
        <v>0</v>
      </c>
      <c r="M929">
        <v>0</v>
      </c>
      <c r="N929">
        <v>0.34</v>
      </c>
      <c r="O929" t="s">
        <v>71</v>
      </c>
      <c r="P929">
        <v>0</v>
      </c>
      <c r="Q929" t="s">
        <v>71</v>
      </c>
      <c r="R929">
        <v>0</v>
      </c>
      <c r="S929" t="s">
        <v>71</v>
      </c>
      <c r="T929">
        <v>0</v>
      </c>
      <c r="U929" t="s">
        <v>71</v>
      </c>
      <c r="V929">
        <v>0</v>
      </c>
      <c r="W929" t="s">
        <v>71</v>
      </c>
      <c r="X929">
        <v>0</v>
      </c>
      <c r="Y929">
        <v>0.34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126</v>
      </c>
      <c r="AF929">
        <v>50</v>
      </c>
      <c r="AG929">
        <v>0</v>
      </c>
      <c r="AI929">
        <v>5.7000000000000002E-2</v>
      </c>
      <c r="AK929" t="s">
        <v>2826</v>
      </c>
      <c r="AM929">
        <v>400000</v>
      </c>
      <c r="AN929" t="s">
        <v>97</v>
      </c>
      <c r="AO929">
        <v>2</v>
      </c>
      <c r="AP929">
        <v>0</v>
      </c>
      <c r="AQ929">
        <v>33333.333333333336</v>
      </c>
      <c r="AR929" t="s">
        <v>2910</v>
      </c>
      <c r="AS929" t="s">
        <v>75</v>
      </c>
      <c r="AX929" t="s">
        <v>76</v>
      </c>
      <c r="AY929" t="s">
        <v>71</v>
      </c>
      <c r="AZ929">
        <v>0</v>
      </c>
      <c r="BA929" t="s">
        <v>71</v>
      </c>
      <c r="BB929">
        <v>0</v>
      </c>
      <c r="BD929">
        <v>0.17</v>
      </c>
    </row>
    <row r="930" spans="1:56" x14ac:dyDescent="0.15">
      <c r="A930" s="4" t="str">
        <f>HYPERLINK("https://ibp.a2mac1.com/costing(costing:projects/details/9760/part/8413604)","Member 1 Front Seat Attachement 2")</f>
        <v>Member 1 Front Seat Attachement 2</v>
      </c>
      <c r="B930">
        <v>8413604</v>
      </c>
      <c r="C930">
        <v>8413539</v>
      </c>
      <c r="D930" t="s">
        <v>2737</v>
      </c>
      <c r="E930">
        <v>0.11</v>
      </c>
      <c r="F930">
        <v>0</v>
      </c>
      <c r="G930">
        <v>0</v>
      </c>
      <c r="H930">
        <v>0</v>
      </c>
      <c r="I930" t="s">
        <v>71</v>
      </c>
      <c r="J930">
        <v>0</v>
      </c>
      <c r="K930">
        <v>0.11</v>
      </c>
      <c r="L930">
        <v>0</v>
      </c>
      <c r="M930">
        <v>0</v>
      </c>
      <c r="N930">
        <v>0.11</v>
      </c>
      <c r="O930" t="s">
        <v>71</v>
      </c>
      <c r="P930">
        <v>0</v>
      </c>
      <c r="Q930" t="s">
        <v>71</v>
      </c>
      <c r="R930">
        <v>0</v>
      </c>
      <c r="S930" t="s">
        <v>71</v>
      </c>
      <c r="T930">
        <v>0</v>
      </c>
      <c r="U930" t="s">
        <v>71</v>
      </c>
      <c r="V930">
        <v>0</v>
      </c>
      <c r="W930" t="s">
        <v>71</v>
      </c>
      <c r="X930">
        <v>0</v>
      </c>
      <c r="Y930">
        <v>0.11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80</v>
      </c>
      <c r="AF930">
        <v>20</v>
      </c>
      <c r="AG930">
        <v>0</v>
      </c>
      <c r="AI930">
        <v>1.2E-2</v>
      </c>
      <c r="AK930" t="s">
        <v>2826</v>
      </c>
      <c r="AM930">
        <v>200000</v>
      </c>
      <c r="AN930" t="s">
        <v>97</v>
      </c>
      <c r="AO930">
        <v>1</v>
      </c>
      <c r="AP930">
        <v>0</v>
      </c>
      <c r="AQ930">
        <v>16666.666666666668</v>
      </c>
      <c r="AR930" t="s">
        <v>2911</v>
      </c>
      <c r="AS930" t="s">
        <v>75</v>
      </c>
      <c r="AX930" t="s">
        <v>76</v>
      </c>
      <c r="AY930" t="s">
        <v>71</v>
      </c>
      <c r="AZ930">
        <v>0</v>
      </c>
      <c r="BA930" t="s">
        <v>71</v>
      </c>
      <c r="BB930">
        <v>0</v>
      </c>
      <c r="BD930">
        <v>0.11</v>
      </c>
    </row>
    <row r="931" spans="1:56" x14ac:dyDescent="0.15">
      <c r="A931" s="4" t="str">
        <f>HYPERLINK("https://ibp.a2mac1.com/costing(costing:projects/details/9760/part/8413605)","Member 1 Front Seat Attachement 3")</f>
        <v>Member 1 Front Seat Attachement 3</v>
      </c>
      <c r="B931">
        <v>8413605</v>
      </c>
      <c r="C931">
        <v>8413539</v>
      </c>
      <c r="D931" t="s">
        <v>2737</v>
      </c>
      <c r="E931">
        <v>0.5</v>
      </c>
      <c r="F931">
        <v>0</v>
      </c>
      <c r="G931">
        <v>0</v>
      </c>
      <c r="H931">
        <v>0</v>
      </c>
      <c r="I931" t="s">
        <v>71</v>
      </c>
      <c r="J931">
        <v>0</v>
      </c>
      <c r="K931">
        <v>0.5</v>
      </c>
      <c r="L931">
        <v>0</v>
      </c>
      <c r="M931">
        <v>0</v>
      </c>
      <c r="N931">
        <v>0.5</v>
      </c>
      <c r="O931" t="s">
        <v>71</v>
      </c>
      <c r="P931">
        <v>0</v>
      </c>
      <c r="Q931" t="s">
        <v>71</v>
      </c>
      <c r="R931">
        <v>0</v>
      </c>
      <c r="S931" t="s">
        <v>71</v>
      </c>
      <c r="T931">
        <v>0</v>
      </c>
      <c r="U931" t="s">
        <v>71</v>
      </c>
      <c r="V931">
        <v>0</v>
      </c>
      <c r="W931" t="s">
        <v>71</v>
      </c>
      <c r="X931">
        <v>0</v>
      </c>
      <c r="Y931">
        <v>0.5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110</v>
      </c>
      <c r="AF931">
        <v>70</v>
      </c>
      <c r="AG931">
        <v>0</v>
      </c>
      <c r="AI931">
        <v>0.1095</v>
      </c>
      <c r="AK931" t="s">
        <v>2826</v>
      </c>
      <c r="AM931">
        <v>400000</v>
      </c>
      <c r="AN931" t="s">
        <v>97</v>
      </c>
      <c r="AO931">
        <v>2</v>
      </c>
      <c r="AP931">
        <v>0</v>
      </c>
      <c r="AQ931">
        <v>33333.333333333336</v>
      </c>
      <c r="AR931" t="s">
        <v>2912</v>
      </c>
      <c r="AS931" t="s">
        <v>75</v>
      </c>
      <c r="AX931" t="s">
        <v>76</v>
      </c>
      <c r="AY931" t="s">
        <v>71</v>
      </c>
      <c r="AZ931">
        <v>0</v>
      </c>
      <c r="BA931" t="s">
        <v>71</v>
      </c>
      <c r="BB931">
        <v>0</v>
      </c>
      <c r="BD931">
        <v>0.25</v>
      </c>
    </row>
    <row r="932" spans="1:56" x14ac:dyDescent="0.15">
      <c r="A932" s="4" t="str">
        <f>HYPERLINK("https://ibp.a2mac1.com/costing(costing:projects/details/9760/part/8413606)","Member 1 Fixing Part 1")</f>
        <v>Member 1 Fixing Part 1</v>
      </c>
      <c r="B932">
        <v>8413606</v>
      </c>
      <c r="C932">
        <v>8413539</v>
      </c>
      <c r="D932" t="s">
        <v>2737</v>
      </c>
      <c r="E932">
        <v>0.37</v>
      </c>
      <c r="F932">
        <v>0</v>
      </c>
      <c r="G932">
        <v>0</v>
      </c>
      <c r="H932">
        <v>0</v>
      </c>
      <c r="I932" t="s">
        <v>71</v>
      </c>
      <c r="J932">
        <v>0</v>
      </c>
      <c r="K932">
        <v>0.37</v>
      </c>
      <c r="L932">
        <v>0</v>
      </c>
      <c r="M932">
        <v>0</v>
      </c>
      <c r="N932">
        <v>0.37</v>
      </c>
      <c r="O932" t="s">
        <v>71</v>
      </c>
      <c r="P932">
        <v>0</v>
      </c>
      <c r="Q932" t="s">
        <v>71</v>
      </c>
      <c r="R932">
        <v>0</v>
      </c>
      <c r="S932" t="s">
        <v>71</v>
      </c>
      <c r="T932">
        <v>0</v>
      </c>
      <c r="U932" t="s">
        <v>71</v>
      </c>
      <c r="V932">
        <v>0</v>
      </c>
      <c r="W932" t="s">
        <v>71</v>
      </c>
      <c r="X932">
        <v>0</v>
      </c>
      <c r="Y932">
        <v>0.37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145</v>
      </c>
      <c r="AF932">
        <v>96</v>
      </c>
      <c r="AG932">
        <v>0</v>
      </c>
      <c r="AI932">
        <v>0.19600000000000001</v>
      </c>
      <c r="AK932" t="s">
        <v>2826</v>
      </c>
      <c r="AM932">
        <v>200000</v>
      </c>
      <c r="AN932" t="s">
        <v>97</v>
      </c>
      <c r="AO932">
        <v>1</v>
      </c>
      <c r="AP932">
        <v>0</v>
      </c>
      <c r="AQ932">
        <v>16666.666666666668</v>
      </c>
      <c r="AR932" t="s">
        <v>2913</v>
      </c>
      <c r="AS932" t="s">
        <v>75</v>
      </c>
      <c r="AX932" t="s">
        <v>76</v>
      </c>
      <c r="AY932" t="s">
        <v>71</v>
      </c>
      <c r="AZ932">
        <v>0</v>
      </c>
      <c r="BA932" t="s">
        <v>71</v>
      </c>
      <c r="BB932">
        <v>0</v>
      </c>
      <c r="BD932">
        <v>0.37</v>
      </c>
    </row>
    <row r="933" spans="1:56" x14ac:dyDescent="0.15">
      <c r="A933" s="4" t="str">
        <f>HYPERLINK("https://ibp.a2mac1.com/costing(costing:projects/details/9760/part/8413607)","Member 1 Fixing Part 2")</f>
        <v>Member 1 Fixing Part 2</v>
      </c>
      <c r="B933">
        <v>8413607</v>
      </c>
      <c r="C933">
        <v>8413539</v>
      </c>
      <c r="D933" t="s">
        <v>2737</v>
      </c>
      <c r="E933">
        <v>0.37</v>
      </c>
      <c r="F933">
        <v>0</v>
      </c>
      <c r="G933">
        <v>0</v>
      </c>
      <c r="H933">
        <v>0</v>
      </c>
      <c r="I933" t="s">
        <v>71</v>
      </c>
      <c r="J933">
        <v>0</v>
      </c>
      <c r="K933">
        <v>0.37</v>
      </c>
      <c r="L933">
        <v>0</v>
      </c>
      <c r="M933">
        <v>0</v>
      </c>
      <c r="N933">
        <v>0.37</v>
      </c>
      <c r="O933" t="s">
        <v>71</v>
      </c>
      <c r="P933">
        <v>0</v>
      </c>
      <c r="Q933" t="s">
        <v>71</v>
      </c>
      <c r="R933">
        <v>0</v>
      </c>
      <c r="S933" t="s">
        <v>71</v>
      </c>
      <c r="T933">
        <v>0</v>
      </c>
      <c r="U933" t="s">
        <v>71</v>
      </c>
      <c r="V933">
        <v>0</v>
      </c>
      <c r="W933" t="s">
        <v>71</v>
      </c>
      <c r="X933">
        <v>0</v>
      </c>
      <c r="Y933">
        <v>0.37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145</v>
      </c>
      <c r="AF933">
        <v>96</v>
      </c>
      <c r="AG933">
        <v>0</v>
      </c>
      <c r="AI933">
        <v>0.19600000000000001</v>
      </c>
      <c r="AK933" t="s">
        <v>2826</v>
      </c>
      <c r="AM933">
        <v>200000</v>
      </c>
      <c r="AN933" t="s">
        <v>97</v>
      </c>
      <c r="AO933">
        <v>1</v>
      </c>
      <c r="AP933">
        <v>0</v>
      </c>
      <c r="AQ933">
        <v>16666.666666666668</v>
      </c>
      <c r="AR933" t="s">
        <v>2914</v>
      </c>
      <c r="AS933" t="s">
        <v>75</v>
      </c>
      <c r="AX933" t="s">
        <v>76</v>
      </c>
      <c r="AY933" t="s">
        <v>71</v>
      </c>
      <c r="AZ933">
        <v>0</v>
      </c>
      <c r="BA933" t="s">
        <v>71</v>
      </c>
      <c r="BB933">
        <v>0</v>
      </c>
      <c r="BD933">
        <v>0.37</v>
      </c>
    </row>
    <row r="934" spans="1:56" x14ac:dyDescent="0.15">
      <c r="A934" s="4" t="str">
        <f>HYPERLINK("https://ibp.a2mac1.com/costing(costing:projects/details/9760/part/8413608)","Member 1 Fixing Part 3")</f>
        <v>Member 1 Fixing Part 3</v>
      </c>
      <c r="B934">
        <v>8413608</v>
      </c>
      <c r="C934">
        <v>8413539</v>
      </c>
      <c r="D934" t="s">
        <v>2737</v>
      </c>
      <c r="E934">
        <v>0.54</v>
      </c>
      <c r="F934">
        <v>0</v>
      </c>
      <c r="G934">
        <v>0</v>
      </c>
      <c r="H934">
        <v>0</v>
      </c>
      <c r="I934" t="s">
        <v>71</v>
      </c>
      <c r="J934">
        <v>0</v>
      </c>
      <c r="K934">
        <v>0.54</v>
      </c>
      <c r="L934">
        <v>0</v>
      </c>
      <c r="M934">
        <v>0</v>
      </c>
      <c r="N934">
        <v>0.54</v>
      </c>
      <c r="O934" t="s">
        <v>71</v>
      </c>
      <c r="P934">
        <v>0</v>
      </c>
      <c r="Q934" t="s">
        <v>71</v>
      </c>
      <c r="R934">
        <v>0</v>
      </c>
      <c r="S934" t="s">
        <v>71</v>
      </c>
      <c r="T934">
        <v>0</v>
      </c>
      <c r="U934" t="s">
        <v>71</v>
      </c>
      <c r="V934">
        <v>0</v>
      </c>
      <c r="W934" t="s">
        <v>71</v>
      </c>
      <c r="X934">
        <v>0</v>
      </c>
      <c r="Y934">
        <v>0.54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150</v>
      </c>
      <c r="AF934">
        <v>64</v>
      </c>
      <c r="AG934">
        <v>0</v>
      </c>
      <c r="AI934">
        <v>0.1295</v>
      </c>
      <c r="AK934" t="s">
        <v>2826</v>
      </c>
      <c r="AM934">
        <v>400000</v>
      </c>
      <c r="AN934" t="s">
        <v>97</v>
      </c>
      <c r="AO934">
        <v>2</v>
      </c>
      <c r="AP934">
        <v>0</v>
      </c>
      <c r="AQ934">
        <v>33333.333333333336</v>
      </c>
      <c r="AR934" t="s">
        <v>2915</v>
      </c>
      <c r="AS934" t="s">
        <v>75</v>
      </c>
      <c r="AX934" t="s">
        <v>76</v>
      </c>
      <c r="AY934" t="s">
        <v>71</v>
      </c>
      <c r="AZ934">
        <v>0</v>
      </c>
      <c r="BA934" t="s">
        <v>71</v>
      </c>
      <c r="BB934">
        <v>0</v>
      </c>
      <c r="BD934">
        <v>0.27</v>
      </c>
    </row>
    <row r="935" spans="1:56" x14ac:dyDescent="0.15">
      <c r="A935" s="4" t="str">
        <f>HYPERLINK("https://ibp.a2mac1.com/costing(costing:projects/details/9760/part/8413609)","Front Seats Rear Cross Member 1")</f>
        <v>Front Seats Rear Cross Member 1</v>
      </c>
      <c r="B935">
        <v>8413609</v>
      </c>
      <c r="C935">
        <v>8413539</v>
      </c>
      <c r="D935" t="s">
        <v>2737</v>
      </c>
      <c r="E935">
        <v>8.65</v>
      </c>
      <c r="F935">
        <v>0</v>
      </c>
      <c r="G935">
        <v>0</v>
      </c>
      <c r="H935">
        <v>0</v>
      </c>
      <c r="I935" t="s">
        <v>71</v>
      </c>
      <c r="J935">
        <v>0</v>
      </c>
      <c r="K935">
        <v>8.65</v>
      </c>
      <c r="L935">
        <v>0</v>
      </c>
      <c r="M935">
        <v>0</v>
      </c>
      <c r="N935">
        <v>8.65</v>
      </c>
      <c r="O935" t="s">
        <v>71</v>
      </c>
      <c r="P935">
        <v>0</v>
      </c>
      <c r="Q935" t="s">
        <v>71</v>
      </c>
      <c r="R935">
        <v>0</v>
      </c>
      <c r="S935" t="s">
        <v>71</v>
      </c>
      <c r="T935">
        <v>0</v>
      </c>
      <c r="U935" t="s">
        <v>71</v>
      </c>
      <c r="V935">
        <v>0</v>
      </c>
      <c r="W935" t="s">
        <v>71</v>
      </c>
      <c r="X935">
        <v>0</v>
      </c>
      <c r="Y935">
        <v>8.65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1432</v>
      </c>
      <c r="AF935">
        <v>331</v>
      </c>
      <c r="AG935">
        <v>0</v>
      </c>
      <c r="AI935">
        <v>5.2679999999999998</v>
      </c>
      <c r="AK935" t="s">
        <v>2826</v>
      </c>
      <c r="AM935">
        <v>200000</v>
      </c>
      <c r="AN935" t="s">
        <v>97</v>
      </c>
      <c r="AO935">
        <v>1</v>
      </c>
      <c r="AP935">
        <v>0</v>
      </c>
      <c r="AQ935">
        <v>16666.666666666668</v>
      </c>
      <c r="AR935" t="s">
        <v>2916</v>
      </c>
      <c r="AS935" t="s">
        <v>75</v>
      </c>
      <c r="AX935" t="s">
        <v>76</v>
      </c>
      <c r="AY935" t="s">
        <v>71</v>
      </c>
      <c r="AZ935">
        <v>0</v>
      </c>
      <c r="BA935" t="s">
        <v>71</v>
      </c>
      <c r="BB935">
        <v>0</v>
      </c>
      <c r="BD935">
        <v>8.65</v>
      </c>
    </row>
    <row r="936" spans="1:56" x14ac:dyDescent="0.15">
      <c r="A936" s="4" t="str">
        <f>HYPERLINK("https://ibp.a2mac1.com/costing(costing:projects/details/9760/part/8413610)","Member 1 Front Seat Attachement 1")</f>
        <v>Member 1 Front Seat Attachement 1</v>
      </c>
      <c r="B936">
        <v>8413610</v>
      </c>
      <c r="C936">
        <v>8413539</v>
      </c>
      <c r="D936" t="s">
        <v>2737</v>
      </c>
      <c r="E936">
        <v>0.62</v>
      </c>
      <c r="F936">
        <v>0</v>
      </c>
      <c r="G936">
        <v>0</v>
      </c>
      <c r="H936">
        <v>0</v>
      </c>
      <c r="I936" t="s">
        <v>71</v>
      </c>
      <c r="J936">
        <v>0</v>
      </c>
      <c r="K936">
        <v>0.62</v>
      </c>
      <c r="L936">
        <v>0</v>
      </c>
      <c r="M936">
        <v>0</v>
      </c>
      <c r="N936">
        <v>0.62</v>
      </c>
      <c r="O936" t="s">
        <v>71</v>
      </c>
      <c r="P936">
        <v>0</v>
      </c>
      <c r="Q936" t="s">
        <v>71</v>
      </c>
      <c r="R936">
        <v>0</v>
      </c>
      <c r="S936" t="s">
        <v>71</v>
      </c>
      <c r="T936">
        <v>0</v>
      </c>
      <c r="U936" t="s">
        <v>71</v>
      </c>
      <c r="V936">
        <v>0</v>
      </c>
      <c r="W936" t="s">
        <v>71</v>
      </c>
      <c r="X936">
        <v>0</v>
      </c>
      <c r="Y936">
        <v>0.62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120</v>
      </c>
      <c r="AF936">
        <v>95</v>
      </c>
      <c r="AG936">
        <v>0</v>
      </c>
      <c r="AI936">
        <v>0.157</v>
      </c>
      <c r="AK936" t="s">
        <v>2826</v>
      </c>
      <c r="AM936">
        <v>400000</v>
      </c>
      <c r="AN936" t="s">
        <v>97</v>
      </c>
      <c r="AO936">
        <v>2</v>
      </c>
      <c r="AP936">
        <v>0</v>
      </c>
      <c r="AQ936">
        <v>33333.333333333336</v>
      </c>
      <c r="AR936" t="s">
        <v>2917</v>
      </c>
      <c r="AS936" t="s">
        <v>75</v>
      </c>
      <c r="AX936" t="s">
        <v>76</v>
      </c>
      <c r="AY936" t="s">
        <v>71</v>
      </c>
      <c r="AZ936">
        <v>0</v>
      </c>
      <c r="BA936" t="s">
        <v>71</v>
      </c>
      <c r="BB936">
        <v>0</v>
      </c>
      <c r="BD936">
        <v>0.31</v>
      </c>
    </row>
    <row r="937" spans="1:56" x14ac:dyDescent="0.15">
      <c r="A937" s="4" t="str">
        <f>HYPERLINK("https://ibp.a2mac1.com/costing(costing:projects/details/9760/part/8413611)","Member 1 Fixing Part 1")</f>
        <v>Member 1 Fixing Part 1</v>
      </c>
      <c r="B937">
        <v>8413611</v>
      </c>
      <c r="C937">
        <v>8413539</v>
      </c>
      <c r="D937" t="s">
        <v>2737</v>
      </c>
      <c r="E937">
        <v>0.76</v>
      </c>
      <c r="F937">
        <v>0</v>
      </c>
      <c r="G937">
        <v>0</v>
      </c>
      <c r="H937">
        <v>0</v>
      </c>
      <c r="I937" t="s">
        <v>71</v>
      </c>
      <c r="J937">
        <v>0</v>
      </c>
      <c r="K937">
        <v>0.76</v>
      </c>
      <c r="L937">
        <v>0</v>
      </c>
      <c r="M937">
        <v>0</v>
      </c>
      <c r="N937">
        <v>0.76</v>
      </c>
      <c r="O937" t="s">
        <v>71</v>
      </c>
      <c r="P937">
        <v>0</v>
      </c>
      <c r="Q937" t="s">
        <v>71</v>
      </c>
      <c r="R937">
        <v>0</v>
      </c>
      <c r="S937" t="s">
        <v>71</v>
      </c>
      <c r="T937">
        <v>0</v>
      </c>
      <c r="U937" t="s">
        <v>71</v>
      </c>
      <c r="V937">
        <v>0</v>
      </c>
      <c r="W937" t="s">
        <v>71</v>
      </c>
      <c r="X937">
        <v>0</v>
      </c>
      <c r="Y937">
        <v>0.76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144</v>
      </c>
      <c r="AF937">
        <v>104</v>
      </c>
      <c r="AG937">
        <v>0</v>
      </c>
      <c r="AI937">
        <v>0.20499999999999999</v>
      </c>
      <c r="AK937" t="s">
        <v>2826</v>
      </c>
      <c r="AM937">
        <v>400000</v>
      </c>
      <c r="AN937" t="s">
        <v>97</v>
      </c>
      <c r="AO937">
        <v>2</v>
      </c>
      <c r="AP937">
        <v>0</v>
      </c>
      <c r="AQ937">
        <v>33333.333333333336</v>
      </c>
      <c r="AR937" t="s">
        <v>2918</v>
      </c>
      <c r="AS937" t="s">
        <v>75</v>
      </c>
      <c r="AX937" t="s">
        <v>76</v>
      </c>
      <c r="AY937" t="s">
        <v>71</v>
      </c>
      <c r="AZ937">
        <v>0</v>
      </c>
      <c r="BA937" t="s">
        <v>71</v>
      </c>
      <c r="BB937">
        <v>0</v>
      </c>
      <c r="BD937">
        <v>0.38</v>
      </c>
    </row>
    <row r="938" spans="1:56" x14ac:dyDescent="0.15">
      <c r="A938" s="4" t="str">
        <f>HYPERLINK("https://ibp.a2mac1.com/costing(costing:projects/details/9760/part/8413612)","Member 1 Fixing Part 2")</f>
        <v>Member 1 Fixing Part 2</v>
      </c>
      <c r="B938">
        <v>8413612</v>
      </c>
      <c r="C938">
        <v>8413539</v>
      </c>
      <c r="D938" t="s">
        <v>2737</v>
      </c>
      <c r="E938">
        <v>0.36</v>
      </c>
      <c r="F938">
        <v>0</v>
      </c>
      <c r="G938">
        <v>0</v>
      </c>
      <c r="H938">
        <v>0</v>
      </c>
      <c r="I938" t="s">
        <v>71</v>
      </c>
      <c r="J938">
        <v>0</v>
      </c>
      <c r="K938">
        <v>0.36</v>
      </c>
      <c r="L938">
        <v>0</v>
      </c>
      <c r="M938">
        <v>0</v>
      </c>
      <c r="N938">
        <v>0.36</v>
      </c>
      <c r="O938" t="s">
        <v>71</v>
      </c>
      <c r="P938">
        <v>0</v>
      </c>
      <c r="Q938" t="s">
        <v>71</v>
      </c>
      <c r="R938">
        <v>0</v>
      </c>
      <c r="S938" t="s">
        <v>71</v>
      </c>
      <c r="T938">
        <v>0</v>
      </c>
      <c r="U938" t="s">
        <v>71</v>
      </c>
      <c r="V938">
        <v>0</v>
      </c>
      <c r="W938" t="s">
        <v>71</v>
      </c>
      <c r="X938">
        <v>0</v>
      </c>
      <c r="Y938">
        <v>0.36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67</v>
      </c>
      <c r="AF938">
        <v>65</v>
      </c>
      <c r="AG938">
        <v>0</v>
      </c>
      <c r="AI938">
        <v>6.1499999999999999E-2</v>
      </c>
      <c r="AK938" t="s">
        <v>2826</v>
      </c>
      <c r="AM938">
        <v>400000</v>
      </c>
      <c r="AN938" t="s">
        <v>97</v>
      </c>
      <c r="AO938">
        <v>2</v>
      </c>
      <c r="AP938">
        <v>0</v>
      </c>
      <c r="AQ938">
        <v>33333.333333333336</v>
      </c>
      <c r="AR938" t="s">
        <v>2919</v>
      </c>
      <c r="AS938" t="s">
        <v>75</v>
      </c>
      <c r="AX938" t="s">
        <v>76</v>
      </c>
      <c r="AY938" t="s">
        <v>71</v>
      </c>
      <c r="AZ938">
        <v>0</v>
      </c>
      <c r="BA938" t="s">
        <v>71</v>
      </c>
      <c r="BB938">
        <v>0</v>
      </c>
      <c r="BD938">
        <v>0.18</v>
      </c>
    </row>
    <row r="939" spans="1:56" x14ac:dyDescent="0.15">
      <c r="A939" s="4" t="str">
        <f>HYPERLINK("https://ibp.a2mac1.com/costing(costing:projects/details/9760/part/8413613)","Gussets")</f>
        <v>Gussets</v>
      </c>
      <c r="B939">
        <v>8413613</v>
      </c>
      <c r="C939">
        <v>8413539</v>
      </c>
      <c r="D939" t="s">
        <v>2737</v>
      </c>
      <c r="E939">
        <v>0.24</v>
      </c>
      <c r="F939">
        <v>0</v>
      </c>
      <c r="G939">
        <v>0</v>
      </c>
      <c r="H939">
        <v>0</v>
      </c>
      <c r="I939" t="s">
        <v>71</v>
      </c>
      <c r="J939">
        <v>0</v>
      </c>
      <c r="K939">
        <v>0.24</v>
      </c>
      <c r="L939">
        <v>0</v>
      </c>
      <c r="M939">
        <v>0</v>
      </c>
      <c r="N939">
        <v>0.24</v>
      </c>
      <c r="O939" t="s">
        <v>71</v>
      </c>
      <c r="P939">
        <v>0</v>
      </c>
      <c r="Q939" t="s">
        <v>71</v>
      </c>
      <c r="R939">
        <v>0</v>
      </c>
      <c r="S939" t="s">
        <v>71</v>
      </c>
      <c r="T939">
        <v>0</v>
      </c>
      <c r="U939" t="s">
        <v>71</v>
      </c>
      <c r="V939">
        <v>0</v>
      </c>
      <c r="W939" t="s">
        <v>71</v>
      </c>
      <c r="X939">
        <v>0</v>
      </c>
      <c r="Y939">
        <v>0.24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121</v>
      </c>
      <c r="AF939">
        <v>86</v>
      </c>
      <c r="AG939">
        <v>0</v>
      </c>
      <c r="AI939">
        <v>0.10299999999999999</v>
      </c>
      <c r="AK939" t="s">
        <v>2826</v>
      </c>
      <c r="AM939">
        <v>200000</v>
      </c>
      <c r="AN939" t="s">
        <v>97</v>
      </c>
      <c r="AO939">
        <v>1</v>
      </c>
      <c r="AP939">
        <v>0</v>
      </c>
      <c r="AQ939">
        <v>16666.666666666668</v>
      </c>
      <c r="AR939" t="s">
        <v>2920</v>
      </c>
      <c r="AS939" t="s">
        <v>75</v>
      </c>
      <c r="AX939" t="s">
        <v>76</v>
      </c>
      <c r="AY939" t="s">
        <v>71</v>
      </c>
      <c r="AZ939">
        <v>0</v>
      </c>
      <c r="BA939" t="s">
        <v>71</v>
      </c>
      <c r="BB939">
        <v>0</v>
      </c>
      <c r="BD939">
        <v>0.24</v>
      </c>
    </row>
    <row r="940" spans="1:56" x14ac:dyDescent="0.15">
      <c r="A940" s="4" t="str">
        <f>HYPERLINK("https://ibp.a2mac1.com/costing(costing:projects/details/9760/part/8413540)","Top Cover Reinforcement")</f>
        <v>Top Cover Reinforcement</v>
      </c>
      <c r="B940">
        <v>8413540</v>
      </c>
      <c r="C940">
        <v>8413381</v>
      </c>
      <c r="D940" t="s">
        <v>2737</v>
      </c>
      <c r="E940">
        <v>0.27</v>
      </c>
      <c r="F940">
        <v>0</v>
      </c>
      <c r="G940">
        <v>0</v>
      </c>
      <c r="H940">
        <v>0</v>
      </c>
      <c r="I940" t="s">
        <v>71</v>
      </c>
      <c r="J940">
        <v>0</v>
      </c>
      <c r="K940">
        <v>0.27</v>
      </c>
      <c r="L940">
        <v>0</v>
      </c>
      <c r="M940">
        <v>0</v>
      </c>
      <c r="N940">
        <v>0.27</v>
      </c>
      <c r="O940" t="s">
        <v>71</v>
      </c>
      <c r="P940">
        <v>0</v>
      </c>
      <c r="Q940" t="s">
        <v>71</v>
      </c>
      <c r="R940">
        <v>0</v>
      </c>
      <c r="S940" t="s">
        <v>71</v>
      </c>
      <c r="T940">
        <v>0</v>
      </c>
      <c r="U940" t="s">
        <v>71</v>
      </c>
      <c r="V940">
        <v>0</v>
      </c>
      <c r="W940" t="s">
        <v>71</v>
      </c>
      <c r="X940">
        <v>0</v>
      </c>
      <c r="Y940">
        <v>0.27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147</v>
      </c>
      <c r="AF940">
        <v>127</v>
      </c>
      <c r="AG940">
        <v>0</v>
      </c>
      <c r="AI940">
        <v>0.125</v>
      </c>
      <c r="AK940" t="s">
        <v>2826</v>
      </c>
      <c r="AM940">
        <v>200000</v>
      </c>
      <c r="AN940" t="s">
        <v>97</v>
      </c>
      <c r="AO940">
        <v>1</v>
      </c>
      <c r="AP940">
        <v>0</v>
      </c>
      <c r="AQ940">
        <v>16666.666666666668</v>
      </c>
      <c r="AR940" t="s">
        <v>2922</v>
      </c>
      <c r="AS940" t="s">
        <v>75</v>
      </c>
      <c r="AX940" t="s">
        <v>76</v>
      </c>
      <c r="AY940" t="s">
        <v>71</v>
      </c>
      <c r="AZ940">
        <v>0</v>
      </c>
      <c r="BA940" t="s">
        <v>71</v>
      </c>
      <c r="BB940">
        <v>0</v>
      </c>
      <c r="BD940">
        <v>0.27</v>
      </c>
    </row>
    <row r="941" spans="1:56" x14ac:dyDescent="0.15">
      <c r="A941" s="4" t="str">
        <f>HYPERLINK("https://ibp.a2mac1.com/costing(costing:projects/details/9760/part/8413541)","Top Cover Reinforcement 2")</f>
        <v>Top Cover Reinforcement 2</v>
      </c>
      <c r="B941">
        <v>8413541</v>
      </c>
      <c r="C941">
        <v>8413381</v>
      </c>
      <c r="D941" t="s">
        <v>2737</v>
      </c>
      <c r="E941">
        <v>0.26</v>
      </c>
      <c r="F941">
        <v>0</v>
      </c>
      <c r="G941">
        <v>0</v>
      </c>
      <c r="H941">
        <v>0</v>
      </c>
      <c r="I941" t="s">
        <v>71</v>
      </c>
      <c r="J941">
        <v>0</v>
      </c>
      <c r="K941">
        <v>0.26</v>
      </c>
      <c r="L941">
        <v>0</v>
      </c>
      <c r="M941">
        <v>0</v>
      </c>
      <c r="N941">
        <v>0.26</v>
      </c>
      <c r="O941" t="s">
        <v>71</v>
      </c>
      <c r="P941">
        <v>0</v>
      </c>
      <c r="Q941" t="s">
        <v>71</v>
      </c>
      <c r="R941">
        <v>0</v>
      </c>
      <c r="S941" t="s">
        <v>71</v>
      </c>
      <c r="T941">
        <v>0</v>
      </c>
      <c r="U941" t="s">
        <v>71</v>
      </c>
      <c r="V941">
        <v>0</v>
      </c>
      <c r="W941" t="s">
        <v>71</v>
      </c>
      <c r="X941">
        <v>0</v>
      </c>
      <c r="Y941">
        <v>0.26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168</v>
      </c>
      <c r="AF941">
        <v>117</v>
      </c>
      <c r="AG941">
        <v>0</v>
      </c>
      <c r="AI941">
        <v>0.11799999999999999</v>
      </c>
      <c r="AK941" t="s">
        <v>2826</v>
      </c>
      <c r="AM941">
        <v>200000</v>
      </c>
      <c r="AN941" t="s">
        <v>97</v>
      </c>
      <c r="AO941">
        <v>1</v>
      </c>
      <c r="AP941">
        <v>0</v>
      </c>
      <c r="AQ941">
        <v>16666.666666666668</v>
      </c>
      <c r="AR941" t="s">
        <v>2923</v>
      </c>
      <c r="AS941" t="s">
        <v>75</v>
      </c>
      <c r="AX941" t="s">
        <v>76</v>
      </c>
      <c r="AY941" t="s">
        <v>71</v>
      </c>
      <c r="AZ941">
        <v>0</v>
      </c>
      <c r="BA941" t="s">
        <v>71</v>
      </c>
      <c r="BB941">
        <v>0</v>
      </c>
      <c r="BD941">
        <v>0.26</v>
      </c>
    </row>
    <row r="942" spans="1:56" x14ac:dyDescent="0.15">
      <c r="A942" s="4" t="str">
        <f>HYPERLINK("https://ibp.a2mac1.com/costing(costing:projects/details/9760/part/8413542)","Top Cover 2")</f>
        <v>Top Cover 2</v>
      </c>
      <c r="B942">
        <v>8413542</v>
      </c>
      <c r="C942">
        <v>8413381</v>
      </c>
      <c r="D942" t="s">
        <v>2737</v>
      </c>
      <c r="E942">
        <v>9.6679037777777772</v>
      </c>
      <c r="F942">
        <v>0</v>
      </c>
      <c r="G942">
        <v>0</v>
      </c>
      <c r="H942">
        <v>1.0365587555555555E-2</v>
      </c>
      <c r="I942" t="s">
        <v>176</v>
      </c>
      <c r="J942">
        <v>0.3488418888888889</v>
      </c>
      <c r="K942">
        <v>10.027111254222222</v>
      </c>
      <c r="L942">
        <v>2.1131726556595685</v>
      </c>
      <c r="M942">
        <v>12.679035933957412</v>
      </c>
      <c r="N942">
        <v>22.706147188179635</v>
      </c>
      <c r="O942" t="s">
        <v>177</v>
      </c>
      <c r="P942">
        <v>0.60162667525333335</v>
      </c>
      <c r="Q942" t="s">
        <v>177</v>
      </c>
      <c r="R942">
        <v>0.76074215603744466</v>
      </c>
      <c r="S942" t="s">
        <v>178</v>
      </c>
      <c r="T942">
        <v>2.724737662581556</v>
      </c>
      <c r="U942" t="s">
        <v>90</v>
      </c>
      <c r="V942">
        <v>0</v>
      </c>
      <c r="W942" t="s">
        <v>90</v>
      </c>
      <c r="X942">
        <v>0</v>
      </c>
      <c r="Y942">
        <v>26.793253682051969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2195</v>
      </c>
      <c r="AF942">
        <v>1550</v>
      </c>
      <c r="AG942">
        <v>0</v>
      </c>
      <c r="AI942">
        <v>17.006</v>
      </c>
      <c r="AK942" t="s">
        <v>2791</v>
      </c>
      <c r="AM942">
        <v>200000</v>
      </c>
      <c r="AN942" t="s">
        <v>97</v>
      </c>
      <c r="AO942">
        <v>1</v>
      </c>
      <c r="AP942">
        <v>0</v>
      </c>
      <c r="AQ942">
        <v>16666.666666666668</v>
      </c>
      <c r="AR942" t="s">
        <v>2928</v>
      </c>
      <c r="AS942" t="s">
        <v>75</v>
      </c>
      <c r="AX942" t="s">
        <v>76</v>
      </c>
      <c r="AY942" t="s">
        <v>176</v>
      </c>
      <c r="AZ942">
        <v>0</v>
      </c>
      <c r="BA942" t="s">
        <v>176</v>
      </c>
      <c r="BB942">
        <v>0</v>
      </c>
    </row>
    <row r="943" spans="1:56" x14ac:dyDescent="0.15">
      <c r="A943" s="4" t="str">
        <f>HYPERLINK("https://ibp.a2mac1.com/costing(costing:projects/details/9760/part/8413543)","Top Cover 3")</f>
        <v>Top Cover 3</v>
      </c>
      <c r="B943">
        <v>8413543</v>
      </c>
      <c r="C943">
        <v>8413381</v>
      </c>
      <c r="D943" t="s">
        <v>2737</v>
      </c>
      <c r="E943">
        <v>2.2605657946666669</v>
      </c>
      <c r="F943">
        <v>0</v>
      </c>
      <c r="G943">
        <v>0</v>
      </c>
      <c r="H943">
        <v>2.6715777573333333E-3</v>
      </c>
      <c r="I943" t="s">
        <v>176</v>
      </c>
      <c r="J943">
        <v>8.9908866833333337E-2</v>
      </c>
      <c r="K943">
        <v>2.3531462392573332</v>
      </c>
      <c r="L943">
        <v>1.381420411200422</v>
      </c>
      <c r="M943">
        <v>8.2885224672025313</v>
      </c>
      <c r="N943">
        <v>10.641668706459864</v>
      </c>
      <c r="O943" t="s">
        <v>177</v>
      </c>
      <c r="P943">
        <v>0.14118877435544</v>
      </c>
      <c r="Q943" t="s">
        <v>177</v>
      </c>
      <c r="R943">
        <v>0.49731134803215188</v>
      </c>
      <c r="S943" t="s">
        <v>178</v>
      </c>
      <c r="T943">
        <v>1.2770002447751838</v>
      </c>
      <c r="U943" t="s">
        <v>90</v>
      </c>
      <c r="V943">
        <v>0</v>
      </c>
      <c r="W943" t="s">
        <v>90</v>
      </c>
      <c r="X943">
        <v>0</v>
      </c>
      <c r="Y943">
        <v>12.55716907362264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1195</v>
      </c>
      <c r="AF943">
        <v>437</v>
      </c>
      <c r="AG943">
        <v>0</v>
      </c>
      <c r="AI943">
        <v>2.9209999999999998</v>
      </c>
      <c r="AK943" t="s">
        <v>2791</v>
      </c>
      <c r="AM943">
        <v>200000</v>
      </c>
      <c r="AN943" t="s">
        <v>97</v>
      </c>
      <c r="AO943">
        <v>1</v>
      </c>
      <c r="AP943">
        <v>0</v>
      </c>
      <c r="AQ943">
        <v>16666.666666666668</v>
      </c>
      <c r="AR943" t="s">
        <v>2933</v>
      </c>
      <c r="AS943" t="s">
        <v>75</v>
      </c>
      <c r="AX943" t="s">
        <v>76</v>
      </c>
      <c r="AY943" t="s">
        <v>176</v>
      </c>
      <c r="AZ943">
        <v>0</v>
      </c>
      <c r="BA943" t="s">
        <v>176</v>
      </c>
      <c r="BB943">
        <v>0</v>
      </c>
    </row>
    <row r="944" spans="1:56" x14ac:dyDescent="0.15">
      <c r="A944" s="4" t="str">
        <f>HYPERLINK("https://ibp.a2mac1.com/costing(costing:projects/details/9760/part/8413544)","Top Cover")</f>
        <v>Top Cover</v>
      </c>
      <c r="B944">
        <v>8413544</v>
      </c>
      <c r="C944">
        <v>8413381</v>
      </c>
      <c r="D944" t="s">
        <v>2938</v>
      </c>
      <c r="E944">
        <v>4.9939325380000001</v>
      </c>
      <c r="F944">
        <v>0</v>
      </c>
      <c r="G944">
        <v>0</v>
      </c>
      <c r="H944">
        <v>6.7015352768000002E-3</v>
      </c>
      <c r="I944" t="s">
        <v>176</v>
      </c>
      <c r="J944">
        <v>0.22553243719999999</v>
      </c>
      <c r="K944">
        <v>5.2261665104767996</v>
      </c>
      <c r="L944">
        <v>1.3216137373744339</v>
      </c>
      <c r="M944">
        <v>7.9296824242466037</v>
      </c>
      <c r="N944">
        <v>13.155848934723403</v>
      </c>
      <c r="O944" t="s">
        <v>90</v>
      </c>
      <c r="P944">
        <v>0</v>
      </c>
      <c r="Q944" t="s">
        <v>90</v>
      </c>
      <c r="R944">
        <v>0</v>
      </c>
      <c r="S944" t="s">
        <v>90</v>
      </c>
      <c r="T944">
        <v>0</v>
      </c>
      <c r="U944" t="s">
        <v>90</v>
      </c>
      <c r="V944">
        <v>0</v>
      </c>
      <c r="W944" t="s">
        <v>90</v>
      </c>
      <c r="X944">
        <v>0</v>
      </c>
      <c r="Y944">
        <v>13.155848934723403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1430</v>
      </c>
      <c r="AF944">
        <v>750</v>
      </c>
      <c r="AG944">
        <v>110</v>
      </c>
      <c r="AI944">
        <v>3.0529999999999999</v>
      </c>
      <c r="AK944" t="s">
        <v>2791</v>
      </c>
      <c r="AM944">
        <v>200000</v>
      </c>
      <c r="AN944" t="s">
        <v>73</v>
      </c>
      <c r="AO944">
        <v>1</v>
      </c>
      <c r="AP944">
        <v>0</v>
      </c>
      <c r="AQ944">
        <v>16666.666666666668</v>
      </c>
      <c r="AR944" t="s">
        <v>2939</v>
      </c>
      <c r="AS944" t="s">
        <v>75</v>
      </c>
      <c r="AX944" t="s">
        <v>76</v>
      </c>
      <c r="AY944" t="s">
        <v>176</v>
      </c>
      <c r="AZ944">
        <v>0</v>
      </c>
      <c r="BA944" t="s">
        <v>176</v>
      </c>
      <c r="BB944">
        <v>0</v>
      </c>
    </row>
    <row r="945" spans="1:56" x14ac:dyDescent="0.15">
      <c r="A945" s="4" t="str">
        <f>HYPERLINK("https://ibp.a2mac1.com/costing(costing:projects/details/9760/part/8413545)","Cover")</f>
        <v>Cover</v>
      </c>
      <c r="B945">
        <v>8413545</v>
      </c>
      <c r="C945">
        <v>8413382</v>
      </c>
      <c r="D945" t="s">
        <v>2737</v>
      </c>
      <c r="E945">
        <v>1.8755262867804878</v>
      </c>
      <c r="F945">
        <v>0</v>
      </c>
      <c r="G945">
        <v>0</v>
      </c>
      <c r="H945">
        <v>2.0618893639024389E-3</v>
      </c>
      <c r="I945" t="s">
        <v>176</v>
      </c>
      <c r="J945">
        <v>6.939050743902439E-2</v>
      </c>
      <c r="K945">
        <v>1.9469786835834146</v>
      </c>
      <c r="L945">
        <v>0.98739997187626605</v>
      </c>
      <c r="M945">
        <v>5.9243998312575963</v>
      </c>
      <c r="N945">
        <v>7.8713785148410107</v>
      </c>
      <c r="O945" t="s">
        <v>177</v>
      </c>
      <c r="P945">
        <v>0.11681872101500487</v>
      </c>
      <c r="Q945" t="s">
        <v>177</v>
      </c>
      <c r="R945">
        <v>0.35546398987545574</v>
      </c>
      <c r="S945" t="s">
        <v>178</v>
      </c>
      <c r="T945">
        <v>0.94456542178092129</v>
      </c>
      <c r="U945" t="s">
        <v>90</v>
      </c>
      <c r="V945">
        <v>0</v>
      </c>
      <c r="W945" t="s">
        <v>90</v>
      </c>
      <c r="X945">
        <v>0</v>
      </c>
      <c r="Y945">
        <v>9.288226647512392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1292</v>
      </c>
      <c r="AF945">
        <v>535</v>
      </c>
      <c r="AG945">
        <v>0</v>
      </c>
      <c r="AI945">
        <v>3.081</v>
      </c>
      <c r="AK945" t="s">
        <v>2791</v>
      </c>
      <c r="AM945">
        <v>200000</v>
      </c>
      <c r="AN945" t="s">
        <v>97</v>
      </c>
      <c r="AO945">
        <v>1</v>
      </c>
      <c r="AP945">
        <v>0</v>
      </c>
      <c r="AQ945">
        <v>16666.666666666668</v>
      </c>
      <c r="AR945" t="s">
        <v>2948</v>
      </c>
      <c r="AS945" t="s">
        <v>75</v>
      </c>
      <c r="AX945" t="s">
        <v>76</v>
      </c>
      <c r="AY945" t="s">
        <v>176</v>
      </c>
      <c r="AZ945">
        <v>0</v>
      </c>
      <c r="BA945" t="s">
        <v>176</v>
      </c>
      <c r="BB945">
        <v>0</v>
      </c>
    </row>
    <row r="946" spans="1:56" x14ac:dyDescent="0.15">
      <c r="A946" s="4" t="str">
        <f>HYPERLINK("https://ibp.a2mac1.com/costing(costing:projects/details/9760/part/8413546)","Fixing Part")</f>
        <v>Fixing Part</v>
      </c>
      <c r="B946">
        <v>8413546</v>
      </c>
      <c r="C946">
        <v>8413382</v>
      </c>
      <c r="D946" t="s">
        <v>2737</v>
      </c>
      <c r="E946">
        <v>0.88</v>
      </c>
      <c r="F946">
        <v>0</v>
      </c>
      <c r="G946">
        <v>0</v>
      </c>
      <c r="H946">
        <v>0</v>
      </c>
      <c r="I946" t="s">
        <v>71</v>
      </c>
      <c r="J946">
        <v>0</v>
      </c>
      <c r="K946">
        <v>0.88</v>
      </c>
      <c r="L946">
        <v>0</v>
      </c>
      <c r="M946">
        <v>0</v>
      </c>
      <c r="N946">
        <v>0.88</v>
      </c>
      <c r="O946" t="s">
        <v>71</v>
      </c>
      <c r="P946">
        <v>0</v>
      </c>
      <c r="Q946" t="s">
        <v>71</v>
      </c>
      <c r="R946">
        <v>0</v>
      </c>
      <c r="S946" t="s">
        <v>71</v>
      </c>
      <c r="T946">
        <v>0</v>
      </c>
      <c r="U946" t="s">
        <v>71</v>
      </c>
      <c r="V946">
        <v>0</v>
      </c>
      <c r="W946" t="s">
        <v>71</v>
      </c>
      <c r="X946">
        <v>0</v>
      </c>
      <c r="Y946">
        <v>0.88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120</v>
      </c>
      <c r="AF946">
        <v>55</v>
      </c>
      <c r="AG946">
        <v>0</v>
      </c>
      <c r="AI946">
        <v>9.2499999999999999E-2</v>
      </c>
      <c r="AK946" t="s">
        <v>2826</v>
      </c>
      <c r="AM946">
        <v>800000</v>
      </c>
      <c r="AN946" t="s">
        <v>97</v>
      </c>
      <c r="AO946">
        <v>4</v>
      </c>
      <c r="AP946">
        <v>0</v>
      </c>
      <c r="AQ946">
        <v>66666.666666666672</v>
      </c>
      <c r="AR946" t="s">
        <v>2949</v>
      </c>
      <c r="AS946" t="s">
        <v>75</v>
      </c>
      <c r="AX946" t="s">
        <v>76</v>
      </c>
      <c r="AY946" t="s">
        <v>71</v>
      </c>
      <c r="AZ946">
        <v>0</v>
      </c>
      <c r="BA946" t="s">
        <v>71</v>
      </c>
      <c r="BB946">
        <v>0</v>
      </c>
      <c r="BD946">
        <v>0.22</v>
      </c>
    </row>
    <row r="947" spans="1:56" x14ac:dyDescent="0.15">
      <c r="A947" s="4" t="str">
        <f>HYPERLINK("https://ibp.a2mac1.com/costing(costing:projects/details/9760/part/8413383)","Second Enclosure Bottom")</f>
        <v>Second Enclosure Bottom</v>
      </c>
      <c r="B947">
        <v>8413383</v>
      </c>
      <c r="C947">
        <v>8413230</v>
      </c>
      <c r="D947" t="s">
        <v>2737</v>
      </c>
      <c r="E947">
        <v>22.244295111111111</v>
      </c>
      <c r="F947">
        <v>0</v>
      </c>
      <c r="G947">
        <v>0</v>
      </c>
      <c r="H947">
        <v>2.3578674432748539E-2</v>
      </c>
      <c r="I947" t="s">
        <v>176</v>
      </c>
      <c r="J947">
        <v>0.79351308187134506</v>
      </c>
      <c r="K947">
        <v>23.061386867415205</v>
      </c>
      <c r="L947">
        <v>3.7138806904139519</v>
      </c>
      <c r="M947">
        <v>22.283284142483712</v>
      </c>
      <c r="N947">
        <v>45.344671009898917</v>
      </c>
      <c r="O947" t="s">
        <v>177</v>
      </c>
      <c r="P947">
        <v>1.3836832120449123</v>
      </c>
      <c r="Q947" t="s">
        <v>177</v>
      </c>
      <c r="R947">
        <v>1.3369970485490228</v>
      </c>
      <c r="S947" t="s">
        <v>178</v>
      </c>
      <c r="T947">
        <v>5.4413605211878702</v>
      </c>
      <c r="U947" t="s">
        <v>90</v>
      </c>
      <c r="V947">
        <v>0</v>
      </c>
      <c r="W947" t="s">
        <v>90</v>
      </c>
      <c r="X947">
        <v>0</v>
      </c>
      <c r="Y947">
        <v>53.506711791680722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2075</v>
      </c>
      <c r="AF947">
        <v>1412</v>
      </c>
      <c r="AG947">
        <v>15</v>
      </c>
      <c r="AI947">
        <v>29.8</v>
      </c>
      <c r="AK947" t="s">
        <v>2791</v>
      </c>
      <c r="AM947">
        <v>200000</v>
      </c>
      <c r="AN947" t="s">
        <v>97</v>
      </c>
      <c r="AO947">
        <v>1</v>
      </c>
      <c r="AP947">
        <v>0</v>
      </c>
      <c r="AQ947">
        <v>16666.666666666668</v>
      </c>
      <c r="AR947" t="s">
        <v>2957</v>
      </c>
      <c r="AS947" t="s">
        <v>75</v>
      </c>
      <c r="AX947" t="s">
        <v>76</v>
      </c>
      <c r="AY947" t="s">
        <v>176</v>
      </c>
      <c r="AZ947">
        <v>0</v>
      </c>
      <c r="BA947" t="s">
        <v>176</v>
      </c>
      <c r="BB947">
        <v>0</v>
      </c>
    </row>
    <row r="948" spans="1:56" x14ac:dyDescent="0.15">
      <c r="A948" s="4" t="str">
        <f>HYPERLINK("https://ibp.a2mac1.com/costing(costing:projects/details/9760/part/8413384)","Bracket 1")</f>
        <v>Bracket 1</v>
      </c>
      <c r="B948">
        <v>8413384</v>
      </c>
      <c r="C948">
        <v>8413231</v>
      </c>
      <c r="D948" t="s">
        <v>2960</v>
      </c>
      <c r="E948">
        <v>0.22</v>
      </c>
      <c r="F948">
        <v>0</v>
      </c>
      <c r="G948">
        <v>0</v>
      </c>
      <c r="H948">
        <v>0</v>
      </c>
      <c r="I948" t="s">
        <v>71</v>
      </c>
      <c r="J948">
        <v>0</v>
      </c>
      <c r="K948">
        <v>0.22</v>
      </c>
      <c r="L948">
        <v>0</v>
      </c>
      <c r="M948">
        <v>0</v>
      </c>
      <c r="N948">
        <v>0.22</v>
      </c>
      <c r="O948" t="s">
        <v>71</v>
      </c>
      <c r="P948">
        <v>0</v>
      </c>
      <c r="Q948" t="s">
        <v>71</v>
      </c>
      <c r="R948">
        <v>0</v>
      </c>
      <c r="S948" t="s">
        <v>71</v>
      </c>
      <c r="T948">
        <v>0</v>
      </c>
      <c r="U948" t="s">
        <v>71</v>
      </c>
      <c r="V948">
        <v>0</v>
      </c>
      <c r="W948" t="s">
        <v>71</v>
      </c>
      <c r="X948">
        <v>0</v>
      </c>
      <c r="Y948">
        <v>0.22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99</v>
      </c>
      <c r="AF948">
        <v>37</v>
      </c>
      <c r="AG948">
        <v>2</v>
      </c>
      <c r="AI948">
        <v>2.4E-2</v>
      </c>
      <c r="AK948" t="s">
        <v>2791</v>
      </c>
      <c r="AM948">
        <v>200000</v>
      </c>
      <c r="AN948" t="s">
        <v>97</v>
      </c>
      <c r="AO948">
        <v>1</v>
      </c>
      <c r="AP948">
        <v>0</v>
      </c>
      <c r="AQ948">
        <v>16666.666666666668</v>
      </c>
      <c r="AR948" t="s">
        <v>2961</v>
      </c>
      <c r="AS948" t="s">
        <v>75</v>
      </c>
      <c r="AX948" t="s">
        <v>76</v>
      </c>
      <c r="AY948" t="s">
        <v>71</v>
      </c>
      <c r="AZ948">
        <v>0</v>
      </c>
      <c r="BA948" t="s">
        <v>71</v>
      </c>
      <c r="BB948">
        <v>0</v>
      </c>
      <c r="BD948">
        <v>0.22</v>
      </c>
    </row>
    <row r="949" spans="1:56" x14ac:dyDescent="0.15">
      <c r="A949" s="4" t="str">
        <f>HYPERLINK("https://ibp.a2mac1.com/costing(costing:projects/details/9760/part/8413385)","Bracket 2")</f>
        <v>Bracket 2</v>
      </c>
      <c r="B949">
        <v>8413385</v>
      </c>
      <c r="C949">
        <v>8413231</v>
      </c>
      <c r="D949" t="s">
        <v>2960</v>
      </c>
      <c r="E949">
        <v>0.25</v>
      </c>
      <c r="F949">
        <v>0</v>
      </c>
      <c r="G949">
        <v>0</v>
      </c>
      <c r="H949">
        <v>0</v>
      </c>
      <c r="I949" t="s">
        <v>71</v>
      </c>
      <c r="J949">
        <v>0</v>
      </c>
      <c r="K949">
        <v>0.25</v>
      </c>
      <c r="L949">
        <v>0</v>
      </c>
      <c r="M949">
        <v>0</v>
      </c>
      <c r="N949">
        <v>0.25</v>
      </c>
      <c r="O949" t="s">
        <v>71</v>
      </c>
      <c r="P949">
        <v>0</v>
      </c>
      <c r="Q949" t="s">
        <v>71</v>
      </c>
      <c r="R949">
        <v>0</v>
      </c>
      <c r="S949" t="s">
        <v>71</v>
      </c>
      <c r="T949">
        <v>0</v>
      </c>
      <c r="U949" t="s">
        <v>71</v>
      </c>
      <c r="V949">
        <v>0</v>
      </c>
      <c r="W949" t="s">
        <v>71</v>
      </c>
      <c r="X949">
        <v>0</v>
      </c>
      <c r="Y949">
        <v>0.25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69</v>
      </c>
      <c r="AF949">
        <v>56</v>
      </c>
      <c r="AG949">
        <v>2</v>
      </c>
      <c r="AI949">
        <v>2.7E-2</v>
      </c>
      <c r="AK949" t="s">
        <v>2791</v>
      </c>
      <c r="AM949">
        <v>200000</v>
      </c>
      <c r="AN949" t="s">
        <v>97</v>
      </c>
      <c r="AO949">
        <v>1</v>
      </c>
      <c r="AP949">
        <v>0</v>
      </c>
      <c r="AQ949">
        <v>16666.666666666668</v>
      </c>
      <c r="AR949" t="s">
        <v>2962</v>
      </c>
      <c r="AS949" t="s">
        <v>75</v>
      </c>
      <c r="AX949" t="s">
        <v>76</v>
      </c>
      <c r="AY949" t="s">
        <v>71</v>
      </c>
      <c r="AZ949">
        <v>0</v>
      </c>
      <c r="BA949" t="s">
        <v>71</v>
      </c>
      <c r="BB949">
        <v>0</v>
      </c>
      <c r="BD949">
        <v>0.25</v>
      </c>
    </row>
    <row r="950" spans="1:56" x14ac:dyDescent="0.15">
      <c r="A950" s="4" t="str">
        <f>HYPERLINK("https://ibp.a2mac1.com/costing(costing:projects/details/9760/part/8413386)","Bracket 3")</f>
        <v>Bracket 3</v>
      </c>
      <c r="B950">
        <v>8413386</v>
      </c>
      <c r="C950">
        <v>8413231</v>
      </c>
      <c r="D950" t="s">
        <v>2963</v>
      </c>
      <c r="E950">
        <v>0.54</v>
      </c>
      <c r="F950">
        <v>0</v>
      </c>
      <c r="G950">
        <v>0</v>
      </c>
      <c r="H950">
        <v>0</v>
      </c>
      <c r="I950" t="s">
        <v>71</v>
      </c>
      <c r="J950">
        <v>0</v>
      </c>
      <c r="K950">
        <v>0.54</v>
      </c>
      <c r="L950">
        <v>0</v>
      </c>
      <c r="M950">
        <v>0</v>
      </c>
      <c r="N950">
        <v>0.54</v>
      </c>
      <c r="O950" t="s">
        <v>71</v>
      </c>
      <c r="P950">
        <v>0</v>
      </c>
      <c r="Q950" t="s">
        <v>71</v>
      </c>
      <c r="R950">
        <v>0</v>
      </c>
      <c r="S950" t="s">
        <v>71</v>
      </c>
      <c r="T950">
        <v>0</v>
      </c>
      <c r="U950" t="s">
        <v>71</v>
      </c>
      <c r="V950">
        <v>0</v>
      </c>
      <c r="W950" t="s">
        <v>71</v>
      </c>
      <c r="X950">
        <v>0</v>
      </c>
      <c r="Y950">
        <v>0.54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59</v>
      </c>
      <c r="AF950">
        <v>51</v>
      </c>
      <c r="AG950">
        <v>14</v>
      </c>
      <c r="AI950">
        <v>2.7E-2</v>
      </c>
      <c r="AK950" t="s">
        <v>2791</v>
      </c>
      <c r="AM950">
        <v>200000</v>
      </c>
      <c r="AN950" t="s">
        <v>97</v>
      </c>
      <c r="AO950">
        <v>1</v>
      </c>
      <c r="AP950">
        <v>0</v>
      </c>
      <c r="AQ950">
        <v>16666.666666666668</v>
      </c>
      <c r="AR950" t="s">
        <v>2964</v>
      </c>
      <c r="AS950" t="s">
        <v>75</v>
      </c>
      <c r="AX950" t="s">
        <v>76</v>
      </c>
      <c r="AY950" t="s">
        <v>71</v>
      </c>
      <c r="AZ950">
        <v>0</v>
      </c>
      <c r="BA950" t="s">
        <v>71</v>
      </c>
      <c r="BB950">
        <v>0</v>
      </c>
      <c r="BD950">
        <v>0.54</v>
      </c>
    </row>
    <row r="951" spans="1:56" x14ac:dyDescent="0.15">
      <c r="A951" s="4" t="str">
        <f>HYPERLINK("https://ibp.a2mac1.com/costing(costing:projects/details/9760/part/8413387)","Bracket 4")</f>
        <v>Bracket 4</v>
      </c>
      <c r="B951">
        <v>8413387</v>
      </c>
      <c r="C951">
        <v>8413231</v>
      </c>
      <c r="D951" t="s">
        <v>2960</v>
      </c>
      <c r="E951">
        <v>0.22</v>
      </c>
      <c r="F951">
        <v>0</v>
      </c>
      <c r="G951">
        <v>0</v>
      </c>
      <c r="H951">
        <v>0</v>
      </c>
      <c r="I951" t="s">
        <v>71</v>
      </c>
      <c r="J951">
        <v>0</v>
      </c>
      <c r="K951">
        <v>0.22</v>
      </c>
      <c r="L951">
        <v>0</v>
      </c>
      <c r="M951">
        <v>0</v>
      </c>
      <c r="N951">
        <v>0.22</v>
      </c>
      <c r="O951" t="s">
        <v>71</v>
      </c>
      <c r="P951">
        <v>0</v>
      </c>
      <c r="Q951" t="s">
        <v>71</v>
      </c>
      <c r="R951">
        <v>0</v>
      </c>
      <c r="S951" t="s">
        <v>71</v>
      </c>
      <c r="T951">
        <v>0</v>
      </c>
      <c r="U951" t="s">
        <v>71</v>
      </c>
      <c r="V951">
        <v>0</v>
      </c>
      <c r="W951" t="s">
        <v>71</v>
      </c>
      <c r="X951">
        <v>0</v>
      </c>
      <c r="Y951">
        <v>0.22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100</v>
      </c>
      <c r="AF951">
        <v>55</v>
      </c>
      <c r="AG951">
        <v>2</v>
      </c>
      <c r="AI951">
        <v>0.05</v>
      </c>
      <c r="AK951" t="s">
        <v>2791</v>
      </c>
      <c r="AM951">
        <v>200000</v>
      </c>
      <c r="AN951" t="s">
        <v>97</v>
      </c>
      <c r="AO951">
        <v>1</v>
      </c>
      <c r="AP951">
        <v>0</v>
      </c>
      <c r="AQ951">
        <v>16666.666666666668</v>
      </c>
      <c r="AR951" t="s">
        <v>2965</v>
      </c>
      <c r="AS951" t="s">
        <v>75</v>
      </c>
      <c r="AX951" t="s">
        <v>76</v>
      </c>
      <c r="AY951" t="s">
        <v>71</v>
      </c>
      <c r="AZ951">
        <v>0</v>
      </c>
      <c r="BA951" t="s">
        <v>71</v>
      </c>
      <c r="BB951">
        <v>0</v>
      </c>
      <c r="BD951">
        <v>0.22</v>
      </c>
    </row>
    <row r="952" spans="1:56" x14ac:dyDescent="0.15">
      <c r="A952" s="4" t="str">
        <f>HYPERLINK("https://ibp.a2mac1.com/costing(costing:projects/details/9760/part/8413388)","Bracket 5")</f>
        <v>Bracket 5</v>
      </c>
      <c r="B952">
        <v>8413388</v>
      </c>
      <c r="C952">
        <v>8413231</v>
      </c>
      <c r="D952" t="s">
        <v>2966</v>
      </c>
      <c r="E952">
        <v>0.09</v>
      </c>
      <c r="F952">
        <v>0</v>
      </c>
      <c r="G952">
        <v>0</v>
      </c>
      <c r="H952">
        <v>0</v>
      </c>
      <c r="I952" t="s">
        <v>71</v>
      </c>
      <c r="J952">
        <v>0</v>
      </c>
      <c r="K952">
        <v>0.09</v>
      </c>
      <c r="L952">
        <v>0</v>
      </c>
      <c r="M952">
        <v>0</v>
      </c>
      <c r="N952">
        <v>0.09</v>
      </c>
      <c r="O952" t="s">
        <v>71</v>
      </c>
      <c r="P952">
        <v>0</v>
      </c>
      <c r="Q952" t="s">
        <v>71</v>
      </c>
      <c r="R952">
        <v>0</v>
      </c>
      <c r="S952" t="s">
        <v>71</v>
      </c>
      <c r="T952">
        <v>0</v>
      </c>
      <c r="U952" t="s">
        <v>71</v>
      </c>
      <c r="V952">
        <v>0</v>
      </c>
      <c r="W952" t="s">
        <v>71</v>
      </c>
      <c r="X952">
        <v>0</v>
      </c>
      <c r="Y952">
        <v>0.09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90</v>
      </c>
      <c r="AF952">
        <v>63</v>
      </c>
      <c r="AG952">
        <v>61</v>
      </c>
      <c r="AI952">
        <v>4.4999999999999998E-2</v>
      </c>
      <c r="AK952" t="s">
        <v>2791</v>
      </c>
      <c r="AM952">
        <v>200000</v>
      </c>
      <c r="AN952" t="s">
        <v>97</v>
      </c>
      <c r="AO952">
        <v>1</v>
      </c>
      <c r="AP952">
        <v>0</v>
      </c>
      <c r="AQ952">
        <v>16666.666666666668</v>
      </c>
      <c r="AR952" t="s">
        <v>2967</v>
      </c>
      <c r="AS952" t="s">
        <v>75</v>
      </c>
      <c r="AX952" t="s">
        <v>76</v>
      </c>
      <c r="AY952" t="s">
        <v>71</v>
      </c>
      <c r="AZ952">
        <v>0</v>
      </c>
      <c r="BA952" t="s">
        <v>71</v>
      </c>
      <c r="BB952">
        <v>0</v>
      </c>
      <c r="BD952">
        <v>0.09</v>
      </c>
    </row>
    <row r="953" spans="1:56" x14ac:dyDescent="0.15">
      <c r="A953" s="4" t="str">
        <f>HYPERLINK("https://ibp.a2mac1.com/costing(costing:projects/details/9760/part/8413389)","Bracket 6")</f>
        <v>Bracket 6</v>
      </c>
      <c r="B953">
        <v>8413389</v>
      </c>
      <c r="C953">
        <v>8413231</v>
      </c>
      <c r="D953" t="s">
        <v>2966</v>
      </c>
      <c r="E953">
        <v>0.72</v>
      </c>
      <c r="F953">
        <v>0</v>
      </c>
      <c r="G953">
        <v>0</v>
      </c>
      <c r="H953">
        <v>0</v>
      </c>
      <c r="I953" t="s">
        <v>71</v>
      </c>
      <c r="J953">
        <v>0</v>
      </c>
      <c r="K953">
        <v>0.72</v>
      </c>
      <c r="L953">
        <v>0</v>
      </c>
      <c r="M953">
        <v>0</v>
      </c>
      <c r="N953">
        <v>0.72</v>
      </c>
      <c r="O953" t="s">
        <v>71</v>
      </c>
      <c r="P953">
        <v>0</v>
      </c>
      <c r="Q953" t="s">
        <v>71</v>
      </c>
      <c r="R953">
        <v>0</v>
      </c>
      <c r="S953" t="s">
        <v>71</v>
      </c>
      <c r="T953">
        <v>0</v>
      </c>
      <c r="U953" t="s">
        <v>71</v>
      </c>
      <c r="V953">
        <v>0</v>
      </c>
      <c r="W953" t="s">
        <v>71</v>
      </c>
      <c r="X953">
        <v>0</v>
      </c>
      <c r="Y953">
        <v>0.72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138</v>
      </c>
      <c r="AF953">
        <v>90</v>
      </c>
      <c r="AG953">
        <v>52</v>
      </c>
      <c r="AI953">
        <v>0.06</v>
      </c>
      <c r="AK953" t="s">
        <v>2791</v>
      </c>
      <c r="AM953">
        <v>200000</v>
      </c>
      <c r="AN953" t="s">
        <v>97</v>
      </c>
      <c r="AO953">
        <v>1</v>
      </c>
      <c r="AP953">
        <v>0</v>
      </c>
      <c r="AQ953">
        <v>16666.666666666668</v>
      </c>
      <c r="AR953" t="s">
        <v>2968</v>
      </c>
      <c r="AS953" t="s">
        <v>75</v>
      </c>
      <c r="AX953" t="s">
        <v>76</v>
      </c>
      <c r="AY953" t="s">
        <v>71</v>
      </c>
      <c r="AZ953">
        <v>0</v>
      </c>
      <c r="BA953" t="s">
        <v>71</v>
      </c>
      <c r="BB953">
        <v>0</v>
      </c>
      <c r="BD953">
        <v>0.72</v>
      </c>
    </row>
    <row r="954" spans="1:56" x14ac:dyDescent="0.15">
      <c r="A954" s="4" t="str">
        <f>HYPERLINK("https://ibp.a2mac1.com/costing(costing:projects/details/9760/part/8413390)","Bracket 7")</f>
        <v>Bracket 7</v>
      </c>
      <c r="B954">
        <v>8413390</v>
      </c>
      <c r="C954">
        <v>8413231</v>
      </c>
      <c r="D954" t="s">
        <v>2963</v>
      </c>
      <c r="E954">
        <v>0.90739999999999998</v>
      </c>
      <c r="F954">
        <v>0</v>
      </c>
      <c r="G954">
        <v>0</v>
      </c>
      <c r="H954">
        <v>0</v>
      </c>
      <c r="I954" t="s">
        <v>71</v>
      </c>
      <c r="J954">
        <v>0</v>
      </c>
      <c r="K954">
        <v>0.90739999999999998</v>
      </c>
      <c r="L954">
        <v>0</v>
      </c>
      <c r="M954">
        <v>0</v>
      </c>
      <c r="N954">
        <v>0.90739999999999998</v>
      </c>
      <c r="O954" t="s">
        <v>71</v>
      </c>
      <c r="P954">
        <v>0</v>
      </c>
      <c r="Q954" t="s">
        <v>71</v>
      </c>
      <c r="R954">
        <v>0</v>
      </c>
      <c r="S954" t="s">
        <v>71</v>
      </c>
      <c r="T954">
        <v>0</v>
      </c>
      <c r="U954" t="s">
        <v>71</v>
      </c>
      <c r="V954">
        <v>0</v>
      </c>
      <c r="W954" t="s">
        <v>71</v>
      </c>
      <c r="X954">
        <v>0</v>
      </c>
      <c r="Y954">
        <v>0.90739999999999998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66</v>
      </c>
      <c r="AF954">
        <v>61</v>
      </c>
      <c r="AG954">
        <v>29</v>
      </c>
      <c r="AI954">
        <v>4.9000000000000002E-2</v>
      </c>
      <c r="AK954" t="s">
        <v>2791</v>
      </c>
      <c r="AM954">
        <v>200000</v>
      </c>
      <c r="AN954" t="s">
        <v>97</v>
      </c>
      <c r="AO954">
        <v>1</v>
      </c>
      <c r="AP954">
        <v>0</v>
      </c>
      <c r="AQ954">
        <v>16666.666666666668</v>
      </c>
      <c r="AR954" t="s">
        <v>2969</v>
      </c>
      <c r="AS954" t="s">
        <v>75</v>
      </c>
      <c r="AX954" t="s">
        <v>76</v>
      </c>
      <c r="AY954" t="s">
        <v>71</v>
      </c>
      <c r="AZ954">
        <v>0</v>
      </c>
      <c r="BA954" t="s">
        <v>71</v>
      </c>
      <c r="BB954">
        <v>0</v>
      </c>
      <c r="BD954">
        <v>0.90739999999999998</v>
      </c>
    </row>
    <row r="955" spans="1:56" x14ac:dyDescent="0.15">
      <c r="A955" s="4" t="str">
        <f>HYPERLINK("https://ibp.a2mac1.com/costing(costing:projects/details/9760/part/8413391)","Bracket 8")</f>
        <v>Bracket 8</v>
      </c>
      <c r="B955">
        <v>8413391</v>
      </c>
      <c r="C955">
        <v>8413231</v>
      </c>
      <c r="D955" t="s">
        <v>2963</v>
      </c>
      <c r="E955">
        <v>0.55000000000000004</v>
      </c>
      <c r="F955">
        <v>0</v>
      </c>
      <c r="G955">
        <v>0</v>
      </c>
      <c r="H955">
        <v>0</v>
      </c>
      <c r="I955" t="s">
        <v>71</v>
      </c>
      <c r="J955">
        <v>0</v>
      </c>
      <c r="K955">
        <v>0.55000000000000004</v>
      </c>
      <c r="L955">
        <v>0</v>
      </c>
      <c r="M955">
        <v>0</v>
      </c>
      <c r="N955">
        <v>0.55000000000000004</v>
      </c>
      <c r="O955" t="s">
        <v>71</v>
      </c>
      <c r="P955">
        <v>0</v>
      </c>
      <c r="Q955" t="s">
        <v>71</v>
      </c>
      <c r="R955">
        <v>0</v>
      </c>
      <c r="S955" t="s">
        <v>71</v>
      </c>
      <c r="T955">
        <v>0</v>
      </c>
      <c r="U955" t="s">
        <v>71</v>
      </c>
      <c r="V955">
        <v>0</v>
      </c>
      <c r="W955" t="s">
        <v>71</v>
      </c>
      <c r="X955">
        <v>0</v>
      </c>
      <c r="Y955">
        <v>0.55000000000000004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59</v>
      </c>
      <c r="AF955">
        <v>51</v>
      </c>
      <c r="AG955">
        <v>14</v>
      </c>
      <c r="AI955">
        <v>2.7E-2</v>
      </c>
      <c r="AK955" t="s">
        <v>2791</v>
      </c>
      <c r="AM955">
        <v>200000</v>
      </c>
      <c r="AN955" t="s">
        <v>97</v>
      </c>
      <c r="AO955">
        <v>1</v>
      </c>
      <c r="AP955">
        <v>0</v>
      </c>
      <c r="AQ955">
        <v>16666.666666666668</v>
      </c>
      <c r="AR955" t="s">
        <v>2970</v>
      </c>
      <c r="AS955" t="s">
        <v>75</v>
      </c>
      <c r="AX955" t="s">
        <v>76</v>
      </c>
      <c r="AY955" t="s">
        <v>71</v>
      </c>
      <c r="AZ955">
        <v>0</v>
      </c>
      <c r="BA955" t="s">
        <v>71</v>
      </c>
      <c r="BB955">
        <v>0</v>
      </c>
      <c r="BD955">
        <v>0.55000000000000004</v>
      </c>
    </row>
    <row r="956" spans="1:56" x14ac:dyDescent="0.15">
      <c r="A956" s="4" t="str">
        <f>HYPERLINK("https://ibp.a2mac1.com/costing(costing:projects/details/9760/part/8413392)","Bracket 9")</f>
        <v>Bracket 9</v>
      </c>
      <c r="B956">
        <v>8413392</v>
      </c>
      <c r="C956">
        <v>8413231</v>
      </c>
      <c r="D956" t="s">
        <v>2737</v>
      </c>
      <c r="E956">
        <v>1.5</v>
      </c>
      <c r="F956">
        <v>0</v>
      </c>
      <c r="G956">
        <v>0</v>
      </c>
      <c r="H956">
        <v>0</v>
      </c>
      <c r="I956" t="s">
        <v>71</v>
      </c>
      <c r="J956">
        <v>0</v>
      </c>
      <c r="K956">
        <v>1.5</v>
      </c>
      <c r="L956">
        <v>0</v>
      </c>
      <c r="M956">
        <v>0</v>
      </c>
      <c r="N956">
        <v>1.5</v>
      </c>
      <c r="O956" t="s">
        <v>71</v>
      </c>
      <c r="P956">
        <v>0</v>
      </c>
      <c r="Q956" t="s">
        <v>71</v>
      </c>
      <c r="R956">
        <v>0</v>
      </c>
      <c r="S956" t="s">
        <v>71</v>
      </c>
      <c r="T956">
        <v>0</v>
      </c>
      <c r="U956" t="s">
        <v>71</v>
      </c>
      <c r="V956">
        <v>0</v>
      </c>
      <c r="W956" t="s">
        <v>71</v>
      </c>
      <c r="X956">
        <v>0</v>
      </c>
      <c r="Y956">
        <v>1.5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290</v>
      </c>
      <c r="AF956">
        <v>150</v>
      </c>
      <c r="AG956">
        <v>70</v>
      </c>
      <c r="AI956">
        <v>0.32500000000000001</v>
      </c>
      <c r="AK956" t="s">
        <v>2791</v>
      </c>
      <c r="AM956">
        <v>600000</v>
      </c>
      <c r="AN956" t="s">
        <v>97</v>
      </c>
      <c r="AO956">
        <v>3</v>
      </c>
      <c r="AP956">
        <v>0</v>
      </c>
      <c r="AQ956">
        <v>50000</v>
      </c>
      <c r="AR956" t="s">
        <v>2971</v>
      </c>
      <c r="AS956" t="s">
        <v>75</v>
      </c>
      <c r="AX956" t="s">
        <v>76</v>
      </c>
      <c r="AY956" t="s">
        <v>71</v>
      </c>
      <c r="AZ956">
        <v>0</v>
      </c>
      <c r="BA956" t="s">
        <v>71</v>
      </c>
      <c r="BB956">
        <v>0</v>
      </c>
      <c r="BD956">
        <v>0.5</v>
      </c>
    </row>
    <row r="957" spans="1:56" x14ac:dyDescent="0.15">
      <c r="A957" s="4" t="str">
        <f>HYPERLINK("https://ibp.a2mac1.com/costing(costing:projects/details/9760/part/8413393)","Bracket 10")</f>
        <v>Bracket 10</v>
      </c>
      <c r="B957">
        <v>8413393</v>
      </c>
      <c r="C957">
        <v>8413231</v>
      </c>
      <c r="D957" t="s">
        <v>2790</v>
      </c>
      <c r="E957">
        <v>1.28</v>
      </c>
      <c r="F957">
        <v>0</v>
      </c>
      <c r="G957">
        <v>0</v>
      </c>
      <c r="H957">
        <v>0</v>
      </c>
      <c r="I957" t="s">
        <v>71</v>
      </c>
      <c r="J957">
        <v>0</v>
      </c>
      <c r="K957">
        <v>1.28</v>
      </c>
      <c r="L957">
        <v>0</v>
      </c>
      <c r="M957">
        <v>0</v>
      </c>
      <c r="N957">
        <v>1.28</v>
      </c>
      <c r="O957" t="s">
        <v>71</v>
      </c>
      <c r="P957">
        <v>0</v>
      </c>
      <c r="Q957" t="s">
        <v>71</v>
      </c>
      <c r="R957">
        <v>0</v>
      </c>
      <c r="S957" t="s">
        <v>71</v>
      </c>
      <c r="T957">
        <v>0</v>
      </c>
      <c r="U957" t="s">
        <v>71</v>
      </c>
      <c r="V957">
        <v>0</v>
      </c>
      <c r="W957" t="s">
        <v>71</v>
      </c>
      <c r="X957">
        <v>0</v>
      </c>
      <c r="Y957">
        <v>1.28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85</v>
      </c>
      <c r="AF957">
        <v>26</v>
      </c>
      <c r="AG957">
        <v>24</v>
      </c>
      <c r="AI957">
        <v>2.0500000000000001E-2</v>
      </c>
      <c r="AK957" t="s">
        <v>2791</v>
      </c>
      <c r="AM957">
        <v>400000</v>
      </c>
      <c r="AN957" t="s">
        <v>97</v>
      </c>
      <c r="AO957">
        <v>2</v>
      </c>
      <c r="AP957">
        <v>0</v>
      </c>
      <c r="AQ957">
        <v>33333.333333333336</v>
      </c>
      <c r="AR957" t="s">
        <v>2972</v>
      </c>
      <c r="AS957" t="s">
        <v>75</v>
      </c>
      <c r="AX957" t="s">
        <v>76</v>
      </c>
      <c r="AY957" t="s">
        <v>71</v>
      </c>
      <c r="AZ957">
        <v>0</v>
      </c>
      <c r="BA957" t="s">
        <v>71</v>
      </c>
      <c r="BB957">
        <v>0</v>
      </c>
      <c r="BD957">
        <v>0.64</v>
      </c>
    </row>
    <row r="958" spans="1:56" x14ac:dyDescent="0.15">
      <c r="A958" s="4" t="str">
        <f>HYPERLINK("https://ibp.a2mac1.com/costing(costing:projects/details/9760/part/8413394)","Bracket 11")</f>
        <v>Bracket 11</v>
      </c>
      <c r="B958">
        <v>8413394</v>
      </c>
      <c r="C958">
        <v>8413231</v>
      </c>
      <c r="D958" t="s">
        <v>2973</v>
      </c>
      <c r="E958">
        <v>17.5</v>
      </c>
      <c r="F958">
        <v>0</v>
      </c>
      <c r="G958">
        <v>0</v>
      </c>
      <c r="H958">
        <v>0</v>
      </c>
      <c r="I958" t="s">
        <v>71</v>
      </c>
      <c r="J958">
        <v>0</v>
      </c>
      <c r="K958">
        <v>17.5</v>
      </c>
      <c r="L958">
        <v>0</v>
      </c>
      <c r="M958">
        <v>0</v>
      </c>
      <c r="N958">
        <v>17.5</v>
      </c>
      <c r="O958" t="s">
        <v>71</v>
      </c>
      <c r="P958">
        <v>0</v>
      </c>
      <c r="Q958" t="s">
        <v>71</v>
      </c>
      <c r="R958">
        <v>0</v>
      </c>
      <c r="S958" t="s">
        <v>71</v>
      </c>
      <c r="T958">
        <v>0</v>
      </c>
      <c r="U958" t="s">
        <v>71</v>
      </c>
      <c r="V958">
        <v>0</v>
      </c>
      <c r="W958" t="s">
        <v>71</v>
      </c>
      <c r="X958">
        <v>0</v>
      </c>
      <c r="Y958">
        <v>17.5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1821</v>
      </c>
      <c r="AF958">
        <v>24</v>
      </c>
      <c r="AG958">
        <v>14</v>
      </c>
      <c r="AI958">
        <v>0.80120000000000002</v>
      </c>
      <c r="AK958" t="s">
        <v>2791</v>
      </c>
      <c r="AM958">
        <v>1000000</v>
      </c>
      <c r="AN958" t="s">
        <v>97</v>
      </c>
      <c r="AO958">
        <v>5</v>
      </c>
      <c r="AP958">
        <v>0</v>
      </c>
      <c r="AQ958">
        <v>83333.333333333328</v>
      </c>
      <c r="AR958" t="s">
        <v>2974</v>
      </c>
      <c r="AS958" t="s">
        <v>75</v>
      </c>
      <c r="AX958" t="s">
        <v>76</v>
      </c>
      <c r="AY958" t="s">
        <v>71</v>
      </c>
      <c r="AZ958">
        <v>0</v>
      </c>
      <c r="BA958" t="s">
        <v>71</v>
      </c>
      <c r="BB958">
        <v>0</v>
      </c>
      <c r="BD958">
        <v>3.5</v>
      </c>
    </row>
    <row r="959" spans="1:56" x14ac:dyDescent="0.15">
      <c r="A959" s="4" t="str">
        <f>HYPERLINK("https://ibp.a2mac1.com/costing(costing:projects/details/9760/part/8413395)","Bracket 12")</f>
        <v>Bracket 12</v>
      </c>
      <c r="B959">
        <v>8413395</v>
      </c>
      <c r="C959">
        <v>8413231</v>
      </c>
      <c r="D959" t="s">
        <v>2966</v>
      </c>
      <c r="E959">
        <v>10.96</v>
      </c>
      <c r="F959">
        <v>0</v>
      </c>
      <c r="G959">
        <v>0</v>
      </c>
      <c r="H959">
        <v>0</v>
      </c>
      <c r="I959" t="s">
        <v>71</v>
      </c>
      <c r="J959">
        <v>0</v>
      </c>
      <c r="K959">
        <v>10.96</v>
      </c>
      <c r="L959">
        <v>0</v>
      </c>
      <c r="M959">
        <v>0</v>
      </c>
      <c r="N959">
        <v>10.96</v>
      </c>
      <c r="O959" t="s">
        <v>71</v>
      </c>
      <c r="P959">
        <v>0</v>
      </c>
      <c r="Q959" t="s">
        <v>71</v>
      </c>
      <c r="R959">
        <v>0</v>
      </c>
      <c r="S959" t="s">
        <v>71</v>
      </c>
      <c r="T959">
        <v>0</v>
      </c>
      <c r="U959" t="s">
        <v>71</v>
      </c>
      <c r="V959">
        <v>0</v>
      </c>
      <c r="W959" t="s">
        <v>71</v>
      </c>
      <c r="X959">
        <v>0</v>
      </c>
      <c r="Y959">
        <v>10.96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830</v>
      </c>
      <c r="AF959">
        <v>35</v>
      </c>
      <c r="AG959">
        <v>17</v>
      </c>
      <c r="AI959">
        <v>0.34799999999999998</v>
      </c>
      <c r="AK959" t="s">
        <v>2826</v>
      </c>
      <c r="AM959">
        <v>800000</v>
      </c>
      <c r="AN959" t="s">
        <v>97</v>
      </c>
      <c r="AO959">
        <v>4</v>
      </c>
      <c r="AP959">
        <v>0</v>
      </c>
      <c r="AQ959">
        <v>66666.666666666672</v>
      </c>
      <c r="AR959" t="s">
        <v>2975</v>
      </c>
      <c r="AS959" t="s">
        <v>75</v>
      </c>
      <c r="AX959" t="s">
        <v>76</v>
      </c>
      <c r="AY959" t="s">
        <v>71</v>
      </c>
      <c r="AZ959">
        <v>0</v>
      </c>
      <c r="BA959" t="s">
        <v>71</v>
      </c>
      <c r="BB959">
        <v>0</v>
      </c>
      <c r="BD959">
        <v>2.74</v>
      </c>
    </row>
    <row r="960" spans="1:56" x14ac:dyDescent="0.15">
      <c r="A960" s="4" t="str">
        <f>HYPERLINK("https://ibp.a2mac1.com/costing(costing:projects/details/9760/part/8413396)","Bracket 13")</f>
        <v>Bracket 13</v>
      </c>
      <c r="B960">
        <v>8413396</v>
      </c>
      <c r="C960">
        <v>8413231</v>
      </c>
      <c r="D960" t="s">
        <v>2973</v>
      </c>
      <c r="E960">
        <v>4.68</v>
      </c>
      <c r="F960">
        <v>0</v>
      </c>
      <c r="G960">
        <v>0</v>
      </c>
      <c r="H960">
        <v>0</v>
      </c>
      <c r="I960" t="s">
        <v>71</v>
      </c>
      <c r="J960">
        <v>0</v>
      </c>
      <c r="K960">
        <v>4.68</v>
      </c>
      <c r="L960">
        <v>0</v>
      </c>
      <c r="M960">
        <v>0</v>
      </c>
      <c r="N960">
        <v>4.68</v>
      </c>
      <c r="O960" t="s">
        <v>71</v>
      </c>
      <c r="P960">
        <v>0</v>
      </c>
      <c r="Q960" t="s">
        <v>71</v>
      </c>
      <c r="R960">
        <v>0</v>
      </c>
      <c r="S960" t="s">
        <v>71</v>
      </c>
      <c r="T960">
        <v>0</v>
      </c>
      <c r="U960" t="s">
        <v>71</v>
      </c>
      <c r="V960">
        <v>0</v>
      </c>
      <c r="W960" t="s">
        <v>71</v>
      </c>
      <c r="X960">
        <v>0</v>
      </c>
      <c r="Y960">
        <v>4.68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1800</v>
      </c>
      <c r="AF960">
        <v>17</v>
      </c>
      <c r="AG960">
        <v>10</v>
      </c>
      <c r="AI960">
        <v>0.497</v>
      </c>
      <c r="AK960" t="s">
        <v>2791</v>
      </c>
      <c r="AM960">
        <v>400000</v>
      </c>
      <c r="AN960" t="s">
        <v>97</v>
      </c>
      <c r="AO960">
        <v>2</v>
      </c>
      <c r="AP960">
        <v>0</v>
      </c>
      <c r="AQ960">
        <v>33333.333333333336</v>
      </c>
      <c r="AR960" t="s">
        <v>2976</v>
      </c>
      <c r="AS960" t="s">
        <v>75</v>
      </c>
      <c r="AX960" t="s">
        <v>76</v>
      </c>
      <c r="AY960" t="s">
        <v>71</v>
      </c>
      <c r="AZ960">
        <v>0</v>
      </c>
      <c r="BA960" t="s">
        <v>71</v>
      </c>
      <c r="BB960">
        <v>0</v>
      </c>
      <c r="BD960">
        <v>2.34</v>
      </c>
    </row>
    <row r="961" spans="1:56" x14ac:dyDescent="0.15">
      <c r="A961" s="4" t="str">
        <f>HYPERLINK("https://ibp.a2mac1.com/costing(costing:projects/details/9760/part/8413397)","Seal 1")</f>
        <v>Seal 1</v>
      </c>
      <c r="B961">
        <v>8413397</v>
      </c>
      <c r="C961">
        <v>8413232</v>
      </c>
      <c r="D961" t="s">
        <v>284</v>
      </c>
      <c r="E961">
        <v>0.24</v>
      </c>
      <c r="F961">
        <v>0</v>
      </c>
      <c r="G961">
        <v>0</v>
      </c>
      <c r="H961">
        <v>0</v>
      </c>
      <c r="I961" t="s">
        <v>71</v>
      </c>
      <c r="J961">
        <v>0</v>
      </c>
      <c r="K961">
        <v>0.24</v>
      </c>
      <c r="L961">
        <v>0</v>
      </c>
      <c r="M961">
        <v>0</v>
      </c>
      <c r="N961">
        <v>0.24</v>
      </c>
      <c r="O961" t="s">
        <v>71</v>
      </c>
      <c r="P961">
        <v>0</v>
      </c>
      <c r="Q961" t="s">
        <v>71</v>
      </c>
      <c r="R961">
        <v>0</v>
      </c>
      <c r="S961" t="s">
        <v>71</v>
      </c>
      <c r="T961">
        <v>0</v>
      </c>
      <c r="U961" t="s">
        <v>71</v>
      </c>
      <c r="V961">
        <v>0</v>
      </c>
      <c r="W961" t="s">
        <v>71</v>
      </c>
      <c r="X961">
        <v>0</v>
      </c>
      <c r="Y961">
        <v>0.24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174</v>
      </c>
      <c r="AF961">
        <v>79</v>
      </c>
      <c r="AG961">
        <v>8</v>
      </c>
      <c r="AI961">
        <v>7.4999999999999997E-3</v>
      </c>
      <c r="AK961" t="s">
        <v>2791</v>
      </c>
      <c r="AM961">
        <v>400000</v>
      </c>
      <c r="AN961" t="s">
        <v>97</v>
      </c>
      <c r="AO961">
        <v>2</v>
      </c>
      <c r="AP961">
        <v>0</v>
      </c>
      <c r="AQ961">
        <v>33333.333333333336</v>
      </c>
      <c r="AR961" t="s">
        <v>2979</v>
      </c>
      <c r="AS961" t="s">
        <v>75</v>
      </c>
      <c r="AX961" t="s">
        <v>76</v>
      </c>
      <c r="AY961" t="s">
        <v>71</v>
      </c>
      <c r="AZ961">
        <v>0</v>
      </c>
      <c r="BA961" t="s">
        <v>71</v>
      </c>
      <c r="BB961">
        <v>0</v>
      </c>
      <c r="BD961">
        <v>0.12</v>
      </c>
    </row>
    <row r="962" spans="1:56" x14ac:dyDescent="0.15">
      <c r="A962" s="4" t="str">
        <f>HYPERLINK("https://ibp.a2mac1.com/costing(costing:projects/details/9760/part/8413398)","Seal 2")</f>
        <v>Seal 2</v>
      </c>
      <c r="B962">
        <v>8413398</v>
      </c>
      <c r="C962">
        <v>8413232</v>
      </c>
      <c r="D962" t="s">
        <v>284</v>
      </c>
      <c r="E962">
        <v>0.12</v>
      </c>
      <c r="F962">
        <v>0</v>
      </c>
      <c r="G962">
        <v>0</v>
      </c>
      <c r="H962">
        <v>0</v>
      </c>
      <c r="I962" t="s">
        <v>71</v>
      </c>
      <c r="J962">
        <v>0</v>
      </c>
      <c r="K962">
        <v>0.12</v>
      </c>
      <c r="L962">
        <v>0</v>
      </c>
      <c r="M962">
        <v>0</v>
      </c>
      <c r="N962">
        <v>0.12</v>
      </c>
      <c r="O962" t="s">
        <v>71</v>
      </c>
      <c r="P962">
        <v>0</v>
      </c>
      <c r="Q962" t="s">
        <v>71</v>
      </c>
      <c r="R962">
        <v>0</v>
      </c>
      <c r="S962" t="s">
        <v>71</v>
      </c>
      <c r="T962">
        <v>0</v>
      </c>
      <c r="U962" t="s">
        <v>71</v>
      </c>
      <c r="V962">
        <v>0</v>
      </c>
      <c r="W962" t="s">
        <v>71</v>
      </c>
      <c r="X962">
        <v>0</v>
      </c>
      <c r="Y962">
        <v>0.12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84</v>
      </c>
      <c r="AF962">
        <v>62</v>
      </c>
      <c r="AG962">
        <v>8</v>
      </c>
      <c r="AI962">
        <v>4.0000000000000001E-3</v>
      </c>
      <c r="AK962" t="s">
        <v>2791</v>
      </c>
      <c r="AM962">
        <v>400000</v>
      </c>
      <c r="AN962" t="s">
        <v>97</v>
      </c>
      <c r="AO962">
        <v>2</v>
      </c>
      <c r="AP962">
        <v>0</v>
      </c>
      <c r="AQ962">
        <v>33333.333333333336</v>
      </c>
      <c r="AR962" t="s">
        <v>2980</v>
      </c>
      <c r="AS962" t="s">
        <v>75</v>
      </c>
      <c r="AX962" t="s">
        <v>76</v>
      </c>
      <c r="AY962" t="s">
        <v>71</v>
      </c>
      <c r="AZ962">
        <v>0</v>
      </c>
      <c r="BA962" t="s">
        <v>71</v>
      </c>
      <c r="BB962">
        <v>0</v>
      </c>
      <c r="BD962">
        <v>0.06</v>
      </c>
    </row>
    <row r="963" spans="1:56" x14ac:dyDescent="0.15">
      <c r="A963" s="4" t="str">
        <f>HYPERLINK("https://ibp.a2mac1.com/costing(costing:projects/details/9760/part/8413399)","Vibration Insulation")</f>
        <v>Vibration Insulation</v>
      </c>
      <c r="B963">
        <v>8413399</v>
      </c>
      <c r="C963">
        <v>8413233</v>
      </c>
      <c r="D963" t="s">
        <v>284</v>
      </c>
      <c r="E963">
        <v>1.599</v>
      </c>
      <c r="F963">
        <v>0</v>
      </c>
      <c r="G963">
        <v>0</v>
      </c>
      <c r="H963">
        <v>0</v>
      </c>
      <c r="I963" t="s">
        <v>71</v>
      </c>
      <c r="J963">
        <v>0</v>
      </c>
      <c r="K963">
        <v>1.599</v>
      </c>
      <c r="L963">
        <v>0</v>
      </c>
      <c r="M963">
        <v>0</v>
      </c>
      <c r="N963">
        <v>1.599</v>
      </c>
      <c r="O963" t="s">
        <v>71</v>
      </c>
      <c r="P963">
        <v>0</v>
      </c>
      <c r="Q963" t="s">
        <v>71</v>
      </c>
      <c r="R963">
        <v>0</v>
      </c>
      <c r="S963" t="s">
        <v>71</v>
      </c>
      <c r="T963">
        <v>0</v>
      </c>
      <c r="U963" t="s">
        <v>71</v>
      </c>
      <c r="V963">
        <v>0</v>
      </c>
      <c r="W963" t="s">
        <v>71</v>
      </c>
      <c r="X963">
        <v>0</v>
      </c>
      <c r="Y963">
        <v>1.599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1800</v>
      </c>
      <c r="AF963">
        <v>655</v>
      </c>
      <c r="AG963">
        <v>1</v>
      </c>
      <c r="AI963">
        <v>1.0865</v>
      </c>
      <c r="AK963" t="s">
        <v>272</v>
      </c>
      <c r="AM963">
        <v>400000</v>
      </c>
      <c r="AN963" t="s">
        <v>73</v>
      </c>
      <c r="AO963">
        <v>2</v>
      </c>
      <c r="AP963">
        <v>0</v>
      </c>
      <c r="AQ963">
        <v>33333.333333333336</v>
      </c>
      <c r="AR963" t="s">
        <v>2983</v>
      </c>
      <c r="AS963" t="s">
        <v>75</v>
      </c>
      <c r="AX963" t="s">
        <v>76</v>
      </c>
      <c r="AY963" t="s">
        <v>71</v>
      </c>
      <c r="AZ963">
        <v>0</v>
      </c>
      <c r="BA963" t="s">
        <v>71</v>
      </c>
      <c r="BB963">
        <v>0</v>
      </c>
      <c r="BD963">
        <v>0.79949999999999999</v>
      </c>
    </row>
    <row r="964" spans="1:56" x14ac:dyDescent="0.15">
      <c r="A964" s="4" t="str">
        <f>HYPERLINK("https://ibp.a2mac1.com/costing(costing:projects/details/9760/part/8413400)","Insulator")</f>
        <v>Insulator</v>
      </c>
      <c r="B964">
        <v>8413400</v>
      </c>
      <c r="C964">
        <v>8413233</v>
      </c>
      <c r="D964" t="s">
        <v>284</v>
      </c>
      <c r="E964">
        <v>0.04</v>
      </c>
      <c r="F964">
        <v>0</v>
      </c>
      <c r="G964">
        <v>0</v>
      </c>
      <c r="H964">
        <v>0</v>
      </c>
      <c r="I964" t="s">
        <v>71</v>
      </c>
      <c r="J964">
        <v>0</v>
      </c>
      <c r="K964">
        <v>0.04</v>
      </c>
      <c r="L964">
        <v>0</v>
      </c>
      <c r="M964">
        <v>0</v>
      </c>
      <c r="N964">
        <v>0.04</v>
      </c>
      <c r="O964" t="s">
        <v>71</v>
      </c>
      <c r="P964">
        <v>0</v>
      </c>
      <c r="Q964" t="s">
        <v>71</v>
      </c>
      <c r="R964">
        <v>0</v>
      </c>
      <c r="S964" t="s">
        <v>71</v>
      </c>
      <c r="T964">
        <v>0</v>
      </c>
      <c r="U964" t="s">
        <v>71</v>
      </c>
      <c r="V964">
        <v>0</v>
      </c>
      <c r="W964" t="s">
        <v>71</v>
      </c>
      <c r="X964">
        <v>0</v>
      </c>
      <c r="Y964">
        <v>0.04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149</v>
      </c>
      <c r="AF964">
        <v>79</v>
      </c>
      <c r="AG964">
        <v>3</v>
      </c>
      <c r="AI964">
        <v>2.1999999999999999E-2</v>
      </c>
      <c r="AK964" t="s">
        <v>2791</v>
      </c>
      <c r="AM964">
        <v>200000</v>
      </c>
      <c r="AN964" t="s">
        <v>97</v>
      </c>
      <c r="AO964">
        <v>1</v>
      </c>
      <c r="AP964">
        <v>0</v>
      </c>
      <c r="AQ964">
        <v>16666.666666666668</v>
      </c>
      <c r="AR964" t="s">
        <v>2984</v>
      </c>
      <c r="AS964" t="s">
        <v>75</v>
      </c>
      <c r="AX964" t="s">
        <v>76</v>
      </c>
      <c r="AY964" t="s">
        <v>71</v>
      </c>
      <c r="AZ964">
        <v>0</v>
      </c>
      <c r="BA964" t="s">
        <v>71</v>
      </c>
      <c r="BB964">
        <v>0</v>
      </c>
      <c r="BD964">
        <v>0.04</v>
      </c>
    </row>
    <row r="965" spans="1:56" x14ac:dyDescent="0.15">
      <c r="A965" s="4" t="str">
        <f>HYPERLINK("https://ibp.a2mac1.com/costing(costing:projects/details/9760/part/8413401)","Insulation Protection")</f>
        <v>Insulation Protection</v>
      </c>
      <c r="B965">
        <v>8413401</v>
      </c>
      <c r="C965">
        <v>8413233</v>
      </c>
      <c r="D965" t="s">
        <v>284</v>
      </c>
      <c r="E965">
        <v>0.08</v>
      </c>
      <c r="F965">
        <v>0</v>
      </c>
      <c r="G965">
        <v>0</v>
      </c>
      <c r="H965">
        <v>0</v>
      </c>
      <c r="I965" t="s">
        <v>71</v>
      </c>
      <c r="J965">
        <v>0</v>
      </c>
      <c r="K965">
        <v>0.08</v>
      </c>
      <c r="L965">
        <v>0</v>
      </c>
      <c r="M965">
        <v>0</v>
      </c>
      <c r="N965">
        <v>0.08</v>
      </c>
      <c r="O965" t="s">
        <v>71</v>
      </c>
      <c r="P965">
        <v>0</v>
      </c>
      <c r="Q965" t="s">
        <v>71</v>
      </c>
      <c r="R965">
        <v>0</v>
      </c>
      <c r="S965" t="s">
        <v>71</v>
      </c>
      <c r="T965">
        <v>0</v>
      </c>
      <c r="U965" t="s">
        <v>71</v>
      </c>
      <c r="V965">
        <v>0</v>
      </c>
      <c r="W965" t="s">
        <v>71</v>
      </c>
      <c r="X965">
        <v>0</v>
      </c>
      <c r="Y965">
        <v>0.08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150</v>
      </c>
      <c r="AF965">
        <v>79</v>
      </c>
      <c r="AG965">
        <v>1</v>
      </c>
      <c r="AI965">
        <v>2E-3</v>
      </c>
      <c r="AK965" t="s">
        <v>2791</v>
      </c>
      <c r="AM965">
        <v>200000</v>
      </c>
      <c r="AN965" t="s">
        <v>97</v>
      </c>
      <c r="AO965">
        <v>1</v>
      </c>
      <c r="AP965">
        <v>0</v>
      </c>
      <c r="AQ965">
        <v>16666.666666666668</v>
      </c>
      <c r="AR965" t="s">
        <v>2985</v>
      </c>
      <c r="AS965" t="s">
        <v>75</v>
      </c>
      <c r="AX965" t="s">
        <v>76</v>
      </c>
      <c r="AY965" t="s">
        <v>71</v>
      </c>
      <c r="AZ965">
        <v>0</v>
      </c>
      <c r="BA965" t="s">
        <v>71</v>
      </c>
      <c r="BB965">
        <v>0</v>
      </c>
      <c r="BD965">
        <v>0.08</v>
      </c>
    </row>
    <row r="966" spans="1:56" x14ac:dyDescent="0.15">
      <c r="A966" s="4" t="str">
        <f>HYPERLINK("https://ibp.a2mac1.com/costing(costing:projects/details/9760/part/8413402)","Insulator/Shield, Lower")</f>
        <v>Insulator/Shield, Lower</v>
      </c>
      <c r="B966">
        <v>8413402</v>
      </c>
      <c r="C966">
        <v>8413233</v>
      </c>
      <c r="D966" t="s">
        <v>284</v>
      </c>
      <c r="E966">
        <v>17.239999999999998</v>
      </c>
      <c r="F966">
        <v>0</v>
      </c>
      <c r="G966">
        <v>0</v>
      </c>
      <c r="H966">
        <v>0</v>
      </c>
      <c r="I966" t="s">
        <v>71</v>
      </c>
      <c r="J966">
        <v>0</v>
      </c>
      <c r="K966">
        <v>17.239999999999998</v>
      </c>
      <c r="L966">
        <v>0</v>
      </c>
      <c r="M966">
        <v>0</v>
      </c>
      <c r="N966">
        <v>17.239999999999998</v>
      </c>
      <c r="O966" t="s">
        <v>71</v>
      </c>
      <c r="P966">
        <v>0</v>
      </c>
      <c r="Q966" t="s">
        <v>71</v>
      </c>
      <c r="R966">
        <v>0</v>
      </c>
      <c r="S966" t="s">
        <v>71</v>
      </c>
      <c r="T966">
        <v>0</v>
      </c>
      <c r="U966" t="s">
        <v>71</v>
      </c>
      <c r="V966">
        <v>0</v>
      </c>
      <c r="W966" t="s">
        <v>71</v>
      </c>
      <c r="X966">
        <v>0</v>
      </c>
      <c r="Y966">
        <v>17.239999999999998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1318</v>
      </c>
      <c r="AF966">
        <v>901</v>
      </c>
      <c r="AG966">
        <v>1.5</v>
      </c>
      <c r="AI966">
        <v>2.5644999999999998</v>
      </c>
      <c r="AK966" t="s">
        <v>2791</v>
      </c>
      <c r="AM966">
        <v>400000</v>
      </c>
      <c r="AN966" t="s">
        <v>97</v>
      </c>
      <c r="AO966">
        <v>2</v>
      </c>
      <c r="AP966">
        <v>0</v>
      </c>
      <c r="AQ966">
        <v>33333.333333333336</v>
      </c>
      <c r="AR966" t="s">
        <v>2986</v>
      </c>
      <c r="AS966" t="s">
        <v>75</v>
      </c>
      <c r="AX966" t="s">
        <v>76</v>
      </c>
      <c r="AY966" t="s">
        <v>71</v>
      </c>
      <c r="AZ966">
        <v>0</v>
      </c>
      <c r="BA966" t="s">
        <v>71</v>
      </c>
      <c r="BB966">
        <v>0</v>
      </c>
      <c r="BD966">
        <v>8.6199999999999992</v>
      </c>
    </row>
    <row r="967" spans="1:56" x14ac:dyDescent="0.15">
      <c r="A967" s="4" t="str">
        <f>HYPERLINK("https://ibp.a2mac1.com/costing(costing:projects/details/9760/part/8413403)","Insulation 1")</f>
        <v>Insulation 1</v>
      </c>
      <c r="B967">
        <v>8413403</v>
      </c>
      <c r="C967">
        <v>8413233</v>
      </c>
      <c r="D967" t="s">
        <v>284</v>
      </c>
      <c r="E967">
        <v>0.03</v>
      </c>
      <c r="F967">
        <v>0</v>
      </c>
      <c r="G967">
        <v>0</v>
      </c>
      <c r="H967">
        <v>0</v>
      </c>
      <c r="I967" t="s">
        <v>71</v>
      </c>
      <c r="J967">
        <v>0</v>
      </c>
      <c r="K967">
        <v>0.03</v>
      </c>
      <c r="L967">
        <v>0</v>
      </c>
      <c r="M967">
        <v>0</v>
      </c>
      <c r="N967">
        <v>0.03</v>
      </c>
      <c r="O967" t="s">
        <v>71</v>
      </c>
      <c r="P967">
        <v>0</v>
      </c>
      <c r="Q967" t="s">
        <v>71</v>
      </c>
      <c r="R967">
        <v>0</v>
      </c>
      <c r="S967" t="s">
        <v>71</v>
      </c>
      <c r="T967">
        <v>0</v>
      </c>
      <c r="U967" t="s">
        <v>71</v>
      </c>
      <c r="V967">
        <v>0</v>
      </c>
      <c r="W967" t="s">
        <v>71</v>
      </c>
      <c r="X967">
        <v>0</v>
      </c>
      <c r="Y967">
        <v>0.03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74</v>
      </c>
      <c r="AF967">
        <v>71</v>
      </c>
      <c r="AG967">
        <v>0.4</v>
      </c>
      <c r="AI967">
        <v>2.33E-3</v>
      </c>
      <c r="AK967" t="s">
        <v>2791</v>
      </c>
      <c r="AM967">
        <v>600000</v>
      </c>
      <c r="AN967" t="s">
        <v>97</v>
      </c>
      <c r="AO967">
        <v>3</v>
      </c>
      <c r="AP967">
        <v>0</v>
      </c>
      <c r="AQ967">
        <v>50000</v>
      </c>
      <c r="AR967" t="s">
        <v>2987</v>
      </c>
      <c r="AS967" t="s">
        <v>75</v>
      </c>
      <c r="AX967" t="s">
        <v>76</v>
      </c>
      <c r="AY967" t="s">
        <v>71</v>
      </c>
      <c r="AZ967">
        <v>0</v>
      </c>
      <c r="BA967" t="s">
        <v>71</v>
      </c>
      <c r="BB967">
        <v>0</v>
      </c>
      <c r="BD967">
        <v>0.01</v>
      </c>
    </row>
    <row r="968" spans="1:56" x14ac:dyDescent="0.15">
      <c r="A968" s="4" t="str">
        <f>HYPERLINK("https://ibp.a2mac1.com/costing(costing:projects/details/9760/part/8413404)","Insulation 2")</f>
        <v>Insulation 2</v>
      </c>
      <c r="B968">
        <v>8413404</v>
      </c>
      <c r="C968">
        <v>8413233</v>
      </c>
      <c r="D968" t="s">
        <v>284</v>
      </c>
      <c r="E968">
        <v>0.08</v>
      </c>
      <c r="F968">
        <v>0</v>
      </c>
      <c r="G968">
        <v>0</v>
      </c>
      <c r="H968">
        <v>0</v>
      </c>
      <c r="I968" t="s">
        <v>71</v>
      </c>
      <c r="J968">
        <v>0</v>
      </c>
      <c r="K968">
        <v>0.08</v>
      </c>
      <c r="L968">
        <v>0</v>
      </c>
      <c r="M968">
        <v>0</v>
      </c>
      <c r="N968">
        <v>0.08</v>
      </c>
      <c r="O968" t="s">
        <v>71</v>
      </c>
      <c r="P968">
        <v>0</v>
      </c>
      <c r="Q968" t="s">
        <v>71</v>
      </c>
      <c r="R968">
        <v>0</v>
      </c>
      <c r="S968" t="s">
        <v>71</v>
      </c>
      <c r="T968">
        <v>0</v>
      </c>
      <c r="U968" t="s">
        <v>71</v>
      </c>
      <c r="V968">
        <v>0</v>
      </c>
      <c r="W968" t="s">
        <v>71</v>
      </c>
      <c r="X968">
        <v>0</v>
      </c>
      <c r="Y968">
        <v>0.08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1750</v>
      </c>
      <c r="AF968">
        <v>86</v>
      </c>
      <c r="AG968">
        <v>0.3</v>
      </c>
      <c r="AI968">
        <v>5.8999999999999997E-2</v>
      </c>
      <c r="AK968" t="s">
        <v>2791</v>
      </c>
      <c r="AM968">
        <v>400000</v>
      </c>
      <c r="AN968" t="s">
        <v>97</v>
      </c>
      <c r="AO968">
        <v>2</v>
      </c>
      <c r="AP968">
        <v>0</v>
      </c>
      <c r="AQ968">
        <v>33333.333333333336</v>
      </c>
      <c r="AR968" t="s">
        <v>2988</v>
      </c>
      <c r="AS968" t="s">
        <v>75</v>
      </c>
      <c r="AX968" t="s">
        <v>76</v>
      </c>
      <c r="AY968" t="s">
        <v>71</v>
      </c>
      <c r="AZ968">
        <v>0</v>
      </c>
      <c r="BA968" t="s">
        <v>71</v>
      </c>
      <c r="BB968">
        <v>0</v>
      </c>
      <c r="BD968">
        <v>0.04</v>
      </c>
    </row>
    <row r="969" spans="1:56" x14ac:dyDescent="0.15">
      <c r="A969" s="4" t="str">
        <f>HYPERLINK("https://ibp.a2mac1.com/costing(costing:projects/details/9760/part/8413405)","Insulation 3")</f>
        <v>Insulation 3</v>
      </c>
      <c r="B969">
        <v>8413405</v>
      </c>
      <c r="C969">
        <v>8413233</v>
      </c>
      <c r="D969" t="s">
        <v>284</v>
      </c>
      <c r="E969">
        <v>2.04</v>
      </c>
      <c r="F969">
        <v>0</v>
      </c>
      <c r="G969">
        <v>0</v>
      </c>
      <c r="H969">
        <v>0</v>
      </c>
      <c r="I969" t="s">
        <v>71</v>
      </c>
      <c r="J969">
        <v>0</v>
      </c>
      <c r="K969">
        <v>2.04</v>
      </c>
      <c r="L969">
        <v>0</v>
      </c>
      <c r="M969">
        <v>0</v>
      </c>
      <c r="N969">
        <v>2.04</v>
      </c>
      <c r="O969" t="s">
        <v>71</v>
      </c>
      <c r="P969">
        <v>0</v>
      </c>
      <c r="Q969" t="s">
        <v>71</v>
      </c>
      <c r="R969">
        <v>0</v>
      </c>
      <c r="S969" t="s">
        <v>71</v>
      </c>
      <c r="T969">
        <v>0</v>
      </c>
      <c r="U969" t="s">
        <v>71</v>
      </c>
      <c r="V969">
        <v>0</v>
      </c>
      <c r="W969" t="s">
        <v>71</v>
      </c>
      <c r="X969">
        <v>0</v>
      </c>
      <c r="Y969">
        <v>2.04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1286</v>
      </c>
      <c r="AF969">
        <v>97</v>
      </c>
      <c r="AG969">
        <v>4</v>
      </c>
      <c r="AI969">
        <v>0.63449999999999995</v>
      </c>
      <c r="AK969" t="s">
        <v>2791</v>
      </c>
      <c r="AM969">
        <v>400000</v>
      </c>
      <c r="AN969" t="s">
        <v>97</v>
      </c>
      <c r="AO969">
        <v>2</v>
      </c>
      <c r="AP969">
        <v>0</v>
      </c>
      <c r="AQ969">
        <v>33333.333333333336</v>
      </c>
      <c r="AR969" t="s">
        <v>2989</v>
      </c>
      <c r="AS969" t="s">
        <v>75</v>
      </c>
      <c r="AX969" t="s">
        <v>76</v>
      </c>
      <c r="AY969" t="s">
        <v>71</v>
      </c>
      <c r="AZ969">
        <v>0</v>
      </c>
      <c r="BA969" t="s">
        <v>71</v>
      </c>
      <c r="BB969">
        <v>0</v>
      </c>
      <c r="BD969">
        <v>1.02</v>
      </c>
    </row>
    <row r="970" spans="1:56" x14ac:dyDescent="0.15">
      <c r="A970" s="4" t="str">
        <f>HYPERLINK("https://ibp.a2mac1.com/costing(costing:projects/details/9760/part/8413406)","Insulation 4")</f>
        <v>Insulation 4</v>
      </c>
      <c r="B970">
        <v>8413406</v>
      </c>
      <c r="C970">
        <v>8413233</v>
      </c>
      <c r="D970" t="s">
        <v>284</v>
      </c>
      <c r="E970">
        <v>0.24</v>
      </c>
      <c r="F970">
        <v>0</v>
      </c>
      <c r="G970">
        <v>0</v>
      </c>
      <c r="H970">
        <v>0</v>
      </c>
      <c r="I970" t="s">
        <v>71</v>
      </c>
      <c r="J970">
        <v>0</v>
      </c>
      <c r="K970">
        <v>0.24</v>
      </c>
      <c r="L970">
        <v>0</v>
      </c>
      <c r="M970">
        <v>0</v>
      </c>
      <c r="N970">
        <v>0.24</v>
      </c>
      <c r="O970" t="s">
        <v>71</v>
      </c>
      <c r="P970">
        <v>0</v>
      </c>
      <c r="Q970" t="s">
        <v>71</v>
      </c>
      <c r="R970">
        <v>0</v>
      </c>
      <c r="S970" t="s">
        <v>71</v>
      </c>
      <c r="T970">
        <v>0</v>
      </c>
      <c r="U970" t="s">
        <v>71</v>
      </c>
      <c r="V970">
        <v>0</v>
      </c>
      <c r="W970" t="s">
        <v>71</v>
      </c>
      <c r="X970">
        <v>0</v>
      </c>
      <c r="Y970">
        <v>0.24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1287</v>
      </c>
      <c r="AF970">
        <v>97</v>
      </c>
      <c r="AG970">
        <v>97</v>
      </c>
      <c r="AI970">
        <v>7.3999999999999996E-2</v>
      </c>
      <c r="AK970" t="s">
        <v>2791</v>
      </c>
      <c r="AM970">
        <v>400000</v>
      </c>
      <c r="AN970" t="s">
        <v>97</v>
      </c>
      <c r="AO970">
        <v>2</v>
      </c>
      <c r="AP970">
        <v>0</v>
      </c>
      <c r="AQ970">
        <v>33333.333333333336</v>
      </c>
      <c r="AR970" t="s">
        <v>2990</v>
      </c>
      <c r="AS970" t="s">
        <v>75</v>
      </c>
      <c r="AX970" t="s">
        <v>76</v>
      </c>
      <c r="AY970" t="s">
        <v>71</v>
      </c>
      <c r="AZ970">
        <v>0</v>
      </c>
      <c r="BA970" t="s">
        <v>71</v>
      </c>
      <c r="BB970">
        <v>0</v>
      </c>
      <c r="BD970">
        <v>0.12</v>
      </c>
    </row>
    <row r="971" spans="1:56" x14ac:dyDescent="0.15">
      <c r="A971" s="4" t="str">
        <f>HYPERLINK("https://ibp.a2mac1.com/costing(costing:projects/details/9760/part/8413407)","Insulation 5")</f>
        <v>Insulation 5</v>
      </c>
      <c r="B971">
        <v>8413407</v>
      </c>
      <c r="C971">
        <v>8413233</v>
      </c>
      <c r="D971" t="s">
        <v>284</v>
      </c>
      <c r="E971">
        <v>3.84</v>
      </c>
      <c r="F971">
        <v>0</v>
      </c>
      <c r="G971">
        <v>0</v>
      </c>
      <c r="H971">
        <v>0</v>
      </c>
      <c r="I971" t="s">
        <v>71</v>
      </c>
      <c r="J971">
        <v>0</v>
      </c>
      <c r="K971">
        <v>3.84</v>
      </c>
      <c r="L971">
        <v>0</v>
      </c>
      <c r="M971">
        <v>0</v>
      </c>
      <c r="N971">
        <v>3.84</v>
      </c>
      <c r="O971" t="s">
        <v>71</v>
      </c>
      <c r="P971">
        <v>0</v>
      </c>
      <c r="Q971" t="s">
        <v>71</v>
      </c>
      <c r="R971">
        <v>0</v>
      </c>
      <c r="S971" t="s">
        <v>71</v>
      </c>
      <c r="T971">
        <v>0</v>
      </c>
      <c r="U971" t="s">
        <v>71</v>
      </c>
      <c r="V971">
        <v>0</v>
      </c>
      <c r="W971" t="s">
        <v>71</v>
      </c>
      <c r="X971">
        <v>0</v>
      </c>
      <c r="Y971">
        <v>3.84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1295</v>
      </c>
      <c r="AF971">
        <v>92</v>
      </c>
      <c r="AG971">
        <v>0.3</v>
      </c>
      <c r="AI971">
        <v>3.7269999999999998E-2</v>
      </c>
      <c r="AK971" t="s">
        <v>2791</v>
      </c>
      <c r="AM971">
        <v>12800000</v>
      </c>
      <c r="AN971" t="s">
        <v>97</v>
      </c>
      <c r="AO971">
        <v>64</v>
      </c>
      <c r="AP971">
        <v>0</v>
      </c>
      <c r="AQ971">
        <v>1066666.6666666667</v>
      </c>
      <c r="AR971" t="s">
        <v>2991</v>
      </c>
      <c r="AS971" t="s">
        <v>75</v>
      </c>
      <c r="AX971" t="s">
        <v>76</v>
      </c>
      <c r="AY971" t="s">
        <v>71</v>
      </c>
      <c r="AZ971">
        <v>0</v>
      </c>
      <c r="BA971" t="s">
        <v>71</v>
      </c>
      <c r="BB971">
        <v>0</v>
      </c>
      <c r="BD971">
        <v>0.06</v>
      </c>
    </row>
    <row r="972" spans="1:56" x14ac:dyDescent="0.15">
      <c r="A972" s="4" t="str">
        <f>HYPERLINK("https://ibp.a2mac1.com/costing(costing:projects/details/9760/part/8413408)","Insulation Sheet 1")</f>
        <v>Insulation Sheet 1</v>
      </c>
      <c r="B972">
        <v>8413408</v>
      </c>
      <c r="C972">
        <v>8413234</v>
      </c>
      <c r="D972" t="s">
        <v>284</v>
      </c>
      <c r="E972">
        <v>0.04</v>
      </c>
      <c r="F972">
        <v>0</v>
      </c>
      <c r="G972">
        <v>0</v>
      </c>
      <c r="H972">
        <v>0</v>
      </c>
      <c r="I972" t="s">
        <v>71</v>
      </c>
      <c r="J972">
        <v>0</v>
      </c>
      <c r="K972">
        <v>0.04</v>
      </c>
      <c r="L972">
        <v>0</v>
      </c>
      <c r="M972">
        <v>0</v>
      </c>
      <c r="N972">
        <v>0.04</v>
      </c>
      <c r="O972" t="s">
        <v>71</v>
      </c>
      <c r="P972">
        <v>0</v>
      </c>
      <c r="Q972" t="s">
        <v>71</v>
      </c>
      <c r="R972">
        <v>0</v>
      </c>
      <c r="S972" t="s">
        <v>71</v>
      </c>
      <c r="T972">
        <v>0</v>
      </c>
      <c r="U972" t="s">
        <v>71</v>
      </c>
      <c r="V972">
        <v>0</v>
      </c>
      <c r="W972" t="s">
        <v>71</v>
      </c>
      <c r="X972">
        <v>0</v>
      </c>
      <c r="Y972">
        <v>0.04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870</v>
      </c>
      <c r="AF972">
        <v>9</v>
      </c>
      <c r="AG972">
        <v>6</v>
      </c>
      <c r="AI972">
        <v>1.55E-2</v>
      </c>
      <c r="AK972" t="s">
        <v>2791</v>
      </c>
      <c r="AM972">
        <v>400000</v>
      </c>
      <c r="AN972" t="s">
        <v>97</v>
      </c>
      <c r="AO972">
        <v>2</v>
      </c>
      <c r="AP972">
        <v>0</v>
      </c>
      <c r="AQ972">
        <v>33333.333333333336</v>
      </c>
      <c r="AR972" t="s">
        <v>2994</v>
      </c>
      <c r="AS972" t="s">
        <v>75</v>
      </c>
      <c r="AX972" t="s">
        <v>76</v>
      </c>
      <c r="AY972" t="s">
        <v>71</v>
      </c>
      <c r="AZ972">
        <v>0</v>
      </c>
      <c r="BA972" t="s">
        <v>71</v>
      </c>
      <c r="BB972">
        <v>0</v>
      </c>
      <c r="BD972">
        <v>0.02</v>
      </c>
    </row>
    <row r="973" spans="1:56" x14ac:dyDescent="0.15">
      <c r="A973" s="4" t="str">
        <f>HYPERLINK("https://ibp.a2mac1.com/costing(costing:projects/details/9760/part/8413409)","Insulation Sheet 2")</f>
        <v>Insulation Sheet 2</v>
      </c>
      <c r="B973">
        <v>8413409</v>
      </c>
      <c r="C973">
        <v>8413234</v>
      </c>
      <c r="D973" t="s">
        <v>284</v>
      </c>
      <c r="E973">
        <v>0.06</v>
      </c>
      <c r="F973">
        <v>0</v>
      </c>
      <c r="G973">
        <v>0</v>
      </c>
      <c r="H973">
        <v>0</v>
      </c>
      <c r="I973" t="s">
        <v>71</v>
      </c>
      <c r="J973">
        <v>0</v>
      </c>
      <c r="K973">
        <v>0.06</v>
      </c>
      <c r="L973">
        <v>0</v>
      </c>
      <c r="M973">
        <v>0</v>
      </c>
      <c r="N973">
        <v>0.06</v>
      </c>
      <c r="O973" t="s">
        <v>71</v>
      </c>
      <c r="P973">
        <v>0</v>
      </c>
      <c r="Q973" t="s">
        <v>71</v>
      </c>
      <c r="R973">
        <v>0</v>
      </c>
      <c r="S973" t="s">
        <v>71</v>
      </c>
      <c r="T973">
        <v>0</v>
      </c>
      <c r="U973" t="s">
        <v>71</v>
      </c>
      <c r="V973">
        <v>0</v>
      </c>
      <c r="W973" t="s">
        <v>71</v>
      </c>
      <c r="X973">
        <v>0</v>
      </c>
      <c r="Y973">
        <v>0.06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61</v>
      </c>
      <c r="AF973">
        <v>23</v>
      </c>
      <c r="AG973">
        <v>0.32</v>
      </c>
      <c r="AI973">
        <v>6.7000000000000002E-4</v>
      </c>
      <c r="AK973" t="s">
        <v>2791</v>
      </c>
      <c r="AM973">
        <v>1200000</v>
      </c>
      <c r="AN973" t="s">
        <v>97</v>
      </c>
      <c r="AO973">
        <v>6</v>
      </c>
      <c r="AP973">
        <v>0</v>
      </c>
      <c r="AQ973">
        <v>100000</v>
      </c>
      <c r="AR973" t="s">
        <v>2995</v>
      </c>
      <c r="AS973" t="s">
        <v>75</v>
      </c>
      <c r="AX973" t="s">
        <v>76</v>
      </c>
      <c r="AY973" t="s">
        <v>71</v>
      </c>
      <c r="AZ973">
        <v>0</v>
      </c>
      <c r="BA973" t="s">
        <v>71</v>
      </c>
      <c r="BB973">
        <v>0</v>
      </c>
      <c r="BD973">
        <v>0.01</v>
      </c>
    </row>
    <row r="974" spans="1:56" x14ac:dyDescent="0.15">
      <c r="A974" s="4" t="str">
        <f>HYPERLINK("https://ibp.a2mac1.com/costing(costing:projects/details/9760/part/8413410)","Insulation Sheet 3")</f>
        <v>Insulation Sheet 3</v>
      </c>
      <c r="B974">
        <v>8413410</v>
      </c>
      <c r="C974">
        <v>8413234</v>
      </c>
      <c r="D974" t="s">
        <v>284</v>
      </c>
      <c r="E974">
        <v>0.13</v>
      </c>
      <c r="F974">
        <v>0</v>
      </c>
      <c r="G974">
        <v>0</v>
      </c>
      <c r="H974">
        <v>0</v>
      </c>
      <c r="I974" t="s">
        <v>71</v>
      </c>
      <c r="J974">
        <v>0</v>
      </c>
      <c r="K974">
        <v>0.13</v>
      </c>
      <c r="L974">
        <v>0</v>
      </c>
      <c r="M974">
        <v>0</v>
      </c>
      <c r="N974">
        <v>0.13</v>
      </c>
      <c r="O974" t="s">
        <v>71</v>
      </c>
      <c r="P974">
        <v>0</v>
      </c>
      <c r="Q974" t="s">
        <v>71</v>
      </c>
      <c r="R974">
        <v>0</v>
      </c>
      <c r="S974" t="s">
        <v>71</v>
      </c>
      <c r="T974">
        <v>0</v>
      </c>
      <c r="U974" t="s">
        <v>71</v>
      </c>
      <c r="V974">
        <v>0</v>
      </c>
      <c r="W974" t="s">
        <v>71</v>
      </c>
      <c r="X974">
        <v>0</v>
      </c>
      <c r="Y974">
        <v>0.13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1310</v>
      </c>
      <c r="AF974">
        <v>123</v>
      </c>
      <c r="AG974">
        <v>0.33</v>
      </c>
      <c r="AI974">
        <v>8.4000000000000005E-2</v>
      </c>
      <c r="AK974" t="s">
        <v>2791</v>
      </c>
      <c r="AM974">
        <v>200000</v>
      </c>
      <c r="AN974" t="s">
        <v>97</v>
      </c>
      <c r="AO974">
        <v>1</v>
      </c>
      <c r="AP974">
        <v>0</v>
      </c>
      <c r="AQ974">
        <v>16666.666666666668</v>
      </c>
      <c r="AR974" t="s">
        <v>2996</v>
      </c>
      <c r="AS974" t="s">
        <v>75</v>
      </c>
      <c r="AX974" t="s">
        <v>76</v>
      </c>
      <c r="AY974" t="s">
        <v>71</v>
      </c>
      <c r="AZ974">
        <v>0</v>
      </c>
      <c r="BA974" t="s">
        <v>71</v>
      </c>
      <c r="BB974">
        <v>0</v>
      </c>
      <c r="BD974">
        <v>0.13</v>
      </c>
    </row>
    <row r="975" spans="1:56" x14ac:dyDescent="0.15">
      <c r="A975" s="4" t="str">
        <f>HYPERLINK("https://ibp.a2mac1.com/costing(costing:projects/details/9760/part/8413411)","Insulation Sheet 4")</f>
        <v>Insulation Sheet 4</v>
      </c>
      <c r="B975">
        <v>8413411</v>
      </c>
      <c r="C975">
        <v>8413234</v>
      </c>
      <c r="D975" t="s">
        <v>284</v>
      </c>
      <c r="E975">
        <v>0.16</v>
      </c>
      <c r="F975">
        <v>0</v>
      </c>
      <c r="G975">
        <v>0</v>
      </c>
      <c r="H975">
        <v>0</v>
      </c>
      <c r="I975" t="s">
        <v>71</v>
      </c>
      <c r="J975">
        <v>0</v>
      </c>
      <c r="K975">
        <v>0.16</v>
      </c>
      <c r="L975">
        <v>0</v>
      </c>
      <c r="M975">
        <v>0</v>
      </c>
      <c r="N975">
        <v>0.16</v>
      </c>
      <c r="O975" t="s">
        <v>71</v>
      </c>
      <c r="P975">
        <v>0</v>
      </c>
      <c r="Q975" t="s">
        <v>71</v>
      </c>
      <c r="R975">
        <v>0</v>
      </c>
      <c r="S975" t="s">
        <v>71</v>
      </c>
      <c r="T975">
        <v>0</v>
      </c>
      <c r="U975" t="s">
        <v>71</v>
      </c>
      <c r="V975">
        <v>0</v>
      </c>
      <c r="W975" t="s">
        <v>71</v>
      </c>
      <c r="X975">
        <v>0</v>
      </c>
      <c r="Y975">
        <v>0.16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1338</v>
      </c>
      <c r="AF975">
        <v>144</v>
      </c>
      <c r="AG975">
        <v>0.32</v>
      </c>
      <c r="AI975">
        <v>0.1</v>
      </c>
      <c r="AK975" t="s">
        <v>2791</v>
      </c>
      <c r="AM975">
        <v>200000</v>
      </c>
      <c r="AN975" t="s">
        <v>97</v>
      </c>
      <c r="AO975">
        <v>1</v>
      </c>
      <c r="AP975">
        <v>0</v>
      </c>
      <c r="AQ975">
        <v>16666.666666666668</v>
      </c>
      <c r="AR975" t="s">
        <v>2997</v>
      </c>
      <c r="AS975" t="s">
        <v>75</v>
      </c>
      <c r="AX975" t="s">
        <v>76</v>
      </c>
      <c r="AY975" t="s">
        <v>71</v>
      </c>
      <c r="AZ975">
        <v>0</v>
      </c>
      <c r="BA975" t="s">
        <v>71</v>
      </c>
      <c r="BB975">
        <v>0</v>
      </c>
      <c r="BD975">
        <v>0.16</v>
      </c>
    </row>
    <row r="976" spans="1:56" x14ac:dyDescent="0.15">
      <c r="A976" s="4" t="str">
        <f>HYPERLINK("https://ibp.a2mac1.com/costing(costing:projects/details/9760/part/8413412)","Cover 1")</f>
        <v>Cover 1</v>
      </c>
      <c r="B976">
        <v>8413412</v>
      </c>
      <c r="C976">
        <v>8413235</v>
      </c>
      <c r="D976" t="s">
        <v>3000</v>
      </c>
      <c r="E976">
        <v>0.33</v>
      </c>
      <c r="F976">
        <v>0</v>
      </c>
      <c r="G976">
        <v>0</v>
      </c>
      <c r="H976">
        <v>0</v>
      </c>
      <c r="I976" t="s">
        <v>71</v>
      </c>
      <c r="J976">
        <v>0</v>
      </c>
      <c r="K976">
        <v>0.33</v>
      </c>
      <c r="L976">
        <v>0</v>
      </c>
      <c r="M976">
        <v>0</v>
      </c>
      <c r="N976">
        <v>0.33</v>
      </c>
      <c r="O976" t="s">
        <v>71</v>
      </c>
      <c r="P976">
        <v>0</v>
      </c>
      <c r="Q976" t="s">
        <v>71</v>
      </c>
      <c r="R976">
        <v>0</v>
      </c>
      <c r="S976" t="s">
        <v>71</v>
      </c>
      <c r="T976">
        <v>0</v>
      </c>
      <c r="U976" t="s">
        <v>71</v>
      </c>
      <c r="V976">
        <v>0</v>
      </c>
      <c r="W976" t="s">
        <v>71</v>
      </c>
      <c r="X976">
        <v>0</v>
      </c>
      <c r="Y976">
        <v>0.33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109</v>
      </c>
      <c r="AF976">
        <v>65</v>
      </c>
      <c r="AG976">
        <v>41</v>
      </c>
      <c r="AI976">
        <v>2.9000000000000001E-2</v>
      </c>
      <c r="AK976" t="s">
        <v>2791</v>
      </c>
      <c r="AM976">
        <v>200000</v>
      </c>
      <c r="AN976" t="s">
        <v>97</v>
      </c>
      <c r="AO976">
        <v>1</v>
      </c>
      <c r="AP976">
        <v>0</v>
      </c>
      <c r="AQ976">
        <v>16666.666666666668</v>
      </c>
      <c r="AR976" t="s">
        <v>3001</v>
      </c>
      <c r="AS976" t="s">
        <v>75</v>
      </c>
      <c r="AX976" t="s">
        <v>76</v>
      </c>
      <c r="AY976" t="s">
        <v>71</v>
      </c>
      <c r="AZ976">
        <v>0</v>
      </c>
      <c r="BA976" t="s">
        <v>71</v>
      </c>
      <c r="BB976">
        <v>0</v>
      </c>
      <c r="BD976">
        <v>0.33</v>
      </c>
    </row>
    <row r="977" spans="1:56" x14ac:dyDescent="0.15">
      <c r="A977" s="4" t="str">
        <f>HYPERLINK("https://ibp.a2mac1.com/costing(costing:projects/details/9760/part/8413413)","Cover 2")</f>
        <v>Cover 2</v>
      </c>
      <c r="B977">
        <v>8413413</v>
      </c>
      <c r="C977">
        <v>8413235</v>
      </c>
      <c r="D977" t="s">
        <v>3000</v>
      </c>
      <c r="E977">
        <v>0.39</v>
      </c>
      <c r="F977">
        <v>0</v>
      </c>
      <c r="G977">
        <v>0</v>
      </c>
      <c r="H977">
        <v>0</v>
      </c>
      <c r="I977" t="s">
        <v>71</v>
      </c>
      <c r="J977">
        <v>0</v>
      </c>
      <c r="K977">
        <v>0.39</v>
      </c>
      <c r="L977">
        <v>0</v>
      </c>
      <c r="M977">
        <v>0</v>
      </c>
      <c r="N977">
        <v>0.39</v>
      </c>
      <c r="O977" t="s">
        <v>71</v>
      </c>
      <c r="P977">
        <v>0</v>
      </c>
      <c r="Q977" t="s">
        <v>71</v>
      </c>
      <c r="R977">
        <v>0</v>
      </c>
      <c r="S977" t="s">
        <v>71</v>
      </c>
      <c r="T977">
        <v>0</v>
      </c>
      <c r="U977" t="s">
        <v>71</v>
      </c>
      <c r="V977">
        <v>0</v>
      </c>
      <c r="W977" t="s">
        <v>71</v>
      </c>
      <c r="X977">
        <v>0</v>
      </c>
      <c r="Y977">
        <v>0.39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118</v>
      </c>
      <c r="AF977">
        <v>67</v>
      </c>
      <c r="AG977">
        <v>39</v>
      </c>
      <c r="AI977">
        <v>3.1E-2</v>
      </c>
      <c r="AK977" t="s">
        <v>2791</v>
      </c>
      <c r="AM977">
        <v>200000</v>
      </c>
      <c r="AN977" t="s">
        <v>97</v>
      </c>
      <c r="AO977">
        <v>1</v>
      </c>
      <c r="AP977">
        <v>0</v>
      </c>
      <c r="AQ977">
        <v>16666.666666666668</v>
      </c>
      <c r="AR977" t="s">
        <v>3002</v>
      </c>
      <c r="AS977" t="s">
        <v>75</v>
      </c>
      <c r="AX977" t="s">
        <v>76</v>
      </c>
      <c r="AY977" t="s">
        <v>71</v>
      </c>
      <c r="AZ977">
        <v>0</v>
      </c>
      <c r="BA977" t="s">
        <v>71</v>
      </c>
      <c r="BB977">
        <v>0</v>
      </c>
      <c r="BD977">
        <v>0.39</v>
      </c>
    </row>
    <row r="978" spans="1:56" x14ac:dyDescent="0.15">
      <c r="A978" s="4" t="str">
        <f>HYPERLINK("https://ibp.a2mac1.com/costing(costing:projects/details/9760/part/8413414)","Cover 3")</f>
        <v>Cover 3</v>
      </c>
      <c r="B978">
        <v>8413414</v>
      </c>
      <c r="C978">
        <v>8413235</v>
      </c>
      <c r="D978" t="s">
        <v>3000</v>
      </c>
      <c r="E978">
        <v>0.18</v>
      </c>
      <c r="F978">
        <v>0</v>
      </c>
      <c r="G978">
        <v>0</v>
      </c>
      <c r="H978">
        <v>0</v>
      </c>
      <c r="I978" t="s">
        <v>71</v>
      </c>
      <c r="J978">
        <v>0</v>
      </c>
      <c r="K978">
        <v>0.18</v>
      </c>
      <c r="L978">
        <v>0</v>
      </c>
      <c r="M978">
        <v>0</v>
      </c>
      <c r="N978">
        <v>0.18</v>
      </c>
      <c r="O978" t="s">
        <v>71</v>
      </c>
      <c r="P978">
        <v>0</v>
      </c>
      <c r="Q978" t="s">
        <v>71</v>
      </c>
      <c r="R978">
        <v>0</v>
      </c>
      <c r="S978" t="s">
        <v>71</v>
      </c>
      <c r="T978">
        <v>0</v>
      </c>
      <c r="U978" t="s">
        <v>71</v>
      </c>
      <c r="V978">
        <v>0</v>
      </c>
      <c r="W978" t="s">
        <v>71</v>
      </c>
      <c r="X978">
        <v>0</v>
      </c>
      <c r="Y978">
        <v>0.18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38</v>
      </c>
      <c r="AF978">
        <v>37</v>
      </c>
      <c r="AG978">
        <v>28</v>
      </c>
      <c r="AI978">
        <v>7.4999999999999997E-3</v>
      </c>
      <c r="AK978" t="s">
        <v>2791</v>
      </c>
      <c r="AM978">
        <v>400000</v>
      </c>
      <c r="AN978" t="s">
        <v>97</v>
      </c>
      <c r="AO978">
        <v>2</v>
      </c>
      <c r="AP978">
        <v>0</v>
      </c>
      <c r="AQ978">
        <v>33333.333333333336</v>
      </c>
      <c r="AR978" t="s">
        <v>3003</v>
      </c>
      <c r="AS978" t="s">
        <v>75</v>
      </c>
      <c r="AX978" t="s">
        <v>76</v>
      </c>
      <c r="AY978" t="s">
        <v>71</v>
      </c>
      <c r="AZ978">
        <v>0</v>
      </c>
      <c r="BA978" t="s">
        <v>71</v>
      </c>
      <c r="BB978">
        <v>0</v>
      </c>
      <c r="BD978">
        <v>0.09</v>
      </c>
    </row>
    <row r="979" spans="1:56" x14ac:dyDescent="0.15">
      <c r="A979" s="4" t="str">
        <f>HYPERLINK("https://ibp.a2mac1.com/costing(costing:projects/details/9760/part/8413415)","Cover 4")</f>
        <v>Cover 4</v>
      </c>
      <c r="B979">
        <v>8413415</v>
      </c>
      <c r="C979">
        <v>8413235</v>
      </c>
      <c r="D979" t="s">
        <v>3000</v>
      </c>
      <c r="E979">
        <v>0.18</v>
      </c>
      <c r="F979">
        <v>0</v>
      </c>
      <c r="G979">
        <v>0</v>
      </c>
      <c r="H979">
        <v>0</v>
      </c>
      <c r="I979" t="s">
        <v>71</v>
      </c>
      <c r="J979">
        <v>0</v>
      </c>
      <c r="K979">
        <v>0.18</v>
      </c>
      <c r="L979">
        <v>0</v>
      </c>
      <c r="M979">
        <v>0</v>
      </c>
      <c r="N979">
        <v>0.18</v>
      </c>
      <c r="O979" t="s">
        <v>71</v>
      </c>
      <c r="P979">
        <v>0</v>
      </c>
      <c r="Q979" t="s">
        <v>71</v>
      </c>
      <c r="R979">
        <v>0</v>
      </c>
      <c r="S979" t="s">
        <v>71</v>
      </c>
      <c r="T979">
        <v>0</v>
      </c>
      <c r="U979" t="s">
        <v>71</v>
      </c>
      <c r="V979">
        <v>0</v>
      </c>
      <c r="W979" t="s">
        <v>71</v>
      </c>
      <c r="X979">
        <v>0</v>
      </c>
      <c r="Y979">
        <v>0.18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38</v>
      </c>
      <c r="AF979">
        <v>37</v>
      </c>
      <c r="AG979">
        <v>28</v>
      </c>
      <c r="AI979">
        <v>8.0000000000000002E-3</v>
      </c>
      <c r="AK979" t="s">
        <v>2791</v>
      </c>
      <c r="AM979">
        <v>400000</v>
      </c>
      <c r="AN979" t="s">
        <v>97</v>
      </c>
      <c r="AO979">
        <v>2</v>
      </c>
      <c r="AP979">
        <v>0</v>
      </c>
      <c r="AQ979">
        <v>33333.333333333336</v>
      </c>
      <c r="AR979" t="s">
        <v>3004</v>
      </c>
      <c r="AS979" t="s">
        <v>75</v>
      </c>
      <c r="AX979" t="s">
        <v>76</v>
      </c>
      <c r="AY979" t="s">
        <v>71</v>
      </c>
      <c r="AZ979">
        <v>0</v>
      </c>
      <c r="BA979" t="s">
        <v>71</v>
      </c>
      <c r="BB979">
        <v>0</v>
      </c>
      <c r="BD979">
        <v>0.09</v>
      </c>
    </row>
    <row r="980" spans="1:56" x14ac:dyDescent="0.15">
      <c r="A980" s="4" t="str">
        <f>HYPERLINK("https://ibp.a2mac1.com/costing(costing:projects/details/9760/part/8413416)","Seal")</f>
        <v>Seal</v>
      </c>
      <c r="B980">
        <v>8413416</v>
      </c>
      <c r="C980">
        <v>8413236</v>
      </c>
      <c r="D980" t="s">
        <v>284</v>
      </c>
      <c r="E980">
        <v>3.7517999999999998</v>
      </c>
      <c r="F980">
        <v>0</v>
      </c>
      <c r="G980">
        <v>0</v>
      </c>
      <c r="H980">
        <v>0</v>
      </c>
      <c r="I980" t="s">
        <v>71</v>
      </c>
      <c r="J980">
        <v>0</v>
      </c>
      <c r="K980">
        <v>3.7517999999999998</v>
      </c>
      <c r="L980">
        <v>0</v>
      </c>
      <c r="M980">
        <v>0</v>
      </c>
      <c r="N980">
        <v>3.7517999999999998</v>
      </c>
      <c r="O980" t="s">
        <v>71</v>
      </c>
      <c r="P980">
        <v>0</v>
      </c>
      <c r="Q980" t="s">
        <v>71</v>
      </c>
      <c r="R980">
        <v>0</v>
      </c>
      <c r="S980" t="s">
        <v>71</v>
      </c>
      <c r="T980">
        <v>0</v>
      </c>
      <c r="U980" t="s">
        <v>71</v>
      </c>
      <c r="V980">
        <v>0</v>
      </c>
      <c r="W980" t="s">
        <v>71</v>
      </c>
      <c r="X980">
        <v>0</v>
      </c>
      <c r="Y980">
        <v>3.7517999999999998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2117</v>
      </c>
      <c r="AF980">
        <v>1500</v>
      </c>
      <c r="AG980">
        <v>9</v>
      </c>
      <c r="AI980">
        <v>0.47</v>
      </c>
      <c r="AK980" t="s">
        <v>2791</v>
      </c>
      <c r="AM980">
        <v>200000</v>
      </c>
      <c r="AN980" t="s">
        <v>97</v>
      </c>
      <c r="AO980">
        <v>1</v>
      </c>
      <c r="AP980">
        <v>0</v>
      </c>
      <c r="AQ980">
        <v>16666.666666666668</v>
      </c>
      <c r="AR980" t="s">
        <v>3007</v>
      </c>
      <c r="AS980" t="s">
        <v>75</v>
      </c>
      <c r="AX980" t="s">
        <v>76</v>
      </c>
      <c r="AY980" t="s">
        <v>71</v>
      </c>
      <c r="AZ980">
        <v>0</v>
      </c>
      <c r="BA980" t="s">
        <v>71</v>
      </c>
      <c r="BB980">
        <v>0</v>
      </c>
      <c r="BD980">
        <v>3.7517999999999998</v>
      </c>
    </row>
    <row r="981" spans="1:56" x14ac:dyDescent="0.15">
      <c r="A981" s="4" t="str">
        <f>HYPERLINK("https://ibp.a2mac1.com/costing(costing:projects/details/9760/part/8413417)","Second Seal")</f>
        <v>Second Seal</v>
      </c>
      <c r="B981">
        <v>8413417</v>
      </c>
      <c r="C981">
        <v>8413236</v>
      </c>
      <c r="D981" t="s">
        <v>284</v>
      </c>
      <c r="E981">
        <v>1.1414</v>
      </c>
      <c r="F981">
        <v>0</v>
      </c>
      <c r="G981">
        <v>0</v>
      </c>
      <c r="H981">
        <v>0</v>
      </c>
      <c r="I981" t="s">
        <v>71</v>
      </c>
      <c r="J981">
        <v>0</v>
      </c>
      <c r="K981">
        <v>1.1414</v>
      </c>
      <c r="L981">
        <v>0</v>
      </c>
      <c r="M981">
        <v>0</v>
      </c>
      <c r="N981">
        <v>1.1414</v>
      </c>
      <c r="O981" t="s">
        <v>71</v>
      </c>
      <c r="P981">
        <v>0</v>
      </c>
      <c r="Q981" t="s">
        <v>71</v>
      </c>
      <c r="R981">
        <v>0</v>
      </c>
      <c r="S981" t="s">
        <v>71</v>
      </c>
      <c r="T981">
        <v>0</v>
      </c>
      <c r="U981" t="s">
        <v>71</v>
      </c>
      <c r="V981">
        <v>0</v>
      </c>
      <c r="W981" t="s">
        <v>71</v>
      </c>
      <c r="X981">
        <v>0</v>
      </c>
      <c r="Y981">
        <v>1.1414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1133</v>
      </c>
      <c r="AF981">
        <v>454</v>
      </c>
      <c r="AG981">
        <v>5</v>
      </c>
      <c r="AI981">
        <v>0.14299999999999999</v>
      </c>
      <c r="AK981" t="s">
        <v>2791</v>
      </c>
      <c r="AM981">
        <v>200000</v>
      </c>
      <c r="AN981" t="s">
        <v>97</v>
      </c>
      <c r="AO981">
        <v>1</v>
      </c>
      <c r="AP981">
        <v>0</v>
      </c>
      <c r="AQ981">
        <v>16666.666666666668</v>
      </c>
      <c r="AR981" t="s">
        <v>3008</v>
      </c>
      <c r="AS981" t="s">
        <v>75</v>
      </c>
      <c r="AX981" t="s">
        <v>76</v>
      </c>
      <c r="AY981" t="s">
        <v>71</v>
      </c>
      <c r="AZ981">
        <v>0</v>
      </c>
      <c r="BA981" t="s">
        <v>71</v>
      </c>
      <c r="BB981">
        <v>0</v>
      </c>
      <c r="BD981">
        <v>1.1414</v>
      </c>
    </row>
    <row r="982" spans="1:56" x14ac:dyDescent="0.15">
      <c r="A982" s="4" t="str">
        <f>HYPERLINK("https://ibp.a2mac1.com/costing(costing:projects/details/9760/part/8413418)","Third Seal")</f>
        <v>Third Seal</v>
      </c>
      <c r="B982">
        <v>8413418</v>
      </c>
      <c r="C982">
        <v>8413236</v>
      </c>
      <c r="D982" t="s">
        <v>284</v>
      </c>
      <c r="E982">
        <v>3.0198999999999998</v>
      </c>
      <c r="F982">
        <v>0</v>
      </c>
      <c r="G982">
        <v>0</v>
      </c>
      <c r="H982">
        <v>0</v>
      </c>
      <c r="I982" t="s">
        <v>71</v>
      </c>
      <c r="J982">
        <v>0</v>
      </c>
      <c r="K982">
        <v>3.0198999999999998</v>
      </c>
      <c r="L982">
        <v>0</v>
      </c>
      <c r="M982">
        <v>0</v>
      </c>
      <c r="N982">
        <v>3.0198999999999998</v>
      </c>
      <c r="O982" t="s">
        <v>71</v>
      </c>
      <c r="P982">
        <v>0</v>
      </c>
      <c r="Q982" t="s">
        <v>71</v>
      </c>
      <c r="R982">
        <v>0</v>
      </c>
      <c r="S982" t="s">
        <v>71</v>
      </c>
      <c r="T982">
        <v>0</v>
      </c>
      <c r="U982" t="s">
        <v>71</v>
      </c>
      <c r="V982">
        <v>0</v>
      </c>
      <c r="W982" t="s">
        <v>71</v>
      </c>
      <c r="X982">
        <v>0</v>
      </c>
      <c r="Y982">
        <v>3.0198999999999998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2062</v>
      </c>
      <c r="AF982">
        <v>1409</v>
      </c>
      <c r="AG982">
        <v>5</v>
      </c>
      <c r="AI982">
        <v>0.377</v>
      </c>
      <c r="AK982" t="s">
        <v>2791</v>
      </c>
      <c r="AM982">
        <v>200000</v>
      </c>
      <c r="AN982" t="s">
        <v>97</v>
      </c>
      <c r="AO982">
        <v>1</v>
      </c>
      <c r="AP982">
        <v>0</v>
      </c>
      <c r="AQ982">
        <v>16666.666666666668</v>
      </c>
      <c r="AR982" t="s">
        <v>3009</v>
      </c>
      <c r="AS982" t="s">
        <v>75</v>
      </c>
      <c r="AX982" t="s">
        <v>76</v>
      </c>
      <c r="AY982" t="s">
        <v>71</v>
      </c>
      <c r="AZ982">
        <v>0</v>
      </c>
      <c r="BA982" t="s">
        <v>71</v>
      </c>
      <c r="BB982">
        <v>0</v>
      </c>
      <c r="BD982">
        <v>3.0198999999999998</v>
      </c>
    </row>
    <row r="983" spans="1:56" x14ac:dyDescent="0.15">
      <c r="A983" s="4" t="str">
        <f>HYPERLINK("https://ibp.a2mac1.com/costing(costing:projects/details/9760/part/8413419)","Fourth Seal")</f>
        <v>Fourth Seal</v>
      </c>
      <c r="B983">
        <v>8413419</v>
      </c>
      <c r="C983">
        <v>8413236</v>
      </c>
      <c r="D983" t="s">
        <v>284</v>
      </c>
      <c r="E983">
        <v>2.2347000000000001</v>
      </c>
      <c r="F983">
        <v>0</v>
      </c>
      <c r="G983">
        <v>0</v>
      </c>
      <c r="H983">
        <v>0</v>
      </c>
      <c r="I983" t="s">
        <v>71</v>
      </c>
      <c r="J983">
        <v>0</v>
      </c>
      <c r="K983">
        <v>2.2347000000000001</v>
      </c>
      <c r="L983">
        <v>0</v>
      </c>
      <c r="M983">
        <v>0</v>
      </c>
      <c r="N983">
        <v>2.2347000000000001</v>
      </c>
      <c r="O983" t="s">
        <v>71</v>
      </c>
      <c r="P983">
        <v>0</v>
      </c>
      <c r="Q983" t="s">
        <v>71</v>
      </c>
      <c r="R983">
        <v>0</v>
      </c>
      <c r="S983" t="s">
        <v>71</v>
      </c>
      <c r="T983">
        <v>0</v>
      </c>
      <c r="U983" t="s">
        <v>71</v>
      </c>
      <c r="V983">
        <v>0</v>
      </c>
      <c r="W983" t="s">
        <v>71</v>
      </c>
      <c r="X983">
        <v>0</v>
      </c>
      <c r="Y983">
        <v>2.2347000000000001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2060</v>
      </c>
      <c r="AF983">
        <v>1400</v>
      </c>
      <c r="AG983">
        <v>5</v>
      </c>
      <c r="AI983">
        <v>0.28000000000000003</v>
      </c>
      <c r="AK983" t="s">
        <v>272</v>
      </c>
      <c r="AM983">
        <v>200000</v>
      </c>
      <c r="AN983" t="s">
        <v>73</v>
      </c>
      <c r="AO983">
        <v>1</v>
      </c>
      <c r="AP983">
        <v>0</v>
      </c>
      <c r="AQ983">
        <v>16666.666666666668</v>
      </c>
      <c r="AR983" t="s">
        <v>3010</v>
      </c>
      <c r="AS983" t="s">
        <v>75</v>
      </c>
      <c r="AX983" t="s">
        <v>76</v>
      </c>
      <c r="AY983" t="s">
        <v>71</v>
      </c>
      <c r="AZ983">
        <v>0</v>
      </c>
      <c r="BA983" t="s">
        <v>71</v>
      </c>
      <c r="BB983">
        <v>0</v>
      </c>
      <c r="BD983">
        <v>2.2347000000000001</v>
      </c>
    </row>
    <row r="984" spans="1:56" x14ac:dyDescent="0.15">
      <c r="A984" s="4" t="str">
        <f>HYPERLINK("https://ibp.a2mac1.com/costing(costing:projects/details/9760/part/8413420)","Lower Protection")</f>
        <v>Lower Protection</v>
      </c>
      <c r="B984">
        <v>8413420</v>
      </c>
      <c r="C984">
        <v>8413237</v>
      </c>
      <c r="D984" t="s">
        <v>2737</v>
      </c>
      <c r="E984">
        <v>0.37</v>
      </c>
      <c r="F984">
        <v>0</v>
      </c>
      <c r="G984">
        <v>0</v>
      </c>
      <c r="H984">
        <v>0</v>
      </c>
      <c r="I984" t="s">
        <v>71</v>
      </c>
      <c r="J984">
        <v>0</v>
      </c>
      <c r="K984">
        <v>0.37</v>
      </c>
      <c r="L984">
        <v>0</v>
      </c>
      <c r="M984">
        <v>0</v>
      </c>
      <c r="N984">
        <v>0.37</v>
      </c>
      <c r="O984" t="s">
        <v>71</v>
      </c>
      <c r="P984">
        <v>0</v>
      </c>
      <c r="Q984" t="s">
        <v>71</v>
      </c>
      <c r="R984">
        <v>0</v>
      </c>
      <c r="S984" t="s">
        <v>71</v>
      </c>
      <c r="T984">
        <v>0</v>
      </c>
      <c r="U984" t="s">
        <v>71</v>
      </c>
      <c r="V984">
        <v>0</v>
      </c>
      <c r="W984" t="s">
        <v>71</v>
      </c>
      <c r="X984">
        <v>0</v>
      </c>
      <c r="Y984">
        <v>0.37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150</v>
      </c>
      <c r="AF984">
        <v>72</v>
      </c>
      <c r="AG984">
        <v>35</v>
      </c>
      <c r="AI984">
        <v>0.121</v>
      </c>
      <c r="AK984" t="s">
        <v>272</v>
      </c>
      <c r="AM984">
        <v>200000</v>
      </c>
      <c r="AN984" t="s">
        <v>73</v>
      </c>
      <c r="AO984">
        <v>1</v>
      </c>
      <c r="AP984">
        <v>0</v>
      </c>
      <c r="AQ984">
        <v>16666.666666666668</v>
      </c>
      <c r="AR984" t="s">
        <v>3012</v>
      </c>
      <c r="AS984" t="s">
        <v>75</v>
      </c>
      <c r="AX984" t="s">
        <v>76</v>
      </c>
      <c r="AY984" t="s">
        <v>71</v>
      </c>
      <c r="AZ984">
        <v>0</v>
      </c>
      <c r="BA984" t="s">
        <v>71</v>
      </c>
      <c r="BB984">
        <v>0</v>
      </c>
      <c r="BD984">
        <v>0.37</v>
      </c>
    </row>
    <row r="985" spans="1:56" x14ac:dyDescent="0.15">
      <c r="A985" s="4" t="str">
        <f>HYPERLINK("https://ibp.a2mac1.com/costing(costing:projects/details/9760/part/8413421)","Hose 1")</f>
        <v>Hose 1</v>
      </c>
      <c r="B985">
        <v>8413421</v>
      </c>
      <c r="C985">
        <v>8413238</v>
      </c>
      <c r="D985" t="s">
        <v>3000</v>
      </c>
      <c r="E985">
        <v>1</v>
      </c>
      <c r="F985">
        <v>0</v>
      </c>
      <c r="G985">
        <v>0</v>
      </c>
      <c r="H985">
        <v>0</v>
      </c>
      <c r="I985" t="s">
        <v>71</v>
      </c>
      <c r="J985">
        <v>0</v>
      </c>
      <c r="K985">
        <v>1</v>
      </c>
      <c r="L985">
        <v>0</v>
      </c>
      <c r="M985">
        <v>0</v>
      </c>
      <c r="N985">
        <v>1</v>
      </c>
      <c r="O985" t="s">
        <v>71</v>
      </c>
      <c r="P985">
        <v>0</v>
      </c>
      <c r="Q985" t="s">
        <v>71</v>
      </c>
      <c r="R985">
        <v>0</v>
      </c>
      <c r="S985" t="s">
        <v>71</v>
      </c>
      <c r="T985">
        <v>0</v>
      </c>
      <c r="U985" t="s">
        <v>71</v>
      </c>
      <c r="V985">
        <v>0</v>
      </c>
      <c r="W985" t="s">
        <v>71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I985">
        <v>7.8E-2</v>
      </c>
      <c r="AK985" t="s">
        <v>2791</v>
      </c>
      <c r="AM985">
        <v>200000</v>
      </c>
      <c r="AN985" t="s">
        <v>97</v>
      </c>
      <c r="AO985">
        <v>1</v>
      </c>
      <c r="AP985">
        <v>0</v>
      </c>
      <c r="AQ985">
        <v>16666.666666666668</v>
      </c>
      <c r="AR985" t="s">
        <v>3017</v>
      </c>
      <c r="AS985" t="s">
        <v>75</v>
      </c>
      <c r="AX985" t="s">
        <v>76</v>
      </c>
      <c r="AY985" t="s">
        <v>71</v>
      </c>
      <c r="AZ985">
        <v>0</v>
      </c>
      <c r="BA985" t="s">
        <v>71</v>
      </c>
      <c r="BB985">
        <v>0</v>
      </c>
      <c r="BD985">
        <v>1</v>
      </c>
    </row>
    <row r="986" spans="1:56" x14ac:dyDescent="0.15">
      <c r="A986" s="4" t="str">
        <f>HYPERLINK("https://ibp.a2mac1.com/costing(costing:projects/details/9760/part/8413422)","Hose 2")</f>
        <v>Hose 2</v>
      </c>
      <c r="B986">
        <v>8413422</v>
      </c>
      <c r="C986">
        <v>8413238</v>
      </c>
      <c r="D986" t="s">
        <v>3000</v>
      </c>
      <c r="E986">
        <v>1.49</v>
      </c>
      <c r="F986">
        <v>0</v>
      </c>
      <c r="G986">
        <v>0</v>
      </c>
      <c r="H986">
        <v>0</v>
      </c>
      <c r="I986" t="s">
        <v>71</v>
      </c>
      <c r="J986">
        <v>0</v>
      </c>
      <c r="K986">
        <v>1.49</v>
      </c>
      <c r="L986">
        <v>0</v>
      </c>
      <c r="M986">
        <v>0</v>
      </c>
      <c r="N986">
        <v>1.49</v>
      </c>
      <c r="O986" t="s">
        <v>71</v>
      </c>
      <c r="P986">
        <v>0</v>
      </c>
      <c r="Q986" t="s">
        <v>71</v>
      </c>
      <c r="R986">
        <v>0</v>
      </c>
      <c r="S986" t="s">
        <v>71</v>
      </c>
      <c r="T986">
        <v>0</v>
      </c>
      <c r="U986" t="s">
        <v>71</v>
      </c>
      <c r="V986">
        <v>0</v>
      </c>
      <c r="W986" t="s">
        <v>71</v>
      </c>
      <c r="X986">
        <v>0</v>
      </c>
      <c r="Y986">
        <v>1.49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I986">
        <v>0.127</v>
      </c>
      <c r="AK986" t="s">
        <v>2791</v>
      </c>
      <c r="AM986">
        <v>200000</v>
      </c>
      <c r="AN986" t="s">
        <v>97</v>
      </c>
      <c r="AO986">
        <v>1</v>
      </c>
      <c r="AP986">
        <v>0</v>
      </c>
      <c r="AQ986">
        <v>16666.666666666668</v>
      </c>
      <c r="AR986" t="s">
        <v>3018</v>
      </c>
      <c r="AS986" t="s">
        <v>75</v>
      </c>
      <c r="AX986" t="s">
        <v>76</v>
      </c>
      <c r="AY986" t="s">
        <v>71</v>
      </c>
      <c r="AZ986">
        <v>0</v>
      </c>
      <c r="BA986" t="s">
        <v>71</v>
      </c>
      <c r="BB986">
        <v>0</v>
      </c>
      <c r="BD986">
        <v>1.49</v>
      </c>
    </row>
    <row r="987" spans="1:56" x14ac:dyDescent="0.15">
      <c r="A987" s="4" t="str">
        <f>HYPERLINK("https://ibp.a2mac1.com/costing(costing:projects/details/9760/part/8413423)","Hose 3")</f>
        <v>Hose 3</v>
      </c>
      <c r="B987">
        <v>8413423</v>
      </c>
      <c r="C987">
        <v>8413238</v>
      </c>
      <c r="D987" t="s">
        <v>3000</v>
      </c>
      <c r="E987">
        <v>3.2</v>
      </c>
      <c r="F987">
        <v>0</v>
      </c>
      <c r="G987">
        <v>0</v>
      </c>
      <c r="H987">
        <v>0</v>
      </c>
      <c r="I987" t="s">
        <v>71</v>
      </c>
      <c r="J987">
        <v>0</v>
      </c>
      <c r="K987">
        <v>3.2</v>
      </c>
      <c r="L987">
        <v>0</v>
      </c>
      <c r="M987">
        <v>0</v>
      </c>
      <c r="N987">
        <v>3.2</v>
      </c>
      <c r="O987" t="s">
        <v>71</v>
      </c>
      <c r="P987">
        <v>0</v>
      </c>
      <c r="Q987" t="s">
        <v>71</v>
      </c>
      <c r="R987">
        <v>0</v>
      </c>
      <c r="S987" t="s">
        <v>71</v>
      </c>
      <c r="T987">
        <v>0</v>
      </c>
      <c r="U987" t="s">
        <v>71</v>
      </c>
      <c r="V987">
        <v>0</v>
      </c>
      <c r="W987" t="s">
        <v>71</v>
      </c>
      <c r="X987">
        <v>0</v>
      </c>
      <c r="Y987">
        <v>3.2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I987">
        <v>0.13400000000000001</v>
      </c>
      <c r="AK987" t="s">
        <v>2791</v>
      </c>
      <c r="AM987">
        <v>400000</v>
      </c>
      <c r="AN987" t="s">
        <v>97</v>
      </c>
      <c r="AO987">
        <v>2</v>
      </c>
      <c r="AP987">
        <v>0</v>
      </c>
      <c r="AQ987">
        <v>33333.333333333336</v>
      </c>
      <c r="AR987" t="s">
        <v>3019</v>
      </c>
      <c r="AS987" t="s">
        <v>75</v>
      </c>
      <c r="AX987" t="s">
        <v>76</v>
      </c>
      <c r="AY987" t="s">
        <v>71</v>
      </c>
      <c r="AZ987">
        <v>0</v>
      </c>
      <c r="BA987" t="s">
        <v>71</v>
      </c>
      <c r="BB987">
        <v>0</v>
      </c>
      <c r="BD987">
        <v>1.6</v>
      </c>
    </row>
    <row r="988" spans="1:56" x14ac:dyDescent="0.15">
      <c r="A988" s="4" t="str">
        <f>HYPERLINK("https://ibp.a2mac1.com/costing(costing:projects/details/9760/part/8413424)","Hose Connector 1")</f>
        <v>Hose Connector 1</v>
      </c>
      <c r="B988">
        <v>8413424</v>
      </c>
      <c r="C988">
        <v>8413239</v>
      </c>
      <c r="D988" t="s">
        <v>284</v>
      </c>
      <c r="E988">
        <v>9.9</v>
      </c>
      <c r="F988">
        <v>0</v>
      </c>
      <c r="G988">
        <v>0</v>
      </c>
      <c r="H988">
        <v>0</v>
      </c>
      <c r="I988" t="s">
        <v>71</v>
      </c>
      <c r="J988">
        <v>0</v>
      </c>
      <c r="K988">
        <v>9.9</v>
      </c>
      <c r="L988">
        <v>0</v>
      </c>
      <c r="M988">
        <v>0</v>
      </c>
      <c r="N988">
        <v>9.9</v>
      </c>
      <c r="O988" t="s">
        <v>71</v>
      </c>
      <c r="P988">
        <v>0</v>
      </c>
      <c r="Q988" t="s">
        <v>71</v>
      </c>
      <c r="R988">
        <v>0</v>
      </c>
      <c r="S988" t="s">
        <v>71</v>
      </c>
      <c r="T988">
        <v>0</v>
      </c>
      <c r="U988" t="s">
        <v>71</v>
      </c>
      <c r="V988">
        <v>0</v>
      </c>
      <c r="W988" t="s">
        <v>71</v>
      </c>
      <c r="X988">
        <v>0</v>
      </c>
      <c r="Y988">
        <v>9.9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46</v>
      </c>
      <c r="AF988">
        <v>27</v>
      </c>
      <c r="AG988">
        <v>27</v>
      </c>
      <c r="AI988">
        <v>7.3299999999999997E-3</v>
      </c>
      <c r="AK988" t="s">
        <v>272</v>
      </c>
      <c r="AM988">
        <v>13200000</v>
      </c>
      <c r="AN988" t="s">
        <v>73</v>
      </c>
      <c r="AO988">
        <v>66</v>
      </c>
      <c r="AP988">
        <v>0</v>
      </c>
      <c r="AQ988">
        <v>1100000</v>
      </c>
      <c r="AR988" t="s">
        <v>3022</v>
      </c>
      <c r="AS988" t="s">
        <v>75</v>
      </c>
      <c r="AX988" t="s">
        <v>76</v>
      </c>
      <c r="AY988" t="s">
        <v>71</v>
      </c>
      <c r="AZ988">
        <v>0</v>
      </c>
      <c r="BA988" t="s">
        <v>71</v>
      </c>
      <c r="BB988">
        <v>0</v>
      </c>
      <c r="BD988">
        <v>0.15</v>
      </c>
    </row>
    <row r="989" spans="1:56" x14ac:dyDescent="0.15">
      <c r="A989" s="4" t="str">
        <f>HYPERLINK("https://ibp.a2mac1.com/costing(costing:projects/details/9760/part/8413425)","Cooling Plate 1")</f>
        <v>Cooling Plate 1</v>
      </c>
      <c r="B989">
        <v>8413425</v>
      </c>
      <c r="C989">
        <v>8413240</v>
      </c>
      <c r="D989" t="s">
        <v>2824</v>
      </c>
      <c r="E989">
        <v>4.58</v>
      </c>
      <c r="F989">
        <v>0</v>
      </c>
      <c r="G989">
        <v>0</v>
      </c>
      <c r="H989">
        <v>0</v>
      </c>
      <c r="I989" t="s">
        <v>71</v>
      </c>
      <c r="J989">
        <v>0</v>
      </c>
      <c r="K989">
        <v>4.58</v>
      </c>
      <c r="L989">
        <v>0</v>
      </c>
      <c r="M989">
        <v>0</v>
      </c>
      <c r="N989">
        <v>4.58</v>
      </c>
      <c r="O989" t="s">
        <v>71</v>
      </c>
      <c r="P989">
        <v>0</v>
      </c>
      <c r="Q989" t="s">
        <v>71</v>
      </c>
      <c r="R989">
        <v>0</v>
      </c>
      <c r="S989" t="s">
        <v>71</v>
      </c>
      <c r="T989">
        <v>0</v>
      </c>
      <c r="U989" t="s">
        <v>71</v>
      </c>
      <c r="V989">
        <v>0</v>
      </c>
      <c r="W989" t="s">
        <v>71</v>
      </c>
      <c r="X989">
        <v>0</v>
      </c>
      <c r="Y989">
        <v>4.58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1350</v>
      </c>
      <c r="AF989">
        <v>88</v>
      </c>
      <c r="AG989">
        <v>57</v>
      </c>
      <c r="AI989">
        <v>0.432</v>
      </c>
      <c r="AK989" t="s">
        <v>2791</v>
      </c>
      <c r="AM989">
        <v>200000</v>
      </c>
      <c r="AN989" t="s">
        <v>97</v>
      </c>
      <c r="AO989">
        <v>1</v>
      </c>
      <c r="AP989">
        <v>0</v>
      </c>
      <c r="AQ989">
        <v>16666.666666666668</v>
      </c>
      <c r="AR989" t="s">
        <v>3025</v>
      </c>
      <c r="AS989" t="s">
        <v>75</v>
      </c>
      <c r="AX989" t="s">
        <v>76</v>
      </c>
      <c r="AY989" t="s">
        <v>71</v>
      </c>
      <c r="AZ989">
        <v>0</v>
      </c>
      <c r="BA989" t="s">
        <v>71</v>
      </c>
      <c r="BB989">
        <v>0</v>
      </c>
      <c r="BD989">
        <v>4.58</v>
      </c>
    </row>
    <row r="990" spans="1:56" x14ac:dyDescent="0.15">
      <c r="A990" s="4" t="str">
        <f>HYPERLINK("https://ibp.a2mac1.com/costing(costing:projects/details/9760/part/8413426)","Cooling Plate 2")</f>
        <v>Cooling Plate 2</v>
      </c>
      <c r="B990">
        <v>8413426</v>
      </c>
      <c r="C990">
        <v>8413240</v>
      </c>
      <c r="D990" t="s">
        <v>2824</v>
      </c>
      <c r="E990">
        <v>154.56</v>
      </c>
      <c r="F990">
        <v>0</v>
      </c>
      <c r="G990">
        <v>0</v>
      </c>
      <c r="H990">
        <v>0</v>
      </c>
      <c r="I990" t="s">
        <v>71</v>
      </c>
      <c r="J990">
        <v>0</v>
      </c>
      <c r="K990">
        <v>154.56</v>
      </c>
      <c r="L990">
        <v>0</v>
      </c>
      <c r="M990">
        <v>0</v>
      </c>
      <c r="N990">
        <v>154.56</v>
      </c>
      <c r="O990" t="s">
        <v>71</v>
      </c>
      <c r="P990">
        <v>0</v>
      </c>
      <c r="Q990" t="s">
        <v>71</v>
      </c>
      <c r="R990">
        <v>0</v>
      </c>
      <c r="S990" t="s">
        <v>71</v>
      </c>
      <c r="T990">
        <v>0</v>
      </c>
      <c r="U990" t="s">
        <v>71</v>
      </c>
      <c r="V990">
        <v>0</v>
      </c>
      <c r="W990" t="s">
        <v>71</v>
      </c>
      <c r="X990">
        <v>0</v>
      </c>
      <c r="Y990">
        <v>154.56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1350</v>
      </c>
      <c r="AF990">
        <v>88</v>
      </c>
      <c r="AG990">
        <v>39</v>
      </c>
      <c r="AI990">
        <v>0.45600000000000002</v>
      </c>
      <c r="AK990" t="s">
        <v>272</v>
      </c>
      <c r="AM990">
        <v>6400000</v>
      </c>
      <c r="AN990" t="s">
        <v>73</v>
      </c>
      <c r="AO990">
        <v>32</v>
      </c>
      <c r="AP990">
        <v>0</v>
      </c>
      <c r="AQ990">
        <v>533333.33333333337</v>
      </c>
      <c r="AR990" t="s">
        <v>3026</v>
      </c>
      <c r="AS990" t="s">
        <v>75</v>
      </c>
      <c r="AX990" t="s">
        <v>76</v>
      </c>
      <c r="AY990" t="s">
        <v>71</v>
      </c>
      <c r="AZ990">
        <v>0</v>
      </c>
      <c r="BA990" t="s">
        <v>71</v>
      </c>
      <c r="BB990">
        <v>0</v>
      </c>
      <c r="BD990">
        <v>4.83</v>
      </c>
    </row>
    <row r="991" spans="1:56" x14ac:dyDescent="0.15">
      <c r="A991" s="4" t="str">
        <f>HYPERLINK("https://ibp.a2mac1.com/costing(costing:projects/details/9760/part/8413427)","Cooling Plate 3")</f>
        <v>Cooling Plate 3</v>
      </c>
      <c r="B991">
        <v>8413427</v>
      </c>
      <c r="C991">
        <v>8413240</v>
      </c>
      <c r="D991" t="s">
        <v>2824</v>
      </c>
      <c r="E991">
        <v>4.26</v>
      </c>
      <c r="F991">
        <v>0</v>
      </c>
      <c r="G991">
        <v>0</v>
      </c>
      <c r="H991">
        <v>0</v>
      </c>
      <c r="I991" t="s">
        <v>71</v>
      </c>
      <c r="J991">
        <v>0</v>
      </c>
      <c r="K991">
        <v>4.26</v>
      </c>
      <c r="L991">
        <v>0</v>
      </c>
      <c r="M991">
        <v>0</v>
      </c>
      <c r="N991">
        <v>4.26</v>
      </c>
      <c r="O991" t="s">
        <v>71</v>
      </c>
      <c r="P991">
        <v>0</v>
      </c>
      <c r="Q991" t="s">
        <v>71</v>
      </c>
      <c r="R991">
        <v>0</v>
      </c>
      <c r="S991" t="s">
        <v>71</v>
      </c>
      <c r="T991">
        <v>0</v>
      </c>
      <c r="U991" t="s">
        <v>71</v>
      </c>
      <c r="V991">
        <v>0</v>
      </c>
      <c r="W991" t="s">
        <v>71</v>
      </c>
      <c r="X991">
        <v>0</v>
      </c>
      <c r="Y991">
        <v>4.26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1350</v>
      </c>
      <c r="AF991">
        <v>89</v>
      </c>
      <c r="AG991">
        <v>22</v>
      </c>
      <c r="AI991">
        <v>0.40200000000000002</v>
      </c>
      <c r="AK991" t="s">
        <v>272</v>
      </c>
      <c r="AM991">
        <v>200000</v>
      </c>
      <c r="AN991" t="s">
        <v>73</v>
      </c>
      <c r="AO991">
        <v>1</v>
      </c>
      <c r="AP991">
        <v>0</v>
      </c>
      <c r="AQ991">
        <v>16666.666666666668</v>
      </c>
      <c r="AR991" t="s">
        <v>3027</v>
      </c>
      <c r="AS991" t="s">
        <v>75</v>
      </c>
      <c r="AX991" t="s">
        <v>76</v>
      </c>
      <c r="AY991" t="s">
        <v>71</v>
      </c>
      <c r="AZ991">
        <v>0</v>
      </c>
      <c r="BA991" t="s">
        <v>71</v>
      </c>
      <c r="BB991">
        <v>0</v>
      </c>
      <c r="BD991">
        <v>4.26</v>
      </c>
    </row>
    <row r="992" spans="1:56" x14ac:dyDescent="0.15">
      <c r="A992" s="4" t="str">
        <f>HYPERLINK("https://ibp.a2mac1.com/costing(costing:projects/details/9760/part/8413428)","Coolant Quick Disconnect")</f>
        <v>Coolant Quick Disconnect</v>
      </c>
      <c r="B992">
        <v>8413428</v>
      </c>
      <c r="C992">
        <v>8413241</v>
      </c>
      <c r="D992" t="s">
        <v>3030</v>
      </c>
      <c r="E992">
        <v>0.9</v>
      </c>
      <c r="F992">
        <v>0</v>
      </c>
      <c r="G992">
        <v>0</v>
      </c>
      <c r="H992">
        <v>0</v>
      </c>
      <c r="I992" t="s">
        <v>71</v>
      </c>
      <c r="J992">
        <v>0</v>
      </c>
      <c r="K992">
        <v>0.9</v>
      </c>
      <c r="L992">
        <v>0</v>
      </c>
      <c r="M992">
        <v>0</v>
      </c>
      <c r="N992">
        <v>0.9</v>
      </c>
      <c r="O992" t="s">
        <v>71</v>
      </c>
      <c r="P992">
        <v>0</v>
      </c>
      <c r="Q992" t="s">
        <v>71</v>
      </c>
      <c r="R992">
        <v>0</v>
      </c>
      <c r="S992" t="s">
        <v>71</v>
      </c>
      <c r="T992">
        <v>0</v>
      </c>
      <c r="U992" t="s">
        <v>71</v>
      </c>
      <c r="V992">
        <v>0</v>
      </c>
      <c r="W992" t="s">
        <v>71</v>
      </c>
      <c r="X992">
        <v>0</v>
      </c>
      <c r="Y992">
        <v>0.9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91</v>
      </c>
      <c r="AF992">
        <v>74</v>
      </c>
      <c r="AG992">
        <v>38</v>
      </c>
      <c r="AI992">
        <v>4.5999999999999999E-2</v>
      </c>
      <c r="AK992" t="s">
        <v>2791</v>
      </c>
      <c r="AM992">
        <v>400000</v>
      </c>
      <c r="AN992" t="s">
        <v>97</v>
      </c>
      <c r="AO992">
        <v>2</v>
      </c>
      <c r="AP992">
        <v>0</v>
      </c>
      <c r="AQ992">
        <v>33333.333333333336</v>
      </c>
      <c r="AR992" t="s">
        <v>3031</v>
      </c>
      <c r="AS992" t="s">
        <v>75</v>
      </c>
      <c r="AX992" t="s">
        <v>76</v>
      </c>
      <c r="AY992" t="s">
        <v>71</v>
      </c>
      <c r="AZ992">
        <v>0</v>
      </c>
      <c r="BA992" t="s">
        <v>71</v>
      </c>
      <c r="BB992">
        <v>0</v>
      </c>
      <c r="BD992">
        <v>0.45</v>
      </c>
    </row>
    <row r="993" spans="1:56" x14ac:dyDescent="0.15">
      <c r="A993" s="4" t="str">
        <f>HYPERLINK("https://ibp.a2mac1.com/costing(costing:projects/details/9760/part/8413429)","Coolant Quick Disconnect 2")</f>
        <v>Coolant Quick Disconnect 2</v>
      </c>
      <c r="B993">
        <v>8413429</v>
      </c>
      <c r="C993">
        <v>8413241</v>
      </c>
      <c r="D993" t="s">
        <v>3030</v>
      </c>
      <c r="E993">
        <v>0.92</v>
      </c>
      <c r="F993">
        <v>0</v>
      </c>
      <c r="G993">
        <v>0</v>
      </c>
      <c r="H993">
        <v>0</v>
      </c>
      <c r="I993" t="s">
        <v>71</v>
      </c>
      <c r="J993">
        <v>0</v>
      </c>
      <c r="K993">
        <v>0.92</v>
      </c>
      <c r="L993">
        <v>0</v>
      </c>
      <c r="M993">
        <v>0</v>
      </c>
      <c r="N993">
        <v>0.92</v>
      </c>
      <c r="O993" t="s">
        <v>71</v>
      </c>
      <c r="P993">
        <v>0</v>
      </c>
      <c r="Q993" t="s">
        <v>71</v>
      </c>
      <c r="R993">
        <v>0</v>
      </c>
      <c r="S993" t="s">
        <v>71</v>
      </c>
      <c r="T993">
        <v>0</v>
      </c>
      <c r="U993" t="s">
        <v>71</v>
      </c>
      <c r="V993">
        <v>0</v>
      </c>
      <c r="W993" t="s">
        <v>71</v>
      </c>
      <c r="X993">
        <v>0</v>
      </c>
      <c r="Y993">
        <v>0.92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108</v>
      </c>
      <c r="AF993">
        <v>68</v>
      </c>
      <c r="AG993">
        <v>38</v>
      </c>
      <c r="AI993">
        <v>4.8000000000000001E-2</v>
      </c>
      <c r="AK993" t="s">
        <v>2791</v>
      </c>
      <c r="AM993">
        <v>400000</v>
      </c>
      <c r="AN993" t="s">
        <v>97</v>
      </c>
      <c r="AO993">
        <v>2</v>
      </c>
      <c r="AP993">
        <v>0</v>
      </c>
      <c r="AQ993">
        <v>33333.333333333336</v>
      </c>
      <c r="AR993" t="s">
        <v>3032</v>
      </c>
      <c r="AS993" t="s">
        <v>75</v>
      </c>
      <c r="AX993" t="s">
        <v>76</v>
      </c>
      <c r="AY993" t="s">
        <v>71</v>
      </c>
      <c r="AZ993">
        <v>0</v>
      </c>
      <c r="BA993" t="s">
        <v>71</v>
      </c>
      <c r="BB993">
        <v>0</v>
      </c>
      <c r="BD993">
        <v>0.46</v>
      </c>
    </row>
    <row r="994" spans="1:56" x14ac:dyDescent="0.15">
      <c r="A994" s="4" t="str">
        <f>HYPERLINK("https://ibp.a2mac1.com/costing(costing:projects/details/9760/part/8413430)","Coolant Quick Disconnect 3")</f>
        <v>Coolant Quick Disconnect 3</v>
      </c>
      <c r="B994">
        <v>8413430</v>
      </c>
      <c r="C994">
        <v>8413241</v>
      </c>
      <c r="D994" t="s">
        <v>3030</v>
      </c>
      <c r="E994">
        <v>0.34</v>
      </c>
      <c r="F994">
        <v>0</v>
      </c>
      <c r="G994">
        <v>0</v>
      </c>
      <c r="H994">
        <v>0</v>
      </c>
      <c r="I994" t="s">
        <v>71</v>
      </c>
      <c r="J994">
        <v>0</v>
      </c>
      <c r="K994">
        <v>0.34</v>
      </c>
      <c r="L994">
        <v>0</v>
      </c>
      <c r="M994">
        <v>0</v>
      </c>
      <c r="N994">
        <v>0.34</v>
      </c>
      <c r="O994" t="s">
        <v>71</v>
      </c>
      <c r="P994">
        <v>0</v>
      </c>
      <c r="Q994" t="s">
        <v>71</v>
      </c>
      <c r="R994">
        <v>0</v>
      </c>
      <c r="S994" t="s">
        <v>71</v>
      </c>
      <c r="T994">
        <v>0</v>
      </c>
      <c r="U994" t="s">
        <v>71</v>
      </c>
      <c r="V994">
        <v>0</v>
      </c>
      <c r="W994" t="s">
        <v>71</v>
      </c>
      <c r="X994">
        <v>0</v>
      </c>
      <c r="Y994">
        <v>0.34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63</v>
      </c>
      <c r="AF994">
        <v>38</v>
      </c>
      <c r="AG994">
        <v>26</v>
      </c>
      <c r="AI994">
        <v>1.4E-2</v>
      </c>
      <c r="AK994" t="s">
        <v>272</v>
      </c>
      <c r="AM994">
        <v>400000</v>
      </c>
      <c r="AN994" t="s">
        <v>73</v>
      </c>
      <c r="AO994">
        <v>2</v>
      </c>
      <c r="AP994">
        <v>0</v>
      </c>
      <c r="AQ994">
        <v>33333.333333333336</v>
      </c>
      <c r="AR994" t="s">
        <v>3033</v>
      </c>
      <c r="AS994" t="s">
        <v>75</v>
      </c>
      <c r="AX994" t="s">
        <v>76</v>
      </c>
      <c r="AY994" t="s">
        <v>71</v>
      </c>
      <c r="AZ994">
        <v>0</v>
      </c>
      <c r="BA994" t="s">
        <v>71</v>
      </c>
      <c r="BB994">
        <v>0</v>
      </c>
      <c r="BD994">
        <v>0.17</v>
      </c>
    </row>
    <row r="995" spans="1:56" x14ac:dyDescent="0.15">
      <c r="A995" s="4" t="str">
        <f>HYPERLINK("https://ibp.a2mac1.com/costing(costing:projects/details/9760/part/8413431)","Thermal Paste")</f>
        <v>Thermal Paste</v>
      </c>
      <c r="B995">
        <v>8413431</v>
      </c>
      <c r="C995">
        <v>8413242</v>
      </c>
      <c r="D995" t="s">
        <v>284</v>
      </c>
      <c r="E995">
        <v>84.843000000000004</v>
      </c>
      <c r="F995">
        <v>0</v>
      </c>
      <c r="G995">
        <v>0</v>
      </c>
      <c r="H995">
        <v>0</v>
      </c>
      <c r="I995" t="s">
        <v>71</v>
      </c>
      <c r="J995">
        <v>0</v>
      </c>
      <c r="K995">
        <v>84.843000000000004</v>
      </c>
      <c r="L995">
        <v>0</v>
      </c>
      <c r="M995">
        <v>0</v>
      </c>
      <c r="N995">
        <v>84.843000000000004</v>
      </c>
      <c r="O995" t="s">
        <v>71</v>
      </c>
      <c r="P995">
        <v>0</v>
      </c>
      <c r="Q995" t="s">
        <v>71</v>
      </c>
      <c r="R995">
        <v>0</v>
      </c>
      <c r="S995" t="s">
        <v>71</v>
      </c>
      <c r="T995">
        <v>0</v>
      </c>
      <c r="U995" t="s">
        <v>71</v>
      </c>
      <c r="V995">
        <v>0</v>
      </c>
      <c r="W995" t="s">
        <v>71</v>
      </c>
      <c r="X995">
        <v>0</v>
      </c>
      <c r="Y995">
        <v>84.843000000000004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I995">
        <v>9.4269999999999996</v>
      </c>
      <c r="AK995" t="s">
        <v>2791</v>
      </c>
      <c r="AM995">
        <v>200000</v>
      </c>
      <c r="AN995" t="s">
        <v>97</v>
      </c>
      <c r="AO995">
        <v>1</v>
      </c>
      <c r="AP995">
        <v>0</v>
      </c>
      <c r="AQ995">
        <v>16666.666666666668</v>
      </c>
      <c r="AR995" t="s">
        <v>3035</v>
      </c>
      <c r="AS995" t="s">
        <v>75</v>
      </c>
      <c r="AX995" t="s">
        <v>76</v>
      </c>
      <c r="AY995" t="s">
        <v>71</v>
      </c>
      <c r="AZ995">
        <v>0</v>
      </c>
      <c r="BA995" t="s">
        <v>71</v>
      </c>
      <c r="BB995">
        <v>0</v>
      </c>
      <c r="BD995">
        <v>84.843000000000004</v>
      </c>
    </row>
    <row r="996" spans="1:56" x14ac:dyDescent="0.15">
      <c r="A996" s="4" t="str">
        <f>HYPERLINK("https://ibp.a2mac1.com/costing(costing:projects/details/9760/part/8413432)","Thermal Paste 2")</f>
        <v>Thermal Paste 2</v>
      </c>
      <c r="B996">
        <v>8413432</v>
      </c>
      <c r="C996">
        <v>8413242</v>
      </c>
      <c r="D996" t="s">
        <v>284</v>
      </c>
      <c r="E996">
        <v>9.1349999999999998</v>
      </c>
      <c r="F996">
        <v>0</v>
      </c>
      <c r="G996">
        <v>0</v>
      </c>
      <c r="H996">
        <v>0</v>
      </c>
      <c r="I996" t="s">
        <v>71</v>
      </c>
      <c r="J996">
        <v>0</v>
      </c>
      <c r="K996">
        <v>9.1349999999999998</v>
      </c>
      <c r="L996">
        <v>0</v>
      </c>
      <c r="M996">
        <v>0</v>
      </c>
      <c r="N996">
        <v>9.1349999999999998</v>
      </c>
      <c r="O996" t="s">
        <v>71</v>
      </c>
      <c r="P996">
        <v>0</v>
      </c>
      <c r="Q996" t="s">
        <v>71</v>
      </c>
      <c r="R996">
        <v>0</v>
      </c>
      <c r="S996" t="s">
        <v>71</v>
      </c>
      <c r="T996">
        <v>0</v>
      </c>
      <c r="U996" t="s">
        <v>71</v>
      </c>
      <c r="V996">
        <v>0</v>
      </c>
      <c r="W996" t="s">
        <v>71</v>
      </c>
      <c r="X996">
        <v>0</v>
      </c>
      <c r="Y996">
        <v>9.1349999999999998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I996">
        <v>1.0149999999999999</v>
      </c>
      <c r="AK996" t="s">
        <v>272</v>
      </c>
      <c r="AM996">
        <v>200000</v>
      </c>
      <c r="AN996" t="s">
        <v>73</v>
      </c>
      <c r="AO996">
        <v>1</v>
      </c>
      <c r="AP996">
        <v>0</v>
      </c>
      <c r="AQ996">
        <v>16666.666666666668</v>
      </c>
      <c r="AR996" t="s">
        <v>3036</v>
      </c>
      <c r="AS996" t="s">
        <v>75</v>
      </c>
      <c r="AX996" t="s">
        <v>76</v>
      </c>
      <c r="AY996" t="s">
        <v>71</v>
      </c>
      <c r="AZ996">
        <v>0</v>
      </c>
      <c r="BA996" t="s">
        <v>71</v>
      </c>
      <c r="BB996">
        <v>0</v>
      </c>
      <c r="BD996">
        <v>9.1349999999999998</v>
      </c>
    </row>
    <row r="997" spans="1:56" x14ac:dyDescent="0.15">
      <c r="A997" s="4" t="str">
        <f>HYPERLINK("https://ibp.a2mac1.com/costing(costing:projects/details/9760/part/8413243)","Vent Valve")</f>
        <v>Vent Valve</v>
      </c>
      <c r="B997">
        <v>8413243</v>
      </c>
      <c r="C997">
        <v>8413087</v>
      </c>
      <c r="D997" t="s">
        <v>2963</v>
      </c>
      <c r="E997">
        <v>2.2200000000000002</v>
      </c>
      <c r="F997">
        <v>0</v>
      </c>
      <c r="G997">
        <v>0</v>
      </c>
      <c r="H997">
        <v>0</v>
      </c>
      <c r="I997" t="s">
        <v>71</v>
      </c>
      <c r="J997">
        <v>0</v>
      </c>
      <c r="K997">
        <v>2.2200000000000002</v>
      </c>
      <c r="L997">
        <v>0</v>
      </c>
      <c r="M997">
        <v>0</v>
      </c>
      <c r="N997">
        <v>2.2200000000000002</v>
      </c>
      <c r="O997" t="s">
        <v>71</v>
      </c>
      <c r="P997">
        <v>0</v>
      </c>
      <c r="Q997" t="s">
        <v>71</v>
      </c>
      <c r="R997">
        <v>0</v>
      </c>
      <c r="S997" t="s">
        <v>71</v>
      </c>
      <c r="T997">
        <v>0</v>
      </c>
      <c r="U997" t="s">
        <v>71</v>
      </c>
      <c r="V997">
        <v>0</v>
      </c>
      <c r="W997" t="s">
        <v>71</v>
      </c>
      <c r="X997">
        <v>0</v>
      </c>
      <c r="Y997">
        <v>2.2200000000000002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92</v>
      </c>
      <c r="AF997">
        <v>60</v>
      </c>
      <c r="AG997">
        <v>35</v>
      </c>
      <c r="AI997">
        <v>7.6670000000000002E-2</v>
      </c>
      <c r="AK997" t="s">
        <v>2791</v>
      </c>
      <c r="AM997">
        <v>600000</v>
      </c>
      <c r="AN997" t="s">
        <v>97</v>
      </c>
      <c r="AO997">
        <v>3</v>
      </c>
      <c r="AP997">
        <v>0</v>
      </c>
      <c r="AQ997">
        <v>50000</v>
      </c>
      <c r="AR997" t="s">
        <v>3039</v>
      </c>
      <c r="AS997" t="s">
        <v>75</v>
      </c>
      <c r="AX997" t="s">
        <v>76</v>
      </c>
      <c r="AY997" t="s">
        <v>71</v>
      </c>
      <c r="AZ997">
        <v>0</v>
      </c>
      <c r="BA997" t="s">
        <v>71</v>
      </c>
      <c r="BB997">
        <v>0</v>
      </c>
      <c r="BD997">
        <v>0.74</v>
      </c>
    </row>
    <row r="998" spans="1:56" x14ac:dyDescent="0.15">
      <c r="A998" s="4" t="str">
        <f>HYPERLINK("https://ibp.a2mac1.com/costing(costing:projects/details/9760/part/8413244)","Protection")</f>
        <v>Protection</v>
      </c>
      <c r="B998">
        <v>8413244</v>
      </c>
      <c r="C998">
        <v>8413087</v>
      </c>
      <c r="D998" t="s">
        <v>2737</v>
      </c>
      <c r="E998">
        <v>0.54</v>
      </c>
      <c r="F998">
        <v>0</v>
      </c>
      <c r="G998">
        <v>0</v>
      </c>
      <c r="H998">
        <v>0</v>
      </c>
      <c r="I998" t="s">
        <v>71</v>
      </c>
      <c r="J998">
        <v>0</v>
      </c>
      <c r="K998">
        <v>0.54</v>
      </c>
      <c r="L998">
        <v>0</v>
      </c>
      <c r="M998">
        <v>0</v>
      </c>
      <c r="N998">
        <v>0.54</v>
      </c>
      <c r="O998" t="s">
        <v>71</v>
      </c>
      <c r="P998">
        <v>0</v>
      </c>
      <c r="Q998" t="s">
        <v>71</v>
      </c>
      <c r="R998">
        <v>0</v>
      </c>
      <c r="S998" t="s">
        <v>71</v>
      </c>
      <c r="T998">
        <v>0</v>
      </c>
      <c r="U998" t="s">
        <v>71</v>
      </c>
      <c r="V998">
        <v>0</v>
      </c>
      <c r="W998" t="s">
        <v>71</v>
      </c>
      <c r="X998">
        <v>0</v>
      </c>
      <c r="Y998">
        <v>0.54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114</v>
      </c>
      <c r="AF998">
        <v>105</v>
      </c>
      <c r="AG998">
        <v>26</v>
      </c>
      <c r="AI998">
        <v>0.124</v>
      </c>
      <c r="AK998" t="s">
        <v>272</v>
      </c>
      <c r="AM998">
        <v>400000</v>
      </c>
      <c r="AN998" t="s">
        <v>73</v>
      </c>
      <c r="AO998">
        <v>2</v>
      </c>
      <c r="AP998">
        <v>0</v>
      </c>
      <c r="AQ998">
        <v>33333.333333333336</v>
      </c>
      <c r="AR998" t="s">
        <v>3040</v>
      </c>
      <c r="AS998" t="s">
        <v>75</v>
      </c>
      <c r="AX998" t="s">
        <v>76</v>
      </c>
      <c r="AY998" t="s">
        <v>71</v>
      </c>
      <c r="AZ998">
        <v>0</v>
      </c>
      <c r="BA998" t="s">
        <v>71</v>
      </c>
      <c r="BB998">
        <v>0</v>
      </c>
      <c r="BD998">
        <v>0.27</v>
      </c>
    </row>
    <row r="999" spans="1:56" x14ac:dyDescent="0.15">
      <c r="A999" s="4" t="str">
        <f>HYPERLINK("https://ibp.a2mac1.com/costing(costing:projects/details/9760/part/8413245)","Degassing Unit 1")</f>
        <v>Degassing Unit 1</v>
      </c>
      <c r="B999">
        <v>8413245</v>
      </c>
      <c r="C999">
        <v>8413087</v>
      </c>
      <c r="D999" t="s">
        <v>2973</v>
      </c>
      <c r="E999">
        <v>2.08</v>
      </c>
      <c r="F999">
        <v>0</v>
      </c>
      <c r="G999">
        <v>0</v>
      </c>
      <c r="H999">
        <v>0</v>
      </c>
      <c r="I999" t="s">
        <v>71</v>
      </c>
      <c r="J999">
        <v>0</v>
      </c>
      <c r="K999">
        <v>2.08</v>
      </c>
      <c r="L999">
        <v>0</v>
      </c>
      <c r="M999">
        <v>0</v>
      </c>
      <c r="N999">
        <v>2.08</v>
      </c>
      <c r="O999" t="s">
        <v>71</v>
      </c>
      <c r="P999">
        <v>0</v>
      </c>
      <c r="Q999" t="s">
        <v>71</v>
      </c>
      <c r="R999">
        <v>0</v>
      </c>
      <c r="S999" t="s">
        <v>71</v>
      </c>
      <c r="T999">
        <v>0</v>
      </c>
      <c r="U999" t="s">
        <v>71</v>
      </c>
      <c r="V999">
        <v>0</v>
      </c>
      <c r="W999" t="s">
        <v>71</v>
      </c>
      <c r="X999">
        <v>0</v>
      </c>
      <c r="Y999">
        <v>2.08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40</v>
      </c>
      <c r="AF999">
        <v>40</v>
      </c>
      <c r="AG999">
        <v>25</v>
      </c>
      <c r="AI999">
        <v>7.2499999999999995E-2</v>
      </c>
      <c r="AK999" t="s">
        <v>2791</v>
      </c>
      <c r="AM999">
        <v>800000</v>
      </c>
      <c r="AN999" t="s">
        <v>97</v>
      </c>
      <c r="AO999">
        <v>4</v>
      </c>
      <c r="AP999">
        <v>0</v>
      </c>
      <c r="AQ999">
        <v>66666.666666666672</v>
      </c>
      <c r="AR999" t="s">
        <v>3041</v>
      </c>
      <c r="AS999" t="s">
        <v>75</v>
      </c>
      <c r="AX999" t="s">
        <v>76</v>
      </c>
      <c r="AY999" t="s">
        <v>71</v>
      </c>
      <c r="AZ999">
        <v>0</v>
      </c>
      <c r="BA999" t="s">
        <v>71</v>
      </c>
      <c r="BB999">
        <v>0</v>
      </c>
      <c r="BD999">
        <v>0.52</v>
      </c>
    </row>
    <row r="1000" spans="1:56" x14ac:dyDescent="0.15">
      <c r="A1000" s="4" t="str">
        <f>HYPERLINK("https://ibp.a2mac1.com/costing(costing:projects/details/9760/part/8413433)","PCB")</f>
        <v>PCB</v>
      </c>
      <c r="B1000">
        <v>8413433</v>
      </c>
      <c r="C1000">
        <v>8413246</v>
      </c>
      <c r="D1000" t="s">
        <v>3045</v>
      </c>
      <c r="E1000">
        <v>10.069800000000001</v>
      </c>
      <c r="F1000">
        <v>0</v>
      </c>
      <c r="G1000">
        <v>0</v>
      </c>
      <c r="H1000">
        <v>0</v>
      </c>
      <c r="I1000" t="s">
        <v>71</v>
      </c>
      <c r="J1000">
        <v>0</v>
      </c>
      <c r="K1000">
        <v>10.069800000000001</v>
      </c>
      <c r="L1000">
        <v>0</v>
      </c>
      <c r="M1000">
        <v>0</v>
      </c>
      <c r="N1000">
        <v>10.069800000000001</v>
      </c>
      <c r="O1000" t="s">
        <v>71</v>
      </c>
      <c r="P1000">
        <v>0</v>
      </c>
      <c r="Q1000" t="s">
        <v>71</v>
      </c>
      <c r="R1000">
        <v>0</v>
      </c>
      <c r="S1000" t="s">
        <v>71</v>
      </c>
      <c r="T1000">
        <v>0</v>
      </c>
      <c r="U1000" t="s">
        <v>71</v>
      </c>
      <c r="V1000">
        <v>0</v>
      </c>
      <c r="W1000" t="s">
        <v>71</v>
      </c>
      <c r="X1000">
        <v>0</v>
      </c>
      <c r="Y1000">
        <v>10.069800000000001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K1000" t="s">
        <v>1015</v>
      </c>
      <c r="AM1000">
        <v>200000</v>
      </c>
      <c r="AN1000" t="s">
        <v>97</v>
      </c>
      <c r="AO1000">
        <v>1</v>
      </c>
      <c r="AP1000">
        <v>0</v>
      </c>
      <c r="AQ1000">
        <v>16666.666666666668</v>
      </c>
      <c r="AR1000" t="s">
        <v>9</v>
      </c>
      <c r="AS1000" t="s">
        <v>75</v>
      </c>
      <c r="AV1000">
        <v>0</v>
      </c>
      <c r="AW1000">
        <v>0</v>
      </c>
      <c r="AX1000" t="s">
        <v>76</v>
      </c>
      <c r="AY1000" t="s">
        <v>71</v>
      </c>
      <c r="AZ1000">
        <v>0</v>
      </c>
      <c r="BA1000" t="s">
        <v>71</v>
      </c>
      <c r="BB1000">
        <v>0</v>
      </c>
      <c r="BD1000">
        <v>10.069800000000001</v>
      </c>
    </row>
    <row r="1001" spans="1:56" x14ac:dyDescent="0.15">
      <c r="A1001" s="4" t="str">
        <f>HYPERLINK("https://ibp.a2mac1.com/costing(costing:projects/details/9760/part/8413434)","PCB")</f>
        <v>PCB</v>
      </c>
      <c r="B1001">
        <v>8413434</v>
      </c>
      <c r="C1001">
        <v>8413247</v>
      </c>
      <c r="D1001" t="s">
        <v>3045</v>
      </c>
      <c r="E1001">
        <v>8.58</v>
      </c>
      <c r="F1001">
        <v>0</v>
      </c>
      <c r="G1001">
        <v>0</v>
      </c>
      <c r="H1001">
        <v>0</v>
      </c>
      <c r="I1001" t="s">
        <v>71</v>
      </c>
      <c r="J1001">
        <v>0</v>
      </c>
      <c r="K1001">
        <v>8.58</v>
      </c>
      <c r="L1001">
        <v>0</v>
      </c>
      <c r="M1001">
        <v>0</v>
      </c>
      <c r="N1001">
        <v>8.58</v>
      </c>
      <c r="O1001" t="s">
        <v>71</v>
      </c>
      <c r="P1001">
        <v>0</v>
      </c>
      <c r="Q1001" t="s">
        <v>71</v>
      </c>
      <c r="R1001">
        <v>0</v>
      </c>
      <c r="S1001" t="s">
        <v>71</v>
      </c>
      <c r="T1001">
        <v>0</v>
      </c>
      <c r="U1001" t="s">
        <v>71</v>
      </c>
      <c r="V1001">
        <v>0</v>
      </c>
      <c r="W1001" t="s">
        <v>71</v>
      </c>
      <c r="X1001">
        <v>0</v>
      </c>
      <c r="Y1001">
        <v>8.58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K1001" t="s">
        <v>1015</v>
      </c>
      <c r="AM1001">
        <v>200000</v>
      </c>
      <c r="AN1001" t="s">
        <v>97</v>
      </c>
      <c r="AO1001">
        <v>1</v>
      </c>
      <c r="AP1001">
        <v>0</v>
      </c>
      <c r="AQ1001">
        <v>16666.666666666668</v>
      </c>
      <c r="AR1001" t="s">
        <v>9</v>
      </c>
      <c r="AS1001" t="s">
        <v>75</v>
      </c>
      <c r="AV1001">
        <v>0</v>
      </c>
      <c r="AW1001">
        <v>0</v>
      </c>
      <c r="AX1001" t="s">
        <v>76</v>
      </c>
      <c r="AY1001" t="s">
        <v>71</v>
      </c>
      <c r="AZ1001">
        <v>0</v>
      </c>
      <c r="BA1001" t="s">
        <v>71</v>
      </c>
      <c r="BB1001">
        <v>0</v>
      </c>
      <c r="BD1001">
        <v>8.58</v>
      </c>
    </row>
    <row r="1002" spans="1:56" x14ac:dyDescent="0.15">
      <c r="A1002" s="4" t="str">
        <f>HYPERLINK("https://ibp.a2mac1.com/costing(costing:projects/details/9760/part/8413435)","Bus Bar 1")</f>
        <v>Bus Bar 1</v>
      </c>
      <c r="B1002">
        <v>8413435</v>
      </c>
      <c r="C1002">
        <v>8413248</v>
      </c>
      <c r="D1002" t="s">
        <v>3053</v>
      </c>
      <c r="E1002">
        <v>2.21</v>
      </c>
      <c r="F1002">
        <v>0</v>
      </c>
      <c r="G1002">
        <v>0</v>
      </c>
      <c r="H1002">
        <v>0</v>
      </c>
      <c r="I1002" t="s">
        <v>71</v>
      </c>
      <c r="J1002">
        <v>0</v>
      </c>
      <c r="K1002">
        <v>2.21</v>
      </c>
      <c r="L1002">
        <v>0</v>
      </c>
      <c r="M1002">
        <v>0</v>
      </c>
      <c r="N1002">
        <v>2.21</v>
      </c>
      <c r="O1002" t="s">
        <v>71</v>
      </c>
      <c r="P1002">
        <v>0</v>
      </c>
      <c r="Q1002" t="s">
        <v>71</v>
      </c>
      <c r="R1002">
        <v>0</v>
      </c>
      <c r="S1002" t="s">
        <v>71</v>
      </c>
      <c r="T1002">
        <v>0</v>
      </c>
      <c r="U1002" t="s">
        <v>71</v>
      </c>
      <c r="V1002">
        <v>0</v>
      </c>
      <c r="W1002" t="s">
        <v>71</v>
      </c>
      <c r="X1002">
        <v>0</v>
      </c>
      <c r="Y1002">
        <v>2.21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119</v>
      </c>
      <c r="AF1002">
        <v>68</v>
      </c>
      <c r="AG1002">
        <v>18</v>
      </c>
      <c r="AI1002">
        <v>0.14599999999999999</v>
      </c>
      <c r="AK1002" t="s">
        <v>2791</v>
      </c>
      <c r="AM1002">
        <v>200000</v>
      </c>
      <c r="AN1002" t="s">
        <v>97</v>
      </c>
      <c r="AO1002">
        <v>1</v>
      </c>
      <c r="AP1002">
        <v>0</v>
      </c>
      <c r="AQ1002">
        <v>16666.666666666668</v>
      </c>
      <c r="AR1002" t="s">
        <v>3054</v>
      </c>
      <c r="AS1002" t="s">
        <v>75</v>
      </c>
      <c r="AX1002" t="s">
        <v>76</v>
      </c>
      <c r="AY1002" t="s">
        <v>71</v>
      </c>
      <c r="AZ1002">
        <v>0</v>
      </c>
      <c r="BA1002" t="s">
        <v>71</v>
      </c>
      <c r="BB1002">
        <v>0</v>
      </c>
      <c r="BD1002">
        <v>2.21</v>
      </c>
    </row>
    <row r="1003" spans="1:56" x14ac:dyDescent="0.15">
      <c r="A1003" s="4" t="str">
        <f>HYPERLINK("https://ibp.a2mac1.com/costing(costing:projects/details/9760/part/8413436)","Bus Bar 2")</f>
        <v>Bus Bar 2</v>
      </c>
      <c r="B1003">
        <v>8413436</v>
      </c>
      <c r="C1003">
        <v>8413248</v>
      </c>
      <c r="D1003" t="s">
        <v>3055</v>
      </c>
      <c r="E1003">
        <v>2.22872</v>
      </c>
      <c r="F1003">
        <v>0</v>
      </c>
      <c r="G1003">
        <v>0</v>
      </c>
      <c r="H1003">
        <v>0</v>
      </c>
      <c r="I1003" t="s">
        <v>71</v>
      </c>
      <c r="J1003">
        <v>0</v>
      </c>
      <c r="K1003">
        <v>2.22872</v>
      </c>
      <c r="L1003">
        <v>0</v>
      </c>
      <c r="M1003">
        <v>0</v>
      </c>
      <c r="N1003">
        <v>2.22872</v>
      </c>
      <c r="O1003" t="s">
        <v>71</v>
      </c>
      <c r="P1003">
        <v>0</v>
      </c>
      <c r="Q1003" t="s">
        <v>71</v>
      </c>
      <c r="R1003">
        <v>0</v>
      </c>
      <c r="S1003" t="s">
        <v>71</v>
      </c>
      <c r="T1003">
        <v>0</v>
      </c>
      <c r="U1003" t="s">
        <v>71</v>
      </c>
      <c r="V1003">
        <v>0</v>
      </c>
      <c r="W1003" t="s">
        <v>71</v>
      </c>
      <c r="X1003">
        <v>0</v>
      </c>
      <c r="Y1003">
        <v>2.22872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119</v>
      </c>
      <c r="AF1003">
        <v>66</v>
      </c>
      <c r="AG1003">
        <v>18</v>
      </c>
      <c r="AI1003">
        <v>0.14599999999999999</v>
      </c>
      <c r="AK1003" t="s">
        <v>2791</v>
      </c>
      <c r="AM1003">
        <v>200000</v>
      </c>
      <c r="AN1003" t="s">
        <v>97</v>
      </c>
      <c r="AO1003">
        <v>1</v>
      </c>
      <c r="AP1003">
        <v>0</v>
      </c>
      <c r="AQ1003">
        <v>16666.666666666668</v>
      </c>
      <c r="AR1003" t="s">
        <v>3056</v>
      </c>
      <c r="AS1003" t="s">
        <v>75</v>
      </c>
      <c r="AX1003" t="s">
        <v>76</v>
      </c>
      <c r="AY1003" t="s">
        <v>71</v>
      </c>
      <c r="AZ1003">
        <v>0</v>
      </c>
      <c r="BA1003" t="s">
        <v>71</v>
      </c>
      <c r="BB1003">
        <v>0</v>
      </c>
      <c r="BD1003">
        <v>2.22872</v>
      </c>
    </row>
    <row r="1004" spans="1:56" x14ac:dyDescent="0.15">
      <c r="A1004" s="4" t="str">
        <f>HYPERLINK("https://ibp.a2mac1.com/costing(costing:projects/details/9760/part/8413437)","Bus Bar 3")</f>
        <v>Bus Bar 3</v>
      </c>
      <c r="B1004">
        <v>8413437</v>
      </c>
      <c r="C1004">
        <v>8413248</v>
      </c>
      <c r="D1004" t="s">
        <v>3055</v>
      </c>
      <c r="E1004">
        <v>2.0762299999999998</v>
      </c>
      <c r="F1004">
        <v>0</v>
      </c>
      <c r="G1004">
        <v>0</v>
      </c>
      <c r="H1004">
        <v>0</v>
      </c>
      <c r="I1004" t="s">
        <v>71</v>
      </c>
      <c r="J1004">
        <v>0</v>
      </c>
      <c r="K1004">
        <v>2.0762299999999998</v>
      </c>
      <c r="L1004">
        <v>0</v>
      </c>
      <c r="M1004">
        <v>0</v>
      </c>
      <c r="N1004">
        <v>2.0762299999999998</v>
      </c>
      <c r="O1004" t="s">
        <v>71</v>
      </c>
      <c r="P1004">
        <v>0</v>
      </c>
      <c r="Q1004" t="s">
        <v>71</v>
      </c>
      <c r="R1004">
        <v>0</v>
      </c>
      <c r="S1004" t="s">
        <v>71</v>
      </c>
      <c r="T1004">
        <v>0</v>
      </c>
      <c r="U1004" t="s">
        <v>71</v>
      </c>
      <c r="V1004">
        <v>0</v>
      </c>
      <c r="W1004" t="s">
        <v>71</v>
      </c>
      <c r="X1004">
        <v>0</v>
      </c>
      <c r="Y1004">
        <v>2.0762299999999998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160</v>
      </c>
      <c r="AF1004">
        <v>95</v>
      </c>
      <c r="AG1004">
        <v>30</v>
      </c>
      <c r="AI1004">
        <v>0.13300000000000001</v>
      </c>
      <c r="AK1004" t="s">
        <v>2791</v>
      </c>
      <c r="AM1004">
        <v>200000</v>
      </c>
      <c r="AN1004" t="s">
        <v>97</v>
      </c>
      <c r="AO1004">
        <v>1</v>
      </c>
      <c r="AP1004">
        <v>0</v>
      </c>
      <c r="AQ1004">
        <v>16666.666666666668</v>
      </c>
      <c r="AR1004" t="s">
        <v>3057</v>
      </c>
      <c r="AS1004" t="s">
        <v>75</v>
      </c>
      <c r="AX1004" t="s">
        <v>76</v>
      </c>
      <c r="AY1004" t="s">
        <v>71</v>
      </c>
      <c r="AZ1004">
        <v>0</v>
      </c>
      <c r="BA1004" t="s">
        <v>71</v>
      </c>
      <c r="BB1004">
        <v>0</v>
      </c>
      <c r="BD1004">
        <v>2.0762299999999998</v>
      </c>
    </row>
    <row r="1005" spans="1:56" x14ac:dyDescent="0.15">
      <c r="A1005" s="4" t="str">
        <f>HYPERLINK("https://ibp.a2mac1.com/costing(costing:projects/details/9760/part/8413438)","Bus Bar 4")</f>
        <v>Bus Bar 4</v>
      </c>
      <c r="B1005">
        <v>8413438</v>
      </c>
      <c r="C1005">
        <v>8413248</v>
      </c>
      <c r="D1005" t="s">
        <v>3055</v>
      </c>
      <c r="E1005">
        <v>1.5550600000000001</v>
      </c>
      <c r="F1005">
        <v>0</v>
      </c>
      <c r="G1005">
        <v>0</v>
      </c>
      <c r="H1005">
        <v>0</v>
      </c>
      <c r="I1005" t="s">
        <v>71</v>
      </c>
      <c r="J1005">
        <v>0</v>
      </c>
      <c r="K1005">
        <v>1.5550600000000001</v>
      </c>
      <c r="L1005">
        <v>0</v>
      </c>
      <c r="M1005">
        <v>0</v>
      </c>
      <c r="N1005">
        <v>1.5550600000000001</v>
      </c>
      <c r="O1005" t="s">
        <v>71</v>
      </c>
      <c r="P1005">
        <v>0</v>
      </c>
      <c r="Q1005" t="s">
        <v>71</v>
      </c>
      <c r="R1005">
        <v>0</v>
      </c>
      <c r="S1005" t="s">
        <v>71</v>
      </c>
      <c r="T1005">
        <v>0</v>
      </c>
      <c r="U1005" t="s">
        <v>71</v>
      </c>
      <c r="V1005">
        <v>0</v>
      </c>
      <c r="W1005" t="s">
        <v>71</v>
      </c>
      <c r="X1005">
        <v>0</v>
      </c>
      <c r="Y1005">
        <v>1.5550600000000001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125</v>
      </c>
      <c r="AF1005">
        <v>59</v>
      </c>
      <c r="AG1005">
        <v>37</v>
      </c>
      <c r="AI1005">
        <v>9.6000000000000002E-2</v>
      </c>
      <c r="AK1005" t="s">
        <v>2791</v>
      </c>
      <c r="AM1005">
        <v>200000</v>
      </c>
      <c r="AN1005" t="s">
        <v>97</v>
      </c>
      <c r="AO1005">
        <v>1</v>
      </c>
      <c r="AP1005">
        <v>0</v>
      </c>
      <c r="AQ1005">
        <v>16666.666666666668</v>
      </c>
      <c r="AR1005" t="s">
        <v>3058</v>
      </c>
      <c r="AS1005" t="s">
        <v>75</v>
      </c>
      <c r="AX1005" t="s">
        <v>76</v>
      </c>
      <c r="AY1005" t="s">
        <v>71</v>
      </c>
      <c r="AZ1005">
        <v>0</v>
      </c>
      <c r="BA1005" t="s">
        <v>71</v>
      </c>
      <c r="BB1005">
        <v>0</v>
      </c>
      <c r="BD1005">
        <v>1.5550600000000001</v>
      </c>
    </row>
    <row r="1006" spans="1:56" x14ac:dyDescent="0.15">
      <c r="A1006" s="4" t="str">
        <f>HYPERLINK("https://ibp.a2mac1.com/costing(costing:projects/details/9760/part/8413439)","Bus Bar 5")</f>
        <v>Bus Bar 5</v>
      </c>
      <c r="B1006">
        <v>8413439</v>
      </c>
      <c r="C1006">
        <v>8413248</v>
      </c>
      <c r="D1006" t="s">
        <v>3055</v>
      </c>
      <c r="E1006">
        <v>10.47</v>
      </c>
      <c r="F1006">
        <v>0</v>
      </c>
      <c r="G1006">
        <v>0</v>
      </c>
      <c r="H1006">
        <v>0</v>
      </c>
      <c r="I1006" t="s">
        <v>71</v>
      </c>
      <c r="J1006">
        <v>0</v>
      </c>
      <c r="K1006">
        <v>10.47</v>
      </c>
      <c r="L1006">
        <v>0</v>
      </c>
      <c r="M1006">
        <v>0</v>
      </c>
      <c r="N1006">
        <v>10.47</v>
      </c>
      <c r="O1006" t="s">
        <v>71</v>
      </c>
      <c r="P1006">
        <v>0</v>
      </c>
      <c r="Q1006" t="s">
        <v>71</v>
      </c>
      <c r="R1006">
        <v>0</v>
      </c>
      <c r="S1006" t="s">
        <v>71</v>
      </c>
      <c r="T1006">
        <v>0</v>
      </c>
      <c r="U1006" t="s">
        <v>71</v>
      </c>
      <c r="V1006">
        <v>0</v>
      </c>
      <c r="W1006" t="s">
        <v>71</v>
      </c>
      <c r="X1006">
        <v>0</v>
      </c>
      <c r="Y1006">
        <v>10.47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123</v>
      </c>
      <c r="AF1006">
        <v>76</v>
      </c>
      <c r="AG1006">
        <v>7</v>
      </c>
      <c r="AI1006">
        <v>0.18099999999999999</v>
      </c>
      <c r="AK1006" t="s">
        <v>2791</v>
      </c>
      <c r="AM1006">
        <v>400000</v>
      </c>
      <c r="AN1006" t="s">
        <v>97</v>
      </c>
      <c r="AO1006">
        <v>2</v>
      </c>
      <c r="AP1006">
        <v>0</v>
      </c>
      <c r="AQ1006">
        <v>33333.333333333336</v>
      </c>
      <c r="AR1006" t="s">
        <v>3059</v>
      </c>
      <c r="AS1006" t="s">
        <v>75</v>
      </c>
      <c r="AX1006" t="s">
        <v>76</v>
      </c>
      <c r="AY1006" t="s">
        <v>71</v>
      </c>
      <c r="AZ1006">
        <v>0</v>
      </c>
      <c r="BA1006" t="s">
        <v>71</v>
      </c>
      <c r="BB1006">
        <v>0</v>
      </c>
      <c r="BD1006">
        <v>5.2350000000000003</v>
      </c>
    </row>
    <row r="1007" spans="1:56" x14ac:dyDescent="0.15">
      <c r="A1007" s="4" t="str">
        <f>HYPERLINK("https://ibp.a2mac1.com/costing(costing:projects/details/9760/part/8413440)","Bus Bar 6")</f>
        <v>Bus Bar 6</v>
      </c>
      <c r="B1007">
        <v>8413440</v>
      </c>
      <c r="C1007">
        <v>8413248</v>
      </c>
      <c r="D1007" t="s">
        <v>3055</v>
      </c>
      <c r="E1007">
        <v>2.2330000000000001</v>
      </c>
      <c r="F1007">
        <v>0</v>
      </c>
      <c r="G1007">
        <v>0</v>
      </c>
      <c r="H1007">
        <v>0</v>
      </c>
      <c r="I1007" t="s">
        <v>71</v>
      </c>
      <c r="J1007">
        <v>0</v>
      </c>
      <c r="K1007">
        <v>2.2330000000000001</v>
      </c>
      <c r="L1007">
        <v>0</v>
      </c>
      <c r="M1007">
        <v>0</v>
      </c>
      <c r="N1007">
        <v>2.2330000000000001</v>
      </c>
      <c r="O1007" t="s">
        <v>71</v>
      </c>
      <c r="P1007">
        <v>0</v>
      </c>
      <c r="Q1007" t="s">
        <v>71</v>
      </c>
      <c r="R1007">
        <v>0</v>
      </c>
      <c r="S1007" t="s">
        <v>71</v>
      </c>
      <c r="T1007">
        <v>0</v>
      </c>
      <c r="U1007" t="s">
        <v>71</v>
      </c>
      <c r="V1007">
        <v>0</v>
      </c>
      <c r="W1007" t="s">
        <v>71</v>
      </c>
      <c r="X1007">
        <v>0</v>
      </c>
      <c r="Y1007">
        <v>2.2330000000000001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142</v>
      </c>
      <c r="AF1007">
        <v>29</v>
      </c>
      <c r="AG1007">
        <v>24</v>
      </c>
      <c r="AI1007">
        <v>0.17199999999999999</v>
      </c>
      <c r="AK1007" t="s">
        <v>2791</v>
      </c>
      <c r="AM1007">
        <v>200000</v>
      </c>
      <c r="AN1007" t="s">
        <v>97</v>
      </c>
      <c r="AO1007">
        <v>1</v>
      </c>
      <c r="AP1007">
        <v>0</v>
      </c>
      <c r="AQ1007">
        <v>16666.666666666668</v>
      </c>
      <c r="AR1007" t="s">
        <v>3060</v>
      </c>
      <c r="AS1007" t="s">
        <v>75</v>
      </c>
      <c r="AX1007" t="s">
        <v>76</v>
      </c>
      <c r="AY1007" t="s">
        <v>71</v>
      </c>
      <c r="AZ1007">
        <v>0</v>
      </c>
      <c r="BA1007" t="s">
        <v>71</v>
      </c>
      <c r="BB1007">
        <v>0</v>
      </c>
      <c r="BD1007">
        <v>2.2330000000000001</v>
      </c>
    </row>
    <row r="1008" spans="1:56" x14ac:dyDescent="0.15">
      <c r="A1008" s="4" t="str">
        <f>HYPERLINK("https://ibp.a2mac1.com/costing(costing:projects/details/9760/part/8413441)","Bus Bar 7")</f>
        <v>Bus Bar 7</v>
      </c>
      <c r="B1008">
        <v>8413441</v>
      </c>
      <c r="C1008">
        <v>8413248</v>
      </c>
      <c r="D1008" t="s">
        <v>3055</v>
      </c>
      <c r="E1008">
        <v>2.2330000000000001</v>
      </c>
      <c r="F1008">
        <v>0</v>
      </c>
      <c r="G1008">
        <v>0</v>
      </c>
      <c r="H1008">
        <v>0</v>
      </c>
      <c r="I1008" t="s">
        <v>71</v>
      </c>
      <c r="J1008">
        <v>0</v>
      </c>
      <c r="K1008">
        <v>2.2330000000000001</v>
      </c>
      <c r="L1008">
        <v>0</v>
      </c>
      <c r="M1008">
        <v>0</v>
      </c>
      <c r="N1008">
        <v>2.2330000000000001</v>
      </c>
      <c r="O1008" t="s">
        <v>71</v>
      </c>
      <c r="P1008">
        <v>0</v>
      </c>
      <c r="Q1008" t="s">
        <v>71</v>
      </c>
      <c r="R1008">
        <v>0</v>
      </c>
      <c r="S1008" t="s">
        <v>71</v>
      </c>
      <c r="T1008">
        <v>0</v>
      </c>
      <c r="U1008" t="s">
        <v>71</v>
      </c>
      <c r="V1008">
        <v>0</v>
      </c>
      <c r="W1008" t="s">
        <v>71</v>
      </c>
      <c r="X1008">
        <v>0</v>
      </c>
      <c r="Y1008">
        <v>2.2330000000000001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142</v>
      </c>
      <c r="AF1008">
        <v>29</v>
      </c>
      <c r="AG1008">
        <v>24</v>
      </c>
      <c r="AI1008">
        <v>0.17199999999999999</v>
      </c>
      <c r="AK1008" t="s">
        <v>2791</v>
      </c>
      <c r="AM1008">
        <v>200000</v>
      </c>
      <c r="AN1008" t="s">
        <v>97</v>
      </c>
      <c r="AO1008">
        <v>1</v>
      </c>
      <c r="AP1008">
        <v>0</v>
      </c>
      <c r="AQ1008">
        <v>16666.666666666668</v>
      </c>
      <c r="AR1008" t="s">
        <v>3061</v>
      </c>
      <c r="AS1008" t="s">
        <v>75</v>
      </c>
      <c r="AX1008" t="s">
        <v>76</v>
      </c>
      <c r="AY1008" t="s">
        <v>71</v>
      </c>
      <c r="AZ1008">
        <v>0</v>
      </c>
      <c r="BA1008" t="s">
        <v>71</v>
      </c>
      <c r="BB1008">
        <v>0</v>
      </c>
      <c r="BD1008">
        <v>2.2330000000000001</v>
      </c>
    </row>
    <row r="1009" spans="1:56" x14ac:dyDescent="0.15">
      <c r="A1009" s="4" t="str">
        <f>HYPERLINK("https://ibp.a2mac1.com/costing(costing:projects/details/9760/part/8413442)","Bus Bar 8")</f>
        <v>Bus Bar 8</v>
      </c>
      <c r="B1009">
        <v>8413442</v>
      </c>
      <c r="C1009">
        <v>8413248</v>
      </c>
      <c r="D1009" t="s">
        <v>3055</v>
      </c>
      <c r="E1009">
        <v>9.8149999999999995</v>
      </c>
      <c r="F1009">
        <v>0</v>
      </c>
      <c r="G1009">
        <v>0</v>
      </c>
      <c r="H1009">
        <v>0</v>
      </c>
      <c r="I1009" t="s">
        <v>71</v>
      </c>
      <c r="J1009">
        <v>0</v>
      </c>
      <c r="K1009">
        <v>9.8149999999999995</v>
      </c>
      <c r="L1009">
        <v>0</v>
      </c>
      <c r="M1009">
        <v>0</v>
      </c>
      <c r="N1009">
        <v>9.8149999999999995</v>
      </c>
      <c r="O1009" t="s">
        <v>71</v>
      </c>
      <c r="P1009">
        <v>0</v>
      </c>
      <c r="Q1009" t="s">
        <v>71</v>
      </c>
      <c r="R1009">
        <v>0</v>
      </c>
      <c r="S1009" t="s">
        <v>71</v>
      </c>
      <c r="T1009">
        <v>0</v>
      </c>
      <c r="U1009" t="s">
        <v>71</v>
      </c>
      <c r="V1009">
        <v>0</v>
      </c>
      <c r="W1009" t="s">
        <v>71</v>
      </c>
      <c r="X1009">
        <v>0</v>
      </c>
      <c r="Y1009">
        <v>9.8149999999999995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560</v>
      </c>
      <c r="AF1009">
        <v>150</v>
      </c>
      <c r="AG1009">
        <v>94</v>
      </c>
      <c r="AI1009">
        <v>0.65900000000000003</v>
      </c>
      <c r="AK1009" t="s">
        <v>2791</v>
      </c>
      <c r="AM1009">
        <v>200000</v>
      </c>
      <c r="AN1009" t="s">
        <v>97</v>
      </c>
      <c r="AO1009">
        <v>1</v>
      </c>
      <c r="AP1009">
        <v>0</v>
      </c>
      <c r="AQ1009">
        <v>16666.666666666668</v>
      </c>
      <c r="AR1009" t="s">
        <v>3062</v>
      </c>
      <c r="AS1009" t="s">
        <v>75</v>
      </c>
      <c r="AX1009" t="s">
        <v>76</v>
      </c>
      <c r="AY1009" t="s">
        <v>71</v>
      </c>
      <c r="AZ1009">
        <v>0</v>
      </c>
      <c r="BA1009" t="s">
        <v>71</v>
      </c>
      <c r="BB1009">
        <v>0</v>
      </c>
      <c r="BD1009">
        <v>9.8149999999999995</v>
      </c>
    </row>
    <row r="1010" spans="1:56" x14ac:dyDescent="0.15">
      <c r="A1010" s="4" t="str">
        <f>HYPERLINK("https://ibp.a2mac1.com/costing(costing:projects/details/9760/part/8413444)","Bus Bar 9")</f>
        <v>Bus Bar 9</v>
      </c>
      <c r="B1010">
        <v>8413444</v>
      </c>
      <c r="C1010">
        <v>8413248</v>
      </c>
      <c r="D1010" t="s">
        <v>3055</v>
      </c>
      <c r="E1010">
        <v>8.9196210133333338</v>
      </c>
      <c r="F1010">
        <v>0</v>
      </c>
      <c r="G1010">
        <v>0</v>
      </c>
      <c r="H1010">
        <v>9.6629227644444444E-3</v>
      </c>
      <c r="I1010" t="s">
        <v>176</v>
      </c>
      <c r="J1010">
        <v>0.32519451611111111</v>
      </c>
      <c r="K1010">
        <v>9.2544784522088896</v>
      </c>
      <c r="L1010">
        <v>0.49487442272107107</v>
      </c>
      <c r="M1010">
        <v>2.9692465363264264</v>
      </c>
      <c r="N1010">
        <v>12.223724988535315</v>
      </c>
      <c r="O1010" t="s">
        <v>177</v>
      </c>
      <c r="P1010">
        <v>0.55526870713253329</v>
      </c>
      <c r="Q1010" t="s">
        <v>177</v>
      </c>
      <c r="R1010">
        <v>0.1781547921795856</v>
      </c>
      <c r="S1010" t="s">
        <v>178</v>
      </c>
      <c r="T1010">
        <v>1.4668469986242378</v>
      </c>
      <c r="U1010" t="s">
        <v>90</v>
      </c>
      <c r="V1010">
        <v>0</v>
      </c>
      <c r="W1010" t="s">
        <v>90</v>
      </c>
      <c r="X1010">
        <v>0</v>
      </c>
      <c r="Y1010">
        <v>14.423995486471672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664</v>
      </c>
      <c r="AF1010">
        <v>146</v>
      </c>
      <c r="AG1010">
        <v>89</v>
      </c>
      <c r="AI1010">
        <v>0.82899999999999996</v>
      </c>
      <c r="AK1010" t="s">
        <v>2791</v>
      </c>
      <c r="AM1010">
        <v>200000</v>
      </c>
      <c r="AN1010" t="s">
        <v>97</v>
      </c>
      <c r="AO1010">
        <v>1</v>
      </c>
      <c r="AP1010">
        <v>0</v>
      </c>
      <c r="AQ1010">
        <v>16666.666666666668</v>
      </c>
      <c r="AR1010" t="s">
        <v>3067</v>
      </c>
      <c r="AS1010" t="s">
        <v>75</v>
      </c>
      <c r="AX1010" t="s">
        <v>76</v>
      </c>
      <c r="AY1010" t="s">
        <v>176</v>
      </c>
      <c r="AZ1010">
        <v>0</v>
      </c>
      <c r="BA1010" t="s">
        <v>176</v>
      </c>
      <c r="BB1010">
        <v>0</v>
      </c>
    </row>
    <row r="1011" spans="1:56" x14ac:dyDescent="0.15">
      <c r="A1011" s="4" t="str">
        <f>HYPERLINK("https://ibp.a2mac1.com/costing(costing:projects/details/9760/part/8413445)","Bus Bar Guards")</f>
        <v>Bus Bar Guards</v>
      </c>
      <c r="B1011">
        <v>8413445</v>
      </c>
      <c r="C1011">
        <v>8413248</v>
      </c>
      <c r="D1011" t="s">
        <v>2966</v>
      </c>
      <c r="E1011">
        <v>0.498</v>
      </c>
      <c r="F1011">
        <v>0</v>
      </c>
      <c r="G1011">
        <v>0</v>
      </c>
      <c r="H1011">
        <v>0</v>
      </c>
      <c r="I1011" t="s">
        <v>71</v>
      </c>
      <c r="J1011">
        <v>0</v>
      </c>
      <c r="K1011">
        <v>0.498</v>
      </c>
      <c r="L1011">
        <v>0</v>
      </c>
      <c r="M1011">
        <v>0</v>
      </c>
      <c r="N1011">
        <v>0.498</v>
      </c>
      <c r="O1011" t="s">
        <v>71</v>
      </c>
      <c r="P1011">
        <v>0</v>
      </c>
      <c r="Q1011" t="s">
        <v>71</v>
      </c>
      <c r="R1011">
        <v>0</v>
      </c>
      <c r="S1011" t="s">
        <v>71</v>
      </c>
      <c r="T1011">
        <v>0</v>
      </c>
      <c r="U1011" t="s">
        <v>71</v>
      </c>
      <c r="V1011">
        <v>0</v>
      </c>
      <c r="W1011" t="s">
        <v>71</v>
      </c>
      <c r="X1011">
        <v>0</v>
      </c>
      <c r="Y1011">
        <v>0.498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93</v>
      </c>
      <c r="AF1011">
        <v>82</v>
      </c>
      <c r="AG1011">
        <v>29</v>
      </c>
      <c r="AI1011">
        <v>3.3000000000000002E-2</v>
      </c>
      <c r="AK1011" t="s">
        <v>2791</v>
      </c>
      <c r="AM1011">
        <v>200000</v>
      </c>
      <c r="AN1011" t="s">
        <v>97</v>
      </c>
      <c r="AO1011">
        <v>1</v>
      </c>
      <c r="AP1011">
        <v>0</v>
      </c>
      <c r="AQ1011">
        <v>16666.666666666668</v>
      </c>
      <c r="AR1011" t="s">
        <v>3068</v>
      </c>
      <c r="AS1011" t="s">
        <v>75</v>
      </c>
      <c r="AX1011" t="s">
        <v>76</v>
      </c>
      <c r="AY1011" t="s">
        <v>71</v>
      </c>
      <c r="AZ1011">
        <v>0</v>
      </c>
      <c r="BA1011" t="s">
        <v>71</v>
      </c>
      <c r="BB1011">
        <v>0</v>
      </c>
      <c r="BD1011">
        <v>0.498</v>
      </c>
    </row>
    <row r="1012" spans="1:56" x14ac:dyDescent="0.15">
      <c r="A1012" s="4" t="str">
        <f>HYPERLINK("https://ibp.a2mac1.com/costing(costing:projects/details/9760/part/8413446)","PCB")</f>
        <v>PCB</v>
      </c>
      <c r="B1012">
        <v>8413446</v>
      </c>
      <c r="C1012">
        <v>8413249</v>
      </c>
      <c r="D1012" t="s">
        <v>3072</v>
      </c>
      <c r="E1012">
        <v>0.87749999999999995</v>
      </c>
      <c r="F1012">
        <v>0</v>
      </c>
      <c r="G1012">
        <v>0</v>
      </c>
      <c r="H1012">
        <v>0</v>
      </c>
      <c r="I1012" t="s">
        <v>71</v>
      </c>
      <c r="J1012">
        <v>0</v>
      </c>
      <c r="K1012">
        <v>0.87749999999999995</v>
      </c>
      <c r="L1012">
        <v>0</v>
      </c>
      <c r="M1012">
        <v>0</v>
      </c>
      <c r="N1012">
        <v>0.87749999999999995</v>
      </c>
      <c r="O1012" t="s">
        <v>71</v>
      </c>
      <c r="P1012">
        <v>0</v>
      </c>
      <c r="Q1012" t="s">
        <v>71</v>
      </c>
      <c r="R1012">
        <v>0</v>
      </c>
      <c r="S1012" t="s">
        <v>71</v>
      </c>
      <c r="T1012">
        <v>0</v>
      </c>
      <c r="U1012" t="s">
        <v>71</v>
      </c>
      <c r="V1012">
        <v>0</v>
      </c>
      <c r="W1012" t="s">
        <v>71</v>
      </c>
      <c r="X1012">
        <v>0</v>
      </c>
      <c r="Y1012">
        <v>0.87749999999999995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K1012" t="s">
        <v>1015</v>
      </c>
      <c r="AM1012">
        <v>200000</v>
      </c>
      <c r="AN1012" t="s">
        <v>97</v>
      </c>
      <c r="AO1012">
        <v>1</v>
      </c>
      <c r="AP1012">
        <v>0</v>
      </c>
      <c r="AQ1012">
        <v>16666.666666666668</v>
      </c>
      <c r="AR1012" t="s">
        <v>9</v>
      </c>
      <c r="AS1012" t="s">
        <v>75</v>
      </c>
      <c r="AV1012">
        <v>0</v>
      </c>
      <c r="AW1012">
        <v>0</v>
      </c>
      <c r="AX1012" t="s">
        <v>76</v>
      </c>
      <c r="AY1012" t="s">
        <v>71</v>
      </c>
      <c r="AZ1012">
        <v>0</v>
      </c>
      <c r="BA1012" t="s">
        <v>71</v>
      </c>
      <c r="BB1012">
        <v>0</v>
      </c>
      <c r="BD1012">
        <v>0.87749999999999995</v>
      </c>
    </row>
    <row r="1013" spans="1:56" x14ac:dyDescent="0.15">
      <c r="A1013" s="4" t="str">
        <f>HYPERLINK("https://ibp.a2mac1.com/costing(costing:projects/details/9760/part/8413447)","Main Wire Harness")</f>
        <v>Main Wire Harness</v>
      </c>
      <c r="B1013">
        <v>8413447</v>
      </c>
      <c r="C1013">
        <v>8413250</v>
      </c>
      <c r="D1013" t="s">
        <v>284</v>
      </c>
      <c r="E1013">
        <v>10.44</v>
      </c>
      <c r="F1013">
        <v>0</v>
      </c>
      <c r="G1013">
        <v>0</v>
      </c>
      <c r="H1013">
        <v>0</v>
      </c>
      <c r="I1013" t="s">
        <v>71</v>
      </c>
      <c r="J1013">
        <v>0</v>
      </c>
      <c r="K1013">
        <v>10.44</v>
      </c>
      <c r="L1013">
        <v>0</v>
      </c>
      <c r="M1013">
        <v>0</v>
      </c>
      <c r="N1013">
        <v>10.44</v>
      </c>
      <c r="O1013" t="s">
        <v>71</v>
      </c>
      <c r="P1013">
        <v>0</v>
      </c>
      <c r="Q1013" t="s">
        <v>71</v>
      </c>
      <c r="R1013">
        <v>0</v>
      </c>
      <c r="S1013" t="s">
        <v>71</v>
      </c>
      <c r="T1013">
        <v>0</v>
      </c>
      <c r="U1013" t="s">
        <v>71</v>
      </c>
      <c r="V1013">
        <v>0</v>
      </c>
      <c r="W1013" t="s">
        <v>71</v>
      </c>
      <c r="X1013">
        <v>0</v>
      </c>
      <c r="Y1013">
        <v>10.44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I1013">
        <v>0.40699999999999997</v>
      </c>
      <c r="AK1013" t="s">
        <v>2791</v>
      </c>
      <c r="AM1013">
        <v>200000</v>
      </c>
      <c r="AN1013" t="s">
        <v>97</v>
      </c>
      <c r="AO1013">
        <v>1</v>
      </c>
      <c r="AP1013">
        <v>0</v>
      </c>
      <c r="AQ1013">
        <v>16666.666666666668</v>
      </c>
      <c r="AR1013" t="s">
        <v>3075</v>
      </c>
      <c r="AS1013" t="s">
        <v>75</v>
      </c>
      <c r="AX1013" t="s">
        <v>76</v>
      </c>
      <c r="AY1013" t="s">
        <v>71</v>
      </c>
      <c r="AZ1013">
        <v>0</v>
      </c>
      <c r="BA1013" t="s">
        <v>71</v>
      </c>
      <c r="BB1013">
        <v>0</v>
      </c>
      <c r="BD1013">
        <v>10.44</v>
      </c>
    </row>
    <row r="1014" spans="1:56" x14ac:dyDescent="0.15">
      <c r="A1014" s="4" t="str">
        <f>HYPERLINK("https://ibp.a2mac1.com/costing(costing:projects/details/9760/part/8413448)","Wire Harness 2")</f>
        <v>Wire Harness 2</v>
      </c>
      <c r="B1014">
        <v>8413448</v>
      </c>
      <c r="C1014">
        <v>8413250</v>
      </c>
      <c r="D1014" t="s">
        <v>284</v>
      </c>
      <c r="E1014">
        <v>5.3920000000000003</v>
      </c>
      <c r="F1014">
        <v>0</v>
      </c>
      <c r="G1014">
        <v>0</v>
      </c>
      <c r="H1014">
        <v>0</v>
      </c>
      <c r="I1014" t="s">
        <v>71</v>
      </c>
      <c r="J1014">
        <v>0</v>
      </c>
      <c r="K1014">
        <v>5.3920000000000003</v>
      </c>
      <c r="L1014">
        <v>0</v>
      </c>
      <c r="M1014">
        <v>0</v>
      </c>
      <c r="N1014">
        <v>5.3920000000000003</v>
      </c>
      <c r="O1014" t="s">
        <v>71</v>
      </c>
      <c r="P1014">
        <v>0</v>
      </c>
      <c r="Q1014" t="s">
        <v>71</v>
      </c>
      <c r="R1014">
        <v>0</v>
      </c>
      <c r="S1014" t="s">
        <v>71</v>
      </c>
      <c r="T1014">
        <v>0</v>
      </c>
      <c r="U1014" t="s">
        <v>71</v>
      </c>
      <c r="V1014">
        <v>0</v>
      </c>
      <c r="W1014" t="s">
        <v>71</v>
      </c>
      <c r="X1014">
        <v>0</v>
      </c>
      <c r="Y1014">
        <v>5.3920000000000003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I1014">
        <v>0.184</v>
      </c>
      <c r="AK1014" t="s">
        <v>2791</v>
      </c>
      <c r="AM1014">
        <v>200000</v>
      </c>
      <c r="AN1014" t="s">
        <v>97</v>
      </c>
      <c r="AO1014">
        <v>1</v>
      </c>
      <c r="AP1014">
        <v>0</v>
      </c>
      <c r="AQ1014">
        <v>16666.666666666668</v>
      </c>
      <c r="AR1014" t="s">
        <v>3076</v>
      </c>
      <c r="AS1014" t="s">
        <v>75</v>
      </c>
      <c r="AX1014" t="s">
        <v>76</v>
      </c>
      <c r="AY1014" t="s">
        <v>71</v>
      </c>
      <c r="AZ1014">
        <v>0</v>
      </c>
      <c r="BA1014" t="s">
        <v>71</v>
      </c>
      <c r="BB1014">
        <v>0</v>
      </c>
      <c r="BD1014">
        <v>5.3920000000000003</v>
      </c>
    </row>
    <row r="1015" spans="1:56" x14ac:dyDescent="0.15">
      <c r="A1015" s="4" t="str">
        <f>HYPERLINK("https://ibp.a2mac1.com/costing(costing:projects/details/9760/part/8413449)","Wire Harness 3")</f>
        <v>Wire Harness 3</v>
      </c>
      <c r="B1015">
        <v>8413449</v>
      </c>
      <c r="C1015">
        <v>8413250</v>
      </c>
      <c r="D1015" t="s">
        <v>284</v>
      </c>
      <c r="E1015">
        <v>0.35</v>
      </c>
      <c r="F1015">
        <v>0</v>
      </c>
      <c r="G1015">
        <v>0</v>
      </c>
      <c r="H1015">
        <v>0</v>
      </c>
      <c r="I1015" t="s">
        <v>71</v>
      </c>
      <c r="J1015">
        <v>0</v>
      </c>
      <c r="K1015">
        <v>0.35</v>
      </c>
      <c r="L1015">
        <v>0</v>
      </c>
      <c r="M1015">
        <v>0</v>
      </c>
      <c r="N1015">
        <v>0.35</v>
      </c>
      <c r="O1015" t="s">
        <v>71</v>
      </c>
      <c r="P1015">
        <v>0</v>
      </c>
      <c r="Q1015" t="s">
        <v>71</v>
      </c>
      <c r="R1015">
        <v>0</v>
      </c>
      <c r="S1015" t="s">
        <v>71</v>
      </c>
      <c r="T1015">
        <v>0</v>
      </c>
      <c r="U1015" t="s">
        <v>71</v>
      </c>
      <c r="V1015">
        <v>0</v>
      </c>
      <c r="W1015" t="s">
        <v>71</v>
      </c>
      <c r="X1015">
        <v>0</v>
      </c>
      <c r="Y1015">
        <v>0.35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I1015">
        <v>7.0000000000000001E-3</v>
      </c>
      <c r="AK1015" t="s">
        <v>2791</v>
      </c>
      <c r="AM1015">
        <v>200000</v>
      </c>
      <c r="AN1015" t="s">
        <v>97</v>
      </c>
      <c r="AO1015">
        <v>1</v>
      </c>
      <c r="AP1015">
        <v>0</v>
      </c>
      <c r="AQ1015">
        <v>16666.666666666668</v>
      </c>
      <c r="AR1015" t="s">
        <v>3077</v>
      </c>
      <c r="AS1015" t="s">
        <v>75</v>
      </c>
      <c r="AX1015" t="s">
        <v>76</v>
      </c>
      <c r="AY1015" t="s">
        <v>71</v>
      </c>
      <c r="AZ1015">
        <v>0</v>
      </c>
      <c r="BA1015" t="s">
        <v>71</v>
      </c>
      <c r="BB1015">
        <v>0</v>
      </c>
      <c r="BD1015">
        <v>0.35</v>
      </c>
    </row>
    <row r="1016" spans="1:56" x14ac:dyDescent="0.15">
      <c r="A1016" s="4" t="str">
        <f>HYPERLINK("https://ibp.a2mac1.com/costing(costing:projects/details/9760/part/8413450)","Wire Harness 4")</f>
        <v>Wire Harness 4</v>
      </c>
      <c r="B1016">
        <v>8413450</v>
      </c>
      <c r="C1016">
        <v>8413250</v>
      </c>
      <c r="D1016" t="s">
        <v>284</v>
      </c>
      <c r="E1016">
        <v>0.224</v>
      </c>
      <c r="F1016">
        <v>0</v>
      </c>
      <c r="G1016">
        <v>0</v>
      </c>
      <c r="H1016">
        <v>0</v>
      </c>
      <c r="I1016" t="s">
        <v>71</v>
      </c>
      <c r="J1016">
        <v>0</v>
      </c>
      <c r="K1016">
        <v>0.224</v>
      </c>
      <c r="L1016">
        <v>0</v>
      </c>
      <c r="M1016">
        <v>0</v>
      </c>
      <c r="N1016">
        <v>0.224</v>
      </c>
      <c r="O1016" t="s">
        <v>71</v>
      </c>
      <c r="P1016">
        <v>0</v>
      </c>
      <c r="Q1016" t="s">
        <v>71</v>
      </c>
      <c r="R1016">
        <v>0</v>
      </c>
      <c r="S1016" t="s">
        <v>71</v>
      </c>
      <c r="T1016">
        <v>0</v>
      </c>
      <c r="U1016" t="s">
        <v>71</v>
      </c>
      <c r="V1016">
        <v>0</v>
      </c>
      <c r="W1016" t="s">
        <v>71</v>
      </c>
      <c r="X1016">
        <v>0</v>
      </c>
      <c r="Y1016">
        <v>0.224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I1016">
        <v>4.0000000000000001E-3</v>
      </c>
      <c r="AK1016" t="s">
        <v>2791</v>
      </c>
      <c r="AM1016">
        <v>200000</v>
      </c>
      <c r="AN1016" t="s">
        <v>97</v>
      </c>
      <c r="AO1016">
        <v>1</v>
      </c>
      <c r="AP1016">
        <v>0</v>
      </c>
      <c r="AQ1016">
        <v>16666.666666666668</v>
      </c>
      <c r="AR1016" t="s">
        <v>3078</v>
      </c>
      <c r="AS1016" t="s">
        <v>75</v>
      </c>
      <c r="AX1016" t="s">
        <v>76</v>
      </c>
      <c r="AY1016" t="s">
        <v>71</v>
      </c>
      <c r="AZ1016">
        <v>0</v>
      </c>
      <c r="BA1016" t="s">
        <v>71</v>
      </c>
      <c r="BB1016">
        <v>0</v>
      </c>
      <c r="BD1016">
        <v>0.224</v>
      </c>
    </row>
    <row r="1017" spans="1:56" x14ac:dyDescent="0.15">
      <c r="A1017" s="4" t="str">
        <f>HYPERLINK("https://ibp.a2mac1.com/costing(costing:projects/details/9760/part/8413451)","Wire Harness 5")</f>
        <v>Wire Harness 5</v>
      </c>
      <c r="B1017">
        <v>8413451</v>
      </c>
      <c r="C1017">
        <v>8413250</v>
      </c>
      <c r="D1017" t="s">
        <v>284</v>
      </c>
      <c r="E1017">
        <v>0.224</v>
      </c>
      <c r="F1017">
        <v>0</v>
      </c>
      <c r="G1017">
        <v>0</v>
      </c>
      <c r="H1017">
        <v>0</v>
      </c>
      <c r="I1017" t="s">
        <v>71</v>
      </c>
      <c r="J1017">
        <v>0</v>
      </c>
      <c r="K1017">
        <v>0.224</v>
      </c>
      <c r="L1017">
        <v>0</v>
      </c>
      <c r="M1017">
        <v>0</v>
      </c>
      <c r="N1017">
        <v>0.224</v>
      </c>
      <c r="O1017" t="s">
        <v>71</v>
      </c>
      <c r="P1017">
        <v>0</v>
      </c>
      <c r="Q1017" t="s">
        <v>71</v>
      </c>
      <c r="R1017">
        <v>0</v>
      </c>
      <c r="S1017" t="s">
        <v>71</v>
      </c>
      <c r="T1017">
        <v>0</v>
      </c>
      <c r="U1017" t="s">
        <v>71</v>
      </c>
      <c r="V1017">
        <v>0</v>
      </c>
      <c r="W1017" t="s">
        <v>71</v>
      </c>
      <c r="X1017">
        <v>0</v>
      </c>
      <c r="Y1017">
        <v>0.224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I1017">
        <v>4.0000000000000001E-3</v>
      </c>
      <c r="AK1017" t="s">
        <v>272</v>
      </c>
      <c r="AM1017">
        <v>200000</v>
      </c>
      <c r="AN1017" t="s">
        <v>73</v>
      </c>
      <c r="AO1017">
        <v>1</v>
      </c>
      <c r="AP1017">
        <v>0</v>
      </c>
      <c r="AQ1017">
        <v>16666.666666666668</v>
      </c>
      <c r="AR1017" t="s">
        <v>3079</v>
      </c>
      <c r="AS1017" t="s">
        <v>75</v>
      </c>
      <c r="AX1017" t="s">
        <v>76</v>
      </c>
      <c r="AY1017" t="s">
        <v>71</v>
      </c>
      <c r="AZ1017">
        <v>0</v>
      </c>
      <c r="BA1017" t="s">
        <v>71</v>
      </c>
      <c r="BB1017">
        <v>0</v>
      </c>
      <c r="BD1017">
        <v>0.224</v>
      </c>
    </row>
    <row r="1018" spans="1:56" x14ac:dyDescent="0.15">
      <c r="A1018" s="4" t="str">
        <f>HYPERLINK("https://ibp.a2mac1.com/costing(costing:projects/details/9760/part/8413452)","Wire Harness 6")</f>
        <v>Wire Harness 6</v>
      </c>
      <c r="B1018">
        <v>8413452</v>
      </c>
      <c r="C1018">
        <v>8413250</v>
      </c>
      <c r="D1018" t="s">
        <v>284</v>
      </c>
      <c r="E1018">
        <v>1.8240000000000001</v>
      </c>
      <c r="F1018">
        <v>0</v>
      </c>
      <c r="G1018">
        <v>0</v>
      </c>
      <c r="H1018">
        <v>0</v>
      </c>
      <c r="I1018" t="s">
        <v>71</v>
      </c>
      <c r="J1018">
        <v>0</v>
      </c>
      <c r="K1018">
        <v>1.8240000000000001</v>
      </c>
      <c r="L1018">
        <v>0</v>
      </c>
      <c r="M1018">
        <v>0</v>
      </c>
      <c r="N1018">
        <v>1.8240000000000001</v>
      </c>
      <c r="O1018" t="s">
        <v>71</v>
      </c>
      <c r="P1018">
        <v>0</v>
      </c>
      <c r="Q1018" t="s">
        <v>71</v>
      </c>
      <c r="R1018">
        <v>0</v>
      </c>
      <c r="S1018" t="s">
        <v>71</v>
      </c>
      <c r="T1018">
        <v>0</v>
      </c>
      <c r="U1018" t="s">
        <v>71</v>
      </c>
      <c r="V1018">
        <v>0</v>
      </c>
      <c r="W1018" t="s">
        <v>71</v>
      </c>
      <c r="X1018">
        <v>0</v>
      </c>
      <c r="Y1018">
        <v>1.8240000000000001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I1018">
        <v>0.05</v>
      </c>
      <c r="AK1018" t="s">
        <v>272</v>
      </c>
      <c r="AM1018">
        <v>200000</v>
      </c>
      <c r="AN1018" t="s">
        <v>73</v>
      </c>
      <c r="AO1018">
        <v>1</v>
      </c>
      <c r="AP1018">
        <v>0</v>
      </c>
      <c r="AQ1018">
        <v>16666.666666666668</v>
      </c>
      <c r="AR1018" t="s">
        <v>3080</v>
      </c>
      <c r="AS1018" t="s">
        <v>75</v>
      </c>
      <c r="AX1018" t="s">
        <v>76</v>
      </c>
      <c r="AY1018" t="s">
        <v>71</v>
      </c>
      <c r="AZ1018">
        <v>0</v>
      </c>
      <c r="BA1018" t="s">
        <v>71</v>
      </c>
      <c r="BB1018">
        <v>0</v>
      </c>
      <c r="BD1018">
        <v>1.8240000000000001</v>
      </c>
    </row>
    <row r="1019" spans="1:56" x14ac:dyDescent="0.15">
      <c r="A1019" s="4" t="str">
        <f>HYPERLINK("https://ibp.a2mac1.com/costing(costing:projects/details/9760/part/8413453)","Wire Harness 7")</f>
        <v>Wire Harness 7</v>
      </c>
      <c r="B1019">
        <v>8413453</v>
      </c>
      <c r="C1019">
        <v>8413250</v>
      </c>
      <c r="D1019" t="s">
        <v>284</v>
      </c>
      <c r="E1019">
        <v>0.35199999999999998</v>
      </c>
      <c r="F1019">
        <v>0</v>
      </c>
      <c r="G1019">
        <v>0</v>
      </c>
      <c r="H1019">
        <v>0</v>
      </c>
      <c r="I1019" t="s">
        <v>71</v>
      </c>
      <c r="J1019">
        <v>0</v>
      </c>
      <c r="K1019">
        <v>0.35199999999999998</v>
      </c>
      <c r="L1019">
        <v>0</v>
      </c>
      <c r="M1019">
        <v>0</v>
      </c>
      <c r="N1019">
        <v>0.35199999999999998</v>
      </c>
      <c r="O1019" t="s">
        <v>71</v>
      </c>
      <c r="P1019">
        <v>0</v>
      </c>
      <c r="Q1019" t="s">
        <v>71</v>
      </c>
      <c r="R1019">
        <v>0</v>
      </c>
      <c r="S1019" t="s">
        <v>71</v>
      </c>
      <c r="T1019">
        <v>0</v>
      </c>
      <c r="U1019" t="s">
        <v>71</v>
      </c>
      <c r="V1019">
        <v>0</v>
      </c>
      <c r="W1019" t="s">
        <v>71</v>
      </c>
      <c r="X1019">
        <v>0</v>
      </c>
      <c r="Y1019">
        <v>0.35199999999999998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I1019">
        <v>7.0000000000000001E-3</v>
      </c>
      <c r="AK1019" t="s">
        <v>272</v>
      </c>
      <c r="AM1019">
        <v>200000</v>
      </c>
      <c r="AN1019" t="s">
        <v>73</v>
      </c>
      <c r="AO1019">
        <v>1</v>
      </c>
      <c r="AP1019">
        <v>0</v>
      </c>
      <c r="AQ1019">
        <v>16666.666666666668</v>
      </c>
      <c r="AR1019" t="s">
        <v>3081</v>
      </c>
      <c r="AS1019" t="s">
        <v>75</v>
      </c>
      <c r="AX1019" t="s">
        <v>76</v>
      </c>
      <c r="AY1019" t="s">
        <v>71</v>
      </c>
      <c r="AZ1019">
        <v>0</v>
      </c>
      <c r="BA1019" t="s">
        <v>71</v>
      </c>
      <c r="BB1019">
        <v>0</v>
      </c>
      <c r="BD1019">
        <v>0.35199999999999998</v>
      </c>
    </row>
    <row r="1020" spans="1:56" x14ac:dyDescent="0.15">
      <c r="A1020" s="4" t="str">
        <f>HYPERLINK("https://ibp.a2mac1.com/costing(costing:projects/details/9760/part/8413454)","Wire Harness 8")</f>
        <v>Wire Harness 8</v>
      </c>
      <c r="B1020">
        <v>8413454</v>
      </c>
      <c r="C1020">
        <v>8413250</v>
      </c>
      <c r="D1020" t="s">
        <v>284</v>
      </c>
      <c r="E1020">
        <v>0.39200000000000002</v>
      </c>
      <c r="F1020">
        <v>0</v>
      </c>
      <c r="G1020">
        <v>0</v>
      </c>
      <c r="H1020">
        <v>0</v>
      </c>
      <c r="I1020" t="s">
        <v>71</v>
      </c>
      <c r="J1020">
        <v>0</v>
      </c>
      <c r="K1020">
        <v>0.39200000000000002</v>
      </c>
      <c r="L1020">
        <v>0</v>
      </c>
      <c r="M1020">
        <v>0</v>
      </c>
      <c r="N1020">
        <v>0.39200000000000002</v>
      </c>
      <c r="O1020" t="s">
        <v>71</v>
      </c>
      <c r="P1020">
        <v>0</v>
      </c>
      <c r="Q1020" t="s">
        <v>71</v>
      </c>
      <c r="R1020">
        <v>0</v>
      </c>
      <c r="S1020" t="s">
        <v>71</v>
      </c>
      <c r="T1020">
        <v>0</v>
      </c>
      <c r="U1020" t="s">
        <v>71</v>
      </c>
      <c r="V1020">
        <v>0</v>
      </c>
      <c r="W1020" t="s">
        <v>71</v>
      </c>
      <c r="X1020">
        <v>0</v>
      </c>
      <c r="Y1020">
        <v>0.39200000000000002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I1020">
        <v>8.0000000000000002E-3</v>
      </c>
      <c r="AK1020" t="s">
        <v>272</v>
      </c>
      <c r="AM1020">
        <v>200000</v>
      </c>
      <c r="AN1020" t="s">
        <v>73</v>
      </c>
      <c r="AO1020">
        <v>1</v>
      </c>
      <c r="AP1020">
        <v>0</v>
      </c>
      <c r="AQ1020">
        <v>16666.666666666668</v>
      </c>
      <c r="AR1020" t="s">
        <v>3082</v>
      </c>
      <c r="AS1020" t="s">
        <v>75</v>
      </c>
      <c r="AX1020" t="s">
        <v>76</v>
      </c>
      <c r="AY1020" t="s">
        <v>71</v>
      </c>
      <c r="AZ1020">
        <v>0</v>
      </c>
      <c r="BA1020" t="s">
        <v>71</v>
      </c>
      <c r="BB1020">
        <v>0</v>
      </c>
      <c r="BD1020">
        <v>0.39200000000000002</v>
      </c>
    </row>
    <row r="1021" spans="1:56" x14ac:dyDescent="0.15">
      <c r="A1021" s="4" t="str">
        <f>HYPERLINK("https://ibp.a2mac1.com/costing(costing:projects/details/9760/part/8413455)","Wire Harness 9")</f>
        <v>Wire Harness 9</v>
      </c>
      <c r="B1021">
        <v>8413455</v>
      </c>
      <c r="C1021">
        <v>8413250</v>
      </c>
      <c r="D1021" t="s">
        <v>284</v>
      </c>
      <c r="E1021">
        <v>0.39200000000000002</v>
      </c>
      <c r="F1021">
        <v>0</v>
      </c>
      <c r="G1021">
        <v>0</v>
      </c>
      <c r="H1021">
        <v>0</v>
      </c>
      <c r="I1021" t="s">
        <v>71</v>
      </c>
      <c r="J1021">
        <v>0</v>
      </c>
      <c r="K1021">
        <v>0.39200000000000002</v>
      </c>
      <c r="L1021">
        <v>0</v>
      </c>
      <c r="M1021">
        <v>0</v>
      </c>
      <c r="N1021">
        <v>0.39200000000000002</v>
      </c>
      <c r="O1021" t="s">
        <v>71</v>
      </c>
      <c r="P1021">
        <v>0</v>
      </c>
      <c r="Q1021" t="s">
        <v>71</v>
      </c>
      <c r="R1021">
        <v>0</v>
      </c>
      <c r="S1021" t="s">
        <v>71</v>
      </c>
      <c r="T1021">
        <v>0</v>
      </c>
      <c r="U1021" t="s">
        <v>71</v>
      </c>
      <c r="V1021">
        <v>0</v>
      </c>
      <c r="W1021" t="s">
        <v>71</v>
      </c>
      <c r="X1021">
        <v>0</v>
      </c>
      <c r="Y1021">
        <v>0.39200000000000002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I1021">
        <v>8.0000000000000002E-3</v>
      </c>
      <c r="AK1021" t="s">
        <v>272</v>
      </c>
      <c r="AM1021">
        <v>200000</v>
      </c>
      <c r="AN1021" t="s">
        <v>73</v>
      </c>
      <c r="AO1021">
        <v>1</v>
      </c>
      <c r="AP1021">
        <v>0</v>
      </c>
      <c r="AQ1021">
        <v>16666.666666666668</v>
      </c>
      <c r="AR1021" t="s">
        <v>3083</v>
      </c>
      <c r="AS1021" t="s">
        <v>75</v>
      </c>
      <c r="AX1021" t="s">
        <v>76</v>
      </c>
      <c r="AY1021" t="s">
        <v>71</v>
      </c>
      <c r="AZ1021">
        <v>0</v>
      </c>
      <c r="BA1021" t="s">
        <v>71</v>
      </c>
      <c r="BB1021">
        <v>0</v>
      </c>
      <c r="BD1021">
        <v>0.39200000000000002</v>
      </c>
    </row>
    <row r="1022" spans="1:56" x14ac:dyDescent="0.15">
      <c r="A1022" s="4" t="str">
        <f>HYPERLINK("https://ibp.a2mac1.com/costing(costing:projects/details/9760/part/8413456)","Ground cable 1")</f>
        <v>Ground cable 1</v>
      </c>
      <c r="B1022">
        <v>8413456</v>
      </c>
      <c r="C1022">
        <v>8413250</v>
      </c>
      <c r="D1022" t="s">
        <v>284</v>
      </c>
      <c r="E1022">
        <v>0.77480000000000004</v>
      </c>
      <c r="F1022">
        <v>0</v>
      </c>
      <c r="G1022">
        <v>0</v>
      </c>
      <c r="H1022">
        <v>0</v>
      </c>
      <c r="I1022" t="s">
        <v>71</v>
      </c>
      <c r="J1022">
        <v>0</v>
      </c>
      <c r="K1022">
        <v>0.77480000000000004</v>
      </c>
      <c r="L1022">
        <v>0</v>
      </c>
      <c r="M1022">
        <v>0</v>
      </c>
      <c r="N1022">
        <v>0.77480000000000004</v>
      </c>
      <c r="O1022" t="s">
        <v>71</v>
      </c>
      <c r="P1022">
        <v>0</v>
      </c>
      <c r="Q1022" t="s">
        <v>71</v>
      </c>
      <c r="R1022">
        <v>0</v>
      </c>
      <c r="S1022" t="s">
        <v>71</v>
      </c>
      <c r="T1022">
        <v>0</v>
      </c>
      <c r="U1022" t="s">
        <v>71</v>
      </c>
      <c r="V1022">
        <v>0</v>
      </c>
      <c r="W1022" t="s">
        <v>71</v>
      </c>
      <c r="X1022">
        <v>0</v>
      </c>
      <c r="Y1022">
        <v>0.77480000000000004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K1022" t="s">
        <v>272</v>
      </c>
      <c r="AM1022">
        <v>200000</v>
      </c>
      <c r="AN1022" t="s">
        <v>97</v>
      </c>
      <c r="AO1022">
        <v>1</v>
      </c>
      <c r="AP1022">
        <v>0</v>
      </c>
      <c r="AQ1022">
        <v>16666.666666666668</v>
      </c>
      <c r="AR1022" t="s">
        <v>9</v>
      </c>
      <c r="AS1022" t="s">
        <v>75</v>
      </c>
      <c r="AV1022">
        <v>0</v>
      </c>
      <c r="AW1022">
        <v>0</v>
      </c>
      <c r="AX1022" t="s">
        <v>76</v>
      </c>
      <c r="AY1022" t="s">
        <v>71</v>
      </c>
      <c r="AZ1022">
        <v>0</v>
      </c>
      <c r="BA1022" t="s">
        <v>71</v>
      </c>
      <c r="BB1022">
        <v>0</v>
      </c>
      <c r="BD1022">
        <v>0.77480000000000004</v>
      </c>
    </row>
    <row r="1023" spans="1:56" x14ac:dyDescent="0.15">
      <c r="A1023" s="4" t="str">
        <f>HYPERLINK("https://ibp.a2mac1.com/costing(costing:projects/details/9760/part/8413457)","HV cable 1")</f>
        <v>HV cable 1</v>
      </c>
      <c r="B1023">
        <v>8413457</v>
      </c>
      <c r="C1023">
        <v>8413250</v>
      </c>
      <c r="D1023" t="s">
        <v>284</v>
      </c>
      <c r="E1023">
        <v>5.4417999999999997</v>
      </c>
      <c r="F1023">
        <v>0</v>
      </c>
      <c r="G1023">
        <v>0</v>
      </c>
      <c r="H1023">
        <v>0</v>
      </c>
      <c r="I1023" t="s">
        <v>71</v>
      </c>
      <c r="J1023">
        <v>0</v>
      </c>
      <c r="K1023">
        <v>5.4417999999999997</v>
      </c>
      <c r="L1023">
        <v>0</v>
      </c>
      <c r="M1023">
        <v>0</v>
      </c>
      <c r="N1023">
        <v>5.4417999999999997</v>
      </c>
      <c r="O1023" t="s">
        <v>71</v>
      </c>
      <c r="P1023">
        <v>0</v>
      </c>
      <c r="Q1023" t="s">
        <v>71</v>
      </c>
      <c r="R1023">
        <v>0</v>
      </c>
      <c r="S1023" t="s">
        <v>71</v>
      </c>
      <c r="T1023">
        <v>0</v>
      </c>
      <c r="U1023" t="s">
        <v>71</v>
      </c>
      <c r="V1023">
        <v>0</v>
      </c>
      <c r="W1023" t="s">
        <v>71</v>
      </c>
      <c r="X1023">
        <v>0</v>
      </c>
      <c r="Y1023">
        <v>5.4417999999999997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K1023" t="s">
        <v>272</v>
      </c>
      <c r="AM1023">
        <v>200000</v>
      </c>
      <c r="AN1023" t="s">
        <v>97</v>
      </c>
      <c r="AO1023">
        <v>1</v>
      </c>
      <c r="AP1023">
        <v>0</v>
      </c>
      <c r="AQ1023">
        <v>16666.666666666668</v>
      </c>
      <c r="AR1023" t="s">
        <v>9</v>
      </c>
      <c r="AS1023" t="s">
        <v>75</v>
      </c>
      <c r="AV1023">
        <v>0</v>
      </c>
      <c r="AW1023">
        <v>0</v>
      </c>
      <c r="AX1023" t="s">
        <v>76</v>
      </c>
      <c r="AY1023" t="s">
        <v>71</v>
      </c>
      <c r="AZ1023">
        <v>0</v>
      </c>
      <c r="BA1023" t="s">
        <v>71</v>
      </c>
      <c r="BB1023">
        <v>0</v>
      </c>
      <c r="BD1023">
        <v>5.4417999999999997</v>
      </c>
    </row>
    <row r="1024" spans="1:56" x14ac:dyDescent="0.15">
      <c r="A1024" s="4" t="str">
        <f>HYPERLINK("https://ibp.a2mac1.com/costing(costing:projects/details/9760/part/8413547)","Bus bar 1")</f>
        <v>Bus bar 1</v>
      </c>
      <c r="B1024">
        <v>8413547</v>
      </c>
      <c r="C1024">
        <v>8413458</v>
      </c>
      <c r="D1024" t="s">
        <v>3055</v>
      </c>
      <c r="E1024">
        <v>0.34499999999999997</v>
      </c>
      <c r="F1024">
        <v>0</v>
      </c>
      <c r="G1024">
        <v>0</v>
      </c>
      <c r="H1024">
        <v>0</v>
      </c>
      <c r="I1024" t="s">
        <v>71</v>
      </c>
      <c r="J1024">
        <v>0</v>
      </c>
      <c r="K1024">
        <v>0.34499999999999997</v>
      </c>
      <c r="L1024">
        <v>0</v>
      </c>
      <c r="M1024">
        <v>0</v>
      </c>
      <c r="N1024">
        <v>0.34499999999999997</v>
      </c>
      <c r="O1024" t="s">
        <v>71</v>
      </c>
      <c r="P1024">
        <v>0</v>
      </c>
      <c r="Q1024" t="s">
        <v>71</v>
      </c>
      <c r="R1024">
        <v>0</v>
      </c>
      <c r="S1024" t="s">
        <v>71</v>
      </c>
      <c r="T1024">
        <v>0</v>
      </c>
      <c r="U1024" t="s">
        <v>71</v>
      </c>
      <c r="V1024">
        <v>0</v>
      </c>
      <c r="W1024" t="s">
        <v>71</v>
      </c>
      <c r="X1024">
        <v>0</v>
      </c>
      <c r="Y1024">
        <v>0.34499999999999997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108</v>
      </c>
      <c r="AF1024">
        <v>20</v>
      </c>
      <c r="AG1024">
        <v>16</v>
      </c>
      <c r="AI1024">
        <v>1.6E-2</v>
      </c>
      <c r="AK1024" t="s">
        <v>2791</v>
      </c>
      <c r="AM1024">
        <v>200000</v>
      </c>
      <c r="AN1024" t="s">
        <v>97</v>
      </c>
      <c r="AO1024">
        <v>1</v>
      </c>
      <c r="AP1024">
        <v>0</v>
      </c>
      <c r="AQ1024">
        <v>16666.666666666668</v>
      </c>
      <c r="AR1024" t="s">
        <v>3087</v>
      </c>
      <c r="AS1024" t="s">
        <v>75</v>
      </c>
      <c r="AX1024" t="s">
        <v>76</v>
      </c>
      <c r="AY1024" t="s">
        <v>71</v>
      </c>
      <c r="AZ1024">
        <v>0</v>
      </c>
      <c r="BA1024" t="s">
        <v>71</v>
      </c>
      <c r="BB1024">
        <v>0</v>
      </c>
      <c r="BD1024">
        <v>0.34499999999999997</v>
      </c>
    </row>
    <row r="1025" spans="1:56" x14ac:dyDescent="0.15">
      <c r="A1025" s="4" t="str">
        <f>HYPERLINK("https://ibp.a2mac1.com/costing(costing:projects/details/9760/part/8413548)","Bus Bar 2")</f>
        <v>Bus Bar 2</v>
      </c>
      <c r="B1025">
        <v>8413548</v>
      </c>
      <c r="C1025">
        <v>8413458</v>
      </c>
      <c r="D1025" t="s">
        <v>3055</v>
      </c>
      <c r="E1025">
        <v>1.169</v>
      </c>
      <c r="F1025">
        <v>0</v>
      </c>
      <c r="G1025">
        <v>0</v>
      </c>
      <c r="H1025">
        <v>0</v>
      </c>
      <c r="I1025" t="s">
        <v>71</v>
      </c>
      <c r="J1025">
        <v>0</v>
      </c>
      <c r="K1025">
        <v>1.169</v>
      </c>
      <c r="L1025">
        <v>0</v>
      </c>
      <c r="M1025">
        <v>0</v>
      </c>
      <c r="N1025">
        <v>1.169</v>
      </c>
      <c r="O1025" t="s">
        <v>71</v>
      </c>
      <c r="P1025">
        <v>0</v>
      </c>
      <c r="Q1025" t="s">
        <v>71</v>
      </c>
      <c r="R1025">
        <v>0</v>
      </c>
      <c r="S1025" t="s">
        <v>71</v>
      </c>
      <c r="T1025">
        <v>0</v>
      </c>
      <c r="U1025" t="s">
        <v>71</v>
      </c>
      <c r="V1025">
        <v>0</v>
      </c>
      <c r="W1025" t="s">
        <v>71</v>
      </c>
      <c r="X1025">
        <v>0</v>
      </c>
      <c r="Y1025">
        <v>1.169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96</v>
      </c>
      <c r="AF1025">
        <v>83</v>
      </c>
      <c r="AG1025">
        <v>36</v>
      </c>
      <c r="AI1025">
        <v>7.1999999999999995E-2</v>
      </c>
      <c r="AK1025" t="s">
        <v>2791</v>
      </c>
      <c r="AM1025">
        <v>200000</v>
      </c>
      <c r="AN1025" t="s">
        <v>97</v>
      </c>
      <c r="AO1025">
        <v>1</v>
      </c>
      <c r="AP1025">
        <v>0</v>
      </c>
      <c r="AQ1025">
        <v>16666.666666666668</v>
      </c>
      <c r="AR1025" t="s">
        <v>3088</v>
      </c>
      <c r="AS1025" t="s">
        <v>75</v>
      </c>
      <c r="AX1025" t="s">
        <v>76</v>
      </c>
      <c r="AY1025" t="s">
        <v>71</v>
      </c>
      <c r="AZ1025">
        <v>0</v>
      </c>
      <c r="BA1025" t="s">
        <v>71</v>
      </c>
      <c r="BB1025">
        <v>0</v>
      </c>
      <c r="BD1025">
        <v>1.169</v>
      </c>
    </row>
    <row r="1026" spans="1:56" x14ac:dyDescent="0.15">
      <c r="A1026" s="4" t="str">
        <f>HYPERLINK("https://ibp.a2mac1.com/costing(costing:projects/details/9760/part/8413549)","Bus Bar 3")</f>
        <v>Bus Bar 3</v>
      </c>
      <c r="B1026">
        <v>8413549</v>
      </c>
      <c r="C1026">
        <v>8413458</v>
      </c>
      <c r="D1026" t="s">
        <v>3055</v>
      </c>
      <c r="E1026">
        <v>1.232</v>
      </c>
      <c r="F1026">
        <v>0</v>
      </c>
      <c r="G1026">
        <v>0</v>
      </c>
      <c r="H1026">
        <v>0</v>
      </c>
      <c r="I1026" t="s">
        <v>71</v>
      </c>
      <c r="J1026">
        <v>0</v>
      </c>
      <c r="K1026">
        <v>1.232</v>
      </c>
      <c r="L1026">
        <v>0</v>
      </c>
      <c r="M1026">
        <v>0</v>
      </c>
      <c r="N1026">
        <v>1.232</v>
      </c>
      <c r="O1026" t="s">
        <v>71</v>
      </c>
      <c r="P1026">
        <v>0</v>
      </c>
      <c r="Q1026" t="s">
        <v>71</v>
      </c>
      <c r="R1026">
        <v>0</v>
      </c>
      <c r="S1026" t="s">
        <v>71</v>
      </c>
      <c r="T1026">
        <v>0</v>
      </c>
      <c r="U1026" t="s">
        <v>71</v>
      </c>
      <c r="V1026">
        <v>0</v>
      </c>
      <c r="W1026" t="s">
        <v>71</v>
      </c>
      <c r="X1026">
        <v>0</v>
      </c>
      <c r="Y1026">
        <v>1.232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99</v>
      </c>
      <c r="AF1026">
        <v>36</v>
      </c>
      <c r="AG1026">
        <v>28</v>
      </c>
      <c r="AI1026">
        <v>8.4000000000000005E-2</v>
      </c>
      <c r="AK1026" t="s">
        <v>2791</v>
      </c>
      <c r="AM1026">
        <v>200000</v>
      </c>
      <c r="AN1026" t="s">
        <v>97</v>
      </c>
      <c r="AO1026">
        <v>1</v>
      </c>
      <c r="AP1026">
        <v>0</v>
      </c>
      <c r="AQ1026">
        <v>16666.666666666668</v>
      </c>
      <c r="AR1026" t="s">
        <v>3089</v>
      </c>
      <c r="AS1026" t="s">
        <v>75</v>
      </c>
      <c r="AX1026" t="s">
        <v>76</v>
      </c>
      <c r="AY1026" t="s">
        <v>71</v>
      </c>
      <c r="AZ1026">
        <v>0</v>
      </c>
      <c r="BA1026" t="s">
        <v>71</v>
      </c>
      <c r="BB1026">
        <v>0</v>
      </c>
      <c r="BD1026">
        <v>1.232</v>
      </c>
    </row>
    <row r="1027" spans="1:56" x14ac:dyDescent="0.15">
      <c r="A1027" s="4" t="str">
        <f>HYPERLINK("https://ibp.a2mac1.com/costing(costing:projects/details/9760/part/8413550)","Bus Bar 4")</f>
        <v>Bus Bar 4</v>
      </c>
      <c r="B1027">
        <v>8413550</v>
      </c>
      <c r="C1027">
        <v>8413458</v>
      </c>
      <c r="D1027" t="s">
        <v>3055</v>
      </c>
      <c r="E1027">
        <v>0.78</v>
      </c>
      <c r="F1027">
        <v>0</v>
      </c>
      <c r="G1027">
        <v>0</v>
      </c>
      <c r="H1027">
        <v>0</v>
      </c>
      <c r="I1027" t="s">
        <v>71</v>
      </c>
      <c r="J1027">
        <v>0</v>
      </c>
      <c r="K1027">
        <v>0.78</v>
      </c>
      <c r="L1027">
        <v>0</v>
      </c>
      <c r="M1027">
        <v>0</v>
      </c>
      <c r="N1027">
        <v>0.78</v>
      </c>
      <c r="O1027" t="s">
        <v>71</v>
      </c>
      <c r="P1027">
        <v>0</v>
      </c>
      <c r="Q1027" t="s">
        <v>71</v>
      </c>
      <c r="R1027">
        <v>0</v>
      </c>
      <c r="S1027" t="s">
        <v>71</v>
      </c>
      <c r="T1027">
        <v>0</v>
      </c>
      <c r="U1027" t="s">
        <v>71</v>
      </c>
      <c r="V1027">
        <v>0</v>
      </c>
      <c r="W1027" t="s">
        <v>71</v>
      </c>
      <c r="X1027">
        <v>0</v>
      </c>
      <c r="Y1027">
        <v>0.78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70</v>
      </c>
      <c r="AF1027">
        <v>28</v>
      </c>
      <c r="AG1027">
        <v>11</v>
      </c>
      <c r="AI1027">
        <v>4.8000000000000001E-2</v>
      </c>
      <c r="AK1027" t="s">
        <v>2791</v>
      </c>
      <c r="AM1027">
        <v>200000</v>
      </c>
      <c r="AN1027" t="s">
        <v>97</v>
      </c>
      <c r="AO1027">
        <v>1</v>
      </c>
      <c r="AP1027">
        <v>0</v>
      </c>
      <c r="AQ1027">
        <v>16666.666666666668</v>
      </c>
      <c r="AR1027" t="s">
        <v>3090</v>
      </c>
      <c r="AS1027" t="s">
        <v>75</v>
      </c>
      <c r="AX1027" t="s">
        <v>76</v>
      </c>
      <c r="AY1027" t="s">
        <v>71</v>
      </c>
      <c r="AZ1027">
        <v>0</v>
      </c>
      <c r="BA1027" t="s">
        <v>71</v>
      </c>
      <c r="BB1027">
        <v>0</v>
      </c>
      <c r="BD1027">
        <v>0.78</v>
      </c>
    </row>
    <row r="1028" spans="1:56" x14ac:dyDescent="0.15">
      <c r="A1028" s="4" t="str">
        <f>HYPERLINK("https://ibp.a2mac1.com/costing(costing:projects/details/9760/part/8413551)","Bus Bar 5")</f>
        <v>Bus Bar 5</v>
      </c>
      <c r="B1028">
        <v>8413551</v>
      </c>
      <c r="C1028">
        <v>8413458</v>
      </c>
      <c r="D1028" t="s">
        <v>3055</v>
      </c>
      <c r="E1028">
        <v>0.74299999999999999</v>
      </c>
      <c r="F1028">
        <v>0</v>
      </c>
      <c r="G1028">
        <v>0</v>
      </c>
      <c r="H1028">
        <v>0</v>
      </c>
      <c r="I1028" t="s">
        <v>71</v>
      </c>
      <c r="J1028">
        <v>0</v>
      </c>
      <c r="K1028">
        <v>0.74299999999999999</v>
      </c>
      <c r="L1028">
        <v>0</v>
      </c>
      <c r="M1028">
        <v>0</v>
      </c>
      <c r="N1028">
        <v>0.74299999999999999</v>
      </c>
      <c r="O1028" t="s">
        <v>71</v>
      </c>
      <c r="P1028">
        <v>0</v>
      </c>
      <c r="Q1028" t="s">
        <v>71</v>
      </c>
      <c r="R1028">
        <v>0</v>
      </c>
      <c r="S1028" t="s">
        <v>71</v>
      </c>
      <c r="T1028">
        <v>0</v>
      </c>
      <c r="U1028" t="s">
        <v>71</v>
      </c>
      <c r="V1028">
        <v>0</v>
      </c>
      <c r="W1028" t="s">
        <v>71</v>
      </c>
      <c r="X1028">
        <v>0</v>
      </c>
      <c r="Y1028">
        <v>0.74299999999999999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70</v>
      </c>
      <c r="AF1028">
        <v>61</v>
      </c>
      <c r="AG1028">
        <v>11</v>
      </c>
      <c r="AI1028">
        <v>4.4999999999999998E-2</v>
      </c>
      <c r="AK1028" t="s">
        <v>2791</v>
      </c>
      <c r="AM1028">
        <v>200000</v>
      </c>
      <c r="AN1028" t="s">
        <v>97</v>
      </c>
      <c r="AO1028">
        <v>1</v>
      </c>
      <c r="AP1028">
        <v>0</v>
      </c>
      <c r="AQ1028">
        <v>16666.666666666668</v>
      </c>
      <c r="AR1028" t="s">
        <v>3091</v>
      </c>
      <c r="AS1028" t="s">
        <v>75</v>
      </c>
      <c r="AX1028" t="s">
        <v>76</v>
      </c>
      <c r="AY1028" t="s">
        <v>71</v>
      </c>
      <c r="AZ1028">
        <v>0</v>
      </c>
      <c r="BA1028" t="s">
        <v>71</v>
      </c>
      <c r="BB1028">
        <v>0</v>
      </c>
      <c r="BD1028">
        <v>0.74299999999999999</v>
      </c>
    </row>
    <row r="1029" spans="1:56" x14ac:dyDescent="0.15">
      <c r="A1029" s="4" t="str">
        <f>HYPERLINK("https://ibp.a2mac1.com/costing(costing:projects/details/9760/part/8413552)","Bus Bar 6")</f>
        <v>Bus Bar 6</v>
      </c>
      <c r="B1029">
        <v>8413552</v>
      </c>
      <c r="C1029">
        <v>8413458</v>
      </c>
      <c r="D1029" t="s">
        <v>3055</v>
      </c>
      <c r="E1029">
        <v>1.5449999999999999</v>
      </c>
      <c r="F1029">
        <v>0</v>
      </c>
      <c r="G1029">
        <v>0</v>
      </c>
      <c r="H1029">
        <v>0</v>
      </c>
      <c r="I1029" t="s">
        <v>71</v>
      </c>
      <c r="J1029">
        <v>0</v>
      </c>
      <c r="K1029">
        <v>1.5449999999999999</v>
      </c>
      <c r="L1029">
        <v>0</v>
      </c>
      <c r="M1029">
        <v>0</v>
      </c>
      <c r="N1029">
        <v>1.5449999999999999</v>
      </c>
      <c r="O1029" t="s">
        <v>71</v>
      </c>
      <c r="P1029">
        <v>0</v>
      </c>
      <c r="Q1029" t="s">
        <v>71</v>
      </c>
      <c r="R1029">
        <v>0</v>
      </c>
      <c r="S1029" t="s">
        <v>71</v>
      </c>
      <c r="T1029">
        <v>0</v>
      </c>
      <c r="U1029" t="s">
        <v>71</v>
      </c>
      <c r="V1029">
        <v>0</v>
      </c>
      <c r="W1029" t="s">
        <v>71</v>
      </c>
      <c r="X1029">
        <v>0</v>
      </c>
      <c r="Y1029">
        <v>1.5449999999999999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95</v>
      </c>
      <c r="AF1029">
        <v>30</v>
      </c>
      <c r="AG1029">
        <v>23</v>
      </c>
      <c r="AI1029">
        <v>0.109</v>
      </c>
      <c r="AK1029" t="s">
        <v>2791</v>
      </c>
      <c r="AM1029">
        <v>200000</v>
      </c>
      <c r="AN1029" t="s">
        <v>97</v>
      </c>
      <c r="AO1029">
        <v>1</v>
      </c>
      <c r="AP1029">
        <v>0</v>
      </c>
      <c r="AQ1029">
        <v>16666.666666666668</v>
      </c>
      <c r="AR1029" t="s">
        <v>3092</v>
      </c>
      <c r="AS1029" t="s">
        <v>75</v>
      </c>
      <c r="AX1029" t="s">
        <v>76</v>
      </c>
      <c r="AY1029" t="s">
        <v>71</v>
      </c>
      <c r="AZ1029">
        <v>0</v>
      </c>
      <c r="BA1029" t="s">
        <v>71</v>
      </c>
      <c r="BB1029">
        <v>0</v>
      </c>
      <c r="BD1029">
        <v>1.5449999999999999</v>
      </c>
    </row>
    <row r="1030" spans="1:56" x14ac:dyDescent="0.15">
      <c r="A1030" s="4" t="str">
        <f>HYPERLINK("https://ibp.a2mac1.com/costing(costing:projects/details/9760/part/8413553)","Bus Bar 7")</f>
        <v>Bus Bar 7</v>
      </c>
      <c r="B1030">
        <v>8413553</v>
      </c>
      <c r="C1030">
        <v>8413458</v>
      </c>
      <c r="D1030" t="s">
        <v>3055</v>
      </c>
      <c r="E1030">
        <v>2.6230000000000002</v>
      </c>
      <c r="F1030">
        <v>0</v>
      </c>
      <c r="G1030">
        <v>0</v>
      </c>
      <c r="H1030">
        <v>0</v>
      </c>
      <c r="I1030" t="s">
        <v>71</v>
      </c>
      <c r="J1030">
        <v>0</v>
      </c>
      <c r="K1030">
        <v>2.6230000000000002</v>
      </c>
      <c r="L1030">
        <v>0</v>
      </c>
      <c r="M1030">
        <v>0</v>
      </c>
      <c r="N1030">
        <v>2.6230000000000002</v>
      </c>
      <c r="O1030" t="s">
        <v>71</v>
      </c>
      <c r="P1030">
        <v>0</v>
      </c>
      <c r="Q1030" t="s">
        <v>71</v>
      </c>
      <c r="R1030">
        <v>0</v>
      </c>
      <c r="S1030" t="s">
        <v>71</v>
      </c>
      <c r="T1030">
        <v>0</v>
      </c>
      <c r="U1030" t="s">
        <v>71</v>
      </c>
      <c r="V1030">
        <v>0</v>
      </c>
      <c r="W1030" t="s">
        <v>71</v>
      </c>
      <c r="X1030">
        <v>0</v>
      </c>
      <c r="Y1030">
        <v>2.6230000000000002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129</v>
      </c>
      <c r="AF1030">
        <v>76</v>
      </c>
      <c r="AG1030">
        <v>3.08</v>
      </c>
      <c r="AI1030">
        <v>0.19500000000000001</v>
      </c>
      <c r="AK1030" t="s">
        <v>2791</v>
      </c>
      <c r="AM1030">
        <v>200000</v>
      </c>
      <c r="AN1030" t="s">
        <v>97</v>
      </c>
      <c r="AO1030">
        <v>1</v>
      </c>
      <c r="AP1030">
        <v>0</v>
      </c>
      <c r="AQ1030">
        <v>16666.666666666668</v>
      </c>
      <c r="AR1030" t="s">
        <v>3093</v>
      </c>
      <c r="AS1030" t="s">
        <v>75</v>
      </c>
      <c r="AX1030" t="s">
        <v>76</v>
      </c>
      <c r="AY1030" t="s">
        <v>71</v>
      </c>
      <c r="AZ1030">
        <v>0</v>
      </c>
      <c r="BA1030" t="s">
        <v>71</v>
      </c>
      <c r="BB1030">
        <v>0</v>
      </c>
      <c r="BD1030">
        <v>2.6230000000000002</v>
      </c>
    </row>
    <row r="1031" spans="1:56" x14ac:dyDescent="0.15">
      <c r="A1031" s="4" t="str">
        <f>HYPERLINK("https://ibp.a2mac1.com/costing(costing:projects/details/9760/part/8413554)","Bus Bar 8")</f>
        <v>Bus Bar 8</v>
      </c>
      <c r="B1031">
        <v>8413554</v>
      </c>
      <c r="C1031">
        <v>8413458</v>
      </c>
      <c r="D1031" t="s">
        <v>3055</v>
      </c>
      <c r="E1031">
        <v>3.0369999999999999</v>
      </c>
      <c r="F1031">
        <v>0</v>
      </c>
      <c r="G1031">
        <v>0</v>
      </c>
      <c r="H1031">
        <v>0</v>
      </c>
      <c r="I1031" t="s">
        <v>71</v>
      </c>
      <c r="J1031">
        <v>0</v>
      </c>
      <c r="K1031">
        <v>3.0369999999999999</v>
      </c>
      <c r="L1031">
        <v>0</v>
      </c>
      <c r="M1031">
        <v>0</v>
      </c>
      <c r="N1031">
        <v>3.0369999999999999</v>
      </c>
      <c r="O1031" t="s">
        <v>71</v>
      </c>
      <c r="P1031">
        <v>0</v>
      </c>
      <c r="Q1031" t="s">
        <v>71</v>
      </c>
      <c r="R1031">
        <v>0</v>
      </c>
      <c r="S1031" t="s">
        <v>71</v>
      </c>
      <c r="T1031">
        <v>0</v>
      </c>
      <c r="U1031" t="s">
        <v>71</v>
      </c>
      <c r="V1031">
        <v>0</v>
      </c>
      <c r="W1031" t="s">
        <v>71</v>
      </c>
      <c r="X1031">
        <v>0</v>
      </c>
      <c r="Y1031">
        <v>3.0369999999999999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161</v>
      </c>
      <c r="AF1031">
        <v>102</v>
      </c>
      <c r="AG1031">
        <v>40</v>
      </c>
      <c r="AI1031">
        <v>0.22900000000000001</v>
      </c>
      <c r="AK1031" t="s">
        <v>2791</v>
      </c>
      <c r="AM1031">
        <v>200000</v>
      </c>
      <c r="AN1031" t="s">
        <v>97</v>
      </c>
      <c r="AO1031">
        <v>1</v>
      </c>
      <c r="AP1031">
        <v>0</v>
      </c>
      <c r="AQ1031">
        <v>16666.666666666668</v>
      </c>
      <c r="AR1031" t="s">
        <v>3094</v>
      </c>
      <c r="AS1031" t="s">
        <v>75</v>
      </c>
      <c r="AX1031" t="s">
        <v>76</v>
      </c>
      <c r="AY1031" t="s">
        <v>71</v>
      </c>
      <c r="AZ1031">
        <v>0</v>
      </c>
      <c r="BA1031" t="s">
        <v>71</v>
      </c>
      <c r="BB1031">
        <v>0</v>
      </c>
      <c r="BD1031">
        <v>3.0369999999999999</v>
      </c>
    </row>
    <row r="1032" spans="1:56" x14ac:dyDescent="0.15">
      <c r="A1032" s="4" t="str">
        <f>HYPERLINK("https://ibp.a2mac1.com/costing(costing:projects/details/9760/part/8413555)","Bus Bar 9")</f>
        <v>Bus Bar 9</v>
      </c>
      <c r="B1032">
        <v>8413555</v>
      </c>
      <c r="C1032">
        <v>8413458</v>
      </c>
      <c r="D1032" t="s">
        <v>3055</v>
      </c>
      <c r="E1032">
        <v>2.3220000000000001</v>
      </c>
      <c r="F1032">
        <v>0</v>
      </c>
      <c r="G1032">
        <v>0</v>
      </c>
      <c r="H1032">
        <v>0</v>
      </c>
      <c r="I1032" t="s">
        <v>71</v>
      </c>
      <c r="J1032">
        <v>0</v>
      </c>
      <c r="K1032">
        <v>2.3220000000000001</v>
      </c>
      <c r="L1032">
        <v>0</v>
      </c>
      <c r="M1032">
        <v>0</v>
      </c>
      <c r="N1032">
        <v>2.3220000000000001</v>
      </c>
      <c r="O1032" t="s">
        <v>71</v>
      </c>
      <c r="P1032">
        <v>0</v>
      </c>
      <c r="Q1032" t="s">
        <v>71</v>
      </c>
      <c r="R1032">
        <v>0</v>
      </c>
      <c r="S1032" t="s">
        <v>71</v>
      </c>
      <c r="T1032">
        <v>0</v>
      </c>
      <c r="U1032" t="s">
        <v>71</v>
      </c>
      <c r="V1032">
        <v>0</v>
      </c>
      <c r="W1032" t="s">
        <v>71</v>
      </c>
      <c r="X1032">
        <v>0</v>
      </c>
      <c r="Y1032">
        <v>2.3220000000000001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172</v>
      </c>
      <c r="AF1032">
        <v>40</v>
      </c>
      <c r="AG1032">
        <v>12</v>
      </c>
      <c r="AI1032">
        <v>0.17799999999999999</v>
      </c>
      <c r="AK1032" t="s">
        <v>2791</v>
      </c>
      <c r="AM1032">
        <v>200000</v>
      </c>
      <c r="AN1032" t="s">
        <v>97</v>
      </c>
      <c r="AO1032">
        <v>1</v>
      </c>
      <c r="AP1032">
        <v>0</v>
      </c>
      <c r="AQ1032">
        <v>16666.666666666668</v>
      </c>
      <c r="AR1032" t="s">
        <v>3095</v>
      </c>
      <c r="AS1032" t="s">
        <v>75</v>
      </c>
      <c r="AX1032" t="s">
        <v>76</v>
      </c>
      <c r="AY1032" t="s">
        <v>71</v>
      </c>
      <c r="AZ1032">
        <v>0</v>
      </c>
      <c r="BA1032" t="s">
        <v>71</v>
      </c>
      <c r="BB1032">
        <v>0</v>
      </c>
      <c r="BD1032">
        <v>2.3220000000000001</v>
      </c>
    </row>
    <row r="1033" spans="1:56" x14ac:dyDescent="0.15">
      <c r="A1033" s="4" t="str">
        <f>HYPERLINK("https://ibp.a2mac1.com/costing(costing:projects/details/9760/part/8413556)","Bus Bar 10")</f>
        <v>Bus Bar 10</v>
      </c>
      <c r="B1033">
        <v>8413556</v>
      </c>
      <c r="C1033">
        <v>8413458</v>
      </c>
      <c r="D1033" t="s">
        <v>3055</v>
      </c>
      <c r="E1033">
        <v>4.7050000000000001</v>
      </c>
      <c r="F1033">
        <v>0</v>
      </c>
      <c r="G1033">
        <v>0</v>
      </c>
      <c r="H1033">
        <v>0</v>
      </c>
      <c r="I1033" t="s">
        <v>71</v>
      </c>
      <c r="J1033">
        <v>0</v>
      </c>
      <c r="K1033">
        <v>4.7050000000000001</v>
      </c>
      <c r="L1033">
        <v>0</v>
      </c>
      <c r="M1033">
        <v>0</v>
      </c>
      <c r="N1033">
        <v>4.7050000000000001</v>
      </c>
      <c r="O1033" t="s">
        <v>71</v>
      </c>
      <c r="P1033">
        <v>0</v>
      </c>
      <c r="Q1033" t="s">
        <v>71</v>
      </c>
      <c r="R1033">
        <v>0</v>
      </c>
      <c r="S1033" t="s">
        <v>71</v>
      </c>
      <c r="T1033">
        <v>0</v>
      </c>
      <c r="U1033" t="s">
        <v>71</v>
      </c>
      <c r="V1033">
        <v>0</v>
      </c>
      <c r="W1033" t="s">
        <v>71</v>
      </c>
      <c r="X1033">
        <v>0</v>
      </c>
      <c r="Y1033">
        <v>4.7050000000000001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137</v>
      </c>
      <c r="AF1033">
        <v>97</v>
      </c>
      <c r="AG1033">
        <v>50</v>
      </c>
      <c r="AI1033">
        <v>0.35599999999999998</v>
      </c>
      <c r="AK1033" t="s">
        <v>2791</v>
      </c>
      <c r="AM1033">
        <v>200000</v>
      </c>
      <c r="AN1033" t="s">
        <v>97</v>
      </c>
      <c r="AO1033">
        <v>1</v>
      </c>
      <c r="AP1033">
        <v>0</v>
      </c>
      <c r="AQ1033">
        <v>16666.666666666668</v>
      </c>
      <c r="AR1033" t="s">
        <v>3096</v>
      </c>
      <c r="AS1033" t="s">
        <v>75</v>
      </c>
      <c r="AX1033" t="s">
        <v>76</v>
      </c>
      <c r="AY1033" t="s">
        <v>71</v>
      </c>
      <c r="AZ1033">
        <v>0</v>
      </c>
      <c r="BA1033" t="s">
        <v>71</v>
      </c>
      <c r="BB1033">
        <v>0</v>
      </c>
      <c r="BD1033">
        <v>4.7050000000000001</v>
      </c>
    </row>
    <row r="1034" spans="1:56" x14ac:dyDescent="0.15">
      <c r="A1034" s="4" t="str">
        <f>HYPERLINK("https://ibp.a2mac1.com/costing(costing:projects/details/9760/part/8413557)","Bus Bar 11")</f>
        <v>Bus Bar 11</v>
      </c>
      <c r="B1034">
        <v>8413557</v>
      </c>
      <c r="C1034">
        <v>8413458</v>
      </c>
      <c r="D1034" t="s">
        <v>3055</v>
      </c>
      <c r="E1034">
        <v>1.6950000000000001</v>
      </c>
      <c r="F1034">
        <v>0</v>
      </c>
      <c r="G1034">
        <v>0</v>
      </c>
      <c r="H1034">
        <v>0</v>
      </c>
      <c r="I1034" t="s">
        <v>71</v>
      </c>
      <c r="J1034">
        <v>0</v>
      </c>
      <c r="K1034">
        <v>1.6950000000000001</v>
      </c>
      <c r="L1034">
        <v>0</v>
      </c>
      <c r="M1034">
        <v>0</v>
      </c>
      <c r="N1034">
        <v>1.6950000000000001</v>
      </c>
      <c r="O1034" t="s">
        <v>71</v>
      </c>
      <c r="P1034">
        <v>0</v>
      </c>
      <c r="Q1034" t="s">
        <v>71</v>
      </c>
      <c r="R1034">
        <v>0</v>
      </c>
      <c r="S1034" t="s">
        <v>71</v>
      </c>
      <c r="T1034">
        <v>0</v>
      </c>
      <c r="U1034" t="s">
        <v>71</v>
      </c>
      <c r="V1034">
        <v>0</v>
      </c>
      <c r="W1034" t="s">
        <v>71</v>
      </c>
      <c r="X1034">
        <v>0</v>
      </c>
      <c r="Y1034">
        <v>1.6950000000000001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89</v>
      </c>
      <c r="AF1034">
        <v>62</v>
      </c>
      <c r="AG1034">
        <v>3.03</v>
      </c>
      <c r="AI1034">
        <v>0.111</v>
      </c>
      <c r="AK1034" t="s">
        <v>2791</v>
      </c>
      <c r="AM1034">
        <v>200000</v>
      </c>
      <c r="AN1034" t="s">
        <v>97</v>
      </c>
      <c r="AO1034">
        <v>1</v>
      </c>
      <c r="AP1034">
        <v>0</v>
      </c>
      <c r="AQ1034">
        <v>16666.666666666668</v>
      </c>
      <c r="AR1034" t="s">
        <v>3097</v>
      </c>
      <c r="AS1034" t="s">
        <v>75</v>
      </c>
      <c r="AX1034" t="s">
        <v>76</v>
      </c>
      <c r="AY1034" t="s">
        <v>71</v>
      </c>
      <c r="AZ1034">
        <v>0</v>
      </c>
      <c r="BA1034" t="s">
        <v>71</v>
      </c>
      <c r="BB1034">
        <v>0</v>
      </c>
      <c r="BD1034">
        <v>1.6950000000000001</v>
      </c>
    </row>
    <row r="1035" spans="1:56" x14ac:dyDescent="0.15">
      <c r="A1035" s="4" t="str">
        <f>HYPERLINK("https://ibp.a2mac1.com/costing(costing:projects/details/9760/part/8413558)","Bus Bar 12")</f>
        <v>Bus Bar 12</v>
      </c>
      <c r="B1035">
        <v>8413558</v>
      </c>
      <c r="C1035">
        <v>8413458</v>
      </c>
      <c r="D1035" t="s">
        <v>3055</v>
      </c>
      <c r="E1035">
        <v>2.0590000000000002</v>
      </c>
      <c r="F1035">
        <v>0</v>
      </c>
      <c r="G1035">
        <v>0</v>
      </c>
      <c r="H1035">
        <v>0</v>
      </c>
      <c r="I1035" t="s">
        <v>71</v>
      </c>
      <c r="J1035">
        <v>0</v>
      </c>
      <c r="K1035">
        <v>2.0590000000000002</v>
      </c>
      <c r="L1035">
        <v>0</v>
      </c>
      <c r="M1035">
        <v>0</v>
      </c>
      <c r="N1035">
        <v>2.0590000000000002</v>
      </c>
      <c r="O1035" t="s">
        <v>71</v>
      </c>
      <c r="P1035">
        <v>0</v>
      </c>
      <c r="Q1035" t="s">
        <v>71</v>
      </c>
      <c r="R1035">
        <v>0</v>
      </c>
      <c r="S1035" t="s">
        <v>71</v>
      </c>
      <c r="T1035">
        <v>0</v>
      </c>
      <c r="U1035" t="s">
        <v>71</v>
      </c>
      <c r="V1035">
        <v>0</v>
      </c>
      <c r="W1035" t="s">
        <v>71</v>
      </c>
      <c r="X1035">
        <v>0</v>
      </c>
      <c r="Y1035">
        <v>2.0590000000000002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80</v>
      </c>
      <c r="AF1035">
        <v>63</v>
      </c>
      <c r="AG1035">
        <v>34</v>
      </c>
      <c r="AI1035">
        <v>0.14099999999999999</v>
      </c>
      <c r="AK1035" t="s">
        <v>272</v>
      </c>
      <c r="AM1035">
        <v>200000</v>
      </c>
      <c r="AN1035" t="s">
        <v>73</v>
      </c>
      <c r="AO1035">
        <v>1</v>
      </c>
      <c r="AP1035">
        <v>0</v>
      </c>
      <c r="AQ1035">
        <v>16666.666666666668</v>
      </c>
      <c r="AR1035" t="s">
        <v>3098</v>
      </c>
      <c r="AS1035" t="s">
        <v>75</v>
      </c>
      <c r="AX1035" t="s">
        <v>76</v>
      </c>
      <c r="AY1035" t="s">
        <v>71</v>
      </c>
      <c r="AZ1035">
        <v>0</v>
      </c>
      <c r="BA1035" t="s">
        <v>71</v>
      </c>
      <c r="BB1035">
        <v>0</v>
      </c>
      <c r="BD1035">
        <v>2.0590000000000002</v>
      </c>
    </row>
    <row r="1036" spans="1:56" x14ac:dyDescent="0.15">
      <c r="A1036" s="4" t="str">
        <f>HYPERLINK("https://ibp.a2mac1.com/costing(costing:projects/details/9760/part/8413559)","Bus Bar 13")</f>
        <v>Bus Bar 13</v>
      </c>
      <c r="B1036">
        <v>8413559</v>
      </c>
      <c r="C1036">
        <v>8413458</v>
      </c>
      <c r="D1036" t="s">
        <v>3055</v>
      </c>
      <c r="E1036">
        <v>1.47</v>
      </c>
      <c r="F1036">
        <v>0</v>
      </c>
      <c r="G1036">
        <v>0</v>
      </c>
      <c r="H1036">
        <v>0</v>
      </c>
      <c r="I1036" t="s">
        <v>71</v>
      </c>
      <c r="J1036">
        <v>0</v>
      </c>
      <c r="K1036">
        <v>1.47</v>
      </c>
      <c r="L1036">
        <v>0</v>
      </c>
      <c r="M1036">
        <v>0</v>
      </c>
      <c r="N1036">
        <v>1.47</v>
      </c>
      <c r="O1036" t="s">
        <v>71</v>
      </c>
      <c r="P1036">
        <v>0</v>
      </c>
      <c r="Q1036" t="s">
        <v>71</v>
      </c>
      <c r="R1036">
        <v>0</v>
      </c>
      <c r="S1036" t="s">
        <v>71</v>
      </c>
      <c r="T1036">
        <v>0</v>
      </c>
      <c r="U1036" t="s">
        <v>71</v>
      </c>
      <c r="V1036">
        <v>0</v>
      </c>
      <c r="W1036" t="s">
        <v>71</v>
      </c>
      <c r="X1036">
        <v>0</v>
      </c>
      <c r="Y1036">
        <v>1.47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93</v>
      </c>
      <c r="AF1036">
        <v>40</v>
      </c>
      <c r="AG1036">
        <v>5</v>
      </c>
      <c r="AI1036">
        <v>9.4E-2</v>
      </c>
      <c r="AK1036" t="s">
        <v>272</v>
      </c>
      <c r="AM1036">
        <v>200000</v>
      </c>
      <c r="AN1036" t="s">
        <v>73</v>
      </c>
      <c r="AO1036">
        <v>1</v>
      </c>
      <c r="AP1036">
        <v>0</v>
      </c>
      <c r="AQ1036">
        <v>16666.666666666668</v>
      </c>
      <c r="AR1036" t="s">
        <v>3099</v>
      </c>
      <c r="AS1036" t="s">
        <v>75</v>
      </c>
      <c r="AX1036" t="s">
        <v>76</v>
      </c>
      <c r="AY1036" t="s">
        <v>71</v>
      </c>
      <c r="AZ1036">
        <v>0</v>
      </c>
      <c r="BA1036" t="s">
        <v>71</v>
      </c>
      <c r="BB1036">
        <v>0</v>
      </c>
      <c r="BD1036">
        <v>1.47</v>
      </c>
    </row>
    <row r="1037" spans="1:56" x14ac:dyDescent="0.15">
      <c r="A1037" s="4" t="str">
        <f>HYPERLINK("https://ibp.a2mac1.com/costing(costing:projects/details/9760/part/8413560)","Bus Bar 14")</f>
        <v>Bus Bar 14</v>
      </c>
      <c r="B1037">
        <v>8413560</v>
      </c>
      <c r="C1037">
        <v>8413458</v>
      </c>
      <c r="D1037" t="s">
        <v>3055</v>
      </c>
      <c r="E1037">
        <v>3.7770000000000001</v>
      </c>
      <c r="F1037">
        <v>0</v>
      </c>
      <c r="G1037">
        <v>0</v>
      </c>
      <c r="H1037">
        <v>0</v>
      </c>
      <c r="I1037" t="s">
        <v>71</v>
      </c>
      <c r="J1037">
        <v>0</v>
      </c>
      <c r="K1037">
        <v>3.7770000000000001</v>
      </c>
      <c r="L1037">
        <v>0</v>
      </c>
      <c r="M1037">
        <v>0</v>
      </c>
      <c r="N1037">
        <v>3.7770000000000001</v>
      </c>
      <c r="O1037" t="s">
        <v>71</v>
      </c>
      <c r="P1037">
        <v>0</v>
      </c>
      <c r="Q1037" t="s">
        <v>71</v>
      </c>
      <c r="R1037">
        <v>0</v>
      </c>
      <c r="S1037" t="s">
        <v>71</v>
      </c>
      <c r="T1037">
        <v>0</v>
      </c>
      <c r="U1037" t="s">
        <v>71</v>
      </c>
      <c r="V1037">
        <v>0</v>
      </c>
      <c r="W1037" t="s">
        <v>71</v>
      </c>
      <c r="X1037">
        <v>0</v>
      </c>
      <c r="Y1037">
        <v>3.7770000000000001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147</v>
      </c>
      <c r="AF1037">
        <v>126</v>
      </c>
      <c r="AG1037">
        <v>37</v>
      </c>
      <c r="AI1037">
        <v>0.28199999999999997</v>
      </c>
      <c r="AK1037" t="s">
        <v>272</v>
      </c>
      <c r="AM1037">
        <v>200000</v>
      </c>
      <c r="AN1037" t="s">
        <v>73</v>
      </c>
      <c r="AO1037">
        <v>1</v>
      </c>
      <c r="AP1037">
        <v>0</v>
      </c>
      <c r="AQ1037">
        <v>16666.666666666668</v>
      </c>
      <c r="AR1037" t="s">
        <v>3100</v>
      </c>
      <c r="AS1037" t="s">
        <v>75</v>
      </c>
      <c r="AX1037" t="s">
        <v>76</v>
      </c>
      <c r="AY1037" t="s">
        <v>71</v>
      </c>
      <c r="AZ1037">
        <v>0</v>
      </c>
      <c r="BA1037" t="s">
        <v>71</v>
      </c>
      <c r="BB1037">
        <v>0</v>
      </c>
      <c r="BD1037">
        <v>3.7770000000000001</v>
      </c>
    </row>
    <row r="1038" spans="1:56" x14ac:dyDescent="0.15">
      <c r="A1038" s="4" t="str">
        <f>HYPERLINK("https://ibp.a2mac1.com/costing(costing:projects/details/9760/part/8413561)","Bus Bar 15")</f>
        <v>Bus Bar 15</v>
      </c>
      <c r="B1038">
        <v>8413561</v>
      </c>
      <c r="C1038">
        <v>8413458</v>
      </c>
      <c r="D1038" t="s">
        <v>3055</v>
      </c>
      <c r="E1038">
        <v>1.833</v>
      </c>
      <c r="F1038">
        <v>0</v>
      </c>
      <c r="G1038">
        <v>0</v>
      </c>
      <c r="H1038">
        <v>0</v>
      </c>
      <c r="I1038" t="s">
        <v>71</v>
      </c>
      <c r="J1038">
        <v>0</v>
      </c>
      <c r="K1038">
        <v>1.833</v>
      </c>
      <c r="L1038">
        <v>0</v>
      </c>
      <c r="M1038">
        <v>0</v>
      </c>
      <c r="N1038">
        <v>1.833</v>
      </c>
      <c r="O1038" t="s">
        <v>71</v>
      </c>
      <c r="P1038">
        <v>0</v>
      </c>
      <c r="Q1038" t="s">
        <v>71</v>
      </c>
      <c r="R1038">
        <v>0</v>
      </c>
      <c r="S1038" t="s">
        <v>71</v>
      </c>
      <c r="T1038">
        <v>0</v>
      </c>
      <c r="U1038" t="s">
        <v>71</v>
      </c>
      <c r="V1038">
        <v>0</v>
      </c>
      <c r="W1038" t="s">
        <v>71</v>
      </c>
      <c r="X1038">
        <v>0</v>
      </c>
      <c r="Y1038">
        <v>1.833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76</v>
      </c>
      <c r="AF1038">
        <v>61</v>
      </c>
      <c r="AG1038">
        <v>40</v>
      </c>
      <c r="AI1038">
        <v>0.126</v>
      </c>
      <c r="AK1038" t="s">
        <v>272</v>
      </c>
      <c r="AM1038">
        <v>200000</v>
      </c>
      <c r="AN1038" t="s">
        <v>73</v>
      </c>
      <c r="AO1038">
        <v>1</v>
      </c>
      <c r="AP1038">
        <v>0</v>
      </c>
      <c r="AQ1038">
        <v>16666.666666666668</v>
      </c>
      <c r="AR1038" t="s">
        <v>3101</v>
      </c>
      <c r="AS1038" t="s">
        <v>75</v>
      </c>
      <c r="AX1038" t="s">
        <v>76</v>
      </c>
      <c r="AY1038" t="s">
        <v>71</v>
      </c>
      <c r="AZ1038">
        <v>0</v>
      </c>
      <c r="BA1038" t="s">
        <v>71</v>
      </c>
      <c r="BB1038">
        <v>0</v>
      </c>
      <c r="BD1038">
        <v>1.833</v>
      </c>
    </row>
    <row r="1039" spans="1:56" x14ac:dyDescent="0.15">
      <c r="A1039" s="4" t="str">
        <f>HYPERLINK("https://ibp.a2mac1.com/costing(costing:projects/details/9760/part/8413562)","Bus Bar 16")</f>
        <v>Bus Bar 16</v>
      </c>
      <c r="B1039">
        <v>8413562</v>
      </c>
      <c r="C1039">
        <v>8413458</v>
      </c>
      <c r="D1039" t="s">
        <v>3055</v>
      </c>
      <c r="E1039">
        <v>3.6259999999999999</v>
      </c>
      <c r="F1039">
        <v>0</v>
      </c>
      <c r="G1039">
        <v>0</v>
      </c>
      <c r="H1039">
        <v>0</v>
      </c>
      <c r="I1039" t="s">
        <v>71</v>
      </c>
      <c r="J1039">
        <v>0</v>
      </c>
      <c r="K1039">
        <v>3.6259999999999999</v>
      </c>
      <c r="L1039">
        <v>0</v>
      </c>
      <c r="M1039">
        <v>0</v>
      </c>
      <c r="N1039">
        <v>3.6259999999999999</v>
      </c>
      <c r="O1039" t="s">
        <v>71</v>
      </c>
      <c r="P1039">
        <v>0</v>
      </c>
      <c r="Q1039" t="s">
        <v>71</v>
      </c>
      <c r="R1039">
        <v>0</v>
      </c>
      <c r="S1039" t="s">
        <v>71</v>
      </c>
      <c r="T1039">
        <v>0</v>
      </c>
      <c r="U1039" t="s">
        <v>71</v>
      </c>
      <c r="V1039">
        <v>0</v>
      </c>
      <c r="W1039" t="s">
        <v>71</v>
      </c>
      <c r="X1039">
        <v>0</v>
      </c>
      <c r="Y1039">
        <v>3.6259999999999999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265</v>
      </c>
      <c r="AF1039">
        <v>25</v>
      </c>
      <c r="AG1039">
        <v>15</v>
      </c>
      <c r="AI1039">
        <v>0.28199999999999997</v>
      </c>
      <c r="AK1039" t="s">
        <v>272</v>
      </c>
      <c r="AM1039">
        <v>200000</v>
      </c>
      <c r="AN1039" t="s">
        <v>73</v>
      </c>
      <c r="AO1039">
        <v>1</v>
      </c>
      <c r="AP1039">
        <v>0</v>
      </c>
      <c r="AQ1039">
        <v>16666.666666666668</v>
      </c>
      <c r="AR1039" t="s">
        <v>3102</v>
      </c>
      <c r="AS1039" t="s">
        <v>75</v>
      </c>
      <c r="AX1039" t="s">
        <v>76</v>
      </c>
      <c r="AY1039" t="s">
        <v>71</v>
      </c>
      <c r="AZ1039">
        <v>0</v>
      </c>
      <c r="BA1039" t="s">
        <v>71</v>
      </c>
      <c r="BB1039">
        <v>0</v>
      </c>
      <c r="BD1039">
        <v>3.6259999999999999</v>
      </c>
    </row>
    <row r="1040" spans="1:56" x14ac:dyDescent="0.15">
      <c r="A1040" s="4" t="str">
        <f>HYPERLINK("https://ibp.a2mac1.com/costing(costing:projects/details/9760/part/8413563)","Bus Bar 17")</f>
        <v>Bus Bar 17</v>
      </c>
      <c r="B1040">
        <v>8413563</v>
      </c>
      <c r="C1040">
        <v>8413458</v>
      </c>
      <c r="D1040" t="s">
        <v>3055</v>
      </c>
      <c r="E1040">
        <v>4.2530000000000001</v>
      </c>
      <c r="F1040">
        <v>0</v>
      </c>
      <c r="G1040">
        <v>0</v>
      </c>
      <c r="H1040">
        <v>0</v>
      </c>
      <c r="I1040" t="s">
        <v>71</v>
      </c>
      <c r="J1040">
        <v>0</v>
      </c>
      <c r="K1040">
        <v>4.2530000000000001</v>
      </c>
      <c r="L1040">
        <v>0</v>
      </c>
      <c r="M1040">
        <v>0</v>
      </c>
      <c r="N1040">
        <v>4.2530000000000001</v>
      </c>
      <c r="O1040" t="s">
        <v>71</v>
      </c>
      <c r="P1040">
        <v>0</v>
      </c>
      <c r="Q1040" t="s">
        <v>71</v>
      </c>
      <c r="R1040">
        <v>0</v>
      </c>
      <c r="S1040" t="s">
        <v>71</v>
      </c>
      <c r="T1040">
        <v>0</v>
      </c>
      <c r="U1040" t="s">
        <v>71</v>
      </c>
      <c r="V1040">
        <v>0</v>
      </c>
      <c r="W1040" t="s">
        <v>71</v>
      </c>
      <c r="X1040">
        <v>0</v>
      </c>
      <c r="Y1040">
        <v>4.2530000000000001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214</v>
      </c>
      <c r="AF1040">
        <v>61</v>
      </c>
      <c r="AG1040">
        <v>60</v>
      </c>
      <c r="AI1040">
        <v>0.32600000000000001</v>
      </c>
      <c r="AK1040" t="s">
        <v>272</v>
      </c>
      <c r="AM1040">
        <v>200000</v>
      </c>
      <c r="AN1040" t="s">
        <v>73</v>
      </c>
      <c r="AO1040">
        <v>1</v>
      </c>
      <c r="AP1040">
        <v>0</v>
      </c>
      <c r="AQ1040">
        <v>16666.666666666668</v>
      </c>
      <c r="AR1040" t="s">
        <v>3103</v>
      </c>
      <c r="AS1040" t="s">
        <v>75</v>
      </c>
      <c r="AX1040" t="s">
        <v>76</v>
      </c>
      <c r="AY1040" t="s">
        <v>71</v>
      </c>
      <c r="AZ1040">
        <v>0</v>
      </c>
      <c r="BA1040" t="s">
        <v>71</v>
      </c>
      <c r="BB1040">
        <v>0</v>
      </c>
      <c r="BD1040">
        <v>4.2530000000000001</v>
      </c>
    </row>
    <row r="1041" spans="1:56" x14ac:dyDescent="0.15">
      <c r="A1041" s="4" t="str">
        <f>HYPERLINK("https://ibp.a2mac1.com/costing(costing:projects/details/9760/part/8413564)","Bus Bar 18")</f>
        <v>Bus Bar 18</v>
      </c>
      <c r="B1041">
        <v>8413564</v>
      </c>
      <c r="C1041">
        <v>8413458</v>
      </c>
      <c r="D1041" t="s">
        <v>3055</v>
      </c>
      <c r="E1041">
        <v>2.899</v>
      </c>
      <c r="F1041">
        <v>0</v>
      </c>
      <c r="G1041">
        <v>0</v>
      </c>
      <c r="H1041">
        <v>0</v>
      </c>
      <c r="I1041" t="s">
        <v>71</v>
      </c>
      <c r="J1041">
        <v>0</v>
      </c>
      <c r="K1041">
        <v>2.899</v>
      </c>
      <c r="L1041">
        <v>0</v>
      </c>
      <c r="M1041">
        <v>0</v>
      </c>
      <c r="N1041">
        <v>2.899</v>
      </c>
      <c r="O1041" t="s">
        <v>71</v>
      </c>
      <c r="P1041">
        <v>0</v>
      </c>
      <c r="Q1041" t="s">
        <v>71</v>
      </c>
      <c r="R1041">
        <v>0</v>
      </c>
      <c r="S1041" t="s">
        <v>71</v>
      </c>
      <c r="T1041">
        <v>0</v>
      </c>
      <c r="U1041" t="s">
        <v>71</v>
      </c>
      <c r="V1041">
        <v>0</v>
      </c>
      <c r="W1041" t="s">
        <v>71</v>
      </c>
      <c r="X1041">
        <v>0</v>
      </c>
      <c r="Y1041">
        <v>2.899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115</v>
      </c>
      <c r="AF1041">
        <v>90</v>
      </c>
      <c r="AG1041">
        <v>66</v>
      </c>
      <c r="AI1041">
        <v>0.218</v>
      </c>
      <c r="AK1041" t="s">
        <v>272</v>
      </c>
      <c r="AM1041">
        <v>200000</v>
      </c>
      <c r="AN1041" t="s">
        <v>73</v>
      </c>
      <c r="AO1041">
        <v>1</v>
      </c>
      <c r="AP1041">
        <v>0</v>
      </c>
      <c r="AQ1041">
        <v>16666.666666666668</v>
      </c>
      <c r="AR1041" t="s">
        <v>3104</v>
      </c>
      <c r="AS1041" t="s">
        <v>75</v>
      </c>
      <c r="AX1041" t="s">
        <v>76</v>
      </c>
      <c r="AY1041" t="s">
        <v>71</v>
      </c>
      <c r="AZ1041">
        <v>0</v>
      </c>
      <c r="BA1041" t="s">
        <v>71</v>
      </c>
      <c r="BB1041">
        <v>0</v>
      </c>
      <c r="BD1041">
        <v>2.899</v>
      </c>
    </row>
    <row r="1042" spans="1:56" x14ac:dyDescent="0.15">
      <c r="A1042" s="4" t="str">
        <f>HYPERLINK("https://ibp.a2mac1.com/costing(costing:projects/details/9760/part/8413565)","Bus Bar Support")</f>
        <v>Bus Bar Support</v>
      </c>
      <c r="B1042">
        <v>8413565</v>
      </c>
      <c r="C1042">
        <v>8413458</v>
      </c>
      <c r="D1042" t="s">
        <v>2963</v>
      </c>
      <c r="E1042">
        <v>0.754</v>
      </c>
      <c r="F1042">
        <v>0</v>
      </c>
      <c r="G1042">
        <v>0</v>
      </c>
      <c r="H1042">
        <v>0</v>
      </c>
      <c r="I1042" t="s">
        <v>71</v>
      </c>
      <c r="J1042">
        <v>0</v>
      </c>
      <c r="K1042">
        <v>0.754</v>
      </c>
      <c r="L1042">
        <v>0</v>
      </c>
      <c r="M1042">
        <v>0</v>
      </c>
      <c r="N1042">
        <v>0.754</v>
      </c>
      <c r="O1042" t="s">
        <v>71</v>
      </c>
      <c r="P1042">
        <v>0</v>
      </c>
      <c r="Q1042" t="s">
        <v>71</v>
      </c>
      <c r="R1042">
        <v>0</v>
      </c>
      <c r="S1042" t="s">
        <v>71</v>
      </c>
      <c r="T1042">
        <v>0</v>
      </c>
      <c r="U1042" t="s">
        <v>71</v>
      </c>
      <c r="V1042">
        <v>0</v>
      </c>
      <c r="W1042" t="s">
        <v>71</v>
      </c>
      <c r="X1042">
        <v>0</v>
      </c>
      <c r="Y1042">
        <v>0.754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60</v>
      </c>
      <c r="AF1042">
        <v>34</v>
      </c>
      <c r="AG1042">
        <v>33</v>
      </c>
      <c r="AI1042">
        <v>9.6000000000000002E-2</v>
      </c>
      <c r="AK1042" t="s">
        <v>2791</v>
      </c>
      <c r="AM1042">
        <v>200000</v>
      </c>
      <c r="AN1042" t="s">
        <v>97</v>
      </c>
      <c r="AO1042">
        <v>1</v>
      </c>
      <c r="AP1042">
        <v>0</v>
      </c>
      <c r="AQ1042">
        <v>16666.666666666668</v>
      </c>
      <c r="AR1042" t="s">
        <v>3105</v>
      </c>
      <c r="AS1042" t="s">
        <v>75</v>
      </c>
      <c r="AX1042" t="s">
        <v>76</v>
      </c>
      <c r="AY1042" t="s">
        <v>71</v>
      </c>
      <c r="AZ1042">
        <v>0</v>
      </c>
      <c r="BA1042" t="s">
        <v>71</v>
      </c>
      <c r="BB1042">
        <v>0</v>
      </c>
      <c r="BD1042">
        <v>0.754</v>
      </c>
    </row>
    <row r="1043" spans="1:56" x14ac:dyDescent="0.15">
      <c r="A1043" s="4" t="str">
        <f>HYPERLINK("https://ibp.a2mac1.com/costing(costing:projects/details/9760/part/8413566)","Main Relay Box Harness")</f>
        <v>Main Relay Box Harness</v>
      </c>
      <c r="B1043">
        <v>8413566</v>
      </c>
      <c r="C1043">
        <v>8413459</v>
      </c>
      <c r="D1043" t="s">
        <v>284</v>
      </c>
      <c r="E1043">
        <v>2.8079999999999998</v>
      </c>
      <c r="F1043">
        <v>0</v>
      </c>
      <c r="G1043">
        <v>0</v>
      </c>
      <c r="H1043">
        <v>0</v>
      </c>
      <c r="I1043" t="s">
        <v>71</v>
      </c>
      <c r="J1043">
        <v>0</v>
      </c>
      <c r="K1043">
        <v>2.8079999999999998</v>
      </c>
      <c r="L1043">
        <v>0</v>
      </c>
      <c r="M1043">
        <v>0</v>
      </c>
      <c r="N1043">
        <v>2.8079999999999998</v>
      </c>
      <c r="O1043" t="s">
        <v>71</v>
      </c>
      <c r="P1043">
        <v>0</v>
      </c>
      <c r="Q1043" t="s">
        <v>71</v>
      </c>
      <c r="R1043">
        <v>0</v>
      </c>
      <c r="S1043" t="s">
        <v>71</v>
      </c>
      <c r="T1043">
        <v>0</v>
      </c>
      <c r="U1043" t="s">
        <v>71</v>
      </c>
      <c r="V1043">
        <v>0</v>
      </c>
      <c r="W1043" t="s">
        <v>71</v>
      </c>
      <c r="X1043">
        <v>0</v>
      </c>
      <c r="Y1043">
        <v>2.8079999999999998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I1043">
        <v>8.4000000000000005E-2</v>
      </c>
      <c r="AK1043" t="s">
        <v>2791</v>
      </c>
      <c r="AM1043">
        <v>200000</v>
      </c>
      <c r="AN1043" t="s">
        <v>97</v>
      </c>
      <c r="AO1043">
        <v>1</v>
      </c>
      <c r="AP1043">
        <v>0</v>
      </c>
      <c r="AQ1043">
        <v>16666.666666666668</v>
      </c>
      <c r="AR1043" t="s">
        <v>3108</v>
      </c>
      <c r="AS1043" t="s">
        <v>75</v>
      </c>
      <c r="AX1043" t="s">
        <v>76</v>
      </c>
      <c r="AY1043" t="s">
        <v>71</v>
      </c>
      <c r="AZ1043">
        <v>0</v>
      </c>
      <c r="BA1043" t="s">
        <v>71</v>
      </c>
      <c r="BB1043">
        <v>0</v>
      </c>
      <c r="BD1043">
        <v>2.8079999999999998</v>
      </c>
    </row>
    <row r="1044" spans="1:56" x14ac:dyDescent="0.15">
      <c r="A1044" s="4" t="str">
        <f>HYPERLINK("https://ibp.a2mac1.com/costing(costing:projects/details/9760/part/8413567)","2nd Relay Box Harness")</f>
        <v>2nd Relay Box Harness</v>
      </c>
      <c r="B1044">
        <v>8413567</v>
      </c>
      <c r="C1044">
        <v>8413459</v>
      </c>
      <c r="D1044" t="s">
        <v>284</v>
      </c>
      <c r="E1044">
        <v>0.44</v>
      </c>
      <c r="F1044">
        <v>0</v>
      </c>
      <c r="G1044">
        <v>0</v>
      </c>
      <c r="H1044">
        <v>0</v>
      </c>
      <c r="I1044" t="s">
        <v>71</v>
      </c>
      <c r="J1044">
        <v>0</v>
      </c>
      <c r="K1044">
        <v>0.44</v>
      </c>
      <c r="L1044">
        <v>0</v>
      </c>
      <c r="M1044">
        <v>0</v>
      </c>
      <c r="N1044">
        <v>0.44</v>
      </c>
      <c r="O1044" t="s">
        <v>71</v>
      </c>
      <c r="P1044">
        <v>0</v>
      </c>
      <c r="Q1044" t="s">
        <v>71</v>
      </c>
      <c r="R1044">
        <v>0</v>
      </c>
      <c r="S1044" t="s">
        <v>71</v>
      </c>
      <c r="T1044">
        <v>0</v>
      </c>
      <c r="U1044" t="s">
        <v>71</v>
      </c>
      <c r="V1044">
        <v>0</v>
      </c>
      <c r="W1044" t="s">
        <v>71</v>
      </c>
      <c r="X1044">
        <v>0</v>
      </c>
      <c r="Y1044">
        <v>0.44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I1044">
        <v>8.9999999999999993E-3</v>
      </c>
      <c r="AK1044" t="s">
        <v>2791</v>
      </c>
      <c r="AM1044">
        <v>200000</v>
      </c>
      <c r="AN1044" t="s">
        <v>97</v>
      </c>
      <c r="AO1044">
        <v>1</v>
      </c>
      <c r="AP1044">
        <v>0</v>
      </c>
      <c r="AQ1044">
        <v>16666.666666666668</v>
      </c>
      <c r="AR1044" t="s">
        <v>3109</v>
      </c>
      <c r="AS1044" t="s">
        <v>75</v>
      </c>
      <c r="AX1044" t="s">
        <v>76</v>
      </c>
      <c r="AY1044" t="s">
        <v>71</v>
      </c>
      <c r="AZ1044">
        <v>0</v>
      </c>
      <c r="BA1044" t="s">
        <v>71</v>
      </c>
      <c r="BB1044">
        <v>0</v>
      </c>
      <c r="BD1044">
        <v>0.44</v>
      </c>
    </row>
    <row r="1045" spans="1:56" x14ac:dyDescent="0.15">
      <c r="A1045" s="4" t="str">
        <f>HYPERLINK("https://ibp.a2mac1.com/costing(costing:projects/details/9760/part/8413568)","3rd Relay Box Harness")</f>
        <v>3rd Relay Box Harness</v>
      </c>
      <c r="B1045">
        <v>8413568</v>
      </c>
      <c r="C1045">
        <v>8413459</v>
      </c>
      <c r="D1045" t="s">
        <v>284</v>
      </c>
      <c r="E1045">
        <v>1.1919999999999999</v>
      </c>
      <c r="F1045">
        <v>0</v>
      </c>
      <c r="G1045">
        <v>0</v>
      </c>
      <c r="H1045">
        <v>0</v>
      </c>
      <c r="I1045" t="s">
        <v>71</v>
      </c>
      <c r="J1045">
        <v>0</v>
      </c>
      <c r="K1045">
        <v>1.1919999999999999</v>
      </c>
      <c r="L1045">
        <v>0</v>
      </c>
      <c r="M1045">
        <v>0</v>
      </c>
      <c r="N1045">
        <v>1.1919999999999999</v>
      </c>
      <c r="O1045" t="s">
        <v>71</v>
      </c>
      <c r="P1045">
        <v>0</v>
      </c>
      <c r="Q1045" t="s">
        <v>71</v>
      </c>
      <c r="R1045">
        <v>0</v>
      </c>
      <c r="S1045" t="s">
        <v>71</v>
      </c>
      <c r="T1045">
        <v>0</v>
      </c>
      <c r="U1045" t="s">
        <v>71</v>
      </c>
      <c r="V1045">
        <v>0</v>
      </c>
      <c r="W1045" t="s">
        <v>71</v>
      </c>
      <c r="X1045">
        <v>0</v>
      </c>
      <c r="Y1045">
        <v>1.1919999999999999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I1045">
        <v>0.03</v>
      </c>
      <c r="AK1045" t="s">
        <v>2791</v>
      </c>
      <c r="AM1045">
        <v>200000</v>
      </c>
      <c r="AN1045" t="s">
        <v>97</v>
      </c>
      <c r="AO1045">
        <v>1</v>
      </c>
      <c r="AP1045">
        <v>0</v>
      </c>
      <c r="AQ1045">
        <v>16666.666666666668</v>
      </c>
      <c r="AR1045" t="s">
        <v>3110</v>
      </c>
      <c r="AS1045" t="s">
        <v>75</v>
      </c>
      <c r="AX1045" t="s">
        <v>76</v>
      </c>
      <c r="AY1045" t="s">
        <v>71</v>
      </c>
      <c r="AZ1045">
        <v>0</v>
      </c>
      <c r="BA1045" t="s">
        <v>71</v>
      </c>
      <c r="BB1045">
        <v>0</v>
      </c>
      <c r="BD1045">
        <v>1.1919999999999999</v>
      </c>
    </row>
    <row r="1046" spans="1:56" x14ac:dyDescent="0.15">
      <c r="A1046" s="4" t="str">
        <f>HYPERLINK("https://ibp.a2mac1.com/costing(costing:projects/details/9760/part/8413569)","4th Relay Box Harness")</f>
        <v>4th Relay Box Harness</v>
      </c>
      <c r="B1046">
        <v>8413569</v>
      </c>
      <c r="C1046">
        <v>8413459</v>
      </c>
      <c r="D1046" t="s">
        <v>284</v>
      </c>
      <c r="E1046">
        <v>1.1279999999999999</v>
      </c>
      <c r="F1046">
        <v>0</v>
      </c>
      <c r="G1046">
        <v>0</v>
      </c>
      <c r="H1046">
        <v>0</v>
      </c>
      <c r="I1046" t="s">
        <v>71</v>
      </c>
      <c r="J1046">
        <v>0</v>
      </c>
      <c r="K1046">
        <v>1.1279999999999999</v>
      </c>
      <c r="L1046">
        <v>0</v>
      </c>
      <c r="M1046">
        <v>0</v>
      </c>
      <c r="N1046">
        <v>1.1279999999999999</v>
      </c>
      <c r="O1046" t="s">
        <v>71</v>
      </c>
      <c r="P1046">
        <v>0</v>
      </c>
      <c r="Q1046" t="s">
        <v>71</v>
      </c>
      <c r="R1046">
        <v>0</v>
      </c>
      <c r="S1046" t="s">
        <v>71</v>
      </c>
      <c r="T1046">
        <v>0</v>
      </c>
      <c r="U1046" t="s">
        <v>71</v>
      </c>
      <c r="V1046">
        <v>0</v>
      </c>
      <c r="W1046" t="s">
        <v>71</v>
      </c>
      <c r="X1046">
        <v>0</v>
      </c>
      <c r="Y1046">
        <v>1.1279999999999999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I1046">
        <v>2.8000000000000001E-2</v>
      </c>
      <c r="AK1046" t="s">
        <v>272</v>
      </c>
      <c r="AM1046">
        <v>200000</v>
      </c>
      <c r="AN1046" t="s">
        <v>73</v>
      </c>
      <c r="AO1046">
        <v>1</v>
      </c>
      <c r="AP1046">
        <v>0</v>
      </c>
      <c r="AQ1046">
        <v>16666.666666666668</v>
      </c>
      <c r="AR1046" t="s">
        <v>3111</v>
      </c>
      <c r="AS1046" t="s">
        <v>75</v>
      </c>
      <c r="AX1046" t="s">
        <v>76</v>
      </c>
      <c r="AY1046" t="s">
        <v>71</v>
      </c>
      <c r="AZ1046">
        <v>0</v>
      </c>
      <c r="BA1046" t="s">
        <v>71</v>
      </c>
      <c r="BB1046">
        <v>0</v>
      </c>
      <c r="BD1046">
        <v>1.1279999999999999</v>
      </c>
    </row>
    <row r="1047" spans="1:56" x14ac:dyDescent="0.15">
      <c r="A1047" s="4" t="str">
        <f>HYPERLINK("https://ibp.a2mac1.com/costing(costing:projects/details/9760/part/8413570)","5th Relay Box Harness")</f>
        <v>5th Relay Box Harness</v>
      </c>
      <c r="B1047">
        <v>8413570</v>
      </c>
      <c r="C1047">
        <v>8413459</v>
      </c>
      <c r="D1047" t="s">
        <v>284</v>
      </c>
      <c r="E1047">
        <v>1.1919999999999999</v>
      </c>
      <c r="F1047">
        <v>0</v>
      </c>
      <c r="G1047">
        <v>0</v>
      </c>
      <c r="H1047">
        <v>0</v>
      </c>
      <c r="I1047" t="s">
        <v>71</v>
      </c>
      <c r="J1047">
        <v>0</v>
      </c>
      <c r="K1047">
        <v>1.1919999999999999</v>
      </c>
      <c r="L1047">
        <v>0</v>
      </c>
      <c r="M1047">
        <v>0</v>
      </c>
      <c r="N1047">
        <v>1.1919999999999999</v>
      </c>
      <c r="O1047" t="s">
        <v>71</v>
      </c>
      <c r="P1047">
        <v>0</v>
      </c>
      <c r="Q1047" t="s">
        <v>71</v>
      </c>
      <c r="R1047">
        <v>0</v>
      </c>
      <c r="S1047" t="s">
        <v>71</v>
      </c>
      <c r="T1047">
        <v>0</v>
      </c>
      <c r="U1047" t="s">
        <v>71</v>
      </c>
      <c r="V1047">
        <v>0</v>
      </c>
      <c r="W1047" t="s">
        <v>71</v>
      </c>
      <c r="X1047">
        <v>0</v>
      </c>
      <c r="Y1047">
        <v>1.1919999999999999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I1047">
        <v>0.03</v>
      </c>
      <c r="AK1047" t="s">
        <v>272</v>
      </c>
      <c r="AM1047">
        <v>200000</v>
      </c>
      <c r="AN1047" t="s">
        <v>73</v>
      </c>
      <c r="AO1047">
        <v>1</v>
      </c>
      <c r="AP1047">
        <v>0</v>
      </c>
      <c r="AQ1047">
        <v>16666.666666666668</v>
      </c>
      <c r="AR1047" t="s">
        <v>3112</v>
      </c>
      <c r="AS1047" t="s">
        <v>75</v>
      </c>
      <c r="AX1047" t="s">
        <v>76</v>
      </c>
      <c r="AY1047" t="s">
        <v>71</v>
      </c>
      <c r="AZ1047">
        <v>0</v>
      </c>
      <c r="BA1047" t="s">
        <v>71</v>
      </c>
      <c r="BB1047">
        <v>0</v>
      </c>
      <c r="BD1047">
        <v>1.1919999999999999</v>
      </c>
    </row>
    <row r="1048" spans="1:56" x14ac:dyDescent="0.15">
      <c r="A1048" s="4" t="str">
        <f>HYPERLINK("https://ibp.a2mac1.com/costing(costing:projects/details/9760/part/8413571)","6th Relay Box Harness")</f>
        <v>6th Relay Box Harness</v>
      </c>
      <c r="B1048">
        <v>8413571</v>
      </c>
      <c r="C1048">
        <v>8413459</v>
      </c>
      <c r="D1048" t="s">
        <v>284</v>
      </c>
      <c r="E1048">
        <v>2.7759999999999998</v>
      </c>
      <c r="F1048">
        <v>0</v>
      </c>
      <c r="G1048">
        <v>0</v>
      </c>
      <c r="H1048">
        <v>0</v>
      </c>
      <c r="I1048" t="s">
        <v>71</v>
      </c>
      <c r="J1048">
        <v>0</v>
      </c>
      <c r="K1048">
        <v>2.7759999999999998</v>
      </c>
      <c r="L1048">
        <v>0</v>
      </c>
      <c r="M1048">
        <v>0</v>
      </c>
      <c r="N1048">
        <v>2.7759999999999998</v>
      </c>
      <c r="O1048" t="s">
        <v>71</v>
      </c>
      <c r="P1048">
        <v>0</v>
      </c>
      <c r="Q1048" t="s">
        <v>71</v>
      </c>
      <c r="R1048">
        <v>0</v>
      </c>
      <c r="S1048" t="s">
        <v>71</v>
      </c>
      <c r="T1048">
        <v>0</v>
      </c>
      <c r="U1048" t="s">
        <v>71</v>
      </c>
      <c r="V1048">
        <v>0</v>
      </c>
      <c r="W1048" t="s">
        <v>71</v>
      </c>
      <c r="X1048">
        <v>0</v>
      </c>
      <c r="Y1048">
        <v>2.7759999999999998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I1048">
        <v>8.3000000000000004E-2</v>
      </c>
      <c r="AK1048" t="s">
        <v>272</v>
      </c>
      <c r="AM1048">
        <v>200000</v>
      </c>
      <c r="AN1048" t="s">
        <v>73</v>
      </c>
      <c r="AO1048">
        <v>1</v>
      </c>
      <c r="AP1048">
        <v>0</v>
      </c>
      <c r="AQ1048">
        <v>16666.666666666668</v>
      </c>
      <c r="AR1048" t="s">
        <v>3113</v>
      </c>
      <c r="AS1048" t="s">
        <v>75</v>
      </c>
      <c r="AX1048" t="s">
        <v>76</v>
      </c>
      <c r="AY1048" t="s">
        <v>71</v>
      </c>
      <c r="AZ1048">
        <v>0</v>
      </c>
      <c r="BA1048" t="s">
        <v>71</v>
      </c>
      <c r="BB1048">
        <v>0</v>
      </c>
      <c r="BD1048">
        <v>2.7759999999999998</v>
      </c>
    </row>
    <row r="1049" spans="1:56" x14ac:dyDescent="0.15">
      <c r="A1049" s="4" t="str">
        <f>HYPERLINK("https://ibp.a2mac1.com/costing(costing:projects/details/9760/part/8413637)","Connector 1")</f>
        <v>Connector 1</v>
      </c>
      <c r="B1049">
        <v>8413637</v>
      </c>
      <c r="C1049">
        <v>8413614</v>
      </c>
      <c r="D1049" t="s">
        <v>284</v>
      </c>
      <c r="E1049">
        <v>0.12740000000000001</v>
      </c>
      <c r="F1049">
        <v>0</v>
      </c>
      <c r="G1049">
        <v>0</v>
      </c>
      <c r="H1049">
        <v>0</v>
      </c>
      <c r="I1049" t="s">
        <v>71</v>
      </c>
      <c r="J1049">
        <v>0</v>
      </c>
      <c r="K1049">
        <v>0.12740000000000001</v>
      </c>
      <c r="L1049">
        <v>0</v>
      </c>
      <c r="M1049">
        <v>0</v>
      </c>
      <c r="N1049">
        <v>0.12740000000000001</v>
      </c>
      <c r="O1049" t="s">
        <v>71</v>
      </c>
      <c r="P1049">
        <v>0</v>
      </c>
      <c r="Q1049" t="s">
        <v>71</v>
      </c>
      <c r="R1049">
        <v>0</v>
      </c>
      <c r="S1049" t="s">
        <v>71</v>
      </c>
      <c r="T1049">
        <v>0</v>
      </c>
      <c r="U1049" t="s">
        <v>71</v>
      </c>
      <c r="V1049">
        <v>0</v>
      </c>
      <c r="W1049" t="s">
        <v>71</v>
      </c>
      <c r="X1049">
        <v>0</v>
      </c>
      <c r="Y1049">
        <v>0.12740000000000001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K1049" t="s">
        <v>1015</v>
      </c>
      <c r="AM1049">
        <v>200000</v>
      </c>
      <c r="AN1049" t="s">
        <v>97</v>
      </c>
      <c r="AO1049">
        <v>1</v>
      </c>
      <c r="AP1049">
        <v>0</v>
      </c>
      <c r="AQ1049">
        <v>16666.666666666668</v>
      </c>
      <c r="AR1049" t="s">
        <v>9</v>
      </c>
      <c r="AS1049" t="s">
        <v>75</v>
      </c>
      <c r="AV1049">
        <v>0</v>
      </c>
      <c r="AW1049">
        <v>0</v>
      </c>
      <c r="AX1049" t="s">
        <v>76</v>
      </c>
      <c r="AY1049" t="s">
        <v>71</v>
      </c>
      <c r="AZ1049">
        <v>0</v>
      </c>
      <c r="BA1049" t="s">
        <v>71</v>
      </c>
      <c r="BB1049">
        <v>0</v>
      </c>
      <c r="BD1049">
        <v>0.12740000000000001</v>
      </c>
    </row>
    <row r="1050" spans="1:56" x14ac:dyDescent="0.15">
      <c r="A1050" s="4" t="str">
        <f>HYPERLINK("https://ibp.a2mac1.com/costing(costing:projects/details/9760/part/8413638)","Resistor 1")</f>
        <v>Resistor 1</v>
      </c>
      <c r="B1050">
        <v>8413638</v>
      </c>
      <c r="C1050">
        <v>8413615</v>
      </c>
      <c r="D1050" t="s">
        <v>284</v>
      </c>
      <c r="E1050">
        <v>3.7959999999999998</v>
      </c>
      <c r="F1050">
        <v>0</v>
      </c>
      <c r="G1050">
        <v>0</v>
      </c>
      <c r="H1050">
        <v>0</v>
      </c>
      <c r="I1050" t="s">
        <v>71</v>
      </c>
      <c r="J1050">
        <v>0</v>
      </c>
      <c r="K1050">
        <v>3.7959999999999998</v>
      </c>
      <c r="L1050">
        <v>0</v>
      </c>
      <c r="M1050">
        <v>0</v>
      </c>
      <c r="N1050">
        <v>3.7959999999999998</v>
      </c>
      <c r="O1050" t="s">
        <v>71</v>
      </c>
      <c r="P1050">
        <v>0</v>
      </c>
      <c r="Q1050" t="s">
        <v>71</v>
      </c>
      <c r="R1050">
        <v>0</v>
      </c>
      <c r="S1050" t="s">
        <v>71</v>
      </c>
      <c r="T1050">
        <v>0</v>
      </c>
      <c r="U1050" t="s">
        <v>71</v>
      </c>
      <c r="V1050">
        <v>0</v>
      </c>
      <c r="W1050" t="s">
        <v>71</v>
      </c>
      <c r="X1050">
        <v>0</v>
      </c>
      <c r="Y1050">
        <v>3.7959999999999998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K1050" t="s">
        <v>1015</v>
      </c>
      <c r="AM1050">
        <v>200000</v>
      </c>
      <c r="AN1050" t="s">
        <v>97</v>
      </c>
      <c r="AO1050">
        <v>1</v>
      </c>
      <c r="AP1050">
        <v>0</v>
      </c>
      <c r="AQ1050">
        <v>16666.666666666668</v>
      </c>
      <c r="AR1050" t="s">
        <v>9</v>
      </c>
      <c r="AS1050" t="s">
        <v>75</v>
      </c>
      <c r="AV1050">
        <v>0</v>
      </c>
      <c r="AW1050">
        <v>0</v>
      </c>
      <c r="AX1050" t="s">
        <v>76</v>
      </c>
      <c r="AY1050" t="s">
        <v>71</v>
      </c>
      <c r="AZ1050">
        <v>0</v>
      </c>
      <c r="BA1050" t="s">
        <v>71</v>
      </c>
      <c r="BB1050">
        <v>0</v>
      </c>
      <c r="BD1050">
        <v>3.7959999999999998</v>
      </c>
    </row>
    <row r="1051" spans="1:56" x14ac:dyDescent="0.15">
      <c r="A1051" s="4" t="str">
        <f>HYPERLINK("https://ibp.a2mac1.com/costing(costing:projects/details/9760/part/8413639)","Resistor 2")</f>
        <v>Resistor 2</v>
      </c>
      <c r="B1051">
        <v>8413639</v>
      </c>
      <c r="C1051">
        <v>8413615</v>
      </c>
      <c r="D1051" t="s">
        <v>284</v>
      </c>
      <c r="E1051">
        <v>1.2999999999999999E-3</v>
      </c>
      <c r="F1051">
        <v>0</v>
      </c>
      <c r="G1051">
        <v>0</v>
      </c>
      <c r="H1051">
        <v>0</v>
      </c>
      <c r="I1051" t="s">
        <v>71</v>
      </c>
      <c r="J1051">
        <v>0</v>
      </c>
      <c r="K1051">
        <v>1.2999999999999999E-3</v>
      </c>
      <c r="L1051">
        <v>0</v>
      </c>
      <c r="M1051">
        <v>0</v>
      </c>
      <c r="N1051">
        <v>1.2999999999999999E-3</v>
      </c>
      <c r="O1051" t="s">
        <v>71</v>
      </c>
      <c r="P1051">
        <v>0</v>
      </c>
      <c r="Q1051" t="s">
        <v>71</v>
      </c>
      <c r="R1051">
        <v>0</v>
      </c>
      <c r="S1051" t="s">
        <v>71</v>
      </c>
      <c r="T1051">
        <v>0</v>
      </c>
      <c r="U1051" t="s">
        <v>71</v>
      </c>
      <c r="V1051">
        <v>0</v>
      </c>
      <c r="W1051" t="s">
        <v>71</v>
      </c>
      <c r="X1051">
        <v>0</v>
      </c>
      <c r="Y1051">
        <v>1.2999999999999999E-3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K1051" t="s">
        <v>272</v>
      </c>
      <c r="AM1051">
        <v>200000</v>
      </c>
      <c r="AN1051" t="s">
        <v>97</v>
      </c>
      <c r="AO1051">
        <v>1</v>
      </c>
      <c r="AP1051">
        <v>0</v>
      </c>
      <c r="AQ1051">
        <v>16666.666666666668</v>
      </c>
      <c r="AR1051" t="s">
        <v>9</v>
      </c>
      <c r="AS1051" t="s">
        <v>75</v>
      </c>
      <c r="AV1051">
        <v>0</v>
      </c>
      <c r="AW1051">
        <v>0</v>
      </c>
      <c r="AX1051" t="s">
        <v>76</v>
      </c>
      <c r="AY1051" t="s">
        <v>71</v>
      </c>
      <c r="AZ1051">
        <v>0</v>
      </c>
      <c r="BA1051" t="s">
        <v>71</v>
      </c>
      <c r="BB1051">
        <v>0</v>
      </c>
      <c r="BD1051">
        <v>1.2999999999999999E-3</v>
      </c>
    </row>
    <row r="1052" spans="1:56" x14ac:dyDescent="0.15">
      <c r="A1052" s="4" t="str">
        <f>HYPERLINK("https://ibp.a2mac1.com/costing(costing:projects/details/9760/part/8413616)","PCB")</f>
        <v>PCB</v>
      </c>
      <c r="B1052">
        <v>8413616</v>
      </c>
      <c r="C1052">
        <v>8413572</v>
      </c>
      <c r="D1052" t="s">
        <v>3045</v>
      </c>
      <c r="E1052">
        <v>0.54</v>
      </c>
      <c r="F1052">
        <v>0</v>
      </c>
      <c r="G1052">
        <v>0</v>
      </c>
      <c r="H1052">
        <v>0</v>
      </c>
      <c r="I1052" t="s">
        <v>71</v>
      </c>
      <c r="J1052">
        <v>0</v>
      </c>
      <c r="K1052">
        <v>0.54</v>
      </c>
      <c r="L1052">
        <v>0</v>
      </c>
      <c r="M1052">
        <v>0</v>
      </c>
      <c r="N1052">
        <v>0.54</v>
      </c>
      <c r="O1052" t="s">
        <v>71</v>
      </c>
      <c r="P1052">
        <v>0</v>
      </c>
      <c r="Q1052" t="s">
        <v>71</v>
      </c>
      <c r="R1052">
        <v>0</v>
      </c>
      <c r="S1052" t="s">
        <v>71</v>
      </c>
      <c r="T1052">
        <v>0</v>
      </c>
      <c r="U1052" t="s">
        <v>71</v>
      </c>
      <c r="V1052">
        <v>0</v>
      </c>
      <c r="W1052" t="s">
        <v>71</v>
      </c>
      <c r="X1052">
        <v>0</v>
      </c>
      <c r="Y1052">
        <v>0.54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K1052" t="s">
        <v>1015</v>
      </c>
      <c r="AM1052">
        <v>200000</v>
      </c>
      <c r="AN1052" t="s">
        <v>97</v>
      </c>
      <c r="AO1052">
        <v>1</v>
      </c>
      <c r="AP1052">
        <v>0</v>
      </c>
      <c r="AQ1052">
        <v>16666.666666666668</v>
      </c>
      <c r="AR1052" t="s">
        <v>9</v>
      </c>
      <c r="AS1052" t="s">
        <v>75</v>
      </c>
      <c r="AV1052">
        <v>0</v>
      </c>
      <c r="AW1052">
        <v>0</v>
      </c>
      <c r="AX1052" t="s">
        <v>76</v>
      </c>
      <c r="AY1052" t="s">
        <v>71</v>
      </c>
      <c r="AZ1052">
        <v>0</v>
      </c>
      <c r="BA1052" t="s">
        <v>71</v>
      </c>
      <c r="BB1052">
        <v>0</v>
      </c>
      <c r="BD1052">
        <v>0.54</v>
      </c>
    </row>
    <row r="1053" spans="1:56" x14ac:dyDescent="0.15">
      <c r="A1053" s="4" t="str">
        <f>HYPERLINK("https://ibp.a2mac1.com/costing(costing:projects/details/9760/part/8413573)","Busbar")</f>
        <v>Busbar</v>
      </c>
      <c r="B1053">
        <v>8413573</v>
      </c>
      <c r="C1053">
        <v>8413461</v>
      </c>
      <c r="D1053" t="s">
        <v>3055</v>
      </c>
      <c r="E1053">
        <v>0.876</v>
      </c>
      <c r="F1053">
        <v>0</v>
      </c>
      <c r="G1053">
        <v>0</v>
      </c>
      <c r="H1053">
        <v>0</v>
      </c>
      <c r="I1053" t="s">
        <v>71</v>
      </c>
      <c r="J1053">
        <v>0</v>
      </c>
      <c r="K1053">
        <v>0.876</v>
      </c>
      <c r="L1053">
        <v>0</v>
      </c>
      <c r="M1053">
        <v>0</v>
      </c>
      <c r="N1053">
        <v>0.876</v>
      </c>
      <c r="O1053" t="s">
        <v>71</v>
      </c>
      <c r="P1053">
        <v>0</v>
      </c>
      <c r="Q1053" t="s">
        <v>71</v>
      </c>
      <c r="R1053">
        <v>0</v>
      </c>
      <c r="S1053" t="s">
        <v>71</v>
      </c>
      <c r="T1053">
        <v>0</v>
      </c>
      <c r="U1053" t="s">
        <v>71</v>
      </c>
      <c r="V1053">
        <v>0</v>
      </c>
      <c r="W1053" t="s">
        <v>71</v>
      </c>
      <c r="X1053">
        <v>0</v>
      </c>
      <c r="Y1053">
        <v>0.876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100</v>
      </c>
      <c r="AF1053">
        <v>30</v>
      </c>
      <c r="AG1053">
        <v>3</v>
      </c>
      <c r="AI1053">
        <v>6.2E-2</v>
      </c>
      <c r="AK1053" t="s">
        <v>272</v>
      </c>
      <c r="AM1053">
        <v>200000</v>
      </c>
      <c r="AN1053" t="s">
        <v>73</v>
      </c>
      <c r="AO1053">
        <v>1</v>
      </c>
      <c r="AP1053">
        <v>0</v>
      </c>
      <c r="AQ1053">
        <v>16666.666666666668</v>
      </c>
      <c r="AR1053" t="s">
        <v>3124</v>
      </c>
      <c r="AS1053" t="s">
        <v>75</v>
      </c>
      <c r="AX1053" t="s">
        <v>76</v>
      </c>
      <c r="AY1053" t="s">
        <v>71</v>
      </c>
      <c r="AZ1053">
        <v>0</v>
      </c>
      <c r="BA1053" t="s">
        <v>71</v>
      </c>
      <c r="BB1053">
        <v>0</v>
      </c>
      <c r="BD1053">
        <v>0.876</v>
      </c>
    </row>
    <row r="1054" spans="1:56" x14ac:dyDescent="0.15">
      <c r="A1054" s="4" t="str">
        <f>HYPERLINK("https://ibp.a2mac1.com/costing(costing:projects/details/9760/part/8413574)","Explosive Piston")</f>
        <v>Explosive Piston</v>
      </c>
      <c r="B1054">
        <v>8413574</v>
      </c>
      <c r="C1054">
        <v>8413461</v>
      </c>
      <c r="D1054" t="s">
        <v>284</v>
      </c>
      <c r="E1054">
        <v>6.5940000000000003</v>
      </c>
      <c r="F1054">
        <v>0</v>
      </c>
      <c r="G1054">
        <v>0</v>
      </c>
      <c r="H1054">
        <v>0</v>
      </c>
      <c r="I1054" t="s">
        <v>71</v>
      </c>
      <c r="J1054">
        <v>0</v>
      </c>
      <c r="K1054">
        <v>6.5940000000000003</v>
      </c>
      <c r="L1054">
        <v>0</v>
      </c>
      <c r="M1054">
        <v>0</v>
      </c>
      <c r="N1054">
        <v>6.5940000000000003</v>
      </c>
      <c r="O1054" t="s">
        <v>71</v>
      </c>
      <c r="P1054">
        <v>0</v>
      </c>
      <c r="Q1054" t="s">
        <v>71</v>
      </c>
      <c r="R1054">
        <v>0</v>
      </c>
      <c r="S1054" t="s">
        <v>71</v>
      </c>
      <c r="T1054">
        <v>0</v>
      </c>
      <c r="U1054" t="s">
        <v>71</v>
      </c>
      <c r="V1054">
        <v>0</v>
      </c>
      <c r="W1054" t="s">
        <v>71</v>
      </c>
      <c r="X1054">
        <v>0</v>
      </c>
      <c r="Y1054">
        <v>6.5940000000000003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54</v>
      </c>
      <c r="AF1054">
        <v>54</v>
      </c>
      <c r="AG1054">
        <v>44</v>
      </c>
      <c r="AI1054">
        <v>0.124</v>
      </c>
      <c r="AK1054" t="s">
        <v>272</v>
      </c>
      <c r="AM1054">
        <v>200000</v>
      </c>
      <c r="AN1054" t="s">
        <v>73</v>
      </c>
      <c r="AO1054">
        <v>1</v>
      </c>
      <c r="AP1054">
        <v>0</v>
      </c>
      <c r="AQ1054">
        <v>16666.666666666668</v>
      </c>
      <c r="AR1054" t="s">
        <v>3125</v>
      </c>
      <c r="AS1054" t="s">
        <v>75</v>
      </c>
      <c r="AX1054" t="s">
        <v>76</v>
      </c>
      <c r="AY1054" t="s">
        <v>71</v>
      </c>
      <c r="AZ1054">
        <v>0</v>
      </c>
      <c r="BA1054" t="s">
        <v>71</v>
      </c>
      <c r="BB1054">
        <v>0</v>
      </c>
      <c r="BD1054">
        <v>6.5940000000000003</v>
      </c>
    </row>
    <row r="1055" spans="1:56" x14ac:dyDescent="0.15">
      <c r="A1055" s="4" t="str">
        <f>HYPERLINK("https://ibp.a2mac1.com/costing(costing:projects/details/9760/part/8413575)","Housing Bottom")</f>
        <v>Housing Bottom</v>
      </c>
      <c r="B1055">
        <v>8413575</v>
      </c>
      <c r="C1055">
        <v>8413461</v>
      </c>
      <c r="D1055" t="s">
        <v>2737</v>
      </c>
      <c r="E1055">
        <v>0.39300000000000002</v>
      </c>
      <c r="F1055">
        <v>0</v>
      </c>
      <c r="G1055">
        <v>0</v>
      </c>
      <c r="H1055">
        <v>0</v>
      </c>
      <c r="I1055" t="s">
        <v>71</v>
      </c>
      <c r="J1055">
        <v>0</v>
      </c>
      <c r="K1055">
        <v>0.39300000000000002</v>
      </c>
      <c r="L1055">
        <v>0</v>
      </c>
      <c r="M1055">
        <v>0</v>
      </c>
      <c r="N1055">
        <v>0.39300000000000002</v>
      </c>
      <c r="O1055" t="s">
        <v>71</v>
      </c>
      <c r="P1055">
        <v>0</v>
      </c>
      <c r="Q1055" t="s">
        <v>71</v>
      </c>
      <c r="R1055">
        <v>0</v>
      </c>
      <c r="S1055" t="s">
        <v>71</v>
      </c>
      <c r="T1055">
        <v>0</v>
      </c>
      <c r="U1055" t="s">
        <v>71</v>
      </c>
      <c r="V1055">
        <v>0</v>
      </c>
      <c r="W1055" t="s">
        <v>71</v>
      </c>
      <c r="X1055">
        <v>0</v>
      </c>
      <c r="Y1055">
        <v>0.39300000000000002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55</v>
      </c>
      <c r="AF1055">
        <v>55</v>
      </c>
      <c r="AG1055">
        <v>3</v>
      </c>
      <c r="AI1055">
        <v>4.2999999999999997E-2</v>
      </c>
      <c r="AK1055" t="s">
        <v>272</v>
      </c>
      <c r="AM1055">
        <v>200000</v>
      </c>
      <c r="AN1055" t="s">
        <v>73</v>
      </c>
      <c r="AO1055">
        <v>1</v>
      </c>
      <c r="AP1055">
        <v>0</v>
      </c>
      <c r="AQ1055">
        <v>16666.666666666668</v>
      </c>
      <c r="AR1055" t="s">
        <v>3126</v>
      </c>
      <c r="AS1055" t="s">
        <v>75</v>
      </c>
      <c r="AX1055" t="s">
        <v>76</v>
      </c>
      <c r="AY1055" t="s">
        <v>71</v>
      </c>
      <c r="AZ1055">
        <v>0</v>
      </c>
      <c r="BA1055" t="s">
        <v>71</v>
      </c>
      <c r="BB1055">
        <v>0</v>
      </c>
      <c r="BD1055">
        <v>0.39300000000000002</v>
      </c>
    </row>
    <row r="1056" spans="1:56" x14ac:dyDescent="0.15">
      <c r="A1056" s="4" t="str">
        <f>HYPERLINK("https://ibp.a2mac1.com/costing(costing:projects/details/9760/part/8413576)","Housing Top")</f>
        <v>Housing Top</v>
      </c>
      <c r="B1056">
        <v>8413576</v>
      </c>
      <c r="C1056">
        <v>8413461</v>
      </c>
      <c r="D1056" t="s">
        <v>3127</v>
      </c>
      <c r="E1056">
        <v>0.52300000000000002</v>
      </c>
      <c r="F1056">
        <v>0</v>
      </c>
      <c r="G1056">
        <v>0</v>
      </c>
      <c r="H1056">
        <v>0</v>
      </c>
      <c r="I1056" t="s">
        <v>71</v>
      </c>
      <c r="J1056">
        <v>0</v>
      </c>
      <c r="K1056">
        <v>0.52300000000000002</v>
      </c>
      <c r="L1056">
        <v>0</v>
      </c>
      <c r="M1056">
        <v>0</v>
      </c>
      <c r="N1056">
        <v>0.52300000000000002</v>
      </c>
      <c r="O1056" t="s">
        <v>71</v>
      </c>
      <c r="P1056">
        <v>0</v>
      </c>
      <c r="Q1056" t="s">
        <v>71</v>
      </c>
      <c r="R1056">
        <v>0</v>
      </c>
      <c r="S1056" t="s">
        <v>71</v>
      </c>
      <c r="T1056">
        <v>0</v>
      </c>
      <c r="U1056" t="s">
        <v>71</v>
      </c>
      <c r="V1056">
        <v>0</v>
      </c>
      <c r="W1056" t="s">
        <v>71</v>
      </c>
      <c r="X1056">
        <v>0</v>
      </c>
      <c r="Y1056">
        <v>0.52300000000000002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55</v>
      </c>
      <c r="AF1056">
        <v>54</v>
      </c>
      <c r="AG1056">
        <v>18</v>
      </c>
      <c r="AI1056">
        <v>0.04</v>
      </c>
      <c r="AK1056" t="s">
        <v>272</v>
      </c>
      <c r="AM1056">
        <v>200000</v>
      </c>
      <c r="AN1056" t="s">
        <v>73</v>
      </c>
      <c r="AO1056">
        <v>1</v>
      </c>
      <c r="AP1056">
        <v>0</v>
      </c>
      <c r="AQ1056">
        <v>16666.666666666668</v>
      </c>
      <c r="AR1056" t="s">
        <v>3128</v>
      </c>
      <c r="AS1056" t="s">
        <v>75</v>
      </c>
      <c r="AX1056" t="s">
        <v>76</v>
      </c>
      <c r="AY1056" t="s">
        <v>71</v>
      </c>
      <c r="AZ1056">
        <v>0</v>
      </c>
      <c r="BA1056" t="s">
        <v>71</v>
      </c>
      <c r="BB1056">
        <v>0</v>
      </c>
      <c r="BD1056">
        <v>0.52300000000000002</v>
      </c>
    </row>
    <row r="1057" spans="1:56" x14ac:dyDescent="0.15">
      <c r="A1057" s="4" t="str">
        <f>HYPERLINK("https://ibp.a2mac1.com/costing(costing:projects/details/9760/part/8413577)","Main Housing")</f>
        <v>Main Housing</v>
      </c>
      <c r="B1057">
        <v>8413577</v>
      </c>
      <c r="C1057">
        <v>8413461</v>
      </c>
      <c r="D1057" t="s">
        <v>3127</v>
      </c>
      <c r="E1057">
        <v>0.997</v>
      </c>
      <c r="F1057">
        <v>0</v>
      </c>
      <c r="G1057">
        <v>0</v>
      </c>
      <c r="H1057">
        <v>0</v>
      </c>
      <c r="I1057" t="s">
        <v>71</v>
      </c>
      <c r="J1057">
        <v>0</v>
      </c>
      <c r="K1057">
        <v>0.997</v>
      </c>
      <c r="L1057">
        <v>0</v>
      </c>
      <c r="M1057">
        <v>0</v>
      </c>
      <c r="N1057">
        <v>0.997</v>
      </c>
      <c r="O1057" t="s">
        <v>71</v>
      </c>
      <c r="P1057">
        <v>0</v>
      </c>
      <c r="Q1057" t="s">
        <v>71</v>
      </c>
      <c r="R1057">
        <v>0</v>
      </c>
      <c r="S1057" t="s">
        <v>71</v>
      </c>
      <c r="T1057">
        <v>0</v>
      </c>
      <c r="U1057" t="s">
        <v>71</v>
      </c>
      <c r="V1057">
        <v>0</v>
      </c>
      <c r="W1057" t="s">
        <v>71</v>
      </c>
      <c r="X1057">
        <v>0</v>
      </c>
      <c r="Y1057">
        <v>0.997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54</v>
      </c>
      <c r="AF1057">
        <v>54</v>
      </c>
      <c r="AG1057">
        <v>47</v>
      </c>
      <c r="AI1057">
        <v>0.08</v>
      </c>
      <c r="AK1057" t="s">
        <v>272</v>
      </c>
      <c r="AM1057">
        <v>200000</v>
      </c>
      <c r="AN1057" t="s">
        <v>73</v>
      </c>
      <c r="AO1057">
        <v>1</v>
      </c>
      <c r="AP1057">
        <v>0</v>
      </c>
      <c r="AQ1057">
        <v>16666.666666666668</v>
      </c>
      <c r="AR1057" t="s">
        <v>3129</v>
      </c>
      <c r="AS1057" t="s">
        <v>75</v>
      </c>
      <c r="AX1057" t="s">
        <v>76</v>
      </c>
      <c r="AY1057" t="s">
        <v>71</v>
      </c>
      <c r="AZ1057">
        <v>0</v>
      </c>
      <c r="BA1057" t="s">
        <v>71</v>
      </c>
      <c r="BB1057">
        <v>0</v>
      </c>
      <c r="BD1057">
        <v>0.997</v>
      </c>
    </row>
    <row r="1058" spans="1:56" x14ac:dyDescent="0.15">
      <c r="A1058" s="4" t="str">
        <f>HYPERLINK("https://ibp.a2mac1.com/costing(costing:projects/details/9760/part/8413578)","Terminal Lid 1")</f>
        <v>Terminal Lid 1</v>
      </c>
      <c r="B1058">
        <v>8413578</v>
      </c>
      <c r="C1058">
        <v>8413462</v>
      </c>
      <c r="D1058" t="s">
        <v>3132</v>
      </c>
      <c r="E1058">
        <v>0.217</v>
      </c>
      <c r="F1058">
        <v>0</v>
      </c>
      <c r="G1058">
        <v>0</v>
      </c>
      <c r="H1058">
        <v>0</v>
      </c>
      <c r="I1058" t="s">
        <v>71</v>
      </c>
      <c r="J1058">
        <v>0</v>
      </c>
      <c r="K1058">
        <v>0.217</v>
      </c>
      <c r="L1058">
        <v>0</v>
      </c>
      <c r="M1058">
        <v>0</v>
      </c>
      <c r="N1058">
        <v>0.217</v>
      </c>
      <c r="O1058" t="s">
        <v>71</v>
      </c>
      <c r="P1058">
        <v>0</v>
      </c>
      <c r="Q1058" t="s">
        <v>71</v>
      </c>
      <c r="R1058">
        <v>0</v>
      </c>
      <c r="S1058" t="s">
        <v>71</v>
      </c>
      <c r="T1058">
        <v>0</v>
      </c>
      <c r="U1058" t="s">
        <v>71</v>
      </c>
      <c r="V1058">
        <v>0</v>
      </c>
      <c r="W1058" t="s">
        <v>71</v>
      </c>
      <c r="X1058">
        <v>0</v>
      </c>
      <c r="Y1058">
        <v>0.217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89</v>
      </c>
      <c r="AF1058">
        <v>47</v>
      </c>
      <c r="AG1058">
        <v>31</v>
      </c>
      <c r="AI1058">
        <v>1.9E-2</v>
      </c>
      <c r="AK1058" t="s">
        <v>2791</v>
      </c>
      <c r="AM1058">
        <v>200000</v>
      </c>
      <c r="AN1058" t="s">
        <v>97</v>
      </c>
      <c r="AO1058">
        <v>1</v>
      </c>
      <c r="AP1058">
        <v>0</v>
      </c>
      <c r="AQ1058">
        <v>16666.666666666668</v>
      </c>
      <c r="AR1058" t="s">
        <v>3133</v>
      </c>
      <c r="AS1058" t="s">
        <v>75</v>
      </c>
      <c r="AX1058" t="s">
        <v>76</v>
      </c>
      <c r="AY1058" t="s">
        <v>71</v>
      </c>
      <c r="AZ1058">
        <v>0</v>
      </c>
      <c r="BA1058" t="s">
        <v>71</v>
      </c>
      <c r="BB1058">
        <v>0</v>
      </c>
      <c r="BD1058">
        <v>0.217</v>
      </c>
    </row>
    <row r="1059" spans="1:56" x14ac:dyDescent="0.15">
      <c r="A1059" s="4" t="str">
        <f>HYPERLINK("https://ibp.a2mac1.com/costing(costing:projects/details/9760/part/8413579)","Terminal Lid 2")</f>
        <v>Terminal Lid 2</v>
      </c>
      <c r="B1059">
        <v>8413579</v>
      </c>
      <c r="C1059">
        <v>8413462</v>
      </c>
      <c r="D1059" t="s">
        <v>3132</v>
      </c>
      <c r="E1059">
        <v>5.5E-2</v>
      </c>
      <c r="F1059">
        <v>0</v>
      </c>
      <c r="G1059">
        <v>0</v>
      </c>
      <c r="H1059">
        <v>0</v>
      </c>
      <c r="I1059" t="s">
        <v>71</v>
      </c>
      <c r="J1059">
        <v>0</v>
      </c>
      <c r="K1059">
        <v>5.5E-2</v>
      </c>
      <c r="L1059">
        <v>0</v>
      </c>
      <c r="M1059">
        <v>0</v>
      </c>
      <c r="N1059">
        <v>5.5E-2</v>
      </c>
      <c r="O1059" t="s">
        <v>71</v>
      </c>
      <c r="P1059">
        <v>0</v>
      </c>
      <c r="Q1059" t="s">
        <v>71</v>
      </c>
      <c r="R1059">
        <v>0</v>
      </c>
      <c r="S1059" t="s">
        <v>71</v>
      </c>
      <c r="T1059">
        <v>0</v>
      </c>
      <c r="U1059" t="s">
        <v>71</v>
      </c>
      <c r="V1059">
        <v>0</v>
      </c>
      <c r="W1059" t="s">
        <v>71</v>
      </c>
      <c r="X1059">
        <v>0</v>
      </c>
      <c r="Y1059">
        <v>5.5E-2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63</v>
      </c>
      <c r="AF1059">
        <v>23</v>
      </c>
      <c r="AG1059">
        <v>16</v>
      </c>
      <c r="AI1059">
        <v>5.0000000000000001E-3</v>
      </c>
      <c r="AK1059" t="s">
        <v>272</v>
      </c>
      <c r="AM1059">
        <v>200000</v>
      </c>
      <c r="AN1059" t="s">
        <v>73</v>
      </c>
      <c r="AO1059">
        <v>1</v>
      </c>
      <c r="AP1059">
        <v>0</v>
      </c>
      <c r="AQ1059">
        <v>16666.666666666668</v>
      </c>
      <c r="AR1059" t="s">
        <v>3134</v>
      </c>
      <c r="AS1059" t="s">
        <v>75</v>
      </c>
      <c r="AX1059" t="s">
        <v>76</v>
      </c>
      <c r="AY1059" t="s">
        <v>71</v>
      </c>
      <c r="AZ1059">
        <v>0</v>
      </c>
      <c r="BA1059" t="s">
        <v>71</v>
      </c>
      <c r="BB1059">
        <v>0</v>
      </c>
      <c r="BD1059">
        <v>5.5E-2</v>
      </c>
    </row>
    <row r="1060" spans="1:56" x14ac:dyDescent="0.15">
      <c r="A1060" s="4" t="str">
        <f>HYPERLINK("https://ibp.a2mac1.com/costing(costing:projects/details/9760/part/8413580)","Terminal Lid 3")</f>
        <v>Terminal Lid 3</v>
      </c>
      <c r="B1060">
        <v>8413580</v>
      </c>
      <c r="C1060">
        <v>8413462</v>
      </c>
      <c r="D1060" t="s">
        <v>3132</v>
      </c>
      <c r="E1060">
        <v>6.9000000000000006E-2</v>
      </c>
      <c r="F1060">
        <v>0</v>
      </c>
      <c r="G1060">
        <v>0</v>
      </c>
      <c r="H1060">
        <v>0</v>
      </c>
      <c r="I1060" t="s">
        <v>71</v>
      </c>
      <c r="J1060">
        <v>0</v>
      </c>
      <c r="K1060">
        <v>6.9000000000000006E-2</v>
      </c>
      <c r="L1060">
        <v>0</v>
      </c>
      <c r="M1060">
        <v>0</v>
      </c>
      <c r="N1060">
        <v>6.9000000000000006E-2</v>
      </c>
      <c r="O1060" t="s">
        <v>71</v>
      </c>
      <c r="P1060">
        <v>0</v>
      </c>
      <c r="Q1060" t="s">
        <v>71</v>
      </c>
      <c r="R1060">
        <v>0</v>
      </c>
      <c r="S1060" t="s">
        <v>71</v>
      </c>
      <c r="T1060">
        <v>0</v>
      </c>
      <c r="U1060" t="s">
        <v>71</v>
      </c>
      <c r="V1060">
        <v>0</v>
      </c>
      <c r="W1060" t="s">
        <v>71</v>
      </c>
      <c r="X1060">
        <v>0</v>
      </c>
      <c r="Y1060">
        <v>6.9000000000000006E-2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60</v>
      </c>
      <c r="AF1060">
        <v>33</v>
      </c>
      <c r="AG1060">
        <v>16</v>
      </c>
      <c r="AI1060">
        <v>6.0000000000000001E-3</v>
      </c>
      <c r="AK1060" t="s">
        <v>272</v>
      </c>
      <c r="AM1060">
        <v>200000</v>
      </c>
      <c r="AN1060" t="s">
        <v>73</v>
      </c>
      <c r="AO1060">
        <v>1</v>
      </c>
      <c r="AP1060">
        <v>0</v>
      </c>
      <c r="AQ1060">
        <v>16666.666666666668</v>
      </c>
      <c r="AR1060" t="s">
        <v>3135</v>
      </c>
      <c r="AS1060" t="s">
        <v>75</v>
      </c>
      <c r="AX1060" t="s">
        <v>76</v>
      </c>
      <c r="AY1060" t="s">
        <v>71</v>
      </c>
      <c r="AZ1060">
        <v>0</v>
      </c>
      <c r="BA1060" t="s">
        <v>71</v>
      </c>
      <c r="BB1060">
        <v>0</v>
      </c>
      <c r="BD1060">
        <v>6.9000000000000006E-2</v>
      </c>
    </row>
    <row r="1061" spans="1:56" x14ac:dyDescent="0.15">
      <c r="A1061" s="4" t="str">
        <f>HYPERLINK("https://ibp.a2mac1.com/costing(costing:projects/details/9760/part/8413463)","Fuse")</f>
        <v>Fuse</v>
      </c>
      <c r="B1061">
        <v>8413463</v>
      </c>
      <c r="C1061">
        <v>8413251</v>
      </c>
      <c r="D1061" t="s">
        <v>284</v>
      </c>
      <c r="E1061">
        <v>19.736000000000001</v>
      </c>
      <c r="F1061">
        <v>0</v>
      </c>
      <c r="G1061">
        <v>0</v>
      </c>
      <c r="H1061">
        <v>0</v>
      </c>
      <c r="I1061" t="s">
        <v>71</v>
      </c>
      <c r="J1061">
        <v>0</v>
      </c>
      <c r="K1061">
        <v>19.736000000000001</v>
      </c>
      <c r="L1061">
        <v>0</v>
      </c>
      <c r="M1061">
        <v>0</v>
      </c>
      <c r="N1061">
        <v>19.736000000000001</v>
      </c>
      <c r="O1061" t="s">
        <v>71</v>
      </c>
      <c r="P1061">
        <v>0</v>
      </c>
      <c r="Q1061" t="s">
        <v>71</v>
      </c>
      <c r="R1061">
        <v>0</v>
      </c>
      <c r="S1061" t="s">
        <v>71</v>
      </c>
      <c r="T1061">
        <v>0</v>
      </c>
      <c r="U1061" t="s">
        <v>71</v>
      </c>
      <c r="V1061">
        <v>0</v>
      </c>
      <c r="W1061" t="s">
        <v>71</v>
      </c>
      <c r="X1061">
        <v>0</v>
      </c>
      <c r="Y1061">
        <v>19.736000000000001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122</v>
      </c>
      <c r="AF1061">
        <v>63</v>
      </c>
      <c r="AG1061">
        <v>63</v>
      </c>
      <c r="AI1061">
        <v>0.67200000000000004</v>
      </c>
      <c r="AK1061" t="s">
        <v>2791</v>
      </c>
      <c r="AM1061">
        <v>200000</v>
      </c>
      <c r="AN1061" t="s">
        <v>97</v>
      </c>
      <c r="AO1061">
        <v>1</v>
      </c>
      <c r="AP1061">
        <v>0</v>
      </c>
      <c r="AQ1061">
        <v>16666.666666666668</v>
      </c>
      <c r="AR1061" t="s">
        <v>3137</v>
      </c>
      <c r="AS1061" t="s">
        <v>75</v>
      </c>
      <c r="AX1061" t="s">
        <v>76</v>
      </c>
      <c r="AY1061" t="s">
        <v>71</v>
      </c>
      <c r="AZ1061">
        <v>0</v>
      </c>
      <c r="BA1061" t="s">
        <v>71</v>
      </c>
      <c r="BB1061">
        <v>0</v>
      </c>
      <c r="BD1061">
        <v>19.736000000000001</v>
      </c>
    </row>
    <row r="1062" spans="1:56" x14ac:dyDescent="0.15">
      <c r="A1062" s="4" t="str">
        <f>HYPERLINK("https://ibp.a2mac1.com/costing(costing:projects/details/9760/part/8413464)","Fuse 2")</f>
        <v>Fuse 2</v>
      </c>
      <c r="B1062">
        <v>8413464</v>
      </c>
      <c r="C1062">
        <v>8413251</v>
      </c>
      <c r="D1062" t="s">
        <v>284</v>
      </c>
      <c r="E1062">
        <v>6.5579999999999998</v>
      </c>
      <c r="F1062">
        <v>0</v>
      </c>
      <c r="G1062">
        <v>0</v>
      </c>
      <c r="H1062">
        <v>0</v>
      </c>
      <c r="I1062" t="s">
        <v>71</v>
      </c>
      <c r="J1062">
        <v>0</v>
      </c>
      <c r="K1062">
        <v>6.5579999999999998</v>
      </c>
      <c r="L1062">
        <v>0</v>
      </c>
      <c r="M1062">
        <v>0</v>
      </c>
      <c r="N1062">
        <v>6.5579999999999998</v>
      </c>
      <c r="O1062" t="s">
        <v>71</v>
      </c>
      <c r="P1062">
        <v>0</v>
      </c>
      <c r="Q1062" t="s">
        <v>71</v>
      </c>
      <c r="R1062">
        <v>0</v>
      </c>
      <c r="S1062" t="s">
        <v>71</v>
      </c>
      <c r="T1062">
        <v>0</v>
      </c>
      <c r="U1062" t="s">
        <v>71</v>
      </c>
      <c r="V1062">
        <v>0</v>
      </c>
      <c r="W1062" t="s">
        <v>71</v>
      </c>
      <c r="X1062">
        <v>0</v>
      </c>
      <c r="Y1062">
        <v>6.5579999999999998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73</v>
      </c>
      <c r="AF1062">
        <v>15</v>
      </c>
      <c r="AG1062">
        <v>15</v>
      </c>
      <c r="AI1062">
        <v>2.7E-2</v>
      </c>
      <c r="AK1062" t="s">
        <v>2791</v>
      </c>
      <c r="AM1062">
        <v>600000</v>
      </c>
      <c r="AN1062" t="s">
        <v>97</v>
      </c>
      <c r="AO1062">
        <v>3</v>
      </c>
      <c r="AP1062">
        <v>0</v>
      </c>
      <c r="AQ1062">
        <v>50000</v>
      </c>
      <c r="AR1062" t="s">
        <v>3138</v>
      </c>
      <c r="AS1062" t="s">
        <v>75</v>
      </c>
      <c r="AX1062" t="s">
        <v>76</v>
      </c>
      <c r="AY1062" t="s">
        <v>71</v>
      </c>
      <c r="AZ1062">
        <v>0</v>
      </c>
      <c r="BA1062" t="s">
        <v>71</v>
      </c>
      <c r="BB1062">
        <v>0</v>
      </c>
      <c r="BD1062">
        <v>2.1859999999999999</v>
      </c>
    </row>
    <row r="1063" spans="1:56" x14ac:dyDescent="0.15">
      <c r="A1063" s="4" t="str">
        <f>HYPERLINK("https://ibp.a2mac1.com/costing(costing:projects/details/9760/part/8413465)","Relay Housing")</f>
        <v>Relay Housing</v>
      </c>
      <c r="B1063">
        <v>8413465</v>
      </c>
      <c r="C1063">
        <v>8413251</v>
      </c>
      <c r="D1063" t="s">
        <v>2966</v>
      </c>
      <c r="E1063">
        <v>3.3720553739999999</v>
      </c>
      <c r="F1063">
        <v>0</v>
      </c>
      <c r="G1063">
        <v>0</v>
      </c>
      <c r="H1063">
        <v>3.5185488000000001E-3</v>
      </c>
      <c r="I1063" t="s">
        <v>176</v>
      </c>
      <c r="J1063">
        <v>0.1184127</v>
      </c>
      <c r="K1063">
        <v>3.4939866228000001</v>
      </c>
      <c r="L1063">
        <v>0.75520935584595983</v>
      </c>
      <c r="M1063">
        <v>4.5312561350757594</v>
      </c>
      <c r="N1063">
        <v>8.025242757875759</v>
      </c>
      <c r="O1063" t="s">
        <v>177</v>
      </c>
      <c r="P1063">
        <v>0.20963919736799999</v>
      </c>
      <c r="Q1063" t="s">
        <v>177</v>
      </c>
      <c r="R1063">
        <v>0.27187536810454555</v>
      </c>
      <c r="S1063" t="s">
        <v>178</v>
      </c>
      <c r="T1063">
        <v>0.96302913094509113</v>
      </c>
      <c r="U1063" t="s">
        <v>90</v>
      </c>
      <c r="V1063">
        <v>0</v>
      </c>
      <c r="W1063" t="s">
        <v>90</v>
      </c>
      <c r="X1063">
        <v>0</v>
      </c>
      <c r="Y1063">
        <v>9.4697864542933949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540</v>
      </c>
      <c r="AF1063">
        <v>375</v>
      </c>
      <c r="AG1063">
        <v>77</v>
      </c>
      <c r="AI1063">
        <v>1.996</v>
      </c>
      <c r="AK1063" t="s">
        <v>2791</v>
      </c>
      <c r="AM1063">
        <v>200000</v>
      </c>
      <c r="AN1063" t="s">
        <v>97</v>
      </c>
      <c r="AO1063">
        <v>1</v>
      </c>
      <c r="AP1063">
        <v>0</v>
      </c>
      <c r="AQ1063">
        <v>16666.666666666668</v>
      </c>
      <c r="AR1063" t="s">
        <v>3143</v>
      </c>
      <c r="AS1063" t="s">
        <v>75</v>
      </c>
      <c r="AX1063" t="s">
        <v>76</v>
      </c>
      <c r="AY1063" t="s">
        <v>176</v>
      </c>
      <c r="AZ1063">
        <v>0</v>
      </c>
      <c r="BA1063" t="s">
        <v>176</v>
      </c>
      <c r="BB1063">
        <v>0</v>
      </c>
    </row>
    <row r="1064" spans="1:56" x14ac:dyDescent="0.15">
      <c r="A1064" s="4" t="str">
        <f>HYPERLINK("https://ibp.a2mac1.com/costing(costing:projects/details/9760/part/8413466)","Relay Box Cover")</f>
        <v>Relay Box Cover</v>
      </c>
      <c r="B1064">
        <v>8413466</v>
      </c>
      <c r="C1064">
        <v>8413251</v>
      </c>
      <c r="D1064" t="s">
        <v>2966</v>
      </c>
      <c r="E1064">
        <v>6.1760000000000002</v>
      </c>
      <c r="F1064">
        <v>0</v>
      </c>
      <c r="G1064">
        <v>0</v>
      </c>
      <c r="H1064">
        <v>0</v>
      </c>
      <c r="I1064" t="s">
        <v>71</v>
      </c>
      <c r="J1064">
        <v>0</v>
      </c>
      <c r="K1064">
        <v>6.1760000000000002</v>
      </c>
      <c r="L1064">
        <v>0</v>
      </c>
      <c r="M1064">
        <v>0</v>
      </c>
      <c r="N1064">
        <v>6.1760000000000002</v>
      </c>
      <c r="O1064" t="s">
        <v>71</v>
      </c>
      <c r="P1064">
        <v>0</v>
      </c>
      <c r="Q1064" t="s">
        <v>71</v>
      </c>
      <c r="R1064">
        <v>0</v>
      </c>
      <c r="S1064" t="s">
        <v>71</v>
      </c>
      <c r="T1064">
        <v>0</v>
      </c>
      <c r="U1064" t="s">
        <v>71</v>
      </c>
      <c r="V1064">
        <v>0</v>
      </c>
      <c r="W1064" t="s">
        <v>71</v>
      </c>
      <c r="X1064">
        <v>0</v>
      </c>
      <c r="Y1064">
        <v>6.1760000000000002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534</v>
      </c>
      <c r="AF1064">
        <v>338</v>
      </c>
      <c r="AG1064">
        <v>94</v>
      </c>
      <c r="AI1064">
        <v>0.78100000000000003</v>
      </c>
      <c r="AK1064" t="s">
        <v>2791</v>
      </c>
      <c r="AM1064">
        <v>200000</v>
      </c>
      <c r="AN1064" t="s">
        <v>97</v>
      </c>
      <c r="AO1064">
        <v>1</v>
      </c>
      <c r="AP1064">
        <v>0</v>
      </c>
      <c r="AQ1064">
        <v>16666.666666666668</v>
      </c>
      <c r="AR1064" t="s">
        <v>3144</v>
      </c>
      <c r="AS1064" t="s">
        <v>75</v>
      </c>
      <c r="AX1064" t="s">
        <v>76</v>
      </c>
      <c r="AY1064" t="s">
        <v>71</v>
      </c>
      <c r="AZ1064">
        <v>0</v>
      </c>
      <c r="BA1064" t="s">
        <v>71</v>
      </c>
      <c r="BB1064">
        <v>0</v>
      </c>
      <c r="BD1064">
        <v>6.1760000000000002</v>
      </c>
    </row>
    <row r="1065" spans="1:56" x14ac:dyDescent="0.15">
      <c r="A1065" s="4" t="str">
        <f>HYPERLINK("https://ibp.a2mac1.com/costing(costing:projects/details/9760/part/8413467)","Current Sensor 2")</f>
        <v>Current Sensor 2</v>
      </c>
      <c r="B1065">
        <v>8413467</v>
      </c>
      <c r="C1065">
        <v>8413251</v>
      </c>
      <c r="D1065" t="s">
        <v>284</v>
      </c>
      <c r="E1065">
        <v>5</v>
      </c>
      <c r="F1065">
        <v>0</v>
      </c>
      <c r="G1065">
        <v>0</v>
      </c>
      <c r="H1065">
        <v>0</v>
      </c>
      <c r="I1065" t="s">
        <v>71</v>
      </c>
      <c r="J1065">
        <v>0</v>
      </c>
      <c r="K1065">
        <v>5</v>
      </c>
      <c r="L1065">
        <v>0</v>
      </c>
      <c r="M1065">
        <v>0</v>
      </c>
      <c r="N1065">
        <v>5</v>
      </c>
      <c r="O1065" t="s">
        <v>71</v>
      </c>
      <c r="P1065">
        <v>0</v>
      </c>
      <c r="Q1065" t="s">
        <v>71</v>
      </c>
      <c r="R1065">
        <v>0</v>
      </c>
      <c r="S1065" t="s">
        <v>71</v>
      </c>
      <c r="T1065">
        <v>0</v>
      </c>
      <c r="U1065" t="s">
        <v>71</v>
      </c>
      <c r="V1065">
        <v>0</v>
      </c>
      <c r="W1065" t="s">
        <v>71</v>
      </c>
      <c r="X1065">
        <v>0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41</v>
      </c>
      <c r="AF1065">
        <v>40</v>
      </c>
      <c r="AG1065">
        <v>35</v>
      </c>
      <c r="AI1065">
        <v>5.6000000000000001E-2</v>
      </c>
      <c r="AK1065" t="s">
        <v>272</v>
      </c>
      <c r="AM1065">
        <v>200000</v>
      </c>
      <c r="AN1065" t="s">
        <v>73</v>
      </c>
      <c r="AO1065">
        <v>1</v>
      </c>
      <c r="AP1065">
        <v>0</v>
      </c>
      <c r="AQ1065">
        <v>16666.666666666668</v>
      </c>
      <c r="AR1065" t="s">
        <v>3145</v>
      </c>
      <c r="AS1065" t="s">
        <v>75</v>
      </c>
      <c r="AX1065" t="s">
        <v>76</v>
      </c>
      <c r="AY1065" t="s">
        <v>71</v>
      </c>
      <c r="AZ1065">
        <v>0</v>
      </c>
      <c r="BA1065" t="s">
        <v>71</v>
      </c>
      <c r="BB1065">
        <v>0</v>
      </c>
      <c r="BD1065">
        <v>5</v>
      </c>
    </row>
    <row r="1066" spans="1:56" x14ac:dyDescent="0.15">
      <c r="A1066" s="4" t="str">
        <f>HYPERLINK("https://ibp.a2mac1.com/costing(costing:projects/details/9760/part/8413468)","DC-Charge Negative Relay")</f>
        <v>DC-Charge Negative Relay</v>
      </c>
      <c r="B1066">
        <v>8413468</v>
      </c>
      <c r="C1066">
        <v>8413251</v>
      </c>
      <c r="D1066" t="s">
        <v>284</v>
      </c>
      <c r="E1066">
        <v>12</v>
      </c>
      <c r="F1066">
        <v>0</v>
      </c>
      <c r="G1066">
        <v>0</v>
      </c>
      <c r="H1066">
        <v>0</v>
      </c>
      <c r="I1066" t="s">
        <v>71</v>
      </c>
      <c r="J1066">
        <v>0</v>
      </c>
      <c r="K1066">
        <v>12</v>
      </c>
      <c r="L1066">
        <v>0</v>
      </c>
      <c r="M1066">
        <v>0</v>
      </c>
      <c r="N1066">
        <v>12</v>
      </c>
      <c r="O1066" t="s">
        <v>71</v>
      </c>
      <c r="P1066">
        <v>0</v>
      </c>
      <c r="Q1066" t="s">
        <v>71</v>
      </c>
      <c r="R1066">
        <v>0</v>
      </c>
      <c r="S1066" t="s">
        <v>71</v>
      </c>
      <c r="T1066">
        <v>0</v>
      </c>
      <c r="U1066" t="s">
        <v>71</v>
      </c>
      <c r="V1066">
        <v>0</v>
      </c>
      <c r="W1066" t="s">
        <v>71</v>
      </c>
      <c r="X1066">
        <v>0</v>
      </c>
      <c r="Y1066">
        <v>12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86</v>
      </c>
      <c r="AF1066">
        <v>74</v>
      </c>
      <c r="AG1066">
        <v>42</v>
      </c>
      <c r="AI1066">
        <v>0.40300000000000002</v>
      </c>
      <c r="AK1066" t="s">
        <v>272</v>
      </c>
      <c r="AM1066">
        <v>200000</v>
      </c>
      <c r="AN1066" t="s">
        <v>73</v>
      </c>
      <c r="AO1066">
        <v>1</v>
      </c>
      <c r="AP1066">
        <v>0</v>
      </c>
      <c r="AQ1066">
        <v>16666.666666666668</v>
      </c>
      <c r="AR1066" t="s">
        <v>3146</v>
      </c>
      <c r="AS1066" t="s">
        <v>75</v>
      </c>
      <c r="AX1066" t="s">
        <v>76</v>
      </c>
      <c r="AY1066" t="s">
        <v>71</v>
      </c>
      <c r="AZ1066">
        <v>0</v>
      </c>
      <c r="BA1066" t="s">
        <v>71</v>
      </c>
      <c r="BB1066">
        <v>0</v>
      </c>
      <c r="BD1066">
        <v>12</v>
      </c>
    </row>
    <row r="1067" spans="1:56" x14ac:dyDescent="0.15">
      <c r="A1067" s="4" t="str">
        <f>HYPERLINK("https://ibp.a2mac1.com/costing(costing:projects/details/9760/part/8413469)","DC-Charge Positive Relay")</f>
        <v>DC-Charge Positive Relay</v>
      </c>
      <c r="B1067">
        <v>8413469</v>
      </c>
      <c r="C1067">
        <v>8413251</v>
      </c>
      <c r="D1067" t="s">
        <v>284</v>
      </c>
      <c r="E1067">
        <v>12</v>
      </c>
      <c r="F1067">
        <v>0</v>
      </c>
      <c r="G1067">
        <v>0</v>
      </c>
      <c r="H1067">
        <v>0</v>
      </c>
      <c r="I1067" t="s">
        <v>71</v>
      </c>
      <c r="J1067">
        <v>0</v>
      </c>
      <c r="K1067">
        <v>12</v>
      </c>
      <c r="L1067">
        <v>0</v>
      </c>
      <c r="M1067">
        <v>0</v>
      </c>
      <c r="N1067">
        <v>12</v>
      </c>
      <c r="O1067" t="s">
        <v>71</v>
      </c>
      <c r="P1067">
        <v>0</v>
      </c>
      <c r="Q1067" t="s">
        <v>71</v>
      </c>
      <c r="R1067">
        <v>0</v>
      </c>
      <c r="S1067" t="s">
        <v>71</v>
      </c>
      <c r="T1067">
        <v>0</v>
      </c>
      <c r="U1067" t="s">
        <v>71</v>
      </c>
      <c r="V1067">
        <v>0</v>
      </c>
      <c r="W1067" t="s">
        <v>71</v>
      </c>
      <c r="X1067">
        <v>0</v>
      </c>
      <c r="Y1067">
        <v>12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86</v>
      </c>
      <c r="AF1067">
        <v>74</v>
      </c>
      <c r="AG1067">
        <v>42</v>
      </c>
      <c r="AI1067">
        <v>0.40300000000000002</v>
      </c>
      <c r="AK1067" t="s">
        <v>272</v>
      </c>
      <c r="AM1067">
        <v>200000</v>
      </c>
      <c r="AN1067" t="s">
        <v>73</v>
      </c>
      <c r="AO1067">
        <v>1</v>
      </c>
      <c r="AP1067">
        <v>0</v>
      </c>
      <c r="AQ1067">
        <v>16666.666666666668</v>
      </c>
      <c r="AR1067" t="s">
        <v>3147</v>
      </c>
      <c r="AS1067" t="s">
        <v>75</v>
      </c>
      <c r="AX1067" t="s">
        <v>76</v>
      </c>
      <c r="AY1067" t="s">
        <v>71</v>
      </c>
      <c r="AZ1067">
        <v>0</v>
      </c>
      <c r="BA1067" t="s">
        <v>71</v>
      </c>
      <c r="BB1067">
        <v>0</v>
      </c>
      <c r="BD1067">
        <v>12</v>
      </c>
    </row>
    <row r="1068" spans="1:56" x14ac:dyDescent="0.15">
      <c r="A1068" s="4" t="str">
        <f>HYPERLINK("https://ibp.a2mac1.com/costing(costing:projects/details/9760/part/8413470)","Main Negative Relay")</f>
        <v>Main Negative Relay</v>
      </c>
      <c r="B1068">
        <v>8413470</v>
      </c>
      <c r="C1068">
        <v>8413251</v>
      </c>
      <c r="D1068" t="s">
        <v>284</v>
      </c>
      <c r="E1068">
        <v>12</v>
      </c>
      <c r="F1068">
        <v>0</v>
      </c>
      <c r="G1068">
        <v>0</v>
      </c>
      <c r="H1068">
        <v>0</v>
      </c>
      <c r="I1068" t="s">
        <v>71</v>
      </c>
      <c r="J1068">
        <v>0</v>
      </c>
      <c r="K1068">
        <v>12</v>
      </c>
      <c r="L1068">
        <v>0</v>
      </c>
      <c r="M1068">
        <v>0</v>
      </c>
      <c r="N1068">
        <v>12</v>
      </c>
      <c r="O1068" t="s">
        <v>71</v>
      </c>
      <c r="P1068">
        <v>0</v>
      </c>
      <c r="Q1068" t="s">
        <v>71</v>
      </c>
      <c r="R1068">
        <v>0</v>
      </c>
      <c r="S1068" t="s">
        <v>71</v>
      </c>
      <c r="T1068">
        <v>0</v>
      </c>
      <c r="U1068" t="s">
        <v>71</v>
      </c>
      <c r="V1068">
        <v>0</v>
      </c>
      <c r="W1068" t="s">
        <v>71</v>
      </c>
      <c r="X1068">
        <v>0</v>
      </c>
      <c r="Y1068">
        <v>12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86</v>
      </c>
      <c r="AF1068">
        <v>74</v>
      </c>
      <c r="AG1068">
        <v>42</v>
      </c>
      <c r="AI1068">
        <v>0.40200000000000002</v>
      </c>
      <c r="AK1068" t="s">
        <v>2791</v>
      </c>
      <c r="AM1068">
        <v>200000</v>
      </c>
      <c r="AN1068" t="s">
        <v>97</v>
      </c>
      <c r="AO1068">
        <v>1</v>
      </c>
      <c r="AP1068">
        <v>0</v>
      </c>
      <c r="AQ1068">
        <v>16666.666666666668</v>
      </c>
      <c r="AR1068" t="s">
        <v>3148</v>
      </c>
      <c r="AS1068" t="s">
        <v>75</v>
      </c>
      <c r="AX1068" t="s">
        <v>76</v>
      </c>
      <c r="AY1068" t="s">
        <v>71</v>
      </c>
      <c r="AZ1068">
        <v>0</v>
      </c>
      <c r="BA1068" t="s">
        <v>71</v>
      </c>
      <c r="BB1068">
        <v>0</v>
      </c>
      <c r="BD1068">
        <v>12</v>
      </c>
    </row>
    <row r="1069" spans="1:56" x14ac:dyDescent="0.15">
      <c r="A1069" s="4" t="str">
        <f>HYPERLINK("https://ibp.a2mac1.com/costing(costing:projects/details/9760/part/8413471)","Main Positive Relay")</f>
        <v>Main Positive Relay</v>
      </c>
      <c r="B1069">
        <v>8413471</v>
      </c>
      <c r="C1069">
        <v>8413251</v>
      </c>
      <c r="D1069" t="s">
        <v>284</v>
      </c>
      <c r="E1069">
        <v>12</v>
      </c>
      <c r="F1069">
        <v>0</v>
      </c>
      <c r="G1069">
        <v>0</v>
      </c>
      <c r="H1069">
        <v>0</v>
      </c>
      <c r="I1069" t="s">
        <v>71</v>
      </c>
      <c r="J1069">
        <v>0</v>
      </c>
      <c r="K1069">
        <v>12</v>
      </c>
      <c r="L1069">
        <v>0</v>
      </c>
      <c r="M1069">
        <v>0</v>
      </c>
      <c r="N1069">
        <v>12</v>
      </c>
      <c r="O1069" t="s">
        <v>71</v>
      </c>
      <c r="P1069">
        <v>0</v>
      </c>
      <c r="Q1069" t="s">
        <v>71</v>
      </c>
      <c r="R1069">
        <v>0</v>
      </c>
      <c r="S1069" t="s">
        <v>71</v>
      </c>
      <c r="T1069">
        <v>0</v>
      </c>
      <c r="U1069" t="s">
        <v>71</v>
      </c>
      <c r="V1069">
        <v>0</v>
      </c>
      <c r="W1069" t="s">
        <v>71</v>
      </c>
      <c r="X1069">
        <v>0</v>
      </c>
      <c r="Y1069">
        <v>12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86</v>
      </c>
      <c r="AF1069">
        <v>75</v>
      </c>
      <c r="AG1069">
        <v>42</v>
      </c>
      <c r="AI1069">
        <v>0.40300000000000002</v>
      </c>
      <c r="AK1069" t="s">
        <v>2791</v>
      </c>
      <c r="AM1069">
        <v>200000</v>
      </c>
      <c r="AN1069" t="s">
        <v>97</v>
      </c>
      <c r="AO1069">
        <v>1</v>
      </c>
      <c r="AP1069">
        <v>0</v>
      </c>
      <c r="AQ1069">
        <v>16666.666666666668</v>
      </c>
      <c r="AR1069" t="s">
        <v>3149</v>
      </c>
      <c r="AS1069" t="s">
        <v>75</v>
      </c>
      <c r="AX1069" t="s">
        <v>76</v>
      </c>
      <c r="AY1069" t="s">
        <v>71</v>
      </c>
      <c r="AZ1069">
        <v>0</v>
      </c>
      <c r="BA1069" t="s">
        <v>71</v>
      </c>
      <c r="BB1069">
        <v>0</v>
      </c>
      <c r="BD1069">
        <v>12</v>
      </c>
    </row>
    <row r="1070" spans="1:56" x14ac:dyDescent="0.15">
      <c r="A1070" s="4" t="str">
        <f>HYPERLINK("https://ibp.a2mac1.com/costing(costing:projects/details/9760/part/8413472)","Precharger Relay")</f>
        <v>Precharger Relay</v>
      </c>
      <c r="B1070">
        <v>8413472</v>
      </c>
      <c r="C1070">
        <v>8413251</v>
      </c>
      <c r="D1070" t="s">
        <v>284</v>
      </c>
      <c r="E1070">
        <v>6.3</v>
      </c>
      <c r="F1070">
        <v>0</v>
      </c>
      <c r="G1070">
        <v>0</v>
      </c>
      <c r="H1070">
        <v>0</v>
      </c>
      <c r="I1070" t="s">
        <v>71</v>
      </c>
      <c r="J1070">
        <v>0</v>
      </c>
      <c r="K1070">
        <v>6.3</v>
      </c>
      <c r="L1070">
        <v>0</v>
      </c>
      <c r="M1070">
        <v>0</v>
      </c>
      <c r="N1070">
        <v>6.3</v>
      </c>
      <c r="O1070" t="s">
        <v>71</v>
      </c>
      <c r="P1070">
        <v>0</v>
      </c>
      <c r="Q1070" t="s">
        <v>71</v>
      </c>
      <c r="R1070">
        <v>0</v>
      </c>
      <c r="S1070" t="s">
        <v>71</v>
      </c>
      <c r="T1070">
        <v>0</v>
      </c>
      <c r="U1070" t="s">
        <v>71</v>
      </c>
      <c r="V1070">
        <v>0</v>
      </c>
      <c r="W1070" t="s">
        <v>71</v>
      </c>
      <c r="X1070">
        <v>0</v>
      </c>
      <c r="Y1070">
        <v>6.3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44</v>
      </c>
      <c r="AF1070">
        <v>41</v>
      </c>
      <c r="AG1070">
        <v>30</v>
      </c>
      <c r="AI1070">
        <v>0.05</v>
      </c>
      <c r="AK1070" t="s">
        <v>272</v>
      </c>
      <c r="AM1070">
        <v>200000</v>
      </c>
      <c r="AN1070" t="s">
        <v>73</v>
      </c>
      <c r="AO1070">
        <v>1</v>
      </c>
      <c r="AP1070">
        <v>0</v>
      </c>
      <c r="AQ1070">
        <v>16666.666666666668</v>
      </c>
      <c r="AR1070" t="s">
        <v>3150</v>
      </c>
      <c r="AS1070" t="s">
        <v>75</v>
      </c>
      <c r="AX1070" t="s">
        <v>76</v>
      </c>
      <c r="AY1070" t="s">
        <v>71</v>
      </c>
      <c r="AZ1070">
        <v>0</v>
      </c>
      <c r="BA1070" t="s">
        <v>71</v>
      </c>
      <c r="BB1070">
        <v>0</v>
      </c>
      <c r="BD1070">
        <v>6.3</v>
      </c>
    </row>
    <row r="1071" spans="1:56" x14ac:dyDescent="0.15">
      <c r="A1071" s="4" t="str">
        <f>HYPERLINK("https://ibp.a2mac1.com/costing(costing:projects/details/9760/part/8413473)","Precharger Resistor")</f>
        <v>Precharger Resistor</v>
      </c>
      <c r="B1071">
        <v>8413473</v>
      </c>
      <c r="C1071">
        <v>8413251</v>
      </c>
      <c r="D1071" t="s">
        <v>284</v>
      </c>
      <c r="E1071">
        <v>2.5</v>
      </c>
      <c r="F1071">
        <v>0</v>
      </c>
      <c r="G1071">
        <v>0</v>
      </c>
      <c r="H1071">
        <v>0</v>
      </c>
      <c r="I1071" t="s">
        <v>71</v>
      </c>
      <c r="J1071">
        <v>0</v>
      </c>
      <c r="K1071">
        <v>2.5</v>
      </c>
      <c r="L1071">
        <v>0</v>
      </c>
      <c r="M1071">
        <v>0</v>
      </c>
      <c r="N1071">
        <v>2.5</v>
      </c>
      <c r="O1071" t="s">
        <v>71</v>
      </c>
      <c r="P1071">
        <v>0</v>
      </c>
      <c r="Q1071" t="s">
        <v>71</v>
      </c>
      <c r="R1071">
        <v>0</v>
      </c>
      <c r="S1071" t="s">
        <v>71</v>
      </c>
      <c r="T1071">
        <v>0</v>
      </c>
      <c r="U1071" t="s">
        <v>71</v>
      </c>
      <c r="V1071">
        <v>0</v>
      </c>
      <c r="W1071" t="s">
        <v>71</v>
      </c>
      <c r="X1071">
        <v>0</v>
      </c>
      <c r="Y1071">
        <v>2.5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90</v>
      </c>
      <c r="AF1071">
        <v>60</v>
      </c>
      <c r="AG1071">
        <v>35</v>
      </c>
      <c r="AI1071">
        <v>0.221</v>
      </c>
      <c r="AK1071" t="s">
        <v>2791</v>
      </c>
      <c r="AM1071">
        <v>200000</v>
      </c>
      <c r="AN1071" t="s">
        <v>97</v>
      </c>
      <c r="AO1071">
        <v>1</v>
      </c>
      <c r="AP1071">
        <v>0</v>
      </c>
      <c r="AQ1071">
        <v>16666.666666666668</v>
      </c>
      <c r="AR1071" t="s">
        <v>3151</v>
      </c>
      <c r="AS1071" t="s">
        <v>75</v>
      </c>
      <c r="AX1071" t="s">
        <v>76</v>
      </c>
      <c r="AY1071" t="s">
        <v>71</v>
      </c>
      <c r="AZ1071">
        <v>0</v>
      </c>
      <c r="BA1071" t="s">
        <v>71</v>
      </c>
      <c r="BB1071">
        <v>0</v>
      </c>
      <c r="BD1071">
        <v>2.5</v>
      </c>
    </row>
    <row r="1072" spans="1:56" x14ac:dyDescent="0.15">
      <c r="A1072" s="4" t="str">
        <f>HYPERLINK("https://ibp.a2mac1.com/costing(costing:projects/details/9760/part/8413474)","Terminal Protection")</f>
        <v>Terminal Protection</v>
      </c>
      <c r="B1072">
        <v>8413474</v>
      </c>
      <c r="C1072">
        <v>8413251</v>
      </c>
      <c r="D1072" t="s">
        <v>3132</v>
      </c>
      <c r="E1072">
        <v>0.126</v>
      </c>
      <c r="F1072">
        <v>0</v>
      </c>
      <c r="G1072">
        <v>0</v>
      </c>
      <c r="H1072">
        <v>0</v>
      </c>
      <c r="I1072" t="s">
        <v>71</v>
      </c>
      <c r="J1072">
        <v>0</v>
      </c>
      <c r="K1072">
        <v>0.126</v>
      </c>
      <c r="L1072">
        <v>0</v>
      </c>
      <c r="M1072">
        <v>0</v>
      </c>
      <c r="N1072">
        <v>0.126</v>
      </c>
      <c r="O1072" t="s">
        <v>71</v>
      </c>
      <c r="P1072">
        <v>0</v>
      </c>
      <c r="Q1072" t="s">
        <v>71</v>
      </c>
      <c r="R1072">
        <v>0</v>
      </c>
      <c r="S1072" t="s">
        <v>71</v>
      </c>
      <c r="T1072">
        <v>0</v>
      </c>
      <c r="U1072" t="s">
        <v>71</v>
      </c>
      <c r="V1072">
        <v>0</v>
      </c>
      <c r="W1072" t="s">
        <v>71</v>
      </c>
      <c r="X1072">
        <v>0</v>
      </c>
      <c r="Y1072">
        <v>0.126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86</v>
      </c>
      <c r="AF1072">
        <v>44</v>
      </c>
      <c r="AG1072">
        <v>19</v>
      </c>
      <c r="AI1072">
        <v>1.0999999999999999E-2</v>
      </c>
      <c r="AK1072" t="s">
        <v>272</v>
      </c>
      <c r="AM1072">
        <v>200000</v>
      </c>
      <c r="AN1072" t="s">
        <v>73</v>
      </c>
      <c r="AO1072">
        <v>1</v>
      </c>
      <c r="AP1072">
        <v>0</v>
      </c>
      <c r="AQ1072">
        <v>16666.666666666668</v>
      </c>
      <c r="AR1072" t="s">
        <v>3152</v>
      </c>
      <c r="AS1072" t="s">
        <v>75</v>
      </c>
      <c r="AX1072" t="s">
        <v>76</v>
      </c>
      <c r="AY1072" t="s">
        <v>71</v>
      </c>
      <c r="AZ1072">
        <v>0</v>
      </c>
      <c r="BA1072" t="s">
        <v>71</v>
      </c>
      <c r="BB1072">
        <v>0</v>
      </c>
      <c r="BD1072">
        <v>0.126</v>
      </c>
    </row>
    <row r="1073" spans="1:56" x14ac:dyDescent="0.15">
      <c r="A1073" s="4" t="str">
        <f>HYPERLINK("https://ibp.a2mac1.com/costing(costing:projects/details/9760/part/8413475)","Terminal Protection 2")</f>
        <v>Terminal Protection 2</v>
      </c>
      <c r="B1073">
        <v>8413475</v>
      </c>
      <c r="C1073">
        <v>8413251</v>
      </c>
      <c r="D1073" t="s">
        <v>3132</v>
      </c>
      <c r="E1073">
        <v>0.10299999999999999</v>
      </c>
      <c r="F1073">
        <v>0</v>
      </c>
      <c r="G1073">
        <v>0</v>
      </c>
      <c r="H1073">
        <v>0</v>
      </c>
      <c r="I1073" t="s">
        <v>71</v>
      </c>
      <c r="J1073">
        <v>0</v>
      </c>
      <c r="K1073">
        <v>0.10299999999999999</v>
      </c>
      <c r="L1073">
        <v>0</v>
      </c>
      <c r="M1073">
        <v>0</v>
      </c>
      <c r="N1073">
        <v>0.10299999999999999</v>
      </c>
      <c r="O1073" t="s">
        <v>71</v>
      </c>
      <c r="P1073">
        <v>0</v>
      </c>
      <c r="Q1073" t="s">
        <v>71</v>
      </c>
      <c r="R1073">
        <v>0</v>
      </c>
      <c r="S1073" t="s">
        <v>71</v>
      </c>
      <c r="T1073">
        <v>0</v>
      </c>
      <c r="U1073" t="s">
        <v>71</v>
      </c>
      <c r="V1073">
        <v>0</v>
      </c>
      <c r="W1073" t="s">
        <v>71</v>
      </c>
      <c r="X1073">
        <v>0</v>
      </c>
      <c r="Y1073">
        <v>0.10299999999999999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72</v>
      </c>
      <c r="AF1073">
        <v>28</v>
      </c>
      <c r="AG1073">
        <v>24</v>
      </c>
      <c r="AI1073">
        <v>8.9999999999999993E-3</v>
      </c>
      <c r="AK1073" t="s">
        <v>272</v>
      </c>
      <c r="AM1073">
        <v>200000</v>
      </c>
      <c r="AN1073" t="s">
        <v>73</v>
      </c>
      <c r="AO1073">
        <v>1</v>
      </c>
      <c r="AP1073">
        <v>0</v>
      </c>
      <c r="AQ1073">
        <v>16666.666666666668</v>
      </c>
      <c r="AR1073" t="s">
        <v>3153</v>
      </c>
      <c r="AS1073" t="s">
        <v>75</v>
      </c>
      <c r="AX1073" t="s">
        <v>76</v>
      </c>
      <c r="AY1073" t="s">
        <v>71</v>
      </c>
      <c r="AZ1073">
        <v>0</v>
      </c>
      <c r="BA1073" t="s">
        <v>71</v>
      </c>
      <c r="BB1073">
        <v>0</v>
      </c>
      <c r="BD1073">
        <v>0.10299999999999999</v>
      </c>
    </row>
    <row r="1074" spans="1:56" x14ac:dyDescent="0.15">
      <c r="A1074" s="4" t="str">
        <f>HYPERLINK("https://ibp.a2mac1.com/costing(costing:projects/details/9760/part/8413476)","Terminal Protection 3")</f>
        <v>Terminal Protection 3</v>
      </c>
      <c r="B1074">
        <v>8413476</v>
      </c>
      <c r="C1074">
        <v>8413251</v>
      </c>
      <c r="D1074" t="s">
        <v>3154</v>
      </c>
      <c r="E1074">
        <v>8.0600000000000005E-2</v>
      </c>
      <c r="F1074">
        <v>0</v>
      </c>
      <c r="G1074">
        <v>0</v>
      </c>
      <c r="H1074">
        <v>0</v>
      </c>
      <c r="I1074" t="s">
        <v>71</v>
      </c>
      <c r="J1074">
        <v>0</v>
      </c>
      <c r="K1074">
        <v>8.0600000000000005E-2</v>
      </c>
      <c r="L1074">
        <v>0</v>
      </c>
      <c r="M1074">
        <v>0</v>
      </c>
      <c r="N1074">
        <v>8.0600000000000005E-2</v>
      </c>
      <c r="O1074" t="s">
        <v>71</v>
      </c>
      <c r="P1074">
        <v>0</v>
      </c>
      <c r="Q1074" t="s">
        <v>71</v>
      </c>
      <c r="R1074">
        <v>0</v>
      </c>
      <c r="S1074" t="s">
        <v>71</v>
      </c>
      <c r="T1074">
        <v>0</v>
      </c>
      <c r="U1074" t="s">
        <v>71</v>
      </c>
      <c r="V1074">
        <v>0</v>
      </c>
      <c r="W1074" t="s">
        <v>71</v>
      </c>
      <c r="X1074">
        <v>0</v>
      </c>
      <c r="Y1074">
        <v>8.0600000000000005E-2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K1074" t="s">
        <v>1015</v>
      </c>
      <c r="AM1074">
        <v>200000</v>
      </c>
      <c r="AN1074" t="s">
        <v>97</v>
      </c>
      <c r="AO1074">
        <v>1</v>
      </c>
      <c r="AP1074">
        <v>0</v>
      </c>
      <c r="AQ1074">
        <v>16666.666666666668</v>
      </c>
      <c r="AR1074" t="s">
        <v>9</v>
      </c>
      <c r="AS1074" t="s">
        <v>75</v>
      </c>
      <c r="AV1074">
        <v>0</v>
      </c>
      <c r="AW1074">
        <v>0</v>
      </c>
      <c r="AX1074" t="s">
        <v>76</v>
      </c>
      <c r="AY1074" t="s">
        <v>71</v>
      </c>
      <c r="AZ1074">
        <v>0</v>
      </c>
      <c r="BA1074" t="s">
        <v>71</v>
      </c>
      <c r="BB1074">
        <v>0</v>
      </c>
      <c r="BD1074">
        <v>8.0600000000000005E-2</v>
      </c>
    </row>
    <row r="1075" spans="1:56" x14ac:dyDescent="0.15">
      <c r="A1075" s="4" t="str">
        <f>HYPERLINK("https://ibp.a2mac1.com/costing(costing:projects/details/9760/part/8413477)","PCB")</f>
        <v>PCB</v>
      </c>
      <c r="B1075">
        <v>8413477</v>
      </c>
      <c r="C1075">
        <v>8413252</v>
      </c>
      <c r="D1075" t="s">
        <v>3045</v>
      </c>
      <c r="E1075">
        <v>8.58</v>
      </c>
      <c r="F1075">
        <v>0</v>
      </c>
      <c r="G1075">
        <v>0</v>
      </c>
      <c r="H1075">
        <v>0</v>
      </c>
      <c r="I1075" t="s">
        <v>71</v>
      </c>
      <c r="J1075">
        <v>0</v>
      </c>
      <c r="K1075">
        <v>8.58</v>
      </c>
      <c r="L1075">
        <v>0</v>
      </c>
      <c r="M1075">
        <v>0</v>
      </c>
      <c r="N1075">
        <v>8.58</v>
      </c>
      <c r="O1075" t="s">
        <v>71</v>
      </c>
      <c r="P1075">
        <v>0</v>
      </c>
      <c r="Q1075" t="s">
        <v>71</v>
      </c>
      <c r="R1075">
        <v>0</v>
      </c>
      <c r="S1075" t="s">
        <v>71</v>
      </c>
      <c r="T1075">
        <v>0</v>
      </c>
      <c r="U1075" t="s">
        <v>71</v>
      </c>
      <c r="V1075">
        <v>0</v>
      </c>
      <c r="W1075" t="s">
        <v>71</v>
      </c>
      <c r="X1075">
        <v>0</v>
      </c>
      <c r="Y1075">
        <v>8.58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K1075" t="s">
        <v>1015</v>
      </c>
      <c r="AM1075">
        <v>400000</v>
      </c>
      <c r="AN1075" t="s">
        <v>97</v>
      </c>
      <c r="AO1075">
        <v>1</v>
      </c>
      <c r="AP1075">
        <v>0</v>
      </c>
      <c r="AQ1075">
        <v>33333.333333333336</v>
      </c>
      <c r="AR1075" t="s">
        <v>9</v>
      </c>
      <c r="AS1075" t="s">
        <v>75</v>
      </c>
      <c r="AV1075">
        <v>0</v>
      </c>
      <c r="AW1075">
        <v>0</v>
      </c>
      <c r="AX1075" t="s">
        <v>76</v>
      </c>
      <c r="AY1075" t="s">
        <v>71</v>
      </c>
      <c r="AZ1075">
        <v>0</v>
      </c>
      <c r="BA1075" t="s">
        <v>71</v>
      </c>
      <c r="BB1075">
        <v>0</v>
      </c>
      <c r="BD1075">
        <v>8.58</v>
      </c>
    </row>
    <row r="1076" spans="1:56" x14ac:dyDescent="0.15">
      <c r="A1076" s="4" t="str">
        <f>HYPERLINK("https://ibp.a2mac1.com/costing(costing:projects/details/9760/part/8413478)","HV Connector 1")</f>
        <v>HV Connector 1</v>
      </c>
      <c r="B1076">
        <v>8413478</v>
      </c>
      <c r="C1076">
        <v>8413253</v>
      </c>
      <c r="D1076" t="s">
        <v>284</v>
      </c>
      <c r="E1076">
        <v>3.9430000000000001</v>
      </c>
      <c r="F1076">
        <v>0</v>
      </c>
      <c r="G1076">
        <v>0</v>
      </c>
      <c r="H1076">
        <v>0</v>
      </c>
      <c r="I1076" t="s">
        <v>71</v>
      </c>
      <c r="J1076">
        <v>0</v>
      </c>
      <c r="K1076">
        <v>3.9430000000000001</v>
      </c>
      <c r="L1076">
        <v>0</v>
      </c>
      <c r="M1076">
        <v>0</v>
      </c>
      <c r="N1076">
        <v>3.9430000000000001</v>
      </c>
      <c r="O1076" t="s">
        <v>71</v>
      </c>
      <c r="P1076">
        <v>0</v>
      </c>
      <c r="Q1076" t="s">
        <v>71</v>
      </c>
      <c r="R1076">
        <v>0</v>
      </c>
      <c r="S1076" t="s">
        <v>71</v>
      </c>
      <c r="T1076">
        <v>0</v>
      </c>
      <c r="U1076" t="s">
        <v>71</v>
      </c>
      <c r="V1076">
        <v>0</v>
      </c>
      <c r="W1076" t="s">
        <v>71</v>
      </c>
      <c r="X1076">
        <v>0</v>
      </c>
      <c r="Y1076">
        <v>3.9430000000000001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55</v>
      </c>
      <c r="AF1076">
        <v>37</v>
      </c>
      <c r="AG1076">
        <v>26</v>
      </c>
      <c r="AI1076">
        <v>7.1999999999999995E-2</v>
      </c>
      <c r="AK1076" t="s">
        <v>2791</v>
      </c>
      <c r="AM1076">
        <v>200000</v>
      </c>
      <c r="AN1076" t="s">
        <v>97</v>
      </c>
      <c r="AO1076">
        <v>1</v>
      </c>
      <c r="AP1076">
        <v>0</v>
      </c>
      <c r="AQ1076">
        <v>16666.666666666668</v>
      </c>
      <c r="AR1076" t="s">
        <v>3159</v>
      </c>
      <c r="AS1076" t="s">
        <v>75</v>
      </c>
      <c r="AX1076" t="s">
        <v>76</v>
      </c>
      <c r="AY1076" t="s">
        <v>71</v>
      </c>
      <c r="AZ1076">
        <v>0</v>
      </c>
      <c r="BA1076" t="s">
        <v>71</v>
      </c>
      <c r="BB1076">
        <v>0</v>
      </c>
      <c r="BD1076">
        <v>3.9430000000000001</v>
      </c>
    </row>
    <row r="1077" spans="1:56" x14ac:dyDescent="0.15">
      <c r="A1077" s="4" t="str">
        <f>HYPERLINK("https://ibp.a2mac1.com/costing(costing:projects/details/9760/part/8413479)","HV Connector 2")</f>
        <v>HV Connector 2</v>
      </c>
      <c r="B1077">
        <v>8413479</v>
      </c>
      <c r="C1077">
        <v>8413253</v>
      </c>
      <c r="D1077" t="s">
        <v>284</v>
      </c>
      <c r="E1077">
        <v>7.23</v>
      </c>
      <c r="F1077">
        <v>0</v>
      </c>
      <c r="G1077">
        <v>0</v>
      </c>
      <c r="H1077">
        <v>0</v>
      </c>
      <c r="I1077" t="s">
        <v>71</v>
      </c>
      <c r="J1077">
        <v>0</v>
      </c>
      <c r="K1077">
        <v>7.23</v>
      </c>
      <c r="L1077">
        <v>0</v>
      </c>
      <c r="M1077">
        <v>0</v>
      </c>
      <c r="N1077">
        <v>7.23</v>
      </c>
      <c r="O1077" t="s">
        <v>71</v>
      </c>
      <c r="P1077">
        <v>0</v>
      </c>
      <c r="Q1077" t="s">
        <v>71</v>
      </c>
      <c r="R1077">
        <v>0</v>
      </c>
      <c r="S1077" t="s">
        <v>71</v>
      </c>
      <c r="T1077">
        <v>0</v>
      </c>
      <c r="U1077" t="s">
        <v>71</v>
      </c>
      <c r="V1077">
        <v>0</v>
      </c>
      <c r="W1077" t="s">
        <v>71</v>
      </c>
      <c r="X1077">
        <v>0</v>
      </c>
      <c r="Y1077">
        <v>7.23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108</v>
      </c>
      <c r="AF1077">
        <v>80</v>
      </c>
      <c r="AG1077">
        <v>65</v>
      </c>
      <c r="AI1077">
        <v>0.19</v>
      </c>
      <c r="AK1077" t="s">
        <v>2791</v>
      </c>
      <c r="AM1077">
        <v>200000</v>
      </c>
      <c r="AN1077" t="s">
        <v>97</v>
      </c>
      <c r="AO1077">
        <v>1</v>
      </c>
      <c r="AP1077">
        <v>0</v>
      </c>
      <c r="AQ1077">
        <v>16666.666666666668</v>
      </c>
      <c r="AR1077" t="s">
        <v>3160</v>
      </c>
      <c r="AS1077" t="s">
        <v>75</v>
      </c>
      <c r="AX1077" t="s">
        <v>76</v>
      </c>
      <c r="AY1077" t="s">
        <v>71</v>
      </c>
      <c r="AZ1077">
        <v>0</v>
      </c>
      <c r="BA1077" t="s">
        <v>71</v>
      </c>
      <c r="BB1077">
        <v>0</v>
      </c>
      <c r="BD1077">
        <v>7.23</v>
      </c>
    </row>
    <row r="1078" spans="1:56" x14ac:dyDescent="0.15">
      <c r="A1078" s="4" t="str">
        <f>HYPERLINK("https://ibp.a2mac1.com/costing(costing:projects/details/9760/part/8413480)","HV Connector 3")</f>
        <v>HV Connector 3</v>
      </c>
      <c r="B1078">
        <v>8413480</v>
      </c>
      <c r="C1078">
        <v>8413253</v>
      </c>
      <c r="D1078" t="s">
        <v>284</v>
      </c>
      <c r="E1078">
        <v>7.12</v>
      </c>
      <c r="F1078">
        <v>0</v>
      </c>
      <c r="G1078">
        <v>0</v>
      </c>
      <c r="H1078">
        <v>0</v>
      </c>
      <c r="I1078" t="s">
        <v>71</v>
      </c>
      <c r="J1078">
        <v>0</v>
      </c>
      <c r="K1078">
        <v>7.12</v>
      </c>
      <c r="L1078">
        <v>0</v>
      </c>
      <c r="M1078">
        <v>0</v>
      </c>
      <c r="N1078">
        <v>7.12</v>
      </c>
      <c r="O1078" t="s">
        <v>71</v>
      </c>
      <c r="P1078">
        <v>0</v>
      </c>
      <c r="Q1078" t="s">
        <v>71</v>
      </c>
      <c r="R1078">
        <v>0</v>
      </c>
      <c r="S1078" t="s">
        <v>71</v>
      </c>
      <c r="T1078">
        <v>0</v>
      </c>
      <c r="U1078" t="s">
        <v>71</v>
      </c>
      <c r="V1078">
        <v>0</v>
      </c>
      <c r="W1078" t="s">
        <v>71</v>
      </c>
      <c r="X1078">
        <v>0</v>
      </c>
      <c r="Y1078">
        <v>7.12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110</v>
      </c>
      <c r="AF1078">
        <v>79</v>
      </c>
      <c r="AG1078">
        <v>67</v>
      </c>
      <c r="AI1078">
        <v>0.186</v>
      </c>
      <c r="AK1078" t="s">
        <v>2791</v>
      </c>
      <c r="AM1078">
        <v>200000</v>
      </c>
      <c r="AN1078" t="s">
        <v>97</v>
      </c>
      <c r="AO1078">
        <v>1</v>
      </c>
      <c r="AP1078">
        <v>0</v>
      </c>
      <c r="AQ1078">
        <v>16666.666666666668</v>
      </c>
      <c r="AR1078" t="s">
        <v>3161</v>
      </c>
      <c r="AS1078" t="s">
        <v>75</v>
      </c>
      <c r="AX1078" t="s">
        <v>76</v>
      </c>
      <c r="AY1078" t="s">
        <v>71</v>
      </c>
      <c r="AZ1078">
        <v>0</v>
      </c>
      <c r="BA1078" t="s">
        <v>71</v>
      </c>
      <c r="BB1078">
        <v>0</v>
      </c>
      <c r="BD1078">
        <v>7.12</v>
      </c>
    </row>
    <row r="1079" spans="1:56" x14ac:dyDescent="0.15">
      <c r="A1079" s="4" t="str">
        <f>HYPERLINK("https://ibp.a2mac1.com/costing(costing:projects/details/9760/part/8413481)","HV Connector 4")</f>
        <v>HV Connector 4</v>
      </c>
      <c r="B1079">
        <v>8413481</v>
      </c>
      <c r="C1079">
        <v>8413253</v>
      </c>
      <c r="D1079" t="s">
        <v>284</v>
      </c>
      <c r="E1079">
        <v>8.1199999999999992</v>
      </c>
      <c r="F1079">
        <v>0</v>
      </c>
      <c r="G1079">
        <v>0</v>
      </c>
      <c r="H1079">
        <v>0</v>
      </c>
      <c r="I1079" t="s">
        <v>71</v>
      </c>
      <c r="J1079">
        <v>0</v>
      </c>
      <c r="K1079">
        <v>8.1199999999999992</v>
      </c>
      <c r="L1079">
        <v>0</v>
      </c>
      <c r="M1079">
        <v>0</v>
      </c>
      <c r="N1079">
        <v>8.1199999999999992</v>
      </c>
      <c r="O1079" t="s">
        <v>71</v>
      </c>
      <c r="P1079">
        <v>0</v>
      </c>
      <c r="Q1079" t="s">
        <v>71</v>
      </c>
      <c r="R1079">
        <v>0</v>
      </c>
      <c r="S1079" t="s">
        <v>71</v>
      </c>
      <c r="T1079">
        <v>0</v>
      </c>
      <c r="U1079" t="s">
        <v>71</v>
      </c>
      <c r="V1079">
        <v>0</v>
      </c>
      <c r="W1079" t="s">
        <v>71</v>
      </c>
      <c r="X1079">
        <v>0</v>
      </c>
      <c r="Y1079">
        <v>8.1199999999999992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70</v>
      </c>
      <c r="AF1079">
        <v>66</v>
      </c>
      <c r="AG1079">
        <v>65</v>
      </c>
      <c r="AI1079">
        <v>0.224</v>
      </c>
      <c r="AK1079" t="s">
        <v>2791</v>
      </c>
      <c r="AM1079">
        <v>200000</v>
      </c>
      <c r="AN1079" t="s">
        <v>97</v>
      </c>
      <c r="AO1079">
        <v>1</v>
      </c>
      <c r="AP1079">
        <v>0</v>
      </c>
      <c r="AQ1079">
        <v>16666.666666666668</v>
      </c>
      <c r="AR1079" t="s">
        <v>3162</v>
      </c>
      <c r="AS1079" t="s">
        <v>75</v>
      </c>
      <c r="AX1079" t="s">
        <v>76</v>
      </c>
      <c r="AY1079" t="s">
        <v>71</v>
      </c>
      <c r="AZ1079">
        <v>0</v>
      </c>
      <c r="BA1079" t="s">
        <v>71</v>
      </c>
      <c r="BB1079">
        <v>0</v>
      </c>
      <c r="BD1079">
        <v>8.1199999999999992</v>
      </c>
    </row>
    <row r="1080" spans="1:56" x14ac:dyDescent="0.15">
      <c r="A1080" s="4" t="str">
        <f>HYPERLINK("https://ibp.a2mac1.com/costing(costing:projects/details/9760/part/8413482)","HV Connector 5")</f>
        <v>HV Connector 5</v>
      </c>
      <c r="B1080">
        <v>8413482</v>
      </c>
      <c r="C1080">
        <v>8413253</v>
      </c>
      <c r="D1080" t="s">
        <v>284</v>
      </c>
      <c r="E1080">
        <v>6.23</v>
      </c>
      <c r="F1080">
        <v>0</v>
      </c>
      <c r="G1080">
        <v>0</v>
      </c>
      <c r="H1080">
        <v>0</v>
      </c>
      <c r="I1080" t="s">
        <v>71</v>
      </c>
      <c r="J1080">
        <v>0</v>
      </c>
      <c r="K1080">
        <v>6.23</v>
      </c>
      <c r="L1080">
        <v>0</v>
      </c>
      <c r="M1080">
        <v>0</v>
      </c>
      <c r="N1080">
        <v>6.23</v>
      </c>
      <c r="O1080" t="s">
        <v>71</v>
      </c>
      <c r="P1080">
        <v>0</v>
      </c>
      <c r="Q1080" t="s">
        <v>71</v>
      </c>
      <c r="R1080">
        <v>0</v>
      </c>
      <c r="S1080" t="s">
        <v>71</v>
      </c>
      <c r="T1080">
        <v>0</v>
      </c>
      <c r="U1080" t="s">
        <v>71</v>
      </c>
      <c r="V1080">
        <v>0</v>
      </c>
      <c r="W1080" t="s">
        <v>71</v>
      </c>
      <c r="X1080">
        <v>0</v>
      </c>
      <c r="Y1080">
        <v>6.23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70</v>
      </c>
      <c r="AF1080">
        <v>59</v>
      </c>
      <c r="AG1080">
        <v>51</v>
      </c>
      <c r="AI1080">
        <v>0.153</v>
      </c>
      <c r="AK1080" t="s">
        <v>272</v>
      </c>
      <c r="AM1080">
        <v>200000</v>
      </c>
      <c r="AN1080" t="s">
        <v>73</v>
      </c>
      <c r="AO1080">
        <v>1</v>
      </c>
      <c r="AP1080">
        <v>0</v>
      </c>
      <c r="AQ1080">
        <v>16666.666666666668</v>
      </c>
      <c r="AR1080" t="s">
        <v>3163</v>
      </c>
      <c r="AS1080" t="s">
        <v>75</v>
      </c>
      <c r="AX1080" t="s">
        <v>76</v>
      </c>
      <c r="AY1080" t="s">
        <v>71</v>
      </c>
      <c r="AZ1080">
        <v>0</v>
      </c>
      <c r="BA1080" t="s">
        <v>71</v>
      </c>
      <c r="BB1080">
        <v>0</v>
      </c>
      <c r="BD1080">
        <v>6.23</v>
      </c>
    </row>
    <row r="1081" spans="1:56" x14ac:dyDescent="0.15">
      <c r="A1081" s="4" t="str">
        <f>HYPERLINK("https://ibp.a2mac1.com/costing(costing:projects/details/9760/part/8413483)","Connector Support 1")</f>
        <v>Connector Support 1</v>
      </c>
      <c r="B1081">
        <v>8413483</v>
      </c>
      <c r="C1081">
        <v>8413253</v>
      </c>
      <c r="D1081" t="s">
        <v>3132</v>
      </c>
      <c r="E1081">
        <v>2.04</v>
      </c>
      <c r="F1081">
        <v>0</v>
      </c>
      <c r="G1081">
        <v>0</v>
      </c>
      <c r="H1081">
        <v>0</v>
      </c>
      <c r="I1081" t="s">
        <v>71</v>
      </c>
      <c r="J1081">
        <v>0</v>
      </c>
      <c r="K1081">
        <v>2.04</v>
      </c>
      <c r="L1081">
        <v>0</v>
      </c>
      <c r="M1081">
        <v>0</v>
      </c>
      <c r="N1081">
        <v>2.04</v>
      </c>
      <c r="O1081" t="s">
        <v>71</v>
      </c>
      <c r="P1081">
        <v>0</v>
      </c>
      <c r="Q1081" t="s">
        <v>71</v>
      </c>
      <c r="R1081">
        <v>0</v>
      </c>
      <c r="S1081" t="s">
        <v>71</v>
      </c>
      <c r="T1081">
        <v>0</v>
      </c>
      <c r="U1081" t="s">
        <v>71</v>
      </c>
      <c r="V1081">
        <v>0</v>
      </c>
      <c r="W1081" t="s">
        <v>71</v>
      </c>
      <c r="X1081">
        <v>0</v>
      </c>
      <c r="Y1081">
        <v>2.04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86</v>
      </c>
      <c r="AF1081">
        <v>66</v>
      </c>
      <c r="AG1081">
        <v>36</v>
      </c>
      <c r="AI1081">
        <v>0.1255</v>
      </c>
      <c r="AK1081" t="s">
        <v>2791</v>
      </c>
      <c r="AM1081">
        <v>400000</v>
      </c>
      <c r="AN1081" t="s">
        <v>97</v>
      </c>
      <c r="AO1081">
        <v>2</v>
      </c>
      <c r="AP1081">
        <v>0</v>
      </c>
      <c r="AQ1081">
        <v>33333.333333333336</v>
      </c>
      <c r="AR1081" t="s">
        <v>3164</v>
      </c>
      <c r="AS1081" t="s">
        <v>75</v>
      </c>
      <c r="AX1081" t="s">
        <v>76</v>
      </c>
      <c r="AY1081" t="s">
        <v>71</v>
      </c>
      <c r="AZ1081">
        <v>0</v>
      </c>
      <c r="BA1081" t="s">
        <v>71</v>
      </c>
      <c r="BB1081">
        <v>0</v>
      </c>
      <c r="BD1081">
        <v>1.02</v>
      </c>
    </row>
    <row r="1082" spans="1:56" x14ac:dyDescent="0.15">
      <c r="A1082" s="4" t="str">
        <f>HYPERLINK("https://ibp.a2mac1.com/costing(costing:projects/details/9760/part/8413484)","12V Power Connector 1")</f>
        <v>12V Power Connector 1</v>
      </c>
      <c r="B1082">
        <v>8413484</v>
      </c>
      <c r="C1082">
        <v>8413253</v>
      </c>
      <c r="D1082" t="s">
        <v>284</v>
      </c>
      <c r="E1082">
        <v>2.38</v>
      </c>
      <c r="F1082">
        <v>0</v>
      </c>
      <c r="G1082">
        <v>0</v>
      </c>
      <c r="H1082">
        <v>0</v>
      </c>
      <c r="I1082" t="s">
        <v>71</v>
      </c>
      <c r="J1082">
        <v>0</v>
      </c>
      <c r="K1082">
        <v>2.38</v>
      </c>
      <c r="L1082">
        <v>0</v>
      </c>
      <c r="M1082">
        <v>0</v>
      </c>
      <c r="N1082">
        <v>2.38</v>
      </c>
      <c r="O1082" t="s">
        <v>71</v>
      </c>
      <c r="P1082">
        <v>0</v>
      </c>
      <c r="Q1082" t="s">
        <v>71</v>
      </c>
      <c r="R1082">
        <v>0</v>
      </c>
      <c r="S1082" t="s">
        <v>71</v>
      </c>
      <c r="T1082">
        <v>0</v>
      </c>
      <c r="U1082" t="s">
        <v>71</v>
      </c>
      <c r="V1082">
        <v>0</v>
      </c>
      <c r="W1082" t="s">
        <v>71</v>
      </c>
      <c r="X1082">
        <v>0</v>
      </c>
      <c r="Y1082">
        <v>2.38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100</v>
      </c>
      <c r="AF1082">
        <v>81</v>
      </c>
      <c r="AG1082">
        <v>55</v>
      </c>
      <c r="AI1082">
        <v>0.184</v>
      </c>
      <c r="AK1082" t="s">
        <v>2791</v>
      </c>
      <c r="AM1082">
        <v>200000</v>
      </c>
      <c r="AN1082" t="s">
        <v>97</v>
      </c>
      <c r="AO1082">
        <v>1</v>
      </c>
      <c r="AP1082">
        <v>0</v>
      </c>
      <c r="AQ1082">
        <v>16666.666666666668</v>
      </c>
      <c r="AR1082" t="s">
        <v>3165</v>
      </c>
      <c r="AS1082" t="s">
        <v>75</v>
      </c>
      <c r="AX1082" t="s">
        <v>76</v>
      </c>
      <c r="AY1082" t="s">
        <v>71</v>
      </c>
      <c r="AZ1082">
        <v>0</v>
      </c>
      <c r="BA1082" t="s">
        <v>71</v>
      </c>
      <c r="BB1082">
        <v>0</v>
      </c>
      <c r="BD1082">
        <v>2.38</v>
      </c>
    </row>
    <row r="1083" spans="1:56" x14ac:dyDescent="0.15">
      <c r="A1083" s="4" t="str">
        <f>HYPERLINK("https://ibp.a2mac1.com/costing(costing:projects/details/9760/part/8412877)","Circuit Breaker")</f>
        <v>Circuit Breaker</v>
      </c>
      <c r="B1083">
        <v>8412877</v>
      </c>
      <c r="C1083">
        <v>8412866</v>
      </c>
      <c r="D1083" t="s">
        <v>284</v>
      </c>
      <c r="E1083">
        <v>0.74</v>
      </c>
      <c r="F1083">
        <v>0</v>
      </c>
      <c r="G1083">
        <v>0</v>
      </c>
      <c r="H1083">
        <v>0</v>
      </c>
      <c r="I1083" t="s">
        <v>71</v>
      </c>
      <c r="J1083">
        <v>0</v>
      </c>
      <c r="K1083">
        <v>0.74</v>
      </c>
      <c r="L1083">
        <v>0</v>
      </c>
      <c r="M1083">
        <v>0</v>
      </c>
      <c r="N1083">
        <v>0.74</v>
      </c>
      <c r="O1083" t="s">
        <v>71</v>
      </c>
      <c r="P1083">
        <v>0</v>
      </c>
      <c r="Q1083" t="s">
        <v>71</v>
      </c>
      <c r="R1083">
        <v>0</v>
      </c>
      <c r="S1083" t="s">
        <v>71</v>
      </c>
      <c r="T1083">
        <v>0</v>
      </c>
      <c r="U1083" t="s">
        <v>71</v>
      </c>
      <c r="V1083">
        <v>0</v>
      </c>
      <c r="W1083" t="s">
        <v>71</v>
      </c>
      <c r="X1083">
        <v>0</v>
      </c>
      <c r="Y1083">
        <v>0.74</v>
      </c>
      <c r="Z1083">
        <v>0</v>
      </c>
      <c r="AA1083">
        <v>0</v>
      </c>
      <c r="AB1083">
        <v>0</v>
      </c>
      <c r="AC1083">
        <v>0</v>
      </c>
      <c r="AD1083">
        <v>0</v>
      </c>
      <c r="AI1083">
        <v>1.2999999999999999E-2</v>
      </c>
      <c r="AK1083" t="s">
        <v>107</v>
      </c>
      <c r="AL1083" t="s">
        <v>3168</v>
      </c>
      <c r="AM1083">
        <v>200000</v>
      </c>
      <c r="AN1083" t="s">
        <v>97</v>
      </c>
      <c r="AO1083">
        <v>1</v>
      </c>
      <c r="AP1083">
        <v>0</v>
      </c>
      <c r="AQ1083">
        <v>16666.666666666668</v>
      </c>
      <c r="AR1083" t="s">
        <v>3169</v>
      </c>
      <c r="AS1083" t="s">
        <v>75</v>
      </c>
      <c r="AX1083" t="s">
        <v>76</v>
      </c>
      <c r="AY1083" t="s">
        <v>71</v>
      </c>
      <c r="AZ1083">
        <v>0</v>
      </c>
      <c r="BA1083" t="s">
        <v>71</v>
      </c>
      <c r="BB1083">
        <v>0</v>
      </c>
      <c r="BD1083">
        <v>0.74</v>
      </c>
    </row>
    <row r="1084" spans="1:56" x14ac:dyDescent="0.15">
      <c r="A1084" s="4" t="str">
        <f>HYPERLINK("https://ibp.a2mac1.com/costing(costing:projects/details/9760/part/8412878)","Ground Cable   Ground")</f>
        <v>Ground Cable   Ground</v>
      </c>
      <c r="B1084">
        <v>8412878</v>
      </c>
      <c r="C1084">
        <v>8412866</v>
      </c>
      <c r="D1084" t="s">
        <v>284</v>
      </c>
      <c r="E1084">
        <v>3.4</v>
      </c>
      <c r="F1084">
        <v>0</v>
      </c>
      <c r="G1084">
        <v>0</v>
      </c>
      <c r="H1084">
        <v>0</v>
      </c>
      <c r="I1084" t="s">
        <v>71</v>
      </c>
      <c r="J1084">
        <v>0</v>
      </c>
      <c r="K1084">
        <v>3.4</v>
      </c>
      <c r="L1084">
        <v>0</v>
      </c>
      <c r="M1084">
        <v>0</v>
      </c>
      <c r="N1084">
        <v>3.4</v>
      </c>
      <c r="O1084" t="s">
        <v>71</v>
      </c>
      <c r="P1084">
        <v>0</v>
      </c>
      <c r="Q1084" t="s">
        <v>71</v>
      </c>
      <c r="R1084">
        <v>0</v>
      </c>
      <c r="S1084" t="s">
        <v>71</v>
      </c>
      <c r="T1084">
        <v>0</v>
      </c>
      <c r="U1084" t="s">
        <v>71</v>
      </c>
      <c r="V1084">
        <v>0</v>
      </c>
      <c r="W1084" t="s">
        <v>71</v>
      </c>
      <c r="X1084">
        <v>0</v>
      </c>
      <c r="Y1084">
        <v>3.4</v>
      </c>
      <c r="Z1084">
        <v>0</v>
      </c>
      <c r="AA1084">
        <v>0</v>
      </c>
      <c r="AB1084">
        <v>0</v>
      </c>
      <c r="AC1084">
        <v>0</v>
      </c>
      <c r="AD1084">
        <v>0</v>
      </c>
      <c r="AI1084">
        <v>8.1000000000000003E-2</v>
      </c>
      <c r="AK1084" t="s">
        <v>107</v>
      </c>
      <c r="AL1084" t="s">
        <v>3168</v>
      </c>
      <c r="AM1084">
        <v>200000</v>
      </c>
      <c r="AN1084" t="s">
        <v>97</v>
      </c>
      <c r="AO1084">
        <v>1</v>
      </c>
      <c r="AP1084">
        <v>0</v>
      </c>
      <c r="AQ1084">
        <v>16666.666666666668</v>
      </c>
      <c r="AR1084" t="s">
        <v>3170</v>
      </c>
      <c r="AS1084" t="s">
        <v>75</v>
      </c>
      <c r="AX1084" t="s">
        <v>76</v>
      </c>
      <c r="AY1084" t="s">
        <v>71</v>
      </c>
      <c r="AZ1084">
        <v>0</v>
      </c>
      <c r="BA1084" t="s">
        <v>71</v>
      </c>
      <c r="BB1084">
        <v>0</v>
      </c>
      <c r="BD1084">
        <v>3.4</v>
      </c>
    </row>
    <row r="1085" spans="1:56" x14ac:dyDescent="0.15">
      <c r="A1085" s="4" t="str">
        <f>HYPERLINK("https://ibp.a2mac1.com/costing(costing:projects/details/9760/part/8412879)","Battery protection left side")</f>
        <v>Battery protection left side</v>
      </c>
      <c r="B1085">
        <v>8412879</v>
      </c>
      <c r="C1085">
        <v>8412866</v>
      </c>
      <c r="D1085" t="s">
        <v>2801</v>
      </c>
      <c r="E1085">
        <v>0.19600000000000001</v>
      </c>
      <c r="F1085">
        <v>0</v>
      </c>
      <c r="G1085">
        <v>0</v>
      </c>
      <c r="H1085">
        <v>0</v>
      </c>
      <c r="I1085" t="s">
        <v>71</v>
      </c>
      <c r="J1085">
        <v>0</v>
      </c>
      <c r="K1085">
        <v>0.19600000000000001</v>
      </c>
      <c r="L1085">
        <v>0</v>
      </c>
      <c r="M1085">
        <v>0</v>
      </c>
      <c r="N1085">
        <v>0.19600000000000001</v>
      </c>
      <c r="O1085" t="s">
        <v>71</v>
      </c>
      <c r="P1085">
        <v>0</v>
      </c>
      <c r="Q1085" t="s">
        <v>71</v>
      </c>
      <c r="R1085">
        <v>0</v>
      </c>
      <c r="S1085" t="s">
        <v>71</v>
      </c>
      <c r="T1085">
        <v>0</v>
      </c>
      <c r="U1085" t="s">
        <v>71</v>
      </c>
      <c r="V1085">
        <v>0</v>
      </c>
      <c r="W1085" t="s">
        <v>71</v>
      </c>
      <c r="X1085">
        <v>0</v>
      </c>
      <c r="Y1085">
        <v>0.19600000000000001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223</v>
      </c>
      <c r="AF1085">
        <v>220</v>
      </c>
      <c r="AG1085">
        <v>90</v>
      </c>
      <c r="AI1085">
        <v>5.0999999999999997E-2</v>
      </c>
      <c r="AK1085" t="s">
        <v>107</v>
      </c>
      <c r="AL1085" t="s">
        <v>403</v>
      </c>
      <c r="AM1085">
        <v>200000</v>
      </c>
      <c r="AN1085" t="s">
        <v>97</v>
      </c>
      <c r="AO1085">
        <v>1</v>
      </c>
      <c r="AP1085">
        <v>0</v>
      </c>
      <c r="AQ1085">
        <v>16666.666666666668</v>
      </c>
      <c r="AR1085" t="s">
        <v>3171</v>
      </c>
      <c r="AS1085" t="s">
        <v>75</v>
      </c>
      <c r="AX1085" t="s">
        <v>76</v>
      </c>
      <c r="AY1085" t="s">
        <v>71</v>
      </c>
      <c r="AZ1085">
        <v>0</v>
      </c>
      <c r="BA1085" t="s">
        <v>71</v>
      </c>
      <c r="BB1085">
        <v>0</v>
      </c>
      <c r="BD1085">
        <v>0.19600000000000001</v>
      </c>
    </row>
    <row r="1086" spans="1:56" x14ac:dyDescent="0.15">
      <c r="A1086" s="4" t="str">
        <f>HYPERLINK("https://ibp.a2mac1.com/costing(costing:projects/details/9760/part/8412880)","Battery protection right side")</f>
        <v>Battery protection right side</v>
      </c>
      <c r="B1086">
        <v>8412880</v>
      </c>
      <c r="C1086">
        <v>8412866</v>
      </c>
      <c r="D1086" t="s">
        <v>2801</v>
      </c>
      <c r="E1086">
        <v>0.26</v>
      </c>
      <c r="F1086">
        <v>0</v>
      </c>
      <c r="G1086">
        <v>0</v>
      </c>
      <c r="H1086">
        <v>0</v>
      </c>
      <c r="I1086" t="s">
        <v>71</v>
      </c>
      <c r="J1086">
        <v>0</v>
      </c>
      <c r="K1086">
        <v>0.26</v>
      </c>
      <c r="L1086">
        <v>0</v>
      </c>
      <c r="M1086">
        <v>0</v>
      </c>
      <c r="N1086">
        <v>0.26</v>
      </c>
      <c r="O1086" t="s">
        <v>71</v>
      </c>
      <c r="P1086">
        <v>0</v>
      </c>
      <c r="Q1086" t="s">
        <v>71</v>
      </c>
      <c r="R1086">
        <v>0</v>
      </c>
      <c r="S1086" t="s">
        <v>71</v>
      </c>
      <c r="T1086">
        <v>0</v>
      </c>
      <c r="U1086" t="s">
        <v>71</v>
      </c>
      <c r="V1086">
        <v>0</v>
      </c>
      <c r="W1086" t="s">
        <v>71</v>
      </c>
      <c r="X1086">
        <v>0</v>
      </c>
      <c r="Y1086">
        <v>0.26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285</v>
      </c>
      <c r="AF1086">
        <v>217</v>
      </c>
      <c r="AG1086">
        <v>88</v>
      </c>
      <c r="AI1086">
        <v>7.4999999999999997E-2</v>
      </c>
      <c r="AK1086" t="s">
        <v>107</v>
      </c>
      <c r="AL1086" t="s">
        <v>2669</v>
      </c>
      <c r="AM1086">
        <v>200000</v>
      </c>
      <c r="AN1086" t="s">
        <v>97</v>
      </c>
      <c r="AO1086">
        <v>1</v>
      </c>
      <c r="AP1086">
        <v>0</v>
      </c>
      <c r="AQ1086">
        <v>16666.666666666668</v>
      </c>
      <c r="AR1086" t="s">
        <v>3172</v>
      </c>
      <c r="AS1086" t="s">
        <v>75</v>
      </c>
      <c r="AX1086" t="s">
        <v>76</v>
      </c>
      <c r="AY1086" t="s">
        <v>71</v>
      </c>
      <c r="AZ1086">
        <v>0</v>
      </c>
      <c r="BA1086" t="s">
        <v>71</v>
      </c>
      <c r="BB1086">
        <v>0</v>
      </c>
      <c r="BD1086">
        <v>0.26</v>
      </c>
    </row>
    <row r="1087" spans="1:56" x14ac:dyDescent="0.15">
      <c r="A1087" s="4" t="str">
        <f>HYPERLINK("https://ibp.a2mac1.com/costing(costing:projects/details/9760/part/8412881)","Rear padding")</f>
        <v>Rear padding</v>
      </c>
      <c r="B1087">
        <v>8412881</v>
      </c>
      <c r="C1087">
        <v>8412866</v>
      </c>
      <c r="D1087" t="s">
        <v>284</v>
      </c>
      <c r="E1087">
        <v>0.73</v>
      </c>
      <c r="F1087">
        <v>0</v>
      </c>
      <c r="G1087">
        <v>0</v>
      </c>
      <c r="H1087">
        <v>0</v>
      </c>
      <c r="I1087" t="s">
        <v>71</v>
      </c>
      <c r="J1087">
        <v>0</v>
      </c>
      <c r="K1087">
        <v>0.73</v>
      </c>
      <c r="L1087">
        <v>0</v>
      </c>
      <c r="M1087">
        <v>0</v>
      </c>
      <c r="N1087">
        <v>0.73</v>
      </c>
      <c r="O1087" t="s">
        <v>71</v>
      </c>
      <c r="P1087">
        <v>0</v>
      </c>
      <c r="Q1087" t="s">
        <v>71</v>
      </c>
      <c r="R1087">
        <v>0</v>
      </c>
      <c r="S1087" t="s">
        <v>71</v>
      </c>
      <c r="T1087">
        <v>0</v>
      </c>
      <c r="U1087" t="s">
        <v>71</v>
      </c>
      <c r="V1087">
        <v>0</v>
      </c>
      <c r="W1087" t="s">
        <v>71</v>
      </c>
      <c r="X1087">
        <v>0</v>
      </c>
      <c r="Y1087">
        <v>0.73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32</v>
      </c>
      <c r="AF1087">
        <v>950</v>
      </c>
      <c r="AG1087">
        <v>85</v>
      </c>
      <c r="AI1087">
        <v>0.159</v>
      </c>
      <c r="AK1087" t="s">
        <v>107</v>
      </c>
      <c r="AL1087" t="s">
        <v>1957</v>
      </c>
      <c r="AM1087">
        <v>200000</v>
      </c>
      <c r="AN1087" t="s">
        <v>97</v>
      </c>
      <c r="AO1087">
        <v>1</v>
      </c>
      <c r="AP1087">
        <v>0</v>
      </c>
      <c r="AQ1087">
        <v>16666.666666666668</v>
      </c>
      <c r="AR1087" t="s">
        <v>3173</v>
      </c>
      <c r="AS1087" t="s">
        <v>75</v>
      </c>
      <c r="AX1087" t="s">
        <v>76</v>
      </c>
      <c r="AY1087" t="s">
        <v>71</v>
      </c>
      <c r="AZ1087">
        <v>0</v>
      </c>
      <c r="BA1087" t="s">
        <v>71</v>
      </c>
      <c r="BB1087">
        <v>0</v>
      </c>
      <c r="BD1087">
        <v>0.73</v>
      </c>
    </row>
    <row r="1088" spans="1:56" x14ac:dyDescent="0.15">
      <c r="A1088" s="4" t="str">
        <f>HYPERLINK("https://ibp.a2mac1.com/costing(costing:projects/details/9760/part/8412882)","Rear left padding")</f>
        <v>Rear left padding</v>
      </c>
      <c r="B1088">
        <v>8412882</v>
      </c>
      <c r="C1088">
        <v>8412866</v>
      </c>
      <c r="D1088" t="s">
        <v>284</v>
      </c>
      <c r="E1088">
        <v>0.4</v>
      </c>
      <c r="F1088">
        <v>0</v>
      </c>
      <c r="G1088">
        <v>0</v>
      </c>
      <c r="H1088">
        <v>0</v>
      </c>
      <c r="I1088" t="s">
        <v>71</v>
      </c>
      <c r="J1088">
        <v>0</v>
      </c>
      <c r="K1088">
        <v>0.4</v>
      </c>
      <c r="L1088">
        <v>0</v>
      </c>
      <c r="M1088">
        <v>0</v>
      </c>
      <c r="N1088">
        <v>0.4</v>
      </c>
      <c r="O1088" t="s">
        <v>71</v>
      </c>
      <c r="P1088">
        <v>0</v>
      </c>
      <c r="Q1088" t="s">
        <v>71</v>
      </c>
      <c r="R1088">
        <v>0</v>
      </c>
      <c r="S1088" t="s">
        <v>71</v>
      </c>
      <c r="T1088">
        <v>0</v>
      </c>
      <c r="U1088" t="s">
        <v>71</v>
      </c>
      <c r="V1088">
        <v>0</v>
      </c>
      <c r="W1088" t="s">
        <v>71</v>
      </c>
      <c r="X1088">
        <v>0</v>
      </c>
      <c r="Y1088">
        <v>0.4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39</v>
      </c>
      <c r="AF1088">
        <v>565</v>
      </c>
      <c r="AG1088">
        <v>88</v>
      </c>
      <c r="AI1088">
        <v>8.7999999999999995E-2</v>
      </c>
      <c r="AK1088" t="s">
        <v>107</v>
      </c>
      <c r="AL1088" t="s">
        <v>1957</v>
      </c>
      <c r="AM1088">
        <v>200000</v>
      </c>
      <c r="AN1088" t="s">
        <v>97</v>
      </c>
      <c r="AO1088">
        <v>1</v>
      </c>
      <c r="AP1088">
        <v>0</v>
      </c>
      <c r="AQ1088">
        <v>16666.666666666668</v>
      </c>
      <c r="AR1088" t="s">
        <v>3174</v>
      </c>
      <c r="AS1088" t="s">
        <v>75</v>
      </c>
      <c r="AX1088" t="s">
        <v>76</v>
      </c>
      <c r="AY1088" t="s">
        <v>71</v>
      </c>
      <c r="AZ1088">
        <v>0</v>
      </c>
      <c r="BA1088" t="s">
        <v>71</v>
      </c>
      <c r="BB1088">
        <v>0</v>
      </c>
      <c r="BD1088">
        <v>0.4</v>
      </c>
    </row>
    <row r="1089" spans="1:56" x14ac:dyDescent="0.15">
      <c r="A1089" s="4" t="str">
        <f>HYPERLINK("https://ibp.a2mac1.com/costing(costing:projects/details/9760/part/8412883)","Rear right padding")</f>
        <v>Rear right padding</v>
      </c>
      <c r="B1089">
        <v>8412883</v>
      </c>
      <c r="C1089">
        <v>8412866</v>
      </c>
      <c r="D1089" t="s">
        <v>284</v>
      </c>
      <c r="E1089">
        <v>0.39</v>
      </c>
      <c r="F1089">
        <v>0</v>
      </c>
      <c r="G1089">
        <v>0</v>
      </c>
      <c r="H1089">
        <v>0</v>
      </c>
      <c r="I1089" t="s">
        <v>71</v>
      </c>
      <c r="J1089">
        <v>0</v>
      </c>
      <c r="K1089">
        <v>0.39</v>
      </c>
      <c r="L1089">
        <v>0</v>
      </c>
      <c r="M1089">
        <v>0</v>
      </c>
      <c r="N1089">
        <v>0.39</v>
      </c>
      <c r="O1089" t="s">
        <v>71</v>
      </c>
      <c r="P1089">
        <v>0</v>
      </c>
      <c r="Q1089" t="s">
        <v>71</v>
      </c>
      <c r="R1089">
        <v>0</v>
      </c>
      <c r="S1089" t="s">
        <v>71</v>
      </c>
      <c r="T1089">
        <v>0</v>
      </c>
      <c r="U1089" t="s">
        <v>71</v>
      </c>
      <c r="V1089">
        <v>0</v>
      </c>
      <c r="W1089" t="s">
        <v>71</v>
      </c>
      <c r="X1089">
        <v>0</v>
      </c>
      <c r="Y1089">
        <v>0.39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40</v>
      </c>
      <c r="AF1089">
        <v>560</v>
      </c>
      <c r="AG1089">
        <v>88</v>
      </c>
      <c r="AI1089">
        <v>8.5999999999999993E-2</v>
      </c>
      <c r="AK1089" t="s">
        <v>107</v>
      </c>
      <c r="AL1089" t="s">
        <v>1957</v>
      </c>
      <c r="AM1089">
        <v>200000</v>
      </c>
      <c r="AN1089" t="s">
        <v>97</v>
      </c>
      <c r="AO1089">
        <v>1</v>
      </c>
      <c r="AP1089">
        <v>0</v>
      </c>
      <c r="AQ1089">
        <v>16666.666666666668</v>
      </c>
      <c r="AR1089" t="s">
        <v>3175</v>
      </c>
      <c r="AS1089" t="s">
        <v>75</v>
      </c>
      <c r="AX1089" t="s">
        <v>76</v>
      </c>
      <c r="AY1089" t="s">
        <v>71</v>
      </c>
      <c r="AZ1089">
        <v>0</v>
      </c>
      <c r="BA1089" t="s">
        <v>71</v>
      </c>
      <c r="BB1089">
        <v>0</v>
      </c>
      <c r="BD1089">
        <v>0.39</v>
      </c>
    </row>
    <row r="1090" spans="1:56" x14ac:dyDescent="0.15">
      <c r="A1090" s="4" t="str">
        <f>HYPERLINK("https://ibp.a2mac1.com/costing(costing:projects/details/9760/part/8412884)","Left Reinforcement")</f>
        <v>Left Reinforcement</v>
      </c>
      <c r="B1090">
        <v>8412884</v>
      </c>
      <c r="C1090">
        <v>8412866</v>
      </c>
      <c r="D1090" t="s">
        <v>2737</v>
      </c>
      <c r="E1090">
        <v>0.33</v>
      </c>
      <c r="F1090">
        <v>0</v>
      </c>
      <c r="G1090">
        <v>0</v>
      </c>
      <c r="H1090">
        <v>0</v>
      </c>
      <c r="I1090" t="s">
        <v>71</v>
      </c>
      <c r="J1090">
        <v>0</v>
      </c>
      <c r="K1090">
        <v>0.33</v>
      </c>
      <c r="L1090">
        <v>0</v>
      </c>
      <c r="M1090">
        <v>0</v>
      </c>
      <c r="N1090">
        <v>0.33</v>
      </c>
      <c r="O1090" t="s">
        <v>71</v>
      </c>
      <c r="P1090">
        <v>0</v>
      </c>
      <c r="Q1090" t="s">
        <v>71</v>
      </c>
      <c r="R1090">
        <v>0</v>
      </c>
      <c r="S1090" t="s">
        <v>71</v>
      </c>
      <c r="T1090">
        <v>0</v>
      </c>
      <c r="U1090" t="s">
        <v>71</v>
      </c>
      <c r="V1090">
        <v>0</v>
      </c>
      <c r="W1090" t="s">
        <v>71</v>
      </c>
      <c r="X1090">
        <v>0</v>
      </c>
      <c r="Y1090">
        <v>0.33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43</v>
      </c>
      <c r="AF1090">
        <v>132</v>
      </c>
      <c r="AG1090">
        <v>11</v>
      </c>
      <c r="AI1090">
        <v>0.20699999999999999</v>
      </c>
      <c r="AK1090" t="s">
        <v>272</v>
      </c>
      <c r="AL1090" t="s">
        <v>96</v>
      </c>
      <c r="AM1090">
        <v>600000</v>
      </c>
      <c r="AN1090" t="s">
        <v>73</v>
      </c>
      <c r="AO1090">
        <v>3</v>
      </c>
      <c r="AP1090">
        <v>0</v>
      </c>
      <c r="AQ1090">
        <v>50000</v>
      </c>
      <c r="AR1090" t="s">
        <v>3176</v>
      </c>
      <c r="AS1090" t="s">
        <v>75</v>
      </c>
      <c r="AX1090" t="s">
        <v>76</v>
      </c>
      <c r="AY1090" t="s">
        <v>71</v>
      </c>
      <c r="AZ1090">
        <v>0</v>
      </c>
      <c r="BA1090" t="s">
        <v>71</v>
      </c>
      <c r="BB1090">
        <v>0</v>
      </c>
      <c r="BD1090">
        <v>0.11</v>
      </c>
    </row>
    <row r="1091" spans="1:56" x14ac:dyDescent="0.15">
      <c r="A1091" s="4" t="str">
        <f>HYPERLINK("https://ibp.a2mac1.com/costing(costing:projects/details/9760/part/8412885)","Right Reinforcement")</f>
        <v>Right Reinforcement</v>
      </c>
      <c r="B1091">
        <v>8412885</v>
      </c>
      <c r="C1091">
        <v>8412866</v>
      </c>
      <c r="D1091" t="s">
        <v>2737</v>
      </c>
      <c r="E1091">
        <v>0.33</v>
      </c>
      <c r="F1091">
        <v>0</v>
      </c>
      <c r="G1091">
        <v>0</v>
      </c>
      <c r="H1091">
        <v>0</v>
      </c>
      <c r="I1091" t="s">
        <v>71</v>
      </c>
      <c r="J1091">
        <v>0</v>
      </c>
      <c r="K1091">
        <v>0.33</v>
      </c>
      <c r="L1091">
        <v>0</v>
      </c>
      <c r="M1091">
        <v>0</v>
      </c>
      <c r="N1091">
        <v>0.33</v>
      </c>
      <c r="O1091" t="s">
        <v>71</v>
      </c>
      <c r="P1091">
        <v>0</v>
      </c>
      <c r="Q1091" t="s">
        <v>71</v>
      </c>
      <c r="R1091">
        <v>0</v>
      </c>
      <c r="S1091" t="s">
        <v>71</v>
      </c>
      <c r="T1091">
        <v>0</v>
      </c>
      <c r="U1091" t="s">
        <v>71</v>
      </c>
      <c r="V1091">
        <v>0</v>
      </c>
      <c r="W1091" t="s">
        <v>71</v>
      </c>
      <c r="X1091">
        <v>0</v>
      </c>
      <c r="Y1091">
        <v>0.33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43</v>
      </c>
      <c r="AF1091">
        <v>132</v>
      </c>
      <c r="AG1091">
        <v>11</v>
      </c>
      <c r="AI1091">
        <v>0.20699999999999999</v>
      </c>
      <c r="AK1091" t="s">
        <v>107</v>
      </c>
      <c r="AL1091" t="s">
        <v>96</v>
      </c>
      <c r="AM1091">
        <v>600000</v>
      </c>
      <c r="AN1091" t="s">
        <v>97</v>
      </c>
      <c r="AO1091">
        <v>3</v>
      </c>
      <c r="AP1091">
        <v>0</v>
      </c>
      <c r="AQ1091">
        <v>50000</v>
      </c>
      <c r="AR1091" t="s">
        <v>3177</v>
      </c>
      <c r="AS1091" t="s">
        <v>75</v>
      </c>
      <c r="AX1091" t="s">
        <v>76</v>
      </c>
      <c r="AY1091" t="s">
        <v>71</v>
      </c>
      <c r="AZ1091">
        <v>0</v>
      </c>
      <c r="BA1091" t="s">
        <v>71</v>
      </c>
      <c r="BB1091">
        <v>0</v>
      </c>
      <c r="BD1091">
        <v>0.11</v>
      </c>
    </row>
    <row r="1092" spans="1:56" x14ac:dyDescent="0.15">
      <c r="A1092" s="4" t="str">
        <f>HYPERLINK("https://ibp.a2mac1.com/costing(costing:projects/details/9760/part/8412995)","Connectors")</f>
        <v>Connectors</v>
      </c>
      <c r="B1092">
        <v>8412995</v>
      </c>
      <c r="C1092">
        <v>8412890</v>
      </c>
      <c r="D1092" t="s">
        <v>1596</v>
      </c>
      <c r="E1092">
        <v>12.5</v>
      </c>
      <c r="F1092">
        <v>0</v>
      </c>
      <c r="G1092">
        <v>0</v>
      </c>
      <c r="H1092">
        <v>0</v>
      </c>
      <c r="I1092" t="s">
        <v>71</v>
      </c>
      <c r="J1092">
        <v>0</v>
      </c>
      <c r="K1092">
        <v>12.5</v>
      </c>
      <c r="L1092">
        <v>0</v>
      </c>
      <c r="M1092">
        <v>0</v>
      </c>
      <c r="N1092">
        <v>12.5</v>
      </c>
      <c r="O1092" t="s">
        <v>71</v>
      </c>
      <c r="P1092">
        <v>0</v>
      </c>
      <c r="Q1092" t="s">
        <v>71</v>
      </c>
      <c r="R1092">
        <v>0</v>
      </c>
      <c r="S1092" t="s">
        <v>71</v>
      </c>
      <c r="T1092">
        <v>0</v>
      </c>
      <c r="U1092" t="s">
        <v>71</v>
      </c>
      <c r="V1092">
        <v>0</v>
      </c>
      <c r="W1092" t="s">
        <v>71</v>
      </c>
      <c r="X1092">
        <v>0</v>
      </c>
      <c r="Y1092">
        <v>12.5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K1092" t="s">
        <v>272</v>
      </c>
      <c r="AM1092">
        <v>200000</v>
      </c>
      <c r="AN1092" t="s">
        <v>73</v>
      </c>
      <c r="AO1092">
        <v>1</v>
      </c>
      <c r="AP1092">
        <v>0</v>
      </c>
      <c r="AQ1092">
        <v>16666.666666666668</v>
      </c>
      <c r="AR1092" t="s">
        <v>9</v>
      </c>
      <c r="AS1092" t="s">
        <v>75</v>
      </c>
      <c r="AX1092" t="s">
        <v>76</v>
      </c>
      <c r="AY1092" t="s">
        <v>71</v>
      </c>
      <c r="AZ1092">
        <v>0</v>
      </c>
      <c r="BA1092" t="s">
        <v>71</v>
      </c>
      <c r="BB1092">
        <v>0</v>
      </c>
      <c r="BD1092">
        <v>12.5</v>
      </c>
    </row>
    <row r="1093" spans="1:56" x14ac:dyDescent="0.15">
      <c r="A1093" s="4" t="str">
        <f>HYPERLINK("https://ibp.a2mac1.com/costing(costing:projects/details/9760/part/8412996)","HV Cable")</f>
        <v>HV Cable</v>
      </c>
      <c r="B1093">
        <v>8412996</v>
      </c>
      <c r="C1093">
        <v>8412890</v>
      </c>
      <c r="D1093" t="s">
        <v>1596</v>
      </c>
      <c r="E1093">
        <v>40.999870000000001</v>
      </c>
      <c r="F1093">
        <v>0</v>
      </c>
      <c r="G1093">
        <v>0</v>
      </c>
      <c r="H1093">
        <v>0</v>
      </c>
      <c r="I1093" t="s">
        <v>71</v>
      </c>
      <c r="J1093">
        <v>0</v>
      </c>
      <c r="K1093">
        <v>40.999870000000001</v>
      </c>
      <c r="L1093">
        <v>0</v>
      </c>
      <c r="M1093">
        <v>0</v>
      </c>
      <c r="N1093">
        <v>40.999870000000001</v>
      </c>
      <c r="O1093" t="s">
        <v>71</v>
      </c>
      <c r="P1093">
        <v>0</v>
      </c>
      <c r="Q1093" t="s">
        <v>71</v>
      </c>
      <c r="R1093">
        <v>0</v>
      </c>
      <c r="S1093" t="s">
        <v>71</v>
      </c>
      <c r="T1093">
        <v>0</v>
      </c>
      <c r="U1093" t="s">
        <v>71</v>
      </c>
      <c r="V1093">
        <v>0</v>
      </c>
      <c r="W1093" t="s">
        <v>71</v>
      </c>
      <c r="X1093">
        <v>0</v>
      </c>
      <c r="Y1093">
        <v>40.999870000000001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K1093" t="s">
        <v>272</v>
      </c>
      <c r="AM1093">
        <v>200000</v>
      </c>
      <c r="AN1093" t="s">
        <v>73</v>
      </c>
      <c r="AO1093">
        <v>1</v>
      </c>
      <c r="AP1093">
        <v>0</v>
      </c>
      <c r="AQ1093">
        <v>16666.666666666668</v>
      </c>
      <c r="AR1093" t="s">
        <v>9</v>
      </c>
      <c r="AS1093" t="s">
        <v>75</v>
      </c>
      <c r="AX1093" t="s">
        <v>76</v>
      </c>
      <c r="AY1093" t="s">
        <v>71</v>
      </c>
      <c r="AZ1093">
        <v>0</v>
      </c>
      <c r="BA1093" t="s">
        <v>71</v>
      </c>
      <c r="BB1093">
        <v>0</v>
      </c>
      <c r="BD1093">
        <v>40.999870000000001</v>
      </c>
    </row>
    <row r="1094" spans="1:56" x14ac:dyDescent="0.15">
      <c r="A1094" s="4" t="str">
        <f>HYPERLINK("https://ibp.a2mac1.com/costing(costing:projects/details/9760/part/8412997)","Miscellaneuos")</f>
        <v>Miscellaneuos</v>
      </c>
      <c r="B1094">
        <v>8412997</v>
      </c>
      <c r="C1094">
        <v>8412890</v>
      </c>
      <c r="D1094" t="s">
        <v>1596</v>
      </c>
      <c r="E1094">
        <v>2.77833</v>
      </c>
      <c r="F1094">
        <v>0</v>
      </c>
      <c r="G1094">
        <v>0</v>
      </c>
      <c r="H1094">
        <v>0</v>
      </c>
      <c r="I1094" t="s">
        <v>71</v>
      </c>
      <c r="J1094">
        <v>0</v>
      </c>
      <c r="K1094">
        <v>2.77833</v>
      </c>
      <c r="L1094">
        <v>0</v>
      </c>
      <c r="M1094">
        <v>0</v>
      </c>
      <c r="N1094">
        <v>2.77833</v>
      </c>
      <c r="O1094" t="s">
        <v>71</v>
      </c>
      <c r="P1094">
        <v>0</v>
      </c>
      <c r="Q1094" t="s">
        <v>71</v>
      </c>
      <c r="R1094">
        <v>0</v>
      </c>
      <c r="S1094" t="s">
        <v>71</v>
      </c>
      <c r="T1094">
        <v>0</v>
      </c>
      <c r="U1094" t="s">
        <v>71</v>
      </c>
      <c r="V1094">
        <v>0</v>
      </c>
      <c r="W1094" t="s">
        <v>71</v>
      </c>
      <c r="X1094">
        <v>0</v>
      </c>
      <c r="Y1094">
        <v>2.77833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K1094" t="s">
        <v>272</v>
      </c>
      <c r="AM1094">
        <v>200000</v>
      </c>
      <c r="AN1094" t="s">
        <v>73</v>
      </c>
      <c r="AO1094">
        <v>1</v>
      </c>
      <c r="AP1094">
        <v>0</v>
      </c>
      <c r="AQ1094">
        <v>16666.666666666668</v>
      </c>
      <c r="AR1094" t="s">
        <v>9</v>
      </c>
      <c r="AS1094" t="s">
        <v>75</v>
      </c>
      <c r="AX1094" t="s">
        <v>76</v>
      </c>
      <c r="AY1094" t="s">
        <v>71</v>
      </c>
      <c r="AZ1094">
        <v>0</v>
      </c>
      <c r="BA1094" t="s">
        <v>71</v>
      </c>
      <c r="BB1094">
        <v>0</v>
      </c>
      <c r="BD1094">
        <v>2.77833</v>
      </c>
    </row>
    <row r="1095" spans="1:56" x14ac:dyDescent="0.15">
      <c r="A1095" s="4" t="str">
        <f>HYPERLINK("https://ibp.a2mac1.com/costing(costing:projects/details/9760/part/8412998)","Connectors")</f>
        <v>Connectors</v>
      </c>
      <c r="B1095">
        <v>8412998</v>
      </c>
      <c r="C1095">
        <v>8412891</v>
      </c>
      <c r="D1095" t="s">
        <v>1596</v>
      </c>
      <c r="E1095">
        <v>9.65</v>
      </c>
      <c r="F1095">
        <v>0</v>
      </c>
      <c r="G1095">
        <v>0</v>
      </c>
      <c r="H1095">
        <v>0</v>
      </c>
      <c r="I1095" t="s">
        <v>71</v>
      </c>
      <c r="J1095">
        <v>0</v>
      </c>
      <c r="K1095">
        <v>9.65</v>
      </c>
      <c r="L1095">
        <v>0</v>
      </c>
      <c r="M1095">
        <v>0</v>
      </c>
      <c r="N1095">
        <v>9.65</v>
      </c>
      <c r="O1095" t="s">
        <v>71</v>
      </c>
      <c r="P1095">
        <v>0</v>
      </c>
      <c r="Q1095" t="s">
        <v>71</v>
      </c>
      <c r="R1095">
        <v>0</v>
      </c>
      <c r="S1095" t="s">
        <v>71</v>
      </c>
      <c r="T1095">
        <v>0</v>
      </c>
      <c r="U1095" t="s">
        <v>71</v>
      </c>
      <c r="V1095">
        <v>0</v>
      </c>
      <c r="W1095" t="s">
        <v>71</v>
      </c>
      <c r="X1095">
        <v>0</v>
      </c>
      <c r="Y1095">
        <v>9.65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K1095" t="s">
        <v>272</v>
      </c>
      <c r="AM1095">
        <v>200000</v>
      </c>
      <c r="AN1095" t="s">
        <v>73</v>
      </c>
      <c r="AO1095">
        <v>1</v>
      </c>
      <c r="AP1095">
        <v>0</v>
      </c>
      <c r="AQ1095">
        <v>16666.666666666668</v>
      </c>
      <c r="AR1095" t="s">
        <v>9</v>
      </c>
      <c r="AS1095" t="s">
        <v>75</v>
      </c>
      <c r="AX1095" t="s">
        <v>76</v>
      </c>
      <c r="AY1095" t="s">
        <v>71</v>
      </c>
      <c r="AZ1095">
        <v>0</v>
      </c>
      <c r="BA1095" t="s">
        <v>71</v>
      </c>
      <c r="BB1095">
        <v>0</v>
      </c>
      <c r="BD1095">
        <v>9.65</v>
      </c>
    </row>
    <row r="1096" spans="1:56" x14ac:dyDescent="0.15">
      <c r="A1096" s="4" t="str">
        <f>HYPERLINK("https://ibp.a2mac1.com/costing(costing:projects/details/9760/part/8412999)","HV Cable")</f>
        <v>HV Cable</v>
      </c>
      <c r="B1096">
        <v>8412999</v>
      </c>
      <c r="C1096">
        <v>8412891</v>
      </c>
      <c r="D1096" t="s">
        <v>1596</v>
      </c>
      <c r="E1096">
        <v>12.432</v>
      </c>
      <c r="F1096">
        <v>0</v>
      </c>
      <c r="G1096">
        <v>0</v>
      </c>
      <c r="H1096">
        <v>0</v>
      </c>
      <c r="I1096" t="s">
        <v>71</v>
      </c>
      <c r="J1096">
        <v>0</v>
      </c>
      <c r="K1096">
        <v>12.432</v>
      </c>
      <c r="L1096">
        <v>0</v>
      </c>
      <c r="M1096">
        <v>0</v>
      </c>
      <c r="N1096">
        <v>12.432</v>
      </c>
      <c r="O1096" t="s">
        <v>71</v>
      </c>
      <c r="P1096">
        <v>0</v>
      </c>
      <c r="Q1096" t="s">
        <v>71</v>
      </c>
      <c r="R1096">
        <v>0</v>
      </c>
      <c r="S1096" t="s">
        <v>71</v>
      </c>
      <c r="T1096">
        <v>0</v>
      </c>
      <c r="U1096" t="s">
        <v>71</v>
      </c>
      <c r="V1096">
        <v>0</v>
      </c>
      <c r="W1096" t="s">
        <v>71</v>
      </c>
      <c r="X1096">
        <v>0</v>
      </c>
      <c r="Y1096">
        <v>12.432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K1096" t="s">
        <v>272</v>
      </c>
      <c r="AM1096">
        <v>200000</v>
      </c>
      <c r="AN1096" t="s">
        <v>73</v>
      </c>
      <c r="AO1096">
        <v>1</v>
      </c>
      <c r="AP1096">
        <v>0</v>
      </c>
      <c r="AQ1096">
        <v>16666.666666666668</v>
      </c>
      <c r="AR1096" t="s">
        <v>9</v>
      </c>
      <c r="AS1096" t="s">
        <v>75</v>
      </c>
      <c r="AX1096" t="s">
        <v>76</v>
      </c>
      <c r="AY1096" t="s">
        <v>71</v>
      </c>
      <c r="AZ1096">
        <v>0</v>
      </c>
      <c r="BA1096" t="s">
        <v>71</v>
      </c>
      <c r="BB1096">
        <v>0</v>
      </c>
      <c r="BD1096">
        <v>12.432</v>
      </c>
    </row>
    <row r="1097" spans="1:56" x14ac:dyDescent="0.15">
      <c r="A1097" s="4" t="str">
        <f>HYPERLINK("https://ibp.a2mac1.com/costing(costing:projects/details/9760/part/8413000)","Miscellaneuos")</f>
        <v>Miscellaneuos</v>
      </c>
      <c r="B1097">
        <v>8413000</v>
      </c>
      <c r="C1097">
        <v>8412891</v>
      </c>
      <c r="D1097" t="s">
        <v>1596</v>
      </c>
      <c r="E1097">
        <v>12.3117</v>
      </c>
      <c r="F1097">
        <v>0</v>
      </c>
      <c r="G1097">
        <v>0</v>
      </c>
      <c r="H1097">
        <v>0</v>
      </c>
      <c r="I1097" t="s">
        <v>71</v>
      </c>
      <c r="J1097">
        <v>0</v>
      </c>
      <c r="K1097">
        <v>12.3117</v>
      </c>
      <c r="L1097">
        <v>0</v>
      </c>
      <c r="M1097">
        <v>0</v>
      </c>
      <c r="N1097">
        <v>12.3117</v>
      </c>
      <c r="O1097" t="s">
        <v>71</v>
      </c>
      <c r="P1097">
        <v>0</v>
      </c>
      <c r="Q1097" t="s">
        <v>71</v>
      </c>
      <c r="R1097">
        <v>0</v>
      </c>
      <c r="S1097" t="s">
        <v>71</v>
      </c>
      <c r="T1097">
        <v>0</v>
      </c>
      <c r="U1097" t="s">
        <v>71</v>
      </c>
      <c r="V1097">
        <v>0</v>
      </c>
      <c r="W1097" t="s">
        <v>71</v>
      </c>
      <c r="X1097">
        <v>0</v>
      </c>
      <c r="Y1097">
        <v>12.3117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K1097" t="s">
        <v>272</v>
      </c>
      <c r="AM1097">
        <v>200000</v>
      </c>
      <c r="AN1097" t="s">
        <v>73</v>
      </c>
      <c r="AO1097">
        <v>1</v>
      </c>
      <c r="AP1097">
        <v>0</v>
      </c>
      <c r="AQ1097">
        <v>16666.666666666668</v>
      </c>
      <c r="AR1097" t="s">
        <v>9</v>
      </c>
      <c r="AS1097" t="s">
        <v>75</v>
      </c>
      <c r="AX1097" t="s">
        <v>76</v>
      </c>
      <c r="AY1097" t="s">
        <v>71</v>
      </c>
      <c r="AZ1097">
        <v>0</v>
      </c>
      <c r="BA1097" t="s">
        <v>71</v>
      </c>
      <c r="BB1097">
        <v>0</v>
      </c>
      <c r="BD1097">
        <v>12.3117</v>
      </c>
    </row>
    <row r="1098" spans="1:56" x14ac:dyDescent="0.15">
      <c r="A1098" s="4" t="str">
        <f>HYPERLINK("https://ibp.a2mac1.com/costing(costing:projects/details/9760/part/8413001)","Connectors")</f>
        <v>Connectors</v>
      </c>
      <c r="B1098">
        <v>8413001</v>
      </c>
      <c r="C1098">
        <v>8412892</v>
      </c>
      <c r="D1098" t="s">
        <v>1596</v>
      </c>
      <c r="E1098">
        <v>8.83</v>
      </c>
      <c r="F1098">
        <v>0</v>
      </c>
      <c r="G1098">
        <v>0</v>
      </c>
      <c r="H1098">
        <v>0</v>
      </c>
      <c r="I1098" t="s">
        <v>71</v>
      </c>
      <c r="J1098">
        <v>0</v>
      </c>
      <c r="K1098">
        <v>8.83</v>
      </c>
      <c r="L1098">
        <v>0</v>
      </c>
      <c r="M1098">
        <v>0</v>
      </c>
      <c r="N1098">
        <v>8.83</v>
      </c>
      <c r="O1098" t="s">
        <v>71</v>
      </c>
      <c r="P1098">
        <v>0</v>
      </c>
      <c r="Q1098" t="s">
        <v>71</v>
      </c>
      <c r="R1098">
        <v>0</v>
      </c>
      <c r="S1098" t="s">
        <v>71</v>
      </c>
      <c r="T1098">
        <v>0</v>
      </c>
      <c r="U1098" t="s">
        <v>71</v>
      </c>
      <c r="V1098">
        <v>0</v>
      </c>
      <c r="W1098" t="s">
        <v>71</v>
      </c>
      <c r="X1098">
        <v>0</v>
      </c>
      <c r="Y1098">
        <v>8.83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K1098" t="s">
        <v>272</v>
      </c>
      <c r="AM1098">
        <v>200000</v>
      </c>
      <c r="AN1098" t="s">
        <v>73</v>
      </c>
      <c r="AO1098">
        <v>1</v>
      </c>
      <c r="AP1098">
        <v>0</v>
      </c>
      <c r="AQ1098">
        <v>16666.666666666668</v>
      </c>
      <c r="AR1098" t="s">
        <v>9</v>
      </c>
      <c r="AS1098" t="s">
        <v>75</v>
      </c>
      <c r="AX1098" t="s">
        <v>76</v>
      </c>
      <c r="AY1098" t="s">
        <v>71</v>
      </c>
      <c r="AZ1098">
        <v>0</v>
      </c>
      <c r="BA1098" t="s">
        <v>71</v>
      </c>
      <c r="BB1098">
        <v>0</v>
      </c>
      <c r="BD1098">
        <v>8.83</v>
      </c>
    </row>
    <row r="1099" spans="1:56" x14ac:dyDescent="0.15">
      <c r="A1099" s="4" t="str">
        <f>HYPERLINK("https://ibp.a2mac1.com/costing(costing:projects/details/9760/part/8413002)","HV Cable")</f>
        <v>HV Cable</v>
      </c>
      <c r="B1099">
        <v>8413002</v>
      </c>
      <c r="C1099">
        <v>8412892</v>
      </c>
      <c r="D1099" t="s">
        <v>1596</v>
      </c>
      <c r="E1099">
        <v>7.46868</v>
      </c>
      <c r="F1099">
        <v>0</v>
      </c>
      <c r="G1099">
        <v>0</v>
      </c>
      <c r="H1099">
        <v>0</v>
      </c>
      <c r="I1099" t="s">
        <v>71</v>
      </c>
      <c r="J1099">
        <v>0</v>
      </c>
      <c r="K1099">
        <v>7.46868</v>
      </c>
      <c r="L1099">
        <v>0</v>
      </c>
      <c r="M1099">
        <v>0</v>
      </c>
      <c r="N1099">
        <v>7.46868</v>
      </c>
      <c r="O1099" t="s">
        <v>71</v>
      </c>
      <c r="P1099">
        <v>0</v>
      </c>
      <c r="Q1099" t="s">
        <v>71</v>
      </c>
      <c r="R1099">
        <v>0</v>
      </c>
      <c r="S1099" t="s">
        <v>71</v>
      </c>
      <c r="T1099">
        <v>0</v>
      </c>
      <c r="U1099" t="s">
        <v>71</v>
      </c>
      <c r="V1099">
        <v>0</v>
      </c>
      <c r="W1099" t="s">
        <v>71</v>
      </c>
      <c r="X1099">
        <v>0</v>
      </c>
      <c r="Y1099">
        <v>7.46868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K1099" t="s">
        <v>272</v>
      </c>
      <c r="AM1099">
        <v>200000</v>
      </c>
      <c r="AN1099" t="s">
        <v>73</v>
      </c>
      <c r="AO1099">
        <v>1</v>
      </c>
      <c r="AP1099">
        <v>0</v>
      </c>
      <c r="AQ1099">
        <v>16666.666666666668</v>
      </c>
      <c r="AR1099" t="s">
        <v>9</v>
      </c>
      <c r="AS1099" t="s">
        <v>75</v>
      </c>
      <c r="AX1099" t="s">
        <v>76</v>
      </c>
      <c r="AY1099" t="s">
        <v>71</v>
      </c>
      <c r="AZ1099">
        <v>0</v>
      </c>
      <c r="BA1099" t="s">
        <v>71</v>
      </c>
      <c r="BB1099">
        <v>0</v>
      </c>
      <c r="BD1099">
        <v>7.46868</v>
      </c>
    </row>
    <row r="1100" spans="1:56" x14ac:dyDescent="0.15">
      <c r="A1100" s="4" t="str">
        <f>HYPERLINK("https://ibp.a2mac1.com/costing(costing:projects/details/9760/part/8413003)","Miscellaneuos")</f>
        <v>Miscellaneuos</v>
      </c>
      <c r="B1100">
        <v>8413003</v>
      </c>
      <c r="C1100">
        <v>8412892</v>
      </c>
      <c r="D1100" t="s">
        <v>1596</v>
      </c>
      <c r="E1100">
        <v>1.1375</v>
      </c>
      <c r="F1100">
        <v>0</v>
      </c>
      <c r="G1100">
        <v>0</v>
      </c>
      <c r="H1100">
        <v>0</v>
      </c>
      <c r="I1100" t="s">
        <v>71</v>
      </c>
      <c r="J1100">
        <v>0</v>
      </c>
      <c r="K1100">
        <v>1.1375</v>
      </c>
      <c r="L1100">
        <v>0</v>
      </c>
      <c r="M1100">
        <v>0</v>
      </c>
      <c r="N1100">
        <v>1.1375</v>
      </c>
      <c r="O1100" t="s">
        <v>71</v>
      </c>
      <c r="P1100">
        <v>0</v>
      </c>
      <c r="Q1100" t="s">
        <v>71</v>
      </c>
      <c r="R1100">
        <v>0</v>
      </c>
      <c r="S1100" t="s">
        <v>71</v>
      </c>
      <c r="T1100">
        <v>0</v>
      </c>
      <c r="U1100" t="s">
        <v>71</v>
      </c>
      <c r="V1100">
        <v>0</v>
      </c>
      <c r="W1100" t="s">
        <v>71</v>
      </c>
      <c r="X1100">
        <v>0</v>
      </c>
      <c r="Y1100">
        <v>1.1375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K1100" t="s">
        <v>272</v>
      </c>
      <c r="AM1100">
        <v>200000</v>
      </c>
      <c r="AN1100" t="s">
        <v>73</v>
      </c>
      <c r="AO1100">
        <v>1</v>
      </c>
      <c r="AP1100">
        <v>0</v>
      </c>
      <c r="AQ1100">
        <v>16666.666666666668</v>
      </c>
      <c r="AR1100" t="s">
        <v>9</v>
      </c>
      <c r="AS1100" t="s">
        <v>75</v>
      </c>
      <c r="AX1100" t="s">
        <v>76</v>
      </c>
      <c r="AY1100" t="s">
        <v>71</v>
      </c>
      <c r="AZ1100">
        <v>0</v>
      </c>
      <c r="BA1100" t="s">
        <v>71</v>
      </c>
      <c r="BB1100">
        <v>0</v>
      </c>
      <c r="BD1100">
        <v>1.1375</v>
      </c>
    </row>
    <row r="1101" spans="1:56" x14ac:dyDescent="0.15">
      <c r="A1101" s="4" t="str">
        <f>HYPERLINK("https://ibp.a2mac1.com/costing(costing:projects/details/9760/part/8413004)","Connectors")</f>
        <v>Connectors</v>
      </c>
      <c r="B1101">
        <v>8413004</v>
      </c>
      <c r="C1101">
        <v>8412893</v>
      </c>
      <c r="D1101" t="s">
        <v>1596</v>
      </c>
      <c r="E1101">
        <v>8.23</v>
      </c>
      <c r="F1101">
        <v>0</v>
      </c>
      <c r="G1101">
        <v>0</v>
      </c>
      <c r="H1101">
        <v>0</v>
      </c>
      <c r="I1101" t="s">
        <v>71</v>
      </c>
      <c r="J1101">
        <v>0</v>
      </c>
      <c r="K1101">
        <v>8.23</v>
      </c>
      <c r="L1101">
        <v>0</v>
      </c>
      <c r="M1101">
        <v>0</v>
      </c>
      <c r="N1101">
        <v>8.23</v>
      </c>
      <c r="O1101" t="s">
        <v>71</v>
      </c>
      <c r="P1101">
        <v>0</v>
      </c>
      <c r="Q1101" t="s">
        <v>71</v>
      </c>
      <c r="R1101">
        <v>0</v>
      </c>
      <c r="S1101" t="s">
        <v>71</v>
      </c>
      <c r="T1101">
        <v>0</v>
      </c>
      <c r="U1101" t="s">
        <v>71</v>
      </c>
      <c r="V1101">
        <v>0</v>
      </c>
      <c r="W1101" t="s">
        <v>71</v>
      </c>
      <c r="X1101">
        <v>0</v>
      </c>
      <c r="Y1101">
        <v>8.23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K1101" t="s">
        <v>272</v>
      </c>
      <c r="AM1101">
        <v>200000</v>
      </c>
      <c r="AN1101" t="s">
        <v>73</v>
      </c>
      <c r="AO1101">
        <v>1</v>
      </c>
      <c r="AP1101">
        <v>0</v>
      </c>
      <c r="AQ1101">
        <v>16666.666666666668</v>
      </c>
      <c r="AR1101" t="s">
        <v>9</v>
      </c>
      <c r="AS1101" t="s">
        <v>75</v>
      </c>
      <c r="AX1101" t="s">
        <v>76</v>
      </c>
      <c r="AY1101" t="s">
        <v>71</v>
      </c>
      <c r="AZ1101">
        <v>0</v>
      </c>
      <c r="BA1101" t="s">
        <v>71</v>
      </c>
      <c r="BB1101">
        <v>0</v>
      </c>
      <c r="BD1101">
        <v>8.23</v>
      </c>
    </row>
    <row r="1102" spans="1:56" x14ac:dyDescent="0.15">
      <c r="A1102" s="4" t="str">
        <f>HYPERLINK("https://ibp.a2mac1.com/costing(costing:projects/details/9760/part/8413005)","HV Cable")</f>
        <v>HV Cable</v>
      </c>
      <c r="B1102">
        <v>8413005</v>
      </c>
      <c r="C1102">
        <v>8412893</v>
      </c>
      <c r="D1102" t="s">
        <v>1596</v>
      </c>
      <c r="E1102">
        <v>12.83257</v>
      </c>
      <c r="F1102">
        <v>0</v>
      </c>
      <c r="G1102">
        <v>0</v>
      </c>
      <c r="H1102">
        <v>0</v>
      </c>
      <c r="I1102" t="s">
        <v>71</v>
      </c>
      <c r="J1102">
        <v>0</v>
      </c>
      <c r="K1102">
        <v>12.83257</v>
      </c>
      <c r="L1102">
        <v>0</v>
      </c>
      <c r="M1102">
        <v>0</v>
      </c>
      <c r="N1102">
        <v>12.83257</v>
      </c>
      <c r="O1102" t="s">
        <v>71</v>
      </c>
      <c r="P1102">
        <v>0</v>
      </c>
      <c r="Q1102" t="s">
        <v>71</v>
      </c>
      <c r="R1102">
        <v>0</v>
      </c>
      <c r="S1102" t="s">
        <v>71</v>
      </c>
      <c r="T1102">
        <v>0</v>
      </c>
      <c r="U1102" t="s">
        <v>71</v>
      </c>
      <c r="V1102">
        <v>0</v>
      </c>
      <c r="W1102" t="s">
        <v>71</v>
      </c>
      <c r="X1102">
        <v>0</v>
      </c>
      <c r="Y1102">
        <v>12.83257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K1102" t="s">
        <v>272</v>
      </c>
      <c r="AM1102">
        <v>200000</v>
      </c>
      <c r="AN1102" t="s">
        <v>73</v>
      </c>
      <c r="AO1102">
        <v>1</v>
      </c>
      <c r="AP1102">
        <v>0</v>
      </c>
      <c r="AQ1102">
        <v>16666.666666666668</v>
      </c>
      <c r="AR1102" t="s">
        <v>9</v>
      </c>
      <c r="AS1102" t="s">
        <v>75</v>
      </c>
      <c r="AX1102" t="s">
        <v>76</v>
      </c>
      <c r="AY1102" t="s">
        <v>71</v>
      </c>
      <c r="AZ1102">
        <v>0</v>
      </c>
      <c r="BA1102" t="s">
        <v>71</v>
      </c>
      <c r="BB1102">
        <v>0</v>
      </c>
      <c r="BD1102">
        <v>12.83257</v>
      </c>
    </row>
    <row r="1103" spans="1:56" x14ac:dyDescent="0.15">
      <c r="A1103" s="4" t="str">
        <f>HYPERLINK("https://ibp.a2mac1.com/costing(costing:projects/details/9760/part/8413006)","Miscellaneuos")</f>
        <v>Miscellaneuos</v>
      </c>
      <c r="B1103">
        <v>8413006</v>
      </c>
      <c r="C1103">
        <v>8412893</v>
      </c>
      <c r="D1103" t="s">
        <v>1596</v>
      </c>
      <c r="E1103">
        <v>1.5083299999999999</v>
      </c>
      <c r="F1103">
        <v>0</v>
      </c>
      <c r="G1103">
        <v>0</v>
      </c>
      <c r="H1103">
        <v>0</v>
      </c>
      <c r="I1103" t="s">
        <v>71</v>
      </c>
      <c r="J1103">
        <v>0</v>
      </c>
      <c r="K1103">
        <v>1.5083299999999999</v>
      </c>
      <c r="L1103">
        <v>0</v>
      </c>
      <c r="M1103">
        <v>0</v>
      </c>
      <c r="N1103">
        <v>1.5083299999999999</v>
      </c>
      <c r="O1103" t="s">
        <v>71</v>
      </c>
      <c r="P1103">
        <v>0</v>
      </c>
      <c r="Q1103" t="s">
        <v>71</v>
      </c>
      <c r="R1103">
        <v>0</v>
      </c>
      <c r="S1103" t="s">
        <v>71</v>
      </c>
      <c r="T1103">
        <v>0</v>
      </c>
      <c r="U1103" t="s">
        <v>71</v>
      </c>
      <c r="V1103">
        <v>0</v>
      </c>
      <c r="W1103" t="s">
        <v>71</v>
      </c>
      <c r="X1103">
        <v>0</v>
      </c>
      <c r="Y1103">
        <v>1.5083299999999999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K1103" t="s">
        <v>272</v>
      </c>
      <c r="AM1103">
        <v>200000</v>
      </c>
      <c r="AN1103" t="s">
        <v>73</v>
      </c>
      <c r="AO1103">
        <v>1</v>
      </c>
      <c r="AP1103">
        <v>0</v>
      </c>
      <c r="AQ1103">
        <v>16666.666666666668</v>
      </c>
      <c r="AR1103" t="s">
        <v>9</v>
      </c>
      <c r="AS1103" t="s">
        <v>75</v>
      </c>
      <c r="AX1103" t="s">
        <v>76</v>
      </c>
      <c r="AY1103" t="s">
        <v>71</v>
      </c>
      <c r="AZ1103">
        <v>0</v>
      </c>
      <c r="BA1103" t="s">
        <v>71</v>
      </c>
      <c r="BB1103">
        <v>0</v>
      </c>
      <c r="BD1103">
        <v>1.5083299999999999</v>
      </c>
    </row>
    <row r="1104" spans="1:56" x14ac:dyDescent="0.15">
      <c r="A1104" s="4" t="str">
        <f>HYPERLINK("https://ibp.a2mac1.com/costing(costing:projects/details/9760/part/8413007)","Connectors")</f>
        <v>Connectors</v>
      </c>
      <c r="B1104">
        <v>8413007</v>
      </c>
      <c r="C1104">
        <v>8412894</v>
      </c>
      <c r="D1104" t="s">
        <v>1596</v>
      </c>
      <c r="E1104">
        <v>9.26</v>
      </c>
      <c r="F1104">
        <v>0</v>
      </c>
      <c r="G1104">
        <v>0</v>
      </c>
      <c r="H1104">
        <v>0</v>
      </c>
      <c r="I1104" t="s">
        <v>71</v>
      </c>
      <c r="J1104">
        <v>0</v>
      </c>
      <c r="K1104">
        <v>9.26</v>
      </c>
      <c r="L1104">
        <v>0</v>
      </c>
      <c r="M1104">
        <v>0</v>
      </c>
      <c r="N1104">
        <v>9.26</v>
      </c>
      <c r="O1104" t="s">
        <v>71</v>
      </c>
      <c r="P1104">
        <v>0</v>
      </c>
      <c r="Q1104" t="s">
        <v>71</v>
      </c>
      <c r="R1104">
        <v>0</v>
      </c>
      <c r="S1104" t="s">
        <v>71</v>
      </c>
      <c r="T1104">
        <v>0</v>
      </c>
      <c r="U1104" t="s">
        <v>71</v>
      </c>
      <c r="V1104">
        <v>0</v>
      </c>
      <c r="W1104" t="s">
        <v>71</v>
      </c>
      <c r="X1104">
        <v>0</v>
      </c>
      <c r="Y1104">
        <v>9.26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K1104" t="s">
        <v>272</v>
      </c>
      <c r="AM1104">
        <v>200000</v>
      </c>
      <c r="AN1104" t="s">
        <v>73</v>
      </c>
      <c r="AO1104">
        <v>1</v>
      </c>
      <c r="AP1104">
        <v>0</v>
      </c>
      <c r="AQ1104">
        <v>16666.666666666668</v>
      </c>
      <c r="AR1104" t="s">
        <v>9</v>
      </c>
      <c r="AS1104" t="s">
        <v>75</v>
      </c>
      <c r="AX1104" t="s">
        <v>76</v>
      </c>
      <c r="AY1104" t="s">
        <v>71</v>
      </c>
      <c r="AZ1104">
        <v>0</v>
      </c>
      <c r="BA1104" t="s">
        <v>71</v>
      </c>
      <c r="BB1104">
        <v>0</v>
      </c>
      <c r="BD1104">
        <v>9.26</v>
      </c>
    </row>
    <row r="1105" spans="1:56" x14ac:dyDescent="0.15">
      <c r="A1105" s="4" t="str">
        <f>HYPERLINK("https://ibp.a2mac1.com/costing(costing:projects/details/9760/part/8413008)","HV Cable")</f>
        <v>HV Cable</v>
      </c>
      <c r="B1105">
        <v>8413008</v>
      </c>
      <c r="C1105">
        <v>8412894</v>
      </c>
      <c r="D1105" t="s">
        <v>1596</v>
      </c>
      <c r="E1105">
        <v>16.726970000000001</v>
      </c>
      <c r="F1105">
        <v>0</v>
      </c>
      <c r="G1105">
        <v>0</v>
      </c>
      <c r="H1105">
        <v>0</v>
      </c>
      <c r="I1105" t="s">
        <v>71</v>
      </c>
      <c r="J1105">
        <v>0</v>
      </c>
      <c r="K1105">
        <v>16.726970000000001</v>
      </c>
      <c r="L1105">
        <v>0</v>
      </c>
      <c r="M1105">
        <v>0</v>
      </c>
      <c r="N1105">
        <v>16.726970000000001</v>
      </c>
      <c r="O1105" t="s">
        <v>71</v>
      </c>
      <c r="P1105">
        <v>0</v>
      </c>
      <c r="Q1105" t="s">
        <v>71</v>
      </c>
      <c r="R1105">
        <v>0</v>
      </c>
      <c r="S1105" t="s">
        <v>71</v>
      </c>
      <c r="T1105">
        <v>0</v>
      </c>
      <c r="U1105" t="s">
        <v>71</v>
      </c>
      <c r="V1105">
        <v>0</v>
      </c>
      <c r="W1105" t="s">
        <v>71</v>
      </c>
      <c r="X1105">
        <v>0</v>
      </c>
      <c r="Y1105">
        <v>16.726970000000001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K1105" t="s">
        <v>272</v>
      </c>
      <c r="AM1105">
        <v>200000</v>
      </c>
      <c r="AN1105" t="s">
        <v>73</v>
      </c>
      <c r="AO1105">
        <v>1</v>
      </c>
      <c r="AP1105">
        <v>0</v>
      </c>
      <c r="AQ1105">
        <v>16666.666666666668</v>
      </c>
      <c r="AR1105" t="s">
        <v>9</v>
      </c>
      <c r="AS1105" t="s">
        <v>75</v>
      </c>
      <c r="AX1105" t="s">
        <v>76</v>
      </c>
      <c r="AY1105" t="s">
        <v>71</v>
      </c>
      <c r="AZ1105">
        <v>0</v>
      </c>
      <c r="BA1105" t="s">
        <v>71</v>
      </c>
      <c r="BB1105">
        <v>0</v>
      </c>
      <c r="BD1105">
        <v>16.726970000000001</v>
      </c>
    </row>
    <row r="1106" spans="1:56" x14ac:dyDescent="0.15">
      <c r="A1106" s="4" t="str">
        <f>HYPERLINK("https://ibp.a2mac1.com/costing(costing:projects/details/9760/part/8413009)","Miscellaneuos")</f>
        <v>Miscellaneuos</v>
      </c>
      <c r="B1106">
        <v>8413009</v>
      </c>
      <c r="C1106">
        <v>8412894</v>
      </c>
      <c r="D1106" t="s">
        <v>1596</v>
      </c>
      <c r="E1106">
        <v>5.8</v>
      </c>
      <c r="F1106">
        <v>0</v>
      </c>
      <c r="G1106">
        <v>0</v>
      </c>
      <c r="H1106">
        <v>0</v>
      </c>
      <c r="I1106" t="s">
        <v>71</v>
      </c>
      <c r="J1106">
        <v>0</v>
      </c>
      <c r="K1106">
        <v>5.8</v>
      </c>
      <c r="L1106">
        <v>0</v>
      </c>
      <c r="M1106">
        <v>0</v>
      </c>
      <c r="N1106">
        <v>5.8</v>
      </c>
      <c r="O1106" t="s">
        <v>71</v>
      </c>
      <c r="P1106">
        <v>0</v>
      </c>
      <c r="Q1106" t="s">
        <v>71</v>
      </c>
      <c r="R1106">
        <v>0</v>
      </c>
      <c r="S1106" t="s">
        <v>71</v>
      </c>
      <c r="T1106">
        <v>0</v>
      </c>
      <c r="U1106" t="s">
        <v>71</v>
      </c>
      <c r="V1106">
        <v>0</v>
      </c>
      <c r="W1106" t="s">
        <v>71</v>
      </c>
      <c r="X1106">
        <v>0</v>
      </c>
      <c r="Y1106">
        <v>5.8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K1106" t="s">
        <v>272</v>
      </c>
      <c r="AM1106">
        <v>200000</v>
      </c>
      <c r="AN1106" t="s">
        <v>73</v>
      </c>
      <c r="AO1106">
        <v>1</v>
      </c>
      <c r="AP1106">
        <v>0</v>
      </c>
      <c r="AQ1106">
        <v>16666.666666666668</v>
      </c>
      <c r="AR1106" t="s">
        <v>9</v>
      </c>
      <c r="AS1106" t="s">
        <v>75</v>
      </c>
      <c r="AX1106" t="s">
        <v>76</v>
      </c>
      <c r="AY1106" t="s">
        <v>71</v>
      </c>
      <c r="AZ1106">
        <v>0</v>
      </c>
      <c r="BA1106" t="s">
        <v>71</v>
      </c>
      <c r="BB1106">
        <v>0</v>
      </c>
      <c r="BD1106">
        <v>5.8</v>
      </c>
    </row>
    <row r="1107" spans="1:56" x14ac:dyDescent="0.15">
      <c r="A1107" s="4" t="str">
        <f>HYPERLINK("https://ibp.a2mac1.com/costing(costing:projects/details/9760/part/8412889)","HV Cables Support")</f>
        <v>HV Cables Support</v>
      </c>
      <c r="B1107">
        <v>8412889</v>
      </c>
      <c r="C1107">
        <v>8412867</v>
      </c>
      <c r="D1107" t="s">
        <v>3197</v>
      </c>
      <c r="E1107">
        <v>0.20499999999999999</v>
      </c>
      <c r="F1107">
        <v>0</v>
      </c>
      <c r="G1107">
        <v>0</v>
      </c>
      <c r="H1107">
        <v>0</v>
      </c>
      <c r="I1107" t="s">
        <v>71</v>
      </c>
      <c r="J1107">
        <v>0</v>
      </c>
      <c r="K1107">
        <v>0.20499999999999999</v>
      </c>
      <c r="L1107">
        <v>0</v>
      </c>
      <c r="M1107">
        <v>0</v>
      </c>
      <c r="N1107">
        <v>0.20499999999999999</v>
      </c>
      <c r="O1107" t="s">
        <v>71</v>
      </c>
      <c r="P1107">
        <v>0</v>
      </c>
      <c r="Q1107" t="s">
        <v>71</v>
      </c>
      <c r="R1107">
        <v>0</v>
      </c>
      <c r="S1107" t="s">
        <v>71</v>
      </c>
      <c r="T1107">
        <v>0</v>
      </c>
      <c r="U1107" t="s">
        <v>71</v>
      </c>
      <c r="V1107">
        <v>0</v>
      </c>
      <c r="W1107" t="s">
        <v>71</v>
      </c>
      <c r="X1107">
        <v>0</v>
      </c>
      <c r="Y1107">
        <v>0.20499999999999999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49</v>
      </c>
      <c r="AF1107">
        <v>79</v>
      </c>
      <c r="AG1107">
        <v>65</v>
      </c>
      <c r="AH1107">
        <v>0</v>
      </c>
      <c r="AI1107">
        <v>5.8999999999999997E-2</v>
      </c>
      <c r="AK1107" t="s">
        <v>100</v>
      </c>
      <c r="AM1107">
        <v>200000</v>
      </c>
      <c r="AN1107" t="s">
        <v>97</v>
      </c>
      <c r="AO1107">
        <v>1</v>
      </c>
      <c r="AP1107">
        <v>0</v>
      </c>
      <c r="AQ1107">
        <v>16666.666666666668</v>
      </c>
      <c r="AR1107" t="s">
        <v>3198</v>
      </c>
      <c r="AS1107" t="s">
        <v>75</v>
      </c>
      <c r="AX1107" t="s">
        <v>76</v>
      </c>
      <c r="AY1107" t="s">
        <v>71</v>
      </c>
      <c r="AZ1107">
        <v>0</v>
      </c>
      <c r="BA1107" t="s">
        <v>71</v>
      </c>
      <c r="BB1107">
        <v>0</v>
      </c>
      <c r="BD1107">
        <v>0.20499999999999999</v>
      </c>
    </row>
    <row r="1108" spans="1:56" x14ac:dyDescent="0.15">
      <c r="A1108" s="4" t="str">
        <f>HYPERLINK("https://ibp.a2mac1.com/costing(costing:projects/details/9760/part/8413010)","Charging Port")</f>
        <v>Charging Port</v>
      </c>
      <c r="B1108">
        <v>8413010</v>
      </c>
      <c r="C1108">
        <v>8412912</v>
      </c>
      <c r="E1108">
        <v>15.39301</v>
      </c>
      <c r="F1108">
        <v>0</v>
      </c>
      <c r="G1108">
        <v>0</v>
      </c>
      <c r="H1108">
        <v>0</v>
      </c>
      <c r="I1108" t="s">
        <v>71</v>
      </c>
      <c r="J1108">
        <v>0</v>
      </c>
      <c r="K1108">
        <v>15.39301</v>
      </c>
      <c r="L1108">
        <v>0</v>
      </c>
      <c r="M1108">
        <v>0</v>
      </c>
      <c r="N1108">
        <v>15.39301</v>
      </c>
      <c r="O1108" t="s">
        <v>71</v>
      </c>
      <c r="P1108">
        <v>0</v>
      </c>
      <c r="Q1108" t="s">
        <v>71</v>
      </c>
      <c r="R1108">
        <v>0</v>
      </c>
      <c r="S1108" t="s">
        <v>71</v>
      </c>
      <c r="T1108">
        <v>0</v>
      </c>
      <c r="U1108" t="s">
        <v>71</v>
      </c>
      <c r="V1108">
        <v>0</v>
      </c>
      <c r="W1108" t="s">
        <v>71</v>
      </c>
      <c r="X1108">
        <v>0</v>
      </c>
      <c r="Y1108">
        <v>15.39301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K1108" t="s">
        <v>272</v>
      </c>
      <c r="AM1108">
        <v>200000</v>
      </c>
      <c r="AN1108" t="s">
        <v>73</v>
      </c>
      <c r="AO1108">
        <v>1</v>
      </c>
      <c r="AP1108">
        <v>0</v>
      </c>
      <c r="AQ1108">
        <v>16666.666666666668</v>
      </c>
      <c r="AR1108" t="s">
        <v>9</v>
      </c>
      <c r="AS1108" t="s">
        <v>75</v>
      </c>
      <c r="AX1108" t="s">
        <v>76</v>
      </c>
      <c r="AY1108" t="s">
        <v>71</v>
      </c>
      <c r="AZ1108">
        <v>0</v>
      </c>
      <c r="BA1108" t="s">
        <v>71</v>
      </c>
      <c r="BB1108">
        <v>0</v>
      </c>
      <c r="BD1108">
        <v>15.39301</v>
      </c>
    </row>
    <row r="1109" spans="1:56" x14ac:dyDescent="0.15">
      <c r="A1109" s="4" t="str">
        <f>HYPERLINK("https://ibp.a2mac1.com/costing(costing:projects/details/9760/part/8413011)","Connectors")</f>
        <v>Connectors</v>
      </c>
      <c r="B1109">
        <v>8413011</v>
      </c>
      <c r="C1109">
        <v>8412912</v>
      </c>
      <c r="E1109">
        <v>6.76</v>
      </c>
      <c r="F1109">
        <v>0</v>
      </c>
      <c r="G1109">
        <v>0</v>
      </c>
      <c r="H1109">
        <v>0</v>
      </c>
      <c r="I1109" t="s">
        <v>71</v>
      </c>
      <c r="J1109">
        <v>0</v>
      </c>
      <c r="K1109">
        <v>6.76</v>
      </c>
      <c r="L1109">
        <v>0</v>
      </c>
      <c r="M1109">
        <v>0</v>
      </c>
      <c r="N1109">
        <v>6.76</v>
      </c>
      <c r="O1109" t="s">
        <v>71</v>
      </c>
      <c r="P1109">
        <v>0</v>
      </c>
      <c r="Q1109" t="s">
        <v>71</v>
      </c>
      <c r="R1109">
        <v>0</v>
      </c>
      <c r="S1109" t="s">
        <v>71</v>
      </c>
      <c r="T1109">
        <v>0</v>
      </c>
      <c r="U1109" t="s">
        <v>71</v>
      </c>
      <c r="V1109">
        <v>0</v>
      </c>
      <c r="W1109" t="s">
        <v>71</v>
      </c>
      <c r="X1109">
        <v>0</v>
      </c>
      <c r="Y1109">
        <v>6.76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K1109" t="s">
        <v>272</v>
      </c>
      <c r="AM1109">
        <v>200000</v>
      </c>
      <c r="AN1109" t="s">
        <v>73</v>
      </c>
      <c r="AO1109">
        <v>1</v>
      </c>
      <c r="AP1109">
        <v>0</v>
      </c>
      <c r="AQ1109">
        <v>16666.666666666668</v>
      </c>
      <c r="AR1109" t="s">
        <v>9</v>
      </c>
      <c r="AS1109" t="s">
        <v>75</v>
      </c>
      <c r="AX1109" t="s">
        <v>76</v>
      </c>
      <c r="AY1109" t="s">
        <v>71</v>
      </c>
      <c r="AZ1109">
        <v>0</v>
      </c>
      <c r="BA1109" t="s">
        <v>71</v>
      </c>
      <c r="BB1109">
        <v>0</v>
      </c>
      <c r="BD1109">
        <v>6.76</v>
      </c>
    </row>
    <row r="1110" spans="1:56" x14ac:dyDescent="0.15">
      <c r="A1110" s="4" t="str">
        <f>HYPERLINK("https://ibp.a2mac1.com/costing(costing:projects/details/9760/part/8413012)","HV Cable")</f>
        <v>HV Cable</v>
      </c>
      <c r="B1110">
        <v>8413012</v>
      </c>
      <c r="C1110">
        <v>8412912</v>
      </c>
      <c r="E1110">
        <v>9.1567500000000006</v>
      </c>
      <c r="F1110">
        <v>0</v>
      </c>
      <c r="G1110">
        <v>0</v>
      </c>
      <c r="H1110">
        <v>0</v>
      </c>
      <c r="I1110" t="s">
        <v>71</v>
      </c>
      <c r="J1110">
        <v>0</v>
      </c>
      <c r="K1110">
        <v>9.1567500000000006</v>
      </c>
      <c r="L1110">
        <v>0</v>
      </c>
      <c r="M1110">
        <v>0</v>
      </c>
      <c r="N1110">
        <v>9.1567500000000006</v>
      </c>
      <c r="O1110" t="s">
        <v>71</v>
      </c>
      <c r="P1110">
        <v>0</v>
      </c>
      <c r="Q1110" t="s">
        <v>71</v>
      </c>
      <c r="R1110">
        <v>0</v>
      </c>
      <c r="S1110" t="s">
        <v>71</v>
      </c>
      <c r="T1110">
        <v>0</v>
      </c>
      <c r="U1110" t="s">
        <v>71</v>
      </c>
      <c r="V1110">
        <v>0</v>
      </c>
      <c r="W1110" t="s">
        <v>71</v>
      </c>
      <c r="X1110">
        <v>0</v>
      </c>
      <c r="Y1110">
        <v>9.1567500000000006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K1110" t="s">
        <v>272</v>
      </c>
      <c r="AM1110">
        <v>200000</v>
      </c>
      <c r="AN1110" t="s">
        <v>73</v>
      </c>
      <c r="AO1110">
        <v>1</v>
      </c>
      <c r="AP1110">
        <v>0</v>
      </c>
      <c r="AQ1110">
        <v>16666.666666666668</v>
      </c>
      <c r="AR1110" t="s">
        <v>9</v>
      </c>
      <c r="AS1110" t="s">
        <v>75</v>
      </c>
      <c r="AX1110" t="s">
        <v>76</v>
      </c>
      <c r="AY1110" t="s">
        <v>71</v>
      </c>
      <c r="AZ1110">
        <v>0</v>
      </c>
      <c r="BA1110" t="s">
        <v>71</v>
      </c>
      <c r="BB1110">
        <v>0</v>
      </c>
      <c r="BD1110">
        <v>9.1567500000000006</v>
      </c>
    </row>
    <row r="1111" spans="1:56" x14ac:dyDescent="0.15">
      <c r="A1111" s="4" t="str">
        <f>HYPERLINK("https://ibp.a2mac1.com/costing(costing:projects/details/9760/part/8413013)","Miscellaneuos")</f>
        <v>Miscellaneuos</v>
      </c>
      <c r="B1111">
        <v>8413013</v>
      </c>
      <c r="C1111">
        <v>8412912</v>
      </c>
      <c r="E1111">
        <v>1.1000000000000001</v>
      </c>
      <c r="F1111">
        <v>0</v>
      </c>
      <c r="G1111">
        <v>0</v>
      </c>
      <c r="H1111">
        <v>0</v>
      </c>
      <c r="I1111" t="s">
        <v>71</v>
      </c>
      <c r="J1111">
        <v>0</v>
      </c>
      <c r="K1111">
        <v>1.1000000000000001</v>
      </c>
      <c r="L1111">
        <v>0</v>
      </c>
      <c r="M1111">
        <v>0</v>
      </c>
      <c r="N1111">
        <v>1.1000000000000001</v>
      </c>
      <c r="O1111" t="s">
        <v>71</v>
      </c>
      <c r="P1111">
        <v>0</v>
      </c>
      <c r="Q1111" t="s">
        <v>71</v>
      </c>
      <c r="R1111">
        <v>0</v>
      </c>
      <c r="S1111" t="s">
        <v>71</v>
      </c>
      <c r="T1111">
        <v>0</v>
      </c>
      <c r="U1111" t="s">
        <v>71</v>
      </c>
      <c r="V1111">
        <v>0</v>
      </c>
      <c r="W1111" t="s">
        <v>71</v>
      </c>
      <c r="X1111">
        <v>0</v>
      </c>
      <c r="Y1111">
        <v>1.1000000000000001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K1111" t="s">
        <v>272</v>
      </c>
      <c r="AM1111">
        <v>200000</v>
      </c>
      <c r="AN1111" t="s">
        <v>73</v>
      </c>
      <c r="AO1111">
        <v>1</v>
      </c>
      <c r="AP1111">
        <v>0</v>
      </c>
      <c r="AQ1111">
        <v>16666.666666666668</v>
      </c>
      <c r="AR1111" t="s">
        <v>9</v>
      </c>
      <c r="AS1111" t="s">
        <v>75</v>
      </c>
      <c r="AX1111" t="s">
        <v>76</v>
      </c>
      <c r="AY1111" t="s">
        <v>71</v>
      </c>
      <c r="AZ1111">
        <v>0</v>
      </c>
      <c r="BA1111" t="s">
        <v>71</v>
      </c>
      <c r="BB1111">
        <v>0</v>
      </c>
      <c r="BD1111">
        <v>1.1000000000000001</v>
      </c>
    </row>
    <row r="1112" spans="1:56" x14ac:dyDescent="0.15">
      <c r="A1112" s="4" t="str">
        <f>HYPERLINK("https://ibp.a2mac1.com/costing(costing:projects/details/9760/part/8413014)","Charging Port")</f>
        <v>Charging Port</v>
      </c>
      <c r="B1112">
        <v>8413014</v>
      </c>
      <c r="C1112">
        <v>8412913</v>
      </c>
      <c r="E1112">
        <v>17.592009999999998</v>
      </c>
      <c r="F1112">
        <v>0</v>
      </c>
      <c r="G1112">
        <v>0</v>
      </c>
      <c r="H1112">
        <v>0</v>
      </c>
      <c r="I1112" t="s">
        <v>71</v>
      </c>
      <c r="J1112">
        <v>0</v>
      </c>
      <c r="K1112">
        <v>17.592009999999998</v>
      </c>
      <c r="L1112">
        <v>0</v>
      </c>
      <c r="M1112">
        <v>0</v>
      </c>
      <c r="N1112">
        <v>17.592009999999998</v>
      </c>
      <c r="O1112" t="s">
        <v>71</v>
      </c>
      <c r="P1112">
        <v>0</v>
      </c>
      <c r="Q1112" t="s">
        <v>71</v>
      </c>
      <c r="R1112">
        <v>0</v>
      </c>
      <c r="S1112" t="s">
        <v>71</v>
      </c>
      <c r="T1112">
        <v>0</v>
      </c>
      <c r="U1112" t="s">
        <v>71</v>
      </c>
      <c r="V1112">
        <v>0</v>
      </c>
      <c r="W1112" t="s">
        <v>71</v>
      </c>
      <c r="X1112">
        <v>0</v>
      </c>
      <c r="Y1112">
        <v>17.592009999999998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K1112" t="s">
        <v>272</v>
      </c>
      <c r="AM1112">
        <v>200000</v>
      </c>
      <c r="AN1112" t="s">
        <v>73</v>
      </c>
      <c r="AO1112">
        <v>1</v>
      </c>
      <c r="AP1112">
        <v>0</v>
      </c>
      <c r="AQ1112">
        <v>16666.666666666668</v>
      </c>
      <c r="AR1112" t="s">
        <v>9</v>
      </c>
      <c r="AS1112" t="s">
        <v>75</v>
      </c>
      <c r="AX1112" t="s">
        <v>76</v>
      </c>
      <c r="AY1112" t="s">
        <v>71</v>
      </c>
      <c r="AZ1112">
        <v>0</v>
      </c>
      <c r="BA1112" t="s">
        <v>71</v>
      </c>
      <c r="BB1112">
        <v>0</v>
      </c>
      <c r="BD1112">
        <v>17.592009999999998</v>
      </c>
    </row>
    <row r="1113" spans="1:56" x14ac:dyDescent="0.15">
      <c r="A1113" s="4" t="str">
        <f>HYPERLINK("https://ibp.a2mac1.com/costing(costing:projects/details/9760/part/8413015)","Connectors")</f>
        <v>Connectors</v>
      </c>
      <c r="B1113">
        <v>8413015</v>
      </c>
      <c r="C1113">
        <v>8412913</v>
      </c>
      <c r="E1113">
        <v>7.45</v>
      </c>
      <c r="F1113">
        <v>0</v>
      </c>
      <c r="G1113">
        <v>0</v>
      </c>
      <c r="H1113">
        <v>0</v>
      </c>
      <c r="I1113" t="s">
        <v>71</v>
      </c>
      <c r="J1113">
        <v>0</v>
      </c>
      <c r="K1113">
        <v>7.45</v>
      </c>
      <c r="L1113">
        <v>0</v>
      </c>
      <c r="M1113">
        <v>0</v>
      </c>
      <c r="N1113">
        <v>7.45</v>
      </c>
      <c r="O1113" t="s">
        <v>71</v>
      </c>
      <c r="P1113">
        <v>0</v>
      </c>
      <c r="Q1113" t="s">
        <v>71</v>
      </c>
      <c r="R1113">
        <v>0</v>
      </c>
      <c r="S1113" t="s">
        <v>71</v>
      </c>
      <c r="T1113">
        <v>0</v>
      </c>
      <c r="U1113" t="s">
        <v>71</v>
      </c>
      <c r="V1113">
        <v>0</v>
      </c>
      <c r="W1113" t="s">
        <v>71</v>
      </c>
      <c r="X1113">
        <v>0</v>
      </c>
      <c r="Y1113">
        <v>7.45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K1113" t="s">
        <v>272</v>
      </c>
      <c r="AM1113">
        <v>200000</v>
      </c>
      <c r="AN1113" t="s">
        <v>73</v>
      </c>
      <c r="AO1113">
        <v>1</v>
      </c>
      <c r="AP1113">
        <v>0</v>
      </c>
      <c r="AQ1113">
        <v>16666.666666666668</v>
      </c>
      <c r="AR1113" t="s">
        <v>9</v>
      </c>
      <c r="AS1113" t="s">
        <v>75</v>
      </c>
      <c r="AX1113" t="s">
        <v>76</v>
      </c>
      <c r="AY1113" t="s">
        <v>71</v>
      </c>
      <c r="AZ1113">
        <v>0</v>
      </c>
      <c r="BA1113" t="s">
        <v>71</v>
      </c>
      <c r="BB1113">
        <v>0</v>
      </c>
      <c r="BD1113">
        <v>7.45</v>
      </c>
    </row>
    <row r="1114" spans="1:56" x14ac:dyDescent="0.15">
      <c r="A1114" s="4" t="str">
        <f>HYPERLINK("https://ibp.a2mac1.com/costing(costing:projects/details/9760/part/8413016)","HV Cable")</f>
        <v>HV Cable</v>
      </c>
      <c r="B1114">
        <v>8413016</v>
      </c>
      <c r="C1114">
        <v>8412913</v>
      </c>
      <c r="E1114">
        <v>19.854690000000002</v>
      </c>
      <c r="F1114">
        <v>0</v>
      </c>
      <c r="G1114">
        <v>0</v>
      </c>
      <c r="H1114">
        <v>0</v>
      </c>
      <c r="I1114" t="s">
        <v>71</v>
      </c>
      <c r="J1114">
        <v>0</v>
      </c>
      <c r="K1114">
        <v>19.854690000000002</v>
      </c>
      <c r="L1114">
        <v>0</v>
      </c>
      <c r="M1114">
        <v>0</v>
      </c>
      <c r="N1114">
        <v>19.854690000000002</v>
      </c>
      <c r="O1114" t="s">
        <v>71</v>
      </c>
      <c r="P1114">
        <v>0</v>
      </c>
      <c r="Q1114" t="s">
        <v>71</v>
      </c>
      <c r="R1114">
        <v>0</v>
      </c>
      <c r="S1114" t="s">
        <v>71</v>
      </c>
      <c r="T1114">
        <v>0</v>
      </c>
      <c r="U1114" t="s">
        <v>71</v>
      </c>
      <c r="V1114">
        <v>0</v>
      </c>
      <c r="W1114" t="s">
        <v>71</v>
      </c>
      <c r="X1114">
        <v>0</v>
      </c>
      <c r="Y1114">
        <v>19.854690000000002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K1114" t="s">
        <v>272</v>
      </c>
      <c r="AM1114">
        <v>200000</v>
      </c>
      <c r="AN1114" t="s">
        <v>73</v>
      </c>
      <c r="AO1114">
        <v>1</v>
      </c>
      <c r="AP1114">
        <v>0</v>
      </c>
      <c r="AQ1114">
        <v>16666.666666666668</v>
      </c>
      <c r="AR1114" t="s">
        <v>9</v>
      </c>
      <c r="AS1114" t="s">
        <v>75</v>
      </c>
      <c r="AX1114" t="s">
        <v>76</v>
      </c>
      <c r="AY1114" t="s">
        <v>71</v>
      </c>
      <c r="AZ1114">
        <v>0</v>
      </c>
      <c r="BA1114" t="s">
        <v>71</v>
      </c>
      <c r="BB1114">
        <v>0</v>
      </c>
      <c r="BD1114">
        <v>19.854690000000002</v>
      </c>
    </row>
    <row r="1115" spans="1:56" x14ac:dyDescent="0.15">
      <c r="A1115" s="4" t="str">
        <f>HYPERLINK("https://ibp.a2mac1.com/costing(costing:projects/details/9760/part/8413017)","Miscellaneuos")</f>
        <v>Miscellaneuos</v>
      </c>
      <c r="B1115">
        <v>8413017</v>
      </c>
      <c r="C1115">
        <v>8412913</v>
      </c>
      <c r="E1115">
        <v>1.1000000000000001</v>
      </c>
      <c r="F1115">
        <v>0</v>
      </c>
      <c r="G1115">
        <v>0</v>
      </c>
      <c r="H1115">
        <v>0</v>
      </c>
      <c r="I1115" t="s">
        <v>71</v>
      </c>
      <c r="J1115">
        <v>0</v>
      </c>
      <c r="K1115">
        <v>1.1000000000000001</v>
      </c>
      <c r="L1115">
        <v>0</v>
      </c>
      <c r="M1115">
        <v>0</v>
      </c>
      <c r="N1115">
        <v>1.1000000000000001</v>
      </c>
      <c r="O1115" t="s">
        <v>71</v>
      </c>
      <c r="P1115">
        <v>0</v>
      </c>
      <c r="Q1115" t="s">
        <v>71</v>
      </c>
      <c r="R1115">
        <v>0</v>
      </c>
      <c r="S1115" t="s">
        <v>71</v>
      </c>
      <c r="T1115">
        <v>0</v>
      </c>
      <c r="U1115" t="s">
        <v>71</v>
      </c>
      <c r="V1115">
        <v>0</v>
      </c>
      <c r="W1115" t="s">
        <v>71</v>
      </c>
      <c r="X1115">
        <v>0</v>
      </c>
      <c r="Y1115">
        <v>1.1000000000000001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K1115" t="s">
        <v>272</v>
      </c>
      <c r="AM1115">
        <v>200000</v>
      </c>
      <c r="AN1115" t="s">
        <v>73</v>
      </c>
      <c r="AO1115">
        <v>1</v>
      </c>
      <c r="AP1115">
        <v>0</v>
      </c>
      <c r="AQ1115">
        <v>16666.666666666668</v>
      </c>
      <c r="AR1115" t="s">
        <v>9</v>
      </c>
      <c r="AS1115" t="s">
        <v>75</v>
      </c>
      <c r="AX1115" t="s">
        <v>76</v>
      </c>
      <c r="AY1115" t="s">
        <v>71</v>
      </c>
      <c r="AZ1115">
        <v>0</v>
      </c>
      <c r="BA1115" t="s">
        <v>71</v>
      </c>
      <c r="BB1115">
        <v>0</v>
      </c>
      <c r="BD1115">
        <v>1.1000000000000001</v>
      </c>
    </row>
    <row r="1116" spans="1:56" x14ac:dyDescent="0.15">
      <c r="A1116" s="4" t="str">
        <f>HYPERLINK("https://ibp.a2mac1.com/costing(costing:projects/details/9760/part/8412895)","Charging Inlet Support")</f>
        <v>Charging Inlet Support</v>
      </c>
      <c r="B1116">
        <v>8412895</v>
      </c>
      <c r="C1116">
        <v>8412868</v>
      </c>
      <c r="D1116" t="s">
        <v>3207</v>
      </c>
      <c r="E1116">
        <v>2.3607</v>
      </c>
      <c r="F1116">
        <v>0</v>
      </c>
      <c r="G1116">
        <v>0</v>
      </c>
      <c r="H1116">
        <v>0</v>
      </c>
      <c r="I1116" t="s">
        <v>71</v>
      </c>
      <c r="J1116">
        <v>0</v>
      </c>
      <c r="K1116">
        <v>2.3607</v>
      </c>
      <c r="L1116">
        <v>0</v>
      </c>
      <c r="M1116">
        <v>0</v>
      </c>
      <c r="N1116">
        <v>2.3607</v>
      </c>
      <c r="O1116" t="s">
        <v>71</v>
      </c>
      <c r="P1116">
        <v>0</v>
      </c>
      <c r="Q1116" t="s">
        <v>71</v>
      </c>
      <c r="R1116">
        <v>0</v>
      </c>
      <c r="S1116" t="s">
        <v>71</v>
      </c>
      <c r="T1116">
        <v>0</v>
      </c>
      <c r="U1116" t="s">
        <v>71</v>
      </c>
      <c r="V1116">
        <v>0</v>
      </c>
      <c r="W1116" t="s">
        <v>71</v>
      </c>
      <c r="X1116">
        <v>0</v>
      </c>
      <c r="Y1116">
        <v>2.3607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38</v>
      </c>
      <c r="AF1116">
        <v>165</v>
      </c>
      <c r="AG1116">
        <v>165</v>
      </c>
      <c r="AH1116">
        <v>0</v>
      </c>
      <c r="AI1116">
        <v>0.22600000000000001</v>
      </c>
      <c r="AK1116" t="s">
        <v>100</v>
      </c>
      <c r="AM1116">
        <v>200000</v>
      </c>
      <c r="AN1116" t="s">
        <v>97</v>
      </c>
      <c r="AO1116">
        <v>1</v>
      </c>
      <c r="AP1116">
        <v>0</v>
      </c>
      <c r="AQ1116">
        <v>16666.666666666668</v>
      </c>
      <c r="AR1116" t="s">
        <v>3208</v>
      </c>
      <c r="AS1116" t="s">
        <v>75</v>
      </c>
      <c r="AX1116" t="s">
        <v>76</v>
      </c>
      <c r="AY1116" t="s">
        <v>71</v>
      </c>
      <c r="AZ1116">
        <v>0</v>
      </c>
      <c r="BA1116" t="s">
        <v>71</v>
      </c>
      <c r="BB1116">
        <v>0</v>
      </c>
      <c r="BD1116">
        <v>2.3607</v>
      </c>
    </row>
    <row r="1117" spans="1:56" x14ac:dyDescent="0.15">
      <c r="A1117" s="4" t="str">
        <f>HYPERLINK("https://ibp.a2mac1.com/costing(costing:projects/details/9760/part/8412896)","Lid")</f>
        <v>Lid</v>
      </c>
      <c r="B1117">
        <v>8412896</v>
      </c>
      <c r="C1117">
        <v>8412868</v>
      </c>
      <c r="D1117" t="s">
        <v>3209</v>
      </c>
      <c r="E1117">
        <v>1.6153</v>
      </c>
      <c r="F1117">
        <v>0</v>
      </c>
      <c r="G1117">
        <v>0</v>
      </c>
      <c r="H1117">
        <v>0</v>
      </c>
      <c r="I1117" t="s">
        <v>71</v>
      </c>
      <c r="J1117">
        <v>0</v>
      </c>
      <c r="K1117">
        <v>1.6153</v>
      </c>
      <c r="L1117">
        <v>0</v>
      </c>
      <c r="M1117">
        <v>0</v>
      </c>
      <c r="N1117">
        <v>1.6153</v>
      </c>
      <c r="O1117" t="s">
        <v>71</v>
      </c>
      <c r="P1117">
        <v>0</v>
      </c>
      <c r="Q1117" t="s">
        <v>71</v>
      </c>
      <c r="R1117">
        <v>0</v>
      </c>
      <c r="S1117" t="s">
        <v>71</v>
      </c>
      <c r="T1117">
        <v>0</v>
      </c>
      <c r="U1117" t="s">
        <v>71</v>
      </c>
      <c r="V1117">
        <v>0</v>
      </c>
      <c r="W1117" t="s">
        <v>71</v>
      </c>
      <c r="X1117">
        <v>0</v>
      </c>
      <c r="Y1117">
        <v>1.6153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116</v>
      </c>
      <c r="AF1117">
        <v>218</v>
      </c>
      <c r="AG1117">
        <v>175</v>
      </c>
      <c r="AH1117">
        <v>0</v>
      </c>
      <c r="AI1117">
        <v>0.255</v>
      </c>
      <c r="AK1117" t="s">
        <v>100</v>
      </c>
      <c r="AM1117">
        <v>200000</v>
      </c>
      <c r="AN1117" t="s">
        <v>97</v>
      </c>
      <c r="AO1117">
        <v>1</v>
      </c>
      <c r="AP1117">
        <v>0</v>
      </c>
      <c r="AQ1117">
        <v>16666.666666666668</v>
      </c>
      <c r="AR1117" t="s">
        <v>3210</v>
      </c>
      <c r="AS1117" t="s">
        <v>75</v>
      </c>
      <c r="AX1117" t="s">
        <v>76</v>
      </c>
      <c r="AY1117" t="s">
        <v>71</v>
      </c>
      <c r="AZ1117">
        <v>0</v>
      </c>
      <c r="BA1117" t="s">
        <v>71</v>
      </c>
      <c r="BB1117">
        <v>0</v>
      </c>
      <c r="BD1117">
        <v>1.6153</v>
      </c>
    </row>
    <row r="1118" spans="1:56" x14ac:dyDescent="0.15">
      <c r="A1118" s="4" t="str">
        <f>HYPERLINK("https://ibp.a2mac1.com/costing(costing:projects/details/9760/part/8412897)","Seal on Trap")</f>
        <v>Seal on Trap</v>
      </c>
      <c r="B1118">
        <v>8412897</v>
      </c>
      <c r="C1118">
        <v>8412868</v>
      </c>
      <c r="D1118" t="s">
        <v>3211</v>
      </c>
      <c r="E1118">
        <v>0.25</v>
      </c>
      <c r="F1118">
        <v>0</v>
      </c>
      <c r="G1118">
        <v>0</v>
      </c>
      <c r="H1118">
        <v>0</v>
      </c>
      <c r="I1118" t="s">
        <v>71</v>
      </c>
      <c r="J1118">
        <v>0</v>
      </c>
      <c r="K1118">
        <v>0.25</v>
      </c>
      <c r="L1118">
        <v>0</v>
      </c>
      <c r="M1118">
        <v>0</v>
      </c>
      <c r="N1118">
        <v>0.25</v>
      </c>
      <c r="O1118" t="s">
        <v>71</v>
      </c>
      <c r="P1118">
        <v>0</v>
      </c>
      <c r="Q1118" t="s">
        <v>71</v>
      </c>
      <c r="R1118">
        <v>0</v>
      </c>
      <c r="S1118" t="s">
        <v>71</v>
      </c>
      <c r="T1118">
        <v>0</v>
      </c>
      <c r="U1118" t="s">
        <v>71</v>
      </c>
      <c r="V1118">
        <v>0</v>
      </c>
      <c r="W1118" t="s">
        <v>71</v>
      </c>
      <c r="X1118">
        <v>0</v>
      </c>
      <c r="Y1118">
        <v>0.25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5</v>
      </c>
      <c r="AF1118">
        <v>165</v>
      </c>
      <c r="AG1118">
        <v>165</v>
      </c>
      <c r="AH1118">
        <v>0</v>
      </c>
      <c r="AI1118">
        <v>1.4999999999999999E-2</v>
      </c>
      <c r="AK1118" t="s">
        <v>100</v>
      </c>
      <c r="AM1118">
        <v>200000</v>
      </c>
      <c r="AN1118" t="s">
        <v>97</v>
      </c>
      <c r="AO1118">
        <v>1</v>
      </c>
      <c r="AP1118">
        <v>0</v>
      </c>
      <c r="AQ1118">
        <v>16666.666666666668</v>
      </c>
      <c r="AR1118" t="s">
        <v>3212</v>
      </c>
      <c r="AS1118" t="s">
        <v>75</v>
      </c>
      <c r="AX1118" t="s">
        <v>76</v>
      </c>
      <c r="AY1118" t="s">
        <v>71</v>
      </c>
      <c r="AZ1118">
        <v>0</v>
      </c>
      <c r="BA1118" t="s">
        <v>71</v>
      </c>
      <c r="BB1118">
        <v>0</v>
      </c>
      <c r="BD1118">
        <v>0.25</v>
      </c>
    </row>
    <row r="1119" spans="1:56" x14ac:dyDescent="0.15">
      <c r="A1119" s="4" t="str">
        <f>HYPERLINK("https://ibp.a2mac1.com/costing(costing:projects/details/9760/part/8412898)","Lid Support")</f>
        <v>Lid Support</v>
      </c>
      <c r="B1119">
        <v>8412898</v>
      </c>
      <c r="C1119">
        <v>8412868</v>
      </c>
      <c r="D1119" t="s">
        <v>3213</v>
      </c>
      <c r="E1119">
        <v>0.72789999999999999</v>
      </c>
      <c r="F1119">
        <v>0</v>
      </c>
      <c r="G1119">
        <v>0</v>
      </c>
      <c r="H1119">
        <v>0</v>
      </c>
      <c r="I1119" t="s">
        <v>71</v>
      </c>
      <c r="J1119">
        <v>0</v>
      </c>
      <c r="K1119">
        <v>0.72789999999999999</v>
      </c>
      <c r="L1119">
        <v>0</v>
      </c>
      <c r="M1119">
        <v>0</v>
      </c>
      <c r="N1119">
        <v>0.72789999999999999</v>
      </c>
      <c r="O1119" t="s">
        <v>71</v>
      </c>
      <c r="P1119">
        <v>0</v>
      </c>
      <c r="Q1119" t="s">
        <v>71</v>
      </c>
      <c r="R1119">
        <v>0</v>
      </c>
      <c r="S1119" t="s">
        <v>71</v>
      </c>
      <c r="T1119">
        <v>0</v>
      </c>
      <c r="U1119" t="s">
        <v>71</v>
      </c>
      <c r="V1119">
        <v>0</v>
      </c>
      <c r="W1119" t="s">
        <v>71</v>
      </c>
      <c r="X1119">
        <v>0</v>
      </c>
      <c r="Y1119">
        <v>0.72789999999999999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100</v>
      </c>
      <c r="AF1119">
        <v>244</v>
      </c>
      <c r="AG1119">
        <v>196</v>
      </c>
      <c r="AH1119">
        <v>0</v>
      </c>
      <c r="AI1119">
        <v>0.183</v>
      </c>
      <c r="AK1119" t="s">
        <v>100</v>
      </c>
      <c r="AM1119">
        <v>200000</v>
      </c>
      <c r="AN1119" t="s">
        <v>97</v>
      </c>
      <c r="AO1119">
        <v>1</v>
      </c>
      <c r="AP1119">
        <v>0</v>
      </c>
      <c r="AQ1119">
        <v>16666.666666666668</v>
      </c>
      <c r="AR1119" t="s">
        <v>3214</v>
      </c>
      <c r="AS1119" t="s">
        <v>75</v>
      </c>
      <c r="AX1119" t="s">
        <v>76</v>
      </c>
      <c r="AY1119" t="s">
        <v>71</v>
      </c>
      <c r="AZ1119">
        <v>0</v>
      </c>
      <c r="BA1119" t="s">
        <v>71</v>
      </c>
      <c r="BB1119">
        <v>0</v>
      </c>
      <c r="BD1119">
        <v>0.72789999999999999</v>
      </c>
    </row>
    <row r="1120" spans="1:56" x14ac:dyDescent="0.15">
      <c r="A1120" s="4" t="str">
        <f>HYPERLINK("https://ibp.a2mac1.com/costing(costing:projects/details/9760/part/8412899)","Lid Trim")</f>
        <v>Lid Trim</v>
      </c>
      <c r="B1120">
        <v>8412899</v>
      </c>
      <c r="C1120">
        <v>8412868</v>
      </c>
      <c r="D1120" t="s">
        <v>3215</v>
      </c>
      <c r="E1120">
        <v>0.88070000000000004</v>
      </c>
      <c r="F1120">
        <v>0</v>
      </c>
      <c r="G1120">
        <v>0</v>
      </c>
      <c r="H1120">
        <v>0</v>
      </c>
      <c r="I1120" t="s">
        <v>71</v>
      </c>
      <c r="J1120">
        <v>0</v>
      </c>
      <c r="K1120">
        <v>0.88070000000000004</v>
      </c>
      <c r="L1120">
        <v>0</v>
      </c>
      <c r="M1120">
        <v>0</v>
      </c>
      <c r="N1120">
        <v>0.88070000000000004</v>
      </c>
      <c r="O1120" t="s">
        <v>71</v>
      </c>
      <c r="P1120">
        <v>0</v>
      </c>
      <c r="Q1120" t="s">
        <v>71</v>
      </c>
      <c r="R1120">
        <v>0</v>
      </c>
      <c r="S1120" t="s">
        <v>71</v>
      </c>
      <c r="T1120">
        <v>0</v>
      </c>
      <c r="U1120" t="s">
        <v>71</v>
      </c>
      <c r="V1120">
        <v>0</v>
      </c>
      <c r="W1120" t="s">
        <v>71</v>
      </c>
      <c r="X1120">
        <v>0</v>
      </c>
      <c r="Y1120">
        <v>0.88070000000000004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38</v>
      </c>
      <c r="AF1120">
        <v>238</v>
      </c>
      <c r="AG1120">
        <v>166</v>
      </c>
      <c r="AH1120">
        <v>0</v>
      </c>
      <c r="AI1120">
        <v>0.159</v>
      </c>
      <c r="AK1120" t="s">
        <v>100</v>
      </c>
      <c r="AM1120">
        <v>200000</v>
      </c>
      <c r="AN1120" t="s">
        <v>97</v>
      </c>
      <c r="AO1120">
        <v>1</v>
      </c>
      <c r="AP1120">
        <v>0</v>
      </c>
      <c r="AQ1120">
        <v>16666.666666666668</v>
      </c>
      <c r="AR1120" t="s">
        <v>3216</v>
      </c>
      <c r="AS1120" t="s">
        <v>75</v>
      </c>
      <c r="AX1120" t="s">
        <v>76</v>
      </c>
      <c r="AY1120" t="s">
        <v>71</v>
      </c>
      <c r="AZ1120">
        <v>0</v>
      </c>
      <c r="BA1120" t="s">
        <v>71</v>
      </c>
      <c r="BB1120">
        <v>0</v>
      </c>
      <c r="BD1120">
        <v>0.88070000000000004</v>
      </c>
    </row>
    <row r="1121" spans="1:56" x14ac:dyDescent="0.15">
      <c r="A1121" s="4" t="str">
        <f>HYPERLINK("https://ibp.a2mac1.com/costing(costing:projects/details/9760/part/8412900)","Contactor")</f>
        <v>Contactor</v>
      </c>
      <c r="B1121">
        <v>8412900</v>
      </c>
      <c r="C1121">
        <v>8412868</v>
      </c>
      <c r="E1121">
        <v>1</v>
      </c>
      <c r="F1121">
        <v>0</v>
      </c>
      <c r="G1121">
        <v>0</v>
      </c>
      <c r="H1121">
        <v>0</v>
      </c>
      <c r="I1121" t="s">
        <v>71</v>
      </c>
      <c r="J1121">
        <v>0</v>
      </c>
      <c r="K1121">
        <v>1</v>
      </c>
      <c r="L1121">
        <v>0</v>
      </c>
      <c r="M1121">
        <v>0</v>
      </c>
      <c r="N1121">
        <v>1</v>
      </c>
      <c r="O1121" t="s">
        <v>71</v>
      </c>
      <c r="P1121">
        <v>0</v>
      </c>
      <c r="Q1121" t="s">
        <v>71</v>
      </c>
      <c r="R1121">
        <v>0</v>
      </c>
      <c r="S1121" t="s">
        <v>71</v>
      </c>
      <c r="T1121">
        <v>0</v>
      </c>
      <c r="U1121" t="s">
        <v>71</v>
      </c>
      <c r="V1121">
        <v>0</v>
      </c>
      <c r="W1121" t="s">
        <v>71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12</v>
      </c>
      <c r="AF1121">
        <v>17</v>
      </c>
      <c r="AG1121">
        <v>18</v>
      </c>
      <c r="AH1121">
        <v>0</v>
      </c>
      <c r="AI1121">
        <v>1E-3</v>
      </c>
      <c r="AK1121" t="s">
        <v>100</v>
      </c>
      <c r="AM1121">
        <v>200000</v>
      </c>
      <c r="AN1121" t="s">
        <v>97</v>
      </c>
      <c r="AO1121">
        <v>1</v>
      </c>
      <c r="AP1121">
        <v>0</v>
      </c>
      <c r="AQ1121">
        <v>16666.666666666668</v>
      </c>
      <c r="AR1121" t="s">
        <v>3217</v>
      </c>
      <c r="AS1121" t="s">
        <v>75</v>
      </c>
      <c r="AX1121" t="s">
        <v>76</v>
      </c>
      <c r="AY1121" t="s">
        <v>71</v>
      </c>
      <c r="AZ1121">
        <v>0</v>
      </c>
      <c r="BA1121" t="s">
        <v>71</v>
      </c>
      <c r="BB1121">
        <v>0</v>
      </c>
      <c r="BD1121">
        <v>1</v>
      </c>
    </row>
    <row r="1122" spans="1:56" x14ac:dyDescent="0.15">
      <c r="A1122" s="4" t="str">
        <f>HYPERLINK("https://ibp.a2mac1.com/costing(costing:projects/details/9760/part/8412901)","Charging Plug Lock")</f>
        <v>Charging Plug Lock</v>
      </c>
      <c r="B1122">
        <v>8412901</v>
      </c>
      <c r="C1122">
        <v>8412868</v>
      </c>
      <c r="E1122">
        <v>2</v>
      </c>
      <c r="F1122">
        <v>0</v>
      </c>
      <c r="G1122">
        <v>0</v>
      </c>
      <c r="H1122">
        <v>0</v>
      </c>
      <c r="I1122" t="s">
        <v>71</v>
      </c>
      <c r="J1122">
        <v>0</v>
      </c>
      <c r="K1122">
        <v>2</v>
      </c>
      <c r="L1122">
        <v>0</v>
      </c>
      <c r="M1122">
        <v>0</v>
      </c>
      <c r="N1122">
        <v>2</v>
      </c>
      <c r="O1122" t="s">
        <v>71</v>
      </c>
      <c r="P1122">
        <v>0</v>
      </c>
      <c r="Q1122" t="s">
        <v>71</v>
      </c>
      <c r="R1122">
        <v>0</v>
      </c>
      <c r="S1122" t="s">
        <v>71</v>
      </c>
      <c r="T1122">
        <v>0</v>
      </c>
      <c r="U1122" t="s">
        <v>71</v>
      </c>
      <c r="V1122">
        <v>0</v>
      </c>
      <c r="W1122" t="s">
        <v>71</v>
      </c>
      <c r="X1122">
        <v>0</v>
      </c>
      <c r="Y1122">
        <v>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66</v>
      </c>
      <c r="AF1122">
        <v>48</v>
      </c>
      <c r="AG1122">
        <v>20</v>
      </c>
      <c r="AH1122">
        <v>0</v>
      </c>
      <c r="AI1122">
        <v>1E-3</v>
      </c>
      <c r="AK1122" t="s">
        <v>100</v>
      </c>
      <c r="AM1122">
        <v>200000</v>
      </c>
      <c r="AN1122" t="s">
        <v>97</v>
      </c>
      <c r="AO1122">
        <v>1</v>
      </c>
      <c r="AP1122">
        <v>0</v>
      </c>
      <c r="AQ1122">
        <v>16666.666666666668</v>
      </c>
      <c r="AR1122" t="s">
        <v>3218</v>
      </c>
      <c r="AS1122" t="s">
        <v>75</v>
      </c>
      <c r="AX1122" t="s">
        <v>76</v>
      </c>
      <c r="AY1122" t="s">
        <v>71</v>
      </c>
      <c r="AZ1122">
        <v>0</v>
      </c>
      <c r="BA1122" t="s">
        <v>71</v>
      </c>
      <c r="BB1122">
        <v>0</v>
      </c>
      <c r="BD1122">
        <v>2</v>
      </c>
    </row>
    <row r="1123" spans="1:56" x14ac:dyDescent="0.15">
      <c r="A1123" s="4" t="str">
        <f>HYPERLINK("https://ibp.a2mac1.com/costing(costing:projects/details/9760/part/8412902)","Charging indicator")</f>
        <v>Charging indicator</v>
      </c>
      <c r="B1123">
        <v>8412902</v>
      </c>
      <c r="C1123">
        <v>8412868</v>
      </c>
      <c r="E1123">
        <v>0.9</v>
      </c>
      <c r="F1123">
        <v>0</v>
      </c>
      <c r="G1123">
        <v>0</v>
      </c>
      <c r="H1123">
        <v>0</v>
      </c>
      <c r="I1123" t="s">
        <v>71</v>
      </c>
      <c r="J1123">
        <v>0</v>
      </c>
      <c r="K1123">
        <v>0.9</v>
      </c>
      <c r="L1123">
        <v>0</v>
      </c>
      <c r="M1123">
        <v>0</v>
      </c>
      <c r="N1123">
        <v>0.9</v>
      </c>
      <c r="O1123" t="s">
        <v>71</v>
      </c>
      <c r="P1123">
        <v>0</v>
      </c>
      <c r="Q1123" t="s">
        <v>71</v>
      </c>
      <c r="R1123">
        <v>0</v>
      </c>
      <c r="S1123" t="s">
        <v>71</v>
      </c>
      <c r="T1123">
        <v>0</v>
      </c>
      <c r="U1123" t="s">
        <v>71</v>
      </c>
      <c r="V1123">
        <v>0</v>
      </c>
      <c r="W1123" t="s">
        <v>71</v>
      </c>
      <c r="X1123">
        <v>0</v>
      </c>
      <c r="Y1123">
        <v>0.9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41</v>
      </c>
      <c r="AF1123">
        <v>49</v>
      </c>
      <c r="AG1123">
        <v>52</v>
      </c>
      <c r="AH1123">
        <v>0</v>
      </c>
      <c r="AI1123">
        <v>2.8000000000000001E-2</v>
      </c>
      <c r="AK1123" t="s">
        <v>100</v>
      </c>
      <c r="AM1123">
        <v>200000</v>
      </c>
      <c r="AN1123" t="s">
        <v>97</v>
      </c>
      <c r="AO1123">
        <v>1</v>
      </c>
      <c r="AP1123">
        <v>0</v>
      </c>
      <c r="AQ1123">
        <v>16666.666666666668</v>
      </c>
      <c r="AR1123" t="s">
        <v>3219</v>
      </c>
      <c r="AS1123" t="s">
        <v>75</v>
      </c>
      <c r="AX1123" t="s">
        <v>76</v>
      </c>
      <c r="AY1123" t="s">
        <v>71</v>
      </c>
      <c r="AZ1123">
        <v>0</v>
      </c>
      <c r="BA1123" t="s">
        <v>71</v>
      </c>
      <c r="BB1123">
        <v>0</v>
      </c>
      <c r="BD1123">
        <v>0.9</v>
      </c>
    </row>
    <row r="1124" spans="1:56" x14ac:dyDescent="0.15">
      <c r="A1124" s="4" t="str">
        <f>HYPERLINK("https://ibp.a2mac1.com/costing(costing:projects/details/9760/part/8412903)","Charging Plug 1 Cap")</f>
        <v>Charging Plug 1 Cap</v>
      </c>
      <c r="B1124">
        <v>8412903</v>
      </c>
      <c r="C1124">
        <v>8412868</v>
      </c>
      <c r="E1124">
        <v>0.1</v>
      </c>
      <c r="F1124">
        <v>0</v>
      </c>
      <c r="G1124">
        <v>0</v>
      </c>
      <c r="H1124">
        <v>0</v>
      </c>
      <c r="I1124" t="s">
        <v>71</v>
      </c>
      <c r="J1124">
        <v>0</v>
      </c>
      <c r="K1124">
        <v>0.1</v>
      </c>
      <c r="L1124">
        <v>0</v>
      </c>
      <c r="M1124">
        <v>0</v>
      </c>
      <c r="N1124">
        <v>0.1</v>
      </c>
      <c r="O1124" t="s">
        <v>71</v>
      </c>
      <c r="P1124">
        <v>0</v>
      </c>
      <c r="Q1124" t="s">
        <v>71</v>
      </c>
      <c r="R1124">
        <v>0</v>
      </c>
      <c r="S1124" t="s">
        <v>71</v>
      </c>
      <c r="T1124">
        <v>0</v>
      </c>
      <c r="U1124" t="s">
        <v>71</v>
      </c>
      <c r="V1124">
        <v>0</v>
      </c>
      <c r="W1124" t="s">
        <v>71</v>
      </c>
      <c r="X1124">
        <v>0</v>
      </c>
      <c r="Y1124">
        <v>0.1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20</v>
      </c>
      <c r="AF1124">
        <v>69</v>
      </c>
      <c r="AG1124">
        <v>65</v>
      </c>
      <c r="AH1124">
        <v>0</v>
      </c>
      <c r="AI1124">
        <v>3.4000000000000002E-2</v>
      </c>
      <c r="AK1124" t="s">
        <v>100</v>
      </c>
      <c r="AM1124">
        <v>200000</v>
      </c>
      <c r="AN1124" t="s">
        <v>97</v>
      </c>
      <c r="AO1124">
        <v>1</v>
      </c>
      <c r="AP1124">
        <v>0</v>
      </c>
      <c r="AQ1124">
        <v>16666.666666666668</v>
      </c>
      <c r="AR1124" t="s">
        <v>3220</v>
      </c>
      <c r="AS1124" t="s">
        <v>75</v>
      </c>
      <c r="AX1124" t="s">
        <v>76</v>
      </c>
      <c r="AY1124" t="s">
        <v>71</v>
      </c>
      <c r="AZ1124">
        <v>0</v>
      </c>
      <c r="BA1124" t="s">
        <v>71</v>
      </c>
      <c r="BB1124">
        <v>0</v>
      </c>
      <c r="BD1124">
        <v>0.1</v>
      </c>
    </row>
    <row r="1125" spans="1:56" x14ac:dyDescent="0.15">
      <c r="A1125" s="4" t="str">
        <f>HYPERLINK("https://ibp.a2mac1.com/costing(costing:projects/details/9760/part/8412904)","Water hose evacuation")</f>
        <v>Water hose evacuation</v>
      </c>
      <c r="B1125">
        <v>8412904</v>
      </c>
      <c r="C1125">
        <v>8412868</v>
      </c>
      <c r="E1125">
        <v>0.75</v>
      </c>
      <c r="F1125">
        <v>0</v>
      </c>
      <c r="G1125">
        <v>0</v>
      </c>
      <c r="H1125">
        <v>0</v>
      </c>
      <c r="I1125" t="s">
        <v>71</v>
      </c>
      <c r="J1125">
        <v>0</v>
      </c>
      <c r="K1125">
        <v>0.75</v>
      </c>
      <c r="L1125">
        <v>0</v>
      </c>
      <c r="M1125">
        <v>0</v>
      </c>
      <c r="N1125">
        <v>0.75</v>
      </c>
      <c r="O1125" t="s">
        <v>71</v>
      </c>
      <c r="P1125">
        <v>0</v>
      </c>
      <c r="Q1125" t="s">
        <v>71</v>
      </c>
      <c r="R1125">
        <v>0</v>
      </c>
      <c r="S1125" t="s">
        <v>71</v>
      </c>
      <c r="T1125">
        <v>0</v>
      </c>
      <c r="U1125" t="s">
        <v>71</v>
      </c>
      <c r="V1125">
        <v>0</v>
      </c>
      <c r="W1125" t="s">
        <v>71</v>
      </c>
      <c r="X1125">
        <v>0</v>
      </c>
      <c r="Y1125">
        <v>0.75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3.9E-2</v>
      </c>
      <c r="AK1125" t="s">
        <v>100</v>
      </c>
      <c r="AM1125">
        <v>200000</v>
      </c>
      <c r="AN1125" t="s">
        <v>97</v>
      </c>
      <c r="AO1125">
        <v>1</v>
      </c>
      <c r="AP1125">
        <v>0</v>
      </c>
      <c r="AQ1125">
        <v>16666.666666666668</v>
      </c>
      <c r="AR1125" t="s">
        <v>3221</v>
      </c>
      <c r="AS1125" t="s">
        <v>75</v>
      </c>
      <c r="AX1125" t="s">
        <v>76</v>
      </c>
      <c r="AY1125" t="s">
        <v>71</v>
      </c>
      <c r="AZ1125">
        <v>0</v>
      </c>
      <c r="BA1125" t="s">
        <v>71</v>
      </c>
      <c r="BB1125">
        <v>0</v>
      </c>
      <c r="BD1125">
        <v>0.75</v>
      </c>
    </row>
    <row r="1126" spans="1:56" x14ac:dyDescent="0.15">
      <c r="A1126" s="4" t="str">
        <f>HYPERLINK("https://ibp.a2mac1.com/costing(costing:projects/details/9760/part/8412905)","Lid Actuator motor")</f>
        <v>Lid Actuator motor</v>
      </c>
      <c r="B1126">
        <v>8412905</v>
      </c>
      <c r="C1126">
        <v>8412868</v>
      </c>
      <c r="E1126">
        <v>2</v>
      </c>
      <c r="F1126">
        <v>0</v>
      </c>
      <c r="G1126">
        <v>0</v>
      </c>
      <c r="H1126">
        <v>0</v>
      </c>
      <c r="I1126" t="s">
        <v>71</v>
      </c>
      <c r="J1126">
        <v>0</v>
      </c>
      <c r="K1126">
        <v>2</v>
      </c>
      <c r="L1126">
        <v>0</v>
      </c>
      <c r="M1126">
        <v>0</v>
      </c>
      <c r="N1126">
        <v>2</v>
      </c>
      <c r="O1126" t="s">
        <v>71</v>
      </c>
      <c r="P1126">
        <v>0</v>
      </c>
      <c r="Q1126" t="s">
        <v>71</v>
      </c>
      <c r="R1126">
        <v>0</v>
      </c>
      <c r="S1126" t="s">
        <v>71</v>
      </c>
      <c r="T1126">
        <v>0</v>
      </c>
      <c r="U1126" t="s">
        <v>71</v>
      </c>
      <c r="V1126">
        <v>0</v>
      </c>
      <c r="W1126" t="s">
        <v>71</v>
      </c>
      <c r="X1126">
        <v>0</v>
      </c>
      <c r="Y1126">
        <v>2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41</v>
      </c>
      <c r="AF1126">
        <v>71</v>
      </c>
      <c r="AG1126">
        <v>121</v>
      </c>
      <c r="AH1126">
        <v>0</v>
      </c>
      <c r="AI1126">
        <v>0.17899999999999999</v>
      </c>
      <c r="AK1126" t="s">
        <v>100</v>
      </c>
      <c r="AM1126">
        <v>200000</v>
      </c>
      <c r="AN1126" t="s">
        <v>97</v>
      </c>
      <c r="AO1126">
        <v>1</v>
      </c>
      <c r="AP1126">
        <v>0</v>
      </c>
      <c r="AQ1126">
        <v>16666.666666666668</v>
      </c>
      <c r="AR1126" t="s">
        <v>3222</v>
      </c>
      <c r="AS1126" t="s">
        <v>75</v>
      </c>
      <c r="AX1126" t="s">
        <v>76</v>
      </c>
      <c r="AY1126" t="s">
        <v>71</v>
      </c>
      <c r="AZ1126">
        <v>0</v>
      </c>
      <c r="BA1126" t="s">
        <v>71</v>
      </c>
      <c r="BB1126">
        <v>0</v>
      </c>
      <c r="BD1126">
        <v>2</v>
      </c>
    </row>
    <row r="1127" spans="1:56" x14ac:dyDescent="0.15">
      <c r="A1127" s="4" t="str">
        <f>HYPERLINK("https://ibp.a2mac1.com/costing(costing:projects/details/9760/part/8412906)","Lid Actuator Mechanism")</f>
        <v>Lid Actuator Mechanism</v>
      </c>
      <c r="B1127">
        <v>8412906</v>
      </c>
      <c r="C1127">
        <v>8412868</v>
      </c>
      <c r="D1127" t="s">
        <v>3223</v>
      </c>
      <c r="E1127">
        <v>0.15790000000000001</v>
      </c>
      <c r="F1127">
        <v>0</v>
      </c>
      <c r="G1127">
        <v>0</v>
      </c>
      <c r="H1127">
        <v>0</v>
      </c>
      <c r="I1127" t="s">
        <v>71</v>
      </c>
      <c r="J1127">
        <v>0</v>
      </c>
      <c r="K1127">
        <v>0.15790000000000001</v>
      </c>
      <c r="L1127">
        <v>0</v>
      </c>
      <c r="M1127">
        <v>0</v>
      </c>
      <c r="N1127">
        <v>0.15790000000000001</v>
      </c>
      <c r="O1127" t="s">
        <v>71</v>
      </c>
      <c r="P1127">
        <v>0</v>
      </c>
      <c r="Q1127" t="s">
        <v>71</v>
      </c>
      <c r="R1127">
        <v>0</v>
      </c>
      <c r="S1127" t="s">
        <v>71</v>
      </c>
      <c r="T1127">
        <v>0</v>
      </c>
      <c r="U1127" t="s">
        <v>71</v>
      </c>
      <c r="V1127">
        <v>0</v>
      </c>
      <c r="W1127" t="s">
        <v>71</v>
      </c>
      <c r="X1127">
        <v>0</v>
      </c>
      <c r="Y1127">
        <v>0.15790000000000001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37</v>
      </c>
      <c r="AF1127">
        <v>28</v>
      </c>
      <c r="AG1127">
        <v>58</v>
      </c>
      <c r="AH1127">
        <v>0</v>
      </c>
      <c r="AI1127">
        <v>1.0999999999999999E-2</v>
      </c>
      <c r="AK1127" t="s">
        <v>100</v>
      </c>
      <c r="AM1127">
        <v>200000</v>
      </c>
      <c r="AN1127" t="s">
        <v>97</v>
      </c>
      <c r="AO1127">
        <v>1</v>
      </c>
      <c r="AP1127">
        <v>0</v>
      </c>
      <c r="AQ1127">
        <v>16666.666666666668</v>
      </c>
      <c r="AR1127" t="s">
        <v>3224</v>
      </c>
      <c r="AS1127" t="s">
        <v>75</v>
      </c>
      <c r="AX1127" t="s">
        <v>76</v>
      </c>
      <c r="AY1127" t="s">
        <v>71</v>
      </c>
      <c r="AZ1127">
        <v>0</v>
      </c>
      <c r="BA1127" t="s">
        <v>71</v>
      </c>
      <c r="BB1127">
        <v>0</v>
      </c>
      <c r="BD1127">
        <v>0.15790000000000001</v>
      </c>
    </row>
    <row r="1128" spans="1:56" x14ac:dyDescent="0.15">
      <c r="A1128" s="4" t="str">
        <f>HYPERLINK("https://ibp.a2mac1.com/costing(costing:projects/details/9760/part/8412907)","Lid Actuator Mechanism 2")</f>
        <v>Lid Actuator Mechanism 2</v>
      </c>
      <c r="B1128">
        <v>8412907</v>
      </c>
      <c r="C1128">
        <v>8412868</v>
      </c>
      <c r="D1128" t="s">
        <v>3223</v>
      </c>
      <c r="E1128">
        <v>8.8999999999999996E-2</v>
      </c>
      <c r="F1128">
        <v>0</v>
      </c>
      <c r="G1128">
        <v>0</v>
      </c>
      <c r="H1128">
        <v>0</v>
      </c>
      <c r="I1128" t="s">
        <v>71</v>
      </c>
      <c r="J1128">
        <v>0</v>
      </c>
      <c r="K1128">
        <v>8.8999999999999996E-2</v>
      </c>
      <c r="L1128">
        <v>0</v>
      </c>
      <c r="M1128">
        <v>0</v>
      </c>
      <c r="N1128">
        <v>8.8999999999999996E-2</v>
      </c>
      <c r="O1128" t="s">
        <v>71</v>
      </c>
      <c r="P1128">
        <v>0</v>
      </c>
      <c r="Q1128" t="s">
        <v>71</v>
      </c>
      <c r="R1128">
        <v>0</v>
      </c>
      <c r="S1128" t="s">
        <v>71</v>
      </c>
      <c r="T1128">
        <v>0</v>
      </c>
      <c r="U1128" t="s">
        <v>71</v>
      </c>
      <c r="V1128">
        <v>0</v>
      </c>
      <c r="W1128" t="s">
        <v>71</v>
      </c>
      <c r="X1128">
        <v>0</v>
      </c>
      <c r="Y1128">
        <v>8.8999999999999996E-2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12</v>
      </c>
      <c r="AF1128">
        <v>23</v>
      </c>
      <c r="AG1128">
        <v>20</v>
      </c>
      <c r="AH1128">
        <v>0</v>
      </c>
      <c r="AI1128">
        <v>4.0000000000000001E-3</v>
      </c>
      <c r="AK1128" t="s">
        <v>100</v>
      </c>
      <c r="AM1128">
        <v>200000</v>
      </c>
      <c r="AN1128" t="s">
        <v>97</v>
      </c>
      <c r="AO1128">
        <v>1</v>
      </c>
      <c r="AP1128">
        <v>0</v>
      </c>
      <c r="AQ1128">
        <v>16666.666666666668</v>
      </c>
      <c r="AR1128" t="s">
        <v>3225</v>
      </c>
      <c r="AS1128" t="s">
        <v>75</v>
      </c>
      <c r="AX1128" t="s">
        <v>76</v>
      </c>
      <c r="AY1128" t="s">
        <v>71</v>
      </c>
      <c r="AZ1128">
        <v>0</v>
      </c>
      <c r="BA1128" t="s">
        <v>71</v>
      </c>
      <c r="BB1128">
        <v>0</v>
      </c>
      <c r="BD1128">
        <v>8.8999999999999996E-2</v>
      </c>
    </row>
    <row r="1129" spans="1:56" x14ac:dyDescent="0.15">
      <c r="A1129" s="4" t="str">
        <f>HYPERLINK("https://ibp.a2mac1.com/costing(costing:projects/details/9760/part/8412908)","Lid Actuator Mechanism Protection")</f>
        <v>Lid Actuator Mechanism Protection</v>
      </c>
      <c r="B1129">
        <v>8412908</v>
      </c>
      <c r="C1129">
        <v>8412868</v>
      </c>
      <c r="D1129" t="s">
        <v>3223</v>
      </c>
      <c r="E1129">
        <v>0.35339999999999999</v>
      </c>
      <c r="F1129">
        <v>0</v>
      </c>
      <c r="G1129">
        <v>0</v>
      </c>
      <c r="H1129">
        <v>0</v>
      </c>
      <c r="I1129" t="s">
        <v>71</v>
      </c>
      <c r="J1129">
        <v>0</v>
      </c>
      <c r="K1129">
        <v>0.35339999999999999</v>
      </c>
      <c r="L1129">
        <v>0</v>
      </c>
      <c r="M1129">
        <v>0</v>
      </c>
      <c r="N1129">
        <v>0.35339999999999999</v>
      </c>
      <c r="O1129" t="s">
        <v>71</v>
      </c>
      <c r="P1129">
        <v>0</v>
      </c>
      <c r="Q1129" t="s">
        <v>71</v>
      </c>
      <c r="R1129">
        <v>0</v>
      </c>
      <c r="S1129" t="s">
        <v>71</v>
      </c>
      <c r="T1129">
        <v>0</v>
      </c>
      <c r="U1129" t="s">
        <v>71</v>
      </c>
      <c r="V1129">
        <v>0</v>
      </c>
      <c r="W1129" t="s">
        <v>71</v>
      </c>
      <c r="X1129">
        <v>0</v>
      </c>
      <c r="Y1129">
        <v>0.35339999999999999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50</v>
      </c>
      <c r="AF1129">
        <v>95</v>
      </c>
      <c r="AG1129">
        <v>65</v>
      </c>
      <c r="AH1129">
        <v>0</v>
      </c>
      <c r="AI1129">
        <v>2.1999999999999999E-2</v>
      </c>
      <c r="AK1129" t="s">
        <v>100</v>
      </c>
      <c r="AM1129">
        <v>200000</v>
      </c>
      <c r="AN1129" t="s">
        <v>97</v>
      </c>
      <c r="AO1129">
        <v>1</v>
      </c>
      <c r="AP1129">
        <v>0</v>
      </c>
      <c r="AQ1129">
        <v>16666.666666666668</v>
      </c>
      <c r="AR1129" t="s">
        <v>3226</v>
      </c>
      <c r="AS1129" t="s">
        <v>75</v>
      </c>
      <c r="AX1129" t="s">
        <v>76</v>
      </c>
      <c r="AY1129" t="s">
        <v>71</v>
      </c>
      <c r="AZ1129">
        <v>0</v>
      </c>
      <c r="BA1129" t="s">
        <v>71</v>
      </c>
      <c r="BB1129">
        <v>0</v>
      </c>
      <c r="BD1129">
        <v>0.35339999999999999</v>
      </c>
    </row>
    <row r="1130" spans="1:56" x14ac:dyDescent="0.15">
      <c r="A1130" s="4" t="str">
        <f>HYPERLINK("https://ibp.a2mac1.com/costing(costing:projects/details/9760/part/8412909)","Water Drainage")</f>
        <v>Water Drainage</v>
      </c>
      <c r="B1130">
        <v>8412909</v>
      </c>
      <c r="C1130">
        <v>8412868</v>
      </c>
      <c r="D1130" t="s">
        <v>3223</v>
      </c>
      <c r="E1130">
        <v>0.6</v>
      </c>
      <c r="F1130">
        <v>0</v>
      </c>
      <c r="G1130">
        <v>0</v>
      </c>
      <c r="H1130">
        <v>0</v>
      </c>
      <c r="I1130" t="s">
        <v>71</v>
      </c>
      <c r="J1130">
        <v>0</v>
      </c>
      <c r="K1130">
        <v>0.6</v>
      </c>
      <c r="L1130">
        <v>0</v>
      </c>
      <c r="M1130">
        <v>0</v>
      </c>
      <c r="N1130">
        <v>0.6</v>
      </c>
      <c r="O1130" t="s">
        <v>71</v>
      </c>
      <c r="P1130">
        <v>0</v>
      </c>
      <c r="Q1130" t="s">
        <v>71</v>
      </c>
      <c r="R1130">
        <v>0</v>
      </c>
      <c r="S1130" t="s">
        <v>71</v>
      </c>
      <c r="T1130">
        <v>0</v>
      </c>
      <c r="U1130" t="s">
        <v>71</v>
      </c>
      <c r="V1130">
        <v>0</v>
      </c>
      <c r="W1130" t="s">
        <v>71</v>
      </c>
      <c r="X1130">
        <v>0</v>
      </c>
      <c r="Y1130">
        <v>0.6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3.5000000000000003E-2</v>
      </c>
      <c r="AK1130" t="s">
        <v>100</v>
      </c>
      <c r="AM1130">
        <v>200000</v>
      </c>
      <c r="AN1130" t="s">
        <v>97</v>
      </c>
      <c r="AO1130">
        <v>1</v>
      </c>
      <c r="AP1130">
        <v>0</v>
      </c>
      <c r="AQ1130">
        <v>16666.666666666668</v>
      </c>
      <c r="AR1130" t="s">
        <v>3227</v>
      </c>
      <c r="AS1130" t="s">
        <v>75</v>
      </c>
      <c r="AX1130" t="s">
        <v>76</v>
      </c>
      <c r="AY1130" t="s">
        <v>71</v>
      </c>
      <c r="AZ1130">
        <v>0</v>
      </c>
      <c r="BA1130" t="s">
        <v>71</v>
      </c>
      <c r="BB1130">
        <v>0</v>
      </c>
      <c r="BD1130">
        <v>0.6</v>
      </c>
    </row>
    <row r="1131" spans="1:56" x14ac:dyDescent="0.15">
      <c r="A1131" s="4" t="str">
        <f>HYPERLINK("https://ibp.a2mac1.com/costing(costing:projects/details/9760/part/8412910)","Lid Actuator Protection")</f>
        <v>Lid Actuator Protection</v>
      </c>
      <c r="B1131">
        <v>8412910</v>
      </c>
      <c r="C1131">
        <v>8412868</v>
      </c>
      <c r="E1131">
        <v>0.18149999999999999</v>
      </c>
      <c r="F1131">
        <v>0</v>
      </c>
      <c r="G1131">
        <v>0</v>
      </c>
      <c r="H1131">
        <v>0</v>
      </c>
      <c r="I1131" t="s">
        <v>71</v>
      </c>
      <c r="J1131">
        <v>0</v>
      </c>
      <c r="K1131">
        <v>0.18149999999999999</v>
      </c>
      <c r="L1131">
        <v>0</v>
      </c>
      <c r="M1131">
        <v>0</v>
      </c>
      <c r="N1131">
        <v>0.18149999999999999</v>
      </c>
      <c r="O1131" t="s">
        <v>71</v>
      </c>
      <c r="P1131">
        <v>0</v>
      </c>
      <c r="Q1131" t="s">
        <v>71</v>
      </c>
      <c r="R1131">
        <v>0</v>
      </c>
      <c r="S1131" t="s">
        <v>71</v>
      </c>
      <c r="T1131">
        <v>0</v>
      </c>
      <c r="U1131" t="s">
        <v>71</v>
      </c>
      <c r="V1131">
        <v>0</v>
      </c>
      <c r="W1131" t="s">
        <v>71</v>
      </c>
      <c r="X1131">
        <v>0</v>
      </c>
      <c r="Y1131">
        <v>0.18149999999999999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51</v>
      </c>
      <c r="AF1131">
        <v>57</v>
      </c>
      <c r="AG1131">
        <v>114</v>
      </c>
      <c r="AH1131">
        <v>0</v>
      </c>
      <c r="AI1131">
        <v>2.5000000000000001E-2</v>
      </c>
      <c r="AK1131" t="s">
        <v>100</v>
      </c>
      <c r="AM1131">
        <v>200000</v>
      </c>
      <c r="AN1131" t="s">
        <v>97</v>
      </c>
      <c r="AO1131">
        <v>1</v>
      </c>
      <c r="AP1131">
        <v>0</v>
      </c>
      <c r="AQ1131">
        <v>16666.666666666668</v>
      </c>
      <c r="AR1131" t="s">
        <v>3228</v>
      </c>
      <c r="AS1131" t="s">
        <v>75</v>
      </c>
      <c r="AX1131" t="s">
        <v>76</v>
      </c>
      <c r="AY1131" t="s">
        <v>71</v>
      </c>
      <c r="AZ1131">
        <v>0</v>
      </c>
      <c r="BA1131" t="s">
        <v>71</v>
      </c>
      <c r="BB1131">
        <v>0</v>
      </c>
      <c r="BD1131">
        <v>0.18149999999999999</v>
      </c>
    </row>
    <row r="1132" spans="1:56" x14ac:dyDescent="0.15">
      <c r="A1132" s="4" t="str">
        <f>HYPERLINK("https://ibp.a2mac1.com/costing(costing:projects/details/9760/part/8412911)","Charging Plug Release Switch")</f>
        <v>Charging Plug Release Switch</v>
      </c>
      <c r="B1132">
        <v>8412911</v>
      </c>
      <c r="C1132">
        <v>8412868</v>
      </c>
      <c r="E1132">
        <v>0.5</v>
      </c>
      <c r="F1132">
        <v>0</v>
      </c>
      <c r="G1132">
        <v>0</v>
      </c>
      <c r="H1132">
        <v>0</v>
      </c>
      <c r="I1132" t="s">
        <v>71</v>
      </c>
      <c r="J1132">
        <v>0</v>
      </c>
      <c r="K1132">
        <v>0.5</v>
      </c>
      <c r="L1132">
        <v>0</v>
      </c>
      <c r="M1132">
        <v>0</v>
      </c>
      <c r="N1132">
        <v>0.5</v>
      </c>
      <c r="O1132" t="s">
        <v>71</v>
      </c>
      <c r="P1132">
        <v>0</v>
      </c>
      <c r="Q1132" t="s">
        <v>71</v>
      </c>
      <c r="R1132">
        <v>0</v>
      </c>
      <c r="S1132" t="s">
        <v>71</v>
      </c>
      <c r="T1132">
        <v>0</v>
      </c>
      <c r="U1132" t="s">
        <v>71</v>
      </c>
      <c r="V1132">
        <v>0</v>
      </c>
      <c r="W1132" t="s">
        <v>71</v>
      </c>
      <c r="X1132">
        <v>0</v>
      </c>
      <c r="Y1132">
        <v>0.5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26</v>
      </c>
      <c r="AF1132">
        <v>52</v>
      </c>
      <c r="AG1132">
        <v>22</v>
      </c>
      <c r="AH1132">
        <v>0</v>
      </c>
      <c r="AI1132">
        <v>6.9000000000000006E-2</v>
      </c>
      <c r="AK1132" t="s">
        <v>100</v>
      </c>
      <c r="AM1132">
        <v>200000</v>
      </c>
      <c r="AN1132" t="s">
        <v>97</v>
      </c>
      <c r="AO1132">
        <v>1</v>
      </c>
      <c r="AP1132">
        <v>0</v>
      </c>
      <c r="AQ1132">
        <v>16666.666666666668</v>
      </c>
      <c r="AR1132" t="s">
        <v>3229</v>
      </c>
      <c r="AS1132" t="s">
        <v>75</v>
      </c>
      <c r="AX1132" t="s">
        <v>76</v>
      </c>
      <c r="AY1132" t="s">
        <v>71</v>
      </c>
      <c r="AZ1132">
        <v>0</v>
      </c>
      <c r="BA1132" t="s">
        <v>71</v>
      </c>
      <c r="BB1132">
        <v>0</v>
      </c>
      <c r="BD1132">
        <v>0.5</v>
      </c>
    </row>
    <row r="1133" spans="1:56" x14ac:dyDescent="0.15">
      <c r="A1133" s="4" t="str">
        <f>HYPERLINK("https://ibp.a2mac1.com/costing(costing:projects/details/9760/part/8412914)","Lid Actuator motor harness")</f>
        <v>Lid Actuator motor harness</v>
      </c>
      <c r="B1133">
        <v>8412914</v>
      </c>
      <c r="C1133">
        <v>8412868</v>
      </c>
      <c r="E1133">
        <v>1.2</v>
      </c>
      <c r="F1133">
        <v>0</v>
      </c>
      <c r="G1133">
        <v>0</v>
      </c>
      <c r="H1133">
        <v>0</v>
      </c>
      <c r="I1133" t="s">
        <v>71</v>
      </c>
      <c r="J1133">
        <v>0</v>
      </c>
      <c r="K1133">
        <v>1.2</v>
      </c>
      <c r="L1133">
        <v>0</v>
      </c>
      <c r="M1133">
        <v>0</v>
      </c>
      <c r="N1133">
        <v>1.2</v>
      </c>
      <c r="O1133" t="s">
        <v>71</v>
      </c>
      <c r="P1133">
        <v>0</v>
      </c>
      <c r="Q1133" t="s">
        <v>71</v>
      </c>
      <c r="R1133">
        <v>0</v>
      </c>
      <c r="S1133" t="s">
        <v>71</v>
      </c>
      <c r="T1133">
        <v>0</v>
      </c>
      <c r="U1133" t="s">
        <v>71</v>
      </c>
      <c r="V1133">
        <v>0</v>
      </c>
      <c r="W1133" t="s">
        <v>71</v>
      </c>
      <c r="X1133">
        <v>0</v>
      </c>
      <c r="Y1133">
        <v>1.2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K1133" t="s">
        <v>100</v>
      </c>
      <c r="AM1133">
        <v>200000</v>
      </c>
      <c r="AN1133" t="s">
        <v>97</v>
      </c>
      <c r="AO1133">
        <v>1</v>
      </c>
      <c r="AP1133">
        <v>0</v>
      </c>
      <c r="AQ1133">
        <v>16666.666666666668</v>
      </c>
      <c r="AR1133" t="s">
        <v>3230</v>
      </c>
      <c r="AS1133" t="s">
        <v>75</v>
      </c>
      <c r="AV1133">
        <v>0</v>
      </c>
      <c r="AW1133">
        <v>0</v>
      </c>
      <c r="AX1133" t="s">
        <v>76</v>
      </c>
      <c r="AY1133" t="s">
        <v>71</v>
      </c>
      <c r="AZ1133">
        <v>0</v>
      </c>
      <c r="BA1133" t="s">
        <v>71</v>
      </c>
      <c r="BB1133">
        <v>0</v>
      </c>
      <c r="BD1133">
        <v>1.2</v>
      </c>
    </row>
    <row r="1134" spans="1:56" x14ac:dyDescent="0.15">
      <c r="A1134" s="4" t="str">
        <f>HYPERLINK("https://ibp.a2mac1.com/costing(costing:projects/details/9760/part/8413018)","Main sound insulation")</f>
        <v>Main sound insulation</v>
      </c>
      <c r="B1134">
        <v>8413018</v>
      </c>
      <c r="C1134">
        <v>8412917</v>
      </c>
      <c r="D1134" t="s">
        <v>3234</v>
      </c>
      <c r="E1134">
        <v>1.1462000000000001</v>
      </c>
      <c r="F1134">
        <v>0</v>
      </c>
      <c r="G1134">
        <v>0</v>
      </c>
      <c r="H1134">
        <v>0</v>
      </c>
      <c r="I1134" t="s">
        <v>71</v>
      </c>
      <c r="J1134">
        <v>0</v>
      </c>
      <c r="K1134">
        <v>1.1462000000000001</v>
      </c>
      <c r="L1134">
        <v>0</v>
      </c>
      <c r="M1134">
        <v>0</v>
      </c>
      <c r="N1134">
        <v>1.1462000000000001</v>
      </c>
      <c r="O1134" t="s">
        <v>71</v>
      </c>
      <c r="P1134">
        <v>0</v>
      </c>
      <c r="Q1134" t="s">
        <v>71</v>
      </c>
      <c r="R1134">
        <v>0</v>
      </c>
      <c r="S1134" t="s">
        <v>71</v>
      </c>
      <c r="T1134">
        <v>0</v>
      </c>
      <c r="U1134" t="s">
        <v>71</v>
      </c>
      <c r="V1134">
        <v>0</v>
      </c>
      <c r="W1134" t="s">
        <v>71</v>
      </c>
      <c r="X1134">
        <v>0</v>
      </c>
      <c r="Y1134">
        <v>1.1462000000000001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367</v>
      </c>
      <c r="AF1134">
        <v>373</v>
      </c>
      <c r="AG1134">
        <v>121</v>
      </c>
      <c r="AH1134">
        <v>0</v>
      </c>
      <c r="AI1134">
        <v>0.374</v>
      </c>
      <c r="AK1134" t="s">
        <v>100</v>
      </c>
      <c r="AM1134">
        <v>200000</v>
      </c>
      <c r="AN1134" t="s">
        <v>97</v>
      </c>
      <c r="AO1134">
        <v>1</v>
      </c>
      <c r="AP1134">
        <v>0</v>
      </c>
      <c r="AQ1134">
        <v>16666.666666666668</v>
      </c>
      <c r="AR1134" t="s">
        <v>3235</v>
      </c>
      <c r="AS1134" t="s">
        <v>75</v>
      </c>
      <c r="AX1134" t="s">
        <v>76</v>
      </c>
      <c r="AY1134" t="s">
        <v>71</v>
      </c>
      <c r="AZ1134">
        <v>0</v>
      </c>
      <c r="BA1134" t="s">
        <v>71</v>
      </c>
      <c r="BB1134">
        <v>0</v>
      </c>
      <c r="BD1134">
        <v>1.1462000000000001</v>
      </c>
    </row>
    <row r="1135" spans="1:56" x14ac:dyDescent="0.15">
      <c r="A1135" s="4" t="str">
        <f>HYPERLINK("https://ibp.a2mac1.com/costing(costing:projects/details/9760/part/8413019)","2nd sound insulation")</f>
        <v>2nd sound insulation</v>
      </c>
      <c r="B1135">
        <v>8413019</v>
      </c>
      <c r="C1135">
        <v>8412917</v>
      </c>
      <c r="D1135" t="s">
        <v>3234</v>
      </c>
      <c r="E1135">
        <v>2.00421</v>
      </c>
      <c r="F1135">
        <v>0</v>
      </c>
      <c r="G1135">
        <v>0</v>
      </c>
      <c r="H1135">
        <v>0</v>
      </c>
      <c r="I1135" t="s">
        <v>71</v>
      </c>
      <c r="J1135">
        <v>0</v>
      </c>
      <c r="K1135">
        <v>2.00421</v>
      </c>
      <c r="L1135">
        <v>0</v>
      </c>
      <c r="M1135">
        <v>0</v>
      </c>
      <c r="N1135">
        <v>2.00421</v>
      </c>
      <c r="O1135" t="s">
        <v>71</v>
      </c>
      <c r="P1135">
        <v>0</v>
      </c>
      <c r="Q1135" t="s">
        <v>71</v>
      </c>
      <c r="R1135">
        <v>0</v>
      </c>
      <c r="S1135" t="s">
        <v>71</v>
      </c>
      <c r="T1135">
        <v>0</v>
      </c>
      <c r="U1135" t="s">
        <v>71</v>
      </c>
      <c r="V1135">
        <v>0</v>
      </c>
      <c r="W1135" t="s">
        <v>71</v>
      </c>
      <c r="X1135">
        <v>0</v>
      </c>
      <c r="Y1135">
        <v>2.00421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555</v>
      </c>
      <c r="AF1135">
        <v>485</v>
      </c>
      <c r="AG1135">
        <v>170</v>
      </c>
      <c r="AH1135">
        <v>0</v>
      </c>
      <c r="AI1135">
        <v>0.75700000000000001</v>
      </c>
      <c r="AK1135" t="s">
        <v>100</v>
      </c>
      <c r="AM1135">
        <v>200000</v>
      </c>
      <c r="AN1135" t="s">
        <v>97</v>
      </c>
      <c r="AO1135">
        <v>1</v>
      </c>
      <c r="AP1135">
        <v>0</v>
      </c>
      <c r="AQ1135">
        <v>16666.666666666668</v>
      </c>
      <c r="AR1135" t="s">
        <v>3236</v>
      </c>
      <c r="AS1135" t="s">
        <v>75</v>
      </c>
      <c r="AX1135" t="s">
        <v>76</v>
      </c>
      <c r="AY1135" t="s">
        <v>71</v>
      </c>
      <c r="AZ1135">
        <v>0</v>
      </c>
      <c r="BA1135" t="s">
        <v>71</v>
      </c>
      <c r="BB1135">
        <v>0</v>
      </c>
      <c r="BD1135">
        <v>2.00421</v>
      </c>
    </row>
    <row r="1136" spans="1:56" x14ac:dyDescent="0.15">
      <c r="A1136" s="4" t="str">
        <f>HYPERLINK("https://ibp.a2mac1.com/costing(costing:projects/details/9760/part/8412915)","Power Inverter Module/Converter Noise Insulation")</f>
        <v>Power Inverter Module/Converter Noise Insulation</v>
      </c>
      <c r="B1136">
        <v>8412915</v>
      </c>
      <c r="C1136">
        <v>8412869</v>
      </c>
      <c r="D1136" t="s">
        <v>3238</v>
      </c>
      <c r="E1136">
        <v>0.33150000000000002</v>
      </c>
      <c r="F1136">
        <v>0</v>
      </c>
      <c r="G1136">
        <v>0</v>
      </c>
      <c r="H1136">
        <v>0</v>
      </c>
      <c r="I1136" t="s">
        <v>71</v>
      </c>
      <c r="J1136">
        <v>0</v>
      </c>
      <c r="K1136">
        <v>0.33150000000000002</v>
      </c>
      <c r="L1136">
        <v>0</v>
      </c>
      <c r="M1136">
        <v>0</v>
      </c>
      <c r="N1136">
        <v>0.33150000000000002</v>
      </c>
      <c r="O1136" t="s">
        <v>71</v>
      </c>
      <c r="P1136">
        <v>0</v>
      </c>
      <c r="Q1136" t="s">
        <v>71</v>
      </c>
      <c r="R1136">
        <v>0</v>
      </c>
      <c r="S1136" t="s">
        <v>71</v>
      </c>
      <c r="T1136">
        <v>0</v>
      </c>
      <c r="U1136" t="s">
        <v>71</v>
      </c>
      <c r="V1136">
        <v>0</v>
      </c>
      <c r="W1136" t="s">
        <v>71</v>
      </c>
      <c r="X1136">
        <v>0</v>
      </c>
      <c r="Y1136">
        <v>0.33150000000000002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14</v>
      </c>
      <c r="AF1136">
        <v>435</v>
      </c>
      <c r="AG1136">
        <v>360</v>
      </c>
      <c r="AH1136">
        <v>0</v>
      </c>
      <c r="AI1136">
        <v>5.0999999999999997E-2</v>
      </c>
      <c r="AK1136" t="s">
        <v>100</v>
      </c>
      <c r="AM1136">
        <v>200000</v>
      </c>
      <c r="AN1136" t="s">
        <v>97</v>
      </c>
      <c r="AO1136">
        <v>1</v>
      </c>
      <c r="AP1136">
        <v>0</v>
      </c>
      <c r="AQ1136">
        <v>16666.666666666668</v>
      </c>
      <c r="AR1136" t="s">
        <v>3239</v>
      </c>
      <c r="AS1136" t="s">
        <v>75</v>
      </c>
      <c r="AX1136" t="s">
        <v>76</v>
      </c>
      <c r="AY1136" t="s">
        <v>71</v>
      </c>
      <c r="AZ1136">
        <v>0</v>
      </c>
      <c r="BA1136" t="s">
        <v>71</v>
      </c>
      <c r="BB1136">
        <v>0</v>
      </c>
      <c r="BD1136">
        <v>0.33150000000000002</v>
      </c>
    </row>
    <row r="1137" spans="1:56" x14ac:dyDescent="0.15">
      <c r="A1137" s="4" t="str">
        <f>HYPERLINK("https://ibp.a2mac1.com/costing(costing:projects/details/9760/part/8412916)","2nd Power Inverter Module/Converter Noise Insulation")</f>
        <v>2nd Power Inverter Module/Converter Noise Insulation</v>
      </c>
      <c r="B1137">
        <v>8412916</v>
      </c>
      <c r="C1137">
        <v>8412869</v>
      </c>
      <c r="D1137" t="s">
        <v>3238</v>
      </c>
      <c r="E1137">
        <v>0.70199999999999996</v>
      </c>
      <c r="F1137">
        <v>0</v>
      </c>
      <c r="G1137">
        <v>0</v>
      </c>
      <c r="H1137">
        <v>0</v>
      </c>
      <c r="I1137" t="s">
        <v>71</v>
      </c>
      <c r="J1137">
        <v>0</v>
      </c>
      <c r="K1137">
        <v>0.70199999999999996</v>
      </c>
      <c r="L1137">
        <v>0</v>
      </c>
      <c r="M1137">
        <v>0</v>
      </c>
      <c r="N1137">
        <v>0.70199999999999996</v>
      </c>
      <c r="O1137" t="s">
        <v>71</v>
      </c>
      <c r="P1137">
        <v>0</v>
      </c>
      <c r="Q1137" t="s">
        <v>71</v>
      </c>
      <c r="R1137">
        <v>0</v>
      </c>
      <c r="S1137" t="s">
        <v>71</v>
      </c>
      <c r="T1137">
        <v>0</v>
      </c>
      <c r="U1137" t="s">
        <v>71</v>
      </c>
      <c r="V1137">
        <v>0</v>
      </c>
      <c r="W1137" t="s">
        <v>71</v>
      </c>
      <c r="X1137">
        <v>0</v>
      </c>
      <c r="Y1137">
        <v>0.70199999999999996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0.108</v>
      </c>
      <c r="AK1137" t="s">
        <v>100</v>
      </c>
      <c r="AM1137">
        <v>200000</v>
      </c>
      <c r="AN1137" t="s">
        <v>97</v>
      </c>
      <c r="AO1137">
        <v>1</v>
      </c>
      <c r="AP1137">
        <v>0</v>
      </c>
      <c r="AQ1137">
        <v>16666.666666666668</v>
      </c>
      <c r="AR1137" t="s">
        <v>3240</v>
      </c>
      <c r="AS1137" t="s">
        <v>75</v>
      </c>
      <c r="AX1137" t="s">
        <v>76</v>
      </c>
      <c r="AY1137" t="s">
        <v>71</v>
      </c>
      <c r="AZ1137">
        <v>0</v>
      </c>
      <c r="BA1137" t="s">
        <v>71</v>
      </c>
      <c r="BB1137">
        <v>0</v>
      </c>
      <c r="BD1137">
        <v>0.70199999999999996</v>
      </c>
    </row>
    <row r="1138" spans="1:56" x14ac:dyDescent="0.15">
      <c r="A1138" s="4" t="str">
        <f>HYPERLINK("https://ibp.a2mac1.com/costing(costing:projects/details/9760/part/8413020)","Expansion Tank Cap")</f>
        <v>Expansion Tank Cap</v>
      </c>
      <c r="B1138">
        <v>8413020</v>
      </c>
      <c r="C1138">
        <v>8412925</v>
      </c>
      <c r="D1138" t="s">
        <v>3244</v>
      </c>
      <c r="E1138">
        <v>0.28000000000000003</v>
      </c>
      <c r="F1138">
        <v>0</v>
      </c>
      <c r="G1138">
        <v>0</v>
      </c>
      <c r="H1138">
        <v>0</v>
      </c>
      <c r="I1138" t="s">
        <v>71</v>
      </c>
      <c r="J1138">
        <v>0</v>
      </c>
      <c r="K1138">
        <v>0.28000000000000003</v>
      </c>
      <c r="L1138">
        <v>0</v>
      </c>
      <c r="M1138">
        <v>0</v>
      </c>
      <c r="N1138">
        <v>0.28000000000000003</v>
      </c>
      <c r="O1138" t="s">
        <v>71</v>
      </c>
      <c r="P1138">
        <v>0</v>
      </c>
      <c r="Q1138" t="s">
        <v>71</v>
      </c>
      <c r="R1138">
        <v>0</v>
      </c>
      <c r="S1138" t="s">
        <v>71</v>
      </c>
      <c r="T1138">
        <v>0</v>
      </c>
      <c r="U1138" t="s">
        <v>71</v>
      </c>
      <c r="V1138">
        <v>0</v>
      </c>
      <c r="W1138" t="s">
        <v>71</v>
      </c>
      <c r="X1138">
        <v>0</v>
      </c>
      <c r="Y1138">
        <v>0.28000000000000003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29</v>
      </c>
      <c r="AF1138">
        <v>50</v>
      </c>
      <c r="AG1138">
        <v>44</v>
      </c>
      <c r="AH1138">
        <v>0</v>
      </c>
      <c r="AI1138">
        <v>2.1999999999999999E-2</v>
      </c>
      <c r="AK1138" t="s">
        <v>100</v>
      </c>
      <c r="AM1138">
        <v>200000</v>
      </c>
      <c r="AN1138" t="s">
        <v>97</v>
      </c>
      <c r="AO1138">
        <v>1</v>
      </c>
      <c r="AP1138">
        <v>0</v>
      </c>
      <c r="AQ1138">
        <v>16666.666666666668</v>
      </c>
      <c r="AR1138" t="s">
        <v>3245</v>
      </c>
      <c r="AS1138" t="s">
        <v>75</v>
      </c>
      <c r="AX1138" t="s">
        <v>76</v>
      </c>
      <c r="AY1138" t="s">
        <v>71</v>
      </c>
      <c r="AZ1138">
        <v>0</v>
      </c>
      <c r="BA1138" t="s">
        <v>71</v>
      </c>
      <c r="BB1138">
        <v>0</v>
      </c>
      <c r="BD1138">
        <v>0.28000000000000003</v>
      </c>
    </row>
    <row r="1139" spans="1:56" x14ac:dyDescent="0.15">
      <c r="A1139" s="4" t="str">
        <f>HYPERLINK("https://ibp.a2mac1.com/costing(costing:projects/details/9760/part/8413021)","Level Sensor")</f>
        <v>Level Sensor</v>
      </c>
      <c r="B1139">
        <v>8413021</v>
      </c>
      <c r="C1139">
        <v>8412925</v>
      </c>
      <c r="E1139">
        <v>0.5</v>
      </c>
      <c r="F1139">
        <v>0</v>
      </c>
      <c r="G1139">
        <v>0</v>
      </c>
      <c r="H1139">
        <v>0</v>
      </c>
      <c r="I1139" t="s">
        <v>71</v>
      </c>
      <c r="J1139">
        <v>0</v>
      </c>
      <c r="K1139">
        <v>0.5</v>
      </c>
      <c r="L1139">
        <v>0</v>
      </c>
      <c r="M1139">
        <v>0</v>
      </c>
      <c r="N1139">
        <v>0.5</v>
      </c>
      <c r="O1139" t="s">
        <v>71</v>
      </c>
      <c r="P1139">
        <v>0</v>
      </c>
      <c r="Q1139" t="s">
        <v>71</v>
      </c>
      <c r="R1139">
        <v>0</v>
      </c>
      <c r="S1139" t="s">
        <v>71</v>
      </c>
      <c r="T1139">
        <v>0</v>
      </c>
      <c r="U1139" t="s">
        <v>71</v>
      </c>
      <c r="V1139">
        <v>0</v>
      </c>
      <c r="W1139" t="s">
        <v>71</v>
      </c>
      <c r="X1139">
        <v>0</v>
      </c>
      <c r="Y1139">
        <v>0.5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10</v>
      </c>
      <c r="AF1139">
        <v>24</v>
      </c>
      <c r="AG1139">
        <v>94</v>
      </c>
      <c r="AH1139">
        <v>0</v>
      </c>
      <c r="AI1139">
        <v>3.0000000000000001E-3</v>
      </c>
      <c r="AK1139" t="s">
        <v>95</v>
      </c>
      <c r="AM1139">
        <v>200000</v>
      </c>
      <c r="AN1139" t="s">
        <v>97</v>
      </c>
      <c r="AO1139">
        <v>1</v>
      </c>
      <c r="AP1139">
        <v>0</v>
      </c>
      <c r="AQ1139">
        <v>16666.666666666668</v>
      </c>
      <c r="AR1139" t="s">
        <v>3246</v>
      </c>
      <c r="AS1139" t="s">
        <v>75</v>
      </c>
      <c r="AX1139" t="s">
        <v>76</v>
      </c>
      <c r="AY1139" t="s">
        <v>71</v>
      </c>
      <c r="AZ1139">
        <v>0</v>
      </c>
      <c r="BA1139" t="s">
        <v>71</v>
      </c>
      <c r="BB1139">
        <v>0</v>
      </c>
      <c r="BD1139">
        <v>0.5</v>
      </c>
    </row>
    <row r="1140" spans="1:56" x14ac:dyDescent="0.15">
      <c r="A1140" s="4" t="str">
        <f>HYPERLINK("https://ibp.a2mac1.com/costing(costing:projects/details/9760/part/8413089)","Stator / Electric Motor")</f>
        <v>Stator / Electric Motor</v>
      </c>
      <c r="B1140">
        <v>8413089</v>
      </c>
      <c r="C1140">
        <v>8413025</v>
      </c>
      <c r="E1140">
        <v>12.30716</v>
      </c>
      <c r="F1140">
        <v>0</v>
      </c>
      <c r="G1140">
        <v>0</v>
      </c>
      <c r="H1140">
        <v>0</v>
      </c>
      <c r="I1140" t="s">
        <v>71</v>
      </c>
      <c r="J1140">
        <v>0</v>
      </c>
      <c r="K1140">
        <v>12.30716</v>
      </c>
      <c r="L1140">
        <v>0</v>
      </c>
      <c r="M1140">
        <v>0</v>
      </c>
      <c r="N1140">
        <v>12.30716</v>
      </c>
      <c r="O1140" t="s">
        <v>71</v>
      </c>
      <c r="P1140">
        <v>0</v>
      </c>
      <c r="Q1140" t="s">
        <v>71</v>
      </c>
      <c r="R1140">
        <v>0</v>
      </c>
      <c r="S1140" t="s">
        <v>71</v>
      </c>
      <c r="T1140">
        <v>0</v>
      </c>
      <c r="U1140" t="s">
        <v>71</v>
      </c>
      <c r="V1140">
        <v>0</v>
      </c>
      <c r="W1140" t="s">
        <v>71</v>
      </c>
      <c r="X1140">
        <v>0</v>
      </c>
      <c r="Y1140">
        <v>12.30716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79</v>
      </c>
      <c r="AF1140">
        <v>94</v>
      </c>
      <c r="AG1140">
        <v>96</v>
      </c>
      <c r="AH1140">
        <v>0</v>
      </c>
      <c r="AI1140">
        <v>0.433</v>
      </c>
      <c r="AK1140" t="s">
        <v>95</v>
      </c>
      <c r="AM1140">
        <v>200000</v>
      </c>
      <c r="AN1140" t="s">
        <v>97</v>
      </c>
      <c r="AO1140">
        <v>1</v>
      </c>
      <c r="AP1140">
        <v>0</v>
      </c>
      <c r="AQ1140">
        <v>16666.666666666668</v>
      </c>
      <c r="AR1140" t="s">
        <v>3250</v>
      </c>
      <c r="AS1140" t="s">
        <v>75</v>
      </c>
      <c r="AX1140" t="s">
        <v>76</v>
      </c>
      <c r="AY1140" t="s">
        <v>71</v>
      </c>
      <c r="AZ1140">
        <v>0</v>
      </c>
      <c r="BA1140" t="s">
        <v>71</v>
      </c>
      <c r="BB1140">
        <v>0</v>
      </c>
      <c r="BD1140">
        <v>12.30716</v>
      </c>
    </row>
    <row r="1141" spans="1:56" x14ac:dyDescent="0.15">
      <c r="A1141" s="4" t="str">
        <f>HYPERLINK("https://ibp.a2mac1.com/costing(costing:projects/details/9760/part/8413022)","Exchanger With Air Conditioning")</f>
        <v>Exchanger With Air Conditioning</v>
      </c>
      <c r="B1141">
        <v>8413022</v>
      </c>
      <c r="C1141">
        <v>8412926</v>
      </c>
      <c r="E1141">
        <v>15.18737</v>
      </c>
      <c r="F1141">
        <v>0</v>
      </c>
      <c r="G1141">
        <v>0</v>
      </c>
      <c r="H1141">
        <v>0</v>
      </c>
      <c r="I1141" t="s">
        <v>71</v>
      </c>
      <c r="J1141">
        <v>0</v>
      </c>
      <c r="K1141">
        <v>15.18737</v>
      </c>
      <c r="L1141">
        <v>0</v>
      </c>
      <c r="M1141">
        <v>0</v>
      </c>
      <c r="N1141">
        <v>15.18737</v>
      </c>
      <c r="O1141" t="s">
        <v>71</v>
      </c>
      <c r="P1141">
        <v>0</v>
      </c>
      <c r="Q1141" t="s">
        <v>71</v>
      </c>
      <c r="R1141">
        <v>0</v>
      </c>
      <c r="S1141" t="s">
        <v>71</v>
      </c>
      <c r="T1141">
        <v>0</v>
      </c>
      <c r="U1141" t="s">
        <v>71</v>
      </c>
      <c r="V1141">
        <v>0</v>
      </c>
      <c r="W1141" t="s">
        <v>71</v>
      </c>
      <c r="X1141">
        <v>0</v>
      </c>
      <c r="Y1141">
        <v>15.18737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113</v>
      </c>
      <c r="AF1141">
        <v>129</v>
      </c>
      <c r="AG1141">
        <v>152</v>
      </c>
      <c r="AH1141">
        <v>0</v>
      </c>
      <c r="AI1141">
        <v>1.143</v>
      </c>
      <c r="AK1141" t="s">
        <v>95</v>
      </c>
      <c r="AM1141">
        <v>200000</v>
      </c>
      <c r="AN1141" t="s">
        <v>97</v>
      </c>
      <c r="AO1141">
        <v>1</v>
      </c>
      <c r="AP1141">
        <v>0</v>
      </c>
      <c r="AQ1141">
        <v>16666.666666666668</v>
      </c>
      <c r="AR1141" t="s">
        <v>3252</v>
      </c>
      <c r="AS1141" t="s">
        <v>75</v>
      </c>
      <c r="AX1141" t="s">
        <v>76</v>
      </c>
      <c r="AY1141" t="s">
        <v>71</v>
      </c>
      <c r="AZ1141">
        <v>0</v>
      </c>
      <c r="BA1141" t="s">
        <v>71</v>
      </c>
      <c r="BB1141">
        <v>0</v>
      </c>
      <c r="BD1141">
        <v>15.18737</v>
      </c>
    </row>
    <row r="1142" spans="1:56" x14ac:dyDescent="0.15">
      <c r="A1142" s="4" t="str">
        <f>HYPERLINK("https://ibp.a2mac1.com/costing(costing:projects/details/9760/part/8413023)","IN pipe")</f>
        <v>IN pipe</v>
      </c>
      <c r="B1142">
        <v>8413023</v>
      </c>
      <c r="C1142">
        <v>8412926</v>
      </c>
      <c r="E1142">
        <v>1.39795</v>
      </c>
      <c r="F1142">
        <v>0</v>
      </c>
      <c r="G1142">
        <v>0</v>
      </c>
      <c r="H1142">
        <v>0</v>
      </c>
      <c r="I1142" t="s">
        <v>71</v>
      </c>
      <c r="J1142">
        <v>0</v>
      </c>
      <c r="K1142">
        <v>1.39795</v>
      </c>
      <c r="L1142">
        <v>0</v>
      </c>
      <c r="M1142">
        <v>0</v>
      </c>
      <c r="N1142">
        <v>1.39795</v>
      </c>
      <c r="O1142" t="s">
        <v>71</v>
      </c>
      <c r="P1142">
        <v>0</v>
      </c>
      <c r="Q1142" t="s">
        <v>71</v>
      </c>
      <c r="R1142">
        <v>0</v>
      </c>
      <c r="S1142" t="s">
        <v>71</v>
      </c>
      <c r="T1142">
        <v>0</v>
      </c>
      <c r="U1142" t="s">
        <v>71</v>
      </c>
      <c r="V1142">
        <v>0</v>
      </c>
      <c r="W1142" t="s">
        <v>71</v>
      </c>
      <c r="X1142">
        <v>0</v>
      </c>
      <c r="Y1142">
        <v>1.39795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0.11700000000000001</v>
      </c>
      <c r="AK1142" t="s">
        <v>100</v>
      </c>
      <c r="AM1142">
        <v>200000</v>
      </c>
      <c r="AN1142" t="s">
        <v>97</v>
      </c>
      <c r="AO1142">
        <v>1</v>
      </c>
      <c r="AP1142">
        <v>0</v>
      </c>
      <c r="AQ1142">
        <v>16666.666666666668</v>
      </c>
      <c r="AR1142" t="s">
        <v>3253</v>
      </c>
      <c r="AS1142" t="s">
        <v>75</v>
      </c>
      <c r="AX1142" t="s">
        <v>76</v>
      </c>
      <c r="AY1142" t="s">
        <v>71</v>
      </c>
      <c r="AZ1142">
        <v>0</v>
      </c>
      <c r="BA1142" t="s">
        <v>71</v>
      </c>
      <c r="BB1142">
        <v>0</v>
      </c>
      <c r="BD1142">
        <v>1.39795</v>
      </c>
    </row>
    <row r="1143" spans="1:56" x14ac:dyDescent="0.15">
      <c r="A1143" s="4" t="str">
        <f>HYPERLINK("https://ibp.a2mac1.com/costing(costing:projects/details/9760/part/8413024)","Return pipe")</f>
        <v>Return pipe</v>
      </c>
      <c r="B1143">
        <v>8413024</v>
      </c>
      <c r="C1143">
        <v>8412926</v>
      </c>
      <c r="E1143">
        <v>1.7607600000000001</v>
      </c>
      <c r="F1143">
        <v>0</v>
      </c>
      <c r="G1143">
        <v>0</v>
      </c>
      <c r="H1143">
        <v>0</v>
      </c>
      <c r="I1143" t="s">
        <v>71</v>
      </c>
      <c r="J1143">
        <v>0</v>
      </c>
      <c r="K1143">
        <v>1.7607600000000001</v>
      </c>
      <c r="L1143">
        <v>0</v>
      </c>
      <c r="M1143">
        <v>0</v>
      </c>
      <c r="N1143">
        <v>1.7607600000000001</v>
      </c>
      <c r="O1143" t="s">
        <v>71</v>
      </c>
      <c r="P1143">
        <v>0</v>
      </c>
      <c r="Q1143" t="s">
        <v>71</v>
      </c>
      <c r="R1143">
        <v>0</v>
      </c>
      <c r="S1143" t="s">
        <v>71</v>
      </c>
      <c r="T1143">
        <v>0</v>
      </c>
      <c r="U1143" t="s">
        <v>71</v>
      </c>
      <c r="V1143">
        <v>0</v>
      </c>
      <c r="W1143" t="s">
        <v>71</v>
      </c>
      <c r="X1143">
        <v>0</v>
      </c>
      <c r="Y1143">
        <v>1.7607600000000001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0.157</v>
      </c>
      <c r="AK1143" t="s">
        <v>100</v>
      </c>
      <c r="AM1143">
        <v>200000</v>
      </c>
      <c r="AN1143" t="s">
        <v>97</v>
      </c>
      <c r="AO1143">
        <v>1</v>
      </c>
      <c r="AP1143">
        <v>0</v>
      </c>
      <c r="AQ1143">
        <v>16666.666666666668</v>
      </c>
      <c r="AR1143" t="s">
        <v>3254</v>
      </c>
      <c r="AS1143" t="s">
        <v>75</v>
      </c>
      <c r="AX1143" t="s">
        <v>76</v>
      </c>
      <c r="AY1143" t="s">
        <v>71</v>
      </c>
      <c r="AZ1143">
        <v>0</v>
      </c>
      <c r="BA1143" t="s">
        <v>71</v>
      </c>
      <c r="BB1143">
        <v>0</v>
      </c>
      <c r="BD1143">
        <v>1.7607600000000001</v>
      </c>
    </row>
    <row r="1144" spans="1:56" x14ac:dyDescent="0.15">
      <c r="A1144" s="4" t="str">
        <f>HYPERLINK("https://ibp.a2mac1.com/costing(costing:projects/details/9760/part/8413026)","Pipe Expansion Tank/Radiator")</f>
        <v>Pipe Expansion Tank/Radiator</v>
      </c>
      <c r="B1144">
        <v>8413026</v>
      </c>
      <c r="C1144">
        <v>8412927</v>
      </c>
      <c r="E1144">
        <v>1.61564</v>
      </c>
      <c r="F1144">
        <v>0</v>
      </c>
      <c r="G1144">
        <v>0</v>
      </c>
      <c r="H1144">
        <v>0</v>
      </c>
      <c r="I1144" t="s">
        <v>71</v>
      </c>
      <c r="J1144">
        <v>0</v>
      </c>
      <c r="K1144">
        <v>1.61564</v>
      </c>
      <c r="L1144">
        <v>0</v>
      </c>
      <c r="M1144">
        <v>0</v>
      </c>
      <c r="N1144">
        <v>1.61564</v>
      </c>
      <c r="O1144" t="s">
        <v>71</v>
      </c>
      <c r="P1144">
        <v>0</v>
      </c>
      <c r="Q1144" t="s">
        <v>71</v>
      </c>
      <c r="R1144">
        <v>0</v>
      </c>
      <c r="S1144" t="s">
        <v>71</v>
      </c>
      <c r="T1144">
        <v>0</v>
      </c>
      <c r="U1144" t="s">
        <v>71</v>
      </c>
      <c r="V1144">
        <v>0</v>
      </c>
      <c r="W1144" t="s">
        <v>71</v>
      </c>
      <c r="X1144">
        <v>0</v>
      </c>
      <c r="Y1144">
        <v>1.61564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0.14099999999999999</v>
      </c>
      <c r="AK1144" t="s">
        <v>100</v>
      </c>
      <c r="AM1144">
        <v>200000</v>
      </c>
      <c r="AN1144" t="s">
        <v>97</v>
      </c>
      <c r="AO1144">
        <v>1</v>
      </c>
      <c r="AP1144">
        <v>0</v>
      </c>
      <c r="AQ1144">
        <v>16666.666666666668</v>
      </c>
      <c r="AR1144" t="s">
        <v>3257</v>
      </c>
      <c r="AS1144" t="s">
        <v>75</v>
      </c>
      <c r="AX1144" t="s">
        <v>76</v>
      </c>
      <c r="AY1144" t="s">
        <v>71</v>
      </c>
      <c r="AZ1144">
        <v>0</v>
      </c>
      <c r="BA1144" t="s">
        <v>71</v>
      </c>
      <c r="BB1144">
        <v>0</v>
      </c>
      <c r="BD1144">
        <v>1.61564</v>
      </c>
    </row>
    <row r="1145" spans="1:56" x14ac:dyDescent="0.15">
      <c r="A1145" s="4" t="str">
        <f>HYPERLINK("https://ibp.a2mac1.com/costing(costing:projects/details/9760/part/8413027)","Pipe auxiliary pump / converter")</f>
        <v>Pipe auxiliary pump / converter</v>
      </c>
      <c r="B1145">
        <v>8413027</v>
      </c>
      <c r="C1145">
        <v>8412927</v>
      </c>
      <c r="E1145">
        <v>2.8401299999999998</v>
      </c>
      <c r="F1145">
        <v>0</v>
      </c>
      <c r="G1145">
        <v>0</v>
      </c>
      <c r="H1145">
        <v>0</v>
      </c>
      <c r="I1145" t="s">
        <v>71</v>
      </c>
      <c r="J1145">
        <v>0</v>
      </c>
      <c r="K1145">
        <v>2.8401299999999998</v>
      </c>
      <c r="L1145">
        <v>0</v>
      </c>
      <c r="M1145">
        <v>0</v>
      </c>
      <c r="N1145">
        <v>2.8401299999999998</v>
      </c>
      <c r="O1145" t="s">
        <v>71</v>
      </c>
      <c r="P1145">
        <v>0</v>
      </c>
      <c r="Q1145" t="s">
        <v>71</v>
      </c>
      <c r="R1145">
        <v>0</v>
      </c>
      <c r="S1145" t="s">
        <v>71</v>
      </c>
      <c r="T1145">
        <v>0</v>
      </c>
      <c r="U1145" t="s">
        <v>71</v>
      </c>
      <c r="V1145">
        <v>0</v>
      </c>
      <c r="W1145" t="s">
        <v>71</v>
      </c>
      <c r="X1145">
        <v>0</v>
      </c>
      <c r="Y1145">
        <v>2.8401299999999998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0.27600000000000002</v>
      </c>
      <c r="AK1145" t="s">
        <v>100</v>
      </c>
      <c r="AM1145">
        <v>200000</v>
      </c>
      <c r="AN1145" t="s">
        <v>97</v>
      </c>
      <c r="AO1145">
        <v>1</v>
      </c>
      <c r="AP1145">
        <v>0</v>
      </c>
      <c r="AQ1145">
        <v>16666.666666666668</v>
      </c>
      <c r="AR1145" t="s">
        <v>3258</v>
      </c>
      <c r="AS1145" t="s">
        <v>75</v>
      </c>
      <c r="AX1145" t="s">
        <v>76</v>
      </c>
      <c r="AY1145" t="s">
        <v>71</v>
      </c>
      <c r="AZ1145">
        <v>0</v>
      </c>
      <c r="BA1145" t="s">
        <v>71</v>
      </c>
      <c r="BB1145">
        <v>0</v>
      </c>
      <c r="BD1145">
        <v>2.8401299999999998</v>
      </c>
    </row>
    <row r="1146" spans="1:56" x14ac:dyDescent="0.15">
      <c r="A1146" s="4" t="str">
        <f>HYPERLINK("https://ibp.a2mac1.com/costing(costing:projects/details/9760/part/8413028)","Pipe Radiator/ Auxiliary Pump")</f>
        <v>Pipe Radiator/ Auxiliary Pump</v>
      </c>
      <c r="B1146">
        <v>8413028</v>
      </c>
      <c r="C1146">
        <v>8412927</v>
      </c>
      <c r="E1146">
        <v>2.07822</v>
      </c>
      <c r="F1146">
        <v>0</v>
      </c>
      <c r="G1146">
        <v>0</v>
      </c>
      <c r="H1146">
        <v>0</v>
      </c>
      <c r="I1146" t="s">
        <v>71</v>
      </c>
      <c r="J1146">
        <v>0</v>
      </c>
      <c r="K1146">
        <v>2.07822</v>
      </c>
      <c r="L1146">
        <v>0</v>
      </c>
      <c r="M1146">
        <v>0</v>
      </c>
      <c r="N1146">
        <v>2.07822</v>
      </c>
      <c r="O1146" t="s">
        <v>71</v>
      </c>
      <c r="P1146">
        <v>0</v>
      </c>
      <c r="Q1146" t="s">
        <v>71</v>
      </c>
      <c r="R1146">
        <v>0</v>
      </c>
      <c r="S1146" t="s">
        <v>71</v>
      </c>
      <c r="T1146">
        <v>0</v>
      </c>
      <c r="U1146" t="s">
        <v>71</v>
      </c>
      <c r="V1146">
        <v>0</v>
      </c>
      <c r="W1146" t="s">
        <v>71</v>
      </c>
      <c r="X1146">
        <v>0</v>
      </c>
      <c r="Y1146">
        <v>2.07822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0.192</v>
      </c>
      <c r="AK1146" t="s">
        <v>100</v>
      </c>
      <c r="AM1146">
        <v>200000</v>
      </c>
      <c r="AN1146" t="s">
        <v>97</v>
      </c>
      <c r="AO1146">
        <v>1</v>
      </c>
      <c r="AP1146">
        <v>0</v>
      </c>
      <c r="AQ1146">
        <v>16666.666666666668</v>
      </c>
      <c r="AR1146" t="s">
        <v>3259</v>
      </c>
      <c r="AS1146" t="s">
        <v>75</v>
      </c>
      <c r="AX1146" t="s">
        <v>76</v>
      </c>
      <c r="AY1146" t="s">
        <v>71</v>
      </c>
      <c r="AZ1146">
        <v>0</v>
      </c>
      <c r="BA1146" t="s">
        <v>71</v>
      </c>
      <c r="BB1146">
        <v>0</v>
      </c>
      <c r="BD1146">
        <v>2.07822</v>
      </c>
    </row>
    <row r="1147" spans="1:56" x14ac:dyDescent="0.15">
      <c r="A1147" s="4" t="str">
        <f>HYPERLINK("https://ibp.a2mac1.com/costing(costing:projects/details/9760/part/8413029)","Pump / Converter Pipe")</f>
        <v>Pump / Converter Pipe</v>
      </c>
      <c r="B1147">
        <v>8413029</v>
      </c>
      <c r="C1147">
        <v>8412927</v>
      </c>
      <c r="E1147">
        <v>1.2619</v>
      </c>
      <c r="F1147">
        <v>0</v>
      </c>
      <c r="G1147">
        <v>0</v>
      </c>
      <c r="H1147">
        <v>0</v>
      </c>
      <c r="I1147" t="s">
        <v>71</v>
      </c>
      <c r="J1147">
        <v>0</v>
      </c>
      <c r="K1147">
        <v>1.2619</v>
      </c>
      <c r="L1147">
        <v>0</v>
      </c>
      <c r="M1147">
        <v>0</v>
      </c>
      <c r="N1147">
        <v>1.2619</v>
      </c>
      <c r="O1147" t="s">
        <v>71</v>
      </c>
      <c r="P1147">
        <v>0</v>
      </c>
      <c r="Q1147" t="s">
        <v>71</v>
      </c>
      <c r="R1147">
        <v>0</v>
      </c>
      <c r="S1147" t="s">
        <v>71</v>
      </c>
      <c r="T1147">
        <v>0</v>
      </c>
      <c r="U1147" t="s">
        <v>71</v>
      </c>
      <c r="V1147">
        <v>0</v>
      </c>
      <c r="W1147" t="s">
        <v>71</v>
      </c>
      <c r="X1147">
        <v>0</v>
      </c>
      <c r="Y1147">
        <v>1.2619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0.10199999999999999</v>
      </c>
      <c r="AK1147" t="s">
        <v>100</v>
      </c>
      <c r="AM1147">
        <v>200000</v>
      </c>
      <c r="AN1147" t="s">
        <v>97</v>
      </c>
      <c r="AO1147">
        <v>1</v>
      </c>
      <c r="AP1147">
        <v>0</v>
      </c>
      <c r="AQ1147">
        <v>16666.666666666668</v>
      </c>
      <c r="AR1147" t="s">
        <v>3260</v>
      </c>
      <c r="AS1147" t="s">
        <v>75</v>
      </c>
      <c r="AX1147" t="s">
        <v>76</v>
      </c>
      <c r="AY1147" t="s">
        <v>71</v>
      </c>
      <c r="AZ1147">
        <v>0</v>
      </c>
      <c r="BA1147" t="s">
        <v>71</v>
      </c>
      <c r="BB1147">
        <v>0</v>
      </c>
      <c r="BD1147">
        <v>1.2619</v>
      </c>
    </row>
    <row r="1148" spans="1:56" x14ac:dyDescent="0.15">
      <c r="A1148" s="4" t="str">
        <f>HYPERLINK("https://ibp.a2mac1.com/costing(costing:projects/details/9760/part/8413030)","2nd Inverter / Converter")</f>
        <v>2nd Inverter / Converter</v>
      </c>
      <c r="B1148">
        <v>8413030</v>
      </c>
      <c r="C1148">
        <v>8412927</v>
      </c>
      <c r="E1148">
        <v>1.25282</v>
      </c>
      <c r="F1148">
        <v>0</v>
      </c>
      <c r="G1148">
        <v>0</v>
      </c>
      <c r="H1148">
        <v>0</v>
      </c>
      <c r="I1148" t="s">
        <v>71</v>
      </c>
      <c r="J1148">
        <v>0</v>
      </c>
      <c r="K1148">
        <v>1.25282</v>
      </c>
      <c r="L1148">
        <v>0</v>
      </c>
      <c r="M1148">
        <v>0</v>
      </c>
      <c r="N1148">
        <v>1.25282</v>
      </c>
      <c r="O1148" t="s">
        <v>71</v>
      </c>
      <c r="P1148">
        <v>0</v>
      </c>
      <c r="Q1148" t="s">
        <v>71</v>
      </c>
      <c r="R1148">
        <v>0</v>
      </c>
      <c r="S1148" t="s">
        <v>71</v>
      </c>
      <c r="T1148">
        <v>0</v>
      </c>
      <c r="U1148" t="s">
        <v>71</v>
      </c>
      <c r="V1148">
        <v>0</v>
      </c>
      <c r="W1148" t="s">
        <v>71</v>
      </c>
      <c r="X1148">
        <v>0</v>
      </c>
      <c r="Y1148">
        <v>1.25282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0.10100000000000001</v>
      </c>
      <c r="AK1148" t="s">
        <v>100</v>
      </c>
      <c r="AM1148">
        <v>200000</v>
      </c>
      <c r="AN1148" t="s">
        <v>97</v>
      </c>
      <c r="AO1148">
        <v>1</v>
      </c>
      <c r="AP1148">
        <v>0</v>
      </c>
      <c r="AQ1148">
        <v>16666.666666666668</v>
      </c>
      <c r="AR1148" t="s">
        <v>3261</v>
      </c>
      <c r="AS1148" t="s">
        <v>75</v>
      </c>
      <c r="AX1148" t="s">
        <v>76</v>
      </c>
      <c r="AY1148" t="s">
        <v>71</v>
      </c>
      <c r="AZ1148">
        <v>0</v>
      </c>
      <c r="BA1148" t="s">
        <v>71</v>
      </c>
      <c r="BB1148">
        <v>0</v>
      </c>
      <c r="BD1148">
        <v>1.25282</v>
      </c>
    </row>
    <row r="1149" spans="1:56" x14ac:dyDescent="0.15">
      <c r="A1149" s="4" t="str">
        <f>HYPERLINK("https://ibp.a2mac1.com/costing(costing:projects/details/9760/part/8413031)","DC-DC-Power Inverter Module Pipe")</f>
        <v>DC-DC-Power Inverter Module Pipe</v>
      </c>
      <c r="B1149">
        <v>8413031</v>
      </c>
      <c r="C1149">
        <v>8412927</v>
      </c>
      <c r="E1149">
        <v>1.0623499999999999</v>
      </c>
      <c r="F1149">
        <v>0</v>
      </c>
      <c r="G1149">
        <v>0</v>
      </c>
      <c r="H1149">
        <v>0</v>
      </c>
      <c r="I1149" t="s">
        <v>71</v>
      </c>
      <c r="J1149">
        <v>0</v>
      </c>
      <c r="K1149">
        <v>1.0623499999999999</v>
      </c>
      <c r="L1149">
        <v>0</v>
      </c>
      <c r="M1149">
        <v>0</v>
      </c>
      <c r="N1149">
        <v>1.0623499999999999</v>
      </c>
      <c r="O1149" t="s">
        <v>71</v>
      </c>
      <c r="P1149">
        <v>0</v>
      </c>
      <c r="Q1149" t="s">
        <v>71</v>
      </c>
      <c r="R1149">
        <v>0</v>
      </c>
      <c r="S1149" t="s">
        <v>71</v>
      </c>
      <c r="T1149">
        <v>0</v>
      </c>
      <c r="U1149" t="s">
        <v>71</v>
      </c>
      <c r="V1149">
        <v>0</v>
      </c>
      <c r="W1149" t="s">
        <v>71</v>
      </c>
      <c r="X1149">
        <v>0</v>
      </c>
      <c r="Y1149">
        <v>1.0623499999999999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0.08</v>
      </c>
      <c r="AK1149" t="s">
        <v>100</v>
      </c>
      <c r="AM1149">
        <v>200000</v>
      </c>
      <c r="AN1149" t="s">
        <v>97</v>
      </c>
      <c r="AO1149">
        <v>1</v>
      </c>
      <c r="AP1149">
        <v>0</v>
      </c>
      <c r="AQ1149">
        <v>16666.666666666668</v>
      </c>
      <c r="AR1149" t="s">
        <v>3262</v>
      </c>
      <c r="AS1149" t="s">
        <v>75</v>
      </c>
      <c r="AX1149" t="s">
        <v>76</v>
      </c>
      <c r="AY1149" t="s">
        <v>71</v>
      </c>
      <c r="AZ1149">
        <v>0</v>
      </c>
      <c r="BA1149" t="s">
        <v>71</v>
      </c>
      <c r="BB1149">
        <v>0</v>
      </c>
      <c r="BD1149">
        <v>1.0623499999999999</v>
      </c>
    </row>
    <row r="1150" spans="1:56" x14ac:dyDescent="0.15">
      <c r="A1150" s="4" t="str">
        <f>HYPERLINK("https://ibp.a2mac1.com/costing(costing:projects/details/9760/part/8413032)","AC Exchanger / Cooling Control Box Pipe")</f>
        <v>AC Exchanger / Cooling Control Box Pipe</v>
      </c>
      <c r="B1150">
        <v>8413032</v>
      </c>
      <c r="C1150">
        <v>8412927</v>
      </c>
      <c r="E1150">
        <v>3.3662100000000001</v>
      </c>
      <c r="F1150">
        <v>0</v>
      </c>
      <c r="G1150">
        <v>0</v>
      </c>
      <c r="H1150">
        <v>0</v>
      </c>
      <c r="I1150" t="s">
        <v>71</v>
      </c>
      <c r="J1150">
        <v>0</v>
      </c>
      <c r="K1150">
        <v>3.3662100000000001</v>
      </c>
      <c r="L1150">
        <v>0</v>
      </c>
      <c r="M1150">
        <v>0</v>
      </c>
      <c r="N1150">
        <v>3.3662100000000001</v>
      </c>
      <c r="O1150" t="s">
        <v>71</v>
      </c>
      <c r="P1150">
        <v>0</v>
      </c>
      <c r="Q1150" t="s">
        <v>71</v>
      </c>
      <c r="R1150">
        <v>0</v>
      </c>
      <c r="S1150" t="s">
        <v>71</v>
      </c>
      <c r="T1150">
        <v>0</v>
      </c>
      <c r="U1150" t="s">
        <v>71</v>
      </c>
      <c r="V1150">
        <v>0</v>
      </c>
      <c r="W1150" t="s">
        <v>71</v>
      </c>
      <c r="X1150">
        <v>0</v>
      </c>
      <c r="Y1150">
        <v>3.3662100000000001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0.33400000000000002</v>
      </c>
      <c r="AK1150" t="s">
        <v>100</v>
      </c>
      <c r="AM1150">
        <v>200000</v>
      </c>
      <c r="AN1150" t="s">
        <v>97</v>
      </c>
      <c r="AO1150">
        <v>1</v>
      </c>
      <c r="AP1150">
        <v>0</v>
      </c>
      <c r="AQ1150">
        <v>16666.666666666668</v>
      </c>
      <c r="AR1150" t="s">
        <v>3263</v>
      </c>
      <c r="AS1150" t="s">
        <v>75</v>
      </c>
      <c r="AX1150" t="s">
        <v>76</v>
      </c>
      <c r="AY1150" t="s">
        <v>71</v>
      </c>
      <c r="AZ1150">
        <v>0</v>
      </c>
      <c r="BA1150" t="s">
        <v>71</v>
      </c>
      <c r="BB1150">
        <v>0</v>
      </c>
      <c r="BD1150">
        <v>3.3662100000000001</v>
      </c>
    </row>
    <row r="1151" spans="1:56" x14ac:dyDescent="0.15">
      <c r="A1151" s="4" t="str">
        <f>HYPERLINK("https://ibp.a2mac1.com/costing(costing:projects/details/9760/part/8413033)","Expansion Tank / AC Exchanger Pipe")</f>
        <v>Expansion Tank / AC Exchanger Pipe</v>
      </c>
      <c r="B1151">
        <v>8413033</v>
      </c>
      <c r="C1151">
        <v>8412927</v>
      </c>
      <c r="E1151">
        <v>3.8106599999999999</v>
      </c>
      <c r="F1151">
        <v>0</v>
      </c>
      <c r="G1151">
        <v>0</v>
      </c>
      <c r="H1151">
        <v>0</v>
      </c>
      <c r="I1151" t="s">
        <v>71</v>
      </c>
      <c r="J1151">
        <v>0</v>
      </c>
      <c r="K1151">
        <v>3.8106599999999999</v>
      </c>
      <c r="L1151">
        <v>0</v>
      </c>
      <c r="M1151">
        <v>0</v>
      </c>
      <c r="N1151">
        <v>3.8106599999999999</v>
      </c>
      <c r="O1151" t="s">
        <v>71</v>
      </c>
      <c r="P1151">
        <v>0</v>
      </c>
      <c r="Q1151" t="s">
        <v>71</v>
      </c>
      <c r="R1151">
        <v>0</v>
      </c>
      <c r="S1151" t="s">
        <v>71</v>
      </c>
      <c r="T1151">
        <v>0</v>
      </c>
      <c r="U1151" t="s">
        <v>71</v>
      </c>
      <c r="V1151">
        <v>0</v>
      </c>
      <c r="W1151" t="s">
        <v>71</v>
      </c>
      <c r="X1151">
        <v>0</v>
      </c>
      <c r="Y1151">
        <v>3.8106599999999999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0.38300000000000001</v>
      </c>
      <c r="AK1151" t="s">
        <v>100</v>
      </c>
      <c r="AM1151">
        <v>200000</v>
      </c>
      <c r="AN1151" t="s">
        <v>97</v>
      </c>
      <c r="AO1151">
        <v>1</v>
      </c>
      <c r="AP1151">
        <v>0</v>
      </c>
      <c r="AQ1151">
        <v>16666.666666666668</v>
      </c>
      <c r="AR1151" t="s">
        <v>3264</v>
      </c>
      <c r="AS1151" t="s">
        <v>75</v>
      </c>
      <c r="AX1151" t="s">
        <v>76</v>
      </c>
      <c r="AY1151" t="s">
        <v>71</v>
      </c>
      <c r="AZ1151">
        <v>0</v>
      </c>
      <c r="BA1151" t="s">
        <v>71</v>
      </c>
      <c r="BB1151">
        <v>0</v>
      </c>
      <c r="BD1151">
        <v>3.8106599999999999</v>
      </c>
    </row>
    <row r="1152" spans="1:56" x14ac:dyDescent="0.15">
      <c r="A1152" s="4" t="str">
        <f>HYPERLINK("https://ibp.a2mac1.com/costing(costing:projects/details/9760/part/8413034)","Auxiliary pump / HV Charger Pipe")</f>
        <v>Auxiliary pump / HV Charger Pipe</v>
      </c>
      <c r="B1152">
        <v>8413034</v>
      </c>
      <c r="C1152">
        <v>8412927</v>
      </c>
      <c r="E1152">
        <v>2.8129200000000001</v>
      </c>
      <c r="F1152">
        <v>0</v>
      </c>
      <c r="G1152">
        <v>0</v>
      </c>
      <c r="H1152">
        <v>0</v>
      </c>
      <c r="I1152" t="s">
        <v>71</v>
      </c>
      <c r="J1152">
        <v>0</v>
      </c>
      <c r="K1152">
        <v>2.8129200000000001</v>
      </c>
      <c r="L1152">
        <v>0</v>
      </c>
      <c r="M1152">
        <v>0</v>
      </c>
      <c r="N1152">
        <v>2.8129200000000001</v>
      </c>
      <c r="O1152" t="s">
        <v>71</v>
      </c>
      <c r="P1152">
        <v>0</v>
      </c>
      <c r="Q1152" t="s">
        <v>71</v>
      </c>
      <c r="R1152">
        <v>0</v>
      </c>
      <c r="S1152" t="s">
        <v>71</v>
      </c>
      <c r="T1152">
        <v>0</v>
      </c>
      <c r="U1152" t="s">
        <v>71</v>
      </c>
      <c r="V1152">
        <v>0</v>
      </c>
      <c r="W1152" t="s">
        <v>71</v>
      </c>
      <c r="X1152">
        <v>0</v>
      </c>
      <c r="Y1152">
        <v>2.8129200000000001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0.27300000000000002</v>
      </c>
      <c r="AK1152" t="s">
        <v>100</v>
      </c>
      <c r="AM1152">
        <v>200000</v>
      </c>
      <c r="AN1152" t="s">
        <v>97</v>
      </c>
      <c r="AO1152">
        <v>1</v>
      </c>
      <c r="AP1152">
        <v>0</v>
      </c>
      <c r="AQ1152">
        <v>16666.666666666668</v>
      </c>
      <c r="AR1152" t="s">
        <v>3265</v>
      </c>
      <c r="AS1152" t="s">
        <v>75</v>
      </c>
      <c r="AX1152" t="s">
        <v>76</v>
      </c>
      <c r="AY1152" t="s">
        <v>71</v>
      </c>
      <c r="AZ1152">
        <v>0</v>
      </c>
      <c r="BA1152" t="s">
        <v>71</v>
      </c>
      <c r="BB1152">
        <v>0</v>
      </c>
      <c r="BD1152">
        <v>2.8129200000000001</v>
      </c>
    </row>
    <row r="1153" spans="1:56" x14ac:dyDescent="0.15">
      <c r="A1153" s="4" t="str">
        <f>HYPERLINK("https://ibp.a2mac1.com/costing(costing:projects/details/9760/part/8413035)","IN Coupling Pipe HV Charger")</f>
        <v>IN Coupling Pipe HV Charger</v>
      </c>
      <c r="B1153">
        <v>8413035</v>
      </c>
      <c r="C1153">
        <v>8412927</v>
      </c>
      <c r="E1153">
        <v>2.58616</v>
      </c>
      <c r="F1153">
        <v>0</v>
      </c>
      <c r="G1153">
        <v>0</v>
      </c>
      <c r="H1153">
        <v>0</v>
      </c>
      <c r="I1153" t="s">
        <v>71</v>
      </c>
      <c r="J1153">
        <v>0</v>
      </c>
      <c r="K1153">
        <v>2.58616</v>
      </c>
      <c r="L1153">
        <v>0</v>
      </c>
      <c r="M1153">
        <v>0</v>
      </c>
      <c r="N1153">
        <v>2.58616</v>
      </c>
      <c r="O1153" t="s">
        <v>71</v>
      </c>
      <c r="P1153">
        <v>0</v>
      </c>
      <c r="Q1153" t="s">
        <v>71</v>
      </c>
      <c r="R1153">
        <v>0</v>
      </c>
      <c r="S1153" t="s">
        <v>71</v>
      </c>
      <c r="T1153">
        <v>0</v>
      </c>
      <c r="U1153" t="s">
        <v>71</v>
      </c>
      <c r="V1153">
        <v>0</v>
      </c>
      <c r="W1153" t="s">
        <v>71</v>
      </c>
      <c r="X1153">
        <v>0</v>
      </c>
      <c r="Y1153">
        <v>2.58616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0.248</v>
      </c>
      <c r="AK1153" t="s">
        <v>100</v>
      </c>
      <c r="AM1153">
        <v>200000</v>
      </c>
      <c r="AN1153" t="s">
        <v>97</v>
      </c>
      <c r="AO1153">
        <v>1</v>
      </c>
      <c r="AP1153">
        <v>0</v>
      </c>
      <c r="AQ1153">
        <v>16666.666666666668</v>
      </c>
      <c r="AR1153" t="s">
        <v>3266</v>
      </c>
      <c r="AS1153" t="s">
        <v>75</v>
      </c>
      <c r="AX1153" t="s">
        <v>76</v>
      </c>
      <c r="AY1153" t="s">
        <v>71</v>
      </c>
      <c r="AZ1153">
        <v>0</v>
      </c>
      <c r="BA1153" t="s">
        <v>71</v>
      </c>
      <c r="BB1153">
        <v>0</v>
      </c>
      <c r="BD1153">
        <v>2.58616</v>
      </c>
    </row>
    <row r="1154" spans="1:56" x14ac:dyDescent="0.15">
      <c r="A1154" s="4" t="str">
        <f>HYPERLINK("https://ibp.a2mac1.com/costing(costing:projects/details/9760/part/8413036)","Pipe AC Exchanger to Distributor")</f>
        <v>Pipe AC Exchanger to Distributor</v>
      </c>
      <c r="B1154">
        <v>8413036</v>
      </c>
      <c r="C1154">
        <v>8412927</v>
      </c>
      <c r="E1154">
        <v>1.05328</v>
      </c>
      <c r="F1154">
        <v>0</v>
      </c>
      <c r="G1154">
        <v>0</v>
      </c>
      <c r="H1154">
        <v>0</v>
      </c>
      <c r="I1154" t="s">
        <v>71</v>
      </c>
      <c r="J1154">
        <v>0</v>
      </c>
      <c r="K1154">
        <v>1.05328</v>
      </c>
      <c r="L1154">
        <v>0</v>
      </c>
      <c r="M1154">
        <v>0</v>
      </c>
      <c r="N1154">
        <v>1.05328</v>
      </c>
      <c r="O1154" t="s">
        <v>71</v>
      </c>
      <c r="P1154">
        <v>0</v>
      </c>
      <c r="Q1154" t="s">
        <v>71</v>
      </c>
      <c r="R1154">
        <v>0</v>
      </c>
      <c r="S1154" t="s">
        <v>71</v>
      </c>
      <c r="T1154">
        <v>0</v>
      </c>
      <c r="U1154" t="s">
        <v>71</v>
      </c>
      <c r="V1154">
        <v>0</v>
      </c>
      <c r="W1154" t="s">
        <v>71</v>
      </c>
      <c r="X1154">
        <v>0</v>
      </c>
      <c r="Y1154">
        <v>1.05328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7.9000000000000001E-2</v>
      </c>
      <c r="AK1154" t="s">
        <v>100</v>
      </c>
      <c r="AM1154">
        <v>200000</v>
      </c>
      <c r="AN1154" t="s">
        <v>97</v>
      </c>
      <c r="AO1154">
        <v>1</v>
      </c>
      <c r="AP1154">
        <v>0</v>
      </c>
      <c r="AQ1154">
        <v>16666.666666666668</v>
      </c>
      <c r="AR1154" t="s">
        <v>3267</v>
      </c>
      <c r="AS1154" t="s">
        <v>75</v>
      </c>
      <c r="AX1154" t="s">
        <v>76</v>
      </c>
      <c r="AY1154" t="s">
        <v>71</v>
      </c>
      <c r="AZ1154">
        <v>0</v>
      </c>
      <c r="BA1154" t="s">
        <v>71</v>
      </c>
      <c r="BB1154">
        <v>0</v>
      </c>
      <c r="BD1154">
        <v>1.05328</v>
      </c>
    </row>
    <row r="1155" spans="1:56" x14ac:dyDescent="0.15">
      <c r="A1155" s="4" t="str">
        <f>HYPERLINK("https://ibp.a2mac1.com/costing(costing:projects/details/9760/part/8413037)","Exchanger / Distributor Pipe")</f>
        <v>Exchanger / Distributor Pipe</v>
      </c>
      <c r="B1155">
        <v>8413037</v>
      </c>
      <c r="C1155">
        <v>8412927</v>
      </c>
      <c r="E1155">
        <v>2.86734</v>
      </c>
      <c r="F1155">
        <v>0</v>
      </c>
      <c r="G1155">
        <v>0</v>
      </c>
      <c r="H1155">
        <v>0</v>
      </c>
      <c r="I1155" t="s">
        <v>71</v>
      </c>
      <c r="J1155">
        <v>0</v>
      </c>
      <c r="K1155">
        <v>2.86734</v>
      </c>
      <c r="L1155">
        <v>0</v>
      </c>
      <c r="M1155">
        <v>0</v>
      </c>
      <c r="N1155">
        <v>2.86734</v>
      </c>
      <c r="O1155" t="s">
        <v>71</v>
      </c>
      <c r="P1155">
        <v>0</v>
      </c>
      <c r="Q1155" t="s">
        <v>71</v>
      </c>
      <c r="R1155">
        <v>0</v>
      </c>
      <c r="S1155" t="s">
        <v>71</v>
      </c>
      <c r="T1155">
        <v>0</v>
      </c>
      <c r="U1155" t="s">
        <v>71</v>
      </c>
      <c r="V1155">
        <v>0</v>
      </c>
      <c r="W1155" t="s">
        <v>71</v>
      </c>
      <c r="X1155">
        <v>0</v>
      </c>
      <c r="Y1155">
        <v>2.86734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0.27900000000000003</v>
      </c>
      <c r="AK1155" t="s">
        <v>100</v>
      </c>
      <c r="AM1155">
        <v>200000</v>
      </c>
      <c r="AN1155" t="s">
        <v>97</v>
      </c>
      <c r="AO1155">
        <v>1</v>
      </c>
      <c r="AP1155">
        <v>0</v>
      </c>
      <c r="AQ1155">
        <v>16666.666666666668</v>
      </c>
      <c r="AR1155" t="s">
        <v>3268</v>
      </c>
      <c r="AS1155" t="s">
        <v>75</v>
      </c>
      <c r="AX1155" t="s">
        <v>76</v>
      </c>
      <c r="AY1155" t="s">
        <v>71</v>
      </c>
      <c r="AZ1155">
        <v>0</v>
      </c>
      <c r="BA1155" t="s">
        <v>71</v>
      </c>
      <c r="BB1155">
        <v>0</v>
      </c>
      <c r="BD1155">
        <v>2.86734</v>
      </c>
    </row>
    <row r="1156" spans="1:56" x14ac:dyDescent="0.15">
      <c r="A1156" s="4" t="str">
        <f>HYPERLINK("https://ibp.a2mac1.com/costing(costing:projects/details/9760/part/8413038)","Pipe Distributor / converter")</f>
        <v>Pipe Distributor / converter</v>
      </c>
      <c r="B1156">
        <v>8413038</v>
      </c>
      <c r="C1156">
        <v>8412927</v>
      </c>
      <c r="E1156">
        <v>1.75169</v>
      </c>
      <c r="F1156">
        <v>0</v>
      </c>
      <c r="G1156">
        <v>0</v>
      </c>
      <c r="H1156">
        <v>0</v>
      </c>
      <c r="I1156" t="s">
        <v>71</v>
      </c>
      <c r="J1156">
        <v>0</v>
      </c>
      <c r="K1156">
        <v>1.75169</v>
      </c>
      <c r="L1156">
        <v>0</v>
      </c>
      <c r="M1156">
        <v>0</v>
      </c>
      <c r="N1156">
        <v>1.75169</v>
      </c>
      <c r="O1156" t="s">
        <v>71</v>
      </c>
      <c r="P1156">
        <v>0</v>
      </c>
      <c r="Q1156" t="s">
        <v>71</v>
      </c>
      <c r="R1156">
        <v>0</v>
      </c>
      <c r="S1156" t="s">
        <v>71</v>
      </c>
      <c r="T1156">
        <v>0</v>
      </c>
      <c r="U1156" t="s">
        <v>71</v>
      </c>
      <c r="V1156">
        <v>0</v>
      </c>
      <c r="W1156" t="s">
        <v>71</v>
      </c>
      <c r="X1156">
        <v>0</v>
      </c>
      <c r="Y1156">
        <v>1.75169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0.156</v>
      </c>
      <c r="AK1156" t="s">
        <v>100</v>
      </c>
      <c r="AM1156">
        <v>200000</v>
      </c>
      <c r="AN1156" t="s">
        <v>97</v>
      </c>
      <c r="AO1156">
        <v>1</v>
      </c>
      <c r="AP1156">
        <v>0</v>
      </c>
      <c r="AQ1156">
        <v>16666.666666666668</v>
      </c>
      <c r="AR1156" t="s">
        <v>3269</v>
      </c>
      <c r="AS1156" t="s">
        <v>75</v>
      </c>
      <c r="AX1156" t="s">
        <v>76</v>
      </c>
      <c r="AY1156" t="s">
        <v>71</v>
      </c>
      <c r="AZ1156">
        <v>0</v>
      </c>
      <c r="BA1156" t="s">
        <v>71</v>
      </c>
      <c r="BB1156">
        <v>0</v>
      </c>
      <c r="BD1156">
        <v>1.75169</v>
      </c>
    </row>
    <row r="1157" spans="1:56" x14ac:dyDescent="0.15">
      <c r="A1157" s="4" t="str">
        <f>HYPERLINK("https://ibp.a2mac1.com/costing(costing:projects/details/9760/part/8413039)","Pipe auxiliary pump/electric motor Rear")</f>
        <v>Pipe auxiliary pump/electric motor Rear</v>
      </c>
      <c r="B1157">
        <v>8413039</v>
      </c>
      <c r="C1157">
        <v>8412927</v>
      </c>
      <c r="E1157">
        <v>3.339</v>
      </c>
      <c r="F1157">
        <v>0</v>
      </c>
      <c r="G1157">
        <v>0</v>
      </c>
      <c r="H1157">
        <v>0</v>
      </c>
      <c r="I1157" t="s">
        <v>71</v>
      </c>
      <c r="J1157">
        <v>0</v>
      </c>
      <c r="K1157">
        <v>3.339</v>
      </c>
      <c r="L1157">
        <v>0</v>
      </c>
      <c r="M1157">
        <v>0</v>
      </c>
      <c r="N1157">
        <v>3.339</v>
      </c>
      <c r="O1157" t="s">
        <v>71</v>
      </c>
      <c r="P1157">
        <v>0</v>
      </c>
      <c r="Q1157" t="s">
        <v>71</v>
      </c>
      <c r="R1157">
        <v>0</v>
      </c>
      <c r="S1157" t="s">
        <v>71</v>
      </c>
      <c r="T1157">
        <v>0</v>
      </c>
      <c r="U1157" t="s">
        <v>71</v>
      </c>
      <c r="V1157">
        <v>0</v>
      </c>
      <c r="W1157" t="s">
        <v>71</v>
      </c>
      <c r="X1157">
        <v>0</v>
      </c>
      <c r="Y1157">
        <v>3.339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0.33100000000000002</v>
      </c>
      <c r="AK1157" t="s">
        <v>100</v>
      </c>
      <c r="AM1157">
        <v>200000</v>
      </c>
      <c r="AN1157" t="s">
        <v>97</v>
      </c>
      <c r="AO1157">
        <v>1</v>
      </c>
      <c r="AP1157">
        <v>0</v>
      </c>
      <c r="AQ1157">
        <v>16666.666666666668</v>
      </c>
      <c r="AR1157" t="s">
        <v>3270</v>
      </c>
      <c r="AS1157" t="s">
        <v>75</v>
      </c>
      <c r="AX1157" t="s">
        <v>76</v>
      </c>
      <c r="AY1157" t="s">
        <v>71</v>
      </c>
      <c r="AZ1157">
        <v>0</v>
      </c>
      <c r="BA1157" t="s">
        <v>71</v>
      </c>
      <c r="BB1157">
        <v>0</v>
      </c>
      <c r="BD1157">
        <v>3.339</v>
      </c>
    </row>
    <row r="1158" spans="1:56" x14ac:dyDescent="0.15">
      <c r="A1158" s="4" t="str">
        <f>HYPERLINK("https://ibp.a2mac1.com/costing(costing:projects/details/9760/part/8413090)","Radiator Fan Left/Single")</f>
        <v>Radiator Fan Left/Single</v>
      </c>
      <c r="B1158">
        <v>8413090</v>
      </c>
      <c r="C1158">
        <v>8413046</v>
      </c>
      <c r="D1158" t="s">
        <v>3274</v>
      </c>
      <c r="E1158">
        <v>2.2188699999999999</v>
      </c>
      <c r="F1158">
        <v>0</v>
      </c>
      <c r="G1158">
        <v>0</v>
      </c>
      <c r="H1158">
        <v>0</v>
      </c>
      <c r="I1158" t="s">
        <v>71</v>
      </c>
      <c r="J1158">
        <v>0</v>
      </c>
      <c r="K1158">
        <v>2.2188699999999999</v>
      </c>
      <c r="L1158">
        <v>0</v>
      </c>
      <c r="M1158">
        <v>0</v>
      </c>
      <c r="N1158">
        <v>2.2188699999999999</v>
      </c>
      <c r="O1158" t="s">
        <v>71</v>
      </c>
      <c r="P1158">
        <v>0</v>
      </c>
      <c r="Q1158" t="s">
        <v>71</v>
      </c>
      <c r="R1158">
        <v>0</v>
      </c>
      <c r="S1158" t="s">
        <v>71</v>
      </c>
      <c r="T1158">
        <v>0</v>
      </c>
      <c r="U1158" t="s">
        <v>71</v>
      </c>
      <c r="V1158">
        <v>0</v>
      </c>
      <c r="W1158" t="s">
        <v>71</v>
      </c>
      <c r="X1158">
        <v>0</v>
      </c>
      <c r="Y1158">
        <v>2.2188699999999999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33</v>
      </c>
      <c r="AF1158">
        <v>430</v>
      </c>
      <c r="AG1158">
        <v>430</v>
      </c>
      <c r="AH1158">
        <v>0</v>
      </c>
      <c r="AI1158">
        <v>0.51800000000000002</v>
      </c>
      <c r="AK1158" t="s">
        <v>100</v>
      </c>
      <c r="AM1158">
        <v>200000</v>
      </c>
      <c r="AN1158" t="s">
        <v>97</v>
      </c>
      <c r="AO1158">
        <v>1</v>
      </c>
      <c r="AP1158">
        <v>0</v>
      </c>
      <c r="AQ1158">
        <v>16666.666666666668</v>
      </c>
      <c r="AR1158" t="s">
        <v>3275</v>
      </c>
      <c r="AS1158" t="s">
        <v>75</v>
      </c>
      <c r="AX1158" t="s">
        <v>76</v>
      </c>
      <c r="AY1158" t="s">
        <v>71</v>
      </c>
      <c r="AZ1158">
        <v>0</v>
      </c>
      <c r="BA1158" t="s">
        <v>71</v>
      </c>
      <c r="BB1158">
        <v>0</v>
      </c>
      <c r="BD1158">
        <v>2.2188699999999999</v>
      </c>
    </row>
    <row r="1159" spans="1:56" x14ac:dyDescent="0.15">
      <c r="A1159" s="4" t="str">
        <f>HYPERLINK("https://ibp.a2mac1.com/costing(costing:projects/details/9760/part/8413091)","Motor Left/Single")</f>
        <v>Motor Left/Single</v>
      </c>
      <c r="B1159">
        <v>8413091</v>
      </c>
      <c r="C1159">
        <v>8413047</v>
      </c>
      <c r="E1159">
        <v>17.79</v>
      </c>
      <c r="F1159">
        <v>0</v>
      </c>
      <c r="G1159">
        <v>0</v>
      </c>
      <c r="H1159">
        <v>0</v>
      </c>
      <c r="I1159" t="s">
        <v>71</v>
      </c>
      <c r="J1159">
        <v>0</v>
      </c>
      <c r="K1159">
        <v>17.79</v>
      </c>
      <c r="L1159">
        <v>0</v>
      </c>
      <c r="M1159">
        <v>0</v>
      </c>
      <c r="N1159">
        <v>17.79</v>
      </c>
      <c r="O1159" t="s">
        <v>71</v>
      </c>
      <c r="P1159">
        <v>0</v>
      </c>
      <c r="Q1159" t="s">
        <v>71</v>
      </c>
      <c r="R1159">
        <v>0</v>
      </c>
      <c r="S1159" t="s">
        <v>71</v>
      </c>
      <c r="T1159">
        <v>0</v>
      </c>
      <c r="U1159" t="s">
        <v>71</v>
      </c>
      <c r="V1159">
        <v>0</v>
      </c>
      <c r="W1159" t="s">
        <v>71</v>
      </c>
      <c r="X1159">
        <v>0</v>
      </c>
      <c r="Y1159">
        <v>17.79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56</v>
      </c>
      <c r="AF1159">
        <v>134</v>
      </c>
      <c r="AG1159">
        <v>137</v>
      </c>
      <c r="AH1159">
        <v>0</v>
      </c>
      <c r="AI1159">
        <v>1.25</v>
      </c>
      <c r="AK1159" t="s">
        <v>95</v>
      </c>
      <c r="AM1159">
        <v>200000</v>
      </c>
      <c r="AN1159" t="s">
        <v>97</v>
      </c>
      <c r="AO1159">
        <v>1</v>
      </c>
      <c r="AP1159">
        <v>0</v>
      </c>
      <c r="AQ1159">
        <v>16666.666666666668</v>
      </c>
      <c r="AR1159" t="s">
        <v>3278</v>
      </c>
      <c r="AS1159" t="s">
        <v>75</v>
      </c>
      <c r="AX1159" t="s">
        <v>76</v>
      </c>
      <c r="AY1159" t="s">
        <v>71</v>
      </c>
      <c r="AZ1159">
        <v>0</v>
      </c>
      <c r="BA1159" t="s">
        <v>71</v>
      </c>
      <c r="BB1159">
        <v>0</v>
      </c>
      <c r="BD1159">
        <v>17.79</v>
      </c>
    </row>
    <row r="1160" spans="1:56" x14ac:dyDescent="0.15">
      <c r="A1160" s="4" t="str">
        <f>HYPERLINK("https://ibp.a2mac1.com/costing(costing:projects/details/9760/part/8413040)","Front cooling module")</f>
        <v>Front cooling module</v>
      </c>
      <c r="B1160">
        <v>8413040</v>
      </c>
      <c r="C1160">
        <v>8412928</v>
      </c>
      <c r="D1160" t="s">
        <v>3280</v>
      </c>
      <c r="E1160">
        <v>7.1064100000000003</v>
      </c>
      <c r="F1160">
        <v>0</v>
      </c>
      <c r="G1160">
        <v>0</v>
      </c>
      <c r="H1160">
        <v>0</v>
      </c>
      <c r="I1160" t="s">
        <v>71</v>
      </c>
      <c r="J1160">
        <v>0</v>
      </c>
      <c r="K1160">
        <v>7.1064100000000003</v>
      </c>
      <c r="L1160">
        <v>0</v>
      </c>
      <c r="M1160">
        <v>0</v>
      </c>
      <c r="N1160">
        <v>7.1064100000000003</v>
      </c>
      <c r="O1160" t="s">
        <v>71</v>
      </c>
      <c r="P1160">
        <v>0</v>
      </c>
      <c r="Q1160" t="s">
        <v>71</v>
      </c>
      <c r="R1160">
        <v>0</v>
      </c>
      <c r="S1160" t="s">
        <v>71</v>
      </c>
      <c r="T1160">
        <v>0</v>
      </c>
      <c r="U1160" t="s">
        <v>71</v>
      </c>
      <c r="V1160">
        <v>0</v>
      </c>
      <c r="W1160" t="s">
        <v>71</v>
      </c>
      <c r="X1160">
        <v>0</v>
      </c>
      <c r="Y1160">
        <v>7.1064100000000003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122</v>
      </c>
      <c r="AF1160">
        <v>835</v>
      </c>
      <c r="AG1160">
        <v>523</v>
      </c>
      <c r="AH1160">
        <v>0</v>
      </c>
      <c r="AI1160">
        <v>1.6930000000000001</v>
      </c>
      <c r="AK1160" t="s">
        <v>100</v>
      </c>
      <c r="AM1160">
        <v>200000</v>
      </c>
      <c r="AN1160" t="s">
        <v>97</v>
      </c>
      <c r="AO1160">
        <v>1</v>
      </c>
      <c r="AP1160">
        <v>0</v>
      </c>
      <c r="AQ1160">
        <v>16666.666666666668</v>
      </c>
      <c r="AR1160" t="s">
        <v>3281</v>
      </c>
      <c r="AS1160" t="s">
        <v>75</v>
      </c>
      <c r="AX1160" t="s">
        <v>76</v>
      </c>
      <c r="AY1160" t="s">
        <v>71</v>
      </c>
      <c r="AZ1160">
        <v>0</v>
      </c>
      <c r="BA1160" t="s">
        <v>71</v>
      </c>
      <c r="BB1160">
        <v>0</v>
      </c>
      <c r="BD1160">
        <v>7.1064100000000003</v>
      </c>
    </row>
    <row r="1161" spans="1:56" x14ac:dyDescent="0.15">
      <c r="A1161" s="4" t="str">
        <f>HYPERLINK("https://ibp.a2mac1.com/costing(costing:projects/details/9760/part/8413041)","Front Cooling Module Support")</f>
        <v>Front Cooling Module Support</v>
      </c>
      <c r="B1161">
        <v>8413041</v>
      </c>
      <c r="C1161">
        <v>8412928</v>
      </c>
      <c r="D1161" t="s">
        <v>1166</v>
      </c>
      <c r="E1161">
        <v>0.36129</v>
      </c>
      <c r="F1161">
        <v>0</v>
      </c>
      <c r="G1161">
        <v>0</v>
      </c>
      <c r="H1161">
        <v>0</v>
      </c>
      <c r="I1161" t="s">
        <v>71</v>
      </c>
      <c r="J1161">
        <v>0</v>
      </c>
      <c r="K1161">
        <v>0.36129</v>
      </c>
      <c r="L1161">
        <v>0</v>
      </c>
      <c r="M1161">
        <v>0</v>
      </c>
      <c r="N1161">
        <v>0.36129</v>
      </c>
      <c r="O1161" t="s">
        <v>71</v>
      </c>
      <c r="P1161">
        <v>0</v>
      </c>
      <c r="Q1161" t="s">
        <v>71</v>
      </c>
      <c r="R1161">
        <v>0</v>
      </c>
      <c r="S1161" t="s">
        <v>71</v>
      </c>
      <c r="T1161">
        <v>0</v>
      </c>
      <c r="U1161" t="s">
        <v>71</v>
      </c>
      <c r="V1161">
        <v>0</v>
      </c>
      <c r="W1161" t="s">
        <v>71</v>
      </c>
      <c r="X1161">
        <v>0</v>
      </c>
      <c r="Y1161">
        <v>0.36129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25</v>
      </c>
      <c r="AF1161">
        <v>122</v>
      </c>
      <c r="AG1161">
        <v>52</v>
      </c>
      <c r="AH1161">
        <v>0</v>
      </c>
      <c r="AI1161">
        <v>6.4000000000000001E-2</v>
      </c>
      <c r="AK1161" t="s">
        <v>100</v>
      </c>
      <c r="AM1161">
        <v>200000</v>
      </c>
      <c r="AN1161" t="s">
        <v>97</v>
      </c>
      <c r="AO1161">
        <v>1</v>
      </c>
      <c r="AP1161">
        <v>0</v>
      </c>
      <c r="AQ1161">
        <v>16666.666666666668</v>
      </c>
      <c r="AR1161" t="s">
        <v>3282</v>
      </c>
      <c r="AS1161" t="s">
        <v>75</v>
      </c>
      <c r="AX1161" t="s">
        <v>76</v>
      </c>
      <c r="AY1161" t="s">
        <v>71</v>
      </c>
      <c r="AZ1161">
        <v>0</v>
      </c>
      <c r="BA1161" t="s">
        <v>71</v>
      </c>
      <c r="BB1161">
        <v>0</v>
      </c>
      <c r="BD1161">
        <v>0.36129</v>
      </c>
    </row>
    <row r="1162" spans="1:56" x14ac:dyDescent="0.15">
      <c r="A1162" s="4" t="str">
        <f>HYPERLINK("https://ibp.a2mac1.com/costing(costing:projects/details/9760/part/8413042)","Front Cooling Module Support 2")</f>
        <v>Front Cooling Module Support 2</v>
      </c>
      <c r="B1162">
        <v>8413042</v>
      </c>
      <c r="C1162">
        <v>8412928</v>
      </c>
      <c r="D1162" t="s">
        <v>1166</v>
      </c>
      <c r="E1162">
        <v>0.46273999999999998</v>
      </c>
      <c r="F1162">
        <v>0</v>
      </c>
      <c r="G1162">
        <v>0</v>
      </c>
      <c r="H1162">
        <v>0</v>
      </c>
      <c r="I1162" t="s">
        <v>71</v>
      </c>
      <c r="J1162">
        <v>0</v>
      </c>
      <c r="K1162">
        <v>0.46273999999999998</v>
      </c>
      <c r="L1162">
        <v>0</v>
      </c>
      <c r="M1162">
        <v>0</v>
      </c>
      <c r="N1162">
        <v>0.46273999999999998</v>
      </c>
      <c r="O1162" t="s">
        <v>71</v>
      </c>
      <c r="P1162">
        <v>0</v>
      </c>
      <c r="Q1162" t="s">
        <v>71</v>
      </c>
      <c r="R1162">
        <v>0</v>
      </c>
      <c r="S1162" t="s">
        <v>71</v>
      </c>
      <c r="T1162">
        <v>0</v>
      </c>
      <c r="U1162" t="s">
        <v>71</v>
      </c>
      <c r="V1162">
        <v>0</v>
      </c>
      <c r="W1162" t="s">
        <v>71</v>
      </c>
      <c r="X1162">
        <v>0</v>
      </c>
      <c r="Y1162">
        <v>0.46273999999999998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33</v>
      </c>
      <c r="AF1162">
        <v>95</v>
      </c>
      <c r="AG1162">
        <v>65</v>
      </c>
      <c r="AH1162">
        <v>0</v>
      </c>
      <c r="AI1162">
        <v>8.7999999999999995E-2</v>
      </c>
      <c r="AK1162" t="s">
        <v>100</v>
      </c>
      <c r="AM1162">
        <v>200000</v>
      </c>
      <c r="AN1162" t="s">
        <v>97</v>
      </c>
      <c r="AO1162">
        <v>1</v>
      </c>
      <c r="AP1162">
        <v>0</v>
      </c>
      <c r="AQ1162">
        <v>16666.666666666668</v>
      </c>
      <c r="AR1162" t="s">
        <v>3283</v>
      </c>
      <c r="AS1162" t="s">
        <v>75</v>
      </c>
      <c r="AX1162" t="s">
        <v>76</v>
      </c>
      <c r="AY1162" t="s">
        <v>71</v>
      </c>
      <c r="AZ1162">
        <v>0</v>
      </c>
      <c r="BA1162" t="s">
        <v>71</v>
      </c>
      <c r="BB1162">
        <v>0</v>
      </c>
      <c r="BD1162">
        <v>0.46273999999999998</v>
      </c>
    </row>
    <row r="1163" spans="1:56" x14ac:dyDescent="0.15">
      <c r="A1163" s="4" t="str">
        <f>HYPERLINK("https://ibp.a2mac1.com/costing(costing:projects/details/9760/part/8413043)","Front Cooling Module Right Support")</f>
        <v>Front Cooling Module Right Support</v>
      </c>
      <c r="B1163">
        <v>8413043</v>
      </c>
      <c r="C1163">
        <v>8412928</v>
      </c>
      <c r="D1163" t="s">
        <v>1166</v>
      </c>
      <c r="E1163">
        <v>0.36978</v>
      </c>
      <c r="F1163">
        <v>0</v>
      </c>
      <c r="G1163">
        <v>0</v>
      </c>
      <c r="H1163">
        <v>0</v>
      </c>
      <c r="I1163" t="s">
        <v>71</v>
      </c>
      <c r="J1163">
        <v>0</v>
      </c>
      <c r="K1163">
        <v>0.36978</v>
      </c>
      <c r="L1163">
        <v>0</v>
      </c>
      <c r="M1163">
        <v>0</v>
      </c>
      <c r="N1163">
        <v>0.36978</v>
      </c>
      <c r="O1163" t="s">
        <v>71</v>
      </c>
      <c r="P1163">
        <v>0</v>
      </c>
      <c r="Q1163" t="s">
        <v>71</v>
      </c>
      <c r="R1163">
        <v>0</v>
      </c>
      <c r="S1163" t="s">
        <v>71</v>
      </c>
      <c r="T1163">
        <v>0</v>
      </c>
      <c r="U1163" t="s">
        <v>71</v>
      </c>
      <c r="V1163">
        <v>0</v>
      </c>
      <c r="W1163" t="s">
        <v>71</v>
      </c>
      <c r="X1163">
        <v>0</v>
      </c>
      <c r="Y1163">
        <v>0.36978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25</v>
      </c>
      <c r="AF1163">
        <v>122</v>
      </c>
      <c r="AG1163">
        <v>52</v>
      </c>
      <c r="AH1163">
        <v>0</v>
      </c>
      <c r="AI1163">
        <v>6.6000000000000003E-2</v>
      </c>
      <c r="AK1163" t="s">
        <v>100</v>
      </c>
      <c r="AM1163">
        <v>200000</v>
      </c>
      <c r="AN1163" t="s">
        <v>97</v>
      </c>
      <c r="AO1163">
        <v>1</v>
      </c>
      <c r="AP1163">
        <v>0</v>
      </c>
      <c r="AQ1163">
        <v>16666.666666666668</v>
      </c>
      <c r="AR1163" t="s">
        <v>3284</v>
      </c>
      <c r="AS1163" t="s">
        <v>75</v>
      </c>
      <c r="AX1163" t="s">
        <v>76</v>
      </c>
      <c r="AY1163" t="s">
        <v>71</v>
      </c>
      <c r="AZ1163">
        <v>0</v>
      </c>
      <c r="BA1163" t="s">
        <v>71</v>
      </c>
      <c r="BB1163">
        <v>0</v>
      </c>
      <c r="BD1163">
        <v>0.36978</v>
      </c>
    </row>
    <row r="1164" spans="1:56" x14ac:dyDescent="0.15">
      <c r="A1164" s="4" t="str">
        <f>HYPERLINK("https://ibp.a2mac1.com/costing(costing:projects/details/9760/part/8413044)","Front Cooling Module Right Support 2")</f>
        <v>Front Cooling Module Right Support 2</v>
      </c>
      <c r="B1164">
        <v>8413044</v>
      </c>
      <c r="C1164">
        <v>8412928</v>
      </c>
      <c r="D1164" t="s">
        <v>1166</v>
      </c>
      <c r="E1164">
        <v>0.46273999999999998</v>
      </c>
      <c r="F1164">
        <v>0</v>
      </c>
      <c r="G1164">
        <v>0</v>
      </c>
      <c r="H1164">
        <v>0</v>
      </c>
      <c r="I1164" t="s">
        <v>71</v>
      </c>
      <c r="J1164">
        <v>0</v>
      </c>
      <c r="K1164">
        <v>0.46273999999999998</v>
      </c>
      <c r="L1164">
        <v>0</v>
      </c>
      <c r="M1164">
        <v>0</v>
      </c>
      <c r="N1164">
        <v>0.46273999999999998</v>
      </c>
      <c r="O1164" t="s">
        <v>71</v>
      </c>
      <c r="P1164">
        <v>0</v>
      </c>
      <c r="Q1164" t="s">
        <v>71</v>
      </c>
      <c r="R1164">
        <v>0</v>
      </c>
      <c r="S1164" t="s">
        <v>71</v>
      </c>
      <c r="T1164">
        <v>0</v>
      </c>
      <c r="U1164" t="s">
        <v>71</v>
      </c>
      <c r="V1164">
        <v>0</v>
      </c>
      <c r="W1164" t="s">
        <v>71</v>
      </c>
      <c r="X1164">
        <v>0</v>
      </c>
      <c r="Y1164">
        <v>0.46273999999999998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33</v>
      </c>
      <c r="AF1164">
        <v>95</v>
      </c>
      <c r="AG1164">
        <v>65</v>
      </c>
      <c r="AH1164">
        <v>0</v>
      </c>
      <c r="AI1164">
        <v>8.7999999999999995E-2</v>
      </c>
      <c r="AK1164" t="s">
        <v>100</v>
      </c>
      <c r="AM1164">
        <v>200000</v>
      </c>
      <c r="AN1164" t="s">
        <v>97</v>
      </c>
      <c r="AO1164">
        <v>1</v>
      </c>
      <c r="AP1164">
        <v>0</v>
      </c>
      <c r="AQ1164">
        <v>16666.666666666668</v>
      </c>
      <c r="AR1164" t="s">
        <v>3285</v>
      </c>
      <c r="AS1164" t="s">
        <v>75</v>
      </c>
      <c r="AX1164" t="s">
        <v>76</v>
      </c>
      <c r="AY1164" t="s">
        <v>71</v>
      </c>
      <c r="AZ1164">
        <v>0</v>
      </c>
      <c r="BA1164" t="s">
        <v>71</v>
      </c>
      <c r="BB1164">
        <v>0</v>
      </c>
      <c r="BD1164">
        <v>0.46273999999999998</v>
      </c>
    </row>
    <row r="1165" spans="1:56" x14ac:dyDescent="0.15">
      <c r="A1165" s="4" t="str">
        <f>HYPERLINK("https://ibp.a2mac1.com/costing(costing:projects/details/9760/part/8413045)","Cooling Module Support Stopper")</f>
        <v>Cooling Module Support Stopper</v>
      </c>
      <c r="B1165">
        <v>8413045</v>
      </c>
      <c r="C1165">
        <v>8412928</v>
      </c>
      <c r="D1165" t="s">
        <v>3286</v>
      </c>
      <c r="E1165">
        <v>0.26523999999999998</v>
      </c>
      <c r="F1165">
        <v>0</v>
      </c>
      <c r="G1165">
        <v>0</v>
      </c>
      <c r="H1165">
        <v>0</v>
      </c>
      <c r="I1165" t="s">
        <v>71</v>
      </c>
      <c r="J1165">
        <v>0</v>
      </c>
      <c r="K1165">
        <v>0.26523999999999998</v>
      </c>
      <c r="L1165">
        <v>0</v>
      </c>
      <c r="M1165">
        <v>0</v>
      </c>
      <c r="N1165">
        <v>0.26523999999999998</v>
      </c>
      <c r="O1165" t="s">
        <v>71</v>
      </c>
      <c r="P1165">
        <v>0</v>
      </c>
      <c r="Q1165" t="s">
        <v>71</v>
      </c>
      <c r="R1165">
        <v>0</v>
      </c>
      <c r="S1165" t="s">
        <v>71</v>
      </c>
      <c r="T1165">
        <v>0</v>
      </c>
      <c r="U1165" t="s">
        <v>71</v>
      </c>
      <c r="V1165">
        <v>0</v>
      </c>
      <c r="W1165" t="s">
        <v>71</v>
      </c>
      <c r="X1165">
        <v>0</v>
      </c>
      <c r="Y1165">
        <v>0.26523999999999998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12</v>
      </c>
      <c r="AF1165">
        <v>12</v>
      </c>
      <c r="AG1165">
        <v>15</v>
      </c>
      <c r="AH1165">
        <v>0</v>
      </c>
      <c r="AI1165">
        <v>1E-3</v>
      </c>
      <c r="AK1165" t="s">
        <v>100</v>
      </c>
      <c r="AM1165">
        <v>400000</v>
      </c>
      <c r="AN1165" t="s">
        <v>97</v>
      </c>
      <c r="AO1165">
        <v>2</v>
      </c>
      <c r="AP1165">
        <v>0</v>
      </c>
      <c r="AQ1165">
        <v>33333.333333333336</v>
      </c>
      <c r="AR1165" t="s">
        <v>3287</v>
      </c>
      <c r="AS1165" t="s">
        <v>75</v>
      </c>
      <c r="AX1165" t="s">
        <v>76</v>
      </c>
      <c r="AY1165" t="s">
        <v>71</v>
      </c>
      <c r="AZ1165">
        <v>0</v>
      </c>
      <c r="BA1165" t="s">
        <v>71</v>
      </c>
      <c r="BB1165">
        <v>0</v>
      </c>
      <c r="BD1165">
        <v>0.13261999999999999</v>
      </c>
    </row>
    <row r="1166" spans="1:56" x14ac:dyDescent="0.15">
      <c r="A1166" s="4" t="str">
        <f>HYPERLINK("https://ibp.a2mac1.com/costing(costing:projects/details/9760/part/8413092)","Motor/Valve")</f>
        <v>Motor/Valve</v>
      </c>
      <c r="B1166">
        <v>8413092</v>
      </c>
      <c r="C1166">
        <v>8413048</v>
      </c>
      <c r="E1166">
        <v>4</v>
      </c>
      <c r="F1166">
        <v>0</v>
      </c>
      <c r="G1166">
        <v>0</v>
      </c>
      <c r="H1166">
        <v>0</v>
      </c>
      <c r="I1166" t="s">
        <v>71</v>
      </c>
      <c r="J1166">
        <v>0</v>
      </c>
      <c r="K1166">
        <v>4</v>
      </c>
      <c r="L1166">
        <v>0</v>
      </c>
      <c r="M1166">
        <v>0</v>
      </c>
      <c r="N1166">
        <v>4</v>
      </c>
      <c r="O1166" t="s">
        <v>71</v>
      </c>
      <c r="P1166">
        <v>0</v>
      </c>
      <c r="Q1166" t="s">
        <v>71</v>
      </c>
      <c r="R1166">
        <v>0</v>
      </c>
      <c r="S1166" t="s">
        <v>71</v>
      </c>
      <c r="T1166">
        <v>0</v>
      </c>
      <c r="U1166" t="s">
        <v>71</v>
      </c>
      <c r="V1166">
        <v>0</v>
      </c>
      <c r="W1166" t="s">
        <v>71</v>
      </c>
      <c r="X1166">
        <v>0</v>
      </c>
      <c r="Y1166">
        <v>4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38</v>
      </c>
      <c r="AF1166">
        <v>26</v>
      </c>
      <c r="AG1166">
        <v>107</v>
      </c>
      <c r="AH1166">
        <v>0</v>
      </c>
      <c r="AI1166">
        <v>0.06</v>
      </c>
      <c r="AK1166" t="s">
        <v>95</v>
      </c>
      <c r="AM1166">
        <v>200000</v>
      </c>
      <c r="AN1166" t="s">
        <v>97</v>
      </c>
      <c r="AO1166">
        <v>1</v>
      </c>
      <c r="AP1166">
        <v>0</v>
      </c>
      <c r="AQ1166">
        <v>16666.666666666668</v>
      </c>
      <c r="AR1166" t="s">
        <v>3291</v>
      </c>
      <c r="AS1166" t="s">
        <v>75</v>
      </c>
      <c r="AX1166" t="s">
        <v>76</v>
      </c>
      <c r="AY1166" t="s">
        <v>71</v>
      </c>
      <c r="AZ1166">
        <v>0</v>
      </c>
      <c r="BA1166" t="s">
        <v>71</v>
      </c>
      <c r="BB1166">
        <v>0</v>
      </c>
      <c r="BD1166">
        <v>4</v>
      </c>
    </row>
    <row r="1167" spans="1:56" x14ac:dyDescent="0.15">
      <c r="A1167" s="4" t="str">
        <f>HYPERLINK("https://ibp.a2mac1.com/costing(costing:projects/details/9760/part/8413093)","Motor protection")</f>
        <v>Motor protection</v>
      </c>
      <c r="B1167">
        <v>8413093</v>
      </c>
      <c r="C1167">
        <v>8413048</v>
      </c>
      <c r="D1167" t="s">
        <v>3274</v>
      </c>
      <c r="E1167">
        <v>0.29737000000000002</v>
      </c>
      <c r="F1167">
        <v>0</v>
      </c>
      <c r="G1167">
        <v>0</v>
      </c>
      <c r="H1167">
        <v>0</v>
      </c>
      <c r="I1167" t="s">
        <v>71</v>
      </c>
      <c r="J1167">
        <v>0</v>
      </c>
      <c r="K1167">
        <v>0.29737000000000002</v>
      </c>
      <c r="L1167">
        <v>0</v>
      </c>
      <c r="M1167">
        <v>0</v>
      </c>
      <c r="N1167">
        <v>0.29737000000000002</v>
      </c>
      <c r="O1167" t="s">
        <v>71</v>
      </c>
      <c r="P1167">
        <v>0</v>
      </c>
      <c r="Q1167" t="s">
        <v>71</v>
      </c>
      <c r="R1167">
        <v>0</v>
      </c>
      <c r="S1167" t="s">
        <v>71</v>
      </c>
      <c r="T1167">
        <v>0</v>
      </c>
      <c r="U1167" t="s">
        <v>71</v>
      </c>
      <c r="V1167">
        <v>0</v>
      </c>
      <c r="W1167" t="s">
        <v>71</v>
      </c>
      <c r="X1167">
        <v>0</v>
      </c>
      <c r="Y1167">
        <v>0.29737000000000002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31</v>
      </c>
      <c r="AF1167">
        <v>61</v>
      </c>
      <c r="AG1167">
        <v>125</v>
      </c>
      <c r="AH1167">
        <v>0</v>
      </c>
      <c r="AI1167">
        <v>4.9000000000000002E-2</v>
      </c>
      <c r="AK1167" t="s">
        <v>100</v>
      </c>
      <c r="AM1167">
        <v>200000</v>
      </c>
      <c r="AN1167" t="s">
        <v>97</v>
      </c>
      <c r="AO1167">
        <v>1</v>
      </c>
      <c r="AP1167">
        <v>0</v>
      </c>
      <c r="AQ1167">
        <v>16666.666666666668</v>
      </c>
      <c r="AR1167" t="s">
        <v>3292</v>
      </c>
      <c r="AS1167" t="s">
        <v>75</v>
      </c>
      <c r="AX1167" t="s">
        <v>76</v>
      </c>
      <c r="AY1167" t="s">
        <v>71</v>
      </c>
      <c r="AZ1167">
        <v>0</v>
      </c>
      <c r="BA1167" t="s">
        <v>71</v>
      </c>
      <c r="BB1167">
        <v>0</v>
      </c>
      <c r="BD1167">
        <v>0.29737000000000002</v>
      </c>
    </row>
    <row r="1168" spans="1:56" x14ac:dyDescent="0.15">
      <c r="A1168" s="4" t="str">
        <f>HYPERLINK("https://ibp.a2mac1.com/costing(costing:projects/details/9760/part/8413094)","Flaps Module")</f>
        <v>Flaps Module</v>
      </c>
      <c r="B1168">
        <v>8413094</v>
      </c>
      <c r="C1168">
        <v>8413048</v>
      </c>
      <c r="D1168" t="s">
        <v>3280</v>
      </c>
      <c r="E1168">
        <v>3.8780299999999999</v>
      </c>
      <c r="F1168">
        <v>0</v>
      </c>
      <c r="G1168">
        <v>0</v>
      </c>
      <c r="H1168">
        <v>0</v>
      </c>
      <c r="I1168" t="s">
        <v>71</v>
      </c>
      <c r="J1168">
        <v>0</v>
      </c>
      <c r="K1168">
        <v>3.8780299999999999</v>
      </c>
      <c r="L1168">
        <v>0</v>
      </c>
      <c r="M1168">
        <v>0</v>
      </c>
      <c r="N1168">
        <v>3.8780299999999999</v>
      </c>
      <c r="O1168" t="s">
        <v>71</v>
      </c>
      <c r="P1168">
        <v>0</v>
      </c>
      <c r="Q1168" t="s">
        <v>71</v>
      </c>
      <c r="R1168">
        <v>0</v>
      </c>
      <c r="S1168" t="s">
        <v>71</v>
      </c>
      <c r="T1168">
        <v>0</v>
      </c>
      <c r="U1168" t="s">
        <v>71</v>
      </c>
      <c r="V1168">
        <v>0</v>
      </c>
      <c r="W1168" t="s">
        <v>71</v>
      </c>
      <c r="X1168">
        <v>0</v>
      </c>
      <c r="Y1168">
        <v>3.8780299999999999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340</v>
      </c>
      <c r="AF1168">
        <v>1180</v>
      </c>
      <c r="AG1168">
        <v>230</v>
      </c>
      <c r="AH1168">
        <v>0</v>
      </c>
      <c r="AI1168">
        <v>1.5469999999999999</v>
      </c>
      <c r="AK1168" t="s">
        <v>100</v>
      </c>
      <c r="AM1168">
        <v>200000</v>
      </c>
      <c r="AN1168" t="s">
        <v>97</v>
      </c>
      <c r="AO1168">
        <v>1</v>
      </c>
      <c r="AP1168">
        <v>0</v>
      </c>
      <c r="AQ1168">
        <v>16666.666666666668</v>
      </c>
      <c r="AR1168" t="s">
        <v>3293</v>
      </c>
      <c r="AS1168" t="s">
        <v>75</v>
      </c>
      <c r="AX1168" t="s">
        <v>76</v>
      </c>
      <c r="AY1168" t="s">
        <v>71</v>
      </c>
      <c r="AZ1168">
        <v>0</v>
      </c>
      <c r="BA1168" t="s">
        <v>71</v>
      </c>
      <c r="BB1168">
        <v>0</v>
      </c>
      <c r="BD1168">
        <v>3.8780299999999999</v>
      </c>
    </row>
    <row r="1169" spans="1:56" x14ac:dyDescent="0.15">
      <c r="A1169" s="4" t="str">
        <f>HYPERLINK("https://ibp.a2mac1.com/costing(costing:projects/details/9760/part/8413095)","Flaps Module Support")</f>
        <v>Flaps Module Support</v>
      </c>
      <c r="B1169">
        <v>8413095</v>
      </c>
      <c r="C1169">
        <v>8413048</v>
      </c>
      <c r="D1169" t="s">
        <v>3294</v>
      </c>
      <c r="E1169">
        <v>0.22747000000000001</v>
      </c>
      <c r="F1169">
        <v>0</v>
      </c>
      <c r="G1169">
        <v>0</v>
      </c>
      <c r="H1169">
        <v>0</v>
      </c>
      <c r="I1169" t="s">
        <v>71</v>
      </c>
      <c r="J1169">
        <v>0</v>
      </c>
      <c r="K1169">
        <v>0.22747000000000001</v>
      </c>
      <c r="L1169">
        <v>0</v>
      </c>
      <c r="M1169">
        <v>0</v>
      </c>
      <c r="N1169">
        <v>0.22747000000000001</v>
      </c>
      <c r="O1169" t="s">
        <v>71</v>
      </c>
      <c r="P1169">
        <v>0</v>
      </c>
      <c r="Q1169" t="s">
        <v>71</v>
      </c>
      <c r="R1169">
        <v>0</v>
      </c>
      <c r="S1169" t="s">
        <v>71</v>
      </c>
      <c r="T1169">
        <v>0</v>
      </c>
      <c r="U1169" t="s">
        <v>71</v>
      </c>
      <c r="V1169">
        <v>0</v>
      </c>
      <c r="W1169" t="s">
        <v>71</v>
      </c>
      <c r="X1169">
        <v>0</v>
      </c>
      <c r="Y1169">
        <v>0.22747000000000001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88</v>
      </c>
      <c r="AF1169">
        <v>105</v>
      </c>
      <c r="AG1169">
        <v>24</v>
      </c>
      <c r="AH1169">
        <v>0</v>
      </c>
      <c r="AI1169">
        <v>8.5999999999999993E-2</v>
      </c>
      <c r="AK1169" t="s">
        <v>100</v>
      </c>
      <c r="AM1169">
        <v>200000</v>
      </c>
      <c r="AN1169" t="s">
        <v>97</v>
      </c>
      <c r="AO1169">
        <v>1</v>
      </c>
      <c r="AP1169">
        <v>0</v>
      </c>
      <c r="AQ1169">
        <v>16666.666666666668</v>
      </c>
      <c r="AR1169" t="s">
        <v>3295</v>
      </c>
      <c r="AS1169" t="s">
        <v>75</v>
      </c>
      <c r="AX1169" t="s">
        <v>76</v>
      </c>
      <c r="AY1169" t="s">
        <v>71</v>
      </c>
      <c r="AZ1169">
        <v>0</v>
      </c>
      <c r="BA1169" t="s">
        <v>71</v>
      </c>
      <c r="BB1169">
        <v>0</v>
      </c>
      <c r="BD1169">
        <v>0.22747000000000001</v>
      </c>
    </row>
    <row r="1170" spans="1:56" x14ac:dyDescent="0.15">
      <c r="A1170" s="4" t="str">
        <f>HYPERLINK("https://ibp.a2mac1.com/costing(costing:projects/details/9760/part/8413096)","Flaps Module Support 2")</f>
        <v>Flaps Module Support 2</v>
      </c>
      <c r="B1170">
        <v>8413096</v>
      </c>
      <c r="C1170">
        <v>8413048</v>
      </c>
      <c r="D1170" t="s">
        <v>3294</v>
      </c>
      <c r="E1170">
        <v>0.22747000000000001</v>
      </c>
      <c r="F1170">
        <v>0</v>
      </c>
      <c r="G1170">
        <v>0</v>
      </c>
      <c r="H1170">
        <v>0</v>
      </c>
      <c r="I1170" t="s">
        <v>71</v>
      </c>
      <c r="J1170">
        <v>0</v>
      </c>
      <c r="K1170">
        <v>0.22747000000000001</v>
      </c>
      <c r="L1170">
        <v>0</v>
      </c>
      <c r="M1170">
        <v>0</v>
      </c>
      <c r="N1170">
        <v>0.22747000000000001</v>
      </c>
      <c r="O1170" t="s">
        <v>71</v>
      </c>
      <c r="P1170">
        <v>0</v>
      </c>
      <c r="Q1170" t="s">
        <v>71</v>
      </c>
      <c r="R1170">
        <v>0</v>
      </c>
      <c r="S1170" t="s">
        <v>71</v>
      </c>
      <c r="T1170">
        <v>0</v>
      </c>
      <c r="U1170" t="s">
        <v>71</v>
      </c>
      <c r="V1170">
        <v>0</v>
      </c>
      <c r="W1170" t="s">
        <v>71</v>
      </c>
      <c r="X1170">
        <v>0</v>
      </c>
      <c r="Y1170">
        <v>0.22747000000000001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88</v>
      </c>
      <c r="AF1170">
        <v>105</v>
      </c>
      <c r="AG1170">
        <v>24</v>
      </c>
      <c r="AH1170">
        <v>0</v>
      </c>
      <c r="AI1170">
        <v>8.5999999999999993E-2</v>
      </c>
      <c r="AK1170" t="s">
        <v>100</v>
      </c>
      <c r="AM1170">
        <v>200000</v>
      </c>
      <c r="AN1170" t="s">
        <v>97</v>
      </c>
      <c r="AO1170">
        <v>1</v>
      </c>
      <c r="AP1170">
        <v>0</v>
      </c>
      <c r="AQ1170">
        <v>16666.666666666668</v>
      </c>
      <c r="AR1170" t="s">
        <v>3296</v>
      </c>
      <c r="AS1170" t="s">
        <v>75</v>
      </c>
      <c r="AX1170" t="s">
        <v>76</v>
      </c>
      <c r="AY1170" t="s">
        <v>71</v>
      </c>
      <c r="AZ1170">
        <v>0</v>
      </c>
      <c r="BA1170" t="s">
        <v>71</v>
      </c>
      <c r="BB1170">
        <v>0</v>
      </c>
      <c r="BD1170">
        <v>0.22747000000000001</v>
      </c>
    </row>
    <row r="1171" spans="1:56" x14ac:dyDescent="0.15">
      <c r="A1171" s="4" t="str">
        <f>HYPERLINK("https://ibp.a2mac1.com/costing(costing:projects/details/9760/part/8413097)","Flaps")</f>
        <v>Flaps</v>
      </c>
      <c r="B1171">
        <v>8413097</v>
      </c>
      <c r="C1171">
        <v>8413048</v>
      </c>
      <c r="D1171" t="s">
        <v>3274</v>
      </c>
      <c r="E1171">
        <v>1.7075800000000001</v>
      </c>
      <c r="F1171">
        <v>0</v>
      </c>
      <c r="G1171">
        <v>0</v>
      </c>
      <c r="H1171">
        <v>0</v>
      </c>
      <c r="I1171" t="s">
        <v>71</v>
      </c>
      <c r="J1171">
        <v>0</v>
      </c>
      <c r="K1171">
        <v>1.7075800000000001</v>
      </c>
      <c r="L1171">
        <v>0</v>
      </c>
      <c r="M1171">
        <v>0</v>
      </c>
      <c r="N1171">
        <v>1.7075800000000001</v>
      </c>
      <c r="O1171" t="s">
        <v>71</v>
      </c>
      <c r="P1171">
        <v>0</v>
      </c>
      <c r="Q1171" t="s">
        <v>71</v>
      </c>
      <c r="R1171">
        <v>0</v>
      </c>
      <c r="S1171" t="s">
        <v>71</v>
      </c>
      <c r="T1171">
        <v>0</v>
      </c>
      <c r="U1171" t="s">
        <v>71</v>
      </c>
      <c r="V1171">
        <v>0</v>
      </c>
      <c r="W1171" t="s">
        <v>71</v>
      </c>
      <c r="X1171">
        <v>0</v>
      </c>
      <c r="Y1171">
        <v>1.7075800000000001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44</v>
      </c>
      <c r="AF1171">
        <v>355</v>
      </c>
      <c r="AG1171">
        <v>56</v>
      </c>
      <c r="AH1171">
        <v>0</v>
      </c>
      <c r="AI1171">
        <v>7.9500000000000001E-2</v>
      </c>
      <c r="AK1171" t="s">
        <v>100</v>
      </c>
      <c r="AM1171">
        <v>400000</v>
      </c>
      <c r="AN1171" t="s">
        <v>97</v>
      </c>
      <c r="AO1171">
        <v>2</v>
      </c>
      <c r="AP1171">
        <v>0</v>
      </c>
      <c r="AQ1171">
        <v>33333.333333333336</v>
      </c>
      <c r="AR1171" t="s">
        <v>3297</v>
      </c>
      <c r="AS1171" t="s">
        <v>75</v>
      </c>
      <c r="AX1171" t="s">
        <v>76</v>
      </c>
      <c r="AY1171" t="s">
        <v>71</v>
      </c>
      <c r="AZ1171">
        <v>0</v>
      </c>
      <c r="BA1171" t="s">
        <v>71</v>
      </c>
      <c r="BB1171">
        <v>0</v>
      </c>
      <c r="BD1171">
        <v>0.85379000000000005</v>
      </c>
    </row>
    <row r="1172" spans="1:56" x14ac:dyDescent="0.15">
      <c r="A1172" s="4" t="str">
        <f>HYPERLINK("https://ibp.a2mac1.com/costing(costing:projects/details/9760/part/8413098)","2nd Flaps")</f>
        <v>2nd Flaps</v>
      </c>
      <c r="B1172">
        <v>8413098</v>
      </c>
      <c r="C1172">
        <v>8413048</v>
      </c>
      <c r="D1172" t="s">
        <v>3298</v>
      </c>
      <c r="E1172">
        <v>8.2954799999999995</v>
      </c>
      <c r="F1172">
        <v>0</v>
      </c>
      <c r="G1172">
        <v>0</v>
      </c>
      <c r="H1172">
        <v>0</v>
      </c>
      <c r="I1172" t="s">
        <v>71</v>
      </c>
      <c r="J1172">
        <v>0</v>
      </c>
      <c r="K1172">
        <v>8.2954799999999995</v>
      </c>
      <c r="L1172">
        <v>0</v>
      </c>
      <c r="M1172">
        <v>0</v>
      </c>
      <c r="N1172">
        <v>8.2954799999999995</v>
      </c>
      <c r="O1172" t="s">
        <v>71</v>
      </c>
      <c r="P1172">
        <v>0</v>
      </c>
      <c r="Q1172" t="s">
        <v>71</v>
      </c>
      <c r="R1172">
        <v>0</v>
      </c>
      <c r="S1172" t="s">
        <v>71</v>
      </c>
      <c r="T1172">
        <v>0</v>
      </c>
      <c r="U1172" t="s">
        <v>71</v>
      </c>
      <c r="V1172">
        <v>0</v>
      </c>
      <c r="W1172" t="s">
        <v>71</v>
      </c>
      <c r="X1172">
        <v>0</v>
      </c>
      <c r="Y1172">
        <v>8.2954799999999995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43</v>
      </c>
      <c r="AF1172">
        <v>479</v>
      </c>
      <c r="AG1172">
        <v>55</v>
      </c>
      <c r="AH1172">
        <v>0</v>
      </c>
      <c r="AI1172">
        <v>0.10125000000000001</v>
      </c>
      <c r="AK1172" t="s">
        <v>100</v>
      </c>
      <c r="AM1172">
        <v>800000</v>
      </c>
      <c r="AN1172" t="s">
        <v>97</v>
      </c>
      <c r="AO1172">
        <v>4</v>
      </c>
      <c r="AP1172">
        <v>0</v>
      </c>
      <c r="AQ1172">
        <v>66666.666666666672</v>
      </c>
      <c r="AR1172" t="s">
        <v>3299</v>
      </c>
      <c r="AS1172" t="s">
        <v>75</v>
      </c>
      <c r="AX1172" t="s">
        <v>76</v>
      </c>
      <c r="AY1172" t="s">
        <v>71</v>
      </c>
      <c r="AZ1172">
        <v>0</v>
      </c>
      <c r="BA1172" t="s">
        <v>71</v>
      </c>
      <c r="BB1172">
        <v>0</v>
      </c>
      <c r="BD1172">
        <v>2.0738699999999999</v>
      </c>
    </row>
    <row r="1173" spans="1:56" x14ac:dyDescent="0.15">
      <c r="A1173" s="4" t="str">
        <f>HYPERLINK("https://ibp.a2mac1.com/costing(costing:projects/details/9760/part/8413099)","Flaps Mechanism")</f>
        <v>Flaps Mechanism</v>
      </c>
      <c r="B1173">
        <v>8413099</v>
      </c>
      <c r="C1173">
        <v>8413048</v>
      </c>
      <c r="D1173" t="s">
        <v>3300</v>
      </c>
      <c r="E1173">
        <v>0.39366000000000001</v>
      </c>
      <c r="F1173">
        <v>0</v>
      </c>
      <c r="G1173">
        <v>0</v>
      </c>
      <c r="H1173">
        <v>0</v>
      </c>
      <c r="I1173" t="s">
        <v>71</v>
      </c>
      <c r="J1173">
        <v>0</v>
      </c>
      <c r="K1173">
        <v>0.39366000000000001</v>
      </c>
      <c r="L1173">
        <v>0</v>
      </c>
      <c r="M1173">
        <v>0</v>
      </c>
      <c r="N1173">
        <v>0.39366000000000001</v>
      </c>
      <c r="O1173" t="s">
        <v>71</v>
      </c>
      <c r="P1173">
        <v>0</v>
      </c>
      <c r="Q1173" t="s">
        <v>71</v>
      </c>
      <c r="R1173">
        <v>0</v>
      </c>
      <c r="S1173" t="s">
        <v>71</v>
      </c>
      <c r="T1173">
        <v>0</v>
      </c>
      <c r="U1173" t="s">
        <v>71</v>
      </c>
      <c r="V1173">
        <v>0</v>
      </c>
      <c r="W1173" t="s">
        <v>71</v>
      </c>
      <c r="X1173">
        <v>0</v>
      </c>
      <c r="Y1173">
        <v>0.39366000000000001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27</v>
      </c>
      <c r="AF1173">
        <v>20</v>
      </c>
      <c r="AG1173">
        <v>38</v>
      </c>
      <c r="AH1173">
        <v>0</v>
      </c>
      <c r="AI1173">
        <v>5.0000000000000001E-3</v>
      </c>
      <c r="AK1173" t="s">
        <v>100</v>
      </c>
      <c r="AM1173">
        <v>400000</v>
      </c>
      <c r="AN1173" t="s">
        <v>97</v>
      </c>
      <c r="AO1173">
        <v>2</v>
      </c>
      <c r="AP1173">
        <v>0</v>
      </c>
      <c r="AQ1173">
        <v>33333.333333333336</v>
      </c>
      <c r="AR1173" t="s">
        <v>3301</v>
      </c>
      <c r="AS1173" t="s">
        <v>75</v>
      </c>
      <c r="AX1173" t="s">
        <v>76</v>
      </c>
      <c r="AY1173" t="s">
        <v>71</v>
      </c>
      <c r="AZ1173">
        <v>0</v>
      </c>
      <c r="BA1173" t="s">
        <v>71</v>
      </c>
      <c r="BB1173">
        <v>0</v>
      </c>
      <c r="BD1173">
        <v>0.19683</v>
      </c>
    </row>
    <row r="1174" spans="1:56" x14ac:dyDescent="0.15">
      <c r="A1174" s="4" t="str">
        <f>HYPERLINK("https://ibp.a2mac1.com/costing(costing:projects/details/9760/part/8413100)","Left")</f>
        <v>Left</v>
      </c>
      <c r="B1174">
        <v>8413100</v>
      </c>
      <c r="C1174">
        <v>8413048</v>
      </c>
      <c r="D1174" t="s">
        <v>3280</v>
      </c>
      <c r="E1174">
        <v>0.19211</v>
      </c>
      <c r="F1174">
        <v>0</v>
      </c>
      <c r="G1174">
        <v>0</v>
      </c>
      <c r="H1174">
        <v>0</v>
      </c>
      <c r="I1174" t="s">
        <v>71</v>
      </c>
      <c r="J1174">
        <v>0</v>
      </c>
      <c r="K1174">
        <v>0.19211</v>
      </c>
      <c r="L1174">
        <v>0</v>
      </c>
      <c r="M1174">
        <v>0</v>
      </c>
      <c r="N1174">
        <v>0.19211</v>
      </c>
      <c r="O1174" t="s">
        <v>71</v>
      </c>
      <c r="P1174">
        <v>0</v>
      </c>
      <c r="Q1174" t="s">
        <v>71</v>
      </c>
      <c r="R1174">
        <v>0</v>
      </c>
      <c r="S1174" t="s">
        <v>71</v>
      </c>
      <c r="T1174">
        <v>0</v>
      </c>
      <c r="U1174" t="s">
        <v>71</v>
      </c>
      <c r="V1174">
        <v>0</v>
      </c>
      <c r="W1174" t="s">
        <v>71</v>
      </c>
      <c r="X1174">
        <v>0</v>
      </c>
      <c r="Y1174">
        <v>0.19211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57</v>
      </c>
      <c r="AF1174">
        <v>41</v>
      </c>
      <c r="AG1174">
        <v>179</v>
      </c>
      <c r="AH1174">
        <v>0</v>
      </c>
      <c r="AI1174">
        <v>4.2000000000000003E-2</v>
      </c>
      <c r="AK1174" t="s">
        <v>100</v>
      </c>
      <c r="AM1174">
        <v>200000</v>
      </c>
      <c r="AN1174" t="s">
        <v>97</v>
      </c>
      <c r="AO1174">
        <v>1</v>
      </c>
      <c r="AP1174">
        <v>0</v>
      </c>
      <c r="AQ1174">
        <v>16666.666666666668</v>
      </c>
      <c r="AR1174" t="s">
        <v>3302</v>
      </c>
      <c r="AS1174" t="s">
        <v>75</v>
      </c>
      <c r="AX1174" t="s">
        <v>76</v>
      </c>
      <c r="AY1174" t="s">
        <v>71</v>
      </c>
      <c r="AZ1174">
        <v>0</v>
      </c>
      <c r="BA1174" t="s">
        <v>71</v>
      </c>
      <c r="BB1174">
        <v>0</v>
      </c>
      <c r="BD1174">
        <v>0.19211</v>
      </c>
    </row>
    <row r="1175" spans="1:56" x14ac:dyDescent="0.15">
      <c r="A1175" s="4" t="str">
        <f>HYPERLINK("https://ibp.a2mac1.com/costing(costing:projects/details/9760/part/8413101)","2nd Right")</f>
        <v>2nd Right</v>
      </c>
      <c r="B1175">
        <v>8413101</v>
      </c>
      <c r="C1175">
        <v>8413048</v>
      </c>
      <c r="D1175" t="s">
        <v>3280</v>
      </c>
      <c r="E1175">
        <v>0.19472</v>
      </c>
      <c r="F1175">
        <v>0</v>
      </c>
      <c r="G1175">
        <v>0</v>
      </c>
      <c r="H1175">
        <v>0</v>
      </c>
      <c r="I1175" t="s">
        <v>71</v>
      </c>
      <c r="J1175">
        <v>0</v>
      </c>
      <c r="K1175">
        <v>0.19472</v>
      </c>
      <c r="L1175">
        <v>0</v>
      </c>
      <c r="M1175">
        <v>0</v>
      </c>
      <c r="N1175">
        <v>0.19472</v>
      </c>
      <c r="O1175" t="s">
        <v>71</v>
      </c>
      <c r="P1175">
        <v>0</v>
      </c>
      <c r="Q1175" t="s">
        <v>71</v>
      </c>
      <c r="R1175">
        <v>0</v>
      </c>
      <c r="S1175" t="s">
        <v>71</v>
      </c>
      <c r="T1175">
        <v>0</v>
      </c>
      <c r="U1175" t="s">
        <v>71</v>
      </c>
      <c r="V1175">
        <v>0</v>
      </c>
      <c r="W1175" t="s">
        <v>71</v>
      </c>
      <c r="X1175">
        <v>0</v>
      </c>
      <c r="Y1175">
        <v>0.19472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57</v>
      </c>
      <c r="AF1175">
        <v>41</v>
      </c>
      <c r="AG1175">
        <v>179</v>
      </c>
      <c r="AH1175">
        <v>0</v>
      </c>
      <c r="AI1175">
        <v>4.2999999999999997E-2</v>
      </c>
      <c r="AK1175" t="s">
        <v>100</v>
      </c>
      <c r="AM1175">
        <v>200000</v>
      </c>
      <c r="AN1175" t="s">
        <v>97</v>
      </c>
      <c r="AO1175">
        <v>1</v>
      </c>
      <c r="AP1175">
        <v>0</v>
      </c>
      <c r="AQ1175">
        <v>16666.666666666668</v>
      </c>
      <c r="AR1175" t="s">
        <v>3303</v>
      </c>
      <c r="AS1175" t="s">
        <v>75</v>
      </c>
      <c r="AX1175" t="s">
        <v>76</v>
      </c>
      <c r="AY1175" t="s">
        <v>71</v>
      </c>
      <c r="AZ1175">
        <v>0</v>
      </c>
      <c r="BA1175" t="s">
        <v>71</v>
      </c>
      <c r="BB1175">
        <v>0</v>
      </c>
      <c r="BD1175">
        <v>0.19472</v>
      </c>
    </row>
    <row r="1176" spans="1:56" x14ac:dyDescent="0.15">
      <c r="A1176" s="4" t="str">
        <f>HYPERLINK("https://ibp.a2mac1.com/costing(costing:projects/details/9760/part/8413102)","Flaps Support")</f>
        <v>Flaps Support</v>
      </c>
      <c r="B1176">
        <v>8413102</v>
      </c>
      <c r="C1176">
        <v>8413048</v>
      </c>
      <c r="D1176" t="s">
        <v>3280</v>
      </c>
      <c r="E1176">
        <v>0.38713999999999998</v>
      </c>
      <c r="F1176">
        <v>0</v>
      </c>
      <c r="G1176">
        <v>0</v>
      </c>
      <c r="H1176">
        <v>0</v>
      </c>
      <c r="I1176" t="s">
        <v>71</v>
      </c>
      <c r="J1176">
        <v>0</v>
      </c>
      <c r="K1176">
        <v>0.38713999999999998</v>
      </c>
      <c r="L1176">
        <v>0</v>
      </c>
      <c r="M1176">
        <v>0</v>
      </c>
      <c r="N1176">
        <v>0.38713999999999998</v>
      </c>
      <c r="O1176" t="s">
        <v>71</v>
      </c>
      <c r="P1176">
        <v>0</v>
      </c>
      <c r="Q1176" t="s">
        <v>71</v>
      </c>
      <c r="R1176">
        <v>0</v>
      </c>
      <c r="S1176" t="s">
        <v>71</v>
      </c>
      <c r="T1176">
        <v>0</v>
      </c>
      <c r="U1176" t="s">
        <v>71</v>
      </c>
      <c r="V1176">
        <v>0</v>
      </c>
      <c r="W1176" t="s">
        <v>71</v>
      </c>
      <c r="X1176">
        <v>0</v>
      </c>
      <c r="Y1176">
        <v>0.38713999999999998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17</v>
      </c>
      <c r="AF1176">
        <v>19</v>
      </c>
      <c r="AG1176">
        <v>173</v>
      </c>
      <c r="AH1176">
        <v>0</v>
      </c>
      <c r="AI1176">
        <v>8.0000000000000002E-3</v>
      </c>
      <c r="AK1176" t="s">
        <v>100</v>
      </c>
      <c r="AM1176">
        <v>400000</v>
      </c>
      <c r="AN1176" t="s">
        <v>97</v>
      </c>
      <c r="AO1176">
        <v>2</v>
      </c>
      <c r="AP1176">
        <v>0</v>
      </c>
      <c r="AQ1176">
        <v>33333.333333333336</v>
      </c>
      <c r="AR1176" t="s">
        <v>3304</v>
      </c>
      <c r="AS1176" t="s">
        <v>75</v>
      </c>
      <c r="AX1176" t="s">
        <v>76</v>
      </c>
      <c r="AY1176" t="s">
        <v>71</v>
      </c>
      <c r="AZ1176">
        <v>0</v>
      </c>
      <c r="BA1176" t="s">
        <v>71</v>
      </c>
      <c r="BB1176">
        <v>0</v>
      </c>
      <c r="BD1176">
        <v>0.19356999999999999</v>
      </c>
    </row>
    <row r="1177" spans="1:56" x14ac:dyDescent="0.15">
      <c r="A1177" s="4" t="str">
        <f>HYPERLINK("https://ibp.a2mac1.com/costing(costing:projects/details/9760/part/8413103)","2nd Flaps Support")</f>
        <v>2nd Flaps Support</v>
      </c>
      <c r="B1177">
        <v>8413103</v>
      </c>
      <c r="C1177">
        <v>8413048</v>
      </c>
      <c r="D1177" t="s">
        <v>3280</v>
      </c>
      <c r="E1177">
        <v>0.34360000000000002</v>
      </c>
      <c r="F1177">
        <v>0</v>
      </c>
      <c r="G1177">
        <v>0</v>
      </c>
      <c r="H1177">
        <v>0</v>
      </c>
      <c r="I1177" t="s">
        <v>71</v>
      </c>
      <c r="J1177">
        <v>0</v>
      </c>
      <c r="K1177">
        <v>0.34360000000000002</v>
      </c>
      <c r="L1177">
        <v>0</v>
      </c>
      <c r="M1177">
        <v>0</v>
      </c>
      <c r="N1177">
        <v>0.34360000000000002</v>
      </c>
      <c r="O1177" t="s">
        <v>71</v>
      </c>
      <c r="P1177">
        <v>0</v>
      </c>
      <c r="Q1177" t="s">
        <v>71</v>
      </c>
      <c r="R1177">
        <v>0</v>
      </c>
      <c r="S1177" t="s">
        <v>71</v>
      </c>
      <c r="T1177">
        <v>0</v>
      </c>
      <c r="U1177" t="s">
        <v>71</v>
      </c>
      <c r="V1177">
        <v>0</v>
      </c>
      <c r="W1177" t="s">
        <v>71</v>
      </c>
      <c r="X1177">
        <v>0</v>
      </c>
      <c r="Y1177">
        <v>0.34360000000000002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15</v>
      </c>
      <c r="AF1177">
        <v>19</v>
      </c>
      <c r="AG1177">
        <v>125</v>
      </c>
      <c r="AH1177">
        <v>0</v>
      </c>
      <c r="AI1177">
        <v>5.0000000000000001E-3</v>
      </c>
      <c r="AK1177" t="s">
        <v>100</v>
      </c>
      <c r="AM1177">
        <v>400000</v>
      </c>
      <c r="AN1177" t="s">
        <v>97</v>
      </c>
      <c r="AO1177">
        <v>2</v>
      </c>
      <c r="AP1177">
        <v>0</v>
      </c>
      <c r="AQ1177">
        <v>33333.333333333336</v>
      </c>
      <c r="AR1177" t="s">
        <v>3305</v>
      </c>
      <c r="AS1177" t="s">
        <v>75</v>
      </c>
      <c r="AX1177" t="s">
        <v>76</v>
      </c>
      <c r="AY1177" t="s">
        <v>71</v>
      </c>
      <c r="AZ1177">
        <v>0</v>
      </c>
      <c r="BA1177" t="s">
        <v>71</v>
      </c>
      <c r="BB1177">
        <v>0</v>
      </c>
      <c r="BD1177">
        <v>0.17180000000000001</v>
      </c>
    </row>
    <row r="1178" spans="1:56" x14ac:dyDescent="0.15">
      <c r="A1178" s="4" t="str">
        <f>HYPERLINK("https://ibp.a2mac1.com/costing(costing:projects/details/9760/part/8413049)","Stator / Electric Motor")</f>
        <v>Stator / Electric Motor</v>
      </c>
      <c r="B1178">
        <v>8413049</v>
      </c>
      <c r="C1178">
        <v>8412930</v>
      </c>
      <c r="E1178">
        <v>12.29391</v>
      </c>
      <c r="F1178">
        <v>0</v>
      </c>
      <c r="G1178">
        <v>0</v>
      </c>
      <c r="H1178">
        <v>0</v>
      </c>
      <c r="I1178" t="s">
        <v>71</v>
      </c>
      <c r="J1178">
        <v>0</v>
      </c>
      <c r="K1178">
        <v>12.29391</v>
      </c>
      <c r="L1178">
        <v>0</v>
      </c>
      <c r="M1178">
        <v>0</v>
      </c>
      <c r="N1178">
        <v>12.29391</v>
      </c>
      <c r="O1178" t="s">
        <v>71</v>
      </c>
      <c r="P1178">
        <v>0</v>
      </c>
      <c r="Q1178" t="s">
        <v>71</v>
      </c>
      <c r="R1178">
        <v>0</v>
      </c>
      <c r="S1178" t="s">
        <v>71</v>
      </c>
      <c r="T1178">
        <v>0</v>
      </c>
      <c r="U1178" t="s">
        <v>71</v>
      </c>
      <c r="V1178">
        <v>0</v>
      </c>
      <c r="W1178" t="s">
        <v>71</v>
      </c>
      <c r="X1178">
        <v>0</v>
      </c>
      <c r="Y1178">
        <v>12.29391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79</v>
      </c>
      <c r="AF1178">
        <v>94</v>
      </c>
      <c r="AG1178">
        <v>96</v>
      </c>
      <c r="AH1178">
        <v>0</v>
      </c>
      <c r="AI1178">
        <v>0.432</v>
      </c>
      <c r="AK1178" t="s">
        <v>95</v>
      </c>
      <c r="AM1178">
        <v>200000</v>
      </c>
      <c r="AN1178" t="s">
        <v>97</v>
      </c>
      <c r="AO1178">
        <v>1</v>
      </c>
      <c r="AP1178">
        <v>0</v>
      </c>
      <c r="AQ1178">
        <v>16666.666666666668</v>
      </c>
      <c r="AR1178" t="s">
        <v>3309</v>
      </c>
      <c r="AS1178" t="s">
        <v>75</v>
      </c>
      <c r="AX1178" t="s">
        <v>76</v>
      </c>
      <c r="AY1178" t="s">
        <v>71</v>
      </c>
      <c r="AZ1178">
        <v>0</v>
      </c>
      <c r="BA1178" t="s">
        <v>71</v>
      </c>
      <c r="BB1178">
        <v>0</v>
      </c>
      <c r="BD1178">
        <v>12.29391</v>
      </c>
    </row>
    <row r="1179" spans="1:56" x14ac:dyDescent="0.15">
      <c r="A1179" s="4" t="str">
        <f>HYPERLINK("https://ibp.a2mac1.com/costing(costing:projects/details/9760/part/8413050)","Right")</f>
        <v>Right</v>
      </c>
      <c r="B1179">
        <v>8413050</v>
      </c>
      <c r="C1179">
        <v>8412931</v>
      </c>
      <c r="D1179" t="s">
        <v>1168</v>
      </c>
      <c r="E1179">
        <v>0.19361999999999999</v>
      </c>
      <c r="F1179">
        <v>0</v>
      </c>
      <c r="G1179">
        <v>0</v>
      </c>
      <c r="H1179">
        <v>0</v>
      </c>
      <c r="I1179" t="s">
        <v>71</v>
      </c>
      <c r="J1179">
        <v>0</v>
      </c>
      <c r="K1179">
        <v>0.19361999999999999</v>
      </c>
      <c r="L1179">
        <v>0</v>
      </c>
      <c r="M1179">
        <v>0</v>
      </c>
      <c r="N1179">
        <v>0.19361999999999999</v>
      </c>
      <c r="O1179" t="s">
        <v>71</v>
      </c>
      <c r="P1179">
        <v>0</v>
      </c>
      <c r="Q1179" t="s">
        <v>71</v>
      </c>
      <c r="R1179">
        <v>0</v>
      </c>
      <c r="S1179" t="s">
        <v>71</v>
      </c>
      <c r="T1179">
        <v>0</v>
      </c>
      <c r="U1179" t="s">
        <v>71</v>
      </c>
      <c r="V1179">
        <v>0</v>
      </c>
      <c r="W1179" t="s">
        <v>71</v>
      </c>
      <c r="X1179">
        <v>0</v>
      </c>
      <c r="Y1179">
        <v>0.19361999999999999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112</v>
      </c>
      <c r="AF1179">
        <v>136</v>
      </c>
      <c r="AG1179">
        <v>212</v>
      </c>
      <c r="AH1179">
        <v>0</v>
      </c>
      <c r="AI1179">
        <v>0.05</v>
      </c>
      <c r="AK1179" t="s">
        <v>100</v>
      </c>
      <c r="AM1179">
        <v>200000</v>
      </c>
      <c r="AN1179" t="s">
        <v>97</v>
      </c>
      <c r="AO1179">
        <v>1</v>
      </c>
      <c r="AP1179">
        <v>0</v>
      </c>
      <c r="AQ1179">
        <v>16666.666666666668</v>
      </c>
      <c r="AR1179" t="s">
        <v>3312</v>
      </c>
      <c r="AS1179" t="s">
        <v>75</v>
      </c>
      <c r="AX1179" t="s">
        <v>76</v>
      </c>
      <c r="AY1179" t="s">
        <v>71</v>
      </c>
      <c r="AZ1179">
        <v>0</v>
      </c>
      <c r="BA1179" t="s">
        <v>71</v>
      </c>
      <c r="BB1179">
        <v>0</v>
      </c>
      <c r="BD1179">
        <v>0.19361999999999999</v>
      </c>
    </row>
    <row r="1180" spans="1:56" x14ac:dyDescent="0.15">
      <c r="A1180" s="4" t="str">
        <f>HYPERLINK("https://ibp.a2mac1.com/costing(costing:projects/details/9760/part/8413051)","Left")</f>
        <v>Left</v>
      </c>
      <c r="B1180">
        <v>8413051</v>
      </c>
      <c r="C1180">
        <v>8412931</v>
      </c>
      <c r="D1180" t="s">
        <v>1168</v>
      </c>
      <c r="E1180">
        <v>0.21790999999999999</v>
      </c>
      <c r="F1180">
        <v>0</v>
      </c>
      <c r="G1180">
        <v>0</v>
      </c>
      <c r="H1180">
        <v>0</v>
      </c>
      <c r="I1180" t="s">
        <v>71</v>
      </c>
      <c r="J1180">
        <v>0</v>
      </c>
      <c r="K1180">
        <v>0.21790999999999999</v>
      </c>
      <c r="L1180">
        <v>0</v>
      </c>
      <c r="M1180">
        <v>0</v>
      </c>
      <c r="N1180">
        <v>0.21790999999999999</v>
      </c>
      <c r="O1180" t="s">
        <v>71</v>
      </c>
      <c r="P1180">
        <v>0</v>
      </c>
      <c r="Q1180" t="s">
        <v>71</v>
      </c>
      <c r="R1180">
        <v>0</v>
      </c>
      <c r="S1180" t="s">
        <v>71</v>
      </c>
      <c r="T1180">
        <v>0</v>
      </c>
      <c r="U1180" t="s">
        <v>71</v>
      </c>
      <c r="V1180">
        <v>0</v>
      </c>
      <c r="W1180" t="s">
        <v>71</v>
      </c>
      <c r="X1180">
        <v>0</v>
      </c>
      <c r="Y1180">
        <v>0.21790999999999999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112</v>
      </c>
      <c r="AF1180">
        <v>136</v>
      </c>
      <c r="AG1180">
        <v>212</v>
      </c>
      <c r="AH1180">
        <v>0</v>
      </c>
      <c r="AI1180">
        <v>6.0999999999999999E-2</v>
      </c>
      <c r="AK1180" t="s">
        <v>100</v>
      </c>
      <c r="AM1180">
        <v>200000</v>
      </c>
      <c r="AN1180" t="s">
        <v>97</v>
      </c>
      <c r="AO1180">
        <v>1</v>
      </c>
      <c r="AP1180">
        <v>0</v>
      </c>
      <c r="AQ1180">
        <v>16666.666666666668</v>
      </c>
      <c r="AR1180" t="s">
        <v>3313</v>
      </c>
      <c r="AS1180" t="s">
        <v>75</v>
      </c>
      <c r="AX1180" t="s">
        <v>76</v>
      </c>
      <c r="AY1180" t="s">
        <v>71</v>
      </c>
      <c r="AZ1180">
        <v>0</v>
      </c>
      <c r="BA1180" t="s">
        <v>71</v>
      </c>
      <c r="BB1180">
        <v>0</v>
      </c>
      <c r="BD1180">
        <v>0.21790999999999999</v>
      </c>
    </row>
    <row r="1181" spans="1:56" x14ac:dyDescent="0.15">
      <c r="A1181" s="4" t="str">
        <f>HYPERLINK("https://ibp.a2mac1.com/costing(costing:projects/details/9760/part/8413052)","Main/Single")</f>
        <v>Main/Single</v>
      </c>
      <c r="B1181">
        <v>8413052</v>
      </c>
      <c r="C1181">
        <v>8412931</v>
      </c>
      <c r="D1181" t="s">
        <v>1168</v>
      </c>
      <c r="E1181">
        <v>2.5797699999999999</v>
      </c>
      <c r="F1181">
        <v>0</v>
      </c>
      <c r="G1181">
        <v>0</v>
      </c>
      <c r="H1181">
        <v>0</v>
      </c>
      <c r="I1181" t="s">
        <v>71</v>
      </c>
      <c r="J1181">
        <v>0</v>
      </c>
      <c r="K1181">
        <v>2.5797699999999999</v>
      </c>
      <c r="L1181">
        <v>0</v>
      </c>
      <c r="M1181">
        <v>0</v>
      </c>
      <c r="N1181">
        <v>2.5797699999999999</v>
      </c>
      <c r="O1181" t="s">
        <v>71</v>
      </c>
      <c r="P1181">
        <v>0</v>
      </c>
      <c r="Q1181" t="s">
        <v>71</v>
      </c>
      <c r="R1181">
        <v>0</v>
      </c>
      <c r="S1181" t="s">
        <v>71</v>
      </c>
      <c r="T1181">
        <v>0</v>
      </c>
      <c r="U1181" t="s">
        <v>71</v>
      </c>
      <c r="V1181">
        <v>0</v>
      </c>
      <c r="W1181" t="s">
        <v>71</v>
      </c>
      <c r="X1181">
        <v>0</v>
      </c>
      <c r="Y1181">
        <v>2.5797699999999999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223</v>
      </c>
      <c r="AF1181">
        <v>795</v>
      </c>
      <c r="AG1181">
        <v>512</v>
      </c>
      <c r="AH1181">
        <v>0</v>
      </c>
      <c r="AI1181">
        <v>1.1910000000000001</v>
      </c>
      <c r="AK1181" t="s">
        <v>100</v>
      </c>
      <c r="AM1181">
        <v>200000</v>
      </c>
      <c r="AN1181" t="s">
        <v>97</v>
      </c>
      <c r="AO1181">
        <v>1</v>
      </c>
      <c r="AP1181">
        <v>0</v>
      </c>
      <c r="AQ1181">
        <v>16666.666666666668</v>
      </c>
      <c r="AR1181" t="s">
        <v>3314</v>
      </c>
      <c r="AS1181" t="s">
        <v>75</v>
      </c>
      <c r="AX1181" t="s">
        <v>76</v>
      </c>
      <c r="AY1181" t="s">
        <v>71</v>
      </c>
      <c r="AZ1181">
        <v>0</v>
      </c>
      <c r="BA1181" t="s">
        <v>71</v>
      </c>
      <c r="BB1181">
        <v>0</v>
      </c>
      <c r="BD1181">
        <v>2.5797699999999999</v>
      </c>
    </row>
    <row r="1182" spans="1:56" x14ac:dyDescent="0.15">
      <c r="A1182" s="4" t="str">
        <f>HYPERLINK("https://ibp.a2mac1.com/costing(costing:projects/details/9760/part/8412918)","Radiator for Hybrid /Electric system")</f>
        <v>Radiator for Hybrid /Electric system</v>
      </c>
      <c r="B1182">
        <v>8412918</v>
      </c>
      <c r="C1182">
        <v>8412870</v>
      </c>
      <c r="E1182">
        <v>18.43479</v>
      </c>
      <c r="F1182">
        <v>0</v>
      </c>
      <c r="G1182">
        <v>0</v>
      </c>
      <c r="H1182">
        <v>0</v>
      </c>
      <c r="I1182" t="s">
        <v>71</v>
      </c>
      <c r="J1182">
        <v>0</v>
      </c>
      <c r="K1182">
        <v>18.43479</v>
      </c>
      <c r="L1182">
        <v>0</v>
      </c>
      <c r="M1182">
        <v>0</v>
      </c>
      <c r="N1182">
        <v>18.43479</v>
      </c>
      <c r="O1182" t="s">
        <v>71</v>
      </c>
      <c r="P1182">
        <v>0</v>
      </c>
      <c r="Q1182" t="s">
        <v>71</v>
      </c>
      <c r="R1182">
        <v>0</v>
      </c>
      <c r="S1182" t="s">
        <v>71</v>
      </c>
      <c r="T1182">
        <v>0</v>
      </c>
      <c r="U1182" t="s">
        <v>71</v>
      </c>
      <c r="V1182">
        <v>0</v>
      </c>
      <c r="W1182" t="s">
        <v>71</v>
      </c>
      <c r="X1182">
        <v>0</v>
      </c>
      <c r="Y1182">
        <v>18.43479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92</v>
      </c>
      <c r="AF1182">
        <v>750</v>
      </c>
      <c r="AG1182">
        <v>403</v>
      </c>
      <c r="AH1182">
        <v>0</v>
      </c>
      <c r="AI1182">
        <v>1.4530000000000001</v>
      </c>
      <c r="AK1182" t="s">
        <v>95</v>
      </c>
      <c r="AM1182">
        <v>200000</v>
      </c>
      <c r="AN1182" t="s">
        <v>97</v>
      </c>
      <c r="AO1182">
        <v>1</v>
      </c>
      <c r="AP1182">
        <v>0</v>
      </c>
      <c r="AQ1182">
        <v>16666.666666666668</v>
      </c>
      <c r="AR1182" t="s">
        <v>3316</v>
      </c>
      <c r="AS1182" t="s">
        <v>75</v>
      </c>
      <c r="AX1182" t="s">
        <v>76</v>
      </c>
      <c r="AY1182" t="s">
        <v>71</v>
      </c>
      <c r="AZ1182">
        <v>0</v>
      </c>
      <c r="BA1182" t="s">
        <v>71</v>
      </c>
      <c r="BB1182">
        <v>0</v>
      </c>
      <c r="BD1182">
        <v>18.43479</v>
      </c>
    </row>
    <row r="1183" spans="1:56" x14ac:dyDescent="0.15">
      <c r="A1183" s="4" t="str">
        <f>HYPERLINK("https://ibp.a2mac1.com/costing(costing:projects/details/9760/part/8412919)","Distributor")</f>
        <v>Distributor</v>
      </c>
      <c r="B1183">
        <v>8412919</v>
      </c>
      <c r="C1183">
        <v>8412870</v>
      </c>
      <c r="E1183">
        <v>5</v>
      </c>
      <c r="F1183">
        <v>0</v>
      </c>
      <c r="G1183">
        <v>0</v>
      </c>
      <c r="H1183">
        <v>0</v>
      </c>
      <c r="I1183" t="s">
        <v>71</v>
      </c>
      <c r="J1183">
        <v>0</v>
      </c>
      <c r="K1183">
        <v>5</v>
      </c>
      <c r="L1183">
        <v>0</v>
      </c>
      <c r="M1183">
        <v>0</v>
      </c>
      <c r="N1183">
        <v>5</v>
      </c>
      <c r="O1183" t="s">
        <v>71</v>
      </c>
      <c r="P1183">
        <v>0</v>
      </c>
      <c r="Q1183" t="s">
        <v>71</v>
      </c>
      <c r="R1183">
        <v>0</v>
      </c>
      <c r="S1183" t="s">
        <v>71</v>
      </c>
      <c r="T1183">
        <v>0</v>
      </c>
      <c r="U1183" t="s">
        <v>71</v>
      </c>
      <c r="V1183">
        <v>0</v>
      </c>
      <c r="W1183" t="s">
        <v>71</v>
      </c>
      <c r="X1183">
        <v>0</v>
      </c>
      <c r="Y1183">
        <v>5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70</v>
      </c>
      <c r="AF1183">
        <v>105</v>
      </c>
      <c r="AG1183">
        <v>53</v>
      </c>
      <c r="AH1183">
        <v>0</v>
      </c>
      <c r="AI1183">
        <v>0.11</v>
      </c>
      <c r="AK1183" t="s">
        <v>95</v>
      </c>
      <c r="AM1183">
        <v>200000</v>
      </c>
      <c r="AN1183" t="s">
        <v>97</v>
      </c>
      <c r="AO1183">
        <v>1</v>
      </c>
      <c r="AP1183">
        <v>0</v>
      </c>
      <c r="AQ1183">
        <v>16666.666666666668</v>
      </c>
      <c r="AR1183" t="s">
        <v>3317</v>
      </c>
      <c r="AS1183" t="s">
        <v>75</v>
      </c>
      <c r="AX1183" t="s">
        <v>76</v>
      </c>
      <c r="AY1183" t="s">
        <v>71</v>
      </c>
      <c r="AZ1183">
        <v>0</v>
      </c>
      <c r="BA1183" t="s">
        <v>71</v>
      </c>
      <c r="BB1183">
        <v>0</v>
      </c>
      <c r="BD1183">
        <v>5</v>
      </c>
    </row>
    <row r="1184" spans="1:56" x14ac:dyDescent="0.15">
      <c r="A1184" s="4" t="str">
        <f>HYPERLINK("https://ibp.a2mac1.com/costing(costing:projects/details/9760/part/8412920)","2nd Distributor")</f>
        <v>2nd Distributor</v>
      </c>
      <c r="B1184">
        <v>8412920</v>
      </c>
      <c r="C1184">
        <v>8412870</v>
      </c>
      <c r="E1184">
        <v>12</v>
      </c>
      <c r="F1184">
        <v>0</v>
      </c>
      <c r="G1184">
        <v>0</v>
      </c>
      <c r="H1184">
        <v>0</v>
      </c>
      <c r="I1184" t="s">
        <v>71</v>
      </c>
      <c r="J1184">
        <v>0</v>
      </c>
      <c r="K1184">
        <v>12</v>
      </c>
      <c r="L1184">
        <v>0</v>
      </c>
      <c r="M1184">
        <v>0</v>
      </c>
      <c r="N1184">
        <v>12</v>
      </c>
      <c r="O1184" t="s">
        <v>71</v>
      </c>
      <c r="P1184">
        <v>0</v>
      </c>
      <c r="Q1184" t="s">
        <v>71</v>
      </c>
      <c r="R1184">
        <v>0</v>
      </c>
      <c r="S1184" t="s">
        <v>71</v>
      </c>
      <c r="T1184">
        <v>0</v>
      </c>
      <c r="U1184" t="s">
        <v>71</v>
      </c>
      <c r="V1184">
        <v>0</v>
      </c>
      <c r="W1184" t="s">
        <v>71</v>
      </c>
      <c r="X1184">
        <v>0</v>
      </c>
      <c r="Y1184">
        <v>12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68</v>
      </c>
      <c r="AF1184">
        <v>150</v>
      </c>
      <c r="AG1184">
        <v>120</v>
      </c>
      <c r="AH1184">
        <v>0</v>
      </c>
      <c r="AI1184">
        <v>0.35799999999999998</v>
      </c>
      <c r="AK1184" t="s">
        <v>95</v>
      </c>
      <c r="AM1184">
        <v>200000</v>
      </c>
      <c r="AN1184" t="s">
        <v>97</v>
      </c>
      <c r="AO1184">
        <v>1</v>
      </c>
      <c r="AP1184">
        <v>0</v>
      </c>
      <c r="AQ1184">
        <v>16666.666666666668</v>
      </c>
      <c r="AR1184" t="s">
        <v>3318</v>
      </c>
      <c r="AS1184" t="s">
        <v>75</v>
      </c>
      <c r="AX1184" t="s">
        <v>76</v>
      </c>
      <c r="AY1184" t="s">
        <v>71</v>
      </c>
      <c r="AZ1184">
        <v>0</v>
      </c>
      <c r="BA1184" t="s">
        <v>71</v>
      </c>
      <c r="BB1184">
        <v>0</v>
      </c>
      <c r="BD1184">
        <v>12</v>
      </c>
    </row>
    <row r="1185" spans="1:56" x14ac:dyDescent="0.15">
      <c r="A1185" s="4" t="str">
        <f>HYPERLINK("https://ibp.a2mac1.com/costing(costing:projects/details/9760/part/8412921)","Distributor Actuator")</f>
        <v>Distributor Actuator</v>
      </c>
      <c r="B1185">
        <v>8412921</v>
      </c>
      <c r="C1185">
        <v>8412870</v>
      </c>
      <c r="E1185">
        <v>10</v>
      </c>
      <c r="F1185">
        <v>0</v>
      </c>
      <c r="G1185">
        <v>0</v>
      </c>
      <c r="H1185">
        <v>0</v>
      </c>
      <c r="I1185" t="s">
        <v>71</v>
      </c>
      <c r="J1185">
        <v>0</v>
      </c>
      <c r="K1185">
        <v>10</v>
      </c>
      <c r="L1185">
        <v>0</v>
      </c>
      <c r="M1185">
        <v>0</v>
      </c>
      <c r="N1185">
        <v>10</v>
      </c>
      <c r="O1185" t="s">
        <v>71</v>
      </c>
      <c r="P1185">
        <v>0</v>
      </c>
      <c r="Q1185" t="s">
        <v>71</v>
      </c>
      <c r="R1185">
        <v>0</v>
      </c>
      <c r="S1185" t="s">
        <v>71</v>
      </c>
      <c r="T1185">
        <v>0</v>
      </c>
      <c r="U1185" t="s">
        <v>71</v>
      </c>
      <c r="V1185">
        <v>0</v>
      </c>
      <c r="W1185" t="s">
        <v>71</v>
      </c>
      <c r="X1185">
        <v>0</v>
      </c>
      <c r="Y1185">
        <v>10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34</v>
      </c>
      <c r="AF1185">
        <v>86</v>
      </c>
      <c r="AG1185">
        <v>64</v>
      </c>
      <c r="AH1185">
        <v>0</v>
      </c>
      <c r="AI1185">
        <v>0.10299999999999999</v>
      </c>
      <c r="AK1185" t="s">
        <v>95</v>
      </c>
      <c r="AM1185">
        <v>200000</v>
      </c>
      <c r="AN1185" t="s">
        <v>97</v>
      </c>
      <c r="AO1185">
        <v>1</v>
      </c>
      <c r="AP1185">
        <v>0</v>
      </c>
      <c r="AQ1185">
        <v>16666.666666666668</v>
      </c>
      <c r="AR1185" t="s">
        <v>3319</v>
      </c>
      <c r="AS1185" t="s">
        <v>75</v>
      </c>
      <c r="AX1185" t="s">
        <v>76</v>
      </c>
      <c r="AY1185" t="s">
        <v>71</v>
      </c>
      <c r="AZ1185">
        <v>0</v>
      </c>
      <c r="BA1185" t="s">
        <v>71</v>
      </c>
      <c r="BB1185">
        <v>0</v>
      </c>
      <c r="BD1185">
        <v>10</v>
      </c>
    </row>
    <row r="1186" spans="1:56" x14ac:dyDescent="0.15">
      <c r="A1186" s="4" t="str">
        <f>HYPERLINK("https://ibp.a2mac1.com/costing(costing:projects/details/9760/part/8412922)","Distributor Actuator 2")</f>
        <v>Distributor Actuator 2</v>
      </c>
      <c r="B1186">
        <v>8412922</v>
      </c>
      <c r="C1186">
        <v>8412870</v>
      </c>
      <c r="E1186">
        <v>15</v>
      </c>
      <c r="F1186">
        <v>0</v>
      </c>
      <c r="G1186">
        <v>0</v>
      </c>
      <c r="H1186">
        <v>0</v>
      </c>
      <c r="I1186" t="s">
        <v>71</v>
      </c>
      <c r="J1186">
        <v>0</v>
      </c>
      <c r="K1186">
        <v>15</v>
      </c>
      <c r="L1186">
        <v>0</v>
      </c>
      <c r="M1186">
        <v>0</v>
      </c>
      <c r="N1186">
        <v>15</v>
      </c>
      <c r="O1186" t="s">
        <v>71</v>
      </c>
      <c r="P1186">
        <v>0</v>
      </c>
      <c r="Q1186" t="s">
        <v>71</v>
      </c>
      <c r="R1186">
        <v>0</v>
      </c>
      <c r="S1186" t="s">
        <v>71</v>
      </c>
      <c r="T1186">
        <v>0</v>
      </c>
      <c r="U1186" t="s">
        <v>71</v>
      </c>
      <c r="V1186">
        <v>0</v>
      </c>
      <c r="W1186" t="s">
        <v>71</v>
      </c>
      <c r="X1186">
        <v>0</v>
      </c>
      <c r="Y1186">
        <v>15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35</v>
      </c>
      <c r="AF1186">
        <v>132</v>
      </c>
      <c r="AG1186">
        <v>82</v>
      </c>
      <c r="AH1186">
        <v>0</v>
      </c>
      <c r="AI1186">
        <v>0.245</v>
      </c>
      <c r="AK1186" t="s">
        <v>95</v>
      </c>
      <c r="AM1186">
        <v>200000</v>
      </c>
      <c r="AN1186" t="s">
        <v>97</v>
      </c>
      <c r="AO1186">
        <v>1</v>
      </c>
      <c r="AP1186">
        <v>0</v>
      </c>
      <c r="AQ1186">
        <v>16666.666666666668</v>
      </c>
      <c r="AR1186" t="s">
        <v>3320</v>
      </c>
      <c r="AS1186" t="s">
        <v>75</v>
      </c>
      <c r="AX1186" t="s">
        <v>76</v>
      </c>
      <c r="AY1186" t="s">
        <v>71</v>
      </c>
      <c r="AZ1186">
        <v>0</v>
      </c>
      <c r="BA1186" t="s">
        <v>71</v>
      </c>
      <c r="BB1186">
        <v>0</v>
      </c>
      <c r="BD1186">
        <v>15</v>
      </c>
    </row>
    <row r="1187" spans="1:56" x14ac:dyDescent="0.15">
      <c r="A1187" s="4" t="str">
        <f>HYPERLINK("https://ibp.a2mac1.com/costing(costing:projects/details/9760/part/8412923)","Water Temperature Sensor")</f>
        <v>Water Temperature Sensor</v>
      </c>
      <c r="B1187">
        <v>8412923</v>
      </c>
      <c r="C1187">
        <v>8412870</v>
      </c>
      <c r="E1187">
        <v>2.5</v>
      </c>
      <c r="F1187">
        <v>0</v>
      </c>
      <c r="G1187">
        <v>0</v>
      </c>
      <c r="H1187">
        <v>0</v>
      </c>
      <c r="I1187" t="s">
        <v>71</v>
      </c>
      <c r="J1187">
        <v>0</v>
      </c>
      <c r="K1187">
        <v>2.5</v>
      </c>
      <c r="L1187">
        <v>0</v>
      </c>
      <c r="M1187">
        <v>0</v>
      </c>
      <c r="N1187">
        <v>2.5</v>
      </c>
      <c r="O1187" t="s">
        <v>71</v>
      </c>
      <c r="P1187">
        <v>0</v>
      </c>
      <c r="Q1187" t="s">
        <v>71</v>
      </c>
      <c r="R1187">
        <v>0</v>
      </c>
      <c r="S1187" t="s">
        <v>71</v>
      </c>
      <c r="T1187">
        <v>0</v>
      </c>
      <c r="U1187" t="s">
        <v>71</v>
      </c>
      <c r="V1187">
        <v>0</v>
      </c>
      <c r="W1187" t="s">
        <v>71</v>
      </c>
      <c r="X1187">
        <v>0</v>
      </c>
      <c r="Y1187">
        <v>2.5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16</v>
      </c>
      <c r="AF1187">
        <v>14</v>
      </c>
      <c r="AG1187">
        <v>46</v>
      </c>
      <c r="AH1187">
        <v>0</v>
      </c>
      <c r="AI1187">
        <v>3.0000000000000001E-3</v>
      </c>
      <c r="AK1187" t="s">
        <v>95</v>
      </c>
      <c r="AM1187">
        <v>200000</v>
      </c>
      <c r="AN1187" t="s">
        <v>97</v>
      </c>
      <c r="AO1187">
        <v>1</v>
      </c>
      <c r="AP1187">
        <v>0</v>
      </c>
      <c r="AQ1187">
        <v>16666.666666666668</v>
      </c>
      <c r="AR1187" t="s">
        <v>3321</v>
      </c>
      <c r="AS1187" t="s">
        <v>75</v>
      </c>
      <c r="AX1187" t="s">
        <v>76</v>
      </c>
      <c r="AY1187" t="s">
        <v>71</v>
      </c>
      <c r="AZ1187">
        <v>0</v>
      </c>
      <c r="BA1187" t="s">
        <v>71</v>
      </c>
      <c r="BB1187">
        <v>0</v>
      </c>
      <c r="BD1187">
        <v>2.5</v>
      </c>
    </row>
    <row r="1188" spans="1:56" x14ac:dyDescent="0.15">
      <c r="A1188" s="4" t="str">
        <f>HYPERLINK("https://ibp.a2mac1.com/costing(costing:projects/details/9760/part/8412924)","Cooling Manifold")</f>
        <v>Cooling Manifold</v>
      </c>
      <c r="B1188">
        <v>8412924</v>
      </c>
      <c r="C1188">
        <v>8412870</v>
      </c>
      <c r="E1188">
        <v>2.5769253228571429</v>
      </c>
      <c r="F1188">
        <v>0</v>
      </c>
      <c r="G1188">
        <v>0</v>
      </c>
      <c r="H1188">
        <v>0.45752090641632653</v>
      </c>
      <c r="I1188" t="s">
        <v>176</v>
      </c>
      <c r="J1188">
        <v>9.0736807142857145E-2</v>
      </c>
      <c r="K1188">
        <v>3.1251830364163267</v>
      </c>
      <c r="L1188">
        <v>2.1731445023931957</v>
      </c>
      <c r="M1188">
        <v>13.038867014359175</v>
      </c>
      <c r="N1188">
        <v>16.164050050775501</v>
      </c>
      <c r="O1188" t="s">
        <v>177</v>
      </c>
      <c r="P1188">
        <v>0.18751098218497958</v>
      </c>
      <c r="Q1188" t="s">
        <v>177</v>
      </c>
      <c r="R1188">
        <v>0.78233202086155051</v>
      </c>
      <c r="S1188" t="s">
        <v>178</v>
      </c>
      <c r="T1188">
        <v>1.9396860060930603</v>
      </c>
      <c r="U1188" t="s">
        <v>90</v>
      </c>
      <c r="V1188">
        <v>0</v>
      </c>
      <c r="W1188" t="s">
        <v>90</v>
      </c>
      <c r="X1188">
        <v>0</v>
      </c>
      <c r="Y1188">
        <v>19.07357905991509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280</v>
      </c>
      <c r="AF1188">
        <v>272</v>
      </c>
      <c r="AG1188">
        <v>278</v>
      </c>
      <c r="AH1188">
        <v>0</v>
      </c>
      <c r="AI1188">
        <v>1.8859999999999999</v>
      </c>
      <c r="AK1188" t="s">
        <v>100</v>
      </c>
      <c r="AM1188">
        <v>200000</v>
      </c>
      <c r="AN1188" t="s">
        <v>97</v>
      </c>
      <c r="AO1188">
        <v>1</v>
      </c>
      <c r="AP1188">
        <v>0</v>
      </c>
      <c r="AQ1188">
        <v>16666.666666666668</v>
      </c>
      <c r="AR1188" t="s">
        <v>3327</v>
      </c>
      <c r="AS1188" t="s">
        <v>75</v>
      </c>
      <c r="AX1188" t="s">
        <v>76</v>
      </c>
      <c r="AY1188" t="s">
        <v>176</v>
      </c>
      <c r="AZ1188">
        <v>0</v>
      </c>
      <c r="BA1188" t="s">
        <v>176</v>
      </c>
      <c r="BB1188">
        <v>0</v>
      </c>
    </row>
    <row r="1189" spans="1:56" x14ac:dyDescent="0.15">
      <c r="A1189" s="4" t="str">
        <f>HYPERLINK("https://ibp.a2mac1.com/costing(costing:projects/details/9760/part/8413254)","Impregnation resin")</f>
        <v>Impregnation resin</v>
      </c>
      <c r="B1189">
        <v>8413254</v>
      </c>
      <c r="C1189">
        <v>8413108</v>
      </c>
      <c r="D1189" t="s">
        <v>3333</v>
      </c>
      <c r="E1189">
        <v>1.53</v>
      </c>
      <c r="F1189">
        <v>0</v>
      </c>
      <c r="G1189">
        <v>0</v>
      </c>
      <c r="H1189">
        <v>0</v>
      </c>
      <c r="I1189" t="s">
        <v>71</v>
      </c>
      <c r="J1189">
        <v>0</v>
      </c>
      <c r="K1189">
        <v>1.53</v>
      </c>
      <c r="L1189">
        <v>0</v>
      </c>
      <c r="M1189">
        <v>0</v>
      </c>
      <c r="N1189">
        <v>1.53</v>
      </c>
      <c r="O1189" t="s">
        <v>71</v>
      </c>
      <c r="P1189">
        <v>0</v>
      </c>
      <c r="Q1189" t="s">
        <v>71</v>
      </c>
      <c r="R1189">
        <v>0</v>
      </c>
      <c r="S1189" t="s">
        <v>71</v>
      </c>
      <c r="T1189">
        <v>0</v>
      </c>
      <c r="U1189" t="s">
        <v>71</v>
      </c>
      <c r="V1189">
        <v>0</v>
      </c>
      <c r="W1189" t="s">
        <v>71</v>
      </c>
      <c r="X1189">
        <v>0</v>
      </c>
      <c r="Y1189">
        <v>1.53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K1189" t="s">
        <v>100</v>
      </c>
      <c r="AM1189">
        <v>200000</v>
      </c>
      <c r="AN1189" t="s">
        <v>97</v>
      </c>
      <c r="AO1189">
        <v>1</v>
      </c>
      <c r="AP1189">
        <v>0</v>
      </c>
      <c r="AQ1189">
        <v>16666.666666666668</v>
      </c>
      <c r="AR1189" t="s">
        <v>9</v>
      </c>
      <c r="AS1189" t="s">
        <v>75</v>
      </c>
      <c r="AX1189" t="s">
        <v>76</v>
      </c>
      <c r="AY1189" t="s">
        <v>71</v>
      </c>
      <c r="AZ1189">
        <v>0</v>
      </c>
      <c r="BA1189" t="s">
        <v>71</v>
      </c>
      <c r="BB1189">
        <v>0</v>
      </c>
      <c r="BD1189">
        <v>1.53</v>
      </c>
    </row>
    <row r="1190" spans="1:56" x14ac:dyDescent="0.15">
      <c r="A1190" s="4" t="str">
        <f>HYPERLINK("https://ibp.a2mac1.com/costing(costing:projects/details/9760/part/8413255)","Wire winding")</f>
        <v>Wire winding</v>
      </c>
      <c r="B1190">
        <v>8413255</v>
      </c>
      <c r="C1190">
        <v>8413108</v>
      </c>
      <c r="D1190" t="s">
        <v>3334</v>
      </c>
      <c r="E1190">
        <v>56.81</v>
      </c>
      <c r="F1190">
        <v>0</v>
      </c>
      <c r="G1190">
        <v>0</v>
      </c>
      <c r="H1190">
        <v>0</v>
      </c>
      <c r="I1190" t="s">
        <v>71</v>
      </c>
      <c r="J1190">
        <v>0</v>
      </c>
      <c r="K1190">
        <v>56.81</v>
      </c>
      <c r="L1190">
        <v>0</v>
      </c>
      <c r="M1190">
        <v>0</v>
      </c>
      <c r="N1190">
        <v>56.81</v>
      </c>
      <c r="O1190" t="s">
        <v>71</v>
      </c>
      <c r="P1190">
        <v>0</v>
      </c>
      <c r="Q1190" t="s">
        <v>71</v>
      </c>
      <c r="R1190">
        <v>0</v>
      </c>
      <c r="S1190" t="s">
        <v>71</v>
      </c>
      <c r="T1190">
        <v>0</v>
      </c>
      <c r="U1190" t="s">
        <v>71</v>
      </c>
      <c r="V1190">
        <v>0</v>
      </c>
      <c r="W1190" t="s">
        <v>71</v>
      </c>
      <c r="X1190">
        <v>0</v>
      </c>
      <c r="Y1190">
        <v>56.81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K1190" t="s">
        <v>100</v>
      </c>
      <c r="AM1190">
        <v>200000</v>
      </c>
      <c r="AN1190" t="s">
        <v>97</v>
      </c>
      <c r="AO1190">
        <v>1</v>
      </c>
      <c r="AP1190">
        <v>0</v>
      </c>
      <c r="AQ1190">
        <v>16666.666666666668</v>
      </c>
      <c r="AR1190" t="s">
        <v>9</v>
      </c>
      <c r="AS1190" t="s">
        <v>75</v>
      </c>
      <c r="AX1190" t="s">
        <v>76</v>
      </c>
      <c r="AY1190" t="s">
        <v>71</v>
      </c>
      <c r="AZ1190">
        <v>0</v>
      </c>
      <c r="BA1190" t="s">
        <v>71</v>
      </c>
      <c r="BB1190">
        <v>0</v>
      </c>
      <c r="BD1190">
        <v>56.81</v>
      </c>
    </row>
    <row r="1191" spans="1:56" x14ac:dyDescent="0.15">
      <c r="A1191" s="4" t="str">
        <f>HYPERLINK("https://ibp.a2mac1.com/costing(costing:projects/details/9760/part/8413104)","Electrical Insulation 1")</f>
        <v>Electrical Insulation 1</v>
      </c>
      <c r="B1191">
        <v>8413104</v>
      </c>
      <c r="C1191">
        <v>8413053</v>
      </c>
      <c r="D1191" t="s">
        <v>3333</v>
      </c>
      <c r="E1191">
        <v>2.3199999999999998</v>
      </c>
      <c r="F1191">
        <v>0</v>
      </c>
      <c r="G1191">
        <v>0</v>
      </c>
      <c r="H1191">
        <v>0</v>
      </c>
      <c r="I1191" t="s">
        <v>71</v>
      </c>
      <c r="J1191">
        <v>0</v>
      </c>
      <c r="K1191">
        <v>2.3199999999999998</v>
      </c>
      <c r="L1191">
        <v>0</v>
      </c>
      <c r="M1191">
        <v>0</v>
      </c>
      <c r="N1191">
        <v>2.3199999999999998</v>
      </c>
      <c r="O1191" t="s">
        <v>71</v>
      </c>
      <c r="P1191">
        <v>0</v>
      </c>
      <c r="Q1191" t="s">
        <v>71</v>
      </c>
      <c r="R1191">
        <v>0</v>
      </c>
      <c r="S1191" t="s">
        <v>71</v>
      </c>
      <c r="T1191">
        <v>0</v>
      </c>
      <c r="U1191" t="s">
        <v>71</v>
      </c>
      <c r="V1191">
        <v>0</v>
      </c>
      <c r="W1191" t="s">
        <v>71</v>
      </c>
      <c r="X1191">
        <v>0</v>
      </c>
      <c r="Y1191">
        <v>2.3199999999999998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5</v>
      </c>
      <c r="AF1191">
        <v>157</v>
      </c>
      <c r="AG1191">
        <v>14</v>
      </c>
      <c r="AH1191">
        <v>0</v>
      </c>
      <c r="AI1191">
        <v>5.8000000000000003E-2</v>
      </c>
      <c r="AK1191" t="s">
        <v>100</v>
      </c>
      <c r="AM1191">
        <v>200000</v>
      </c>
      <c r="AN1191" t="s">
        <v>97</v>
      </c>
      <c r="AO1191">
        <v>1</v>
      </c>
      <c r="AP1191">
        <v>0</v>
      </c>
      <c r="AQ1191">
        <v>16666.666666666668</v>
      </c>
      <c r="AR1191" t="s">
        <v>9</v>
      </c>
      <c r="AS1191" t="s">
        <v>75</v>
      </c>
      <c r="AX1191" t="s">
        <v>76</v>
      </c>
      <c r="AY1191" t="s">
        <v>71</v>
      </c>
      <c r="AZ1191">
        <v>0</v>
      </c>
      <c r="BA1191" t="s">
        <v>71</v>
      </c>
      <c r="BB1191">
        <v>0</v>
      </c>
      <c r="BD1191">
        <v>2.3199999999999998</v>
      </c>
    </row>
    <row r="1192" spans="1:56" x14ac:dyDescent="0.15">
      <c r="A1192" s="4" t="str">
        <f>HYPERLINK("https://ibp.a2mac1.com/costing(costing:projects/details/9760/part/8413105)","Temperature Sensor")</f>
        <v>Temperature Sensor</v>
      </c>
      <c r="B1192">
        <v>8413105</v>
      </c>
      <c r="C1192">
        <v>8413053</v>
      </c>
      <c r="D1192" t="s">
        <v>3333</v>
      </c>
      <c r="E1192">
        <v>0.5</v>
      </c>
      <c r="F1192">
        <v>0</v>
      </c>
      <c r="G1192">
        <v>0</v>
      </c>
      <c r="H1192">
        <v>0</v>
      </c>
      <c r="I1192" t="s">
        <v>71</v>
      </c>
      <c r="J1192">
        <v>0</v>
      </c>
      <c r="K1192">
        <v>0.5</v>
      </c>
      <c r="L1192">
        <v>0</v>
      </c>
      <c r="M1192">
        <v>0</v>
      </c>
      <c r="N1192">
        <v>0.5</v>
      </c>
      <c r="O1192" t="s">
        <v>71</v>
      </c>
      <c r="P1192">
        <v>0</v>
      </c>
      <c r="Q1192" t="s">
        <v>71</v>
      </c>
      <c r="R1192">
        <v>0</v>
      </c>
      <c r="S1192" t="s">
        <v>71</v>
      </c>
      <c r="T1192">
        <v>0</v>
      </c>
      <c r="U1192" t="s">
        <v>71</v>
      </c>
      <c r="V1192">
        <v>0</v>
      </c>
      <c r="W1192" t="s">
        <v>71</v>
      </c>
      <c r="X1192">
        <v>0</v>
      </c>
      <c r="Y1192">
        <v>0.5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1.2E-2</v>
      </c>
      <c r="AK1192" t="s">
        <v>100</v>
      </c>
      <c r="AM1192">
        <v>200000</v>
      </c>
      <c r="AN1192" t="s">
        <v>97</v>
      </c>
      <c r="AO1192">
        <v>1</v>
      </c>
      <c r="AP1192">
        <v>0</v>
      </c>
      <c r="AQ1192">
        <v>16666.666666666668</v>
      </c>
      <c r="AR1192" t="s">
        <v>9</v>
      </c>
      <c r="AS1192" t="s">
        <v>75</v>
      </c>
      <c r="AX1192" t="s">
        <v>76</v>
      </c>
      <c r="AY1192" t="s">
        <v>71</v>
      </c>
      <c r="AZ1192">
        <v>0</v>
      </c>
      <c r="BA1192" t="s">
        <v>71</v>
      </c>
      <c r="BB1192">
        <v>0</v>
      </c>
      <c r="BD1192">
        <v>0.5</v>
      </c>
    </row>
    <row r="1193" spans="1:56" x14ac:dyDescent="0.15">
      <c r="A1193" s="4" t="str">
        <f>HYPERLINK("https://ibp.a2mac1.com/costing(costing:projects/details/9760/part/8413106)","Coupling Busbar 1")</f>
        <v>Coupling Busbar 1</v>
      </c>
      <c r="B1193">
        <v>8413106</v>
      </c>
      <c r="C1193">
        <v>8413053</v>
      </c>
      <c r="D1193" t="s">
        <v>3335</v>
      </c>
      <c r="E1193">
        <v>1.21</v>
      </c>
      <c r="F1193">
        <v>0</v>
      </c>
      <c r="G1193">
        <v>0</v>
      </c>
      <c r="H1193">
        <v>0</v>
      </c>
      <c r="I1193" t="s">
        <v>71</v>
      </c>
      <c r="J1193">
        <v>0</v>
      </c>
      <c r="K1193">
        <v>1.21</v>
      </c>
      <c r="L1193">
        <v>0</v>
      </c>
      <c r="M1193">
        <v>0</v>
      </c>
      <c r="N1193">
        <v>1.21</v>
      </c>
      <c r="O1193" t="s">
        <v>71</v>
      </c>
      <c r="P1193">
        <v>0</v>
      </c>
      <c r="Q1193" t="s">
        <v>71</v>
      </c>
      <c r="R1193">
        <v>0</v>
      </c>
      <c r="S1193" t="s">
        <v>71</v>
      </c>
      <c r="T1193">
        <v>0</v>
      </c>
      <c r="U1193" t="s">
        <v>71</v>
      </c>
      <c r="V1193">
        <v>0</v>
      </c>
      <c r="W1193" t="s">
        <v>71</v>
      </c>
      <c r="X1193">
        <v>0</v>
      </c>
      <c r="Y1193">
        <v>1.21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26</v>
      </c>
      <c r="AF1193">
        <v>121</v>
      </c>
      <c r="AG1193">
        <v>39</v>
      </c>
      <c r="AH1193">
        <v>0</v>
      </c>
      <c r="AI1193">
        <v>7.3999999999999996E-2</v>
      </c>
      <c r="AK1193" t="s">
        <v>100</v>
      </c>
      <c r="AM1193">
        <v>200000</v>
      </c>
      <c r="AN1193" t="s">
        <v>97</v>
      </c>
      <c r="AO1193">
        <v>1</v>
      </c>
      <c r="AP1193">
        <v>0</v>
      </c>
      <c r="AQ1193">
        <v>16666.666666666668</v>
      </c>
      <c r="AR1193" t="s">
        <v>9</v>
      </c>
      <c r="AS1193" t="s">
        <v>75</v>
      </c>
      <c r="AX1193" t="s">
        <v>76</v>
      </c>
      <c r="AY1193" t="s">
        <v>71</v>
      </c>
      <c r="AZ1193">
        <v>0</v>
      </c>
      <c r="BA1193" t="s">
        <v>71</v>
      </c>
      <c r="BB1193">
        <v>0</v>
      </c>
      <c r="BD1193">
        <v>1.21</v>
      </c>
    </row>
    <row r="1194" spans="1:56" x14ac:dyDescent="0.15">
      <c r="A1194" s="4" t="str">
        <f>HYPERLINK("https://ibp.a2mac1.com/costing(costing:projects/details/9760/part/8413107)","Coupling Busbar 2")</f>
        <v>Coupling Busbar 2</v>
      </c>
      <c r="B1194">
        <v>8413107</v>
      </c>
      <c r="C1194">
        <v>8413053</v>
      </c>
      <c r="D1194" t="s">
        <v>3336</v>
      </c>
      <c r="E1194">
        <v>0.62</v>
      </c>
      <c r="F1194">
        <v>0</v>
      </c>
      <c r="G1194">
        <v>0</v>
      </c>
      <c r="H1194">
        <v>0</v>
      </c>
      <c r="I1194" t="s">
        <v>71</v>
      </c>
      <c r="J1194">
        <v>0</v>
      </c>
      <c r="K1194">
        <v>0.62</v>
      </c>
      <c r="L1194">
        <v>0</v>
      </c>
      <c r="M1194">
        <v>0</v>
      </c>
      <c r="N1194">
        <v>0.62</v>
      </c>
      <c r="O1194" t="s">
        <v>71</v>
      </c>
      <c r="P1194">
        <v>0</v>
      </c>
      <c r="Q1194" t="s">
        <v>71</v>
      </c>
      <c r="R1194">
        <v>0</v>
      </c>
      <c r="S1194" t="s">
        <v>71</v>
      </c>
      <c r="T1194">
        <v>0</v>
      </c>
      <c r="U1194" t="s">
        <v>71</v>
      </c>
      <c r="V1194">
        <v>0</v>
      </c>
      <c r="W1194" t="s">
        <v>71</v>
      </c>
      <c r="X1194">
        <v>0</v>
      </c>
      <c r="Y1194">
        <v>0.62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14</v>
      </c>
      <c r="AF1194">
        <v>114</v>
      </c>
      <c r="AG1194">
        <v>25</v>
      </c>
      <c r="AH1194">
        <v>0</v>
      </c>
      <c r="AI1194">
        <v>4.2999999999999997E-2</v>
      </c>
      <c r="AK1194" t="s">
        <v>100</v>
      </c>
      <c r="AM1194">
        <v>200000</v>
      </c>
      <c r="AN1194" t="s">
        <v>97</v>
      </c>
      <c r="AO1194">
        <v>1</v>
      </c>
      <c r="AP1194">
        <v>0</v>
      </c>
      <c r="AQ1194">
        <v>16666.666666666668</v>
      </c>
      <c r="AR1194" t="s">
        <v>9</v>
      </c>
      <c r="AS1194" t="s">
        <v>75</v>
      </c>
      <c r="AX1194" t="s">
        <v>76</v>
      </c>
      <c r="AY1194" t="s">
        <v>71</v>
      </c>
      <c r="AZ1194">
        <v>0</v>
      </c>
      <c r="BA1194" t="s">
        <v>71</v>
      </c>
      <c r="BB1194">
        <v>0</v>
      </c>
      <c r="BD1194">
        <v>0.62</v>
      </c>
    </row>
    <row r="1195" spans="1:56" x14ac:dyDescent="0.15">
      <c r="A1195" s="4" t="str">
        <f>HYPERLINK("https://ibp.a2mac1.com/costing(costing:projects/details/9760/part/8413109)","Lamination")</f>
        <v>Lamination</v>
      </c>
      <c r="B1195">
        <v>8413109</v>
      </c>
      <c r="C1195">
        <v>8413053</v>
      </c>
      <c r="E1195">
        <v>32.622565563636364</v>
      </c>
      <c r="F1195">
        <v>0</v>
      </c>
      <c r="G1195">
        <v>0</v>
      </c>
      <c r="H1195">
        <v>7.1228309090909088E-4</v>
      </c>
      <c r="I1195" t="s">
        <v>176</v>
      </c>
      <c r="J1195">
        <v>1.2464954090909091</v>
      </c>
      <c r="K1195">
        <v>33.869773255818181</v>
      </c>
      <c r="L1195">
        <v>0.46976899048154652</v>
      </c>
      <c r="M1195">
        <v>2.8186139428892791</v>
      </c>
      <c r="N1195">
        <v>36.68838719870746</v>
      </c>
      <c r="O1195" t="s">
        <v>177</v>
      </c>
      <c r="P1195">
        <v>2.0321863953490911</v>
      </c>
      <c r="Q1195" t="s">
        <v>177</v>
      </c>
      <c r="R1195">
        <v>0.16911683657335674</v>
      </c>
      <c r="S1195" t="s">
        <v>178</v>
      </c>
      <c r="T1195">
        <v>4.4026064638448954</v>
      </c>
      <c r="U1195" t="s">
        <v>90</v>
      </c>
      <c r="V1195">
        <v>0</v>
      </c>
      <c r="W1195" t="s">
        <v>90</v>
      </c>
      <c r="X1195">
        <v>0</v>
      </c>
      <c r="Y1195">
        <v>43.292296894474802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133</v>
      </c>
      <c r="AF1195">
        <v>210</v>
      </c>
      <c r="AG1195">
        <v>210</v>
      </c>
      <c r="AH1195">
        <v>0.3</v>
      </c>
      <c r="AI1195">
        <v>13.4</v>
      </c>
      <c r="AK1195" t="s">
        <v>100</v>
      </c>
      <c r="AM1195">
        <v>200000</v>
      </c>
      <c r="AN1195" t="s">
        <v>97</v>
      </c>
      <c r="AO1195">
        <v>1</v>
      </c>
      <c r="AP1195">
        <v>0</v>
      </c>
      <c r="AQ1195">
        <v>16666.666666666668</v>
      </c>
      <c r="AR1195" t="s">
        <v>9</v>
      </c>
      <c r="AS1195" t="s">
        <v>75</v>
      </c>
      <c r="AX1195" t="s">
        <v>76</v>
      </c>
      <c r="AY1195" t="s">
        <v>176</v>
      </c>
      <c r="AZ1195">
        <v>0</v>
      </c>
      <c r="BA1195" t="s">
        <v>176</v>
      </c>
      <c r="BB1195">
        <v>0</v>
      </c>
    </row>
    <row r="1196" spans="1:56" x14ac:dyDescent="0.15">
      <c r="A1196" s="4" t="str">
        <f>HYPERLINK("https://ibp.a2mac1.com/costing(costing:projects/details/9760/part/8413110)","End Cap 1")</f>
        <v>End Cap 1</v>
      </c>
      <c r="B1196">
        <v>8413110</v>
      </c>
      <c r="C1196">
        <v>8413054</v>
      </c>
      <c r="D1196" t="s">
        <v>3345</v>
      </c>
      <c r="E1196">
        <v>5.37</v>
      </c>
      <c r="F1196">
        <v>0</v>
      </c>
      <c r="G1196">
        <v>0</v>
      </c>
      <c r="H1196">
        <v>0</v>
      </c>
      <c r="I1196" t="s">
        <v>71</v>
      </c>
      <c r="J1196">
        <v>0</v>
      </c>
      <c r="K1196">
        <v>5.37</v>
      </c>
      <c r="L1196">
        <v>0</v>
      </c>
      <c r="M1196">
        <v>0</v>
      </c>
      <c r="N1196">
        <v>5.37</v>
      </c>
      <c r="O1196" t="s">
        <v>71</v>
      </c>
      <c r="P1196">
        <v>0</v>
      </c>
      <c r="Q1196" t="s">
        <v>71</v>
      </c>
      <c r="R1196">
        <v>0</v>
      </c>
      <c r="S1196" t="s">
        <v>71</v>
      </c>
      <c r="T1196">
        <v>0</v>
      </c>
      <c r="U1196" t="s">
        <v>71</v>
      </c>
      <c r="V1196">
        <v>0</v>
      </c>
      <c r="W1196" t="s">
        <v>71</v>
      </c>
      <c r="X1196">
        <v>0</v>
      </c>
      <c r="Y1196">
        <v>5.37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13</v>
      </c>
      <c r="AF1196">
        <v>147</v>
      </c>
      <c r="AG1196">
        <v>147</v>
      </c>
      <c r="AH1196">
        <v>0</v>
      </c>
      <c r="AI1196">
        <v>0.28949999999999998</v>
      </c>
      <c r="AK1196" t="s">
        <v>100</v>
      </c>
      <c r="AM1196">
        <v>400000</v>
      </c>
      <c r="AN1196" t="s">
        <v>97</v>
      </c>
      <c r="AO1196">
        <v>2</v>
      </c>
      <c r="AP1196">
        <v>0</v>
      </c>
      <c r="AQ1196">
        <v>33333.333333333336</v>
      </c>
      <c r="AR1196" t="s">
        <v>9</v>
      </c>
      <c r="AS1196" t="s">
        <v>75</v>
      </c>
      <c r="AX1196" t="s">
        <v>76</v>
      </c>
      <c r="AY1196" t="s">
        <v>71</v>
      </c>
      <c r="AZ1196">
        <v>0</v>
      </c>
      <c r="BA1196" t="s">
        <v>71</v>
      </c>
      <c r="BB1196">
        <v>0</v>
      </c>
      <c r="BD1196">
        <v>2.6850000000000001</v>
      </c>
    </row>
    <row r="1197" spans="1:56" x14ac:dyDescent="0.15">
      <c r="A1197" s="4" t="str">
        <f>HYPERLINK("https://ibp.a2mac1.com/costing(costing:projects/details/9760/part/8413111)","End Cap 2")</f>
        <v>End Cap 2</v>
      </c>
      <c r="B1197">
        <v>8413111</v>
      </c>
      <c r="C1197">
        <v>8413054</v>
      </c>
      <c r="D1197" t="s">
        <v>3346</v>
      </c>
      <c r="E1197">
        <v>1.24</v>
      </c>
      <c r="F1197">
        <v>0</v>
      </c>
      <c r="G1197">
        <v>0</v>
      </c>
      <c r="H1197">
        <v>0</v>
      </c>
      <c r="I1197" t="s">
        <v>71</v>
      </c>
      <c r="J1197">
        <v>0</v>
      </c>
      <c r="K1197">
        <v>1.24</v>
      </c>
      <c r="L1197">
        <v>0</v>
      </c>
      <c r="M1197">
        <v>0</v>
      </c>
      <c r="N1197">
        <v>1.24</v>
      </c>
      <c r="O1197" t="s">
        <v>71</v>
      </c>
      <c r="P1197">
        <v>0</v>
      </c>
      <c r="Q1197" t="s">
        <v>71</v>
      </c>
      <c r="R1197">
        <v>0</v>
      </c>
      <c r="S1197" t="s">
        <v>71</v>
      </c>
      <c r="T1197">
        <v>0</v>
      </c>
      <c r="U1197" t="s">
        <v>71</v>
      </c>
      <c r="V1197">
        <v>0</v>
      </c>
      <c r="W1197" t="s">
        <v>71</v>
      </c>
      <c r="X1197">
        <v>0</v>
      </c>
      <c r="Y1197">
        <v>1.24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11</v>
      </c>
      <c r="AF1197">
        <v>90</v>
      </c>
      <c r="AG1197">
        <v>90</v>
      </c>
      <c r="AH1197">
        <v>0</v>
      </c>
      <c r="AI1197">
        <v>0.27</v>
      </c>
      <c r="AK1197" t="s">
        <v>100</v>
      </c>
      <c r="AM1197">
        <v>200000</v>
      </c>
      <c r="AN1197" t="s">
        <v>97</v>
      </c>
      <c r="AO1197">
        <v>1</v>
      </c>
      <c r="AP1197">
        <v>0</v>
      </c>
      <c r="AQ1197">
        <v>16666.666666666668</v>
      </c>
      <c r="AR1197" t="s">
        <v>9</v>
      </c>
      <c r="AS1197" t="s">
        <v>75</v>
      </c>
      <c r="AX1197" t="s">
        <v>76</v>
      </c>
      <c r="AY1197" t="s">
        <v>71</v>
      </c>
      <c r="AZ1197">
        <v>0</v>
      </c>
      <c r="BA1197" t="s">
        <v>71</v>
      </c>
      <c r="BB1197">
        <v>0</v>
      </c>
      <c r="BD1197">
        <v>1.24</v>
      </c>
    </row>
    <row r="1198" spans="1:56" x14ac:dyDescent="0.15">
      <c r="A1198" s="4" t="str">
        <f>HYPERLINK("https://ibp.a2mac1.com/costing(costing:projects/details/9760/part/8413112)","Lamination 1")</f>
        <v>Lamination 1</v>
      </c>
      <c r="B1198">
        <v>8413112</v>
      </c>
      <c r="C1198">
        <v>8413054</v>
      </c>
      <c r="E1198">
        <v>20.16614672</v>
      </c>
      <c r="F1198">
        <v>0</v>
      </c>
      <c r="G1198">
        <v>0</v>
      </c>
      <c r="H1198">
        <v>4.2232768E-4</v>
      </c>
      <c r="I1198" t="s">
        <v>176</v>
      </c>
      <c r="J1198">
        <v>0.73907343999999997</v>
      </c>
      <c r="K1198">
        <v>20.905642487680002</v>
      </c>
      <c r="L1198">
        <v>0.4381388958011076</v>
      </c>
      <c r="M1198">
        <v>2.6288333748066455</v>
      </c>
      <c r="N1198">
        <v>23.534475862486644</v>
      </c>
      <c r="O1198" t="s">
        <v>177</v>
      </c>
      <c r="P1198">
        <v>1.2543385492607999</v>
      </c>
      <c r="Q1198" t="s">
        <v>177</v>
      </c>
      <c r="R1198">
        <v>0.15773000248839872</v>
      </c>
      <c r="S1198" t="s">
        <v>178</v>
      </c>
      <c r="T1198">
        <v>2.8241371034983973</v>
      </c>
      <c r="U1198" t="s">
        <v>90</v>
      </c>
      <c r="V1198">
        <v>0</v>
      </c>
      <c r="W1198" t="s">
        <v>90</v>
      </c>
      <c r="X1198">
        <v>0</v>
      </c>
      <c r="Y1198">
        <v>27.770681517734243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137</v>
      </c>
      <c r="AF1198">
        <v>146</v>
      </c>
      <c r="AG1198">
        <v>146</v>
      </c>
      <c r="AH1198">
        <v>0</v>
      </c>
      <c r="AI1198">
        <v>12.64</v>
      </c>
      <c r="AK1198" t="s">
        <v>100</v>
      </c>
      <c r="AM1198">
        <v>200000</v>
      </c>
      <c r="AN1198" t="s">
        <v>97</v>
      </c>
      <c r="AO1198">
        <v>1</v>
      </c>
      <c r="AP1198">
        <v>0</v>
      </c>
      <c r="AQ1198">
        <v>16666.666666666668</v>
      </c>
      <c r="AR1198" t="s">
        <v>9</v>
      </c>
      <c r="AS1198" t="s">
        <v>75</v>
      </c>
      <c r="AX1198" t="s">
        <v>76</v>
      </c>
      <c r="AY1198" t="s">
        <v>176</v>
      </c>
      <c r="AZ1198">
        <v>0</v>
      </c>
      <c r="BA1198" t="s">
        <v>176</v>
      </c>
      <c r="BB1198">
        <v>0</v>
      </c>
    </row>
    <row r="1199" spans="1:56" x14ac:dyDescent="0.15">
      <c r="A1199" s="4" t="str">
        <f>HYPERLINK("https://ibp.a2mac1.com/costing(costing:projects/details/9760/part/8413113)","Shaft")</f>
        <v>Shaft</v>
      </c>
      <c r="B1199">
        <v>8413113</v>
      </c>
      <c r="C1199">
        <v>8413054</v>
      </c>
      <c r="E1199">
        <v>4.0410455592786887</v>
      </c>
      <c r="F1199">
        <v>0</v>
      </c>
      <c r="G1199">
        <v>0</v>
      </c>
      <c r="H1199">
        <v>8.7658255081967206E-5</v>
      </c>
      <c r="I1199" t="s">
        <v>176</v>
      </c>
      <c r="J1199">
        <v>0.15340194639344262</v>
      </c>
      <c r="K1199">
        <v>4.1945351639272133</v>
      </c>
      <c r="L1199">
        <v>0.61913332647250829</v>
      </c>
      <c r="M1199">
        <v>3.7147999588350498</v>
      </c>
      <c r="N1199">
        <v>7.909335122762263</v>
      </c>
      <c r="O1199" t="s">
        <v>177</v>
      </c>
      <c r="P1199">
        <v>0.25167210983563276</v>
      </c>
      <c r="Q1199" t="s">
        <v>177</v>
      </c>
      <c r="R1199">
        <v>0.22288799753010299</v>
      </c>
      <c r="S1199" t="s">
        <v>178</v>
      </c>
      <c r="T1199">
        <v>0.94912021473147157</v>
      </c>
      <c r="U1199" t="s">
        <v>90</v>
      </c>
      <c r="V1199">
        <v>0</v>
      </c>
      <c r="W1199" t="s">
        <v>90</v>
      </c>
      <c r="X1199">
        <v>0</v>
      </c>
      <c r="Y1199">
        <v>9.3330154448594698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353</v>
      </c>
      <c r="AF1199">
        <v>72</v>
      </c>
      <c r="AG1199">
        <v>72</v>
      </c>
      <c r="AH1199">
        <v>0</v>
      </c>
      <c r="AI1199">
        <v>4.431</v>
      </c>
      <c r="AK1199" t="s">
        <v>100</v>
      </c>
      <c r="AM1199">
        <v>200000</v>
      </c>
      <c r="AN1199" t="s">
        <v>97</v>
      </c>
      <c r="AO1199">
        <v>1</v>
      </c>
      <c r="AP1199">
        <v>0</v>
      </c>
      <c r="AQ1199">
        <v>16666.666666666668</v>
      </c>
      <c r="AR1199" t="s">
        <v>9</v>
      </c>
      <c r="AS1199" t="s">
        <v>75</v>
      </c>
      <c r="AX1199" t="s">
        <v>76</v>
      </c>
      <c r="AY1199" t="s">
        <v>176</v>
      </c>
      <c r="AZ1199">
        <v>0</v>
      </c>
      <c r="BA1199" t="s">
        <v>176</v>
      </c>
      <c r="BB1199">
        <v>0</v>
      </c>
    </row>
    <row r="1200" spans="1:56" x14ac:dyDescent="0.15">
      <c r="A1200" s="4" t="str">
        <f>HYPERLINK("https://ibp.a2mac1.com/costing(costing:projects/details/9760/part/8413114)","Access Trap")</f>
        <v>Access Trap</v>
      </c>
      <c r="B1200">
        <v>8413114</v>
      </c>
      <c r="C1200">
        <v>8413055</v>
      </c>
      <c r="D1200" t="s">
        <v>3345</v>
      </c>
      <c r="E1200">
        <v>3.49</v>
      </c>
      <c r="F1200">
        <v>0</v>
      </c>
      <c r="G1200">
        <v>0</v>
      </c>
      <c r="H1200">
        <v>0</v>
      </c>
      <c r="I1200" t="s">
        <v>71</v>
      </c>
      <c r="J1200">
        <v>0</v>
      </c>
      <c r="K1200">
        <v>3.49</v>
      </c>
      <c r="L1200">
        <v>0</v>
      </c>
      <c r="M1200">
        <v>0</v>
      </c>
      <c r="N1200">
        <v>3.49</v>
      </c>
      <c r="O1200" t="s">
        <v>71</v>
      </c>
      <c r="P1200">
        <v>0</v>
      </c>
      <c r="Q1200" t="s">
        <v>71</v>
      </c>
      <c r="R1200">
        <v>0</v>
      </c>
      <c r="S1200" t="s">
        <v>71</v>
      </c>
      <c r="T1200">
        <v>0</v>
      </c>
      <c r="U1200" t="s">
        <v>71</v>
      </c>
      <c r="V1200">
        <v>0</v>
      </c>
      <c r="W1200" t="s">
        <v>71</v>
      </c>
      <c r="X1200">
        <v>0</v>
      </c>
      <c r="Y1200">
        <v>3.49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36</v>
      </c>
      <c r="AF1200">
        <v>254</v>
      </c>
      <c r="AG1200">
        <v>212</v>
      </c>
      <c r="AH1200">
        <v>0</v>
      </c>
      <c r="AI1200">
        <v>0.63500000000000001</v>
      </c>
      <c r="AK1200" t="s">
        <v>100</v>
      </c>
      <c r="AM1200">
        <v>200000</v>
      </c>
      <c r="AN1200" t="s">
        <v>97</v>
      </c>
      <c r="AO1200">
        <v>1</v>
      </c>
      <c r="AP1200">
        <v>0</v>
      </c>
      <c r="AQ1200">
        <v>16666.666666666668</v>
      </c>
      <c r="AR1200" t="s">
        <v>3363</v>
      </c>
      <c r="AS1200" t="s">
        <v>75</v>
      </c>
      <c r="AX1200" t="s">
        <v>76</v>
      </c>
      <c r="AY1200" t="s">
        <v>71</v>
      </c>
      <c r="AZ1200">
        <v>0</v>
      </c>
      <c r="BA1200" t="s">
        <v>71</v>
      </c>
      <c r="BB1200">
        <v>0</v>
      </c>
      <c r="BD1200">
        <v>3.49</v>
      </c>
    </row>
    <row r="1201" spans="1:56" x14ac:dyDescent="0.15">
      <c r="A1201" s="4" t="str">
        <f>HYPERLINK("https://ibp.a2mac1.com/costing(costing:projects/details/9760/part/8413115)","Inner Wiring Cover")</f>
        <v>Inner Wiring Cover</v>
      </c>
      <c r="B1201">
        <v>8413115</v>
      </c>
      <c r="C1201">
        <v>8413055</v>
      </c>
      <c r="D1201" t="s">
        <v>3364</v>
      </c>
      <c r="E1201">
        <v>0.2</v>
      </c>
      <c r="F1201">
        <v>0</v>
      </c>
      <c r="G1201">
        <v>0</v>
      </c>
      <c r="H1201">
        <v>0</v>
      </c>
      <c r="I1201" t="s">
        <v>71</v>
      </c>
      <c r="J1201">
        <v>0</v>
      </c>
      <c r="K1201">
        <v>0.2</v>
      </c>
      <c r="L1201">
        <v>0</v>
      </c>
      <c r="M1201">
        <v>0</v>
      </c>
      <c r="N1201">
        <v>0.2</v>
      </c>
      <c r="O1201" t="s">
        <v>71</v>
      </c>
      <c r="P1201">
        <v>0</v>
      </c>
      <c r="Q1201" t="s">
        <v>71</v>
      </c>
      <c r="R1201">
        <v>0</v>
      </c>
      <c r="S1201" t="s">
        <v>71</v>
      </c>
      <c r="T1201">
        <v>0</v>
      </c>
      <c r="U1201" t="s">
        <v>71</v>
      </c>
      <c r="V1201">
        <v>0</v>
      </c>
      <c r="W1201" t="s">
        <v>71</v>
      </c>
      <c r="X1201">
        <v>0</v>
      </c>
      <c r="Y1201">
        <v>0.2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7</v>
      </c>
      <c r="AF1201">
        <v>113</v>
      </c>
      <c r="AG1201">
        <v>113</v>
      </c>
      <c r="AH1201">
        <v>0</v>
      </c>
      <c r="AI1201">
        <v>5.2999999999999999E-2</v>
      </c>
      <c r="AK1201" t="s">
        <v>100</v>
      </c>
      <c r="AM1201">
        <v>200000</v>
      </c>
      <c r="AN1201" t="s">
        <v>97</v>
      </c>
      <c r="AO1201">
        <v>1</v>
      </c>
      <c r="AP1201">
        <v>0</v>
      </c>
      <c r="AQ1201">
        <v>16666.666666666668</v>
      </c>
      <c r="AR1201" t="s">
        <v>3365</v>
      </c>
      <c r="AS1201" t="s">
        <v>75</v>
      </c>
      <c r="AX1201" t="s">
        <v>76</v>
      </c>
      <c r="AY1201" t="s">
        <v>71</v>
      </c>
      <c r="AZ1201">
        <v>0</v>
      </c>
      <c r="BA1201" t="s">
        <v>71</v>
      </c>
      <c r="BB1201">
        <v>0</v>
      </c>
      <c r="BD1201">
        <v>0.2</v>
      </c>
    </row>
    <row r="1202" spans="1:56" x14ac:dyDescent="0.15">
      <c r="A1202" s="4" t="str">
        <f>HYPERLINK("https://ibp.a2mac1.com/costing(costing:projects/details/9760/part/8413116)","Housing")</f>
        <v>Housing</v>
      </c>
      <c r="B1202">
        <v>8413116</v>
      </c>
      <c r="C1202">
        <v>8413055</v>
      </c>
      <c r="E1202">
        <v>45.932369551000001</v>
      </c>
      <c r="F1202">
        <v>0.56401128</v>
      </c>
      <c r="G1202">
        <v>0</v>
      </c>
      <c r="H1202">
        <v>9.4705916599999997E-4</v>
      </c>
      <c r="I1202" t="s">
        <v>176</v>
      </c>
      <c r="J1202">
        <v>1.6573535404999999</v>
      </c>
      <c r="K1202">
        <v>48.174421825465998</v>
      </c>
      <c r="L1202">
        <v>1.4854464752200864</v>
      </c>
      <c r="M1202">
        <v>8.9126788513205177</v>
      </c>
      <c r="N1202">
        <v>57.08710067678652</v>
      </c>
      <c r="O1202" t="s">
        <v>177</v>
      </c>
      <c r="P1202">
        <v>2.89046530952796</v>
      </c>
      <c r="Q1202" t="s">
        <v>177</v>
      </c>
      <c r="R1202">
        <v>0.53476073107923117</v>
      </c>
      <c r="S1202" t="s">
        <v>178</v>
      </c>
      <c r="T1202">
        <v>6.8504520812143825</v>
      </c>
      <c r="U1202" t="s">
        <v>90</v>
      </c>
      <c r="V1202">
        <v>0</v>
      </c>
      <c r="W1202" t="s">
        <v>90</v>
      </c>
      <c r="X1202">
        <v>0</v>
      </c>
      <c r="Y1202">
        <v>67.36277879860809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438</v>
      </c>
      <c r="AF1202">
        <v>470</v>
      </c>
      <c r="AG1202">
        <v>357</v>
      </c>
      <c r="AH1202">
        <v>0</v>
      </c>
      <c r="AI1202">
        <v>17.327000000000002</v>
      </c>
      <c r="AK1202" t="s">
        <v>100</v>
      </c>
      <c r="AM1202">
        <v>200000</v>
      </c>
      <c r="AN1202" t="s">
        <v>97</v>
      </c>
      <c r="AO1202">
        <v>1</v>
      </c>
      <c r="AP1202">
        <v>0</v>
      </c>
      <c r="AQ1202">
        <v>16666.666666666668</v>
      </c>
      <c r="AR1202" t="s">
        <v>3374</v>
      </c>
      <c r="AS1202" t="s">
        <v>75</v>
      </c>
      <c r="AX1202" t="s">
        <v>76</v>
      </c>
      <c r="AY1202" t="s">
        <v>176</v>
      </c>
      <c r="AZ1202">
        <v>1.9740394800000002E-2</v>
      </c>
      <c r="BA1202" t="s">
        <v>176</v>
      </c>
      <c r="BB1202">
        <v>0</v>
      </c>
    </row>
    <row r="1203" spans="1:56" x14ac:dyDescent="0.15">
      <c r="A1203" s="4" t="str">
        <f>HYPERLINK("https://ibp.a2mac1.com/costing(costing:projects/details/9760/part/8413117)","Right Housing")</f>
        <v>Right Housing</v>
      </c>
      <c r="B1203">
        <v>8413117</v>
      </c>
      <c r="C1203">
        <v>8413055</v>
      </c>
      <c r="E1203">
        <v>11.173598295</v>
      </c>
      <c r="F1203">
        <v>7.8001559999999998E-2</v>
      </c>
      <c r="G1203">
        <v>0</v>
      </c>
      <c r="H1203">
        <v>2.3038347000000001E-4</v>
      </c>
      <c r="I1203" t="s">
        <v>176</v>
      </c>
      <c r="J1203">
        <v>0.40317107250000001</v>
      </c>
      <c r="K1203">
        <v>11.657731365569999</v>
      </c>
      <c r="L1203">
        <v>0.44341057824784741</v>
      </c>
      <c r="M1203">
        <v>2.6604634694870843</v>
      </c>
      <c r="N1203">
        <v>14.318194835057085</v>
      </c>
      <c r="O1203" t="s">
        <v>177</v>
      </c>
      <c r="P1203">
        <v>0.69946388193419995</v>
      </c>
      <c r="Q1203" t="s">
        <v>177</v>
      </c>
      <c r="R1203">
        <v>0.15962780816922506</v>
      </c>
      <c r="S1203" t="s">
        <v>178</v>
      </c>
      <c r="T1203">
        <v>1.7181833802068502</v>
      </c>
      <c r="U1203" t="s">
        <v>90</v>
      </c>
      <c r="V1203">
        <v>0</v>
      </c>
      <c r="W1203" t="s">
        <v>90</v>
      </c>
      <c r="X1203">
        <v>0</v>
      </c>
      <c r="Y1203">
        <v>16.89546990536736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128</v>
      </c>
      <c r="AF1203">
        <v>375</v>
      </c>
      <c r="AG1203">
        <v>295</v>
      </c>
      <c r="AH1203">
        <v>0</v>
      </c>
      <c r="AI1203">
        <v>4.2149999999999999</v>
      </c>
      <c r="AK1203" t="s">
        <v>100</v>
      </c>
      <c r="AM1203">
        <v>200000</v>
      </c>
      <c r="AN1203" t="s">
        <v>97</v>
      </c>
      <c r="AO1203">
        <v>1</v>
      </c>
      <c r="AP1203">
        <v>0</v>
      </c>
      <c r="AQ1203">
        <v>16666.666666666668</v>
      </c>
      <c r="AR1203" t="s">
        <v>3380</v>
      </c>
      <c r="AS1203" t="s">
        <v>75</v>
      </c>
      <c r="AX1203" t="s">
        <v>76</v>
      </c>
      <c r="AY1203" t="s">
        <v>176</v>
      </c>
      <c r="AZ1203">
        <v>2.7300546000000002E-3</v>
      </c>
      <c r="BA1203" t="s">
        <v>176</v>
      </c>
      <c r="BB1203">
        <v>0</v>
      </c>
    </row>
    <row r="1204" spans="1:56" x14ac:dyDescent="0.15">
      <c r="A1204" s="4" t="str">
        <f>HYPERLINK("https://ibp.a2mac1.com/costing(costing:projects/details/9760/part/8413118)","Oil Filling Up Cap")</f>
        <v>Oil Filling Up Cap</v>
      </c>
      <c r="B1204">
        <v>8413118</v>
      </c>
      <c r="C1204">
        <v>8413055</v>
      </c>
      <c r="D1204" t="s">
        <v>3364</v>
      </c>
      <c r="E1204">
        <v>7.0000000000000007E-2</v>
      </c>
      <c r="F1204">
        <v>0</v>
      </c>
      <c r="G1204">
        <v>0</v>
      </c>
      <c r="H1204">
        <v>0</v>
      </c>
      <c r="I1204" t="s">
        <v>71</v>
      </c>
      <c r="J1204">
        <v>0</v>
      </c>
      <c r="K1204">
        <v>7.0000000000000007E-2</v>
      </c>
      <c r="L1204">
        <v>0</v>
      </c>
      <c r="M1204">
        <v>0</v>
      </c>
      <c r="N1204">
        <v>7.0000000000000007E-2</v>
      </c>
      <c r="O1204" t="s">
        <v>71</v>
      </c>
      <c r="P1204">
        <v>0</v>
      </c>
      <c r="Q1204" t="s">
        <v>71</v>
      </c>
      <c r="R1204">
        <v>0</v>
      </c>
      <c r="S1204" t="s">
        <v>71</v>
      </c>
      <c r="T1204">
        <v>0</v>
      </c>
      <c r="U1204" t="s">
        <v>71</v>
      </c>
      <c r="V1204">
        <v>0</v>
      </c>
      <c r="W1204" t="s">
        <v>71</v>
      </c>
      <c r="X1204">
        <v>0</v>
      </c>
      <c r="Y1204">
        <v>7.0000000000000007E-2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K1204" t="s">
        <v>100</v>
      </c>
      <c r="AM1204">
        <v>200000</v>
      </c>
      <c r="AN1204" t="s">
        <v>97</v>
      </c>
      <c r="AO1204">
        <v>1</v>
      </c>
      <c r="AP1204">
        <v>0</v>
      </c>
      <c r="AQ1204">
        <v>16666.666666666668</v>
      </c>
      <c r="AR1204" t="s">
        <v>3381</v>
      </c>
      <c r="AS1204" t="s">
        <v>75</v>
      </c>
      <c r="AX1204" t="s">
        <v>76</v>
      </c>
      <c r="AY1204" t="s">
        <v>71</v>
      </c>
      <c r="AZ1204">
        <v>0</v>
      </c>
      <c r="BA1204" t="s">
        <v>71</v>
      </c>
      <c r="BB1204">
        <v>0</v>
      </c>
      <c r="BD1204">
        <v>7.0000000000000007E-2</v>
      </c>
    </row>
    <row r="1205" spans="1:56" x14ac:dyDescent="0.15">
      <c r="A1205" s="4" t="str">
        <f>HYPERLINK("https://ibp.a2mac1.com/costing(costing:projects/details/9760/part/8413119)","Protection")</f>
        <v>Protection</v>
      </c>
      <c r="B1205">
        <v>8413119</v>
      </c>
      <c r="C1205">
        <v>8413056</v>
      </c>
      <c r="D1205" t="s">
        <v>3386</v>
      </c>
      <c r="E1205">
        <v>0.83</v>
      </c>
      <c r="F1205">
        <v>0</v>
      </c>
      <c r="G1205">
        <v>0</v>
      </c>
      <c r="H1205">
        <v>0</v>
      </c>
      <c r="I1205" t="s">
        <v>71</v>
      </c>
      <c r="J1205">
        <v>0</v>
      </c>
      <c r="K1205">
        <v>0.83</v>
      </c>
      <c r="L1205">
        <v>0</v>
      </c>
      <c r="M1205">
        <v>0</v>
      </c>
      <c r="N1205">
        <v>0.83</v>
      </c>
      <c r="O1205" t="s">
        <v>71</v>
      </c>
      <c r="P1205">
        <v>0</v>
      </c>
      <c r="Q1205" t="s">
        <v>71</v>
      </c>
      <c r="R1205">
        <v>0</v>
      </c>
      <c r="S1205" t="s">
        <v>71</v>
      </c>
      <c r="T1205">
        <v>0</v>
      </c>
      <c r="U1205" t="s">
        <v>71</v>
      </c>
      <c r="V1205">
        <v>0</v>
      </c>
      <c r="W1205" t="s">
        <v>71</v>
      </c>
      <c r="X1205">
        <v>0</v>
      </c>
      <c r="Y1205">
        <v>0.83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53</v>
      </c>
      <c r="AF1205">
        <v>212</v>
      </c>
      <c r="AG1205">
        <v>212</v>
      </c>
      <c r="AH1205">
        <v>0</v>
      </c>
      <c r="AI1205">
        <v>0.13400000000000001</v>
      </c>
      <c r="AK1205" t="s">
        <v>100</v>
      </c>
      <c r="AM1205">
        <v>200000</v>
      </c>
      <c r="AN1205" t="s">
        <v>97</v>
      </c>
      <c r="AO1205">
        <v>1</v>
      </c>
      <c r="AP1205">
        <v>0</v>
      </c>
      <c r="AQ1205">
        <v>16666.666666666668</v>
      </c>
      <c r="AR1205" t="s">
        <v>3387</v>
      </c>
      <c r="AS1205" t="s">
        <v>75</v>
      </c>
      <c r="AX1205" t="s">
        <v>76</v>
      </c>
      <c r="AY1205" t="s">
        <v>71</v>
      </c>
      <c r="AZ1205">
        <v>0</v>
      </c>
      <c r="BA1205" t="s">
        <v>71</v>
      </c>
      <c r="BB1205">
        <v>0</v>
      </c>
      <c r="BD1205">
        <v>0.83</v>
      </c>
    </row>
    <row r="1206" spans="1:56" x14ac:dyDescent="0.15">
      <c r="A1206" s="4" t="str">
        <f>HYPERLINK("https://ibp.a2mac1.com/costing(costing:projects/details/9760/part/8413120)","Connection Support")</f>
        <v>Connection Support</v>
      </c>
      <c r="B1206">
        <v>8413120</v>
      </c>
      <c r="C1206">
        <v>8413056</v>
      </c>
      <c r="D1206" t="s">
        <v>3388</v>
      </c>
      <c r="E1206">
        <v>0.6</v>
      </c>
      <c r="F1206">
        <v>0</v>
      </c>
      <c r="G1206">
        <v>0</v>
      </c>
      <c r="H1206">
        <v>0</v>
      </c>
      <c r="I1206" t="s">
        <v>71</v>
      </c>
      <c r="J1206">
        <v>0</v>
      </c>
      <c r="K1206">
        <v>0.6</v>
      </c>
      <c r="L1206">
        <v>0</v>
      </c>
      <c r="M1206">
        <v>0</v>
      </c>
      <c r="N1206">
        <v>0.6</v>
      </c>
      <c r="O1206" t="s">
        <v>71</v>
      </c>
      <c r="P1206">
        <v>0</v>
      </c>
      <c r="Q1206" t="s">
        <v>71</v>
      </c>
      <c r="R1206">
        <v>0</v>
      </c>
      <c r="S1206" t="s">
        <v>71</v>
      </c>
      <c r="T1206">
        <v>0</v>
      </c>
      <c r="U1206" t="s">
        <v>71</v>
      </c>
      <c r="V1206">
        <v>0</v>
      </c>
      <c r="W1206" t="s">
        <v>71</v>
      </c>
      <c r="X1206">
        <v>0</v>
      </c>
      <c r="Y1206">
        <v>0.6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33</v>
      </c>
      <c r="AF1206">
        <v>205</v>
      </c>
      <c r="AG1206">
        <v>205</v>
      </c>
      <c r="AH1206">
        <v>0</v>
      </c>
      <c r="AI1206">
        <v>9.0999999999999998E-2</v>
      </c>
      <c r="AK1206" t="s">
        <v>100</v>
      </c>
      <c r="AM1206">
        <v>200000</v>
      </c>
      <c r="AN1206" t="s">
        <v>97</v>
      </c>
      <c r="AO1206">
        <v>1</v>
      </c>
      <c r="AP1206">
        <v>0</v>
      </c>
      <c r="AQ1206">
        <v>16666.666666666668</v>
      </c>
      <c r="AR1206" t="s">
        <v>9</v>
      </c>
      <c r="AS1206" t="s">
        <v>75</v>
      </c>
      <c r="AX1206" t="s">
        <v>76</v>
      </c>
      <c r="AY1206" t="s">
        <v>71</v>
      </c>
      <c r="AZ1206">
        <v>0</v>
      </c>
      <c r="BA1206" t="s">
        <v>71</v>
      </c>
      <c r="BB1206">
        <v>0</v>
      </c>
      <c r="BD1206">
        <v>0.6</v>
      </c>
    </row>
    <row r="1207" spans="1:56" x14ac:dyDescent="0.15">
      <c r="A1207" s="4" t="str">
        <f>HYPERLINK("https://ibp.a2mac1.com/costing(costing:projects/details/9760/part/8413121)","PCB 1")</f>
        <v>PCB 1</v>
      </c>
      <c r="B1207">
        <v>8413121</v>
      </c>
      <c r="C1207">
        <v>8413056</v>
      </c>
      <c r="D1207" t="s">
        <v>3389</v>
      </c>
      <c r="E1207">
        <v>0.7</v>
      </c>
      <c r="F1207">
        <v>0</v>
      </c>
      <c r="G1207">
        <v>0</v>
      </c>
      <c r="H1207">
        <v>0</v>
      </c>
      <c r="I1207" t="s">
        <v>71</v>
      </c>
      <c r="J1207">
        <v>0</v>
      </c>
      <c r="K1207">
        <v>0.7</v>
      </c>
      <c r="L1207">
        <v>0</v>
      </c>
      <c r="M1207">
        <v>0</v>
      </c>
      <c r="N1207">
        <v>0.7</v>
      </c>
      <c r="O1207" t="s">
        <v>71</v>
      </c>
      <c r="P1207">
        <v>0</v>
      </c>
      <c r="Q1207" t="s">
        <v>71</v>
      </c>
      <c r="R1207">
        <v>0</v>
      </c>
      <c r="S1207" t="s">
        <v>71</v>
      </c>
      <c r="T1207">
        <v>0</v>
      </c>
      <c r="U1207" t="s">
        <v>71</v>
      </c>
      <c r="V1207">
        <v>0</v>
      </c>
      <c r="W1207" t="s">
        <v>71</v>
      </c>
      <c r="X1207">
        <v>0</v>
      </c>
      <c r="Y1207">
        <v>0.7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</v>
      </c>
      <c r="AF1207">
        <v>66</v>
      </c>
      <c r="AG1207">
        <v>36</v>
      </c>
      <c r="AH1207">
        <v>1.97</v>
      </c>
      <c r="AI1207">
        <v>0</v>
      </c>
      <c r="AK1207" t="s">
        <v>95</v>
      </c>
      <c r="AM1207">
        <v>200000</v>
      </c>
      <c r="AN1207" t="s">
        <v>97</v>
      </c>
      <c r="AO1207">
        <v>1</v>
      </c>
      <c r="AP1207">
        <v>0</v>
      </c>
      <c r="AQ1207">
        <v>16666.666666666668</v>
      </c>
      <c r="AR1207" t="s">
        <v>3390</v>
      </c>
      <c r="AS1207" t="s">
        <v>75</v>
      </c>
      <c r="AX1207" t="s">
        <v>76</v>
      </c>
      <c r="AY1207" t="s">
        <v>71</v>
      </c>
      <c r="AZ1207">
        <v>0</v>
      </c>
      <c r="BA1207" t="s">
        <v>71</v>
      </c>
      <c r="BB1207">
        <v>0</v>
      </c>
      <c r="BD1207">
        <v>0.7</v>
      </c>
    </row>
    <row r="1208" spans="1:56" x14ac:dyDescent="0.15">
      <c r="A1208" s="4" t="str">
        <f>HYPERLINK("https://ibp.a2mac1.com/costing(costing:projects/details/9760/part/8413122)","Seal Side Rotor")</f>
        <v>Seal Side Rotor</v>
      </c>
      <c r="B1208">
        <v>8413122</v>
      </c>
      <c r="C1208">
        <v>8413056</v>
      </c>
      <c r="D1208" t="s">
        <v>3333</v>
      </c>
      <c r="E1208">
        <v>1.57</v>
      </c>
      <c r="F1208">
        <v>0</v>
      </c>
      <c r="G1208">
        <v>0</v>
      </c>
      <c r="H1208">
        <v>0</v>
      </c>
      <c r="I1208" t="s">
        <v>71</v>
      </c>
      <c r="J1208">
        <v>0</v>
      </c>
      <c r="K1208">
        <v>1.57</v>
      </c>
      <c r="L1208">
        <v>0</v>
      </c>
      <c r="M1208">
        <v>0</v>
      </c>
      <c r="N1208">
        <v>1.57</v>
      </c>
      <c r="O1208" t="s">
        <v>71</v>
      </c>
      <c r="P1208">
        <v>0</v>
      </c>
      <c r="Q1208" t="s">
        <v>71</v>
      </c>
      <c r="R1208">
        <v>0</v>
      </c>
      <c r="S1208" t="s">
        <v>71</v>
      </c>
      <c r="T1208">
        <v>0</v>
      </c>
      <c r="U1208" t="s">
        <v>71</v>
      </c>
      <c r="V1208">
        <v>0</v>
      </c>
      <c r="W1208" t="s">
        <v>71</v>
      </c>
      <c r="X1208">
        <v>0</v>
      </c>
      <c r="Y1208">
        <v>1.57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6</v>
      </c>
      <c r="AF1208">
        <v>30</v>
      </c>
      <c r="AG1208">
        <v>30</v>
      </c>
      <c r="AH1208">
        <v>0</v>
      </c>
      <c r="AI1208">
        <v>7.0000000000000001E-3</v>
      </c>
      <c r="AK1208" t="s">
        <v>100</v>
      </c>
      <c r="AM1208">
        <v>200000</v>
      </c>
      <c r="AN1208" t="s">
        <v>97</v>
      </c>
      <c r="AO1208">
        <v>1</v>
      </c>
      <c r="AP1208">
        <v>0</v>
      </c>
      <c r="AQ1208">
        <v>16666.666666666668</v>
      </c>
      <c r="AR1208" t="s">
        <v>3391</v>
      </c>
      <c r="AS1208" t="s">
        <v>75</v>
      </c>
      <c r="AX1208" t="s">
        <v>76</v>
      </c>
      <c r="AY1208" t="s">
        <v>71</v>
      </c>
      <c r="AZ1208">
        <v>0</v>
      </c>
      <c r="BA1208" t="s">
        <v>71</v>
      </c>
      <c r="BB1208">
        <v>0</v>
      </c>
      <c r="BD1208">
        <v>1.57</v>
      </c>
    </row>
    <row r="1209" spans="1:56" x14ac:dyDescent="0.15">
      <c r="A1209" s="4" t="str">
        <f>HYPERLINK("https://ibp.a2mac1.com/costing(costing:projects/details/9760/part/8413123)","HV Connector Plug")</f>
        <v>HV Connector Plug</v>
      </c>
      <c r="B1209">
        <v>8413123</v>
      </c>
      <c r="C1209">
        <v>8413056</v>
      </c>
      <c r="D1209" t="s">
        <v>3392</v>
      </c>
      <c r="E1209">
        <v>5.19</v>
      </c>
      <c r="F1209">
        <v>0</v>
      </c>
      <c r="G1209">
        <v>0</v>
      </c>
      <c r="H1209">
        <v>0</v>
      </c>
      <c r="I1209" t="s">
        <v>71</v>
      </c>
      <c r="J1209">
        <v>0</v>
      </c>
      <c r="K1209">
        <v>5.19</v>
      </c>
      <c r="L1209">
        <v>0</v>
      </c>
      <c r="M1209">
        <v>0</v>
      </c>
      <c r="N1209">
        <v>5.19</v>
      </c>
      <c r="O1209" t="s">
        <v>71</v>
      </c>
      <c r="P1209">
        <v>0</v>
      </c>
      <c r="Q1209" t="s">
        <v>71</v>
      </c>
      <c r="R1209">
        <v>0</v>
      </c>
      <c r="S1209" t="s">
        <v>71</v>
      </c>
      <c r="T1209">
        <v>0</v>
      </c>
      <c r="U1209" t="s">
        <v>71</v>
      </c>
      <c r="V1209">
        <v>0</v>
      </c>
      <c r="W1209" t="s">
        <v>71</v>
      </c>
      <c r="X1209">
        <v>0</v>
      </c>
      <c r="Y1209">
        <v>5.19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111</v>
      </c>
      <c r="AF1209">
        <v>153</v>
      </c>
      <c r="AG1209">
        <v>121</v>
      </c>
      <c r="AH1209">
        <v>0</v>
      </c>
      <c r="AI1209">
        <v>0.30499999999999999</v>
      </c>
      <c r="AK1209" t="s">
        <v>100</v>
      </c>
      <c r="AM1209">
        <v>200000</v>
      </c>
      <c r="AN1209" t="s">
        <v>97</v>
      </c>
      <c r="AO1209">
        <v>1</v>
      </c>
      <c r="AP1209">
        <v>0</v>
      </c>
      <c r="AQ1209">
        <v>16666.666666666668</v>
      </c>
      <c r="AR1209" t="s">
        <v>3393</v>
      </c>
      <c r="AS1209" t="s">
        <v>75</v>
      </c>
      <c r="AX1209" t="s">
        <v>76</v>
      </c>
      <c r="AY1209" t="s">
        <v>71</v>
      </c>
      <c r="AZ1209">
        <v>0</v>
      </c>
      <c r="BA1209" t="s">
        <v>71</v>
      </c>
      <c r="BB1209">
        <v>0</v>
      </c>
      <c r="BD1209">
        <v>5.19</v>
      </c>
    </row>
    <row r="1210" spans="1:56" x14ac:dyDescent="0.15">
      <c r="A1210" s="4" t="str">
        <f>HYPERLINK("https://ibp.a2mac1.com/costing(costing:projects/details/9760/part/8413124)","Ground Cable")</f>
        <v>Ground Cable</v>
      </c>
      <c r="B1210">
        <v>8413124</v>
      </c>
      <c r="C1210">
        <v>8413056</v>
      </c>
      <c r="D1210" t="s">
        <v>3333</v>
      </c>
      <c r="E1210">
        <v>1.3</v>
      </c>
      <c r="F1210">
        <v>0</v>
      </c>
      <c r="G1210">
        <v>0</v>
      </c>
      <c r="H1210">
        <v>0</v>
      </c>
      <c r="I1210" t="s">
        <v>71</v>
      </c>
      <c r="J1210">
        <v>0</v>
      </c>
      <c r="K1210">
        <v>1.3</v>
      </c>
      <c r="L1210">
        <v>0</v>
      </c>
      <c r="M1210">
        <v>0</v>
      </c>
      <c r="N1210">
        <v>1.3</v>
      </c>
      <c r="O1210" t="s">
        <v>71</v>
      </c>
      <c r="P1210">
        <v>0</v>
      </c>
      <c r="Q1210" t="s">
        <v>71</v>
      </c>
      <c r="R1210">
        <v>0</v>
      </c>
      <c r="S1210" t="s">
        <v>71</v>
      </c>
      <c r="T1210">
        <v>0</v>
      </c>
      <c r="U1210" t="s">
        <v>71</v>
      </c>
      <c r="V1210">
        <v>0</v>
      </c>
      <c r="W1210" t="s">
        <v>71</v>
      </c>
      <c r="X1210">
        <v>0</v>
      </c>
      <c r="Y1210">
        <v>1.3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6.6000000000000003E-2</v>
      </c>
      <c r="AK1210" t="s">
        <v>100</v>
      </c>
      <c r="AM1210">
        <v>200000</v>
      </c>
      <c r="AN1210" t="s">
        <v>97</v>
      </c>
      <c r="AO1210">
        <v>1</v>
      </c>
      <c r="AP1210">
        <v>0</v>
      </c>
      <c r="AQ1210">
        <v>16666.666666666668</v>
      </c>
      <c r="AR1210" t="s">
        <v>9</v>
      </c>
      <c r="AS1210" t="s">
        <v>75</v>
      </c>
      <c r="AX1210" t="s">
        <v>76</v>
      </c>
      <c r="AY1210" t="s">
        <v>71</v>
      </c>
      <c r="AZ1210">
        <v>0</v>
      </c>
      <c r="BA1210" t="s">
        <v>71</v>
      </c>
      <c r="BB1210">
        <v>0</v>
      </c>
      <c r="BD1210">
        <v>1.3</v>
      </c>
    </row>
    <row r="1211" spans="1:56" x14ac:dyDescent="0.15">
      <c r="A1211" s="4" t="str">
        <f>HYPERLINK("https://ibp.a2mac1.com/costing(costing:projects/details/9760/part/8413125)","Shim")</f>
        <v>Shim</v>
      </c>
      <c r="B1211">
        <v>8413125</v>
      </c>
      <c r="C1211">
        <v>8413056</v>
      </c>
      <c r="D1211" t="s">
        <v>3394</v>
      </c>
      <c r="E1211">
        <v>7.0000000000000007E-2</v>
      </c>
      <c r="F1211">
        <v>0</v>
      </c>
      <c r="G1211">
        <v>0</v>
      </c>
      <c r="H1211">
        <v>0</v>
      </c>
      <c r="I1211" t="s">
        <v>71</v>
      </c>
      <c r="J1211">
        <v>0</v>
      </c>
      <c r="K1211">
        <v>7.0000000000000007E-2</v>
      </c>
      <c r="L1211">
        <v>0</v>
      </c>
      <c r="M1211">
        <v>0</v>
      </c>
      <c r="N1211">
        <v>7.0000000000000007E-2</v>
      </c>
      <c r="O1211" t="s">
        <v>71</v>
      </c>
      <c r="P1211">
        <v>0</v>
      </c>
      <c r="Q1211" t="s">
        <v>71</v>
      </c>
      <c r="R1211">
        <v>0</v>
      </c>
      <c r="S1211" t="s">
        <v>71</v>
      </c>
      <c r="T1211">
        <v>0</v>
      </c>
      <c r="U1211" t="s">
        <v>71</v>
      </c>
      <c r="V1211">
        <v>0</v>
      </c>
      <c r="W1211" t="s">
        <v>71</v>
      </c>
      <c r="X1211">
        <v>0</v>
      </c>
      <c r="Y1211">
        <v>7.0000000000000007E-2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6</v>
      </c>
      <c r="AF1211">
        <v>26</v>
      </c>
      <c r="AG1211">
        <v>26</v>
      </c>
      <c r="AH1211">
        <v>0</v>
      </c>
      <c r="AI1211">
        <v>1.4E-2</v>
      </c>
      <c r="AK1211" t="s">
        <v>100</v>
      </c>
      <c r="AM1211">
        <v>200000</v>
      </c>
      <c r="AN1211" t="s">
        <v>97</v>
      </c>
      <c r="AO1211">
        <v>1</v>
      </c>
      <c r="AP1211">
        <v>0</v>
      </c>
      <c r="AQ1211">
        <v>16666.666666666668</v>
      </c>
      <c r="AR1211" t="s">
        <v>3395</v>
      </c>
      <c r="AS1211" t="s">
        <v>75</v>
      </c>
      <c r="AX1211" t="s">
        <v>76</v>
      </c>
      <c r="AY1211" t="s">
        <v>71</v>
      </c>
      <c r="AZ1211">
        <v>0</v>
      </c>
      <c r="BA1211" t="s">
        <v>71</v>
      </c>
      <c r="BB1211">
        <v>0</v>
      </c>
      <c r="BD1211">
        <v>7.0000000000000007E-2</v>
      </c>
    </row>
    <row r="1212" spans="1:56" x14ac:dyDescent="0.15">
      <c r="A1212" s="4" t="str">
        <f>HYPERLINK("https://ibp.a2mac1.com/costing(costing:projects/details/9760/part/8413126)","Position Speed Target")</f>
        <v>Position Speed Target</v>
      </c>
      <c r="B1212">
        <v>8413126</v>
      </c>
      <c r="C1212">
        <v>8413056</v>
      </c>
      <c r="D1212" t="s">
        <v>3396</v>
      </c>
      <c r="E1212">
        <v>0.26</v>
      </c>
      <c r="F1212">
        <v>0</v>
      </c>
      <c r="G1212">
        <v>0</v>
      </c>
      <c r="H1212">
        <v>0</v>
      </c>
      <c r="I1212" t="s">
        <v>71</v>
      </c>
      <c r="J1212">
        <v>0</v>
      </c>
      <c r="K1212">
        <v>0.26</v>
      </c>
      <c r="L1212">
        <v>0</v>
      </c>
      <c r="M1212">
        <v>0</v>
      </c>
      <c r="N1212">
        <v>0.26</v>
      </c>
      <c r="O1212" t="s">
        <v>71</v>
      </c>
      <c r="P1212">
        <v>0</v>
      </c>
      <c r="Q1212" t="s">
        <v>71</v>
      </c>
      <c r="R1212">
        <v>0</v>
      </c>
      <c r="S1212" t="s">
        <v>71</v>
      </c>
      <c r="T1212">
        <v>0</v>
      </c>
      <c r="U1212" t="s">
        <v>71</v>
      </c>
      <c r="V1212">
        <v>0</v>
      </c>
      <c r="W1212" t="s">
        <v>71</v>
      </c>
      <c r="X1212">
        <v>0</v>
      </c>
      <c r="Y1212">
        <v>0.26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8</v>
      </c>
      <c r="AF1212">
        <v>33</v>
      </c>
      <c r="AG1212">
        <v>33</v>
      </c>
      <c r="AH1212">
        <v>0</v>
      </c>
      <c r="AI1212">
        <v>3.1E-2</v>
      </c>
      <c r="AK1212" t="s">
        <v>100</v>
      </c>
      <c r="AM1212">
        <v>200000</v>
      </c>
      <c r="AN1212" t="s">
        <v>97</v>
      </c>
      <c r="AO1212">
        <v>1</v>
      </c>
      <c r="AP1212">
        <v>0</v>
      </c>
      <c r="AQ1212">
        <v>16666.666666666668</v>
      </c>
      <c r="AR1212" t="s">
        <v>3397</v>
      </c>
      <c r="AS1212" t="s">
        <v>75</v>
      </c>
      <c r="AX1212" t="s">
        <v>76</v>
      </c>
      <c r="AY1212" t="s">
        <v>71</v>
      </c>
      <c r="AZ1212">
        <v>0</v>
      </c>
      <c r="BA1212" t="s">
        <v>71</v>
      </c>
      <c r="BB1212">
        <v>0</v>
      </c>
      <c r="BD1212">
        <v>0.26</v>
      </c>
    </row>
    <row r="1213" spans="1:56" x14ac:dyDescent="0.15">
      <c r="A1213" s="4" t="str">
        <f>HYPERLINK("https://ibp.a2mac1.com/costing(costing:projects/details/9760/part/8413127)","Speed/Position Sensor")</f>
        <v>Speed/Position Sensor</v>
      </c>
      <c r="B1213">
        <v>8413127</v>
      </c>
      <c r="C1213">
        <v>8413056</v>
      </c>
      <c r="D1213" t="s">
        <v>3333</v>
      </c>
      <c r="E1213">
        <v>5.89</v>
      </c>
      <c r="F1213">
        <v>0</v>
      </c>
      <c r="G1213">
        <v>0</v>
      </c>
      <c r="H1213">
        <v>0</v>
      </c>
      <c r="I1213" t="s">
        <v>71</v>
      </c>
      <c r="J1213">
        <v>0</v>
      </c>
      <c r="K1213">
        <v>5.89</v>
      </c>
      <c r="L1213">
        <v>0</v>
      </c>
      <c r="M1213">
        <v>0</v>
      </c>
      <c r="N1213">
        <v>5.89</v>
      </c>
      <c r="O1213" t="s">
        <v>71</v>
      </c>
      <c r="P1213">
        <v>0</v>
      </c>
      <c r="Q1213" t="s">
        <v>71</v>
      </c>
      <c r="R1213">
        <v>0</v>
      </c>
      <c r="S1213" t="s">
        <v>71</v>
      </c>
      <c r="T1213">
        <v>0</v>
      </c>
      <c r="U1213" t="s">
        <v>71</v>
      </c>
      <c r="V1213">
        <v>0</v>
      </c>
      <c r="W1213" t="s">
        <v>71</v>
      </c>
      <c r="X1213">
        <v>0</v>
      </c>
      <c r="Y1213">
        <v>5.89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18</v>
      </c>
      <c r="AF1213">
        <v>52</v>
      </c>
      <c r="AG1213">
        <v>65</v>
      </c>
      <c r="AH1213">
        <v>0</v>
      </c>
      <c r="AI1213">
        <v>8.7999999999999995E-2</v>
      </c>
      <c r="AK1213" t="s">
        <v>95</v>
      </c>
      <c r="AM1213">
        <v>200000</v>
      </c>
      <c r="AN1213" t="s">
        <v>97</v>
      </c>
      <c r="AO1213">
        <v>1</v>
      </c>
      <c r="AP1213">
        <v>0</v>
      </c>
      <c r="AQ1213">
        <v>16666.666666666668</v>
      </c>
      <c r="AR1213" t="s">
        <v>3398</v>
      </c>
      <c r="AS1213" t="s">
        <v>75</v>
      </c>
      <c r="AX1213" t="s">
        <v>76</v>
      </c>
      <c r="AY1213" t="s">
        <v>71</v>
      </c>
      <c r="AZ1213">
        <v>0</v>
      </c>
      <c r="BA1213" t="s">
        <v>71</v>
      </c>
      <c r="BB1213">
        <v>0</v>
      </c>
      <c r="BD1213">
        <v>5.89</v>
      </c>
    </row>
    <row r="1214" spans="1:56" x14ac:dyDescent="0.15">
      <c r="A1214" s="4" t="str">
        <f>HYPERLINK("https://ibp.a2mac1.com/costing(costing:projects/details/9760/part/8413128)","Speed/Position Sensor Fastener Protection")</f>
        <v>Speed/Position Sensor Fastener Protection</v>
      </c>
      <c r="B1214">
        <v>8413128</v>
      </c>
      <c r="C1214">
        <v>8413056</v>
      </c>
      <c r="D1214" t="s">
        <v>3364</v>
      </c>
      <c r="E1214">
        <v>0.11</v>
      </c>
      <c r="F1214">
        <v>0</v>
      </c>
      <c r="G1214">
        <v>0</v>
      </c>
      <c r="H1214">
        <v>0</v>
      </c>
      <c r="I1214" t="s">
        <v>71</v>
      </c>
      <c r="J1214">
        <v>0</v>
      </c>
      <c r="K1214">
        <v>0.11</v>
      </c>
      <c r="L1214">
        <v>0</v>
      </c>
      <c r="M1214">
        <v>0</v>
      </c>
      <c r="N1214">
        <v>0.11</v>
      </c>
      <c r="O1214" t="s">
        <v>71</v>
      </c>
      <c r="P1214">
        <v>0</v>
      </c>
      <c r="Q1214" t="s">
        <v>71</v>
      </c>
      <c r="R1214">
        <v>0</v>
      </c>
      <c r="S1214" t="s">
        <v>71</v>
      </c>
      <c r="T1214">
        <v>0</v>
      </c>
      <c r="U1214" t="s">
        <v>71</v>
      </c>
      <c r="V1214">
        <v>0</v>
      </c>
      <c r="W1214" t="s">
        <v>71</v>
      </c>
      <c r="X1214">
        <v>0</v>
      </c>
      <c r="Y1214">
        <v>0.11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</v>
      </c>
      <c r="AF1214">
        <v>80</v>
      </c>
      <c r="AG1214">
        <v>76</v>
      </c>
      <c r="AH1214">
        <v>0</v>
      </c>
      <c r="AI1214">
        <v>3.9E-2</v>
      </c>
      <c r="AK1214" t="s">
        <v>100</v>
      </c>
      <c r="AM1214">
        <v>200000</v>
      </c>
      <c r="AN1214" t="s">
        <v>97</v>
      </c>
      <c r="AO1214">
        <v>1</v>
      </c>
      <c r="AP1214">
        <v>0</v>
      </c>
      <c r="AQ1214">
        <v>16666.666666666668</v>
      </c>
      <c r="AR1214" t="s">
        <v>3399</v>
      </c>
      <c r="AS1214" t="s">
        <v>75</v>
      </c>
      <c r="AX1214" t="s">
        <v>76</v>
      </c>
      <c r="AY1214" t="s">
        <v>71</v>
      </c>
      <c r="AZ1214">
        <v>0</v>
      </c>
      <c r="BA1214" t="s">
        <v>71</v>
      </c>
      <c r="BB1214">
        <v>0</v>
      </c>
      <c r="BD1214">
        <v>0.11</v>
      </c>
    </row>
    <row r="1215" spans="1:56" x14ac:dyDescent="0.15">
      <c r="A1215" s="4" t="str">
        <f>HYPERLINK("https://ibp.a2mac1.com/costing(costing:projects/details/9760/part/8413129)","Spring")</f>
        <v>Spring</v>
      </c>
      <c r="B1215">
        <v>8413129</v>
      </c>
      <c r="C1215">
        <v>8413056</v>
      </c>
      <c r="D1215" t="s">
        <v>3400</v>
      </c>
      <c r="E1215">
        <v>0.08</v>
      </c>
      <c r="F1215">
        <v>0</v>
      </c>
      <c r="G1215">
        <v>0</v>
      </c>
      <c r="H1215">
        <v>0</v>
      </c>
      <c r="I1215" t="s">
        <v>71</v>
      </c>
      <c r="J1215">
        <v>0</v>
      </c>
      <c r="K1215">
        <v>0.08</v>
      </c>
      <c r="L1215">
        <v>0</v>
      </c>
      <c r="M1215">
        <v>0</v>
      </c>
      <c r="N1215">
        <v>0.08</v>
      </c>
      <c r="O1215" t="s">
        <v>71</v>
      </c>
      <c r="P1215">
        <v>0</v>
      </c>
      <c r="Q1215" t="s">
        <v>71</v>
      </c>
      <c r="R1215">
        <v>0</v>
      </c>
      <c r="S1215" t="s">
        <v>71</v>
      </c>
      <c r="T1215">
        <v>0</v>
      </c>
      <c r="U1215" t="s">
        <v>71</v>
      </c>
      <c r="V1215">
        <v>0</v>
      </c>
      <c r="W1215" t="s">
        <v>71</v>
      </c>
      <c r="X1215">
        <v>0</v>
      </c>
      <c r="Y1215">
        <v>0.08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21</v>
      </c>
      <c r="AF1215">
        <v>77</v>
      </c>
      <c r="AG1215">
        <v>77</v>
      </c>
      <c r="AH1215">
        <v>0</v>
      </c>
      <c r="AI1215">
        <v>5.2999999999999999E-2</v>
      </c>
      <c r="AK1215" t="s">
        <v>100</v>
      </c>
      <c r="AM1215">
        <v>200000</v>
      </c>
      <c r="AN1215" t="s">
        <v>97</v>
      </c>
      <c r="AO1215">
        <v>1</v>
      </c>
      <c r="AP1215">
        <v>0</v>
      </c>
      <c r="AQ1215">
        <v>16666.666666666668</v>
      </c>
      <c r="AR1215" t="s">
        <v>3401</v>
      </c>
      <c r="AS1215" t="s">
        <v>75</v>
      </c>
      <c r="AX1215" t="s">
        <v>76</v>
      </c>
      <c r="AY1215" t="s">
        <v>71</v>
      </c>
      <c r="AZ1215">
        <v>0</v>
      </c>
      <c r="BA1215" t="s">
        <v>71</v>
      </c>
      <c r="BB1215">
        <v>0</v>
      </c>
      <c r="BD1215">
        <v>0.08</v>
      </c>
    </row>
    <row r="1216" spans="1:56" x14ac:dyDescent="0.15">
      <c r="A1216" s="4" t="str">
        <f>HYPERLINK("https://ibp.a2mac1.com/costing(costing:projects/details/9760/part/8413130)","Motor Shaft Grounding Brush")</f>
        <v>Motor Shaft Grounding Brush</v>
      </c>
      <c r="B1216">
        <v>8413130</v>
      </c>
      <c r="C1216">
        <v>8413056</v>
      </c>
      <c r="D1216" t="s">
        <v>3333</v>
      </c>
      <c r="E1216">
        <v>0.3</v>
      </c>
      <c r="F1216">
        <v>0</v>
      </c>
      <c r="G1216">
        <v>0</v>
      </c>
      <c r="H1216">
        <v>0</v>
      </c>
      <c r="I1216" t="s">
        <v>71</v>
      </c>
      <c r="J1216">
        <v>0</v>
      </c>
      <c r="K1216">
        <v>0.3</v>
      </c>
      <c r="L1216">
        <v>0</v>
      </c>
      <c r="M1216">
        <v>0</v>
      </c>
      <c r="N1216">
        <v>0.3</v>
      </c>
      <c r="O1216" t="s">
        <v>71</v>
      </c>
      <c r="P1216">
        <v>0</v>
      </c>
      <c r="Q1216" t="s">
        <v>71</v>
      </c>
      <c r="R1216">
        <v>0</v>
      </c>
      <c r="S1216" t="s">
        <v>71</v>
      </c>
      <c r="T1216">
        <v>0</v>
      </c>
      <c r="U1216" t="s">
        <v>71</v>
      </c>
      <c r="V1216">
        <v>0</v>
      </c>
      <c r="W1216" t="s">
        <v>71</v>
      </c>
      <c r="X1216">
        <v>0</v>
      </c>
      <c r="Y1216">
        <v>0.3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8</v>
      </c>
      <c r="AF1216">
        <v>26</v>
      </c>
      <c r="AG1216">
        <v>50</v>
      </c>
      <c r="AH1216">
        <v>0</v>
      </c>
      <c r="AI1216">
        <v>7.0000000000000001E-3</v>
      </c>
      <c r="AK1216" t="s">
        <v>100</v>
      </c>
      <c r="AM1216">
        <v>200000</v>
      </c>
      <c r="AN1216" t="s">
        <v>97</v>
      </c>
      <c r="AO1216">
        <v>1</v>
      </c>
      <c r="AP1216">
        <v>0</v>
      </c>
      <c r="AQ1216">
        <v>16666.666666666668</v>
      </c>
      <c r="AR1216" t="s">
        <v>3402</v>
      </c>
      <c r="AS1216" t="s">
        <v>75</v>
      </c>
      <c r="AX1216" t="s">
        <v>76</v>
      </c>
      <c r="AY1216" t="s">
        <v>71</v>
      </c>
      <c r="AZ1216">
        <v>0</v>
      </c>
      <c r="BA1216" t="s">
        <v>71</v>
      </c>
      <c r="BB1216">
        <v>0</v>
      </c>
      <c r="BD1216">
        <v>0.3</v>
      </c>
    </row>
    <row r="1217" spans="1:56" x14ac:dyDescent="0.15">
      <c r="A1217" s="4" t="str">
        <f>HYPERLINK("https://ibp.a2mac1.com/costing(costing:projects/details/9760/part/8413131)","Bearing on Magnet Wheel")</f>
        <v>Bearing on Magnet Wheel</v>
      </c>
      <c r="B1217">
        <v>8413131</v>
      </c>
      <c r="C1217">
        <v>8413056</v>
      </c>
      <c r="D1217" t="s">
        <v>3333</v>
      </c>
      <c r="E1217">
        <v>12.5</v>
      </c>
      <c r="F1217">
        <v>0</v>
      </c>
      <c r="G1217">
        <v>0</v>
      </c>
      <c r="H1217">
        <v>0</v>
      </c>
      <c r="I1217" t="s">
        <v>71</v>
      </c>
      <c r="J1217">
        <v>0</v>
      </c>
      <c r="K1217">
        <v>12.5</v>
      </c>
      <c r="L1217">
        <v>0</v>
      </c>
      <c r="M1217">
        <v>0</v>
      </c>
      <c r="N1217">
        <v>12.5</v>
      </c>
      <c r="O1217" t="s">
        <v>71</v>
      </c>
      <c r="P1217">
        <v>0</v>
      </c>
      <c r="Q1217" t="s">
        <v>71</v>
      </c>
      <c r="R1217">
        <v>0</v>
      </c>
      <c r="S1217" t="s">
        <v>71</v>
      </c>
      <c r="T1217">
        <v>0</v>
      </c>
      <c r="U1217" t="s">
        <v>71</v>
      </c>
      <c r="V1217">
        <v>0</v>
      </c>
      <c r="W1217" t="s">
        <v>71</v>
      </c>
      <c r="X1217">
        <v>0</v>
      </c>
      <c r="Y1217">
        <v>12.5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18</v>
      </c>
      <c r="AF1217">
        <v>80</v>
      </c>
      <c r="AG1217">
        <v>80</v>
      </c>
      <c r="AH1217">
        <v>0</v>
      </c>
      <c r="AI1217">
        <v>0.307</v>
      </c>
      <c r="AK1217" t="s">
        <v>100</v>
      </c>
      <c r="AM1217">
        <v>200000</v>
      </c>
      <c r="AN1217" t="s">
        <v>97</v>
      </c>
      <c r="AO1217">
        <v>1</v>
      </c>
      <c r="AP1217">
        <v>0</v>
      </c>
      <c r="AQ1217">
        <v>16666.666666666668</v>
      </c>
      <c r="AR1217" t="s">
        <v>3403</v>
      </c>
      <c r="AS1217" t="s">
        <v>75</v>
      </c>
      <c r="AX1217" t="s">
        <v>76</v>
      </c>
      <c r="AY1217" t="s">
        <v>71</v>
      </c>
      <c r="AZ1217">
        <v>0</v>
      </c>
      <c r="BA1217" t="s">
        <v>71</v>
      </c>
      <c r="BB1217">
        <v>0</v>
      </c>
      <c r="BD1217">
        <v>12.5</v>
      </c>
    </row>
    <row r="1218" spans="1:56" x14ac:dyDescent="0.15">
      <c r="A1218" s="4" t="str">
        <f>HYPERLINK("https://ibp.a2mac1.com/costing(costing:projects/details/9760/part/8413132)","Water/Oil Exchanger")</f>
        <v>Water/Oil Exchanger</v>
      </c>
      <c r="B1218">
        <v>8413132</v>
      </c>
      <c r="C1218">
        <v>8413056</v>
      </c>
      <c r="D1218" t="s">
        <v>3333</v>
      </c>
      <c r="E1218">
        <v>5</v>
      </c>
      <c r="F1218">
        <v>0</v>
      </c>
      <c r="G1218">
        <v>0</v>
      </c>
      <c r="H1218">
        <v>0</v>
      </c>
      <c r="I1218" t="s">
        <v>71</v>
      </c>
      <c r="J1218">
        <v>0</v>
      </c>
      <c r="K1218">
        <v>5</v>
      </c>
      <c r="L1218">
        <v>0</v>
      </c>
      <c r="M1218">
        <v>0</v>
      </c>
      <c r="N1218">
        <v>5</v>
      </c>
      <c r="O1218" t="s">
        <v>71</v>
      </c>
      <c r="P1218">
        <v>0</v>
      </c>
      <c r="Q1218" t="s">
        <v>71</v>
      </c>
      <c r="R1218">
        <v>0</v>
      </c>
      <c r="S1218" t="s">
        <v>71</v>
      </c>
      <c r="T1218">
        <v>0</v>
      </c>
      <c r="U1218" t="s">
        <v>71</v>
      </c>
      <c r="V1218">
        <v>0</v>
      </c>
      <c r="W1218" t="s">
        <v>71</v>
      </c>
      <c r="X1218">
        <v>0</v>
      </c>
      <c r="Y1218">
        <v>5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77</v>
      </c>
      <c r="AF1218">
        <v>119</v>
      </c>
      <c r="AG1218">
        <v>133</v>
      </c>
      <c r="AH1218">
        <v>0</v>
      </c>
      <c r="AI1218">
        <v>0.39100000000000001</v>
      </c>
      <c r="AK1218" t="s">
        <v>95</v>
      </c>
      <c r="AM1218">
        <v>200000</v>
      </c>
      <c r="AN1218" t="s">
        <v>97</v>
      </c>
      <c r="AO1218">
        <v>1</v>
      </c>
      <c r="AP1218">
        <v>0</v>
      </c>
      <c r="AQ1218">
        <v>16666.666666666668</v>
      </c>
      <c r="AR1218" t="s">
        <v>3404</v>
      </c>
      <c r="AS1218" t="s">
        <v>75</v>
      </c>
      <c r="AX1218" t="s">
        <v>76</v>
      </c>
      <c r="AY1218" t="s">
        <v>71</v>
      </c>
      <c r="AZ1218">
        <v>0</v>
      </c>
      <c r="BA1218" t="s">
        <v>71</v>
      </c>
      <c r="BB1218">
        <v>0</v>
      </c>
      <c r="BD1218">
        <v>5</v>
      </c>
    </row>
    <row r="1219" spans="1:56" x14ac:dyDescent="0.15">
      <c r="A1219" s="4" t="str">
        <f>HYPERLINK("https://ibp.a2mac1.com/costing(costing:projects/details/9760/part/8413133)","degas valve")</f>
        <v>degas valve</v>
      </c>
      <c r="B1219">
        <v>8413133</v>
      </c>
      <c r="C1219">
        <v>8413056</v>
      </c>
      <c r="D1219" t="s">
        <v>3333</v>
      </c>
      <c r="E1219">
        <v>1.77</v>
      </c>
      <c r="F1219">
        <v>0</v>
      </c>
      <c r="G1219">
        <v>0</v>
      </c>
      <c r="H1219">
        <v>0</v>
      </c>
      <c r="I1219" t="s">
        <v>71</v>
      </c>
      <c r="J1219">
        <v>0</v>
      </c>
      <c r="K1219">
        <v>1.77</v>
      </c>
      <c r="L1219">
        <v>0</v>
      </c>
      <c r="M1219">
        <v>0</v>
      </c>
      <c r="N1219">
        <v>1.77</v>
      </c>
      <c r="O1219" t="s">
        <v>71</v>
      </c>
      <c r="P1219">
        <v>0</v>
      </c>
      <c r="Q1219" t="s">
        <v>71</v>
      </c>
      <c r="R1219">
        <v>0</v>
      </c>
      <c r="S1219" t="s">
        <v>71</v>
      </c>
      <c r="T1219">
        <v>0</v>
      </c>
      <c r="U1219" t="s">
        <v>71</v>
      </c>
      <c r="V1219">
        <v>0</v>
      </c>
      <c r="W1219" t="s">
        <v>71</v>
      </c>
      <c r="X1219">
        <v>0</v>
      </c>
      <c r="Y1219">
        <v>1.77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50</v>
      </c>
      <c r="AF1219">
        <v>30</v>
      </c>
      <c r="AG1219">
        <v>20</v>
      </c>
      <c r="AH1219">
        <v>0</v>
      </c>
      <c r="AI1219">
        <v>1.9E-2</v>
      </c>
      <c r="AK1219" t="s">
        <v>100</v>
      </c>
      <c r="AM1219">
        <v>200000</v>
      </c>
      <c r="AN1219" t="s">
        <v>97</v>
      </c>
      <c r="AO1219">
        <v>1</v>
      </c>
      <c r="AP1219">
        <v>0</v>
      </c>
      <c r="AQ1219">
        <v>16666.666666666668</v>
      </c>
      <c r="AR1219" t="s">
        <v>3405</v>
      </c>
      <c r="AS1219" t="s">
        <v>75</v>
      </c>
      <c r="AX1219" t="s">
        <v>76</v>
      </c>
      <c r="AY1219" t="s">
        <v>71</v>
      </c>
      <c r="AZ1219">
        <v>0</v>
      </c>
      <c r="BA1219" t="s">
        <v>71</v>
      </c>
      <c r="BB1219">
        <v>0</v>
      </c>
      <c r="BD1219">
        <v>1.77</v>
      </c>
    </row>
    <row r="1220" spans="1:56" x14ac:dyDescent="0.15">
      <c r="A1220" s="4" t="str">
        <f>HYPERLINK("https://ibp.a2mac1.com/costing(costing:projects/details/9760/part/8413256)","Impregnation resin")</f>
        <v>Impregnation resin</v>
      </c>
      <c r="B1220">
        <v>8413256</v>
      </c>
      <c r="C1220">
        <v>8413138</v>
      </c>
      <c r="D1220" t="s">
        <v>3333</v>
      </c>
      <c r="E1220">
        <v>2.02</v>
      </c>
      <c r="F1220">
        <v>0</v>
      </c>
      <c r="G1220">
        <v>0</v>
      </c>
      <c r="H1220">
        <v>0</v>
      </c>
      <c r="I1220" t="s">
        <v>71</v>
      </c>
      <c r="J1220">
        <v>0</v>
      </c>
      <c r="K1220">
        <v>2.02</v>
      </c>
      <c r="L1220">
        <v>0</v>
      </c>
      <c r="M1220">
        <v>0</v>
      </c>
      <c r="N1220">
        <v>2.02</v>
      </c>
      <c r="O1220" t="s">
        <v>71</v>
      </c>
      <c r="P1220">
        <v>0</v>
      </c>
      <c r="Q1220" t="s">
        <v>71</v>
      </c>
      <c r="R1220">
        <v>0</v>
      </c>
      <c r="S1220" t="s">
        <v>71</v>
      </c>
      <c r="T1220">
        <v>0</v>
      </c>
      <c r="U1220" t="s">
        <v>71</v>
      </c>
      <c r="V1220">
        <v>0</v>
      </c>
      <c r="W1220" t="s">
        <v>71</v>
      </c>
      <c r="X1220">
        <v>0</v>
      </c>
      <c r="Y1220">
        <v>2.02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K1220" t="s">
        <v>100</v>
      </c>
      <c r="AM1220">
        <v>200000</v>
      </c>
      <c r="AN1220" t="s">
        <v>97</v>
      </c>
      <c r="AO1220">
        <v>1</v>
      </c>
      <c r="AP1220">
        <v>0</v>
      </c>
      <c r="AQ1220">
        <v>16666.666666666668</v>
      </c>
      <c r="AR1220" t="s">
        <v>9</v>
      </c>
      <c r="AS1220" t="s">
        <v>75</v>
      </c>
      <c r="AX1220" t="s">
        <v>76</v>
      </c>
      <c r="AY1220" t="s">
        <v>71</v>
      </c>
      <c r="AZ1220">
        <v>0</v>
      </c>
      <c r="BA1220" t="s">
        <v>71</v>
      </c>
      <c r="BB1220">
        <v>0</v>
      </c>
      <c r="BD1220">
        <v>2.02</v>
      </c>
    </row>
    <row r="1221" spans="1:56" x14ac:dyDescent="0.15">
      <c r="A1221" s="4" t="str">
        <f>HYPERLINK("https://ibp.a2mac1.com/costing(costing:projects/details/9760/part/8413257)","Wire winding")</f>
        <v>Wire winding</v>
      </c>
      <c r="B1221">
        <v>8413257</v>
      </c>
      <c r="C1221">
        <v>8413138</v>
      </c>
      <c r="D1221" t="s">
        <v>3333</v>
      </c>
      <c r="E1221">
        <v>59.96</v>
      </c>
      <c r="F1221">
        <v>0</v>
      </c>
      <c r="G1221">
        <v>0</v>
      </c>
      <c r="H1221">
        <v>0</v>
      </c>
      <c r="I1221" t="s">
        <v>71</v>
      </c>
      <c r="J1221">
        <v>0</v>
      </c>
      <c r="K1221">
        <v>59.96</v>
      </c>
      <c r="L1221">
        <v>0</v>
      </c>
      <c r="M1221">
        <v>0</v>
      </c>
      <c r="N1221">
        <v>59.96</v>
      </c>
      <c r="O1221" t="s">
        <v>71</v>
      </c>
      <c r="P1221">
        <v>0</v>
      </c>
      <c r="Q1221" t="s">
        <v>71</v>
      </c>
      <c r="R1221">
        <v>0</v>
      </c>
      <c r="S1221" t="s">
        <v>71</v>
      </c>
      <c r="T1221">
        <v>0</v>
      </c>
      <c r="U1221" t="s">
        <v>71</v>
      </c>
      <c r="V1221">
        <v>0</v>
      </c>
      <c r="W1221" t="s">
        <v>71</v>
      </c>
      <c r="X1221">
        <v>0</v>
      </c>
      <c r="Y1221">
        <v>59.96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5.3810000000000002</v>
      </c>
      <c r="AK1221" t="s">
        <v>100</v>
      </c>
      <c r="AM1221">
        <v>200000</v>
      </c>
      <c r="AN1221" t="s">
        <v>97</v>
      </c>
      <c r="AO1221">
        <v>1</v>
      </c>
      <c r="AP1221">
        <v>0</v>
      </c>
      <c r="AQ1221">
        <v>16666.666666666668</v>
      </c>
      <c r="AR1221" t="s">
        <v>9</v>
      </c>
      <c r="AS1221" t="s">
        <v>75</v>
      </c>
      <c r="AX1221" t="s">
        <v>76</v>
      </c>
      <c r="AY1221" t="s">
        <v>71</v>
      </c>
      <c r="AZ1221">
        <v>0</v>
      </c>
      <c r="BA1221" t="s">
        <v>71</v>
      </c>
      <c r="BB1221">
        <v>0</v>
      </c>
      <c r="BD1221">
        <v>59.96</v>
      </c>
    </row>
    <row r="1222" spans="1:56" x14ac:dyDescent="0.15">
      <c r="A1222" s="4" t="str">
        <f>HYPERLINK("https://ibp.a2mac1.com/costing(costing:projects/details/9760/part/8413134)","Electrical Insulation")</f>
        <v>Electrical Insulation</v>
      </c>
      <c r="B1222">
        <v>8413134</v>
      </c>
      <c r="C1222">
        <v>8413057</v>
      </c>
      <c r="D1222" t="s">
        <v>3333</v>
      </c>
      <c r="E1222">
        <v>3.84</v>
      </c>
      <c r="F1222">
        <v>0</v>
      </c>
      <c r="G1222">
        <v>0</v>
      </c>
      <c r="H1222">
        <v>0</v>
      </c>
      <c r="I1222" t="s">
        <v>71</v>
      </c>
      <c r="J1222">
        <v>0</v>
      </c>
      <c r="K1222">
        <v>3.84</v>
      </c>
      <c r="L1222">
        <v>0</v>
      </c>
      <c r="M1222">
        <v>0</v>
      </c>
      <c r="N1222">
        <v>3.84</v>
      </c>
      <c r="O1222" t="s">
        <v>71</v>
      </c>
      <c r="P1222">
        <v>0</v>
      </c>
      <c r="Q1222" t="s">
        <v>71</v>
      </c>
      <c r="R1222">
        <v>0</v>
      </c>
      <c r="S1222" t="s">
        <v>71</v>
      </c>
      <c r="T1222">
        <v>0</v>
      </c>
      <c r="U1222" t="s">
        <v>71</v>
      </c>
      <c r="V1222">
        <v>0</v>
      </c>
      <c r="W1222" t="s">
        <v>71</v>
      </c>
      <c r="X1222">
        <v>0</v>
      </c>
      <c r="Y1222">
        <v>3.84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5</v>
      </c>
      <c r="AF1222">
        <v>142</v>
      </c>
      <c r="AG1222">
        <v>15</v>
      </c>
      <c r="AH1222">
        <v>0</v>
      </c>
      <c r="AI1222">
        <v>2E-3</v>
      </c>
      <c r="AK1222" t="s">
        <v>100</v>
      </c>
      <c r="AM1222">
        <v>9600000</v>
      </c>
      <c r="AN1222" t="s">
        <v>97</v>
      </c>
      <c r="AO1222">
        <v>48</v>
      </c>
      <c r="AP1222">
        <v>0</v>
      </c>
      <c r="AQ1222">
        <v>800000</v>
      </c>
      <c r="AR1222" t="s">
        <v>9</v>
      </c>
      <c r="AS1222" t="s">
        <v>75</v>
      </c>
      <c r="AX1222" t="s">
        <v>76</v>
      </c>
      <c r="AY1222" t="s">
        <v>71</v>
      </c>
      <c r="AZ1222">
        <v>0</v>
      </c>
      <c r="BA1222" t="s">
        <v>71</v>
      </c>
      <c r="BB1222">
        <v>0</v>
      </c>
      <c r="BD1222">
        <v>0.08</v>
      </c>
    </row>
    <row r="1223" spans="1:56" x14ac:dyDescent="0.15">
      <c r="A1223" s="4" t="str">
        <f>HYPERLINK("https://ibp.a2mac1.com/costing(costing:projects/details/9760/part/8413135)","Temperature Sensor")</f>
        <v>Temperature Sensor</v>
      </c>
      <c r="B1223">
        <v>8413135</v>
      </c>
      <c r="C1223">
        <v>8413057</v>
      </c>
      <c r="D1223" t="s">
        <v>3333</v>
      </c>
      <c r="E1223">
        <v>1.08</v>
      </c>
      <c r="F1223">
        <v>0</v>
      </c>
      <c r="G1223">
        <v>0</v>
      </c>
      <c r="H1223">
        <v>0</v>
      </c>
      <c r="I1223" t="s">
        <v>71</v>
      </c>
      <c r="J1223">
        <v>0</v>
      </c>
      <c r="K1223">
        <v>1.08</v>
      </c>
      <c r="L1223">
        <v>0</v>
      </c>
      <c r="M1223">
        <v>0</v>
      </c>
      <c r="N1223">
        <v>1.08</v>
      </c>
      <c r="O1223" t="s">
        <v>71</v>
      </c>
      <c r="P1223">
        <v>0</v>
      </c>
      <c r="Q1223" t="s">
        <v>71</v>
      </c>
      <c r="R1223">
        <v>0</v>
      </c>
      <c r="S1223" t="s">
        <v>71</v>
      </c>
      <c r="T1223">
        <v>0</v>
      </c>
      <c r="U1223" t="s">
        <v>71</v>
      </c>
      <c r="V1223">
        <v>0</v>
      </c>
      <c r="W1223" t="s">
        <v>71</v>
      </c>
      <c r="X1223">
        <v>0</v>
      </c>
      <c r="Y1223">
        <v>1.08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1.2999999999999999E-2</v>
      </c>
      <c r="AK1223" t="s">
        <v>100</v>
      </c>
      <c r="AM1223">
        <v>200000</v>
      </c>
      <c r="AN1223" t="s">
        <v>97</v>
      </c>
      <c r="AO1223">
        <v>1</v>
      </c>
      <c r="AP1223">
        <v>0</v>
      </c>
      <c r="AQ1223">
        <v>16666.666666666668</v>
      </c>
      <c r="AR1223" t="s">
        <v>9</v>
      </c>
      <c r="AS1223" t="s">
        <v>75</v>
      </c>
      <c r="AX1223" t="s">
        <v>76</v>
      </c>
      <c r="AY1223" t="s">
        <v>71</v>
      </c>
      <c r="AZ1223">
        <v>0</v>
      </c>
      <c r="BA1223" t="s">
        <v>71</v>
      </c>
      <c r="BB1223">
        <v>0</v>
      </c>
      <c r="BD1223">
        <v>1.08</v>
      </c>
    </row>
    <row r="1224" spans="1:56" x14ac:dyDescent="0.15">
      <c r="A1224" s="4" t="str">
        <f>HYPERLINK("https://ibp.a2mac1.com/costing(costing:projects/details/9760/part/8413136)","Lamination")</f>
        <v>Lamination</v>
      </c>
      <c r="B1224">
        <v>8413136</v>
      </c>
      <c r="C1224">
        <v>8413057</v>
      </c>
      <c r="E1224">
        <v>34.361594065079366</v>
      </c>
      <c r="F1224">
        <v>0</v>
      </c>
      <c r="G1224">
        <v>0</v>
      </c>
      <c r="H1224">
        <v>7.4628139682539688E-4</v>
      </c>
      <c r="I1224" t="s">
        <v>176</v>
      </c>
      <c r="J1224">
        <v>1.3059924444444444</v>
      </c>
      <c r="K1224">
        <v>35.668332790920637</v>
      </c>
      <c r="L1224">
        <v>0.73824615620076317</v>
      </c>
      <c r="M1224">
        <v>4.429476937204579</v>
      </c>
      <c r="N1224">
        <v>40.097809728125213</v>
      </c>
      <c r="O1224" t="s">
        <v>177</v>
      </c>
      <c r="P1224">
        <v>2.1400999674552379</v>
      </c>
      <c r="Q1224" t="s">
        <v>177</v>
      </c>
      <c r="R1224">
        <v>0.26576861623227471</v>
      </c>
      <c r="S1224" t="s">
        <v>178</v>
      </c>
      <c r="T1224">
        <v>4.8117371673750258</v>
      </c>
      <c r="U1224" t="s">
        <v>90</v>
      </c>
      <c r="V1224">
        <v>0</v>
      </c>
      <c r="W1224" t="s">
        <v>90</v>
      </c>
      <c r="X1224">
        <v>0</v>
      </c>
      <c r="Y1224">
        <v>47.315415479187749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0.32</v>
      </c>
      <c r="AF1224">
        <v>220</v>
      </c>
      <c r="AG1224">
        <v>220</v>
      </c>
      <c r="AH1224">
        <v>0</v>
      </c>
      <c r="AI1224">
        <v>2.9000000000000001E-2</v>
      </c>
      <c r="AK1224" t="s">
        <v>100</v>
      </c>
      <c r="AM1224">
        <v>200000</v>
      </c>
      <c r="AN1224" t="s">
        <v>97</v>
      </c>
      <c r="AO1224">
        <v>1</v>
      </c>
      <c r="AP1224">
        <v>0</v>
      </c>
      <c r="AQ1224">
        <v>16666.666666666668</v>
      </c>
      <c r="AR1224" t="s">
        <v>9</v>
      </c>
      <c r="AS1224" t="s">
        <v>75</v>
      </c>
      <c r="AX1224" t="s">
        <v>76</v>
      </c>
      <c r="AY1224" t="s">
        <v>176</v>
      </c>
      <c r="AZ1224">
        <v>0</v>
      </c>
      <c r="BA1224" t="s">
        <v>176</v>
      </c>
      <c r="BB1224">
        <v>0</v>
      </c>
    </row>
    <row r="1225" spans="1:56" x14ac:dyDescent="0.15">
      <c r="A1225" s="4" t="str">
        <f>HYPERLINK("https://ibp.a2mac1.com/costing(costing:projects/details/9760/part/8413137)","Coupling Busbar 1")</f>
        <v>Coupling Busbar 1</v>
      </c>
      <c r="B1225">
        <v>8413137</v>
      </c>
      <c r="C1225">
        <v>8413057</v>
      </c>
      <c r="D1225" t="s">
        <v>3335</v>
      </c>
      <c r="E1225">
        <v>2.27</v>
      </c>
      <c r="F1225">
        <v>0</v>
      </c>
      <c r="G1225">
        <v>0</v>
      </c>
      <c r="H1225">
        <v>0</v>
      </c>
      <c r="I1225" t="s">
        <v>71</v>
      </c>
      <c r="J1225">
        <v>0</v>
      </c>
      <c r="K1225">
        <v>2.27</v>
      </c>
      <c r="L1225">
        <v>0</v>
      </c>
      <c r="M1225">
        <v>0</v>
      </c>
      <c r="N1225">
        <v>2.27</v>
      </c>
      <c r="O1225" t="s">
        <v>71</v>
      </c>
      <c r="P1225">
        <v>0</v>
      </c>
      <c r="Q1225" t="s">
        <v>71</v>
      </c>
      <c r="R1225">
        <v>0</v>
      </c>
      <c r="S1225" t="s">
        <v>71</v>
      </c>
      <c r="T1225">
        <v>0</v>
      </c>
      <c r="U1225" t="s">
        <v>71</v>
      </c>
      <c r="V1225">
        <v>0</v>
      </c>
      <c r="W1225" t="s">
        <v>71</v>
      </c>
      <c r="X1225">
        <v>0</v>
      </c>
      <c r="Y1225">
        <v>2.27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59</v>
      </c>
      <c r="AF1225">
        <v>166</v>
      </c>
      <c r="AG1225">
        <v>40</v>
      </c>
      <c r="AH1225">
        <v>0</v>
      </c>
      <c r="AI1225">
        <v>0.155</v>
      </c>
      <c r="AK1225" t="s">
        <v>100</v>
      </c>
      <c r="AM1225">
        <v>200000</v>
      </c>
      <c r="AN1225" t="s">
        <v>97</v>
      </c>
      <c r="AO1225">
        <v>1</v>
      </c>
      <c r="AP1225">
        <v>0</v>
      </c>
      <c r="AQ1225">
        <v>16666.666666666668</v>
      </c>
      <c r="AR1225" t="s">
        <v>9</v>
      </c>
      <c r="AS1225" t="s">
        <v>75</v>
      </c>
      <c r="AX1225" t="s">
        <v>76</v>
      </c>
      <c r="AY1225" t="s">
        <v>71</v>
      </c>
      <c r="AZ1225">
        <v>0</v>
      </c>
      <c r="BA1225" t="s">
        <v>71</v>
      </c>
      <c r="BB1225">
        <v>0</v>
      </c>
      <c r="BD1225">
        <v>2.27</v>
      </c>
    </row>
    <row r="1226" spans="1:56" x14ac:dyDescent="0.15">
      <c r="A1226" s="4" t="str">
        <f>HYPERLINK("https://ibp.a2mac1.com/costing(costing:projects/details/9760/part/8413139)","End Cap 1")</f>
        <v>End Cap 1</v>
      </c>
      <c r="B1226">
        <v>8413139</v>
      </c>
      <c r="C1226">
        <v>8413058</v>
      </c>
      <c r="D1226" t="s">
        <v>3345</v>
      </c>
      <c r="E1226">
        <v>3.4</v>
      </c>
      <c r="F1226">
        <v>0</v>
      </c>
      <c r="G1226">
        <v>0</v>
      </c>
      <c r="H1226">
        <v>0</v>
      </c>
      <c r="I1226" t="s">
        <v>71</v>
      </c>
      <c r="J1226">
        <v>0</v>
      </c>
      <c r="K1226">
        <v>3.4</v>
      </c>
      <c r="L1226">
        <v>0</v>
      </c>
      <c r="M1226">
        <v>0</v>
      </c>
      <c r="N1226">
        <v>3.4</v>
      </c>
      <c r="O1226" t="s">
        <v>71</v>
      </c>
      <c r="P1226">
        <v>0</v>
      </c>
      <c r="Q1226" t="s">
        <v>71</v>
      </c>
      <c r="R1226">
        <v>0</v>
      </c>
      <c r="S1226" t="s">
        <v>71</v>
      </c>
      <c r="T1226">
        <v>0</v>
      </c>
      <c r="U1226" t="s">
        <v>71</v>
      </c>
      <c r="V1226">
        <v>0</v>
      </c>
      <c r="W1226" t="s">
        <v>71</v>
      </c>
      <c r="X1226">
        <v>0</v>
      </c>
      <c r="Y1226">
        <v>3.4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9</v>
      </c>
      <c r="AF1226">
        <v>143</v>
      </c>
      <c r="AG1226">
        <v>143</v>
      </c>
      <c r="AH1226">
        <v>0</v>
      </c>
      <c r="AI1226">
        <v>0.28499999999999998</v>
      </c>
      <c r="AK1226" t="s">
        <v>100</v>
      </c>
      <c r="AM1226">
        <v>400000</v>
      </c>
      <c r="AN1226" t="s">
        <v>97</v>
      </c>
      <c r="AO1226">
        <v>2</v>
      </c>
      <c r="AP1226">
        <v>0</v>
      </c>
      <c r="AQ1226">
        <v>33333.333333333336</v>
      </c>
      <c r="AR1226" t="s">
        <v>9</v>
      </c>
      <c r="AS1226" t="s">
        <v>75</v>
      </c>
      <c r="AX1226" t="s">
        <v>76</v>
      </c>
      <c r="AY1226" t="s">
        <v>71</v>
      </c>
      <c r="AZ1226">
        <v>0</v>
      </c>
      <c r="BA1226" t="s">
        <v>71</v>
      </c>
      <c r="BB1226">
        <v>0</v>
      </c>
      <c r="BD1226">
        <v>1.7</v>
      </c>
    </row>
    <row r="1227" spans="1:56" x14ac:dyDescent="0.15">
      <c r="A1227" s="4" t="str">
        <f>HYPERLINK("https://ibp.a2mac1.com/costing(costing:projects/details/9760/part/8413140)","End Cap 2")</f>
        <v>End Cap 2</v>
      </c>
      <c r="B1227">
        <v>8413140</v>
      </c>
      <c r="C1227">
        <v>8413058</v>
      </c>
      <c r="D1227" t="s">
        <v>3346</v>
      </c>
      <c r="E1227">
        <v>1.3</v>
      </c>
      <c r="F1227">
        <v>0</v>
      </c>
      <c r="G1227">
        <v>0</v>
      </c>
      <c r="H1227">
        <v>0</v>
      </c>
      <c r="I1227" t="s">
        <v>71</v>
      </c>
      <c r="J1227">
        <v>0</v>
      </c>
      <c r="K1227">
        <v>1.3</v>
      </c>
      <c r="L1227">
        <v>0</v>
      </c>
      <c r="M1227">
        <v>0</v>
      </c>
      <c r="N1227">
        <v>1.3</v>
      </c>
      <c r="O1227" t="s">
        <v>71</v>
      </c>
      <c r="P1227">
        <v>0</v>
      </c>
      <c r="Q1227" t="s">
        <v>71</v>
      </c>
      <c r="R1227">
        <v>0</v>
      </c>
      <c r="S1227" t="s">
        <v>71</v>
      </c>
      <c r="T1227">
        <v>0</v>
      </c>
      <c r="U1227" t="s">
        <v>71</v>
      </c>
      <c r="V1227">
        <v>0</v>
      </c>
      <c r="W1227" t="s">
        <v>71</v>
      </c>
      <c r="X1227">
        <v>0</v>
      </c>
      <c r="Y1227">
        <v>1.3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11</v>
      </c>
      <c r="AF1227">
        <v>86</v>
      </c>
      <c r="AG1227">
        <v>86</v>
      </c>
      <c r="AH1227">
        <v>0</v>
      </c>
      <c r="AI1227">
        <v>0.254</v>
      </c>
      <c r="AK1227" t="s">
        <v>100</v>
      </c>
      <c r="AM1227">
        <v>200000</v>
      </c>
      <c r="AN1227" t="s">
        <v>97</v>
      </c>
      <c r="AO1227">
        <v>1</v>
      </c>
      <c r="AP1227">
        <v>0</v>
      </c>
      <c r="AQ1227">
        <v>16666.666666666668</v>
      </c>
      <c r="AR1227" t="s">
        <v>9</v>
      </c>
      <c r="AS1227" t="s">
        <v>75</v>
      </c>
      <c r="AX1227" t="s">
        <v>76</v>
      </c>
      <c r="AY1227" t="s">
        <v>71</v>
      </c>
      <c r="AZ1227">
        <v>0</v>
      </c>
      <c r="BA1227" t="s">
        <v>71</v>
      </c>
      <c r="BB1227">
        <v>0</v>
      </c>
      <c r="BD1227">
        <v>1.3</v>
      </c>
    </row>
    <row r="1228" spans="1:56" x14ac:dyDescent="0.15">
      <c r="A1228" s="4" t="str">
        <f>HYPERLINK("https://ibp.a2mac1.com/costing(costing:projects/details/9760/part/8413141)","Magnet 1")</f>
        <v>Magnet 1</v>
      </c>
      <c r="B1228">
        <v>8413141</v>
      </c>
      <c r="C1228">
        <v>8413058</v>
      </c>
      <c r="D1228" t="s">
        <v>3424</v>
      </c>
      <c r="E1228">
        <v>86.4</v>
      </c>
      <c r="F1228">
        <v>0</v>
      </c>
      <c r="G1228">
        <v>0</v>
      </c>
      <c r="H1228">
        <v>0</v>
      </c>
      <c r="I1228" t="s">
        <v>71</v>
      </c>
      <c r="J1228">
        <v>0</v>
      </c>
      <c r="K1228">
        <v>86.4</v>
      </c>
      <c r="L1228">
        <v>0</v>
      </c>
      <c r="M1228">
        <v>0</v>
      </c>
      <c r="N1228">
        <v>86.4</v>
      </c>
      <c r="O1228" t="s">
        <v>71</v>
      </c>
      <c r="P1228">
        <v>0</v>
      </c>
      <c r="Q1228" t="s">
        <v>71</v>
      </c>
      <c r="R1228">
        <v>0</v>
      </c>
      <c r="S1228" t="s">
        <v>71</v>
      </c>
      <c r="T1228">
        <v>0</v>
      </c>
      <c r="U1228" t="s">
        <v>71</v>
      </c>
      <c r="V1228">
        <v>0</v>
      </c>
      <c r="W1228" t="s">
        <v>71</v>
      </c>
      <c r="X1228">
        <v>0</v>
      </c>
      <c r="Y1228">
        <v>86.4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5</v>
      </c>
      <c r="AF1228">
        <v>24</v>
      </c>
      <c r="AG1228">
        <v>17</v>
      </c>
      <c r="AH1228">
        <v>0</v>
      </c>
      <c r="AI1228">
        <v>1.6E-2</v>
      </c>
      <c r="AK1228" t="s">
        <v>100</v>
      </c>
      <c r="AM1228">
        <v>19200000</v>
      </c>
      <c r="AN1228" t="s">
        <v>97</v>
      </c>
      <c r="AO1228">
        <v>96</v>
      </c>
      <c r="AP1228">
        <v>0</v>
      </c>
      <c r="AQ1228">
        <v>1600000</v>
      </c>
      <c r="AR1228" t="s">
        <v>9</v>
      </c>
      <c r="AS1228" t="s">
        <v>75</v>
      </c>
      <c r="AX1228" t="s">
        <v>76</v>
      </c>
      <c r="AY1228" t="s">
        <v>71</v>
      </c>
      <c r="AZ1228">
        <v>0</v>
      </c>
      <c r="BA1228" t="s">
        <v>71</v>
      </c>
      <c r="BB1228">
        <v>0</v>
      </c>
      <c r="BD1228">
        <v>0.9</v>
      </c>
    </row>
    <row r="1229" spans="1:56" x14ac:dyDescent="0.15">
      <c r="A1229" s="4" t="str">
        <f>HYPERLINK("https://ibp.a2mac1.com/costing(costing:projects/details/9760/part/8413142)","Magnet 2")</f>
        <v>Magnet 2</v>
      </c>
      <c r="B1229">
        <v>8413142</v>
      </c>
      <c r="C1229">
        <v>8413058</v>
      </c>
      <c r="D1229" t="s">
        <v>3424</v>
      </c>
      <c r="E1229">
        <v>47.808</v>
      </c>
      <c r="F1229">
        <v>0</v>
      </c>
      <c r="G1229">
        <v>0</v>
      </c>
      <c r="H1229">
        <v>0</v>
      </c>
      <c r="I1229" t="s">
        <v>71</v>
      </c>
      <c r="J1229">
        <v>0</v>
      </c>
      <c r="K1229">
        <v>47.808</v>
      </c>
      <c r="L1229">
        <v>0</v>
      </c>
      <c r="M1229">
        <v>0</v>
      </c>
      <c r="N1229">
        <v>47.808</v>
      </c>
      <c r="O1229" t="s">
        <v>71</v>
      </c>
      <c r="P1229">
        <v>0</v>
      </c>
      <c r="Q1229" t="s">
        <v>71</v>
      </c>
      <c r="R1229">
        <v>0</v>
      </c>
      <c r="S1229" t="s">
        <v>71</v>
      </c>
      <c r="T1229">
        <v>0</v>
      </c>
      <c r="U1229" t="s">
        <v>71</v>
      </c>
      <c r="V1229">
        <v>0</v>
      </c>
      <c r="W1229" t="s">
        <v>71</v>
      </c>
      <c r="X1229">
        <v>0</v>
      </c>
      <c r="Y1229">
        <v>47.808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4</v>
      </c>
      <c r="AF1229">
        <v>24</v>
      </c>
      <c r="AG1229">
        <v>13</v>
      </c>
      <c r="AH1229">
        <v>0</v>
      </c>
      <c r="AI1229">
        <v>8.3000000000000001E-3</v>
      </c>
      <c r="AK1229" t="s">
        <v>100</v>
      </c>
      <c r="AM1229">
        <v>19200000</v>
      </c>
      <c r="AN1229" t="s">
        <v>97</v>
      </c>
      <c r="AO1229">
        <v>96</v>
      </c>
      <c r="AP1229">
        <v>0</v>
      </c>
      <c r="AQ1229">
        <v>1600000</v>
      </c>
      <c r="AR1229" t="s">
        <v>9</v>
      </c>
      <c r="AS1229" t="s">
        <v>75</v>
      </c>
      <c r="AX1229" t="s">
        <v>76</v>
      </c>
      <c r="AY1229" t="s">
        <v>71</v>
      </c>
      <c r="AZ1229">
        <v>0</v>
      </c>
      <c r="BA1229" t="s">
        <v>71</v>
      </c>
      <c r="BB1229">
        <v>0</v>
      </c>
      <c r="BD1229">
        <v>0.498</v>
      </c>
    </row>
    <row r="1230" spans="1:56" x14ac:dyDescent="0.15">
      <c r="A1230" s="4" t="str">
        <f>HYPERLINK("https://ibp.a2mac1.com/costing(costing:projects/details/9760/part/8413143)","Lamination 1")</f>
        <v>Lamination 1</v>
      </c>
      <c r="B1230">
        <v>8413143</v>
      </c>
      <c r="C1230">
        <v>8413058</v>
      </c>
      <c r="E1230">
        <v>24.130416283018867</v>
      </c>
      <c r="F1230">
        <v>0</v>
      </c>
      <c r="G1230">
        <v>0</v>
      </c>
      <c r="H1230">
        <v>5.1921283018867921E-4</v>
      </c>
      <c r="I1230" t="s">
        <v>176</v>
      </c>
      <c r="J1230">
        <v>0.90862245283018872</v>
      </c>
      <c r="K1230">
        <v>25.039557948679246</v>
      </c>
      <c r="L1230">
        <v>0.65252064863519388</v>
      </c>
      <c r="M1230">
        <v>3.915123891811163</v>
      </c>
      <c r="N1230">
        <v>28.954681840490409</v>
      </c>
      <c r="O1230" t="s">
        <v>177</v>
      </c>
      <c r="P1230">
        <v>1.5023734769207546</v>
      </c>
      <c r="Q1230" t="s">
        <v>177</v>
      </c>
      <c r="R1230">
        <v>0.2349074335086698</v>
      </c>
      <c r="S1230" t="s">
        <v>178</v>
      </c>
      <c r="T1230">
        <v>3.4745618208588489</v>
      </c>
      <c r="U1230" t="s">
        <v>90</v>
      </c>
      <c r="V1230">
        <v>0</v>
      </c>
      <c r="W1230" t="s">
        <v>90</v>
      </c>
      <c r="X1230">
        <v>0</v>
      </c>
      <c r="Y1230">
        <v>34.16652457177868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0.25</v>
      </c>
      <c r="AF1230">
        <v>145</v>
      </c>
      <c r="AG1230">
        <v>145</v>
      </c>
      <c r="AH1230">
        <v>0</v>
      </c>
      <c r="AI1230">
        <v>1.72E-2</v>
      </c>
      <c r="AK1230" t="s">
        <v>100</v>
      </c>
      <c r="AM1230">
        <v>200000</v>
      </c>
      <c r="AN1230" t="s">
        <v>97</v>
      </c>
      <c r="AO1230">
        <v>1</v>
      </c>
      <c r="AP1230">
        <v>0</v>
      </c>
      <c r="AQ1230">
        <v>16666.666666666668</v>
      </c>
      <c r="AR1230" t="s">
        <v>9</v>
      </c>
      <c r="AS1230" t="s">
        <v>75</v>
      </c>
      <c r="AX1230" t="s">
        <v>76</v>
      </c>
      <c r="AY1230" t="s">
        <v>176</v>
      </c>
      <c r="AZ1230">
        <v>0</v>
      </c>
      <c r="BA1230" t="s">
        <v>176</v>
      </c>
      <c r="BB1230">
        <v>0</v>
      </c>
    </row>
    <row r="1231" spans="1:56" x14ac:dyDescent="0.15">
      <c r="A1231" s="4" t="str">
        <f>HYPERLINK("https://ibp.a2mac1.com/costing(costing:projects/details/9760/part/8413144)","Shaft")</f>
        <v>Shaft</v>
      </c>
      <c r="B1231">
        <v>8413144</v>
      </c>
      <c r="C1231">
        <v>8413058</v>
      </c>
      <c r="E1231">
        <v>3.7601513971803278</v>
      </c>
      <c r="F1231">
        <v>0</v>
      </c>
      <c r="G1231">
        <v>0</v>
      </c>
      <c r="H1231">
        <v>8.1565106229508191E-5</v>
      </c>
      <c r="I1231" t="s">
        <v>176</v>
      </c>
      <c r="J1231">
        <v>0.14273893590163936</v>
      </c>
      <c r="K1231">
        <v>3.9029718981881967</v>
      </c>
      <c r="L1231">
        <v>0.73335311281853788</v>
      </c>
      <c r="M1231">
        <v>4.4001186769112275</v>
      </c>
      <c r="N1231">
        <v>8.3030905750994233</v>
      </c>
      <c r="O1231" t="s">
        <v>177</v>
      </c>
      <c r="P1231">
        <v>0.23417831389129179</v>
      </c>
      <c r="Q1231" t="s">
        <v>177</v>
      </c>
      <c r="R1231">
        <v>0.26400712061467363</v>
      </c>
      <c r="S1231" t="s">
        <v>178</v>
      </c>
      <c r="T1231">
        <v>0.99637086901193084</v>
      </c>
      <c r="U1231" t="s">
        <v>90</v>
      </c>
      <c r="V1231">
        <v>0</v>
      </c>
      <c r="W1231" t="s">
        <v>90</v>
      </c>
      <c r="X1231">
        <v>0</v>
      </c>
      <c r="Y1231">
        <v>9.7976468786173196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395</v>
      </c>
      <c r="AF1231">
        <v>72</v>
      </c>
      <c r="AG1231">
        <v>72</v>
      </c>
      <c r="AH1231">
        <v>0</v>
      </c>
      <c r="AI1231">
        <v>4.1230000000000002</v>
      </c>
      <c r="AK1231" t="s">
        <v>100</v>
      </c>
      <c r="AM1231">
        <v>200000</v>
      </c>
      <c r="AN1231" t="s">
        <v>97</v>
      </c>
      <c r="AO1231">
        <v>1</v>
      </c>
      <c r="AP1231">
        <v>0</v>
      </c>
      <c r="AQ1231">
        <v>16666.666666666668</v>
      </c>
      <c r="AR1231" t="s">
        <v>9</v>
      </c>
      <c r="AS1231" t="s">
        <v>75</v>
      </c>
      <c r="AX1231" t="s">
        <v>76</v>
      </c>
      <c r="AY1231" t="s">
        <v>176</v>
      </c>
      <c r="AZ1231">
        <v>0</v>
      </c>
      <c r="BA1231" t="s">
        <v>176</v>
      </c>
      <c r="BB1231">
        <v>0</v>
      </c>
    </row>
    <row r="1232" spans="1:56" x14ac:dyDescent="0.15">
      <c r="A1232" s="4" t="str">
        <f>HYPERLINK("https://ibp.a2mac1.com/costing(costing:projects/details/9760/part/8413145)","Access Trap")</f>
        <v>Access Trap</v>
      </c>
      <c r="B1232">
        <v>8413145</v>
      </c>
      <c r="C1232">
        <v>8413059</v>
      </c>
      <c r="D1232" t="s">
        <v>3345</v>
      </c>
      <c r="E1232">
        <v>3.86</v>
      </c>
      <c r="F1232">
        <v>0</v>
      </c>
      <c r="G1232">
        <v>0</v>
      </c>
      <c r="H1232">
        <v>0</v>
      </c>
      <c r="I1232" t="s">
        <v>71</v>
      </c>
      <c r="J1232">
        <v>0</v>
      </c>
      <c r="K1232">
        <v>3.86</v>
      </c>
      <c r="L1232">
        <v>0</v>
      </c>
      <c r="M1232">
        <v>0</v>
      </c>
      <c r="N1232">
        <v>3.86</v>
      </c>
      <c r="O1232" t="s">
        <v>71</v>
      </c>
      <c r="P1232">
        <v>0</v>
      </c>
      <c r="Q1232" t="s">
        <v>71</v>
      </c>
      <c r="R1232">
        <v>0</v>
      </c>
      <c r="S1232" t="s">
        <v>71</v>
      </c>
      <c r="T1232">
        <v>0</v>
      </c>
      <c r="U1232" t="s">
        <v>71</v>
      </c>
      <c r="V1232">
        <v>0</v>
      </c>
      <c r="W1232" t="s">
        <v>71</v>
      </c>
      <c r="X1232">
        <v>0</v>
      </c>
      <c r="Y1232">
        <v>3.86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32</v>
      </c>
      <c r="AF1232">
        <v>257</v>
      </c>
      <c r="AG1232">
        <v>210</v>
      </c>
      <c r="AH1232">
        <v>0</v>
      </c>
      <c r="AI1232">
        <v>0.63100000000000001</v>
      </c>
      <c r="AK1232" t="s">
        <v>100</v>
      </c>
      <c r="AM1232">
        <v>200000</v>
      </c>
      <c r="AN1232" t="s">
        <v>97</v>
      </c>
      <c r="AO1232">
        <v>1</v>
      </c>
      <c r="AP1232">
        <v>0</v>
      </c>
      <c r="AQ1232">
        <v>16666.666666666668</v>
      </c>
      <c r="AR1232" t="s">
        <v>3438</v>
      </c>
      <c r="AS1232" t="s">
        <v>75</v>
      </c>
      <c r="AX1232" t="s">
        <v>76</v>
      </c>
      <c r="AY1232" t="s">
        <v>71</v>
      </c>
      <c r="AZ1232">
        <v>0</v>
      </c>
      <c r="BA1232" t="s">
        <v>71</v>
      </c>
      <c r="BB1232">
        <v>0</v>
      </c>
      <c r="BD1232">
        <v>3.86</v>
      </c>
    </row>
    <row r="1233" spans="1:56" x14ac:dyDescent="0.15">
      <c r="A1233" s="4" t="str">
        <f>HYPERLINK("https://ibp.a2mac1.com/costing(costing:projects/details/9760/part/8413146)","Access Flap")</f>
        <v>Access Flap</v>
      </c>
      <c r="B1233">
        <v>8413146</v>
      </c>
      <c r="C1233">
        <v>8413059</v>
      </c>
      <c r="D1233" t="s">
        <v>3364</v>
      </c>
      <c r="E1233">
        <v>0.2</v>
      </c>
      <c r="F1233">
        <v>0</v>
      </c>
      <c r="G1233">
        <v>0</v>
      </c>
      <c r="H1233">
        <v>0</v>
      </c>
      <c r="I1233" t="s">
        <v>71</v>
      </c>
      <c r="J1233">
        <v>0</v>
      </c>
      <c r="K1233">
        <v>0.2</v>
      </c>
      <c r="L1233">
        <v>0</v>
      </c>
      <c r="M1233">
        <v>0</v>
      </c>
      <c r="N1233">
        <v>0.2</v>
      </c>
      <c r="O1233" t="s">
        <v>71</v>
      </c>
      <c r="P1233">
        <v>0</v>
      </c>
      <c r="Q1233" t="s">
        <v>71</v>
      </c>
      <c r="R1233">
        <v>0</v>
      </c>
      <c r="S1233" t="s">
        <v>71</v>
      </c>
      <c r="T1233">
        <v>0</v>
      </c>
      <c r="U1233" t="s">
        <v>71</v>
      </c>
      <c r="V1233">
        <v>0</v>
      </c>
      <c r="W1233" t="s">
        <v>71</v>
      </c>
      <c r="X1233">
        <v>0</v>
      </c>
      <c r="Y1233">
        <v>0.2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7</v>
      </c>
      <c r="AF1233">
        <v>113</v>
      </c>
      <c r="AG1233">
        <v>113</v>
      </c>
      <c r="AH1233">
        <v>0</v>
      </c>
      <c r="AI1233">
        <v>5.2999999999999999E-2</v>
      </c>
      <c r="AK1233" t="s">
        <v>100</v>
      </c>
      <c r="AM1233">
        <v>200000</v>
      </c>
      <c r="AN1233" t="s">
        <v>97</v>
      </c>
      <c r="AO1233">
        <v>1</v>
      </c>
      <c r="AP1233">
        <v>0</v>
      </c>
      <c r="AQ1233">
        <v>16666.666666666668</v>
      </c>
      <c r="AR1233" t="s">
        <v>3439</v>
      </c>
      <c r="AS1233" t="s">
        <v>75</v>
      </c>
      <c r="AX1233" t="s">
        <v>76</v>
      </c>
      <c r="AY1233" t="s">
        <v>71</v>
      </c>
      <c r="AZ1233">
        <v>0</v>
      </c>
      <c r="BA1233" t="s">
        <v>71</v>
      </c>
      <c r="BB1233">
        <v>0</v>
      </c>
      <c r="BD1233">
        <v>0.2</v>
      </c>
    </row>
    <row r="1234" spans="1:56" x14ac:dyDescent="0.15">
      <c r="A1234" s="4" t="str">
        <f>HYPERLINK("https://ibp.a2mac1.com/costing(costing:projects/details/9760/part/8413147)","Main Housing")</f>
        <v>Main Housing</v>
      </c>
      <c r="B1234">
        <v>8413147</v>
      </c>
      <c r="C1234">
        <v>8413059</v>
      </c>
      <c r="E1234">
        <v>38.704021883333333</v>
      </c>
      <c r="F1234">
        <v>0</v>
      </c>
      <c r="G1234">
        <v>0</v>
      </c>
      <c r="H1234">
        <v>8.1482151333333338E-4</v>
      </c>
      <c r="I1234" t="s">
        <v>176</v>
      </c>
      <c r="J1234">
        <v>1.4259376483333333</v>
      </c>
      <c r="K1234">
        <v>40.130774353180001</v>
      </c>
      <c r="L1234">
        <v>1.613724081424089</v>
      </c>
      <c r="M1234">
        <v>9.6823444885445333</v>
      </c>
      <c r="N1234">
        <v>49.813118841724531</v>
      </c>
      <c r="O1234" t="s">
        <v>177</v>
      </c>
      <c r="P1234">
        <v>2.4078464611907999</v>
      </c>
      <c r="Q1234" t="s">
        <v>177</v>
      </c>
      <c r="R1234">
        <v>0.58094066931267196</v>
      </c>
      <c r="S1234" t="s">
        <v>178</v>
      </c>
      <c r="T1234">
        <v>5.9775742610069438</v>
      </c>
      <c r="U1234" t="s">
        <v>90</v>
      </c>
      <c r="V1234">
        <v>0</v>
      </c>
      <c r="W1234" t="s">
        <v>90</v>
      </c>
      <c r="X1234">
        <v>0</v>
      </c>
      <c r="Y1234">
        <v>58.779480233234949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452</v>
      </c>
      <c r="AF1234">
        <v>470</v>
      </c>
      <c r="AG1234">
        <v>324</v>
      </c>
      <c r="AH1234">
        <v>0</v>
      </c>
      <c r="AI1234">
        <v>14.955</v>
      </c>
      <c r="AK1234" t="s">
        <v>100</v>
      </c>
      <c r="AM1234">
        <v>200000</v>
      </c>
      <c r="AN1234" t="s">
        <v>97</v>
      </c>
      <c r="AO1234">
        <v>1</v>
      </c>
      <c r="AP1234">
        <v>0</v>
      </c>
      <c r="AQ1234">
        <v>16666.666666666668</v>
      </c>
      <c r="AR1234" t="s">
        <v>3444</v>
      </c>
      <c r="AS1234" t="s">
        <v>75</v>
      </c>
      <c r="AX1234" t="s">
        <v>76</v>
      </c>
      <c r="AY1234" t="s">
        <v>176</v>
      </c>
      <c r="AZ1234">
        <v>0</v>
      </c>
      <c r="BA1234" t="s">
        <v>176</v>
      </c>
      <c r="BB1234">
        <v>0</v>
      </c>
    </row>
    <row r="1235" spans="1:56" x14ac:dyDescent="0.15">
      <c r="A1235" s="4" t="str">
        <f>HYPERLINK("https://ibp.a2mac1.com/costing(costing:projects/details/9760/part/8413148)","Left Housing")</f>
        <v>Left Housing</v>
      </c>
      <c r="B1235">
        <v>8413148</v>
      </c>
      <c r="C1235">
        <v>8413059</v>
      </c>
      <c r="E1235">
        <v>11.185475264444445</v>
      </c>
      <c r="F1235">
        <v>0</v>
      </c>
      <c r="G1235">
        <v>0</v>
      </c>
      <c r="H1235">
        <v>2.3548368977777776E-4</v>
      </c>
      <c r="I1235" t="s">
        <v>176</v>
      </c>
      <c r="J1235">
        <v>0.41209645711111109</v>
      </c>
      <c r="K1235">
        <v>11.597807205245333</v>
      </c>
      <c r="L1235">
        <v>0.60118241258552763</v>
      </c>
      <c r="M1235">
        <v>3.6070944755131658</v>
      </c>
      <c r="N1235">
        <v>15.2049016807585</v>
      </c>
      <c r="O1235" t="s">
        <v>177</v>
      </c>
      <c r="P1235">
        <v>0.69586843231471995</v>
      </c>
      <c r="Q1235" t="s">
        <v>177</v>
      </c>
      <c r="R1235">
        <v>0.21642566853078996</v>
      </c>
      <c r="S1235" t="s">
        <v>178</v>
      </c>
      <c r="T1235">
        <v>1.82458820169102</v>
      </c>
      <c r="U1235" t="s">
        <v>90</v>
      </c>
      <c r="V1235">
        <v>0</v>
      </c>
      <c r="W1235" t="s">
        <v>90</v>
      </c>
      <c r="X1235">
        <v>0</v>
      </c>
      <c r="Y1235">
        <v>17.941783983295029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110</v>
      </c>
      <c r="AF1235">
        <v>418</v>
      </c>
      <c r="AG1235">
        <v>302</v>
      </c>
      <c r="AH1235">
        <v>0</v>
      </c>
      <c r="AI1235">
        <v>4.3220000000000001</v>
      </c>
      <c r="AK1235" t="s">
        <v>100</v>
      </c>
      <c r="AM1235">
        <v>200000</v>
      </c>
      <c r="AN1235" t="s">
        <v>97</v>
      </c>
      <c r="AO1235">
        <v>1</v>
      </c>
      <c r="AP1235">
        <v>0</v>
      </c>
      <c r="AQ1235">
        <v>16666.666666666668</v>
      </c>
      <c r="AR1235" t="s">
        <v>3449</v>
      </c>
      <c r="AS1235" t="s">
        <v>75</v>
      </c>
      <c r="AX1235" t="s">
        <v>76</v>
      </c>
      <c r="AY1235" t="s">
        <v>176</v>
      </c>
      <c r="AZ1235">
        <v>0</v>
      </c>
      <c r="BA1235" t="s">
        <v>176</v>
      </c>
      <c r="BB1235">
        <v>0</v>
      </c>
    </row>
    <row r="1236" spans="1:56" x14ac:dyDescent="0.15">
      <c r="A1236" s="4" t="str">
        <f>HYPERLINK("https://ibp.a2mac1.com/costing(costing:projects/details/9760/part/8413149)","PCB 1")</f>
        <v>PCB 1</v>
      </c>
      <c r="B1236">
        <v>8413149</v>
      </c>
      <c r="C1236">
        <v>8413060</v>
      </c>
      <c r="D1236" t="s">
        <v>3389</v>
      </c>
      <c r="E1236">
        <v>0.7</v>
      </c>
      <c r="F1236">
        <v>0</v>
      </c>
      <c r="G1236">
        <v>0</v>
      </c>
      <c r="H1236">
        <v>0</v>
      </c>
      <c r="I1236" t="s">
        <v>71</v>
      </c>
      <c r="J1236">
        <v>0</v>
      </c>
      <c r="K1236">
        <v>0.7</v>
      </c>
      <c r="L1236">
        <v>0</v>
      </c>
      <c r="M1236">
        <v>0</v>
      </c>
      <c r="N1236">
        <v>0.7</v>
      </c>
      <c r="O1236" t="s">
        <v>71</v>
      </c>
      <c r="P1236">
        <v>0</v>
      </c>
      <c r="Q1236" t="s">
        <v>71</v>
      </c>
      <c r="R1236">
        <v>0</v>
      </c>
      <c r="S1236" t="s">
        <v>71</v>
      </c>
      <c r="T1236">
        <v>0</v>
      </c>
      <c r="U1236" t="s">
        <v>71</v>
      </c>
      <c r="V1236">
        <v>0</v>
      </c>
      <c r="W1236" t="s">
        <v>71</v>
      </c>
      <c r="X1236">
        <v>0</v>
      </c>
      <c r="Y1236">
        <v>0.7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4</v>
      </c>
      <c r="AF1236">
        <v>63</v>
      </c>
      <c r="AG1236">
        <v>43</v>
      </c>
      <c r="AH1236">
        <v>1.97</v>
      </c>
      <c r="AI1236">
        <v>0</v>
      </c>
      <c r="AK1236" t="s">
        <v>95</v>
      </c>
      <c r="AM1236">
        <v>200000</v>
      </c>
      <c r="AN1236" t="s">
        <v>97</v>
      </c>
      <c r="AO1236">
        <v>1</v>
      </c>
      <c r="AP1236">
        <v>0</v>
      </c>
      <c r="AQ1236">
        <v>16666.666666666668</v>
      </c>
      <c r="AR1236" t="s">
        <v>3453</v>
      </c>
      <c r="AS1236" t="s">
        <v>75</v>
      </c>
      <c r="AX1236" t="s">
        <v>76</v>
      </c>
      <c r="AY1236" t="s">
        <v>71</v>
      </c>
      <c r="AZ1236">
        <v>0</v>
      </c>
      <c r="BA1236" t="s">
        <v>71</v>
      </c>
      <c r="BB1236">
        <v>0</v>
      </c>
      <c r="BD1236">
        <v>0.7</v>
      </c>
    </row>
    <row r="1237" spans="1:56" x14ac:dyDescent="0.15">
      <c r="A1237" s="4" t="str">
        <f>HYPERLINK("https://ibp.a2mac1.com/costing(costing:projects/details/9760/part/8413150)","Resolver")</f>
        <v>Resolver</v>
      </c>
      <c r="B1237">
        <v>8413150</v>
      </c>
      <c r="C1237">
        <v>8413060</v>
      </c>
      <c r="D1237" t="s">
        <v>3333</v>
      </c>
      <c r="E1237">
        <v>5.6</v>
      </c>
      <c r="F1237">
        <v>0</v>
      </c>
      <c r="G1237">
        <v>0</v>
      </c>
      <c r="H1237">
        <v>0</v>
      </c>
      <c r="I1237" t="s">
        <v>71</v>
      </c>
      <c r="J1237">
        <v>0</v>
      </c>
      <c r="K1237">
        <v>5.6</v>
      </c>
      <c r="L1237">
        <v>0</v>
      </c>
      <c r="M1237">
        <v>0</v>
      </c>
      <c r="N1237">
        <v>5.6</v>
      </c>
      <c r="O1237" t="s">
        <v>71</v>
      </c>
      <c r="P1237">
        <v>0</v>
      </c>
      <c r="Q1237" t="s">
        <v>71</v>
      </c>
      <c r="R1237">
        <v>0</v>
      </c>
      <c r="S1237" t="s">
        <v>71</v>
      </c>
      <c r="T1237">
        <v>0</v>
      </c>
      <c r="U1237" t="s">
        <v>71</v>
      </c>
      <c r="V1237">
        <v>0</v>
      </c>
      <c r="W1237" t="s">
        <v>71</v>
      </c>
      <c r="X1237">
        <v>0</v>
      </c>
      <c r="Y1237">
        <v>5.6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18</v>
      </c>
      <c r="AF1237">
        <v>52</v>
      </c>
      <c r="AG1237">
        <v>65</v>
      </c>
      <c r="AH1237">
        <v>0</v>
      </c>
      <c r="AI1237">
        <v>9.5000000000000001E-2</v>
      </c>
      <c r="AK1237" t="s">
        <v>95</v>
      </c>
      <c r="AM1237">
        <v>200000</v>
      </c>
      <c r="AN1237" t="s">
        <v>97</v>
      </c>
      <c r="AO1237">
        <v>1</v>
      </c>
      <c r="AP1237">
        <v>0</v>
      </c>
      <c r="AQ1237">
        <v>16666.666666666668</v>
      </c>
      <c r="AR1237" t="s">
        <v>3454</v>
      </c>
      <c r="AS1237" t="s">
        <v>75</v>
      </c>
      <c r="AX1237" t="s">
        <v>76</v>
      </c>
      <c r="AY1237" t="s">
        <v>71</v>
      </c>
      <c r="AZ1237">
        <v>0</v>
      </c>
      <c r="BA1237" t="s">
        <v>71</v>
      </c>
      <c r="BB1237">
        <v>0</v>
      </c>
      <c r="BD1237">
        <v>5.6</v>
      </c>
    </row>
    <row r="1238" spans="1:56" x14ac:dyDescent="0.15">
      <c r="A1238" s="4" t="str">
        <f>HYPERLINK("https://ibp.a2mac1.com/costing(costing:projects/details/9760/part/8413151)","Resolver Protection")</f>
        <v>Resolver Protection</v>
      </c>
      <c r="B1238">
        <v>8413151</v>
      </c>
      <c r="C1238">
        <v>8413060</v>
      </c>
      <c r="D1238" t="s">
        <v>3364</v>
      </c>
      <c r="E1238">
        <v>0.11</v>
      </c>
      <c r="F1238">
        <v>0</v>
      </c>
      <c r="G1238">
        <v>0</v>
      </c>
      <c r="H1238">
        <v>0</v>
      </c>
      <c r="I1238" t="s">
        <v>71</v>
      </c>
      <c r="J1238">
        <v>0</v>
      </c>
      <c r="K1238">
        <v>0.11</v>
      </c>
      <c r="L1238">
        <v>0</v>
      </c>
      <c r="M1238">
        <v>0</v>
      </c>
      <c r="N1238">
        <v>0.11</v>
      </c>
      <c r="O1238" t="s">
        <v>71</v>
      </c>
      <c r="P1238">
        <v>0</v>
      </c>
      <c r="Q1238" t="s">
        <v>71</v>
      </c>
      <c r="R1238">
        <v>0</v>
      </c>
      <c r="S1238" t="s">
        <v>71</v>
      </c>
      <c r="T1238">
        <v>0</v>
      </c>
      <c r="U1238" t="s">
        <v>71</v>
      </c>
      <c r="V1238">
        <v>0</v>
      </c>
      <c r="W1238" t="s">
        <v>71</v>
      </c>
      <c r="X1238">
        <v>0</v>
      </c>
      <c r="Y1238">
        <v>0.11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2</v>
      </c>
      <c r="AF1238">
        <v>76</v>
      </c>
      <c r="AG1238">
        <v>80</v>
      </c>
      <c r="AH1238">
        <v>0</v>
      </c>
      <c r="AI1238">
        <v>3.9E-2</v>
      </c>
      <c r="AK1238" t="s">
        <v>100</v>
      </c>
      <c r="AM1238">
        <v>200000</v>
      </c>
      <c r="AN1238" t="s">
        <v>97</v>
      </c>
      <c r="AO1238">
        <v>1</v>
      </c>
      <c r="AP1238">
        <v>0</v>
      </c>
      <c r="AQ1238">
        <v>16666.666666666668</v>
      </c>
      <c r="AR1238" t="s">
        <v>3455</v>
      </c>
      <c r="AS1238" t="s">
        <v>75</v>
      </c>
      <c r="AX1238" t="s">
        <v>76</v>
      </c>
      <c r="AY1238" t="s">
        <v>71</v>
      </c>
      <c r="AZ1238">
        <v>0</v>
      </c>
      <c r="BA1238" t="s">
        <v>71</v>
      </c>
      <c r="BB1238">
        <v>0</v>
      </c>
      <c r="BD1238">
        <v>0.11</v>
      </c>
    </row>
    <row r="1239" spans="1:56" x14ac:dyDescent="0.15">
      <c r="A1239" s="4" t="str">
        <f>HYPERLINK("https://ibp.a2mac1.com/costing(costing:projects/details/9760/part/8413152)","Rotor Bearing")</f>
        <v>Rotor Bearing</v>
      </c>
      <c r="B1239">
        <v>8413152</v>
      </c>
      <c r="C1239">
        <v>8413060</v>
      </c>
      <c r="D1239" t="s">
        <v>3333</v>
      </c>
      <c r="E1239">
        <v>12.5</v>
      </c>
      <c r="F1239">
        <v>0</v>
      </c>
      <c r="G1239">
        <v>0</v>
      </c>
      <c r="H1239">
        <v>0</v>
      </c>
      <c r="I1239" t="s">
        <v>71</v>
      </c>
      <c r="J1239">
        <v>0</v>
      </c>
      <c r="K1239">
        <v>12.5</v>
      </c>
      <c r="L1239">
        <v>0</v>
      </c>
      <c r="M1239">
        <v>0</v>
      </c>
      <c r="N1239">
        <v>12.5</v>
      </c>
      <c r="O1239" t="s">
        <v>71</v>
      </c>
      <c r="P1239">
        <v>0</v>
      </c>
      <c r="Q1239" t="s">
        <v>71</v>
      </c>
      <c r="R1239">
        <v>0</v>
      </c>
      <c r="S1239" t="s">
        <v>71</v>
      </c>
      <c r="T1239">
        <v>0</v>
      </c>
      <c r="U1239" t="s">
        <v>71</v>
      </c>
      <c r="V1239">
        <v>0</v>
      </c>
      <c r="W1239" t="s">
        <v>71</v>
      </c>
      <c r="X1239">
        <v>0</v>
      </c>
      <c r="Y1239">
        <v>12.5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18</v>
      </c>
      <c r="AF1239">
        <v>80</v>
      </c>
      <c r="AG1239">
        <v>80</v>
      </c>
      <c r="AH1239">
        <v>0</v>
      </c>
      <c r="AI1239">
        <v>0.307</v>
      </c>
      <c r="AK1239" t="s">
        <v>100</v>
      </c>
      <c r="AM1239">
        <v>200000</v>
      </c>
      <c r="AN1239" t="s">
        <v>97</v>
      </c>
      <c r="AO1239">
        <v>1</v>
      </c>
      <c r="AP1239">
        <v>0</v>
      </c>
      <c r="AQ1239">
        <v>16666.666666666668</v>
      </c>
      <c r="AR1239" t="s">
        <v>3456</v>
      </c>
      <c r="AS1239" t="s">
        <v>75</v>
      </c>
      <c r="AX1239" t="s">
        <v>76</v>
      </c>
      <c r="AY1239" t="s">
        <v>71</v>
      </c>
      <c r="AZ1239">
        <v>0</v>
      </c>
      <c r="BA1239" t="s">
        <v>71</v>
      </c>
      <c r="BB1239">
        <v>0</v>
      </c>
      <c r="BD1239">
        <v>12.5</v>
      </c>
    </row>
    <row r="1240" spans="1:56" x14ac:dyDescent="0.15">
      <c r="A1240" s="4" t="str">
        <f>HYPERLINK("https://ibp.a2mac1.com/costing(costing:projects/details/9760/part/8413153)","Sensor Target")</f>
        <v>Sensor Target</v>
      </c>
      <c r="B1240">
        <v>8413153</v>
      </c>
      <c r="C1240">
        <v>8413060</v>
      </c>
      <c r="D1240" t="s">
        <v>3396</v>
      </c>
      <c r="E1240">
        <v>0.26</v>
      </c>
      <c r="F1240">
        <v>0</v>
      </c>
      <c r="G1240">
        <v>0</v>
      </c>
      <c r="H1240">
        <v>0</v>
      </c>
      <c r="I1240" t="s">
        <v>71</v>
      </c>
      <c r="J1240">
        <v>0</v>
      </c>
      <c r="K1240">
        <v>0.26</v>
      </c>
      <c r="L1240">
        <v>0</v>
      </c>
      <c r="M1240">
        <v>0</v>
      </c>
      <c r="N1240">
        <v>0.26</v>
      </c>
      <c r="O1240" t="s">
        <v>71</v>
      </c>
      <c r="P1240">
        <v>0</v>
      </c>
      <c r="Q1240" t="s">
        <v>71</v>
      </c>
      <c r="R1240">
        <v>0</v>
      </c>
      <c r="S1240" t="s">
        <v>71</v>
      </c>
      <c r="T1240">
        <v>0</v>
      </c>
      <c r="U1240" t="s">
        <v>71</v>
      </c>
      <c r="V1240">
        <v>0</v>
      </c>
      <c r="W1240" t="s">
        <v>71</v>
      </c>
      <c r="X1240">
        <v>0</v>
      </c>
      <c r="Y1240">
        <v>0.26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8</v>
      </c>
      <c r="AF1240">
        <v>33</v>
      </c>
      <c r="AG1240">
        <v>33</v>
      </c>
      <c r="AH1240">
        <v>0</v>
      </c>
      <c r="AI1240">
        <v>3.1E-2</v>
      </c>
      <c r="AK1240" t="s">
        <v>100</v>
      </c>
      <c r="AM1240">
        <v>200000</v>
      </c>
      <c r="AN1240" t="s">
        <v>97</v>
      </c>
      <c r="AO1240">
        <v>1</v>
      </c>
      <c r="AP1240">
        <v>0</v>
      </c>
      <c r="AQ1240">
        <v>16666.666666666668</v>
      </c>
      <c r="AR1240" t="s">
        <v>3457</v>
      </c>
      <c r="AS1240" t="s">
        <v>75</v>
      </c>
      <c r="AX1240" t="s">
        <v>76</v>
      </c>
      <c r="AY1240" t="s">
        <v>71</v>
      </c>
      <c r="AZ1240">
        <v>0</v>
      </c>
      <c r="BA1240" t="s">
        <v>71</v>
      </c>
      <c r="BB1240">
        <v>0</v>
      </c>
      <c r="BD1240">
        <v>0.26</v>
      </c>
    </row>
    <row r="1241" spans="1:56" x14ac:dyDescent="0.15">
      <c r="A1241" s="4" t="str">
        <f>HYPERLINK("https://ibp.a2mac1.com/costing(costing:projects/details/9760/part/8413154)","Protection")</f>
        <v>Protection</v>
      </c>
      <c r="B1241">
        <v>8413154</v>
      </c>
      <c r="C1241">
        <v>8413060</v>
      </c>
      <c r="D1241" t="s">
        <v>3386</v>
      </c>
      <c r="E1241">
        <v>1.1599999999999999</v>
      </c>
      <c r="F1241">
        <v>0</v>
      </c>
      <c r="G1241">
        <v>0</v>
      </c>
      <c r="H1241">
        <v>0</v>
      </c>
      <c r="I1241" t="s">
        <v>71</v>
      </c>
      <c r="J1241">
        <v>0</v>
      </c>
      <c r="K1241">
        <v>1.1599999999999999</v>
      </c>
      <c r="L1241">
        <v>0</v>
      </c>
      <c r="M1241">
        <v>0</v>
      </c>
      <c r="N1241">
        <v>1.1599999999999999</v>
      </c>
      <c r="O1241" t="s">
        <v>71</v>
      </c>
      <c r="P1241">
        <v>0</v>
      </c>
      <c r="Q1241" t="s">
        <v>71</v>
      </c>
      <c r="R1241">
        <v>0</v>
      </c>
      <c r="S1241" t="s">
        <v>71</v>
      </c>
      <c r="T1241">
        <v>0</v>
      </c>
      <c r="U1241" t="s">
        <v>71</v>
      </c>
      <c r="V1241">
        <v>0</v>
      </c>
      <c r="W1241" t="s">
        <v>71</v>
      </c>
      <c r="X1241">
        <v>0</v>
      </c>
      <c r="Y1241">
        <v>1.1599999999999999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39</v>
      </c>
      <c r="AF1241">
        <v>220</v>
      </c>
      <c r="AG1241">
        <v>220</v>
      </c>
      <c r="AH1241">
        <v>0</v>
      </c>
      <c r="AI1241">
        <v>0.129</v>
      </c>
      <c r="AK1241" t="s">
        <v>100</v>
      </c>
      <c r="AM1241">
        <v>200000</v>
      </c>
      <c r="AN1241" t="s">
        <v>97</v>
      </c>
      <c r="AO1241">
        <v>1</v>
      </c>
      <c r="AP1241">
        <v>0</v>
      </c>
      <c r="AQ1241">
        <v>16666.666666666668</v>
      </c>
      <c r="AR1241" t="s">
        <v>3458</v>
      </c>
      <c r="AS1241" t="s">
        <v>75</v>
      </c>
      <c r="AX1241" t="s">
        <v>76</v>
      </c>
      <c r="AY1241" t="s">
        <v>71</v>
      </c>
      <c r="AZ1241">
        <v>0</v>
      </c>
      <c r="BA1241" t="s">
        <v>71</v>
      </c>
      <c r="BB1241">
        <v>0</v>
      </c>
      <c r="BD1241">
        <v>1.1599999999999999</v>
      </c>
    </row>
    <row r="1242" spans="1:56" x14ac:dyDescent="0.15">
      <c r="A1242" s="4" t="str">
        <f>HYPERLINK("https://ibp.a2mac1.com/costing(costing:projects/details/9760/part/8413155)","Ground Cable")</f>
        <v>Ground Cable</v>
      </c>
      <c r="B1242">
        <v>8413155</v>
      </c>
      <c r="C1242">
        <v>8413060</v>
      </c>
      <c r="D1242" t="s">
        <v>3333</v>
      </c>
      <c r="E1242">
        <v>1.5</v>
      </c>
      <c r="F1242">
        <v>0</v>
      </c>
      <c r="G1242">
        <v>0</v>
      </c>
      <c r="H1242">
        <v>0</v>
      </c>
      <c r="I1242" t="s">
        <v>71</v>
      </c>
      <c r="J1242">
        <v>0</v>
      </c>
      <c r="K1242">
        <v>1.5</v>
      </c>
      <c r="L1242">
        <v>0</v>
      </c>
      <c r="M1242">
        <v>0</v>
      </c>
      <c r="N1242">
        <v>1.5</v>
      </c>
      <c r="O1242" t="s">
        <v>71</v>
      </c>
      <c r="P1242">
        <v>0</v>
      </c>
      <c r="Q1242" t="s">
        <v>71</v>
      </c>
      <c r="R1242">
        <v>0</v>
      </c>
      <c r="S1242" t="s">
        <v>71</v>
      </c>
      <c r="T1242">
        <v>0</v>
      </c>
      <c r="U1242" t="s">
        <v>71</v>
      </c>
      <c r="V1242">
        <v>0</v>
      </c>
      <c r="W1242" t="s">
        <v>71</v>
      </c>
      <c r="X1242">
        <v>0</v>
      </c>
      <c r="Y1242">
        <v>1.5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0.107</v>
      </c>
      <c r="AK1242" t="s">
        <v>272</v>
      </c>
      <c r="AM1242">
        <v>200000</v>
      </c>
      <c r="AN1242" t="s">
        <v>73</v>
      </c>
      <c r="AO1242">
        <v>1</v>
      </c>
      <c r="AP1242">
        <v>0</v>
      </c>
      <c r="AQ1242">
        <v>16666.666666666668</v>
      </c>
      <c r="AR1242" t="s">
        <v>9</v>
      </c>
      <c r="AS1242" t="s">
        <v>75</v>
      </c>
      <c r="AX1242" t="s">
        <v>76</v>
      </c>
      <c r="AY1242" t="s">
        <v>71</v>
      </c>
      <c r="AZ1242">
        <v>0</v>
      </c>
      <c r="BA1242" t="s">
        <v>71</v>
      </c>
      <c r="BB1242">
        <v>0</v>
      </c>
      <c r="BD1242">
        <v>1.5</v>
      </c>
    </row>
    <row r="1243" spans="1:56" x14ac:dyDescent="0.15">
      <c r="A1243" s="4" t="str">
        <f>HYPERLINK("https://ibp.a2mac1.com/costing(costing:projects/details/9760/part/8413156)","HV Connector Plug")</f>
        <v>HV Connector Plug</v>
      </c>
      <c r="B1243">
        <v>8413156</v>
      </c>
      <c r="C1243">
        <v>8413060</v>
      </c>
      <c r="D1243" t="s">
        <v>3392</v>
      </c>
      <c r="E1243">
        <v>2.2400000000000002</v>
      </c>
      <c r="F1243">
        <v>0</v>
      </c>
      <c r="G1243">
        <v>0</v>
      </c>
      <c r="H1243">
        <v>0</v>
      </c>
      <c r="I1243" t="s">
        <v>71</v>
      </c>
      <c r="J1243">
        <v>0</v>
      </c>
      <c r="K1243">
        <v>2.2400000000000002</v>
      </c>
      <c r="L1243">
        <v>0</v>
      </c>
      <c r="M1243">
        <v>0</v>
      </c>
      <c r="N1243">
        <v>2.2400000000000002</v>
      </c>
      <c r="O1243" t="s">
        <v>71</v>
      </c>
      <c r="P1243">
        <v>0</v>
      </c>
      <c r="Q1243" t="s">
        <v>71</v>
      </c>
      <c r="R1243">
        <v>0</v>
      </c>
      <c r="S1243" t="s">
        <v>71</v>
      </c>
      <c r="T1243">
        <v>0</v>
      </c>
      <c r="U1243" t="s">
        <v>71</v>
      </c>
      <c r="V1243">
        <v>0</v>
      </c>
      <c r="W1243" t="s">
        <v>71</v>
      </c>
      <c r="X1243">
        <v>0</v>
      </c>
      <c r="Y1243">
        <v>2.2400000000000002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23</v>
      </c>
      <c r="AF1243">
        <v>107</v>
      </c>
      <c r="AG1243">
        <v>102</v>
      </c>
      <c r="AH1243">
        <v>0</v>
      </c>
      <c r="AI1243">
        <v>0.16</v>
      </c>
      <c r="AK1243" t="s">
        <v>100</v>
      </c>
      <c r="AM1243">
        <v>200000</v>
      </c>
      <c r="AN1243" t="s">
        <v>97</v>
      </c>
      <c r="AO1243">
        <v>1</v>
      </c>
      <c r="AP1243">
        <v>0</v>
      </c>
      <c r="AQ1243">
        <v>16666.666666666668</v>
      </c>
      <c r="AR1243" t="s">
        <v>3459</v>
      </c>
      <c r="AS1243" t="s">
        <v>75</v>
      </c>
      <c r="AX1243" t="s">
        <v>76</v>
      </c>
      <c r="AY1243" t="s">
        <v>71</v>
      </c>
      <c r="AZ1243">
        <v>0</v>
      </c>
      <c r="BA1243" t="s">
        <v>71</v>
      </c>
      <c r="BB1243">
        <v>0</v>
      </c>
      <c r="BD1243">
        <v>2.2400000000000002</v>
      </c>
    </row>
    <row r="1244" spans="1:56" x14ac:dyDescent="0.15">
      <c r="A1244" s="4" t="str">
        <f>HYPERLINK("https://ibp.a2mac1.com/costing(costing:projects/details/9760/part/8413157)","2nd HV Connector Plug")</f>
        <v>2nd HV Connector Plug</v>
      </c>
      <c r="B1244">
        <v>8413157</v>
      </c>
      <c r="C1244">
        <v>8413060</v>
      </c>
      <c r="D1244" t="s">
        <v>3392</v>
      </c>
      <c r="E1244">
        <v>5.62</v>
      </c>
      <c r="F1244">
        <v>0</v>
      </c>
      <c r="G1244">
        <v>0</v>
      </c>
      <c r="H1244">
        <v>0</v>
      </c>
      <c r="I1244" t="s">
        <v>71</v>
      </c>
      <c r="J1244">
        <v>0</v>
      </c>
      <c r="K1244">
        <v>5.62</v>
      </c>
      <c r="L1244">
        <v>0</v>
      </c>
      <c r="M1244">
        <v>0</v>
      </c>
      <c r="N1244">
        <v>5.62</v>
      </c>
      <c r="O1244" t="s">
        <v>71</v>
      </c>
      <c r="P1244">
        <v>0</v>
      </c>
      <c r="Q1244" t="s">
        <v>71</v>
      </c>
      <c r="R1244">
        <v>0</v>
      </c>
      <c r="S1244" t="s">
        <v>71</v>
      </c>
      <c r="T1244">
        <v>0</v>
      </c>
      <c r="U1244" t="s">
        <v>71</v>
      </c>
      <c r="V1244">
        <v>0</v>
      </c>
      <c r="W1244" t="s">
        <v>71</v>
      </c>
      <c r="X1244">
        <v>0</v>
      </c>
      <c r="Y1244">
        <v>5.62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230</v>
      </c>
      <c r="AF1244">
        <v>73</v>
      </c>
      <c r="AG1244">
        <v>84</v>
      </c>
      <c r="AH1244">
        <v>0</v>
      </c>
      <c r="AI1244">
        <v>0.495</v>
      </c>
      <c r="AK1244" t="s">
        <v>100</v>
      </c>
      <c r="AM1244">
        <v>200000</v>
      </c>
      <c r="AN1244" t="s">
        <v>97</v>
      </c>
      <c r="AO1244">
        <v>1</v>
      </c>
      <c r="AP1244">
        <v>0</v>
      </c>
      <c r="AQ1244">
        <v>16666.666666666668</v>
      </c>
      <c r="AR1244" t="s">
        <v>3460</v>
      </c>
      <c r="AS1244" t="s">
        <v>75</v>
      </c>
      <c r="AX1244" t="s">
        <v>76</v>
      </c>
      <c r="AY1244" t="s">
        <v>71</v>
      </c>
      <c r="AZ1244">
        <v>0</v>
      </c>
      <c r="BA1244" t="s">
        <v>71</v>
      </c>
      <c r="BB1244">
        <v>0</v>
      </c>
      <c r="BD1244">
        <v>5.62</v>
      </c>
    </row>
    <row r="1245" spans="1:56" x14ac:dyDescent="0.15">
      <c r="A1245" s="4" t="str">
        <f>HYPERLINK("https://ibp.a2mac1.com/costing(costing:projects/details/9760/part/8413158)","Rotor Seal")</f>
        <v>Rotor Seal</v>
      </c>
      <c r="B1245">
        <v>8413158</v>
      </c>
      <c r="C1245">
        <v>8413060</v>
      </c>
      <c r="D1245" t="s">
        <v>3333</v>
      </c>
      <c r="E1245">
        <v>1.57</v>
      </c>
      <c r="F1245">
        <v>0</v>
      </c>
      <c r="G1245">
        <v>0</v>
      </c>
      <c r="H1245">
        <v>0</v>
      </c>
      <c r="I1245" t="s">
        <v>71</v>
      </c>
      <c r="J1245">
        <v>0</v>
      </c>
      <c r="K1245">
        <v>1.57</v>
      </c>
      <c r="L1245">
        <v>0</v>
      </c>
      <c r="M1245">
        <v>0</v>
      </c>
      <c r="N1245">
        <v>1.57</v>
      </c>
      <c r="O1245" t="s">
        <v>71</v>
      </c>
      <c r="P1245">
        <v>0</v>
      </c>
      <c r="Q1245" t="s">
        <v>71</v>
      </c>
      <c r="R1245">
        <v>0</v>
      </c>
      <c r="S1245" t="s">
        <v>71</v>
      </c>
      <c r="T1245">
        <v>0</v>
      </c>
      <c r="U1245" t="s">
        <v>71</v>
      </c>
      <c r="V1245">
        <v>0</v>
      </c>
      <c r="W1245" t="s">
        <v>71</v>
      </c>
      <c r="X1245">
        <v>0</v>
      </c>
      <c r="Y1245">
        <v>1.57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6</v>
      </c>
      <c r="AF1245">
        <v>30</v>
      </c>
      <c r="AG1245">
        <v>30</v>
      </c>
      <c r="AH1245">
        <v>0</v>
      </c>
      <c r="AI1245">
        <v>7.0000000000000001E-3</v>
      </c>
      <c r="AK1245" t="s">
        <v>100</v>
      </c>
      <c r="AM1245">
        <v>200000</v>
      </c>
      <c r="AN1245" t="s">
        <v>97</v>
      </c>
      <c r="AO1245">
        <v>1</v>
      </c>
      <c r="AP1245">
        <v>0</v>
      </c>
      <c r="AQ1245">
        <v>16666.666666666668</v>
      </c>
      <c r="AR1245" t="s">
        <v>3461</v>
      </c>
      <c r="AS1245" t="s">
        <v>75</v>
      </c>
      <c r="AX1245" t="s">
        <v>76</v>
      </c>
      <c r="AY1245" t="s">
        <v>71</v>
      </c>
      <c r="AZ1245">
        <v>0</v>
      </c>
      <c r="BA1245" t="s">
        <v>71</v>
      </c>
      <c r="BB1245">
        <v>0</v>
      </c>
      <c r="BD1245">
        <v>1.57</v>
      </c>
    </row>
    <row r="1246" spans="1:56" x14ac:dyDescent="0.15">
      <c r="A1246" s="4" t="str">
        <f>HYPERLINK("https://ibp.a2mac1.com/costing(costing:projects/details/9760/part/8413159)","Degassing Valve")</f>
        <v>Degassing Valve</v>
      </c>
      <c r="B1246">
        <v>8413159</v>
      </c>
      <c r="C1246">
        <v>8413060</v>
      </c>
      <c r="D1246" t="s">
        <v>3333</v>
      </c>
      <c r="E1246">
        <v>0.15</v>
      </c>
      <c r="F1246">
        <v>0</v>
      </c>
      <c r="G1246">
        <v>0</v>
      </c>
      <c r="H1246">
        <v>0</v>
      </c>
      <c r="I1246" t="s">
        <v>71</v>
      </c>
      <c r="J1246">
        <v>0</v>
      </c>
      <c r="K1246">
        <v>0.15</v>
      </c>
      <c r="L1246">
        <v>0</v>
      </c>
      <c r="M1246">
        <v>0</v>
      </c>
      <c r="N1246">
        <v>0.15</v>
      </c>
      <c r="O1246" t="s">
        <v>71</v>
      </c>
      <c r="P1246">
        <v>0</v>
      </c>
      <c r="Q1246" t="s">
        <v>71</v>
      </c>
      <c r="R1246">
        <v>0</v>
      </c>
      <c r="S1246" t="s">
        <v>71</v>
      </c>
      <c r="T1246">
        <v>0</v>
      </c>
      <c r="U1246" t="s">
        <v>71</v>
      </c>
      <c r="V1246">
        <v>0</v>
      </c>
      <c r="W1246" t="s">
        <v>71</v>
      </c>
      <c r="X1246">
        <v>0</v>
      </c>
      <c r="Y1246">
        <v>0.15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30</v>
      </c>
      <c r="AF1246">
        <v>32</v>
      </c>
      <c r="AG1246">
        <v>37</v>
      </c>
      <c r="AH1246">
        <v>0</v>
      </c>
      <c r="AI1246">
        <v>1.4999999999999999E-2</v>
      </c>
      <c r="AK1246" t="s">
        <v>100</v>
      </c>
      <c r="AM1246">
        <v>200000</v>
      </c>
      <c r="AN1246" t="s">
        <v>97</v>
      </c>
      <c r="AO1246">
        <v>1</v>
      </c>
      <c r="AP1246">
        <v>0</v>
      </c>
      <c r="AQ1246">
        <v>16666.666666666668</v>
      </c>
      <c r="AR1246" t="s">
        <v>3462</v>
      </c>
      <c r="AS1246" t="s">
        <v>75</v>
      </c>
      <c r="AX1246" t="s">
        <v>76</v>
      </c>
      <c r="AY1246" t="s">
        <v>71</v>
      </c>
      <c r="AZ1246">
        <v>0</v>
      </c>
      <c r="BA1246" t="s">
        <v>71</v>
      </c>
      <c r="BB1246">
        <v>0</v>
      </c>
      <c r="BD1246">
        <v>0.15</v>
      </c>
    </row>
    <row r="1247" spans="1:56" x14ac:dyDescent="0.15">
      <c r="A1247" s="4" t="str">
        <f>HYPERLINK("https://ibp.a2mac1.com/costing(costing:projects/details/9760/part/8413160)","Spring")</f>
        <v>Spring</v>
      </c>
      <c r="B1247">
        <v>8413160</v>
      </c>
      <c r="C1247">
        <v>8413060</v>
      </c>
      <c r="D1247" t="s">
        <v>3400</v>
      </c>
      <c r="E1247">
        <v>0.08</v>
      </c>
      <c r="F1247">
        <v>0</v>
      </c>
      <c r="G1247">
        <v>0</v>
      </c>
      <c r="H1247">
        <v>0</v>
      </c>
      <c r="I1247" t="s">
        <v>71</v>
      </c>
      <c r="J1247">
        <v>0</v>
      </c>
      <c r="K1247">
        <v>0.08</v>
      </c>
      <c r="L1247">
        <v>0</v>
      </c>
      <c r="M1247">
        <v>0</v>
      </c>
      <c r="N1247">
        <v>0.08</v>
      </c>
      <c r="O1247" t="s">
        <v>71</v>
      </c>
      <c r="P1247">
        <v>0</v>
      </c>
      <c r="Q1247" t="s">
        <v>71</v>
      </c>
      <c r="R1247">
        <v>0</v>
      </c>
      <c r="S1247" t="s">
        <v>71</v>
      </c>
      <c r="T1247">
        <v>0</v>
      </c>
      <c r="U1247" t="s">
        <v>71</v>
      </c>
      <c r="V1247">
        <v>0</v>
      </c>
      <c r="W1247" t="s">
        <v>71</v>
      </c>
      <c r="X1247">
        <v>0</v>
      </c>
      <c r="Y1247">
        <v>0.08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21</v>
      </c>
      <c r="AF1247">
        <v>77</v>
      </c>
      <c r="AG1247">
        <v>77</v>
      </c>
      <c r="AH1247">
        <v>0</v>
      </c>
      <c r="AI1247">
        <v>5.2999999999999999E-2</v>
      </c>
      <c r="AK1247" t="s">
        <v>100</v>
      </c>
      <c r="AM1247">
        <v>200000</v>
      </c>
      <c r="AN1247" t="s">
        <v>97</v>
      </c>
      <c r="AO1247">
        <v>1</v>
      </c>
      <c r="AP1247">
        <v>0</v>
      </c>
      <c r="AQ1247">
        <v>16666.666666666668</v>
      </c>
      <c r="AR1247" t="s">
        <v>3463</v>
      </c>
      <c r="AS1247" t="s">
        <v>75</v>
      </c>
      <c r="AX1247" t="s">
        <v>76</v>
      </c>
      <c r="AY1247" t="s">
        <v>71</v>
      </c>
      <c r="AZ1247">
        <v>0</v>
      </c>
      <c r="BA1247" t="s">
        <v>71</v>
      </c>
      <c r="BB1247">
        <v>0</v>
      </c>
      <c r="BD1247">
        <v>0.08</v>
      </c>
    </row>
    <row r="1248" spans="1:56" x14ac:dyDescent="0.15">
      <c r="A1248" s="4" t="str">
        <f>HYPERLINK("https://ibp.a2mac1.com/costing(costing:projects/details/9760/part/8413161)","Shim")</f>
        <v>Shim</v>
      </c>
      <c r="B1248">
        <v>8413161</v>
      </c>
      <c r="C1248">
        <v>8413060</v>
      </c>
      <c r="D1248" t="s">
        <v>3394</v>
      </c>
      <c r="E1248">
        <v>7.0000000000000007E-2</v>
      </c>
      <c r="F1248">
        <v>0</v>
      </c>
      <c r="G1248">
        <v>0</v>
      </c>
      <c r="H1248">
        <v>0</v>
      </c>
      <c r="I1248" t="s">
        <v>71</v>
      </c>
      <c r="J1248">
        <v>0</v>
      </c>
      <c r="K1248">
        <v>7.0000000000000007E-2</v>
      </c>
      <c r="L1248">
        <v>0</v>
      </c>
      <c r="M1248">
        <v>0</v>
      </c>
      <c r="N1248">
        <v>7.0000000000000007E-2</v>
      </c>
      <c r="O1248" t="s">
        <v>71</v>
      </c>
      <c r="P1248">
        <v>0</v>
      </c>
      <c r="Q1248" t="s">
        <v>71</v>
      </c>
      <c r="R1248">
        <v>0</v>
      </c>
      <c r="S1248" t="s">
        <v>71</v>
      </c>
      <c r="T1248">
        <v>0</v>
      </c>
      <c r="U1248" t="s">
        <v>71</v>
      </c>
      <c r="V1248">
        <v>0</v>
      </c>
      <c r="W1248" t="s">
        <v>71</v>
      </c>
      <c r="X1248">
        <v>0</v>
      </c>
      <c r="Y1248">
        <v>7.0000000000000007E-2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6</v>
      </c>
      <c r="AF1248">
        <v>26</v>
      </c>
      <c r="AG1248">
        <v>26</v>
      </c>
      <c r="AH1248">
        <v>0</v>
      </c>
      <c r="AI1248">
        <v>1.2999999999999999E-2</v>
      </c>
      <c r="AK1248" t="s">
        <v>100</v>
      </c>
      <c r="AM1248">
        <v>200000</v>
      </c>
      <c r="AN1248" t="s">
        <v>97</v>
      </c>
      <c r="AO1248">
        <v>1</v>
      </c>
      <c r="AP1248">
        <v>0</v>
      </c>
      <c r="AQ1248">
        <v>16666.666666666668</v>
      </c>
      <c r="AR1248" t="s">
        <v>3464</v>
      </c>
      <c r="AS1248" t="s">
        <v>75</v>
      </c>
      <c r="AX1248" t="s">
        <v>76</v>
      </c>
      <c r="AY1248" t="s">
        <v>71</v>
      </c>
      <c r="AZ1248">
        <v>0</v>
      </c>
      <c r="BA1248" t="s">
        <v>71</v>
      </c>
      <c r="BB1248">
        <v>0</v>
      </c>
      <c r="BD1248">
        <v>7.0000000000000007E-2</v>
      </c>
    </row>
    <row r="1249" spans="1:56" x14ac:dyDescent="0.15">
      <c r="A1249" s="4" t="str">
        <f>HYPERLINK("https://ibp.a2mac1.com/costing(costing:projects/details/9760/part/8413162)","Motor Shaft Grounding Brush")</f>
        <v>Motor Shaft Grounding Brush</v>
      </c>
      <c r="B1249">
        <v>8413162</v>
      </c>
      <c r="C1249">
        <v>8413060</v>
      </c>
      <c r="D1249" t="s">
        <v>3333</v>
      </c>
      <c r="E1249">
        <v>0.3</v>
      </c>
      <c r="F1249">
        <v>0</v>
      </c>
      <c r="G1249">
        <v>0</v>
      </c>
      <c r="H1249">
        <v>0</v>
      </c>
      <c r="I1249" t="s">
        <v>71</v>
      </c>
      <c r="J1249">
        <v>0</v>
      </c>
      <c r="K1249">
        <v>0.3</v>
      </c>
      <c r="L1249">
        <v>0</v>
      </c>
      <c r="M1249">
        <v>0</v>
      </c>
      <c r="N1249">
        <v>0.3</v>
      </c>
      <c r="O1249" t="s">
        <v>71</v>
      </c>
      <c r="P1249">
        <v>0</v>
      </c>
      <c r="Q1249" t="s">
        <v>71</v>
      </c>
      <c r="R1249">
        <v>0</v>
      </c>
      <c r="S1249" t="s">
        <v>71</v>
      </c>
      <c r="T1249">
        <v>0</v>
      </c>
      <c r="U1249" t="s">
        <v>71</v>
      </c>
      <c r="V1249">
        <v>0</v>
      </c>
      <c r="W1249" t="s">
        <v>71</v>
      </c>
      <c r="X1249">
        <v>0</v>
      </c>
      <c r="Y1249">
        <v>0.3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8</v>
      </c>
      <c r="AF1249">
        <v>50</v>
      </c>
      <c r="AG1249">
        <v>26</v>
      </c>
      <c r="AH1249">
        <v>0</v>
      </c>
      <c r="AI1249">
        <v>7.0000000000000001E-3</v>
      </c>
      <c r="AK1249" t="s">
        <v>272</v>
      </c>
      <c r="AM1249">
        <v>200000</v>
      </c>
      <c r="AN1249" t="s">
        <v>73</v>
      </c>
      <c r="AO1249">
        <v>1</v>
      </c>
      <c r="AP1249">
        <v>0</v>
      </c>
      <c r="AQ1249">
        <v>16666.666666666668</v>
      </c>
      <c r="AR1249" t="s">
        <v>3465</v>
      </c>
      <c r="AS1249" t="s">
        <v>75</v>
      </c>
      <c r="AX1249" t="s">
        <v>76</v>
      </c>
      <c r="AY1249" t="s">
        <v>71</v>
      </c>
      <c r="AZ1249">
        <v>0</v>
      </c>
      <c r="BA1249" t="s">
        <v>71</v>
      </c>
      <c r="BB1249">
        <v>0</v>
      </c>
      <c r="BD1249">
        <v>0.3</v>
      </c>
    </row>
    <row r="1250" spans="1:56" x14ac:dyDescent="0.15">
      <c r="A1250" s="4" t="str">
        <f>HYPERLINK("https://ibp.a2mac1.com/costing(costing:projects/details/9760/part/8413163)","Connection Support")</f>
        <v>Connection Support</v>
      </c>
      <c r="B1250">
        <v>8413163</v>
      </c>
      <c r="C1250">
        <v>8413060</v>
      </c>
      <c r="D1250" t="s">
        <v>3388</v>
      </c>
      <c r="E1250">
        <v>1.24</v>
      </c>
      <c r="F1250">
        <v>0</v>
      </c>
      <c r="G1250">
        <v>0</v>
      </c>
      <c r="H1250">
        <v>0</v>
      </c>
      <c r="I1250" t="s">
        <v>71</v>
      </c>
      <c r="J1250">
        <v>0</v>
      </c>
      <c r="K1250">
        <v>1.24</v>
      </c>
      <c r="L1250">
        <v>0</v>
      </c>
      <c r="M1250">
        <v>0</v>
      </c>
      <c r="N1250">
        <v>1.24</v>
      </c>
      <c r="O1250" t="s">
        <v>71</v>
      </c>
      <c r="P1250">
        <v>0</v>
      </c>
      <c r="Q1250" t="s">
        <v>71</v>
      </c>
      <c r="R1250">
        <v>0</v>
      </c>
      <c r="S1250" t="s">
        <v>71</v>
      </c>
      <c r="T1250">
        <v>0</v>
      </c>
      <c r="U1250" t="s">
        <v>71</v>
      </c>
      <c r="V1250">
        <v>0</v>
      </c>
      <c r="W1250" t="s">
        <v>71</v>
      </c>
      <c r="X1250">
        <v>0</v>
      </c>
      <c r="Y1250">
        <v>1.24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46</v>
      </c>
      <c r="AF1250">
        <v>207</v>
      </c>
      <c r="AG1250">
        <v>207</v>
      </c>
      <c r="AH1250">
        <v>0</v>
      </c>
      <c r="AI1250">
        <v>0.14099999999999999</v>
      </c>
      <c r="AK1250" t="s">
        <v>272</v>
      </c>
      <c r="AM1250">
        <v>200000</v>
      </c>
      <c r="AN1250" t="s">
        <v>73</v>
      </c>
      <c r="AO1250">
        <v>1</v>
      </c>
      <c r="AP1250">
        <v>0</v>
      </c>
      <c r="AQ1250">
        <v>16666.666666666668</v>
      </c>
      <c r="AR1250" t="s">
        <v>9</v>
      </c>
      <c r="AS1250" t="s">
        <v>75</v>
      </c>
      <c r="AX1250" t="s">
        <v>76</v>
      </c>
      <c r="AY1250" t="s">
        <v>71</v>
      </c>
      <c r="AZ1250">
        <v>0</v>
      </c>
      <c r="BA1250" t="s">
        <v>71</v>
      </c>
      <c r="BB1250">
        <v>0</v>
      </c>
      <c r="BD1250">
        <v>1.24</v>
      </c>
    </row>
    <row r="1251" spans="1:56" x14ac:dyDescent="0.15">
      <c r="A1251" s="4" t="str">
        <f>HYPERLINK("https://ibp.a2mac1.com/costing(costing:projects/details/9760/part/8413164)","Degassing Valve")</f>
        <v>Degassing Valve</v>
      </c>
      <c r="B1251">
        <v>8413164</v>
      </c>
      <c r="C1251">
        <v>8413060</v>
      </c>
      <c r="D1251" t="s">
        <v>3333</v>
      </c>
      <c r="E1251">
        <v>0.15</v>
      </c>
      <c r="F1251">
        <v>0</v>
      </c>
      <c r="G1251">
        <v>0</v>
      </c>
      <c r="H1251">
        <v>0</v>
      </c>
      <c r="I1251" t="s">
        <v>71</v>
      </c>
      <c r="J1251">
        <v>0</v>
      </c>
      <c r="K1251">
        <v>0.15</v>
      </c>
      <c r="L1251">
        <v>0</v>
      </c>
      <c r="M1251">
        <v>0</v>
      </c>
      <c r="N1251">
        <v>0.15</v>
      </c>
      <c r="O1251" t="s">
        <v>71</v>
      </c>
      <c r="P1251">
        <v>0</v>
      </c>
      <c r="Q1251" t="s">
        <v>71</v>
      </c>
      <c r="R1251">
        <v>0</v>
      </c>
      <c r="S1251" t="s">
        <v>71</v>
      </c>
      <c r="T1251">
        <v>0</v>
      </c>
      <c r="U1251" t="s">
        <v>71</v>
      </c>
      <c r="V1251">
        <v>0</v>
      </c>
      <c r="W1251" t="s">
        <v>71</v>
      </c>
      <c r="X1251">
        <v>0</v>
      </c>
      <c r="Y1251">
        <v>0.15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13</v>
      </c>
      <c r="AF1251">
        <v>17</v>
      </c>
      <c r="AG1251">
        <v>17</v>
      </c>
      <c r="AH1251">
        <v>0</v>
      </c>
      <c r="AI1251">
        <v>1E-3</v>
      </c>
      <c r="AK1251" t="s">
        <v>100</v>
      </c>
      <c r="AM1251">
        <v>200000</v>
      </c>
      <c r="AN1251" t="s">
        <v>97</v>
      </c>
      <c r="AO1251">
        <v>1</v>
      </c>
      <c r="AP1251">
        <v>0</v>
      </c>
      <c r="AQ1251">
        <v>16666.666666666668</v>
      </c>
      <c r="AR1251" t="s">
        <v>3466</v>
      </c>
      <c r="AS1251" t="s">
        <v>75</v>
      </c>
      <c r="AX1251" t="s">
        <v>76</v>
      </c>
      <c r="AY1251" t="s">
        <v>71</v>
      </c>
      <c r="AZ1251">
        <v>0</v>
      </c>
      <c r="BA1251" t="s">
        <v>71</v>
      </c>
      <c r="BB1251">
        <v>0</v>
      </c>
      <c r="BD1251">
        <v>0.15</v>
      </c>
    </row>
    <row r="1252" spans="1:56" x14ac:dyDescent="0.15">
      <c r="A1252" s="4" t="str">
        <f>HYPERLINK("https://ibp.a2mac1.com/costing(costing:projects/details/9760/part/8413165)","Water/Oil Exchanger")</f>
        <v>Water/Oil Exchanger</v>
      </c>
      <c r="B1252">
        <v>8413165</v>
      </c>
      <c r="C1252">
        <v>8413060</v>
      </c>
      <c r="D1252" t="s">
        <v>3333</v>
      </c>
      <c r="E1252">
        <v>7.5</v>
      </c>
      <c r="F1252">
        <v>0</v>
      </c>
      <c r="G1252">
        <v>0</v>
      </c>
      <c r="H1252">
        <v>0</v>
      </c>
      <c r="I1252" t="s">
        <v>71</v>
      </c>
      <c r="J1252">
        <v>0</v>
      </c>
      <c r="K1252">
        <v>7.5</v>
      </c>
      <c r="L1252">
        <v>0</v>
      </c>
      <c r="M1252">
        <v>0</v>
      </c>
      <c r="N1252">
        <v>7.5</v>
      </c>
      <c r="O1252" t="s">
        <v>71</v>
      </c>
      <c r="P1252">
        <v>0</v>
      </c>
      <c r="Q1252" t="s">
        <v>71</v>
      </c>
      <c r="R1252">
        <v>0</v>
      </c>
      <c r="S1252" t="s">
        <v>71</v>
      </c>
      <c r="T1252">
        <v>0</v>
      </c>
      <c r="U1252" t="s">
        <v>71</v>
      </c>
      <c r="V1252">
        <v>0</v>
      </c>
      <c r="W1252" t="s">
        <v>71</v>
      </c>
      <c r="X1252">
        <v>0</v>
      </c>
      <c r="Y1252">
        <v>7.5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83</v>
      </c>
      <c r="AF1252">
        <v>97</v>
      </c>
      <c r="AG1252">
        <v>171</v>
      </c>
      <c r="AH1252">
        <v>0</v>
      </c>
      <c r="AI1252">
        <v>0.59399999999999997</v>
      </c>
      <c r="AK1252" t="s">
        <v>95</v>
      </c>
      <c r="AM1252">
        <v>200000</v>
      </c>
      <c r="AN1252" t="s">
        <v>97</v>
      </c>
      <c r="AO1252">
        <v>1</v>
      </c>
      <c r="AP1252">
        <v>0</v>
      </c>
      <c r="AQ1252">
        <v>16666.666666666668</v>
      </c>
      <c r="AR1252" t="s">
        <v>3467</v>
      </c>
      <c r="AS1252" t="s">
        <v>75</v>
      </c>
      <c r="AX1252" t="s">
        <v>76</v>
      </c>
      <c r="AY1252" t="s">
        <v>71</v>
      </c>
      <c r="AZ1252">
        <v>0</v>
      </c>
      <c r="BA1252" t="s">
        <v>71</v>
      </c>
      <c r="BB1252">
        <v>0</v>
      </c>
      <c r="BD1252">
        <v>7.5</v>
      </c>
    </row>
    <row r="1253" spans="1:56" x14ac:dyDescent="0.15">
      <c r="A1253" s="4" t="str">
        <f>HYPERLINK("https://ibp.a2mac1.com/costing(costing:projects/details/9760/part/8413258)","Busbar 1")</f>
        <v>Busbar 1</v>
      </c>
      <c r="B1253">
        <v>8413258</v>
      </c>
      <c r="C1253">
        <v>8413166</v>
      </c>
      <c r="D1253" t="s">
        <v>3480</v>
      </c>
      <c r="E1253">
        <v>1.0409999999999999</v>
      </c>
      <c r="F1253">
        <v>0</v>
      </c>
      <c r="G1253">
        <v>0</v>
      </c>
      <c r="H1253">
        <v>0</v>
      </c>
      <c r="I1253" t="s">
        <v>71</v>
      </c>
      <c r="J1253">
        <v>0</v>
      </c>
      <c r="K1253">
        <v>1.0409999999999999</v>
      </c>
      <c r="L1253">
        <v>0</v>
      </c>
      <c r="M1253">
        <v>0</v>
      </c>
      <c r="N1253">
        <v>1.0409999999999999</v>
      </c>
      <c r="O1253" t="s">
        <v>71</v>
      </c>
      <c r="P1253">
        <v>0</v>
      </c>
      <c r="Q1253" t="s">
        <v>71</v>
      </c>
      <c r="R1253">
        <v>0</v>
      </c>
      <c r="S1253" t="s">
        <v>71</v>
      </c>
      <c r="T1253">
        <v>0</v>
      </c>
      <c r="U1253" t="s">
        <v>71</v>
      </c>
      <c r="V1253">
        <v>0</v>
      </c>
      <c r="W1253" t="s">
        <v>71</v>
      </c>
      <c r="X1253">
        <v>0</v>
      </c>
      <c r="Y1253">
        <v>1.0409999999999999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54</v>
      </c>
      <c r="AF1253">
        <v>18</v>
      </c>
      <c r="AG1253">
        <v>2</v>
      </c>
      <c r="AH1253">
        <v>0</v>
      </c>
      <c r="AI1253">
        <v>1.933E-2</v>
      </c>
      <c r="AK1253" t="s">
        <v>100</v>
      </c>
      <c r="AM1253">
        <v>600000</v>
      </c>
      <c r="AN1253" t="s">
        <v>97</v>
      </c>
      <c r="AO1253">
        <v>3</v>
      </c>
      <c r="AP1253">
        <v>0</v>
      </c>
      <c r="AQ1253">
        <v>50000</v>
      </c>
      <c r="AR1253" t="s">
        <v>3481</v>
      </c>
      <c r="AS1253" t="s">
        <v>75</v>
      </c>
      <c r="AX1253" t="s">
        <v>76</v>
      </c>
      <c r="AY1253" t="s">
        <v>71</v>
      </c>
      <c r="AZ1253">
        <v>0</v>
      </c>
      <c r="BA1253" t="s">
        <v>71</v>
      </c>
      <c r="BB1253">
        <v>0</v>
      </c>
      <c r="BD1253">
        <v>0.34699999999999998</v>
      </c>
    </row>
    <row r="1254" spans="1:56" x14ac:dyDescent="0.15">
      <c r="A1254" s="4" t="str">
        <f>HYPERLINK("https://ibp.a2mac1.com/costing(costing:projects/details/9760/part/8413259)","Busbar Assembly 1")</f>
        <v>Busbar Assembly 1</v>
      </c>
      <c r="B1254">
        <v>8413259</v>
      </c>
      <c r="C1254">
        <v>8413166</v>
      </c>
      <c r="D1254" t="s">
        <v>3482</v>
      </c>
      <c r="E1254">
        <v>4.45</v>
      </c>
      <c r="F1254">
        <v>0</v>
      </c>
      <c r="G1254">
        <v>0</v>
      </c>
      <c r="H1254">
        <v>0</v>
      </c>
      <c r="I1254" t="s">
        <v>71</v>
      </c>
      <c r="J1254">
        <v>0</v>
      </c>
      <c r="K1254">
        <v>4.45</v>
      </c>
      <c r="L1254">
        <v>0</v>
      </c>
      <c r="M1254">
        <v>0</v>
      </c>
      <c r="N1254">
        <v>4.45</v>
      </c>
      <c r="O1254" t="s">
        <v>71</v>
      </c>
      <c r="P1254">
        <v>0</v>
      </c>
      <c r="Q1254" t="s">
        <v>71</v>
      </c>
      <c r="R1254">
        <v>0</v>
      </c>
      <c r="S1254" t="s">
        <v>71</v>
      </c>
      <c r="T1254">
        <v>0</v>
      </c>
      <c r="U1254" t="s">
        <v>71</v>
      </c>
      <c r="V1254">
        <v>0</v>
      </c>
      <c r="W1254" t="s">
        <v>71</v>
      </c>
      <c r="X1254">
        <v>0</v>
      </c>
      <c r="Y1254">
        <v>4.45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65</v>
      </c>
      <c r="AF1254">
        <v>232</v>
      </c>
      <c r="AG1254">
        <v>32</v>
      </c>
      <c r="AH1254">
        <v>0</v>
      </c>
      <c r="AI1254">
        <v>0.35099999999999998</v>
      </c>
      <c r="AK1254" t="s">
        <v>100</v>
      </c>
      <c r="AM1254">
        <v>200000</v>
      </c>
      <c r="AN1254" t="s">
        <v>97</v>
      </c>
      <c r="AO1254">
        <v>1</v>
      </c>
      <c r="AP1254">
        <v>0</v>
      </c>
      <c r="AQ1254">
        <v>16666.666666666668</v>
      </c>
      <c r="AR1254" t="s">
        <v>3483</v>
      </c>
      <c r="AS1254" t="s">
        <v>75</v>
      </c>
      <c r="AX1254" t="s">
        <v>76</v>
      </c>
      <c r="AY1254" t="s">
        <v>71</v>
      </c>
      <c r="AZ1254">
        <v>0</v>
      </c>
      <c r="BA1254" t="s">
        <v>71</v>
      </c>
      <c r="BB1254">
        <v>0</v>
      </c>
      <c r="BD1254">
        <v>4.45</v>
      </c>
    </row>
    <row r="1255" spans="1:56" x14ac:dyDescent="0.15">
      <c r="A1255" s="4" t="str">
        <f>HYPERLINK("https://ibp.a2mac1.com/costing(costing:projects/details/9760/part/8413260)","Busbar Assembly 2")</f>
        <v>Busbar Assembly 2</v>
      </c>
      <c r="B1255">
        <v>8413260</v>
      </c>
      <c r="C1255">
        <v>8413166</v>
      </c>
      <c r="D1255" t="s">
        <v>3495</v>
      </c>
      <c r="E1255">
        <v>6.9947203283921606</v>
      </c>
      <c r="F1255">
        <v>0.69164361764199289</v>
      </c>
      <c r="G1255">
        <v>0</v>
      </c>
      <c r="H1255">
        <v>1.4951921652349147E-4</v>
      </c>
      <c r="I1255" t="s">
        <v>176</v>
      </c>
      <c r="J1255">
        <v>0.26165862891611008</v>
      </c>
      <c r="K1255">
        <v>7.972379620784257</v>
      </c>
      <c r="L1255">
        <v>0.17455477346411627</v>
      </c>
      <c r="M1255">
        <v>1.0473286407846976</v>
      </c>
      <c r="N1255">
        <v>9.0197082615689546</v>
      </c>
      <c r="O1255" t="s">
        <v>177</v>
      </c>
      <c r="P1255">
        <v>0.47834277724705543</v>
      </c>
      <c r="Q1255" t="s">
        <v>177</v>
      </c>
      <c r="R1255">
        <v>6.283971844708186E-2</v>
      </c>
      <c r="S1255" t="s">
        <v>178</v>
      </c>
      <c r="T1255">
        <v>1.0823649913882745</v>
      </c>
      <c r="U1255" t="s">
        <v>90</v>
      </c>
      <c r="V1255">
        <v>0</v>
      </c>
      <c r="W1255" t="s">
        <v>90</v>
      </c>
      <c r="X1255">
        <v>0</v>
      </c>
      <c r="Y1255">
        <v>10.643255748651367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182</v>
      </c>
      <c r="AF1255">
        <v>64</v>
      </c>
      <c r="AG1255">
        <v>63</v>
      </c>
      <c r="AH1255">
        <v>0</v>
      </c>
      <c r="AI1255">
        <v>0.71699999999999997</v>
      </c>
      <c r="AK1255" t="s">
        <v>100</v>
      </c>
      <c r="AM1255">
        <v>200000</v>
      </c>
      <c r="AN1255" t="s">
        <v>97</v>
      </c>
      <c r="AO1255">
        <v>1</v>
      </c>
      <c r="AP1255">
        <v>0</v>
      </c>
      <c r="AQ1255">
        <v>16666.666666666668</v>
      </c>
      <c r="AR1255" t="s">
        <v>3496</v>
      </c>
      <c r="AS1255" t="s">
        <v>75</v>
      </c>
      <c r="AX1255" t="s">
        <v>76</v>
      </c>
      <c r="AY1255" t="s">
        <v>176</v>
      </c>
      <c r="AZ1255">
        <v>2.4207526617469752E-2</v>
      </c>
      <c r="BA1255" t="s">
        <v>176</v>
      </c>
      <c r="BB1255">
        <v>0</v>
      </c>
    </row>
    <row r="1256" spans="1:56" x14ac:dyDescent="0.15">
      <c r="A1256" s="4" t="str">
        <f>HYPERLINK("https://ibp.a2mac1.com/costing(costing:projects/details/9760/part/8413262)","DC-Link Capacitor 1")</f>
        <v>DC-Link Capacitor 1</v>
      </c>
      <c r="B1256">
        <v>8413262</v>
      </c>
      <c r="C1256">
        <v>8413169</v>
      </c>
      <c r="E1256">
        <v>28.206</v>
      </c>
      <c r="F1256">
        <v>0</v>
      </c>
      <c r="G1256">
        <v>0</v>
      </c>
      <c r="H1256">
        <v>0</v>
      </c>
      <c r="I1256" t="s">
        <v>71</v>
      </c>
      <c r="J1256">
        <v>0</v>
      </c>
      <c r="K1256">
        <v>28.206</v>
      </c>
      <c r="L1256">
        <v>0</v>
      </c>
      <c r="M1256">
        <v>0</v>
      </c>
      <c r="N1256">
        <v>28.206</v>
      </c>
      <c r="O1256" t="s">
        <v>71</v>
      </c>
      <c r="P1256">
        <v>0</v>
      </c>
      <c r="Q1256" t="s">
        <v>71</v>
      </c>
      <c r="R1256">
        <v>0</v>
      </c>
      <c r="S1256" t="s">
        <v>71</v>
      </c>
      <c r="T1256">
        <v>0</v>
      </c>
      <c r="U1256" t="s">
        <v>71</v>
      </c>
      <c r="V1256">
        <v>0</v>
      </c>
      <c r="W1256" t="s">
        <v>71</v>
      </c>
      <c r="X1256">
        <v>0</v>
      </c>
      <c r="Y1256">
        <v>28.206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82</v>
      </c>
      <c r="AF1256">
        <v>244</v>
      </c>
      <c r="AG1256">
        <v>140</v>
      </c>
      <c r="AH1256">
        <v>0</v>
      </c>
      <c r="AI1256">
        <v>1.542</v>
      </c>
      <c r="AK1256" t="s">
        <v>3524</v>
      </c>
      <c r="AM1256">
        <v>200000</v>
      </c>
      <c r="AN1256" t="s">
        <v>97</v>
      </c>
      <c r="AO1256">
        <v>1</v>
      </c>
      <c r="AP1256">
        <v>0</v>
      </c>
      <c r="AQ1256">
        <v>16666.666666666668</v>
      </c>
      <c r="AR1256" t="s">
        <v>3525</v>
      </c>
      <c r="AS1256" t="s">
        <v>75</v>
      </c>
      <c r="AX1256" t="s">
        <v>76</v>
      </c>
      <c r="AY1256" t="s">
        <v>71</v>
      </c>
      <c r="AZ1256">
        <v>0</v>
      </c>
      <c r="BA1256" t="s">
        <v>71</v>
      </c>
      <c r="BB1256">
        <v>0</v>
      </c>
      <c r="BD1256">
        <v>28.206</v>
      </c>
    </row>
    <row r="1257" spans="1:56" x14ac:dyDescent="0.15">
      <c r="A1257" s="4" t="str">
        <f>HYPERLINK("https://ibp.a2mac1.com/costing(costing:projects/details/9760/part/8413263)","Power Module 1")</f>
        <v>Power Module 1</v>
      </c>
      <c r="B1257">
        <v>8413263</v>
      </c>
      <c r="C1257">
        <v>8413170</v>
      </c>
      <c r="E1257">
        <v>259.95499999999998</v>
      </c>
      <c r="F1257">
        <v>0</v>
      </c>
      <c r="G1257">
        <v>0</v>
      </c>
      <c r="H1257">
        <v>0</v>
      </c>
      <c r="I1257" t="s">
        <v>71</v>
      </c>
      <c r="J1257">
        <v>0</v>
      </c>
      <c r="K1257">
        <v>259.95499999999998</v>
      </c>
      <c r="L1257">
        <v>0</v>
      </c>
      <c r="M1257">
        <v>0</v>
      </c>
      <c r="N1257">
        <v>259.95499999999998</v>
      </c>
      <c r="O1257" t="s">
        <v>71</v>
      </c>
      <c r="P1257">
        <v>0</v>
      </c>
      <c r="Q1257" t="s">
        <v>71</v>
      </c>
      <c r="R1257">
        <v>0</v>
      </c>
      <c r="S1257" t="s">
        <v>71</v>
      </c>
      <c r="T1257">
        <v>0</v>
      </c>
      <c r="U1257" t="s">
        <v>71</v>
      </c>
      <c r="V1257">
        <v>0</v>
      </c>
      <c r="W1257" t="s">
        <v>71</v>
      </c>
      <c r="X1257">
        <v>0</v>
      </c>
      <c r="Y1257">
        <v>259.95499999999998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27</v>
      </c>
      <c r="AF1257">
        <v>155</v>
      </c>
      <c r="AG1257">
        <v>127</v>
      </c>
      <c r="AH1257">
        <v>0</v>
      </c>
      <c r="AI1257">
        <v>0.74199999999999999</v>
      </c>
      <c r="AK1257" t="s">
        <v>3528</v>
      </c>
      <c r="AM1257">
        <v>200000</v>
      </c>
      <c r="AN1257" t="s">
        <v>97</v>
      </c>
      <c r="AO1257">
        <v>1</v>
      </c>
      <c r="AP1257">
        <v>0</v>
      </c>
      <c r="AQ1257">
        <v>16666.666666666668</v>
      </c>
      <c r="AR1257" t="s">
        <v>3529</v>
      </c>
      <c r="AS1257" t="s">
        <v>75</v>
      </c>
      <c r="AX1257" t="s">
        <v>76</v>
      </c>
      <c r="AY1257" t="s">
        <v>71</v>
      </c>
      <c r="AZ1257">
        <v>0</v>
      </c>
      <c r="BA1257" t="s">
        <v>71</v>
      </c>
      <c r="BB1257">
        <v>0</v>
      </c>
      <c r="BD1257">
        <v>259.95499999999998</v>
      </c>
    </row>
    <row r="1258" spans="1:56" x14ac:dyDescent="0.15">
      <c r="A1258" s="4" t="str">
        <f>HYPERLINK("https://ibp.a2mac1.com/costing(costing:projects/details/9760/part/8413171)","PCB 1")</f>
        <v>PCB 1</v>
      </c>
      <c r="B1258">
        <v>8413171</v>
      </c>
      <c r="C1258">
        <v>8413063</v>
      </c>
      <c r="E1258">
        <v>30.74</v>
      </c>
      <c r="F1258">
        <v>0</v>
      </c>
      <c r="G1258">
        <v>0</v>
      </c>
      <c r="H1258">
        <v>0</v>
      </c>
      <c r="I1258" t="s">
        <v>71</v>
      </c>
      <c r="J1258">
        <v>0</v>
      </c>
      <c r="K1258">
        <v>30.74</v>
      </c>
      <c r="L1258">
        <v>0</v>
      </c>
      <c r="M1258">
        <v>0</v>
      </c>
      <c r="N1258">
        <v>30.74</v>
      </c>
      <c r="O1258" t="s">
        <v>71</v>
      </c>
      <c r="P1258">
        <v>0</v>
      </c>
      <c r="Q1258" t="s">
        <v>71</v>
      </c>
      <c r="R1258">
        <v>0</v>
      </c>
      <c r="S1258" t="s">
        <v>71</v>
      </c>
      <c r="T1258">
        <v>0</v>
      </c>
      <c r="U1258" t="s">
        <v>71</v>
      </c>
      <c r="V1258">
        <v>0</v>
      </c>
      <c r="W1258" t="s">
        <v>71</v>
      </c>
      <c r="X1258">
        <v>0</v>
      </c>
      <c r="Y1258">
        <v>30.74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16</v>
      </c>
      <c r="AF1258">
        <v>155</v>
      </c>
      <c r="AG1258">
        <v>130</v>
      </c>
      <c r="AH1258">
        <v>1.94</v>
      </c>
      <c r="AI1258">
        <v>0</v>
      </c>
      <c r="AK1258" t="s">
        <v>95</v>
      </c>
      <c r="AM1258">
        <v>200000</v>
      </c>
      <c r="AN1258" t="s">
        <v>97</v>
      </c>
      <c r="AO1258">
        <v>1</v>
      </c>
      <c r="AP1258">
        <v>0</v>
      </c>
      <c r="AQ1258">
        <v>16666.666666666668</v>
      </c>
      <c r="AR1258" t="s">
        <v>3533</v>
      </c>
      <c r="AS1258" t="s">
        <v>75</v>
      </c>
      <c r="AX1258" t="s">
        <v>76</v>
      </c>
      <c r="AY1258" t="s">
        <v>71</v>
      </c>
      <c r="AZ1258">
        <v>0</v>
      </c>
      <c r="BA1258" t="s">
        <v>71</v>
      </c>
      <c r="BB1258">
        <v>0</v>
      </c>
      <c r="BD1258">
        <v>30.74</v>
      </c>
    </row>
    <row r="1259" spans="1:56" x14ac:dyDescent="0.15">
      <c r="A1259" s="4" t="str">
        <f>HYPERLINK("https://ibp.a2mac1.com/costing(costing:projects/details/9760/part/8413172)","PCB 2")</f>
        <v>PCB 2</v>
      </c>
      <c r="B1259">
        <v>8413172</v>
      </c>
      <c r="C1259">
        <v>8413063</v>
      </c>
      <c r="E1259">
        <v>22.071000000000002</v>
      </c>
      <c r="F1259">
        <v>0</v>
      </c>
      <c r="G1259">
        <v>0</v>
      </c>
      <c r="H1259">
        <v>0</v>
      </c>
      <c r="I1259" t="s">
        <v>71</v>
      </c>
      <c r="J1259">
        <v>0</v>
      </c>
      <c r="K1259">
        <v>22.071000000000002</v>
      </c>
      <c r="L1259">
        <v>0</v>
      </c>
      <c r="M1259">
        <v>0</v>
      </c>
      <c r="N1259">
        <v>22.071000000000002</v>
      </c>
      <c r="O1259" t="s">
        <v>71</v>
      </c>
      <c r="P1259">
        <v>0</v>
      </c>
      <c r="Q1259" t="s">
        <v>71</v>
      </c>
      <c r="R1259">
        <v>0</v>
      </c>
      <c r="S1259" t="s">
        <v>71</v>
      </c>
      <c r="T1259">
        <v>0</v>
      </c>
      <c r="U1259" t="s">
        <v>71</v>
      </c>
      <c r="V1259">
        <v>0</v>
      </c>
      <c r="W1259" t="s">
        <v>71</v>
      </c>
      <c r="X1259">
        <v>0</v>
      </c>
      <c r="Y1259">
        <v>22.071000000000002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17</v>
      </c>
      <c r="AF1259">
        <v>169</v>
      </c>
      <c r="AG1259">
        <v>92</v>
      </c>
      <c r="AH1259">
        <v>1.96</v>
      </c>
      <c r="AI1259">
        <v>0</v>
      </c>
      <c r="AK1259" t="s">
        <v>95</v>
      </c>
      <c r="AM1259">
        <v>200000</v>
      </c>
      <c r="AN1259" t="s">
        <v>97</v>
      </c>
      <c r="AO1259">
        <v>1</v>
      </c>
      <c r="AP1259">
        <v>0</v>
      </c>
      <c r="AQ1259">
        <v>16666.666666666668</v>
      </c>
      <c r="AR1259" t="s">
        <v>3534</v>
      </c>
      <c r="AS1259" t="s">
        <v>75</v>
      </c>
      <c r="AX1259" t="s">
        <v>76</v>
      </c>
      <c r="AY1259" t="s">
        <v>71</v>
      </c>
      <c r="AZ1259">
        <v>0</v>
      </c>
      <c r="BA1259" t="s">
        <v>71</v>
      </c>
      <c r="BB1259">
        <v>0</v>
      </c>
      <c r="BD1259">
        <v>22.071000000000002</v>
      </c>
    </row>
    <row r="1260" spans="1:56" x14ac:dyDescent="0.15">
      <c r="A1260" s="4" t="str">
        <f>HYPERLINK("https://ibp.a2mac1.com/costing(costing:projects/details/9760/part/8413173)","PCB 3")</f>
        <v>PCB 3</v>
      </c>
      <c r="B1260">
        <v>8413173</v>
      </c>
      <c r="C1260">
        <v>8413063</v>
      </c>
      <c r="E1260">
        <v>6.0750000000000002</v>
      </c>
      <c r="F1260">
        <v>0</v>
      </c>
      <c r="G1260">
        <v>0</v>
      </c>
      <c r="H1260">
        <v>0</v>
      </c>
      <c r="I1260" t="s">
        <v>71</v>
      </c>
      <c r="J1260">
        <v>0</v>
      </c>
      <c r="K1260">
        <v>6.0750000000000002</v>
      </c>
      <c r="L1260">
        <v>0</v>
      </c>
      <c r="M1260">
        <v>0</v>
      </c>
      <c r="N1260">
        <v>6.0750000000000002</v>
      </c>
      <c r="O1260" t="s">
        <v>71</v>
      </c>
      <c r="P1260">
        <v>0</v>
      </c>
      <c r="Q1260" t="s">
        <v>71</v>
      </c>
      <c r="R1260">
        <v>0</v>
      </c>
      <c r="S1260" t="s">
        <v>71</v>
      </c>
      <c r="T1260">
        <v>0</v>
      </c>
      <c r="U1260" t="s">
        <v>71</v>
      </c>
      <c r="V1260">
        <v>0</v>
      </c>
      <c r="W1260" t="s">
        <v>71</v>
      </c>
      <c r="X1260">
        <v>0</v>
      </c>
      <c r="Y1260">
        <v>6.0750000000000002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45</v>
      </c>
      <c r="AF1260">
        <v>157</v>
      </c>
      <c r="AG1260">
        <v>86</v>
      </c>
      <c r="AH1260">
        <v>2.04</v>
      </c>
      <c r="AI1260">
        <v>0</v>
      </c>
      <c r="AK1260" t="s">
        <v>95</v>
      </c>
      <c r="AM1260">
        <v>200000</v>
      </c>
      <c r="AN1260" t="s">
        <v>97</v>
      </c>
      <c r="AO1260">
        <v>1</v>
      </c>
      <c r="AP1260">
        <v>0</v>
      </c>
      <c r="AQ1260">
        <v>16666.666666666668</v>
      </c>
      <c r="AR1260" t="s">
        <v>3535</v>
      </c>
      <c r="AS1260" t="s">
        <v>75</v>
      </c>
      <c r="AX1260" t="s">
        <v>76</v>
      </c>
      <c r="AY1260" t="s">
        <v>71</v>
      </c>
      <c r="AZ1260">
        <v>0</v>
      </c>
      <c r="BA1260" t="s">
        <v>71</v>
      </c>
      <c r="BB1260">
        <v>0</v>
      </c>
      <c r="BD1260">
        <v>6.0750000000000002</v>
      </c>
    </row>
    <row r="1261" spans="1:56" x14ac:dyDescent="0.15">
      <c r="A1261" s="4" t="str">
        <f>HYPERLINK("https://ibp.a2mac1.com/costing(costing:projects/details/9760/part/8413264)","Bracket 1")</f>
        <v>Bracket 1</v>
      </c>
      <c r="B1261">
        <v>8413264</v>
      </c>
      <c r="C1261">
        <v>8413174</v>
      </c>
      <c r="D1261" t="s">
        <v>3539</v>
      </c>
      <c r="E1261">
        <v>4.1980000000000004</v>
      </c>
      <c r="F1261">
        <v>0</v>
      </c>
      <c r="G1261">
        <v>0</v>
      </c>
      <c r="H1261">
        <v>0</v>
      </c>
      <c r="I1261" t="s">
        <v>71</v>
      </c>
      <c r="J1261">
        <v>0</v>
      </c>
      <c r="K1261">
        <v>4.1980000000000004</v>
      </c>
      <c r="L1261">
        <v>0</v>
      </c>
      <c r="M1261">
        <v>0</v>
      </c>
      <c r="N1261">
        <v>4.1980000000000004</v>
      </c>
      <c r="O1261" t="s">
        <v>71</v>
      </c>
      <c r="P1261">
        <v>0</v>
      </c>
      <c r="Q1261" t="s">
        <v>71</v>
      </c>
      <c r="R1261">
        <v>0</v>
      </c>
      <c r="S1261" t="s">
        <v>71</v>
      </c>
      <c r="T1261">
        <v>0</v>
      </c>
      <c r="U1261" t="s">
        <v>71</v>
      </c>
      <c r="V1261">
        <v>0</v>
      </c>
      <c r="W1261" t="s">
        <v>71</v>
      </c>
      <c r="X1261">
        <v>0</v>
      </c>
      <c r="Y1261">
        <v>4.1980000000000004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158</v>
      </c>
      <c r="AF1261">
        <v>205</v>
      </c>
      <c r="AG1261">
        <v>67</v>
      </c>
      <c r="AH1261">
        <v>0</v>
      </c>
      <c r="AI1261">
        <v>0.52100000000000002</v>
      </c>
      <c r="AK1261" t="s">
        <v>100</v>
      </c>
      <c r="AM1261">
        <v>200000</v>
      </c>
      <c r="AN1261" t="s">
        <v>97</v>
      </c>
      <c r="AO1261">
        <v>1</v>
      </c>
      <c r="AP1261">
        <v>0</v>
      </c>
      <c r="AQ1261">
        <v>16666.666666666668</v>
      </c>
      <c r="AR1261" t="s">
        <v>3540</v>
      </c>
      <c r="AS1261" t="s">
        <v>75</v>
      </c>
      <c r="AX1261" t="s">
        <v>76</v>
      </c>
      <c r="AY1261" t="s">
        <v>71</v>
      </c>
      <c r="AZ1261">
        <v>0</v>
      </c>
      <c r="BA1261" t="s">
        <v>71</v>
      </c>
      <c r="BB1261">
        <v>0</v>
      </c>
      <c r="BD1261">
        <v>4.1980000000000004</v>
      </c>
    </row>
    <row r="1262" spans="1:56" x14ac:dyDescent="0.15">
      <c r="A1262" s="4" t="str">
        <f>HYPERLINK("https://ibp.a2mac1.com/costing(costing:projects/details/9760/part/8413265)","Ferrite Bracket 1")</f>
        <v>Ferrite Bracket 1</v>
      </c>
      <c r="B1262">
        <v>8413265</v>
      </c>
      <c r="C1262">
        <v>8413174</v>
      </c>
      <c r="D1262" t="s">
        <v>3541</v>
      </c>
      <c r="E1262">
        <v>5.3999999999999999E-2</v>
      </c>
      <c r="F1262">
        <v>0</v>
      </c>
      <c r="G1262">
        <v>0</v>
      </c>
      <c r="H1262">
        <v>0</v>
      </c>
      <c r="I1262" t="s">
        <v>71</v>
      </c>
      <c r="J1262">
        <v>0</v>
      </c>
      <c r="K1262">
        <v>5.3999999999999999E-2</v>
      </c>
      <c r="L1262">
        <v>0</v>
      </c>
      <c r="M1262">
        <v>0</v>
      </c>
      <c r="N1262">
        <v>5.3999999999999999E-2</v>
      </c>
      <c r="O1262" t="s">
        <v>71</v>
      </c>
      <c r="P1262">
        <v>0</v>
      </c>
      <c r="Q1262" t="s">
        <v>71</v>
      </c>
      <c r="R1262">
        <v>0</v>
      </c>
      <c r="S1262" t="s">
        <v>71</v>
      </c>
      <c r="T1262">
        <v>0</v>
      </c>
      <c r="U1262" t="s">
        <v>71</v>
      </c>
      <c r="V1262">
        <v>0</v>
      </c>
      <c r="W1262" t="s">
        <v>71</v>
      </c>
      <c r="X1262">
        <v>0</v>
      </c>
      <c r="Y1262">
        <v>5.3999999999999999E-2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25</v>
      </c>
      <c r="AF1262">
        <v>41</v>
      </c>
      <c r="AG1262">
        <v>7</v>
      </c>
      <c r="AH1262">
        <v>0</v>
      </c>
      <c r="AI1262">
        <v>1.2E-2</v>
      </c>
      <c r="AK1262" t="s">
        <v>100</v>
      </c>
      <c r="AM1262">
        <v>200000</v>
      </c>
      <c r="AN1262" t="s">
        <v>97</v>
      </c>
      <c r="AO1262">
        <v>1</v>
      </c>
      <c r="AP1262">
        <v>0</v>
      </c>
      <c r="AQ1262">
        <v>16666.666666666668</v>
      </c>
      <c r="AR1262" t="s">
        <v>3542</v>
      </c>
      <c r="AS1262" t="s">
        <v>75</v>
      </c>
      <c r="AX1262" t="s">
        <v>76</v>
      </c>
      <c r="AY1262" t="s">
        <v>71</v>
      </c>
      <c r="AZ1262">
        <v>0</v>
      </c>
      <c r="BA1262" t="s">
        <v>71</v>
      </c>
      <c r="BB1262">
        <v>0</v>
      </c>
      <c r="BD1262">
        <v>5.3999999999999999E-2</v>
      </c>
    </row>
    <row r="1263" spans="1:56" x14ac:dyDescent="0.15">
      <c r="A1263" s="4" t="str">
        <f>HYPERLINK("https://ibp.a2mac1.com/costing(costing:projects/details/9760/part/8413266)","Power Module Bracket 1")</f>
        <v>Power Module Bracket 1</v>
      </c>
      <c r="B1263">
        <v>8413266</v>
      </c>
      <c r="C1263">
        <v>8413174</v>
      </c>
      <c r="D1263" t="s">
        <v>3543</v>
      </c>
      <c r="E1263">
        <v>3.681</v>
      </c>
      <c r="F1263">
        <v>0</v>
      </c>
      <c r="G1263">
        <v>0</v>
      </c>
      <c r="H1263">
        <v>0</v>
      </c>
      <c r="I1263" t="s">
        <v>71</v>
      </c>
      <c r="J1263">
        <v>0</v>
      </c>
      <c r="K1263">
        <v>3.681</v>
      </c>
      <c r="L1263">
        <v>0</v>
      </c>
      <c r="M1263">
        <v>0</v>
      </c>
      <c r="N1263">
        <v>3.681</v>
      </c>
      <c r="O1263" t="s">
        <v>71</v>
      </c>
      <c r="P1263">
        <v>0</v>
      </c>
      <c r="Q1263" t="s">
        <v>71</v>
      </c>
      <c r="R1263">
        <v>0</v>
      </c>
      <c r="S1263" t="s">
        <v>71</v>
      </c>
      <c r="T1263">
        <v>0</v>
      </c>
      <c r="U1263" t="s">
        <v>71</v>
      </c>
      <c r="V1263">
        <v>0</v>
      </c>
      <c r="W1263" t="s">
        <v>71</v>
      </c>
      <c r="X1263">
        <v>0</v>
      </c>
      <c r="Y1263">
        <v>3.681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128</v>
      </c>
      <c r="AF1263">
        <v>162</v>
      </c>
      <c r="AG1263">
        <v>32</v>
      </c>
      <c r="AH1263">
        <v>0</v>
      </c>
      <c r="AI1263">
        <v>0.26100000000000001</v>
      </c>
      <c r="AK1263" t="s">
        <v>100</v>
      </c>
      <c r="AM1263">
        <v>200000</v>
      </c>
      <c r="AN1263" t="s">
        <v>97</v>
      </c>
      <c r="AO1263">
        <v>1</v>
      </c>
      <c r="AP1263">
        <v>0</v>
      </c>
      <c r="AQ1263">
        <v>16666.666666666668</v>
      </c>
      <c r="AR1263" t="s">
        <v>3544</v>
      </c>
      <c r="AS1263" t="s">
        <v>75</v>
      </c>
      <c r="AX1263" t="s">
        <v>76</v>
      </c>
      <c r="AY1263" t="s">
        <v>71</v>
      </c>
      <c r="AZ1263">
        <v>0</v>
      </c>
      <c r="BA1263" t="s">
        <v>71</v>
      </c>
      <c r="BB1263">
        <v>0</v>
      </c>
      <c r="BD1263">
        <v>3.681</v>
      </c>
    </row>
    <row r="1264" spans="1:56" x14ac:dyDescent="0.15">
      <c r="A1264" s="4" t="str">
        <f>HYPERLINK("https://ibp.a2mac1.com/costing(costing:projects/details/9760/part/8413267)","PCB Cover 1")</f>
        <v>PCB Cover 1</v>
      </c>
      <c r="B1264">
        <v>8413267</v>
      </c>
      <c r="C1264">
        <v>8413175</v>
      </c>
      <c r="D1264" t="s">
        <v>3547</v>
      </c>
      <c r="E1264">
        <v>0.17100000000000001</v>
      </c>
      <c r="F1264">
        <v>0</v>
      </c>
      <c r="G1264">
        <v>0</v>
      </c>
      <c r="H1264">
        <v>0</v>
      </c>
      <c r="I1264" t="s">
        <v>71</v>
      </c>
      <c r="J1264">
        <v>0</v>
      </c>
      <c r="K1264">
        <v>0.17100000000000001</v>
      </c>
      <c r="L1264">
        <v>0</v>
      </c>
      <c r="M1264">
        <v>0</v>
      </c>
      <c r="N1264">
        <v>0.17100000000000001</v>
      </c>
      <c r="O1264" t="s">
        <v>71</v>
      </c>
      <c r="P1264">
        <v>0</v>
      </c>
      <c r="Q1264" t="s">
        <v>71</v>
      </c>
      <c r="R1264">
        <v>0</v>
      </c>
      <c r="S1264" t="s">
        <v>71</v>
      </c>
      <c r="T1264">
        <v>0</v>
      </c>
      <c r="U1264" t="s">
        <v>71</v>
      </c>
      <c r="V1264">
        <v>0</v>
      </c>
      <c r="W1264" t="s">
        <v>71</v>
      </c>
      <c r="X1264">
        <v>0</v>
      </c>
      <c r="Y1264">
        <v>0.17100000000000001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68</v>
      </c>
      <c r="AF1264">
        <v>86</v>
      </c>
      <c r="AG1264">
        <v>11</v>
      </c>
      <c r="AH1264">
        <v>0</v>
      </c>
      <c r="AI1264">
        <v>1.0999999999999999E-2</v>
      </c>
      <c r="AK1264" t="s">
        <v>100</v>
      </c>
      <c r="AM1264">
        <v>200000</v>
      </c>
      <c r="AN1264" t="s">
        <v>97</v>
      </c>
      <c r="AO1264">
        <v>1</v>
      </c>
      <c r="AP1264">
        <v>0</v>
      </c>
      <c r="AQ1264">
        <v>16666.666666666668</v>
      </c>
      <c r="AR1264" t="s">
        <v>3548</v>
      </c>
      <c r="AS1264" t="s">
        <v>75</v>
      </c>
      <c r="AX1264" t="s">
        <v>76</v>
      </c>
      <c r="AY1264" t="s">
        <v>71</v>
      </c>
      <c r="AZ1264">
        <v>0</v>
      </c>
      <c r="BA1264" t="s">
        <v>71</v>
      </c>
      <c r="BB1264">
        <v>0</v>
      </c>
      <c r="BD1264">
        <v>0.17100000000000001</v>
      </c>
    </row>
    <row r="1265" spans="1:56" x14ac:dyDescent="0.15">
      <c r="A1265" s="4" t="str">
        <f>HYPERLINK("https://ibp.a2mac1.com/costing(costing:projects/details/9760/part/8413268)","Top Lid")</f>
        <v>Top Lid</v>
      </c>
      <c r="B1265">
        <v>8413268</v>
      </c>
      <c r="C1265">
        <v>8413176</v>
      </c>
      <c r="D1265" t="s">
        <v>3555</v>
      </c>
      <c r="E1265">
        <v>3.8885491826395939</v>
      </c>
      <c r="F1265">
        <v>0</v>
      </c>
      <c r="G1265">
        <v>0</v>
      </c>
      <c r="H1265">
        <v>7.8358673705583763E-5</v>
      </c>
      <c r="I1265" t="s">
        <v>176</v>
      </c>
      <c r="J1265">
        <v>0.13712767898477157</v>
      </c>
      <c r="K1265">
        <v>4.0257552202980706</v>
      </c>
      <c r="L1265">
        <v>0.66833569597541331</v>
      </c>
      <c r="M1265">
        <v>4.0100141758524801</v>
      </c>
      <c r="N1265">
        <v>8.0357693961505507</v>
      </c>
      <c r="O1265" t="s">
        <v>177</v>
      </c>
      <c r="P1265">
        <v>0.24154531321788428</v>
      </c>
      <c r="Q1265" t="s">
        <v>177</v>
      </c>
      <c r="R1265">
        <v>0.2406008505511488</v>
      </c>
      <c r="S1265" t="s">
        <v>178</v>
      </c>
      <c r="T1265">
        <v>0.96429232753806615</v>
      </c>
      <c r="U1265" t="s">
        <v>90</v>
      </c>
      <c r="V1265">
        <v>0</v>
      </c>
      <c r="W1265" t="s">
        <v>90</v>
      </c>
      <c r="X1265">
        <v>0</v>
      </c>
      <c r="Y1265">
        <v>9.4822078874576512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340</v>
      </c>
      <c r="AF1265">
        <v>425</v>
      </c>
      <c r="AG1265">
        <v>38</v>
      </c>
      <c r="AH1265">
        <v>0</v>
      </c>
      <c r="AI1265">
        <v>1.5740000000000001</v>
      </c>
      <c r="AK1265" t="s">
        <v>100</v>
      </c>
      <c r="AM1265">
        <v>200000</v>
      </c>
      <c r="AN1265" t="s">
        <v>97</v>
      </c>
      <c r="AO1265">
        <v>1</v>
      </c>
      <c r="AP1265">
        <v>0</v>
      </c>
      <c r="AQ1265">
        <v>16666.666666666668</v>
      </c>
      <c r="AR1265" t="s">
        <v>3556</v>
      </c>
      <c r="AS1265" t="s">
        <v>75</v>
      </c>
      <c r="AX1265" t="s">
        <v>76</v>
      </c>
      <c r="AY1265" t="s">
        <v>176</v>
      </c>
      <c r="AZ1265">
        <v>0</v>
      </c>
      <c r="BA1265" t="s">
        <v>176</v>
      </c>
      <c r="BB1265">
        <v>0</v>
      </c>
    </row>
    <row r="1266" spans="1:56" x14ac:dyDescent="0.15">
      <c r="A1266" s="4" t="str">
        <f>HYPERLINK("https://ibp.a2mac1.com/costing(costing:projects/details/9760/part/8413269)","Pressure Vent 1")</f>
        <v>Pressure Vent 1</v>
      </c>
      <c r="B1266">
        <v>8413269</v>
      </c>
      <c r="C1266">
        <v>8413177</v>
      </c>
      <c r="E1266">
        <v>0.185</v>
      </c>
      <c r="F1266">
        <v>0</v>
      </c>
      <c r="G1266">
        <v>0</v>
      </c>
      <c r="H1266">
        <v>0</v>
      </c>
      <c r="I1266" t="s">
        <v>71</v>
      </c>
      <c r="J1266">
        <v>0</v>
      </c>
      <c r="K1266">
        <v>0.185</v>
      </c>
      <c r="L1266">
        <v>0</v>
      </c>
      <c r="M1266">
        <v>0</v>
      </c>
      <c r="N1266">
        <v>0.185</v>
      </c>
      <c r="O1266" t="s">
        <v>71</v>
      </c>
      <c r="P1266">
        <v>0</v>
      </c>
      <c r="Q1266" t="s">
        <v>71</v>
      </c>
      <c r="R1266">
        <v>0</v>
      </c>
      <c r="S1266" t="s">
        <v>71</v>
      </c>
      <c r="T1266">
        <v>0</v>
      </c>
      <c r="U1266" t="s">
        <v>71</v>
      </c>
      <c r="V1266">
        <v>0</v>
      </c>
      <c r="W1266" t="s">
        <v>71</v>
      </c>
      <c r="X1266">
        <v>0</v>
      </c>
      <c r="Y1266">
        <v>0.185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13</v>
      </c>
      <c r="AF1266">
        <v>16</v>
      </c>
      <c r="AG1266">
        <v>17</v>
      </c>
      <c r="AH1266">
        <v>0</v>
      </c>
      <c r="AI1266">
        <v>1E-3</v>
      </c>
      <c r="AK1266" t="s">
        <v>100</v>
      </c>
      <c r="AM1266">
        <v>200000</v>
      </c>
      <c r="AN1266" t="s">
        <v>97</v>
      </c>
      <c r="AO1266">
        <v>1</v>
      </c>
      <c r="AP1266">
        <v>0</v>
      </c>
      <c r="AQ1266">
        <v>16666.666666666668</v>
      </c>
      <c r="AR1266" t="s">
        <v>3559</v>
      </c>
      <c r="AS1266" t="s">
        <v>75</v>
      </c>
      <c r="AX1266" t="s">
        <v>76</v>
      </c>
      <c r="AY1266" t="s">
        <v>71</v>
      </c>
      <c r="AZ1266">
        <v>0</v>
      </c>
      <c r="BA1266" t="s">
        <v>71</v>
      </c>
      <c r="BB1266">
        <v>0</v>
      </c>
      <c r="BD1266">
        <v>0.185</v>
      </c>
    </row>
    <row r="1267" spans="1:56" x14ac:dyDescent="0.15">
      <c r="A1267" s="4" t="str">
        <f>HYPERLINK("https://ibp.a2mac1.com/costing(costing:projects/details/9760/part/8413270)","Seal 1")</f>
        <v>Seal 1</v>
      </c>
      <c r="B1267">
        <v>8413270</v>
      </c>
      <c r="C1267">
        <v>8413178</v>
      </c>
      <c r="E1267">
        <v>0.04</v>
      </c>
      <c r="F1267">
        <v>0</v>
      </c>
      <c r="G1267">
        <v>0</v>
      </c>
      <c r="H1267">
        <v>0</v>
      </c>
      <c r="I1267" t="s">
        <v>71</v>
      </c>
      <c r="J1267">
        <v>0</v>
      </c>
      <c r="K1267">
        <v>0.04</v>
      </c>
      <c r="L1267">
        <v>0</v>
      </c>
      <c r="M1267">
        <v>0</v>
      </c>
      <c r="N1267">
        <v>0.04</v>
      </c>
      <c r="O1267" t="s">
        <v>71</v>
      </c>
      <c r="P1267">
        <v>0</v>
      </c>
      <c r="Q1267" t="s">
        <v>71</v>
      </c>
      <c r="R1267">
        <v>0</v>
      </c>
      <c r="S1267" t="s">
        <v>71</v>
      </c>
      <c r="T1267">
        <v>0</v>
      </c>
      <c r="U1267" t="s">
        <v>71</v>
      </c>
      <c r="V1267">
        <v>0</v>
      </c>
      <c r="W1267" t="s">
        <v>71</v>
      </c>
      <c r="X1267">
        <v>0</v>
      </c>
      <c r="Y1267">
        <v>0.04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4</v>
      </c>
      <c r="AF1267">
        <v>30</v>
      </c>
      <c r="AG1267">
        <v>16</v>
      </c>
      <c r="AH1267">
        <v>0</v>
      </c>
      <c r="AI1267">
        <v>5.0000000000000001E-4</v>
      </c>
      <c r="AK1267" t="s">
        <v>100</v>
      </c>
      <c r="AM1267">
        <v>800000</v>
      </c>
      <c r="AN1267" t="s">
        <v>97</v>
      </c>
      <c r="AO1267">
        <v>4</v>
      </c>
      <c r="AP1267">
        <v>0</v>
      </c>
      <c r="AQ1267">
        <v>66666.666666666672</v>
      </c>
      <c r="AR1267" t="s">
        <v>3562</v>
      </c>
      <c r="AS1267" t="s">
        <v>75</v>
      </c>
      <c r="AX1267" t="s">
        <v>76</v>
      </c>
      <c r="AY1267" t="s">
        <v>71</v>
      </c>
      <c r="AZ1267">
        <v>0</v>
      </c>
      <c r="BA1267" t="s">
        <v>71</v>
      </c>
      <c r="BB1267">
        <v>0</v>
      </c>
      <c r="BD1267">
        <v>0.01</v>
      </c>
    </row>
    <row r="1268" spans="1:56" x14ac:dyDescent="0.15">
      <c r="A1268" s="4" t="str">
        <f>HYPERLINK("https://ibp.a2mac1.com/costing(costing:projects/details/9760/part/8413271)","Seal 2")</f>
        <v>Seal 2</v>
      </c>
      <c r="B1268">
        <v>8413271</v>
      </c>
      <c r="C1268">
        <v>8413178</v>
      </c>
      <c r="E1268">
        <v>3.5999999999999997E-2</v>
      </c>
      <c r="F1268">
        <v>0</v>
      </c>
      <c r="G1268">
        <v>0</v>
      </c>
      <c r="H1268">
        <v>0</v>
      </c>
      <c r="I1268" t="s">
        <v>71</v>
      </c>
      <c r="J1268">
        <v>0</v>
      </c>
      <c r="K1268">
        <v>3.5999999999999997E-2</v>
      </c>
      <c r="L1268">
        <v>0</v>
      </c>
      <c r="M1268">
        <v>0</v>
      </c>
      <c r="N1268">
        <v>3.5999999999999997E-2</v>
      </c>
      <c r="O1268" t="s">
        <v>71</v>
      </c>
      <c r="P1268">
        <v>0</v>
      </c>
      <c r="Q1268" t="s">
        <v>71</v>
      </c>
      <c r="R1268">
        <v>0</v>
      </c>
      <c r="S1268" t="s">
        <v>71</v>
      </c>
      <c r="T1268">
        <v>0</v>
      </c>
      <c r="U1268" t="s">
        <v>71</v>
      </c>
      <c r="V1268">
        <v>0</v>
      </c>
      <c r="W1268" t="s">
        <v>71</v>
      </c>
      <c r="X1268">
        <v>0</v>
      </c>
      <c r="Y1268">
        <v>3.5999999999999997E-2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4</v>
      </c>
      <c r="AF1268">
        <v>148</v>
      </c>
      <c r="AG1268">
        <v>70</v>
      </c>
      <c r="AH1268">
        <v>0</v>
      </c>
      <c r="AI1268">
        <v>3.0000000000000001E-3</v>
      </c>
      <c r="AK1268" t="s">
        <v>100</v>
      </c>
      <c r="AM1268">
        <v>200000</v>
      </c>
      <c r="AN1268" t="s">
        <v>97</v>
      </c>
      <c r="AO1268">
        <v>1</v>
      </c>
      <c r="AP1268">
        <v>0</v>
      </c>
      <c r="AQ1268">
        <v>16666.666666666668</v>
      </c>
      <c r="AR1268" t="s">
        <v>3563</v>
      </c>
      <c r="AS1268" t="s">
        <v>75</v>
      </c>
      <c r="AX1268" t="s">
        <v>76</v>
      </c>
      <c r="AY1268" t="s">
        <v>71</v>
      </c>
      <c r="AZ1268">
        <v>0</v>
      </c>
      <c r="BA1268" t="s">
        <v>71</v>
      </c>
      <c r="BB1268">
        <v>0</v>
      </c>
      <c r="BD1268">
        <v>3.5999999999999997E-2</v>
      </c>
    </row>
    <row r="1269" spans="1:56" x14ac:dyDescent="0.15">
      <c r="A1269" s="4" t="str">
        <f>HYPERLINK("https://ibp.a2mac1.com/costing(costing:projects/details/9760/part/8413272)","Busbar 1")</f>
        <v>Busbar 1</v>
      </c>
      <c r="B1269">
        <v>8413272</v>
      </c>
      <c r="C1269">
        <v>8413179</v>
      </c>
      <c r="D1269" t="s">
        <v>3480</v>
      </c>
      <c r="E1269">
        <v>1.0409999999999999</v>
      </c>
      <c r="F1269">
        <v>0</v>
      </c>
      <c r="G1269">
        <v>0</v>
      </c>
      <c r="H1269">
        <v>0</v>
      </c>
      <c r="I1269" t="s">
        <v>71</v>
      </c>
      <c r="J1269">
        <v>0</v>
      </c>
      <c r="K1269">
        <v>1.0409999999999999</v>
      </c>
      <c r="L1269">
        <v>0</v>
      </c>
      <c r="M1269">
        <v>0</v>
      </c>
      <c r="N1269">
        <v>1.0409999999999999</v>
      </c>
      <c r="O1269" t="s">
        <v>71</v>
      </c>
      <c r="P1269">
        <v>0</v>
      </c>
      <c r="Q1269" t="s">
        <v>71</v>
      </c>
      <c r="R1269">
        <v>0</v>
      </c>
      <c r="S1269" t="s">
        <v>71</v>
      </c>
      <c r="T1269">
        <v>0</v>
      </c>
      <c r="U1269" t="s">
        <v>71</v>
      </c>
      <c r="V1269">
        <v>0</v>
      </c>
      <c r="W1269" t="s">
        <v>71</v>
      </c>
      <c r="X1269">
        <v>0</v>
      </c>
      <c r="Y1269">
        <v>1.0409999999999999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54</v>
      </c>
      <c r="AF1269">
        <v>18</v>
      </c>
      <c r="AG1269">
        <v>3</v>
      </c>
      <c r="AH1269">
        <v>0</v>
      </c>
      <c r="AI1269">
        <v>1.933E-2</v>
      </c>
      <c r="AK1269" t="s">
        <v>100</v>
      </c>
      <c r="AM1269">
        <v>600000</v>
      </c>
      <c r="AN1269" t="s">
        <v>97</v>
      </c>
      <c r="AO1269">
        <v>3</v>
      </c>
      <c r="AP1269">
        <v>0</v>
      </c>
      <c r="AQ1269">
        <v>50000</v>
      </c>
      <c r="AR1269" t="s">
        <v>3572</v>
      </c>
      <c r="AS1269" t="s">
        <v>75</v>
      </c>
      <c r="AX1269" t="s">
        <v>76</v>
      </c>
      <c r="AY1269" t="s">
        <v>71</v>
      </c>
      <c r="AZ1269">
        <v>0</v>
      </c>
      <c r="BA1269" t="s">
        <v>71</v>
      </c>
      <c r="BB1269">
        <v>0</v>
      </c>
      <c r="BD1269">
        <v>0.34699999999999998</v>
      </c>
    </row>
    <row r="1270" spans="1:56" x14ac:dyDescent="0.15">
      <c r="A1270" s="4" t="str">
        <f>HYPERLINK("https://ibp.a2mac1.com/costing(costing:projects/details/9760/part/8413273)","Busbar Assembly 1")</f>
        <v>Busbar Assembly 1</v>
      </c>
      <c r="B1270">
        <v>8413273</v>
      </c>
      <c r="C1270">
        <v>8413179</v>
      </c>
      <c r="D1270" t="s">
        <v>3495</v>
      </c>
      <c r="E1270">
        <v>4.342664828474982</v>
      </c>
      <c r="F1270">
        <v>0.69164361764199289</v>
      </c>
      <c r="G1270">
        <v>0</v>
      </c>
      <c r="H1270">
        <v>9.6098853483683833E-5</v>
      </c>
      <c r="I1270" t="s">
        <v>176</v>
      </c>
      <c r="J1270">
        <v>0.16817299359644669</v>
      </c>
      <c r="K1270">
        <v>5.2267850651843748</v>
      </c>
      <c r="L1270">
        <v>1.6404300061921472E-2</v>
      </c>
      <c r="M1270">
        <v>9.8425800371528843E-2</v>
      </c>
      <c r="N1270">
        <v>5.3252108655559036</v>
      </c>
      <c r="O1270" t="s">
        <v>177</v>
      </c>
      <c r="P1270">
        <v>0.3136071039110625</v>
      </c>
      <c r="Q1270" t="s">
        <v>177</v>
      </c>
      <c r="R1270">
        <v>5.9055480222917301E-3</v>
      </c>
      <c r="S1270" t="s">
        <v>178</v>
      </c>
      <c r="T1270">
        <v>0.63902530386670842</v>
      </c>
      <c r="U1270" t="s">
        <v>90</v>
      </c>
      <c r="V1270">
        <v>0</v>
      </c>
      <c r="W1270" t="s">
        <v>90</v>
      </c>
      <c r="X1270">
        <v>0</v>
      </c>
      <c r="Y1270">
        <v>6.2837488213559665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240</v>
      </c>
      <c r="AF1270">
        <v>77</v>
      </c>
      <c r="AG1270">
        <v>58</v>
      </c>
      <c r="AH1270">
        <v>0</v>
      </c>
      <c r="AI1270">
        <v>0.58599999999999997</v>
      </c>
      <c r="AK1270" t="s">
        <v>100</v>
      </c>
      <c r="AM1270">
        <v>200000</v>
      </c>
      <c r="AN1270" t="s">
        <v>97</v>
      </c>
      <c r="AO1270">
        <v>1</v>
      </c>
      <c r="AP1270">
        <v>0</v>
      </c>
      <c r="AQ1270">
        <v>16666.666666666668</v>
      </c>
      <c r="AR1270" t="s">
        <v>3578</v>
      </c>
      <c r="AS1270" t="s">
        <v>75</v>
      </c>
      <c r="AX1270" t="s">
        <v>76</v>
      </c>
      <c r="AY1270" t="s">
        <v>176</v>
      </c>
      <c r="AZ1270">
        <v>2.4207526617469752E-2</v>
      </c>
      <c r="BA1270" t="s">
        <v>176</v>
      </c>
      <c r="BB1270">
        <v>0</v>
      </c>
    </row>
    <row r="1271" spans="1:56" x14ac:dyDescent="0.15">
      <c r="A1271" s="4" t="str">
        <f>HYPERLINK("https://ibp.a2mac1.com/costing(costing:projects/details/9760/part/8413274)","Busbar Assembly 2")</f>
        <v>Busbar Assembly 2</v>
      </c>
      <c r="B1271">
        <v>8413274</v>
      </c>
      <c r="C1271">
        <v>8413179</v>
      </c>
      <c r="D1271" t="s">
        <v>3482</v>
      </c>
      <c r="E1271">
        <v>2.5710000000000002</v>
      </c>
      <c r="F1271">
        <v>0</v>
      </c>
      <c r="G1271">
        <v>0</v>
      </c>
      <c r="H1271">
        <v>0</v>
      </c>
      <c r="I1271" t="s">
        <v>71</v>
      </c>
      <c r="J1271">
        <v>0</v>
      </c>
      <c r="K1271">
        <v>2.5710000000000002</v>
      </c>
      <c r="L1271">
        <v>0</v>
      </c>
      <c r="M1271">
        <v>0</v>
      </c>
      <c r="N1271">
        <v>2.5710000000000002</v>
      </c>
      <c r="O1271" t="s">
        <v>71</v>
      </c>
      <c r="P1271">
        <v>0</v>
      </c>
      <c r="Q1271" t="s">
        <v>71</v>
      </c>
      <c r="R1271">
        <v>0</v>
      </c>
      <c r="S1271" t="s">
        <v>71</v>
      </c>
      <c r="T1271">
        <v>0</v>
      </c>
      <c r="U1271" t="s">
        <v>71</v>
      </c>
      <c r="V1271">
        <v>0</v>
      </c>
      <c r="W1271" t="s">
        <v>71</v>
      </c>
      <c r="X1271">
        <v>0</v>
      </c>
      <c r="Y1271">
        <v>2.5710000000000002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190</v>
      </c>
      <c r="AF1271">
        <v>118</v>
      </c>
      <c r="AG1271">
        <v>84</v>
      </c>
      <c r="AH1271">
        <v>0</v>
      </c>
      <c r="AI1271">
        <v>0.23200000000000001</v>
      </c>
      <c r="AK1271" t="s">
        <v>100</v>
      </c>
      <c r="AM1271">
        <v>200000</v>
      </c>
      <c r="AN1271" t="s">
        <v>97</v>
      </c>
      <c r="AO1271">
        <v>1</v>
      </c>
      <c r="AP1271">
        <v>0</v>
      </c>
      <c r="AQ1271">
        <v>16666.666666666668</v>
      </c>
      <c r="AR1271" t="s">
        <v>3579</v>
      </c>
      <c r="AS1271" t="s">
        <v>75</v>
      </c>
      <c r="AX1271" t="s">
        <v>76</v>
      </c>
      <c r="AY1271" t="s">
        <v>71</v>
      </c>
      <c r="AZ1271">
        <v>0</v>
      </c>
      <c r="BA1271" t="s">
        <v>71</v>
      </c>
      <c r="BB1271">
        <v>0</v>
      </c>
      <c r="BD1271">
        <v>2.5710000000000002</v>
      </c>
    </row>
    <row r="1272" spans="1:56" x14ac:dyDescent="0.15">
      <c r="A1272" s="4" t="str">
        <f>HYPERLINK("https://ibp.a2mac1.com/costing(costing:projects/details/9760/part/8413276)","DC-Link Capacitor 1")</f>
        <v>DC-Link Capacitor 1</v>
      </c>
      <c r="B1272">
        <v>8413276</v>
      </c>
      <c r="C1272">
        <v>8413182</v>
      </c>
      <c r="E1272">
        <v>28.506</v>
      </c>
      <c r="F1272">
        <v>0</v>
      </c>
      <c r="G1272">
        <v>0</v>
      </c>
      <c r="H1272">
        <v>0</v>
      </c>
      <c r="I1272" t="s">
        <v>71</v>
      </c>
      <c r="J1272">
        <v>0</v>
      </c>
      <c r="K1272">
        <v>28.506</v>
      </c>
      <c r="L1272">
        <v>0</v>
      </c>
      <c r="M1272">
        <v>0</v>
      </c>
      <c r="N1272">
        <v>28.506</v>
      </c>
      <c r="O1272" t="s">
        <v>71</v>
      </c>
      <c r="P1272">
        <v>0</v>
      </c>
      <c r="Q1272" t="s">
        <v>71</v>
      </c>
      <c r="R1272">
        <v>0</v>
      </c>
      <c r="S1272" t="s">
        <v>71</v>
      </c>
      <c r="T1272">
        <v>0</v>
      </c>
      <c r="U1272" t="s">
        <v>71</v>
      </c>
      <c r="V1272">
        <v>0</v>
      </c>
      <c r="W1272" t="s">
        <v>71</v>
      </c>
      <c r="X1272">
        <v>0</v>
      </c>
      <c r="Y1272">
        <v>28.506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82</v>
      </c>
      <c r="AF1272">
        <v>243</v>
      </c>
      <c r="AG1272">
        <v>168</v>
      </c>
      <c r="AH1272">
        <v>0</v>
      </c>
      <c r="AI1272">
        <v>1.573</v>
      </c>
      <c r="AK1272" t="s">
        <v>3524</v>
      </c>
      <c r="AM1272">
        <v>200000</v>
      </c>
      <c r="AN1272" t="s">
        <v>97</v>
      </c>
      <c r="AO1272">
        <v>1</v>
      </c>
      <c r="AP1272">
        <v>0</v>
      </c>
      <c r="AQ1272">
        <v>16666.666666666668</v>
      </c>
      <c r="AR1272" t="s">
        <v>3593</v>
      </c>
      <c r="AS1272" t="s">
        <v>75</v>
      </c>
      <c r="AX1272" t="s">
        <v>76</v>
      </c>
      <c r="AY1272" t="s">
        <v>71</v>
      </c>
      <c r="AZ1272">
        <v>0</v>
      </c>
      <c r="BA1272" t="s">
        <v>71</v>
      </c>
      <c r="BB1272">
        <v>0</v>
      </c>
      <c r="BD1272">
        <v>28.506</v>
      </c>
    </row>
    <row r="1273" spans="1:56" x14ac:dyDescent="0.15">
      <c r="A1273" s="4" t="str">
        <f>HYPERLINK("https://ibp.a2mac1.com/costing(costing:projects/details/9760/part/8413277)","Ferrite 1")</f>
        <v>Ferrite 1</v>
      </c>
      <c r="B1273">
        <v>8413277</v>
      </c>
      <c r="C1273">
        <v>8413183</v>
      </c>
      <c r="E1273">
        <v>1.1279999999999999</v>
      </c>
      <c r="F1273">
        <v>0</v>
      </c>
      <c r="G1273">
        <v>0</v>
      </c>
      <c r="H1273">
        <v>0</v>
      </c>
      <c r="I1273" t="s">
        <v>71</v>
      </c>
      <c r="J1273">
        <v>0</v>
      </c>
      <c r="K1273">
        <v>1.1279999999999999</v>
      </c>
      <c r="L1273">
        <v>0</v>
      </c>
      <c r="M1273">
        <v>0</v>
      </c>
      <c r="N1273">
        <v>1.1279999999999999</v>
      </c>
      <c r="O1273" t="s">
        <v>71</v>
      </c>
      <c r="P1273">
        <v>0</v>
      </c>
      <c r="Q1273" t="s">
        <v>71</v>
      </c>
      <c r="R1273">
        <v>0</v>
      </c>
      <c r="S1273" t="s">
        <v>71</v>
      </c>
      <c r="T1273">
        <v>0</v>
      </c>
      <c r="U1273" t="s">
        <v>71</v>
      </c>
      <c r="V1273">
        <v>0</v>
      </c>
      <c r="W1273" t="s">
        <v>71</v>
      </c>
      <c r="X1273">
        <v>0</v>
      </c>
      <c r="Y1273">
        <v>1.1279999999999999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80</v>
      </c>
      <c r="AF1273">
        <v>57</v>
      </c>
      <c r="AG1273">
        <v>38</v>
      </c>
      <c r="AH1273">
        <v>0</v>
      </c>
      <c r="AI1273">
        <v>0.14099999999999999</v>
      </c>
      <c r="AK1273" t="s">
        <v>1761</v>
      </c>
      <c r="AM1273">
        <v>200000</v>
      </c>
      <c r="AN1273" t="s">
        <v>97</v>
      </c>
      <c r="AO1273">
        <v>1</v>
      </c>
      <c r="AP1273">
        <v>0</v>
      </c>
      <c r="AQ1273">
        <v>16666.666666666668</v>
      </c>
      <c r="AR1273" t="s">
        <v>3596</v>
      </c>
      <c r="AS1273" t="s">
        <v>75</v>
      </c>
      <c r="AX1273" t="s">
        <v>76</v>
      </c>
      <c r="AY1273" t="s">
        <v>71</v>
      </c>
      <c r="AZ1273">
        <v>0</v>
      </c>
      <c r="BA1273" t="s">
        <v>71</v>
      </c>
      <c r="BB1273">
        <v>0</v>
      </c>
      <c r="BD1273">
        <v>1.1279999999999999</v>
      </c>
    </row>
    <row r="1274" spans="1:56" x14ac:dyDescent="0.15">
      <c r="A1274" s="4" t="str">
        <f>HYPERLINK("https://ibp.a2mac1.com/costing(costing:projects/details/9760/part/8413278)","Ferrite 2")</f>
        <v>Ferrite 2</v>
      </c>
      <c r="B1274">
        <v>8413278</v>
      </c>
      <c r="C1274">
        <v>8413183</v>
      </c>
      <c r="E1274">
        <v>0.70399999999999996</v>
      </c>
      <c r="F1274">
        <v>0</v>
      </c>
      <c r="G1274">
        <v>0</v>
      </c>
      <c r="H1274">
        <v>0</v>
      </c>
      <c r="I1274" t="s">
        <v>71</v>
      </c>
      <c r="J1274">
        <v>0</v>
      </c>
      <c r="K1274">
        <v>0.70399999999999996</v>
      </c>
      <c r="L1274">
        <v>0</v>
      </c>
      <c r="M1274">
        <v>0</v>
      </c>
      <c r="N1274">
        <v>0.70399999999999996</v>
      </c>
      <c r="O1274" t="s">
        <v>71</v>
      </c>
      <c r="P1274">
        <v>0</v>
      </c>
      <c r="Q1274" t="s">
        <v>71</v>
      </c>
      <c r="R1274">
        <v>0</v>
      </c>
      <c r="S1274" t="s">
        <v>71</v>
      </c>
      <c r="T1274">
        <v>0</v>
      </c>
      <c r="U1274" t="s">
        <v>71</v>
      </c>
      <c r="V1274">
        <v>0</v>
      </c>
      <c r="W1274" t="s">
        <v>71</v>
      </c>
      <c r="X1274">
        <v>0</v>
      </c>
      <c r="Y1274">
        <v>0.70399999999999996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72</v>
      </c>
      <c r="AF1274">
        <v>39</v>
      </c>
      <c r="AG1274">
        <v>23</v>
      </c>
      <c r="AH1274">
        <v>0</v>
      </c>
      <c r="AI1274">
        <v>8.7999999999999995E-2</v>
      </c>
      <c r="AK1274" t="s">
        <v>100</v>
      </c>
      <c r="AM1274">
        <v>200000</v>
      </c>
      <c r="AN1274" t="s">
        <v>97</v>
      </c>
      <c r="AO1274">
        <v>1</v>
      </c>
      <c r="AP1274">
        <v>0</v>
      </c>
      <c r="AQ1274">
        <v>16666.666666666668</v>
      </c>
      <c r="AR1274" t="s">
        <v>3597</v>
      </c>
      <c r="AS1274" t="s">
        <v>75</v>
      </c>
      <c r="AX1274" t="s">
        <v>76</v>
      </c>
      <c r="AY1274" t="s">
        <v>71</v>
      </c>
      <c r="AZ1274">
        <v>0</v>
      </c>
      <c r="BA1274" t="s">
        <v>71</v>
      </c>
      <c r="BB1274">
        <v>0</v>
      </c>
      <c r="BD1274">
        <v>0.70399999999999996</v>
      </c>
    </row>
    <row r="1275" spans="1:56" x14ac:dyDescent="0.15">
      <c r="A1275" s="4" t="str">
        <f>HYPERLINK("https://ibp.a2mac1.com/costing(costing:projects/details/9760/part/8413279)","Power Module 1")</f>
        <v>Power Module 1</v>
      </c>
      <c r="B1275">
        <v>8413279</v>
      </c>
      <c r="C1275">
        <v>8413184</v>
      </c>
      <c r="E1275">
        <v>259.95499999999998</v>
      </c>
      <c r="F1275">
        <v>0</v>
      </c>
      <c r="G1275">
        <v>0</v>
      </c>
      <c r="H1275">
        <v>0</v>
      </c>
      <c r="I1275" t="s">
        <v>71</v>
      </c>
      <c r="J1275">
        <v>0</v>
      </c>
      <c r="K1275">
        <v>259.95499999999998</v>
      </c>
      <c r="L1275">
        <v>0</v>
      </c>
      <c r="M1275">
        <v>0</v>
      </c>
      <c r="N1275">
        <v>259.95499999999998</v>
      </c>
      <c r="O1275" t="s">
        <v>71</v>
      </c>
      <c r="P1275">
        <v>0</v>
      </c>
      <c r="Q1275" t="s">
        <v>71</v>
      </c>
      <c r="R1275">
        <v>0</v>
      </c>
      <c r="S1275" t="s">
        <v>71</v>
      </c>
      <c r="T1275">
        <v>0</v>
      </c>
      <c r="U1275" t="s">
        <v>71</v>
      </c>
      <c r="V1275">
        <v>0</v>
      </c>
      <c r="W1275" t="s">
        <v>71</v>
      </c>
      <c r="X1275">
        <v>0</v>
      </c>
      <c r="Y1275">
        <v>259.95499999999998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26</v>
      </c>
      <c r="AF1275">
        <v>155</v>
      </c>
      <c r="AG1275">
        <v>127</v>
      </c>
      <c r="AH1275">
        <v>0</v>
      </c>
      <c r="AI1275">
        <v>0.73899999999999999</v>
      </c>
      <c r="AK1275" t="s">
        <v>3528</v>
      </c>
      <c r="AM1275">
        <v>200000</v>
      </c>
      <c r="AN1275" t="s">
        <v>97</v>
      </c>
      <c r="AO1275">
        <v>1</v>
      </c>
      <c r="AP1275">
        <v>0</v>
      </c>
      <c r="AQ1275">
        <v>16666.666666666668</v>
      </c>
      <c r="AR1275" t="s">
        <v>3600</v>
      </c>
      <c r="AS1275" t="s">
        <v>75</v>
      </c>
      <c r="AX1275" t="s">
        <v>76</v>
      </c>
      <c r="AY1275" t="s">
        <v>71</v>
      </c>
      <c r="AZ1275">
        <v>0</v>
      </c>
      <c r="BA1275" t="s">
        <v>71</v>
      </c>
      <c r="BB1275">
        <v>0</v>
      </c>
      <c r="BD1275">
        <v>259.95499999999998</v>
      </c>
    </row>
    <row r="1276" spans="1:56" x14ac:dyDescent="0.15">
      <c r="A1276" s="4" t="str">
        <f>HYPERLINK("https://ibp.a2mac1.com/costing(costing:projects/details/9760/part/8413185)","PCB 1")</f>
        <v>PCB 1</v>
      </c>
      <c r="B1276">
        <v>8413185</v>
      </c>
      <c r="C1276">
        <v>8413067</v>
      </c>
      <c r="E1276">
        <v>30.74</v>
      </c>
      <c r="F1276">
        <v>0</v>
      </c>
      <c r="G1276">
        <v>0</v>
      </c>
      <c r="H1276">
        <v>0</v>
      </c>
      <c r="I1276" t="s">
        <v>71</v>
      </c>
      <c r="J1276">
        <v>0</v>
      </c>
      <c r="K1276">
        <v>30.74</v>
      </c>
      <c r="L1276">
        <v>0</v>
      </c>
      <c r="M1276">
        <v>0</v>
      </c>
      <c r="N1276">
        <v>30.74</v>
      </c>
      <c r="O1276" t="s">
        <v>71</v>
      </c>
      <c r="P1276">
        <v>0</v>
      </c>
      <c r="Q1276" t="s">
        <v>71</v>
      </c>
      <c r="R1276">
        <v>0</v>
      </c>
      <c r="S1276" t="s">
        <v>71</v>
      </c>
      <c r="T1276">
        <v>0</v>
      </c>
      <c r="U1276" t="s">
        <v>71</v>
      </c>
      <c r="V1276">
        <v>0</v>
      </c>
      <c r="W1276" t="s">
        <v>71</v>
      </c>
      <c r="X1276">
        <v>0</v>
      </c>
      <c r="Y1276">
        <v>30.74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15</v>
      </c>
      <c r="AF1276">
        <v>156</v>
      </c>
      <c r="AG1276">
        <v>130</v>
      </c>
      <c r="AH1276">
        <v>1.74</v>
      </c>
      <c r="AI1276">
        <v>0</v>
      </c>
      <c r="AK1276" t="s">
        <v>95</v>
      </c>
      <c r="AM1276">
        <v>200000</v>
      </c>
      <c r="AN1276" t="s">
        <v>97</v>
      </c>
      <c r="AO1276">
        <v>1</v>
      </c>
      <c r="AP1276">
        <v>0</v>
      </c>
      <c r="AQ1276">
        <v>16666.666666666668</v>
      </c>
      <c r="AR1276" t="s">
        <v>3604</v>
      </c>
      <c r="AS1276" t="s">
        <v>75</v>
      </c>
      <c r="AX1276" t="s">
        <v>76</v>
      </c>
      <c r="AY1276" t="s">
        <v>71</v>
      </c>
      <c r="AZ1276">
        <v>0</v>
      </c>
      <c r="BA1276" t="s">
        <v>71</v>
      </c>
      <c r="BB1276">
        <v>0</v>
      </c>
      <c r="BD1276">
        <v>30.74</v>
      </c>
    </row>
    <row r="1277" spans="1:56" x14ac:dyDescent="0.15">
      <c r="A1277" s="4" t="str">
        <f>HYPERLINK("https://ibp.a2mac1.com/costing(costing:projects/details/9760/part/8413186)","PCB 2")</f>
        <v>PCB 2</v>
      </c>
      <c r="B1277">
        <v>8413186</v>
      </c>
      <c r="C1277">
        <v>8413067</v>
      </c>
      <c r="E1277">
        <v>22.071000000000002</v>
      </c>
      <c r="F1277">
        <v>0</v>
      </c>
      <c r="G1277">
        <v>0</v>
      </c>
      <c r="H1277">
        <v>0</v>
      </c>
      <c r="I1277" t="s">
        <v>71</v>
      </c>
      <c r="J1277">
        <v>0</v>
      </c>
      <c r="K1277">
        <v>22.071000000000002</v>
      </c>
      <c r="L1277">
        <v>0</v>
      </c>
      <c r="M1277">
        <v>0</v>
      </c>
      <c r="N1277">
        <v>22.071000000000002</v>
      </c>
      <c r="O1277" t="s">
        <v>71</v>
      </c>
      <c r="P1277">
        <v>0</v>
      </c>
      <c r="Q1277" t="s">
        <v>71</v>
      </c>
      <c r="R1277">
        <v>0</v>
      </c>
      <c r="S1277" t="s">
        <v>71</v>
      </c>
      <c r="T1277">
        <v>0</v>
      </c>
      <c r="U1277" t="s">
        <v>71</v>
      </c>
      <c r="V1277">
        <v>0</v>
      </c>
      <c r="W1277" t="s">
        <v>71</v>
      </c>
      <c r="X1277">
        <v>0</v>
      </c>
      <c r="Y1277">
        <v>22.071000000000002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13</v>
      </c>
      <c r="AF1277">
        <v>141</v>
      </c>
      <c r="AG1277">
        <v>77</v>
      </c>
      <c r="AH1277">
        <v>1.88</v>
      </c>
      <c r="AI1277">
        <v>0</v>
      </c>
      <c r="AK1277" t="s">
        <v>95</v>
      </c>
      <c r="AM1277">
        <v>200000</v>
      </c>
      <c r="AN1277" t="s">
        <v>97</v>
      </c>
      <c r="AO1277">
        <v>1</v>
      </c>
      <c r="AP1277">
        <v>0</v>
      </c>
      <c r="AQ1277">
        <v>16666.666666666668</v>
      </c>
      <c r="AR1277" t="s">
        <v>3605</v>
      </c>
      <c r="AS1277" t="s">
        <v>75</v>
      </c>
      <c r="AX1277" t="s">
        <v>76</v>
      </c>
      <c r="AY1277" t="s">
        <v>71</v>
      </c>
      <c r="AZ1277">
        <v>0</v>
      </c>
      <c r="BA1277" t="s">
        <v>71</v>
      </c>
      <c r="BB1277">
        <v>0</v>
      </c>
      <c r="BD1277">
        <v>22.071000000000002</v>
      </c>
    </row>
    <row r="1278" spans="1:56" x14ac:dyDescent="0.15">
      <c r="A1278" s="4" t="str">
        <f>HYPERLINK("https://ibp.a2mac1.com/costing(costing:projects/details/9760/part/8413187)","PCB 3")</f>
        <v>PCB 3</v>
      </c>
      <c r="B1278">
        <v>8413187</v>
      </c>
      <c r="C1278">
        <v>8413067</v>
      </c>
      <c r="E1278">
        <v>12.045</v>
      </c>
      <c r="F1278">
        <v>0</v>
      </c>
      <c r="G1278">
        <v>0</v>
      </c>
      <c r="H1278">
        <v>0</v>
      </c>
      <c r="I1278" t="s">
        <v>71</v>
      </c>
      <c r="J1278">
        <v>0</v>
      </c>
      <c r="K1278">
        <v>12.045</v>
      </c>
      <c r="L1278">
        <v>0</v>
      </c>
      <c r="M1278">
        <v>0</v>
      </c>
      <c r="N1278">
        <v>12.045</v>
      </c>
      <c r="O1278" t="s">
        <v>71</v>
      </c>
      <c r="P1278">
        <v>0</v>
      </c>
      <c r="Q1278" t="s">
        <v>71</v>
      </c>
      <c r="R1278">
        <v>0</v>
      </c>
      <c r="S1278" t="s">
        <v>71</v>
      </c>
      <c r="T1278">
        <v>0</v>
      </c>
      <c r="U1278" t="s">
        <v>71</v>
      </c>
      <c r="V1278">
        <v>0</v>
      </c>
      <c r="W1278" t="s">
        <v>71</v>
      </c>
      <c r="X1278">
        <v>0</v>
      </c>
      <c r="Y1278">
        <v>12.045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16</v>
      </c>
      <c r="AF1278">
        <v>169</v>
      </c>
      <c r="AG1278">
        <v>92</v>
      </c>
      <c r="AH1278">
        <v>1.82</v>
      </c>
      <c r="AI1278">
        <v>0</v>
      </c>
      <c r="AK1278" t="s">
        <v>95</v>
      </c>
      <c r="AM1278">
        <v>200000</v>
      </c>
      <c r="AN1278" t="s">
        <v>97</v>
      </c>
      <c r="AO1278">
        <v>1</v>
      </c>
      <c r="AP1278">
        <v>0</v>
      </c>
      <c r="AQ1278">
        <v>16666.666666666668</v>
      </c>
      <c r="AR1278" t="s">
        <v>3606</v>
      </c>
      <c r="AS1278" t="s">
        <v>75</v>
      </c>
      <c r="AX1278" t="s">
        <v>76</v>
      </c>
      <c r="AY1278" t="s">
        <v>71</v>
      </c>
      <c r="AZ1278">
        <v>0</v>
      </c>
      <c r="BA1278" t="s">
        <v>71</v>
      </c>
      <c r="BB1278">
        <v>0</v>
      </c>
      <c r="BD1278">
        <v>12.045</v>
      </c>
    </row>
    <row r="1279" spans="1:56" x14ac:dyDescent="0.15">
      <c r="A1279" s="4" t="str">
        <f>HYPERLINK("https://ibp.a2mac1.com/costing(costing:projects/details/9760/part/8413280)","Bracket 1")</f>
        <v>Bracket 1</v>
      </c>
      <c r="B1279">
        <v>8413280</v>
      </c>
      <c r="C1279">
        <v>8413188</v>
      </c>
      <c r="D1279" t="s">
        <v>3539</v>
      </c>
      <c r="E1279">
        <v>4.1980000000000004</v>
      </c>
      <c r="F1279">
        <v>0</v>
      </c>
      <c r="G1279">
        <v>0</v>
      </c>
      <c r="H1279">
        <v>0</v>
      </c>
      <c r="I1279" t="s">
        <v>71</v>
      </c>
      <c r="J1279">
        <v>0</v>
      </c>
      <c r="K1279">
        <v>4.1980000000000004</v>
      </c>
      <c r="L1279">
        <v>0</v>
      </c>
      <c r="M1279">
        <v>0</v>
      </c>
      <c r="N1279">
        <v>4.1980000000000004</v>
      </c>
      <c r="O1279" t="s">
        <v>71</v>
      </c>
      <c r="P1279">
        <v>0</v>
      </c>
      <c r="Q1279" t="s">
        <v>71</v>
      </c>
      <c r="R1279">
        <v>0</v>
      </c>
      <c r="S1279" t="s">
        <v>71</v>
      </c>
      <c r="T1279">
        <v>0</v>
      </c>
      <c r="U1279" t="s">
        <v>71</v>
      </c>
      <c r="V1279">
        <v>0</v>
      </c>
      <c r="W1279" t="s">
        <v>71</v>
      </c>
      <c r="X1279">
        <v>0</v>
      </c>
      <c r="Y1279">
        <v>4.1980000000000004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159</v>
      </c>
      <c r="AF1279">
        <v>205</v>
      </c>
      <c r="AG1279">
        <v>69</v>
      </c>
      <c r="AH1279">
        <v>0</v>
      </c>
      <c r="AI1279">
        <v>0.52</v>
      </c>
      <c r="AK1279" t="s">
        <v>100</v>
      </c>
      <c r="AM1279">
        <v>200000</v>
      </c>
      <c r="AN1279" t="s">
        <v>97</v>
      </c>
      <c r="AO1279">
        <v>1</v>
      </c>
      <c r="AP1279">
        <v>0</v>
      </c>
      <c r="AQ1279">
        <v>16666.666666666668</v>
      </c>
      <c r="AR1279" t="s">
        <v>3610</v>
      </c>
      <c r="AS1279" t="s">
        <v>75</v>
      </c>
      <c r="AX1279" t="s">
        <v>76</v>
      </c>
      <c r="AY1279" t="s">
        <v>71</v>
      </c>
      <c r="AZ1279">
        <v>0</v>
      </c>
      <c r="BA1279" t="s">
        <v>71</v>
      </c>
      <c r="BB1279">
        <v>0</v>
      </c>
      <c r="BD1279">
        <v>4.1980000000000004</v>
      </c>
    </row>
    <row r="1280" spans="1:56" x14ac:dyDescent="0.15">
      <c r="A1280" s="4" t="str">
        <f>HYPERLINK("https://ibp.a2mac1.com/costing(costing:projects/details/9760/part/8413281)","Ferrite Assembly Bracket 1")</f>
        <v>Ferrite Assembly Bracket 1</v>
      </c>
      <c r="B1280">
        <v>8413281</v>
      </c>
      <c r="C1280">
        <v>8413188</v>
      </c>
      <c r="D1280" t="s">
        <v>3541</v>
      </c>
      <c r="E1280">
        <v>5.3999999999999999E-2</v>
      </c>
      <c r="F1280">
        <v>0</v>
      </c>
      <c r="G1280">
        <v>0</v>
      </c>
      <c r="H1280">
        <v>0</v>
      </c>
      <c r="I1280" t="s">
        <v>71</v>
      </c>
      <c r="J1280">
        <v>0</v>
      </c>
      <c r="K1280">
        <v>5.3999999999999999E-2</v>
      </c>
      <c r="L1280">
        <v>0</v>
      </c>
      <c r="M1280">
        <v>0</v>
      </c>
      <c r="N1280">
        <v>5.3999999999999999E-2</v>
      </c>
      <c r="O1280" t="s">
        <v>71</v>
      </c>
      <c r="P1280">
        <v>0</v>
      </c>
      <c r="Q1280" t="s">
        <v>71</v>
      </c>
      <c r="R1280">
        <v>0</v>
      </c>
      <c r="S1280" t="s">
        <v>71</v>
      </c>
      <c r="T1280">
        <v>0</v>
      </c>
      <c r="U1280" t="s">
        <v>71</v>
      </c>
      <c r="V1280">
        <v>0</v>
      </c>
      <c r="W1280" t="s">
        <v>71</v>
      </c>
      <c r="X1280">
        <v>0</v>
      </c>
      <c r="Y1280">
        <v>5.3999999999999999E-2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25</v>
      </c>
      <c r="AF1280">
        <v>41</v>
      </c>
      <c r="AG1280">
        <v>7</v>
      </c>
      <c r="AH1280">
        <v>0</v>
      </c>
      <c r="AI1280">
        <v>1.2E-2</v>
      </c>
      <c r="AK1280" t="s">
        <v>100</v>
      </c>
      <c r="AM1280">
        <v>200000</v>
      </c>
      <c r="AN1280" t="s">
        <v>97</v>
      </c>
      <c r="AO1280">
        <v>1</v>
      </c>
      <c r="AP1280">
        <v>0</v>
      </c>
      <c r="AQ1280">
        <v>16666.666666666668</v>
      </c>
      <c r="AR1280" t="s">
        <v>3611</v>
      </c>
      <c r="AS1280" t="s">
        <v>75</v>
      </c>
      <c r="AX1280" t="s">
        <v>76</v>
      </c>
      <c r="AY1280" t="s">
        <v>71</v>
      </c>
      <c r="AZ1280">
        <v>0</v>
      </c>
      <c r="BA1280" t="s">
        <v>71</v>
      </c>
      <c r="BB1280">
        <v>0</v>
      </c>
      <c r="BD1280">
        <v>5.3999999999999999E-2</v>
      </c>
    </row>
    <row r="1281" spans="1:56" x14ac:dyDescent="0.15">
      <c r="A1281" s="4" t="str">
        <f>HYPERLINK("https://ibp.a2mac1.com/costing(costing:projects/details/9760/part/8413282)","Power Module Bracket 1")</f>
        <v>Power Module Bracket 1</v>
      </c>
      <c r="B1281">
        <v>8413282</v>
      </c>
      <c r="C1281">
        <v>8413188</v>
      </c>
      <c r="D1281" t="s">
        <v>3543</v>
      </c>
      <c r="E1281">
        <v>3.681</v>
      </c>
      <c r="F1281">
        <v>0</v>
      </c>
      <c r="G1281">
        <v>0</v>
      </c>
      <c r="H1281">
        <v>0</v>
      </c>
      <c r="I1281" t="s">
        <v>71</v>
      </c>
      <c r="J1281">
        <v>0</v>
      </c>
      <c r="K1281">
        <v>3.681</v>
      </c>
      <c r="L1281">
        <v>0</v>
      </c>
      <c r="M1281">
        <v>0</v>
      </c>
      <c r="N1281">
        <v>3.681</v>
      </c>
      <c r="O1281" t="s">
        <v>71</v>
      </c>
      <c r="P1281">
        <v>0</v>
      </c>
      <c r="Q1281" t="s">
        <v>71</v>
      </c>
      <c r="R1281">
        <v>0</v>
      </c>
      <c r="S1281" t="s">
        <v>71</v>
      </c>
      <c r="T1281">
        <v>0</v>
      </c>
      <c r="U1281" t="s">
        <v>71</v>
      </c>
      <c r="V1281">
        <v>0</v>
      </c>
      <c r="W1281" t="s">
        <v>71</v>
      </c>
      <c r="X1281">
        <v>0</v>
      </c>
      <c r="Y1281">
        <v>3.681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128</v>
      </c>
      <c r="AF1281">
        <v>162</v>
      </c>
      <c r="AG1281">
        <v>32</v>
      </c>
      <c r="AH1281">
        <v>0</v>
      </c>
      <c r="AI1281">
        <v>0.26</v>
      </c>
      <c r="AK1281" t="s">
        <v>100</v>
      </c>
      <c r="AM1281">
        <v>200000</v>
      </c>
      <c r="AN1281" t="s">
        <v>97</v>
      </c>
      <c r="AO1281">
        <v>1</v>
      </c>
      <c r="AP1281">
        <v>0</v>
      </c>
      <c r="AQ1281">
        <v>16666.666666666668</v>
      </c>
      <c r="AR1281" t="s">
        <v>3612</v>
      </c>
      <c r="AS1281" t="s">
        <v>75</v>
      </c>
      <c r="AX1281" t="s">
        <v>76</v>
      </c>
      <c r="AY1281" t="s">
        <v>71</v>
      </c>
      <c r="AZ1281">
        <v>0</v>
      </c>
      <c r="BA1281" t="s">
        <v>71</v>
      </c>
      <c r="BB1281">
        <v>0</v>
      </c>
      <c r="BD1281">
        <v>3.681</v>
      </c>
    </row>
    <row r="1282" spans="1:56" x14ac:dyDescent="0.15">
      <c r="A1282" s="4" t="str">
        <f>HYPERLINK("https://ibp.a2mac1.com/costing(costing:projects/details/9760/part/8413283)","PCB Cover 1")</f>
        <v>PCB Cover 1</v>
      </c>
      <c r="B1282">
        <v>8413283</v>
      </c>
      <c r="C1282">
        <v>8413189</v>
      </c>
      <c r="D1282" t="s">
        <v>3547</v>
      </c>
      <c r="E1282">
        <v>0.16800000000000001</v>
      </c>
      <c r="F1282">
        <v>0</v>
      </c>
      <c r="G1282">
        <v>0</v>
      </c>
      <c r="H1282">
        <v>0</v>
      </c>
      <c r="I1282" t="s">
        <v>71</v>
      </c>
      <c r="J1282">
        <v>0</v>
      </c>
      <c r="K1282">
        <v>0.16800000000000001</v>
      </c>
      <c r="L1282">
        <v>0</v>
      </c>
      <c r="M1282">
        <v>0</v>
      </c>
      <c r="N1282">
        <v>0.16800000000000001</v>
      </c>
      <c r="O1282" t="s">
        <v>71</v>
      </c>
      <c r="P1282">
        <v>0</v>
      </c>
      <c r="Q1282" t="s">
        <v>71</v>
      </c>
      <c r="R1282">
        <v>0</v>
      </c>
      <c r="S1282" t="s">
        <v>71</v>
      </c>
      <c r="T1282">
        <v>0</v>
      </c>
      <c r="U1282" t="s">
        <v>71</v>
      </c>
      <c r="V1282">
        <v>0</v>
      </c>
      <c r="W1282" t="s">
        <v>71</v>
      </c>
      <c r="X1282">
        <v>0</v>
      </c>
      <c r="Y1282">
        <v>0.16800000000000001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93</v>
      </c>
      <c r="AF1282">
        <v>78</v>
      </c>
      <c r="AG1282">
        <v>9</v>
      </c>
      <c r="AH1282">
        <v>0</v>
      </c>
      <c r="AI1282">
        <v>1.6E-2</v>
      </c>
      <c r="AK1282" t="s">
        <v>100</v>
      </c>
      <c r="AM1282">
        <v>200000</v>
      </c>
      <c r="AN1282" t="s">
        <v>97</v>
      </c>
      <c r="AO1282">
        <v>1</v>
      </c>
      <c r="AP1282">
        <v>0</v>
      </c>
      <c r="AQ1282">
        <v>16666.666666666668</v>
      </c>
      <c r="AR1282" t="s">
        <v>3615</v>
      </c>
      <c r="AS1282" t="s">
        <v>75</v>
      </c>
      <c r="AX1282" t="s">
        <v>76</v>
      </c>
      <c r="AY1282" t="s">
        <v>71</v>
      </c>
      <c r="AZ1282">
        <v>0</v>
      </c>
      <c r="BA1282" t="s">
        <v>71</v>
      </c>
      <c r="BB1282">
        <v>0</v>
      </c>
      <c r="BD1282">
        <v>0.16800000000000001</v>
      </c>
    </row>
    <row r="1283" spans="1:56" x14ac:dyDescent="0.15">
      <c r="A1283" s="4" t="str">
        <f>HYPERLINK("https://ibp.a2mac1.com/costing(costing:projects/details/9760/part/8413284)","Top Lid")</f>
        <v>Top Lid</v>
      </c>
      <c r="B1283">
        <v>8413284</v>
      </c>
      <c r="C1283">
        <v>8413190</v>
      </c>
      <c r="D1283" t="s">
        <v>3618</v>
      </c>
      <c r="E1283">
        <v>3.2789999999999999</v>
      </c>
      <c r="F1283">
        <v>0</v>
      </c>
      <c r="G1283">
        <v>0</v>
      </c>
      <c r="H1283">
        <v>0</v>
      </c>
      <c r="I1283" t="s">
        <v>71</v>
      </c>
      <c r="J1283">
        <v>0</v>
      </c>
      <c r="K1283">
        <v>3.2789999999999999</v>
      </c>
      <c r="L1283">
        <v>0</v>
      </c>
      <c r="M1283">
        <v>0</v>
      </c>
      <c r="N1283">
        <v>3.2789999999999999</v>
      </c>
      <c r="O1283" t="s">
        <v>71</v>
      </c>
      <c r="P1283">
        <v>0</v>
      </c>
      <c r="Q1283" t="s">
        <v>71</v>
      </c>
      <c r="R1283">
        <v>0</v>
      </c>
      <c r="S1283" t="s">
        <v>71</v>
      </c>
      <c r="T1283">
        <v>0</v>
      </c>
      <c r="U1283" t="s">
        <v>71</v>
      </c>
      <c r="V1283">
        <v>0</v>
      </c>
      <c r="W1283" t="s">
        <v>71</v>
      </c>
      <c r="X1283">
        <v>0</v>
      </c>
      <c r="Y1283">
        <v>3.2789999999999999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368</v>
      </c>
      <c r="AF1283">
        <v>430</v>
      </c>
      <c r="AG1283">
        <v>12</v>
      </c>
      <c r="AH1283">
        <v>0</v>
      </c>
      <c r="AI1283">
        <v>0.61499999999999999</v>
      </c>
      <c r="AK1283" t="s">
        <v>100</v>
      </c>
      <c r="AM1283">
        <v>200000</v>
      </c>
      <c r="AN1283" t="s">
        <v>97</v>
      </c>
      <c r="AO1283">
        <v>1</v>
      </c>
      <c r="AP1283">
        <v>0</v>
      </c>
      <c r="AQ1283">
        <v>16666.666666666668</v>
      </c>
      <c r="AR1283" t="s">
        <v>3619</v>
      </c>
      <c r="AS1283" t="s">
        <v>75</v>
      </c>
      <c r="AX1283" t="s">
        <v>76</v>
      </c>
      <c r="AY1283" t="s">
        <v>71</v>
      </c>
      <c r="AZ1283">
        <v>0</v>
      </c>
      <c r="BA1283" t="s">
        <v>71</v>
      </c>
      <c r="BB1283">
        <v>0</v>
      </c>
      <c r="BD1283">
        <v>3.2789999999999999</v>
      </c>
    </row>
    <row r="1284" spans="1:56" x14ac:dyDescent="0.15">
      <c r="A1284" s="4" t="str">
        <f>HYPERLINK("https://ibp.a2mac1.com/costing(costing:projects/details/9760/part/8413285)","Seal 1")</f>
        <v>Seal 1</v>
      </c>
      <c r="B1284">
        <v>8413285</v>
      </c>
      <c r="C1284">
        <v>8413191</v>
      </c>
      <c r="D1284" t="s">
        <v>3622</v>
      </c>
      <c r="E1284">
        <v>4.1700000000000001E-2</v>
      </c>
      <c r="F1284">
        <v>0</v>
      </c>
      <c r="G1284">
        <v>0</v>
      </c>
      <c r="H1284">
        <v>0</v>
      </c>
      <c r="I1284" t="s">
        <v>71</v>
      </c>
      <c r="J1284">
        <v>0</v>
      </c>
      <c r="K1284">
        <v>4.1700000000000001E-2</v>
      </c>
      <c r="L1284">
        <v>0</v>
      </c>
      <c r="M1284">
        <v>0</v>
      </c>
      <c r="N1284">
        <v>4.1700000000000001E-2</v>
      </c>
      <c r="O1284" t="s">
        <v>71</v>
      </c>
      <c r="P1284">
        <v>0</v>
      </c>
      <c r="Q1284" t="s">
        <v>71</v>
      </c>
      <c r="R1284">
        <v>0</v>
      </c>
      <c r="S1284" t="s">
        <v>71</v>
      </c>
      <c r="T1284">
        <v>0</v>
      </c>
      <c r="U1284" t="s">
        <v>71</v>
      </c>
      <c r="V1284">
        <v>0</v>
      </c>
      <c r="W1284" t="s">
        <v>71</v>
      </c>
      <c r="X1284">
        <v>0</v>
      </c>
      <c r="Y1284">
        <v>4.1700000000000001E-2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4</v>
      </c>
      <c r="AF1284">
        <v>150</v>
      </c>
      <c r="AG1284">
        <v>69</v>
      </c>
      <c r="AH1284">
        <v>0</v>
      </c>
      <c r="AI1284">
        <v>4.0000000000000001E-3</v>
      </c>
      <c r="AK1284" t="s">
        <v>1761</v>
      </c>
      <c r="AM1284">
        <v>200000</v>
      </c>
      <c r="AN1284" t="s">
        <v>97</v>
      </c>
      <c r="AO1284">
        <v>1</v>
      </c>
      <c r="AP1284">
        <v>0</v>
      </c>
      <c r="AQ1284">
        <v>16666.666666666668</v>
      </c>
      <c r="AR1284" t="s">
        <v>3623</v>
      </c>
      <c r="AS1284" t="s">
        <v>75</v>
      </c>
      <c r="AX1284" t="s">
        <v>76</v>
      </c>
      <c r="AY1284" t="s">
        <v>71</v>
      </c>
      <c r="AZ1284">
        <v>0</v>
      </c>
      <c r="BA1284" t="s">
        <v>71</v>
      </c>
      <c r="BB1284">
        <v>0</v>
      </c>
      <c r="BD1284">
        <v>4.1700000000000001E-2</v>
      </c>
    </row>
    <row r="1285" spans="1:56" x14ac:dyDescent="0.15">
      <c r="A1285" s="4" t="str">
        <f>HYPERLINK("https://ibp.a2mac1.com/costing(costing:projects/details/9760/part/8413286)","Seal 2")</f>
        <v>Seal 2</v>
      </c>
      <c r="B1285">
        <v>8413286</v>
      </c>
      <c r="C1285">
        <v>8413191</v>
      </c>
      <c r="D1285" t="s">
        <v>3622</v>
      </c>
      <c r="E1285">
        <v>0.15851999999999999</v>
      </c>
      <c r="F1285">
        <v>0</v>
      </c>
      <c r="G1285">
        <v>0</v>
      </c>
      <c r="H1285">
        <v>0</v>
      </c>
      <c r="I1285" t="s">
        <v>71</v>
      </c>
      <c r="J1285">
        <v>0</v>
      </c>
      <c r="K1285">
        <v>0.15851999999999999</v>
      </c>
      <c r="L1285">
        <v>0</v>
      </c>
      <c r="M1285">
        <v>0</v>
      </c>
      <c r="N1285">
        <v>0.15851999999999999</v>
      </c>
      <c r="O1285" t="s">
        <v>71</v>
      </c>
      <c r="P1285">
        <v>0</v>
      </c>
      <c r="Q1285" t="s">
        <v>71</v>
      </c>
      <c r="R1285">
        <v>0</v>
      </c>
      <c r="S1285" t="s">
        <v>71</v>
      </c>
      <c r="T1285">
        <v>0</v>
      </c>
      <c r="U1285" t="s">
        <v>71</v>
      </c>
      <c r="V1285">
        <v>0</v>
      </c>
      <c r="W1285" t="s">
        <v>71</v>
      </c>
      <c r="X1285">
        <v>0</v>
      </c>
      <c r="Y1285">
        <v>0.15851999999999999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4</v>
      </c>
      <c r="AF1285">
        <v>31</v>
      </c>
      <c r="AG1285">
        <v>16</v>
      </c>
      <c r="AH1285">
        <v>0</v>
      </c>
      <c r="AI1285">
        <v>7.5000000000000002E-4</v>
      </c>
      <c r="AK1285" t="s">
        <v>100</v>
      </c>
      <c r="AM1285">
        <v>800000</v>
      </c>
      <c r="AN1285" t="s">
        <v>97</v>
      </c>
      <c r="AO1285">
        <v>4</v>
      </c>
      <c r="AP1285">
        <v>0</v>
      </c>
      <c r="AQ1285">
        <v>66666.666666666672</v>
      </c>
      <c r="AR1285" t="s">
        <v>3624</v>
      </c>
      <c r="AS1285" t="s">
        <v>75</v>
      </c>
      <c r="AX1285" t="s">
        <v>76</v>
      </c>
      <c r="AY1285" t="s">
        <v>71</v>
      </c>
      <c r="AZ1285">
        <v>0</v>
      </c>
      <c r="BA1285" t="s">
        <v>71</v>
      </c>
      <c r="BB1285">
        <v>0</v>
      </c>
      <c r="BD1285">
        <v>3.9629999999999999E-2</v>
      </c>
    </row>
    <row r="1286" spans="1:56" x14ac:dyDescent="0.15">
      <c r="A1286" s="4" t="str">
        <f>HYPERLINK("https://ibp.a2mac1.com/costing(costing:projects/details/9760/part/8412934)","Ground Cable")</f>
        <v>Ground Cable</v>
      </c>
      <c r="B1286">
        <v>8412934</v>
      </c>
      <c r="C1286">
        <v>8412872</v>
      </c>
      <c r="E1286">
        <v>0.35</v>
      </c>
      <c r="F1286">
        <v>0</v>
      </c>
      <c r="G1286">
        <v>0</v>
      </c>
      <c r="H1286">
        <v>0</v>
      </c>
      <c r="I1286" t="s">
        <v>71</v>
      </c>
      <c r="J1286">
        <v>0</v>
      </c>
      <c r="K1286">
        <v>0.35</v>
      </c>
      <c r="L1286">
        <v>0</v>
      </c>
      <c r="M1286">
        <v>0</v>
      </c>
      <c r="N1286">
        <v>0.35</v>
      </c>
      <c r="O1286" t="s">
        <v>71</v>
      </c>
      <c r="P1286">
        <v>0</v>
      </c>
      <c r="Q1286" t="s">
        <v>71</v>
      </c>
      <c r="R1286">
        <v>0</v>
      </c>
      <c r="S1286" t="s">
        <v>71</v>
      </c>
      <c r="T1286">
        <v>0</v>
      </c>
      <c r="U1286" t="s">
        <v>71</v>
      </c>
      <c r="V1286">
        <v>0</v>
      </c>
      <c r="W1286" t="s">
        <v>71</v>
      </c>
      <c r="X1286">
        <v>0</v>
      </c>
      <c r="Y1286">
        <v>0.35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6.6000000000000003E-2</v>
      </c>
      <c r="AK1286" t="s">
        <v>95</v>
      </c>
      <c r="AM1286">
        <v>200000</v>
      </c>
      <c r="AN1286" t="s">
        <v>97</v>
      </c>
      <c r="AO1286">
        <v>1</v>
      </c>
      <c r="AP1286">
        <v>0</v>
      </c>
      <c r="AQ1286">
        <v>16666.666666666668</v>
      </c>
      <c r="AR1286" t="s">
        <v>3629</v>
      </c>
      <c r="AS1286" t="s">
        <v>75</v>
      </c>
      <c r="AX1286" t="s">
        <v>76</v>
      </c>
      <c r="AY1286" t="s">
        <v>71</v>
      </c>
      <c r="AZ1286">
        <v>0</v>
      </c>
      <c r="BA1286" t="s">
        <v>71</v>
      </c>
      <c r="BB1286">
        <v>0</v>
      </c>
      <c r="BD1286">
        <v>0.35</v>
      </c>
    </row>
    <row r="1287" spans="1:56" x14ac:dyDescent="0.15">
      <c r="A1287" s="4" t="str">
        <f>HYPERLINK("https://ibp.a2mac1.com/costing(costing:projects/details/9760/part/8412935)","Ground Cable 2")</f>
        <v>Ground Cable 2</v>
      </c>
      <c r="B1287">
        <v>8412935</v>
      </c>
      <c r="C1287">
        <v>8412872</v>
      </c>
      <c r="E1287">
        <v>0.56699999999999995</v>
      </c>
      <c r="F1287">
        <v>0</v>
      </c>
      <c r="G1287">
        <v>0</v>
      </c>
      <c r="H1287">
        <v>0</v>
      </c>
      <c r="I1287" t="s">
        <v>71</v>
      </c>
      <c r="J1287">
        <v>0</v>
      </c>
      <c r="K1287">
        <v>0.56699999999999995</v>
      </c>
      <c r="L1287">
        <v>0</v>
      </c>
      <c r="M1287">
        <v>0</v>
      </c>
      <c r="N1287">
        <v>0.56699999999999995</v>
      </c>
      <c r="O1287" t="s">
        <v>71</v>
      </c>
      <c r="P1287">
        <v>0</v>
      </c>
      <c r="Q1287" t="s">
        <v>71</v>
      </c>
      <c r="R1287">
        <v>0</v>
      </c>
      <c r="S1287" t="s">
        <v>71</v>
      </c>
      <c r="T1287">
        <v>0</v>
      </c>
      <c r="U1287" t="s">
        <v>71</v>
      </c>
      <c r="V1287">
        <v>0</v>
      </c>
      <c r="W1287" t="s">
        <v>71</v>
      </c>
      <c r="X1287">
        <v>0</v>
      </c>
      <c r="Y1287">
        <v>0.56699999999999995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0.107</v>
      </c>
      <c r="AK1287" t="s">
        <v>95</v>
      </c>
      <c r="AM1287">
        <v>200000</v>
      </c>
      <c r="AN1287" t="s">
        <v>97</v>
      </c>
      <c r="AO1287">
        <v>1</v>
      </c>
      <c r="AP1287">
        <v>0</v>
      </c>
      <c r="AQ1287">
        <v>16666.666666666668</v>
      </c>
      <c r="AR1287" t="s">
        <v>3630</v>
      </c>
      <c r="AS1287" t="s">
        <v>75</v>
      </c>
      <c r="AX1287" t="s">
        <v>76</v>
      </c>
      <c r="AY1287" t="s">
        <v>71</v>
      </c>
      <c r="AZ1287">
        <v>0</v>
      </c>
      <c r="BA1287" t="s">
        <v>71</v>
      </c>
      <c r="BB1287">
        <v>0</v>
      </c>
      <c r="BD1287">
        <v>0.56699999999999995</v>
      </c>
    </row>
    <row r="1288" spans="1:56" x14ac:dyDescent="0.15">
      <c r="A1288" s="4" t="str">
        <f>HYPERLINK("https://ibp.a2mac1.com/costing(costing:projects/details/9760/part/8412936)","Water Input")</f>
        <v>Water Input</v>
      </c>
      <c r="B1288">
        <v>8412936</v>
      </c>
      <c r="C1288">
        <v>8412872</v>
      </c>
      <c r="D1288" t="s">
        <v>3631</v>
      </c>
      <c r="E1288">
        <v>0.316</v>
      </c>
      <c r="F1288">
        <v>0</v>
      </c>
      <c r="G1288">
        <v>0</v>
      </c>
      <c r="H1288">
        <v>0</v>
      </c>
      <c r="I1288" t="s">
        <v>71</v>
      </c>
      <c r="J1288">
        <v>0</v>
      </c>
      <c r="K1288">
        <v>0.316</v>
      </c>
      <c r="L1288">
        <v>0</v>
      </c>
      <c r="M1288">
        <v>0</v>
      </c>
      <c r="N1288">
        <v>0.316</v>
      </c>
      <c r="O1288" t="s">
        <v>71</v>
      </c>
      <c r="P1288">
        <v>0</v>
      </c>
      <c r="Q1288" t="s">
        <v>71</v>
      </c>
      <c r="R1288">
        <v>0</v>
      </c>
      <c r="S1288" t="s">
        <v>71</v>
      </c>
      <c r="T1288">
        <v>0</v>
      </c>
      <c r="U1288" t="s">
        <v>71</v>
      </c>
      <c r="V1288">
        <v>0</v>
      </c>
      <c r="W1288" t="s">
        <v>71</v>
      </c>
      <c r="X1288">
        <v>0</v>
      </c>
      <c r="Y1288">
        <v>0.316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33</v>
      </c>
      <c r="AF1288">
        <v>57</v>
      </c>
      <c r="AG1288">
        <v>52</v>
      </c>
      <c r="AH1288">
        <v>0</v>
      </c>
      <c r="AI1288">
        <v>2.1999999999999999E-2</v>
      </c>
      <c r="AK1288" t="s">
        <v>100</v>
      </c>
      <c r="AM1288">
        <v>200000</v>
      </c>
      <c r="AN1288" t="s">
        <v>97</v>
      </c>
      <c r="AO1288">
        <v>1</v>
      </c>
      <c r="AP1288">
        <v>0</v>
      </c>
      <c r="AQ1288">
        <v>16666.666666666668</v>
      </c>
      <c r="AR1288" t="s">
        <v>3632</v>
      </c>
      <c r="AS1288" t="s">
        <v>75</v>
      </c>
      <c r="AX1288" t="s">
        <v>76</v>
      </c>
      <c r="AY1288" t="s">
        <v>71</v>
      </c>
      <c r="AZ1288">
        <v>0</v>
      </c>
      <c r="BA1288" t="s">
        <v>71</v>
      </c>
      <c r="BB1288">
        <v>0</v>
      </c>
      <c r="BD1288">
        <v>0.316</v>
      </c>
    </row>
    <row r="1289" spans="1:56" x14ac:dyDescent="0.15">
      <c r="A1289" s="4" t="str">
        <f>HYPERLINK("https://ibp.a2mac1.com/costing(costing:projects/details/9760/part/8412937)","Water Input 2nd Power Inverter Module/Converter")</f>
        <v>Water Input 2nd Power Inverter Module/Converter</v>
      </c>
      <c r="B1289">
        <v>8412937</v>
      </c>
      <c r="C1289">
        <v>8412872</v>
      </c>
      <c r="D1289" t="s">
        <v>3631</v>
      </c>
      <c r="E1289">
        <v>0.316</v>
      </c>
      <c r="F1289">
        <v>0</v>
      </c>
      <c r="G1289">
        <v>0</v>
      </c>
      <c r="H1289">
        <v>0</v>
      </c>
      <c r="I1289" t="s">
        <v>71</v>
      </c>
      <c r="J1289">
        <v>0</v>
      </c>
      <c r="K1289">
        <v>0.316</v>
      </c>
      <c r="L1289">
        <v>0</v>
      </c>
      <c r="M1289">
        <v>0</v>
      </c>
      <c r="N1289">
        <v>0.316</v>
      </c>
      <c r="O1289" t="s">
        <v>71</v>
      </c>
      <c r="P1289">
        <v>0</v>
      </c>
      <c r="Q1289" t="s">
        <v>71</v>
      </c>
      <c r="R1289">
        <v>0</v>
      </c>
      <c r="S1289" t="s">
        <v>71</v>
      </c>
      <c r="T1289">
        <v>0</v>
      </c>
      <c r="U1289" t="s">
        <v>71</v>
      </c>
      <c r="V1289">
        <v>0</v>
      </c>
      <c r="W1289" t="s">
        <v>71</v>
      </c>
      <c r="X1289">
        <v>0</v>
      </c>
      <c r="Y1289">
        <v>0.316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33</v>
      </c>
      <c r="AF1289">
        <v>57</v>
      </c>
      <c r="AG1289">
        <v>52</v>
      </c>
      <c r="AH1289">
        <v>0</v>
      </c>
      <c r="AI1289">
        <v>2.1999999999999999E-2</v>
      </c>
      <c r="AK1289" t="s">
        <v>100</v>
      </c>
      <c r="AM1289">
        <v>200000</v>
      </c>
      <c r="AN1289" t="s">
        <v>97</v>
      </c>
      <c r="AO1289">
        <v>1</v>
      </c>
      <c r="AP1289">
        <v>0</v>
      </c>
      <c r="AQ1289">
        <v>16666.666666666668</v>
      </c>
      <c r="AR1289" t="s">
        <v>3633</v>
      </c>
      <c r="AS1289" t="s">
        <v>75</v>
      </c>
      <c r="AX1289" t="s">
        <v>76</v>
      </c>
      <c r="AY1289" t="s">
        <v>71</v>
      </c>
      <c r="AZ1289">
        <v>0</v>
      </c>
      <c r="BA1289" t="s">
        <v>71</v>
      </c>
      <c r="BB1289">
        <v>0</v>
      </c>
      <c r="BD1289">
        <v>0.316</v>
      </c>
    </row>
    <row r="1290" spans="1:56" x14ac:dyDescent="0.15">
      <c r="A1290" s="4" t="str">
        <f>HYPERLINK("https://ibp.a2mac1.com/costing(costing:projects/details/9760/part/8413287)","Busbar 1")</f>
        <v>Busbar 1</v>
      </c>
      <c r="B1290">
        <v>8413287</v>
      </c>
      <c r="C1290">
        <v>8413192</v>
      </c>
      <c r="D1290" t="s">
        <v>2772</v>
      </c>
      <c r="E1290">
        <v>0.47411999999999999</v>
      </c>
      <c r="F1290">
        <v>0</v>
      </c>
      <c r="G1290">
        <v>0</v>
      </c>
      <c r="H1290">
        <v>0</v>
      </c>
      <c r="I1290" t="s">
        <v>71</v>
      </c>
      <c r="J1290">
        <v>0</v>
      </c>
      <c r="K1290">
        <v>0.47411999999999999</v>
      </c>
      <c r="L1290">
        <v>0</v>
      </c>
      <c r="M1290">
        <v>0</v>
      </c>
      <c r="N1290">
        <v>0.47411999999999999</v>
      </c>
      <c r="O1290" t="s">
        <v>71</v>
      </c>
      <c r="P1290">
        <v>0</v>
      </c>
      <c r="Q1290" t="s">
        <v>71</v>
      </c>
      <c r="R1290">
        <v>0</v>
      </c>
      <c r="S1290" t="s">
        <v>71</v>
      </c>
      <c r="T1290">
        <v>0</v>
      </c>
      <c r="U1290" t="s">
        <v>71</v>
      </c>
      <c r="V1290">
        <v>0</v>
      </c>
      <c r="W1290" t="s">
        <v>71</v>
      </c>
      <c r="X1290">
        <v>0</v>
      </c>
      <c r="Y1290">
        <v>0.47411999999999999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22</v>
      </c>
      <c r="AF1290">
        <v>60</v>
      </c>
      <c r="AG1290">
        <v>83</v>
      </c>
      <c r="AH1290">
        <v>0</v>
      </c>
      <c r="AI1290">
        <v>4.1000000000000002E-2</v>
      </c>
      <c r="AK1290" t="s">
        <v>272</v>
      </c>
      <c r="AM1290">
        <v>200000</v>
      </c>
      <c r="AN1290" t="s">
        <v>73</v>
      </c>
      <c r="AO1290">
        <v>1</v>
      </c>
      <c r="AP1290">
        <v>0</v>
      </c>
      <c r="AQ1290">
        <v>16666.666666666668</v>
      </c>
      <c r="AR1290" t="s">
        <v>9</v>
      </c>
      <c r="AS1290" t="s">
        <v>75</v>
      </c>
      <c r="AX1290" t="s">
        <v>76</v>
      </c>
      <c r="AY1290" t="s">
        <v>71</v>
      </c>
      <c r="AZ1290">
        <v>0</v>
      </c>
      <c r="BA1290" t="s">
        <v>71</v>
      </c>
      <c r="BB1290">
        <v>0</v>
      </c>
      <c r="BD1290">
        <v>0.47411999999999999</v>
      </c>
    </row>
    <row r="1291" spans="1:56" x14ac:dyDescent="0.15">
      <c r="A1291" s="4" t="str">
        <f>HYPERLINK("https://ibp.a2mac1.com/costing(costing:projects/details/9760/part/8413288)","Busbar 2")</f>
        <v>Busbar 2</v>
      </c>
      <c r="B1291">
        <v>8413288</v>
      </c>
      <c r="C1291">
        <v>8413192</v>
      </c>
      <c r="D1291" t="s">
        <v>2772</v>
      </c>
      <c r="E1291">
        <v>0.56996000000000002</v>
      </c>
      <c r="F1291">
        <v>0</v>
      </c>
      <c r="G1291">
        <v>0</v>
      </c>
      <c r="H1291">
        <v>0</v>
      </c>
      <c r="I1291" t="s">
        <v>71</v>
      </c>
      <c r="J1291">
        <v>0</v>
      </c>
      <c r="K1291">
        <v>0.56996000000000002</v>
      </c>
      <c r="L1291">
        <v>0</v>
      </c>
      <c r="M1291">
        <v>0</v>
      </c>
      <c r="N1291">
        <v>0.56996000000000002</v>
      </c>
      <c r="O1291" t="s">
        <v>71</v>
      </c>
      <c r="P1291">
        <v>0</v>
      </c>
      <c r="Q1291" t="s">
        <v>71</v>
      </c>
      <c r="R1291">
        <v>0</v>
      </c>
      <c r="S1291" t="s">
        <v>71</v>
      </c>
      <c r="T1291">
        <v>0</v>
      </c>
      <c r="U1291" t="s">
        <v>71</v>
      </c>
      <c r="V1291">
        <v>0</v>
      </c>
      <c r="W1291" t="s">
        <v>71</v>
      </c>
      <c r="X1291">
        <v>0</v>
      </c>
      <c r="Y1291">
        <v>0.56996000000000002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31</v>
      </c>
      <c r="AF1291">
        <v>58</v>
      </c>
      <c r="AG1291">
        <v>89</v>
      </c>
      <c r="AH1291">
        <v>0</v>
      </c>
      <c r="AI1291">
        <v>5.0999999999999997E-2</v>
      </c>
      <c r="AK1291" t="s">
        <v>272</v>
      </c>
      <c r="AM1291">
        <v>200000</v>
      </c>
      <c r="AN1291" t="s">
        <v>73</v>
      </c>
      <c r="AO1291">
        <v>1</v>
      </c>
      <c r="AP1291">
        <v>0</v>
      </c>
      <c r="AQ1291">
        <v>16666.666666666668</v>
      </c>
      <c r="AR1291" t="s">
        <v>9</v>
      </c>
      <c r="AS1291" t="s">
        <v>75</v>
      </c>
      <c r="AX1291" t="s">
        <v>76</v>
      </c>
      <c r="AY1291" t="s">
        <v>71</v>
      </c>
      <c r="AZ1291">
        <v>0</v>
      </c>
      <c r="BA1291" t="s">
        <v>71</v>
      </c>
      <c r="BB1291">
        <v>0</v>
      </c>
      <c r="BD1291">
        <v>0.56996000000000002</v>
      </c>
    </row>
    <row r="1292" spans="1:56" x14ac:dyDescent="0.15">
      <c r="A1292" s="4" t="str">
        <f>HYPERLINK("https://ibp.a2mac1.com/costing(costing:projects/details/9760/part/8413289)","Busbar 3")</f>
        <v>Busbar 3</v>
      </c>
      <c r="B1292">
        <v>8413289</v>
      </c>
      <c r="C1292">
        <v>8413192</v>
      </c>
      <c r="D1292" t="s">
        <v>2772</v>
      </c>
      <c r="E1292">
        <v>1.5284</v>
      </c>
      <c r="F1292">
        <v>0</v>
      </c>
      <c r="G1292">
        <v>0</v>
      </c>
      <c r="H1292">
        <v>0</v>
      </c>
      <c r="I1292" t="s">
        <v>71</v>
      </c>
      <c r="J1292">
        <v>0</v>
      </c>
      <c r="K1292">
        <v>1.5284</v>
      </c>
      <c r="L1292">
        <v>0</v>
      </c>
      <c r="M1292">
        <v>0</v>
      </c>
      <c r="N1292">
        <v>1.5284</v>
      </c>
      <c r="O1292" t="s">
        <v>71</v>
      </c>
      <c r="P1292">
        <v>0</v>
      </c>
      <c r="Q1292" t="s">
        <v>71</v>
      </c>
      <c r="R1292">
        <v>0</v>
      </c>
      <c r="S1292" t="s">
        <v>71</v>
      </c>
      <c r="T1292">
        <v>0</v>
      </c>
      <c r="U1292" t="s">
        <v>71</v>
      </c>
      <c r="V1292">
        <v>0</v>
      </c>
      <c r="W1292" t="s">
        <v>71</v>
      </c>
      <c r="X1292">
        <v>0</v>
      </c>
      <c r="Y1292">
        <v>1.5284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67</v>
      </c>
      <c r="AF1292">
        <v>64</v>
      </c>
      <c r="AG1292">
        <v>9</v>
      </c>
      <c r="AH1292">
        <v>0</v>
      </c>
      <c r="AI1292">
        <v>0.151</v>
      </c>
      <c r="AK1292" t="s">
        <v>272</v>
      </c>
      <c r="AM1292">
        <v>200000</v>
      </c>
      <c r="AN1292" t="s">
        <v>73</v>
      </c>
      <c r="AO1292">
        <v>1</v>
      </c>
      <c r="AP1292">
        <v>0</v>
      </c>
      <c r="AQ1292">
        <v>16666.666666666668</v>
      </c>
      <c r="AR1292" t="s">
        <v>9</v>
      </c>
      <c r="AS1292" t="s">
        <v>75</v>
      </c>
      <c r="AX1292" t="s">
        <v>76</v>
      </c>
      <c r="AY1292" t="s">
        <v>71</v>
      </c>
      <c r="AZ1292">
        <v>0</v>
      </c>
      <c r="BA1292" t="s">
        <v>71</v>
      </c>
      <c r="BB1292">
        <v>0</v>
      </c>
      <c r="BD1292">
        <v>1.5284</v>
      </c>
    </row>
    <row r="1293" spans="1:56" x14ac:dyDescent="0.15">
      <c r="A1293" s="4" t="str">
        <f>HYPERLINK("https://ibp.a2mac1.com/costing(costing:projects/details/9760/part/8413290)","Busbar 4")</f>
        <v>Busbar 4</v>
      </c>
      <c r="B1293">
        <v>8413290</v>
      </c>
      <c r="C1293">
        <v>8413192</v>
      </c>
      <c r="D1293" t="s">
        <v>2772</v>
      </c>
      <c r="E1293">
        <v>0.61787999999999998</v>
      </c>
      <c r="F1293">
        <v>0</v>
      </c>
      <c r="G1293">
        <v>0</v>
      </c>
      <c r="H1293">
        <v>0</v>
      </c>
      <c r="I1293" t="s">
        <v>71</v>
      </c>
      <c r="J1293">
        <v>0</v>
      </c>
      <c r="K1293">
        <v>0.61787999999999998</v>
      </c>
      <c r="L1293">
        <v>0</v>
      </c>
      <c r="M1293">
        <v>0</v>
      </c>
      <c r="N1293">
        <v>0.61787999999999998</v>
      </c>
      <c r="O1293" t="s">
        <v>71</v>
      </c>
      <c r="P1293">
        <v>0</v>
      </c>
      <c r="Q1293" t="s">
        <v>71</v>
      </c>
      <c r="R1293">
        <v>0</v>
      </c>
      <c r="S1293" t="s">
        <v>71</v>
      </c>
      <c r="T1293">
        <v>0</v>
      </c>
      <c r="U1293" t="s">
        <v>71</v>
      </c>
      <c r="V1293">
        <v>0</v>
      </c>
      <c r="W1293" t="s">
        <v>71</v>
      </c>
      <c r="X1293">
        <v>0</v>
      </c>
      <c r="Y1293">
        <v>0.61787999999999998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138</v>
      </c>
      <c r="AF1293">
        <v>42</v>
      </c>
      <c r="AG1293">
        <v>2</v>
      </c>
      <c r="AH1293">
        <v>0</v>
      </c>
      <c r="AI1293">
        <v>5.6000000000000001E-2</v>
      </c>
      <c r="AK1293" t="s">
        <v>272</v>
      </c>
      <c r="AM1293">
        <v>200000</v>
      </c>
      <c r="AN1293" t="s">
        <v>73</v>
      </c>
      <c r="AO1293">
        <v>1</v>
      </c>
      <c r="AP1293">
        <v>0</v>
      </c>
      <c r="AQ1293">
        <v>16666.666666666668</v>
      </c>
      <c r="AR1293" t="s">
        <v>9</v>
      </c>
      <c r="AS1293" t="s">
        <v>75</v>
      </c>
      <c r="AX1293" t="s">
        <v>76</v>
      </c>
      <c r="AY1293" t="s">
        <v>71</v>
      </c>
      <c r="AZ1293">
        <v>0</v>
      </c>
      <c r="BA1293" t="s">
        <v>71</v>
      </c>
      <c r="BB1293">
        <v>0</v>
      </c>
      <c r="BD1293">
        <v>0.61787999999999998</v>
      </c>
    </row>
    <row r="1294" spans="1:56" x14ac:dyDescent="0.15">
      <c r="A1294" s="4" t="str">
        <f>HYPERLINK("https://ibp.a2mac1.com/costing(costing:projects/details/9760/part/8413291)","Busbar 5")</f>
        <v>Busbar 5</v>
      </c>
      <c r="B1294">
        <v>8413291</v>
      </c>
      <c r="C1294">
        <v>8413192</v>
      </c>
      <c r="D1294" t="s">
        <v>2772</v>
      </c>
      <c r="E1294">
        <v>1.45173</v>
      </c>
      <c r="F1294">
        <v>0</v>
      </c>
      <c r="G1294">
        <v>0</v>
      </c>
      <c r="H1294">
        <v>0</v>
      </c>
      <c r="I1294" t="s">
        <v>71</v>
      </c>
      <c r="J1294">
        <v>0</v>
      </c>
      <c r="K1294">
        <v>1.45173</v>
      </c>
      <c r="L1294">
        <v>0</v>
      </c>
      <c r="M1294">
        <v>0</v>
      </c>
      <c r="N1294">
        <v>1.45173</v>
      </c>
      <c r="O1294" t="s">
        <v>71</v>
      </c>
      <c r="P1294">
        <v>0</v>
      </c>
      <c r="Q1294" t="s">
        <v>71</v>
      </c>
      <c r="R1294">
        <v>0</v>
      </c>
      <c r="S1294" t="s">
        <v>71</v>
      </c>
      <c r="T1294">
        <v>0</v>
      </c>
      <c r="U1294" t="s">
        <v>71</v>
      </c>
      <c r="V1294">
        <v>0</v>
      </c>
      <c r="W1294" t="s">
        <v>71</v>
      </c>
      <c r="X1294">
        <v>0</v>
      </c>
      <c r="Y1294">
        <v>1.45173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138</v>
      </c>
      <c r="AF1294">
        <v>54</v>
      </c>
      <c r="AG1294">
        <v>15</v>
      </c>
      <c r="AH1294">
        <v>0</v>
      </c>
      <c r="AI1294">
        <v>0.14299999999999999</v>
      </c>
      <c r="AK1294" t="s">
        <v>272</v>
      </c>
      <c r="AM1294">
        <v>200000</v>
      </c>
      <c r="AN1294" t="s">
        <v>73</v>
      </c>
      <c r="AO1294">
        <v>1</v>
      </c>
      <c r="AP1294">
        <v>0</v>
      </c>
      <c r="AQ1294">
        <v>16666.666666666668</v>
      </c>
      <c r="AR1294" t="s">
        <v>9</v>
      </c>
      <c r="AS1294" t="s">
        <v>75</v>
      </c>
      <c r="AX1294" t="s">
        <v>76</v>
      </c>
      <c r="AY1294" t="s">
        <v>71</v>
      </c>
      <c r="AZ1294">
        <v>0</v>
      </c>
      <c r="BA1294" t="s">
        <v>71</v>
      </c>
      <c r="BB1294">
        <v>0</v>
      </c>
      <c r="BD1294">
        <v>1.45173</v>
      </c>
    </row>
    <row r="1295" spans="1:56" x14ac:dyDescent="0.15">
      <c r="A1295" s="4" t="str">
        <f>HYPERLINK("https://ibp.a2mac1.com/costing(costing:projects/details/9760/part/8413292)","Busbar 6")</f>
        <v>Busbar 6</v>
      </c>
      <c r="B1295">
        <v>8413292</v>
      </c>
      <c r="C1295">
        <v>8413192</v>
      </c>
      <c r="D1295" t="s">
        <v>2772</v>
      </c>
      <c r="E1295">
        <v>0.56037999999999999</v>
      </c>
      <c r="F1295">
        <v>0</v>
      </c>
      <c r="G1295">
        <v>0</v>
      </c>
      <c r="H1295">
        <v>0</v>
      </c>
      <c r="I1295" t="s">
        <v>71</v>
      </c>
      <c r="J1295">
        <v>0</v>
      </c>
      <c r="K1295">
        <v>0.56037999999999999</v>
      </c>
      <c r="L1295">
        <v>0</v>
      </c>
      <c r="M1295">
        <v>0</v>
      </c>
      <c r="N1295">
        <v>0.56037999999999999</v>
      </c>
      <c r="O1295" t="s">
        <v>71</v>
      </c>
      <c r="P1295">
        <v>0</v>
      </c>
      <c r="Q1295" t="s">
        <v>71</v>
      </c>
      <c r="R1295">
        <v>0</v>
      </c>
      <c r="S1295" t="s">
        <v>71</v>
      </c>
      <c r="T1295">
        <v>0</v>
      </c>
      <c r="U1295" t="s">
        <v>71</v>
      </c>
      <c r="V1295">
        <v>0</v>
      </c>
      <c r="W1295" t="s">
        <v>71</v>
      </c>
      <c r="X1295">
        <v>0</v>
      </c>
      <c r="Y1295">
        <v>0.56037999999999999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96</v>
      </c>
      <c r="AF1295">
        <v>24</v>
      </c>
      <c r="AG1295">
        <v>28</v>
      </c>
      <c r="AH1295">
        <v>0</v>
      </c>
      <c r="AI1295">
        <v>0.05</v>
      </c>
      <c r="AK1295" t="s">
        <v>272</v>
      </c>
      <c r="AM1295">
        <v>200000</v>
      </c>
      <c r="AN1295" t="s">
        <v>73</v>
      </c>
      <c r="AO1295">
        <v>1</v>
      </c>
      <c r="AP1295">
        <v>0</v>
      </c>
      <c r="AQ1295">
        <v>16666.666666666668</v>
      </c>
      <c r="AR1295" t="s">
        <v>9</v>
      </c>
      <c r="AS1295" t="s">
        <v>75</v>
      </c>
      <c r="AX1295" t="s">
        <v>76</v>
      </c>
      <c r="AY1295" t="s">
        <v>71</v>
      </c>
      <c r="AZ1295">
        <v>0</v>
      </c>
      <c r="BA1295" t="s">
        <v>71</v>
      </c>
      <c r="BB1295">
        <v>0</v>
      </c>
      <c r="BD1295">
        <v>0.56037999999999999</v>
      </c>
    </row>
    <row r="1296" spans="1:56" x14ac:dyDescent="0.15">
      <c r="A1296" s="4" t="str">
        <f>HYPERLINK("https://ibp.a2mac1.com/costing(costing:projects/details/9760/part/8413293)","Busbar 7")</f>
        <v>Busbar 7</v>
      </c>
      <c r="B1296">
        <v>8413293</v>
      </c>
      <c r="C1296">
        <v>8413192</v>
      </c>
      <c r="D1296" t="s">
        <v>2772</v>
      </c>
      <c r="E1296">
        <v>0.42619000000000001</v>
      </c>
      <c r="F1296">
        <v>0</v>
      </c>
      <c r="G1296">
        <v>0</v>
      </c>
      <c r="H1296">
        <v>0</v>
      </c>
      <c r="I1296" t="s">
        <v>71</v>
      </c>
      <c r="J1296">
        <v>0</v>
      </c>
      <c r="K1296">
        <v>0.42619000000000001</v>
      </c>
      <c r="L1296">
        <v>0</v>
      </c>
      <c r="M1296">
        <v>0</v>
      </c>
      <c r="N1296">
        <v>0.42619000000000001</v>
      </c>
      <c r="O1296" t="s">
        <v>71</v>
      </c>
      <c r="P1296">
        <v>0</v>
      </c>
      <c r="Q1296" t="s">
        <v>71</v>
      </c>
      <c r="R1296">
        <v>0</v>
      </c>
      <c r="S1296" t="s">
        <v>71</v>
      </c>
      <c r="T1296">
        <v>0</v>
      </c>
      <c r="U1296" t="s">
        <v>71</v>
      </c>
      <c r="V1296">
        <v>0</v>
      </c>
      <c r="W1296" t="s">
        <v>71</v>
      </c>
      <c r="X1296">
        <v>0</v>
      </c>
      <c r="Y1296">
        <v>0.42619000000000001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42</v>
      </c>
      <c r="AF1296">
        <v>38</v>
      </c>
      <c r="AG1296">
        <v>12</v>
      </c>
      <c r="AH1296">
        <v>0</v>
      </c>
      <c r="AI1296">
        <v>3.5999999999999997E-2</v>
      </c>
      <c r="AK1296" t="s">
        <v>272</v>
      </c>
      <c r="AM1296">
        <v>200000</v>
      </c>
      <c r="AN1296" t="s">
        <v>73</v>
      </c>
      <c r="AO1296">
        <v>1</v>
      </c>
      <c r="AP1296">
        <v>0</v>
      </c>
      <c r="AQ1296">
        <v>16666.666666666668</v>
      </c>
      <c r="AR1296" t="s">
        <v>9</v>
      </c>
      <c r="AS1296" t="s">
        <v>75</v>
      </c>
      <c r="AX1296" t="s">
        <v>76</v>
      </c>
      <c r="AY1296" t="s">
        <v>71</v>
      </c>
      <c r="AZ1296">
        <v>0</v>
      </c>
      <c r="BA1296" t="s">
        <v>71</v>
      </c>
      <c r="BB1296">
        <v>0</v>
      </c>
      <c r="BD1296">
        <v>0.42619000000000001</v>
      </c>
    </row>
    <row r="1297" spans="1:56" x14ac:dyDescent="0.15">
      <c r="A1297" s="4" t="str">
        <f>HYPERLINK("https://ibp.a2mac1.com/costing(costing:projects/details/9760/part/8413294)","Busbar 8")</f>
        <v>Busbar 8</v>
      </c>
      <c r="B1297">
        <v>8413294</v>
      </c>
      <c r="C1297">
        <v>8413192</v>
      </c>
      <c r="D1297" t="s">
        <v>2772</v>
      </c>
      <c r="E1297">
        <v>0.66579999999999995</v>
      </c>
      <c r="F1297">
        <v>0</v>
      </c>
      <c r="G1297">
        <v>0</v>
      </c>
      <c r="H1297">
        <v>0</v>
      </c>
      <c r="I1297" t="s">
        <v>71</v>
      </c>
      <c r="J1297">
        <v>0</v>
      </c>
      <c r="K1297">
        <v>0.66579999999999995</v>
      </c>
      <c r="L1297">
        <v>0</v>
      </c>
      <c r="M1297">
        <v>0</v>
      </c>
      <c r="N1297">
        <v>0.66579999999999995</v>
      </c>
      <c r="O1297" t="s">
        <v>71</v>
      </c>
      <c r="P1297">
        <v>0</v>
      </c>
      <c r="Q1297" t="s">
        <v>71</v>
      </c>
      <c r="R1297">
        <v>0</v>
      </c>
      <c r="S1297" t="s">
        <v>71</v>
      </c>
      <c r="T1297">
        <v>0</v>
      </c>
      <c r="U1297" t="s">
        <v>71</v>
      </c>
      <c r="V1297">
        <v>0</v>
      </c>
      <c r="W1297" t="s">
        <v>71</v>
      </c>
      <c r="X1297">
        <v>0</v>
      </c>
      <c r="Y1297">
        <v>0.66579999999999995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76</v>
      </c>
      <c r="AF1297">
        <v>62</v>
      </c>
      <c r="AG1297">
        <v>22</v>
      </c>
      <c r="AH1297">
        <v>0</v>
      </c>
      <c r="AI1297">
        <v>6.0999999999999999E-2</v>
      </c>
      <c r="AK1297" t="s">
        <v>272</v>
      </c>
      <c r="AM1297">
        <v>200000</v>
      </c>
      <c r="AN1297" t="s">
        <v>73</v>
      </c>
      <c r="AO1297">
        <v>1</v>
      </c>
      <c r="AP1297">
        <v>0</v>
      </c>
      <c r="AQ1297">
        <v>16666.666666666668</v>
      </c>
      <c r="AR1297" t="s">
        <v>9</v>
      </c>
      <c r="AS1297" t="s">
        <v>75</v>
      </c>
      <c r="AX1297" t="s">
        <v>76</v>
      </c>
      <c r="AY1297" t="s">
        <v>71</v>
      </c>
      <c r="AZ1297">
        <v>0</v>
      </c>
      <c r="BA1297" t="s">
        <v>71</v>
      </c>
      <c r="BB1297">
        <v>0</v>
      </c>
      <c r="BD1297">
        <v>0.66579999999999995</v>
      </c>
    </row>
    <row r="1298" spans="1:56" x14ac:dyDescent="0.15">
      <c r="A1298" s="4" t="str">
        <f>HYPERLINK("https://ibp.a2mac1.com/costing(costing:projects/details/9760/part/8413295)","Busbar 9")</f>
        <v>Busbar 9</v>
      </c>
      <c r="B1298">
        <v>8413295</v>
      </c>
      <c r="C1298">
        <v>8413192</v>
      </c>
      <c r="D1298" t="s">
        <v>2772</v>
      </c>
      <c r="E1298">
        <v>1.0396000000000001</v>
      </c>
      <c r="F1298">
        <v>0</v>
      </c>
      <c r="G1298">
        <v>0</v>
      </c>
      <c r="H1298">
        <v>0</v>
      </c>
      <c r="I1298" t="s">
        <v>71</v>
      </c>
      <c r="J1298">
        <v>0</v>
      </c>
      <c r="K1298">
        <v>1.0396000000000001</v>
      </c>
      <c r="L1298">
        <v>0</v>
      </c>
      <c r="M1298">
        <v>0</v>
      </c>
      <c r="N1298">
        <v>1.0396000000000001</v>
      </c>
      <c r="O1298" t="s">
        <v>71</v>
      </c>
      <c r="P1298">
        <v>0</v>
      </c>
      <c r="Q1298" t="s">
        <v>71</v>
      </c>
      <c r="R1298">
        <v>0</v>
      </c>
      <c r="S1298" t="s">
        <v>71</v>
      </c>
      <c r="T1298">
        <v>0</v>
      </c>
      <c r="U1298" t="s">
        <v>71</v>
      </c>
      <c r="V1298">
        <v>0</v>
      </c>
      <c r="W1298" t="s">
        <v>71</v>
      </c>
      <c r="X1298">
        <v>0</v>
      </c>
      <c r="Y1298">
        <v>1.0396000000000001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106</v>
      </c>
      <c r="AF1298">
        <v>53</v>
      </c>
      <c r="AG1298">
        <v>41</v>
      </c>
      <c r="AH1298">
        <v>0</v>
      </c>
      <c r="AI1298">
        <v>0.1</v>
      </c>
      <c r="AK1298" t="s">
        <v>272</v>
      </c>
      <c r="AM1298">
        <v>200000</v>
      </c>
      <c r="AN1298" t="s">
        <v>73</v>
      </c>
      <c r="AO1298">
        <v>1</v>
      </c>
      <c r="AP1298">
        <v>0</v>
      </c>
      <c r="AQ1298">
        <v>16666.666666666668</v>
      </c>
      <c r="AR1298" t="s">
        <v>9</v>
      </c>
      <c r="AS1298" t="s">
        <v>75</v>
      </c>
      <c r="AX1298" t="s">
        <v>76</v>
      </c>
      <c r="AY1298" t="s">
        <v>71</v>
      </c>
      <c r="AZ1298">
        <v>0</v>
      </c>
      <c r="BA1298" t="s">
        <v>71</v>
      </c>
      <c r="BB1298">
        <v>0</v>
      </c>
      <c r="BD1298">
        <v>1.0396000000000001</v>
      </c>
    </row>
    <row r="1299" spans="1:56" x14ac:dyDescent="0.15">
      <c r="A1299" s="4" t="str">
        <f>HYPERLINK("https://ibp.a2mac1.com/costing(costing:projects/details/9760/part/8413296)","Busbar 10")</f>
        <v>Busbar 10</v>
      </c>
      <c r="B1299">
        <v>8413296</v>
      </c>
      <c r="C1299">
        <v>8413192</v>
      </c>
      <c r="D1299" t="s">
        <v>2772</v>
      </c>
      <c r="E1299">
        <v>0.76165000000000005</v>
      </c>
      <c r="F1299">
        <v>0</v>
      </c>
      <c r="G1299">
        <v>0</v>
      </c>
      <c r="H1299">
        <v>0</v>
      </c>
      <c r="I1299" t="s">
        <v>71</v>
      </c>
      <c r="J1299">
        <v>0</v>
      </c>
      <c r="K1299">
        <v>0.76165000000000005</v>
      </c>
      <c r="L1299">
        <v>0</v>
      </c>
      <c r="M1299">
        <v>0</v>
      </c>
      <c r="N1299">
        <v>0.76165000000000005</v>
      </c>
      <c r="O1299" t="s">
        <v>71</v>
      </c>
      <c r="P1299">
        <v>0</v>
      </c>
      <c r="Q1299" t="s">
        <v>71</v>
      </c>
      <c r="R1299">
        <v>0</v>
      </c>
      <c r="S1299" t="s">
        <v>71</v>
      </c>
      <c r="T1299">
        <v>0</v>
      </c>
      <c r="U1299" t="s">
        <v>71</v>
      </c>
      <c r="V1299">
        <v>0</v>
      </c>
      <c r="W1299" t="s">
        <v>71</v>
      </c>
      <c r="X1299">
        <v>0</v>
      </c>
      <c r="Y1299">
        <v>0.76165000000000005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88</v>
      </c>
      <c r="AF1299">
        <v>70</v>
      </c>
      <c r="AG1299">
        <v>23</v>
      </c>
      <c r="AH1299">
        <v>0</v>
      </c>
      <c r="AI1299">
        <v>7.0999999999999994E-2</v>
      </c>
      <c r="AK1299" t="s">
        <v>272</v>
      </c>
      <c r="AM1299">
        <v>200000</v>
      </c>
      <c r="AN1299" t="s">
        <v>73</v>
      </c>
      <c r="AO1299">
        <v>1</v>
      </c>
      <c r="AP1299">
        <v>0</v>
      </c>
      <c r="AQ1299">
        <v>16666.666666666668</v>
      </c>
      <c r="AR1299" t="s">
        <v>9</v>
      </c>
      <c r="AS1299" t="s">
        <v>75</v>
      </c>
      <c r="AX1299" t="s">
        <v>76</v>
      </c>
      <c r="AY1299" t="s">
        <v>71</v>
      </c>
      <c r="AZ1299">
        <v>0</v>
      </c>
      <c r="BA1299" t="s">
        <v>71</v>
      </c>
      <c r="BB1299">
        <v>0</v>
      </c>
      <c r="BD1299">
        <v>0.76165000000000005</v>
      </c>
    </row>
    <row r="1300" spans="1:56" x14ac:dyDescent="0.15">
      <c r="A1300" s="4" t="str">
        <f>HYPERLINK("https://ibp.a2mac1.com/costing(costing:projects/details/9760/part/8413297)","Busbar 11")</f>
        <v>Busbar 11</v>
      </c>
      <c r="B1300">
        <v>8413297</v>
      </c>
      <c r="C1300">
        <v>8413192</v>
      </c>
      <c r="D1300" t="s">
        <v>2772</v>
      </c>
      <c r="E1300">
        <v>0.60829999999999995</v>
      </c>
      <c r="F1300">
        <v>0</v>
      </c>
      <c r="G1300">
        <v>0</v>
      </c>
      <c r="H1300">
        <v>0</v>
      </c>
      <c r="I1300" t="s">
        <v>71</v>
      </c>
      <c r="J1300">
        <v>0</v>
      </c>
      <c r="K1300">
        <v>0.60829999999999995</v>
      </c>
      <c r="L1300">
        <v>0</v>
      </c>
      <c r="M1300">
        <v>0</v>
      </c>
      <c r="N1300">
        <v>0.60829999999999995</v>
      </c>
      <c r="O1300" t="s">
        <v>71</v>
      </c>
      <c r="P1300">
        <v>0</v>
      </c>
      <c r="Q1300" t="s">
        <v>71</v>
      </c>
      <c r="R1300">
        <v>0</v>
      </c>
      <c r="S1300" t="s">
        <v>71</v>
      </c>
      <c r="T1300">
        <v>0</v>
      </c>
      <c r="U1300" t="s">
        <v>71</v>
      </c>
      <c r="V1300">
        <v>0</v>
      </c>
      <c r="W1300" t="s">
        <v>71</v>
      </c>
      <c r="X1300">
        <v>0</v>
      </c>
      <c r="Y1300">
        <v>0.60829999999999995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46</v>
      </c>
      <c r="AF1300">
        <v>82</v>
      </c>
      <c r="AG1300">
        <v>41</v>
      </c>
      <c r="AH1300">
        <v>0</v>
      </c>
      <c r="AI1300">
        <v>5.5E-2</v>
      </c>
      <c r="AK1300" t="s">
        <v>272</v>
      </c>
      <c r="AM1300">
        <v>200000</v>
      </c>
      <c r="AN1300" t="s">
        <v>73</v>
      </c>
      <c r="AO1300">
        <v>1</v>
      </c>
      <c r="AP1300">
        <v>0</v>
      </c>
      <c r="AQ1300">
        <v>16666.666666666668</v>
      </c>
      <c r="AR1300" t="s">
        <v>9</v>
      </c>
      <c r="AS1300" t="s">
        <v>75</v>
      </c>
      <c r="AX1300" t="s">
        <v>76</v>
      </c>
      <c r="AY1300" t="s">
        <v>71</v>
      </c>
      <c r="AZ1300">
        <v>0</v>
      </c>
      <c r="BA1300" t="s">
        <v>71</v>
      </c>
      <c r="BB1300">
        <v>0</v>
      </c>
      <c r="BD1300">
        <v>0.60829999999999995</v>
      </c>
    </row>
    <row r="1301" spans="1:56" x14ac:dyDescent="0.15">
      <c r="A1301" s="4" t="str">
        <f>HYPERLINK("https://ibp.a2mac1.com/costing(costing:projects/details/9760/part/8413298)","Busbar 12")</f>
        <v>Busbar 12</v>
      </c>
      <c r="B1301">
        <v>8413298</v>
      </c>
      <c r="C1301">
        <v>8413192</v>
      </c>
      <c r="D1301" t="s">
        <v>2772</v>
      </c>
      <c r="E1301">
        <v>0.44025999999999998</v>
      </c>
      <c r="F1301">
        <v>0</v>
      </c>
      <c r="G1301">
        <v>0</v>
      </c>
      <c r="H1301">
        <v>0</v>
      </c>
      <c r="I1301" t="s">
        <v>71</v>
      </c>
      <c r="J1301">
        <v>0</v>
      </c>
      <c r="K1301">
        <v>0.44025999999999998</v>
      </c>
      <c r="L1301">
        <v>0</v>
      </c>
      <c r="M1301">
        <v>0</v>
      </c>
      <c r="N1301">
        <v>0.44025999999999998</v>
      </c>
      <c r="O1301" t="s">
        <v>71</v>
      </c>
      <c r="P1301">
        <v>0</v>
      </c>
      <c r="Q1301" t="s">
        <v>71</v>
      </c>
      <c r="R1301">
        <v>0</v>
      </c>
      <c r="S1301" t="s">
        <v>71</v>
      </c>
      <c r="T1301">
        <v>0</v>
      </c>
      <c r="U1301" t="s">
        <v>71</v>
      </c>
      <c r="V1301">
        <v>0</v>
      </c>
      <c r="W1301" t="s">
        <v>71</v>
      </c>
      <c r="X1301">
        <v>0</v>
      </c>
      <c r="Y1301">
        <v>0.44025999999999998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23</v>
      </c>
      <c r="AF1301">
        <v>20</v>
      </c>
      <c r="AG1301">
        <v>25</v>
      </c>
      <c r="AH1301">
        <v>0</v>
      </c>
      <c r="AI1301">
        <v>1.4500000000000001E-2</v>
      </c>
      <c r="AK1301" t="s">
        <v>272</v>
      </c>
      <c r="AM1301">
        <v>400000</v>
      </c>
      <c r="AN1301" t="s">
        <v>73</v>
      </c>
      <c r="AO1301">
        <v>2</v>
      </c>
      <c r="AP1301">
        <v>0</v>
      </c>
      <c r="AQ1301">
        <v>33333.333333333336</v>
      </c>
      <c r="AR1301" t="s">
        <v>9</v>
      </c>
      <c r="AS1301" t="s">
        <v>75</v>
      </c>
      <c r="AX1301" t="s">
        <v>76</v>
      </c>
      <c r="AY1301" t="s">
        <v>71</v>
      </c>
      <c r="AZ1301">
        <v>0</v>
      </c>
      <c r="BA1301" t="s">
        <v>71</v>
      </c>
      <c r="BB1301">
        <v>0</v>
      </c>
      <c r="BD1301">
        <v>0.22012999999999999</v>
      </c>
    </row>
    <row r="1302" spans="1:56" x14ac:dyDescent="0.15">
      <c r="A1302" s="4" t="str">
        <f>HYPERLINK("https://ibp.a2mac1.com/costing(costing:projects/details/9760/part/8413299)","Busbar 13")</f>
        <v>Busbar 13</v>
      </c>
      <c r="B1302">
        <v>8413299</v>
      </c>
      <c r="C1302">
        <v>8413192</v>
      </c>
      <c r="D1302" t="s">
        <v>2772</v>
      </c>
      <c r="E1302">
        <v>0.12908</v>
      </c>
      <c r="F1302">
        <v>0</v>
      </c>
      <c r="G1302">
        <v>0</v>
      </c>
      <c r="H1302">
        <v>0</v>
      </c>
      <c r="I1302" t="s">
        <v>71</v>
      </c>
      <c r="J1302">
        <v>0</v>
      </c>
      <c r="K1302">
        <v>0.12908</v>
      </c>
      <c r="L1302">
        <v>0</v>
      </c>
      <c r="M1302">
        <v>0</v>
      </c>
      <c r="N1302">
        <v>0.12908</v>
      </c>
      <c r="O1302" t="s">
        <v>71</v>
      </c>
      <c r="P1302">
        <v>0</v>
      </c>
      <c r="Q1302" t="s">
        <v>71</v>
      </c>
      <c r="R1302">
        <v>0</v>
      </c>
      <c r="S1302" t="s">
        <v>71</v>
      </c>
      <c r="T1302">
        <v>0</v>
      </c>
      <c r="U1302" t="s">
        <v>71</v>
      </c>
      <c r="V1302">
        <v>0</v>
      </c>
      <c r="W1302" t="s">
        <v>71</v>
      </c>
      <c r="X1302">
        <v>0</v>
      </c>
      <c r="Y1302">
        <v>0.12908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14</v>
      </c>
      <c r="AF1302">
        <v>20</v>
      </c>
      <c r="AG1302">
        <v>45</v>
      </c>
      <c r="AH1302">
        <v>0</v>
      </c>
      <c r="AI1302">
        <v>5.0000000000000001E-3</v>
      </c>
      <c r="AK1302" t="s">
        <v>272</v>
      </c>
      <c r="AM1302">
        <v>200000</v>
      </c>
      <c r="AN1302" t="s">
        <v>73</v>
      </c>
      <c r="AO1302">
        <v>1</v>
      </c>
      <c r="AP1302">
        <v>0</v>
      </c>
      <c r="AQ1302">
        <v>16666.666666666668</v>
      </c>
      <c r="AR1302" t="s">
        <v>9</v>
      </c>
      <c r="AS1302" t="s">
        <v>75</v>
      </c>
      <c r="AX1302" t="s">
        <v>76</v>
      </c>
      <c r="AY1302" t="s">
        <v>71</v>
      </c>
      <c r="AZ1302">
        <v>0</v>
      </c>
      <c r="BA1302" t="s">
        <v>71</v>
      </c>
      <c r="BB1302">
        <v>0</v>
      </c>
      <c r="BD1302">
        <v>0.12908</v>
      </c>
    </row>
    <row r="1303" spans="1:56" x14ac:dyDescent="0.15">
      <c r="A1303" s="4" t="str">
        <f>HYPERLINK("https://ibp.a2mac1.com/costing(costing:projects/details/9760/part/8413300)","Busbar 14")</f>
        <v>Busbar 14</v>
      </c>
      <c r="B1303">
        <v>8413300</v>
      </c>
      <c r="C1303">
        <v>8413192</v>
      </c>
      <c r="D1303" t="s">
        <v>2772</v>
      </c>
      <c r="E1303">
        <v>0.49328</v>
      </c>
      <c r="F1303">
        <v>0</v>
      </c>
      <c r="G1303">
        <v>0</v>
      </c>
      <c r="H1303">
        <v>0</v>
      </c>
      <c r="I1303" t="s">
        <v>71</v>
      </c>
      <c r="J1303">
        <v>0</v>
      </c>
      <c r="K1303">
        <v>0.49328</v>
      </c>
      <c r="L1303">
        <v>0</v>
      </c>
      <c r="M1303">
        <v>0</v>
      </c>
      <c r="N1303">
        <v>0.49328</v>
      </c>
      <c r="O1303" t="s">
        <v>71</v>
      </c>
      <c r="P1303">
        <v>0</v>
      </c>
      <c r="Q1303" t="s">
        <v>71</v>
      </c>
      <c r="R1303">
        <v>0</v>
      </c>
      <c r="S1303" t="s">
        <v>71</v>
      </c>
      <c r="T1303">
        <v>0</v>
      </c>
      <c r="U1303" t="s">
        <v>71</v>
      </c>
      <c r="V1303">
        <v>0</v>
      </c>
      <c r="W1303" t="s">
        <v>71</v>
      </c>
      <c r="X1303">
        <v>0</v>
      </c>
      <c r="Y1303">
        <v>0.49328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23</v>
      </c>
      <c r="AF1303">
        <v>38</v>
      </c>
      <c r="AG1303">
        <v>41</v>
      </c>
      <c r="AH1303">
        <v>0</v>
      </c>
      <c r="AI1303">
        <v>4.2999999999999997E-2</v>
      </c>
      <c r="AK1303" t="s">
        <v>272</v>
      </c>
      <c r="AM1303">
        <v>200000</v>
      </c>
      <c r="AN1303" t="s">
        <v>73</v>
      </c>
      <c r="AO1303">
        <v>1</v>
      </c>
      <c r="AP1303">
        <v>0</v>
      </c>
      <c r="AQ1303">
        <v>16666.666666666668</v>
      </c>
      <c r="AR1303" t="s">
        <v>9</v>
      </c>
      <c r="AS1303" t="s">
        <v>75</v>
      </c>
      <c r="AX1303" t="s">
        <v>76</v>
      </c>
      <c r="AY1303" t="s">
        <v>71</v>
      </c>
      <c r="AZ1303">
        <v>0</v>
      </c>
      <c r="BA1303" t="s">
        <v>71</v>
      </c>
      <c r="BB1303">
        <v>0</v>
      </c>
      <c r="BD1303">
        <v>0.49328</v>
      </c>
    </row>
    <row r="1304" spans="1:56" x14ac:dyDescent="0.15">
      <c r="A1304" s="4" t="str">
        <f>HYPERLINK("https://ibp.a2mac1.com/costing(costing:projects/details/9760/part/8413301)","Busbar 15")</f>
        <v>Busbar 15</v>
      </c>
      <c r="B1304">
        <v>8413301</v>
      </c>
      <c r="C1304">
        <v>8413192</v>
      </c>
      <c r="D1304" t="s">
        <v>2772</v>
      </c>
      <c r="E1304">
        <v>1.5808</v>
      </c>
      <c r="F1304">
        <v>0</v>
      </c>
      <c r="G1304">
        <v>0</v>
      </c>
      <c r="H1304">
        <v>0</v>
      </c>
      <c r="I1304" t="s">
        <v>71</v>
      </c>
      <c r="J1304">
        <v>0</v>
      </c>
      <c r="K1304">
        <v>1.5808</v>
      </c>
      <c r="L1304">
        <v>0</v>
      </c>
      <c r="M1304">
        <v>0</v>
      </c>
      <c r="N1304">
        <v>1.5808</v>
      </c>
      <c r="O1304" t="s">
        <v>71</v>
      </c>
      <c r="P1304">
        <v>0</v>
      </c>
      <c r="Q1304" t="s">
        <v>71</v>
      </c>
      <c r="R1304">
        <v>0</v>
      </c>
      <c r="S1304" t="s">
        <v>71</v>
      </c>
      <c r="T1304">
        <v>0</v>
      </c>
      <c r="U1304" t="s">
        <v>71</v>
      </c>
      <c r="V1304">
        <v>0</v>
      </c>
      <c r="W1304" t="s">
        <v>71</v>
      </c>
      <c r="X1304">
        <v>0</v>
      </c>
      <c r="Y1304">
        <v>1.5808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27</v>
      </c>
      <c r="AF1304">
        <v>181</v>
      </c>
      <c r="AG1304">
        <v>25</v>
      </c>
      <c r="AH1304">
        <v>0</v>
      </c>
      <c r="AI1304">
        <v>7.3999999999999996E-2</v>
      </c>
      <c r="AK1304" t="s">
        <v>272</v>
      </c>
      <c r="AM1304">
        <v>400000</v>
      </c>
      <c r="AN1304" t="s">
        <v>73</v>
      </c>
      <c r="AO1304">
        <v>2</v>
      </c>
      <c r="AP1304">
        <v>0</v>
      </c>
      <c r="AQ1304">
        <v>33333.333333333336</v>
      </c>
      <c r="AR1304" t="s">
        <v>9</v>
      </c>
      <c r="AS1304" t="s">
        <v>75</v>
      </c>
      <c r="AX1304" t="s">
        <v>76</v>
      </c>
      <c r="AY1304" t="s">
        <v>71</v>
      </c>
      <c r="AZ1304">
        <v>0</v>
      </c>
      <c r="BA1304" t="s">
        <v>71</v>
      </c>
      <c r="BB1304">
        <v>0</v>
      </c>
      <c r="BD1304">
        <v>0.79039999999999999</v>
      </c>
    </row>
    <row r="1305" spans="1:56" x14ac:dyDescent="0.15">
      <c r="A1305" s="4" t="str">
        <f>HYPERLINK("https://ibp.a2mac1.com/costing(costing:projects/details/9760/part/8413302)","Busbar 16")</f>
        <v>Busbar 16</v>
      </c>
      <c r="B1305">
        <v>8413302</v>
      </c>
      <c r="C1305">
        <v>8413192</v>
      </c>
      <c r="D1305" t="s">
        <v>2772</v>
      </c>
      <c r="E1305">
        <v>0.23898</v>
      </c>
      <c r="F1305">
        <v>0</v>
      </c>
      <c r="G1305">
        <v>0</v>
      </c>
      <c r="H1305">
        <v>0</v>
      </c>
      <c r="I1305" t="s">
        <v>71</v>
      </c>
      <c r="J1305">
        <v>0</v>
      </c>
      <c r="K1305">
        <v>0.23898</v>
      </c>
      <c r="L1305">
        <v>0</v>
      </c>
      <c r="M1305">
        <v>0</v>
      </c>
      <c r="N1305">
        <v>0.23898</v>
      </c>
      <c r="O1305" t="s">
        <v>71</v>
      </c>
      <c r="P1305">
        <v>0</v>
      </c>
      <c r="Q1305" t="s">
        <v>71</v>
      </c>
      <c r="R1305">
        <v>0</v>
      </c>
      <c r="S1305" t="s">
        <v>71</v>
      </c>
      <c r="T1305">
        <v>0</v>
      </c>
      <c r="U1305" t="s">
        <v>71</v>
      </c>
      <c r="V1305">
        <v>0</v>
      </c>
      <c r="W1305" t="s">
        <v>71</v>
      </c>
      <c r="X1305">
        <v>0</v>
      </c>
      <c r="Y1305">
        <v>0.23898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21</v>
      </c>
      <c r="AF1305">
        <v>20</v>
      </c>
      <c r="AG1305">
        <v>16</v>
      </c>
      <c r="AH1305">
        <v>0</v>
      </c>
      <c r="AI1305">
        <v>4.0000000000000001E-3</v>
      </c>
      <c r="AK1305" t="s">
        <v>272</v>
      </c>
      <c r="AM1305">
        <v>400000</v>
      </c>
      <c r="AN1305" t="s">
        <v>73</v>
      </c>
      <c r="AO1305">
        <v>2</v>
      </c>
      <c r="AP1305">
        <v>0</v>
      </c>
      <c r="AQ1305">
        <v>33333.333333333336</v>
      </c>
      <c r="AR1305" t="s">
        <v>9</v>
      </c>
      <c r="AS1305" t="s">
        <v>75</v>
      </c>
      <c r="AX1305" t="s">
        <v>76</v>
      </c>
      <c r="AY1305" t="s">
        <v>71</v>
      </c>
      <c r="AZ1305">
        <v>0</v>
      </c>
      <c r="BA1305" t="s">
        <v>71</v>
      </c>
      <c r="BB1305">
        <v>0</v>
      </c>
      <c r="BD1305">
        <v>0.11949</v>
      </c>
    </row>
    <row r="1306" spans="1:56" x14ac:dyDescent="0.15">
      <c r="A1306" s="4" t="str">
        <f>HYPERLINK("https://ibp.a2mac1.com/costing(costing:projects/details/9760/part/8413303)","Busbar 17")</f>
        <v>Busbar 17</v>
      </c>
      <c r="B1306">
        <v>8413303</v>
      </c>
      <c r="C1306">
        <v>8413192</v>
      </c>
      <c r="D1306" t="s">
        <v>2772</v>
      </c>
      <c r="E1306">
        <v>0.10990999999999999</v>
      </c>
      <c r="F1306">
        <v>0</v>
      </c>
      <c r="G1306">
        <v>0</v>
      </c>
      <c r="H1306">
        <v>0</v>
      </c>
      <c r="I1306" t="s">
        <v>71</v>
      </c>
      <c r="J1306">
        <v>0</v>
      </c>
      <c r="K1306">
        <v>0.10990999999999999</v>
      </c>
      <c r="L1306">
        <v>0</v>
      </c>
      <c r="M1306">
        <v>0</v>
      </c>
      <c r="N1306">
        <v>0.10990999999999999</v>
      </c>
      <c r="O1306" t="s">
        <v>71</v>
      </c>
      <c r="P1306">
        <v>0</v>
      </c>
      <c r="Q1306" t="s">
        <v>71</v>
      </c>
      <c r="R1306">
        <v>0</v>
      </c>
      <c r="S1306" t="s">
        <v>71</v>
      </c>
      <c r="T1306">
        <v>0</v>
      </c>
      <c r="U1306" t="s">
        <v>71</v>
      </c>
      <c r="V1306">
        <v>0</v>
      </c>
      <c r="W1306" t="s">
        <v>71</v>
      </c>
      <c r="X1306">
        <v>0</v>
      </c>
      <c r="Y1306">
        <v>0.10990999999999999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18</v>
      </c>
      <c r="AF1306">
        <v>20</v>
      </c>
      <c r="AG1306">
        <v>17</v>
      </c>
      <c r="AH1306">
        <v>0</v>
      </c>
      <c r="AI1306">
        <v>3.0000000000000001E-3</v>
      </c>
      <c r="AK1306" t="s">
        <v>272</v>
      </c>
      <c r="AM1306">
        <v>200000</v>
      </c>
      <c r="AN1306" t="s">
        <v>73</v>
      </c>
      <c r="AO1306">
        <v>1</v>
      </c>
      <c r="AP1306">
        <v>0</v>
      </c>
      <c r="AQ1306">
        <v>16666.666666666668</v>
      </c>
      <c r="AR1306" t="s">
        <v>9</v>
      </c>
      <c r="AS1306" t="s">
        <v>75</v>
      </c>
      <c r="AX1306" t="s">
        <v>76</v>
      </c>
      <c r="AY1306" t="s">
        <v>71</v>
      </c>
      <c r="AZ1306">
        <v>0</v>
      </c>
      <c r="BA1306" t="s">
        <v>71</v>
      </c>
      <c r="BB1306">
        <v>0</v>
      </c>
      <c r="BD1306">
        <v>0.10990999999999999</v>
      </c>
    </row>
    <row r="1307" spans="1:56" x14ac:dyDescent="0.15">
      <c r="A1307" s="4" t="str">
        <f>HYPERLINK("https://ibp.a2mac1.com/costing(costing:projects/details/9760/part/8413304)","Busbar 18")</f>
        <v>Busbar 18</v>
      </c>
      <c r="B1307">
        <v>8413304</v>
      </c>
      <c r="C1307">
        <v>8413192</v>
      </c>
      <c r="D1307" t="s">
        <v>2772</v>
      </c>
      <c r="E1307">
        <v>0.10032000000000001</v>
      </c>
      <c r="F1307">
        <v>0</v>
      </c>
      <c r="G1307">
        <v>0</v>
      </c>
      <c r="H1307">
        <v>0</v>
      </c>
      <c r="I1307" t="s">
        <v>71</v>
      </c>
      <c r="J1307">
        <v>0</v>
      </c>
      <c r="K1307">
        <v>0.10032000000000001</v>
      </c>
      <c r="L1307">
        <v>0</v>
      </c>
      <c r="M1307">
        <v>0</v>
      </c>
      <c r="N1307">
        <v>0.10032000000000001</v>
      </c>
      <c r="O1307" t="s">
        <v>71</v>
      </c>
      <c r="P1307">
        <v>0</v>
      </c>
      <c r="Q1307" t="s">
        <v>71</v>
      </c>
      <c r="R1307">
        <v>0</v>
      </c>
      <c r="S1307" t="s">
        <v>71</v>
      </c>
      <c r="T1307">
        <v>0</v>
      </c>
      <c r="U1307" t="s">
        <v>71</v>
      </c>
      <c r="V1307">
        <v>0</v>
      </c>
      <c r="W1307" t="s">
        <v>71</v>
      </c>
      <c r="X1307">
        <v>0</v>
      </c>
      <c r="Y1307">
        <v>0.10032000000000001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18</v>
      </c>
      <c r="AF1307">
        <v>14</v>
      </c>
      <c r="AG1307">
        <v>17</v>
      </c>
      <c r="AH1307">
        <v>0</v>
      </c>
      <c r="AI1307">
        <v>2E-3</v>
      </c>
      <c r="AK1307" t="s">
        <v>272</v>
      </c>
      <c r="AM1307">
        <v>200000</v>
      </c>
      <c r="AN1307" t="s">
        <v>73</v>
      </c>
      <c r="AO1307">
        <v>1</v>
      </c>
      <c r="AP1307">
        <v>0</v>
      </c>
      <c r="AQ1307">
        <v>16666.666666666668</v>
      </c>
      <c r="AR1307" t="s">
        <v>9</v>
      </c>
      <c r="AS1307" t="s">
        <v>75</v>
      </c>
      <c r="AX1307" t="s">
        <v>76</v>
      </c>
      <c r="AY1307" t="s">
        <v>71</v>
      </c>
      <c r="AZ1307">
        <v>0</v>
      </c>
      <c r="BA1307" t="s">
        <v>71</v>
      </c>
      <c r="BB1307">
        <v>0</v>
      </c>
      <c r="BD1307">
        <v>0.10032000000000001</v>
      </c>
    </row>
    <row r="1308" spans="1:56" x14ac:dyDescent="0.15">
      <c r="A1308" s="4" t="str">
        <f>HYPERLINK("https://ibp.a2mac1.com/costing(costing:projects/details/9760/part/8413305)","Busbar 19")</f>
        <v>Busbar 19</v>
      </c>
      <c r="B1308">
        <v>8413305</v>
      </c>
      <c r="C1308">
        <v>8413192</v>
      </c>
      <c r="D1308" t="s">
        <v>2772</v>
      </c>
      <c r="E1308">
        <v>0.43003999999999998</v>
      </c>
      <c r="F1308">
        <v>0</v>
      </c>
      <c r="G1308">
        <v>0</v>
      </c>
      <c r="H1308">
        <v>0</v>
      </c>
      <c r="I1308" t="s">
        <v>71</v>
      </c>
      <c r="J1308">
        <v>0</v>
      </c>
      <c r="K1308">
        <v>0.43003999999999998</v>
      </c>
      <c r="L1308">
        <v>0</v>
      </c>
      <c r="M1308">
        <v>0</v>
      </c>
      <c r="N1308">
        <v>0.43003999999999998</v>
      </c>
      <c r="O1308" t="s">
        <v>71</v>
      </c>
      <c r="P1308">
        <v>0</v>
      </c>
      <c r="Q1308" t="s">
        <v>71</v>
      </c>
      <c r="R1308">
        <v>0</v>
      </c>
      <c r="S1308" t="s">
        <v>71</v>
      </c>
      <c r="T1308">
        <v>0</v>
      </c>
      <c r="U1308" t="s">
        <v>71</v>
      </c>
      <c r="V1308">
        <v>0</v>
      </c>
      <c r="W1308" t="s">
        <v>71</v>
      </c>
      <c r="X1308">
        <v>0</v>
      </c>
      <c r="Y1308">
        <v>0.43003999999999998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17</v>
      </c>
      <c r="AF1308">
        <v>8</v>
      </c>
      <c r="AG1308">
        <v>41</v>
      </c>
      <c r="AH1308">
        <v>0</v>
      </c>
      <c r="AI1308">
        <v>2.7499999999999998E-3</v>
      </c>
      <c r="AK1308" t="s">
        <v>272</v>
      </c>
      <c r="AM1308">
        <v>800000</v>
      </c>
      <c r="AN1308" t="s">
        <v>73</v>
      </c>
      <c r="AO1308">
        <v>4</v>
      </c>
      <c r="AP1308">
        <v>0</v>
      </c>
      <c r="AQ1308">
        <v>66666.666666666672</v>
      </c>
      <c r="AR1308" t="s">
        <v>9</v>
      </c>
      <c r="AS1308" t="s">
        <v>75</v>
      </c>
      <c r="AX1308" t="s">
        <v>76</v>
      </c>
      <c r="AY1308" t="s">
        <v>71</v>
      </c>
      <c r="AZ1308">
        <v>0</v>
      </c>
      <c r="BA1308" t="s">
        <v>71</v>
      </c>
      <c r="BB1308">
        <v>0</v>
      </c>
      <c r="BD1308">
        <v>0.10750999999999999</v>
      </c>
    </row>
    <row r="1309" spans="1:56" x14ac:dyDescent="0.15">
      <c r="A1309" s="4" t="str">
        <f>HYPERLINK("https://ibp.a2mac1.com/costing(costing:projects/details/9760/part/8413306)","Busbar 20")</f>
        <v>Busbar 20</v>
      </c>
      <c r="B1309">
        <v>8413306</v>
      </c>
      <c r="C1309">
        <v>8413192</v>
      </c>
      <c r="D1309" t="s">
        <v>2772</v>
      </c>
      <c r="E1309">
        <v>1.04918</v>
      </c>
      <c r="F1309">
        <v>0</v>
      </c>
      <c r="G1309">
        <v>0</v>
      </c>
      <c r="H1309">
        <v>0</v>
      </c>
      <c r="I1309" t="s">
        <v>71</v>
      </c>
      <c r="J1309">
        <v>0</v>
      </c>
      <c r="K1309">
        <v>1.04918</v>
      </c>
      <c r="L1309">
        <v>0</v>
      </c>
      <c r="M1309">
        <v>0</v>
      </c>
      <c r="N1309">
        <v>1.04918</v>
      </c>
      <c r="O1309" t="s">
        <v>71</v>
      </c>
      <c r="P1309">
        <v>0</v>
      </c>
      <c r="Q1309" t="s">
        <v>71</v>
      </c>
      <c r="R1309">
        <v>0</v>
      </c>
      <c r="S1309" t="s">
        <v>71</v>
      </c>
      <c r="T1309">
        <v>0</v>
      </c>
      <c r="U1309" t="s">
        <v>71</v>
      </c>
      <c r="V1309">
        <v>0</v>
      </c>
      <c r="W1309" t="s">
        <v>71</v>
      </c>
      <c r="X1309">
        <v>0</v>
      </c>
      <c r="Y1309">
        <v>1.04918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30</v>
      </c>
      <c r="AF1309">
        <v>95</v>
      </c>
      <c r="AG1309">
        <v>38</v>
      </c>
      <c r="AH1309">
        <v>0</v>
      </c>
      <c r="AI1309">
        <v>0.10100000000000001</v>
      </c>
      <c r="AK1309" t="s">
        <v>272</v>
      </c>
      <c r="AM1309">
        <v>200000</v>
      </c>
      <c r="AN1309" t="s">
        <v>73</v>
      </c>
      <c r="AO1309">
        <v>1</v>
      </c>
      <c r="AP1309">
        <v>0</v>
      </c>
      <c r="AQ1309">
        <v>16666.666666666668</v>
      </c>
      <c r="AR1309" t="s">
        <v>9</v>
      </c>
      <c r="AS1309" t="s">
        <v>75</v>
      </c>
      <c r="AX1309" t="s">
        <v>76</v>
      </c>
      <c r="AY1309" t="s">
        <v>71</v>
      </c>
      <c r="AZ1309">
        <v>0</v>
      </c>
      <c r="BA1309" t="s">
        <v>71</v>
      </c>
      <c r="BB1309">
        <v>0</v>
      </c>
      <c r="BD1309">
        <v>1.04918</v>
      </c>
    </row>
    <row r="1310" spans="1:56" x14ac:dyDescent="0.15">
      <c r="A1310" s="4" t="str">
        <f>HYPERLINK("https://ibp.a2mac1.com/costing(costing:projects/details/9760/part/8413485)","HV Connector 1")</f>
        <v>HV Connector 1</v>
      </c>
      <c r="B1310">
        <v>8413485</v>
      </c>
      <c r="C1310">
        <v>8413307</v>
      </c>
      <c r="E1310">
        <v>7.8873199999999999</v>
      </c>
      <c r="F1310">
        <v>0</v>
      </c>
      <c r="G1310">
        <v>0</v>
      </c>
      <c r="H1310">
        <v>0</v>
      </c>
      <c r="I1310" t="s">
        <v>71</v>
      </c>
      <c r="J1310">
        <v>0</v>
      </c>
      <c r="K1310">
        <v>7.8873199999999999</v>
      </c>
      <c r="L1310">
        <v>0</v>
      </c>
      <c r="M1310">
        <v>0</v>
      </c>
      <c r="N1310">
        <v>7.8873199999999999</v>
      </c>
      <c r="O1310" t="s">
        <v>71</v>
      </c>
      <c r="P1310">
        <v>0</v>
      </c>
      <c r="Q1310" t="s">
        <v>71</v>
      </c>
      <c r="R1310">
        <v>0</v>
      </c>
      <c r="S1310" t="s">
        <v>71</v>
      </c>
      <c r="T1310">
        <v>0</v>
      </c>
      <c r="U1310" t="s">
        <v>71</v>
      </c>
      <c r="V1310">
        <v>0</v>
      </c>
      <c r="W1310" t="s">
        <v>71</v>
      </c>
      <c r="X1310">
        <v>0</v>
      </c>
      <c r="Y1310">
        <v>7.8873199999999999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52</v>
      </c>
      <c r="AF1310">
        <v>66</v>
      </c>
      <c r="AG1310">
        <v>61</v>
      </c>
      <c r="AH1310">
        <v>0</v>
      </c>
      <c r="AI1310">
        <v>0.215</v>
      </c>
      <c r="AK1310" t="s">
        <v>272</v>
      </c>
      <c r="AM1310">
        <v>200000</v>
      </c>
      <c r="AN1310" t="s">
        <v>73</v>
      </c>
      <c r="AO1310">
        <v>1</v>
      </c>
      <c r="AP1310">
        <v>0</v>
      </c>
      <c r="AQ1310">
        <v>16666.666666666668</v>
      </c>
      <c r="AR1310" t="s">
        <v>9</v>
      </c>
      <c r="AS1310" t="s">
        <v>75</v>
      </c>
      <c r="AX1310" t="s">
        <v>76</v>
      </c>
      <c r="AY1310" t="s">
        <v>71</v>
      </c>
      <c r="AZ1310">
        <v>0</v>
      </c>
      <c r="BA1310" t="s">
        <v>71</v>
      </c>
      <c r="BB1310">
        <v>0</v>
      </c>
      <c r="BD1310">
        <v>7.8873199999999999</v>
      </c>
    </row>
    <row r="1311" spans="1:56" x14ac:dyDescent="0.15">
      <c r="A1311" s="4" t="str">
        <f>HYPERLINK("https://ibp.a2mac1.com/costing(costing:projects/details/9760/part/8413486)","HV Connector 2")</f>
        <v>HV Connector 2</v>
      </c>
      <c r="B1311">
        <v>8413486</v>
      </c>
      <c r="C1311">
        <v>8413307</v>
      </c>
      <c r="E1311">
        <v>7.8873199999999999</v>
      </c>
      <c r="F1311">
        <v>0</v>
      </c>
      <c r="G1311">
        <v>0</v>
      </c>
      <c r="H1311">
        <v>0</v>
      </c>
      <c r="I1311" t="s">
        <v>71</v>
      </c>
      <c r="J1311">
        <v>0</v>
      </c>
      <c r="K1311">
        <v>7.8873199999999999</v>
      </c>
      <c r="L1311">
        <v>0</v>
      </c>
      <c r="M1311">
        <v>0</v>
      </c>
      <c r="N1311">
        <v>7.8873199999999999</v>
      </c>
      <c r="O1311" t="s">
        <v>71</v>
      </c>
      <c r="P1311">
        <v>0</v>
      </c>
      <c r="Q1311" t="s">
        <v>71</v>
      </c>
      <c r="R1311">
        <v>0</v>
      </c>
      <c r="S1311" t="s">
        <v>71</v>
      </c>
      <c r="T1311">
        <v>0</v>
      </c>
      <c r="U1311" t="s">
        <v>71</v>
      </c>
      <c r="V1311">
        <v>0</v>
      </c>
      <c r="W1311" t="s">
        <v>71</v>
      </c>
      <c r="X1311">
        <v>0</v>
      </c>
      <c r="Y1311">
        <v>7.8873199999999999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52</v>
      </c>
      <c r="AF1311">
        <v>66</v>
      </c>
      <c r="AG1311">
        <v>61</v>
      </c>
      <c r="AH1311">
        <v>0</v>
      </c>
      <c r="AI1311">
        <v>0.215</v>
      </c>
      <c r="AK1311" t="s">
        <v>272</v>
      </c>
      <c r="AM1311">
        <v>200000</v>
      </c>
      <c r="AN1311" t="s">
        <v>73</v>
      </c>
      <c r="AO1311">
        <v>1</v>
      </c>
      <c r="AP1311">
        <v>0</v>
      </c>
      <c r="AQ1311">
        <v>16666.666666666668</v>
      </c>
      <c r="AR1311" t="s">
        <v>9</v>
      </c>
      <c r="AS1311" t="s">
        <v>75</v>
      </c>
      <c r="AX1311" t="s">
        <v>76</v>
      </c>
      <c r="AY1311" t="s">
        <v>71</v>
      </c>
      <c r="AZ1311">
        <v>0</v>
      </c>
      <c r="BA1311" t="s">
        <v>71</v>
      </c>
      <c r="BB1311">
        <v>0</v>
      </c>
      <c r="BD1311">
        <v>7.8873199999999999</v>
      </c>
    </row>
    <row r="1312" spans="1:56" x14ac:dyDescent="0.15">
      <c r="A1312" s="4" t="str">
        <f>HYPERLINK("https://ibp.a2mac1.com/costing(costing:projects/details/9760/part/8413487)","HV Connector 3")</f>
        <v>HV Connector 3</v>
      </c>
      <c r="B1312">
        <v>8413487</v>
      </c>
      <c r="C1312">
        <v>8413307</v>
      </c>
      <c r="E1312">
        <v>5.8225699999999998</v>
      </c>
      <c r="F1312">
        <v>0</v>
      </c>
      <c r="G1312">
        <v>0</v>
      </c>
      <c r="H1312">
        <v>0</v>
      </c>
      <c r="I1312" t="s">
        <v>71</v>
      </c>
      <c r="J1312">
        <v>0</v>
      </c>
      <c r="K1312">
        <v>5.8225699999999998</v>
      </c>
      <c r="L1312">
        <v>0</v>
      </c>
      <c r="M1312">
        <v>0</v>
      </c>
      <c r="N1312">
        <v>5.8225699999999998</v>
      </c>
      <c r="O1312" t="s">
        <v>71</v>
      </c>
      <c r="P1312">
        <v>0</v>
      </c>
      <c r="Q1312" t="s">
        <v>71</v>
      </c>
      <c r="R1312">
        <v>0</v>
      </c>
      <c r="S1312" t="s">
        <v>71</v>
      </c>
      <c r="T1312">
        <v>0</v>
      </c>
      <c r="U1312" t="s">
        <v>71</v>
      </c>
      <c r="V1312">
        <v>0</v>
      </c>
      <c r="W1312" t="s">
        <v>71</v>
      </c>
      <c r="X1312">
        <v>0</v>
      </c>
      <c r="Y1312">
        <v>5.8225699999999998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82</v>
      </c>
      <c r="AF1312">
        <v>65</v>
      </c>
      <c r="AG1312">
        <v>67</v>
      </c>
      <c r="AH1312">
        <v>0</v>
      </c>
      <c r="AI1312">
        <v>0.13800000000000001</v>
      </c>
      <c r="AK1312" t="s">
        <v>272</v>
      </c>
      <c r="AM1312">
        <v>200000</v>
      </c>
      <c r="AN1312" t="s">
        <v>73</v>
      </c>
      <c r="AO1312">
        <v>1</v>
      </c>
      <c r="AP1312">
        <v>0</v>
      </c>
      <c r="AQ1312">
        <v>16666.666666666668</v>
      </c>
      <c r="AR1312" t="s">
        <v>9</v>
      </c>
      <c r="AS1312" t="s">
        <v>75</v>
      </c>
      <c r="AX1312" t="s">
        <v>76</v>
      </c>
      <c r="AY1312" t="s">
        <v>71</v>
      </c>
      <c r="AZ1312">
        <v>0</v>
      </c>
      <c r="BA1312" t="s">
        <v>71</v>
      </c>
      <c r="BB1312">
        <v>0</v>
      </c>
      <c r="BD1312">
        <v>5.8225699999999998</v>
      </c>
    </row>
    <row r="1313" spans="1:56" x14ac:dyDescent="0.15">
      <c r="A1313" s="4" t="str">
        <f>HYPERLINK("https://ibp.a2mac1.com/costing(costing:projects/details/9760/part/8413308)","Wire Harness 1")</f>
        <v>Wire Harness 1</v>
      </c>
      <c r="B1313">
        <v>8413308</v>
      </c>
      <c r="C1313">
        <v>8413194</v>
      </c>
      <c r="E1313">
        <v>0.70531999999999995</v>
      </c>
      <c r="F1313">
        <v>0</v>
      </c>
      <c r="G1313">
        <v>0</v>
      </c>
      <c r="H1313">
        <v>0</v>
      </c>
      <c r="I1313" t="s">
        <v>71</v>
      </c>
      <c r="J1313">
        <v>0</v>
      </c>
      <c r="K1313">
        <v>0.70531999999999995</v>
      </c>
      <c r="L1313">
        <v>0</v>
      </c>
      <c r="M1313">
        <v>0</v>
      </c>
      <c r="N1313">
        <v>0.70531999999999995</v>
      </c>
      <c r="O1313" t="s">
        <v>71</v>
      </c>
      <c r="P1313">
        <v>0</v>
      </c>
      <c r="Q1313" t="s">
        <v>71</v>
      </c>
      <c r="R1313">
        <v>0</v>
      </c>
      <c r="S1313" t="s">
        <v>71</v>
      </c>
      <c r="T1313">
        <v>0</v>
      </c>
      <c r="U1313" t="s">
        <v>71</v>
      </c>
      <c r="V1313">
        <v>0</v>
      </c>
      <c r="W1313" t="s">
        <v>71</v>
      </c>
      <c r="X1313">
        <v>0</v>
      </c>
      <c r="Y1313">
        <v>0.70531999999999995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1.6E-2</v>
      </c>
      <c r="AK1313" t="s">
        <v>272</v>
      </c>
      <c r="AM1313">
        <v>200000</v>
      </c>
      <c r="AN1313" t="s">
        <v>73</v>
      </c>
      <c r="AO1313">
        <v>1</v>
      </c>
      <c r="AP1313">
        <v>0</v>
      </c>
      <c r="AQ1313">
        <v>16666.666666666668</v>
      </c>
      <c r="AR1313" t="s">
        <v>9</v>
      </c>
      <c r="AS1313" t="s">
        <v>75</v>
      </c>
      <c r="AX1313" t="s">
        <v>76</v>
      </c>
      <c r="AY1313" t="s">
        <v>71</v>
      </c>
      <c r="AZ1313">
        <v>0</v>
      </c>
      <c r="BA1313" t="s">
        <v>71</v>
      </c>
      <c r="BB1313">
        <v>0</v>
      </c>
      <c r="BD1313">
        <v>0.70531999999999995</v>
      </c>
    </row>
    <row r="1314" spans="1:56" x14ac:dyDescent="0.15">
      <c r="A1314" s="4" t="str">
        <f>HYPERLINK("https://ibp.a2mac1.com/costing(costing:projects/details/9760/part/8413309)","Wire Harness 2")</f>
        <v>Wire Harness 2</v>
      </c>
      <c r="B1314">
        <v>8413309</v>
      </c>
      <c r="C1314">
        <v>8413194</v>
      </c>
      <c r="E1314">
        <v>1.1905300000000001</v>
      </c>
      <c r="F1314">
        <v>0</v>
      </c>
      <c r="G1314">
        <v>0</v>
      </c>
      <c r="H1314">
        <v>0</v>
      </c>
      <c r="I1314" t="s">
        <v>71</v>
      </c>
      <c r="J1314">
        <v>0</v>
      </c>
      <c r="K1314">
        <v>1.1905300000000001</v>
      </c>
      <c r="L1314">
        <v>0</v>
      </c>
      <c r="M1314">
        <v>0</v>
      </c>
      <c r="N1314">
        <v>1.1905300000000001</v>
      </c>
      <c r="O1314" t="s">
        <v>71</v>
      </c>
      <c r="P1314">
        <v>0</v>
      </c>
      <c r="Q1314" t="s">
        <v>71</v>
      </c>
      <c r="R1314">
        <v>0</v>
      </c>
      <c r="S1314" t="s">
        <v>71</v>
      </c>
      <c r="T1314">
        <v>0</v>
      </c>
      <c r="U1314" t="s">
        <v>71</v>
      </c>
      <c r="V1314">
        <v>0</v>
      </c>
      <c r="W1314" t="s">
        <v>71</v>
      </c>
      <c r="X1314">
        <v>0</v>
      </c>
      <c r="Y1314">
        <v>1.1905300000000001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0.03</v>
      </c>
      <c r="AK1314" t="s">
        <v>272</v>
      </c>
      <c r="AM1314">
        <v>200000</v>
      </c>
      <c r="AN1314" t="s">
        <v>73</v>
      </c>
      <c r="AO1314">
        <v>1</v>
      </c>
      <c r="AP1314">
        <v>0</v>
      </c>
      <c r="AQ1314">
        <v>16666.666666666668</v>
      </c>
      <c r="AR1314" t="s">
        <v>9</v>
      </c>
      <c r="AS1314" t="s">
        <v>75</v>
      </c>
      <c r="AX1314" t="s">
        <v>76</v>
      </c>
      <c r="AY1314" t="s">
        <v>71</v>
      </c>
      <c r="AZ1314">
        <v>0</v>
      </c>
      <c r="BA1314" t="s">
        <v>71</v>
      </c>
      <c r="BB1314">
        <v>0</v>
      </c>
      <c r="BD1314">
        <v>1.1905300000000001</v>
      </c>
    </row>
    <row r="1315" spans="1:56" x14ac:dyDescent="0.15">
      <c r="A1315" s="4" t="str">
        <f>HYPERLINK("https://ibp.a2mac1.com/costing(costing:projects/details/9760/part/8413310)","Ferrite 1")</f>
        <v>Ferrite 1</v>
      </c>
      <c r="B1315">
        <v>8413310</v>
      </c>
      <c r="C1315">
        <v>8413195</v>
      </c>
      <c r="D1315" t="s">
        <v>3644</v>
      </c>
      <c r="E1315">
        <v>21.563649999999999</v>
      </c>
      <c r="F1315">
        <v>0</v>
      </c>
      <c r="G1315">
        <v>0</v>
      </c>
      <c r="H1315">
        <v>0</v>
      </c>
      <c r="I1315" t="s">
        <v>71</v>
      </c>
      <c r="J1315">
        <v>0</v>
      </c>
      <c r="K1315">
        <v>21.563649999999999</v>
      </c>
      <c r="L1315">
        <v>0</v>
      </c>
      <c r="M1315">
        <v>0</v>
      </c>
      <c r="N1315">
        <v>21.563649999999999</v>
      </c>
      <c r="O1315" t="s">
        <v>71</v>
      </c>
      <c r="P1315">
        <v>0</v>
      </c>
      <c r="Q1315" t="s">
        <v>71</v>
      </c>
      <c r="R1315">
        <v>0</v>
      </c>
      <c r="S1315" t="s">
        <v>71</v>
      </c>
      <c r="T1315">
        <v>0</v>
      </c>
      <c r="U1315" t="s">
        <v>71</v>
      </c>
      <c r="V1315">
        <v>0</v>
      </c>
      <c r="W1315" t="s">
        <v>71</v>
      </c>
      <c r="X1315">
        <v>0</v>
      </c>
      <c r="Y1315">
        <v>21.563649999999999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120</v>
      </c>
      <c r="AF1315">
        <v>206</v>
      </c>
      <c r="AG1315">
        <v>82</v>
      </c>
      <c r="AH1315">
        <v>0</v>
      </c>
      <c r="AI1315">
        <v>1.5880000000000001</v>
      </c>
      <c r="AK1315" t="s">
        <v>272</v>
      </c>
      <c r="AM1315">
        <v>200000</v>
      </c>
      <c r="AN1315" t="s">
        <v>73</v>
      </c>
      <c r="AO1315">
        <v>1</v>
      </c>
      <c r="AP1315">
        <v>0</v>
      </c>
      <c r="AQ1315">
        <v>16666.666666666668</v>
      </c>
      <c r="AR1315" t="s">
        <v>9</v>
      </c>
      <c r="AS1315" t="s">
        <v>75</v>
      </c>
      <c r="AX1315" t="s">
        <v>76</v>
      </c>
      <c r="AY1315" t="s">
        <v>71</v>
      </c>
      <c r="AZ1315">
        <v>0</v>
      </c>
      <c r="BA1315" t="s">
        <v>71</v>
      </c>
      <c r="BB1315">
        <v>0</v>
      </c>
      <c r="BD1315">
        <v>21.563649999999999</v>
      </c>
    </row>
    <row r="1316" spans="1:56" x14ac:dyDescent="0.15">
      <c r="A1316" s="4" t="str">
        <f>HYPERLINK("https://ibp.a2mac1.com/costing(costing:projects/details/9760/part/8413311)","Inductor 1")</f>
        <v>Inductor 1</v>
      </c>
      <c r="B1316">
        <v>8413311</v>
      </c>
      <c r="C1316">
        <v>8413196</v>
      </c>
      <c r="E1316">
        <v>43.77</v>
      </c>
      <c r="F1316">
        <v>0</v>
      </c>
      <c r="G1316">
        <v>0</v>
      </c>
      <c r="H1316">
        <v>0</v>
      </c>
      <c r="I1316" t="s">
        <v>71</v>
      </c>
      <c r="J1316">
        <v>0</v>
      </c>
      <c r="K1316">
        <v>43.77</v>
      </c>
      <c r="L1316">
        <v>0</v>
      </c>
      <c r="M1316">
        <v>0</v>
      </c>
      <c r="N1316">
        <v>43.77</v>
      </c>
      <c r="O1316" t="s">
        <v>71</v>
      </c>
      <c r="P1316">
        <v>0</v>
      </c>
      <c r="Q1316" t="s">
        <v>71</v>
      </c>
      <c r="R1316">
        <v>0</v>
      </c>
      <c r="S1316" t="s">
        <v>71</v>
      </c>
      <c r="T1316">
        <v>0</v>
      </c>
      <c r="U1316" t="s">
        <v>71</v>
      </c>
      <c r="V1316">
        <v>0</v>
      </c>
      <c r="W1316" t="s">
        <v>71</v>
      </c>
      <c r="X1316">
        <v>0</v>
      </c>
      <c r="Y1316">
        <v>43.77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56</v>
      </c>
      <c r="AF1316">
        <v>105</v>
      </c>
      <c r="AG1316">
        <v>124</v>
      </c>
      <c r="AH1316">
        <v>0</v>
      </c>
      <c r="AI1316">
        <v>2.1960000000000002</v>
      </c>
      <c r="AK1316" t="s">
        <v>272</v>
      </c>
      <c r="AM1316">
        <v>200000</v>
      </c>
      <c r="AN1316" t="s">
        <v>73</v>
      </c>
      <c r="AO1316">
        <v>1</v>
      </c>
      <c r="AP1316">
        <v>0</v>
      </c>
      <c r="AQ1316">
        <v>16666.666666666668</v>
      </c>
      <c r="AR1316" t="s">
        <v>9</v>
      </c>
      <c r="AS1316" t="s">
        <v>75</v>
      </c>
      <c r="AX1316" t="s">
        <v>76</v>
      </c>
      <c r="AY1316" t="s">
        <v>71</v>
      </c>
      <c r="AZ1316">
        <v>0</v>
      </c>
      <c r="BA1316" t="s">
        <v>71</v>
      </c>
      <c r="BB1316">
        <v>0</v>
      </c>
      <c r="BD1316">
        <v>43.77</v>
      </c>
    </row>
    <row r="1317" spans="1:56" x14ac:dyDescent="0.15">
      <c r="A1317" s="4" t="str">
        <f>HYPERLINK("https://ibp.a2mac1.com/costing(costing:projects/details/9760/part/8413312)","Relay 1")</f>
        <v>Relay 1</v>
      </c>
      <c r="B1317">
        <v>8413312</v>
      </c>
      <c r="C1317">
        <v>8413197</v>
      </c>
      <c r="E1317">
        <v>10.430999999999999</v>
      </c>
      <c r="F1317">
        <v>0</v>
      </c>
      <c r="G1317">
        <v>0</v>
      </c>
      <c r="H1317">
        <v>0</v>
      </c>
      <c r="I1317" t="s">
        <v>71</v>
      </c>
      <c r="J1317">
        <v>0</v>
      </c>
      <c r="K1317">
        <v>10.430999999999999</v>
      </c>
      <c r="L1317">
        <v>0</v>
      </c>
      <c r="M1317">
        <v>0</v>
      </c>
      <c r="N1317">
        <v>10.430999999999999</v>
      </c>
      <c r="O1317" t="s">
        <v>71</v>
      </c>
      <c r="P1317">
        <v>0</v>
      </c>
      <c r="Q1317" t="s">
        <v>71</v>
      </c>
      <c r="R1317">
        <v>0</v>
      </c>
      <c r="S1317" t="s">
        <v>71</v>
      </c>
      <c r="T1317">
        <v>0</v>
      </c>
      <c r="U1317" t="s">
        <v>71</v>
      </c>
      <c r="V1317">
        <v>0</v>
      </c>
      <c r="W1317" t="s">
        <v>71</v>
      </c>
      <c r="X1317">
        <v>0</v>
      </c>
      <c r="Y1317">
        <v>10.430999999999999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42</v>
      </c>
      <c r="AF1317">
        <v>85</v>
      </c>
      <c r="AG1317">
        <v>74</v>
      </c>
      <c r="AH1317">
        <v>0</v>
      </c>
      <c r="AI1317">
        <v>0.36599999999999999</v>
      </c>
      <c r="AK1317" t="s">
        <v>272</v>
      </c>
      <c r="AM1317">
        <v>200000</v>
      </c>
      <c r="AN1317" t="s">
        <v>73</v>
      </c>
      <c r="AO1317">
        <v>1</v>
      </c>
      <c r="AP1317">
        <v>0</v>
      </c>
      <c r="AQ1317">
        <v>16666.666666666668</v>
      </c>
      <c r="AR1317" t="s">
        <v>9</v>
      </c>
      <c r="AS1317" t="s">
        <v>75</v>
      </c>
      <c r="AX1317" t="s">
        <v>76</v>
      </c>
      <c r="AY1317" t="s">
        <v>71</v>
      </c>
      <c r="AZ1317">
        <v>0</v>
      </c>
      <c r="BA1317" t="s">
        <v>71</v>
      </c>
      <c r="BB1317">
        <v>0</v>
      </c>
      <c r="BD1317">
        <v>10.430999999999999</v>
      </c>
    </row>
    <row r="1318" spans="1:56" x14ac:dyDescent="0.15">
      <c r="A1318" s="4" t="str">
        <f>HYPERLINK("https://ibp.a2mac1.com/costing(costing:projects/details/9760/part/8413313)","Negative Relay")</f>
        <v>Negative Relay</v>
      </c>
      <c r="B1318">
        <v>8413313</v>
      </c>
      <c r="C1318">
        <v>8413197</v>
      </c>
      <c r="E1318">
        <v>10.430999999999999</v>
      </c>
      <c r="F1318">
        <v>0</v>
      </c>
      <c r="G1318">
        <v>0</v>
      </c>
      <c r="H1318">
        <v>0</v>
      </c>
      <c r="I1318" t="s">
        <v>71</v>
      </c>
      <c r="J1318">
        <v>0</v>
      </c>
      <c r="K1318">
        <v>10.430999999999999</v>
      </c>
      <c r="L1318">
        <v>0</v>
      </c>
      <c r="M1318">
        <v>0</v>
      </c>
      <c r="N1318">
        <v>10.430999999999999</v>
      </c>
      <c r="O1318" t="s">
        <v>71</v>
      </c>
      <c r="P1318">
        <v>0</v>
      </c>
      <c r="Q1318" t="s">
        <v>71</v>
      </c>
      <c r="R1318">
        <v>0</v>
      </c>
      <c r="S1318" t="s">
        <v>71</v>
      </c>
      <c r="T1318">
        <v>0</v>
      </c>
      <c r="U1318" t="s">
        <v>71</v>
      </c>
      <c r="V1318">
        <v>0</v>
      </c>
      <c r="W1318" t="s">
        <v>71</v>
      </c>
      <c r="X1318">
        <v>0</v>
      </c>
      <c r="Y1318">
        <v>10.430999999999999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42</v>
      </c>
      <c r="AF1318">
        <v>88</v>
      </c>
      <c r="AG1318">
        <v>74</v>
      </c>
      <c r="AH1318">
        <v>0</v>
      </c>
      <c r="AI1318">
        <v>0.36199999999999999</v>
      </c>
      <c r="AK1318" t="s">
        <v>272</v>
      </c>
      <c r="AM1318">
        <v>200000</v>
      </c>
      <c r="AN1318" t="s">
        <v>73</v>
      </c>
      <c r="AO1318">
        <v>1</v>
      </c>
      <c r="AP1318">
        <v>0</v>
      </c>
      <c r="AQ1318">
        <v>16666.666666666668</v>
      </c>
      <c r="AR1318" t="s">
        <v>9</v>
      </c>
      <c r="AS1318" t="s">
        <v>75</v>
      </c>
      <c r="AX1318" t="s">
        <v>76</v>
      </c>
      <c r="AY1318" t="s">
        <v>71</v>
      </c>
      <c r="AZ1318">
        <v>0</v>
      </c>
      <c r="BA1318" t="s">
        <v>71</v>
      </c>
      <c r="BB1318">
        <v>0</v>
      </c>
      <c r="BD1318">
        <v>10.430999999999999</v>
      </c>
    </row>
    <row r="1319" spans="1:56" x14ac:dyDescent="0.15">
      <c r="A1319" s="4" t="str">
        <f>HYPERLINK("https://ibp.a2mac1.com/costing(costing:projects/details/9760/part/8413314)","Positive Relay")</f>
        <v>Positive Relay</v>
      </c>
      <c r="B1319">
        <v>8413314</v>
      </c>
      <c r="C1319">
        <v>8413197</v>
      </c>
      <c r="E1319">
        <v>10.430999999999999</v>
      </c>
      <c r="F1319">
        <v>0</v>
      </c>
      <c r="G1319">
        <v>0</v>
      </c>
      <c r="H1319">
        <v>0</v>
      </c>
      <c r="I1319" t="s">
        <v>71</v>
      </c>
      <c r="J1319">
        <v>0</v>
      </c>
      <c r="K1319">
        <v>10.430999999999999</v>
      </c>
      <c r="L1319">
        <v>0</v>
      </c>
      <c r="M1319">
        <v>0</v>
      </c>
      <c r="N1319">
        <v>10.430999999999999</v>
      </c>
      <c r="O1319" t="s">
        <v>71</v>
      </c>
      <c r="P1319">
        <v>0</v>
      </c>
      <c r="Q1319" t="s">
        <v>71</v>
      </c>
      <c r="R1319">
        <v>0</v>
      </c>
      <c r="S1319" t="s">
        <v>71</v>
      </c>
      <c r="T1319">
        <v>0</v>
      </c>
      <c r="U1319" t="s">
        <v>71</v>
      </c>
      <c r="V1319">
        <v>0</v>
      </c>
      <c r="W1319" t="s">
        <v>71</v>
      </c>
      <c r="X1319">
        <v>0</v>
      </c>
      <c r="Y1319">
        <v>10.430999999999999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42</v>
      </c>
      <c r="AF1319">
        <v>88</v>
      </c>
      <c r="AG1319">
        <v>74</v>
      </c>
      <c r="AH1319">
        <v>0</v>
      </c>
      <c r="AI1319">
        <v>0.36299999999999999</v>
      </c>
      <c r="AK1319" t="s">
        <v>272</v>
      </c>
      <c r="AM1319">
        <v>200000</v>
      </c>
      <c r="AN1319" t="s">
        <v>73</v>
      </c>
      <c r="AO1319">
        <v>1</v>
      </c>
      <c r="AP1319">
        <v>0</v>
      </c>
      <c r="AQ1319">
        <v>16666.666666666668</v>
      </c>
      <c r="AR1319" t="s">
        <v>9</v>
      </c>
      <c r="AS1319" t="s">
        <v>75</v>
      </c>
      <c r="AX1319" t="s">
        <v>76</v>
      </c>
      <c r="AY1319" t="s">
        <v>71</v>
      </c>
      <c r="AZ1319">
        <v>0</v>
      </c>
      <c r="BA1319" t="s">
        <v>71</v>
      </c>
      <c r="BB1319">
        <v>0</v>
      </c>
      <c r="BD1319">
        <v>10.430999999999999</v>
      </c>
    </row>
    <row r="1320" spans="1:56" x14ac:dyDescent="0.15">
      <c r="A1320" s="4" t="str">
        <f>HYPERLINK("https://ibp.a2mac1.com/costing(costing:projects/details/9760/part/8413198)","PCB 1")</f>
        <v>PCB 1</v>
      </c>
      <c r="B1320">
        <v>8413198</v>
      </c>
      <c r="C1320">
        <v>8413071</v>
      </c>
      <c r="E1320">
        <v>16.87</v>
      </c>
      <c r="F1320">
        <v>0</v>
      </c>
      <c r="G1320">
        <v>0</v>
      </c>
      <c r="H1320">
        <v>0</v>
      </c>
      <c r="I1320" t="s">
        <v>71</v>
      </c>
      <c r="J1320">
        <v>0</v>
      </c>
      <c r="K1320">
        <v>16.87</v>
      </c>
      <c r="L1320">
        <v>0</v>
      </c>
      <c r="M1320">
        <v>0</v>
      </c>
      <c r="N1320">
        <v>16.87</v>
      </c>
      <c r="O1320" t="s">
        <v>71</v>
      </c>
      <c r="P1320">
        <v>0</v>
      </c>
      <c r="Q1320" t="s">
        <v>71</v>
      </c>
      <c r="R1320">
        <v>0</v>
      </c>
      <c r="S1320" t="s">
        <v>71</v>
      </c>
      <c r="T1320">
        <v>0</v>
      </c>
      <c r="U1320" t="s">
        <v>71</v>
      </c>
      <c r="V1320">
        <v>0</v>
      </c>
      <c r="W1320" t="s">
        <v>71</v>
      </c>
      <c r="X1320">
        <v>0</v>
      </c>
      <c r="Y1320">
        <v>16.87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64</v>
      </c>
      <c r="AF1320">
        <v>208</v>
      </c>
      <c r="AG1320">
        <v>113</v>
      </c>
      <c r="AH1320">
        <v>0</v>
      </c>
      <c r="AI1320">
        <v>0</v>
      </c>
      <c r="AK1320" t="s">
        <v>272</v>
      </c>
      <c r="AM1320">
        <v>200000</v>
      </c>
      <c r="AN1320" t="s">
        <v>73</v>
      </c>
      <c r="AO1320">
        <v>1</v>
      </c>
      <c r="AP1320">
        <v>0</v>
      </c>
      <c r="AQ1320">
        <v>16666.666666666668</v>
      </c>
      <c r="AR1320" t="s">
        <v>9</v>
      </c>
      <c r="AS1320" t="s">
        <v>75</v>
      </c>
      <c r="AX1320" t="s">
        <v>76</v>
      </c>
      <c r="AY1320" t="s">
        <v>71</v>
      </c>
      <c r="AZ1320">
        <v>0</v>
      </c>
      <c r="BA1320" t="s">
        <v>71</v>
      </c>
      <c r="BB1320">
        <v>0</v>
      </c>
      <c r="BD1320">
        <v>16.87</v>
      </c>
    </row>
    <row r="1321" spans="1:56" x14ac:dyDescent="0.15">
      <c r="A1321" s="4" t="str">
        <f>HYPERLINK("https://ibp.a2mac1.com/costing(costing:projects/details/9760/part/8413199)","PCB 2")</f>
        <v>PCB 2</v>
      </c>
      <c r="B1321">
        <v>8413199</v>
      </c>
      <c r="C1321">
        <v>8413071</v>
      </c>
      <c r="E1321">
        <v>14.91</v>
      </c>
      <c r="F1321">
        <v>0</v>
      </c>
      <c r="G1321">
        <v>0</v>
      </c>
      <c r="H1321">
        <v>0</v>
      </c>
      <c r="I1321" t="s">
        <v>71</v>
      </c>
      <c r="J1321">
        <v>0</v>
      </c>
      <c r="K1321">
        <v>14.91</v>
      </c>
      <c r="L1321">
        <v>0</v>
      </c>
      <c r="M1321">
        <v>0</v>
      </c>
      <c r="N1321">
        <v>14.91</v>
      </c>
      <c r="O1321" t="s">
        <v>71</v>
      </c>
      <c r="P1321">
        <v>0</v>
      </c>
      <c r="Q1321" t="s">
        <v>71</v>
      </c>
      <c r="R1321">
        <v>0</v>
      </c>
      <c r="S1321" t="s">
        <v>71</v>
      </c>
      <c r="T1321">
        <v>0</v>
      </c>
      <c r="U1321" t="s">
        <v>71</v>
      </c>
      <c r="V1321">
        <v>0</v>
      </c>
      <c r="W1321" t="s">
        <v>71</v>
      </c>
      <c r="X1321">
        <v>0</v>
      </c>
      <c r="Y1321">
        <v>14.91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49</v>
      </c>
      <c r="AF1321">
        <v>197</v>
      </c>
      <c r="AG1321">
        <v>77</v>
      </c>
      <c r="AH1321">
        <v>0</v>
      </c>
      <c r="AI1321">
        <v>0</v>
      </c>
      <c r="AK1321" t="s">
        <v>272</v>
      </c>
      <c r="AM1321">
        <v>200000</v>
      </c>
      <c r="AN1321" t="s">
        <v>73</v>
      </c>
      <c r="AO1321">
        <v>1</v>
      </c>
      <c r="AP1321">
        <v>0</v>
      </c>
      <c r="AQ1321">
        <v>16666.666666666668</v>
      </c>
      <c r="AR1321" t="s">
        <v>9</v>
      </c>
      <c r="AS1321" t="s">
        <v>75</v>
      </c>
      <c r="AX1321" t="s">
        <v>76</v>
      </c>
      <c r="AY1321" t="s">
        <v>71</v>
      </c>
      <c r="AZ1321">
        <v>0</v>
      </c>
      <c r="BA1321" t="s">
        <v>71</v>
      </c>
      <c r="BB1321">
        <v>0</v>
      </c>
      <c r="BD1321">
        <v>14.91</v>
      </c>
    </row>
    <row r="1322" spans="1:56" x14ac:dyDescent="0.15">
      <c r="A1322" s="4" t="str">
        <f>HYPERLINK("https://ibp.a2mac1.com/costing(costing:projects/details/9760/part/8413315)","Busbar Bracket 1")</f>
        <v>Busbar Bracket 1</v>
      </c>
      <c r="B1322">
        <v>8413315</v>
      </c>
      <c r="C1322">
        <v>8413200</v>
      </c>
      <c r="D1322" t="s">
        <v>3650</v>
      </c>
      <c r="E1322">
        <v>0.30809999999999998</v>
      </c>
      <c r="F1322">
        <v>0</v>
      </c>
      <c r="G1322">
        <v>0</v>
      </c>
      <c r="H1322">
        <v>0</v>
      </c>
      <c r="I1322" t="s">
        <v>71</v>
      </c>
      <c r="J1322">
        <v>0</v>
      </c>
      <c r="K1322">
        <v>0.30809999999999998</v>
      </c>
      <c r="L1322">
        <v>0</v>
      </c>
      <c r="M1322">
        <v>0</v>
      </c>
      <c r="N1322">
        <v>0.30809999999999998</v>
      </c>
      <c r="O1322" t="s">
        <v>71</v>
      </c>
      <c r="P1322">
        <v>0</v>
      </c>
      <c r="Q1322" t="s">
        <v>71</v>
      </c>
      <c r="R1322">
        <v>0</v>
      </c>
      <c r="S1322" t="s">
        <v>71</v>
      </c>
      <c r="T1322">
        <v>0</v>
      </c>
      <c r="U1322" t="s">
        <v>71</v>
      </c>
      <c r="V1322">
        <v>0</v>
      </c>
      <c r="W1322" t="s">
        <v>71</v>
      </c>
      <c r="X1322">
        <v>0</v>
      </c>
      <c r="Y1322">
        <v>0.30809999999999998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177</v>
      </c>
      <c r="AF1322">
        <v>68</v>
      </c>
      <c r="AG1322">
        <v>54</v>
      </c>
      <c r="AH1322">
        <v>0</v>
      </c>
      <c r="AI1322">
        <v>0.05</v>
      </c>
      <c r="AK1322" t="s">
        <v>272</v>
      </c>
      <c r="AM1322">
        <v>200000</v>
      </c>
      <c r="AN1322" t="s">
        <v>73</v>
      </c>
      <c r="AO1322">
        <v>1</v>
      </c>
      <c r="AP1322">
        <v>0</v>
      </c>
      <c r="AQ1322">
        <v>16666.666666666668</v>
      </c>
      <c r="AR1322" t="s">
        <v>9</v>
      </c>
      <c r="AS1322" t="s">
        <v>75</v>
      </c>
      <c r="AX1322" t="s">
        <v>76</v>
      </c>
      <c r="AY1322" t="s">
        <v>71</v>
      </c>
      <c r="AZ1322">
        <v>0</v>
      </c>
      <c r="BA1322" t="s">
        <v>71</v>
      </c>
      <c r="BB1322">
        <v>0</v>
      </c>
      <c r="BD1322">
        <v>0.30809999999999998</v>
      </c>
    </row>
    <row r="1323" spans="1:56" x14ac:dyDescent="0.15">
      <c r="A1323" s="4" t="str">
        <f>HYPERLINK("https://ibp.a2mac1.com/costing(costing:projects/details/9760/part/8413316)","Busbar Bracket 2")</f>
        <v>Busbar Bracket 2</v>
      </c>
      <c r="B1323">
        <v>8413316</v>
      </c>
      <c r="C1323">
        <v>8413200</v>
      </c>
      <c r="D1323" t="s">
        <v>3650</v>
      </c>
      <c r="E1323">
        <v>0.18990000000000001</v>
      </c>
      <c r="F1323">
        <v>0</v>
      </c>
      <c r="G1323">
        <v>0</v>
      </c>
      <c r="H1323">
        <v>0</v>
      </c>
      <c r="I1323" t="s">
        <v>71</v>
      </c>
      <c r="J1323">
        <v>0</v>
      </c>
      <c r="K1323">
        <v>0.18990000000000001</v>
      </c>
      <c r="L1323">
        <v>0</v>
      </c>
      <c r="M1323">
        <v>0</v>
      </c>
      <c r="N1323">
        <v>0.18990000000000001</v>
      </c>
      <c r="O1323" t="s">
        <v>71</v>
      </c>
      <c r="P1323">
        <v>0</v>
      </c>
      <c r="Q1323" t="s">
        <v>71</v>
      </c>
      <c r="R1323">
        <v>0</v>
      </c>
      <c r="S1323" t="s">
        <v>71</v>
      </c>
      <c r="T1323">
        <v>0</v>
      </c>
      <c r="U1323" t="s">
        <v>71</v>
      </c>
      <c r="V1323">
        <v>0</v>
      </c>
      <c r="W1323" t="s">
        <v>71</v>
      </c>
      <c r="X1323">
        <v>0</v>
      </c>
      <c r="Y1323">
        <v>0.18990000000000001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11</v>
      </c>
      <c r="AF1323">
        <v>99</v>
      </c>
      <c r="AG1323">
        <v>40</v>
      </c>
      <c r="AH1323">
        <v>0</v>
      </c>
      <c r="AI1323">
        <v>1.2E-2</v>
      </c>
      <c r="AK1323" t="s">
        <v>272</v>
      </c>
      <c r="AM1323">
        <v>200000</v>
      </c>
      <c r="AN1323" t="s">
        <v>73</v>
      </c>
      <c r="AO1323">
        <v>1</v>
      </c>
      <c r="AP1323">
        <v>0</v>
      </c>
      <c r="AQ1323">
        <v>16666.666666666668</v>
      </c>
      <c r="AR1323" t="s">
        <v>9</v>
      </c>
      <c r="AS1323" t="s">
        <v>75</v>
      </c>
      <c r="AX1323" t="s">
        <v>76</v>
      </c>
      <c r="AY1323" t="s">
        <v>71</v>
      </c>
      <c r="AZ1323">
        <v>0</v>
      </c>
      <c r="BA1323" t="s">
        <v>71</v>
      </c>
      <c r="BB1323">
        <v>0</v>
      </c>
      <c r="BD1323">
        <v>0.18990000000000001</v>
      </c>
    </row>
    <row r="1324" spans="1:56" x14ac:dyDescent="0.15">
      <c r="A1324" s="4" t="str">
        <f>HYPERLINK("https://ibp.a2mac1.com/costing(costing:projects/details/9760/part/8413317)","PCB Bracket 1")</f>
        <v>PCB Bracket 1</v>
      </c>
      <c r="B1324">
        <v>8413317</v>
      </c>
      <c r="C1324">
        <v>8413200</v>
      </c>
      <c r="D1324" t="s">
        <v>2755</v>
      </c>
      <c r="E1324">
        <v>0.16918</v>
      </c>
      <c r="F1324">
        <v>0</v>
      </c>
      <c r="G1324">
        <v>0</v>
      </c>
      <c r="H1324">
        <v>0</v>
      </c>
      <c r="I1324" t="s">
        <v>71</v>
      </c>
      <c r="J1324">
        <v>0</v>
      </c>
      <c r="K1324">
        <v>0.16918</v>
      </c>
      <c r="L1324">
        <v>0</v>
      </c>
      <c r="M1324">
        <v>0</v>
      </c>
      <c r="N1324">
        <v>0.16918</v>
      </c>
      <c r="O1324" t="s">
        <v>71</v>
      </c>
      <c r="P1324">
        <v>0</v>
      </c>
      <c r="Q1324" t="s">
        <v>71</v>
      </c>
      <c r="R1324">
        <v>0</v>
      </c>
      <c r="S1324" t="s">
        <v>71</v>
      </c>
      <c r="T1324">
        <v>0</v>
      </c>
      <c r="U1324" t="s">
        <v>71</v>
      </c>
      <c r="V1324">
        <v>0</v>
      </c>
      <c r="W1324" t="s">
        <v>71</v>
      </c>
      <c r="X1324">
        <v>0</v>
      </c>
      <c r="Y1324">
        <v>0.16918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78</v>
      </c>
      <c r="AF1324">
        <v>201</v>
      </c>
      <c r="AG1324">
        <v>22</v>
      </c>
      <c r="AH1324">
        <v>0</v>
      </c>
      <c r="AI1324">
        <v>7.8E-2</v>
      </c>
      <c r="AK1324" t="s">
        <v>272</v>
      </c>
      <c r="AM1324">
        <v>200000</v>
      </c>
      <c r="AN1324" t="s">
        <v>73</v>
      </c>
      <c r="AO1324">
        <v>1</v>
      </c>
      <c r="AP1324">
        <v>0</v>
      </c>
      <c r="AQ1324">
        <v>16666.666666666668</v>
      </c>
      <c r="AR1324" t="s">
        <v>9</v>
      </c>
      <c r="AS1324" t="s">
        <v>75</v>
      </c>
      <c r="AX1324" t="s">
        <v>76</v>
      </c>
      <c r="AY1324" t="s">
        <v>71</v>
      </c>
      <c r="AZ1324">
        <v>0</v>
      </c>
      <c r="BA1324" t="s">
        <v>71</v>
      </c>
      <c r="BB1324">
        <v>0</v>
      </c>
      <c r="BD1324">
        <v>0.16918</v>
      </c>
    </row>
    <row r="1325" spans="1:56" x14ac:dyDescent="0.15">
      <c r="A1325" s="4" t="str">
        <f>HYPERLINK("https://ibp.a2mac1.com/costing(costing:projects/details/9760/part/8413318)","Main Housing")</f>
        <v>Main Housing</v>
      </c>
      <c r="B1325">
        <v>8413318</v>
      </c>
      <c r="C1325">
        <v>8413201</v>
      </c>
      <c r="E1325">
        <v>19.6935</v>
      </c>
      <c r="F1325">
        <v>0</v>
      </c>
      <c r="G1325">
        <v>0</v>
      </c>
      <c r="H1325">
        <v>0</v>
      </c>
      <c r="I1325" t="s">
        <v>71</v>
      </c>
      <c r="J1325">
        <v>0</v>
      </c>
      <c r="K1325">
        <v>19.6935</v>
      </c>
      <c r="L1325">
        <v>0</v>
      </c>
      <c r="M1325">
        <v>0</v>
      </c>
      <c r="N1325">
        <v>19.6935</v>
      </c>
      <c r="O1325" t="s">
        <v>71</v>
      </c>
      <c r="P1325">
        <v>0</v>
      </c>
      <c r="Q1325" t="s">
        <v>71</v>
      </c>
      <c r="R1325">
        <v>0</v>
      </c>
      <c r="S1325" t="s">
        <v>71</v>
      </c>
      <c r="T1325">
        <v>0</v>
      </c>
      <c r="U1325" t="s">
        <v>71</v>
      </c>
      <c r="V1325">
        <v>0</v>
      </c>
      <c r="W1325" t="s">
        <v>71</v>
      </c>
      <c r="X1325">
        <v>0</v>
      </c>
      <c r="Y1325">
        <v>19.6935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283</v>
      </c>
      <c r="AF1325">
        <v>484</v>
      </c>
      <c r="AG1325">
        <v>180</v>
      </c>
      <c r="AH1325">
        <v>0</v>
      </c>
      <c r="AI1325">
        <v>3.169</v>
      </c>
      <c r="AK1325" t="s">
        <v>100</v>
      </c>
      <c r="AM1325">
        <v>200000</v>
      </c>
      <c r="AN1325" t="s">
        <v>97</v>
      </c>
      <c r="AO1325">
        <v>1</v>
      </c>
      <c r="AP1325">
        <v>0</v>
      </c>
      <c r="AQ1325">
        <v>16666.666666666668</v>
      </c>
      <c r="AR1325" t="s">
        <v>9</v>
      </c>
      <c r="AS1325" t="s">
        <v>75</v>
      </c>
      <c r="AX1325" t="s">
        <v>76</v>
      </c>
      <c r="AY1325" t="s">
        <v>71</v>
      </c>
      <c r="AZ1325">
        <v>0</v>
      </c>
      <c r="BA1325" t="s">
        <v>71</v>
      </c>
      <c r="BB1325">
        <v>0</v>
      </c>
      <c r="BD1325">
        <v>19.6935</v>
      </c>
    </row>
    <row r="1326" spans="1:56" x14ac:dyDescent="0.15">
      <c r="A1326" s="4" t="str">
        <f>HYPERLINK("https://ibp.a2mac1.com/costing(costing:projects/details/9760/part/8413319)","Top Lid")</f>
        <v>Top Lid</v>
      </c>
      <c r="B1326">
        <v>8413319</v>
      </c>
      <c r="C1326">
        <v>8413201</v>
      </c>
      <c r="D1326" t="s">
        <v>3656</v>
      </c>
      <c r="E1326">
        <v>9.1591000000000005</v>
      </c>
      <c r="F1326">
        <v>0</v>
      </c>
      <c r="G1326">
        <v>0</v>
      </c>
      <c r="H1326">
        <v>0</v>
      </c>
      <c r="I1326" t="s">
        <v>71</v>
      </c>
      <c r="J1326">
        <v>0</v>
      </c>
      <c r="K1326">
        <v>9.1591000000000005</v>
      </c>
      <c r="L1326">
        <v>0</v>
      </c>
      <c r="M1326">
        <v>0</v>
      </c>
      <c r="N1326">
        <v>9.1591000000000005</v>
      </c>
      <c r="O1326" t="s">
        <v>71</v>
      </c>
      <c r="P1326">
        <v>0</v>
      </c>
      <c r="Q1326" t="s">
        <v>71</v>
      </c>
      <c r="R1326">
        <v>0</v>
      </c>
      <c r="S1326" t="s">
        <v>71</v>
      </c>
      <c r="T1326">
        <v>0</v>
      </c>
      <c r="U1326" t="s">
        <v>71</v>
      </c>
      <c r="V1326">
        <v>0</v>
      </c>
      <c r="W1326" t="s">
        <v>71</v>
      </c>
      <c r="X1326">
        <v>0</v>
      </c>
      <c r="Y1326">
        <v>9.1591000000000005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285</v>
      </c>
      <c r="AF1326">
        <v>383</v>
      </c>
      <c r="AG1326">
        <v>90</v>
      </c>
      <c r="AH1326">
        <v>0</v>
      </c>
      <c r="AI1326">
        <v>1.31</v>
      </c>
      <c r="AK1326" t="s">
        <v>272</v>
      </c>
      <c r="AM1326">
        <v>200000</v>
      </c>
      <c r="AN1326" t="s">
        <v>73</v>
      </c>
      <c r="AO1326">
        <v>1</v>
      </c>
      <c r="AP1326">
        <v>0</v>
      </c>
      <c r="AQ1326">
        <v>16666.666666666668</v>
      </c>
      <c r="AR1326" t="s">
        <v>9</v>
      </c>
      <c r="AS1326" t="s">
        <v>75</v>
      </c>
      <c r="AX1326" t="s">
        <v>76</v>
      </c>
      <c r="AY1326" t="s">
        <v>71</v>
      </c>
      <c r="AZ1326">
        <v>0</v>
      </c>
      <c r="BA1326" t="s">
        <v>71</v>
      </c>
      <c r="BB1326">
        <v>0</v>
      </c>
      <c r="BD1326">
        <v>9.1591000000000005</v>
      </c>
    </row>
    <row r="1327" spans="1:56" x14ac:dyDescent="0.15">
      <c r="A1327" s="4" t="str">
        <f>HYPERLINK("https://ibp.a2mac1.com/costing(costing:projects/details/9760/part/8413320)","Top Cover")</f>
        <v>Top Cover</v>
      </c>
      <c r="B1327">
        <v>8413320</v>
      </c>
      <c r="C1327">
        <v>8413201</v>
      </c>
      <c r="D1327" t="s">
        <v>3656</v>
      </c>
      <c r="E1327">
        <v>1.9842500000000001</v>
      </c>
      <c r="F1327">
        <v>0</v>
      </c>
      <c r="G1327">
        <v>0</v>
      </c>
      <c r="H1327">
        <v>0</v>
      </c>
      <c r="I1327" t="s">
        <v>71</v>
      </c>
      <c r="J1327">
        <v>0</v>
      </c>
      <c r="K1327">
        <v>1.9842500000000001</v>
      </c>
      <c r="L1327">
        <v>0</v>
      </c>
      <c r="M1327">
        <v>0</v>
      </c>
      <c r="N1327">
        <v>1.9842500000000001</v>
      </c>
      <c r="O1327" t="s">
        <v>71</v>
      </c>
      <c r="P1327">
        <v>0</v>
      </c>
      <c r="Q1327" t="s">
        <v>71</v>
      </c>
      <c r="R1327">
        <v>0</v>
      </c>
      <c r="S1327" t="s">
        <v>71</v>
      </c>
      <c r="T1327">
        <v>0</v>
      </c>
      <c r="U1327" t="s">
        <v>71</v>
      </c>
      <c r="V1327">
        <v>0</v>
      </c>
      <c r="W1327" t="s">
        <v>71</v>
      </c>
      <c r="X1327">
        <v>0</v>
      </c>
      <c r="Y1327">
        <v>1.9842500000000001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148</v>
      </c>
      <c r="AF1327">
        <v>46</v>
      </c>
      <c r="AG1327">
        <v>18</v>
      </c>
      <c r="AH1327">
        <v>0</v>
      </c>
      <c r="AI1327">
        <v>5.8999999999999997E-2</v>
      </c>
      <c r="AK1327" t="s">
        <v>272</v>
      </c>
      <c r="AM1327">
        <v>200000</v>
      </c>
      <c r="AN1327" t="s">
        <v>73</v>
      </c>
      <c r="AO1327">
        <v>1</v>
      </c>
      <c r="AP1327">
        <v>0</v>
      </c>
      <c r="AQ1327">
        <v>16666.666666666668</v>
      </c>
      <c r="AR1327" t="s">
        <v>9</v>
      </c>
      <c r="AS1327" t="s">
        <v>75</v>
      </c>
      <c r="AX1327" t="s">
        <v>76</v>
      </c>
      <c r="AY1327" t="s">
        <v>71</v>
      </c>
      <c r="AZ1327">
        <v>0</v>
      </c>
      <c r="BA1327" t="s">
        <v>71</v>
      </c>
      <c r="BB1327">
        <v>0</v>
      </c>
      <c r="BD1327">
        <v>1.9842500000000001</v>
      </c>
    </row>
    <row r="1328" spans="1:56" x14ac:dyDescent="0.15">
      <c r="A1328" s="4" t="str">
        <f>HYPERLINK("https://ibp.a2mac1.com/costing(costing:projects/details/9760/part/8413321)","Pressure Vent 1")</f>
        <v>Pressure Vent 1</v>
      </c>
      <c r="B1328">
        <v>8413321</v>
      </c>
      <c r="C1328">
        <v>8413202</v>
      </c>
      <c r="E1328">
        <v>0.14249999999999999</v>
      </c>
      <c r="F1328">
        <v>0</v>
      </c>
      <c r="G1328">
        <v>0</v>
      </c>
      <c r="H1328">
        <v>0</v>
      </c>
      <c r="I1328" t="s">
        <v>71</v>
      </c>
      <c r="J1328">
        <v>0</v>
      </c>
      <c r="K1328">
        <v>0.14249999999999999</v>
      </c>
      <c r="L1328">
        <v>0</v>
      </c>
      <c r="M1328">
        <v>0</v>
      </c>
      <c r="N1328">
        <v>0.14249999999999999</v>
      </c>
      <c r="O1328" t="s">
        <v>71</v>
      </c>
      <c r="P1328">
        <v>0</v>
      </c>
      <c r="Q1328" t="s">
        <v>71</v>
      </c>
      <c r="R1328">
        <v>0</v>
      </c>
      <c r="S1328" t="s">
        <v>71</v>
      </c>
      <c r="T1328">
        <v>0</v>
      </c>
      <c r="U1328" t="s">
        <v>71</v>
      </c>
      <c r="V1328">
        <v>0</v>
      </c>
      <c r="W1328" t="s">
        <v>71</v>
      </c>
      <c r="X1328">
        <v>0</v>
      </c>
      <c r="Y1328">
        <v>0.14249999999999999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17</v>
      </c>
      <c r="AF1328">
        <v>17</v>
      </c>
      <c r="AG1328">
        <v>13</v>
      </c>
      <c r="AH1328">
        <v>0</v>
      </c>
      <c r="AI1328">
        <v>1E-3</v>
      </c>
      <c r="AK1328" t="s">
        <v>272</v>
      </c>
      <c r="AM1328">
        <v>200000</v>
      </c>
      <c r="AN1328" t="s">
        <v>73</v>
      </c>
      <c r="AO1328">
        <v>1</v>
      </c>
      <c r="AP1328">
        <v>0</v>
      </c>
      <c r="AQ1328">
        <v>16666.666666666668</v>
      </c>
      <c r="AR1328" t="s">
        <v>9</v>
      </c>
      <c r="AS1328" t="s">
        <v>75</v>
      </c>
      <c r="AX1328" t="s">
        <v>76</v>
      </c>
      <c r="AY1328" t="s">
        <v>71</v>
      </c>
      <c r="AZ1328">
        <v>0</v>
      </c>
      <c r="BA1328" t="s">
        <v>71</v>
      </c>
      <c r="BB1328">
        <v>0</v>
      </c>
      <c r="BD1328">
        <v>0.14249999999999999</v>
      </c>
    </row>
    <row r="1329" spans="1:56" x14ac:dyDescent="0.15">
      <c r="A1329" s="4" t="str">
        <f>HYPERLINK("https://ibp.a2mac1.com/costing(costing:projects/details/9760/part/8413322)","Seal 1")</f>
        <v>Seal 1</v>
      </c>
      <c r="B1329">
        <v>8413322</v>
      </c>
      <c r="C1329">
        <v>8413203</v>
      </c>
      <c r="E1329">
        <v>0.128</v>
      </c>
      <c r="F1329">
        <v>0</v>
      </c>
      <c r="G1329">
        <v>0</v>
      </c>
      <c r="H1329">
        <v>0</v>
      </c>
      <c r="I1329" t="s">
        <v>71</v>
      </c>
      <c r="J1329">
        <v>0</v>
      </c>
      <c r="K1329">
        <v>0.128</v>
      </c>
      <c r="L1329">
        <v>0</v>
      </c>
      <c r="M1329">
        <v>0</v>
      </c>
      <c r="N1329">
        <v>0.128</v>
      </c>
      <c r="O1329" t="s">
        <v>71</v>
      </c>
      <c r="P1329">
        <v>0</v>
      </c>
      <c r="Q1329" t="s">
        <v>71</v>
      </c>
      <c r="R1329">
        <v>0</v>
      </c>
      <c r="S1329" t="s">
        <v>71</v>
      </c>
      <c r="T1329">
        <v>0</v>
      </c>
      <c r="U1329" t="s">
        <v>71</v>
      </c>
      <c r="V1329">
        <v>0</v>
      </c>
      <c r="W1329" t="s">
        <v>71</v>
      </c>
      <c r="X1329">
        <v>0</v>
      </c>
      <c r="Y1329">
        <v>0.128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6</v>
      </c>
      <c r="AF1329">
        <v>183</v>
      </c>
      <c r="AG1329">
        <v>138</v>
      </c>
      <c r="AH1329">
        <v>0</v>
      </c>
      <c r="AI1329">
        <v>1.6E-2</v>
      </c>
      <c r="AK1329" t="s">
        <v>272</v>
      </c>
      <c r="AM1329">
        <v>200000</v>
      </c>
      <c r="AN1329" t="s">
        <v>73</v>
      </c>
      <c r="AO1329">
        <v>1</v>
      </c>
      <c r="AP1329">
        <v>0</v>
      </c>
      <c r="AQ1329">
        <v>16666.666666666668</v>
      </c>
      <c r="AR1329" t="s">
        <v>9</v>
      </c>
      <c r="AS1329" t="s">
        <v>75</v>
      </c>
      <c r="AX1329" t="s">
        <v>76</v>
      </c>
      <c r="AY1329" t="s">
        <v>71</v>
      </c>
      <c r="AZ1329">
        <v>0</v>
      </c>
      <c r="BA1329" t="s">
        <v>71</v>
      </c>
      <c r="BB1329">
        <v>0</v>
      </c>
      <c r="BD1329">
        <v>0.128</v>
      </c>
    </row>
    <row r="1330" spans="1:56" x14ac:dyDescent="0.15">
      <c r="A1330" s="4" t="str">
        <f>HYPERLINK("https://ibp.a2mac1.com/costing(costing:projects/details/9760/part/8413323)","Shield 1")</f>
        <v>Shield 1</v>
      </c>
      <c r="B1330">
        <v>8413323</v>
      </c>
      <c r="C1330">
        <v>8413204</v>
      </c>
      <c r="D1330" t="s">
        <v>3660</v>
      </c>
      <c r="E1330">
        <v>8.9090000000000003E-2</v>
      </c>
      <c r="F1330">
        <v>0</v>
      </c>
      <c r="G1330">
        <v>0</v>
      </c>
      <c r="H1330">
        <v>0</v>
      </c>
      <c r="I1330" t="s">
        <v>71</v>
      </c>
      <c r="J1330">
        <v>0</v>
      </c>
      <c r="K1330">
        <v>8.9090000000000003E-2</v>
      </c>
      <c r="L1330">
        <v>0</v>
      </c>
      <c r="M1330">
        <v>0</v>
      </c>
      <c r="N1330">
        <v>8.9090000000000003E-2</v>
      </c>
      <c r="O1330" t="s">
        <v>71</v>
      </c>
      <c r="P1330">
        <v>0</v>
      </c>
      <c r="Q1330" t="s">
        <v>71</v>
      </c>
      <c r="R1330">
        <v>0</v>
      </c>
      <c r="S1330" t="s">
        <v>71</v>
      </c>
      <c r="T1330">
        <v>0</v>
      </c>
      <c r="U1330" t="s">
        <v>71</v>
      </c>
      <c r="V1330">
        <v>0</v>
      </c>
      <c r="W1330" t="s">
        <v>71</v>
      </c>
      <c r="X1330">
        <v>0</v>
      </c>
      <c r="Y1330">
        <v>8.9090000000000003E-2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0.6</v>
      </c>
      <c r="AF1330">
        <v>37</v>
      </c>
      <c r="AG1330">
        <v>11</v>
      </c>
      <c r="AH1330">
        <v>0</v>
      </c>
      <c r="AI1330">
        <v>1E-3</v>
      </c>
      <c r="AK1330" t="s">
        <v>272</v>
      </c>
      <c r="AM1330">
        <v>200000</v>
      </c>
      <c r="AN1330" t="s">
        <v>73</v>
      </c>
      <c r="AO1330">
        <v>1</v>
      </c>
      <c r="AP1330">
        <v>0</v>
      </c>
      <c r="AQ1330">
        <v>16666.666666666668</v>
      </c>
      <c r="AR1330" t="s">
        <v>9</v>
      </c>
      <c r="AS1330" t="s">
        <v>75</v>
      </c>
      <c r="AX1330" t="s">
        <v>76</v>
      </c>
      <c r="AY1330" t="s">
        <v>71</v>
      </c>
      <c r="AZ1330">
        <v>0</v>
      </c>
      <c r="BA1330" t="s">
        <v>71</v>
      </c>
      <c r="BB1330">
        <v>0</v>
      </c>
      <c r="BD1330">
        <v>8.9090000000000003E-2</v>
      </c>
    </row>
    <row r="1331" spans="1:56" x14ac:dyDescent="0.15">
      <c r="A1331" s="4" t="str">
        <f>HYPERLINK("https://ibp.a2mac1.com/costing(costing:projects/details/9760/part/8413324)","Shield 2")</f>
        <v>Shield 2</v>
      </c>
      <c r="B1331">
        <v>8413324</v>
      </c>
      <c r="C1331">
        <v>8413204</v>
      </c>
      <c r="D1331" t="s">
        <v>3660</v>
      </c>
      <c r="E1331">
        <v>8.9090000000000003E-2</v>
      </c>
      <c r="F1331">
        <v>0</v>
      </c>
      <c r="G1331">
        <v>0</v>
      </c>
      <c r="H1331">
        <v>0</v>
      </c>
      <c r="I1331" t="s">
        <v>71</v>
      </c>
      <c r="J1331">
        <v>0</v>
      </c>
      <c r="K1331">
        <v>8.9090000000000003E-2</v>
      </c>
      <c r="L1331">
        <v>0</v>
      </c>
      <c r="M1331">
        <v>0</v>
      </c>
      <c r="N1331">
        <v>8.9090000000000003E-2</v>
      </c>
      <c r="O1331" t="s">
        <v>71</v>
      </c>
      <c r="P1331">
        <v>0</v>
      </c>
      <c r="Q1331" t="s">
        <v>71</v>
      </c>
      <c r="R1331">
        <v>0</v>
      </c>
      <c r="S1331" t="s">
        <v>71</v>
      </c>
      <c r="T1331">
        <v>0</v>
      </c>
      <c r="U1331" t="s">
        <v>71</v>
      </c>
      <c r="V1331">
        <v>0</v>
      </c>
      <c r="W1331" t="s">
        <v>71</v>
      </c>
      <c r="X1331">
        <v>0</v>
      </c>
      <c r="Y1331">
        <v>8.9090000000000003E-2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0.6</v>
      </c>
      <c r="AF1331">
        <v>165</v>
      </c>
      <c r="AG1331">
        <v>62</v>
      </c>
      <c r="AH1331">
        <v>0</v>
      </c>
      <c r="AI1331">
        <v>5.0000000000000001E-3</v>
      </c>
      <c r="AK1331" t="s">
        <v>272</v>
      </c>
      <c r="AM1331">
        <v>200000</v>
      </c>
      <c r="AN1331" t="s">
        <v>73</v>
      </c>
      <c r="AO1331">
        <v>1</v>
      </c>
      <c r="AP1331">
        <v>0</v>
      </c>
      <c r="AQ1331">
        <v>16666.666666666668</v>
      </c>
      <c r="AR1331" t="s">
        <v>9</v>
      </c>
      <c r="AS1331" t="s">
        <v>75</v>
      </c>
      <c r="AX1331" t="s">
        <v>76</v>
      </c>
      <c r="AY1331" t="s">
        <v>71</v>
      </c>
      <c r="AZ1331">
        <v>0</v>
      </c>
      <c r="BA1331" t="s">
        <v>71</v>
      </c>
      <c r="BB1331">
        <v>0</v>
      </c>
      <c r="BD1331">
        <v>8.9090000000000003E-2</v>
      </c>
    </row>
    <row r="1332" spans="1:56" x14ac:dyDescent="0.15">
      <c r="A1332" s="4" t="str">
        <f>HYPERLINK("https://ibp.a2mac1.com/costing(costing:projects/details/9760/part/8413325)","Shield 3")</f>
        <v>Shield 3</v>
      </c>
      <c r="B1332">
        <v>8413325</v>
      </c>
      <c r="C1332">
        <v>8413204</v>
      </c>
      <c r="D1332" t="s">
        <v>3660</v>
      </c>
      <c r="E1332">
        <v>8.9090000000000003E-2</v>
      </c>
      <c r="F1332">
        <v>0</v>
      </c>
      <c r="G1332">
        <v>0</v>
      </c>
      <c r="H1332">
        <v>0</v>
      </c>
      <c r="I1332" t="s">
        <v>71</v>
      </c>
      <c r="J1332">
        <v>0</v>
      </c>
      <c r="K1332">
        <v>8.9090000000000003E-2</v>
      </c>
      <c r="L1332">
        <v>0</v>
      </c>
      <c r="M1332">
        <v>0</v>
      </c>
      <c r="N1332">
        <v>8.9090000000000003E-2</v>
      </c>
      <c r="O1332" t="s">
        <v>71</v>
      </c>
      <c r="P1332">
        <v>0</v>
      </c>
      <c r="Q1332" t="s">
        <v>71</v>
      </c>
      <c r="R1332">
        <v>0</v>
      </c>
      <c r="S1332" t="s">
        <v>71</v>
      </c>
      <c r="T1332">
        <v>0</v>
      </c>
      <c r="U1332" t="s">
        <v>71</v>
      </c>
      <c r="V1332">
        <v>0</v>
      </c>
      <c r="W1332" t="s">
        <v>71</v>
      </c>
      <c r="X1332">
        <v>0</v>
      </c>
      <c r="Y1332">
        <v>8.9090000000000003E-2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0.6</v>
      </c>
      <c r="AF1332">
        <v>99</v>
      </c>
      <c r="AG1332">
        <v>70</v>
      </c>
      <c r="AH1332">
        <v>0</v>
      </c>
      <c r="AI1332">
        <v>4.0000000000000001E-3</v>
      </c>
      <c r="AK1332" t="s">
        <v>272</v>
      </c>
      <c r="AM1332">
        <v>200000</v>
      </c>
      <c r="AN1332" t="s">
        <v>73</v>
      </c>
      <c r="AO1332">
        <v>1</v>
      </c>
      <c r="AP1332">
        <v>0</v>
      </c>
      <c r="AQ1332">
        <v>16666.666666666668</v>
      </c>
      <c r="AR1332" t="s">
        <v>9</v>
      </c>
      <c r="AS1332" t="s">
        <v>75</v>
      </c>
      <c r="AX1332" t="s">
        <v>76</v>
      </c>
      <c r="AY1332" t="s">
        <v>71</v>
      </c>
      <c r="AZ1332">
        <v>0</v>
      </c>
      <c r="BA1332" t="s">
        <v>71</v>
      </c>
      <c r="BB1332">
        <v>0</v>
      </c>
      <c r="BD1332">
        <v>8.9090000000000003E-2</v>
      </c>
    </row>
    <row r="1333" spans="1:56" x14ac:dyDescent="0.15">
      <c r="A1333" s="4" t="str">
        <f>HYPERLINK("https://ibp.a2mac1.com/costing(costing:projects/details/9760/part/8413326)","Thermal Paste/Gap Pad 1")</f>
        <v>Thermal Paste/Gap Pad 1</v>
      </c>
      <c r="B1333">
        <v>8413326</v>
      </c>
      <c r="C1333">
        <v>8413205</v>
      </c>
      <c r="E1333">
        <v>0.41599999999999998</v>
      </c>
      <c r="F1333">
        <v>0</v>
      </c>
      <c r="G1333">
        <v>0</v>
      </c>
      <c r="H1333">
        <v>0</v>
      </c>
      <c r="I1333" t="s">
        <v>71</v>
      </c>
      <c r="J1333">
        <v>0</v>
      </c>
      <c r="K1333">
        <v>0.41599999999999998</v>
      </c>
      <c r="L1333">
        <v>0</v>
      </c>
      <c r="M1333">
        <v>0</v>
      </c>
      <c r="N1333">
        <v>0.41599999999999998</v>
      </c>
      <c r="O1333" t="s">
        <v>71</v>
      </c>
      <c r="P1333">
        <v>0</v>
      </c>
      <c r="Q1333" t="s">
        <v>71</v>
      </c>
      <c r="R1333">
        <v>0</v>
      </c>
      <c r="S1333" t="s">
        <v>71</v>
      </c>
      <c r="T1333">
        <v>0</v>
      </c>
      <c r="U1333" t="s">
        <v>71</v>
      </c>
      <c r="V1333">
        <v>0</v>
      </c>
      <c r="W1333" t="s">
        <v>71</v>
      </c>
      <c r="X1333">
        <v>0</v>
      </c>
      <c r="Y1333">
        <v>0.41599999999999998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5.1999999999999998E-2</v>
      </c>
      <c r="AK1333" t="s">
        <v>272</v>
      </c>
      <c r="AM1333">
        <v>200000</v>
      </c>
      <c r="AN1333" t="s">
        <v>73</v>
      </c>
      <c r="AO1333">
        <v>1</v>
      </c>
      <c r="AP1333">
        <v>0</v>
      </c>
      <c r="AQ1333">
        <v>16666.666666666668</v>
      </c>
      <c r="AR1333" t="s">
        <v>9</v>
      </c>
      <c r="AS1333" t="s">
        <v>75</v>
      </c>
      <c r="AX1333" t="s">
        <v>76</v>
      </c>
      <c r="AY1333" t="s">
        <v>71</v>
      </c>
      <c r="AZ1333">
        <v>0</v>
      </c>
      <c r="BA1333" t="s">
        <v>71</v>
      </c>
      <c r="BB1333">
        <v>0</v>
      </c>
      <c r="BD1333">
        <v>0.41599999999999998</v>
      </c>
    </row>
    <row r="1334" spans="1:56" x14ac:dyDescent="0.15">
      <c r="A1334" s="4" t="str">
        <f>HYPERLINK("https://ibp.a2mac1.com/costing(costing:projects/details/9760/part/8413073)","Connectors")</f>
        <v>Connectors</v>
      </c>
      <c r="B1334">
        <v>8413073</v>
      </c>
      <c r="C1334">
        <v>8412941</v>
      </c>
      <c r="E1334">
        <v>1</v>
      </c>
      <c r="F1334">
        <v>0</v>
      </c>
      <c r="G1334">
        <v>0</v>
      </c>
      <c r="H1334">
        <v>0</v>
      </c>
      <c r="I1334" t="s">
        <v>71</v>
      </c>
      <c r="J1334">
        <v>0</v>
      </c>
      <c r="K1334">
        <v>1</v>
      </c>
      <c r="L1334">
        <v>0</v>
      </c>
      <c r="M1334">
        <v>0</v>
      </c>
      <c r="N1334">
        <v>1</v>
      </c>
      <c r="O1334" t="s">
        <v>71</v>
      </c>
      <c r="P1334">
        <v>0</v>
      </c>
      <c r="Q1334" t="s">
        <v>71</v>
      </c>
      <c r="R1334">
        <v>0</v>
      </c>
      <c r="S1334" t="s">
        <v>71</v>
      </c>
      <c r="T1334">
        <v>0</v>
      </c>
      <c r="U1334" t="s">
        <v>71</v>
      </c>
      <c r="V1334">
        <v>0</v>
      </c>
      <c r="W1334" t="s">
        <v>71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K1334" t="s">
        <v>272</v>
      </c>
      <c r="AM1334">
        <v>200000</v>
      </c>
      <c r="AN1334" t="s">
        <v>73</v>
      </c>
      <c r="AO1334">
        <v>1</v>
      </c>
      <c r="AP1334">
        <v>0</v>
      </c>
      <c r="AQ1334">
        <v>16666.666666666668</v>
      </c>
      <c r="AR1334" t="s">
        <v>9</v>
      </c>
      <c r="AS1334" t="s">
        <v>75</v>
      </c>
      <c r="AX1334" t="s">
        <v>76</v>
      </c>
      <c r="AY1334" t="s">
        <v>71</v>
      </c>
      <c r="AZ1334">
        <v>0</v>
      </c>
      <c r="BA1334" t="s">
        <v>71</v>
      </c>
      <c r="BB1334">
        <v>0</v>
      </c>
      <c r="BD1334">
        <v>1</v>
      </c>
    </row>
    <row r="1335" spans="1:56" x14ac:dyDescent="0.15">
      <c r="A1335" s="4" t="str">
        <f>HYPERLINK("https://ibp.a2mac1.com/costing(costing:projects/details/9760/part/8413074)","HV Cable")</f>
        <v>HV Cable</v>
      </c>
      <c r="B1335">
        <v>8413074</v>
      </c>
      <c r="C1335">
        <v>8412941</v>
      </c>
      <c r="E1335">
        <v>11.404920000000001</v>
      </c>
      <c r="F1335">
        <v>0</v>
      </c>
      <c r="G1335">
        <v>0</v>
      </c>
      <c r="H1335">
        <v>0</v>
      </c>
      <c r="I1335" t="s">
        <v>71</v>
      </c>
      <c r="J1335">
        <v>0</v>
      </c>
      <c r="K1335">
        <v>11.404920000000001</v>
      </c>
      <c r="L1335">
        <v>0</v>
      </c>
      <c r="M1335">
        <v>0</v>
      </c>
      <c r="N1335">
        <v>11.404920000000001</v>
      </c>
      <c r="O1335" t="s">
        <v>71</v>
      </c>
      <c r="P1335">
        <v>0</v>
      </c>
      <c r="Q1335" t="s">
        <v>71</v>
      </c>
      <c r="R1335">
        <v>0</v>
      </c>
      <c r="S1335" t="s">
        <v>71</v>
      </c>
      <c r="T1335">
        <v>0</v>
      </c>
      <c r="U1335" t="s">
        <v>71</v>
      </c>
      <c r="V1335">
        <v>0</v>
      </c>
      <c r="W1335" t="s">
        <v>71</v>
      </c>
      <c r="X1335">
        <v>0</v>
      </c>
      <c r="Y1335">
        <v>11.404920000000001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K1335" t="s">
        <v>272</v>
      </c>
      <c r="AM1335">
        <v>200000</v>
      </c>
      <c r="AN1335" t="s">
        <v>73</v>
      </c>
      <c r="AO1335">
        <v>1</v>
      </c>
      <c r="AP1335">
        <v>0</v>
      </c>
      <c r="AQ1335">
        <v>16666.666666666668</v>
      </c>
      <c r="AR1335" t="s">
        <v>9</v>
      </c>
      <c r="AS1335" t="s">
        <v>75</v>
      </c>
      <c r="AX1335" t="s">
        <v>76</v>
      </c>
      <c r="AY1335" t="s">
        <v>71</v>
      </c>
      <c r="AZ1335">
        <v>0</v>
      </c>
      <c r="BA1335" t="s">
        <v>71</v>
      </c>
      <c r="BB1335">
        <v>0</v>
      </c>
      <c r="BD1335">
        <v>11.404920000000001</v>
      </c>
    </row>
    <row r="1336" spans="1:56" x14ac:dyDescent="0.15">
      <c r="A1336" s="4" t="str">
        <f>HYPERLINK("https://ibp.a2mac1.com/costing(costing:projects/details/9760/part/8413075)","Miscellaneuos")</f>
        <v>Miscellaneuos</v>
      </c>
      <c r="B1336">
        <v>8413075</v>
      </c>
      <c r="C1336">
        <v>8412941</v>
      </c>
      <c r="E1336">
        <v>1.4750000000000001</v>
      </c>
      <c r="F1336">
        <v>0</v>
      </c>
      <c r="G1336">
        <v>0</v>
      </c>
      <c r="H1336">
        <v>0</v>
      </c>
      <c r="I1336" t="s">
        <v>71</v>
      </c>
      <c r="J1336">
        <v>0</v>
      </c>
      <c r="K1336">
        <v>1.4750000000000001</v>
      </c>
      <c r="L1336">
        <v>0</v>
      </c>
      <c r="M1336">
        <v>0</v>
      </c>
      <c r="N1336">
        <v>1.4750000000000001</v>
      </c>
      <c r="O1336" t="s">
        <v>71</v>
      </c>
      <c r="P1336">
        <v>0</v>
      </c>
      <c r="Q1336" t="s">
        <v>71</v>
      </c>
      <c r="R1336">
        <v>0</v>
      </c>
      <c r="S1336" t="s">
        <v>71</v>
      </c>
      <c r="T1336">
        <v>0</v>
      </c>
      <c r="U1336" t="s">
        <v>71</v>
      </c>
      <c r="V1336">
        <v>0</v>
      </c>
      <c r="W1336" t="s">
        <v>71</v>
      </c>
      <c r="X1336">
        <v>0</v>
      </c>
      <c r="Y1336">
        <v>1.4750000000000001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K1336" t="s">
        <v>272</v>
      </c>
      <c r="AM1336">
        <v>200000</v>
      </c>
      <c r="AN1336" t="s">
        <v>73</v>
      </c>
      <c r="AO1336">
        <v>1</v>
      </c>
      <c r="AP1336">
        <v>0</v>
      </c>
      <c r="AQ1336">
        <v>16666.666666666668</v>
      </c>
      <c r="AR1336" t="s">
        <v>9</v>
      </c>
      <c r="AS1336" t="s">
        <v>75</v>
      </c>
      <c r="AX1336" t="s">
        <v>76</v>
      </c>
      <c r="AY1336" t="s">
        <v>71</v>
      </c>
      <c r="AZ1336">
        <v>0</v>
      </c>
      <c r="BA1336" t="s">
        <v>71</v>
      </c>
      <c r="BB1336">
        <v>0</v>
      </c>
      <c r="BD1336">
        <v>1.4750000000000001</v>
      </c>
    </row>
    <row r="1337" spans="1:56" x14ac:dyDescent="0.15">
      <c r="A1337" s="4" t="str">
        <f>HYPERLINK("https://ibp.a2mac1.com/costing(costing:projects/details/9760/part/8412942)","HV Cables Support")</f>
        <v>HV Cables Support</v>
      </c>
      <c r="B1337">
        <v>8412942</v>
      </c>
      <c r="C1337">
        <v>8412874</v>
      </c>
      <c r="D1337" t="s">
        <v>3541</v>
      </c>
      <c r="E1337">
        <v>0.1867</v>
      </c>
      <c r="F1337">
        <v>0</v>
      </c>
      <c r="G1337">
        <v>0</v>
      </c>
      <c r="H1337">
        <v>0</v>
      </c>
      <c r="I1337" t="s">
        <v>71</v>
      </c>
      <c r="J1337">
        <v>0</v>
      </c>
      <c r="K1337">
        <v>0.1867</v>
      </c>
      <c r="L1337">
        <v>0</v>
      </c>
      <c r="M1337">
        <v>0</v>
      </c>
      <c r="N1337">
        <v>0.1867</v>
      </c>
      <c r="O1337" t="s">
        <v>71</v>
      </c>
      <c r="P1337">
        <v>0</v>
      </c>
      <c r="Q1337" t="s">
        <v>71</v>
      </c>
      <c r="R1337">
        <v>0</v>
      </c>
      <c r="S1337" t="s">
        <v>71</v>
      </c>
      <c r="T1337">
        <v>0</v>
      </c>
      <c r="U1337" t="s">
        <v>71</v>
      </c>
      <c r="V1337">
        <v>0</v>
      </c>
      <c r="W1337" t="s">
        <v>71</v>
      </c>
      <c r="X1337">
        <v>0</v>
      </c>
      <c r="Y1337">
        <v>0.1867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22</v>
      </c>
      <c r="AF1337">
        <v>33</v>
      </c>
      <c r="AG1337">
        <v>52</v>
      </c>
      <c r="AH1337">
        <v>0</v>
      </c>
      <c r="AI1337">
        <v>2.1999999999999999E-2</v>
      </c>
      <c r="AK1337" t="s">
        <v>100</v>
      </c>
      <c r="AM1337">
        <v>200000</v>
      </c>
      <c r="AN1337" t="s">
        <v>97</v>
      </c>
      <c r="AO1337">
        <v>1</v>
      </c>
      <c r="AP1337">
        <v>0</v>
      </c>
      <c r="AQ1337">
        <v>16666.666666666668</v>
      </c>
      <c r="AR1337" t="s">
        <v>3669</v>
      </c>
      <c r="AS1337" t="s">
        <v>75</v>
      </c>
      <c r="AX1337" t="s">
        <v>76</v>
      </c>
      <c r="AY1337" t="s">
        <v>71</v>
      </c>
      <c r="AZ1337">
        <v>0</v>
      </c>
      <c r="BA1337" t="s">
        <v>71</v>
      </c>
      <c r="BB1337">
        <v>0</v>
      </c>
      <c r="BD1337">
        <v>0.1867</v>
      </c>
    </row>
    <row r="1338" spans="1:56" x14ac:dyDescent="0.15">
      <c r="A1338" s="4" t="str">
        <f>HYPERLINK("https://ibp.a2mac1.com/costing(costing:projects/details/9760/part/8412943)","2nd HV Cables Support")</f>
        <v>2nd HV Cables Support</v>
      </c>
      <c r="B1338">
        <v>8412943</v>
      </c>
      <c r="C1338">
        <v>8412874</v>
      </c>
      <c r="D1338" t="s">
        <v>3541</v>
      </c>
      <c r="E1338">
        <v>0.26269999999999999</v>
      </c>
      <c r="F1338">
        <v>0</v>
      </c>
      <c r="G1338">
        <v>0</v>
      </c>
      <c r="H1338">
        <v>0</v>
      </c>
      <c r="I1338" t="s">
        <v>71</v>
      </c>
      <c r="J1338">
        <v>0</v>
      </c>
      <c r="K1338">
        <v>0.26269999999999999</v>
      </c>
      <c r="L1338">
        <v>0</v>
      </c>
      <c r="M1338">
        <v>0</v>
      </c>
      <c r="N1338">
        <v>0.26269999999999999</v>
      </c>
      <c r="O1338" t="s">
        <v>71</v>
      </c>
      <c r="P1338">
        <v>0</v>
      </c>
      <c r="Q1338" t="s">
        <v>71</v>
      </c>
      <c r="R1338">
        <v>0</v>
      </c>
      <c r="S1338" t="s">
        <v>71</v>
      </c>
      <c r="T1338">
        <v>0</v>
      </c>
      <c r="U1338" t="s">
        <v>71</v>
      </c>
      <c r="V1338">
        <v>0</v>
      </c>
      <c r="W1338" t="s">
        <v>71</v>
      </c>
      <c r="X1338">
        <v>0</v>
      </c>
      <c r="Y1338">
        <v>0.26269999999999999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27</v>
      </c>
      <c r="AF1338">
        <v>81</v>
      </c>
      <c r="AG1338">
        <v>19</v>
      </c>
      <c r="AH1338">
        <v>0</v>
      </c>
      <c r="AI1338">
        <v>6.5000000000000002E-2</v>
      </c>
      <c r="AK1338" t="s">
        <v>100</v>
      </c>
      <c r="AM1338">
        <v>200000</v>
      </c>
      <c r="AN1338" t="s">
        <v>97</v>
      </c>
      <c r="AO1338">
        <v>1</v>
      </c>
      <c r="AP1338">
        <v>0</v>
      </c>
      <c r="AQ1338">
        <v>16666.666666666668</v>
      </c>
      <c r="AR1338" t="s">
        <v>3670</v>
      </c>
      <c r="AS1338" t="s">
        <v>75</v>
      </c>
      <c r="AX1338" t="s">
        <v>76</v>
      </c>
      <c r="AY1338" t="s">
        <v>71</v>
      </c>
      <c r="AZ1338">
        <v>0</v>
      </c>
      <c r="BA1338" t="s">
        <v>71</v>
      </c>
      <c r="BB1338">
        <v>0</v>
      </c>
      <c r="BD1338">
        <v>0.26269999999999999</v>
      </c>
    </row>
    <row r="1339" spans="1:56" x14ac:dyDescent="0.15">
      <c r="A1339" s="4" t="str">
        <f>HYPERLINK("https://ibp.a2mac1.com/costing(costing:projects/details/9760/part/8412944)","3rd HV Cables Support")</f>
        <v>3rd HV Cables Support</v>
      </c>
      <c r="B1339">
        <v>8412944</v>
      </c>
      <c r="C1339">
        <v>8412874</v>
      </c>
      <c r="D1339" t="s">
        <v>3541</v>
      </c>
      <c r="E1339">
        <v>0.1973</v>
      </c>
      <c r="F1339">
        <v>0</v>
      </c>
      <c r="G1339">
        <v>0</v>
      </c>
      <c r="H1339">
        <v>0</v>
      </c>
      <c r="I1339" t="s">
        <v>71</v>
      </c>
      <c r="J1339">
        <v>0</v>
      </c>
      <c r="K1339">
        <v>0.1973</v>
      </c>
      <c r="L1339">
        <v>0</v>
      </c>
      <c r="M1339">
        <v>0</v>
      </c>
      <c r="N1339">
        <v>0.1973</v>
      </c>
      <c r="O1339" t="s">
        <v>71</v>
      </c>
      <c r="P1339">
        <v>0</v>
      </c>
      <c r="Q1339" t="s">
        <v>71</v>
      </c>
      <c r="R1339">
        <v>0</v>
      </c>
      <c r="S1339" t="s">
        <v>71</v>
      </c>
      <c r="T1339">
        <v>0</v>
      </c>
      <c r="U1339" t="s">
        <v>71</v>
      </c>
      <c r="V1339">
        <v>0</v>
      </c>
      <c r="W1339" t="s">
        <v>71</v>
      </c>
      <c r="X1339">
        <v>0</v>
      </c>
      <c r="Y1339">
        <v>0.1973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45</v>
      </c>
      <c r="AF1339">
        <v>32</v>
      </c>
      <c r="AG1339">
        <v>55</v>
      </c>
      <c r="AH1339">
        <v>0</v>
      </c>
      <c r="AI1339">
        <v>2.8000000000000001E-2</v>
      </c>
      <c r="AK1339" t="s">
        <v>100</v>
      </c>
      <c r="AM1339">
        <v>200000</v>
      </c>
      <c r="AN1339" t="s">
        <v>97</v>
      </c>
      <c r="AO1339">
        <v>1</v>
      </c>
      <c r="AP1339">
        <v>0</v>
      </c>
      <c r="AQ1339">
        <v>16666.666666666668</v>
      </c>
      <c r="AR1339" t="s">
        <v>3671</v>
      </c>
      <c r="AS1339" t="s">
        <v>75</v>
      </c>
      <c r="AX1339" t="s">
        <v>76</v>
      </c>
      <c r="AY1339" t="s">
        <v>71</v>
      </c>
      <c r="AZ1339">
        <v>0</v>
      </c>
      <c r="BA1339" t="s">
        <v>71</v>
      </c>
      <c r="BB1339">
        <v>0</v>
      </c>
      <c r="BD1339">
        <v>0.1973</v>
      </c>
    </row>
    <row r="1340" spans="1:56" x14ac:dyDescent="0.15">
      <c r="A1340" s="4" t="str">
        <f>HYPERLINK("https://ibp.a2mac1.com/costing(costing:projects/details/9760/part/8412945)","4th HV Cables Support")</f>
        <v>4th HV Cables Support</v>
      </c>
      <c r="B1340">
        <v>8412945</v>
      </c>
      <c r="C1340">
        <v>8412874</v>
      </c>
      <c r="D1340" t="s">
        <v>3672</v>
      </c>
      <c r="E1340">
        <v>0.1928</v>
      </c>
      <c r="F1340">
        <v>0</v>
      </c>
      <c r="G1340">
        <v>0</v>
      </c>
      <c r="H1340">
        <v>0</v>
      </c>
      <c r="I1340" t="s">
        <v>71</v>
      </c>
      <c r="J1340">
        <v>0</v>
      </c>
      <c r="K1340">
        <v>0.1928</v>
      </c>
      <c r="L1340">
        <v>0</v>
      </c>
      <c r="M1340">
        <v>0</v>
      </c>
      <c r="N1340">
        <v>0.1928</v>
      </c>
      <c r="O1340" t="s">
        <v>71</v>
      </c>
      <c r="P1340">
        <v>0</v>
      </c>
      <c r="Q1340" t="s">
        <v>71</v>
      </c>
      <c r="R1340">
        <v>0</v>
      </c>
      <c r="S1340" t="s">
        <v>71</v>
      </c>
      <c r="T1340">
        <v>0</v>
      </c>
      <c r="U1340" t="s">
        <v>71</v>
      </c>
      <c r="V1340">
        <v>0</v>
      </c>
      <c r="W1340" t="s">
        <v>71</v>
      </c>
      <c r="X1340">
        <v>0</v>
      </c>
      <c r="Y1340">
        <v>0.1928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50</v>
      </c>
      <c r="AF1340">
        <v>37</v>
      </c>
      <c r="AG1340">
        <v>54</v>
      </c>
      <c r="AH1340">
        <v>0</v>
      </c>
      <c r="AI1340">
        <v>2.9000000000000001E-2</v>
      </c>
      <c r="AK1340" t="s">
        <v>100</v>
      </c>
      <c r="AM1340">
        <v>200000</v>
      </c>
      <c r="AN1340" t="s">
        <v>97</v>
      </c>
      <c r="AO1340">
        <v>1</v>
      </c>
      <c r="AP1340">
        <v>0</v>
      </c>
      <c r="AQ1340">
        <v>16666.666666666668</v>
      </c>
      <c r="AR1340" t="s">
        <v>3673</v>
      </c>
      <c r="AS1340" t="s">
        <v>75</v>
      </c>
      <c r="AX1340" t="s">
        <v>76</v>
      </c>
      <c r="AY1340" t="s">
        <v>71</v>
      </c>
      <c r="AZ1340">
        <v>0</v>
      </c>
      <c r="BA1340" t="s">
        <v>71</v>
      </c>
      <c r="BB1340">
        <v>0</v>
      </c>
      <c r="BD1340">
        <v>0.1928</v>
      </c>
    </row>
    <row r="1341" spans="1:56" x14ac:dyDescent="0.15">
      <c r="A1341" s="4" t="str">
        <f>HYPERLINK("https://ibp.a2mac1.com/costing(costing:projects/details/9760/part/8412946)","5th HV cable support")</f>
        <v>5th HV cable support</v>
      </c>
      <c r="B1341">
        <v>8412946</v>
      </c>
      <c r="C1341">
        <v>8412874</v>
      </c>
      <c r="D1341" t="s">
        <v>3674</v>
      </c>
      <c r="E1341">
        <v>0.39560000000000001</v>
      </c>
      <c r="F1341">
        <v>0</v>
      </c>
      <c r="G1341">
        <v>0</v>
      </c>
      <c r="H1341">
        <v>0</v>
      </c>
      <c r="I1341" t="s">
        <v>71</v>
      </c>
      <c r="J1341">
        <v>0</v>
      </c>
      <c r="K1341">
        <v>0.39560000000000001</v>
      </c>
      <c r="L1341">
        <v>0</v>
      </c>
      <c r="M1341">
        <v>0</v>
      </c>
      <c r="N1341">
        <v>0.39560000000000001</v>
      </c>
      <c r="O1341" t="s">
        <v>71</v>
      </c>
      <c r="P1341">
        <v>0</v>
      </c>
      <c r="Q1341" t="s">
        <v>71</v>
      </c>
      <c r="R1341">
        <v>0</v>
      </c>
      <c r="S1341" t="s">
        <v>71</v>
      </c>
      <c r="T1341">
        <v>0</v>
      </c>
      <c r="U1341" t="s">
        <v>71</v>
      </c>
      <c r="V1341">
        <v>0</v>
      </c>
      <c r="W1341" t="s">
        <v>71</v>
      </c>
      <c r="X1341">
        <v>0</v>
      </c>
      <c r="Y1341">
        <v>0.39560000000000001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233</v>
      </c>
      <c r="AF1341">
        <v>72</v>
      </c>
      <c r="AG1341">
        <v>38</v>
      </c>
      <c r="AH1341">
        <v>0</v>
      </c>
      <c r="AI1341">
        <v>0.158</v>
      </c>
      <c r="AK1341" t="s">
        <v>100</v>
      </c>
      <c r="AM1341">
        <v>200000</v>
      </c>
      <c r="AN1341" t="s">
        <v>97</v>
      </c>
      <c r="AO1341">
        <v>1</v>
      </c>
      <c r="AP1341">
        <v>0</v>
      </c>
      <c r="AQ1341">
        <v>16666.666666666668</v>
      </c>
      <c r="AR1341" t="s">
        <v>3675</v>
      </c>
      <c r="AS1341" t="s">
        <v>75</v>
      </c>
      <c r="AX1341" t="s">
        <v>76</v>
      </c>
      <c r="AY1341" t="s">
        <v>71</v>
      </c>
      <c r="AZ1341">
        <v>0</v>
      </c>
      <c r="BA1341" t="s">
        <v>71</v>
      </c>
      <c r="BB1341">
        <v>0</v>
      </c>
      <c r="BD1341">
        <v>0.39560000000000001</v>
      </c>
    </row>
    <row r="1342" spans="1:56" x14ac:dyDescent="0.15">
      <c r="A1342" s="4" t="str">
        <f>HYPERLINK("https://ibp.a2mac1.com/costing(costing:projects/details/9760/part/8412947)","6th HV cable support")</f>
        <v>6th HV cable support</v>
      </c>
      <c r="B1342">
        <v>8412947</v>
      </c>
      <c r="C1342">
        <v>8412874</v>
      </c>
      <c r="D1342" t="s">
        <v>3541</v>
      </c>
      <c r="E1342">
        <v>0.2009</v>
      </c>
      <c r="F1342">
        <v>0</v>
      </c>
      <c r="G1342">
        <v>0</v>
      </c>
      <c r="H1342">
        <v>0</v>
      </c>
      <c r="I1342" t="s">
        <v>71</v>
      </c>
      <c r="J1342">
        <v>0</v>
      </c>
      <c r="K1342">
        <v>0.2009</v>
      </c>
      <c r="L1342">
        <v>0</v>
      </c>
      <c r="M1342">
        <v>0</v>
      </c>
      <c r="N1342">
        <v>0.2009</v>
      </c>
      <c r="O1342" t="s">
        <v>71</v>
      </c>
      <c r="P1342">
        <v>0</v>
      </c>
      <c r="Q1342" t="s">
        <v>71</v>
      </c>
      <c r="R1342">
        <v>0</v>
      </c>
      <c r="S1342" t="s">
        <v>71</v>
      </c>
      <c r="T1342">
        <v>0</v>
      </c>
      <c r="U1342" t="s">
        <v>71</v>
      </c>
      <c r="V1342">
        <v>0</v>
      </c>
      <c r="W1342" t="s">
        <v>71</v>
      </c>
      <c r="X1342">
        <v>0</v>
      </c>
      <c r="Y1342">
        <v>0.2009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28</v>
      </c>
      <c r="AF1342">
        <v>31</v>
      </c>
      <c r="AG1342">
        <v>81</v>
      </c>
      <c r="AH1342">
        <v>0</v>
      </c>
      <c r="AI1342">
        <v>0.03</v>
      </c>
      <c r="AK1342" t="s">
        <v>100</v>
      </c>
      <c r="AM1342">
        <v>200000</v>
      </c>
      <c r="AN1342" t="s">
        <v>97</v>
      </c>
      <c r="AO1342">
        <v>1</v>
      </c>
      <c r="AP1342">
        <v>0</v>
      </c>
      <c r="AQ1342">
        <v>16666.666666666668</v>
      </c>
      <c r="AR1342" t="s">
        <v>3676</v>
      </c>
      <c r="AS1342" t="s">
        <v>75</v>
      </c>
      <c r="AX1342" t="s">
        <v>76</v>
      </c>
      <c r="AY1342" t="s">
        <v>71</v>
      </c>
      <c r="AZ1342">
        <v>0</v>
      </c>
      <c r="BA1342" t="s">
        <v>71</v>
      </c>
      <c r="BB1342">
        <v>0</v>
      </c>
      <c r="BD1342">
        <v>0.2009</v>
      </c>
    </row>
    <row r="1343" spans="1:56" x14ac:dyDescent="0.15">
      <c r="A1343" s="4" t="str">
        <f>HYPERLINK("https://ibp.a2mac1.com/costing(costing:projects/details/9760/part/8412948)","7th HV cable support")</f>
        <v>7th HV cable support</v>
      </c>
      <c r="B1343">
        <v>8412948</v>
      </c>
      <c r="C1343">
        <v>8412874</v>
      </c>
      <c r="D1343" t="s">
        <v>3677</v>
      </c>
      <c r="E1343">
        <v>0.46410000000000001</v>
      </c>
      <c r="F1343">
        <v>0</v>
      </c>
      <c r="G1343">
        <v>0</v>
      </c>
      <c r="H1343">
        <v>0</v>
      </c>
      <c r="I1343" t="s">
        <v>71</v>
      </c>
      <c r="J1343">
        <v>0</v>
      </c>
      <c r="K1343">
        <v>0.46410000000000001</v>
      </c>
      <c r="L1343">
        <v>0</v>
      </c>
      <c r="M1343">
        <v>0</v>
      </c>
      <c r="N1343">
        <v>0.46410000000000001</v>
      </c>
      <c r="O1343" t="s">
        <v>71</v>
      </c>
      <c r="P1343">
        <v>0</v>
      </c>
      <c r="Q1343" t="s">
        <v>71</v>
      </c>
      <c r="R1343">
        <v>0</v>
      </c>
      <c r="S1343" t="s">
        <v>71</v>
      </c>
      <c r="T1343">
        <v>0</v>
      </c>
      <c r="U1343" t="s">
        <v>71</v>
      </c>
      <c r="V1343">
        <v>0</v>
      </c>
      <c r="W1343" t="s">
        <v>71</v>
      </c>
      <c r="X1343">
        <v>0</v>
      </c>
      <c r="Y1343">
        <v>0.46410000000000001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57</v>
      </c>
      <c r="AF1343">
        <v>117</v>
      </c>
      <c r="AG1343">
        <v>70</v>
      </c>
      <c r="AH1343">
        <v>0</v>
      </c>
      <c r="AI1343">
        <v>3.5000000000000003E-2</v>
      </c>
      <c r="AK1343" t="s">
        <v>100</v>
      </c>
      <c r="AM1343">
        <v>200000</v>
      </c>
      <c r="AN1343" t="s">
        <v>97</v>
      </c>
      <c r="AO1343">
        <v>1</v>
      </c>
      <c r="AP1343">
        <v>0</v>
      </c>
      <c r="AQ1343">
        <v>16666.666666666668</v>
      </c>
      <c r="AR1343" t="s">
        <v>3678</v>
      </c>
      <c r="AS1343" t="s">
        <v>75</v>
      </c>
      <c r="AX1343" t="s">
        <v>76</v>
      </c>
      <c r="AY1343" t="s">
        <v>71</v>
      </c>
      <c r="AZ1343">
        <v>0</v>
      </c>
      <c r="BA1343" t="s">
        <v>71</v>
      </c>
      <c r="BB1343">
        <v>0</v>
      </c>
      <c r="BD1343">
        <v>0.46410000000000001</v>
      </c>
    </row>
    <row r="1344" spans="1:56" x14ac:dyDescent="0.15">
      <c r="A1344" s="4" t="str">
        <f>HYPERLINK("https://ibp.a2mac1.com/costing(costing:projects/details/9760/part/8412949)","8th HV cable support")</f>
        <v>8th HV cable support</v>
      </c>
      <c r="B1344">
        <v>8412949</v>
      </c>
      <c r="C1344">
        <v>8412874</v>
      </c>
      <c r="D1344" t="s">
        <v>3677</v>
      </c>
      <c r="E1344">
        <v>0.46410000000000001</v>
      </c>
      <c r="F1344">
        <v>0</v>
      </c>
      <c r="G1344">
        <v>0</v>
      </c>
      <c r="H1344">
        <v>0</v>
      </c>
      <c r="I1344" t="s">
        <v>71</v>
      </c>
      <c r="J1344">
        <v>0</v>
      </c>
      <c r="K1344">
        <v>0.46410000000000001</v>
      </c>
      <c r="L1344">
        <v>0</v>
      </c>
      <c r="M1344">
        <v>0</v>
      </c>
      <c r="N1344">
        <v>0.46410000000000001</v>
      </c>
      <c r="O1344" t="s">
        <v>71</v>
      </c>
      <c r="P1344">
        <v>0</v>
      </c>
      <c r="Q1344" t="s">
        <v>71</v>
      </c>
      <c r="R1344">
        <v>0</v>
      </c>
      <c r="S1344" t="s">
        <v>71</v>
      </c>
      <c r="T1344">
        <v>0</v>
      </c>
      <c r="U1344" t="s">
        <v>71</v>
      </c>
      <c r="V1344">
        <v>0</v>
      </c>
      <c r="W1344" t="s">
        <v>71</v>
      </c>
      <c r="X1344">
        <v>0</v>
      </c>
      <c r="Y1344">
        <v>0.46410000000000001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57</v>
      </c>
      <c r="AF1344">
        <v>117</v>
      </c>
      <c r="AG1344">
        <v>70</v>
      </c>
      <c r="AH1344">
        <v>0</v>
      </c>
      <c r="AI1344">
        <v>3.5000000000000003E-2</v>
      </c>
      <c r="AK1344" t="s">
        <v>100</v>
      </c>
      <c r="AM1344">
        <v>200000</v>
      </c>
      <c r="AN1344" t="s">
        <v>97</v>
      </c>
      <c r="AO1344">
        <v>1</v>
      </c>
      <c r="AP1344">
        <v>0</v>
      </c>
      <c r="AQ1344">
        <v>16666.666666666668</v>
      </c>
      <c r="AR1344" t="s">
        <v>3679</v>
      </c>
      <c r="AS1344" t="s">
        <v>75</v>
      </c>
      <c r="AX1344" t="s">
        <v>76</v>
      </c>
      <c r="AY1344" t="s">
        <v>71</v>
      </c>
      <c r="AZ1344">
        <v>0</v>
      </c>
      <c r="BA1344" t="s">
        <v>71</v>
      </c>
      <c r="BB1344">
        <v>0</v>
      </c>
      <c r="BD1344">
        <v>0.46410000000000001</v>
      </c>
    </row>
    <row r="1345" spans="1:56" x14ac:dyDescent="0.15">
      <c r="A1345" s="4" t="str">
        <f>HYPERLINK("https://ibp.a2mac1.com/costing(costing:projects/details/9760/part/8412950)","9th HV cable support")</f>
        <v>9th HV cable support</v>
      </c>
      <c r="B1345">
        <v>8412950</v>
      </c>
      <c r="C1345">
        <v>8412874</v>
      </c>
      <c r="D1345" t="s">
        <v>3677</v>
      </c>
      <c r="E1345">
        <v>0.57169999999999999</v>
      </c>
      <c r="F1345">
        <v>0</v>
      </c>
      <c r="G1345">
        <v>0</v>
      </c>
      <c r="H1345">
        <v>0</v>
      </c>
      <c r="I1345" t="s">
        <v>71</v>
      </c>
      <c r="J1345">
        <v>0</v>
      </c>
      <c r="K1345">
        <v>0.57169999999999999</v>
      </c>
      <c r="L1345">
        <v>0</v>
      </c>
      <c r="M1345">
        <v>0</v>
      </c>
      <c r="N1345">
        <v>0.57169999999999999</v>
      </c>
      <c r="O1345" t="s">
        <v>71</v>
      </c>
      <c r="P1345">
        <v>0</v>
      </c>
      <c r="Q1345" t="s">
        <v>71</v>
      </c>
      <c r="R1345">
        <v>0</v>
      </c>
      <c r="S1345" t="s">
        <v>71</v>
      </c>
      <c r="T1345">
        <v>0</v>
      </c>
      <c r="U1345" t="s">
        <v>71</v>
      </c>
      <c r="V1345">
        <v>0</v>
      </c>
      <c r="W1345" t="s">
        <v>71</v>
      </c>
      <c r="X1345">
        <v>0</v>
      </c>
      <c r="Y1345">
        <v>0.57169999999999999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50</v>
      </c>
      <c r="AF1345">
        <v>196</v>
      </c>
      <c r="AG1345">
        <v>68</v>
      </c>
      <c r="AH1345">
        <v>0</v>
      </c>
      <c r="AI1345">
        <v>4.7E-2</v>
      </c>
      <c r="AK1345" t="s">
        <v>100</v>
      </c>
      <c r="AM1345">
        <v>200000</v>
      </c>
      <c r="AN1345" t="s">
        <v>97</v>
      </c>
      <c r="AO1345">
        <v>1</v>
      </c>
      <c r="AP1345">
        <v>0</v>
      </c>
      <c r="AQ1345">
        <v>16666.666666666668</v>
      </c>
      <c r="AR1345" t="s">
        <v>3680</v>
      </c>
      <c r="AS1345" t="s">
        <v>75</v>
      </c>
      <c r="AX1345" t="s">
        <v>76</v>
      </c>
      <c r="AY1345" t="s">
        <v>71</v>
      </c>
      <c r="AZ1345">
        <v>0</v>
      </c>
      <c r="BA1345" t="s">
        <v>71</v>
      </c>
      <c r="BB1345">
        <v>0</v>
      </c>
      <c r="BD1345">
        <v>0.57169999999999999</v>
      </c>
    </row>
    <row r="1346" spans="1:56" x14ac:dyDescent="0.15">
      <c r="A1346" s="4" t="str">
        <f>HYPERLINK("https://ibp.a2mac1.com/costing(costing:projects/details/9760/part/8412951)","10th HV cable support")</f>
        <v>10th HV cable support</v>
      </c>
      <c r="B1346">
        <v>8412951</v>
      </c>
      <c r="C1346">
        <v>8412874</v>
      </c>
      <c r="D1346" t="s">
        <v>3677</v>
      </c>
      <c r="E1346">
        <v>0.57169999999999999</v>
      </c>
      <c r="F1346">
        <v>0</v>
      </c>
      <c r="G1346">
        <v>0</v>
      </c>
      <c r="H1346">
        <v>0</v>
      </c>
      <c r="I1346" t="s">
        <v>71</v>
      </c>
      <c r="J1346">
        <v>0</v>
      </c>
      <c r="K1346">
        <v>0.57169999999999999</v>
      </c>
      <c r="L1346">
        <v>0</v>
      </c>
      <c r="M1346">
        <v>0</v>
      </c>
      <c r="N1346">
        <v>0.57169999999999999</v>
      </c>
      <c r="O1346" t="s">
        <v>71</v>
      </c>
      <c r="P1346">
        <v>0</v>
      </c>
      <c r="Q1346" t="s">
        <v>71</v>
      </c>
      <c r="R1346">
        <v>0</v>
      </c>
      <c r="S1346" t="s">
        <v>71</v>
      </c>
      <c r="T1346">
        <v>0</v>
      </c>
      <c r="U1346" t="s">
        <v>71</v>
      </c>
      <c r="V1346">
        <v>0</v>
      </c>
      <c r="W1346" t="s">
        <v>71</v>
      </c>
      <c r="X1346">
        <v>0</v>
      </c>
      <c r="Y1346">
        <v>0.57169999999999999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50</v>
      </c>
      <c r="AF1346">
        <v>196</v>
      </c>
      <c r="AG1346">
        <v>68</v>
      </c>
      <c r="AH1346">
        <v>0</v>
      </c>
      <c r="AI1346">
        <v>4.7E-2</v>
      </c>
      <c r="AK1346" t="s">
        <v>100</v>
      </c>
      <c r="AM1346">
        <v>200000</v>
      </c>
      <c r="AN1346" t="s">
        <v>97</v>
      </c>
      <c r="AO1346">
        <v>1</v>
      </c>
      <c r="AP1346">
        <v>0</v>
      </c>
      <c r="AQ1346">
        <v>16666.666666666668</v>
      </c>
      <c r="AR1346" t="s">
        <v>3681</v>
      </c>
      <c r="AS1346" t="s">
        <v>75</v>
      </c>
      <c r="AX1346" t="s">
        <v>76</v>
      </c>
      <c r="AY1346" t="s">
        <v>71</v>
      </c>
      <c r="AZ1346">
        <v>0</v>
      </c>
      <c r="BA1346" t="s">
        <v>71</v>
      </c>
      <c r="BB1346">
        <v>0</v>
      </c>
      <c r="BD1346">
        <v>0.57169999999999999</v>
      </c>
    </row>
    <row r="1347" spans="1:56" x14ac:dyDescent="0.15">
      <c r="A1347" s="4" t="str">
        <f>HYPERLINK("https://ibp.a2mac1.com/costing(costing:projects/details/9760/part/8412952)","11th HV cable support")</f>
        <v>11th HV cable support</v>
      </c>
      <c r="B1347">
        <v>8412952</v>
      </c>
      <c r="C1347">
        <v>8412874</v>
      </c>
      <c r="D1347" t="s">
        <v>3677</v>
      </c>
      <c r="E1347">
        <v>0.4551</v>
      </c>
      <c r="F1347">
        <v>0</v>
      </c>
      <c r="G1347">
        <v>0</v>
      </c>
      <c r="H1347">
        <v>0</v>
      </c>
      <c r="I1347" t="s">
        <v>71</v>
      </c>
      <c r="J1347">
        <v>0</v>
      </c>
      <c r="K1347">
        <v>0.4551</v>
      </c>
      <c r="L1347">
        <v>0</v>
      </c>
      <c r="M1347">
        <v>0</v>
      </c>
      <c r="N1347">
        <v>0.4551</v>
      </c>
      <c r="O1347" t="s">
        <v>71</v>
      </c>
      <c r="P1347">
        <v>0</v>
      </c>
      <c r="Q1347" t="s">
        <v>71</v>
      </c>
      <c r="R1347">
        <v>0</v>
      </c>
      <c r="S1347" t="s">
        <v>71</v>
      </c>
      <c r="T1347">
        <v>0</v>
      </c>
      <c r="U1347" t="s">
        <v>71</v>
      </c>
      <c r="V1347">
        <v>0</v>
      </c>
      <c r="W1347" t="s">
        <v>71</v>
      </c>
      <c r="X1347">
        <v>0</v>
      </c>
      <c r="Y1347">
        <v>0.4551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74</v>
      </c>
      <c r="AF1347">
        <v>116</v>
      </c>
      <c r="AG1347">
        <v>51</v>
      </c>
      <c r="AH1347">
        <v>0</v>
      </c>
      <c r="AI1347">
        <v>3.4000000000000002E-2</v>
      </c>
      <c r="AK1347" t="s">
        <v>100</v>
      </c>
      <c r="AM1347">
        <v>200000</v>
      </c>
      <c r="AN1347" t="s">
        <v>97</v>
      </c>
      <c r="AO1347">
        <v>1</v>
      </c>
      <c r="AP1347">
        <v>0</v>
      </c>
      <c r="AQ1347">
        <v>16666.666666666668</v>
      </c>
      <c r="AR1347" t="s">
        <v>3682</v>
      </c>
      <c r="AS1347" t="s">
        <v>75</v>
      </c>
      <c r="AX1347" t="s">
        <v>76</v>
      </c>
      <c r="AY1347" t="s">
        <v>71</v>
      </c>
      <c r="AZ1347">
        <v>0</v>
      </c>
      <c r="BA1347" t="s">
        <v>71</v>
      </c>
      <c r="BB1347">
        <v>0</v>
      </c>
      <c r="BD1347">
        <v>0.4551</v>
      </c>
    </row>
    <row r="1348" spans="1:56" x14ac:dyDescent="0.15">
      <c r="A1348" s="4" t="str">
        <f>HYPERLINK("https://ibp.a2mac1.com/costing(costing:projects/details/9760/part/8412953)","12th HV cable support")</f>
        <v>12th HV cable support</v>
      </c>
      <c r="B1348">
        <v>8412953</v>
      </c>
      <c r="C1348">
        <v>8412874</v>
      </c>
      <c r="D1348" t="s">
        <v>3677</v>
      </c>
      <c r="E1348">
        <v>0.57169999999999999</v>
      </c>
      <c r="F1348">
        <v>0</v>
      </c>
      <c r="G1348">
        <v>0</v>
      </c>
      <c r="H1348">
        <v>0</v>
      </c>
      <c r="I1348" t="s">
        <v>71</v>
      </c>
      <c r="J1348">
        <v>0</v>
      </c>
      <c r="K1348">
        <v>0.57169999999999999</v>
      </c>
      <c r="L1348">
        <v>0</v>
      </c>
      <c r="M1348">
        <v>0</v>
      </c>
      <c r="N1348">
        <v>0.57169999999999999</v>
      </c>
      <c r="O1348" t="s">
        <v>71</v>
      </c>
      <c r="P1348">
        <v>0</v>
      </c>
      <c r="Q1348" t="s">
        <v>71</v>
      </c>
      <c r="R1348">
        <v>0</v>
      </c>
      <c r="S1348" t="s">
        <v>71</v>
      </c>
      <c r="T1348">
        <v>0</v>
      </c>
      <c r="U1348" t="s">
        <v>71</v>
      </c>
      <c r="V1348">
        <v>0</v>
      </c>
      <c r="W1348" t="s">
        <v>71</v>
      </c>
      <c r="X1348">
        <v>0</v>
      </c>
      <c r="Y1348">
        <v>0.57169999999999999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50</v>
      </c>
      <c r="AF1348">
        <v>196</v>
      </c>
      <c r="AG1348">
        <v>68</v>
      </c>
      <c r="AH1348">
        <v>0</v>
      </c>
      <c r="AI1348">
        <v>4.7E-2</v>
      </c>
      <c r="AK1348" t="s">
        <v>100</v>
      </c>
      <c r="AM1348">
        <v>200000</v>
      </c>
      <c r="AN1348" t="s">
        <v>97</v>
      </c>
      <c r="AO1348">
        <v>1</v>
      </c>
      <c r="AP1348">
        <v>0</v>
      </c>
      <c r="AQ1348">
        <v>16666.666666666668</v>
      </c>
      <c r="AR1348" t="s">
        <v>3683</v>
      </c>
      <c r="AS1348" t="s">
        <v>75</v>
      </c>
      <c r="AX1348" t="s">
        <v>76</v>
      </c>
      <c r="AY1348" t="s">
        <v>71</v>
      </c>
      <c r="AZ1348">
        <v>0</v>
      </c>
      <c r="BA1348" t="s">
        <v>71</v>
      </c>
      <c r="BB1348">
        <v>0</v>
      </c>
      <c r="BD1348">
        <v>0.57169999999999999</v>
      </c>
    </row>
    <row r="1349" spans="1:56" x14ac:dyDescent="0.15">
      <c r="A1349" s="4" t="str">
        <f>HYPERLINK("https://ibp.a2mac1.com/costing(costing:projects/details/9760/part/8412954)","13th HV cable support")</f>
        <v>13th HV cable support</v>
      </c>
      <c r="B1349">
        <v>8412954</v>
      </c>
      <c r="C1349">
        <v>8412874</v>
      </c>
      <c r="D1349" t="s">
        <v>3677</v>
      </c>
      <c r="E1349">
        <v>0.57169999999999999</v>
      </c>
      <c r="F1349">
        <v>0</v>
      </c>
      <c r="G1349">
        <v>0</v>
      </c>
      <c r="H1349">
        <v>0</v>
      </c>
      <c r="I1349" t="s">
        <v>71</v>
      </c>
      <c r="J1349">
        <v>0</v>
      </c>
      <c r="K1349">
        <v>0.57169999999999999</v>
      </c>
      <c r="L1349">
        <v>0</v>
      </c>
      <c r="M1349">
        <v>0</v>
      </c>
      <c r="N1349">
        <v>0.57169999999999999</v>
      </c>
      <c r="O1349" t="s">
        <v>71</v>
      </c>
      <c r="P1349">
        <v>0</v>
      </c>
      <c r="Q1349" t="s">
        <v>71</v>
      </c>
      <c r="R1349">
        <v>0</v>
      </c>
      <c r="S1349" t="s">
        <v>71</v>
      </c>
      <c r="T1349">
        <v>0</v>
      </c>
      <c r="U1349" t="s">
        <v>71</v>
      </c>
      <c r="V1349">
        <v>0</v>
      </c>
      <c r="W1349" t="s">
        <v>71</v>
      </c>
      <c r="X1349">
        <v>0</v>
      </c>
      <c r="Y1349">
        <v>0.57169999999999999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50</v>
      </c>
      <c r="AF1349">
        <v>196</v>
      </c>
      <c r="AG1349">
        <v>68</v>
      </c>
      <c r="AH1349">
        <v>0</v>
      </c>
      <c r="AI1349">
        <v>4.7E-2</v>
      </c>
      <c r="AK1349" t="s">
        <v>100</v>
      </c>
      <c r="AM1349">
        <v>200000</v>
      </c>
      <c r="AN1349" t="s">
        <v>97</v>
      </c>
      <c r="AO1349">
        <v>1</v>
      </c>
      <c r="AP1349">
        <v>0</v>
      </c>
      <c r="AQ1349">
        <v>16666.666666666668</v>
      </c>
      <c r="AR1349" t="s">
        <v>3684</v>
      </c>
      <c r="AS1349" t="s">
        <v>75</v>
      </c>
      <c r="AX1349" t="s">
        <v>76</v>
      </c>
      <c r="AY1349" t="s">
        <v>71</v>
      </c>
      <c r="AZ1349">
        <v>0</v>
      </c>
      <c r="BA1349" t="s">
        <v>71</v>
      </c>
      <c r="BB1349">
        <v>0</v>
      </c>
      <c r="BD1349">
        <v>0.57169999999999999</v>
      </c>
    </row>
    <row r="1350" spans="1:56" x14ac:dyDescent="0.15">
      <c r="A1350" s="4" t="str">
        <f>HYPERLINK("https://ibp.a2mac1.com/costing(costing:projects/details/9760/part/8412955)","14th HV cable support")</f>
        <v>14th HV cable support</v>
      </c>
      <c r="B1350">
        <v>8412955</v>
      </c>
      <c r="C1350">
        <v>8412874</v>
      </c>
      <c r="D1350" t="s">
        <v>3677</v>
      </c>
      <c r="E1350">
        <v>0.46410000000000001</v>
      </c>
      <c r="F1350">
        <v>0</v>
      </c>
      <c r="G1350">
        <v>0</v>
      </c>
      <c r="H1350">
        <v>0</v>
      </c>
      <c r="I1350" t="s">
        <v>71</v>
      </c>
      <c r="J1350">
        <v>0</v>
      </c>
      <c r="K1350">
        <v>0.46410000000000001</v>
      </c>
      <c r="L1350">
        <v>0</v>
      </c>
      <c r="M1350">
        <v>0</v>
      </c>
      <c r="N1350">
        <v>0.46410000000000001</v>
      </c>
      <c r="O1350" t="s">
        <v>71</v>
      </c>
      <c r="P1350">
        <v>0</v>
      </c>
      <c r="Q1350" t="s">
        <v>71</v>
      </c>
      <c r="R1350">
        <v>0</v>
      </c>
      <c r="S1350" t="s">
        <v>71</v>
      </c>
      <c r="T1350">
        <v>0</v>
      </c>
      <c r="U1350" t="s">
        <v>71</v>
      </c>
      <c r="V1350">
        <v>0</v>
      </c>
      <c r="W1350" t="s">
        <v>71</v>
      </c>
      <c r="X1350">
        <v>0</v>
      </c>
      <c r="Y1350">
        <v>0.46410000000000001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57</v>
      </c>
      <c r="AF1350">
        <v>117</v>
      </c>
      <c r="AG1350">
        <v>70</v>
      </c>
      <c r="AH1350">
        <v>0</v>
      </c>
      <c r="AI1350">
        <v>3.5000000000000003E-2</v>
      </c>
      <c r="AK1350" t="s">
        <v>100</v>
      </c>
      <c r="AM1350">
        <v>200000</v>
      </c>
      <c r="AN1350" t="s">
        <v>97</v>
      </c>
      <c r="AO1350">
        <v>1</v>
      </c>
      <c r="AP1350">
        <v>0</v>
      </c>
      <c r="AQ1350">
        <v>16666.666666666668</v>
      </c>
      <c r="AR1350" t="s">
        <v>3685</v>
      </c>
      <c r="AS1350" t="s">
        <v>75</v>
      </c>
      <c r="AX1350" t="s">
        <v>76</v>
      </c>
      <c r="AY1350" t="s">
        <v>71</v>
      </c>
      <c r="AZ1350">
        <v>0</v>
      </c>
      <c r="BA1350" t="s">
        <v>71</v>
      </c>
      <c r="BB1350">
        <v>0</v>
      </c>
      <c r="BD1350">
        <v>0.46410000000000001</v>
      </c>
    </row>
    <row r="1351" spans="1:56" x14ac:dyDescent="0.15">
      <c r="A1351" s="4" t="str">
        <f>HYPERLINK("https://ibp.a2mac1.com/costing(costing:projects/details/9760/part/8412956)","15th HV cable support")</f>
        <v>15th HV cable support</v>
      </c>
      <c r="B1351">
        <v>8412956</v>
      </c>
      <c r="C1351">
        <v>8412874</v>
      </c>
      <c r="D1351" t="s">
        <v>3677</v>
      </c>
      <c r="E1351">
        <v>0.46410000000000001</v>
      </c>
      <c r="F1351">
        <v>0</v>
      </c>
      <c r="G1351">
        <v>0</v>
      </c>
      <c r="H1351">
        <v>0</v>
      </c>
      <c r="I1351" t="s">
        <v>71</v>
      </c>
      <c r="J1351">
        <v>0</v>
      </c>
      <c r="K1351">
        <v>0.46410000000000001</v>
      </c>
      <c r="L1351">
        <v>0</v>
      </c>
      <c r="M1351">
        <v>0</v>
      </c>
      <c r="N1351">
        <v>0.46410000000000001</v>
      </c>
      <c r="O1351" t="s">
        <v>71</v>
      </c>
      <c r="P1351">
        <v>0</v>
      </c>
      <c r="Q1351" t="s">
        <v>71</v>
      </c>
      <c r="R1351">
        <v>0</v>
      </c>
      <c r="S1351" t="s">
        <v>71</v>
      </c>
      <c r="T1351">
        <v>0</v>
      </c>
      <c r="U1351" t="s">
        <v>71</v>
      </c>
      <c r="V1351">
        <v>0</v>
      </c>
      <c r="W1351" t="s">
        <v>71</v>
      </c>
      <c r="X1351">
        <v>0</v>
      </c>
      <c r="Y1351">
        <v>0.46410000000000001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57</v>
      </c>
      <c r="AF1351">
        <v>117</v>
      </c>
      <c r="AG1351">
        <v>70</v>
      </c>
      <c r="AH1351">
        <v>0</v>
      </c>
      <c r="AI1351">
        <v>3.5000000000000003E-2</v>
      </c>
      <c r="AK1351" t="s">
        <v>100</v>
      </c>
      <c r="AM1351">
        <v>200000</v>
      </c>
      <c r="AN1351" t="s">
        <v>97</v>
      </c>
      <c r="AO1351">
        <v>1</v>
      </c>
      <c r="AP1351">
        <v>0</v>
      </c>
      <c r="AQ1351">
        <v>16666.666666666668</v>
      </c>
      <c r="AR1351" t="s">
        <v>3686</v>
      </c>
      <c r="AS1351" t="s">
        <v>75</v>
      </c>
      <c r="AX1351" t="s">
        <v>76</v>
      </c>
      <c r="AY1351" t="s">
        <v>71</v>
      </c>
      <c r="AZ1351">
        <v>0</v>
      </c>
      <c r="BA1351" t="s">
        <v>71</v>
      </c>
      <c r="BB1351">
        <v>0</v>
      </c>
      <c r="BD1351">
        <v>0.46410000000000001</v>
      </c>
    </row>
    <row r="1352" spans="1:56" x14ac:dyDescent="0.15">
      <c r="A1352" s="4" t="str">
        <f>HYPERLINK("https://ibp.a2mac1.com/costing(costing:projects/details/9760/part/8412957)","16th HV cable support")</f>
        <v>16th HV cable support</v>
      </c>
      <c r="B1352">
        <v>8412957</v>
      </c>
      <c r="C1352">
        <v>8412874</v>
      </c>
      <c r="D1352" t="s">
        <v>3677</v>
      </c>
      <c r="E1352">
        <v>0.46410000000000001</v>
      </c>
      <c r="F1352">
        <v>0</v>
      </c>
      <c r="G1352">
        <v>0</v>
      </c>
      <c r="H1352">
        <v>0</v>
      </c>
      <c r="I1352" t="s">
        <v>71</v>
      </c>
      <c r="J1352">
        <v>0</v>
      </c>
      <c r="K1352">
        <v>0.46410000000000001</v>
      </c>
      <c r="L1352">
        <v>0</v>
      </c>
      <c r="M1352">
        <v>0</v>
      </c>
      <c r="N1352">
        <v>0.46410000000000001</v>
      </c>
      <c r="O1352" t="s">
        <v>71</v>
      </c>
      <c r="P1352">
        <v>0</v>
      </c>
      <c r="Q1352" t="s">
        <v>71</v>
      </c>
      <c r="R1352">
        <v>0</v>
      </c>
      <c r="S1352" t="s">
        <v>71</v>
      </c>
      <c r="T1352">
        <v>0</v>
      </c>
      <c r="U1352" t="s">
        <v>71</v>
      </c>
      <c r="V1352">
        <v>0</v>
      </c>
      <c r="W1352" t="s">
        <v>71</v>
      </c>
      <c r="X1352">
        <v>0</v>
      </c>
      <c r="Y1352">
        <v>0.46410000000000001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57</v>
      </c>
      <c r="AF1352">
        <v>117</v>
      </c>
      <c r="AG1352">
        <v>70</v>
      </c>
      <c r="AH1352">
        <v>0</v>
      </c>
      <c r="AI1352">
        <v>3.5000000000000003E-2</v>
      </c>
      <c r="AK1352" t="s">
        <v>100</v>
      </c>
      <c r="AM1352">
        <v>200000</v>
      </c>
      <c r="AN1352" t="s">
        <v>97</v>
      </c>
      <c r="AO1352">
        <v>1</v>
      </c>
      <c r="AP1352">
        <v>0</v>
      </c>
      <c r="AQ1352">
        <v>16666.666666666668</v>
      </c>
      <c r="AR1352" t="s">
        <v>3687</v>
      </c>
      <c r="AS1352" t="s">
        <v>75</v>
      </c>
      <c r="AX1352" t="s">
        <v>76</v>
      </c>
      <c r="AY1352" t="s">
        <v>71</v>
      </c>
      <c r="AZ1352">
        <v>0</v>
      </c>
      <c r="BA1352" t="s">
        <v>71</v>
      </c>
      <c r="BB1352">
        <v>0</v>
      </c>
      <c r="BD1352">
        <v>0.46410000000000001</v>
      </c>
    </row>
    <row r="1353" spans="1:56" x14ac:dyDescent="0.15">
      <c r="A1353" s="4" t="str">
        <f>HYPERLINK("https://ibp.a2mac1.com/costing(costing:projects/details/9760/part/8412958)","17th HV cable support")</f>
        <v>17th HV cable support</v>
      </c>
      <c r="B1353">
        <v>8412958</v>
      </c>
      <c r="C1353">
        <v>8412874</v>
      </c>
      <c r="D1353" t="s">
        <v>3677</v>
      </c>
      <c r="E1353">
        <v>0.57169999999999999</v>
      </c>
      <c r="F1353">
        <v>0</v>
      </c>
      <c r="G1353">
        <v>0</v>
      </c>
      <c r="H1353">
        <v>0</v>
      </c>
      <c r="I1353" t="s">
        <v>71</v>
      </c>
      <c r="J1353">
        <v>0</v>
      </c>
      <c r="K1353">
        <v>0.57169999999999999</v>
      </c>
      <c r="L1353">
        <v>0</v>
      </c>
      <c r="M1353">
        <v>0</v>
      </c>
      <c r="N1353">
        <v>0.57169999999999999</v>
      </c>
      <c r="O1353" t="s">
        <v>71</v>
      </c>
      <c r="P1353">
        <v>0</v>
      </c>
      <c r="Q1353" t="s">
        <v>71</v>
      </c>
      <c r="R1353">
        <v>0</v>
      </c>
      <c r="S1353" t="s">
        <v>71</v>
      </c>
      <c r="T1353">
        <v>0</v>
      </c>
      <c r="U1353" t="s">
        <v>71</v>
      </c>
      <c r="V1353">
        <v>0</v>
      </c>
      <c r="W1353" t="s">
        <v>71</v>
      </c>
      <c r="X1353">
        <v>0</v>
      </c>
      <c r="Y1353">
        <v>0.57169999999999999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50</v>
      </c>
      <c r="AF1353">
        <v>196</v>
      </c>
      <c r="AG1353">
        <v>68</v>
      </c>
      <c r="AH1353">
        <v>0</v>
      </c>
      <c r="AI1353">
        <v>4.7E-2</v>
      </c>
      <c r="AK1353" t="s">
        <v>100</v>
      </c>
      <c r="AM1353">
        <v>200000</v>
      </c>
      <c r="AN1353" t="s">
        <v>97</v>
      </c>
      <c r="AO1353">
        <v>1</v>
      </c>
      <c r="AP1353">
        <v>0</v>
      </c>
      <c r="AQ1353">
        <v>16666.666666666668</v>
      </c>
      <c r="AR1353" t="s">
        <v>3688</v>
      </c>
      <c r="AS1353" t="s">
        <v>75</v>
      </c>
      <c r="AX1353" t="s">
        <v>76</v>
      </c>
      <c r="AY1353" t="s">
        <v>71</v>
      </c>
      <c r="AZ1353">
        <v>0</v>
      </c>
      <c r="BA1353" t="s">
        <v>71</v>
      </c>
      <c r="BB1353">
        <v>0</v>
      </c>
      <c r="BD1353">
        <v>0.57169999999999999</v>
      </c>
    </row>
    <row r="1354" spans="1:56" x14ac:dyDescent="0.15">
      <c r="A1354" s="4" t="str">
        <f>HYPERLINK("https://ibp.a2mac1.com/costing(costing:projects/details/9760/part/8412959)","18th HV cable support")</f>
        <v>18th HV cable support</v>
      </c>
      <c r="B1354">
        <v>8412959</v>
      </c>
      <c r="C1354">
        <v>8412874</v>
      </c>
      <c r="D1354" t="s">
        <v>3541</v>
      </c>
      <c r="E1354">
        <v>0.28220000000000001</v>
      </c>
      <c r="F1354">
        <v>0</v>
      </c>
      <c r="G1354">
        <v>0</v>
      </c>
      <c r="H1354">
        <v>0</v>
      </c>
      <c r="I1354" t="s">
        <v>71</v>
      </c>
      <c r="J1354">
        <v>0</v>
      </c>
      <c r="K1354">
        <v>0.28220000000000001</v>
      </c>
      <c r="L1354">
        <v>0</v>
      </c>
      <c r="M1354">
        <v>0</v>
      </c>
      <c r="N1354">
        <v>0.28220000000000001</v>
      </c>
      <c r="O1354" t="s">
        <v>71</v>
      </c>
      <c r="P1354">
        <v>0</v>
      </c>
      <c r="Q1354" t="s">
        <v>71</v>
      </c>
      <c r="R1354">
        <v>0</v>
      </c>
      <c r="S1354" t="s">
        <v>71</v>
      </c>
      <c r="T1354">
        <v>0</v>
      </c>
      <c r="U1354" t="s">
        <v>71</v>
      </c>
      <c r="V1354">
        <v>0</v>
      </c>
      <c r="W1354" t="s">
        <v>71</v>
      </c>
      <c r="X1354">
        <v>0</v>
      </c>
      <c r="Y1354">
        <v>0.28220000000000001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30</v>
      </c>
      <c r="AF1354">
        <v>59</v>
      </c>
      <c r="AG1354">
        <v>159</v>
      </c>
      <c r="AH1354">
        <v>0</v>
      </c>
      <c r="AI1354">
        <v>7.5999999999999998E-2</v>
      </c>
      <c r="AK1354" t="s">
        <v>100</v>
      </c>
      <c r="AM1354">
        <v>200000</v>
      </c>
      <c r="AN1354" t="s">
        <v>97</v>
      </c>
      <c r="AO1354">
        <v>1</v>
      </c>
      <c r="AP1354">
        <v>0</v>
      </c>
      <c r="AQ1354">
        <v>16666.666666666668</v>
      </c>
      <c r="AR1354" t="s">
        <v>3689</v>
      </c>
      <c r="AS1354" t="s">
        <v>75</v>
      </c>
      <c r="AX1354" t="s">
        <v>76</v>
      </c>
      <c r="AY1354" t="s">
        <v>71</v>
      </c>
      <c r="AZ1354">
        <v>0</v>
      </c>
      <c r="BA1354" t="s">
        <v>71</v>
      </c>
      <c r="BB1354">
        <v>0</v>
      </c>
      <c r="BD1354">
        <v>0.28220000000000001</v>
      </c>
    </row>
    <row r="1355" spans="1:56" x14ac:dyDescent="0.15">
      <c r="A1355" s="4" t="str">
        <f>HYPERLINK("https://ibp.a2mac1.com/costing(costing:projects/details/9760/part/8412960)","18th HV cable support")</f>
        <v>18th HV cable support</v>
      </c>
      <c r="B1355">
        <v>8412960</v>
      </c>
      <c r="C1355">
        <v>8412874</v>
      </c>
      <c r="D1355" t="s">
        <v>3541</v>
      </c>
      <c r="E1355">
        <v>0.25569999999999998</v>
      </c>
      <c r="F1355">
        <v>0</v>
      </c>
      <c r="G1355">
        <v>0</v>
      </c>
      <c r="H1355">
        <v>0</v>
      </c>
      <c r="I1355" t="s">
        <v>71</v>
      </c>
      <c r="J1355">
        <v>0</v>
      </c>
      <c r="K1355">
        <v>0.25569999999999998</v>
      </c>
      <c r="L1355">
        <v>0</v>
      </c>
      <c r="M1355">
        <v>0</v>
      </c>
      <c r="N1355">
        <v>0.25569999999999998</v>
      </c>
      <c r="O1355" t="s">
        <v>71</v>
      </c>
      <c r="P1355">
        <v>0</v>
      </c>
      <c r="Q1355" t="s">
        <v>71</v>
      </c>
      <c r="R1355">
        <v>0</v>
      </c>
      <c r="S1355" t="s">
        <v>71</v>
      </c>
      <c r="T1355">
        <v>0</v>
      </c>
      <c r="U1355" t="s">
        <v>71</v>
      </c>
      <c r="V1355">
        <v>0</v>
      </c>
      <c r="W1355" t="s">
        <v>71</v>
      </c>
      <c r="X1355">
        <v>0</v>
      </c>
      <c r="Y1355">
        <v>0.25569999999999998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60</v>
      </c>
      <c r="AF1355">
        <v>86</v>
      </c>
      <c r="AG1355">
        <v>70</v>
      </c>
      <c r="AH1355">
        <v>0</v>
      </c>
      <c r="AI1355">
        <v>6.0999999999999999E-2</v>
      </c>
      <c r="AK1355" t="s">
        <v>100</v>
      </c>
      <c r="AM1355">
        <v>200000</v>
      </c>
      <c r="AN1355" t="s">
        <v>97</v>
      </c>
      <c r="AO1355">
        <v>1</v>
      </c>
      <c r="AP1355">
        <v>0</v>
      </c>
      <c r="AQ1355">
        <v>16666.666666666668</v>
      </c>
      <c r="AR1355" t="s">
        <v>3690</v>
      </c>
      <c r="AS1355" t="s">
        <v>75</v>
      </c>
      <c r="AX1355" t="s">
        <v>76</v>
      </c>
      <c r="AY1355" t="s">
        <v>71</v>
      </c>
      <c r="AZ1355">
        <v>0</v>
      </c>
      <c r="BA1355" t="s">
        <v>71</v>
      </c>
      <c r="BB1355">
        <v>0</v>
      </c>
      <c r="BD1355">
        <v>0.25569999999999998</v>
      </c>
    </row>
    <row r="1356" spans="1:56" x14ac:dyDescent="0.15">
      <c r="A1356" s="4" t="str">
        <f>HYPERLINK("https://ibp.a2mac1.com/costing(costing:projects/details/9760/part/8412961)","19th HV cable support")</f>
        <v>19th HV cable support</v>
      </c>
      <c r="B1356">
        <v>8412961</v>
      </c>
      <c r="C1356">
        <v>8412874</v>
      </c>
      <c r="D1356" t="s">
        <v>3541</v>
      </c>
      <c r="E1356">
        <v>0.30959999999999999</v>
      </c>
      <c r="F1356">
        <v>0</v>
      </c>
      <c r="G1356">
        <v>0</v>
      </c>
      <c r="H1356">
        <v>0</v>
      </c>
      <c r="I1356" t="s">
        <v>71</v>
      </c>
      <c r="J1356">
        <v>0</v>
      </c>
      <c r="K1356">
        <v>0.30959999999999999</v>
      </c>
      <c r="L1356">
        <v>0</v>
      </c>
      <c r="M1356">
        <v>0</v>
      </c>
      <c r="N1356">
        <v>0.30959999999999999</v>
      </c>
      <c r="O1356" t="s">
        <v>71</v>
      </c>
      <c r="P1356">
        <v>0</v>
      </c>
      <c r="Q1356" t="s">
        <v>71</v>
      </c>
      <c r="R1356">
        <v>0</v>
      </c>
      <c r="S1356" t="s">
        <v>71</v>
      </c>
      <c r="T1356">
        <v>0</v>
      </c>
      <c r="U1356" t="s">
        <v>71</v>
      </c>
      <c r="V1356">
        <v>0</v>
      </c>
      <c r="W1356" t="s">
        <v>71</v>
      </c>
      <c r="X1356">
        <v>0</v>
      </c>
      <c r="Y1356">
        <v>0.30959999999999999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22</v>
      </c>
      <c r="AF1356">
        <v>95</v>
      </c>
      <c r="AG1356">
        <v>87</v>
      </c>
      <c r="AH1356">
        <v>0</v>
      </c>
      <c r="AI1356">
        <v>5.7000000000000002E-2</v>
      </c>
      <c r="AK1356" t="s">
        <v>100</v>
      </c>
      <c r="AM1356">
        <v>200000</v>
      </c>
      <c r="AN1356" t="s">
        <v>97</v>
      </c>
      <c r="AO1356">
        <v>1</v>
      </c>
      <c r="AP1356">
        <v>0</v>
      </c>
      <c r="AQ1356">
        <v>16666.666666666668</v>
      </c>
      <c r="AR1356" t="s">
        <v>3691</v>
      </c>
      <c r="AS1356" t="s">
        <v>75</v>
      </c>
      <c r="AX1356" t="s">
        <v>76</v>
      </c>
      <c r="AY1356" t="s">
        <v>71</v>
      </c>
      <c r="AZ1356">
        <v>0</v>
      </c>
      <c r="BA1356" t="s">
        <v>71</v>
      </c>
      <c r="BB1356">
        <v>0</v>
      </c>
      <c r="BD1356">
        <v>0.30959999999999999</v>
      </c>
    </row>
    <row r="1357" spans="1:56" x14ac:dyDescent="0.15">
      <c r="A1357" s="4" t="str">
        <f>HYPERLINK("https://ibp.a2mac1.com/costing(costing:projects/details/9760/part/8412962)","Guide on engine")</f>
        <v>Guide on engine</v>
      </c>
      <c r="B1357">
        <v>8412962</v>
      </c>
      <c r="C1357">
        <v>8412875</v>
      </c>
      <c r="D1357" t="s">
        <v>3677</v>
      </c>
      <c r="E1357">
        <v>0.33850000000000002</v>
      </c>
      <c r="F1357">
        <v>0</v>
      </c>
      <c r="G1357">
        <v>0</v>
      </c>
      <c r="H1357">
        <v>0</v>
      </c>
      <c r="I1357" t="s">
        <v>71</v>
      </c>
      <c r="J1357">
        <v>0</v>
      </c>
      <c r="K1357">
        <v>0.33850000000000002</v>
      </c>
      <c r="L1357">
        <v>0</v>
      </c>
      <c r="M1357">
        <v>0</v>
      </c>
      <c r="N1357">
        <v>0.33850000000000002</v>
      </c>
      <c r="O1357" t="s">
        <v>71</v>
      </c>
      <c r="P1357">
        <v>0</v>
      </c>
      <c r="Q1357" t="s">
        <v>71</v>
      </c>
      <c r="R1357">
        <v>0</v>
      </c>
      <c r="S1357" t="s">
        <v>71</v>
      </c>
      <c r="T1357">
        <v>0</v>
      </c>
      <c r="U1357" t="s">
        <v>71</v>
      </c>
      <c r="V1357">
        <v>0</v>
      </c>
      <c r="W1357" t="s">
        <v>71</v>
      </c>
      <c r="X1357">
        <v>0</v>
      </c>
      <c r="Y1357">
        <v>0.33850000000000002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27</v>
      </c>
      <c r="AF1357">
        <v>36</v>
      </c>
      <c r="AG1357">
        <v>77</v>
      </c>
      <c r="AH1357">
        <v>0</v>
      </c>
      <c r="AI1357">
        <v>2.1000000000000001E-2</v>
      </c>
      <c r="AK1357" t="s">
        <v>100</v>
      </c>
      <c r="AM1357">
        <v>200000</v>
      </c>
      <c r="AN1357" t="s">
        <v>97</v>
      </c>
      <c r="AO1357">
        <v>1</v>
      </c>
      <c r="AP1357">
        <v>0</v>
      </c>
      <c r="AQ1357">
        <v>16666.666666666668</v>
      </c>
      <c r="AR1357" t="s">
        <v>3694</v>
      </c>
      <c r="AS1357" t="s">
        <v>75</v>
      </c>
      <c r="AX1357" t="s">
        <v>76</v>
      </c>
      <c r="AY1357" t="s">
        <v>71</v>
      </c>
      <c r="AZ1357">
        <v>0</v>
      </c>
      <c r="BA1357" t="s">
        <v>71</v>
      </c>
      <c r="BB1357">
        <v>0</v>
      </c>
      <c r="BD1357">
        <v>0.33850000000000002</v>
      </c>
    </row>
    <row r="1358" spans="1:56" x14ac:dyDescent="0.15">
      <c r="A1358" s="4" t="str">
        <f>HYPERLINK("https://ibp.a2mac1.com/costing(costing:projects/details/9760/part/8412963)","2nd guide on engine")</f>
        <v>2nd guide on engine</v>
      </c>
      <c r="B1358">
        <v>8412963</v>
      </c>
      <c r="C1358">
        <v>8412875</v>
      </c>
      <c r="D1358" t="s">
        <v>3677</v>
      </c>
      <c r="E1358">
        <v>0.32952999999999999</v>
      </c>
      <c r="F1358">
        <v>0</v>
      </c>
      <c r="G1358">
        <v>0</v>
      </c>
      <c r="H1358">
        <v>0</v>
      </c>
      <c r="I1358" t="s">
        <v>71</v>
      </c>
      <c r="J1358">
        <v>0</v>
      </c>
      <c r="K1358">
        <v>0.32952999999999999</v>
      </c>
      <c r="L1358">
        <v>0</v>
      </c>
      <c r="M1358">
        <v>0</v>
      </c>
      <c r="N1358">
        <v>0.32952999999999999</v>
      </c>
      <c r="O1358" t="s">
        <v>71</v>
      </c>
      <c r="P1358">
        <v>0</v>
      </c>
      <c r="Q1358" t="s">
        <v>71</v>
      </c>
      <c r="R1358">
        <v>0</v>
      </c>
      <c r="S1358" t="s">
        <v>71</v>
      </c>
      <c r="T1358">
        <v>0</v>
      </c>
      <c r="U1358" t="s">
        <v>71</v>
      </c>
      <c r="V1358">
        <v>0</v>
      </c>
      <c r="W1358" t="s">
        <v>71</v>
      </c>
      <c r="X1358">
        <v>0</v>
      </c>
      <c r="Y1358">
        <v>0.32952999999999999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63</v>
      </c>
      <c r="AF1358">
        <v>41</v>
      </c>
      <c r="AG1358">
        <v>58</v>
      </c>
      <c r="AH1358">
        <v>0</v>
      </c>
      <c r="AI1358">
        <v>0.02</v>
      </c>
      <c r="AK1358" t="s">
        <v>100</v>
      </c>
      <c r="AM1358">
        <v>200000</v>
      </c>
      <c r="AN1358" t="s">
        <v>97</v>
      </c>
      <c r="AO1358">
        <v>1</v>
      </c>
      <c r="AP1358">
        <v>0</v>
      </c>
      <c r="AQ1358">
        <v>16666.666666666668</v>
      </c>
      <c r="AR1358" t="s">
        <v>3695</v>
      </c>
      <c r="AS1358" t="s">
        <v>75</v>
      </c>
      <c r="AX1358" t="s">
        <v>76</v>
      </c>
      <c r="AY1358" t="s">
        <v>71</v>
      </c>
      <c r="AZ1358">
        <v>0</v>
      </c>
      <c r="BA1358" t="s">
        <v>71</v>
      </c>
      <c r="BB1358">
        <v>0</v>
      </c>
      <c r="BD1358">
        <v>0.32952999999999999</v>
      </c>
    </row>
    <row r="1359" spans="1:56" x14ac:dyDescent="0.15">
      <c r="A1359" s="4" t="str">
        <f>HYPERLINK("https://ibp.a2mac1.com/costing(costing:projects/details/9760/part/8412964)","3rd Guide on Engine")</f>
        <v>3rd Guide on Engine</v>
      </c>
      <c r="B1359">
        <v>8412964</v>
      </c>
      <c r="C1359">
        <v>8412875</v>
      </c>
      <c r="D1359" t="s">
        <v>3677</v>
      </c>
      <c r="E1359">
        <v>0.46411000000000002</v>
      </c>
      <c r="F1359">
        <v>0</v>
      </c>
      <c r="G1359">
        <v>0</v>
      </c>
      <c r="H1359">
        <v>0</v>
      </c>
      <c r="I1359" t="s">
        <v>71</v>
      </c>
      <c r="J1359">
        <v>0</v>
      </c>
      <c r="K1359">
        <v>0.46411000000000002</v>
      </c>
      <c r="L1359">
        <v>0</v>
      </c>
      <c r="M1359">
        <v>0</v>
      </c>
      <c r="N1359">
        <v>0.46411000000000002</v>
      </c>
      <c r="O1359" t="s">
        <v>71</v>
      </c>
      <c r="P1359">
        <v>0</v>
      </c>
      <c r="Q1359" t="s">
        <v>71</v>
      </c>
      <c r="R1359">
        <v>0</v>
      </c>
      <c r="S1359" t="s">
        <v>71</v>
      </c>
      <c r="T1359">
        <v>0</v>
      </c>
      <c r="U1359" t="s">
        <v>71</v>
      </c>
      <c r="V1359">
        <v>0</v>
      </c>
      <c r="W1359" t="s">
        <v>71</v>
      </c>
      <c r="X1359">
        <v>0</v>
      </c>
      <c r="Y1359">
        <v>0.46411000000000002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160</v>
      </c>
      <c r="AF1359">
        <v>52</v>
      </c>
      <c r="AG1359">
        <v>73</v>
      </c>
      <c r="AH1359">
        <v>0</v>
      </c>
      <c r="AI1359">
        <v>3.5000000000000003E-2</v>
      </c>
      <c r="AK1359" t="s">
        <v>100</v>
      </c>
      <c r="AM1359">
        <v>200000</v>
      </c>
      <c r="AN1359" t="s">
        <v>97</v>
      </c>
      <c r="AO1359">
        <v>1</v>
      </c>
      <c r="AP1359">
        <v>0</v>
      </c>
      <c r="AQ1359">
        <v>16666.666666666668</v>
      </c>
      <c r="AR1359" t="s">
        <v>3696</v>
      </c>
      <c r="AS1359" t="s">
        <v>75</v>
      </c>
      <c r="AX1359" t="s">
        <v>76</v>
      </c>
      <c r="AY1359" t="s">
        <v>71</v>
      </c>
      <c r="AZ1359">
        <v>0</v>
      </c>
      <c r="BA1359" t="s">
        <v>71</v>
      </c>
      <c r="BB1359">
        <v>0</v>
      </c>
      <c r="BD1359">
        <v>0.46411000000000002</v>
      </c>
    </row>
    <row r="1360" spans="1:56" x14ac:dyDescent="0.15">
      <c r="A1360" s="4" t="str">
        <f>HYPERLINK("https://ibp.a2mac1.com/costing(costing:projects/details/9760/part/8412965)","On Battery")</f>
        <v>On Battery</v>
      </c>
      <c r="B1360">
        <v>8412965</v>
      </c>
      <c r="C1360">
        <v>8412875</v>
      </c>
      <c r="D1360" t="s">
        <v>3677</v>
      </c>
      <c r="E1360">
        <v>0.59869000000000006</v>
      </c>
      <c r="F1360">
        <v>0</v>
      </c>
      <c r="G1360">
        <v>0</v>
      </c>
      <c r="H1360">
        <v>0</v>
      </c>
      <c r="I1360" t="s">
        <v>71</v>
      </c>
      <c r="J1360">
        <v>0</v>
      </c>
      <c r="K1360">
        <v>0.59869000000000006</v>
      </c>
      <c r="L1360">
        <v>0</v>
      </c>
      <c r="M1360">
        <v>0</v>
      </c>
      <c r="N1360">
        <v>0.59869000000000006</v>
      </c>
      <c r="O1360" t="s">
        <v>71</v>
      </c>
      <c r="P1360">
        <v>0</v>
      </c>
      <c r="Q1360" t="s">
        <v>71</v>
      </c>
      <c r="R1360">
        <v>0</v>
      </c>
      <c r="S1360" t="s">
        <v>71</v>
      </c>
      <c r="T1360">
        <v>0</v>
      </c>
      <c r="U1360" t="s">
        <v>71</v>
      </c>
      <c r="V1360">
        <v>0</v>
      </c>
      <c r="W1360" t="s">
        <v>71</v>
      </c>
      <c r="X1360">
        <v>0</v>
      </c>
      <c r="Y1360">
        <v>0.59869000000000006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70</v>
      </c>
      <c r="AF1360">
        <v>178</v>
      </c>
      <c r="AG1360">
        <v>65</v>
      </c>
      <c r="AH1360">
        <v>0</v>
      </c>
      <c r="AI1360">
        <v>0.05</v>
      </c>
      <c r="AK1360" t="s">
        <v>100</v>
      </c>
      <c r="AM1360">
        <v>200000</v>
      </c>
      <c r="AN1360" t="s">
        <v>97</v>
      </c>
      <c r="AO1360">
        <v>1</v>
      </c>
      <c r="AP1360">
        <v>0</v>
      </c>
      <c r="AQ1360">
        <v>16666.666666666668</v>
      </c>
      <c r="AR1360" t="s">
        <v>3697</v>
      </c>
      <c r="AS1360" t="s">
        <v>75</v>
      </c>
      <c r="AX1360" t="s">
        <v>76</v>
      </c>
      <c r="AY1360" t="s">
        <v>71</v>
      </c>
      <c r="AZ1360">
        <v>0</v>
      </c>
      <c r="BA1360" t="s">
        <v>71</v>
      </c>
      <c r="BB1360">
        <v>0</v>
      </c>
      <c r="BD1360">
        <v>0.59869000000000006</v>
      </c>
    </row>
    <row r="1361" spans="1:56" x14ac:dyDescent="0.15">
      <c r="A1361" s="4" t="str">
        <f>HYPERLINK("https://ibp.a2mac1.com/costing(costing:projects/details/9760/part/8412966)","2nd On Battery")</f>
        <v>2nd On Battery</v>
      </c>
      <c r="B1361">
        <v>8412966</v>
      </c>
      <c r="C1361">
        <v>8412875</v>
      </c>
      <c r="D1361" t="s">
        <v>3677</v>
      </c>
      <c r="E1361">
        <v>0.57177</v>
      </c>
      <c r="F1361">
        <v>0</v>
      </c>
      <c r="G1361">
        <v>0</v>
      </c>
      <c r="H1361">
        <v>0</v>
      </c>
      <c r="I1361" t="s">
        <v>71</v>
      </c>
      <c r="J1361">
        <v>0</v>
      </c>
      <c r="K1361">
        <v>0.57177</v>
      </c>
      <c r="L1361">
        <v>0</v>
      </c>
      <c r="M1361">
        <v>0</v>
      </c>
      <c r="N1361">
        <v>0.57177</v>
      </c>
      <c r="O1361" t="s">
        <v>71</v>
      </c>
      <c r="P1361">
        <v>0</v>
      </c>
      <c r="Q1361" t="s">
        <v>71</v>
      </c>
      <c r="R1361">
        <v>0</v>
      </c>
      <c r="S1361" t="s">
        <v>71</v>
      </c>
      <c r="T1361">
        <v>0</v>
      </c>
      <c r="U1361" t="s">
        <v>71</v>
      </c>
      <c r="V1361">
        <v>0</v>
      </c>
      <c r="W1361" t="s">
        <v>71</v>
      </c>
      <c r="X1361">
        <v>0</v>
      </c>
      <c r="Y1361">
        <v>0.57177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50</v>
      </c>
      <c r="AF1361">
        <v>196</v>
      </c>
      <c r="AG1361">
        <v>68</v>
      </c>
      <c r="AH1361">
        <v>0</v>
      </c>
      <c r="AI1361">
        <v>4.7E-2</v>
      </c>
      <c r="AK1361" t="s">
        <v>100</v>
      </c>
      <c r="AM1361">
        <v>200000</v>
      </c>
      <c r="AN1361" t="s">
        <v>97</v>
      </c>
      <c r="AO1361">
        <v>1</v>
      </c>
      <c r="AP1361">
        <v>0</v>
      </c>
      <c r="AQ1361">
        <v>16666.666666666668</v>
      </c>
      <c r="AR1361" t="s">
        <v>3698</v>
      </c>
      <c r="AS1361" t="s">
        <v>75</v>
      </c>
      <c r="AX1361" t="s">
        <v>76</v>
      </c>
      <c r="AY1361" t="s">
        <v>71</v>
      </c>
      <c r="AZ1361">
        <v>0</v>
      </c>
      <c r="BA1361" t="s">
        <v>71</v>
      </c>
      <c r="BB1361">
        <v>0</v>
      </c>
      <c r="BD1361">
        <v>0.57177</v>
      </c>
    </row>
    <row r="1362" spans="1:56" x14ac:dyDescent="0.15">
      <c r="A1362" s="4" t="str">
        <f>HYPERLINK("https://ibp.a2mac1.com/costing(costing:projects/details/9760/part/8412967)","3rd On Battery")</f>
        <v>3rd On Battery</v>
      </c>
      <c r="B1362">
        <v>8412967</v>
      </c>
      <c r="C1362">
        <v>8412875</v>
      </c>
      <c r="D1362" t="s">
        <v>3677</v>
      </c>
      <c r="E1362">
        <v>0.46411000000000002</v>
      </c>
      <c r="F1362">
        <v>0</v>
      </c>
      <c r="G1362">
        <v>0</v>
      </c>
      <c r="H1362">
        <v>0</v>
      </c>
      <c r="I1362" t="s">
        <v>71</v>
      </c>
      <c r="J1362">
        <v>0</v>
      </c>
      <c r="K1362">
        <v>0.46411000000000002</v>
      </c>
      <c r="L1362">
        <v>0</v>
      </c>
      <c r="M1362">
        <v>0</v>
      </c>
      <c r="N1362">
        <v>0.46411000000000002</v>
      </c>
      <c r="O1362" t="s">
        <v>71</v>
      </c>
      <c r="P1362">
        <v>0</v>
      </c>
      <c r="Q1362" t="s">
        <v>71</v>
      </c>
      <c r="R1362">
        <v>0</v>
      </c>
      <c r="S1362" t="s">
        <v>71</v>
      </c>
      <c r="T1362">
        <v>0</v>
      </c>
      <c r="U1362" t="s">
        <v>71</v>
      </c>
      <c r="V1362">
        <v>0</v>
      </c>
      <c r="W1362" t="s">
        <v>71</v>
      </c>
      <c r="X1362">
        <v>0</v>
      </c>
      <c r="Y1362">
        <v>0.46411000000000002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57</v>
      </c>
      <c r="AF1362">
        <v>117</v>
      </c>
      <c r="AG1362">
        <v>70</v>
      </c>
      <c r="AH1362">
        <v>0</v>
      </c>
      <c r="AI1362">
        <v>3.5000000000000003E-2</v>
      </c>
      <c r="AK1362" t="s">
        <v>100</v>
      </c>
      <c r="AM1362">
        <v>200000</v>
      </c>
      <c r="AN1362" t="s">
        <v>97</v>
      </c>
      <c r="AO1362">
        <v>1</v>
      </c>
      <c r="AP1362">
        <v>0</v>
      </c>
      <c r="AQ1362">
        <v>16666.666666666668</v>
      </c>
      <c r="AR1362" t="s">
        <v>3699</v>
      </c>
      <c r="AS1362" t="s">
        <v>75</v>
      </c>
      <c r="AX1362" t="s">
        <v>76</v>
      </c>
      <c r="AY1362" t="s">
        <v>71</v>
      </c>
      <c r="AZ1362">
        <v>0</v>
      </c>
      <c r="BA1362" t="s">
        <v>71</v>
      </c>
      <c r="BB1362">
        <v>0</v>
      </c>
      <c r="BD1362">
        <v>0.46411000000000002</v>
      </c>
    </row>
    <row r="1363" spans="1:56" x14ac:dyDescent="0.15">
      <c r="A1363" s="4" t="str">
        <f>HYPERLINK("https://ibp.a2mac1.com/costing(costing:projects/details/9760/part/8412968)","Guide on Front Axle")</f>
        <v>Guide on Front Axle</v>
      </c>
      <c r="B1363">
        <v>8412968</v>
      </c>
      <c r="C1363">
        <v>8412875</v>
      </c>
      <c r="D1363" t="s">
        <v>3677</v>
      </c>
      <c r="E1363">
        <v>0.34747</v>
      </c>
      <c r="F1363">
        <v>0</v>
      </c>
      <c r="G1363">
        <v>0</v>
      </c>
      <c r="H1363">
        <v>0</v>
      </c>
      <c r="I1363" t="s">
        <v>71</v>
      </c>
      <c r="J1363">
        <v>0</v>
      </c>
      <c r="K1363">
        <v>0.34747</v>
      </c>
      <c r="L1363">
        <v>0</v>
      </c>
      <c r="M1363">
        <v>0</v>
      </c>
      <c r="N1363">
        <v>0.34747</v>
      </c>
      <c r="O1363" t="s">
        <v>71</v>
      </c>
      <c r="P1363">
        <v>0</v>
      </c>
      <c r="Q1363" t="s">
        <v>71</v>
      </c>
      <c r="R1363">
        <v>0</v>
      </c>
      <c r="S1363" t="s">
        <v>71</v>
      </c>
      <c r="T1363">
        <v>0</v>
      </c>
      <c r="U1363" t="s">
        <v>71</v>
      </c>
      <c r="V1363">
        <v>0</v>
      </c>
      <c r="W1363" t="s">
        <v>71</v>
      </c>
      <c r="X1363">
        <v>0</v>
      </c>
      <c r="Y1363">
        <v>0.34747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40</v>
      </c>
      <c r="AF1363">
        <v>48</v>
      </c>
      <c r="AG1363">
        <v>71</v>
      </c>
      <c r="AH1363">
        <v>0</v>
      </c>
      <c r="AI1363">
        <v>2.1999999999999999E-2</v>
      </c>
      <c r="AK1363" t="s">
        <v>100</v>
      </c>
      <c r="AM1363">
        <v>200000</v>
      </c>
      <c r="AN1363" t="s">
        <v>97</v>
      </c>
      <c r="AO1363">
        <v>1</v>
      </c>
      <c r="AP1363">
        <v>0</v>
      </c>
      <c r="AQ1363">
        <v>16666.666666666668</v>
      </c>
      <c r="AR1363" t="s">
        <v>3700</v>
      </c>
      <c r="AS1363" t="s">
        <v>75</v>
      </c>
      <c r="AX1363" t="s">
        <v>76</v>
      </c>
      <c r="AY1363" t="s">
        <v>71</v>
      </c>
      <c r="AZ1363">
        <v>0</v>
      </c>
      <c r="BA1363" t="s">
        <v>71</v>
      </c>
      <c r="BB1363">
        <v>0</v>
      </c>
      <c r="BD1363">
        <v>0.34747</v>
      </c>
    </row>
    <row r="1364" spans="1:56" x14ac:dyDescent="0.15">
      <c r="A1364" s="4" t="str">
        <f>HYPERLINK("https://ibp.a2mac1.com/costing(costing:projects/details/9760/part/8412969)","Support 1")</f>
        <v>Support 1</v>
      </c>
      <c r="B1364">
        <v>8412969</v>
      </c>
      <c r="C1364">
        <v>8412876</v>
      </c>
      <c r="D1364" t="s">
        <v>3705</v>
      </c>
      <c r="E1364">
        <v>3.0433400000000002</v>
      </c>
      <c r="F1364">
        <v>0</v>
      </c>
      <c r="G1364">
        <v>0</v>
      </c>
      <c r="H1364">
        <v>0</v>
      </c>
      <c r="I1364" t="s">
        <v>71</v>
      </c>
      <c r="J1364">
        <v>0</v>
      </c>
      <c r="K1364">
        <v>3.0433400000000002</v>
      </c>
      <c r="L1364">
        <v>0</v>
      </c>
      <c r="M1364">
        <v>0</v>
      </c>
      <c r="N1364">
        <v>3.0433400000000002</v>
      </c>
      <c r="O1364" t="s">
        <v>71</v>
      </c>
      <c r="P1364">
        <v>0</v>
      </c>
      <c r="Q1364" t="s">
        <v>71</v>
      </c>
      <c r="R1364">
        <v>0</v>
      </c>
      <c r="S1364" t="s">
        <v>71</v>
      </c>
      <c r="T1364">
        <v>0</v>
      </c>
      <c r="U1364" t="s">
        <v>71</v>
      </c>
      <c r="V1364">
        <v>0</v>
      </c>
      <c r="W1364" t="s">
        <v>71</v>
      </c>
      <c r="X1364">
        <v>0</v>
      </c>
      <c r="Y1364">
        <v>3.0433400000000002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59</v>
      </c>
      <c r="AF1364">
        <v>139</v>
      </c>
      <c r="AG1364">
        <v>166</v>
      </c>
      <c r="AH1364">
        <v>0</v>
      </c>
      <c r="AI1364">
        <v>0.63400000000000001</v>
      </c>
      <c r="AK1364" t="s">
        <v>100</v>
      </c>
      <c r="AM1364">
        <v>200000</v>
      </c>
      <c r="AN1364" t="s">
        <v>97</v>
      </c>
      <c r="AO1364">
        <v>1</v>
      </c>
      <c r="AP1364">
        <v>0</v>
      </c>
      <c r="AQ1364">
        <v>16666.666666666668</v>
      </c>
      <c r="AR1364" t="s">
        <v>3706</v>
      </c>
      <c r="AS1364" t="s">
        <v>75</v>
      </c>
      <c r="AX1364" t="s">
        <v>76</v>
      </c>
      <c r="AY1364" t="s">
        <v>71</v>
      </c>
      <c r="AZ1364">
        <v>0</v>
      </c>
      <c r="BA1364" t="s">
        <v>71</v>
      </c>
      <c r="BB1364">
        <v>0</v>
      </c>
      <c r="BD1364">
        <v>3.0433400000000002</v>
      </c>
    </row>
    <row r="1365" spans="1:56" x14ac:dyDescent="0.15">
      <c r="A1365" s="4" t="str">
        <f>HYPERLINK("https://ibp.a2mac1.com/costing(costing:projects/details/9760/part/8412970)","Support 2")</f>
        <v>Support 2</v>
      </c>
      <c r="B1365">
        <v>8412970</v>
      </c>
      <c r="C1365">
        <v>8412876</v>
      </c>
      <c r="D1365" t="s">
        <v>3705</v>
      </c>
      <c r="E1365">
        <v>4.5278</v>
      </c>
      <c r="F1365">
        <v>0</v>
      </c>
      <c r="G1365">
        <v>0</v>
      </c>
      <c r="H1365">
        <v>0</v>
      </c>
      <c r="I1365" t="s">
        <v>71</v>
      </c>
      <c r="J1365">
        <v>0</v>
      </c>
      <c r="K1365">
        <v>4.5278</v>
      </c>
      <c r="L1365">
        <v>0</v>
      </c>
      <c r="M1365">
        <v>0</v>
      </c>
      <c r="N1365">
        <v>4.5278</v>
      </c>
      <c r="O1365" t="s">
        <v>71</v>
      </c>
      <c r="P1365">
        <v>0</v>
      </c>
      <c r="Q1365" t="s">
        <v>71</v>
      </c>
      <c r="R1365">
        <v>0</v>
      </c>
      <c r="S1365" t="s">
        <v>71</v>
      </c>
      <c r="T1365">
        <v>0</v>
      </c>
      <c r="U1365" t="s">
        <v>71</v>
      </c>
      <c r="V1365">
        <v>0</v>
      </c>
      <c r="W1365" t="s">
        <v>71</v>
      </c>
      <c r="X1365">
        <v>0</v>
      </c>
      <c r="Y1365">
        <v>4.5278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114</v>
      </c>
      <c r="AF1365">
        <v>200</v>
      </c>
      <c r="AG1365">
        <v>176</v>
      </c>
      <c r="AH1365">
        <v>0</v>
      </c>
      <c r="AI1365">
        <v>1.028</v>
      </c>
      <c r="AK1365" t="s">
        <v>100</v>
      </c>
      <c r="AM1365">
        <v>200000</v>
      </c>
      <c r="AN1365" t="s">
        <v>97</v>
      </c>
      <c r="AO1365">
        <v>1</v>
      </c>
      <c r="AP1365">
        <v>0</v>
      </c>
      <c r="AQ1365">
        <v>16666.666666666668</v>
      </c>
      <c r="AR1365" t="s">
        <v>3709</v>
      </c>
      <c r="AS1365" t="s">
        <v>75</v>
      </c>
      <c r="AX1365" t="s">
        <v>76</v>
      </c>
      <c r="AY1365" t="s">
        <v>71</v>
      </c>
      <c r="AZ1365">
        <v>0</v>
      </c>
      <c r="BA1365" t="s">
        <v>71</v>
      </c>
      <c r="BB1365">
        <v>0</v>
      </c>
      <c r="BD1365">
        <v>4.5278</v>
      </c>
    </row>
    <row r="1366" spans="1:56" x14ac:dyDescent="0.15">
      <c r="A1366" s="4" t="str">
        <f>HYPERLINK("https://ibp.a2mac1.com/costing(costing:projects/details/9760/part/8412971)","Support 3")</f>
        <v>Support 3</v>
      </c>
      <c r="B1366">
        <v>8412971</v>
      </c>
      <c r="C1366">
        <v>8412876</v>
      </c>
      <c r="D1366" t="s">
        <v>3705</v>
      </c>
      <c r="E1366">
        <v>2.4866700000000002</v>
      </c>
      <c r="F1366">
        <v>0</v>
      </c>
      <c r="G1366">
        <v>0</v>
      </c>
      <c r="H1366">
        <v>0</v>
      </c>
      <c r="I1366" t="s">
        <v>71</v>
      </c>
      <c r="J1366">
        <v>0</v>
      </c>
      <c r="K1366">
        <v>2.4866700000000002</v>
      </c>
      <c r="L1366">
        <v>0</v>
      </c>
      <c r="M1366">
        <v>0</v>
      </c>
      <c r="N1366">
        <v>2.4866700000000002</v>
      </c>
      <c r="O1366" t="s">
        <v>71</v>
      </c>
      <c r="P1366">
        <v>0</v>
      </c>
      <c r="Q1366" t="s">
        <v>71</v>
      </c>
      <c r="R1366">
        <v>0</v>
      </c>
      <c r="S1366" t="s">
        <v>71</v>
      </c>
      <c r="T1366">
        <v>0</v>
      </c>
      <c r="U1366" t="s">
        <v>71</v>
      </c>
      <c r="V1366">
        <v>0</v>
      </c>
      <c r="W1366" t="s">
        <v>71</v>
      </c>
      <c r="X1366">
        <v>0</v>
      </c>
      <c r="Y1366">
        <v>2.4866700000000002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128</v>
      </c>
      <c r="AF1366">
        <v>70</v>
      </c>
      <c r="AG1366">
        <v>128</v>
      </c>
      <c r="AH1366">
        <v>0</v>
      </c>
      <c r="AI1366">
        <v>0.53</v>
      </c>
      <c r="AK1366" t="s">
        <v>100</v>
      </c>
      <c r="AM1366">
        <v>200000</v>
      </c>
      <c r="AN1366" t="s">
        <v>97</v>
      </c>
      <c r="AO1366">
        <v>1</v>
      </c>
      <c r="AP1366">
        <v>0</v>
      </c>
      <c r="AQ1366">
        <v>16666.666666666668</v>
      </c>
      <c r="AR1366" t="s">
        <v>3711</v>
      </c>
      <c r="AS1366" t="s">
        <v>75</v>
      </c>
      <c r="AX1366" t="s">
        <v>76</v>
      </c>
      <c r="AY1366" t="s">
        <v>71</v>
      </c>
      <c r="AZ1366">
        <v>0</v>
      </c>
      <c r="BA1366" t="s">
        <v>71</v>
      </c>
      <c r="BB1366">
        <v>0</v>
      </c>
      <c r="BD1366">
        <v>2.4866700000000002</v>
      </c>
    </row>
    <row r="1367" spans="1:56" x14ac:dyDescent="0.15">
      <c r="A1367" s="4" t="str">
        <f>HYPERLINK("https://ibp.a2mac1.com/costing(costing:projects/details/9760/part/8412972)","Reinforcement 1")</f>
        <v>Reinforcement 1</v>
      </c>
      <c r="B1367">
        <v>8412972</v>
      </c>
      <c r="C1367">
        <v>8412876</v>
      </c>
      <c r="D1367" t="s">
        <v>3713</v>
      </c>
      <c r="E1367">
        <v>0.75985999999999998</v>
      </c>
      <c r="F1367">
        <v>0</v>
      </c>
      <c r="G1367">
        <v>0</v>
      </c>
      <c r="H1367">
        <v>0</v>
      </c>
      <c r="I1367" t="s">
        <v>71</v>
      </c>
      <c r="J1367">
        <v>0</v>
      </c>
      <c r="K1367">
        <v>0.75985999999999998</v>
      </c>
      <c r="L1367">
        <v>0</v>
      </c>
      <c r="M1367">
        <v>0</v>
      </c>
      <c r="N1367">
        <v>0.75985999999999998</v>
      </c>
      <c r="O1367" t="s">
        <v>71</v>
      </c>
      <c r="P1367">
        <v>0</v>
      </c>
      <c r="Q1367" t="s">
        <v>71</v>
      </c>
      <c r="R1367">
        <v>0</v>
      </c>
      <c r="S1367" t="s">
        <v>71</v>
      </c>
      <c r="T1367">
        <v>0</v>
      </c>
      <c r="U1367" t="s">
        <v>71</v>
      </c>
      <c r="V1367">
        <v>0</v>
      </c>
      <c r="W1367" t="s">
        <v>71</v>
      </c>
      <c r="X1367">
        <v>0</v>
      </c>
      <c r="Y1367">
        <v>0.75985999999999998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8</v>
      </c>
      <c r="AF1367">
        <v>190</v>
      </c>
      <c r="AG1367">
        <v>77</v>
      </c>
      <c r="AH1367">
        <v>0</v>
      </c>
      <c r="AI1367">
        <v>0.20599999999999999</v>
      </c>
      <c r="AK1367" t="s">
        <v>100</v>
      </c>
      <c r="AM1367">
        <v>200000</v>
      </c>
      <c r="AN1367" t="s">
        <v>97</v>
      </c>
      <c r="AO1367">
        <v>1</v>
      </c>
      <c r="AP1367">
        <v>0</v>
      </c>
      <c r="AQ1367">
        <v>16666.666666666668</v>
      </c>
      <c r="AR1367" t="s">
        <v>3714</v>
      </c>
      <c r="AS1367" t="s">
        <v>75</v>
      </c>
      <c r="AX1367" t="s">
        <v>76</v>
      </c>
      <c r="AY1367" t="s">
        <v>71</v>
      </c>
      <c r="AZ1367">
        <v>0</v>
      </c>
      <c r="BA1367" t="s">
        <v>71</v>
      </c>
      <c r="BB1367">
        <v>0</v>
      </c>
      <c r="BD1367">
        <v>0.75985999999999998</v>
      </c>
    </row>
    <row r="1368" spans="1:56" x14ac:dyDescent="0.15">
      <c r="A1368" s="4" t="str">
        <f>HYPERLINK("https://ibp.a2mac1.com/costing(costing:projects/details/9760/part/8414952)","Left and right if similar")</f>
        <v>Left and right if similar</v>
      </c>
      <c r="B1368">
        <v>8414952</v>
      </c>
      <c r="C1368">
        <v>8414797</v>
      </c>
      <c r="E1368">
        <v>3.458667177777778</v>
      </c>
      <c r="F1368">
        <v>0</v>
      </c>
      <c r="G1368">
        <v>0</v>
      </c>
      <c r="H1368">
        <v>1.7500855919555556E-2</v>
      </c>
      <c r="I1368" t="s">
        <v>176</v>
      </c>
      <c r="J1368">
        <v>0.12105335122222222</v>
      </c>
      <c r="K1368">
        <v>3.5972213849195556</v>
      </c>
      <c r="L1368">
        <v>9.4194660272527514E-2</v>
      </c>
      <c r="M1368">
        <v>0.56516796163516514</v>
      </c>
      <c r="N1368">
        <v>4.162389346554721</v>
      </c>
      <c r="O1368" t="s">
        <v>177</v>
      </c>
      <c r="P1368">
        <v>0.21583328309517333</v>
      </c>
      <c r="Q1368" t="s">
        <v>177</v>
      </c>
      <c r="R1368">
        <v>3.3910077698109907E-2</v>
      </c>
      <c r="S1368" t="s">
        <v>178</v>
      </c>
      <c r="T1368">
        <v>0.49948672158656648</v>
      </c>
      <c r="U1368" t="s">
        <v>90</v>
      </c>
      <c r="V1368">
        <v>0</v>
      </c>
      <c r="W1368" t="s">
        <v>90</v>
      </c>
      <c r="X1368">
        <v>0</v>
      </c>
      <c r="Y1368">
        <v>4.9116194289345705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458</v>
      </c>
      <c r="AF1368">
        <v>197</v>
      </c>
      <c r="AG1368">
        <v>188</v>
      </c>
      <c r="AI1368">
        <v>0.91300000000000003</v>
      </c>
      <c r="AK1368" t="s">
        <v>740</v>
      </c>
      <c r="AL1368" t="s">
        <v>3729</v>
      </c>
      <c r="AM1368">
        <v>200000</v>
      </c>
      <c r="AN1368" t="s">
        <v>97</v>
      </c>
      <c r="AO1368">
        <v>1</v>
      </c>
      <c r="AP1368">
        <v>0</v>
      </c>
      <c r="AQ1368">
        <v>16666.666666666668</v>
      </c>
      <c r="AR1368" t="s">
        <v>3730</v>
      </c>
      <c r="AS1368" t="s">
        <v>75</v>
      </c>
      <c r="AX1368" t="s">
        <v>76</v>
      </c>
      <c r="AY1368" t="s">
        <v>176</v>
      </c>
      <c r="AZ1368">
        <v>0</v>
      </c>
      <c r="BA1368" t="s">
        <v>176</v>
      </c>
      <c r="BB1368">
        <v>0</v>
      </c>
    </row>
    <row r="1369" spans="1:56" x14ac:dyDescent="0.15">
      <c r="A1369" s="4" t="str">
        <f>HYPERLINK("https://ibp.a2mac1.com/costing(costing:projects/details/9760/part/8414953)","Central")</f>
        <v>Central</v>
      </c>
      <c r="B1369">
        <v>8414953</v>
      </c>
      <c r="C1369">
        <v>8414797</v>
      </c>
      <c r="E1369">
        <v>0.33</v>
      </c>
      <c r="F1369">
        <v>0</v>
      </c>
      <c r="G1369">
        <v>0</v>
      </c>
      <c r="H1369">
        <v>1.6697999999999999E-3</v>
      </c>
      <c r="I1369" t="s">
        <v>176</v>
      </c>
      <c r="J1369">
        <v>1.155E-2</v>
      </c>
      <c r="K1369">
        <v>0.34321980000000002</v>
      </c>
      <c r="L1369">
        <v>4.1212148323563194E-2</v>
      </c>
      <c r="M1369">
        <v>0.24727288994137919</v>
      </c>
      <c r="N1369">
        <v>0.59049268994137916</v>
      </c>
      <c r="O1369" t="s">
        <v>177</v>
      </c>
      <c r="P1369">
        <v>2.0593187999999998E-2</v>
      </c>
      <c r="Q1369" t="s">
        <v>177</v>
      </c>
      <c r="R1369">
        <v>1.4836373396482751E-2</v>
      </c>
      <c r="S1369" t="s">
        <v>178</v>
      </c>
      <c r="T1369">
        <v>7.0859122792965495E-2</v>
      </c>
      <c r="U1369" t="s">
        <v>90</v>
      </c>
      <c r="V1369">
        <v>0</v>
      </c>
      <c r="W1369" t="s">
        <v>90</v>
      </c>
      <c r="X1369">
        <v>0</v>
      </c>
      <c r="Y1369">
        <v>0.69678137413082741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466</v>
      </c>
      <c r="AF1369">
        <v>66</v>
      </c>
      <c r="AG1369">
        <v>72</v>
      </c>
      <c r="AI1369">
        <v>0.39600000000000002</v>
      </c>
      <c r="AK1369" t="s">
        <v>740</v>
      </c>
      <c r="AL1369" t="s">
        <v>96</v>
      </c>
      <c r="AM1369">
        <v>200000</v>
      </c>
      <c r="AN1369" t="s">
        <v>97</v>
      </c>
      <c r="AO1369">
        <v>1</v>
      </c>
      <c r="AP1369">
        <v>0</v>
      </c>
      <c r="AQ1369">
        <v>16666.666666666668</v>
      </c>
      <c r="AR1369" t="s">
        <v>3733</v>
      </c>
      <c r="AS1369" t="s">
        <v>75</v>
      </c>
      <c r="AX1369" t="s">
        <v>76</v>
      </c>
      <c r="AY1369" t="s">
        <v>176</v>
      </c>
      <c r="AZ1369">
        <v>0</v>
      </c>
      <c r="BA1369" t="s">
        <v>176</v>
      </c>
      <c r="BB1369">
        <v>0</v>
      </c>
    </row>
    <row r="1370" spans="1:56" x14ac:dyDescent="0.15">
      <c r="A1370" s="4" t="str">
        <f>HYPERLINK("https://ibp.a2mac1.com/costing(costing:projects/details/9760/part/8414795)","IP Reinforcement")</f>
        <v>IP Reinforcement</v>
      </c>
      <c r="B1370">
        <v>8414795</v>
      </c>
      <c r="C1370">
        <v>8414738</v>
      </c>
      <c r="E1370">
        <v>27.38</v>
      </c>
      <c r="F1370">
        <v>0</v>
      </c>
      <c r="G1370">
        <v>0</v>
      </c>
      <c r="H1370">
        <v>0.13854279999999999</v>
      </c>
      <c r="I1370" t="s">
        <v>176</v>
      </c>
      <c r="J1370">
        <v>0.95830000000000004</v>
      </c>
      <c r="K1370">
        <v>28.4768428</v>
      </c>
      <c r="L1370">
        <v>3.2837418796001794</v>
      </c>
      <c r="M1370">
        <v>19.702451277601078</v>
      </c>
      <c r="N1370">
        <v>48.179294077601078</v>
      </c>
      <c r="O1370" t="s">
        <v>177</v>
      </c>
      <c r="P1370">
        <v>1.7086105680000001</v>
      </c>
      <c r="Q1370" t="s">
        <v>177</v>
      </c>
      <c r="R1370">
        <v>1.1821470766560647</v>
      </c>
      <c r="S1370" t="s">
        <v>178</v>
      </c>
      <c r="T1370">
        <v>5.7815152893121295</v>
      </c>
      <c r="U1370" t="s">
        <v>90</v>
      </c>
      <c r="V1370">
        <v>0</v>
      </c>
      <c r="W1370" t="s">
        <v>90</v>
      </c>
      <c r="X1370">
        <v>0</v>
      </c>
      <c r="Y1370">
        <v>56.851567011569273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470</v>
      </c>
      <c r="AF1370">
        <v>1525</v>
      </c>
      <c r="AG1370">
        <v>650</v>
      </c>
      <c r="AI1370">
        <v>5.4139999999999997</v>
      </c>
      <c r="AK1370" t="s">
        <v>740</v>
      </c>
      <c r="AL1370" t="s">
        <v>3737</v>
      </c>
      <c r="AM1370">
        <v>200000</v>
      </c>
      <c r="AN1370" t="s">
        <v>97</v>
      </c>
      <c r="AO1370">
        <v>1</v>
      </c>
      <c r="AP1370">
        <v>0</v>
      </c>
      <c r="AQ1370">
        <v>16666.666666666668</v>
      </c>
      <c r="AR1370" t="s">
        <v>3738</v>
      </c>
      <c r="AS1370" t="s">
        <v>75</v>
      </c>
      <c r="AX1370" t="s">
        <v>76</v>
      </c>
      <c r="AY1370" t="s">
        <v>176</v>
      </c>
      <c r="AZ1370">
        <v>0</v>
      </c>
      <c r="BA1370" t="s">
        <v>176</v>
      </c>
      <c r="BB1370">
        <v>0</v>
      </c>
    </row>
    <row r="1371" spans="1:56" x14ac:dyDescent="0.15">
      <c r="A1371" s="4" t="str">
        <f>HYPERLINK("https://ibp.a2mac1.com/costing(costing:projects/details/9760/part/8414796)","Reinforcement Driver")</f>
        <v>Reinforcement Driver</v>
      </c>
      <c r="B1371">
        <v>8414796</v>
      </c>
      <c r="C1371">
        <v>8414738</v>
      </c>
      <c r="E1371">
        <v>2.4885631578947368E-2</v>
      </c>
      <c r="F1371">
        <v>0</v>
      </c>
      <c r="G1371">
        <v>0</v>
      </c>
      <c r="H1371">
        <v>1.2592129578947367E-4</v>
      </c>
      <c r="I1371" t="s">
        <v>176</v>
      </c>
      <c r="J1371">
        <v>8.7099710526315787E-4</v>
      </c>
      <c r="K1371">
        <v>2.5882549979999999E-2</v>
      </c>
      <c r="L1371">
        <v>4.1243899592881732E-3</v>
      </c>
      <c r="M1371">
        <v>2.4746339755729041E-2</v>
      </c>
      <c r="N1371">
        <v>5.0628889735729037E-2</v>
      </c>
      <c r="O1371" t="s">
        <v>177</v>
      </c>
      <c r="P1371">
        <v>1.5529529988E-3</v>
      </c>
      <c r="Q1371" t="s">
        <v>177</v>
      </c>
      <c r="R1371">
        <v>1.4847803853437424E-3</v>
      </c>
      <c r="S1371" t="s">
        <v>178</v>
      </c>
      <c r="T1371">
        <v>6.0754667682874847E-3</v>
      </c>
      <c r="U1371" t="s">
        <v>90</v>
      </c>
      <c r="V1371">
        <v>0</v>
      </c>
      <c r="W1371" t="s">
        <v>90</v>
      </c>
      <c r="X1371">
        <v>0</v>
      </c>
      <c r="Y1371">
        <v>5.9742089888160266E-2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59</v>
      </c>
      <c r="AF1371">
        <v>95</v>
      </c>
      <c r="AG1371">
        <v>27</v>
      </c>
      <c r="AI1371">
        <v>1.4999999999999999E-2</v>
      </c>
      <c r="AK1371" t="s">
        <v>740</v>
      </c>
      <c r="AL1371" t="s">
        <v>403</v>
      </c>
      <c r="AM1371">
        <v>200000</v>
      </c>
      <c r="AN1371" t="s">
        <v>97</v>
      </c>
      <c r="AO1371">
        <v>1</v>
      </c>
      <c r="AP1371">
        <v>0</v>
      </c>
      <c r="AQ1371">
        <v>16666.666666666668</v>
      </c>
      <c r="AR1371" t="s">
        <v>3743</v>
      </c>
      <c r="AS1371" t="s">
        <v>75</v>
      </c>
      <c r="AX1371" t="s">
        <v>76</v>
      </c>
      <c r="AY1371" t="s">
        <v>176</v>
      </c>
      <c r="AZ1371">
        <v>0</v>
      </c>
      <c r="BA1371" t="s">
        <v>176</v>
      </c>
      <c r="BB1371">
        <v>0</v>
      </c>
    </row>
    <row r="1372" spans="1:56" x14ac:dyDescent="0.15">
      <c r="A1372" s="4" t="str">
        <f>HYPERLINK("https://ibp.a2mac1.com/costing(costing:projects/details/9760/part/8414954)","Foot Well Trim")</f>
        <v>Foot Well Trim</v>
      </c>
      <c r="B1372">
        <v>8414954</v>
      </c>
      <c r="C1372">
        <v>8414803</v>
      </c>
      <c r="E1372">
        <v>0.47</v>
      </c>
      <c r="F1372">
        <v>0</v>
      </c>
      <c r="G1372">
        <v>0</v>
      </c>
      <c r="H1372">
        <v>2.3782E-3</v>
      </c>
      <c r="I1372" t="s">
        <v>176</v>
      </c>
      <c r="J1372">
        <v>1.6449999999999999E-2</v>
      </c>
      <c r="K1372">
        <v>0.48882819999999999</v>
      </c>
      <c r="L1372">
        <v>4.651039951845963E-2</v>
      </c>
      <c r="M1372">
        <v>0.27906239711075775</v>
      </c>
      <c r="N1372">
        <v>0.7678905971107578</v>
      </c>
      <c r="O1372" t="s">
        <v>90</v>
      </c>
      <c r="P1372">
        <v>0</v>
      </c>
      <c r="Q1372" t="s">
        <v>90</v>
      </c>
      <c r="R1372">
        <v>0</v>
      </c>
      <c r="S1372" t="s">
        <v>90</v>
      </c>
      <c r="T1372">
        <v>0</v>
      </c>
      <c r="U1372" t="s">
        <v>90</v>
      </c>
      <c r="V1372">
        <v>0</v>
      </c>
      <c r="W1372" t="s">
        <v>90</v>
      </c>
      <c r="X1372">
        <v>0</v>
      </c>
      <c r="Y1372">
        <v>0.7678905971107578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302</v>
      </c>
      <c r="AF1372">
        <v>505</v>
      </c>
      <c r="AG1372">
        <v>85</v>
      </c>
      <c r="AI1372">
        <v>0.316</v>
      </c>
      <c r="AK1372" t="s">
        <v>740</v>
      </c>
      <c r="AL1372" t="s">
        <v>951</v>
      </c>
      <c r="AM1372">
        <v>200000</v>
      </c>
      <c r="AN1372" t="s">
        <v>73</v>
      </c>
      <c r="AO1372">
        <v>1</v>
      </c>
      <c r="AP1372">
        <v>0</v>
      </c>
      <c r="AQ1372">
        <v>16666.666666666668</v>
      </c>
      <c r="AR1372" t="s">
        <v>3749</v>
      </c>
      <c r="AS1372" t="s">
        <v>75</v>
      </c>
      <c r="AX1372" t="s">
        <v>76</v>
      </c>
      <c r="AY1372" t="s">
        <v>176</v>
      </c>
      <c r="AZ1372">
        <v>0</v>
      </c>
      <c r="BA1372" t="s">
        <v>176</v>
      </c>
      <c r="BB1372">
        <v>0</v>
      </c>
    </row>
    <row r="1373" spans="1:56" x14ac:dyDescent="0.15">
      <c r="A1373" s="4" t="str">
        <f>HYPERLINK("https://ibp.a2mac1.com/costing(costing:projects/details/9760/part/8414955)","Lower Panel")</f>
        <v>Lower Panel</v>
      </c>
      <c r="B1373">
        <v>8414955</v>
      </c>
      <c r="C1373">
        <v>8414804</v>
      </c>
      <c r="E1373">
        <v>4.21</v>
      </c>
      <c r="F1373">
        <v>0</v>
      </c>
      <c r="G1373">
        <v>0</v>
      </c>
      <c r="H1373">
        <v>2.1302600000000001E-2</v>
      </c>
      <c r="I1373" t="s">
        <v>176</v>
      </c>
      <c r="J1373">
        <v>0.14735000000000001</v>
      </c>
      <c r="K1373">
        <v>4.3786525999999997</v>
      </c>
      <c r="L1373">
        <v>0.55690859796014924</v>
      </c>
      <c r="M1373">
        <v>3.3414515877608957</v>
      </c>
      <c r="N1373">
        <v>7.7201041877608958</v>
      </c>
      <c r="O1373" t="s">
        <v>90</v>
      </c>
      <c r="P1373">
        <v>0</v>
      </c>
      <c r="Q1373" t="s">
        <v>90</v>
      </c>
      <c r="R1373">
        <v>0</v>
      </c>
      <c r="S1373" t="s">
        <v>90</v>
      </c>
      <c r="T1373">
        <v>0</v>
      </c>
      <c r="U1373" t="s">
        <v>90</v>
      </c>
      <c r="V1373">
        <v>0</v>
      </c>
      <c r="W1373" t="s">
        <v>90</v>
      </c>
      <c r="X1373">
        <v>0</v>
      </c>
      <c r="Y1373">
        <v>7.7201041877608958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129</v>
      </c>
      <c r="AF1373">
        <v>1440</v>
      </c>
      <c r="AG1373">
        <v>360</v>
      </c>
      <c r="AI1373">
        <v>0.94699999999999995</v>
      </c>
      <c r="AK1373" t="s">
        <v>740</v>
      </c>
      <c r="AL1373" t="s">
        <v>3755</v>
      </c>
      <c r="AM1373">
        <v>200000</v>
      </c>
      <c r="AN1373" t="s">
        <v>73</v>
      </c>
      <c r="AO1373">
        <v>1</v>
      </c>
      <c r="AP1373">
        <v>0</v>
      </c>
      <c r="AQ1373">
        <v>16666.666666666668</v>
      </c>
      <c r="AR1373" t="s">
        <v>3756</v>
      </c>
      <c r="AS1373" t="s">
        <v>75</v>
      </c>
      <c r="AX1373" t="s">
        <v>76</v>
      </c>
      <c r="AY1373" t="s">
        <v>176</v>
      </c>
      <c r="AZ1373">
        <v>0</v>
      </c>
      <c r="BA1373" t="s">
        <v>176</v>
      </c>
      <c r="BB1373">
        <v>0</v>
      </c>
    </row>
    <row r="1374" spans="1:56" x14ac:dyDescent="0.15">
      <c r="A1374" s="4" t="str">
        <f>HYPERLINK("https://ibp.a2mac1.com/costing(costing:projects/details/9760/part/8414956)","Foot Well Trim")</f>
        <v>Foot Well Trim</v>
      </c>
      <c r="B1374">
        <v>8414956</v>
      </c>
      <c r="C1374">
        <v>8414804</v>
      </c>
      <c r="E1374">
        <v>0.41</v>
      </c>
      <c r="F1374">
        <v>0</v>
      </c>
      <c r="G1374">
        <v>0</v>
      </c>
      <c r="H1374">
        <v>2.0745999999999998E-3</v>
      </c>
      <c r="I1374" t="s">
        <v>176</v>
      </c>
      <c r="J1374">
        <v>1.435E-2</v>
      </c>
      <c r="K1374">
        <v>0.42642459999999999</v>
      </c>
      <c r="L1374">
        <v>4.1212148323563194E-2</v>
      </c>
      <c r="M1374">
        <v>0.24727288994137919</v>
      </c>
      <c r="N1374">
        <v>0.67369748994137924</v>
      </c>
      <c r="O1374" t="s">
        <v>90</v>
      </c>
      <c r="P1374">
        <v>0</v>
      </c>
      <c r="Q1374" t="s">
        <v>90</v>
      </c>
      <c r="R1374">
        <v>0</v>
      </c>
      <c r="S1374" t="s">
        <v>90</v>
      </c>
      <c r="T1374">
        <v>0</v>
      </c>
      <c r="U1374" t="s">
        <v>90</v>
      </c>
      <c r="V1374">
        <v>0</v>
      </c>
      <c r="W1374" t="s">
        <v>90</v>
      </c>
      <c r="X1374">
        <v>0</v>
      </c>
      <c r="Y1374">
        <v>0.67369748994137924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245</v>
      </c>
      <c r="AF1374">
        <v>448</v>
      </c>
      <c r="AG1374">
        <v>112</v>
      </c>
      <c r="AI1374">
        <v>0.27700000000000002</v>
      </c>
      <c r="AK1374" t="s">
        <v>740</v>
      </c>
      <c r="AL1374" t="s">
        <v>951</v>
      </c>
      <c r="AM1374">
        <v>200000</v>
      </c>
      <c r="AN1374" t="s">
        <v>73</v>
      </c>
      <c r="AO1374">
        <v>1</v>
      </c>
      <c r="AP1374">
        <v>0</v>
      </c>
      <c r="AQ1374">
        <v>16666.666666666668</v>
      </c>
      <c r="AR1374" t="s">
        <v>3759</v>
      </c>
      <c r="AS1374" t="s">
        <v>75</v>
      </c>
      <c r="AX1374" t="s">
        <v>76</v>
      </c>
      <c r="AY1374" t="s">
        <v>176</v>
      </c>
      <c r="AZ1374">
        <v>0</v>
      </c>
      <c r="BA1374" t="s">
        <v>176</v>
      </c>
      <c r="BB1374">
        <v>0</v>
      </c>
    </row>
    <row r="1375" spans="1:56" x14ac:dyDescent="0.15">
      <c r="A1375" s="4" t="str">
        <f>HYPERLINK("https://ibp.a2mac1.com/costing(costing:projects/details/9760/part/8414957)","Upper Part")</f>
        <v>Upper Part</v>
      </c>
      <c r="B1375">
        <v>8414957</v>
      </c>
      <c r="C1375">
        <v>8414805</v>
      </c>
      <c r="E1375">
        <v>4.47</v>
      </c>
      <c r="F1375">
        <v>0</v>
      </c>
      <c r="G1375">
        <v>0</v>
      </c>
      <c r="H1375">
        <v>2.2618200000000001E-2</v>
      </c>
      <c r="I1375" t="s">
        <v>176</v>
      </c>
      <c r="J1375">
        <v>0.15645000000000001</v>
      </c>
      <c r="K1375">
        <v>4.6490682000000003</v>
      </c>
      <c r="L1375">
        <v>0.59223027259279215</v>
      </c>
      <c r="M1375">
        <v>3.5533816355567529</v>
      </c>
      <c r="N1375">
        <v>8.2024498355567523</v>
      </c>
      <c r="O1375" t="s">
        <v>90</v>
      </c>
      <c r="P1375">
        <v>0</v>
      </c>
      <c r="Q1375" t="s">
        <v>90</v>
      </c>
      <c r="R1375">
        <v>0</v>
      </c>
      <c r="S1375" t="s">
        <v>90</v>
      </c>
      <c r="T1375">
        <v>0</v>
      </c>
      <c r="U1375" t="s">
        <v>90</v>
      </c>
      <c r="V1375">
        <v>0</v>
      </c>
      <c r="W1375" t="s">
        <v>90</v>
      </c>
      <c r="X1375">
        <v>0</v>
      </c>
      <c r="Y1375">
        <v>8.2024498355567523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398</v>
      </c>
      <c r="AF1375">
        <v>1485</v>
      </c>
      <c r="AG1375">
        <v>67</v>
      </c>
      <c r="AI1375">
        <v>1.0049999999999999</v>
      </c>
      <c r="AK1375" t="s">
        <v>740</v>
      </c>
      <c r="AL1375" t="s">
        <v>3755</v>
      </c>
      <c r="AM1375">
        <v>200000</v>
      </c>
      <c r="AN1375" t="s">
        <v>73</v>
      </c>
      <c r="AO1375">
        <v>1</v>
      </c>
      <c r="AP1375">
        <v>0</v>
      </c>
      <c r="AQ1375">
        <v>16666.666666666668</v>
      </c>
      <c r="AR1375" t="s">
        <v>3764</v>
      </c>
      <c r="AS1375" t="s">
        <v>75</v>
      </c>
      <c r="AX1375" t="s">
        <v>76</v>
      </c>
      <c r="AY1375" t="s">
        <v>176</v>
      </c>
      <c r="AZ1375">
        <v>0</v>
      </c>
      <c r="BA1375" t="s">
        <v>176</v>
      </c>
      <c r="BB1375">
        <v>0</v>
      </c>
    </row>
    <row r="1376" spans="1:56" x14ac:dyDescent="0.15">
      <c r="A1376" s="4" t="str">
        <f>HYPERLINK("https://ibp.a2mac1.com/costing(costing:projects/details/9760/part/8414958)","2nd Upper Part")</f>
        <v>2nd Upper Part</v>
      </c>
      <c r="B1376">
        <v>8414958</v>
      </c>
      <c r="C1376">
        <v>8414805</v>
      </c>
      <c r="E1376">
        <v>9.08</v>
      </c>
      <c r="F1376">
        <v>0</v>
      </c>
      <c r="G1376">
        <v>0</v>
      </c>
      <c r="H1376">
        <v>4.5944800000000001E-2</v>
      </c>
      <c r="I1376" t="s">
        <v>176</v>
      </c>
      <c r="J1376">
        <v>0.31780000000000003</v>
      </c>
      <c r="K1376">
        <v>9.4437447999999993</v>
      </c>
      <c r="L1376">
        <v>1.2015291600058817</v>
      </c>
      <c r="M1376">
        <v>7.2091749600352912</v>
      </c>
      <c r="N1376">
        <v>16.652919760035292</v>
      </c>
      <c r="O1376" t="s">
        <v>90</v>
      </c>
      <c r="P1376">
        <v>0</v>
      </c>
      <c r="Q1376" t="s">
        <v>90</v>
      </c>
      <c r="R1376">
        <v>0</v>
      </c>
      <c r="S1376" t="s">
        <v>90</v>
      </c>
      <c r="T1376">
        <v>0</v>
      </c>
      <c r="U1376" t="s">
        <v>90</v>
      </c>
      <c r="V1376">
        <v>0</v>
      </c>
      <c r="W1376" t="s">
        <v>90</v>
      </c>
      <c r="X1376">
        <v>0</v>
      </c>
      <c r="Y1376">
        <v>16.652919760035292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258</v>
      </c>
      <c r="AF1376">
        <v>1475</v>
      </c>
      <c r="AG1376">
        <v>98</v>
      </c>
      <c r="AI1376">
        <v>2.0390000000000001</v>
      </c>
      <c r="AK1376" t="s">
        <v>740</v>
      </c>
      <c r="AL1376" t="s">
        <v>399</v>
      </c>
      <c r="AM1376">
        <v>200000</v>
      </c>
      <c r="AN1376" t="s">
        <v>73</v>
      </c>
      <c r="AO1376">
        <v>1</v>
      </c>
      <c r="AP1376">
        <v>0</v>
      </c>
      <c r="AQ1376">
        <v>16666.666666666668</v>
      </c>
      <c r="AR1376" t="s">
        <v>3767</v>
      </c>
      <c r="AS1376" t="s">
        <v>75</v>
      </c>
      <c r="AX1376" t="s">
        <v>76</v>
      </c>
      <c r="AY1376" t="s">
        <v>176</v>
      </c>
      <c r="AZ1376">
        <v>0</v>
      </c>
      <c r="BA1376" t="s">
        <v>176</v>
      </c>
      <c r="BB1376">
        <v>0</v>
      </c>
    </row>
    <row r="1377" spans="1:56" x14ac:dyDescent="0.15">
      <c r="A1377" s="4" t="str">
        <f>HYPERLINK("https://ibp.a2mac1.com/costing(costing:projects/details/9760/part/8414959)","Lower part support")</f>
        <v>Lower part support</v>
      </c>
      <c r="B1377">
        <v>8414959</v>
      </c>
      <c r="C1377">
        <v>8414805</v>
      </c>
      <c r="E1377">
        <v>0.04</v>
      </c>
      <c r="F1377">
        <v>0</v>
      </c>
      <c r="G1377">
        <v>0</v>
      </c>
      <c r="H1377">
        <v>2.0239999999999999E-4</v>
      </c>
      <c r="I1377" t="s">
        <v>176</v>
      </c>
      <c r="J1377">
        <v>1.4E-3</v>
      </c>
      <c r="K1377">
        <v>4.1602399999999998E-2</v>
      </c>
      <c r="L1377">
        <v>5.8904736909203177E-3</v>
      </c>
      <c r="M1377">
        <v>3.5342842145521906E-2</v>
      </c>
      <c r="N1377">
        <v>7.6945242145521897E-2</v>
      </c>
      <c r="O1377" t="s">
        <v>90</v>
      </c>
      <c r="P1377">
        <v>0</v>
      </c>
      <c r="Q1377" t="s">
        <v>90</v>
      </c>
      <c r="R1377">
        <v>0</v>
      </c>
      <c r="S1377" t="s">
        <v>90</v>
      </c>
      <c r="T1377">
        <v>0</v>
      </c>
      <c r="U1377" t="s">
        <v>90</v>
      </c>
      <c r="V1377">
        <v>0</v>
      </c>
      <c r="W1377" t="s">
        <v>90</v>
      </c>
      <c r="X1377">
        <v>0</v>
      </c>
      <c r="Y1377">
        <v>7.6945242145521897E-2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80</v>
      </c>
      <c r="AF1377">
        <v>163</v>
      </c>
      <c r="AG1377">
        <v>30</v>
      </c>
      <c r="AI1377">
        <v>0.03</v>
      </c>
      <c r="AK1377" t="s">
        <v>740</v>
      </c>
      <c r="AL1377" t="s">
        <v>951</v>
      </c>
      <c r="AM1377">
        <v>200000</v>
      </c>
      <c r="AN1377" t="s">
        <v>73</v>
      </c>
      <c r="AO1377">
        <v>1</v>
      </c>
      <c r="AP1377">
        <v>0</v>
      </c>
      <c r="AQ1377">
        <v>16666.666666666668</v>
      </c>
      <c r="AR1377" t="s">
        <v>3770</v>
      </c>
      <c r="AS1377" t="s">
        <v>75</v>
      </c>
      <c r="AX1377" t="s">
        <v>76</v>
      </c>
      <c r="AY1377" t="s">
        <v>176</v>
      </c>
      <c r="AZ1377">
        <v>0</v>
      </c>
      <c r="BA1377" t="s">
        <v>176</v>
      </c>
      <c r="BB1377">
        <v>0</v>
      </c>
    </row>
    <row r="1378" spans="1:56" x14ac:dyDescent="0.15">
      <c r="A1378" s="4" t="str">
        <f>HYPERLINK("https://ibp.a2mac1.com/costing(costing:projects/details/9760/part/8414798)","Garnish Left Side")</f>
        <v>Garnish Left Side</v>
      </c>
      <c r="B1378">
        <v>8414798</v>
      </c>
      <c r="C1378">
        <v>8414739</v>
      </c>
      <c r="E1378">
        <v>0.18</v>
      </c>
      <c r="F1378">
        <v>0</v>
      </c>
      <c r="G1378">
        <v>0</v>
      </c>
      <c r="H1378">
        <v>9.1080000000000002E-4</v>
      </c>
      <c r="I1378" t="s">
        <v>176</v>
      </c>
      <c r="J1378">
        <v>6.3E-3</v>
      </c>
      <c r="K1378">
        <v>0.18721080000000001</v>
      </c>
      <c r="L1378">
        <v>2.3551311007241758E-2</v>
      </c>
      <c r="M1378">
        <v>0.14130786604345055</v>
      </c>
      <c r="N1378">
        <v>0.32851866604345054</v>
      </c>
      <c r="O1378" t="s">
        <v>90</v>
      </c>
      <c r="P1378">
        <v>0</v>
      </c>
      <c r="Q1378" t="s">
        <v>90</v>
      </c>
      <c r="R1378">
        <v>0</v>
      </c>
      <c r="S1378" t="s">
        <v>90</v>
      </c>
      <c r="T1378">
        <v>0</v>
      </c>
      <c r="U1378" t="s">
        <v>90</v>
      </c>
      <c r="V1378">
        <v>0</v>
      </c>
      <c r="W1378" t="s">
        <v>90</v>
      </c>
      <c r="X1378">
        <v>0</v>
      </c>
      <c r="Y1378">
        <v>0.32851866604345054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227</v>
      </c>
      <c r="AF1378">
        <v>86</v>
      </c>
      <c r="AG1378">
        <v>302</v>
      </c>
      <c r="AI1378">
        <v>0.125</v>
      </c>
      <c r="AK1378" t="s">
        <v>740</v>
      </c>
      <c r="AL1378" t="s">
        <v>951</v>
      </c>
      <c r="AM1378">
        <v>200000</v>
      </c>
      <c r="AN1378" t="s">
        <v>73</v>
      </c>
      <c r="AO1378">
        <v>1</v>
      </c>
      <c r="AP1378">
        <v>0</v>
      </c>
      <c r="AQ1378">
        <v>16666.666666666668</v>
      </c>
      <c r="AR1378" t="s">
        <v>3774</v>
      </c>
      <c r="AS1378" t="s">
        <v>75</v>
      </c>
      <c r="AX1378" t="s">
        <v>76</v>
      </c>
      <c r="AY1378" t="s">
        <v>176</v>
      </c>
      <c r="AZ1378">
        <v>0</v>
      </c>
      <c r="BA1378" t="s">
        <v>176</v>
      </c>
      <c r="BB1378">
        <v>0</v>
      </c>
    </row>
    <row r="1379" spans="1:56" x14ac:dyDescent="0.15">
      <c r="A1379" s="4" t="str">
        <f>HYPERLINK("https://ibp.a2mac1.com/costing(costing:projects/details/9760/part/8414799)","Garnish Right Side")</f>
        <v>Garnish Right Side</v>
      </c>
      <c r="B1379">
        <v>8414799</v>
      </c>
      <c r="C1379">
        <v>8414739</v>
      </c>
      <c r="E1379">
        <v>0.18</v>
      </c>
      <c r="F1379">
        <v>0</v>
      </c>
      <c r="G1379">
        <v>0</v>
      </c>
      <c r="H1379">
        <v>9.1080000000000002E-4</v>
      </c>
      <c r="I1379" t="s">
        <v>176</v>
      </c>
      <c r="J1379">
        <v>6.3E-3</v>
      </c>
      <c r="K1379">
        <v>0.18721080000000001</v>
      </c>
      <c r="L1379">
        <v>2.3551311007241758E-2</v>
      </c>
      <c r="M1379">
        <v>0.14130786604345055</v>
      </c>
      <c r="N1379">
        <v>0.32851866604345054</v>
      </c>
      <c r="O1379" t="s">
        <v>90</v>
      </c>
      <c r="P1379">
        <v>0</v>
      </c>
      <c r="Q1379" t="s">
        <v>90</v>
      </c>
      <c r="R1379">
        <v>0</v>
      </c>
      <c r="S1379" t="s">
        <v>90</v>
      </c>
      <c r="T1379">
        <v>0</v>
      </c>
      <c r="U1379" t="s">
        <v>90</v>
      </c>
      <c r="V1379">
        <v>0</v>
      </c>
      <c r="W1379" t="s">
        <v>90</v>
      </c>
      <c r="X1379">
        <v>0</v>
      </c>
      <c r="Y1379">
        <v>0.32851866604345054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220</v>
      </c>
      <c r="AF1379">
        <v>78</v>
      </c>
      <c r="AG1379">
        <v>303</v>
      </c>
      <c r="AI1379">
        <v>0.125</v>
      </c>
      <c r="AK1379" t="s">
        <v>740</v>
      </c>
      <c r="AL1379" t="s">
        <v>951</v>
      </c>
      <c r="AM1379">
        <v>200000</v>
      </c>
      <c r="AN1379" t="s">
        <v>73</v>
      </c>
      <c r="AO1379">
        <v>1</v>
      </c>
      <c r="AP1379">
        <v>0</v>
      </c>
      <c r="AQ1379">
        <v>16666.666666666668</v>
      </c>
      <c r="AR1379" t="s">
        <v>3777</v>
      </c>
      <c r="AS1379" t="s">
        <v>75</v>
      </c>
      <c r="AX1379" t="s">
        <v>76</v>
      </c>
      <c r="AY1379" t="s">
        <v>176</v>
      </c>
      <c r="AZ1379">
        <v>0</v>
      </c>
      <c r="BA1379" t="s">
        <v>176</v>
      </c>
      <c r="BB1379">
        <v>0</v>
      </c>
    </row>
    <row r="1380" spans="1:56" x14ac:dyDescent="0.15">
      <c r="A1380" s="4" t="str">
        <f>HYPERLINK("https://ibp.a2mac1.com/costing(costing:projects/details/9760/part/8414800)","Upper Skin Support")</f>
        <v>Upper Skin Support</v>
      </c>
      <c r="B1380">
        <v>8414800</v>
      </c>
      <c r="C1380">
        <v>8414739</v>
      </c>
      <c r="E1380">
        <v>0.25</v>
      </c>
      <c r="F1380">
        <v>0</v>
      </c>
      <c r="G1380">
        <v>0</v>
      </c>
      <c r="H1380">
        <v>1.2650000000000001E-3</v>
      </c>
      <c r="I1380" t="s">
        <v>176</v>
      </c>
      <c r="J1380">
        <v>8.7500000000000008E-3</v>
      </c>
      <c r="K1380">
        <v>0.260015</v>
      </c>
      <c r="L1380">
        <v>2.5317394738873903E-2</v>
      </c>
      <c r="M1380">
        <v>0.1519043684332434</v>
      </c>
      <c r="N1380">
        <v>0.41191936843324339</v>
      </c>
      <c r="O1380" t="s">
        <v>90</v>
      </c>
      <c r="P1380">
        <v>0</v>
      </c>
      <c r="Q1380" t="s">
        <v>90</v>
      </c>
      <c r="R1380">
        <v>0</v>
      </c>
      <c r="S1380" t="s">
        <v>90</v>
      </c>
      <c r="T1380">
        <v>0</v>
      </c>
      <c r="U1380" t="s">
        <v>90</v>
      </c>
      <c r="V1380">
        <v>0</v>
      </c>
      <c r="W1380" t="s">
        <v>90</v>
      </c>
      <c r="X1380">
        <v>0</v>
      </c>
      <c r="Y1380">
        <v>0.41191936843324339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114</v>
      </c>
      <c r="AF1380">
        <v>908</v>
      </c>
      <c r="AG1380">
        <v>46</v>
      </c>
      <c r="AI1380">
        <v>0.17</v>
      </c>
      <c r="AK1380" t="s">
        <v>740</v>
      </c>
      <c r="AL1380" t="s">
        <v>951</v>
      </c>
      <c r="AM1380">
        <v>200000</v>
      </c>
      <c r="AN1380" t="s">
        <v>73</v>
      </c>
      <c r="AO1380">
        <v>1</v>
      </c>
      <c r="AP1380">
        <v>0</v>
      </c>
      <c r="AQ1380">
        <v>16666.666666666668</v>
      </c>
      <c r="AR1380" t="s">
        <v>3780</v>
      </c>
      <c r="AS1380" t="s">
        <v>75</v>
      </c>
      <c r="AX1380" t="s">
        <v>76</v>
      </c>
      <c r="AY1380" t="s">
        <v>176</v>
      </c>
      <c r="AZ1380">
        <v>0</v>
      </c>
      <c r="BA1380" t="s">
        <v>176</v>
      </c>
      <c r="BB1380">
        <v>0</v>
      </c>
    </row>
    <row r="1381" spans="1:56" x14ac:dyDescent="0.15">
      <c r="A1381" s="4" t="str">
        <f>HYPERLINK("https://ibp.a2mac1.com/costing(costing:projects/details/9760/part/8414801)","Cover Reinforcement")</f>
        <v>Cover Reinforcement</v>
      </c>
      <c r="B1381">
        <v>8414801</v>
      </c>
      <c r="C1381">
        <v>8414739</v>
      </c>
      <c r="E1381">
        <v>0.04</v>
      </c>
      <c r="F1381">
        <v>0</v>
      </c>
      <c r="G1381">
        <v>0</v>
      </c>
      <c r="H1381">
        <v>2.0239999999999999E-4</v>
      </c>
      <c r="I1381" t="s">
        <v>176</v>
      </c>
      <c r="J1381">
        <v>1.4E-3</v>
      </c>
      <c r="K1381">
        <v>4.1602399999999998E-2</v>
      </c>
      <c r="L1381">
        <v>5.8904736909203177E-3</v>
      </c>
      <c r="M1381">
        <v>3.5342842145521906E-2</v>
      </c>
      <c r="N1381">
        <v>7.6945242145521897E-2</v>
      </c>
      <c r="O1381" t="s">
        <v>90</v>
      </c>
      <c r="P1381">
        <v>0</v>
      </c>
      <c r="Q1381" t="s">
        <v>90</v>
      </c>
      <c r="R1381">
        <v>0</v>
      </c>
      <c r="S1381" t="s">
        <v>90</v>
      </c>
      <c r="T1381">
        <v>0</v>
      </c>
      <c r="U1381" t="s">
        <v>90</v>
      </c>
      <c r="V1381">
        <v>0</v>
      </c>
      <c r="W1381" t="s">
        <v>90</v>
      </c>
      <c r="X1381">
        <v>0</v>
      </c>
      <c r="Y1381">
        <v>7.6945242145521897E-2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23</v>
      </c>
      <c r="AF1381">
        <v>319</v>
      </c>
      <c r="AG1381">
        <v>49</v>
      </c>
      <c r="AI1381">
        <v>2.5000000000000001E-2</v>
      </c>
      <c r="AK1381" t="s">
        <v>740</v>
      </c>
      <c r="AL1381" t="s">
        <v>951</v>
      </c>
      <c r="AM1381">
        <v>200000</v>
      </c>
      <c r="AN1381" t="s">
        <v>73</v>
      </c>
      <c r="AO1381">
        <v>1</v>
      </c>
      <c r="AP1381">
        <v>0</v>
      </c>
      <c r="AQ1381">
        <v>16666.666666666668</v>
      </c>
      <c r="AR1381" t="s">
        <v>3783</v>
      </c>
      <c r="AS1381" t="s">
        <v>75</v>
      </c>
      <c r="AX1381" t="s">
        <v>76</v>
      </c>
      <c r="AY1381" t="s">
        <v>176</v>
      </c>
      <c r="AZ1381">
        <v>0</v>
      </c>
      <c r="BA1381" t="s">
        <v>176</v>
      </c>
      <c r="BB1381">
        <v>0</v>
      </c>
    </row>
    <row r="1382" spans="1:56" x14ac:dyDescent="0.15">
      <c r="A1382" s="4" t="str">
        <f>HYPERLINK("https://ibp.a2mac1.com/costing(costing:projects/details/9760/part/8414802)","Cover Reinforcement 2")</f>
        <v>Cover Reinforcement 2</v>
      </c>
      <c r="B1382">
        <v>8414802</v>
      </c>
      <c r="C1382">
        <v>8414739</v>
      </c>
      <c r="E1382">
        <v>0.24</v>
      </c>
      <c r="F1382">
        <v>0</v>
      </c>
      <c r="G1382">
        <v>0</v>
      </c>
      <c r="H1382">
        <v>1.2144E-3</v>
      </c>
      <c r="I1382" t="s">
        <v>176</v>
      </c>
      <c r="J1382">
        <v>8.3999999999999995E-3</v>
      </c>
      <c r="K1382">
        <v>0.24961439999999999</v>
      </c>
      <c r="L1382">
        <v>1.8253059812345325E-2</v>
      </c>
      <c r="M1382">
        <v>0.10951835887407195</v>
      </c>
      <c r="N1382">
        <v>0.35913275887407198</v>
      </c>
      <c r="O1382" t="s">
        <v>90</v>
      </c>
      <c r="P1382">
        <v>0</v>
      </c>
      <c r="Q1382" t="s">
        <v>90</v>
      </c>
      <c r="R1382">
        <v>0</v>
      </c>
      <c r="S1382" t="s">
        <v>90</v>
      </c>
      <c r="T1382">
        <v>0</v>
      </c>
      <c r="U1382" t="s">
        <v>90</v>
      </c>
      <c r="V1382">
        <v>0</v>
      </c>
      <c r="W1382" t="s">
        <v>90</v>
      </c>
      <c r="X1382">
        <v>0</v>
      </c>
      <c r="Y1382">
        <v>0.35913275887407198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230</v>
      </c>
      <c r="AF1382">
        <v>565</v>
      </c>
      <c r="AG1382">
        <v>52</v>
      </c>
      <c r="AI1382">
        <v>0.11799999999999999</v>
      </c>
      <c r="AK1382" t="s">
        <v>740</v>
      </c>
      <c r="AL1382" t="s">
        <v>951</v>
      </c>
      <c r="AM1382">
        <v>200000</v>
      </c>
      <c r="AN1382" t="s">
        <v>73</v>
      </c>
      <c r="AO1382">
        <v>1</v>
      </c>
      <c r="AP1382">
        <v>0</v>
      </c>
      <c r="AQ1382">
        <v>16666.666666666668</v>
      </c>
      <c r="AR1382" t="s">
        <v>3786</v>
      </c>
      <c r="AS1382" t="s">
        <v>75</v>
      </c>
      <c r="AX1382" t="s">
        <v>76</v>
      </c>
      <c r="AY1382" t="s">
        <v>176</v>
      </c>
      <c r="AZ1382">
        <v>0</v>
      </c>
      <c r="BA1382" t="s">
        <v>176</v>
      </c>
      <c r="BB1382">
        <v>0</v>
      </c>
    </row>
    <row r="1383" spans="1:56" x14ac:dyDescent="0.15">
      <c r="A1383" s="4" t="str">
        <f>HYPERLINK("https://ibp.a2mac1.com/costing(costing:projects/details/9760/part/8415077)","Motor")</f>
        <v>Motor</v>
      </c>
      <c r="B1383">
        <v>8415077</v>
      </c>
      <c r="C1383">
        <v>8414963</v>
      </c>
      <c r="E1383">
        <v>3.96</v>
      </c>
      <c r="F1383">
        <v>0</v>
      </c>
      <c r="G1383">
        <v>0</v>
      </c>
      <c r="H1383">
        <v>0</v>
      </c>
      <c r="I1383" t="s">
        <v>71</v>
      </c>
      <c r="J1383">
        <v>0</v>
      </c>
      <c r="K1383">
        <v>3.96</v>
      </c>
      <c r="L1383">
        <v>0</v>
      </c>
      <c r="M1383">
        <v>0</v>
      </c>
      <c r="N1383">
        <v>3.96</v>
      </c>
      <c r="O1383" t="s">
        <v>71</v>
      </c>
      <c r="P1383">
        <v>0</v>
      </c>
      <c r="Q1383" t="s">
        <v>71</v>
      </c>
      <c r="R1383">
        <v>0</v>
      </c>
      <c r="S1383" t="s">
        <v>71</v>
      </c>
      <c r="T1383">
        <v>0</v>
      </c>
      <c r="U1383" t="s">
        <v>71</v>
      </c>
      <c r="V1383">
        <v>0</v>
      </c>
      <c r="W1383" t="s">
        <v>71</v>
      </c>
      <c r="X1383">
        <v>0</v>
      </c>
      <c r="Y1383">
        <v>3.96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30</v>
      </c>
      <c r="AF1383">
        <v>66</v>
      </c>
      <c r="AG1383">
        <v>63</v>
      </c>
      <c r="AI1383">
        <v>0.16800000000000001</v>
      </c>
      <c r="AK1383" t="s">
        <v>288</v>
      </c>
      <c r="AL1383" t="s">
        <v>856</v>
      </c>
      <c r="AM1383">
        <v>400000</v>
      </c>
      <c r="AN1383" t="s">
        <v>97</v>
      </c>
      <c r="AO1383">
        <v>2</v>
      </c>
      <c r="AP1383">
        <v>0</v>
      </c>
      <c r="AQ1383">
        <v>33333.333333333336</v>
      </c>
      <c r="AR1383" t="s">
        <v>3791</v>
      </c>
      <c r="AS1383" t="s">
        <v>75</v>
      </c>
      <c r="AX1383" t="s">
        <v>76</v>
      </c>
      <c r="AY1383" t="s">
        <v>71</v>
      </c>
      <c r="AZ1383">
        <v>0</v>
      </c>
      <c r="BA1383" t="s">
        <v>71</v>
      </c>
      <c r="BB1383">
        <v>0</v>
      </c>
      <c r="BD1383">
        <v>1.98</v>
      </c>
    </row>
    <row r="1384" spans="1:56" x14ac:dyDescent="0.15">
      <c r="A1384" s="4" t="str">
        <f>HYPERLINK("https://ibp.a2mac1.com/costing(costing:projects/details/9760/part/8415078)","Motor Support")</f>
        <v>Motor Support</v>
      </c>
      <c r="B1384">
        <v>8415078</v>
      </c>
      <c r="C1384">
        <v>8414963</v>
      </c>
      <c r="E1384">
        <v>0.08</v>
      </c>
      <c r="F1384">
        <v>0</v>
      </c>
      <c r="G1384">
        <v>0</v>
      </c>
      <c r="H1384">
        <v>4.0479999999999997E-4</v>
      </c>
      <c r="I1384" t="s">
        <v>176</v>
      </c>
      <c r="J1384">
        <v>2.8E-3</v>
      </c>
      <c r="K1384">
        <v>8.3204799999999995E-2</v>
      </c>
      <c r="L1384">
        <v>4.1243899592881732E-3</v>
      </c>
      <c r="M1384">
        <v>2.4746339755729041E-2</v>
      </c>
      <c r="N1384">
        <v>0.10795113975572904</v>
      </c>
      <c r="O1384" t="s">
        <v>90</v>
      </c>
      <c r="P1384">
        <v>0</v>
      </c>
      <c r="Q1384" t="s">
        <v>90</v>
      </c>
      <c r="R1384">
        <v>0</v>
      </c>
      <c r="S1384" t="s">
        <v>90</v>
      </c>
      <c r="T1384">
        <v>0</v>
      </c>
      <c r="U1384" t="s">
        <v>90</v>
      </c>
      <c r="V1384">
        <v>0</v>
      </c>
      <c r="W1384" t="s">
        <v>90</v>
      </c>
      <c r="X1384">
        <v>0</v>
      </c>
      <c r="Y1384">
        <v>0.10795113975572904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32</v>
      </c>
      <c r="AF1384">
        <v>84</v>
      </c>
      <c r="AG1384">
        <v>98</v>
      </c>
      <c r="AI1384">
        <v>2.1999999999999999E-2</v>
      </c>
      <c r="AK1384" t="s">
        <v>740</v>
      </c>
      <c r="AL1384" t="s">
        <v>412</v>
      </c>
      <c r="AM1384">
        <v>200000</v>
      </c>
      <c r="AN1384" t="s">
        <v>73</v>
      </c>
      <c r="AO1384">
        <v>1</v>
      </c>
      <c r="AP1384">
        <v>0</v>
      </c>
      <c r="AQ1384">
        <v>16666.666666666668</v>
      </c>
      <c r="AR1384" t="s">
        <v>3794</v>
      </c>
      <c r="AS1384" t="s">
        <v>75</v>
      </c>
      <c r="AX1384" t="s">
        <v>76</v>
      </c>
      <c r="AY1384" t="s">
        <v>176</v>
      </c>
      <c r="AZ1384">
        <v>0</v>
      </c>
      <c r="BA1384" t="s">
        <v>176</v>
      </c>
      <c r="BB1384">
        <v>0</v>
      </c>
    </row>
    <row r="1385" spans="1:56" x14ac:dyDescent="0.15">
      <c r="A1385" s="4" t="str">
        <f>HYPERLINK("https://ibp.a2mac1.com/costing(costing:projects/details/9760/part/8415079)","Mechanism")</f>
        <v>Mechanism</v>
      </c>
      <c r="B1385">
        <v>8415079</v>
      </c>
      <c r="C1385">
        <v>8414963</v>
      </c>
      <c r="D1385" t="s">
        <v>3795</v>
      </c>
      <c r="E1385">
        <v>0.05</v>
      </c>
      <c r="F1385">
        <v>0</v>
      </c>
      <c r="G1385">
        <v>0</v>
      </c>
      <c r="H1385">
        <v>0</v>
      </c>
      <c r="I1385" t="s">
        <v>71</v>
      </c>
      <c r="J1385">
        <v>0</v>
      </c>
      <c r="K1385">
        <v>0.05</v>
      </c>
      <c r="L1385">
        <v>0</v>
      </c>
      <c r="M1385">
        <v>0</v>
      </c>
      <c r="N1385">
        <v>0.05</v>
      </c>
      <c r="O1385" t="s">
        <v>71</v>
      </c>
      <c r="P1385">
        <v>0</v>
      </c>
      <c r="Q1385" t="s">
        <v>71</v>
      </c>
      <c r="R1385">
        <v>0</v>
      </c>
      <c r="S1385" t="s">
        <v>71</v>
      </c>
      <c r="T1385">
        <v>0</v>
      </c>
      <c r="U1385" t="s">
        <v>71</v>
      </c>
      <c r="V1385">
        <v>0</v>
      </c>
      <c r="W1385" t="s">
        <v>71</v>
      </c>
      <c r="X1385">
        <v>0</v>
      </c>
      <c r="Y1385">
        <v>0.05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22</v>
      </c>
      <c r="AF1385">
        <v>18</v>
      </c>
      <c r="AG1385">
        <v>19</v>
      </c>
      <c r="AI1385">
        <v>2E-3</v>
      </c>
      <c r="AK1385" t="s">
        <v>740</v>
      </c>
      <c r="AL1385" t="s">
        <v>112</v>
      </c>
      <c r="AM1385">
        <v>200000</v>
      </c>
      <c r="AN1385" t="s">
        <v>73</v>
      </c>
      <c r="AO1385">
        <v>1</v>
      </c>
      <c r="AP1385">
        <v>0</v>
      </c>
      <c r="AQ1385">
        <v>16666.666666666668</v>
      </c>
      <c r="AR1385" t="s">
        <v>3796</v>
      </c>
      <c r="AS1385" t="s">
        <v>75</v>
      </c>
      <c r="AX1385" t="s">
        <v>76</v>
      </c>
      <c r="AY1385" t="s">
        <v>71</v>
      </c>
      <c r="AZ1385">
        <v>0</v>
      </c>
      <c r="BA1385" t="s">
        <v>71</v>
      </c>
      <c r="BB1385">
        <v>0</v>
      </c>
      <c r="BD1385">
        <v>0.05</v>
      </c>
    </row>
    <row r="1386" spans="1:56" x14ac:dyDescent="0.15">
      <c r="A1386" s="4" t="str">
        <f>HYPERLINK("https://ibp.a2mac1.com/costing(costing:projects/details/9760/part/8415080)","2nd Mechanism")</f>
        <v>2nd Mechanism</v>
      </c>
      <c r="B1386">
        <v>8415080</v>
      </c>
      <c r="C1386">
        <v>8414963</v>
      </c>
      <c r="D1386" t="s">
        <v>3795</v>
      </c>
      <c r="E1386">
        <v>0.05</v>
      </c>
      <c r="F1386">
        <v>0</v>
      </c>
      <c r="G1386">
        <v>0</v>
      </c>
      <c r="H1386">
        <v>0</v>
      </c>
      <c r="I1386" t="s">
        <v>71</v>
      </c>
      <c r="J1386">
        <v>0</v>
      </c>
      <c r="K1386">
        <v>0.05</v>
      </c>
      <c r="L1386">
        <v>0</v>
      </c>
      <c r="M1386">
        <v>0</v>
      </c>
      <c r="N1386">
        <v>0.05</v>
      </c>
      <c r="O1386" t="s">
        <v>71</v>
      </c>
      <c r="P1386">
        <v>0</v>
      </c>
      <c r="Q1386" t="s">
        <v>71</v>
      </c>
      <c r="R1386">
        <v>0</v>
      </c>
      <c r="S1386" t="s">
        <v>71</v>
      </c>
      <c r="T1386">
        <v>0</v>
      </c>
      <c r="U1386" t="s">
        <v>71</v>
      </c>
      <c r="V1386">
        <v>0</v>
      </c>
      <c r="W1386" t="s">
        <v>71</v>
      </c>
      <c r="X1386">
        <v>0</v>
      </c>
      <c r="Y1386">
        <v>0.05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19</v>
      </c>
      <c r="AF1386">
        <v>17</v>
      </c>
      <c r="AG1386">
        <v>15</v>
      </c>
      <c r="AI1386">
        <v>2E-3</v>
      </c>
      <c r="AK1386" t="s">
        <v>740</v>
      </c>
      <c r="AL1386" t="s">
        <v>403</v>
      </c>
      <c r="AM1386">
        <v>200000</v>
      </c>
      <c r="AN1386" t="s">
        <v>73</v>
      </c>
      <c r="AO1386">
        <v>1</v>
      </c>
      <c r="AP1386">
        <v>0</v>
      </c>
      <c r="AQ1386">
        <v>16666.666666666668</v>
      </c>
      <c r="AR1386" t="s">
        <v>3797</v>
      </c>
      <c r="AS1386" t="s">
        <v>75</v>
      </c>
      <c r="AX1386" t="s">
        <v>76</v>
      </c>
      <c r="AY1386" t="s">
        <v>71</v>
      </c>
      <c r="AZ1386">
        <v>0</v>
      </c>
      <c r="BA1386" t="s">
        <v>71</v>
      </c>
      <c r="BB1386">
        <v>0</v>
      </c>
      <c r="BD1386">
        <v>0.05</v>
      </c>
    </row>
    <row r="1387" spans="1:56" x14ac:dyDescent="0.15">
      <c r="A1387" s="4" t="str">
        <f>HYPERLINK("https://ibp.a2mac1.com/costing(costing:projects/details/9760/part/8414960)","Air Vent")</f>
        <v>Air Vent</v>
      </c>
      <c r="B1387">
        <v>8414960</v>
      </c>
      <c r="C1387">
        <v>8414806</v>
      </c>
      <c r="E1387">
        <v>3.12</v>
      </c>
      <c r="F1387">
        <v>0</v>
      </c>
      <c r="G1387">
        <v>0</v>
      </c>
      <c r="H1387">
        <v>1.5787200000000001E-2</v>
      </c>
      <c r="I1387" t="s">
        <v>176</v>
      </c>
      <c r="J1387">
        <v>0.10920000000000001</v>
      </c>
      <c r="K1387">
        <v>3.2449872000000002</v>
      </c>
      <c r="L1387">
        <v>6.9469488029677506E-2</v>
      </c>
      <c r="M1387">
        <v>0.41681692817806498</v>
      </c>
      <c r="N1387">
        <v>3.6618041281780651</v>
      </c>
      <c r="O1387" t="s">
        <v>90</v>
      </c>
      <c r="P1387">
        <v>0</v>
      </c>
      <c r="Q1387" t="s">
        <v>90</v>
      </c>
      <c r="R1387">
        <v>0</v>
      </c>
      <c r="S1387" t="s">
        <v>90</v>
      </c>
      <c r="T1387">
        <v>0</v>
      </c>
      <c r="U1387" t="s">
        <v>90</v>
      </c>
      <c r="V1387">
        <v>0</v>
      </c>
      <c r="W1387" t="s">
        <v>90</v>
      </c>
      <c r="X1387">
        <v>0</v>
      </c>
      <c r="Y1387">
        <v>3.6618041281780651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48</v>
      </c>
      <c r="AF1387">
        <v>196</v>
      </c>
      <c r="AG1387">
        <v>96</v>
      </c>
      <c r="AI1387">
        <v>0.13800000000000001</v>
      </c>
      <c r="AK1387" t="s">
        <v>740</v>
      </c>
      <c r="AL1387" t="s">
        <v>412</v>
      </c>
      <c r="AM1387">
        <v>200000</v>
      </c>
      <c r="AN1387" t="s">
        <v>73</v>
      </c>
      <c r="AO1387">
        <v>1</v>
      </c>
      <c r="AP1387">
        <v>0</v>
      </c>
      <c r="AQ1387">
        <v>16666.666666666668</v>
      </c>
      <c r="AR1387" t="s">
        <v>3801</v>
      </c>
      <c r="AS1387" t="s">
        <v>75</v>
      </c>
      <c r="AX1387" t="s">
        <v>76</v>
      </c>
      <c r="AY1387" t="s">
        <v>176</v>
      </c>
      <c r="AZ1387">
        <v>0</v>
      </c>
      <c r="BA1387" t="s">
        <v>176</v>
      </c>
      <c r="BB1387">
        <v>0</v>
      </c>
    </row>
    <row r="1388" spans="1:56" x14ac:dyDescent="0.15">
      <c r="A1388" s="4" t="str">
        <f>HYPERLINK("https://ibp.a2mac1.com/costing(costing:projects/details/9760/part/8414961)","2nd Air Vent")</f>
        <v>2nd Air Vent</v>
      </c>
      <c r="B1388">
        <v>8414961</v>
      </c>
      <c r="C1388">
        <v>8414806</v>
      </c>
      <c r="E1388">
        <v>4.2300000000000004</v>
      </c>
      <c r="F1388">
        <v>0</v>
      </c>
      <c r="G1388">
        <v>0</v>
      </c>
      <c r="H1388">
        <v>2.1403800000000001E-2</v>
      </c>
      <c r="I1388" t="s">
        <v>176</v>
      </c>
      <c r="J1388">
        <v>0.14804999999999999</v>
      </c>
      <c r="K1388">
        <v>4.3994537999999999</v>
      </c>
      <c r="L1388">
        <v>9.4194660272527514E-2</v>
      </c>
      <c r="M1388">
        <v>0.56516796163516514</v>
      </c>
      <c r="N1388">
        <v>4.9646217616351649</v>
      </c>
      <c r="O1388" t="s">
        <v>177</v>
      </c>
      <c r="P1388">
        <v>0.263967228</v>
      </c>
      <c r="Q1388" t="s">
        <v>177</v>
      </c>
      <c r="R1388">
        <v>3.3910077698109907E-2</v>
      </c>
      <c r="S1388" t="s">
        <v>178</v>
      </c>
      <c r="T1388">
        <v>0.59575461139621977</v>
      </c>
      <c r="U1388" t="s">
        <v>90</v>
      </c>
      <c r="V1388">
        <v>0</v>
      </c>
      <c r="W1388" t="s">
        <v>90</v>
      </c>
      <c r="X1388">
        <v>0</v>
      </c>
      <c r="Y1388">
        <v>5.8582536787294952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129</v>
      </c>
      <c r="AF1388">
        <v>172</v>
      </c>
      <c r="AG1388">
        <v>113</v>
      </c>
      <c r="AI1388">
        <v>0.187</v>
      </c>
      <c r="AK1388" t="s">
        <v>107</v>
      </c>
      <c r="AL1388" t="s">
        <v>412</v>
      </c>
      <c r="AM1388">
        <v>200000</v>
      </c>
      <c r="AN1388" t="s">
        <v>97</v>
      </c>
      <c r="AO1388">
        <v>1</v>
      </c>
      <c r="AP1388">
        <v>0</v>
      </c>
      <c r="AQ1388">
        <v>16666.666666666668</v>
      </c>
      <c r="AR1388" t="s">
        <v>3804</v>
      </c>
      <c r="AS1388" t="s">
        <v>75</v>
      </c>
      <c r="AX1388" t="s">
        <v>76</v>
      </c>
      <c r="AY1388" t="s">
        <v>176</v>
      </c>
      <c r="AZ1388">
        <v>0</v>
      </c>
      <c r="BA1388" t="s">
        <v>176</v>
      </c>
      <c r="BB1388">
        <v>0</v>
      </c>
    </row>
    <row r="1389" spans="1:56" x14ac:dyDescent="0.15">
      <c r="A1389" s="4" t="str">
        <f>HYPERLINK("https://ibp.a2mac1.com/costing(costing:projects/details/9760/part/8414962)","Support")</f>
        <v>Support</v>
      </c>
      <c r="B1389">
        <v>8414962</v>
      </c>
      <c r="C1389">
        <v>8414806</v>
      </c>
      <c r="E1389">
        <v>0.14000000000000001</v>
      </c>
      <c r="F1389">
        <v>0</v>
      </c>
      <c r="G1389">
        <v>0</v>
      </c>
      <c r="H1389">
        <v>7.0839999999999998E-4</v>
      </c>
      <c r="I1389" t="s">
        <v>176</v>
      </c>
      <c r="J1389">
        <v>4.8999999999999998E-3</v>
      </c>
      <c r="K1389">
        <v>0.1456084</v>
      </c>
      <c r="L1389">
        <v>1.4720892349081038E-2</v>
      </c>
      <c r="M1389">
        <v>8.8325354094486219E-2</v>
      </c>
      <c r="N1389">
        <v>0.23393375409448622</v>
      </c>
      <c r="O1389" t="s">
        <v>90</v>
      </c>
      <c r="P1389">
        <v>0</v>
      </c>
      <c r="Q1389" t="s">
        <v>90</v>
      </c>
      <c r="R1389">
        <v>0</v>
      </c>
      <c r="S1389" t="s">
        <v>90</v>
      </c>
      <c r="T1389">
        <v>0</v>
      </c>
      <c r="U1389" t="s">
        <v>90</v>
      </c>
      <c r="V1389">
        <v>0</v>
      </c>
      <c r="W1389" t="s">
        <v>90</v>
      </c>
      <c r="X1389">
        <v>0</v>
      </c>
      <c r="Y1389">
        <v>0.23393375409448622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136</v>
      </c>
      <c r="AF1389">
        <v>209</v>
      </c>
      <c r="AG1389">
        <v>96</v>
      </c>
      <c r="AI1389">
        <v>7.6999999999999999E-2</v>
      </c>
      <c r="AK1389" t="s">
        <v>740</v>
      </c>
      <c r="AL1389" t="s">
        <v>399</v>
      </c>
      <c r="AM1389">
        <v>200000</v>
      </c>
      <c r="AN1389" t="s">
        <v>73</v>
      </c>
      <c r="AO1389">
        <v>1</v>
      </c>
      <c r="AP1389">
        <v>0</v>
      </c>
      <c r="AQ1389">
        <v>16666.666666666668</v>
      </c>
      <c r="AR1389" t="s">
        <v>3807</v>
      </c>
      <c r="AS1389" t="s">
        <v>75</v>
      </c>
      <c r="AX1389" t="s">
        <v>76</v>
      </c>
      <c r="AY1389" t="s">
        <v>176</v>
      </c>
      <c r="AZ1389">
        <v>0</v>
      </c>
      <c r="BA1389" t="s">
        <v>176</v>
      </c>
      <c r="BB1389">
        <v>0</v>
      </c>
    </row>
    <row r="1390" spans="1:56" x14ac:dyDescent="0.15">
      <c r="A1390" s="4" t="str">
        <f>HYPERLINK("https://ibp.a2mac1.com/costing(costing:projects/details/9760/part/8415081)","Motor")</f>
        <v>Motor</v>
      </c>
      <c r="B1390">
        <v>8415081</v>
      </c>
      <c r="C1390">
        <v>8414967</v>
      </c>
      <c r="E1390">
        <v>3.96</v>
      </c>
      <c r="F1390">
        <v>0</v>
      </c>
      <c r="G1390">
        <v>0</v>
      </c>
      <c r="H1390">
        <v>0</v>
      </c>
      <c r="I1390" t="s">
        <v>71</v>
      </c>
      <c r="J1390">
        <v>0</v>
      </c>
      <c r="K1390">
        <v>3.96</v>
      </c>
      <c r="L1390">
        <v>0</v>
      </c>
      <c r="M1390">
        <v>0</v>
      </c>
      <c r="N1390">
        <v>3.96</v>
      </c>
      <c r="O1390" t="s">
        <v>71</v>
      </c>
      <c r="P1390">
        <v>0</v>
      </c>
      <c r="Q1390" t="s">
        <v>71</v>
      </c>
      <c r="R1390">
        <v>0</v>
      </c>
      <c r="S1390" t="s">
        <v>71</v>
      </c>
      <c r="T1390">
        <v>0</v>
      </c>
      <c r="U1390" t="s">
        <v>71</v>
      </c>
      <c r="V1390">
        <v>0</v>
      </c>
      <c r="W1390" t="s">
        <v>71</v>
      </c>
      <c r="X1390">
        <v>0</v>
      </c>
      <c r="Y1390">
        <v>3.96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30</v>
      </c>
      <c r="AF1390">
        <v>66</v>
      </c>
      <c r="AG1390">
        <v>63</v>
      </c>
      <c r="AI1390">
        <v>0.16700000000000001</v>
      </c>
      <c r="AK1390" t="s">
        <v>288</v>
      </c>
      <c r="AL1390" t="s">
        <v>399</v>
      </c>
      <c r="AM1390">
        <v>400000</v>
      </c>
      <c r="AN1390" t="s">
        <v>97</v>
      </c>
      <c r="AO1390">
        <v>2</v>
      </c>
      <c r="AP1390">
        <v>0</v>
      </c>
      <c r="AQ1390">
        <v>33333.333333333336</v>
      </c>
      <c r="AR1390" t="s">
        <v>3811</v>
      </c>
      <c r="AS1390" t="s">
        <v>75</v>
      </c>
      <c r="AX1390" t="s">
        <v>76</v>
      </c>
      <c r="AY1390" t="s">
        <v>71</v>
      </c>
      <c r="AZ1390">
        <v>0</v>
      </c>
      <c r="BA1390" t="s">
        <v>71</v>
      </c>
      <c r="BB1390">
        <v>0</v>
      </c>
      <c r="BD1390">
        <v>1.98</v>
      </c>
    </row>
    <row r="1391" spans="1:56" x14ac:dyDescent="0.15">
      <c r="A1391" s="4" t="str">
        <f>HYPERLINK("https://ibp.a2mac1.com/costing(costing:projects/details/9760/part/8415082)","Mechanism")</f>
        <v>Mechanism</v>
      </c>
      <c r="B1391">
        <v>8415082</v>
      </c>
      <c r="C1391">
        <v>8414967</v>
      </c>
      <c r="D1391" t="s">
        <v>3795</v>
      </c>
      <c r="E1391">
        <v>0.05</v>
      </c>
      <c r="F1391">
        <v>0</v>
      </c>
      <c r="G1391">
        <v>0</v>
      </c>
      <c r="H1391">
        <v>0</v>
      </c>
      <c r="I1391" t="s">
        <v>71</v>
      </c>
      <c r="J1391">
        <v>0</v>
      </c>
      <c r="K1391">
        <v>0.05</v>
      </c>
      <c r="L1391">
        <v>0</v>
      </c>
      <c r="M1391">
        <v>0</v>
      </c>
      <c r="N1391">
        <v>0.05</v>
      </c>
      <c r="O1391" t="s">
        <v>71</v>
      </c>
      <c r="P1391">
        <v>0</v>
      </c>
      <c r="Q1391" t="s">
        <v>71</v>
      </c>
      <c r="R1391">
        <v>0</v>
      </c>
      <c r="S1391" t="s">
        <v>71</v>
      </c>
      <c r="T1391">
        <v>0</v>
      </c>
      <c r="U1391" t="s">
        <v>71</v>
      </c>
      <c r="V1391">
        <v>0</v>
      </c>
      <c r="W1391" t="s">
        <v>71</v>
      </c>
      <c r="X1391">
        <v>0</v>
      </c>
      <c r="Y1391">
        <v>0.05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29</v>
      </c>
      <c r="AF1391">
        <v>22</v>
      </c>
      <c r="AG1391">
        <v>13</v>
      </c>
      <c r="AI1391">
        <v>3.0000000000000001E-3</v>
      </c>
      <c r="AK1391" t="s">
        <v>740</v>
      </c>
      <c r="AL1391" t="s">
        <v>112</v>
      </c>
      <c r="AM1391">
        <v>200000</v>
      </c>
      <c r="AN1391" t="s">
        <v>73</v>
      </c>
      <c r="AO1391">
        <v>1</v>
      </c>
      <c r="AP1391">
        <v>0</v>
      </c>
      <c r="AQ1391">
        <v>16666.666666666668</v>
      </c>
      <c r="AR1391" t="s">
        <v>3812</v>
      </c>
      <c r="AS1391" t="s">
        <v>75</v>
      </c>
      <c r="AX1391" t="s">
        <v>76</v>
      </c>
      <c r="AY1391" t="s">
        <v>71</v>
      </c>
      <c r="AZ1391">
        <v>0</v>
      </c>
      <c r="BA1391" t="s">
        <v>71</v>
      </c>
      <c r="BB1391">
        <v>0</v>
      </c>
      <c r="BD1391">
        <v>0.05</v>
      </c>
    </row>
    <row r="1392" spans="1:56" x14ac:dyDescent="0.15">
      <c r="A1392" s="4" t="str">
        <f>HYPERLINK("https://ibp.a2mac1.com/costing(costing:projects/details/9760/part/8415083)","2nd Mechanism")</f>
        <v>2nd Mechanism</v>
      </c>
      <c r="B1392">
        <v>8415083</v>
      </c>
      <c r="C1392">
        <v>8414967</v>
      </c>
      <c r="D1392" t="s">
        <v>1823</v>
      </c>
      <c r="E1392">
        <v>0.05</v>
      </c>
      <c r="F1392">
        <v>0</v>
      </c>
      <c r="G1392">
        <v>0</v>
      </c>
      <c r="H1392">
        <v>0</v>
      </c>
      <c r="I1392" t="s">
        <v>71</v>
      </c>
      <c r="J1392">
        <v>0</v>
      </c>
      <c r="K1392">
        <v>0.05</v>
      </c>
      <c r="L1392">
        <v>0</v>
      </c>
      <c r="M1392">
        <v>0</v>
      </c>
      <c r="N1392">
        <v>0.05</v>
      </c>
      <c r="O1392" t="s">
        <v>71</v>
      </c>
      <c r="P1392">
        <v>0</v>
      </c>
      <c r="Q1392" t="s">
        <v>71</v>
      </c>
      <c r="R1392">
        <v>0</v>
      </c>
      <c r="S1392" t="s">
        <v>71</v>
      </c>
      <c r="T1392">
        <v>0</v>
      </c>
      <c r="U1392" t="s">
        <v>71</v>
      </c>
      <c r="V1392">
        <v>0</v>
      </c>
      <c r="W1392" t="s">
        <v>71</v>
      </c>
      <c r="X1392">
        <v>0</v>
      </c>
      <c r="Y1392">
        <v>0.05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17</v>
      </c>
      <c r="AF1392">
        <v>15</v>
      </c>
      <c r="AG1392">
        <v>23</v>
      </c>
      <c r="AI1392">
        <v>2E-3</v>
      </c>
      <c r="AK1392" t="s">
        <v>740</v>
      </c>
      <c r="AL1392" t="s">
        <v>448</v>
      </c>
      <c r="AM1392">
        <v>200000</v>
      </c>
      <c r="AN1392" t="s">
        <v>73</v>
      </c>
      <c r="AO1392">
        <v>1</v>
      </c>
      <c r="AP1392">
        <v>0</v>
      </c>
      <c r="AQ1392">
        <v>16666.666666666668</v>
      </c>
      <c r="AR1392" t="s">
        <v>3813</v>
      </c>
      <c r="AS1392" t="s">
        <v>75</v>
      </c>
      <c r="AX1392" t="s">
        <v>76</v>
      </c>
      <c r="AY1392" t="s">
        <v>71</v>
      </c>
      <c r="AZ1392">
        <v>0</v>
      </c>
      <c r="BA1392" t="s">
        <v>71</v>
      </c>
      <c r="BB1392">
        <v>0</v>
      </c>
      <c r="BD1392">
        <v>0.05</v>
      </c>
    </row>
    <row r="1393" spans="1:56" x14ac:dyDescent="0.15">
      <c r="A1393" s="4" t="str">
        <f>HYPERLINK("https://ibp.a2mac1.com/costing(costing:projects/details/9760/part/8414964)","Left Side and Right if Similar")</f>
        <v>Left Side and Right if Similar</v>
      </c>
      <c r="B1393">
        <v>8414964</v>
      </c>
      <c r="C1393">
        <v>8414807</v>
      </c>
      <c r="E1393">
        <v>9.7899999999999991</v>
      </c>
      <c r="F1393">
        <v>0</v>
      </c>
      <c r="G1393">
        <v>0</v>
      </c>
      <c r="H1393">
        <v>4.9537400000000002E-2</v>
      </c>
      <c r="I1393" t="s">
        <v>176</v>
      </c>
      <c r="J1393">
        <v>0.34265000000000001</v>
      </c>
      <c r="K1393">
        <v>10.1821874</v>
      </c>
      <c r="L1393">
        <v>0.21958660521840975</v>
      </c>
      <c r="M1393">
        <v>1.3175196313104585</v>
      </c>
      <c r="N1393">
        <v>11.499707031310459</v>
      </c>
      <c r="O1393" t="s">
        <v>90</v>
      </c>
      <c r="P1393">
        <v>0</v>
      </c>
      <c r="Q1393" t="s">
        <v>90</v>
      </c>
      <c r="R1393">
        <v>0</v>
      </c>
      <c r="S1393" t="s">
        <v>90</v>
      </c>
      <c r="T1393">
        <v>0</v>
      </c>
      <c r="U1393" t="s">
        <v>90</v>
      </c>
      <c r="V1393">
        <v>0</v>
      </c>
      <c r="W1393" t="s">
        <v>90</v>
      </c>
      <c r="X1393">
        <v>0</v>
      </c>
      <c r="Y1393">
        <v>11.499707031310459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155</v>
      </c>
      <c r="AF1393">
        <v>364</v>
      </c>
      <c r="AG1393">
        <v>125</v>
      </c>
      <c r="AI1393">
        <v>0.433</v>
      </c>
      <c r="AK1393" t="s">
        <v>740</v>
      </c>
      <c r="AL1393" t="s">
        <v>412</v>
      </c>
      <c r="AM1393">
        <v>200000</v>
      </c>
      <c r="AN1393" t="s">
        <v>73</v>
      </c>
      <c r="AO1393">
        <v>1</v>
      </c>
      <c r="AP1393">
        <v>0</v>
      </c>
      <c r="AQ1393">
        <v>16666.666666666668</v>
      </c>
      <c r="AR1393" t="s">
        <v>3817</v>
      </c>
      <c r="AS1393" t="s">
        <v>75</v>
      </c>
      <c r="AX1393" t="s">
        <v>76</v>
      </c>
      <c r="AY1393" t="s">
        <v>176</v>
      </c>
      <c r="AZ1393">
        <v>0</v>
      </c>
      <c r="BA1393" t="s">
        <v>176</v>
      </c>
      <c r="BB1393">
        <v>0</v>
      </c>
    </row>
    <row r="1394" spans="1:56" x14ac:dyDescent="0.15">
      <c r="A1394" s="4" t="str">
        <f>HYPERLINK("https://ibp.a2mac1.com/costing(costing:projects/details/9760/part/8414965)","Center Bezel")</f>
        <v>Center Bezel</v>
      </c>
      <c r="B1394">
        <v>8414965</v>
      </c>
      <c r="C1394">
        <v>8414807</v>
      </c>
      <c r="E1394">
        <v>0.17</v>
      </c>
      <c r="F1394">
        <v>0</v>
      </c>
      <c r="G1394">
        <v>0</v>
      </c>
      <c r="H1394">
        <v>8.6019999999999998E-4</v>
      </c>
      <c r="I1394" t="s">
        <v>176</v>
      </c>
      <c r="J1394">
        <v>5.9500000000000004E-3</v>
      </c>
      <c r="K1394">
        <v>0.1768102</v>
      </c>
      <c r="L1394">
        <v>9.422641154184605E-3</v>
      </c>
      <c r="M1394">
        <v>5.653584692510763E-2</v>
      </c>
      <c r="N1394">
        <v>0.23334604692510763</v>
      </c>
      <c r="O1394" t="s">
        <v>177</v>
      </c>
      <c r="P1394">
        <v>1.0608612E-2</v>
      </c>
      <c r="Q1394" t="s">
        <v>177</v>
      </c>
      <c r="R1394">
        <v>3.392150815506458E-3</v>
      </c>
      <c r="S1394" t="s">
        <v>178</v>
      </c>
      <c r="T1394">
        <v>2.8001525631012915E-2</v>
      </c>
      <c r="U1394" t="s">
        <v>90</v>
      </c>
      <c r="V1394">
        <v>0</v>
      </c>
      <c r="W1394" t="s">
        <v>90</v>
      </c>
      <c r="X1394">
        <v>0</v>
      </c>
      <c r="Y1394">
        <v>0.27534833537162701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45</v>
      </c>
      <c r="AF1394">
        <v>263</v>
      </c>
      <c r="AG1394">
        <v>60</v>
      </c>
      <c r="AI1394">
        <v>4.7E-2</v>
      </c>
      <c r="AK1394" t="s">
        <v>740</v>
      </c>
      <c r="AL1394" t="s">
        <v>412</v>
      </c>
      <c r="AM1394">
        <v>200000</v>
      </c>
      <c r="AN1394" t="s">
        <v>97</v>
      </c>
      <c r="AO1394">
        <v>1</v>
      </c>
      <c r="AP1394">
        <v>0</v>
      </c>
      <c r="AQ1394">
        <v>16666.666666666668</v>
      </c>
      <c r="AR1394" t="s">
        <v>3820</v>
      </c>
      <c r="AS1394" t="s">
        <v>75</v>
      </c>
      <c r="AX1394" t="s">
        <v>76</v>
      </c>
      <c r="AY1394" t="s">
        <v>176</v>
      </c>
      <c r="AZ1394">
        <v>0</v>
      </c>
      <c r="BA1394" t="s">
        <v>176</v>
      </c>
      <c r="BB1394">
        <v>0</v>
      </c>
    </row>
    <row r="1395" spans="1:56" x14ac:dyDescent="0.15">
      <c r="A1395" s="4" t="str">
        <f>HYPERLINK("https://ibp.a2mac1.com/costing(costing:projects/details/9760/part/8414966)","Pipe")</f>
        <v>Pipe</v>
      </c>
      <c r="B1395">
        <v>8414966</v>
      </c>
      <c r="C1395">
        <v>8414807</v>
      </c>
      <c r="E1395">
        <v>0.41</v>
      </c>
      <c r="F1395">
        <v>0</v>
      </c>
      <c r="G1395">
        <v>0</v>
      </c>
      <c r="H1395">
        <v>2.0745999999999998E-3</v>
      </c>
      <c r="I1395" t="s">
        <v>176</v>
      </c>
      <c r="J1395">
        <v>1.435E-2</v>
      </c>
      <c r="K1395">
        <v>0.42642459999999999</v>
      </c>
      <c r="L1395">
        <v>2.001914354397747E-2</v>
      </c>
      <c r="M1395">
        <v>0.12011486126386482</v>
      </c>
      <c r="N1395">
        <v>0.54653946126386477</v>
      </c>
      <c r="O1395" t="s">
        <v>90</v>
      </c>
      <c r="P1395">
        <v>0</v>
      </c>
      <c r="Q1395" t="s">
        <v>90</v>
      </c>
      <c r="R1395">
        <v>0</v>
      </c>
      <c r="S1395" t="s">
        <v>90</v>
      </c>
      <c r="T1395">
        <v>0</v>
      </c>
      <c r="U1395" t="s">
        <v>90</v>
      </c>
      <c r="V1395">
        <v>0</v>
      </c>
      <c r="W1395" t="s">
        <v>90</v>
      </c>
      <c r="X1395">
        <v>0</v>
      </c>
      <c r="Y1395">
        <v>0.54653946126386477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125</v>
      </c>
      <c r="AF1395">
        <v>136</v>
      </c>
      <c r="AG1395">
        <v>105</v>
      </c>
      <c r="AI1395">
        <v>0.113</v>
      </c>
      <c r="AK1395" t="s">
        <v>740</v>
      </c>
      <c r="AL1395" t="s">
        <v>403</v>
      </c>
      <c r="AM1395">
        <v>200000</v>
      </c>
      <c r="AN1395" t="s">
        <v>73</v>
      </c>
      <c r="AO1395">
        <v>1</v>
      </c>
      <c r="AP1395">
        <v>0</v>
      </c>
      <c r="AQ1395">
        <v>16666.666666666668</v>
      </c>
      <c r="AR1395" t="s">
        <v>3823</v>
      </c>
      <c r="AS1395" t="s">
        <v>75</v>
      </c>
      <c r="AX1395" t="s">
        <v>76</v>
      </c>
      <c r="AY1395" t="s">
        <v>176</v>
      </c>
      <c r="AZ1395">
        <v>0</v>
      </c>
      <c r="BA1395" t="s">
        <v>176</v>
      </c>
      <c r="BB1395">
        <v>0</v>
      </c>
    </row>
    <row r="1396" spans="1:56" x14ac:dyDescent="0.15">
      <c r="A1396" s="4" t="str">
        <f>HYPERLINK("https://ibp.a2mac1.com/costing(costing:projects/details/9760/part/8415084)","Motor")</f>
        <v>Motor</v>
      </c>
      <c r="B1396">
        <v>8415084</v>
      </c>
      <c r="C1396">
        <v>8414973</v>
      </c>
      <c r="E1396">
        <v>7.92</v>
      </c>
      <c r="F1396">
        <v>0</v>
      </c>
      <c r="G1396">
        <v>0</v>
      </c>
      <c r="H1396">
        <v>0</v>
      </c>
      <c r="I1396" t="s">
        <v>71</v>
      </c>
      <c r="J1396">
        <v>0</v>
      </c>
      <c r="K1396">
        <v>7.92</v>
      </c>
      <c r="L1396">
        <v>0</v>
      </c>
      <c r="M1396">
        <v>0</v>
      </c>
      <c r="N1396">
        <v>7.92</v>
      </c>
      <c r="O1396" t="s">
        <v>71</v>
      </c>
      <c r="P1396">
        <v>0</v>
      </c>
      <c r="Q1396" t="s">
        <v>71</v>
      </c>
      <c r="R1396">
        <v>0</v>
      </c>
      <c r="S1396" t="s">
        <v>71</v>
      </c>
      <c r="T1396">
        <v>0</v>
      </c>
      <c r="U1396" t="s">
        <v>71</v>
      </c>
      <c r="V1396">
        <v>0</v>
      </c>
      <c r="W1396" t="s">
        <v>71</v>
      </c>
      <c r="X1396">
        <v>0</v>
      </c>
      <c r="Y1396">
        <v>7.92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30</v>
      </c>
      <c r="AF1396">
        <v>66</v>
      </c>
      <c r="AG1396">
        <v>63</v>
      </c>
      <c r="AI1396">
        <v>0.33400000000000002</v>
      </c>
      <c r="AK1396" t="s">
        <v>288</v>
      </c>
      <c r="AL1396" t="s">
        <v>3830</v>
      </c>
      <c r="AM1396">
        <v>800000</v>
      </c>
      <c r="AN1396" t="s">
        <v>97</v>
      </c>
      <c r="AO1396">
        <v>4</v>
      </c>
      <c r="AP1396">
        <v>0</v>
      </c>
      <c r="AQ1396">
        <v>66666.666666666672</v>
      </c>
      <c r="AR1396" t="s">
        <v>3831</v>
      </c>
      <c r="AS1396" t="s">
        <v>75</v>
      </c>
      <c r="AX1396" t="s">
        <v>76</v>
      </c>
      <c r="AY1396" t="s">
        <v>71</v>
      </c>
      <c r="AZ1396">
        <v>0</v>
      </c>
      <c r="BA1396" t="s">
        <v>71</v>
      </c>
      <c r="BB1396">
        <v>0</v>
      </c>
      <c r="BD1396">
        <v>1.98</v>
      </c>
    </row>
    <row r="1397" spans="1:56" x14ac:dyDescent="0.15">
      <c r="A1397" s="4" t="str">
        <f>HYPERLINK("https://ibp.a2mac1.com/costing(costing:projects/details/9760/part/8415085)","Motor Support")</f>
        <v>Motor Support</v>
      </c>
      <c r="B1397">
        <v>8415085</v>
      </c>
      <c r="C1397">
        <v>8414973</v>
      </c>
      <c r="E1397">
        <v>0.11945103157894738</v>
      </c>
      <c r="F1397">
        <v>0</v>
      </c>
      <c r="G1397">
        <v>0</v>
      </c>
      <c r="H1397">
        <v>6.0083868884210523E-4</v>
      </c>
      <c r="I1397" t="s">
        <v>176</v>
      </c>
      <c r="J1397">
        <v>4.1807861052631581E-3</v>
      </c>
      <c r="K1397">
        <v>0.12423265637305263</v>
      </c>
      <c r="L1397">
        <v>5.8902978663817546E-3</v>
      </c>
      <c r="M1397">
        <v>3.5341787198290529E-2</v>
      </c>
      <c r="N1397">
        <v>0.15957444357134315</v>
      </c>
      <c r="O1397" t="s">
        <v>90</v>
      </c>
      <c r="P1397">
        <v>0</v>
      </c>
      <c r="Q1397" t="s">
        <v>90</v>
      </c>
      <c r="R1397">
        <v>0</v>
      </c>
      <c r="S1397" t="s">
        <v>90</v>
      </c>
      <c r="T1397">
        <v>0</v>
      </c>
      <c r="U1397" t="s">
        <v>90</v>
      </c>
      <c r="V1397">
        <v>0</v>
      </c>
      <c r="W1397" t="s">
        <v>90</v>
      </c>
      <c r="X1397">
        <v>0</v>
      </c>
      <c r="Y1397">
        <v>0.15957444357134315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29</v>
      </c>
      <c r="AF1397">
        <v>79</v>
      </c>
      <c r="AG1397">
        <v>91</v>
      </c>
      <c r="AI1397">
        <v>3.5999999999999997E-2</v>
      </c>
      <c r="AK1397" t="s">
        <v>740</v>
      </c>
      <c r="AL1397" t="s">
        <v>403</v>
      </c>
      <c r="AM1397">
        <v>400000</v>
      </c>
      <c r="AN1397" t="s">
        <v>73</v>
      </c>
      <c r="AO1397">
        <v>2</v>
      </c>
      <c r="AP1397">
        <v>0</v>
      </c>
      <c r="AQ1397">
        <v>33333.333333333336</v>
      </c>
      <c r="AR1397" t="s">
        <v>3836</v>
      </c>
      <c r="AS1397" t="s">
        <v>75</v>
      </c>
      <c r="AX1397" t="s">
        <v>76</v>
      </c>
      <c r="AY1397" t="s">
        <v>176</v>
      </c>
      <c r="AZ1397">
        <v>0</v>
      </c>
      <c r="BA1397" t="s">
        <v>176</v>
      </c>
      <c r="BB1397">
        <v>0</v>
      </c>
    </row>
    <row r="1398" spans="1:56" x14ac:dyDescent="0.15">
      <c r="A1398" s="4" t="str">
        <f>HYPERLINK("https://ibp.a2mac1.com/costing(costing:projects/details/9760/part/8415086)","Mechanism")</f>
        <v>Mechanism</v>
      </c>
      <c r="B1398">
        <v>8415086</v>
      </c>
      <c r="C1398">
        <v>8414973</v>
      </c>
      <c r="D1398" t="s">
        <v>3837</v>
      </c>
      <c r="E1398">
        <v>0.1</v>
      </c>
      <c r="F1398">
        <v>0</v>
      </c>
      <c r="G1398">
        <v>0</v>
      </c>
      <c r="H1398">
        <v>0</v>
      </c>
      <c r="I1398" t="s">
        <v>71</v>
      </c>
      <c r="J1398">
        <v>0</v>
      </c>
      <c r="K1398">
        <v>0.1</v>
      </c>
      <c r="L1398">
        <v>0</v>
      </c>
      <c r="M1398">
        <v>0</v>
      </c>
      <c r="N1398">
        <v>0.1</v>
      </c>
      <c r="O1398" t="s">
        <v>71</v>
      </c>
      <c r="P1398">
        <v>0</v>
      </c>
      <c r="Q1398" t="s">
        <v>71</v>
      </c>
      <c r="R1398">
        <v>0</v>
      </c>
      <c r="S1398" t="s">
        <v>71</v>
      </c>
      <c r="T1398">
        <v>0</v>
      </c>
      <c r="U1398" t="s">
        <v>71</v>
      </c>
      <c r="V1398">
        <v>0</v>
      </c>
      <c r="W1398" t="s">
        <v>71</v>
      </c>
      <c r="X1398">
        <v>0</v>
      </c>
      <c r="Y1398">
        <v>0.1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13</v>
      </c>
      <c r="AF1398">
        <v>19</v>
      </c>
      <c r="AG1398">
        <v>18</v>
      </c>
      <c r="AI1398">
        <v>3.0000000000000001E-3</v>
      </c>
      <c r="AK1398" t="s">
        <v>740</v>
      </c>
      <c r="AL1398" t="s">
        <v>403</v>
      </c>
      <c r="AM1398">
        <v>400000</v>
      </c>
      <c r="AN1398" t="s">
        <v>73</v>
      </c>
      <c r="AO1398">
        <v>2</v>
      </c>
      <c r="AP1398">
        <v>0</v>
      </c>
      <c r="AQ1398">
        <v>33333.333333333336</v>
      </c>
      <c r="AR1398" t="s">
        <v>3838</v>
      </c>
      <c r="AS1398" t="s">
        <v>75</v>
      </c>
      <c r="AX1398" t="s">
        <v>76</v>
      </c>
      <c r="AY1398" t="s">
        <v>71</v>
      </c>
      <c r="AZ1398">
        <v>0</v>
      </c>
      <c r="BA1398" t="s">
        <v>71</v>
      </c>
      <c r="BB1398">
        <v>0</v>
      </c>
      <c r="BD1398">
        <v>0.05</v>
      </c>
    </row>
    <row r="1399" spans="1:56" x14ac:dyDescent="0.15">
      <c r="A1399" s="4" t="str">
        <f>HYPERLINK("https://ibp.a2mac1.com/costing(costing:projects/details/9760/part/8415087)","2nd Mechanism")</f>
        <v>2nd Mechanism</v>
      </c>
      <c r="B1399">
        <v>8415087</v>
      </c>
      <c r="C1399">
        <v>8414973</v>
      </c>
      <c r="D1399" t="s">
        <v>3837</v>
      </c>
      <c r="E1399">
        <v>0.1</v>
      </c>
      <c r="F1399">
        <v>0</v>
      </c>
      <c r="G1399">
        <v>0</v>
      </c>
      <c r="H1399">
        <v>0</v>
      </c>
      <c r="I1399" t="s">
        <v>71</v>
      </c>
      <c r="J1399">
        <v>0</v>
      </c>
      <c r="K1399">
        <v>0.1</v>
      </c>
      <c r="L1399">
        <v>0</v>
      </c>
      <c r="M1399">
        <v>0</v>
      </c>
      <c r="N1399">
        <v>0.1</v>
      </c>
      <c r="O1399" t="s">
        <v>71</v>
      </c>
      <c r="P1399">
        <v>0</v>
      </c>
      <c r="Q1399" t="s">
        <v>71</v>
      </c>
      <c r="R1399">
        <v>0</v>
      </c>
      <c r="S1399" t="s">
        <v>71</v>
      </c>
      <c r="T1399">
        <v>0</v>
      </c>
      <c r="U1399" t="s">
        <v>71</v>
      </c>
      <c r="V1399">
        <v>0</v>
      </c>
      <c r="W1399" t="s">
        <v>71</v>
      </c>
      <c r="X1399">
        <v>0</v>
      </c>
      <c r="Y1399">
        <v>0.1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18</v>
      </c>
      <c r="AF1399">
        <v>13</v>
      </c>
      <c r="AG1399">
        <v>19</v>
      </c>
      <c r="AI1399">
        <v>3.0000000000000001E-3</v>
      </c>
      <c r="AK1399" t="s">
        <v>740</v>
      </c>
      <c r="AL1399" t="s">
        <v>403</v>
      </c>
      <c r="AM1399">
        <v>400000</v>
      </c>
      <c r="AN1399" t="s">
        <v>73</v>
      </c>
      <c r="AO1399">
        <v>2</v>
      </c>
      <c r="AP1399">
        <v>0</v>
      </c>
      <c r="AQ1399">
        <v>33333.333333333336</v>
      </c>
      <c r="AR1399" t="s">
        <v>3839</v>
      </c>
      <c r="AS1399" t="s">
        <v>75</v>
      </c>
      <c r="AX1399" t="s">
        <v>76</v>
      </c>
      <c r="AY1399" t="s">
        <v>71</v>
      </c>
      <c r="AZ1399">
        <v>0</v>
      </c>
      <c r="BA1399" t="s">
        <v>71</v>
      </c>
      <c r="BB1399">
        <v>0</v>
      </c>
      <c r="BD1399">
        <v>0.05</v>
      </c>
    </row>
    <row r="1400" spans="1:56" x14ac:dyDescent="0.15">
      <c r="A1400" s="4" t="str">
        <f>HYPERLINK("https://ibp.a2mac1.com/costing(costing:projects/details/9760/part/8414968)","Air Vent")</f>
        <v>Air Vent</v>
      </c>
      <c r="B1400">
        <v>8414968</v>
      </c>
      <c r="C1400">
        <v>8414808</v>
      </c>
      <c r="E1400">
        <v>4.18</v>
      </c>
      <c r="F1400">
        <v>0</v>
      </c>
      <c r="G1400">
        <v>0</v>
      </c>
      <c r="H1400">
        <v>2.1150800000000001E-2</v>
      </c>
      <c r="I1400" t="s">
        <v>176</v>
      </c>
      <c r="J1400">
        <v>0.14630000000000001</v>
      </c>
      <c r="K1400">
        <v>4.3474507999999998</v>
      </c>
      <c r="L1400">
        <v>9.2428576540895369E-2</v>
      </c>
      <c r="M1400">
        <v>0.55457145924537221</v>
      </c>
      <c r="N1400">
        <v>4.9020222592453724</v>
      </c>
      <c r="O1400" t="s">
        <v>90</v>
      </c>
      <c r="P1400">
        <v>0</v>
      </c>
      <c r="Q1400" t="s">
        <v>90</v>
      </c>
      <c r="R1400">
        <v>0</v>
      </c>
      <c r="S1400" t="s">
        <v>90</v>
      </c>
      <c r="T1400">
        <v>0</v>
      </c>
      <c r="U1400" t="s">
        <v>90</v>
      </c>
      <c r="V1400">
        <v>0</v>
      </c>
      <c r="W1400" t="s">
        <v>90</v>
      </c>
      <c r="X1400">
        <v>0</v>
      </c>
      <c r="Y1400">
        <v>4.9020222592453724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162</v>
      </c>
      <c r="AF1400">
        <v>146</v>
      </c>
      <c r="AG1400">
        <v>94</v>
      </c>
      <c r="AI1400">
        <v>0.185</v>
      </c>
      <c r="AK1400" t="s">
        <v>740</v>
      </c>
      <c r="AL1400" t="s">
        <v>403</v>
      </c>
      <c r="AM1400">
        <v>200000</v>
      </c>
      <c r="AN1400" t="s">
        <v>73</v>
      </c>
      <c r="AO1400">
        <v>1</v>
      </c>
      <c r="AP1400">
        <v>0</v>
      </c>
      <c r="AQ1400">
        <v>16666.666666666668</v>
      </c>
      <c r="AR1400" t="s">
        <v>3843</v>
      </c>
      <c r="AS1400" t="s">
        <v>75</v>
      </c>
      <c r="AX1400" t="s">
        <v>76</v>
      </c>
      <c r="AY1400" t="s">
        <v>176</v>
      </c>
      <c r="AZ1400">
        <v>0</v>
      </c>
      <c r="BA1400" t="s">
        <v>176</v>
      </c>
      <c r="BB1400">
        <v>0</v>
      </c>
    </row>
    <row r="1401" spans="1:56" x14ac:dyDescent="0.15">
      <c r="A1401" s="4" t="str">
        <f>HYPERLINK("https://ibp.a2mac1.com/costing(costing:projects/details/9760/part/8414969)","Bezel")</f>
        <v>Bezel</v>
      </c>
      <c r="B1401">
        <v>8414969</v>
      </c>
      <c r="C1401">
        <v>8414808</v>
      </c>
      <c r="E1401">
        <v>0.05</v>
      </c>
      <c r="F1401">
        <v>0</v>
      </c>
      <c r="G1401">
        <v>0</v>
      </c>
      <c r="H1401">
        <v>2.5300000000000002E-4</v>
      </c>
      <c r="I1401" t="s">
        <v>176</v>
      </c>
      <c r="J1401">
        <v>1.75E-3</v>
      </c>
      <c r="K1401">
        <v>5.2003000000000001E-2</v>
      </c>
      <c r="L1401">
        <v>4.1243899592881732E-3</v>
      </c>
      <c r="M1401">
        <v>2.4746339755729041E-2</v>
      </c>
      <c r="N1401">
        <v>7.6749339755729035E-2</v>
      </c>
      <c r="O1401" t="s">
        <v>177</v>
      </c>
      <c r="P1401">
        <v>3.1201800000000002E-3</v>
      </c>
      <c r="Q1401" t="s">
        <v>177</v>
      </c>
      <c r="R1401">
        <v>1.4847803853437424E-3</v>
      </c>
      <c r="S1401" t="s">
        <v>178</v>
      </c>
      <c r="T1401">
        <v>9.2099207706874842E-3</v>
      </c>
      <c r="U1401" t="s">
        <v>90</v>
      </c>
      <c r="V1401">
        <v>0</v>
      </c>
      <c r="W1401" t="s">
        <v>90</v>
      </c>
      <c r="X1401">
        <v>0</v>
      </c>
      <c r="Y1401">
        <v>9.0564220911760265E-2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21</v>
      </c>
      <c r="AF1401">
        <v>239</v>
      </c>
      <c r="AG1401">
        <v>22</v>
      </c>
      <c r="AI1401">
        <v>1.4999999999999999E-2</v>
      </c>
      <c r="AK1401" t="s">
        <v>740</v>
      </c>
      <c r="AL1401" t="s">
        <v>412</v>
      </c>
      <c r="AM1401">
        <v>200000</v>
      </c>
      <c r="AN1401" t="s">
        <v>97</v>
      </c>
      <c r="AO1401">
        <v>1</v>
      </c>
      <c r="AP1401">
        <v>0</v>
      </c>
      <c r="AQ1401">
        <v>16666.666666666668</v>
      </c>
      <c r="AR1401" t="s">
        <v>3846</v>
      </c>
      <c r="AS1401" t="s">
        <v>75</v>
      </c>
      <c r="AX1401" t="s">
        <v>76</v>
      </c>
      <c r="AY1401" t="s">
        <v>176</v>
      </c>
      <c r="AZ1401">
        <v>0</v>
      </c>
      <c r="BA1401" t="s">
        <v>176</v>
      </c>
      <c r="BB1401">
        <v>0</v>
      </c>
    </row>
    <row r="1402" spans="1:56" x14ac:dyDescent="0.15">
      <c r="A1402" s="4" t="str">
        <f>HYPERLINK("https://ibp.a2mac1.com/costing(costing:projects/details/9760/part/8414970)","2nd Bezel")</f>
        <v>2nd Bezel</v>
      </c>
      <c r="B1402">
        <v>8414970</v>
      </c>
      <c r="C1402">
        <v>8414808</v>
      </c>
      <c r="E1402">
        <v>0.26</v>
      </c>
      <c r="F1402">
        <v>0</v>
      </c>
      <c r="G1402">
        <v>0</v>
      </c>
      <c r="H1402">
        <v>1.3156000000000001E-3</v>
      </c>
      <c r="I1402" t="s">
        <v>176</v>
      </c>
      <c r="J1402">
        <v>9.1000000000000004E-3</v>
      </c>
      <c r="K1402">
        <v>0.27041559999999998</v>
      </c>
      <c r="L1402">
        <v>1.2954808617448894E-2</v>
      </c>
      <c r="M1402">
        <v>7.7728851704693361E-2</v>
      </c>
      <c r="N1402">
        <v>0.34814445170469338</v>
      </c>
      <c r="O1402" t="s">
        <v>177</v>
      </c>
      <c r="P1402">
        <v>1.6224935999999999E-2</v>
      </c>
      <c r="Q1402" t="s">
        <v>177</v>
      </c>
      <c r="R1402">
        <v>4.6637311022816015E-3</v>
      </c>
      <c r="S1402" t="s">
        <v>178</v>
      </c>
      <c r="T1402">
        <v>4.1777334204563206E-2</v>
      </c>
      <c r="U1402" t="s">
        <v>90</v>
      </c>
      <c r="V1402">
        <v>0</v>
      </c>
      <c r="W1402" t="s">
        <v>90</v>
      </c>
      <c r="X1402">
        <v>0</v>
      </c>
      <c r="Y1402">
        <v>0.41081045301153818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27</v>
      </c>
      <c r="AF1402">
        <v>580</v>
      </c>
      <c r="AG1402">
        <v>36</v>
      </c>
      <c r="AI1402">
        <v>7.1999999999999995E-2</v>
      </c>
      <c r="AK1402" t="s">
        <v>740</v>
      </c>
      <c r="AL1402" t="s">
        <v>412</v>
      </c>
      <c r="AM1402">
        <v>200000</v>
      </c>
      <c r="AN1402" t="s">
        <v>97</v>
      </c>
      <c r="AO1402">
        <v>1</v>
      </c>
      <c r="AP1402">
        <v>0</v>
      </c>
      <c r="AQ1402">
        <v>16666.666666666668</v>
      </c>
      <c r="AR1402" t="s">
        <v>3849</v>
      </c>
      <c r="AS1402" t="s">
        <v>75</v>
      </c>
      <c r="AX1402" t="s">
        <v>76</v>
      </c>
      <c r="AY1402" t="s">
        <v>176</v>
      </c>
      <c r="AZ1402">
        <v>0</v>
      </c>
      <c r="BA1402" t="s">
        <v>176</v>
      </c>
      <c r="BB1402">
        <v>0</v>
      </c>
    </row>
    <row r="1403" spans="1:56" x14ac:dyDescent="0.15">
      <c r="A1403" s="4" t="str">
        <f>HYPERLINK("https://ibp.a2mac1.com/costing(costing:projects/details/9760/part/8414971)","Support")</f>
        <v>Support</v>
      </c>
      <c r="B1403">
        <v>8414971</v>
      </c>
      <c r="C1403">
        <v>8414808</v>
      </c>
      <c r="E1403">
        <v>0.74</v>
      </c>
      <c r="F1403">
        <v>0</v>
      </c>
      <c r="G1403">
        <v>0</v>
      </c>
      <c r="H1403">
        <v>3.7444000000000002E-3</v>
      </c>
      <c r="I1403" t="s">
        <v>176</v>
      </c>
      <c r="J1403">
        <v>2.5899999999999999E-2</v>
      </c>
      <c r="K1403">
        <v>0.76964440000000001</v>
      </c>
      <c r="L1403">
        <v>6.2405153103148925E-2</v>
      </c>
      <c r="M1403">
        <v>0.37443091861889355</v>
      </c>
      <c r="N1403">
        <v>1.1440753186188934</v>
      </c>
      <c r="O1403" t="s">
        <v>90</v>
      </c>
      <c r="P1403">
        <v>0</v>
      </c>
      <c r="Q1403" t="s">
        <v>90</v>
      </c>
      <c r="R1403">
        <v>0</v>
      </c>
      <c r="S1403" t="s">
        <v>90</v>
      </c>
      <c r="T1403">
        <v>0</v>
      </c>
      <c r="U1403" t="s">
        <v>90</v>
      </c>
      <c r="V1403">
        <v>0</v>
      </c>
      <c r="W1403" t="s">
        <v>90</v>
      </c>
      <c r="X1403">
        <v>0</v>
      </c>
      <c r="Y1403">
        <v>1.1440753186188934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165</v>
      </c>
      <c r="AF1403">
        <v>656</v>
      </c>
      <c r="AG1403">
        <v>106</v>
      </c>
      <c r="AI1403">
        <v>0.41899999999999998</v>
      </c>
      <c r="AK1403" t="s">
        <v>740</v>
      </c>
      <c r="AL1403" t="s">
        <v>399</v>
      </c>
      <c r="AM1403">
        <v>200000</v>
      </c>
      <c r="AN1403" t="s">
        <v>73</v>
      </c>
      <c r="AO1403">
        <v>1</v>
      </c>
      <c r="AP1403">
        <v>0</v>
      </c>
      <c r="AQ1403">
        <v>16666.666666666668</v>
      </c>
      <c r="AR1403" t="s">
        <v>3852</v>
      </c>
      <c r="AS1403" t="s">
        <v>75</v>
      </c>
      <c r="AX1403" t="s">
        <v>76</v>
      </c>
      <c r="AY1403" t="s">
        <v>176</v>
      </c>
      <c r="AZ1403">
        <v>0</v>
      </c>
      <c r="BA1403" t="s">
        <v>176</v>
      </c>
      <c r="BB1403">
        <v>0</v>
      </c>
    </row>
    <row r="1404" spans="1:56" x14ac:dyDescent="0.15">
      <c r="A1404" s="4" t="str">
        <f>HYPERLINK("https://ibp.a2mac1.com/costing(costing:projects/details/9760/part/8414972)","2nd Air Vent")</f>
        <v>2nd Air Vent</v>
      </c>
      <c r="B1404">
        <v>8414972</v>
      </c>
      <c r="C1404">
        <v>8414808</v>
      </c>
      <c r="E1404">
        <v>4.34</v>
      </c>
      <c r="F1404">
        <v>0</v>
      </c>
      <c r="G1404">
        <v>0</v>
      </c>
      <c r="H1404">
        <v>2.1960400000000001E-2</v>
      </c>
      <c r="I1404" t="s">
        <v>176</v>
      </c>
      <c r="J1404">
        <v>0.15190000000000001</v>
      </c>
      <c r="K1404">
        <v>4.5138604000000004</v>
      </c>
      <c r="L1404">
        <v>9.5960744004159659E-2</v>
      </c>
      <c r="M1404">
        <v>0.57576446402495796</v>
      </c>
      <c r="N1404">
        <v>5.089624864024958</v>
      </c>
      <c r="O1404" t="s">
        <v>90</v>
      </c>
      <c r="P1404">
        <v>0</v>
      </c>
      <c r="Q1404" t="s">
        <v>90</v>
      </c>
      <c r="R1404">
        <v>0</v>
      </c>
      <c r="S1404" t="s">
        <v>90</v>
      </c>
      <c r="T1404">
        <v>0</v>
      </c>
      <c r="U1404" t="s">
        <v>90</v>
      </c>
      <c r="V1404">
        <v>0</v>
      </c>
      <c r="W1404" t="s">
        <v>90</v>
      </c>
      <c r="X1404">
        <v>0</v>
      </c>
      <c r="Y1404">
        <v>5.089624864024958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140</v>
      </c>
      <c r="AF1404">
        <v>175</v>
      </c>
      <c r="AG1404">
        <v>105</v>
      </c>
      <c r="AI1404">
        <v>0.192</v>
      </c>
      <c r="AK1404" t="s">
        <v>740</v>
      </c>
      <c r="AL1404" t="s">
        <v>403</v>
      </c>
      <c r="AM1404">
        <v>200000</v>
      </c>
      <c r="AN1404" t="s">
        <v>73</v>
      </c>
      <c r="AO1404">
        <v>1</v>
      </c>
      <c r="AP1404">
        <v>0</v>
      </c>
      <c r="AQ1404">
        <v>16666.666666666668</v>
      </c>
      <c r="AR1404" t="s">
        <v>3855</v>
      </c>
      <c r="AS1404" t="s">
        <v>75</v>
      </c>
      <c r="AX1404" t="s">
        <v>76</v>
      </c>
      <c r="AY1404" t="s">
        <v>176</v>
      </c>
      <c r="AZ1404">
        <v>0</v>
      </c>
      <c r="BA1404" t="s">
        <v>176</v>
      </c>
      <c r="BB1404">
        <v>0</v>
      </c>
    </row>
    <row r="1405" spans="1:56" x14ac:dyDescent="0.15">
      <c r="A1405" s="4" t="str">
        <f>HYPERLINK("https://ibp.a2mac1.com/costing(costing:projects/details/9760/part/8414974)","Left Grille and Right if Similar")</f>
        <v>Left Grille and Right if Similar</v>
      </c>
      <c r="B1405">
        <v>8414974</v>
      </c>
      <c r="C1405">
        <v>8414813</v>
      </c>
      <c r="E1405">
        <v>0.24</v>
      </c>
      <c r="F1405">
        <v>0</v>
      </c>
      <c r="G1405">
        <v>0</v>
      </c>
      <c r="H1405">
        <v>1.2072000000000001E-3</v>
      </c>
      <c r="I1405" t="s">
        <v>176</v>
      </c>
      <c r="J1405">
        <v>8.3999999999999995E-3</v>
      </c>
      <c r="K1405">
        <v>0.2496072</v>
      </c>
      <c r="L1405">
        <v>1.1188390913967731E-2</v>
      </c>
      <c r="M1405">
        <v>6.7130345483806392E-2</v>
      </c>
      <c r="N1405">
        <v>0.31673754548380639</v>
      </c>
      <c r="O1405" t="s">
        <v>177</v>
      </c>
      <c r="P1405">
        <v>1.4976432E-2</v>
      </c>
      <c r="Q1405" t="s">
        <v>177</v>
      </c>
      <c r="R1405">
        <v>4.0278207290283833E-3</v>
      </c>
      <c r="S1405" t="s">
        <v>178</v>
      </c>
      <c r="T1405">
        <v>3.8008505458056764E-2</v>
      </c>
      <c r="U1405" t="s">
        <v>90</v>
      </c>
      <c r="V1405">
        <v>0</v>
      </c>
      <c r="W1405" t="s">
        <v>90</v>
      </c>
      <c r="X1405">
        <v>0</v>
      </c>
      <c r="Y1405">
        <v>0.37375030367089151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114</v>
      </c>
      <c r="AF1405">
        <v>116</v>
      </c>
      <c r="AG1405">
        <v>27</v>
      </c>
      <c r="AI1405">
        <v>6.6000000000000003E-2</v>
      </c>
      <c r="AK1405" t="s">
        <v>740</v>
      </c>
      <c r="AL1405" t="s">
        <v>412</v>
      </c>
      <c r="AM1405">
        <v>400000</v>
      </c>
      <c r="AN1405" t="s">
        <v>97</v>
      </c>
      <c r="AO1405">
        <v>2</v>
      </c>
      <c r="AP1405">
        <v>0</v>
      </c>
      <c r="AQ1405">
        <v>33333.333333333336</v>
      </c>
      <c r="AR1405" t="s">
        <v>3862</v>
      </c>
      <c r="AS1405" t="s">
        <v>75</v>
      </c>
      <c r="AX1405" t="s">
        <v>76</v>
      </c>
      <c r="AY1405" t="s">
        <v>176</v>
      </c>
      <c r="AZ1405">
        <v>0</v>
      </c>
      <c r="BA1405" t="s">
        <v>176</v>
      </c>
      <c r="BB1405">
        <v>0</v>
      </c>
    </row>
    <row r="1406" spans="1:56" x14ac:dyDescent="0.15">
      <c r="A1406" s="4" t="str">
        <f>HYPERLINK("https://ibp.a2mac1.com/costing(costing:projects/details/9760/part/8414975)","Center Grille")</f>
        <v>Center Grille</v>
      </c>
      <c r="B1406">
        <v>8414975</v>
      </c>
      <c r="C1406">
        <v>8414813</v>
      </c>
      <c r="E1406">
        <v>0.42</v>
      </c>
      <c r="F1406">
        <v>0</v>
      </c>
      <c r="G1406">
        <v>0</v>
      </c>
      <c r="H1406">
        <v>2.1251999999999998E-3</v>
      </c>
      <c r="I1406" t="s">
        <v>176</v>
      </c>
      <c r="J1406">
        <v>1.47E-2</v>
      </c>
      <c r="K1406">
        <v>0.43682520000000002</v>
      </c>
      <c r="L1406">
        <v>2.1785227275609612E-2</v>
      </c>
      <c r="M1406">
        <v>0.13071136365365768</v>
      </c>
      <c r="N1406">
        <v>0.56753656365365768</v>
      </c>
      <c r="O1406" t="s">
        <v>177</v>
      </c>
      <c r="P1406">
        <v>2.6209512000000001E-2</v>
      </c>
      <c r="Q1406" t="s">
        <v>177</v>
      </c>
      <c r="R1406">
        <v>7.8426818192194603E-3</v>
      </c>
      <c r="S1406" t="s">
        <v>178</v>
      </c>
      <c r="T1406">
        <v>6.8104387638438915E-2</v>
      </c>
      <c r="U1406" t="s">
        <v>90</v>
      </c>
      <c r="V1406">
        <v>0</v>
      </c>
      <c r="W1406" t="s">
        <v>90</v>
      </c>
      <c r="X1406">
        <v>0</v>
      </c>
      <c r="Y1406">
        <v>0.66969314511131606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162</v>
      </c>
      <c r="AF1406">
        <v>344</v>
      </c>
      <c r="AG1406">
        <v>25</v>
      </c>
      <c r="AI1406">
        <v>0.11700000000000001</v>
      </c>
      <c r="AK1406" t="s">
        <v>740</v>
      </c>
      <c r="AL1406" t="s">
        <v>412</v>
      </c>
      <c r="AM1406">
        <v>200000</v>
      </c>
      <c r="AN1406" t="s">
        <v>97</v>
      </c>
      <c r="AO1406">
        <v>1</v>
      </c>
      <c r="AP1406">
        <v>0</v>
      </c>
      <c r="AQ1406">
        <v>16666.666666666668</v>
      </c>
      <c r="AR1406" t="s">
        <v>3865</v>
      </c>
      <c r="AS1406" t="s">
        <v>75</v>
      </c>
      <c r="AX1406" t="s">
        <v>76</v>
      </c>
      <c r="AY1406" t="s">
        <v>176</v>
      </c>
      <c r="AZ1406">
        <v>0</v>
      </c>
      <c r="BA1406" t="s">
        <v>176</v>
      </c>
      <c r="BB1406">
        <v>0</v>
      </c>
    </row>
    <row r="1407" spans="1:56" x14ac:dyDescent="0.15">
      <c r="A1407" s="4" t="str">
        <f>HYPERLINK("https://ibp.a2mac1.com/costing(costing:projects/details/9760/part/8414809)","Speaker")</f>
        <v>Speaker</v>
      </c>
      <c r="B1407">
        <v>8414809</v>
      </c>
      <c r="C1407">
        <v>8414741</v>
      </c>
      <c r="E1407">
        <v>3.12</v>
      </c>
      <c r="F1407">
        <v>0</v>
      </c>
      <c r="G1407">
        <v>0</v>
      </c>
      <c r="H1407">
        <v>0</v>
      </c>
      <c r="I1407" t="s">
        <v>71</v>
      </c>
      <c r="J1407">
        <v>0</v>
      </c>
      <c r="K1407">
        <v>3.12</v>
      </c>
      <c r="L1407">
        <v>0</v>
      </c>
      <c r="M1407">
        <v>0</v>
      </c>
      <c r="N1407">
        <v>3.12</v>
      </c>
      <c r="O1407" t="s">
        <v>71</v>
      </c>
      <c r="P1407">
        <v>0</v>
      </c>
      <c r="Q1407" t="s">
        <v>71</v>
      </c>
      <c r="R1407">
        <v>0</v>
      </c>
      <c r="S1407" t="s">
        <v>71</v>
      </c>
      <c r="T1407">
        <v>0</v>
      </c>
      <c r="U1407" t="s">
        <v>71</v>
      </c>
      <c r="V1407">
        <v>0</v>
      </c>
      <c r="W1407" t="s">
        <v>71</v>
      </c>
      <c r="X1407">
        <v>0</v>
      </c>
      <c r="Y1407">
        <v>3.12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89</v>
      </c>
      <c r="AF1407">
        <v>58</v>
      </c>
      <c r="AG1407">
        <v>29</v>
      </c>
      <c r="AI1407">
        <v>0.03</v>
      </c>
      <c r="AK1407" t="s">
        <v>284</v>
      </c>
      <c r="AL1407" t="s">
        <v>2209</v>
      </c>
      <c r="AM1407">
        <v>200000</v>
      </c>
      <c r="AN1407" t="s">
        <v>97</v>
      </c>
      <c r="AO1407">
        <v>1</v>
      </c>
      <c r="AP1407">
        <v>0</v>
      </c>
      <c r="AQ1407">
        <v>16666.666666666668</v>
      </c>
      <c r="AR1407" t="s">
        <v>3867</v>
      </c>
      <c r="AS1407" t="s">
        <v>75</v>
      </c>
      <c r="AX1407" t="s">
        <v>76</v>
      </c>
      <c r="AY1407" t="s">
        <v>71</v>
      </c>
      <c r="AZ1407">
        <v>0</v>
      </c>
      <c r="BA1407" t="s">
        <v>71</v>
      </c>
      <c r="BB1407">
        <v>0</v>
      </c>
      <c r="BD1407">
        <v>3.12</v>
      </c>
    </row>
    <row r="1408" spans="1:56" x14ac:dyDescent="0.15">
      <c r="A1408" s="4" t="str">
        <f>HYPERLINK("https://ibp.a2mac1.com/costing(costing:projects/details/9760/part/8414810)","Center Speaker")</f>
        <v>Center Speaker</v>
      </c>
      <c r="B1408">
        <v>8414810</v>
      </c>
      <c r="C1408">
        <v>8414741</v>
      </c>
      <c r="E1408">
        <v>3.66</v>
      </c>
      <c r="F1408">
        <v>0</v>
      </c>
      <c r="G1408">
        <v>0</v>
      </c>
      <c r="H1408">
        <v>0</v>
      </c>
      <c r="I1408" t="s">
        <v>71</v>
      </c>
      <c r="J1408">
        <v>0</v>
      </c>
      <c r="K1408">
        <v>3.66</v>
      </c>
      <c r="L1408">
        <v>0</v>
      </c>
      <c r="M1408">
        <v>0</v>
      </c>
      <c r="N1408">
        <v>3.66</v>
      </c>
      <c r="O1408" t="s">
        <v>71</v>
      </c>
      <c r="P1408">
        <v>0</v>
      </c>
      <c r="Q1408" t="s">
        <v>71</v>
      </c>
      <c r="R1408">
        <v>0</v>
      </c>
      <c r="S1408" t="s">
        <v>71</v>
      </c>
      <c r="T1408">
        <v>0</v>
      </c>
      <c r="U1408" t="s">
        <v>71</v>
      </c>
      <c r="V1408">
        <v>0</v>
      </c>
      <c r="W1408" t="s">
        <v>71</v>
      </c>
      <c r="X1408">
        <v>0</v>
      </c>
      <c r="Y1408">
        <v>3.66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85</v>
      </c>
      <c r="AF1408">
        <v>124</v>
      </c>
      <c r="AG1408">
        <v>40</v>
      </c>
      <c r="AI1408">
        <v>9.9000000000000005E-2</v>
      </c>
      <c r="AK1408" t="s">
        <v>284</v>
      </c>
      <c r="AL1408" t="s">
        <v>1397</v>
      </c>
      <c r="AM1408">
        <v>200000</v>
      </c>
      <c r="AN1408" t="s">
        <v>97</v>
      </c>
      <c r="AO1408">
        <v>1</v>
      </c>
      <c r="AP1408">
        <v>0</v>
      </c>
      <c r="AQ1408">
        <v>16666.666666666668</v>
      </c>
      <c r="AR1408" t="s">
        <v>3868</v>
      </c>
      <c r="AS1408" t="s">
        <v>75</v>
      </c>
      <c r="AX1408" t="s">
        <v>76</v>
      </c>
      <c r="AY1408" t="s">
        <v>71</v>
      </c>
      <c r="AZ1408">
        <v>0</v>
      </c>
      <c r="BA1408" t="s">
        <v>71</v>
      </c>
      <c r="BB1408">
        <v>0</v>
      </c>
      <c r="BD1408">
        <v>3.66</v>
      </c>
    </row>
    <row r="1409" spans="1:56" x14ac:dyDescent="0.15">
      <c r="A1409" s="4" t="str">
        <f>HYPERLINK("https://ibp.a2mac1.com/costing(costing:projects/details/9760/part/8414811)","Side Tweeter")</f>
        <v>Side Tweeter</v>
      </c>
      <c r="B1409">
        <v>8414811</v>
      </c>
      <c r="C1409">
        <v>8414741</v>
      </c>
      <c r="E1409">
        <v>5.52</v>
      </c>
      <c r="F1409">
        <v>0</v>
      </c>
      <c r="G1409">
        <v>0</v>
      </c>
      <c r="H1409">
        <v>0</v>
      </c>
      <c r="I1409" t="s">
        <v>71</v>
      </c>
      <c r="J1409">
        <v>0</v>
      </c>
      <c r="K1409">
        <v>5.52</v>
      </c>
      <c r="L1409">
        <v>0</v>
      </c>
      <c r="M1409">
        <v>0</v>
      </c>
      <c r="N1409">
        <v>5.52</v>
      </c>
      <c r="O1409" t="s">
        <v>71</v>
      </c>
      <c r="P1409">
        <v>0</v>
      </c>
      <c r="Q1409" t="s">
        <v>71</v>
      </c>
      <c r="R1409">
        <v>0</v>
      </c>
      <c r="S1409" t="s">
        <v>71</v>
      </c>
      <c r="T1409">
        <v>0</v>
      </c>
      <c r="U1409" t="s">
        <v>71</v>
      </c>
      <c r="V1409">
        <v>0</v>
      </c>
      <c r="W1409" t="s">
        <v>71</v>
      </c>
      <c r="X1409">
        <v>0</v>
      </c>
      <c r="Y1409">
        <v>5.52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40</v>
      </c>
      <c r="AF1409">
        <v>40</v>
      </c>
      <c r="AG1409">
        <v>28</v>
      </c>
      <c r="AI1409">
        <v>8.3000000000000004E-2</v>
      </c>
      <c r="AK1409" t="s">
        <v>284</v>
      </c>
      <c r="AL1409" t="s">
        <v>1397</v>
      </c>
      <c r="AM1409">
        <v>400000</v>
      </c>
      <c r="AN1409" t="s">
        <v>97</v>
      </c>
      <c r="AO1409">
        <v>2</v>
      </c>
      <c r="AP1409">
        <v>0</v>
      </c>
      <c r="AQ1409">
        <v>33333.333333333336</v>
      </c>
      <c r="AR1409" t="s">
        <v>3869</v>
      </c>
      <c r="AS1409" t="s">
        <v>75</v>
      </c>
      <c r="AX1409" t="s">
        <v>76</v>
      </c>
      <c r="AY1409" t="s">
        <v>71</v>
      </c>
      <c r="AZ1409">
        <v>0</v>
      </c>
      <c r="BA1409" t="s">
        <v>71</v>
      </c>
      <c r="BB1409">
        <v>0</v>
      </c>
      <c r="BD1409">
        <v>2.76</v>
      </c>
    </row>
    <row r="1410" spans="1:56" x14ac:dyDescent="0.15">
      <c r="A1410" s="4" t="str">
        <f>HYPERLINK("https://ibp.a2mac1.com/costing(costing:projects/details/9760/part/8414812)","Center Tweeter")</f>
        <v>Center Tweeter</v>
      </c>
      <c r="B1410">
        <v>8414812</v>
      </c>
      <c r="C1410">
        <v>8414741</v>
      </c>
      <c r="E1410">
        <v>2.8</v>
      </c>
      <c r="F1410">
        <v>0</v>
      </c>
      <c r="G1410">
        <v>0</v>
      </c>
      <c r="H1410">
        <v>0</v>
      </c>
      <c r="I1410" t="s">
        <v>71</v>
      </c>
      <c r="J1410">
        <v>0</v>
      </c>
      <c r="K1410">
        <v>2.8</v>
      </c>
      <c r="L1410">
        <v>0</v>
      </c>
      <c r="M1410">
        <v>0</v>
      </c>
      <c r="N1410">
        <v>2.8</v>
      </c>
      <c r="O1410" t="s">
        <v>71</v>
      </c>
      <c r="P1410">
        <v>0</v>
      </c>
      <c r="Q1410" t="s">
        <v>71</v>
      </c>
      <c r="R1410">
        <v>0</v>
      </c>
      <c r="S1410" t="s">
        <v>71</v>
      </c>
      <c r="T1410">
        <v>0</v>
      </c>
      <c r="U1410" t="s">
        <v>71</v>
      </c>
      <c r="V1410">
        <v>0</v>
      </c>
      <c r="W1410" t="s">
        <v>71</v>
      </c>
      <c r="X1410">
        <v>0</v>
      </c>
      <c r="Y1410">
        <v>2.8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40</v>
      </c>
      <c r="AF1410">
        <v>44</v>
      </c>
      <c r="AG1410">
        <v>28</v>
      </c>
      <c r="AI1410">
        <v>4.1000000000000002E-2</v>
      </c>
      <c r="AK1410" t="s">
        <v>284</v>
      </c>
      <c r="AL1410" t="s">
        <v>3870</v>
      </c>
      <c r="AM1410">
        <v>200000</v>
      </c>
      <c r="AN1410" t="s">
        <v>97</v>
      </c>
      <c r="AO1410">
        <v>1</v>
      </c>
      <c r="AP1410">
        <v>0</v>
      </c>
      <c r="AQ1410">
        <v>16666.666666666668</v>
      </c>
      <c r="AR1410" t="s">
        <v>3871</v>
      </c>
      <c r="AS1410" t="s">
        <v>75</v>
      </c>
      <c r="AX1410" t="s">
        <v>76</v>
      </c>
      <c r="AY1410" t="s">
        <v>71</v>
      </c>
      <c r="AZ1410">
        <v>0</v>
      </c>
      <c r="BA1410" t="s">
        <v>71</v>
      </c>
      <c r="BB1410">
        <v>0</v>
      </c>
      <c r="BD1410">
        <v>2.8</v>
      </c>
    </row>
    <row r="1411" spans="1:56" x14ac:dyDescent="0.15">
      <c r="A1411" s="4" t="str">
        <f>HYPERLINK("https://ibp.a2mac1.com/costing(costing:projects/details/9760/part/8414814)","Light")</f>
        <v>Light</v>
      </c>
      <c r="B1411">
        <v>8414814</v>
      </c>
      <c r="C1411">
        <v>8414742</v>
      </c>
      <c r="E1411">
        <v>4.38</v>
      </c>
      <c r="F1411">
        <v>0</v>
      </c>
      <c r="G1411">
        <v>0</v>
      </c>
      <c r="H1411">
        <v>0</v>
      </c>
      <c r="I1411" t="s">
        <v>71</v>
      </c>
      <c r="J1411">
        <v>0</v>
      </c>
      <c r="K1411">
        <v>4.38</v>
      </c>
      <c r="L1411">
        <v>0</v>
      </c>
      <c r="M1411">
        <v>0</v>
      </c>
      <c r="N1411">
        <v>4.38</v>
      </c>
      <c r="O1411" t="s">
        <v>71</v>
      </c>
      <c r="P1411">
        <v>0</v>
      </c>
      <c r="Q1411" t="s">
        <v>71</v>
      </c>
      <c r="R1411">
        <v>0</v>
      </c>
      <c r="S1411" t="s">
        <v>71</v>
      </c>
      <c r="T1411">
        <v>0</v>
      </c>
      <c r="U1411" t="s">
        <v>71</v>
      </c>
      <c r="V1411">
        <v>0</v>
      </c>
      <c r="W1411" t="s">
        <v>71</v>
      </c>
      <c r="X1411">
        <v>0</v>
      </c>
      <c r="Y1411">
        <v>4.38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20</v>
      </c>
      <c r="AF1411">
        <v>48</v>
      </c>
      <c r="AG1411">
        <v>24</v>
      </c>
      <c r="AI1411">
        <v>1.7999999999999999E-2</v>
      </c>
      <c r="AK1411" t="s">
        <v>288</v>
      </c>
      <c r="AL1411" t="s">
        <v>3874</v>
      </c>
      <c r="AM1411">
        <v>400000</v>
      </c>
      <c r="AN1411" t="s">
        <v>97</v>
      </c>
      <c r="AO1411">
        <v>2</v>
      </c>
      <c r="AP1411">
        <v>0</v>
      </c>
      <c r="AQ1411">
        <v>33333.333333333336</v>
      </c>
      <c r="AR1411" t="s">
        <v>3875</v>
      </c>
      <c r="AS1411" t="s">
        <v>75</v>
      </c>
      <c r="AX1411" t="s">
        <v>76</v>
      </c>
      <c r="AY1411" t="s">
        <v>71</v>
      </c>
      <c r="AZ1411">
        <v>0</v>
      </c>
      <c r="BA1411" t="s">
        <v>71</v>
      </c>
      <c r="BB1411">
        <v>0</v>
      </c>
      <c r="BD1411">
        <v>2.19</v>
      </c>
    </row>
    <row r="1412" spans="1:56" x14ac:dyDescent="0.15">
      <c r="A1412" s="4" t="str">
        <f>HYPERLINK("https://ibp.a2mac1.com/costing(costing:projects/details/9760/part/8415089)","Bezel of 2nd Display")</f>
        <v>Bezel of 2nd Display</v>
      </c>
      <c r="B1412">
        <v>8415089</v>
      </c>
      <c r="C1412">
        <v>8414980</v>
      </c>
      <c r="E1412">
        <v>0.15</v>
      </c>
      <c r="F1412">
        <v>0</v>
      </c>
      <c r="G1412">
        <v>0</v>
      </c>
      <c r="H1412">
        <v>7.5900000000000002E-4</v>
      </c>
      <c r="I1412" t="s">
        <v>176</v>
      </c>
      <c r="J1412">
        <v>5.2500000000000003E-3</v>
      </c>
      <c r="K1412">
        <v>0.15600900000000001</v>
      </c>
      <c r="L1412">
        <v>3.9446064591931056E-2</v>
      </c>
      <c r="M1412">
        <v>0.23667638755158632</v>
      </c>
      <c r="N1412">
        <v>0.39268538755158633</v>
      </c>
      <c r="O1412" t="s">
        <v>177</v>
      </c>
      <c r="P1412">
        <v>9.3605400000000005E-3</v>
      </c>
      <c r="Q1412" t="s">
        <v>177</v>
      </c>
      <c r="R1412">
        <v>1.4200583253095179E-2</v>
      </c>
      <c r="S1412" t="s">
        <v>178</v>
      </c>
      <c r="T1412">
        <v>4.712224650619036E-2</v>
      </c>
      <c r="U1412" t="s">
        <v>90</v>
      </c>
      <c r="V1412">
        <v>0</v>
      </c>
      <c r="W1412" t="s">
        <v>90</v>
      </c>
      <c r="X1412">
        <v>0</v>
      </c>
      <c r="Y1412">
        <v>0.46336875731087185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98</v>
      </c>
      <c r="AF1412">
        <v>95</v>
      </c>
      <c r="AG1412">
        <v>95</v>
      </c>
      <c r="AI1412">
        <v>3.4000000000000002E-2</v>
      </c>
      <c r="AK1412" t="s">
        <v>740</v>
      </c>
      <c r="AL1412" t="s">
        <v>412</v>
      </c>
      <c r="AM1412">
        <v>200000</v>
      </c>
      <c r="AN1412" t="s">
        <v>97</v>
      </c>
      <c r="AO1412">
        <v>1</v>
      </c>
      <c r="AP1412">
        <v>0</v>
      </c>
      <c r="AQ1412">
        <v>16666.666666666668</v>
      </c>
      <c r="AR1412" t="s">
        <v>3891</v>
      </c>
      <c r="AS1412" t="s">
        <v>75</v>
      </c>
      <c r="AX1412" t="s">
        <v>76</v>
      </c>
      <c r="AY1412" t="s">
        <v>176</v>
      </c>
      <c r="AZ1412">
        <v>0</v>
      </c>
      <c r="BA1412" t="s">
        <v>176</v>
      </c>
      <c r="BB1412">
        <v>0</v>
      </c>
    </row>
    <row r="1413" spans="1:56" x14ac:dyDescent="0.15">
      <c r="A1413" s="4" t="str">
        <f>HYPERLINK("https://ibp.a2mac1.com/costing(costing:projects/details/9760/part/8415090)","2nd Bezel of 2nd Display")</f>
        <v>2nd Bezel of 2nd Display</v>
      </c>
      <c r="B1413">
        <v>8415090</v>
      </c>
      <c r="C1413">
        <v>8414980</v>
      </c>
      <c r="E1413">
        <v>0.15</v>
      </c>
      <c r="F1413">
        <v>0</v>
      </c>
      <c r="G1413">
        <v>0</v>
      </c>
      <c r="H1413">
        <v>7.5900000000000002E-4</v>
      </c>
      <c r="I1413" t="s">
        <v>176</v>
      </c>
      <c r="J1413">
        <v>5.2500000000000003E-3</v>
      </c>
      <c r="K1413">
        <v>0.15600900000000001</v>
      </c>
      <c r="L1413">
        <v>3.9446064591931056E-2</v>
      </c>
      <c r="M1413">
        <v>0.23667638755158632</v>
      </c>
      <c r="N1413">
        <v>0.39268538755158633</v>
      </c>
      <c r="O1413" t="s">
        <v>177</v>
      </c>
      <c r="P1413">
        <v>9.3605400000000005E-3</v>
      </c>
      <c r="Q1413" t="s">
        <v>177</v>
      </c>
      <c r="R1413">
        <v>1.4200583253095179E-2</v>
      </c>
      <c r="S1413" t="s">
        <v>178</v>
      </c>
      <c r="T1413">
        <v>4.712224650619036E-2</v>
      </c>
      <c r="U1413" t="s">
        <v>90</v>
      </c>
      <c r="V1413">
        <v>0</v>
      </c>
      <c r="W1413" t="s">
        <v>90</v>
      </c>
      <c r="X1413">
        <v>0</v>
      </c>
      <c r="Y1413">
        <v>0.46336875731087185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100</v>
      </c>
      <c r="AF1413">
        <v>103</v>
      </c>
      <c r="AG1413">
        <v>97</v>
      </c>
      <c r="AI1413">
        <v>3.5000000000000003E-2</v>
      </c>
      <c r="AK1413" t="s">
        <v>740</v>
      </c>
      <c r="AL1413" t="s">
        <v>412</v>
      </c>
      <c r="AM1413">
        <v>200000</v>
      </c>
      <c r="AN1413" t="s">
        <v>97</v>
      </c>
      <c r="AO1413">
        <v>1</v>
      </c>
      <c r="AP1413">
        <v>0</v>
      </c>
      <c r="AQ1413">
        <v>16666.666666666668</v>
      </c>
      <c r="AR1413" t="s">
        <v>3894</v>
      </c>
      <c r="AS1413" t="s">
        <v>75</v>
      </c>
      <c r="AX1413" t="s">
        <v>76</v>
      </c>
      <c r="AY1413" t="s">
        <v>176</v>
      </c>
      <c r="AZ1413">
        <v>0</v>
      </c>
      <c r="BA1413" t="s">
        <v>176</v>
      </c>
      <c r="BB1413">
        <v>0</v>
      </c>
    </row>
    <row r="1414" spans="1:56" x14ac:dyDescent="0.15">
      <c r="A1414" s="4" t="str">
        <f>HYPERLINK("https://ibp.a2mac1.com/costing(costing:projects/details/9760/part/8414977)","Support")</f>
        <v>Support</v>
      </c>
      <c r="B1414">
        <v>8414977</v>
      </c>
      <c r="C1414">
        <v>8414817</v>
      </c>
      <c r="E1414">
        <v>1.3377294E-2</v>
      </c>
      <c r="F1414">
        <v>0</v>
      </c>
      <c r="G1414">
        <v>0</v>
      </c>
      <c r="H1414">
        <v>6.7858754526315789E-5</v>
      </c>
      <c r="I1414" t="s">
        <v>176</v>
      </c>
      <c r="J1414">
        <v>4.6937873684210524E-4</v>
      </c>
      <c r="K1414">
        <v>1.3914531491368421E-2</v>
      </c>
      <c r="L1414">
        <v>4.1243899592881732E-3</v>
      </c>
      <c r="M1414">
        <v>2.4746339755729041E-2</v>
      </c>
      <c r="N1414">
        <v>3.866087124709746E-2</v>
      </c>
      <c r="O1414" t="s">
        <v>90</v>
      </c>
      <c r="P1414">
        <v>0</v>
      </c>
      <c r="Q1414" t="s">
        <v>90</v>
      </c>
      <c r="R1414">
        <v>0</v>
      </c>
      <c r="S1414" t="s">
        <v>90</v>
      </c>
      <c r="T1414">
        <v>0</v>
      </c>
      <c r="U1414" t="s">
        <v>90</v>
      </c>
      <c r="V1414">
        <v>0</v>
      </c>
      <c r="W1414" t="s">
        <v>90</v>
      </c>
      <c r="X1414">
        <v>0</v>
      </c>
      <c r="Y1414">
        <v>3.866087124709746E-2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40</v>
      </c>
      <c r="AF1414">
        <v>18</v>
      </c>
      <c r="AG1414">
        <v>50</v>
      </c>
      <c r="AI1414">
        <v>6.0000000000000001E-3</v>
      </c>
      <c r="AK1414" t="s">
        <v>740</v>
      </c>
      <c r="AL1414" t="s">
        <v>2086</v>
      </c>
      <c r="AM1414">
        <v>200000</v>
      </c>
      <c r="AN1414" t="s">
        <v>73</v>
      </c>
      <c r="AO1414">
        <v>1</v>
      </c>
      <c r="AP1414">
        <v>0</v>
      </c>
      <c r="AQ1414">
        <v>16666.666666666668</v>
      </c>
      <c r="AR1414" t="s">
        <v>3900</v>
      </c>
      <c r="AS1414" t="s">
        <v>75</v>
      </c>
      <c r="AX1414" t="s">
        <v>76</v>
      </c>
      <c r="AY1414" t="s">
        <v>176</v>
      </c>
      <c r="AZ1414">
        <v>0</v>
      </c>
      <c r="BA1414" t="s">
        <v>176</v>
      </c>
      <c r="BB1414">
        <v>0</v>
      </c>
    </row>
    <row r="1415" spans="1:56" x14ac:dyDescent="0.15">
      <c r="A1415" s="4" t="str">
        <f>HYPERLINK("https://ibp.a2mac1.com/costing(costing:projects/details/9760/part/8414978)","Display Support")</f>
        <v>Display Support</v>
      </c>
      <c r="B1415">
        <v>8414978</v>
      </c>
      <c r="C1415">
        <v>8414817</v>
      </c>
      <c r="E1415">
        <v>0.05</v>
      </c>
      <c r="F1415">
        <v>0</v>
      </c>
      <c r="G1415">
        <v>0</v>
      </c>
      <c r="H1415">
        <v>2.5300000000000002E-4</v>
      </c>
      <c r="I1415" t="s">
        <v>176</v>
      </c>
      <c r="J1415">
        <v>1.75E-3</v>
      </c>
      <c r="K1415">
        <v>5.2003000000000001E-2</v>
      </c>
      <c r="L1415">
        <v>5.8904736909203177E-3</v>
      </c>
      <c r="M1415">
        <v>3.5342842145521906E-2</v>
      </c>
      <c r="N1415">
        <v>8.7345842145521907E-2</v>
      </c>
      <c r="O1415" t="s">
        <v>90</v>
      </c>
      <c r="P1415">
        <v>0</v>
      </c>
      <c r="Q1415" t="s">
        <v>90</v>
      </c>
      <c r="R1415">
        <v>0</v>
      </c>
      <c r="S1415" t="s">
        <v>90</v>
      </c>
      <c r="T1415">
        <v>0</v>
      </c>
      <c r="U1415" t="s">
        <v>90</v>
      </c>
      <c r="V1415">
        <v>0</v>
      </c>
      <c r="W1415" t="s">
        <v>90</v>
      </c>
      <c r="X1415">
        <v>0</v>
      </c>
      <c r="Y1415">
        <v>8.7345842145521907E-2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46</v>
      </c>
      <c r="AF1415">
        <v>42</v>
      </c>
      <c r="AG1415">
        <v>97</v>
      </c>
      <c r="AI1415">
        <v>5.3999999999999999E-2</v>
      </c>
      <c r="AK1415" t="s">
        <v>740</v>
      </c>
      <c r="AL1415" t="s">
        <v>96</v>
      </c>
      <c r="AM1415">
        <v>200000</v>
      </c>
      <c r="AN1415" t="s">
        <v>73</v>
      </c>
      <c r="AO1415">
        <v>1</v>
      </c>
      <c r="AP1415">
        <v>0</v>
      </c>
      <c r="AQ1415">
        <v>16666.666666666668</v>
      </c>
      <c r="AR1415" t="s">
        <v>3903</v>
      </c>
      <c r="AS1415" t="s">
        <v>75</v>
      </c>
      <c r="AX1415" t="s">
        <v>76</v>
      </c>
      <c r="AY1415" t="s">
        <v>176</v>
      </c>
      <c r="AZ1415">
        <v>0</v>
      </c>
      <c r="BA1415" t="s">
        <v>176</v>
      </c>
      <c r="BB1415">
        <v>0</v>
      </c>
    </row>
    <row r="1416" spans="1:56" x14ac:dyDescent="0.15">
      <c r="A1416" s="4" t="str">
        <f>HYPERLINK("https://ibp.a2mac1.com/costing(costing:projects/details/9760/part/8414982)","LCD Screen Bezel")</f>
        <v>LCD Screen Bezel</v>
      </c>
      <c r="B1416">
        <v>8414982</v>
      </c>
      <c r="C1416">
        <v>8414818</v>
      </c>
      <c r="E1416">
        <v>0.06</v>
      </c>
      <c r="F1416">
        <v>0</v>
      </c>
      <c r="G1416">
        <v>0</v>
      </c>
      <c r="H1416">
        <v>3.0360000000000001E-4</v>
      </c>
      <c r="I1416" t="s">
        <v>176</v>
      </c>
      <c r="J1416">
        <v>2.0999999999999999E-3</v>
      </c>
      <c r="K1416">
        <v>6.2403599999999997E-2</v>
      </c>
      <c r="L1416">
        <v>7.6565574225524614E-3</v>
      </c>
      <c r="M1416">
        <v>4.5939344535314765E-2</v>
      </c>
      <c r="N1416">
        <v>0.10834294453531476</v>
      </c>
      <c r="O1416" t="s">
        <v>90</v>
      </c>
      <c r="P1416">
        <v>0</v>
      </c>
      <c r="Q1416" t="s">
        <v>90</v>
      </c>
      <c r="R1416">
        <v>0</v>
      </c>
      <c r="S1416" t="s">
        <v>90</v>
      </c>
      <c r="T1416">
        <v>0</v>
      </c>
      <c r="U1416" t="s">
        <v>90</v>
      </c>
      <c r="V1416">
        <v>0</v>
      </c>
      <c r="W1416" t="s">
        <v>90</v>
      </c>
      <c r="X1416">
        <v>0</v>
      </c>
      <c r="Y1416">
        <v>0.10834294453531476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59</v>
      </c>
      <c r="AF1416">
        <v>264</v>
      </c>
      <c r="AG1416">
        <v>24</v>
      </c>
      <c r="AI1416">
        <v>4.1000000000000002E-2</v>
      </c>
      <c r="AK1416" t="s">
        <v>740</v>
      </c>
      <c r="AL1416" t="s">
        <v>951</v>
      </c>
      <c r="AM1416">
        <v>200000</v>
      </c>
      <c r="AN1416" t="s">
        <v>73</v>
      </c>
      <c r="AO1416">
        <v>1</v>
      </c>
      <c r="AP1416">
        <v>0</v>
      </c>
      <c r="AQ1416">
        <v>16666.666666666668</v>
      </c>
      <c r="AR1416" t="s">
        <v>3913</v>
      </c>
      <c r="AS1416" t="s">
        <v>75</v>
      </c>
      <c r="AX1416" t="s">
        <v>76</v>
      </c>
      <c r="AY1416" t="s">
        <v>176</v>
      </c>
      <c r="AZ1416">
        <v>0</v>
      </c>
      <c r="BA1416" t="s">
        <v>176</v>
      </c>
      <c r="BB1416">
        <v>0</v>
      </c>
    </row>
    <row r="1417" spans="1:56" x14ac:dyDescent="0.15">
      <c r="A1417" s="4" t="str">
        <f>HYPERLINK("https://ibp.a2mac1.com/costing(costing:projects/details/9760/part/8414983)","LCD Support")</f>
        <v>LCD Support</v>
      </c>
      <c r="B1417">
        <v>8414983</v>
      </c>
      <c r="C1417">
        <v>8414818</v>
      </c>
      <c r="E1417">
        <v>0.17</v>
      </c>
      <c r="F1417">
        <v>0</v>
      </c>
      <c r="G1417">
        <v>0</v>
      </c>
      <c r="H1417">
        <v>8.6019999999999998E-4</v>
      </c>
      <c r="I1417" t="s">
        <v>176</v>
      </c>
      <c r="J1417">
        <v>5.9500000000000004E-3</v>
      </c>
      <c r="K1417">
        <v>0.1768102</v>
      </c>
      <c r="L1417">
        <v>2.1785227275609612E-2</v>
      </c>
      <c r="M1417">
        <v>0.13071136365365768</v>
      </c>
      <c r="N1417">
        <v>0.30752156365365768</v>
      </c>
      <c r="O1417" t="s">
        <v>90</v>
      </c>
      <c r="P1417">
        <v>0</v>
      </c>
      <c r="Q1417" t="s">
        <v>90</v>
      </c>
      <c r="R1417">
        <v>0</v>
      </c>
      <c r="S1417" t="s">
        <v>90</v>
      </c>
      <c r="T1417">
        <v>0</v>
      </c>
      <c r="U1417" t="s">
        <v>90</v>
      </c>
      <c r="V1417">
        <v>0</v>
      </c>
      <c r="W1417" t="s">
        <v>90</v>
      </c>
      <c r="X1417">
        <v>0</v>
      </c>
      <c r="Y1417">
        <v>0.30752156365365768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133</v>
      </c>
      <c r="AF1417">
        <v>79</v>
      </c>
      <c r="AG1417">
        <v>133</v>
      </c>
      <c r="AI1417">
        <v>0.20499999999999999</v>
      </c>
      <c r="AK1417" t="s">
        <v>740</v>
      </c>
      <c r="AL1417" t="s">
        <v>96</v>
      </c>
      <c r="AM1417">
        <v>200000</v>
      </c>
      <c r="AN1417" t="s">
        <v>73</v>
      </c>
      <c r="AO1417">
        <v>1</v>
      </c>
      <c r="AP1417">
        <v>0</v>
      </c>
      <c r="AQ1417">
        <v>16666.666666666668</v>
      </c>
      <c r="AR1417" t="s">
        <v>3916</v>
      </c>
      <c r="AS1417" t="s">
        <v>75</v>
      </c>
      <c r="AX1417" t="s">
        <v>76</v>
      </c>
      <c r="AY1417" t="s">
        <v>176</v>
      </c>
      <c r="AZ1417">
        <v>0</v>
      </c>
      <c r="BA1417" t="s">
        <v>176</v>
      </c>
      <c r="BB1417">
        <v>0</v>
      </c>
    </row>
    <row r="1418" spans="1:56" x14ac:dyDescent="0.15">
      <c r="A1418" s="4" t="str">
        <f>HYPERLINK("https://ibp.a2mac1.com/costing(costing:projects/details/9760/part/8414984)","2nd LCD Support")</f>
        <v>2nd LCD Support</v>
      </c>
      <c r="B1418">
        <v>8414984</v>
      </c>
      <c r="C1418">
        <v>8414818</v>
      </c>
      <c r="E1418">
        <v>0.19</v>
      </c>
      <c r="F1418">
        <v>0</v>
      </c>
      <c r="G1418">
        <v>0</v>
      </c>
      <c r="H1418">
        <v>9.6139999999999995E-4</v>
      </c>
      <c r="I1418" t="s">
        <v>176</v>
      </c>
      <c r="J1418">
        <v>6.6499999999999997E-3</v>
      </c>
      <c r="K1418">
        <v>0.19761139999999999</v>
      </c>
      <c r="L1418">
        <v>2.3551311007241758E-2</v>
      </c>
      <c r="M1418">
        <v>0.14130786604345055</v>
      </c>
      <c r="N1418">
        <v>0.33891926604345052</v>
      </c>
      <c r="O1418" t="s">
        <v>177</v>
      </c>
      <c r="P1418">
        <v>1.1856683999999999E-2</v>
      </c>
      <c r="Q1418" t="s">
        <v>177</v>
      </c>
      <c r="R1418">
        <v>8.4784719626070319E-3</v>
      </c>
      <c r="S1418" t="s">
        <v>178</v>
      </c>
      <c r="T1418">
        <v>4.0670311925214066E-2</v>
      </c>
      <c r="U1418" t="s">
        <v>90</v>
      </c>
      <c r="V1418">
        <v>0</v>
      </c>
      <c r="W1418" t="s">
        <v>90</v>
      </c>
      <c r="X1418">
        <v>0</v>
      </c>
      <c r="Y1418">
        <v>0.39992473393127165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139</v>
      </c>
      <c r="AF1418">
        <v>63</v>
      </c>
      <c r="AG1418">
        <v>132</v>
      </c>
      <c r="AI1418">
        <v>0.22800000000000001</v>
      </c>
      <c r="AK1418" t="s">
        <v>288</v>
      </c>
      <c r="AL1418" t="s">
        <v>96</v>
      </c>
      <c r="AM1418">
        <v>200000</v>
      </c>
      <c r="AN1418" t="s">
        <v>97</v>
      </c>
      <c r="AO1418">
        <v>1</v>
      </c>
      <c r="AP1418">
        <v>0</v>
      </c>
      <c r="AQ1418">
        <v>16666.666666666668</v>
      </c>
      <c r="AR1418" t="s">
        <v>3919</v>
      </c>
      <c r="AS1418" t="s">
        <v>75</v>
      </c>
      <c r="AX1418" t="s">
        <v>76</v>
      </c>
      <c r="AY1418" t="s">
        <v>176</v>
      </c>
      <c r="AZ1418">
        <v>0</v>
      </c>
      <c r="BA1418" t="s">
        <v>176</v>
      </c>
      <c r="BB1418">
        <v>0</v>
      </c>
    </row>
    <row r="1419" spans="1:56" x14ac:dyDescent="0.15">
      <c r="A1419" s="4" t="str">
        <f>HYPERLINK("https://ibp.a2mac1.com/costing(costing:projects/details/9760/part/8414985)","Screen Support Trim")</f>
        <v>Screen Support Trim</v>
      </c>
      <c r="B1419">
        <v>8414985</v>
      </c>
      <c r="C1419">
        <v>8414818</v>
      </c>
      <c r="E1419">
        <v>0.14000000000000001</v>
      </c>
      <c r="F1419">
        <v>0</v>
      </c>
      <c r="G1419">
        <v>0</v>
      </c>
      <c r="H1419">
        <v>7.0839999999999998E-4</v>
      </c>
      <c r="I1419" t="s">
        <v>176</v>
      </c>
      <c r="J1419">
        <v>4.8999999999999998E-3</v>
      </c>
      <c r="K1419">
        <v>0.1456084</v>
      </c>
      <c r="L1419">
        <v>7.6565574225524614E-3</v>
      </c>
      <c r="M1419">
        <v>4.5939344535314765E-2</v>
      </c>
      <c r="N1419">
        <v>0.19154774453531476</v>
      </c>
      <c r="O1419" t="s">
        <v>177</v>
      </c>
      <c r="P1419">
        <v>8.7365040000000008E-3</v>
      </c>
      <c r="Q1419" t="s">
        <v>177</v>
      </c>
      <c r="R1419">
        <v>2.756360672118886E-3</v>
      </c>
      <c r="S1419" t="s">
        <v>178</v>
      </c>
      <c r="T1419">
        <v>2.2985729344237774E-2</v>
      </c>
      <c r="U1419" t="s">
        <v>90</v>
      </c>
      <c r="V1419">
        <v>0</v>
      </c>
      <c r="W1419" t="s">
        <v>90</v>
      </c>
      <c r="X1419">
        <v>0</v>
      </c>
      <c r="Y1419">
        <v>0.22602633855167142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31</v>
      </c>
      <c r="AF1419">
        <v>215</v>
      </c>
      <c r="AG1419">
        <v>52</v>
      </c>
      <c r="AI1419">
        <v>3.7999999999999999E-2</v>
      </c>
      <c r="AK1419" t="s">
        <v>288</v>
      </c>
      <c r="AL1419" t="s">
        <v>412</v>
      </c>
      <c r="AM1419">
        <v>200000</v>
      </c>
      <c r="AN1419" t="s">
        <v>97</v>
      </c>
      <c r="AO1419">
        <v>1</v>
      </c>
      <c r="AP1419">
        <v>0</v>
      </c>
      <c r="AQ1419">
        <v>16666.666666666668</v>
      </c>
      <c r="AR1419" t="s">
        <v>3922</v>
      </c>
      <c r="AS1419" t="s">
        <v>75</v>
      </c>
      <c r="AX1419" t="s">
        <v>76</v>
      </c>
      <c r="AY1419" t="s">
        <v>176</v>
      </c>
      <c r="AZ1419">
        <v>0</v>
      </c>
      <c r="BA1419" t="s">
        <v>176</v>
      </c>
      <c r="BB1419">
        <v>0</v>
      </c>
    </row>
    <row r="1420" spans="1:56" x14ac:dyDescent="0.15">
      <c r="A1420" s="4" t="str">
        <f>HYPERLINK("https://ibp.a2mac1.com/costing(costing:projects/details/9760/part/8414986)","2nd Screen Support trim")</f>
        <v>2nd Screen Support trim</v>
      </c>
      <c r="B1420">
        <v>8414986</v>
      </c>
      <c r="C1420">
        <v>8414818</v>
      </c>
      <c r="E1420">
        <v>0.04</v>
      </c>
      <c r="F1420">
        <v>0</v>
      </c>
      <c r="G1420">
        <v>0</v>
      </c>
      <c r="H1420">
        <v>2.0239999999999999E-4</v>
      </c>
      <c r="I1420" t="s">
        <v>176</v>
      </c>
      <c r="J1420">
        <v>1.4E-3</v>
      </c>
      <c r="K1420">
        <v>4.1602399999999998E-2</v>
      </c>
      <c r="L1420">
        <v>4.1243899592881732E-3</v>
      </c>
      <c r="M1420">
        <v>2.4746339755729041E-2</v>
      </c>
      <c r="N1420">
        <v>6.6348739755729039E-2</v>
      </c>
      <c r="O1420" t="s">
        <v>90</v>
      </c>
      <c r="P1420">
        <v>0</v>
      </c>
      <c r="Q1420" t="s">
        <v>90</v>
      </c>
      <c r="R1420">
        <v>0</v>
      </c>
      <c r="S1420" t="s">
        <v>90</v>
      </c>
      <c r="T1420">
        <v>0</v>
      </c>
      <c r="U1420" t="s">
        <v>90</v>
      </c>
      <c r="V1420">
        <v>0</v>
      </c>
      <c r="W1420" t="s">
        <v>90</v>
      </c>
      <c r="X1420">
        <v>0</v>
      </c>
      <c r="Y1420">
        <v>6.6348739755729039E-2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41</v>
      </c>
      <c r="AF1420">
        <v>198</v>
      </c>
      <c r="AG1420">
        <v>63</v>
      </c>
      <c r="AI1420">
        <v>2.4E-2</v>
      </c>
      <c r="AK1420" t="s">
        <v>740</v>
      </c>
      <c r="AL1420" t="s">
        <v>951</v>
      </c>
      <c r="AM1420">
        <v>200000</v>
      </c>
      <c r="AN1420" t="s">
        <v>73</v>
      </c>
      <c r="AO1420">
        <v>1</v>
      </c>
      <c r="AP1420">
        <v>0</v>
      </c>
      <c r="AQ1420">
        <v>16666.666666666668</v>
      </c>
      <c r="AR1420" t="s">
        <v>3925</v>
      </c>
      <c r="AS1420" t="s">
        <v>75</v>
      </c>
      <c r="AX1420" t="s">
        <v>76</v>
      </c>
      <c r="AY1420" t="s">
        <v>176</v>
      </c>
      <c r="AZ1420">
        <v>0</v>
      </c>
      <c r="BA1420" t="s">
        <v>176</v>
      </c>
      <c r="BB1420">
        <v>0</v>
      </c>
    </row>
    <row r="1421" spans="1:56" x14ac:dyDescent="0.15">
      <c r="A1421" s="4" t="str">
        <f>HYPERLINK("https://ibp.a2mac1.com/costing(costing:projects/details/9760/part/8414990)","Upper Left Lighting")</f>
        <v>Upper Left Lighting</v>
      </c>
      <c r="B1421">
        <v>8414990</v>
      </c>
      <c r="C1421">
        <v>8414822</v>
      </c>
      <c r="E1421">
        <v>3.52</v>
      </c>
      <c r="F1421">
        <v>0</v>
      </c>
      <c r="G1421">
        <v>0</v>
      </c>
      <c r="H1421">
        <v>0</v>
      </c>
      <c r="I1421" t="s">
        <v>71</v>
      </c>
      <c r="J1421">
        <v>0</v>
      </c>
      <c r="K1421">
        <v>3.52</v>
      </c>
      <c r="L1421">
        <v>0</v>
      </c>
      <c r="M1421">
        <v>0</v>
      </c>
      <c r="N1421">
        <v>3.52</v>
      </c>
      <c r="O1421" t="s">
        <v>71</v>
      </c>
      <c r="P1421">
        <v>0</v>
      </c>
      <c r="Q1421" t="s">
        <v>71</v>
      </c>
      <c r="R1421">
        <v>0</v>
      </c>
      <c r="S1421" t="s">
        <v>71</v>
      </c>
      <c r="T1421">
        <v>0</v>
      </c>
      <c r="U1421" t="s">
        <v>71</v>
      </c>
      <c r="V1421">
        <v>0</v>
      </c>
      <c r="W1421" t="s">
        <v>71</v>
      </c>
      <c r="X1421">
        <v>0</v>
      </c>
      <c r="Y1421">
        <v>3.52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61</v>
      </c>
      <c r="AF1421">
        <v>165</v>
      </c>
      <c r="AG1421">
        <v>66</v>
      </c>
      <c r="AI1421">
        <v>7.5999999999999998E-2</v>
      </c>
      <c r="AK1421" t="s">
        <v>288</v>
      </c>
      <c r="AL1421" t="s">
        <v>3943</v>
      </c>
      <c r="AM1421">
        <v>200000</v>
      </c>
      <c r="AN1421" t="s">
        <v>97</v>
      </c>
      <c r="AO1421">
        <v>1</v>
      </c>
      <c r="AP1421">
        <v>0</v>
      </c>
      <c r="AQ1421">
        <v>16666.666666666668</v>
      </c>
      <c r="AR1421" t="s">
        <v>3944</v>
      </c>
      <c r="AS1421" t="s">
        <v>75</v>
      </c>
      <c r="AX1421" t="s">
        <v>76</v>
      </c>
      <c r="AY1421" t="s">
        <v>71</v>
      </c>
      <c r="AZ1421">
        <v>0</v>
      </c>
      <c r="BA1421" t="s">
        <v>71</v>
      </c>
      <c r="BB1421">
        <v>0</v>
      </c>
      <c r="BD1421">
        <v>3.52</v>
      </c>
    </row>
    <row r="1422" spans="1:56" x14ac:dyDescent="0.15">
      <c r="A1422" s="4" t="str">
        <f>HYPERLINK("https://ibp.a2mac1.com/costing(costing:projects/details/9760/part/8414991)","Upper Right Light")</f>
        <v>Upper Right Light</v>
      </c>
      <c r="B1422">
        <v>8414991</v>
      </c>
      <c r="C1422">
        <v>8414822</v>
      </c>
      <c r="E1422">
        <v>3.52</v>
      </c>
      <c r="F1422">
        <v>0</v>
      </c>
      <c r="G1422">
        <v>0</v>
      </c>
      <c r="H1422">
        <v>0</v>
      </c>
      <c r="I1422" t="s">
        <v>71</v>
      </c>
      <c r="J1422">
        <v>0</v>
      </c>
      <c r="K1422">
        <v>3.52</v>
      </c>
      <c r="L1422">
        <v>0</v>
      </c>
      <c r="M1422">
        <v>0</v>
      </c>
      <c r="N1422">
        <v>3.52</v>
      </c>
      <c r="O1422" t="s">
        <v>71</v>
      </c>
      <c r="P1422">
        <v>0</v>
      </c>
      <c r="Q1422" t="s">
        <v>71</v>
      </c>
      <c r="R1422">
        <v>0</v>
      </c>
      <c r="S1422" t="s">
        <v>71</v>
      </c>
      <c r="T1422">
        <v>0</v>
      </c>
      <c r="U1422" t="s">
        <v>71</v>
      </c>
      <c r="V1422">
        <v>0</v>
      </c>
      <c r="W1422" t="s">
        <v>71</v>
      </c>
      <c r="X1422">
        <v>0</v>
      </c>
      <c r="Y1422">
        <v>3.52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65</v>
      </c>
      <c r="AF1422">
        <v>166</v>
      </c>
      <c r="AG1422">
        <v>67</v>
      </c>
      <c r="AI1422">
        <v>7.4999999999999997E-2</v>
      </c>
      <c r="AK1422" t="s">
        <v>288</v>
      </c>
      <c r="AL1422" t="s">
        <v>3943</v>
      </c>
      <c r="AM1422">
        <v>200000</v>
      </c>
      <c r="AN1422" t="s">
        <v>97</v>
      </c>
      <c r="AO1422">
        <v>1</v>
      </c>
      <c r="AP1422">
        <v>0</v>
      </c>
      <c r="AQ1422">
        <v>16666.666666666668</v>
      </c>
      <c r="AR1422" t="s">
        <v>3945</v>
      </c>
      <c r="AS1422" t="s">
        <v>75</v>
      </c>
      <c r="AX1422" t="s">
        <v>76</v>
      </c>
      <c r="AY1422" t="s">
        <v>71</v>
      </c>
      <c r="AZ1422">
        <v>0</v>
      </c>
      <c r="BA1422" t="s">
        <v>71</v>
      </c>
      <c r="BB1422">
        <v>0</v>
      </c>
      <c r="BD1422">
        <v>3.52</v>
      </c>
    </row>
    <row r="1423" spans="1:56" x14ac:dyDescent="0.15">
      <c r="A1423" s="4" t="str">
        <f>HYPERLINK("https://ibp.a2mac1.com/costing(costing:projects/details/9760/part/8414993)","Cover")</f>
        <v>Cover</v>
      </c>
      <c r="B1423">
        <v>8414993</v>
      </c>
      <c r="C1423">
        <v>8414823</v>
      </c>
      <c r="E1423">
        <v>2.2549000000000001</v>
      </c>
      <c r="F1423">
        <v>0</v>
      </c>
      <c r="G1423">
        <v>0</v>
      </c>
      <c r="H1423">
        <v>0</v>
      </c>
      <c r="I1423" t="s">
        <v>71</v>
      </c>
      <c r="J1423">
        <v>0</v>
      </c>
      <c r="K1423">
        <v>2.2549000000000001</v>
      </c>
      <c r="L1423">
        <v>0</v>
      </c>
      <c r="M1423">
        <v>0</v>
      </c>
      <c r="N1423">
        <v>2.2549000000000001</v>
      </c>
      <c r="O1423" t="s">
        <v>71</v>
      </c>
      <c r="P1423">
        <v>0</v>
      </c>
      <c r="Q1423" t="s">
        <v>71</v>
      </c>
      <c r="R1423">
        <v>0</v>
      </c>
      <c r="S1423" t="s">
        <v>71</v>
      </c>
      <c r="T1423">
        <v>0</v>
      </c>
      <c r="U1423" t="s">
        <v>71</v>
      </c>
      <c r="V1423">
        <v>0</v>
      </c>
      <c r="W1423" t="s">
        <v>71</v>
      </c>
      <c r="X1423">
        <v>0</v>
      </c>
      <c r="Y1423">
        <v>2.2549000000000001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315</v>
      </c>
      <c r="AF1423">
        <v>403</v>
      </c>
      <c r="AG1423">
        <v>70</v>
      </c>
      <c r="AI1423">
        <v>0.316</v>
      </c>
      <c r="AK1423" t="s">
        <v>288</v>
      </c>
      <c r="AL1423" t="s">
        <v>412</v>
      </c>
      <c r="AM1423">
        <v>200000</v>
      </c>
      <c r="AN1423" t="s">
        <v>97</v>
      </c>
      <c r="AO1423">
        <v>1</v>
      </c>
      <c r="AP1423">
        <v>0</v>
      </c>
      <c r="AQ1423">
        <v>16666.666666666668</v>
      </c>
      <c r="AR1423" t="s">
        <v>3952</v>
      </c>
      <c r="AS1423" t="s">
        <v>75</v>
      </c>
      <c r="AX1423" t="s">
        <v>76</v>
      </c>
      <c r="AY1423" t="s">
        <v>71</v>
      </c>
      <c r="AZ1423">
        <v>0</v>
      </c>
      <c r="BA1423" t="s">
        <v>71</v>
      </c>
      <c r="BB1423">
        <v>0</v>
      </c>
      <c r="BD1423">
        <v>2.2549000000000001</v>
      </c>
    </row>
    <row r="1424" spans="1:56" x14ac:dyDescent="0.15">
      <c r="A1424" s="4" t="str">
        <f>HYPERLINK("https://ibp.a2mac1.com/costing(costing:projects/details/9760/part/8414994)","Sport Mode Switch Dynamic Drive")</f>
        <v>Sport Mode Switch Dynamic Drive</v>
      </c>
      <c r="B1424">
        <v>8414994</v>
      </c>
      <c r="C1424">
        <v>8414824</v>
      </c>
      <c r="E1424">
        <v>1.33</v>
      </c>
      <c r="F1424">
        <v>0</v>
      </c>
      <c r="G1424">
        <v>0</v>
      </c>
      <c r="H1424">
        <v>0</v>
      </c>
      <c r="I1424" t="s">
        <v>71</v>
      </c>
      <c r="J1424">
        <v>0</v>
      </c>
      <c r="K1424">
        <v>1.33</v>
      </c>
      <c r="L1424">
        <v>0</v>
      </c>
      <c r="M1424">
        <v>0</v>
      </c>
      <c r="N1424">
        <v>1.33</v>
      </c>
      <c r="O1424" t="s">
        <v>71</v>
      </c>
      <c r="P1424">
        <v>0</v>
      </c>
      <c r="Q1424" t="s">
        <v>71</v>
      </c>
      <c r="R1424">
        <v>0</v>
      </c>
      <c r="S1424" t="s">
        <v>71</v>
      </c>
      <c r="T1424">
        <v>0</v>
      </c>
      <c r="U1424" t="s">
        <v>71</v>
      </c>
      <c r="V1424">
        <v>0</v>
      </c>
      <c r="W1424" t="s">
        <v>71</v>
      </c>
      <c r="X1424">
        <v>0</v>
      </c>
      <c r="Y1424">
        <v>1.33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57</v>
      </c>
      <c r="AF1424">
        <v>60</v>
      </c>
      <c r="AG1424">
        <v>39</v>
      </c>
      <c r="AI1424">
        <v>4.2000000000000003E-2</v>
      </c>
      <c r="AK1424" t="s">
        <v>740</v>
      </c>
      <c r="AL1424" t="s">
        <v>856</v>
      </c>
      <c r="AM1424">
        <v>200000</v>
      </c>
      <c r="AN1424" t="s">
        <v>73</v>
      </c>
      <c r="AO1424">
        <v>1</v>
      </c>
      <c r="AP1424">
        <v>0</v>
      </c>
      <c r="AQ1424">
        <v>16666.666666666668</v>
      </c>
      <c r="AR1424" t="s">
        <v>3955</v>
      </c>
      <c r="AS1424" t="s">
        <v>75</v>
      </c>
      <c r="AX1424" t="s">
        <v>76</v>
      </c>
      <c r="AY1424" t="s">
        <v>71</v>
      </c>
      <c r="AZ1424">
        <v>0</v>
      </c>
      <c r="BA1424" t="s">
        <v>71</v>
      </c>
      <c r="BB1424">
        <v>0</v>
      </c>
      <c r="BD1424">
        <v>1.33</v>
      </c>
    </row>
    <row r="1425" spans="1:54" x14ac:dyDescent="0.15">
      <c r="A1425" s="4" t="str">
        <f>HYPERLINK("https://ibp.a2mac1.com/costing(costing:projects/details/9760/part/8414815)","Air Freshener Flagrance Support")</f>
        <v>Air Freshener Flagrance Support</v>
      </c>
      <c r="B1425">
        <v>8414815</v>
      </c>
      <c r="C1425">
        <v>8414744</v>
      </c>
      <c r="E1425">
        <v>0.88</v>
      </c>
      <c r="F1425">
        <v>0</v>
      </c>
      <c r="G1425">
        <v>0</v>
      </c>
      <c r="H1425">
        <v>4.4527999999999998E-3</v>
      </c>
      <c r="I1425" t="s">
        <v>176</v>
      </c>
      <c r="J1425">
        <v>3.0800000000000001E-2</v>
      </c>
      <c r="K1425">
        <v>0.91525279999999998</v>
      </c>
      <c r="L1425">
        <v>3.5913897128666765E-2</v>
      </c>
      <c r="M1425">
        <v>0.2154833827720006</v>
      </c>
      <c r="N1425">
        <v>1.1307361827720006</v>
      </c>
      <c r="O1425" t="s">
        <v>90</v>
      </c>
      <c r="P1425">
        <v>0</v>
      </c>
      <c r="Q1425" t="s">
        <v>90</v>
      </c>
      <c r="R1425">
        <v>0</v>
      </c>
      <c r="S1425" t="s">
        <v>90</v>
      </c>
      <c r="T1425">
        <v>0</v>
      </c>
      <c r="U1425" t="s">
        <v>90</v>
      </c>
      <c r="V1425">
        <v>0</v>
      </c>
      <c r="W1425" t="s">
        <v>90</v>
      </c>
      <c r="X1425">
        <v>0</v>
      </c>
      <c r="Y1425">
        <v>1.1307361827720006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139</v>
      </c>
      <c r="AF1425">
        <v>174</v>
      </c>
      <c r="AG1425">
        <v>138</v>
      </c>
      <c r="AI1425">
        <v>0.24399999999999999</v>
      </c>
      <c r="AK1425" t="s">
        <v>740</v>
      </c>
      <c r="AL1425" t="s">
        <v>1380</v>
      </c>
      <c r="AM1425">
        <v>200000</v>
      </c>
      <c r="AN1425" t="s">
        <v>73</v>
      </c>
      <c r="AO1425">
        <v>1</v>
      </c>
      <c r="AP1425">
        <v>0</v>
      </c>
      <c r="AQ1425">
        <v>16666.666666666668</v>
      </c>
      <c r="AR1425" t="s">
        <v>3959</v>
      </c>
      <c r="AS1425" t="s">
        <v>75</v>
      </c>
      <c r="AX1425" t="s">
        <v>76</v>
      </c>
      <c r="AY1425" t="s">
        <v>176</v>
      </c>
      <c r="AZ1425">
        <v>0</v>
      </c>
      <c r="BA1425" t="s">
        <v>176</v>
      </c>
      <c r="BB1425">
        <v>0</v>
      </c>
    </row>
    <row r="1426" spans="1:54" x14ac:dyDescent="0.15">
      <c r="A1426" s="4" t="str">
        <f>HYPERLINK("https://ibp.a2mac1.com/costing(costing:projects/details/9760/part/8414816)","Air Freshener Fragrance Trim")</f>
        <v>Air Freshener Fragrance Trim</v>
      </c>
      <c r="B1426">
        <v>8414816</v>
      </c>
      <c r="C1426">
        <v>8414744</v>
      </c>
      <c r="E1426">
        <v>7.0000000000000007E-2</v>
      </c>
      <c r="F1426">
        <v>0</v>
      </c>
      <c r="G1426">
        <v>0</v>
      </c>
      <c r="H1426">
        <v>3.5419999999999999E-4</v>
      </c>
      <c r="I1426" t="s">
        <v>176</v>
      </c>
      <c r="J1426">
        <v>2.4499999999999999E-3</v>
      </c>
      <c r="K1426">
        <v>7.2804199999999999E-2</v>
      </c>
      <c r="L1426">
        <v>4.1243899592881732E-3</v>
      </c>
      <c r="M1426">
        <v>2.4746339755729041E-2</v>
      </c>
      <c r="N1426">
        <v>9.755053975572904E-2</v>
      </c>
      <c r="O1426" t="s">
        <v>90</v>
      </c>
      <c r="P1426">
        <v>0</v>
      </c>
      <c r="Q1426" t="s">
        <v>90</v>
      </c>
      <c r="R1426">
        <v>0</v>
      </c>
      <c r="S1426" t="s">
        <v>90</v>
      </c>
      <c r="T1426">
        <v>0</v>
      </c>
      <c r="U1426" t="s">
        <v>90</v>
      </c>
      <c r="V1426">
        <v>0</v>
      </c>
      <c r="W1426" t="s">
        <v>90</v>
      </c>
      <c r="X1426">
        <v>0</v>
      </c>
      <c r="Y1426">
        <v>9.755053975572904E-2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118</v>
      </c>
      <c r="AF1426">
        <v>163</v>
      </c>
      <c r="AG1426">
        <v>18</v>
      </c>
      <c r="AI1426">
        <v>0.02</v>
      </c>
      <c r="AK1426" t="s">
        <v>740</v>
      </c>
      <c r="AL1426" t="s">
        <v>412</v>
      </c>
      <c r="AM1426">
        <v>200000</v>
      </c>
      <c r="AN1426" t="s">
        <v>73</v>
      </c>
      <c r="AO1426">
        <v>1</v>
      </c>
      <c r="AP1426">
        <v>0</v>
      </c>
      <c r="AQ1426">
        <v>16666.666666666668</v>
      </c>
      <c r="AR1426" t="s">
        <v>3962</v>
      </c>
      <c r="AS1426" t="s">
        <v>75</v>
      </c>
      <c r="AX1426" t="s">
        <v>76</v>
      </c>
      <c r="AY1426" t="s">
        <v>176</v>
      </c>
      <c r="AZ1426">
        <v>0</v>
      </c>
      <c r="BA1426" t="s">
        <v>176</v>
      </c>
      <c r="BB1426">
        <v>0</v>
      </c>
    </row>
    <row r="1427" spans="1:54" x14ac:dyDescent="0.15">
      <c r="A1427" s="4" t="str">
        <f>HYPERLINK("https://ibp.a2mac1.com/costing(costing:projects/details/9760/part/8414995)","Left Bezel")</f>
        <v>Left Bezel</v>
      </c>
      <c r="B1427">
        <v>8414995</v>
      </c>
      <c r="C1427">
        <v>8414827</v>
      </c>
      <c r="E1427">
        <v>0.13</v>
      </c>
      <c r="F1427">
        <v>0</v>
      </c>
      <c r="G1427">
        <v>0</v>
      </c>
      <c r="H1427">
        <v>6.5780000000000005E-4</v>
      </c>
      <c r="I1427" t="s">
        <v>176</v>
      </c>
      <c r="J1427">
        <v>4.5500000000000002E-3</v>
      </c>
      <c r="K1427">
        <v>0.13520779999999999</v>
      </c>
      <c r="L1427">
        <v>1.8253059812345325E-2</v>
      </c>
      <c r="M1427">
        <v>0.10951835887407195</v>
      </c>
      <c r="N1427">
        <v>0.24472615887407195</v>
      </c>
      <c r="O1427" t="s">
        <v>177</v>
      </c>
      <c r="P1427">
        <v>8.1124679999999994E-3</v>
      </c>
      <c r="Q1427" t="s">
        <v>177</v>
      </c>
      <c r="R1427">
        <v>6.5711015324443171E-3</v>
      </c>
      <c r="S1427" t="s">
        <v>178</v>
      </c>
      <c r="T1427">
        <v>2.9367139064888633E-2</v>
      </c>
      <c r="U1427" t="s">
        <v>90</v>
      </c>
      <c r="V1427">
        <v>0</v>
      </c>
      <c r="W1427" t="s">
        <v>90</v>
      </c>
      <c r="X1427">
        <v>0</v>
      </c>
      <c r="Y1427">
        <v>0.28877686747140491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40</v>
      </c>
      <c r="AF1427">
        <v>235</v>
      </c>
      <c r="AG1427">
        <v>41</v>
      </c>
      <c r="AI1427">
        <v>2.9000000000000001E-2</v>
      </c>
      <c r="AK1427" t="s">
        <v>740</v>
      </c>
      <c r="AL1427" t="s">
        <v>3968</v>
      </c>
      <c r="AM1427">
        <v>200000</v>
      </c>
      <c r="AN1427" t="s">
        <v>97</v>
      </c>
      <c r="AO1427">
        <v>1</v>
      </c>
      <c r="AP1427">
        <v>0</v>
      </c>
      <c r="AQ1427">
        <v>16666.666666666668</v>
      </c>
      <c r="AR1427" t="s">
        <v>3969</v>
      </c>
      <c r="AS1427" t="s">
        <v>75</v>
      </c>
      <c r="AX1427" t="s">
        <v>76</v>
      </c>
      <c r="AY1427" t="s">
        <v>176</v>
      </c>
      <c r="AZ1427">
        <v>0</v>
      </c>
      <c r="BA1427" t="s">
        <v>176</v>
      </c>
      <c r="BB1427">
        <v>0</v>
      </c>
    </row>
    <row r="1428" spans="1:54" x14ac:dyDescent="0.15">
      <c r="A1428" s="4" t="str">
        <f>HYPERLINK("https://ibp.a2mac1.com/costing(costing:projects/details/9760/part/8414996)","2nd Left Bezel")</f>
        <v>2nd Left Bezel</v>
      </c>
      <c r="B1428">
        <v>8414996</v>
      </c>
      <c r="C1428">
        <v>8414827</v>
      </c>
      <c r="E1428">
        <v>0.18</v>
      </c>
      <c r="F1428">
        <v>0</v>
      </c>
      <c r="G1428">
        <v>0</v>
      </c>
      <c r="H1428">
        <v>9.1080000000000002E-4</v>
      </c>
      <c r="I1428" t="s">
        <v>176</v>
      </c>
      <c r="J1428">
        <v>6.3E-3</v>
      </c>
      <c r="K1428">
        <v>0.18721080000000001</v>
      </c>
      <c r="L1428">
        <v>4.651039951845963E-2</v>
      </c>
      <c r="M1428">
        <v>0.27906239711075775</v>
      </c>
      <c r="N1428">
        <v>0.46627319711075776</v>
      </c>
      <c r="O1428" t="s">
        <v>177</v>
      </c>
      <c r="P1428">
        <v>1.1232648E-2</v>
      </c>
      <c r="Q1428" t="s">
        <v>177</v>
      </c>
      <c r="R1428">
        <v>1.6743743826645466E-2</v>
      </c>
      <c r="S1428" t="s">
        <v>178</v>
      </c>
      <c r="T1428">
        <v>5.5952783653290934E-2</v>
      </c>
      <c r="U1428" t="s">
        <v>90</v>
      </c>
      <c r="V1428">
        <v>0</v>
      </c>
      <c r="W1428" t="s">
        <v>90</v>
      </c>
      <c r="X1428">
        <v>0</v>
      </c>
      <c r="Y1428">
        <v>0.55020237259069416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37</v>
      </c>
      <c r="AF1428">
        <v>242</v>
      </c>
      <c r="AG1428">
        <v>92</v>
      </c>
      <c r="AI1428">
        <v>4.2000000000000003E-2</v>
      </c>
      <c r="AK1428" t="s">
        <v>740</v>
      </c>
      <c r="AL1428" t="s">
        <v>412</v>
      </c>
      <c r="AM1428">
        <v>200000</v>
      </c>
      <c r="AN1428" t="s">
        <v>97</v>
      </c>
      <c r="AO1428">
        <v>1</v>
      </c>
      <c r="AP1428">
        <v>0</v>
      </c>
      <c r="AQ1428">
        <v>16666.666666666668</v>
      </c>
      <c r="AR1428" t="s">
        <v>3972</v>
      </c>
      <c r="AS1428" t="s">
        <v>75</v>
      </c>
      <c r="AX1428" t="s">
        <v>76</v>
      </c>
      <c r="AY1428" t="s">
        <v>176</v>
      </c>
      <c r="AZ1428">
        <v>0</v>
      </c>
      <c r="BA1428" t="s">
        <v>176</v>
      </c>
      <c r="BB1428">
        <v>0</v>
      </c>
    </row>
    <row r="1429" spans="1:54" x14ac:dyDescent="0.15">
      <c r="A1429" s="4" t="str">
        <f>HYPERLINK("https://ibp.a2mac1.com/costing(costing:projects/details/9760/part/8414997)","3rd Left Bezel")</f>
        <v>3rd Left Bezel</v>
      </c>
      <c r="B1429">
        <v>8414997</v>
      </c>
      <c r="C1429">
        <v>8414827</v>
      </c>
      <c r="E1429">
        <v>0.18</v>
      </c>
      <c r="F1429">
        <v>0</v>
      </c>
      <c r="G1429">
        <v>0</v>
      </c>
      <c r="H1429">
        <v>9.1080000000000002E-4</v>
      </c>
      <c r="I1429" t="s">
        <v>176</v>
      </c>
      <c r="J1429">
        <v>6.3E-3</v>
      </c>
      <c r="K1429">
        <v>0.18721080000000001</v>
      </c>
      <c r="L1429">
        <v>9.422641154184605E-3</v>
      </c>
      <c r="M1429">
        <v>5.653584692510763E-2</v>
      </c>
      <c r="N1429">
        <v>0.24374664692510764</v>
      </c>
      <c r="O1429" t="s">
        <v>177</v>
      </c>
      <c r="P1429">
        <v>1.1232648E-2</v>
      </c>
      <c r="Q1429" t="s">
        <v>177</v>
      </c>
      <c r="R1429">
        <v>3.392150815506458E-3</v>
      </c>
      <c r="S1429" t="s">
        <v>178</v>
      </c>
      <c r="T1429">
        <v>2.9249597631012914E-2</v>
      </c>
      <c r="U1429" t="s">
        <v>90</v>
      </c>
      <c r="V1429">
        <v>0</v>
      </c>
      <c r="W1429" t="s">
        <v>90</v>
      </c>
      <c r="X1429">
        <v>0</v>
      </c>
      <c r="Y1429">
        <v>0.28762104337162703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45</v>
      </c>
      <c r="AF1429">
        <v>182</v>
      </c>
      <c r="AG1429">
        <v>93</v>
      </c>
      <c r="AI1429">
        <v>0.05</v>
      </c>
      <c r="AK1429" t="s">
        <v>740</v>
      </c>
      <c r="AL1429" t="s">
        <v>412</v>
      </c>
      <c r="AM1429">
        <v>200000</v>
      </c>
      <c r="AN1429" t="s">
        <v>97</v>
      </c>
      <c r="AO1429">
        <v>1</v>
      </c>
      <c r="AP1429">
        <v>0</v>
      </c>
      <c r="AQ1429">
        <v>16666.666666666668</v>
      </c>
      <c r="AR1429" t="s">
        <v>3975</v>
      </c>
      <c r="AS1429" t="s">
        <v>75</v>
      </c>
      <c r="AX1429" t="s">
        <v>76</v>
      </c>
      <c r="AY1429" t="s">
        <v>176</v>
      </c>
      <c r="AZ1429">
        <v>0</v>
      </c>
      <c r="BA1429" t="s">
        <v>176</v>
      </c>
      <c r="BB1429">
        <v>0</v>
      </c>
    </row>
    <row r="1430" spans="1:54" x14ac:dyDescent="0.15">
      <c r="A1430" s="4" t="str">
        <f>HYPERLINK("https://ibp.a2mac1.com/costing(costing:projects/details/9760/part/8414998)","4th Left Bezel")</f>
        <v>4th Left Bezel</v>
      </c>
      <c r="B1430">
        <v>8414998</v>
      </c>
      <c r="C1430">
        <v>8414827</v>
      </c>
      <c r="E1430">
        <v>7.0000000000000007E-2</v>
      </c>
      <c r="F1430">
        <v>0</v>
      </c>
      <c r="G1430">
        <v>0</v>
      </c>
      <c r="H1430">
        <v>3.5419999999999999E-4</v>
      </c>
      <c r="I1430" t="s">
        <v>176</v>
      </c>
      <c r="J1430">
        <v>2.4499999999999999E-3</v>
      </c>
      <c r="K1430">
        <v>7.2804199999999999E-2</v>
      </c>
      <c r="L1430">
        <v>4.1243899592881732E-3</v>
      </c>
      <c r="M1430">
        <v>2.4746339755729041E-2</v>
      </c>
      <c r="N1430">
        <v>9.755053975572904E-2</v>
      </c>
      <c r="O1430" t="s">
        <v>177</v>
      </c>
      <c r="P1430">
        <v>4.3682520000000004E-3</v>
      </c>
      <c r="Q1430" t="s">
        <v>177</v>
      </c>
      <c r="R1430">
        <v>1.4847803853437424E-3</v>
      </c>
      <c r="S1430" t="s">
        <v>178</v>
      </c>
      <c r="T1430">
        <v>1.1706064770687485E-2</v>
      </c>
      <c r="U1430" t="s">
        <v>90</v>
      </c>
      <c r="V1430">
        <v>0</v>
      </c>
      <c r="W1430" t="s">
        <v>90</v>
      </c>
      <c r="X1430">
        <v>0</v>
      </c>
      <c r="Y1430">
        <v>0.11510963691176027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28</v>
      </c>
      <c r="AF1430">
        <v>162</v>
      </c>
      <c r="AG1430">
        <v>33</v>
      </c>
      <c r="AI1430">
        <v>0.02</v>
      </c>
      <c r="AK1430" t="s">
        <v>740</v>
      </c>
      <c r="AL1430" t="s">
        <v>412</v>
      </c>
      <c r="AM1430">
        <v>200000</v>
      </c>
      <c r="AN1430" t="s">
        <v>97</v>
      </c>
      <c r="AO1430">
        <v>1</v>
      </c>
      <c r="AP1430">
        <v>0</v>
      </c>
      <c r="AQ1430">
        <v>16666.666666666668</v>
      </c>
      <c r="AR1430" t="s">
        <v>3978</v>
      </c>
      <c r="AS1430" t="s">
        <v>75</v>
      </c>
      <c r="AX1430" t="s">
        <v>76</v>
      </c>
      <c r="AY1430" t="s">
        <v>176</v>
      </c>
      <c r="AZ1430">
        <v>0</v>
      </c>
      <c r="BA1430" t="s">
        <v>176</v>
      </c>
      <c r="BB1430">
        <v>0</v>
      </c>
    </row>
    <row r="1431" spans="1:54" x14ac:dyDescent="0.15">
      <c r="A1431" s="4" t="str">
        <f>HYPERLINK("https://ibp.a2mac1.com/costing(costing:projects/details/9760/part/8414999)","Right Bezel")</f>
        <v>Right Bezel</v>
      </c>
      <c r="B1431">
        <v>8414999</v>
      </c>
      <c r="C1431">
        <v>8414827</v>
      </c>
      <c r="E1431">
        <v>0.11</v>
      </c>
      <c r="F1431">
        <v>0</v>
      </c>
      <c r="G1431">
        <v>0</v>
      </c>
      <c r="H1431">
        <v>5.5659999999999998E-4</v>
      </c>
      <c r="I1431" t="s">
        <v>176</v>
      </c>
      <c r="J1431">
        <v>3.8500000000000001E-3</v>
      </c>
      <c r="K1431">
        <v>0.1144066</v>
      </c>
      <c r="L1431">
        <v>1.4720892349081038E-2</v>
      </c>
      <c r="M1431">
        <v>8.8325354094486219E-2</v>
      </c>
      <c r="N1431">
        <v>0.20273195409448622</v>
      </c>
      <c r="O1431" t="s">
        <v>177</v>
      </c>
      <c r="P1431">
        <v>6.864396E-3</v>
      </c>
      <c r="Q1431" t="s">
        <v>177</v>
      </c>
      <c r="R1431">
        <v>5.2995212456691731E-3</v>
      </c>
      <c r="S1431" t="s">
        <v>178</v>
      </c>
      <c r="T1431">
        <v>2.4327834491338348E-2</v>
      </c>
      <c r="U1431" t="s">
        <v>90</v>
      </c>
      <c r="V1431">
        <v>0</v>
      </c>
      <c r="W1431" t="s">
        <v>90</v>
      </c>
      <c r="X1431">
        <v>0</v>
      </c>
      <c r="Y1431">
        <v>0.23922370583149374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28</v>
      </c>
      <c r="AF1431">
        <v>191</v>
      </c>
      <c r="AG1431">
        <v>40</v>
      </c>
      <c r="AI1431">
        <v>2.5000000000000001E-2</v>
      </c>
      <c r="AK1431" t="s">
        <v>740</v>
      </c>
      <c r="AL1431" t="s">
        <v>3981</v>
      </c>
      <c r="AM1431">
        <v>200000</v>
      </c>
      <c r="AN1431" t="s">
        <v>97</v>
      </c>
      <c r="AO1431">
        <v>1</v>
      </c>
      <c r="AP1431">
        <v>0</v>
      </c>
      <c r="AQ1431">
        <v>16666.666666666668</v>
      </c>
      <c r="AR1431" t="s">
        <v>3982</v>
      </c>
      <c r="AS1431" t="s">
        <v>75</v>
      </c>
      <c r="AX1431" t="s">
        <v>76</v>
      </c>
      <c r="AY1431" t="s">
        <v>176</v>
      </c>
      <c r="AZ1431">
        <v>0</v>
      </c>
      <c r="BA1431" t="s">
        <v>176</v>
      </c>
      <c r="BB1431">
        <v>0</v>
      </c>
    </row>
    <row r="1432" spans="1:54" x14ac:dyDescent="0.15">
      <c r="A1432" s="4" t="str">
        <f>HYPERLINK("https://ibp.a2mac1.com/costing(costing:projects/details/9760/part/8415000)","2nd Right Bezel")</f>
        <v>2nd Right Bezel</v>
      </c>
      <c r="B1432">
        <v>8415000</v>
      </c>
      <c r="C1432">
        <v>8414827</v>
      </c>
      <c r="E1432">
        <v>0.18</v>
      </c>
      <c r="F1432">
        <v>0</v>
      </c>
      <c r="G1432">
        <v>0</v>
      </c>
      <c r="H1432">
        <v>9.1080000000000002E-4</v>
      </c>
      <c r="I1432" t="s">
        <v>176</v>
      </c>
      <c r="J1432">
        <v>6.3E-3</v>
      </c>
      <c r="K1432">
        <v>0.18721080000000001</v>
      </c>
      <c r="L1432">
        <v>4.651039951845963E-2</v>
      </c>
      <c r="M1432">
        <v>0.27906239711075775</v>
      </c>
      <c r="N1432">
        <v>0.46627319711075776</v>
      </c>
      <c r="O1432" t="s">
        <v>177</v>
      </c>
      <c r="P1432">
        <v>1.1232648E-2</v>
      </c>
      <c r="Q1432" t="s">
        <v>177</v>
      </c>
      <c r="R1432">
        <v>1.6743743826645466E-2</v>
      </c>
      <c r="S1432" t="s">
        <v>178</v>
      </c>
      <c r="T1432">
        <v>5.5952783653290934E-2</v>
      </c>
      <c r="U1432" t="s">
        <v>90</v>
      </c>
      <c r="V1432">
        <v>0</v>
      </c>
      <c r="W1432" t="s">
        <v>90</v>
      </c>
      <c r="X1432">
        <v>0</v>
      </c>
      <c r="Y1432">
        <v>0.55020237259069416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40</v>
      </c>
      <c r="AF1432">
        <v>209</v>
      </c>
      <c r="AG1432">
        <v>80</v>
      </c>
      <c r="AI1432">
        <v>4.1000000000000002E-2</v>
      </c>
      <c r="AK1432" t="s">
        <v>740</v>
      </c>
      <c r="AL1432" t="s">
        <v>412</v>
      </c>
      <c r="AM1432">
        <v>200000</v>
      </c>
      <c r="AN1432" t="s">
        <v>97</v>
      </c>
      <c r="AO1432">
        <v>1</v>
      </c>
      <c r="AP1432">
        <v>0</v>
      </c>
      <c r="AQ1432">
        <v>16666.666666666668</v>
      </c>
      <c r="AR1432" t="s">
        <v>3985</v>
      </c>
      <c r="AS1432" t="s">
        <v>75</v>
      </c>
      <c r="AX1432" t="s">
        <v>76</v>
      </c>
      <c r="AY1432" t="s">
        <v>176</v>
      </c>
      <c r="AZ1432">
        <v>0</v>
      </c>
      <c r="BA1432" t="s">
        <v>176</v>
      </c>
      <c r="BB1432">
        <v>0</v>
      </c>
    </row>
    <row r="1433" spans="1:54" x14ac:dyDescent="0.15">
      <c r="A1433" s="4" t="str">
        <f>HYPERLINK("https://ibp.a2mac1.com/costing(costing:projects/details/9760/part/8415001)","Bezel")</f>
        <v>Bezel</v>
      </c>
      <c r="B1433">
        <v>8415001</v>
      </c>
      <c r="C1433">
        <v>8414828</v>
      </c>
      <c r="E1433">
        <v>0.33</v>
      </c>
      <c r="F1433">
        <v>0</v>
      </c>
      <c r="G1433">
        <v>0</v>
      </c>
      <c r="H1433">
        <v>1.6697999999999999E-3</v>
      </c>
      <c r="I1433" t="s">
        <v>176</v>
      </c>
      <c r="J1433">
        <v>1.155E-2</v>
      </c>
      <c r="K1433">
        <v>0.34321980000000002</v>
      </c>
      <c r="L1433">
        <v>4.4744315786827485E-2</v>
      </c>
      <c r="M1433">
        <v>0.26846589472096494</v>
      </c>
      <c r="N1433">
        <v>0.6116856947209649</v>
      </c>
      <c r="O1433" t="s">
        <v>177</v>
      </c>
      <c r="P1433">
        <v>2.0593187999999998E-2</v>
      </c>
      <c r="Q1433" t="s">
        <v>177</v>
      </c>
      <c r="R1433">
        <v>1.6107953683257896E-2</v>
      </c>
      <c r="S1433" t="s">
        <v>178</v>
      </c>
      <c r="T1433">
        <v>7.3402283366515789E-2</v>
      </c>
      <c r="U1433" t="s">
        <v>90</v>
      </c>
      <c r="V1433">
        <v>0</v>
      </c>
      <c r="W1433" t="s">
        <v>90</v>
      </c>
      <c r="X1433">
        <v>0</v>
      </c>
      <c r="Y1433">
        <v>0.72178911977073856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20</v>
      </c>
      <c r="AF1433">
        <v>610</v>
      </c>
      <c r="AG1433">
        <v>33</v>
      </c>
      <c r="AI1433">
        <v>7.4999999999999997E-2</v>
      </c>
      <c r="AK1433" t="s">
        <v>740</v>
      </c>
      <c r="AL1433" t="s">
        <v>3981</v>
      </c>
      <c r="AM1433">
        <v>200000</v>
      </c>
      <c r="AN1433" t="s">
        <v>97</v>
      </c>
      <c r="AO1433">
        <v>1</v>
      </c>
      <c r="AP1433">
        <v>0</v>
      </c>
      <c r="AQ1433">
        <v>16666.666666666668</v>
      </c>
      <c r="AR1433" t="s">
        <v>3990</v>
      </c>
      <c r="AS1433" t="s">
        <v>75</v>
      </c>
      <c r="AX1433" t="s">
        <v>76</v>
      </c>
      <c r="AY1433" t="s">
        <v>176</v>
      </c>
      <c r="AZ1433">
        <v>0</v>
      </c>
      <c r="BA1433" t="s">
        <v>176</v>
      </c>
      <c r="BB1433">
        <v>0</v>
      </c>
    </row>
    <row r="1434" spans="1:54" x14ac:dyDescent="0.15">
      <c r="A1434" s="4" t="str">
        <f>HYPERLINK("https://ibp.a2mac1.com/costing(costing:projects/details/9760/part/8415002)","2nd Bezel")</f>
        <v>2nd Bezel</v>
      </c>
      <c r="B1434">
        <v>8415002</v>
      </c>
      <c r="C1434">
        <v>8414828</v>
      </c>
      <c r="E1434">
        <v>0.56999999999999995</v>
      </c>
      <c r="F1434">
        <v>0</v>
      </c>
      <c r="G1434">
        <v>0</v>
      </c>
      <c r="H1434">
        <v>2.8842E-3</v>
      </c>
      <c r="I1434" t="s">
        <v>176</v>
      </c>
      <c r="J1434">
        <v>1.9949999999999999E-2</v>
      </c>
      <c r="K1434">
        <v>0.59283419999999998</v>
      </c>
      <c r="L1434">
        <v>9.0662492809263223E-2</v>
      </c>
      <c r="M1434">
        <v>0.54397495685557939</v>
      </c>
      <c r="N1434">
        <v>1.1368091568555794</v>
      </c>
      <c r="O1434" t="s">
        <v>177</v>
      </c>
      <c r="P1434">
        <v>3.5570051999999998E-2</v>
      </c>
      <c r="Q1434" t="s">
        <v>177</v>
      </c>
      <c r="R1434">
        <v>3.263849741133476E-2</v>
      </c>
      <c r="S1434" t="s">
        <v>178</v>
      </c>
      <c r="T1434">
        <v>0.13641709882266953</v>
      </c>
      <c r="U1434" t="s">
        <v>90</v>
      </c>
      <c r="V1434">
        <v>0</v>
      </c>
      <c r="W1434" t="s">
        <v>90</v>
      </c>
      <c r="X1434">
        <v>0</v>
      </c>
      <c r="Y1434">
        <v>1.3414348050895837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68</v>
      </c>
      <c r="AF1434">
        <v>612</v>
      </c>
      <c r="AG1434">
        <v>70</v>
      </c>
      <c r="AI1434">
        <v>0.13</v>
      </c>
      <c r="AK1434" t="s">
        <v>740</v>
      </c>
      <c r="AL1434" t="s">
        <v>412</v>
      </c>
      <c r="AM1434">
        <v>200000</v>
      </c>
      <c r="AN1434" t="s">
        <v>97</v>
      </c>
      <c r="AO1434">
        <v>1</v>
      </c>
      <c r="AP1434">
        <v>0</v>
      </c>
      <c r="AQ1434">
        <v>16666.666666666668</v>
      </c>
      <c r="AR1434" t="s">
        <v>3993</v>
      </c>
      <c r="AS1434" t="s">
        <v>75</v>
      </c>
      <c r="AX1434" t="s">
        <v>76</v>
      </c>
      <c r="AY1434" t="s">
        <v>176</v>
      </c>
      <c r="AZ1434">
        <v>0</v>
      </c>
      <c r="BA1434" t="s">
        <v>176</v>
      </c>
      <c r="BB1434">
        <v>0</v>
      </c>
    </row>
    <row r="1435" spans="1:54" x14ac:dyDescent="0.15">
      <c r="A1435" s="4" t="str">
        <f>HYPERLINK("https://ibp.a2mac1.com/costing(costing:projects/details/9760/part/8414825)","Upper Trim")</f>
        <v>Upper Trim</v>
      </c>
      <c r="B1435">
        <v>8414825</v>
      </c>
      <c r="C1435">
        <v>8414745</v>
      </c>
      <c r="E1435">
        <v>0.09</v>
      </c>
      <c r="F1435">
        <v>0</v>
      </c>
      <c r="G1435">
        <v>0</v>
      </c>
      <c r="H1435">
        <v>4.5540000000000001E-4</v>
      </c>
      <c r="I1435" t="s">
        <v>176</v>
      </c>
      <c r="J1435">
        <v>3.15E-3</v>
      </c>
      <c r="K1435">
        <v>9.3605400000000005E-2</v>
      </c>
      <c r="L1435">
        <v>1.2954808617448894E-2</v>
      </c>
      <c r="M1435">
        <v>7.7728851704693361E-2</v>
      </c>
      <c r="N1435">
        <v>0.17133425170469335</v>
      </c>
      <c r="O1435" t="s">
        <v>177</v>
      </c>
      <c r="P1435">
        <v>5.6163239999999998E-3</v>
      </c>
      <c r="Q1435" t="s">
        <v>177</v>
      </c>
      <c r="R1435">
        <v>4.6637311022816015E-3</v>
      </c>
      <c r="S1435" t="s">
        <v>178</v>
      </c>
      <c r="T1435">
        <v>2.0560110204563203E-2</v>
      </c>
      <c r="U1435" t="s">
        <v>90</v>
      </c>
      <c r="V1435">
        <v>0</v>
      </c>
      <c r="W1435" t="s">
        <v>90</v>
      </c>
      <c r="X1435">
        <v>0</v>
      </c>
      <c r="Y1435">
        <v>0.20217441701153815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34</v>
      </c>
      <c r="AF1435">
        <v>119</v>
      </c>
      <c r="AG1435">
        <v>44</v>
      </c>
      <c r="AI1435">
        <v>2.1000000000000001E-2</v>
      </c>
      <c r="AK1435" t="s">
        <v>740</v>
      </c>
      <c r="AL1435" t="s">
        <v>3997</v>
      </c>
      <c r="AM1435">
        <v>200000</v>
      </c>
      <c r="AN1435" t="s">
        <v>97</v>
      </c>
      <c r="AO1435">
        <v>1</v>
      </c>
      <c r="AP1435">
        <v>0</v>
      </c>
      <c r="AQ1435">
        <v>16666.666666666668</v>
      </c>
      <c r="AR1435" t="s">
        <v>3998</v>
      </c>
      <c r="AS1435" t="s">
        <v>75</v>
      </c>
      <c r="AX1435" t="s">
        <v>76</v>
      </c>
      <c r="AY1435" t="s">
        <v>176</v>
      </c>
      <c r="AZ1435">
        <v>0</v>
      </c>
      <c r="BA1435" t="s">
        <v>176</v>
      </c>
      <c r="BB1435">
        <v>0</v>
      </c>
    </row>
    <row r="1436" spans="1:54" x14ac:dyDescent="0.15">
      <c r="A1436" s="4" t="str">
        <f>HYPERLINK("https://ibp.a2mac1.com/costing(costing:projects/details/9760/part/8414826)","2nd Upper Trim")</f>
        <v>2nd Upper Trim</v>
      </c>
      <c r="B1436">
        <v>8414826</v>
      </c>
      <c r="C1436">
        <v>8414745</v>
      </c>
      <c r="D1436" t="s">
        <v>3754</v>
      </c>
      <c r="E1436">
        <v>0.7</v>
      </c>
      <c r="F1436">
        <v>0</v>
      </c>
      <c r="G1436">
        <v>0</v>
      </c>
      <c r="H1436">
        <v>3.542E-3</v>
      </c>
      <c r="I1436" t="s">
        <v>176</v>
      </c>
      <c r="J1436">
        <v>2.4500000000000001E-2</v>
      </c>
      <c r="K1436">
        <v>0.72804199999999997</v>
      </c>
      <c r="L1436">
        <v>9.2428576540895369E-2</v>
      </c>
      <c r="M1436">
        <v>0.55457145924537221</v>
      </c>
      <c r="N1436">
        <v>1.2826134592453722</v>
      </c>
      <c r="O1436" t="s">
        <v>177</v>
      </c>
      <c r="P1436">
        <v>4.3682520000000002E-2</v>
      </c>
      <c r="Q1436" t="s">
        <v>177</v>
      </c>
      <c r="R1436">
        <v>3.3274287554722337E-2</v>
      </c>
      <c r="S1436" t="s">
        <v>178</v>
      </c>
      <c r="T1436">
        <v>0.15391361510944468</v>
      </c>
      <c r="U1436" t="s">
        <v>90</v>
      </c>
      <c r="V1436">
        <v>0</v>
      </c>
      <c r="W1436" t="s">
        <v>90</v>
      </c>
      <c r="X1436">
        <v>0</v>
      </c>
      <c r="Y1436">
        <v>1.5134838819095393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106</v>
      </c>
      <c r="AF1436">
        <v>850</v>
      </c>
      <c r="AG1436">
        <v>46</v>
      </c>
      <c r="AI1436">
        <v>0.157</v>
      </c>
      <c r="AK1436" t="s">
        <v>740</v>
      </c>
      <c r="AL1436" t="s">
        <v>3997</v>
      </c>
      <c r="AM1436">
        <v>200000</v>
      </c>
      <c r="AN1436" t="s">
        <v>97</v>
      </c>
      <c r="AO1436">
        <v>1</v>
      </c>
      <c r="AP1436">
        <v>0</v>
      </c>
      <c r="AQ1436">
        <v>16666.666666666668</v>
      </c>
      <c r="AR1436" t="s">
        <v>4001</v>
      </c>
      <c r="AS1436" t="s">
        <v>75</v>
      </c>
      <c r="AX1436" t="s">
        <v>76</v>
      </c>
      <c r="AY1436" t="s">
        <v>176</v>
      </c>
      <c r="AZ1436">
        <v>0</v>
      </c>
      <c r="BA1436" t="s">
        <v>176</v>
      </c>
      <c r="BB1436">
        <v>0</v>
      </c>
    </row>
    <row r="1437" spans="1:54" x14ac:dyDescent="0.15">
      <c r="A1437" s="4" t="str">
        <f>HYPERLINK("https://ibp.a2mac1.com/costing(costing:projects/details/9760/part/8415091)","Control")</f>
        <v>Control</v>
      </c>
      <c r="B1437">
        <v>8415091</v>
      </c>
      <c r="C1437">
        <v>8415009</v>
      </c>
      <c r="E1437">
        <v>0.09</v>
      </c>
      <c r="F1437">
        <v>0</v>
      </c>
      <c r="G1437">
        <v>0</v>
      </c>
      <c r="H1437">
        <v>4.5540000000000001E-4</v>
      </c>
      <c r="I1437" t="s">
        <v>176</v>
      </c>
      <c r="J1437">
        <v>3.15E-3</v>
      </c>
      <c r="K1437">
        <v>9.3605400000000005E-2</v>
      </c>
      <c r="L1437">
        <v>2.3551311007241758E-2</v>
      </c>
      <c r="M1437">
        <v>0.14130786604345055</v>
      </c>
      <c r="N1437">
        <v>0.23491326604345053</v>
      </c>
      <c r="O1437" t="s">
        <v>90</v>
      </c>
      <c r="P1437">
        <v>0</v>
      </c>
      <c r="Q1437" t="s">
        <v>90</v>
      </c>
      <c r="R1437">
        <v>0</v>
      </c>
      <c r="S1437" t="s">
        <v>90</v>
      </c>
      <c r="T1437">
        <v>0</v>
      </c>
      <c r="U1437" t="s">
        <v>90</v>
      </c>
      <c r="V1437">
        <v>0</v>
      </c>
      <c r="W1437" t="s">
        <v>90</v>
      </c>
      <c r="X1437">
        <v>0</v>
      </c>
      <c r="Y1437">
        <v>0.23491326604345053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128</v>
      </c>
      <c r="AF1437">
        <v>50</v>
      </c>
      <c r="AG1437">
        <v>26</v>
      </c>
      <c r="AI1437">
        <v>2.1000000000000001E-2</v>
      </c>
      <c r="AK1437" t="s">
        <v>740</v>
      </c>
      <c r="AL1437" t="s">
        <v>412</v>
      </c>
      <c r="AM1437">
        <v>200000</v>
      </c>
      <c r="AN1437" t="s">
        <v>73</v>
      </c>
      <c r="AO1437">
        <v>1</v>
      </c>
      <c r="AP1437">
        <v>0</v>
      </c>
      <c r="AQ1437">
        <v>16666.666666666668</v>
      </c>
      <c r="AR1437" t="s">
        <v>4008</v>
      </c>
      <c r="AS1437" t="s">
        <v>75</v>
      </c>
      <c r="AX1437" t="s">
        <v>76</v>
      </c>
      <c r="AY1437" t="s">
        <v>176</v>
      </c>
      <c r="AZ1437">
        <v>0</v>
      </c>
      <c r="BA1437" t="s">
        <v>176</v>
      </c>
      <c r="BB1437">
        <v>0</v>
      </c>
    </row>
    <row r="1438" spans="1:54" x14ac:dyDescent="0.15">
      <c r="A1438" s="4" t="str">
        <f>HYPERLINK("https://ibp.a2mac1.com/costing(costing:projects/details/9760/part/8415092)","Control Support")</f>
        <v>Control Support</v>
      </c>
      <c r="B1438">
        <v>8415092</v>
      </c>
      <c r="C1438">
        <v>8415009</v>
      </c>
      <c r="E1438">
        <v>5.4748389473684211E-2</v>
      </c>
      <c r="F1438">
        <v>0</v>
      </c>
      <c r="G1438">
        <v>0</v>
      </c>
      <c r="H1438">
        <v>2.7702685073684212E-4</v>
      </c>
      <c r="I1438" t="s">
        <v>176</v>
      </c>
      <c r="J1438">
        <v>1.9161936315789474E-3</v>
      </c>
      <c r="K1438">
        <v>5.6941609955999999E-2</v>
      </c>
      <c r="L1438">
        <v>5.8904736909203177E-3</v>
      </c>
      <c r="M1438">
        <v>3.5342842145521906E-2</v>
      </c>
      <c r="N1438">
        <v>9.2284452101521905E-2</v>
      </c>
      <c r="O1438" t="s">
        <v>90</v>
      </c>
      <c r="P1438">
        <v>0</v>
      </c>
      <c r="Q1438" t="s">
        <v>90</v>
      </c>
      <c r="R1438">
        <v>0</v>
      </c>
      <c r="S1438" t="s">
        <v>90</v>
      </c>
      <c r="T1438">
        <v>0</v>
      </c>
      <c r="U1438" t="s">
        <v>90</v>
      </c>
      <c r="V1438">
        <v>0</v>
      </c>
      <c r="W1438" t="s">
        <v>90</v>
      </c>
      <c r="X1438">
        <v>0</v>
      </c>
      <c r="Y1438">
        <v>9.2284452101521905E-2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100</v>
      </c>
      <c r="AF1438">
        <v>79</v>
      </c>
      <c r="AG1438">
        <v>63</v>
      </c>
      <c r="AI1438">
        <v>3.3000000000000002E-2</v>
      </c>
      <c r="AK1438" t="s">
        <v>740</v>
      </c>
      <c r="AL1438" t="s">
        <v>403</v>
      </c>
      <c r="AM1438">
        <v>200000</v>
      </c>
      <c r="AN1438" t="s">
        <v>73</v>
      </c>
      <c r="AO1438">
        <v>1</v>
      </c>
      <c r="AP1438">
        <v>0</v>
      </c>
      <c r="AQ1438">
        <v>16666.666666666668</v>
      </c>
      <c r="AR1438" t="s">
        <v>4013</v>
      </c>
      <c r="AS1438" t="s">
        <v>75</v>
      </c>
      <c r="AX1438" t="s">
        <v>76</v>
      </c>
      <c r="AY1438" t="s">
        <v>176</v>
      </c>
      <c r="AZ1438">
        <v>0</v>
      </c>
      <c r="BA1438" t="s">
        <v>176</v>
      </c>
      <c r="BB1438">
        <v>0</v>
      </c>
    </row>
    <row r="1439" spans="1:54" x14ac:dyDescent="0.15">
      <c r="A1439" s="4" t="str">
        <f>HYPERLINK("https://ibp.a2mac1.com/costing(costing:projects/details/9760/part/8415093)","Latch Anchor")</f>
        <v>Latch Anchor</v>
      </c>
      <c r="B1439">
        <v>8415093</v>
      </c>
      <c r="C1439">
        <v>8415009</v>
      </c>
      <c r="E1439">
        <v>0.02</v>
      </c>
      <c r="F1439">
        <v>0</v>
      </c>
      <c r="G1439">
        <v>0</v>
      </c>
      <c r="H1439">
        <v>1.0119999999999999E-4</v>
      </c>
      <c r="I1439" t="s">
        <v>176</v>
      </c>
      <c r="J1439">
        <v>6.9999999999999999E-4</v>
      </c>
      <c r="K1439">
        <v>2.0801199999999999E-2</v>
      </c>
      <c r="L1439">
        <v>4.1243899592881732E-3</v>
      </c>
      <c r="M1439">
        <v>2.4746339755729041E-2</v>
      </c>
      <c r="N1439">
        <v>4.554753975572904E-2</v>
      </c>
      <c r="O1439" t="s">
        <v>90</v>
      </c>
      <c r="P1439">
        <v>0</v>
      </c>
      <c r="Q1439" t="s">
        <v>90</v>
      </c>
      <c r="R1439">
        <v>0</v>
      </c>
      <c r="S1439" t="s">
        <v>90</v>
      </c>
      <c r="T1439">
        <v>0</v>
      </c>
      <c r="U1439" t="s">
        <v>90</v>
      </c>
      <c r="V1439">
        <v>0</v>
      </c>
      <c r="W1439" t="s">
        <v>90</v>
      </c>
      <c r="X1439">
        <v>0</v>
      </c>
      <c r="Y1439">
        <v>4.554753975572904E-2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32</v>
      </c>
      <c r="AF1439">
        <v>17</v>
      </c>
      <c r="AG1439">
        <v>51</v>
      </c>
      <c r="AI1439">
        <v>7.0000000000000001E-3</v>
      </c>
      <c r="AK1439" t="s">
        <v>740</v>
      </c>
      <c r="AL1439" t="s">
        <v>2086</v>
      </c>
      <c r="AM1439">
        <v>200000</v>
      </c>
      <c r="AN1439" t="s">
        <v>73</v>
      </c>
      <c r="AO1439">
        <v>1</v>
      </c>
      <c r="AP1439">
        <v>0</v>
      </c>
      <c r="AQ1439">
        <v>16666.666666666668</v>
      </c>
      <c r="AR1439" t="s">
        <v>4016</v>
      </c>
      <c r="AS1439" t="s">
        <v>75</v>
      </c>
      <c r="AX1439" t="s">
        <v>76</v>
      </c>
      <c r="AY1439" t="s">
        <v>176</v>
      </c>
      <c r="AZ1439">
        <v>0</v>
      </c>
      <c r="BA1439" t="s">
        <v>176</v>
      </c>
      <c r="BB1439">
        <v>0</v>
      </c>
    </row>
    <row r="1440" spans="1:54" x14ac:dyDescent="0.15">
      <c r="A1440" s="4" t="str">
        <f>HYPERLINK("https://ibp.a2mac1.com/costing(costing:projects/details/9760/part/8415094)","2nd Anchor Right")</f>
        <v>2nd Anchor Right</v>
      </c>
      <c r="B1440">
        <v>8415094</v>
      </c>
      <c r="C1440">
        <v>8415009</v>
      </c>
      <c r="E1440">
        <v>0.03</v>
      </c>
      <c r="F1440">
        <v>0</v>
      </c>
      <c r="G1440">
        <v>0</v>
      </c>
      <c r="H1440">
        <v>1.518E-4</v>
      </c>
      <c r="I1440" t="s">
        <v>176</v>
      </c>
      <c r="J1440">
        <v>1.0499999999999999E-3</v>
      </c>
      <c r="K1440">
        <v>3.1201799999999998E-2</v>
      </c>
      <c r="L1440">
        <v>4.1243899592881732E-3</v>
      </c>
      <c r="M1440">
        <v>2.4746339755729041E-2</v>
      </c>
      <c r="N1440">
        <v>5.5948139755729043E-2</v>
      </c>
      <c r="O1440" t="s">
        <v>90</v>
      </c>
      <c r="P1440">
        <v>0</v>
      </c>
      <c r="Q1440" t="s">
        <v>90</v>
      </c>
      <c r="R1440">
        <v>0</v>
      </c>
      <c r="S1440" t="s">
        <v>90</v>
      </c>
      <c r="T1440">
        <v>0</v>
      </c>
      <c r="U1440" t="s">
        <v>90</v>
      </c>
      <c r="V1440">
        <v>0</v>
      </c>
      <c r="W1440" t="s">
        <v>90</v>
      </c>
      <c r="X1440">
        <v>0</v>
      </c>
      <c r="Y1440">
        <v>5.5948139755729043E-2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32</v>
      </c>
      <c r="AF1440">
        <v>18</v>
      </c>
      <c r="AG1440">
        <v>51</v>
      </c>
      <c r="AI1440">
        <v>8.0000000000000002E-3</v>
      </c>
      <c r="AK1440" t="s">
        <v>740</v>
      </c>
      <c r="AL1440" t="s">
        <v>2086</v>
      </c>
      <c r="AM1440">
        <v>200000</v>
      </c>
      <c r="AN1440" t="s">
        <v>73</v>
      </c>
      <c r="AO1440">
        <v>1</v>
      </c>
      <c r="AP1440">
        <v>0</v>
      </c>
      <c r="AQ1440">
        <v>16666.666666666668</v>
      </c>
      <c r="AR1440" t="s">
        <v>4019</v>
      </c>
      <c r="AS1440" t="s">
        <v>75</v>
      </c>
      <c r="AX1440" t="s">
        <v>76</v>
      </c>
      <c r="AY1440" t="s">
        <v>176</v>
      </c>
      <c r="AZ1440">
        <v>0</v>
      </c>
      <c r="BA1440" t="s">
        <v>176</v>
      </c>
      <c r="BB1440">
        <v>0</v>
      </c>
    </row>
    <row r="1441" spans="1:56" x14ac:dyDescent="0.15">
      <c r="A1441" s="4" t="str">
        <f>HYPERLINK("https://ibp.a2mac1.com/costing(costing:projects/details/9760/part/8415095)","Retarder Strut")</f>
        <v>Retarder Strut</v>
      </c>
      <c r="B1441">
        <v>8415095</v>
      </c>
      <c r="C1441">
        <v>8415009</v>
      </c>
      <c r="E1441">
        <v>0.6</v>
      </c>
      <c r="F1441">
        <v>0</v>
      </c>
      <c r="G1441">
        <v>0</v>
      </c>
      <c r="H1441">
        <v>0</v>
      </c>
      <c r="I1441" t="s">
        <v>71</v>
      </c>
      <c r="J1441">
        <v>0</v>
      </c>
      <c r="K1441">
        <v>0.6</v>
      </c>
      <c r="L1441">
        <v>0</v>
      </c>
      <c r="M1441">
        <v>0</v>
      </c>
      <c r="N1441">
        <v>0.6</v>
      </c>
      <c r="O1441" t="s">
        <v>71</v>
      </c>
      <c r="P1441">
        <v>0</v>
      </c>
      <c r="Q1441" t="s">
        <v>71</v>
      </c>
      <c r="R1441">
        <v>0</v>
      </c>
      <c r="S1441" t="s">
        <v>71</v>
      </c>
      <c r="T1441">
        <v>0</v>
      </c>
      <c r="U1441" t="s">
        <v>71</v>
      </c>
      <c r="V1441">
        <v>0</v>
      </c>
      <c r="W1441" t="s">
        <v>71</v>
      </c>
      <c r="X1441">
        <v>0</v>
      </c>
      <c r="Y1441">
        <v>0.6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122</v>
      </c>
      <c r="AF1441">
        <v>30</v>
      </c>
      <c r="AG1441">
        <v>46</v>
      </c>
      <c r="AI1441">
        <v>2.4E-2</v>
      </c>
      <c r="AK1441" t="s">
        <v>740</v>
      </c>
      <c r="AL1441" t="s">
        <v>4020</v>
      </c>
      <c r="AM1441">
        <v>200000</v>
      </c>
      <c r="AN1441" t="s">
        <v>73</v>
      </c>
      <c r="AO1441">
        <v>1</v>
      </c>
      <c r="AP1441">
        <v>0</v>
      </c>
      <c r="AQ1441">
        <v>16666.666666666668</v>
      </c>
      <c r="AR1441" t="s">
        <v>4021</v>
      </c>
      <c r="AS1441" t="s">
        <v>75</v>
      </c>
      <c r="AX1441" t="s">
        <v>76</v>
      </c>
      <c r="AY1441" t="s">
        <v>71</v>
      </c>
      <c r="AZ1441">
        <v>0</v>
      </c>
      <c r="BA1441" t="s">
        <v>71</v>
      </c>
      <c r="BB1441">
        <v>0</v>
      </c>
      <c r="BD1441">
        <v>0.6</v>
      </c>
    </row>
    <row r="1442" spans="1:56" x14ac:dyDescent="0.15">
      <c r="A1442" s="4" t="str">
        <f>HYPERLINK("https://ibp.a2mac1.com/costing(costing:projects/details/9760/part/8415096)","Mechanism")</f>
        <v>Mechanism</v>
      </c>
      <c r="B1442">
        <v>8415096</v>
      </c>
      <c r="C1442">
        <v>8415009</v>
      </c>
      <c r="E1442">
        <v>0.09</v>
      </c>
      <c r="F1442">
        <v>0</v>
      </c>
      <c r="G1442">
        <v>0</v>
      </c>
      <c r="H1442">
        <v>4.5540000000000001E-4</v>
      </c>
      <c r="I1442" t="s">
        <v>176</v>
      </c>
      <c r="J1442">
        <v>3.15E-3</v>
      </c>
      <c r="K1442">
        <v>9.3605400000000005E-2</v>
      </c>
      <c r="L1442">
        <v>5.8904736909203177E-3</v>
      </c>
      <c r="M1442">
        <v>3.5342842145521906E-2</v>
      </c>
      <c r="N1442">
        <v>0.12894824214552189</v>
      </c>
      <c r="O1442" t="s">
        <v>90</v>
      </c>
      <c r="P1442">
        <v>0</v>
      </c>
      <c r="Q1442" t="s">
        <v>90</v>
      </c>
      <c r="R1442">
        <v>0</v>
      </c>
      <c r="S1442" t="s">
        <v>90</v>
      </c>
      <c r="T1442">
        <v>0</v>
      </c>
      <c r="U1442" t="s">
        <v>90</v>
      </c>
      <c r="V1442">
        <v>0</v>
      </c>
      <c r="W1442" t="s">
        <v>90</v>
      </c>
      <c r="X1442">
        <v>0</v>
      </c>
      <c r="Y1442">
        <v>0.12894824214552189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42</v>
      </c>
      <c r="AF1442">
        <v>295</v>
      </c>
      <c r="AG1442">
        <v>37</v>
      </c>
      <c r="AI1442">
        <v>2.5000000000000001E-2</v>
      </c>
      <c r="AK1442" t="s">
        <v>740</v>
      </c>
      <c r="AL1442" t="s">
        <v>412</v>
      </c>
      <c r="AM1442">
        <v>200000</v>
      </c>
      <c r="AN1442" t="s">
        <v>73</v>
      </c>
      <c r="AO1442">
        <v>1</v>
      </c>
      <c r="AP1442">
        <v>0</v>
      </c>
      <c r="AQ1442">
        <v>16666.666666666668</v>
      </c>
      <c r="AR1442" t="s">
        <v>4024</v>
      </c>
      <c r="AS1442" t="s">
        <v>75</v>
      </c>
      <c r="AX1442" t="s">
        <v>76</v>
      </c>
      <c r="AY1442" t="s">
        <v>176</v>
      </c>
      <c r="AZ1442">
        <v>0</v>
      </c>
      <c r="BA1442" t="s">
        <v>176</v>
      </c>
      <c r="BB1442">
        <v>0</v>
      </c>
    </row>
    <row r="1443" spans="1:56" x14ac:dyDescent="0.15">
      <c r="A1443" s="4" t="str">
        <f>HYPERLINK("https://ibp.a2mac1.com/costing(costing:projects/details/9760/part/8415097)","2nd Mechanism")</f>
        <v>2nd Mechanism</v>
      </c>
      <c r="B1443">
        <v>8415097</v>
      </c>
      <c r="C1443">
        <v>8415009</v>
      </c>
      <c r="E1443">
        <v>0.06</v>
      </c>
      <c r="F1443">
        <v>0</v>
      </c>
      <c r="G1443">
        <v>0</v>
      </c>
      <c r="H1443">
        <v>3.0360000000000001E-4</v>
      </c>
      <c r="I1443" t="s">
        <v>176</v>
      </c>
      <c r="J1443">
        <v>2.0999999999999999E-3</v>
      </c>
      <c r="K1443">
        <v>6.2403599999999997E-2</v>
      </c>
      <c r="L1443">
        <v>4.1243899592881732E-3</v>
      </c>
      <c r="M1443">
        <v>2.4746339755729041E-2</v>
      </c>
      <c r="N1443">
        <v>8.7149939755729044E-2</v>
      </c>
      <c r="O1443" t="s">
        <v>90</v>
      </c>
      <c r="P1443">
        <v>0</v>
      </c>
      <c r="Q1443" t="s">
        <v>90</v>
      </c>
      <c r="R1443">
        <v>0</v>
      </c>
      <c r="S1443" t="s">
        <v>90</v>
      </c>
      <c r="T1443">
        <v>0</v>
      </c>
      <c r="U1443" t="s">
        <v>90</v>
      </c>
      <c r="V1443">
        <v>0</v>
      </c>
      <c r="W1443" t="s">
        <v>90</v>
      </c>
      <c r="X1443">
        <v>0</v>
      </c>
      <c r="Y1443">
        <v>8.7149939755729044E-2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33</v>
      </c>
      <c r="AF1443">
        <v>242</v>
      </c>
      <c r="AG1443">
        <v>43</v>
      </c>
      <c r="AI1443">
        <v>1.7999999999999999E-2</v>
      </c>
      <c r="AK1443" t="s">
        <v>740</v>
      </c>
      <c r="AL1443" t="s">
        <v>412</v>
      </c>
      <c r="AM1443">
        <v>200000</v>
      </c>
      <c r="AN1443" t="s">
        <v>73</v>
      </c>
      <c r="AO1443">
        <v>1</v>
      </c>
      <c r="AP1443">
        <v>0</v>
      </c>
      <c r="AQ1443">
        <v>16666.666666666668</v>
      </c>
      <c r="AR1443" t="s">
        <v>4027</v>
      </c>
      <c r="AS1443" t="s">
        <v>75</v>
      </c>
      <c r="AX1443" t="s">
        <v>76</v>
      </c>
      <c r="AY1443" t="s">
        <v>176</v>
      </c>
      <c r="AZ1443">
        <v>0</v>
      </c>
      <c r="BA1443" t="s">
        <v>176</v>
      </c>
      <c r="BB1443">
        <v>0</v>
      </c>
    </row>
    <row r="1444" spans="1:56" x14ac:dyDescent="0.15">
      <c r="A1444" s="4" t="str">
        <f>HYPERLINK("https://ibp.a2mac1.com/costing(costing:projects/details/9760/part/8415098)","3rd Mechanism")</f>
        <v>3rd Mechanism</v>
      </c>
      <c r="B1444">
        <v>8415098</v>
      </c>
      <c r="C1444">
        <v>8415009</v>
      </c>
      <c r="E1444">
        <v>0.01</v>
      </c>
      <c r="F1444">
        <v>0</v>
      </c>
      <c r="G1444">
        <v>0</v>
      </c>
      <c r="H1444">
        <v>5.0599999999999997E-5</v>
      </c>
      <c r="I1444" t="s">
        <v>176</v>
      </c>
      <c r="J1444">
        <v>3.5E-4</v>
      </c>
      <c r="K1444">
        <v>1.0400599999999999E-2</v>
      </c>
      <c r="L1444">
        <v>2.7998271605640655E-3</v>
      </c>
      <c r="M1444">
        <v>1.679896296338439E-2</v>
      </c>
      <c r="N1444">
        <v>2.7199562963384393E-2</v>
      </c>
      <c r="O1444" t="s">
        <v>90</v>
      </c>
      <c r="P1444">
        <v>0</v>
      </c>
      <c r="Q1444" t="s">
        <v>90</v>
      </c>
      <c r="R1444">
        <v>0</v>
      </c>
      <c r="S1444" t="s">
        <v>90</v>
      </c>
      <c r="T1444">
        <v>0</v>
      </c>
      <c r="U1444" t="s">
        <v>90</v>
      </c>
      <c r="V1444">
        <v>0</v>
      </c>
      <c r="W1444" t="s">
        <v>90</v>
      </c>
      <c r="X1444">
        <v>0</v>
      </c>
      <c r="Y1444">
        <v>2.7199562963384393E-2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13</v>
      </c>
      <c r="AF1444">
        <v>15</v>
      </c>
      <c r="AG1444">
        <v>43</v>
      </c>
      <c r="AI1444">
        <v>2E-3</v>
      </c>
      <c r="AK1444" t="s">
        <v>740</v>
      </c>
      <c r="AL1444" t="s">
        <v>446</v>
      </c>
      <c r="AM1444">
        <v>200000</v>
      </c>
      <c r="AN1444" t="s">
        <v>73</v>
      </c>
      <c r="AO1444">
        <v>1</v>
      </c>
      <c r="AP1444">
        <v>0</v>
      </c>
      <c r="AQ1444">
        <v>16666.666666666668</v>
      </c>
      <c r="AR1444" t="s">
        <v>4030</v>
      </c>
      <c r="AS1444" t="s">
        <v>75</v>
      </c>
      <c r="AX1444" t="s">
        <v>76</v>
      </c>
      <c r="AY1444" t="s">
        <v>176</v>
      </c>
      <c r="AZ1444">
        <v>0</v>
      </c>
      <c r="BA1444" t="s">
        <v>176</v>
      </c>
      <c r="BB1444">
        <v>0</v>
      </c>
    </row>
    <row r="1445" spans="1:56" x14ac:dyDescent="0.15">
      <c r="A1445" s="4" t="str">
        <f>HYPERLINK("https://ibp.a2mac1.com/costing(costing:projects/details/9760/part/8415099)","Closing Stopper")</f>
        <v>Closing Stopper</v>
      </c>
      <c r="B1445">
        <v>8415099</v>
      </c>
      <c r="C1445">
        <v>8415009</v>
      </c>
      <c r="D1445" t="s">
        <v>4031</v>
      </c>
      <c r="E1445">
        <v>0.02</v>
      </c>
      <c r="F1445">
        <v>0</v>
      </c>
      <c r="G1445">
        <v>0</v>
      </c>
      <c r="H1445">
        <v>0</v>
      </c>
      <c r="I1445" t="s">
        <v>71</v>
      </c>
      <c r="J1445">
        <v>0</v>
      </c>
      <c r="K1445">
        <v>0.02</v>
      </c>
      <c r="L1445">
        <v>0</v>
      </c>
      <c r="M1445">
        <v>0</v>
      </c>
      <c r="N1445">
        <v>0.02</v>
      </c>
      <c r="O1445" t="s">
        <v>71</v>
      </c>
      <c r="P1445">
        <v>0</v>
      </c>
      <c r="Q1445" t="s">
        <v>71</v>
      </c>
      <c r="R1445">
        <v>0</v>
      </c>
      <c r="S1445" t="s">
        <v>71</v>
      </c>
      <c r="T1445">
        <v>0</v>
      </c>
      <c r="U1445" t="s">
        <v>71</v>
      </c>
      <c r="V1445">
        <v>0</v>
      </c>
      <c r="W1445" t="s">
        <v>71</v>
      </c>
      <c r="X1445">
        <v>0</v>
      </c>
      <c r="Y1445">
        <v>0.02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25</v>
      </c>
      <c r="AF1445">
        <v>8</v>
      </c>
      <c r="AG1445">
        <v>8</v>
      </c>
      <c r="AI1445">
        <v>1E-3</v>
      </c>
      <c r="AK1445" t="s">
        <v>740</v>
      </c>
      <c r="AL1445" t="s">
        <v>289</v>
      </c>
      <c r="AM1445">
        <v>400000</v>
      </c>
      <c r="AN1445" t="s">
        <v>97</v>
      </c>
      <c r="AO1445">
        <v>2</v>
      </c>
      <c r="AP1445">
        <v>0</v>
      </c>
      <c r="AQ1445">
        <v>33333.333333333336</v>
      </c>
      <c r="AR1445" t="s">
        <v>4032</v>
      </c>
      <c r="AS1445" t="s">
        <v>75</v>
      </c>
      <c r="AX1445" t="s">
        <v>76</v>
      </c>
      <c r="AY1445" t="s">
        <v>71</v>
      </c>
      <c r="AZ1445">
        <v>0</v>
      </c>
      <c r="BA1445" t="s">
        <v>71</v>
      </c>
      <c r="BB1445">
        <v>0</v>
      </c>
      <c r="BD1445">
        <v>0.01</v>
      </c>
    </row>
    <row r="1446" spans="1:56" x14ac:dyDescent="0.15">
      <c r="A1446" s="4" t="str">
        <f>HYPERLINK("https://ibp.a2mac1.com/costing(costing:projects/details/9760/part/8415003)","Box")</f>
        <v>Box</v>
      </c>
      <c r="B1446">
        <v>8415003</v>
      </c>
      <c r="C1446">
        <v>8414829</v>
      </c>
      <c r="E1446">
        <v>2.57</v>
      </c>
      <c r="F1446">
        <v>0</v>
      </c>
      <c r="G1446">
        <v>0</v>
      </c>
      <c r="H1446">
        <v>1.30042E-2</v>
      </c>
      <c r="I1446" t="s">
        <v>176</v>
      </c>
      <c r="J1446">
        <v>8.9950000000000002E-2</v>
      </c>
      <c r="K1446">
        <v>2.6729541999999999</v>
      </c>
      <c r="L1446">
        <v>0.19132926551229543</v>
      </c>
      <c r="M1446">
        <v>1.1479755930737727</v>
      </c>
      <c r="N1446">
        <v>3.8209297930737725</v>
      </c>
      <c r="O1446" t="s">
        <v>90</v>
      </c>
      <c r="P1446">
        <v>0</v>
      </c>
      <c r="Q1446" t="s">
        <v>90</v>
      </c>
      <c r="R1446">
        <v>0</v>
      </c>
      <c r="S1446" t="s">
        <v>90</v>
      </c>
      <c r="T1446">
        <v>0</v>
      </c>
      <c r="U1446" t="s">
        <v>90</v>
      </c>
      <c r="V1446">
        <v>0</v>
      </c>
      <c r="W1446" t="s">
        <v>90</v>
      </c>
      <c r="X1446">
        <v>0</v>
      </c>
      <c r="Y1446">
        <v>3.8209297930737725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450</v>
      </c>
      <c r="AF1446">
        <v>477</v>
      </c>
      <c r="AG1446">
        <v>215</v>
      </c>
      <c r="AI1446">
        <v>1.252</v>
      </c>
      <c r="AK1446" t="s">
        <v>740</v>
      </c>
      <c r="AL1446" t="s">
        <v>951</v>
      </c>
      <c r="AM1446">
        <v>200000</v>
      </c>
      <c r="AN1446" t="s">
        <v>73</v>
      </c>
      <c r="AO1446">
        <v>1</v>
      </c>
      <c r="AP1446">
        <v>0</v>
      </c>
      <c r="AQ1446">
        <v>16666.666666666668</v>
      </c>
      <c r="AR1446" t="s">
        <v>4036</v>
      </c>
      <c r="AS1446" t="s">
        <v>75</v>
      </c>
      <c r="AX1446" t="s">
        <v>76</v>
      </c>
      <c r="AY1446" t="s">
        <v>176</v>
      </c>
      <c r="AZ1446">
        <v>0</v>
      </c>
      <c r="BA1446" t="s">
        <v>176</v>
      </c>
      <c r="BB1446">
        <v>0</v>
      </c>
    </row>
    <row r="1447" spans="1:56" x14ac:dyDescent="0.15">
      <c r="A1447" s="4" t="str">
        <f>HYPERLINK("https://ibp.a2mac1.com/costing(costing:projects/details/9760/part/8415004)","Cover")</f>
        <v>Cover</v>
      </c>
      <c r="B1447">
        <v>8415004</v>
      </c>
      <c r="C1447">
        <v>8414829</v>
      </c>
      <c r="E1447">
        <v>1</v>
      </c>
      <c r="F1447">
        <v>0</v>
      </c>
      <c r="G1447">
        <v>0</v>
      </c>
      <c r="H1447">
        <v>5.0600000000000003E-3</v>
      </c>
      <c r="I1447" t="s">
        <v>176</v>
      </c>
      <c r="J1447">
        <v>3.5000000000000003E-2</v>
      </c>
      <c r="K1447">
        <v>1.04006</v>
      </c>
      <c r="L1447">
        <v>7.1235571761309652E-2</v>
      </c>
      <c r="M1447">
        <v>0.42741343056785785</v>
      </c>
      <c r="N1447">
        <v>1.4674734305678578</v>
      </c>
      <c r="O1447" t="s">
        <v>90</v>
      </c>
      <c r="P1447">
        <v>0</v>
      </c>
      <c r="Q1447" t="s">
        <v>90</v>
      </c>
      <c r="R1447">
        <v>0</v>
      </c>
      <c r="S1447" t="s">
        <v>90</v>
      </c>
      <c r="T1447">
        <v>0</v>
      </c>
      <c r="U1447" t="s">
        <v>90</v>
      </c>
      <c r="V1447">
        <v>0</v>
      </c>
      <c r="W1447" t="s">
        <v>90</v>
      </c>
      <c r="X1447">
        <v>0</v>
      </c>
      <c r="Y1447">
        <v>1.4674734305678578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106</v>
      </c>
      <c r="AF1447">
        <v>480</v>
      </c>
      <c r="AG1447">
        <v>248</v>
      </c>
      <c r="AI1447">
        <v>0.48599999999999999</v>
      </c>
      <c r="AK1447" t="s">
        <v>740</v>
      </c>
      <c r="AL1447" t="s">
        <v>951</v>
      </c>
      <c r="AM1447">
        <v>200000</v>
      </c>
      <c r="AN1447" t="s">
        <v>73</v>
      </c>
      <c r="AO1447">
        <v>1</v>
      </c>
      <c r="AP1447">
        <v>0</v>
      </c>
      <c r="AQ1447">
        <v>16666.666666666668</v>
      </c>
      <c r="AR1447" t="s">
        <v>4039</v>
      </c>
      <c r="AS1447" t="s">
        <v>75</v>
      </c>
      <c r="AX1447" t="s">
        <v>76</v>
      </c>
      <c r="AY1447" t="s">
        <v>176</v>
      </c>
      <c r="AZ1447">
        <v>0</v>
      </c>
      <c r="BA1447" t="s">
        <v>176</v>
      </c>
      <c r="BB1447">
        <v>0</v>
      </c>
    </row>
    <row r="1448" spans="1:56" x14ac:dyDescent="0.15">
      <c r="A1448" s="4" t="str">
        <f>HYPERLINK("https://ibp.a2mac1.com/costing(costing:projects/details/9760/part/8415005)","Cover Bezel")</f>
        <v>Cover Bezel</v>
      </c>
      <c r="B1448">
        <v>8415005</v>
      </c>
      <c r="C1448">
        <v>8414829</v>
      </c>
      <c r="E1448">
        <v>2.16</v>
      </c>
      <c r="F1448">
        <v>0</v>
      </c>
      <c r="G1448">
        <v>0</v>
      </c>
      <c r="H1448">
        <v>1.0929599999999999E-2</v>
      </c>
      <c r="I1448" t="s">
        <v>176</v>
      </c>
      <c r="J1448">
        <v>7.5600000000000001E-2</v>
      </c>
      <c r="K1448">
        <v>2.2465296000000001</v>
      </c>
      <c r="L1448">
        <v>0.28669778702043119</v>
      </c>
      <c r="M1448">
        <v>1.7201867221225873</v>
      </c>
      <c r="N1448">
        <v>3.9667163221225872</v>
      </c>
      <c r="O1448" t="s">
        <v>177</v>
      </c>
      <c r="P1448">
        <v>0.134791776</v>
      </c>
      <c r="Q1448" t="s">
        <v>177</v>
      </c>
      <c r="R1448">
        <v>0.10321120332735524</v>
      </c>
      <c r="S1448" t="s">
        <v>178</v>
      </c>
      <c r="T1448">
        <v>0.47600595865471046</v>
      </c>
      <c r="U1448" t="s">
        <v>90</v>
      </c>
      <c r="V1448">
        <v>0</v>
      </c>
      <c r="W1448" t="s">
        <v>90</v>
      </c>
      <c r="X1448">
        <v>0</v>
      </c>
      <c r="Y1448">
        <v>4.6807252601046532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22</v>
      </c>
      <c r="AF1448">
        <v>487</v>
      </c>
      <c r="AG1448">
        <v>245</v>
      </c>
      <c r="AI1448">
        <v>0.48499999999999999</v>
      </c>
      <c r="AK1448" t="s">
        <v>740</v>
      </c>
      <c r="AL1448" t="s">
        <v>1988</v>
      </c>
      <c r="AM1448">
        <v>200000</v>
      </c>
      <c r="AN1448" t="s">
        <v>97</v>
      </c>
      <c r="AO1448">
        <v>1</v>
      </c>
      <c r="AP1448">
        <v>0</v>
      </c>
      <c r="AQ1448">
        <v>16666.666666666668</v>
      </c>
      <c r="AR1448" t="s">
        <v>4042</v>
      </c>
      <c r="AS1448" t="s">
        <v>75</v>
      </c>
      <c r="AX1448" t="s">
        <v>76</v>
      </c>
      <c r="AY1448" t="s">
        <v>176</v>
      </c>
      <c r="AZ1448">
        <v>0</v>
      </c>
      <c r="BA1448" t="s">
        <v>176</v>
      </c>
      <c r="BB1448">
        <v>0</v>
      </c>
    </row>
    <row r="1449" spans="1:56" x14ac:dyDescent="0.15">
      <c r="A1449" s="4" t="str">
        <f>HYPERLINK("https://ibp.a2mac1.com/costing(costing:projects/details/9760/part/8415006)","Glovebox Support")</f>
        <v>Glovebox Support</v>
      </c>
      <c r="B1449">
        <v>8415006</v>
      </c>
      <c r="C1449">
        <v>8414829</v>
      </c>
      <c r="E1449">
        <v>0.12</v>
      </c>
      <c r="F1449">
        <v>0</v>
      </c>
      <c r="G1449">
        <v>0</v>
      </c>
      <c r="H1449">
        <v>6.0720000000000001E-4</v>
      </c>
      <c r="I1449" t="s">
        <v>176</v>
      </c>
      <c r="J1449">
        <v>4.1999999999999997E-3</v>
      </c>
      <c r="K1449">
        <v>0.12480719999999999</v>
      </c>
      <c r="L1449">
        <v>1.1188724885816749E-2</v>
      </c>
      <c r="M1449">
        <v>6.7132349314900502E-2</v>
      </c>
      <c r="N1449">
        <v>0.19193954931490051</v>
      </c>
      <c r="O1449" t="s">
        <v>90</v>
      </c>
      <c r="P1449">
        <v>0</v>
      </c>
      <c r="Q1449" t="s">
        <v>90</v>
      </c>
      <c r="R1449">
        <v>0</v>
      </c>
      <c r="S1449" t="s">
        <v>90</v>
      </c>
      <c r="T1449">
        <v>0</v>
      </c>
      <c r="U1449" t="s">
        <v>90</v>
      </c>
      <c r="V1449">
        <v>0</v>
      </c>
      <c r="W1449" t="s">
        <v>90</v>
      </c>
      <c r="X1449">
        <v>0</v>
      </c>
      <c r="Y1449">
        <v>0.19193954931490051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69</v>
      </c>
      <c r="AF1449">
        <v>211</v>
      </c>
      <c r="AG1449">
        <v>72</v>
      </c>
      <c r="AI1449">
        <v>5.8000000000000003E-2</v>
      </c>
      <c r="AK1449" t="s">
        <v>740</v>
      </c>
      <c r="AL1449" t="s">
        <v>399</v>
      </c>
      <c r="AM1449">
        <v>200000</v>
      </c>
      <c r="AN1449" t="s">
        <v>73</v>
      </c>
      <c r="AO1449">
        <v>1</v>
      </c>
      <c r="AP1449">
        <v>0</v>
      </c>
      <c r="AQ1449">
        <v>16666.666666666668</v>
      </c>
      <c r="AR1449" t="s">
        <v>4045</v>
      </c>
      <c r="AS1449" t="s">
        <v>75</v>
      </c>
      <c r="AX1449" t="s">
        <v>76</v>
      </c>
      <c r="AY1449" t="s">
        <v>176</v>
      </c>
      <c r="AZ1449">
        <v>0</v>
      </c>
      <c r="BA1449" t="s">
        <v>176</v>
      </c>
      <c r="BB1449">
        <v>0</v>
      </c>
    </row>
    <row r="1450" spans="1:56" x14ac:dyDescent="0.15">
      <c r="A1450" s="4" t="str">
        <f>HYPERLINK("https://ibp.a2mac1.com/costing(costing:projects/details/9760/part/8415007)","Glove Box Light")</f>
        <v>Glove Box Light</v>
      </c>
      <c r="B1450">
        <v>8415007</v>
      </c>
      <c r="C1450">
        <v>8414829</v>
      </c>
      <c r="E1450">
        <v>0.6502</v>
      </c>
      <c r="F1450">
        <v>0</v>
      </c>
      <c r="G1450">
        <v>0</v>
      </c>
      <c r="H1450">
        <v>0</v>
      </c>
      <c r="I1450" t="s">
        <v>71</v>
      </c>
      <c r="J1450">
        <v>0</v>
      </c>
      <c r="K1450">
        <v>0.6502</v>
      </c>
      <c r="L1450">
        <v>0</v>
      </c>
      <c r="M1450">
        <v>0</v>
      </c>
      <c r="N1450">
        <v>0.6502</v>
      </c>
      <c r="O1450" t="s">
        <v>71</v>
      </c>
      <c r="P1450">
        <v>0</v>
      </c>
      <c r="Q1450" t="s">
        <v>71</v>
      </c>
      <c r="R1450">
        <v>0</v>
      </c>
      <c r="S1450" t="s">
        <v>71</v>
      </c>
      <c r="T1450">
        <v>0</v>
      </c>
      <c r="U1450" t="s">
        <v>71</v>
      </c>
      <c r="V1450">
        <v>0</v>
      </c>
      <c r="W1450" t="s">
        <v>71</v>
      </c>
      <c r="X1450">
        <v>0</v>
      </c>
      <c r="Y1450">
        <v>0.6502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20</v>
      </c>
      <c r="AF1450">
        <v>54</v>
      </c>
      <c r="AG1450">
        <v>24</v>
      </c>
      <c r="AI1450">
        <v>8.9999999999999993E-3</v>
      </c>
      <c r="AK1450" t="s">
        <v>740</v>
      </c>
      <c r="AL1450" t="s">
        <v>4046</v>
      </c>
      <c r="AM1450">
        <v>200000</v>
      </c>
      <c r="AN1450" t="s">
        <v>73</v>
      </c>
      <c r="AO1450">
        <v>1</v>
      </c>
      <c r="AP1450">
        <v>0</v>
      </c>
      <c r="AQ1450">
        <v>16666.666666666668</v>
      </c>
      <c r="AR1450" t="s">
        <v>4047</v>
      </c>
      <c r="AS1450" t="s">
        <v>75</v>
      </c>
      <c r="AX1450" t="s">
        <v>76</v>
      </c>
      <c r="AY1450" t="s">
        <v>71</v>
      </c>
      <c r="AZ1450">
        <v>0</v>
      </c>
      <c r="BA1450" t="s">
        <v>71</v>
      </c>
      <c r="BB1450">
        <v>0</v>
      </c>
      <c r="BD1450">
        <v>0.6502</v>
      </c>
    </row>
    <row r="1451" spans="1:56" x14ac:dyDescent="0.15">
      <c r="A1451" s="4" t="str">
        <f>HYPERLINK("https://ibp.a2mac1.com/costing(costing:projects/details/9760/part/8415008)","Sound Insulation")</f>
        <v>Sound Insulation</v>
      </c>
      <c r="B1451">
        <v>8415008</v>
      </c>
      <c r="C1451">
        <v>8414829</v>
      </c>
      <c r="E1451">
        <v>0.55000000000000004</v>
      </c>
      <c r="F1451">
        <v>0</v>
      </c>
      <c r="G1451">
        <v>0</v>
      </c>
      <c r="H1451">
        <v>2.7829999999999999E-3</v>
      </c>
      <c r="I1451" t="s">
        <v>176</v>
      </c>
      <c r="J1451">
        <v>1.925E-2</v>
      </c>
      <c r="K1451">
        <v>0.57203300000000001</v>
      </c>
      <c r="L1451">
        <v>4.1243899592881732E-3</v>
      </c>
      <c r="M1451">
        <v>2.4746339755729041E-2</v>
      </c>
      <c r="N1451">
        <v>0.59677933975572905</v>
      </c>
      <c r="O1451" t="s">
        <v>177</v>
      </c>
      <c r="P1451">
        <v>3.4321980000000002E-2</v>
      </c>
      <c r="Q1451" t="s">
        <v>177</v>
      </c>
      <c r="R1451">
        <v>1.4847803853437424E-3</v>
      </c>
      <c r="S1451" t="s">
        <v>178</v>
      </c>
      <c r="T1451">
        <v>7.1613520770687486E-2</v>
      </c>
      <c r="U1451" t="s">
        <v>90</v>
      </c>
      <c r="V1451">
        <v>0</v>
      </c>
      <c r="W1451" t="s">
        <v>90</v>
      </c>
      <c r="X1451">
        <v>0</v>
      </c>
      <c r="Y1451">
        <v>0.70419962091176025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10</v>
      </c>
      <c r="AF1451">
        <v>268</v>
      </c>
      <c r="AG1451">
        <v>245</v>
      </c>
      <c r="AI1451">
        <v>1.4999999999999999E-2</v>
      </c>
      <c r="AK1451" t="s">
        <v>740</v>
      </c>
      <c r="AL1451" t="s">
        <v>4050</v>
      </c>
      <c r="AM1451">
        <v>200000</v>
      </c>
      <c r="AN1451" t="s">
        <v>97</v>
      </c>
      <c r="AO1451">
        <v>1</v>
      </c>
      <c r="AP1451">
        <v>0</v>
      </c>
      <c r="AQ1451">
        <v>16666.666666666668</v>
      </c>
      <c r="AR1451" t="s">
        <v>4051</v>
      </c>
      <c r="AS1451" t="s">
        <v>75</v>
      </c>
      <c r="AX1451" t="s">
        <v>76</v>
      </c>
      <c r="AY1451" t="s">
        <v>176</v>
      </c>
      <c r="AZ1451">
        <v>0</v>
      </c>
      <c r="BA1451" t="s">
        <v>176</v>
      </c>
      <c r="BB1451">
        <v>0</v>
      </c>
    </row>
    <row r="1452" spans="1:56" x14ac:dyDescent="0.15">
      <c r="A1452" s="4" t="str">
        <f>HYPERLINK("https://ibp.a2mac1.com/costing(costing:projects/details/9760/part/8415100)","Tilting Storage Box")</f>
        <v>Tilting Storage Box</v>
      </c>
      <c r="B1452">
        <v>8415100</v>
      </c>
      <c r="C1452">
        <v>8415010</v>
      </c>
      <c r="E1452">
        <v>0.55000000000000004</v>
      </c>
      <c r="F1452">
        <v>0</v>
      </c>
      <c r="G1452">
        <v>0</v>
      </c>
      <c r="H1452">
        <v>2.7829999999999999E-3</v>
      </c>
      <c r="I1452" t="s">
        <v>176</v>
      </c>
      <c r="J1452">
        <v>1.925E-2</v>
      </c>
      <c r="K1452">
        <v>0.57203300000000001</v>
      </c>
      <c r="L1452">
        <v>2.7083478470506045E-2</v>
      </c>
      <c r="M1452">
        <v>0.16250087082303627</v>
      </c>
      <c r="N1452">
        <v>0.73453387082303623</v>
      </c>
      <c r="O1452" t="s">
        <v>90</v>
      </c>
      <c r="P1452">
        <v>0</v>
      </c>
      <c r="Q1452" t="s">
        <v>90</v>
      </c>
      <c r="R1452">
        <v>0</v>
      </c>
      <c r="S1452" t="s">
        <v>90</v>
      </c>
      <c r="T1452">
        <v>0</v>
      </c>
      <c r="U1452" t="s">
        <v>90</v>
      </c>
      <c r="V1452">
        <v>0</v>
      </c>
      <c r="W1452" t="s">
        <v>90</v>
      </c>
      <c r="X1452">
        <v>0</v>
      </c>
      <c r="Y1452">
        <v>0.73453387082303623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95</v>
      </c>
      <c r="AF1452">
        <v>95</v>
      </c>
      <c r="AG1452">
        <v>175</v>
      </c>
      <c r="AI1452">
        <v>0.153</v>
      </c>
      <c r="AK1452" t="s">
        <v>740</v>
      </c>
      <c r="AL1452" t="s">
        <v>412</v>
      </c>
      <c r="AM1452">
        <v>200000</v>
      </c>
      <c r="AN1452" t="s">
        <v>73</v>
      </c>
      <c r="AO1452">
        <v>1</v>
      </c>
      <c r="AP1452">
        <v>0</v>
      </c>
      <c r="AQ1452">
        <v>16666.666666666668</v>
      </c>
      <c r="AR1452" t="s">
        <v>4057</v>
      </c>
      <c r="AS1452" t="s">
        <v>75</v>
      </c>
      <c r="AX1452" t="s">
        <v>76</v>
      </c>
      <c r="AY1452" t="s">
        <v>176</v>
      </c>
      <c r="AZ1452">
        <v>0</v>
      </c>
      <c r="BA1452" t="s">
        <v>176</v>
      </c>
      <c r="BB1452">
        <v>0</v>
      </c>
    </row>
    <row r="1453" spans="1:56" x14ac:dyDescent="0.15">
      <c r="A1453" s="4" t="str">
        <f>HYPERLINK("https://ibp.a2mac1.com/costing(costing:projects/details/9760/part/8415101)","Cover")</f>
        <v>Cover</v>
      </c>
      <c r="B1453">
        <v>8415101</v>
      </c>
      <c r="C1453">
        <v>8415010</v>
      </c>
      <c r="E1453">
        <v>0.35</v>
      </c>
      <c r="F1453">
        <v>0</v>
      </c>
      <c r="G1453">
        <v>0</v>
      </c>
      <c r="H1453">
        <v>1.771E-3</v>
      </c>
      <c r="I1453" t="s">
        <v>176</v>
      </c>
      <c r="J1453">
        <v>1.225E-2</v>
      </c>
      <c r="K1453">
        <v>0.36402099999999998</v>
      </c>
      <c r="L1453">
        <v>4.651039951845963E-2</v>
      </c>
      <c r="M1453">
        <v>0.27906239711075775</v>
      </c>
      <c r="N1453">
        <v>0.64308339711075779</v>
      </c>
      <c r="O1453" t="s">
        <v>90</v>
      </c>
      <c r="P1453">
        <v>0</v>
      </c>
      <c r="Q1453" t="s">
        <v>90</v>
      </c>
      <c r="R1453">
        <v>0</v>
      </c>
      <c r="S1453" t="s">
        <v>90</v>
      </c>
      <c r="T1453">
        <v>0</v>
      </c>
      <c r="U1453" t="s">
        <v>90</v>
      </c>
      <c r="V1453">
        <v>0</v>
      </c>
      <c r="W1453" t="s">
        <v>90</v>
      </c>
      <c r="X1453">
        <v>0</v>
      </c>
      <c r="Y1453">
        <v>0.64308339711075779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9</v>
      </c>
      <c r="AF1453">
        <v>154</v>
      </c>
      <c r="AG1453">
        <v>137</v>
      </c>
      <c r="AI1453">
        <v>7.8E-2</v>
      </c>
      <c r="AK1453" t="s">
        <v>740</v>
      </c>
      <c r="AL1453" t="s">
        <v>3968</v>
      </c>
      <c r="AM1453">
        <v>200000</v>
      </c>
      <c r="AN1453" t="s">
        <v>73</v>
      </c>
      <c r="AO1453">
        <v>1</v>
      </c>
      <c r="AP1453">
        <v>0</v>
      </c>
      <c r="AQ1453">
        <v>16666.666666666668</v>
      </c>
      <c r="AR1453" t="s">
        <v>4060</v>
      </c>
      <c r="AS1453" t="s">
        <v>75</v>
      </c>
      <c r="AX1453" t="s">
        <v>76</v>
      </c>
      <c r="AY1453" t="s">
        <v>176</v>
      </c>
      <c r="AZ1453">
        <v>0</v>
      </c>
      <c r="BA1453" t="s">
        <v>176</v>
      </c>
      <c r="BB1453">
        <v>0</v>
      </c>
    </row>
    <row r="1454" spans="1:56" x14ac:dyDescent="0.15">
      <c r="A1454" s="4" t="str">
        <f>HYPERLINK("https://ibp.a2mac1.com/costing(costing:projects/details/9760/part/8415102)","Support")</f>
        <v>Support</v>
      </c>
      <c r="B1454">
        <v>8415102</v>
      </c>
      <c r="C1454">
        <v>8415010</v>
      </c>
      <c r="D1454" t="s">
        <v>4063</v>
      </c>
      <c r="E1454">
        <v>0.84</v>
      </c>
      <c r="F1454">
        <v>0</v>
      </c>
      <c r="G1454">
        <v>0</v>
      </c>
      <c r="H1454">
        <v>4.2503999999999997E-3</v>
      </c>
      <c r="I1454" t="s">
        <v>176</v>
      </c>
      <c r="J1454">
        <v>2.9399999999999999E-2</v>
      </c>
      <c r="K1454">
        <v>0.87365040000000005</v>
      </c>
      <c r="L1454">
        <v>2.7083478470506045E-2</v>
      </c>
      <c r="M1454">
        <v>0.16250087082303627</v>
      </c>
      <c r="N1454">
        <v>1.0361512708230363</v>
      </c>
      <c r="O1454" t="s">
        <v>90</v>
      </c>
      <c r="P1454">
        <v>0</v>
      </c>
      <c r="Q1454" t="s">
        <v>90</v>
      </c>
      <c r="R1454">
        <v>0</v>
      </c>
      <c r="S1454" t="s">
        <v>90</v>
      </c>
      <c r="T1454">
        <v>0</v>
      </c>
      <c r="U1454" t="s">
        <v>90</v>
      </c>
      <c r="V1454">
        <v>0</v>
      </c>
      <c r="W1454" t="s">
        <v>90</v>
      </c>
      <c r="X1454">
        <v>0</v>
      </c>
      <c r="Y1454">
        <v>1.0361512708230363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113</v>
      </c>
      <c r="AF1454">
        <v>222</v>
      </c>
      <c r="AG1454">
        <v>315</v>
      </c>
      <c r="AI1454">
        <v>0.23499999999999999</v>
      </c>
      <c r="AK1454" t="s">
        <v>740</v>
      </c>
      <c r="AL1454" t="s">
        <v>412</v>
      </c>
      <c r="AM1454">
        <v>200000</v>
      </c>
      <c r="AN1454" t="s">
        <v>73</v>
      </c>
      <c r="AO1454">
        <v>1</v>
      </c>
      <c r="AP1454">
        <v>0</v>
      </c>
      <c r="AQ1454">
        <v>16666.666666666668</v>
      </c>
      <c r="AR1454" t="s">
        <v>4064</v>
      </c>
      <c r="AS1454" t="s">
        <v>75</v>
      </c>
      <c r="AX1454" t="s">
        <v>76</v>
      </c>
      <c r="AY1454" t="s">
        <v>176</v>
      </c>
      <c r="AZ1454">
        <v>0</v>
      </c>
      <c r="BA1454" t="s">
        <v>176</v>
      </c>
      <c r="BB1454">
        <v>0</v>
      </c>
    </row>
    <row r="1455" spans="1:56" x14ac:dyDescent="0.15">
      <c r="A1455" s="4" t="str">
        <f>HYPERLINK("https://ibp.a2mac1.com/costing(costing:projects/details/9760/part/8415103)","Latch Anchor")</f>
        <v>Latch Anchor</v>
      </c>
      <c r="B1455">
        <v>8415103</v>
      </c>
      <c r="C1455">
        <v>8415010</v>
      </c>
      <c r="E1455">
        <v>0.02</v>
      </c>
      <c r="F1455">
        <v>0</v>
      </c>
      <c r="G1455">
        <v>0</v>
      </c>
      <c r="H1455">
        <v>0</v>
      </c>
      <c r="I1455" t="s">
        <v>71</v>
      </c>
      <c r="J1455">
        <v>0</v>
      </c>
      <c r="K1455">
        <v>0.02</v>
      </c>
      <c r="L1455">
        <v>0</v>
      </c>
      <c r="M1455">
        <v>0</v>
      </c>
      <c r="N1455">
        <v>0.02</v>
      </c>
      <c r="O1455" t="s">
        <v>71</v>
      </c>
      <c r="P1455">
        <v>0</v>
      </c>
      <c r="Q1455" t="s">
        <v>71</v>
      </c>
      <c r="R1455">
        <v>0</v>
      </c>
      <c r="S1455" t="s">
        <v>71</v>
      </c>
      <c r="T1455">
        <v>0</v>
      </c>
      <c r="U1455" t="s">
        <v>71</v>
      </c>
      <c r="V1455">
        <v>0</v>
      </c>
      <c r="W1455" t="s">
        <v>71</v>
      </c>
      <c r="X1455">
        <v>0</v>
      </c>
      <c r="Y1455">
        <v>0.02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36</v>
      </c>
      <c r="AF1455">
        <v>16</v>
      </c>
      <c r="AG1455">
        <v>16</v>
      </c>
      <c r="AI1455">
        <v>4.0000000000000001E-3</v>
      </c>
      <c r="AK1455" t="s">
        <v>740</v>
      </c>
      <c r="AL1455" t="s">
        <v>2086</v>
      </c>
      <c r="AM1455">
        <v>200000</v>
      </c>
      <c r="AN1455" t="s">
        <v>73</v>
      </c>
      <c r="AO1455">
        <v>1</v>
      </c>
      <c r="AP1455">
        <v>0</v>
      </c>
      <c r="AQ1455">
        <v>16666.666666666668</v>
      </c>
      <c r="AR1455" t="s">
        <v>4065</v>
      </c>
      <c r="AS1455" t="s">
        <v>75</v>
      </c>
      <c r="AX1455" t="s">
        <v>76</v>
      </c>
      <c r="AY1455" t="s">
        <v>71</v>
      </c>
      <c r="AZ1455">
        <v>0</v>
      </c>
      <c r="BA1455" t="s">
        <v>71</v>
      </c>
      <c r="BB1455">
        <v>0</v>
      </c>
      <c r="BD1455">
        <v>0.02</v>
      </c>
    </row>
    <row r="1456" spans="1:56" x14ac:dyDescent="0.15">
      <c r="A1456" s="4" t="str">
        <f>HYPERLINK("https://ibp.a2mac1.com/costing(costing:projects/details/9760/part/8415104)","Retarder Mechanism")</f>
        <v>Retarder Mechanism</v>
      </c>
      <c r="B1456">
        <v>8415104</v>
      </c>
      <c r="C1456">
        <v>8415010</v>
      </c>
      <c r="D1456" t="s">
        <v>3837</v>
      </c>
      <c r="E1456">
        <v>0.05</v>
      </c>
      <c r="F1456">
        <v>0</v>
      </c>
      <c r="G1456">
        <v>0</v>
      </c>
      <c r="H1456">
        <v>0</v>
      </c>
      <c r="I1456" t="s">
        <v>71</v>
      </c>
      <c r="J1456">
        <v>0</v>
      </c>
      <c r="K1456">
        <v>0.05</v>
      </c>
      <c r="L1456">
        <v>0</v>
      </c>
      <c r="M1456">
        <v>0</v>
      </c>
      <c r="N1456">
        <v>0.05</v>
      </c>
      <c r="O1456" t="s">
        <v>71</v>
      </c>
      <c r="P1456">
        <v>0</v>
      </c>
      <c r="Q1456" t="s">
        <v>71</v>
      </c>
      <c r="R1456">
        <v>0</v>
      </c>
      <c r="S1456" t="s">
        <v>71</v>
      </c>
      <c r="T1456">
        <v>0</v>
      </c>
      <c r="U1456" t="s">
        <v>71</v>
      </c>
      <c r="V1456">
        <v>0</v>
      </c>
      <c r="W1456" t="s">
        <v>71</v>
      </c>
      <c r="X1456">
        <v>0</v>
      </c>
      <c r="Y1456">
        <v>0.05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15</v>
      </c>
      <c r="AF1456">
        <v>8</v>
      </c>
      <c r="AG1456">
        <v>21</v>
      </c>
      <c r="AI1456">
        <v>1E-3</v>
      </c>
      <c r="AK1456" t="s">
        <v>740</v>
      </c>
      <c r="AL1456" t="s">
        <v>403</v>
      </c>
      <c r="AM1456">
        <v>200000</v>
      </c>
      <c r="AN1456" t="s">
        <v>73</v>
      </c>
      <c r="AO1456">
        <v>1</v>
      </c>
      <c r="AP1456">
        <v>0</v>
      </c>
      <c r="AQ1456">
        <v>16666.666666666668</v>
      </c>
      <c r="AR1456" t="s">
        <v>4066</v>
      </c>
      <c r="AS1456" t="s">
        <v>75</v>
      </c>
      <c r="AX1456" t="s">
        <v>76</v>
      </c>
      <c r="AY1456" t="s">
        <v>71</v>
      </c>
      <c r="AZ1456">
        <v>0</v>
      </c>
      <c r="BA1456" t="s">
        <v>71</v>
      </c>
      <c r="BB1456">
        <v>0</v>
      </c>
      <c r="BD1456">
        <v>0.05</v>
      </c>
    </row>
    <row r="1457" spans="1:56" x14ac:dyDescent="0.15">
      <c r="A1457" s="4" t="str">
        <f>HYPERLINK("https://ibp.a2mac1.com/costing(costing:projects/details/9760/part/8414737)","Dashboard")</f>
        <v>Dashboard</v>
      </c>
      <c r="B1457">
        <v>8414737</v>
      </c>
      <c r="C1457">
        <v>8414733</v>
      </c>
      <c r="E1457">
        <v>5.83</v>
      </c>
      <c r="F1457">
        <v>0</v>
      </c>
      <c r="G1457">
        <v>0</v>
      </c>
      <c r="H1457">
        <v>2.94998E-2</v>
      </c>
      <c r="I1457" t="s">
        <v>176</v>
      </c>
      <c r="J1457">
        <v>0.20405000000000001</v>
      </c>
      <c r="K1457">
        <v>6.0635497999999997</v>
      </c>
      <c r="L1457">
        <v>0.39619497838162415</v>
      </c>
      <c r="M1457">
        <v>2.377169870289745</v>
      </c>
      <c r="N1457">
        <v>8.4407196702897451</v>
      </c>
      <c r="O1457" t="s">
        <v>90</v>
      </c>
      <c r="P1457">
        <v>0</v>
      </c>
      <c r="Q1457" t="s">
        <v>90</v>
      </c>
      <c r="R1457">
        <v>0</v>
      </c>
      <c r="S1457" t="s">
        <v>90</v>
      </c>
      <c r="T1457">
        <v>0</v>
      </c>
      <c r="U1457" t="s">
        <v>90</v>
      </c>
      <c r="V1457">
        <v>0</v>
      </c>
      <c r="W1457" t="s">
        <v>90</v>
      </c>
      <c r="X1457">
        <v>0</v>
      </c>
      <c r="Y1457">
        <v>8.4407196702897451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500</v>
      </c>
      <c r="AF1457">
        <v>1478</v>
      </c>
      <c r="AG1457">
        <v>315</v>
      </c>
      <c r="AI1457">
        <v>2.5960000000000001</v>
      </c>
      <c r="AK1457" t="s">
        <v>740</v>
      </c>
      <c r="AL1457" t="s">
        <v>399</v>
      </c>
      <c r="AM1457">
        <v>200000</v>
      </c>
      <c r="AN1457" t="s">
        <v>73</v>
      </c>
      <c r="AO1457">
        <v>1</v>
      </c>
      <c r="AP1457">
        <v>0</v>
      </c>
      <c r="AQ1457">
        <v>16666.666666666668</v>
      </c>
      <c r="AR1457" t="s">
        <v>4072</v>
      </c>
      <c r="AS1457" t="s">
        <v>75</v>
      </c>
      <c r="AX1457" t="s">
        <v>76</v>
      </c>
      <c r="AY1457" t="s">
        <v>176</v>
      </c>
      <c r="AZ1457">
        <v>0</v>
      </c>
      <c r="BA1457" t="s">
        <v>176</v>
      </c>
      <c r="BB1457">
        <v>0</v>
      </c>
    </row>
    <row r="1458" spans="1:56" x14ac:dyDescent="0.15">
      <c r="A1458" s="4" t="str">
        <f>HYPERLINK("https://ibp.a2mac1.com/costing(costing:projects/details/9760/part/8414743)","Fasteners")</f>
        <v>Fasteners</v>
      </c>
      <c r="B1458">
        <v>8414743</v>
      </c>
      <c r="C1458">
        <v>8414733</v>
      </c>
      <c r="E1458">
        <v>12.282</v>
      </c>
      <c r="F1458">
        <v>0</v>
      </c>
      <c r="G1458">
        <v>0</v>
      </c>
      <c r="H1458">
        <v>0</v>
      </c>
      <c r="I1458" t="s">
        <v>71</v>
      </c>
      <c r="J1458">
        <v>0</v>
      </c>
      <c r="K1458">
        <v>12.282</v>
      </c>
      <c r="L1458">
        <v>0</v>
      </c>
      <c r="M1458">
        <v>0</v>
      </c>
      <c r="N1458">
        <v>12.282</v>
      </c>
      <c r="O1458" t="s">
        <v>71</v>
      </c>
      <c r="P1458">
        <v>0</v>
      </c>
      <c r="Q1458" t="s">
        <v>71</v>
      </c>
      <c r="R1458">
        <v>0</v>
      </c>
      <c r="S1458" t="s">
        <v>71</v>
      </c>
      <c r="T1458">
        <v>0</v>
      </c>
      <c r="U1458" t="s">
        <v>71</v>
      </c>
      <c r="V1458">
        <v>0</v>
      </c>
      <c r="W1458" t="s">
        <v>71</v>
      </c>
      <c r="X1458">
        <v>0</v>
      </c>
      <c r="Y1458">
        <v>12.282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K1458" t="s">
        <v>272</v>
      </c>
      <c r="AM1458">
        <v>200000</v>
      </c>
      <c r="AN1458" t="s">
        <v>97</v>
      </c>
      <c r="AO1458">
        <v>1</v>
      </c>
      <c r="AP1458">
        <v>0</v>
      </c>
      <c r="AQ1458">
        <v>16666.666666666668</v>
      </c>
      <c r="AR1458" t="s">
        <v>9</v>
      </c>
      <c r="AS1458" t="s">
        <v>75</v>
      </c>
      <c r="AV1458">
        <v>0</v>
      </c>
      <c r="AW1458">
        <v>0</v>
      </c>
      <c r="AX1458" t="s">
        <v>76</v>
      </c>
      <c r="AY1458" t="s">
        <v>71</v>
      </c>
      <c r="AZ1458">
        <v>0</v>
      </c>
      <c r="BA1458" t="s">
        <v>71</v>
      </c>
      <c r="BB1458">
        <v>0</v>
      </c>
      <c r="BD1458">
        <v>12.282</v>
      </c>
    </row>
    <row r="1459" spans="1:56" x14ac:dyDescent="0.15">
      <c r="A1459" s="4" t="str">
        <f>HYPERLINK("https://ibp.a2mac1.com/costing(costing:projects/details/9760/part/8414831)","On Left Wheel Arch")</f>
        <v>On Left Wheel Arch</v>
      </c>
      <c r="B1459">
        <v>8414831</v>
      </c>
      <c r="C1459">
        <v>8414761</v>
      </c>
      <c r="E1459">
        <v>4.0599999999999996</v>
      </c>
      <c r="F1459">
        <v>0</v>
      </c>
      <c r="G1459">
        <v>0</v>
      </c>
      <c r="H1459">
        <v>2.0543599999999999E-2</v>
      </c>
      <c r="I1459" t="s">
        <v>176</v>
      </c>
      <c r="J1459">
        <v>0.1421</v>
      </c>
      <c r="K1459">
        <v>4.2226435999999996</v>
      </c>
      <c r="L1459">
        <v>0.55337643049688501</v>
      </c>
      <c r="M1459">
        <v>3.3202585829813098</v>
      </c>
      <c r="N1459">
        <v>7.5429021829813099</v>
      </c>
      <c r="O1459" t="s">
        <v>177</v>
      </c>
      <c r="P1459">
        <v>0.25335861599999998</v>
      </c>
      <c r="Q1459" t="s">
        <v>177</v>
      </c>
      <c r="R1459">
        <v>0.19921551497887857</v>
      </c>
      <c r="S1459" t="s">
        <v>178</v>
      </c>
      <c r="T1459">
        <v>0.90514826195775722</v>
      </c>
      <c r="U1459" t="s">
        <v>90</v>
      </c>
      <c r="V1459">
        <v>0</v>
      </c>
      <c r="W1459" t="s">
        <v>90</v>
      </c>
      <c r="X1459">
        <v>0</v>
      </c>
      <c r="Y1459">
        <v>8.900624575917945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280</v>
      </c>
      <c r="AF1459">
        <v>1100</v>
      </c>
      <c r="AG1459">
        <v>530</v>
      </c>
      <c r="AI1459">
        <v>1.389</v>
      </c>
      <c r="AK1459" t="s">
        <v>740</v>
      </c>
      <c r="AL1459" t="s">
        <v>4079</v>
      </c>
      <c r="AM1459">
        <v>200000</v>
      </c>
      <c r="AN1459" t="s">
        <v>97</v>
      </c>
      <c r="AO1459">
        <v>1</v>
      </c>
      <c r="AP1459">
        <v>0</v>
      </c>
      <c r="AQ1459">
        <v>16666.666666666668</v>
      </c>
      <c r="AR1459" t="s">
        <v>4080</v>
      </c>
      <c r="AS1459" t="s">
        <v>75</v>
      </c>
      <c r="AX1459" t="s">
        <v>76</v>
      </c>
      <c r="AY1459" t="s">
        <v>176</v>
      </c>
      <c r="AZ1459">
        <v>0</v>
      </c>
      <c r="BA1459" t="s">
        <v>176</v>
      </c>
      <c r="BB1459">
        <v>0</v>
      </c>
    </row>
    <row r="1460" spans="1:56" x14ac:dyDescent="0.15">
      <c r="A1460" s="4" t="str">
        <f>HYPERLINK("https://ibp.a2mac1.com/costing(costing:projects/details/9760/part/8414832)","On Right Wheel Arch")</f>
        <v>On Right Wheel Arch</v>
      </c>
      <c r="B1460">
        <v>8414832</v>
      </c>
      <c r="C1460">
        <v>8414761</v>
      </c>
      <c r="E1460">
        <v>4.0599999999999996</v>
      </c>
      <c r="F1460">
        <v>0</v>
      </c>
      <c r="G1460">
        <v>0</v>
      </c>
      <c r="H1460">
        <v>2.0543599999999999E-2</v>
      </c>
      <c r="I1460" t="s">
        <v>176</v>
      </c>
      <c r="J1460">
        <v>0.1421</v>
      </c>
      <c r="K1460">
        <v>4.2226435999999996</v>
      </c>
      <c r="L1460">
        <v>0.55337643049688501</v>
      </c>
      <c r="M1460">
        <v>3.3202585829813098</v>
      </c>
      <c r="N1460">
        <v>7.5429021829813099</v>
      </c>
      <c r="O1460" t="s">
        <v>177</v>
      </c>
      <c r="P1460">
        <v>0.25335861599999998</v>
      </c>
      <c r="Q1460" t="s">
        <v>177</v>
      </c>
      <c r="R1460">
        <v>0.19921551497887857</v>
      </c>
      <c r="S1460" t="s">
        <v>178</v>
      </c>
      <c r="T1460">
        <v>0.90514826195775722</v>
      </c>
      <c r="U1460" t="s">
        <v>90</v>
      </c>
      <c r="V1460">
        <v>0</v>
      </c>
      <c r="W1460" t="s">
        <v>90</v>
      </c>
      <c r="X1460">
        <v>0</v>
      </c>
      <c r="Y1460">
        <v>8.900624575917945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285</v>
      </c>
      <c r="AF1460">
        <v>1103</v>
      </c>
      <c r="AG1460">
        <v>533</v>
      </c>
      <c r="AI1460">
        <v>1.3919999999999999</v>
      </c>
      <c r="AK1460" t="s">
        <v>740</v>
      </c>
      <c r="AL1460" t="s">
        <v>4079</v>
      </c>
      <c r="AM1460">
        <v>200000</v>
      </c>
      <c r="AN1460" t="s">
        <v>97</v>
      </c>
      <c r="AO1460">
        <v>1</v>
      </c>
      <c r="AP1460">
        <v>0</v>
      </c>
      <c r="AQ1460">
        <v>16666.666666666668</v>
      </c>
      <c r="AR1460" t="s">
        <v>4083</v>
      </c>
      <c r="AS1460" t="s">
        <v>75</v>
      </c>
      <c r="AX1460" t="s">
        <v>76</v>
      </c>
      <c r="AY1460" t="s">
        <v>176</v>
      </c>
      <c r="AZ1460">
        <v>0</v>
      </c>
      <c r="BA1460" t="s">
        <v>176</v>
      </c>
      <c r="BB1460">
        <v>0</v>
      </c>
    </row>
    <row r="1461" spans="1:56" x14ac:dyDescent="0.15">
      <c r="A1461" s="4" t="str">
        <f>HYPERLINK("https://ibp.a2mac1.com/costing(costing:projects/details/9760/part/8414833)","2nd on Left Wheel Arch")</f>
        <v>2nd on Left Wheel Arch</v>
      </c>
      <c r="B1461">
        <v>8414833</v>
      </c>
      <c r="C1461">
        <v>8414761</v>
      </c>
      <c r="E1461">
        <v>0.66654478800000005</v>
      </c>
      <c r="F1461">
        <v>0</v>
      </c>
      <c r="G1461">
        <v>0</v>
      </c>
      <c r="H1461">
        <v>3.3811695511578948E-3</v>
      </c>
      <c r="I1461" t="s">
        <v>176</v>
      </c>
      <c r="J1461">
        <v>2.3387536421052631E-2</v>
      </c>
      <c r="K1461">
        <v>0.69331349397221054</v>
      </c>
      <c r="L1461">
        <v>2.1785227275609612E-2</v>
      </c>
      <c r="M1461">
        <v>0.13071136365365768</v>
      </c>
      <c r="N1461">
        <v>0.82402485762586819</v>
      </c>
      <c r="O1461" t="s">
        <v>177</v>
      </c>
      <c r="P1461">
        <v>4.159880963833263E-2</v>
      </c>
      <c r="Q1461" t="s">
        <v>177</v>
      </c>
      <c r="R1461">
        <v>7.8426818192194603E-3</v>
      </c>
      <c r="S1461" t="s">
        <v>178</v>
      </c>
      <c r="T1461">
        <v>9.8882982915104181E-2</v>
      </c>
      <c r="U1461" t="s">
        <v>90</v>
      </c>
      <c r="V1461">
        <v>0</v>
      </c>
      <c r="W1461" t="s">
        <v>90</v>
      </c>
      <c r="X1461">
        <v>0</v>
      </c>
      <c r="Y1461">
        <v>0.97234933199852447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140</v>
      </c>
      <c r="AF1461">
        <v>225</v>
      </c>
      <c r="AG1461">
        <v>400</v>
      </c>
      <c r="AI1461">
        <v>0.188</v>
      </c>
      <c r="AK1461" t="s">
        <v>740</v>
      </c>
      <c r="AL1461" t="s">
        <v>1957</v>
      </c>
      <c r="AM1461">
        <v>200000</v>
      </c>
      <c r="AN1461" t="s">
        <v>97</v>
      </c>
      <c r="AO1461">
        <v>1</v>
      </c>
      <c r="AP1461">
        <v>0</v>
      </c>
      <c r="AQ1461">
        <v>16666.666666666668</v>
      </c>
      <c r="AR1461" t="s">
        <v>4089</v>
      </c>
      <c r="AS1461" t="s">
        <v>75</v>
      </c>
      <c r="AX1461" t="s">
        <v>76</v>
      </c>
      <c r="AY1461" t="s">
        <v>176</v>
      </c>
      <c r="AZ1461">
        <v>0</v>
      </c>
      <c r="BA1461" t="s">
        <v>176</v>
      </c>
      <c r="BB1461">
        <v>0</v>
      </c>
    </row>
    <row r="1462" spans="1:56" x14ac:dyDescent="0.15">
      <c r="A1462" s="4" t="str">
        <f>HYPERLINK("https://ibp.a2mac1.com/costing(costing:projects/details/9760/part/8414834)","2nd on Right Wheel Arch")</f>
        <v>2nd on Right Wheel Arch</v>
      </c>
      <c r="B1462">
        <v>8414834</v>
      </c>
      <c r="C1462">
        <v>8414761</v>
      </c>
      <c r="E1462">
        <v>0.88990820100000001</v>
      </c>
      <c r="F1462">
        <v>0</v>
      </c>
      <c r="G1462">
        <v>0</v>
      </c>
      <c r="H1462">
        <v>4.5142210496842104E-3</v>
      </c>
      <c r="I1462" t="s">
        <v>176</v>
      </c>
      <c r="J1462">
        <v>3.1224849157894738E-2</v>
      </c>
      <c r="K1462">
        <v>0.92564727120757895</v>
      </c>
      <c r="L1462">
        <v>2.1785227275609612E-2</v>
      </c>
      <c r="M1462">
        <v>0.13071136365365768</v>
      </c>
      <c r="N1462">
        <v>1.0563586348612366</v>
      </c>
      <c r="O1462" t="s">
        <v>177</v>
      </c>
      <c r="P1462">
        <v>5.5538836272454734E-2</v>
      </c>
      <c r="Q1462" t="s">
        <v>177</v>
      </c>
      <c r="R1462">
        <v>7.8426818192194603E-3</v>
      </c>
      <c r="S1462" t="s">
        <v>178</v>
      </c>
      <c r="T1462">
        <v>0.12676303618334839</v>
      </c>
      <c r="U1462" t="s">
        <v>90</v>
      </c>
      <c r="V1462">
        <v>0</v>
      </c>
      <c r="W1462" t="s">
        <v>90</v>
      </c>
      <c r="X1462">
        <v>0</v>
      </c>
      <c r="Y1462">
        <v>1.2465031891362592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163</v>
      </c>
      <c r="AF1462">
        <v>218</v>
      </c>
      <c r="AG1462">
        <v>380</v>
      </c>
      <c r="AI1462">
        <v>0.251</v>
      </c>
      <c r="AK1462" t="s">
        <v>740</v>
      </c>
      <c r="AL1462" t="s">
        <v>1957</v>
      </c>
      <c r="AM1462">
        <v>200000</v>
      </c>
      <c r="AN1462" t="s">
        <v>97</v>
      </c>
      <c r="AO1462">
        <v>1</v>
      </c>
      <c r="AP1462">
        <v>0</v>
      </c>
      <c r="AQ1462">
        <v>16666.666666666668</v>
      </c>
      <c r="AR1462" t="s">
        <v>4094</v>
      </c>
      <c r="AS1462" t="s">
        <v>75</v>
      </c>
      <c r="AX1462" t="s">
        <v>76</v>
      </c>
      <c r="AY1462" t="s">
        <v>176</v>
      </c>
      <c r="AZ1462">
        <v>0</v>
      </c>
      <c r="BA1462" t="s">
        <v>176</v>
      </c>
      <c r="BB1462">
        <v>0</v>
      </c>
    </row>
    <row r="1463" spans="1:56" x14ac:dyDescent="0.15">
      <c r="A1463" s="4" t="str">
        <f>HYPERLINK("https://ibp.a2mac1.com/costing(costing:projects/details/9760/part/8414835)","On Left Fender and Right if Similar")</f>
        <v>On Left Fender and Right if Similar</v>
      </c>
      <c r="B1463">
        <v>8414835</v>
      </c>
      <c r="C1463">
        <v>8414761</v>
      </c>
      <c r="E1463">
        <v>1.528089381</v>
      </c>
      <c r="F1463">
        <v>0</v>
      </c>
      <c r="G1463">
        <v>0</v>
      </c>
      <c r="H1463">
        <v>7.7515110454736838E-3</v>
      </c>
      <c r="I1463" t="s">
        <v>176</v>
      </c>
      <c r="J1463">
        <v>5.3617171263157896E-2</v>
      </c>
      <c r="K1463">
        <v>1.5894580633086315</v>
      </c>
      <c r="L1463">
        <v>3.2381729665402474E-2</v>
      </c>
      <c r="M1463">
        <v>0.19429037799241486</v>
      </c>
      <c r="N1463">
        <v>1.7837484413010465</v>
      </c>
      <c r="O1463" t="s">
        <v>177</v>
      </c>
      <c r="P1463">
        <v>9.5367483798517894E-2</v>
      </c>
      <c r="Q1463" t="s">
        <v>177</v>
      </c>
      <c r="R1463">
        <v>1.1657422679544891E-2</v>
      </c>
      <c r="S1463" t="s">
        <v>178</v>
      </c>
      <c r="T1463">
        <v>0.21404981295612557</v>
      </c>
      <c r="U1463" t="s">
        <v>90</v>
      </c>
      <c r="V1463">
        <v>0</v>
      </c>
      <c r="W1463" t="s">
        <v>90</v>
      </c>
      <c r="X1463">
        <v>0</v>
      </c>
      <c r="Y1463">
        <v>2.104823160735235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131</v>
      </c>
      <c r="AF1463">
        <v>358</v>
      </c>
      <c r="AG1463">
        <v>243</v>
      </c>
      <c r="AI1463">
        <v>0.43099999999999999</v>
      </c>
      <c r="AK1463" t="s">
        <v>740</v>
      </c>
      <c r="AL1463" t="s">
        <v>1957</v>
      </c>
      <c r="AM1463">
        <v>200000</v>
      </c>
      <c r="AN1463" t="s">
        <v>97</v>
      </c>
      <c r="AO1463">
        <v>1</v>
      </c>
      <c r="AP1463">
        <v>0</v>
      </c>
      <c r="AQ1463">
        <v>16666.666666666668</v>
      </c>
      <c r="AR1463" t="s">
        <v>4099</v>
      </c>
      <c r="AS1463" t="s">
        <v>75</v>
      </c>
      <c r="AX1463" t="s">
        <v>76</v>
      </c>
      <c r="AY1463" t="s">
        <v>176</v>
      </c>
      <c r="AZ1463">
        <v>0</v>
      </c>
      <c r="BA1463" t="s">
        <v>176</v>
      </c>
      <c r="BB1463">
        <v>0</v>
      </c>
    </row>
    <row r="1464" spans="1:56" x14ac:dyDescent="0.15">
      <c r="A1464" s="4" t="str">
        <f>HYPERLINK("https://ibp.a2mac1.com/costing(costing:projects/details/9760/part/8414836)","On Right Fender")</f>
        <v>On Right Fender</v>
      </c>
      <c r="B1464">
        <v>8414836</v>
      </c>
      <c r="C1464">
        <v>8414761</v>
      </c>
      <c r="E1464">
        <v>1.20545334</v>
      </c>
      <c r="F1464">
        <v>0</v>
      </c>
      <c r="G1464">
        <v>0</v>
      </c>
      <c r="H1464">
        <v>6.1148811031578945E-3</v>
      </c>
      <c r="I1464" t="s">
        <v>176</v>
      </c>
      <c r="J1464">
        <v>4.229660842105263E-2</v>
      </c>
      <c r="K1464">
        <v>1.2538648295242105</v>
      </c>
      <c r="L1464">
        <v>3.2381729665402474E-2</v>
      </c>
      <c r="M1464">
        <v>0.19429037799241486</v>
      </c>
      <c r="N1464">
        <v>1.4481552075166253</v>
      </c>
      <c r="O1464" t="s">
        <v>177</v>
      </c>
      <c r="P1464">
        <v>7.5231889771452634E-2</v>
      </c>
      <c r="Q1464" t="s">
        <v>177</v>
      </c>
      <c r="R1464">
        <v>1.1657422679544891E-2</v>
      </c>
      <c r="S1464" t="s">
        <v>178</v>
      </c>
      <c r="T1464">
        <v>0.17377862490199505</v>
      </c>
      <c r="U1464" t="s">
        <v>90</v>
      </c>
      <c r="V1464">
        <v>0</v>
      </c>
      <c r="W1464" t="s">
        <v>90</v>
      </c>
      <c r="X1464">
        <v>0</v>
      </c>
      <c r="Y1464">
        <v>1.7088231448696181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131</v>
      </c>
      <c r="AF1464">
        <v>358</v>
      </c>
      <c r="AG1464">
        <v>243</v>
      </c>
      <c r="AI1464">
        <v>0.34</v>
      </c>
      <c r="AK1464" t="s">
        <v>740</v>
      </c>
      <c r="AL1464" t="s">
        <v>403</v>
      </c>
      <c r="AM1464">
        <v>200000</v>
      </c>
      <c r="AN1464" t="s">
        <v>97</v>
      </c>
      <c r="AO1464">
        <v>1</v>
      </c>
      <c r="AP1464">
        <v>0</v>
      </c>
      <c r="AQ1464">
        <v>16666.666666666668</v>
      </c>
      <c r="AR1464" t="s">
        <v>4104</v>
      </c>
      <c r="AS1464" t="s">
        <v>75</v>
      </c>
      <c r="AX1464" t="s">
        <v>76</v>
      </c>
      <c r="AY1464" t="s">
        <v>176</v>
      </c>
      <c r="AZ1464">
        <v>0</v>
      </c>
      <c r="BA1464" t="s">
        <v>176</v>
      </c>
      <c r="BB1464">
        <v>0</v>
      </c>
    </row>
    <row r="1465" spans="1:56" x14ac:dyDescent="0.15">
      <c r="A1465" s="4" t="str">
        <f>HYPERLINK("https://ibp.a2mac1.com/costing(costing:projects/details/9760/part/8414837)","Left Floor Insulation")</f>
        <v>Left Floor Insulation</v>
      </c>
      <c r="B1465">
        <v>8414837</v>
      </c>
      <c r="C1465">
        <v>8414761</v>
      </c>
      <c r="E1465">
        <v>0.82</v>
      </c>
      <c r="F1465">
        <v>0</v>
      </c>
      <c r="G1465">
        <v>0</v>
      </c>
      <c r="H1465">
        <v>4.1491999999999996E-3</v>
      </c>
      <c r="I1465" t="s">
        <v>176</v>
      </c>
      <c r="J1465">
        <v>2.87E-2</v>
      </c>
      <c r="K1465">
        <v>0.85284919999999997</v>
      </c>
      <c r="L1465">
        <v>1.2954808617448894E-2</v>
      </c>
      <c r="M1465">
        <v>7.7728851704693361E-2</v>
      </c>
      <c r="N1465">
        <v>0.93057805170469332</v>
      </c>
      <c r="O1465" t="s">
        <v>177</v>
      </c>
      <c r="P1465">
        <v>5.1170951999999999E-2</v>
      </c>
      <c r="Q1465" t="s">
        <v>177</v>
      </c>
      <c r="R1465">
        <v>4.6637311022816015E-3</v>
      </c>
      <c r="S1465" t="s">
        <v>178</v>
      </c>
      <c r="T1465">
        <v>0.11166936620456321</v>
      </c>
      <c r="U1465" t="s">
        <v>90</v>
      </c>
      <c r="V1465">
        <v>0</v>
      </c>
      <c r="W1465" t="s">
        <v>90</v>
      </c>
      <c r="X1465">
        <v>0</v>
      </c>
      <c r="Y1465">
        <v>1.0980821010115382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22</v>
      </c>
      <c r="AF1465">
        <v>275</v>
      </c>
      <c r="AG1465">
        <v>360</v>
      </c>
      <c r="AI1465">
        <v>3.2000000000000001E-2</v>
      </c>
      <c r="AK1465" t="s">
        <v>740</v>
      </c>
      <c r="AL1465" t="s">
        <v>4050</v>
      </c>
      <c r="AM1465">
        <v>200000</v>
      </c>
      <c r="AN1465" t="s">
        <v>97</v>
      </c>
      <c r="AO1465">
        <v>1</v>
      </c>
      <c r="AP1465">
        <v>0</v>
      </c>
      <c r="AQ1465">
        <v>16666.666666666668</v>
      </c>
      <c r="AR1465" t="s">
        <v>4107</v>
      </c>
      <c r="AS1465" t="s">
        <v>75</v>
      </c>
      <c r="AX1465" t="s">
        <v>76</v>
      </c>
      <c r="AY1465" t="s">
        <v>176</v>
      </c>
      <c r="AZ1465">
        <v>0</v>
      </c>
      <c r="BA1465" t="s">
        <v>176</v>
      </c>
      <c r="BB1465">
        <v>0</v>
      </c>
    </row>
    <row r="1466" spans="1:56" x14ac:dyDescent="0.15">
      <c r="A1466" s="4" t="str">
        <f>HYPERLINK("https://ibp.a2mac1.com/costing(costing:projects/details/9760/part/8414838)","Right Floor Insulation")</f>
        <v>Right Floor Insulation</v>
      </c>
      <c r="B1466">
        <v>8414838</v>
      </c>
      <c r="C1466">
        <v>8414761</v>
      </c>
      <c r="E1466">
        <v>0.82</v>
      </c>
      <c r="F1466">
        <v>0</v>
      </c>
      <c r="G1466">
        <v>0</v>
      </c>
      <c r="H1466">
        <v>4.1491999999999996E-3</v>
      </c>
      <c r="I1466" t="s">
        <v>176</v>
      </c>
      <c r="J1466">
        <v>2.87E-2</v>
      </c>
      <c r="K1466">
        <v>0.85284919999999997</v>
      </c>
      <c r="L1466">
        <v>1.2954808617448894E-2</v>
      </c>
      <c r="M1466">
        <v>7.7728851704693361E-2</v>
      </c>
      <c r="N1466">
        <v>0.93057805170469332</v>
      </c>
      <c r="O1466" t="s">
        <v>177</v>
      </c>
      <c r="P1466">
        <v>5.1170951999999999E-2</v>
      </c>
      <c r="Q1466" t="s">
        <v>177</v>
      </c>
      <c r="R1466">
        <v>4.6637311022816015E-3</v>
      </c>
      <c r="S1466" t="s">
        <v>178</v>
      </c>
      <c r="T1466">
        <v>0.11166936620456321</v>
      </c>
      <c r="U1466" t="s">
        <v>90</v>
      </c>
      <c r="V1466">
        <v>0</v>
      </c>
      <c r="W1466" t="s">
        <v>90</v>
      </c>
      <c r="X1466">
        <v>0</v>
      </c>
      <c r="Y1466">
        <v>1.0980821010115382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20</v>
      </c>
      <c r="AF1466">
        <v>278</v>
      </c>
      <c r="AG1466">
        <v>350</v>
      </c>
      <c r="AI1466">
        <v>3.3000000000000002E-2</v>
      </c>
      <c r="AK1466" t="s">
        <v>740</v>
      </c>
      <c r="AL1466" t="s">
        <v>399</v>
      </c>
      <c r="AM1466">
        <v>200000</v>
      </c>
      <c r="AN1466" t="s">
        <v>97</v>
      </c>
      <c r="AO1466">
        <v>1</v>
      </c>
      <c r="AP1466">
        <v>0</v>
      </c>
      <c r="AQ1466">
        <v>16666.666666666668</v>
      </c>
      <c r="AR1466" t="s">
        <v>4110</v>
      </c>
      <c r="AS1466" t="s">
        <v>75</v>
      </c>
      <c r="AX1466" t="s">
        <v>76</v>
      </c>
      <c r="AY1466" t="s">
        <v>176</v>
      </c>
      <c r="AZ1466">
        <v>0</v>
      </c>
      <c r="BA1466" t="s">
        <v>176</v>
      </c>
      <c r="BB1466">
        <v>0</v>
      </c>
    </row>
    <row r="1467" spans="1:56" x14ac:dyDescent="0.15">
      <c r="A1467" s="4" t="str">
        <f>HYPERLINK("https://ibp.a2mac1.com/costing(costing:projects/details/9760/part/8414839)","Insulation Between Interior and Trunk")</f>
        <v>Insulation Between Interior and Trunk</v>
      </c>
      <c r="B1467">
        <v>8414839</v>
      </c>
      <c r="C1467">
        <v>8414761</v>
      </c>
      <c r="E1467">
        <v>0.54954490499999997</v>
      </c>
      <c r="F1467">
        <v>0</v>
      </c>
      <c r="G1467">
        <v>0</v>
      </c>
      <c r="H1467">
        <v>2.787666385263158E-3</v>
      </c>
      <c r="I1467" t="s">
        <v>176</v>
      </c>
      <c r="J1467">
        <v>1.9282277368421051E-2</v>
      </c>
      <c r="K1467">
        <v>0.57161484875368418</v>
      </c>
      <c r="L1467">
        <v>2.1785227275609612E-2</v>
      </c>
      <c r="M1467">
        <v>0.13071136365365768</v>
      </c>
      <c r="N1467">
        <v>0.70232621240734194</v>
      </c>
      <c r="O1467" t="s">
        <v>177</v>
      </c>
      <c r="P1467">
        <v>3.4296890925221056E-2</v>
      </c>
      <c r="Q1467" t="s">
        <v>177</v>
      </c>
      <c r="R1467">
        <v>7.8426818192194603E-3</v>
      </c>
      <c r="S1467" t="s">
        <v>178</v>
      </c>
      <c r="T1467">
        <v>8.4279145488881033E-2</v>
      </c>
      <c r="U1467" t="s">
        <v>90</v>
      </c>
      <c r="V1467">
        <v>0</v>
      </c>
      <c r="W1467" t="s">
        <v>90</v>
      </c>
      <c r="X1467">
        <v>0</v>
      </c>
      <c r="Y1467">
        <v>0.82874493064066346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112</v>
      </c>
      <c r="AF1467">
        <v>395</v>
      </c>
      <c r="AG1467">
        <v>94</v>
      </c>
      <c r="AI1467">
        <v>0.155</v>
      </c>
      <c r="AK1467" t="s">
        <v>740</v>
      </c>
      <c r="AL1467" t="s">
        <v>1957</v>
      </c>
      <c r="AM1467">
        <v>200000</v>
      </c>
      <c r="AN1467" t="s">
        <v>97</v>
      </c>
      <c r="AO1467">
        <v>1</v>
      </c>
      <c r="AP1467">
        <v>0</v>
      </c>
      <c r="AQ1467">
        <v>16666.666666666668</v>
      </c>
      <c r="AR1467" t="s">
        <v>4115</v>
      </c>
      <c r="AS1467" t="s">
        <v>75</v>
      </c>
      <c r="AX1467" t="s">
        <v>76</v>
      </c>
      <c r="AY1467" t="s">
        <v>176</v>
      </c>
      <c r="AZ1467">
        <v>0</v>
      </c>
      <c r="BA1467" t="s">
        <v>176</v>
      </c>
      <c r="BB1467">
        <v>0</v>
      </c>
    </row>
    <row r="1468" spans="1:56" x14ac:dyDescent="0.15">
      <c r="A1468" s="4" t="str">
        <f>HYPERLINK("https://ibp.a2mac1.com/costing(costing:projects/details/9760/part/8414840)","Insulation Between Interior and Trunk 2")</f>
        <v>Insulation Between Interior and Trunk 2</v>
      </c>
      <c r="B1468">
        <v>8414840</v>
      </c>
      <c r="C1468">
        <v>8414761</v>
      </c>
      <c r="E1468">
        <v>0.96790812299999995</v>
      </c>
      <c r="F1468">
        <v>0</v>
      </c>
      <c r="G1468">
        <v>0</v>
      </c>
      <c r="H1468">
        <v>4.9098898269473688E-3</v>
      </c>
      <c r="I1468" t="s">
        <v>176</v>
      </c>
      <c r="J1468">
        <v>3.3961688526315786E-2</v>
      </c>
      <c r="K1468">
        <v>1.0067797013532631</v>
      </c>
      <c r="L1468">
        <v>2.1785227275609612E-2</v>
      </c>
      <c r="M1468">
        <v>0.13071136365365768</v>
      </c>
      <c r="N1468">
        <v>1.1374910650069208</v>
      </c>
      <c r="O1468" t="s">
        <v>177</v>
      </c>
      <c r="P1468">
        <v>6.0406782081195792E-2</v>
      </c>
      <c r="Q1468" t="s">
        <v>177</v>
      </c>
      <c r="R1468">
        <v>7.8426818192194603E-3</v>
      </c>
      <c r="S1468" t="s">
        <v>178</v>
      </c>
      <c r="T1468">
        <v>0.13649892780083051</v>
      </c>
      <c r="U1468" t="s">
        <v>90</v>
      </c>
      <c r="V1468">
        <v>0</v>
      </c>
      <c r="W1468" t="s">
        <v>90</v>
      </c>
      <c r="X1468">
        <v>0</v>
      </c>
      <c r="Y1468">
        <v>1.3422394567081666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123</v>
      </c>
      <c r="AF1468">
        <v>650</v>
      </c>
      <c r="AG1468">
        <v>100</v>
      </c>
      <c r="AI1468">
        <v>0.27300000000000002</v>
      </c>
      <c r="AK1468" t="s">
        <v>740</v>
      </c>
      <c r="AL1468" t="s">
        <v>1957</v>
      </c>
      <c r="AM1468">
        <v>200000</v>
      </c>
      <c r="AN1468" t="s">
        <v>97</v>
      </c>
      <c r="AO1468">
        <v>1</v>
      </c>
      <c r="AP1468">
        <v>0</v>
      </c>
      <c r="AQ1468">
        <v>16666.666666666668</v>
      </c>
      <c r="AR1468" t="s">
        <v>4120</v>
      </c>
      <c r="AS1468" t="s">
        <v>75</v>
      </c>
      <c r="AX1468" t="s">
        <v>76</v>
      </c>
      <c r="AY1468" t="s">
        <v>176</v>
      </c>
      <c r="AZ1468">
        <v>0</v>
      </c>
      <c r="BA1468" t="s">
        <v>176</v>
      </c>
      <c r="BB1468">
        <v>0</v>
      </c>
    </row>
    <row r="1469" spans="1:56" x14ac:dyDescent="0.15">
      <c r="A1469" s="4" t="str">
        <f>HYPERLINK("https://ibp.a2mac1.com/costing(costing:projects/details/9760/part/8414841)","On A Pillar Lower Panel")</f>
        <v>On A Pillar Lower Panel</v>
      </c>
      <c r="B1469">
        <v>8414841</v>
      </c>
      <c r="C1469">
        <v>8414762</v>
      </c>
      <c r="E1469">
        <v>0.68</v>
      </c>
      <c r="F1469">
        <v>0</v>
      </c>
      <c r="G1469">
        <v>0</v>
      </c>
      <c r="H1469">
        <v>3.4204000000000001E-3</v>
      </c>
      <c r="I1469" t="s">
        <v>176</v>
      </c>
      <c r="J1469">
        <v>2.3800000000000002E-2</v>
      </c>
      <c r="K1469">
        <v>0.70722039999999997</v>
      </c>
      <c r="L1469">
        <v>1.6486483961553708E-2</v>
      </c>
      <c r="M1469">
        <v>9.8918903769322247E-2</v>
      </c>
      <c r="N1469">
        <v>0.80613930376932219</v>
      </c>
      <c r="O1469" t="s">
        <v>177</v>
      </c>
      <c r="P1469">
        <v>4.2433223999999999E-2</v>
      </c>
      <c r="Q1469" t="s">
        <v>177</v>
      </c>
      <c r="R1469">
        <v>5.9351342261593342E-3</v>
      </c>
      <c r="S1469" t="s">
        <v>178</v>
      </c>
      <c r="T1469">
        <v>9.6736716452318669E-2</v>
      </c>
      <c r="U1469" t="s">
        <v>90</v>
      </c>
      <c r="V1469">
        <v>0</v>
      </c>
      <c r="W1469" t="s">
        <v>90</v>
      </c>
      <c r="X1469">
        <v>0</v>
      </c>
      <c r="Y1469">
        <v>0.9512443784478003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10</v>
      </c>
      <c r="AF1469">
        <v>160</v>
      </c>
      <c r="AG1469">
        <v>255</v>
      </c>
      <c r="AI1469">
        <v>1.4999999999999999E-2</v>
      </c>
      <c r="AK1469" t="s">
        <v>740</v>
      </c>
      <c r="AL1469" t="s">
        <v>403</v>
      </c>
      <c r="AM1469">
        <v>400000</v>
      </c>
      <c r="AN1469" t="s">
        <v>97</v>
      </c>
      <c r="AO1469">
        <v>2</v>
      </c>
      <c r="AP1469">
        <v>0</v>
      </c>
      <c r="AQ1469">
        <v>33333.333333333336</v>
      </c>
      <c r="AR1469" t="s">
        <v>4125</v>
      </c>
      <c r="AS1469" t="s">
        <v>75</v>
      </c>
      <c r="AX1469" t="s">
        <v>76</v>
      </c>
      <c r="AY1469" t="s">
        <v>176</v>
      </c>
      <c r="AZ1469">
        <v>0</v>
      </c>
      <c r="BA1469" t="s">
        <v>176</v>
      </c>
      <c r="BB1469">
        <v>0</v>
      </c>
    </row>
    <row r="1470" spans="1:56" x14ac:dyDescent="0.15">
      <c r="A1470" s="4" t="str">
        <f>HYPERLINK("https://ibp.a2mac1.com/costing(costing:projects/details/9760/part/8414842)","On B Pillar Lower Panel")</f>
        <v>On B Pillar Lower Panel</v>
      </c>
      <c r="B1470">
        <v>8414842</v>
      </c>
      <c r="C1470">
        <v>8414762</v>
      </c>
      <c r="E1470">
        <v>1.18</v>
      </c>
      <c r="F1470">
        <v>0</v>
      </c>
      <c r="G1470">
        <v>0</v>
      </c>
      <c r="H1470">
        <v>5.9354000000000004E-3</v>
      </c>
      <c r="I1470" t="s">
        <v>176</v>
      </c>
      <c r="J1470">
        <v>4.1300000000000003E-2</v>
      </c>
      <c r="K1470">
        <v>1.2272354000000001</v>
      </c>
      <c r="L1470">
        <v>2.3550608025001675E-2</v>
      </c>
      <c r="M1470">
        <v>0.14130364815001004</v>
      </c>
      <c r="N1470">
        <v>1.3685390481500102</v>
      </c>
      <c r="O1470" t="s">
        <v>177</v>
      </c>
      <c r="P1470">
        <v>7.3634123999999995E-2</v>
      </c>
      <c r="Q1470" t="s">
        <v>177</v>
      </c>
      <c r="R1470">
        <v>8.4782188890006032E-3</v>
      </c>
      <c r="S1470" t="s">
        <v>178</v>
      </c>
      <c r="T1470">
        <v>0.1642246857780012</v>
      </c>
      <c r="U1470" t="s">
        <v>90</v>
      </c>
      <c r="V1470">
        <v>0</v>
      </c>
      <c r="W1470" t="s">
        <v>90</v>
      </c>
      <c r="X1470">
        <v>0</v>
      </c>
      <c r="Y1470">
        <v>1.6148760768170118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10</v>
      </c>
      <c r="AF1470">
        <v>250</v>
      </c>
      <c r="AG1470">
        <v>282</v>
      </c>
      <c r="AI1470">
        <v>3.9E-2</v>
      </c>
      <c r="AK1470" t="s">
        <v>740</v>
      </c>
      <c r="AL1470" t="s">
        <v>4050</v>
      </c>
      <c r="AM1470">
        <v>400000</v>
      </c>
      <c r="AN1470" t="s">
        <v>97</v>
      </c>
      <c r="AO1470">
        <v>2</v>
      </c>
      <c r="AP1470">
        <v>0</v>
      </c>
      <c r="AQ1470">
        <v>33333.333333333336</v>
      </c>
      <c r="AR1470" t="s">
        <v>4128</v>
      </c>
      <c r="AS1470" t="s">
        <v>75</v>
      </c>
      <c r="AX1470" t="s">
        <v>76</v>
      </c>
      <c r="AY1470" t="s">
        <v>176</v>
      </c>
      <c r="AZ1470">
        <v>0</v>
      </c>
      <c r="BA1470" t="s">
        <v>176</v>
      </c>
      <c r="BB1470">
        <v>0</v>
      </c>
    </row>
    <row r="1471" spans="1:56" x14ac:dyDescent="0.15">
      <c r="A1471" s="4" t="str">
        <f>HYPERLINK("https://ibp.a2mac1.com/costing(costing:projects/details/9760/part/8414843)","On Lower C Pillar Panel")</f>
        <v>On Lower C Pillar Panel</v>
      </c>
      <c r="B1471">
        <v>8414843</v>
      </c>
      <c r="C1471">
        <v>8414762</v>
      </c>
      <c r="E1471">
        <v>0.3</v>
      </c>
      <c r="F1471">
        <v>0</v>
      </c>
      <c r="G1471">
        <v>0</v>
      </c>
      <c r="H1471">
        <v>1.5089999999999999E-3</v>
      </c>
      <c r="I1471" t="s">
        <v>176</v>
      </c>
      <c r="J1471">
        <v>1.0500000000000001E-2</v>
      </c>
      <c r="K1471">
        <v>0.31200899999999998</v>
      </c>
      <c r="L1471">
        <v>1.6486483961553708E-2</v>
      </c>
      <c r="M1471">
        <v>9.8918903769322247E-2</v>
      </c>
      <c r="N1471">
        <v>0.41092790376932226</v>
      </c>
      <c r="O1471" t="s">
        <v>177</v>
      </c>
      <c r="P1471">
        <v>1.8720540000000001E-2</v>
      </c>
      <c r="Q1471" t="s">
        <v>177</v>
      </c>
      <c r="R1471">
        <v>5.9351342261593342E-3</v>
      </c>
      <c r="S1471" t="s">
        <v>178</v>
      </c>
      <c r="T1471">
        <v>4.9311348452318667E-2</v>
      </c>
      <c r="U1471" t="s">
        <v>90</v>
      </c>
      <c r="V1471">
        <v>0</v>
      </c>
      <c r="W1471" t="s">
        <v>90</v>
      </c>
      <c r="X1471">
        <v>0</v>
      </c>
      <c r="Y1471">
        <v>0.48489492644780025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10</v>
      </c>
      <c r="AF1471">
        <v>161</v>
      </c>
      <c r="AG1471">
        <v>112</v>
      </c>
      <c r="AI1471">
        <v>1.0999999999999999E-2</v>
      </c>
      <c r="AK1471" t="s">
        <v>740</v>
      </c>
      <c r="AL1471" t="s">
        <v>403</v>
      </c>
      <c r="AM1471">
        <v>400000</v>
      </c>
      <c r="AN1471" t="s">
        <v>97</v>
      </c>
      <c r="AO1471">
        <v>2</v>
      </c>
      <c r="AP1471">
        <v>0</v>
      </c>
      <c r="AQ1471">
        <v>33333.333333333336</v>
      </c>
      <c r="AR1471" t="s">
        <v>4131</v>
      </c>
      <c r="AS1471" t="s">
        <v>75</v>
      </c>
      <c r="AX1471" t="s">
        <v>76</v>
      </c>
      <c r="AY1471" t="s">
        <v>176</v>
      </c>
      <c r="AZ1471">
        <v>0</v>
      </c>
      <c r="BA1471" t="s">
        <v>176</v>
      </c>
      <c r="BB1471">
        <v>0</v>
      </c>
    </row>
    <row r="1472" spans="1:56" x14ac:dyDescent="0.15">
      <c r="A1472" s="4" t="str">
        <f>HYPERLINK("https://ibp.a2mac1.com/costing(costing:projects/details/9760/part/8414844)","On C Pillar Upper Panel")</f>
        <v>On C Pillar Upper Panel</v>
      </c>
      <c r="B1472">
        <v>8414844</v>
      </c>
      <c r="C1472">
        <v>8414762</v>
      </c>
      <c r="E1472">
        <v>0.66</v>
      </c>
      <c r="F1472">
        <v>0</v>
      </c>
      <c r="G1472">
        <v>0</v>
      </c>
      <c r="H1472">
        <v>3.3197999999999999E-3</v>
      </c>
      <c r="I1472" t="s">
        <v>176</v>
      </c>
      <c r="J1472">
        <v>2.3099999999999999E-2</v>
      </c>
      <c r="K1472">
        <v>0.68641980000000002</v>
      </c>
      <c r="L1472">
        <v>1.6486483961553708E-2</v>
      </c>
      <c r="M1472">
        <v>9.8918903769322247E-2</v>
      </c>
      <c r="N1472">
        <v>0.78533870376932224</v>
      </c>
      <c r="O1472" t="s">
        <v>177</v>
      </c>
      <c r="P1472">
        <v>4.1185187999999998E-2</v>
      </c>
      <c r="Q1472" t="s">
        <v>177</v>
      </c>
      <c r="R1472">
        <v>5.9351342261593342E-3</v>
      </c>
      <c r="S1472" t="s">
        <v>178</v>
      </c>
      <c r="T1472">
        <v>9.4240644452318667E-2</v>
      </c>
      <c r="U1472" t="s">
        <v>90</v>
      </c>
      <c r="V1472">
        <v>0</v>
      </c>
      <c r="W1472" t="s">
        <v>90</v>
      </c>
      <c r="X1472">
        <v>0</v>
      </c>
      <c r="Y1472">
        <v>0.92669967044780022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10</v>
      </c>
      <c r="AF1472">
        <v>278</v>
      </c>
      <c r="AG1472">
        <v>142</v>
      </c>
      <c r="AI1472">
        <v>2.8000000000000001E-2</v>
      </c>
      <c r="AK1472" t="s">
        <v>740</v>
      </c>
      <c r="AL1472" t="s">
        <v>4050</v>
      </c>
      <c r="AM1472">
        <v>400000</v>
      </c>
      <c r="AN1472" t="s">
        <v>97</v>
      </c>
      <c r="AO1472">
        <v>2</v>
      </c>
      <c r="AP1472">
        <v>0</v>
      </c>
      <c r="AQ1472">
        <v>33333.333333333336</v>
      </c>
      <c r="AR1472" t="s">
        <v>4134</v>
      </c>
      <c r="AS1472" t="s">
        <v>75</v>
      </c>
      <c r="AX1472" t="s">
        <v>76</v>
      </c>
      <c r="AY1472" t="s">
        <v>176</v>
      </c>
      <c r="AZ1472">
        <v>0</v>
      </c>
      <c r="BA1472" t="s">
        <v>176</v>
      </c>
      <c r="BB1472">
        <v>0</v>
      </c>
    </row>
    <row r="1473" spans="1:54" x14ac:dyDescent="0.15">
      <c r="A1473" s="4" t="str">
        <f>HYPERLINK("https://ibp.a2mac1.com/costing(costing:projects/details/9760/part/8414845)","Insulation on Rear Quarter Glass Panel")</f>
        <v>Insulation on Rear Quarter Glass Panel</v>
      </c>
      <c r="B1473">
        <v>8414845</v>
      </c>
      <c r="C1473">
        <v>8414762</v>
      </c>
      <c r="E1473">
        <v>0.38</v>
      </c>
      <c r="F1473">
        <v>0</v>
      </c>
      <c r="G1473">
        <v>0</v>
      </c>
      <c r="H1473">
        <v>1.9113999999999999E-3</v>
      </c>
      <c r="I1473" t="s">
        <v>176</v>
      </c>
      <c r="J1473">
        <v>1.3299999999999999E-2</v>
      </c>
      <c r="K1473">
        <v>0.39521139999999999</v>
      </c>
      <c r="L1473">
        <v>1.6486483961553708E-2</v>
      </c>
      <c r="M1473">
        <v>9.8918903769322247E-2</v>
      </c>
      <c r="N1473">
        <v>0.49413030376932227</v>
      </c>
      <c r="O1473" t="s">
        <v>177</v>
      </c>
      <c r="P1473">
        <v>2.3712684000000001E-2</v>
      </c>
      <c r="Q1473" t="s">
        <v>177</v>
      </c>
      <c r="R1473">
        <v>5.9351342261593342E-3</v>
      </c>
      <c r="S1473" t="s">
        <v>178</v>
      </c>
      <c r="T1473">
        <v>5.9295636452318667E-2</v>
      </c>
      <c r="U1473" t="s">
        <v>90</v>
      </c>
      <c r="V1473">
        <v>0</v>
      </c>
      <c r="W1473" t="s">
        <v>90</v>
      </c>
      <c r="X1473">
        <v>0</v>
      </c>
      <c r="Y1473">
        <v>0.58307375844780029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10</v>
      </c>
      <c r="AF1473">
        <v>230</v>
      </c>
      <c r="AG1473">
        <v>100</v>
      </c>
      <c r="AI1473">
        <v>1.0999999999999999E-2</v>
      </c>
      <c r="AK1473" t="s">
        <v>740</v>
      </c>
      <c r="AL1473" t="s">
        <v>4050</v>
      </c>
      <c r="AM1473">
        <v>400000</v>
      </c>
      <c r="AN1473" t="s">
        <v>97</v>
      </c>
      <c r="AO1473">
        <v>2</v>
      </c>
      <c r="AP1473">
        <v>0</v>
      </c>
      <c r="AQ1473">
        <v>33333.333333333336</v>
      </c>
      <c r="AR1473" t="s">
        <v>4137</v>
      </c>
      <c r="AS1473" t="s">
        <v>75</v>
      </c>
      <c r="AX1473" t="s">
        <v>76</v>
      </c>
      <c r="AY1473" t="s">
        <v>176</v>
      </c>
      <c r="AZ1473">
        <v>0</v>
      </c>
      <c r="BA1473" t="s">
        <v>176</v>
      </c>
      <c r="BB1473">
        <v>0</v>
      </c>
    </row>
    <row r="1474" spans="1:54" x14ac:dyDescent="0.15">
      <c r="A1474" s="4" t="str">
        <f>HYPERLINK("https://ibp.a2mac1.com/costing(costing:projects/details/9760/part/8414846)","2nd Insulation on Rear Quarter Glass Panel")</f>
        <v>2nd Insulation on Rear Quarter Glass Panel</v>
      </c>
      <c r="B1474">
        <v>8414846</v>
      </c>
      <c r="C1474">
        <v>8414762</v>
      </c>
      <c r="E1474">
        <v>0.14000000000000001</v>
      </c>
      <c r="F1474">
        <v>0</v>
      </c>
      <c r="G1474">
        <v>0</v>
      </c>
      <c r="H1474">
        <v>7.0419999999999999E-4</v>
      </c>
      <c r="I1474" t="s">
        <v>176</v>
      </c>
      <c r="J1474">
        <v>4.8999999999999998E-3</v>
      </c>
      <c r="K1474">
        <v>0.14560419999999999</v>
      </c>
      <c r="L1474">
        <v>1.2954421929829723E-2</v>
      </c>
      <c r="M1474">
        <v>7.7726531578978339E-2</v>
      </c>
      <c r="N1474">
        <v>0.22333073157897834</v>
      </c>
      <c r="O1474" t="s">
        <v>177</v>
      </c>
      <c r="P1474">
        <v>8.7362519999999999E-3</v>
      </c>
      <c r="Q1474" t="s">
        <v>177</v>
      </c>
      <c r="R1474">
        <v>4.6635918947387006E-3</v>
      </c>
      <c r="S1474" t="s">
        <v>178</v>
      </c>
      <c r="T1474">
        <v>2.6799687789477399E-2</v>
      </c>
      <c r="U1474" t="s">
        <v>90</v>
      </c>
      <c r="V1474">
        <v>0</v>
      </c>
      <c r="W1474" t="s">
        <v>90</v>
      </c>
      <c r="X1474">
        <v>0</v>
      </c>
      <c r="Y1474">
        <v>0.26353026326319445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14</v>
      </c>
      <c r="AF1474">
        <v>78</v>
      </c>
      <c r="AG1474">
        <v>111</v>
      </c>
      <c r="AI1474">
        <v>7.0000000000000001E-3</v>
      </c>
      <c r="AK1474" t="s">
        <v>740</v>
      </c>
      <c r="AL1474" t="s">
        <v>4050</v>
      </c>
      <c r="AM1474">
        <v>400000</v>
      </c>
      <c r="AN1474" t="s">
        <v>97</v>
      </c>
      <c r="AO1474">
        <v>2</v>
      </c>
      <c r="AP1474">
        <v>0</v>
      </c>
      <c r="AQ1474">
        <v>33333.333333333336</v>
      </c>
      <c r="AR1474" t="s">
        <v>4140</v>
      </c>
      <c r="AS1474" t="s">
        <v>75</v>
      </c>
      <c r="AX1474" t="s">
        <v>76</v>
      </c>
      <c r="AY1474" t="s">
        <v>176</v>
      </c>
      <c r="AZ1474">
        <v>0</v>
      </c>
      <c r="BA1474" t="s">
        <v>176</v>
      </c>
      <c r="BB1474">
        <v>0</v>
      </c>
    </row>
    <row r="1475" spans="1:54" x14ac:dyDescent="0.15">
      <c r="A1475" s="4" t="str">
        <f>HYPERLINK("https://ibp.a2mac1.com/costing(costing:projects/details/9760/part/8414847)","On Side Lower Trunk Panel Insulation")</f>
        <v>On Side Lower Trunk Panel Insulation</v>
      </c>
      <c r="B1475">
        <v>8414847</v>
      </c>
      <c r="C1475">
        <v>8414762</v>
      </c>
      <c r="E1475">
        <v>0.52</v>
      </c>
      <c r="F1475">
        <v>0</v>
      </c>
      <c r="G1475">
        <v>0</v>
      </c>
      <c r="H1475">
        <v>2.6312000000000002E-3</v>
      </c>
      <c r="I1475" t="s">
        <v>176</v>
      </c>
      <c r="J1475">
        <v>1.8200000000000001E-2</v>
      </c>
      <c r="K1475">
        <v>0.54083119999999996</v>
      </c>
      <c r="L1475">
        <v>1.2954808617448894E-2</v>
      </c>
      <c r="M1475">
        <v>7.7728851704693361E-2</v>
      </c>
      <c r="N1475">
        <v>0.61856005170469341</v>
      </c>
      <c r="O1475" t="s">
        <v>177</v>
      </c>
      <c r="P1475">
        <v>3.2449871999999998E-2</v>
      </c>
      <c r="Q1475" t="s">
        <v>177</v>
      </c>
      <c r="R1475">
        <v>4.6637311022816015E-3</v>
      </c>
      <c r="S1475" t="s">
        <v>178</v>
      </c>
      <c r="T1475">
        <v>7.4227206204563204E-2</v>
      </c>
      <c r="U1475" t="s">
        <v>90</v>
      </c>
      <c r="V1475">
        <v>0</v>
      </c>
      <c r="W1475" t="s">
        <v>90</v>
      </c>
      <c r="X1475">
        <v>0</v>
      </c>
      <c r="Y1475">
        <v>0.72990086101153817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10</v>
      </c>
      <c r="AF1475">
        <v>392</v>
      </c>
      <c r="AG1475">
        <v>160</v>
      </c>
      <c r="AI1475">
        <v>1.4E-2</v>
      </c>
      <c r="AK1475" t="s">
        <v>740</v>
      </c>
      <c r="AL1475" t="s">
        <v>403</v>
      </c>
      <c r="AM1475">
        <v>200000</v>
      </c>
      <c r="AN1475" t="s">
        <v>97</v>
      </c>
      <c r="AO1475">
        <v>1</v>
      </c>
      <c r="AP1475">
        <v>0</v>
      </c>
      <c r="AQ1475">
        <v>16666.666666666668</v>
      </c>
      <c r="AR1475" t="s">
        <v>4143</v>
      </c>
      <c r="AS1475" t="s">
        <v>75</v>
      </c>
      <c r="AX1475" t="s">
        <v>76</v>
      </c>
      <c r="AY1475" t="s">
        <v>176</v>
      </c>
      <c r="AZ1475">
        <v>0</v>
      </c>
      <c r="BA1475" t="s">
        <v>176</v>
      </c>
      <c r="BB1475">
        <v>0</v>
      </c>
    </row>
    <row r="1476" spans="1:54" x14ac:dyDescent="0.15">
      <c r="A1476" s="4" t="str">
        <f>HYPERLINK("https://ibp.a2mac1.com/costing(costing:projects/details/9760/part/8414848)","2nd on Side Lower Trunk Panel Insulation")</f>
        <v>2nd on Side Lower Trunk Panel Insulation</v>
      </c>
      <c r="B1476">
        <v>8414848</v>
      </c>
      <c r="C1476">
        <v>8414762</v>
      </c>
      <c r="E1476">
        <v>0.65</v>
      </c>
      <c r="F1476">
        <v>0</v>
      </c>
      <c r="G1476">
        <v>0</v>
      </c>
      <c r="H1476">
        <v>3.2889999999999998E-3</v>
      </c>
      <c r="I1476" t="s">
        <v>176</v>
      </c>
      <c r="J1476">
        <v>2.2749999999999999E-2</v>
      </c>
      <c r="K1476">
        <v>0.67603899999999995</v>
      </c>
      <c r="L1476">
        <v>1.2954808617448894E-2</v>
      </c>
      <c r="M1476">
        <v>7.7728851704693361E-2</v>
      </c>
      <c r="N1476">
        <v>0.7537678517046934</v>
      </c>
      <c r="O1476" t="s">
        <v>177</v>
      </c>
      <c r="P1476">
        <v>4.0562340000000002E-2</v>
      </c>
      <c r="Q1476" t="s">
        <v>177</v>
      </c>
      <c r="R1476">
        <v>4.6637311022816015E-3</v>
      </c>
      <c r="S1476" t="s">
        <v>178</v>
      </c>
      <c r="T1476">
        <v>9.0452142204563199E-2</v>
      </c>
      <c r="U1476" t="s">
        <v>90</v>
      </c>
      <c r="V1476">
        <v>0</v>
      </c>
      <c r="W1476" t="s">
        <v>90</v>
      </c>
      <c r="X1476">
        <v>0</v>
      </c>
      <c r="Y1476">
        <v>0.88944606501153811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5</v>
      </c>
      <c r="AF1476">
        <v>525</v>
      </c>
      <c r="AG1476">
        <v>150</v>
      </c>
      <c r="AI1476">
        <v>2.5000000000000001E-2</v>
      </c>
      <c r="AK1476" t="s">
        <v>740</v>
      </c>
      <c r="AL1476" t="s">
        <v>399</v>
      </c>
      <c r="AM1476">
        <v>200000</v>
      </c>
      <c r="AN1476" t="s">
        <v>97</v>
      </c>
      <c r="AO1476">
        <v>1</v>
      </c>
      <c r="AP1476">
        <v>0</v>
      </c>
      <c r="AQ1476">
        <v>16666.666666666668</v>
      </c>
      <c r="AR1476" t="s">
        <v>4146</v>
      </c>
      <c r="AS1476" t="s">
        <v>75</v>
      </c>
      <c r="AX1476" t="s">
        <v>76</v>
      </c>
      <c r="AY1476" t="s">
        <v>176</v>
      </c>
      <c r="AZ1476">
        <v>0</v>
      </c>
      <c r="BA1476" t="s">
        <v>176</v>
      </c>
      <c r="BB1476">
        <v>0</v>
      </c>
    </row>
    <row r="1477" spans="1:54" x14ac:dyDescent="0.15">
      <c r="A1477" s="4" t="str">
        <f>HYPERLINK("https://ibp.a2mac1.com/costing(costing:projects/details/9760/part/8414849)","3rd on Side Lower Trunk Panel Insulation")</f>
        <v>3rd on Side Lower Trunk Panel Insulation</v>
      </c>
      <c r="B1477">
        <v>8414849</v>
      </c>
      <c r="C1477">
        <v>8414762</v>
      </c>
      <c r="E1477">
        <v>0.56999999999999995</v>
      </c>
      <c r="F1477">
        <v>0</v>
      </c>
      <c r="G1477">
        <v>0</v>
      </c>
      <c r="H1477">
        <v>2.8842E-3</v>
      </c>
      <c r="I1477" t="s">
        <v>176</v>
      </c>
      <c r="J1477">
        <v>1.9949999999999999E-2</v>
      </c>
      <c r="K1477">
        <v>0.59283419999999998</v>
      </c>
      <c r="L1477">
        <v>1.2954808617448894E-2</v>
      </c>
      <c r="M1477">
        <v>7.7728851704693361E-2</v>
      </c>
      <c r="N1477">
        <v>0.67056305170469332</v>
      </c>
      <c r="O1477" t="s">
        <v>177</v>
      </c>
      <c r="P1477">
        <v>3.5570051999999998E-2</v>
      </c>
      <c r="Q1477" t="s">
        <v>177</v>
      </c>
      <c r="R1477">
        <v>4.6637311022816015E-3</v>
      </c>
      <c r="S1477" t="s">
        <v>178</v>
      </c>
      <c r="T1477">
        <v>8.0467566204563204E-2</v>
      </c>
      <c r="U1477" t="s">
        <v>90</v>
      </c>
      <c r="V1477">
        <v>0</v>
      </c>
      <c r="W1477" t="s">
        <v>90</v>
      </c>
      <c r="X1477">
        <v>0</v>
      </c>
      <c r="Y1477">
        <v>0.79126440101153817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5</v>
      </c>
      <c r="AF1477">
        <v>405</v>
      </c>
      <c r="AG1477">
        <v>170</v>
      </c>
      <c r="AI1477">
        <v>1.4E-2</v>
      </c>
      <c r="AK1477" t="s">
        <v>272</v>
      </c>
      <c r="AL1477" t="s">
        <v>4050</v>
      </c>
      <c r="AM1477">
        <v>200000</v>
      </c>
      <c r="AN1477" t="s">
        <v>97</v>
      </c>
      <c r="AO1477">
        <v>1</v>
      </c>
      <c r="AP1477">
        <v>0</v>
      </c>
      <c r="AQ1477">
        <v>16666.666666666668</v>
      </c>
      <c r="AR1477" t="s">
        <v>4149</v>
      </c>
      <c r="AS1477" t="s">
        <v>75</v>
      </c>
      <c r="AX1477" t="s">
        <v>76</v>
      </c>
      <c r="AY1477" t="s">
        <v>176</v>
      </c>
      <c r="AZ1477">
        <v>0</v>
      </c>
      <c r="BA1477" t="s">
        <v>176</v>
      </c>
      <c r="BB1477">
        <v>0</v>
      </c>
    </row>
    <row r="1478" spans="1:54" x14ac:dyDescent="0.15">
      <c r="A1478" s="4" t="str">
        <f>HYPERLINK("https://ibp.a2mac1.com/costing(costing:projects/details/9760/part/8414850)","4th on Side Lower Trunk Panel Insulation")</f>
        <v>4th on Side Lower Trunk Panel Insulation</v>
      </c>
      <c r="B1478">
        <v>8414850</v>
      </c>
      <c r="C1478">
        <v>8414762</v>
      </c>
      <c r="E1478">
        <v>0.06</v>
      </c>
      <c r="F1478">
        <v>0</v>
      </c>
      <c r="G1478">
        <v>0</v>
      </c>
      <c r="H1478">
        <v>3.0360000000000001E-4</v>
      </c>
      <c r="I1478" t="s">
        <v>176</v>
      </c>
      <c r="J1478">
        <v>2.0999999999999999E-3</v>
      </c>
      <c r="K1478">
        <v>6.2403599999999997E-2</v>
      </c>
      <c r="L1478">
        <v>7.6565574225524614E-3</v>
      </c>
      <c r="M1478">
        <v>4.5939344535314765E-2</v>
      </c>
      <c r="N1478">
        <v>0.10834294453531476</v>
      </c>
      <c r="O1478" t="s">
        <v>177</v>
      </c>
      <c r="P1478">
        <v>3.7442159999999999E-3</v>
      </c>
      <c r="Q1478" t="s">
        <v>177</v>
      </c>
      <c r="R1478">
        <v>2.756360672118886E-3</v>
      </c>
      <c r="S1478" t="s">
        <v>178</v>
      </c>
      <c r="T1478">
        <v>1.3001153344237772E-2</v>
      </c>
      <c r="U1478" t="s">
        <v>90</v>
      </c>
      <c r="V1478">
        <v>0</v>
      </c>
      <c r="W1478" t="s">
        <v>90</v>
      </c>
      <c r="X1478">
        <v>0</v>
      </c>
      <c r="Y1478">
        <v>0.12784467455167142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5</v>
      </c>
      <c r="AF1478">
        <v>30</v>
      </c>
      <c r="AG1478">
        <v>225</v>
      </c>
      <c r="AI1478">
        <v>1.7000000000000001E-2</v>
      </c>
      <c r="AK1478" t="s">
        <v>740</v>
      </c>
      <c r="AL1478" t="s">
        <v>4050</v>
      </c>
      <c r="AM1478">
        <v>200000</v>
      </c>
      <c r="AN1478" t="s">
        <v>97</v>
      </c>
      <c r="AO1478">
        <v>1</v>
      </c>
      <c r="AP1478">
        <v>0</v>
      </c>
      <c r="AQ1478">
        <v>16666.666666666668</v>
      </c>
      <c r="AR1478" t="s">
        <v>4152</v>
      </c>
      <c r="AS1478" t="s">
        <v>75</v>
      </c>
      <c r="AX1478" t="s">
        <v>76</v>
      </c>
      <c r="AY1478" t="s">
        <v>176</v>
      </c>
      <c r="AZ1478">
        <v>0</v>
      </c>
      <c r="BA1478" t="s">
        <v>176</v>
      </c>
      <c r="BB1478">
        <v>0</v>
      </c>
    </row>
    <row r="1479" spans="1:54" x14ac:dyDescent="0.15">
      <c r="A1479" s="4" t="str">
        <f>HYPERLINK("https://ibp.a2mac1.com/costing(costing:projects/details/9760/part/8415011)","Foot Well Trim Sound Insulation")</f>
        <v>Foot Well Trim Sound Insulation</v>
      </c>
      <c r="B1479">
        <v>8415011</v>
      </c>
      <c r="C1479">
        <v>8414854</v>
      </c>
      <c r="E1479">
        <v>0.21</v>
      </c>
      <c r="F1479">
        <v>0</v>
      </c>
      <c r="G1479">
        <v>0</v>
      </c>
      <c r="H1479">
        <v>1.0625999999999999E-3</v>
      </c>
      <c r="I1479" t="s">
        <v>176</v>
      </c>
      <c r="J1479">
        <v>7.3499999999999998E-3</v>
      </c>
      <c r="K1479">
        <v>0.21841260000000001</v>
      </c>
      <c r="L1479">
        <v>9.422641154184605E-3</v>
      </c>
      <c r="M1479">
        <v>5.653584692510763E-2</v>
      </c>
      <c r="N1479">
        <v>0.27494844692510761</v>
      </c>
      <c r="O1479" t="s">
        <v>177</v>
      </c>
      <c r="P1479">
        <v>1.3104756E-2</v>
      </c>
      <c r="Q1479" t="s">
        <v>177</v>
      </c>
      <c r="R1479">
        <v>3.392150815506458E-3</v>
      </c>
      <c r="S1479" t="s">
        <v>178</v>
      </c>
      <c r="T1479">
        <v>3.2993813631012919E-2</v>
      </c>
      <c r="U1479" t="s">
        <v>90</v>
      </c>
      <c r="V1479">
        <v>0</v>
      </c>
      <c r="W1479" t="s">
        <v>90</v>
      </c>
      <c r="X1479">
        <v>0</v>
      </c>
      <c r="Y1479">
        <v>0.32443916737162698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18</v>
      </c>
      <c r="AF1479">
        <v>183</v>
      </c>
      <c r="AG1479">
        <v>141</v>
      </c>
      <c r="AI1479">
        <v>8.0000000000000002E-3</v>
      </c>
      <c r="AK1479" t="s">
        <v>740</v>
      </c>
      <c r="AL1479" t="s">
        <v>403</v>
      </c>
      <c r="AM1479">
        <v>200000</v>
      </c>
      <c r="AN1479" t="s">
        <v>97</v>
      </c>
      <c r="AO1479">
        <v>1</v>
      </c>
      <c r="AP1479">
        <v>0</v>
      </c>
      <c r="AQ1479">
        <v>16666.666666666668</v>
      </c>
      <c r="AR1479" t="s">
        <v>4158</v>
      </c>
      <c r="AS1479" t="s">
        <v>75</v>
      </c>
      <c r="AX1479" t="s">
        <v>76</v>
      </c>
      <c r="AY1479" t="s">
        <v>176</v>
      </c>
      <c r="AZ1479">
        <v>0</v>
      </c>
      <c r="BA1479" t="s">
        <v>176</v>
      </c>
      <c r="BB1479">
        <v>0</v>
      </c>
    </row>
    <row r="1480" spans="1:54" x14ac:dyDescent="0.15">
      <c r="A1480" s="4" t="str">
        <f>HYPERLINK("https://ibp.a2mac1.com/costing(costing:projects/details/9760/part/8414851)","Center Side Identical")</f>
        <v>Center Side Identical</v>
      </c>
      <c r="B1480">
        <v>8414851</v>
      </c>
      <c r="C1480">
        <v>8414763</v>
      </c>
      <c r="E1480">
        <v>0.47</v>
      </c>
      <c r="F1480">
        <v>0</v>
      </c>
      <c r="G1480">
        <v>0</v>
      </c>
      <c r="H1480">
        <v>2.3782E-3</v>
      </c>
      <c r="I1480" t="s">
        <v>176</v>
      </c>
      <c r="J1480">
        <v>1.6449999999999999E-2</v>
      </c>
      <c r="K1480">
        <v>0.48882819999999999</v>
      </c>
      <c r="L1480">
        <v>1.1188724885816749E-2</v>
      </c>
      <c r="M1480">
        <v>6.7132349314900502E-2</v>
      </c>
      <c r="N1480">
        <v>0.55596054931490047</v>
      </c>
      <c r="O1480" t="s">
        <v>177</v>
      </c>
      <c r="P1480">
        <v>2.9329692000000001E-2</v>
      </c>
      <c r="Q1480" t="s">
        <v>177</v>
      </c>
      <c r="R1480">
        <v>4.02794095889403E-3</v>
      </c>
      <c r="S1480" t="s">
        <v>178</v>
      </c>
      <c r="T1480">
        <v>6.6715265917788064E-2</v>
      </c>
      <c r="U1480" t="s">
        <v>90</v>
      </c>
      <c r="V1480">
        <v>0</v>
      </c>
      <c r="W1480" t="s">
        <v>90</v>
      </c>
      <c r="X1480">
        <v>0</v>
      </c>
      <c r="Y1480">
        <v>0.6560334481915826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15</v>
      </c>
      <c r="AF1480">
        <v>355</v>
      </c>
      <c r="AG1480">
        <v>160</v>
      </c>
      <c r="AI1480">
        <v>1.2999999999999999E-2</v>
      </c>
      <c r="AK1480" t="s">
        <v>740</v>
      </c>
      <c r="AL1480" t="s">
        <v>403</v>
      </c>
      <c r="AM1480">
        <v>200000</v>
      </c>
      <c r="AN1480" t="s">
        <v>97</v>
      </c>
      <c r="AO1480">
        <v>1</v>
      </c>
      <c r="AP1480">
        <v>0</v>
      </c>
      <c r="AQ1480">
        <v>16666.666666666668</v>
      </c>
      <c r="AR1480" t="s">
        <v>4162</v>
      </c>
      <c r="AS1480" t="s">
        <v>75</v>
      </c>
      <c r="AX1480" t="s">
        <v>76</v>
      </c>
      <c r="AY1480" t="s">
        <v>176</v>
      </c>
      <c r="AZ1480">
        <v>0</v>
      </c>
      <c r="BA1480" t="s">
        <v>176</v>
      </c>
      <c r="BB1480">
        <v>0</v>
      </c>
    </row>
    <row r="1481" spans="1:54" x14ac:dyDescent="0.15">
      <c r="A1481" s="4" t="str">
        <f>HYPERLINK("https://ibp.a2mac1.com/costing(costing:projects/details/9760/part/8414852)","Heating Ducts Insulation")</f>
        <v>Heating Ducts Insulation</v>
      </c>
      <c r="B1481">
        <v>8414852</v>
      </c>
      <c r="C1481">
        <v>8414763</v>
      </c>
      <c r="E1481">
        <v>0.14000000000000001</v>
      </c>
      <c r="F1481">
        <v>0</v>
      </c>
      <c r="G1481">
        <v>0</v>
      </c>
      <c r="H1481">
        <v>7.0839999999999998E-4</v>
      </c>
      <c r="I1481" t="s">
        <v>176</v>
      </c>
      <c r="J1481">
        <v>4.8999999999999998E-3</v>
      </c>
      <c r="K1481">
        <v>0.1456084</v>
      </c>
      <c r="L1481">
        <v>9.422641154184605E-3</v>
      </c>
      <c r="M1481">
        <v>5.653584692510763E-2</v>
      </c>
      <c r="N1481">
        <v>0.20214424692510763</v>
      </c>
      <c r="O1481" t="s">
        <v>177</v>
      </c>
      <c r="P1481">
        <v>8.7365040000000008E-3</v>
      </c>
      <c r="Q1481" t="s">
        <v>177</v>
      </c>
      <c r="R1481">
        <v>3.392150815506458E-3</v>
      </c>
      <c r="S1481" t="s">
        <v>178</v>
      </c>
      <c r="T1481">
        <v>2.4257309631012917E-2</v>
      </c>
      <c r="U1481" t="s">
        <v>90</v>
      </c>
      <c r="V1481">
        <v>0</v>
      </c>
      <c r="W1481" t="s">
        <v>90</v>
      </c>
      <c r="X1481">
        <v>0</v>
      </c>
      <c r="Y1481">
        <v>0.238530211371627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11</v>
      </c>
      <c r="AF1481">
        <v>296</v>
      </c>
      <c r="AG1481">
        <v>56</v>
      </c>
      <c r="AI1481">
        <v>4.0000000000000001E-3</v>
      </c>
      <c r="AK1481" t="s">
        <v>740</v>
      </c>
      <c r="AL1481" t="s">
        <v>403</v>
      </c>
      <c r="AM1481">
        <v>200000</v>
      </c>
      <c r="AN1481" t="s">
        <v>97</v>
      </c>
      <c r="AO1481">
        <v>1</v>
      </c>
      <c r="AP1481">
        <v>0</v>
      </c>
      <c r="AQ1481">
        <v>16666.666666666668</v>
      </c>
      <c r="AR1481" t="s">
        <v>4165</v>
      </c>
      <c r="AS1481" t="s">
        <v>75</v>
      </c>
      <c r="AX1481" t="s">
        <v>76</v>
      </c>
      <c r="AY1481" t="s">
        <v>176</v>
      </c>
      <c r="AZ1481">
        <v>0</v>
      </c>
      <c r="BA1481" t="s">
        <v>176</v>
      </c>
      <c r="BB1481">
        <v>0</v>
      </c>
    </row>
    <row r="1482" spans="1:54" x14ac:dyDescent="0.15">
      <c r="A1482" s="4" t="str">
        <f>HYPERLINK("https://ibp.a2mac1.com/costing(costing:projects/details/9760/part/8414853)","2nd Heating Ducts Insulation")</f>
        <v>2nd Heating Ducts Insulation</v>
      </c>
      <c r="B1482">
        <v>8414853</v>
      </c>
      <c r="C1482">
        <v>8414763</v>
      </c>
      <c r="E1482">
        <v>0.34</v>
      </c>
      <c r="F1482">
        <v>0</v>
      </c>
      <c r="G1482">
        <v>0</v>
      </c>
      <c r="H1482">
        <v>1.7204E-3</v>
      </c>
      <c r="I1482" t="s">
        <v>176</v>
      </c>
      <c r="J1482">
        <v>1.1900000000000001E-2</v>
      </c>
      <c r="K1482">
        <v>0.3536204</v>
      </c>
      <c r="L1482">
        <v>9.422641154184605E-3</v>
      </c>
      <c r="M1482">
        <v>5.653584692510763E-2</v>
      </c>
      <c r="N1482">
        <v>0.41015624692510766</v>
      </c>
      <c r="O1482" t="s">
        <v>177</v>
      </c>
      <c r="P1482">
        <v>2.1217224E-2</v>
      </c>
      <c r="Q1482" t="s">
        <v>177</v>
      </c>
      <c r="R1482">
        <v>3.392150815506458E-3</v>
      </c>
      <c r="S1482" t="s">
        <v>178</v>
      </c>
      <c r="T1482">
        <v>4.9218749631012915E-2</v>
      </c>
      <c r="U1482" t="s">
        <v>90</v>
      </c>
      <c r="V1482">
        <v>0</v>
      </c>
      <c r="W1482" t="s">
        <v>90</v>
      </c>
      <c r="X1482">
        <v>0</v>
      </c>
      <c r="Y1482">
        <v>0.48398437137162703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10</v>
      </c>
      <c r="AF1482">
        <v>223</v>
      </c>
      <c r="AG1482">
        <v>186</v>
      </c>
      <c r="AI1482">
        <v>2.3E-2</v>
      </c>
      <c r="AK1482" t="s">
        <v>740</v>
      </c>
      <c r="AL1482" t="s">
        <v>4050</v>
      </c>
      <c r="AM1482">
        <v>200000</v>
      </c>
      <c r="AN1482" t="s">
        <v>97</v>
      </c>
      <c r="AO1482">
        <v>1</v>
      </c>
      <c r="AP1482">
        <v>0</v>
      </c>
      <c r="AQ1482">
        <v>16666.666666666668</v>
      </c>
      <c r="AR1482" t="s">
        <v>4168</v>
      </c>
      <c r="AS1482" t="s">
        <v>75</v>
      </c>
      <c r="AX1482" t="s">
        <v>76</v>
      </c>
      <c r="AY1482" t="s">
        <v>176</v>
      </c>
      <c r="AZ1482">
        <v>0</v>
      </c>
      <c r="BA1482" t="s">
        <v>176</v>
      </c>
      <c r="BB1482">
        <v>0</v>
      </c>
    </row>
    <row r="1483" spans="1:54" x14ac:dyDescent="0.15">
      <c r="A1483" s="4" t="str">
        <f>HYPERLINK("https://ibp.a2mac1.com/costing(costing:projects/details/9760/part/8414855)","Rear Sound Insulation Under Roof")</f>
        <v>Rear Sound Insulation Under Roof</v>
      </c>
      <c r="B1483">
        <v>8414855</v>
      </c>
      <c r="C1483">
        <v>8414764</v>
      </c>
      <c r="E1483">
        <v>0.1</v>
      </c>
      <c r="F1483">
        <v>0</v>
      </c>
      <c r="G1483">
        <v>0</v>
      </c>
      <c r="H1483">
        <v>5.0600000000000005E-4</v>
      </c>
      <c r="I1483" t="s">
        <v>176</v>
      </c>
      <c r="J1483">
        <v>3.5000000000000001E-3</v>
      </c>
      <c r="K1483">
        <v>0.104006</v>
      </c>
      <c r="L1483">
        <v>7.6565574225524614E-3</v>
      </c>
      <c r="M1483">
        <v>4.5939344535314765E-2</v>
      </c>
      <c r="N1483">
        <v>0.14994534453531477</v>
      </c>
      <c r="O1483" t="s">
        <v>177</v>
      </c>
      <c r="P1483">
        <v>6.2403600000000004E-3</v>
      </c>
      <c r="Q1483" t="s">
        <v>177</v>
      </c>
      <c r="R1483">
        <v>2.756360672118886E-3</v>
      </c>
      <c r="S1483" t="s">
        <v>178</v>
      </c>
      <c r="T1483">
        <v>1.7993441344237773E-2</v>
      </c>
      <c r="U1483" t="s">
        <v>90</v>
      </c>
      <c r="V1483">
        <v>0</v>
      </c>
      <c r="W1483" t="s">
        <v>90</v>
      </c>
      <c r="X1483">
        <v>0</v>
      </c>
      <c r="Y1483">
        <v>0.17693550655167142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5</v>
      </c>
      <c r="AF1483">
        <v>235</v>
      </c>
      <c r="AG1483">
        <v>50</v>
      </c>
      <c r="AI1483">
        <v>3.0000000000000001E-3</v>
      </c>
      <c r="AK1483" t="s">
        <v>740</v>
      </c>
      <c r="AL1483" t="s">
        <v>403</v>
      </c>
      <c r="AM1483">
        <v>200000</v>
      </c>
      <c r="AN1483" t="s">
        <v>97</v>
      </c>
      <c r="AO1483">
        <v>1</v>
      </c>
      <c r="AP1483">
        <v>0</v>
      </c>
      <c r="AQ1483">
        <v>16666.666666666668</v>
      </c>
      <c r="AR1483" t="s">
        <v>4173</v>
      </c>
      <c r="AS1483" t="s">
        <v>75</v>
      </c>
      <c r="AX1483" t="s">
        <v>76</v>
      </c>
      <c r="AY1483" t="s">
        <v>176</v>
      </c>
      <c r="AZ1483">
        <v>0</v>
      </c>
      <c r="BA1483" t="s">
        <v>176</v>
      </c>
      <c r="BB1483">
        <v>0</v>
      </c>
    </row>
    <row r="1484" spans="1:54" x14ac:dyDescent="0.15">
      <c r="A1484" s="4" t="str">
        <f>HYPERLINK("https://ibp.a2mac1.com/costing(costing:projects/details/9760/part/8414856)","Rear Sound Insulation Under Roof 2")</f>
        <v>Rear Sound Insulation Under Roof 2</v>
      </c>
      <c r="B1484">
        <v>8414856</v>
      </c>
      <c r="C1484">
        <v>8414764</v>
      </c>
      <c r="E1484">
        <v>7.0000000000000007E-2</v>
      </c>
      <c r="F1484">
        <v>0</v>
      </c>
      <c r="G1484">
        <v>0</v>
      </c>
      <c r="H1484">
        <v>3.5419999999999999E-4</v>
      </c>
      <c r="I1484" t="s">
        <v>176</v>
      </c>
      <c r="J1484">
        <v>2.4499999999999999E-3</v>
      </c>
      <c r="K1484">
        <v>7.2804199999999999E-2</v>
      </c>
      <c r="L1484">
        <v>7.6565574225524614E-3</v>
      </c>
      <c r="M1484">
        <v>4.5939344535314765E-2</v>
      </c>
      <c r="N1484">
        <v>0.11874354453531477</v>
      </c>
      <c r="O1484" t="s">
        <v>177</v>
      </c>
      <c r="P1484">
        <v>4.3682520000000004E-3</v>
      </c>
      <c r="Q1484" t="s">
        <v>177</v>
      </c>
      <c r="R1484">
        <v>2.756360672118886E-3</v>
      </c>
      <c r="S1484" t="s">
        <v>178</v>
      </c>
      <c r="T1484">
        <v>1.4249225344237773E-2</v>
      </c>
      <c r="U1484" t="s">
        <v>90</v>
      </c>
      <c r="V1484">
        <v>0</v>
      </c>
      <c r="W1484" t="s">
        <v>90</v>
      </c>
      <c r="X1484">
        <v>0</v>
      </c>
      <c r="Y1484">
        <v>0.14011738255167142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5</v>
      </c>
      <c r="AF1484">
        <v>177</v>
      </c>
      <c r="AG1484">
        <v>48</v>
      </c>
      <c r="AI1484">
        <v>2E-3</v>
      </c>
      <c r="AK1484" t="s">
        <v>740</v>
      </c>
      <c r="AL1484" t="s">
        <v>403</v>
      </c>
      <c r="AM1484">
        <v>200000</v>
      </c>
      <c r="AN1484" t="s">
        <v>97</v>
      </c>
      <c r="AO1484">
        <v>1</v>
      </c>
      <c r="AP1484">
        <v>0</v>
      </c>
      <c r="AQ1484">
        <v>16666.666666666668</v>
      </c>
      <c r="AR1484" t="s">
        <v>4176</v>
      </c>
      <c r="AS1484" t="s">
        <v>75</v>
      </c>
      <c r="AX1484" t="s">
        <v>76</v>
      </c>
      <c r="AY1484" t="s">
        <v>176</v>
      </c>
      <c r="AZ1484">
        <v>0</v>
      </c>
      <c r="BA1484" t="s">
        <v>176</v>
      </c>
      <c r="BB1484">
        <v>0</v>
      </c>
    </row>
    <row r="1485" spans="1:54" x14ac:dyDescent="0.15">
      <c r="A1485" s="4" t="str">
        <f>HYPERLINK("https://ibp.a2mac1.com/costing(costing:projects/details/9760/part/8414857)","Noise Insulation on Center Console")</f>
        <v>Noise Insulation on Center Console</v>
      </c>
      <c r="B1485">
        <v>8414857</v>
      </c>
      <c r="C1485">
        <v>8414765</v>
      </c>
      <c r="E1485">
        <v>0.15</v>
      </c>
      <c r="F1485">
        <v>0</v>
      </c>
      <c r="G1485">
        <v>0</v>
      </c>
      <c r="H1485">
        <v>7.5900000000000002E-4</v>
      </c>
      <c r="I1485" t="s">
        <v>176</v>
      </c>
      <c r="J1485">
        <v>5.2500000000000003E-3</v>
      </c>
      <c r="K1485">
        <v>0.15600900000000001</v>
      </c>
      <c r="L1485">
        <v>9.422641154184605E-3</v>
      </c>
      <c r="M1485">
        <v>5.653584692510763E-2</v>
      </c>
      <c r="N1485">
        <v>0.21254484692510764</v>
      </c>
      <c r="O1485" t="s">
        <v>177</v>
      </c>
      <c r="P1485">
        <v>9.3605400000000005E-3</v>
      </c>
      <c r="Q1485" t="s">
        <v>177</v>
      </c>
      <c r="R1485">
        <v>3.392150815506458E-3</v>
      </c>
      <c r="S1485" t="s">
        <v>178</v>
      </c>
      <c r="T1485">
        <v>2.5505381631012916E-2</v>
      </c>
      <c r="U1485" t="s">
        <v>90</v>
      </c>
      <c r="V1485">
        <v>0</v>
      </c>
      <c r="W1485" t="s">
        <v>90</v>
      </c>
      <c r="X1485">
        <v>0</v>
      </c>
      <c r="Y1485">
        <v>0.25080291937162702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15</v>
      </c>
      <c r="AF1485">
        <v>99</v>
      </c>
      <c r="AG1485">
        <v>187</v>
      </c>
      <c r="AI1485">
        <v>8.0000000000000002E-3</v>
      </c>
      <c r="AK1485" t="s">
        <v>740</v>
      </c>
      <c r="AL1485" t="s">
        <v>403</v>
      </c>
      <c r="AM1485">
        <v>200000</v>
      </c>
      <c r="AN1485" t="s">
        <v>97</v>
      </c>
      <c r="AO1485">
        <v>1</v>
      </c>
      <c r="AP1485">
        <v>0</v>
      </c>
      <c r="AQ1485">
        <v>16666.666666666668</v>
      </c>
      <c r="AR1485" t="s">
        <v>4181</v>
      </c>
      <c r="AS1485" t="s">
        <v>75</v>
      </c>
      <c r="AX1485" t="s">
        <v>76</v>
      </c>
      <c r="AY1485" t="s">
        <v>176</v>
      </c>
      <c r="AZ1485">
        <v>0</v>
      </c>
      <c r="BA1485" t="s">
        <v>176</v>
      </c>
      <c r="BB1485">
        <v>0</v>
      </c>
    </row>
    <row r="1486" spans="1:54" x14ac:dyDescent="0.15">
      <c r="A1486" s="4" t="str">
        <f>HYPERLINK("https://ibp.a2mac1.com/costing(costing:projects/details/9760/part/8414858)","2nd Noise Insulation on Center Console")</f>
        <v>2nd Noise Insulation on Center Console</v>
      </c>
      <c r="B1486">
        <v>8414858</v>
      </c>
      <c r="C1486">
        <v>8414765</v>
      </c>
      <c r="E1486">
        <v>0.33</v>
      </c>
      <c r="F1486">
        <v>0</v>
      </c>
      <c r="G1486">
        <v>0</v>
      </c>
      <c r="H1486">
        <v>1.6697999999999999E-3</v>
      </c>
      <c r="I1486" t="s">
        <v>176</v>
      </c>
      <c r="J1486">
        <v>1.155E-2</v>
      </c>
      <c r="K1486">
        <v>0.34321980000000002</v>
      </c>
      <c r="L1486">
        <v>9.422641154184605E-3</v>
      </c>
      <c r="M1486">
        <v>5.653584692510763E-2</v>
      </c>
      <c r="N1486">
        <v>0.39975564692510762</v>
      </c>
      <c r="O1486" t="s">
        <v>177</v>
      </c>
      <c r="P1486">
        <v>2.0593187999999998E-2</v>
      </c>
      <c r="Q1486" t="s">
        <v>177</v>
      </c>
      <c r="R1486">
        <v>3.392150815506458E-3</v>
      </c>
      <c r="S1486" t="s">
        <v>178</v>
      </c>
      <c r="T1486">
        <v>4.7970677631012919E-2</v>
      </c>
      <c r="U1486" t="s">
        <v>90</v>
      </c>
      <c r="V1486">
        <v>0</v>
      </c>
      <c r="W1486" t="s">
        <v>90</v>
      </c>
      <c r="X1486">
        <v>0</v>
      </c>
      <c r="Y1486">
        <v>0.47171166337162701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16</v>
      </c>
      <c r="AF1486">
        <v>190</v>
      </c>
      <c r="AG1486">
        <v>210</v>
      </c>
      <c r="AI1486">
        <v>1.0999999999999999E-2</v>
      </c>
      <c r="AK1486" t="s">
        <v>740</v>
      </c>
      <c r="AL1486" t="s">
        <v>4050</v>
      </c>
      <c r="AM1486">
        <v>200000</v>
      </c>
      <c r="AN1486" t="s">
        <v>97</v>
      </c>
      <c r="AO1486">
        <v>1</v>
      </c>
      <c r="AP1486">
        <v>0</v>
      </c>
      <c r="AQ1486">
        <v>16666.666666666668</v>
      </c>
      <c r="AR1486" t="s">
        <v>4184</v>
      </c>
      <c r="AS1486" t="s">
        <v>75</v>
      </c>
      <c r="AX1486" t="s">
        <v>76</v>
      </c>
      <c r="AY1486" t="s">
        <v>176</v>
      </c>
      <c r="AZ1486">
        <v>0</v>
      </c>
      <c r="BA1486" t="s">
        <v>176</v>
      </c>
      <c r="BB1486">
        <v>0</v>
      </c>
    </row>
    <row r="1487" spans="1:54" x14ac:dyDescent="0.15">
      <c r="A1487" s="4" t="str">
        <f>HYPERLINK("https://ibp.a2mac1.com/costing(costing:projects/details/9760/part/8414747)","Sound Insulation Engine Side Single Main")</f>
        <v>Sound Insulation Engine Side Single Main</v>
      </c>
      <c r="B1487">
        <v>8414747</v>
      </c>
      <c r="C1487">
        <v>8414734</v>
      </c>
      <c r="E1487">
        <v>3.29</v>
      </c>
      <c r="F1487">
        <v>0.16</v>
      </c>
      <c r="G1487">
        <v>0</v>
      </c>
      <c r="H1487">
        <v>1.66474E-2</v>
      </c>
      <c r="I1487" t="s">
        <v>176</v>
      </c>
      <c r="J1487">
        <v>0.11515</v>
      </c>
      <c r="K1487">
        <v>3.5873974</v>
      </c>
      <c r="L1487">
        <v>0.50392608601118494</v>
      </c>
      <c r="M1487">
        <v>3.0235565160671096</v>
      </c>
      <c r="N1487">
        <v>6.6109539160671096</v>
      </c>
      <c r="O1487" t="s">
        <v>177</v>
      </c>
      <c r="P1487">
        <v>0.21524384399999999</v>
      </c>
      <c r="Q1487" t="s">
        <v>177</v>
      </c>
      <c r="R1487">
        <v>0.18141339096402656</v>
      </c>
      <c r="S1487" t="s">
        <v>178</v>
      </c>
      <c r="T1487">
        <v>0.7933144699280531</v>
      </c>
      <c r="U1487" t="s">
        <v>90</v>
      </c>
      <c r="V1487">
        <v>0</v>
      </c>
      <c r="W1487" t="s">
        <v>90</v>
      </c>
      <c r="X1487">
        <v>0</v>
      </c>
      <c r="Y1487">
        <v>7.8009256209591893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123</v>
      </c>
      <c r="AF1487">
        <v>1485</v>
      </c>
      <c r="AG1487">
        <v>648</v>
      </c>
      <c r="AI1487">
        <v>0.35</v>
      </c>
      <c r="AK1487" t="s">
        <v>740</v>
      </c>
      <c r="AL1487" t="s">
        <v>4189</v>
      </c>
      <c r="AM1487">
        <v>200000</v>
      </c>
      <c r="AN1487" t="s">
        <v>97</v>
      </c>
      <c r="AO1487">
        <v>1</v>
      </c>
      <c r="AP1487">
        <v>0</v>
      </c>
      <c r="AQ1487">
        <v>16666.666666666668</v>
      </c>
      <c r="AR1487" t="s">
        <v>4190</v>
      </c>
      <c r="AS1487" t="s">
        <v>75</v>
      </c>
      <c r="AX1487" t="s">
        <v>76</v>
      </c>
      <c r="AY1487" t="s">
        <v>176</v>
      </c>
      <c r="AZ1487">
        <v>5.5999999999999999E-3</v>
      </c>
      <c r="BA1487" t="s">
        <v>176</v>
      </c>
      <c r="BB1487">
        <v>0</v>
      </c>
    </row>
    <row r="1488" spans="1:54" x14ac:dyDescent="0.15">
      <c r="A1488" s="4" t="str">
        <f>HYPERLINK("https://ibp.a2mac1.com/costing(costing:projects/details/9760/part/8414748)","Sound Insulation Cabin Side")</f>
        <v>Sound Insulation Cabin Side</v>
      </c>
      <c r="B1488">
        <v>8414748</v>
      </c>
      <c r="C1488">
        <v>8414734</v>
      </c>
      <c r="E1488">
        <v>20.99</v>
      </c>
      <c r="F1488">
        <v>0.15</v>
      </c>
      <c r="G1488">
        <v>0</v>
      </c>
      <c r="H1488">
        <v>0.1062094</v>
      </c>
      <c r="I1488" t="s">
        <v>176</v>
      </c>
      <c r="J1488">
        <v>0.73465000000000003</v>
      </c>
      <c r="K1488">
        <v>21.9861094</v>
      </c>
      <c r="L1488">
        <v>0.71762221753867439</v>
      </c>
      <c r="M1488">
        <v>4.3057333052320459</v>
      </c>
      <c r="N1488">
        <v>26.291842705232046</v>
      </c>
      <c r="O1488" t="s">
        <v>177</v>
      </c>
      <c r="P1488">
        <v>1.3191665640000001</v>
      </c>
      <c r="Q1488" t="s">
        <v>177</v>
      </c>
      <c r="R1488">
        <v>0.25834399831392274</v>
      </c>
      <c r="S1488" t="s">
        <v>178</v>
      </c>
      <c r="T1488">
        <v>3.1550211246278455</v>
      </c>
      <c r="U1488" t="s">
        <v>90</v>
      </c>
      <c r="V1488">
        <v>0</v>
      </c>
      <c r="W1488" t="s">
        <v>90</v>
      </c>
      <c r="X1488">
        <v>0</v>
      </c>
      <c r="Y1488">
        <v>31.024374392173815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285</v>
      </c>
      <c r="AF1488">
        <v>1855</v>
      </c>
      <c r="AG1488">
        <v>760</v>
      </c>
      <c r="AI1488">
        <v>3.08</v>
      </c>
      <c r="AK1488" t="s">
        <v>740</v>
      </c>
      <c r="AL1488" t="s">
        <v>1375</v>
      </c>
      <c r="AM1488">
        <v>200000</v>
      </c>
      <c r="AN1488" t="s">
        <v>97</v>
      </c>
      <c r="AO1488">
        <v>1</v>
      </c>
      <c r="AP1488">
        <v>0</v>
      </c>
      <c r="AQ1488">
        <v>16666.666666666668</v>
      </c>
      <c r="AR1488" t="s">
        <v>4193</v>
      </c>
      <c r="AS1488" t="s">
        <v>75</v>
      </c>
      <c r="AX1488" t="s">
        <v>76</v>
      </c>
      <c r="AY1488" t="s">
        <v>176</v>
      </c>
      <c r="AZ1488">
        <v>5.2500000000000003E-3</v>
      </c>
      <c r="BA1488" t="s">
        <v>176</v>
      </c>
      <c r="BB1488">
        <v>0</v>
      </c>
    </row>
    <row r="1489" spans="1:56" x14ac:dyDescent="0.15">
      <c r="A1489" s="4" t="str">
        <f>HYPERLINK("https://ibp.a2mac1.com/costing(costing:projects/details/9760/part/8414749)","2nd Sound Insulation Cabin Side")</f>
        <v>2nd Sound Insulation Cabin Side</v>
      </c>
      <c r="B1489">
        <v>8414749</v>
      </c>
      <c r="C1489">
        <v>8414734</v>
      </c>
      <c r="E1489">
        <v>0.05</v>
      </c>
      <c r="F1489">
        <v>0</v>
      </c>
      <c r="G1489">
        <v>0</v>
      </c>
      <c r="H1489">
        <v>2.5300000000000002E-4</v>
      </c>
      <c r="I1489" t="s">
        <v>176</v>
      </c>
      <c r="J1489">
        <v>1.75E-3</v>
      </c>
      <c r="K1489">
        <v>5.2003000000000001E-2</v>
      </c>
      <c r="L1489">
        <v>7.6565574225524614E-3</v>
      </c>
      <c r="M1489">
        <v>4.5939344535314765E-2</v>
      </c>
      <c r="N1489">
        <v>9.7942344535314765E-2</v>
      </c>
      <c r="O1489" t="s">
        <v>177</v>
      </c>
      <c r="P1489">
        <v>3.1201800000000002E-3</v>
      </c>
      <c r="Q1489" t="s">
        <v>177</v>
      </c>
      <c r="R1489">
        <v>2.756360672118886E-3</v>
      </c>
      <c r="S1489" t="s">
        <v>178</v>
      </c>
      <c r="T1489">
        <v>1.1753081344237772E-2</v>
      </c>
      <c r="U1489" t="s">
        <v>90</v>
      </c>
      <c r="V1489">
        <v>0</v>
      </c>
      <c r="W1489" t="s">
        <v>90</v>
      </c>
      <c r="X1489">
        <v>0</v>
      </c>
      <c r="Y1489">
        <v>0.11557196655167143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9</v>
      </c>
      <c r="AF1489">
        <v>159</v>
      </c>
      <c r="AG1489">
        <v>38</v>
      </c>
      <c r="AI1489">
        <v>3.0000000000000001E-3</v>
      </c>
      <c r="AK1489" t="s">
        <v>740</v>
      </c>
      <c r="AL1489" t="s">
        <v>4050</v>
      </c>
      <c r="AM1489">
        <v>200000</v>
      </c>
      <c r="AN1489" t="s">
        <v>97</v>
      </c>
      <c r="AO1489">
        <v>1</v>
      </c>
      <c r="AP1489">
        <v>0</v>
      </c>
      <c r="AQ1489">
        <v>16666.666666666668</v>
      </c>
      <c r="AR1489" t="s">
        <v>4196</v>
      </c>
      <c r="AS1489" t="s">
        <v>75</v>
      </c>
      <c r="AX1489" t="s">
        <v>76</v>
      </c>
      <c r="AY1489" t="s">
        <v>176</v>
      </c>
      <c r="AZ1489">
        <v>0</v>
      </c>
      <c r="BA1489" t="s">
        <v>176</v>
      </c>
      <c r="BB1489">
        <v>0</v>
      </c>
    </row>
    <row r="1490" spans="1:56" x14ac:dyDescent="0.15">
      <c r="A1490" s="4" t="str">
        <f>HYPERLINK("https://ibp.a2mac1.com/costing(costing:projects/details/9760/part/8414750)","3rd Sound Insulation Cabin Side")</f>
        <v>3rd Sound Insulation Cabin Side</v>
      </c>
      <c r="B1490">
        <v>8414750</v>
      </c>
      <c r="C1490">
        <v>8414734</v>
      </c>
      <c r="E1490">
        <v>0.06</v>
      </c>
      <c r="F1490">
        <v>0</v>
      </c>
      <c r="G1490">
        <v>0</v>
      </c>
      <c r="H1490">
        <v>3.0360000000000001E-4</v>
      </c>
      <c r="I1490" t="s">
        <v>176</v>
      </c>
      <c r="J1490">
        <v>2.0999999999999999E-3</v>
      </c>
      <c r="K1490">
        <v>6.2403599999999997E-2</v>
      </c>
      <c r="L1490">
        <v>7.6565574225524614E-3</v>
      </c>
      <c r="M1490">
        <v>4.5939344535314765E-2</v>
      </c>
      <c r="N1490">
        <v>0.10834294453531476</v>
      </c>
      <c r="O1490" t="s">
        <v>177</v>
      </c>
      <c r="P1490">
        <v>3.7442159999999999E-3</v>
      </c>
      <c r="Q1490" t="s">
        <v>177</v>
      </c>
      <c r="R1490">
        <v>2.756360672118886E-3</v>
      </c>
      <c r="S1490" t="s">
        <v>178</v>
      </c>
      <c r="T1490">
        <v>1.3001153344237772E-2</v>
      </c>
      <c r="U1490" t="s">
        <v>90</v>
      </c>
      <c r="V1490">
        <v>0</v>
      </c>
      <c r="W1490" t="s">
        <v>90</v>
      </c>
      <c r="X1490">
        <v>0</v>
      </c>
      <c r="Y1490">
        <v>0.12784467455167142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10</v>
      </c>
      <c r="AF1490">
        <v>103</v>
      </c>
      <c r="AG1490">
        <v>69</v>
      </c>
      <c r="AI1490">
        <v>2E-3</v>
      </c>
      <c r="AK1490" t="s">
        <v>740</v>
      </c>
      <c r="AL1490" t="s">
        <v>403</v>
      </c>
      <c r="AM1490">
        <v>200000</v>
      </c>
      <c r="AN1490" t="s">
        <v>97</v>
      </c>
      <c r="AO1490">
        <v>1</v>
      </c>
      <c r="AP1490">
        <v>0</v>
      </c>
      <c r="AQ1490">
        <v>16666.666666666668</v>
      </c>
      <c r="AR1490" t="s">
        <v>4199</v>
      </c>
      <c r="AS1490" t="s">
        <v>75</v>
      </c>
      <c r="AX1490" t="s">
        <v>76</v>
      </c>
      <c r="AY1490" t="s">
        <v>176</v>
      </c>
      <c r="AZ1490">
        <v>0</v>
      </c>
      <c r="BA1490" t="s">
        <v>176</v>
      </c>
      <c r="BB1490">
        <v>0</v>
      </c>
    </row>
    <row r="1491" spans="1:56" x14ac:dyDescent="0.15">
      <c r="A1491" s="4" t="str">
        <f>HYPERLINK("https://ibp.a2mac1.com/costing(costing:projects/details/9760/part/8414751)","Left Sound Insulation Cabin Side")</f>
        <v>Left Sound Insulation Cabin Side</v>
      </c>
      <c r="B1491">
        <v>8414751</v>
      </c>
      <c r="C1491">
        <v>8414734</v>
      </c>
      <c r="E1491">
        <v>0.02</v>
      </c>
      <c r="F1491">
        <v>0</v>
      </c>
      <c r="G1491">
        <v>0</v>
      </c>
      <c r="H1491">
        <v>1.0119999999999999E-4</v>
      </c>
      <c r="I1491" t="s">
        <v>176</v>
      </c>
      <c r="J1491">
        <v>6.9999999999999999E-4</v>
      </c>
      <c r="K1491">
        <v>2.0801199999999999E-2</v>
      </c>
      <c r="L1491">
        <v>7.6565574225524614E-3</v>
      </c>
      <c r="M1491">
        <v>4.5939344535314765E-2</v>
      </c>
      <c r="N1491">
        <v>6.6740544535314764E-2</v>
      </c>
      <c r="O1491" t="s">
        <v>177</v>
      </c>
      <c r="P1491">
        <v>1.248072E-3</v>
      </c>
      <c r="Q1491" t="s">
        <v>177</v>
      </c>
      <c r="R1491">
        <v>2.756360672118886E-3</v>
      </c>
      <c r="S1491" t="s">
        <v>178</v>
      </c>
      <c r="T1491">
        <v>8.0088653442377724E-3</v>
      </c>
      <c r="U1491" t="s">
        <v>90</v>
      </c>
      <c r="V1491">
        <v>0</v>
      </c>
      <c r="W1491" t="s">
        <v>90</v>
      </c>
      <c r="X1491">
        <v>0</v>
      </c>
      <c r="Y1491">
        <v>7.8753842551671421E-2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5</v>
      </c>
      <c r="AF1491">
        <v>75</v>
      </c>
      <c r="AG1491">
        <v>39</v>
      </c>
      <c r="AI1491">
        <v>3.0000000000000001E-3</v>
      </c>
      <c r="AK1491" t="s">
        <v>740</v>
      </c>
      <c r="AL1491" t="s">
        <v>403</v>
      </c>
      <c r="AM1491">
        <v>200000</v>
      </c>
      <c r="AN1491" t="s">
        <v>97</v>
      </c>
      <c r="AO1491">
        <v>1</v>
      </c>
      <c r="AP1491">
        <v>0</v>
      </c>
      <c r="AQ1491">
        <v>16666.666666666668</v>
      </c>
      <c r="AR1491" t="s">
        <v>4202</v>
      </c>
      <c r="AS1491" t="s">
        <v>75</v>
      </c>
      <c r="AX1491" t="s">
        <v>76</v>
      </c>
      <c r="AY1491" t="s">
        <v>176</v>
      </c>
      <c r="AZ1491">
        <v>0</v>
      </c>
      <c r="BA1491" t="s">
        <v>176</v>
      </c>
      <c r="BB1491">
        <v>0</v>
      </c>
    </row>
    <row r="1492" spans="1:56" x14ac:dyDescent="0.15">
      <c r="A1492" s="4" t="str">
        <f>HYPERLINK("https://ibp.a2mac1.com/costing(costing:projects/details/9760/part/8414752)","Secondary Left Sound Insulation Cabin Side")</f>
        <v>Secondary Left Sound Insulation Cabin Side</v>
      </c>
      <c r="B1492">
        <v>8414752</v>
      </c>
      <c r="C1492">
        <v>8414734</v>
      </c>
      <c r="E1492">
        <v>0.17</v>
      </c>
      <c r="F1492">
        <v>0</v>
      </c>
      <c r="G1492">
        <v>0</v>
      </c>
      <c r="H1492">
        <v>8.6019999999999998E-4</v>
      </c>
      <c r="I1492" t="s">
        <v>176</v>
      </c>
      <c r="J1492">
        <v>5.9500000000000004E-3</v>
      </c>
      <c r="K1492">
        <v>0.1768102</v>
      </c>
      <c r="L1492">
        <v>9.422641154184605E-3</v>
      </c>
      <c r="M1492">
        <v>5.653584692510763E-2</v>
      </c>
      <c r="N1492">
        <v>0.23334604692510763</v>
      </c>
      <c r="O1492" t="s">
        <v>177</v>
      </c>
      <c r="P1492">
        <v>1.0608612E-2</v>
      </c>
      <c r="Q1492" t="s">
        <v>177</v>
      </c>
      <c r="R1492">
        <v>3.392150815506458E-3</v>
      </c>
      <c r="S1492" t="s">
        <v>178</v>
      </c>
      <c r="T1492">
        <v>2.8001525631012915E-2</v>
      </c>
      <c r="U1492" t="s">
        <v>90</v>
      </c>
      <c r="V1492">
        <v>0</v>
      </c>
      <c r="W1492" t="s">
        <v>90</v>
      </c>
      <c r="X1492">
        <v>0</v>
      </c>
      <c r="Y1492">
        <v>0.27534833537162701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14</v>
      </c>
      <c r="AF1492">
        <v>99</v>
      </c>
      <c r="AG1492">
        <v>205</v>
      </c>
      <c r="AI1492">
        <v>7.0000000000000001E-3</v>
      </c>
      <c r="AK1492" t="s">
        <v>740</v>
      </c>
      <c r="AL1492" t="s">
        <v>4050</v>
      </c>
      <c r="AM1492">
        <v>200000</v>
      </c>
      <c r="AN1492" t="s">
        <v>97</v>
      </c>
      <c r="AO1492">
        <v>1</v>
      </c>
      <c r="AP1492">
        <v>0</v>
      </c>
      <c r="AQ1492">
        <v>16666.666666666668</v>
      </c>
      <c r="AR1492" t="s">
        <v>4205</v>
      </c>
      <c r="AS1492" t="s">
        <v>75</v>
      </c>
      <c r="AX1492" t="s">
        <v>76</v>
      </c>
      <c r="AY1492" t="s">
        <v>176</v>
      </c>
      <c r="AZ1492">
        <v>0</v>
      </c>
      <c r="BA1492" t="s">
        <v>176</v>
      </c>
      <c r="BB1492">
        <v>0</v>
      </c>
    </row>
    <row r="1493" spans="1:56" x14ac:dyDescent="0.15">
      <c r="A1493" s="4" t="str">
        <f>HYPERLINK("https://ibp.a2mac1.com/costing(costing:projects/details/9760/part/8414753)","Right Sound Insulation Cabin Side")</f>
        <v>Right Sound Insulation Cabin Side</v>
      </c>
      <c r="B1493">
        <v>8414753</v>
      </c>
      <c r="C1493">
        <v>8414734</v>
      </c>
      <c r="D1493" t="s">
        <v>4206</v>
      </c>
      <c r="E1493">
        <v>6.0999999999999999E-2</v>
      </c>
      <c r="F1493">
        <v>0</v>
      </c>
      <c r="G1493">
        <v>0</v>
      </c>
      <c r="H1493">
        <v>0</v>
      </c>
      <c r="I1493" t="s">
        <v>71</v>
      </c>
      <c r="J1493">
        <v>0</v>
      </c>
      <c r="K1493">
        <v>6.0999999999999999E-2</v>
      </c>
      <c r="L1493">
        <v>0</v>
      </c>
      <c r="M1493">
        <v>0</v>
      </c>
      <c r="N1493">
        <v>6.0999999999999999E-2</v>
      </c>
      <c r="O1493" t="s">
        <v>71</v>
      </c>
      <c r="P1493">
        <v>0</v>
      </c>
      <c r="Q1493" t="s">
        <v>71</v>
      </c>
      <c r="R1493">
        <v>0</v>
      </c>
      <c r="S1493" t="s">
        <v>71</v>
      </c>
      <c r="T1493">
        <v>0</v>
      </c>
      <c r="U1493" t="s">
        <v>71</v>
      </c>
      <c r="V1493">
        <v>0</v>
      </c>
      <c r="W1493" t="s">
        <v>71</v>
      </c>
      <c r="X1493">
        <v>0</v>
      </c>
      <c r="Y1493">
        <v>6.0999999999999999E-2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74</v>
      </c>
      <c r="AF1493">
        <v>64</v>
      </c>
      <c r="AG1493">
        <v>26</v>
      </c>
      <c r="AI1493">
        <v>4.0000000000000001E-3</v>
      </c>
      <c r="AK1493" t="s">
        <v>740</v>
      </c>
      <c r="AL1493" t="s">
        <v>1957</v>
      </c>
      <c r="AM1493">
        <v>200000</v>
      </c>
      <c r="AN1493" t="s">
        <v>97</v>
      </c>
      <c r="AO1493">
        <v>1</v>
      </c>
      <c r="AP1493">
        <v>0</v>
      </c>
      <c r="AQ1493">
        <v>16666.666666666668</v>
      </c>
      <c r="AR1493" t="s">
        <v>4207</v>
      </c>
      <c r="AS1493" t="s">
        <v>75</v>
      </c>
      <c r="AX1493" t="s">
        <v>76</v>
      </c>
      <c r="AY1493" t="s">
        <v>71</v>
      </c>
      <c r="AZ1493">
        <v>0</v>
      </c>
      <c r="BA1493" t="s">
        <v>71</v>
      </c>
      <c r="BB1493">
        <v>0</v>
      </c>
      <c r="BD1493">
        <v>6.0999999999999999E-2</v>
      </c>
    </row>
    <row r="1494" spans="1:56" x14ac:dyDescent="0.15">
      <c r="A1494" s="4" t="str">
        <f>HYPERLINK("https://ibp.a2mac1.com/costing(costing:projects/details/9760/part/8414754)","Secondary Right Sound Insulation Cabin Side")</f>
        <v>Secondary Right Sound Insulation Cabin Side</v>
      </c>
      <c r="B1494">
        <v>8414754</v>
      </c>
      <c r="C1494">
        <v>8414734</v>
      </c>
      <c r="D1494" t="s">
        <v>4206</v>
      </c>
      <c r="E1494">
        <v>7.2999999999999995E-2</v>
      </c>
      <c r="F1494">
        <v>0</v>
      </c>
      <c r="G1494">
        <v>0</v>
      </c>
      <c r="H1494">
        <v>0</v>
      </c>
      <c r="I1494" t="s">
        <v>71</v>
      </c>
      <c r="J1494">
        <v>0</v>
      </c>
      <c r="K1494">
        <v>7.2999999999999995E-2</v>
      </c>
      <c r="L1494">
        <v>0</v>
      </c>
      <c r="M1494">
        <v>0</v>
      </c>
      <c r="N1494">
        <v>7.2999999999999995E-2</v>
      </c>
      <c r="O1494" t="s">
        <v>71</v>
      </c>
      <c r="P1494">
        <v>0</v>
      </c>
      <c r="Q1494" t="s">
        <v>71</v>
      </c>
      <c r="R1494">
        <v>0</v>
      </c>
      <c r="S1494" t="s">
        <v>71</v>
      </c>
      <c r="T1494">
        <v>0</v>
      </c>
      <c r="U1494" t="s">
        <v>71</v>
      </c>
      <c r="V1494">
        <v>0</v>
      </c>
      <c r="W1494" t="s">
        <v>71</v>
      </c>
      <c r="X1494">
        <v>0</v>
      </c>
      <c r="Y1494">
        <v>7.2999999999999995E-2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50</v>
      </c>
      <c r="AF1494">
        <v>77</v>
      </c>
      <c r="AG1494">
        <v>38</v>
      </c>
      <c r="AI1494">
        <v>4.0000000000000001E-3</v>
      </c>
      <c r="AK1494" t="s">
        <v>740</v>
      </c>
      <c r="AL1494" t="s">
        <v>1957</v>
      </c>
      <c r="AM1494">
        <v>200000</v>
      </c>
      <c r="AN1494" t="s">
        <v>97</v>
      </c>
      <c r="AO1494">
        <v>1</v>
      </c>
      <c r="AP1494">
        <v>0</v>
      </c>
      <c r="AQ1494">
        <v>16666.666666666668</v>
      </c>
      <c r="AR1494" t="s">
        <v>4208</v>
      </c>
      <c r="AS1494" t="s">
        <v>75</v>
      </c>
      <c r="AX1494" t="s">
        <v>76</v>
      </c>
      <c r="AY1494" t="s">
        <v>71</v>
      </c>
      <c r="AZ1494">
        <v>0</v>
      </c>
      <c r="BA1494" t="s">
        <v>71</v>
      </c>
      <c r="BB1494">
        <v>0</v>
      </c>
      <c r="BD1494">
        <v>7.2999999999999995E-2</v>
      </c>
    </row>
    <row r="1495" spans="1:56" x14ac:dyDescent="0.15">
      <c r="A1495" s="4" t="str">
        <f>HYPERLINK("https://ibp.a2mac1.com/costing(costing:projects/details/9760/part/8414755)","Upper Sound Insulation Cabin Side")</f>
        <v>Upper Sound Insulation Cabin Side</v>
      </c>
      <c r="B1495">
        <v>8414755</v>
      </c>
      <c r="C1495">
        <v>8414734</v>
      </c>
      <c r="E1495">
        <v>7.0000000000000007E-2</v>
      </c>
      <c r="F1495">
        <v>0</v>
      </c>
      <c r="G1495">
        <v>0</v>
      </c>
      <c r="H1495">
        <v>3.5419999999999999E-4</v>
      </c>
      <c r="I1495" t="s">
        <v>176</v>
      </c>
      <c r="J1495">
        <v>2.4499999999999999E-3</v>
      </c>
      <c r="K1495">
        <v>7.2804199999999999E-2</v>
      </c>
      <c r="L1495">
        <v>7.6565574225524614E-3</v>
      </c>
      <c r="M1495">
        <v>4.5939344535314765E-2</v>
      </c>
      <c r="N1495">
        <v>0.11874354453531477</v>
      </c>
      <c r="O1495" t="s">
        <v>177</v>
      </c>
      <c r="P1495">
        <v>4.3682520000000004E-3</v>
      </c>
      <c r="Q1495" t="s">
        <v>177</v>
      </c>
      <c r="R1495">
        <v>2.756360672118886E-3</v>
      </c>
      <c r="S1495" t="s">
        <v>178</v>
      </c>
      <c r="T1495">
        <v>1.4249225344237773E-2</v>
      </c>
      <c r="U1495" t="s">
        <v>90</v>
      </c>
      <c r="V1495">
        <v>0</v>
      </c>
      <c r="W1495" t="s">
        <v>90</v>
      </c>
      <c r="X1495">
        <v>0</v>
      </c>
      <c r="Y1495">
        <v>0.14011738255167142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9</v>
      </c>
      <c r="AF1495">
        <v>193</v>
      </c>
      <c r="AG1495">
        <v>44</v>
      </c>
      <c r="AI1495">
        <v>4.0000000000000001E-3</v>
      </c>
      <c r="AK1495" t="s">
        <v>740</v>
      </c>
      <c r="AL1495" t="s">
        <v>403</v>
      </c>
      <c r="AM1495">
        <v>200000</v>
      </c>
      <c r="AN1495" t="s">
        <v>97</v>
      </c>
      <c r="AO1495">
        <v>1</v>
      </c>
      <c r="AP1495">
        <v>0</v>
      </c>
      <c r="AQ1495">
        <v>16666.666666666668</v>
      </c>
      <c r="AR1495" t="s">
        <v>4211</v>
      </c>
      <c r="AS1495" t="s">
        <v>75</v>
      </c>
      <c r="AX1495" t="s">
        <v>76</v>
      </c>
      <c r="AY1495" t="s">
        <v>176</v>
      </c>
      <c r="AZ1495">
        <v>0</v>
      </c>
      <c r="BA1495" t="s">
        <v>176</v>
      </c>
      <c r="BB1495">
        <v>0</v>
      </c>
    </row>
    <row r="1496" spans="1:56" x14ac:dyDescent="0.15">
      <c r="A1496" s="4" t="str">
        <f>HYPERLINK("https://ibp.a2mac1.com/costing(costing:projects/details/9760/part/8414756)","Lower Sound Insulation Cabin Side")</f>
        <v>Lower Sound Insulation Cabin Side</v>
      </c>
      <c r="B1496">
        <v>8414756</v>
      </c>
      <c r="C1496">
        <v>8414734</v>
      </c>
      <c r="E1496">
        <v>0.28000000000000003</v>
      </c>
      <c r="F1496">
        <v>0</v>
      </c>
      <c r="G1496">
        <v>0</v>
      </c>
      <c r="H1496">
        <v>1.4168E-3</v>
      </c>
      <c r="I1496" t="s">
        <v>176</v>
      </c>
      <c r="J1496">
        <v>9.7999999999999997E-3</v>
      </c>
      <c r="K1496">
        <v>0.2912168</v>
      </c>
      <c r="L1496">
        <v>9.422641154184605E-3</v>
      </c>
      <c r="M1496">
        <v>5.653584692510763E-2</v>
      </c>
      <c r="N1496">
        <v>0.34775264692510766</v>
      </c>
      <c r="O1496" t="s">
        <v>177</v>
      </c>
      <c r="P1496">
        <v>1.7473008000000002E-2</v>
      </c>
      <c r="Q1496" t="s">
        <v>177</v>
      </c>
      <c r="R1496">
        <v>3.392150815506458E-3</v>
      </c>
      <c r="S1496" t="s">
        <v>178</v>
      </c>
      <c r="T1496">
        <v>4.1730317631012918E-2</v>
      </c>
      <c r="U1496" t="s">
        <v>90</v>
      </c>
      <c r="V1496">
        <v>0</v>
      </c>
      <c r="W1496" t="s">
        <v>90</v>
      </c>
      <c r="X1496">
        <v>0</v>
      </c>
      <c r="Y1496">
        <v>0.41034812337162702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9</v>
      </c>
      <c r="AF1496">
        <v>280</v>
      </c>
      <c r="AG1496">
        <v>121</v>
      </c>
      <c r="AI1496">
        <v>6.0000000000000001E-3</v>
      </c>
      <c r="AK1496" t="s">
        <v>740</v>
      </c>
      <c r="AL1496" t="s">
        <v>4050</v>
      </c>
      <c r="AM1496">
        <v>200000</v>
      </c>
      <c r="AN1496" t="s">
        <v>97</v>
      </c>
      <c r="AO1496">
        <v>1</v>
      </c>
      <c r="AP1496">
        <v>0</v>
      </c>
      <c r="AQ1496">
        <v>16666.666666666668</v>
      </c>
      <c r="AR1496" t="s">
        <v>4214</v>
      </c>
      <c r="AS1496" t="s">
        <v>75</v>
      </c>
      <c r="AX1496" t="s">
        <v>76</v>
      </c>
      <c r="AY1496" t="s">
        <v>176</v>
      </c>
      <c r="AZ1496">
        <v>0</v>
      </c>
      <c r="BA1496" t="s">
        <v>176</v>
      </c>
      <c r="BB1496">
        <v>0</v>
      </c>
    </row>
    <row r="1497" spans="1:56" x14ac:dyDescent="0.15">
      <c r="A1497" s="4" t="str">
        <f>HYPERLINK("https://ibp.a2mac1.com/costing(costing:projects/details/9760/part/8414757)","Rear Parcel Shelf Sound Insulation")</f>
        <v>Rear Parcel Shelf Sound Insulation</v>
      </c>
      <c r="B1497">
        <v>8414757</v>
      </c>
      <c r="C1497">
        <v>8414734</v>
      </c>
      <c r="E1497">
        <v>0.2</v>
      </c>
      <c r="F1497">
        <v>0</v>
      </c>
      <c r="G1497">
        <v>0</v>
      </c>
      <c r="H1497">
        <v>1.0120000000000001E-3</v>
      </c>
      <c r="I1497" t="s">
        <v>176</v>
      </c>
      <c r="J1497">
        <v>7.0000000000000001E-3</v>
      </c>
      <c r="K1497">
        <v>0.208012</v>
      </c>
      <c r="L1497">
        <v>9.422641154184605E-3</v>
      </c>
      <c r="M1497">
        <v>5.653584692510763E-2</v>
      </c>
      <c r="N1497">
        <v>0.26454784692510763</v>
      </c>
      <c r="O1497" t="s">
        <v>177</v>
      </c>
      <c r="P1497">
        <v>1.2480720000000001E-2</v>
      </c>
      <c r="Q1497" t="s">
        <v>177</v>
      </c>
      <c r="R1497">
        <v>3.392150815506458E-3</v>
      </c>
      <c r="S1497" t="s">
        <v>178</v>
      </c>
      <c r="T1497">
        <v>3.1745741631012916E-2</v>
      </c>
      <c r="U1497" t="s">
        <v>90</v>
      </c>
      <c r="V1497">
        <v>0</v>
      </c>
      <c r="W1497" t="s">
        <v>90</v>
      </c>
      <c r="X1497">
        <v>0</v>
      </c>
      <c r="Y1497">
        <v>0.31216645937162701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30</v>
      </c>
      <c r="AF1497">
        <v>753</v>
      </c>
      <c r="AG1497">
        <v>8</v>
      </c>
      <c r="AI1497">
        <v>4.3999999999999997E-2</v>
      </c>
      <c r="AK1497" t="s">
        <v>740</v>
      </c>
      <c r="AL1497" t="s">
        <v>403</v>
      </c>
      <c r="AM1497">
        <v>200000</v>
      </c>
      <c r="AN1497" t="s">
        <v>97</v>
      </c>
      <c r="AO1497">
        <v>1</v>
      </c>
      <c r="AP1497">
        <v>0</v>
      </c>
      <c r="AQ1497">
        <v>16666.666666666668</v>
      </c>
      <c r="AR1497" t="s">
        <v>4217</v>
      </c>
      <c r="AS1497" t="s">
        <v>75</v>
      </c>
      <c r="AX1497" t="s">
        <v>76</v>
      </c>
      <c r="AY1497" t="s">
        <v>176</v>
      </c>
      <c r="AZ1497">
        <v>0</v>
      </c>
      <c r="BA1497" t="s">
        <v>176</v>
      </c>
      <c r="BB1497">
        <v>0</v>
      </c>
    </row>
    <row r="1498" spans="1:56" x14ac:dyDescent="0.15">
      <c r="A1498" s="4" t="str">
        <f>HYPERLINK("https://ibp.a2mac1.com/costing(costing:projects/details/9760/part/8414758)","Insulation Under Body   on Aerodynamics Screens")</f>
        <v>Insulation Under Body   on Aerodynamics Screens</v>
      </c>
      <c r="B1498">
        <v>8414758</v>
      </c>
      <c r="C1498">
        <v>8414734</v>
      </c>
      <c r="E1498">
        <v>1.63</v>
      </c>
      <c r="F1498">
        <v>0.08</v>
      </c>
      <c r="G1498">
        <v>0</v>
      </c>
      <c r="H1498">
        <v>8.2477999999999996E-3</v>
      </c>
      <c r="I1498" t="s">
        <v>176</v>
      </c>
      <c r="J1498">
        <v>5.7049999999999997E-2</v>
      </c>
      <c r="K1498">
        <v>1.7780978000000001</v>
      </c>
      <c r="L1498">
        <v>0.25137611238778834</v>
      </c>
      <c r="M1498">
        <v>1.5082566743267301</v>
      </c>
      <c r="N1498">
        <v>3.2863544743267301</v>
      </c>
      <c r="O1498" t="s">
        <v>177</v>
      </c>
      <c r="P1498">
        <v>0.106685868</v>
      </c>
      <c r="Q1498" t="s">
        <v>177</v>
      </c>
      <c r="R1498">
        <v>9.0495400459603803E-2</v>
      </c>
      <c r="S1498" t="s">
        <v>178</v>
      </c>
      <c r="T1498">
        <v>0.39436253691920758</v>
      </c>
      <c r="U1498" t="s">
        <v>90</v>
      </c>
      <c r="V1498">
        <v>0</v>
      </c>
      <c r="W1498" t="s">
        <v>90</v>
      </c>
      <c r="X1498">
        <v>0</v>
      </c>
      <c r="Y1498">
        <v>3.8778982797055415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615</v>
      </c>
      <c r="AF1498">
        <v>778</v>
      </c>
      <c r="AG1498">
        <v>61</v>
      </c>
      <c r="AI1498">
        <v>0.30199999999999999</v>
      </c>
      <c r="AK1498" t="s">
        <v>740</v>
      </c>
      <c r="AL1498" t="s">
        <v>4189</v>
      </c>
      <c r="AM1498">
        <v>200000</v>
      </c>
      <c r="AN1498" t="s">
        <v>97</v>
      </c>
      <c r="AO1498">
        <v>1</v>
      </c>
      <c r="AP1498">
        <v>0</v>
      </c>
      <c r="AQ1498">
        <v>16666.666666666668</v>
      </c>
      <c r="AR1498" t="s">
        <v>4221</v>
      </c>
      <c r="AS1498" t="s">
        <v>75</v>
      </c>
      <c r="AX1498" t="s">
        <v>76</v>
      </c>
      <c r="AY1498" t="s">
        <v>176</v>
      </c>
      <c r="AZ1498">
        <v>2.8E-3</v>
      </c>
      <c r="BA1498" t="s">
        <v>176</v>
      </c>
      <c r="BB1498">
        <v>0</v>
      </c>
    </row>
    <row r="1499" spans="1:56" x14ac:dyDescent="0.15">
      <c r="A1499" s="4" t="str">
        <f>HYPERLINK("https://ibp.a2mac1.com/costing(costing:projects/details/9760/part/8414759)","Insulation on Decompression Vent Deflector")</f>
        <v>Insulation on Decompression Vent Deflector</v>
      </c>
      <c r="B1499">
        <v>8414759</v>
      </c>
      <c r="C1499">
        <v>8414734</v>
      </c>
      <c r="E1499">
        <v>0.08</v>
      </c>
      <c r="F1499">
        <v>0</v>
      </c>
      <c r="G1499">
        <v>0</v>
      </c>
      <c r="H1499">
        <v>4.0479999999999997E-4</v>
      </c>
      <c r="I1499" t="s">
        <v>176</v>
      </c>
      <c r="J1499">
        <v>2.8E-3</v>
      </c>
      <c r="K1499">
        <v>8.3204799999999995E-2</v>
      </c>
      <c r="L1499">
        <v>7.6565574225524614E-3</v>
      </c>
      <c r="M1499">
        <v>4.5939344535314765E-2</v>
      </c>
      <c r="N1499">
        <v>0.12914414453531478</v>
      </c>
      <c r="O1499" t="s">
        <v>177</v>
      </c>
      <c r="P1499">
        <v>4.9922880000000001E-3</v>
      </c>
      <c r="Q1499" t="s">
        <v>177</v>
      </c>
      <c r="R1499">
        <v>2.756360672118886E-3</v>
      </c>
      <c r="S1499" t="s">
        <v>178</v>
      </c>
      <c r="T1499">
        <v>1.5497297344237772E-2</v>
      </c>
      <c r="U1499" t="s">
        <v>90</v>
      </c>
      <c r="V1499">
        <v>0</v>
      </c>
      <c r="W1499" t="s">
        <v>90</v>
      </c>
      <c r="X1499">
        <v>0</v>
      </c>
      <c r="Y1499">
        <v>0.15239009055167144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62</v>
      </c>
      <c r="AF1499">
        <v>120</v>
      </c>
      <c r="AG1499">
        <v>82</v>
      </c>
      <c r="AI1499">
        <v>8.9999999999999993E-3</v>
      </c>
      <c r="AK1499" t="s">
        <v>740</v>
      </c>
      <c r="AL1499" t="s">
        <v>4050</v>
      </c>
      <c r="AM1499">
        <v>200000</v>
      </c>
      <c r="AN1499" t="s">
        <v>97</v>
      </c>
      <c r="AO1499">
        <v>1</v>
      </c>
      <c r="AP1499">
        <v>0</v>
      </c>
      <c r="AQ1499">
        <v>16666.666666666668</v>
      </c>
      <c r="AR1499" t="s">
        <v>4224</v>
      </c>
      <c r="AS1499" t="s">
        <v>75</v>
      </c>
      <c r="AX1499" t="s">
        <v>76</v>
      </c>
      <c r="AY1499" t="s">
        <v>176</v>
      </c>
      <c r="AZ1499">
        <v>0</v>
      </c>
      <c r="BA1499" t="s">
        <v>176</v>
      </c>
      <c r="BB1499">
        <v>0</v>
      </c>
    </row>
    <row r="1500" spans="1:56" x14ac:dyDescent="0.15">
      <c r="A1500" s="4" t="str">
        <f>HYPERLINK("https://ibp.a2mac1.com/costing(costing:projects/details/9760/part/8414760)","2nd Insulation on Decompression Vent Deflector")</f>
        <v>2nd Insulation on Decompression Vent Deflector</v>
      </c>
      <c r="B1500">
        <v>8414760</v>
      </c>
      <c r="C1500">
        <v>8414734</v>
      </c>
      <c r="E1500">
        <v>0.08</v>
      </c>
      <c r="F1500">
        <v>0</v>
      </c>
      <c r="G1500">
        <v>0</v>
      </c>
      <c r="H1500">
        <v>4.0479999999999997E-4</v>
      </c>
      <c r="I1500" t="s">
        <v>176</v>
      </c>
      <c r="J1500">
        <v>2.8E-3</v>
      </c>
      <c r="K1500">
        <v>8.3204799999999995E-2</v>
      </c>
      <c r="L1500">
        <v>7.6565574225524614E-3</v>
      </c>
      <c r="M1500">
        <v>4.5939344535314765E-2</v>
      </c>
      <c r="N1500">
        <v>0.12914414453531478</v>
      </c>
      <c r="O1500" t="s">
        <v>177</v>
      </c>
      <c r="P1500">
        <v>4.9922880000000001E-3</v>
      </c>
      <c r="Q1500" t="s">
        <v>177</v>
      </c>
      <c r="R1500">
        <v>2.756360672118886E-3</v>
      </c>
      <c r="S1500" t="s">
        <v>178</v>
      </c>
      <c r="T1500">
        <v>1.5497297344237772E-2</v>
      </c>
      <c r="U1500" t="s">
        <v>90</v>
      </c>
      <c r="V1500">
        <v>0</v>
      </c>
      <c r="W1500" t="s">
        <v>90</v>
      </c>
      <c r="X1500">
        <v>0</v>
      </c>
      <c r="Y1500">
        <v>0.15239009055167144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8</v>
      </c>
      <c r="AF1500">
        <v>98</v>
      </c>
      <c r="AG1500">
        <v>102</v>
      </c>
      <c r="AI1500">
        <v>4.0000000000000001E-3</v>
      </c>
      <c r="AK1500" t="s">
        <v>740</v>
      </c>
      <c r="AL1500" t="s">
        <v>403</v>
      </c>
      <c r="AM1500">
        <v>200000</v>
      </c>
      <c r="AN1500" t="s">
        <v>97</v>
      </c>
      <c r="AO1500">
        <v>1</v>
      </c>
      <c r="AP1500">
        <v>0</v>
      </c>
      <c r="AQ1500">
        <v>16666.666666666668</v>
      </c>
      <c r="AR1500" t="s">
        <v>4227</v>
      </c>
      <c r="AS1500" t="s">
        <v>75</v>
      </c>
      <c r="AX1500" t="s">
        <v>76</v>
      </c>
      <c r="AY1500" t="s">
        <v>176</v>
      </c>
      <c r="AZ1500">
        <v>0</v>
      </c>
      <c r="BA1500" t="s">
        <v>176</v>
      </c>
      <c r="BB1500">
        <v>0</v>
      </c>
    </row>
    <row r="1501" spans="1:56" x14ac:dyDescent="0.15">
      <c r="A1501" s="4" t="str">
        <f>HYPERLINK("https://ibp.a2mac1.com/costing(costing:projects/details/9760/part/8414859)","Console Main Part Single")</f>
        <v>Console Main Part Single</v>
      </c>
      <c r="B1501">
        <v>8414859</v>
      </c>
      <c r="C1501">
        <v>8414772</v>
      </c>
      <c r="E1501">
        <v>1.948676415</v>
      </c>
      <c r="F1501">
        <v>0</v>
      </c>
      <c r="G1501">
        <v>0</v>
      </c>
      <c r="H1501">
        <v>9.8850151978947375E-3</v>
      </c>
      <c r="I1501" t="s">
        <v>176</v>
      </c>
      <c r="J1501">
        <v>6.8374611052631581E-2</v>
      </c>
      <c r="K1501">
        <v>2.0269360412505262</v>
      </c>
      <c r="L1501">
        <v>0.27963345209390261</v>
      </c>
      <c r="M1501">
        <v>1.6778007125634158</v>
      </c>
      <c r="N1501">
        <v>3.704736753813942</v>
      </c>
      <c r="O1501" t="s">
        <v>90</v>
      </c>
      <c r="P1501">
        <v>0</v>
      </c>
      <c r="Q1501" t="s">
        <v>90</v>
      </c>
      <c r="R1501">
        <v>0</v>
      </c>
      <c r="S1501" t="s">
        <v>90</v>
      </c>
      <c r="T1501">
        <v>0</v>
      </c>
      <c r="U1501" t="s">
        <v>90</v>
      </c>
      <c r="V1501">
        <v>0</v>
      </c>
      <c r="W1501" t="s">
        <v>90</v>
      </c>
      <c r="X1501">
        <v>0</v>
      </c>
      <c r="Y1501">
        <v>3.704736753813942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1100</v>
      </c>
      <c r="AF1501">
        <v>320</v>
      </c>
      <c r="AG1501">
        <v>322</v>
      </c>
      <c r="AI1501">
        <v>1.835</v>
      </c>
      <c r="AK1501" t="s">
        <v>740</v>
      </c>
      <c r="AL1501" t="s">
        <v>399</v>
      </c>
      <c r="AM1501">
        <v>200000</v>
      </c>
      <c r="AN1501" t="s">
        <v>73</v>
      </c>
      <c r="AO1501">
        <v>1</v>
      </c>
      <c r="AP1501">
        <v>0</v>
      </c>
      <c r="AQ1501">
        <v>16666.666666666668</v>
      </c>
      <c r="AR1501" t="s">
        <v>4236</v>
      </c>
      <c r="AS1501" t="s">
        <v>75</v>
      </c>
      <c r="AX1501" t="s">
        <v>76</v>
      </c>
      <c r="AY1501" t="s">
        <v>176</v>
      </c>
      <c r="AZ1501">
        <v>0</v>
      </c>
      <c r="BA1501" t="s">
        <v>176</v>
      </c>
      <c r="BB1501">
        <v>0</v>
      </c>
    </row>
    <row r="1502" spans="1:56" x14ac:dyDescent="0.15">
      <c r="A1502" s="4" t="str">
        <f>HYPERLINK("https://ibp.a2mac1.com/costing(costing:projects/details/9760/part/8414860)","Upper Trim")</f>
        <v>Upper Trim</v>
      </c>
      <c r="B1502">
        <v>8414860</v>
      </c>
      <c r="C1502">
        <v>8414772</v>
      </c>
      <c r="E1502">
        <v>0.50563296000000002</v>
      </c>
      <c r="F1502">
        <v>0</v>
      </c>
      <c r="G1502">
        <v>0</v>
      </c>
      <c r="H1502">
        <v>2.5649150652631578E-3</v>
      </c>
      <c r="I1502" t="s">
        <v>176</v>
      </c>
      <c r="J1502">
        <v>1.7741507368421054E-2</v>
      </c>
      <c r="K1502">
        <v>0.52593938243368421</v>
      </c>
      <c r="L1502">
        <v>0.14894325595312399</v>
      </c>
      <c r="M1502">
        <v>0.8936595357187439</v>
      </c>
      <c r="N1502">
        <v>1.419598918152428</v>
      </c>
      <c r="O1502" t="s">
        <v>90</v>
      </c>
      <c r="P1502">
        <v>0</v>
      </c>
      <c r="Q1502" t="s">
        <v>90</v>
      </c>
      <c r="R1502">
        <v>0</v>
      </c>
      <c r="S1502" t="s">
        <v>90</v>
      </c>
      <c r="T1502">
        <v>0</v>
      </c>
      <c r="U1502" t="s">
        <v>90</v>
      </c>
      <c r="V1502">
        <v>0</v>
      </c>
      <c r="W1502" t="s">
        <v>90</v>
      </c>
      <c r="X1502">
        <v>0</v>
      </c>
      <c r="Y1502">
        <v>1.419598918152428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500</v>
      </c>
      <c r="AF1502">
        <v>260</v>
      </c>
      <c r="AG1502">
        <v>44</v>
      </c>
      <c r="AI1502">
        <v>0.21</v>
      </c>
      <c r="AK1502" t="s">
        <v>740</v>
      </c>
      <c r="AL1502" t="s">
        <v>412</v>
      </c>
      <c r="AM1502">
        <v>200000</v>
      </c>
      <c r="AN1502" t="s">
        <v>73</v>
      </c>
      <c r="AO1502">
        <v>1</v>
      </c>
      <c r="AP1502">
        <v>0</v>
      </c>
      <c r="AQ1502">
        <v>16666.666666666668</v>
      </c>
      <c r="AR1502" t="s">
        <v>4241</v>
      </c>
      <c r="AS1502" t="s">
        <v>75</v>
      </c>
      <c r="AX1502" t="s">
        <v>76</v>
      </c>
      <c r="AY1502" t="s">
        <v>176</v>
      </c>
      <c r="AZ1502">
        <v>0</v>
      </c>
      <c r="BA1502" t="s">
        <v>176</v>
      </c>
      <c r="BB1502">
        <v>0</v>
      </c>
    </row>
    <row r="1503" spans="1:56" x14ac:dyDescent="0.15">
      <c r="A1503" s="4" t="str">
        <f>HYPERLINK("https://ibp.a2mac1.com/costing(costing:projects/details/9760/part/8414861)","Trim Bezel")</f>
        <v>Trim Bezel</v>
      </c>
      <c r="B1503">
        <v>8414861</v>
      </c>
      <c r="C1503">
        <v>8414772</v>
      </c>
      <c r="E1503">
        <v>0.12520435199999999</v>
      </c>
      <c r="F1503">
        <v>0</v>
      </c>
      <c r="G1503">
        <v>0</v>
      </c>
      <c r="H1503">
        <v>6.3512182568421056E-4</v>
      </c>
      <c r="I1503" t="s">
        <v>176</v>
      </c>
      <c r="J1503">
        <v>4.3931351578947366E-3</v>
      </c>
      <c r="K1503">
        <v>0.13023260898357894</v>
      </c>
      <c r="L1503">
        <v>0.23548135880309903</v>
      </c>
      <c r="M1503">
        <v>1.4128881528185941</v>
      </c>
      <c r="N1503">
        <v>1.5431207618021732</v>
      </c>
      <c r="O1503" t="s">
        <v>177</v>
      </c>
      <c r="P1503">
        <v>7.813956539014736E-3</v>
      </c>
      <c r="Q1503" t="s">
        <v>177</v>
      </c>
      <c r="R1503">
        <v>8.4773289169115654E-2</v>
      </c>
      <c r="S1503" t="s">
        <v>178</v>
      </c>
      <c r="T1503">
        <v>0.18517449141626077</v>
      </c>
      <c r="U1503" t="s">
        <v>90</v>
      </c>
      <c r="V1503">
        <v>0</v>
      </c>
      <c r="W1503" t="s">
        <v>90</v>
      </c>
      <c r="X1503">
        <v>0</v>
      </c>
      <c r="Y1503">
        <v>1.8208824989265644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516</v>
      </c>
      <c r="AF1503">
        <v>276</v>
      </c>
      <c r="AG1503">
        <v>11</v>
      </c>
      <c r="AI1503">
        <v>5.1999999999999998E-2</v>
      </c>
      <c r="AK1503" t="s">
        <v>740</v>
      </c>
      <c r="AL1503" t="s">
        <v>412</v>
      </c>
      <c r="AM1503">
        <v>200000</v>
      </c>
      <c r="AN1503" t="s">
        <v>97</v>
      </c>
      <c r="AO1503">
        <v>1</v>
      </c>
      <c r="AP1503">
        <v>0</v>
      </c>
      <c r="AQ1503">
        <v>16666.666666666668</v>
      </c>
      <c r="AR1503" t="s">
        <v>4247</v>
      </c>
      <c r="AS1503" t="s">
        <v>75</v>
      </c>
      <c r="AX1503" t="s">
        <v>76</v>
      </c>
      <c r="AY1503" t="s">
        <v>176</v>
      </c>
      <c r="AZ1503">
        <v>0</v>
      </c>
      <c r="BA1503" t="s">
        <v>176</v>
      </c>
      <c r="BB1503">
        <v>0</v>
      </c>
    </row>
    <row r="1504" spans="1:56" x14ac:dyDescent="0.15">
      <c r="A1504" s="4" t="str">
        <f>HYPERLINK("https://ibp.a2mac1.com/costing(costing:projects/details/9760/part/8414862)","Upper Part")</f>
        <v>Upper Part</v>
      </c>
      <c r="B1504">
        <v>8414862</v>
      </c>
      <c r="C1504">
        <v>8414772</v>
      </c>
      <c r="E1504">
        <v>0.80391473723076923</v>
      </c>
      <c r="F1504">
        <v>0</v>
      </c>
      <c r="G1504">
        <v>0</v>
      </c>
      <c r="H1504">
        <v>4.0759918708340084E-3</v>
      </c>
      <c r="I1504" t="s">
        <v>176</v>
      </c>
      <c r="J1504">
        <v>2.8193619659919029E-2</v>
      </c>
      <c r="K1504">
        <v>0.83618434876152226</v>
      </c>
      <c r="L1504">
        <v>0.15777367461128469</v>
      </c>
      <c r="M1504">
        <v>0.94664204766770821</v>
      </c>
      <c r="N1504">
        <v>1.7828263964292306</v>
      </c>
      <c r="O1504" t="s">
        <v>90</v>
      </c>
      <c r="P1504">
        <v>0</v>
      </c>
      <c r="Q1504" t="s">
        <v>90</v>
      </c>
      <c r="R1504">
        <v>0</v>
      </c>
      <c r="S1504" t="s">
        <v>90</v>
      </c>
      <c r="T1504">
        <v>0</v>
      </c>
      <c r="U1504" t="s">
        <v>90</v>
      </c>
      <c r="V1504">
        <v>0</v>
      </c>
      <c r="W1504" t="s">
        <v>90</v>
      </c>
      <c r="X1504">
        <v>0</v>
      </c>
      <c r="Y1504">
        <v>1.7828263964292306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625</v>
      </c>
      <c r="AF1504">
        <v>300</v>
      </c>
      <c r="AG1504">
        <v>54</v>
      </c>
      <c r="AI1504">
        <v>0.26800000000000002</v>
      </c>
      <c r="AK1504" t="s">
        <v>740</v>
      </c>
      <c r="AL1504" t="s">
        <v>3981</v>
      </c>
      <c r="AM1504">
        <v>200000</v>
      </c>
      <c r="AN1504" t="s">
        <v>73</v>
      </c>
      <c r="AO1504">
        <v>1</v>
      </c>
      <c r="AP1504">
        <v>0</v>
      </c>
      <c r="AQ1504">
        <v>16666.666666666668</v>
      </c>
      <c r="AR1504" t="s">
        <v>4255</v>
      </c>
      <c r="AS1504" t="s">
        <v>75</v>
      </c>
      <c r="AX1504" t="s">
        <v>76</v>
      </c>
      <c r="AY1504" t="s">
        <v>176</v>
      </c>
      <c r="AZ1504">
        <v>0</v>
      </c>
      <c r="BA1504" t="s">
        <v>176</v>
      </c>
      <c r="BB1504">
        <v>0</v>
      </c>
    </row>
    <row r="1505" spans="1:56" x14ac:dyDescent="0.15">
      <c r="A1505" s="4" t="str">
        <f>HYPERLINK("https://ibp.a2mac1.com/costing(costing:projects/details/9760/part/8414863)","Frame")</f>
        <v>Frame</v>
      </c>
      <c r="B1505">
        <v>8414863</v>
      </c>
      <c r="C1505">
        <v>8414772</v>
      </c>
      <c r="E1505">
        <v>0.85062114899999997</v>
      </c>
      <c r="F1505">
        <v>0</v>
      </c>
      <c r="G1505">
        <v>0</v>
      </c>
      <c r="H1505">
        <v>4.3149303397894733E-3</v>
      </c>
      <c r="I1505" t="s">
        <v>176</v>
      </c>
      <c r="J1505">
        <v>2.9846356105263157E-2</v>
      </c>
      <c r="K1505">
        <v>0.88478243544505264</v>
      </c>
      <c r="L1505">
        <v>0.11891983251537754</v>
      </c>
      <c r="M1505">
        <v>0.71351899509226524</v>
      </c>
      <c r="N1505">
        <v>1.5983014305373178</v>
      </c>
      <c r="O1505" t="s">
        <v>90</v>
      </c>
      <c r="P1505">
        <v>0</v>
      </c>
      <c r="Q1505" t="s">
        <v>90</v>
      </c>
      <c r="R1505">
        <v>0</v>
      </c>
      <c r="S1505" t="s">
        <v>90</v>
      </c>
      <c r="T1505">
        <v>0</v>
      </c>
      <c r="U1505" t="s">
        <v>90</v>
      </c>
      <c r="V1505">
        <v>0</v>
      </c>
      <c r="W1505" t="s">
        <v>90</v>
      </c>
      <c r="X1505">
        <v>0</v>
      </c>
      <c r="Y1505">
        <v>1.5983014305373178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667</v>
      </c>
      <c r="AF1505">
        <v>259</v>
      </c>
      <c r="AG1505">
        <v>155</v>
      </c>
      <c r="AI1505">
        <v>0.80100000000000005</v>
      </c>
      <c r="AK1505" t="s">
        <v>740</v>
      </c>
      <c r="AL1505" t="s">
        <v>399</v>
      </c>
      <c r="AM1505">
        <v>200000</v>
      </c>
      <c r="AN1505" t="s">
        <v>73</v>
      </c>
      <c r="AO1505">
        <v>1</v>
      </c>
      <c r="AP1505">
        <v>0</v>
      </c>
      <c r="AQ1505">
        <v>16666.666666666668</v>
      </c>
      <c r="AR1505" t="s">
        <v>4260</v>
      </c>
      <c r="AS1505" t="s">
        <v>75</v>
      </c>
      <c r="AX1505" t="s">
        <v>76</v>
      </c>
      <c r="AY1505" t="s">
        <v>176</v>
      </c>
      <c r="AZ1505">
        <v>0</v>
      </c>
      <c r="BA1505" t="s">
        <v>176</v>
      </c>
      <c r="BB1505">
        <v>0</v>
      </c>
    </row>
    <row r="1506" spans="1:56" x14ac:dyDescent="0.15">
      <c r="A1506" s="4" t="str">
        <f>HYPERLINK("https://ibp.a2mac1.com/costing(costing:projects/details/9760/part/8415012)","Upper")</f>
        <v>Upper</v>
      </c>
      <c r="B1506">
        <v>8415012</v>
      </c>
      <c r="C1506">
        <v>8414864</v>
      </c>
      <c r="E1506">
        <v>0.89144600123076922</v>
      </c>
      <c r="F1506">
        <v>0</v>
      </c>
      <c r="G1506">
        <v>0</v>
      </c>
      <c r="H1506">
        <v>4.5162740822024296E-3</v>
      </c>
      <c r="I1506" t="s">
        <v>176</v>
      </c>
      <c r="J1506">
        <v>3.1239049975708501E-2</v>
      </c>
      <c r="K1506">
        <v>0.92720132528868016</v>
      </c>
      <c r="L1506">
        <v>0.10832333012558466</v>
      </c>
      <c r="M1506">
        <v>0.64993998075350801</v>
      </c>
      <c r="N1506">
        <v>1.5771413060421882</v>
      </c>
      <c r="O1506" t="s">
        <v>90</v>
      </c>
      <c r="P1506">
        <v>0</v>
      </c>
      <c r="Q1506" t="s">
        <v>90</v>
      </c>
      <c r="R1506">
        <v>0</v>
      </c>
      <c r="S1506" t="s">
        <v>90</v>
      </c>
      <c r="T1506">
        <v>0</v>
      </c>
      <c r="U1506" t="s">
        <v>90</v>
      </c>
      <c r="V1506">
        <v>0</v>
      </c>
      <c r="W1506" t="s">
        <v>90</v>
      </c>
      <c r="X1506">
        <v>0</v>
      </c>
      <c r="Y1506">
        <v>1.5771413060421882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60</v>
      </c>
      <c r="AF1506">
        <v>670</v>
      </c>
      <c r="AG1506">
        <v>69</v>
      </c>
      <c r="AI1506">
        <v>0.182</v>
      </c>
      <c r="AK1506" t="s">
        <v>740</v>
      </c>
      <c r="AL1506" t="s">
        <v>3981</v>
      </c>
      <c r="AM1506">
        <v>200000</v>
      </c>
      <c r="AN1506" t="s">
        <v>73</v>
      </c>
      <c r="AO1506">
        <v>1</v>
      </c>
      <c r="AP1506">
        <v>0</v>
      </c>
      <c r="AQ1506">
        <v>16666.666666666668</v>
      </c>
      <c r="AR1506" t="s">
        <v>4270</v>
      </c>
      <c r="AS1506" t="s">
        <v>75</v>
      </c>
      <c r="AX1506" t="s">
        <v>76</v>
      </c>
      <c r="AY1506" t="s">
        <v>176</v>
      </c>
      <c r="AZ1506">
        <v>0</v>
      </c>
      <c r="BA1506" t="s">
        <v>176</v>
      </c>
      <c r="BB1506">
        <v>0</v>
      </c>
    </row>
    <row r="1507" spans="1:56" x14ac:dyDescent="0.15">
      <c r="A1507" s="4" t="str">
        <f>HYPERLINK("https://ibp.a2mac1.com/costing(costing:projects/details/9760/part/8415013)","Front Part")</f>
        <v>Front Part</v>
      </c>
      <c r="B1507">
        <v>8415013</v>
      </c>
      <c r="C1507">
        <v>8414864</v>
      </c>
      <c r="E1507">
        <v>0.71211560699999998</v>
      </c>
      <c r="F1507">
        <v>0</v>
      </c>
      <c r="G1507">
        <v>0</v>
      </c>
      <c r="H1507">
        <v>3.6123358109473682E-3</v>
      </c>
      <c r="I1507" t="s">
        <v>176</v>
      </c>
      <c r="J1507">
        <v>2.4986512526315788E-2</v>
      </c>
      <c r="K1507">
        <v>0.74071445533726321</v>
      </c>
      <c r="L1507">
        <v>5.7106901908252496E-2</v>
      </c>
      <c r="M1507">
        <v>0.34264141144951499</v>
      </c>
      <c r="N1507">
        <v>1.0833558667867782</v>
      </c>
      <c r="O1507" t="s">
        <v>90</v>
      </c>
      <c r="P1507">
        <v>0</v>
      </c>
      <c r="Q1507" t="s">
        <v>90</v>
      </c>
      <c r="R1507">
        <v>0</v>
      </c>
      <c r="S1507" t="s">
        <v>90</v>
      </c>
      <c r="T1507">
        <v>0</v>
      </c>
      <c r="U1507" t="s">
        <v>90</v>
      </c>
      <c r="V1507">
        <v>0</v>
      </c>
      <c r="W1507" t="s">
        <v>90</v>
      </c>
      <c r="X1507">
        <v>0</v>
      </c>
      <c r="Y1507">
        <v>1.0833558667867782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88</v>
      </c>
      <c r="AF1507">
        <v>720</v>
      </c>
      <c r="AG1507">
        <v>357</v>
      </c>
      <c r="AI1507">
        <v>0.379</v>
      </c>
      <c r="AK1507" t="s">
        <v>740</v>
      </c>
      <c r="AL1507" t="s">
        <v>951</v>
      </c>
      <c r="AM1507">
        <v>200000</v>
      </c>
      <c r="AN1507" t="s">
        <v>73</v>
      </c>
      <c r="AO1507">
        <v>1</v>
      </c>
      <c r="AP1507">
        <v>0</v>
      </c>
      <c r="AQ1507">
        <v>16666.666666666668</v>
      </c>
      <c r="AR1507" t="s">
        <v>4275</v>
      </c>
      <c r="AS1507" t="s">
        <v>75</v>
      </c>
      <c r="AX1507" t="s">
        <v>76</v>
      </c>
      <c r="AY1507" t="s">
        <v>176</v>
      </c>
      <c r="AZ1507">
        <v>0</v>
      </c>
      <c r="BA1507" t="s">
        <v>176</v>
      </c>
      <c r="BB1507">
        <v>0</v>
      </c>
    </row>
    <row r="1508" spans="1:56" x14ac:dyDescent="0.15">
      <c r="A1508" s="4" t="str">
        <f>HYPERLINK("https://ibp.a2mac1.com/costing(costing:projects/details/9760/part/8415014)","Rear Part")</f>
        <v>Rear Part</v>
      </c>
      <c r="B1508">
        <v>8415014</v>
      </c>
      <c r="C1508">
        <v>8414864</v>
      </c>
      <c r="E1508">
        <v>1.0503235470000001</v>
      </c>
      <c r="F1508">
        <v>0</v>
      </c>
      <c r="G1508">
        <v>0</v>
      </c>
      <c r="H1508">
        <v>5.3279570404210523E-3</v>
      </c>
      <c r="I1508" t="s">
        <v>176</v>
      </c>
      <c r="J1508">
        <v>3.6853457789473687E-2</v>
      </c>
      <c r="K1508">
        <v>1.0925049618298948</v>
      </c>
      <c r="L1508">
        <v>8.7130325345998946E-2</v>
      </c>
      <c r="M1508">
        <v>0.52278195207599365</v>
      </c>
      <c r="N1508">
        <v>1.6152869139058883</v>
      </c>
      <c r="O1508" t="s">
        <v>90</v>
      </c>
      <c r="P1508">
        <v>0</v>
      </c>
      <c r="Q1508" t="s">
        <v>90</v>
      </c>
      <c r="R1508">
        <v>0</v>
      </c>
      <c r="S1508" t="s">
        <v>90</v>
      </c>
      <c r="T1508">
        <v>0</v>
      </c>
      <c r="U1508" t="s">
        <v>90</v>
      </c>
      <c r="V1508">
        <v>0</v>
      </c>
      <c r="W1508" t="s">
        <v>90</v>
      </c>
      <c r="X1508">
        <v>0</v>
      </c>
      <c r="Y1508">
        <v>1.6152869139058883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38</v>
      </c>
      <c r="AF1508">
        <v>1040</v>
      </c>
      <c r="AG1508">
        <v>360</v>
      </c>
      <c r="AI1508">
        <v>0.55900000000000005</v>
      </c>
      <c r="AK1508" t="s">
        <v>740</v>
      </c>
      <c r="AL1508" t="s">
        <v>951</v>
      </c>
      <c r="AM1508">
        <v>200000</v>
      </c>
      <c r="AN1508" t="s">
        <v>73</v>
      </c>
      <c r="AO1508">
        <v>1</v>
      </c>
      <c r="AP1508">
        <v>0</v>
      </c>
      <c r="AQ1508">
        <v>16666.666666666668</v>
      </c>
      <c r="AR1508" t="s">
        <v>4280</v>
      </c>
      <c r="AS1508" t="s">
        <v>75</v>
      </c>
      <c r="AX1508" t="s">
        <v>76</v>
      </c>
      <c r="AY1508" t="s">
        <v>176</v>
      </c>
      <c r="AZ1508">
        <v>0</v>
      </c>
      <c r="BA1508" t="s">
        <v>176</v>
      </c>
      <c r="BB1508">
        <v>0</v>
      </c>
    </row>
    <row r="1509" spans="1:56" x14ac:dyDescent="0.15">
      <c r="A1509" s="4" t="str">
        <f>HYPERLINK("https://ibp.a2mac1.com/costing(costing:projects/details/9760/part/8415015)","Upper")</f>
        <v>Upper</v>
      </c>
      <c r="B1509">
        <v>8415015</v>
      </c>
      <c r="C1509">
        <v>8414865</v>
      </c>
      <c r="E1509">
        <v>0.89144600123076922</v>
      </c>
      <c r="F1509">
        <v>0</v>
      </c>
      <c r="G1509">
        <v>0</v>
      </c>
      <c r="H1509">
        <v>4.5162740822024296E-3</v>
      </c>
      <c r="I1509" t="s">
        <v>176</v>
      </c>
      <c r="J1509">
        <v>3.1239049975708501E-2</v>
      </c>
      <c r="K1509">
        <v>0.92720132528868016</v>
      </c>
      <c r="L1509">
        <v>0.10832333012558466</v>
      </c>
      <c r="M1509">
        <v>0.64993998075350801</v>
      </c>
      <c r="N1509">
        <v>1.5771413060421882</v>
      </c>
      <c r="O1509" t="s">
        <v>90</v>
      </c>
      <c r="P1509">
        <v>0</v>
      </c>
      <c r="Q1509" t="s">
        <v>90</v>
      </c>
      <c r="R1509">
        <v>0</v>
      </c>
      <c r="S1509" t="s">
        <v>90</v>
      </c>
      <c r="T1509">
        <v>0</v>
      </c>
      <c r="U1509" t="s">
        <v>90</v>
      </c>
      <c r="V1509">
        <v>0</v>
      </c>
      <c r="W1509" t="s">
        <v>90</v>
      </c>
      <c r="X1509">
        <v>0</v>
      </c>
      <c r="Y1509">
        <v>1.5771413060421882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65</v>
      </c>
      <c r="AF1509">
        <v>680</v>
      </c>
      <c r="AG1509">
        <v>67</v>
      </c>
      <c r="AI1509">
        <v>0.187</v>
      </c>
      <c r="AK1509" t="s">
        <v>740</v>
      </c>
      <c r="AL1509" t="s">
        <v>3981</v>
      </c>
      <c r="AM1509">
        <v>200000</v>
      </c>
      <c r="AN1509" t="s">
        <v>73</v>
      </c>
      <c r="AO1509">
        <v>1</v>
      </c>
      <c r="AP1509">
        <v>0</v>
      </c>
      <c r="AQ1509">
        <v>16666.666666666668</v>
      </c>
      <c r="AR1509" t="s">
        <v>4285</v>
      </c>
      <c r="AS1509" t="s">
        <v>75</v>
      </c>
      <c r="AX1509" t="s">
        <v>76</v>
      </c>
      <c r="AY1509" t="s">
        <v>176</v>
      </c>
      <c r="AZ1509">
        <v>0</v>
      </c>
      <c r="BA1509" t="s">
        <v>176</v>
      </c>
      <c r="BB1509">
        <v>0</v>
      </c>
    </row>
    <row r="1510" spans="1:56" x14ac:dyDescent="0.15">
      <c r="A1510" s="4" t="str">
        <f>HYPERLINK("https://ibp.a2mac1.com/costing(costing:projects/details/9760/part/8415016)","Front Part")</f>
        <v>Front Part</v>
      </c>
      <c r="B1510">
        <v>8415016</v>
      </c>
      <c r="C1510">
        <v>8414865</v>
      </c>
      <c r="E1510">
        <v>0.71211560699999998</v>
      </c>
      <c r="F1510">
        <v>0</v>
      </c>
      <c r="G1510">
        <v>0</v>
      </c>
      <c r="H1510">
        <v>3.6123358109473682E-3</v>
      </c>
      <c r="I1510" t="s">
        <v>176</v>
      </c>
      <c r="J1510">
        <v>2.4986512526315788E-2</v>
      </c>
      <c r="K1510">
        <v>0.74071445533726321</v>
      </c>
      <c r="L1510">
        <v>5.7106901908252496E-2</v>
      </c>
      <c r="M1510">
        <v>0.34264141144951499</v>
      </c>
      <c r="N1510">
        <v>1.0833558667867782</v>
      </c>
      <c r="O1510" t="s">
        <v>90</v>
      </c>
      <c r="P1510">
        <v>0</v>
      </c>
      <c r="Q1510" t="s">
        <v>90</v>
      </c>
      <c r="R1510">
        <v>0</v>
      </c>
      <c r="S1510" t="s">
        <v>90</v>
      </c>
      <c r="T1510">
        <v>0</v>
      </c>
      <c r="U1510" t="s">
        <v>90</v>
      </c>
      <c r="V1510">
        <v>0</v>
      </c>
      <c r="W1510" t="s">
        <v>90</v>
      </c>
      <c r="X1510">
        <v>0</v>
      </c>
      <c r="Y1510">
        <v>1.0833558667867782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50</v>
      </c>
      <c r="AF1510">
        <v>675</v>
      </c>
      <c r="AG1510">
        <v>339</v>
      </c>
      <c r="AI1510">
        <v>0.26800000000000002</v>
      </c>
      <c r="AK1510" t="s">
        <v>740</v>
      </c>
      <c r="AL1510" t="s">
        <v>951</v>
      </c>
      <c r="AM1510">
        <v>200000</v>
      </c>
      <c r="AN1510" t="s">
        <v>73</v>
      </c>
      <c r="AO1510">
        <v>1</v>
      </c>
      <c r="AP1510">
        <v>0</v>
      </c>
      <c r="AQ1510">
        <v>16666.666666666668</v>
      </c>
      <c r="AR1510" t="s">
        <v>4288</v>
      </c>
      <c r="AS1510" t="s">
        <v>75</v>
      </c>
      <c r="AX1510" t="s">
        <v>76</v>
      </c>
      <c r="AY1510" t="s">
        <v>176</v>
      </c>
      <c r="AZ1510">
        <v>0</v>
      </c>
      <c r="BA1510" t="s">
        <v>176</v>
      </c>
      <c r="BB1510">
        <v>0</v>
      </c>
    </row>
    <row r="1511" spans="1:56" x14ac:dyDescent="0.15">
      <c r="A1511" s="4" t="str">
        <f>HYPERLINK("https://ibp.a2mac1.com/costing(costing:projects/details/9760/part/8415017)","Rear Part")</f>
        <v>Rear Part</v>
      </c>
      <c r="B1511">
        <v>8415017</v>
      </c>
      <c r="C1511">
        <v>8414865</v>
      </c>
      <c r="E1511">
        <v>1.0503235470000001</v>
      </c>
      <c r="F1511">
        <v>0</v>
      </c>
      <c r="G1511">
        <v>0</v>
      </c>
      <c r="H1511">
        <v>5.3279570404210523E-3</v>
      </c>
      <c r="I1511" t="s">
        <v>176</v>
      </c>
      <c r="J1511">
        <v>3.6853457789473687E-2</v>
      </c>
      <c r="K1511">
        <v>1.0925049618298948</v>
      </c>
      <c r="L1511">
        <v>8.7130325345998946E-2</v>
      </c>
      <c r="M1511">
        <v>0.52278195207599365</v>
      </c>
      <c r="N1511">
        <v>1.6152869139058883</v>
      </c>
      <c r="O1511" t="s">
        <v>90</v>
      </c>
      <c r="P1511">
        <v>0</v>
      </c>
      <c r="Q1511" t="s">
        <v>90</v>
      </c>
      <c r="R1511">
        <v>0</v>
      </c>
      <c r="S1511" t="s">
        <v>90</v>
      </c>
      <c r="T1511">
        <v>0</v>
      </c>
      <c r="U1511" t="s">
        <v>90</v>
      </c>
      <c r="V1511">
        <v>0</v>
      </c>
      <c r="W1511" t="s">
        <v>90</v>
      </c>
      <c r="X1511">
        <v>0</v>
      </c>
      <c r="Y1511">
        <v>1.6152869139058883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55</v>
      </c>
      <c r="AF1511">
        <v>1054</v>
      </c>
      <c r="AG1511">
        <v>360</v>
      </c>
      <c r="AI1511">
        <v>0.56999999999999995</v>
      </c>
      <c r="AK1511" t="s">
        <v>740</v>
      </c>
      <c r="AL1511" t="s">
        <v>951</v>
      </c>
      <c r="AM1511">
        <v>200000</v>
      </c>
      <c r="AN1511" t="s">
        <v>73</v>
      </c>
      <c r="AO1511">
        <v>1</v>
      </c>
      <c r="AP1511">
        <v>0</v>
      </c>
      <c r="AQ1511">
        <v>16666.666666666668</v>
      </c>
      <c r="AR1511" t="s">
        <v>4291</v>
      </c>
      <c r="AS1511" t="s">
        <v>75</v>
      </c>
      <c r="AX1511" t="s">
        <v>76</v>
      </c>
      <c r="AY1511" t="s">
        <v>176</v>
      </c>
      <c r="AZ1511">
        <v>0</v>
      </c>
      <c r="BA1511" t="s">
        <v>176</v>
      </c>
      <c r="BB1511">
        <v>0</v>
      </c>
    </row>
    <row r="1512" spans="1:56" x14ac:dyDescent="0.15">
      <c r="A1512" s="4" t="str">
        <f>HYPERLINK("https://ibp.a2mac1.com/costing(costing:projects/details/9760/part/8414866)","Rear Single Left")</f>
        <v>Rear Single Left</v>
      </c>
      <c r="B1512">
        <v>8414866</v>
      </c>
      <c r="C1512">
        <v>8414774</v>
      </c>
      <c r="E1512">
        <v>0.75182553600000002</v>
      </c>
      <c r="F1512">
        <v>0</v>
      </c>
      <c r="G1512">
        <v>0</v>
      </c>
      <c r="H1512">
        <v>3.8137716412631577E-3</v>
      </c>
      <c r="I1512" t="s">
        <v>176</v>
      </c>
      <c r="J1512">
        <v>2.6379843368421054E-2</v>
      </c>
      <c r="K1512">
        <v>0.78201915100968422</v>
      </c>
      <c r="L1512">
        <v>5.3574734444988205E-2</v>
      </c>
      <c r="M1512">
        <v>0.32144840666992924</v>
      </c>
      <c r="N1512">
        <v>1.1034675576796134</v>
      </c>
      <c r="O1512" t="s">
        <v>177</v>
      </c>
      <c r="P1512">
        <v>4.6921149060581049E-2</v>
      </c>
      <c r="Q1512" t="s">
        <v>177</v>
      </c>
      <c r="R1512">
        <v>1.9286904400195756E-2</v>
      </c>
      <c r="S1512" t="s">
        <v>178</v>
      </c>
      <c r="T1512">
        <v>0.13241610692155362</v>
      </c>
      <c r="U1512" t="s">
        <v>90</v>
      </c>
      <c r="V1512">
        <v>0</v>
      </c>
      <c r="W1512" t="s">
        <v>90</v>
      </c>
      <c r="X1512">
        <v>0</v>
      </c>
      <c r="Y1512">
        <v>1.3020917180619438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173</v>
      </c>
      <c r="AF1512">
        <v>210</v>
      </c>
      <c r="AG1512">
        <v>50</v>
      </c>
      <c r="AI1512">
        <v>0.35199999999999998</v>
      </c>
      <c r="AK1512" t="s">
        <v>740</v>
      </c>
      <c r="AL1512" t="s">
        <v>448</v>
      </c>
      <c r="AM1512">
        <v>200000</v>
      </c>
      <c r="AN1512" t="s">
        <v>97</v>
      </c>
      <c r="AO1512">
        <v>1</v>
      </c>
      <c r="AP1512">
        <v>0</v>
      </c>
      <c r="AQ1512">
        <v>16666.666666666668</v>
      </c>
      <c r="AR1512" t="s">
        <v>4299</v>
      </c>
      <c r="AS1512" t="s">
        <v>75</v>
      </c>
      <c r="AX1512" t="s">
        <v>76</v>
      </c>
      <c r="AY1512" t="s">
        <v>176</v>
      </c>
      <c r="AZ1512">
        <v>0</v>
      </c>
      <c r="BA1512" t="s">
        <v>176</v>
      </c>
      <c r="BB1512">
        <v>0</v>
      </c>
    </row>
    <row r="1513" spans="1:56" x14ac:dyDescent="0.15">
      <c r="A1513" s="4" t="str">
        <f>HYPERLINK("https://ibp.a2mac1.com/costing(costing:projects/details/9760/part/8414867)","Multifunction Switch")</f>
        <v>Multifunction Switch</v>
      </c>
      <c r="B1513">
        <v>8414867</v>
      </c>
      <c r="C1513">
        <v>8414775</v>
      </c>
      <c r="E1513">
        <v>4</v>
      </c>
      <c r="F1513">
        <v>0</v>
      </c>
      <c r="G1513">
        <v>0</v>
      </c>
      <c r="H1513">
        <v>0</v>
      </c>
      <c r="I1513" t="s">
        <v>71</v>
      </c>
      <c r="J1513">
        <v>0</v>
      </c>
      <c r="K1513">
        <v>4</v>
      </c>
      <c r="L1513">
        <v>0</v>
      </c>
      <c r="M1513">
        <v>0</v>
      </c>
      <c r="N1513">
        <v>4</v>
      </c>
      <c r="O1513" t="s">
        <v>71</v>
      </c>
      <c r="P1513">
        <v>0</v>
      </c>
      <c r="Q1513" t="s">
        <v>71</v>
      </c>
      <c r="R1513">
        <v>0</v>
      </c>
      <c r="S1513" t="s">
        <v>71</v>
      </c>
      <c r="T1513">
        <v>0</v>
      </c>
      <c r="U1513" t="s">
        <v>71</v>
      </c>
      <c r="V1513">
        <v>0</v>
      </c>
      <c r="W1513" t="s">
        <v>71</v>
      </c>
      <c r="X1513">
        <v>0</v>
      </c>
      <c r="Y1513">
        <v>4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240</v>
      </c>
      <c r="AG1513">
        <v>54</v>
      </c>
      <c r="AI1513">
        <v>0.19900000000000001</v>
      </c>
      <c r="AK1513" t="s">
        <v>365</v>
      </c>
      <c r="AM1513">
        <v>200000</v>
      </c>
      <c r="AN1513" t="s">
        <v>97</v>
      </c>
      <c r="AO1513">
        <v>1</v>
      </c>
      <c r="AP1513">
        <v>0</v>
      </c>
      <c r="AQ1513">
        <v>16666.666666666668</v>
      </c>
      <c r="AR1513" t="s">
        <v>4302</v>
      </c>
      <c r="AS1513" t="s">
        <v>75</v>
      </c>
      <c r="AX1513" t="s">
        <v>76</v>
      </c>
      <c r="AY1513" t="s">
        <v>71</v>
      </c>
      <c r="AZ1513">
        <v>0</v>
      </c>
      <c r="BA1513" t="s">
        <v>71</v>
      </c>
      <c r="BB1513">
        <v>0</v>
      </c>
      <c r="BD1513">
        <v>4</v>
      </c>
    </row>
    <row r="1514" spans="1:56" x14ac:dyDescent="0.15">
      <c r="A1514" s="4" t="str">
        <f>HYPERLINK("https://ibp.a2mac1.com/costing(costing:projects/details/9760/part/8414868)","Multifunction Switch Trim")</f>
        <v>Multifunction Switch Trim</v>
      </c>
      <c r="B1514">
        <v>8414868</v>
      </c>
      <c r="C1514">
        <v>8414775</v>
      </c>
      <c r="E1514">
        <v>0.25180000000000002</v>
      </c>
      <c r="F1514">
        <v>0</v>
      </c>
      <c r="G1514">
        <v>0</v>
      </c>
      <c r="H1514">
        <v>0</v>
      </c>
      <c r="I1514" t="s">
        <v>71</v>
      </c>
      <c r="J1514">
        <v>0</v>
      </c>
      <c r="K1514">
        <v>0.25180000000000002</v>
      </c>
      <c r="L1514">
        <v>0</v>
      </c>
      <c r="M1514">
        <v>0</v>
      </c>
      <c r="N1514">
        <v>0.25180000000000002</v>
      </c>
      <c r="O1514" t="s">
        <v>71</v>
      </c>
      <c r="P1514">
        <v>0</v>
      </c>
      <c r="Q1514" t="s">
        <v>71</v>
      </c>
      <c r="R1514">
        <v>0</v>
      </c>
      <c r="S1514" t="s">
        <v>71</v>
      </c>
      <c r="T1514">
        <v>0</v>
      </c>
      <c r="U1514" t="s">
        <v>71</v>
      </c>
      <c r="V1514">
        <v>0</v>
      </c>
      <c r="W1514" t="s">
        <v>71</v>
      </c>
      <c r="X1514">
        <v>0</v>
      </c>
      <c r="Y1514">
        <v>0.25180000000000002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204</v>
      </c>
      <c r="AF1514">
        <v>52</v>
      </c>
      <c r="AG1514">
        <v>24</v>
      </c>
      <c r="AI1514">
        <v>2.4E-2</v>
      </c>
      <c r="AK1514" t="s">
        <v>740</v>
      </c>
      <c r="AL1514" t="s">
        <v>4303</v>
      </c>
      <c r="AM1514">
        <v>200000</v>
      </c>
      <c r="AN1514" t="s">
        <v>73</v>
      </c>
      <c r="AO1514">
        <v>1</v>
      </c>
      <c r="AP1514">
        <v>0</v>
      </c>
      <c r="AQ1514">
        <v>16666.666666666668</v>
      </c>
      <c r="AR1514" t="s">
        <v>4304</v>
      </c>
      <c r="AS1514" t="s">
        <v>75</v>
      </c>
      <c r="AX1514" t="s">
        <v>76</v>
      </c>
      <c r="AY1514" t="s">
        <v>71</v>
      </c>
      <c r="AZ1514">
        <v>0</v>
      </c>
      <c r="BA1514" t="s">
        <v>71</v>
      </c>
      <c r="BB1514">
        <v>0</v>
      </c>
      <c r="BD1514">
        <v>0.25180000000000002</v>
      </c>
    </row>
    <row r="1515" spans="1:56" x14ac:dyDescent="0.15">
      <c r="A1515" s="4" t="str">
        <f>HYPERLINK("https://ibp.a2mac1.com/costing(costing:projects/details/9760/part/8414869)","Storage Box")</f>
        <v>Storage Box</v>
      </c>
      <c r="B1515">
        <v>8414869</v>
      </c>
      <c r="C1515">
        <v>8414776</v>
      </c>
      <c r="E1515">
        <v>0.20856156300000001</v>
      </c>
      <c r="F1515">
        <v>0</v>
      </c>
      <c r="G1515">
        <v>0</v>
      </c>
      <c r="H1515">
        <v>1.0579664248421053E-3</v>
      </c>
      <c r="I1515" t="s">
        <v>176</v>
      </c>
      <c r="J1515">
        <v>7.3179495789473682E-3</v>
      </c>
      <c r="K1515">
        <v>0.21693747900378949</v>
      </c>
      <c r="L1515">
        <v>1.8253059812345325E-2</v>
      </c>
      <c r="M1515">
        <v>0.10951835887407195</v>
      </c>
      <c r="N1515">
        <v>0.32645583787786142</v>
      </c>
      <c r="O1515" t="s">
        <v>177</v>
      </c>
      <c r="P1515">
        <v>1.3016248740227368E-2</v>
      </c>
      <c r="Q1515" t="s">
        <v>177</v>
      </c>
      <c r="R1515">
        <v>6.5711015324443171E-3</v>
      </c>
      <c r="S1515" t="s">
        <v>178</v>
      </c>
      <c r="T1515">
        <v>3.9174700545343374E-2</v>
      </c>
      <c r="U1515" t="s">
        <v>90</v>
      </c>
      <c r="V1515">
        <v>0</v>
      </c>
      <c r="W1515" t="s">
        <v>90</v>
      </c>
      <c r="X1515">
        <v>0</v>
      </c>
      <c r="Y1515">
        <v>0.38521788869587648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92</v>
      </c>
      <c r="AF1515">
        <v>237</v>
      </c>
      <c r="AG1515">
        <v>76</v>
      </c>
      <c r="AI1515">
        <v>0.111</v>
      </c>
      <c r="AK1515" t="s">
        <v>740</v>
      </c>
      <c r="AL1515" t="s">
        <v>951</v>
      </c>
      <c r="AM1515">
        <v>200000</v>
      </c>
      <c r="AN1515" t="s">
        <v>97</v>
      </c>
      <c r="AO1515">
        <v>1</v>
      </c>
      <c r="AP1515">
        <v>0</v>
      </c>
      <c r="AQ1515">
        <v>16666.666666666668</v>
      </c>
      <c r="AR1515" t="s">
        <v>4311</v>
      </c>
      <c r="AS1515" t="s">
        <v>75</v>
      </c>
      <c r="AX1515" t="s">
        <v>76</v>
      </c>
      <c r="AY1515" t="s">
        <v>176</v>
      </c>
      <c r="AZ1515">
        <v>0</v>
      </c>
      <c r="BA1515" t="s">
        <v>176</v>
      </c>
      <c r="BB1515">
        <v>0</v>
      </c>
    </row>
    <row r="1516" spans="1:56" x14ac:dyDescent="0.15">
      <c r="A1516" s="4" t="str">
        <f>HYPERLINK("https://ibp.a2mac1.com/costing(costing:projects/details/9760/part/8414870)","Bottom of Compartment")</f>
        <v>Bottom of Compartment</v>
      </c>
      <c r="B1516">
        <v>8414870</v>
      </c>
      <c r="C1516">
        <v>8414776</v>
      </c>
      <c r="E1516">
        <v>4.2732238499999999E-2</v>
      </c>
      <c r="F1516">
        <v>0</v>
      </c>
      <c r="G1516">
        <v>0</v>
      </c>
      <c r="H1516">
        <v>2.1676704442105264E-4</v>
      </c>
      <c r="I1516" t="s">
        <v>176</v>
      </c>
      <c r="J1516">
        <v>1.4993767894736843E-3</v>
      </c>
      <c r="K1516">
        <v>4.444838233389474E-2</v>
      </c>
      <c r="L1516">
        <v>5.8904736909203177E-3</v>
      </c>
      <c r="M1516">
        <v>3.5342842145521906E-2</v>
      </c>
      <c r="N1516">
        <v>7.9791224479416639E-2</v>
      </c>
      <c r="O1516" t="s">
        <v>90</v>
      </c>
      <c r="P1516">
        <v>0</v>
      </c>
      <c r="Q1516" t="s">
        <v>90</v>
      </c>
      <c r="R1516">
        <v>0</v>
      </c>
      <c r="S1516" t="s">
        <v>90</v>
      </c>
      <c r="T1516">
        <v>0</v>
      </c>
      <c r="U1516" t="s">
        <v>90</v>
      </c>
      <c r="V1516">
        <v>0</v>
      </c>
      <c r="W1516" t="s">
        <v>90</v>
      </c>
      <c r="X1516">
        <v>0</v>
      </c>
      <c r="Y1516">
        <v>7.9791224479416639E-2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86</v>
      </c>
      <c r="AF1516">
        <v>195</v>
      </c>
      <c r="AG1516">
        <v>20</v>
      </c>
      <c r="AI1516">
        <v>2.7E-2</v>
      </c>
      <c r="AK1516" t="s">
        <v>740</v>
      </c>
      <c r="AL1516" t="s">
        <v>2246</v>
      </c>
      <c r="AM1516">
        <v>200000</v>
      </c>
      <c r="AN1516" t="s">
        <v>73</v>
      </c>
      <c r="AO1516">
        <v>1</v>
      </c>
      <c r="AP1516">
        <v>0</v>
      </c>
      <c r="AQ1516">
        <v>16666.666666666668</v>
      </c>
      <c r="AR1516" t="s">
        <v>4316</v>
      </c>
      <c r="AS1516" t="s">
        <v>75</v>
      </c>
      <c r="AX1516" t="s">
        <v>76</v>
      </c>
      <c r="AY1516" t="s">
        <v>176</v>
      </c>
      <c r="AZ1516">
        <v>0</v>
      </c>
      <c r="BA1516" t="s">
        <v>176</v>
      </c>
      <c r="BB1516">
        <v>0</v>
      </c>
    </row>
    <row r="1517" spans="1:56" x14ac:dyDescent="0.15">
      <c r="A1517" s="4" t="str">
        <f>HYPERLINK("https://ibp.a2mac1.com/costing(costing:projects/details/9760/part/8414871)","Tray")</f>
        <v>Tray</v>
      </c>
      <c r="B1517">
        <v>8414871</v>
      </c>
      <c r="C1517">
        <v>8414777</v>
      </c>
      <c r="E1517">
        <v>0.18977223300000001</v>
      </c>
      <c r="F1517">
        <v>0</v>
      </c>
      <c r="G1517">
        <v>0</v>
      </c>
      <c r="H1517">
        <v>9.6265413431578946E-4</v>
      </c>
      <c r="I1517" t="s">
        <v>176</v>
      </c>
      <c r="J1517">
        <v>6.658674842105263E-3</v>
      </c>
      <c r="K1517">
        <v>0.19739356197642105</v>
      </c>
      <c r="L1517">
        <v>1.6486976080713183E-2</v>
      </c>
      <c r="M1517">
        <v>9.8921856484279092E-2</v>
      </c>
      <c r="N1517">
        <v>0.29631541846070014</v>
      </c>
      <c r="O1517" t="s">
        <v>90</v>
      </c>
      <c r="P1517">
        <v>0</v>
      </c>
      <c r="Q1517" t="s">
        <v>90</v>
      </c>
      <c r="R1517">
        <v>0</v>
      </c>
      <c r="S1517" t="s">
        <v>90</v>
      </c>
      <c r="T1517">
        <v>0</v>
      </c>
      <c r="U1517" t="s">
        <v>90</v>
      </c>
      <c r="V1517">
        <v>0</v>
      </c>
      <c r="W1517" t="s">
        <v>90</v>
      </c>
      <c r="X1517">
        <v>0</v>
      </c>
      <c r="Y1517">
        <v>0.29631541846070014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95</v>
      </c>
      <c r="AF1517">
        <v>161</v>
      </c>
      <c r="AG1517">
        <v>150</v>
      </c>
      <c r="AI1517">
        <v>0.10100000000000001</v>
      </c>
      <c r="AK1517" t="s">
        <v>740</v>
      </c>
      <c r="AL1517" t="s">
        <v>951</v>
      </c>
      <c r="AM1517">
        <v>200000</v>
      </c>
      <c r="AN1517" t="s">
        <v>73</v>
      </c>
      <c r="AO1517">
        <v>1</v>
      </c>
      <c r="AP1517">
        <v>0</v>
      </c>
      <c r="AQ1517">
        <v>16666.666666666668</v>
      </c>
      <c r="AR1517" t="s">
        <v>4323</v>
      </c>
      <c r="AS1517" t="s">
        <v>75</v>
      </c>
      <c r="AX1517" t="s">
        <v>76</v>
      </c>
      <c r="AY1517" t="s">
        <v>176</v>
      </c>
      <c r="AZ1517">
        <v>0</v>
      </c>
      <c r="BA1517" t="s">
        <v>176</v>
      </c>
      <c r="BB1517">
        <v>0</v>
      </c>
    </row>
    <row r="1518" spans="1:56" x14ac:dyDescent="0.15">
      <c r="A1518" s="4" t="str">
        <f>HYPERLINK("https://ibp.a2mac1.com/costing(costing:projects/details/9760/part/8414872)","Bottom of Compartment")</f>
        <v>Bottom of Compartment</v>
      </c>
      <c r="B1518">
        <v>8414872</v>
      </c>
      <c r="C1518">
        <v>8414777</v>
      </c>
      <c r="E1518">
        <v>2.6905483500000001E-2</v>
      </c>
      <c r="F1518">
        <v>0</v>
      </c>
      <c r="G1518">
        <v>0</v>
      </c>
      <c r="H1518">
        <v>1.3648295389473685E-4</v>
      </c>
      <c r="I1518" t="s">
        <v>176</v>
      </c>
      <c r="J1518">
        <v>9.4405205263157891E-4</v>
      </c>
      <c r="K1518">
        <v>2.7986018506526315E-2</v>
      </c>
      <c r="L1518">
        <v>5.8904736909203177E-3</v>
      </c>
      <c r="M1518">
        <v>3.5342842145521906E-2</v>
      </c>
      <c r="N1518">
        <v>6.3328860652048222E-2</v>
      </c>
      <c r="O1518" t="s">
        <v>90</v>
      </c>
      <c r="P1518">
        <v>0</v>
      </c>
      <c r="Q1518" t="s">
        <v>90</v>
      </c>
      <c r="R1518">
        <v>0</v>
      </c>
      <c r="S1518" t="s">
        <v>90</v>
      </c>
      <c r="T1518">
        <v>0</v>
      </c>
      <c r="U1518" t="s">
        <v>90</v>
      </c>
      <c r="V1518">
        <v>0</v>
      </c>
      <c r="W1518" t="s">
        <v>90</v>
      </c>
      <c r="X1518">
        <v>0</v>
      </c>
      <c r="Y1518">
        <v>6.3328860652048222E-2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75</v>
      </c>
      <c r="AF1518">
        <v>120</v>
      </c>
      <c r="AG1518">
        <v>16</v>
      </c>
      <c r="AI1518">
        <v>1.7000000000000001E-2</v>
      </c>
      <c r="AK1518" t="s">
        <v>740</v>
      </c>
      <c r="AL1518" t="s">
        <v>2246</v>
      </c>
      <c r="AM1518">
        <v>200000</v>
      </c>
      <c r="AN1518" t="s">
        <v>73</v>
      </c>
      <c r="AO1518">
        <v>1</v>
      </c>
      <c r="AP1518">
        <v>0</v>
      </c>
      <c r="AQ1518">
        <v>16666.666666666668</v>
      </c>
      <c r="AR1518" t="s">
        <v>4328</v>
      </c>
      <c r="AS1518" t="s">
        <v>75</v>
      </c>
      <c r="AX1518" t="s">
        <v>76</v>
      </c>
      <c r="AY1518" t="s">
        <v>176</v>
      </c>
      <c r="AZ1518">
        <v>0</v>
      </c>
      <c r="BA1518" t="s">
        <v>176</v>
      </c>
      <c r="BB1518">
        <v>0</v>
      </c>
    </row>
    <row r="1519" spans="1:56" x14ac:dyDescent="0.15">
      <c r="A1519" s="4" t="str">
        <f>HYPERLINK("https://ibp.a2mac1.com/costing(costing:projects/details/9760/part/8414873)","Lid Armrest")</f>
        <v>Lid Armrest</v>
      </c>
      <c r="B1519">
        <v>8414873</v>
      </c>
      <c r="C1519">
        <v>8414778</v>
      </c>
      <c r="E1519">
        <v>1.1322236012307691</v>
      </c>
      <c r="F1519">
        <v>0</v>
      </c>
      <c r="G1519">
        <v>0</v>
      </c>
      <c r="H1519">
        <v>5.7376622085182185E-3</v>
      </c>
      <c r="I1519" t="s">
        <v>176</v>
      </c>
      <c r="J1519">
        <v>3.9687386817813766E-2</v>
      </c>
      <c r="K1519">
        <v>1.1776486502571013</v>
      </c>
      <c r="L1519">
        <v>0.16660409326944542</v>
      </c>
      <c r="M1519">
        <v>0.99962455961667251</v>
      </c>
      <c r="N1519">
        <v>2.1772732098737739</v>
      </c>
      <c r="O1519" t="s">
        <v>177</v>
      </c>
      <c r="P1519">
        <v>7.0658919015426078E-2</v>
      </c>
      <c r="Q1519" t="s">
        <v>177</v>
      </c>
      <c r="R1519">
        <v>5.9977473577000354E-2</v>
      </c>
      <c r="S1519" t="s">
        <v>178</v>
      </c>
      <c r="T1519">
        <v>0.26127278518485286</v>
      </c>
      <c r="U1519" t="s">
        <v>90</v>
      </c>
      <c r="V1519">
        <v>0</v>
      </c>
      <c r="W1519" t="s">
        <v>90</v>
      </c>
      <c r="X1519">
        <v>0</v>
      </c>
      <c r="Y1519">
        <v>2.5691823876510531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334</v>
      </c>
      <c r="AF1519">
        <v>117</v>
      </c>
      <c r="AG1519">
        <v>50</v>
      </c>
      <c r="AI1519">
        <v>0.28199999999999997</v>
      </c>
      <c r="AK1519" t="s">
        <v>740</v>
      </c>
      <c r="AL1519" t="s">
        <v>412</v>
      </c>
      <c r="AM1519">
        <v>200000</v>
      </c>
      <c r="AN1519" t="s">
        <v>97</v>
      </c>
      <c r="AO1519">
        <v>1</v>
      </c>
      <c r="AP1519">
        <v>0</v>
      </c>
      <c r="AQ1519">
        <v>16666.666666666668</v>
      </c>
      <c r="AR1519" t="s">
        <v>4335</v>
      </c>
      <c r="AS1519" t="s">
        <v>75</v>
      </c>
      <c r="AX1519" t="s">
        <v>76</v>
      </c>
      <c r="AY1519" t="s">
        <v>176</v>
      </c>
      <c r="AZ1519">
        <v>0</v>
      </c>
      <c r="BA1519" t="s">
        <v>176</v>
      </c>
      <c r="BB1519">
        <v>0</v>
      </c>
    </row>
    <row r="1520" spans="1:56" x14ac:dyDescent="0.15">
      <c r="A1520" s="4" t="str">
        <f>HYPERLINK("https://ibp.a2mac1.com/costing(costing:projects/details/9760/part/8414874)","Lid Armrest Support")</f>
        <v>Lid Armrest Support</v>
      </c>
      <c r="B1520">
        <v>8414874</v>
      </c>
      <c r="C1520">
        <v>8414778</v>
      </c>
      <c r="E1520">
        <v>0.93180931199999995</v>
      </c>
      <c r="F1520">
        <v>0</v>
      </c>
      <c r="G1520">
        <v>0</v>
      </c>
      <c r="H1520">
        <v>4.7267720488421055E-3</v>
      </c>
      <c r="I1520" t="s">
        <v>176</v>
      </c>
      <c r="J1520">
        <v>3.2695063578947366E-2</v>
      </c>
      <c r="K1520">
        <v>0.9692311476277895</v>
      </c>
      <c r="L1520">
        <v>5.8872985639884634E-2</v>
      </c>
      <c r="M1520">
        <v>0.3532379138393078</v>
      </c>
      <c r="N1520">
        <v>1.3224690614670973</v>
      </c>
      <c r="O1520" t="s">
        <v>90</v>
      </c>
      <c r="P1520">
        <v>0</v>
      </c>
      <c r="Q1520" t="s">
        <v>90</v>
      </c>
      <c r="R1520">
        <v>0</v>
      </c>
      <c r="S1520" t="s">
        <v>90</v>
      </c>
      <c r="T1520">
        <v>0</v>
      </c>
      <c r="U1520" t="s">
        <v>90</v>
      </c>
      <c r="V1520">
        <v>0</v>
      </c>
      <c r="W1520" t="s">
        <v>90</v>
      </c>
      <c r="X1520">
        <v>0</v>
      </c>
      <c r="Y1520">
        <v>1.3224690614670973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400</v>
      </c>
      <c r="AF1520">
        <v>215</v>
      </c>
      <c r="AG1520">
        <v>90</v>
      </c>
      <c r="AI1520">
        <v>0.38700000000000001</v>
      </c>
      <c r="AK1520" t="s">
        <v>740</v>
      </c>
      <c r="AL1520" t="s">
        <v>412</v>
      </c>
      <c r="AM1520">
        <v>200000</v>
      </c>
      <c r="AN1520" t="s">
        <v>73</v>
      </c>
      <c r="AO1520">
        <v>1</v>
      </c>
      <c r="AP1520">
        <v>0</v>
      </c>
      <c r="AQ1520">
        <v>16666.666666666668</v>
      </c>
      <c r="AR1520" t="s">
        <v>4340</v>
      </c>
      <c r="AS1520" t="s">
        <v>75</v>
      </c>
      <c r="AX1520" t="s">
        <v>76</v>
      </c>
      <c r="AY1520" t="s">
        <v>176</v>
      </c>
      <c r="AZ1520">
        <v>0</v>
      </c>
      <c r="BA1520" t="s">
        <v>176</v>
      </c>
      <c r="BB1520">
        <v>0</v>
      </c>
    </row>
    <row r="1521" spans="1:56" x14ac:dyDescent="0.15">
      <c r="A1521" s="4" t="str">
        <f>HYPERLINK("https://ibp.a2mac1.com/costing(costing:projects/details/9760/part/8414875)","2nd Cover Right Side")</f>
        <v>2nd Cover Right Side</v>
      </c>
      <c r="B1521">
        <v>8414875</v>
      </c>
      <c r="C1521">
        <v>8414778</v>
      </c>
      <c r="E1521">
        <v>1.1394469292307692</v>
      </c>
      <c r="F1521">
        <v>0</v>
      </c>
      <c r="G1521">
        <v>0</v>
      </c>
      <c r="H1521">
        <v>5.774303852307692E-3</v>
      </c>
      <c r="I1521" t="s">
        <v>176</v>
      </c>
      <c r="J1521">
        <v>3.9940836923076921E-2</v>
      </c>
      <c r="K1521">
        <v>1.1851620700061538</v>
      </c>
      <c r="L1521">
        <v>0.16837017700107756</v>
      </c>
      <c r="M1521">
        <v>1.0102210620064653</v>
      </c>
      <c r="N1521">
        <v>2.1953831320126191</v>
      </c>
      <c r="O1521" t="s">
        <v>90</v>
      </c>
      <c r="P1521">
        <v>0</v>
      </c>
      <c r="Q1521" t="s">
        <v>90</v>
      </c>
      <c r="R1521">
        <v>0</v>
      </c>
      <c r="S1521" t="s">
        <v>90</v>
      </c>
      <c r="T1521">
        <v>0</v>
      </c>
      <c r="U1521" t="s">
        <v>90</v>
      </c>
      <c r="V1521">
        <v>0</v>
      </c>
      <c r="W1521" t="s">
        <v>90</v>
      </c>
      <c r="X1521">
        <v>0</v>
      </c>
      <c r="Y1521">
        <v>2.1953831320126191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334</v>
      </c>
      <c r="AF1521">
        <v>115</v>
      </c>
      <c r="AG1521">
        <v>51</v>
      </c>
      <c r="AI1521">
        <v>0.28499999999999998</v>
      </c>
      <c r="AK1521" t="s">
        <v>740</v>
      </c>
      <c r="AL1521" t="s">
        <v>3981</v>
      </c>
      <c r="AM1521">
        <v>200000</v>
      </c>
      <c r="AN1521" t="s">
        <v>73</v>
      </c>
      <c r="AO1521">
        <v>1</v>
      </c>
      <c r="AP1521">
        <v>0</v>
      </c>
      <c r="AQ1521">
        <v>16666.666666666668</v>
      </c>
      <c r="AR1521" t="s">
        <v>4345</v>
      </c>
      <c r="AS1521" t="s">
        <v>75</v>
      </c>
      <c r="AX1521" t="s">
        <v>76</v>
      </c>
      <c r="AY1521" t="s">
        <v>176</v>
      </c>
      <c r="AZ1521">
        <v>0</v>
      </c>
      <c r="BA1521" t="s">
        <v>176</v>
      </c>
      <c r="BB1521">
        <v>0</v>
      </c>
    </row>
    <row r="1522" spans="1:56" x14ac:dyDescent="0.15">
      <c r="A1522" s="4" t="str">
        <f>HYPERLINK("https://ibp.a2mac1.com/costing(costing:projects/details/9760/part/8414876)","Mat")</f>
        <v>Mat</v>
      </c>
      <c r="B1522">
        <v>8414876</v>
      </c>
      <c r="C1522">
        <v>8414778</v>
      </c>
      <c r="E1522">
        <v>0.10129123199999999</v>
      </c>
      <c r="F1522">
        <v>0</v>
      </c>
      <c r="G1522">
        <v>0</v>
      </c>
      <c r="H1522">
        <v>5.1381817936842103E-4</v>
      </c>
      <c r="I1522" t="s">
        <v>176</v>
      </c>
      <c r="J1522">
        <v>3.5540783157894736E-3</v>
      </c>
      <c r="K1522">
        <v>0.1053591284951579</v>
      </c>
      <c r="L1522">
        <v>1.1188724885816749E-2</v>
      </c>
      <c r="M1522">
        <v>6.7132349314900502E-2</v>
      </c>
      <c r="N1522">
        <v>0.17249147781005839</v>
      </c>
      <c r="O1522" t="s">
        <v>90</v>
      </c>
      <c r="P1522">
        <v>0</v>
      </c>
      <c r="Q1522" t="s">
        <v>90</v>
      </c>
      <c r="R1522">
        <v>0</v>
      </c>
      <c r="S1522" t="s">
        <v>90</v>
      </c>
      <c r="T1522">
        <v>0</v>
      </c>
      <c r="U1522" t="s">
        <v>90</v>
      </c>
      <c r="V1522">
        <v>0</v>
      </c>
      <c r="W1522" t="s">
        <v>90</v>
      </c>
      <c r="X1522">
        <v>0</v>
      </c>
      <c r="Y1522">
        <v>0.17249147781005839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231</v>
      </c>
      <c r="AF1522">
        <v>137</v>
      </c>
      <c r="AG1522">
        <v>16</v>
      </c>
      <c r="AI1522">
        <v>6.4000000000000001E-2</v>
      </c>
      <c r="AK1522" t="s">
        <v>740</v>
      </c>
      <c r="AL1522" t="s">
        <v>2246</v>
      </c>
      <c r="AM1522">
        <v>200000</v>
      </c>
      <c r="AN1522" t="s">
        <v>73</v>
      </c>
      <c r="AO1522">
        <v>1</v>
      </c>
      <c r="AP1522">
        <v>0</v>
      </c>
      <c r="AQ1522">
        <v>16666.666666666668</v>
      </c>
      <c r="AR1522" t="s">
        <v>4350</v>
      </c>
      <c r="AS1522" t="s">
        <v>75</v>
      </c>
      <c r="AX1522" t="s">
        <v>76</v>
      </c>
      <c r="AY1522" t="s">
        <v>176</v>
      </c>
      <c r="AZ1522">
        <v>0</v>
      </c>
      <c r="BA1522" t="s">
        <v>176</v>
      </c>
      <c r="BB1522">
        <v>0</v>
      </c>
    </row>
    <row r="1523" spans="1:56" x14ac:dyDescent="0.15">
      <c r="A1523" s="4" t="str">
        <f>HYPERLINK("https://ibp.a2mac1.com/costing(costing:projects/details/9760/part/8414877)","Panel Under Armrest")</f>
        <v>Panel Under Armrest</v>
      </c>
      <c r="B1523">
        <v>8414877</v>
      </c>
      <c r="C1523">
        <v>8414778</v>
      </c>
      <c r="E1523">
        <v>0.32986531200000002</v>
      </c>
      <c r="F1523">
        <v>0</v>
      </c>
      <c r="G1523">
        <v>0</v>
      </c>
      <c r="H1523">
        <v>1.6733017330526315E-3</v>
      </c>
      <c r="I1523" t="s">
        <v>176</v>
      </c>
      <c r="J1523">
        <v>1.1574221473684211E-2</v>
      </c>
      <c r="K1523">
        <v>0.34311283520673685</v>
      </c>
      <c r="L1523">
        <v>2.1785227275609612E-2</v>
      </c>
      <c r="M1523">
        <v>0.13071136365365768</v>
      </c>
      <c r="N1523">
        <v>0.47382419886039451</v>
      </c>
      <c r="O1523" t="s">
        <v>90</v>
      </c>
      <c r="P1523">
        <v>0</v>
      </c>
      <c r="Q1523" t="s">
        <v>90</v>
      </c>
      <c r="R1523">
        <v>0</v>
      </c>
      <c r="S1523" t="s">
        <v>90</v>
      </c>
      <c r="T1523">
        <v>0</v>
      </c>
      <c r="U1523" t="s">
        <v>90</v>
      </c>
      <c r="V1523">
        <v>0</v>
      </c>
      <c r="W1523" t="s">
        <v>90</v>
      </c>
      <c r="X1523">
        <v>0</v>
      </c>
      <c r="Y1523">
        <v>0.47382419886039451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339</v>
      </c>
      <c r="AF1523">
        <v>98</v>
      </c>
      <c r="AG1523">
        <v>45</v>
      </c>
      <c r="AI1523">
        <v>0.13700000000000001</v>
      </c>
      <c r="AK1523" t="s">
        <v>740</v>
      </c>
      <c r="AL1523" t="s">
        <v>412</v>
      </c>
      <c r="AM1523">
        <v>200000</v>
      </c>
      <c r="AN1523" t="s">
        <v>73</v>
      </c>
      <c r="AO1523">
        <v>1</v>
      </c>
      <c r="AP1523">
        <v>0</v>
      </c>
      <c r="AQ1523">
        <v>16666.666666666668</v>
      </c>
      <c r="AR1523" t="s">
        <v>4355</v>
      </c>
      <c r="AS1523" t="s">
        <v>75</v>
      </c>
      <c r="AX1523" t="s">
        <v>76</v>
      </c>
      <c r="AY1523" t="s">
        <v>176</v>
      </c>
      <c r="AZ1523">
        <v>0</v>
      </c>
      <c r="BA1523" t="s">
        <v>176</v>
      </c>
      <c r="BB1523">
        <v>0</v>
      </c>
    </row>
    <row r="1524" spans="1:56" x14ac:dyDescent="0.15">
      <c r="A1524" s="4" t="str">
        <f>HYPERLINK("https://ibp.a2mac1.com/costing(costing:projects/details/9760/part/8414878)","2nd Panel Under Armrest")</f>
        <v>2nd Panel Under Armrest</v>
      </c>
      <c r="B1524">
        <v>8414878</v>
      </c>
      <c r="C1524">
        <v>8414778</v>
      </c>
      <c r="E1524">
        <v>0.33949641600000002</v>
      </c>
      <c r="F1524">
        <v>0</v>
      </c>
      <c r="G1524">
        <v>0</v>
      </c>
      <c r="H1524">
        <v>1.7221572581052631E-3</v>
      </c>
      <c r="I1524" t="s">
        <v>176</v>
      </c>
      <c r="J1524">
        <v>1.1912154947368421E-2</v>
      </c>
      <c r="K1524">
        <v>0.3531307282054737</v>
      </c>
      <c r="L1524">
        <v>2.3551311007241758E-2</v>
      </c>
      <c r="M1524">
        <v>0.14130786604345055</v>
      </c>
      <c r="N1524">
        <v>0.49443859424892422</v>
      </c>
      <c r="O1524" t="s">
        <v>90</v>
      </c>
      <c r="P1524">
        <v>0</v>
      </c>
      <c r="Q1524" t="s">
        <v>90</v>
      </c>
      <c r="R1524">
        <v>0</v>
      </c>
      <c r="S1524" t="s">
        <v>90</v>
      </c>
      <c r="T1524">
        <v>0</v>
      </c>
      <c r="U1524" t="s">
        <v>90</v>
      </c>
      <c r="V1524">
        <v>0</v>
      </c>
      <c r="W1524" t="s">
        <v>90</v>
      </c>
      <c r="X1524">
        <v>0</v>
      </c>
      <c r="Y1524">
        <v>0.49443859424892422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337</v>
      </c>
      <c r="AF1524">
        <v>99</v>
      </c>
      <c r="AG1524">
        <v>49</v>
      </c>
      <c r="AI1524">
        <v>0.14099999999999999</v>
      </c>
      <c r="AK1524" t="s">
        <v>740</v>
      </c>
      <c r="AL1524" t="s">
        <v>412</v>
      </c>
      <c r="AM1524">
        <v>200000</v>
      </c>
      <c r="AN1524" t="s">
        <v>73</v>
      </c>
      <c r="AO1524">
        <v>1</v>
      </c>
      <c r="AP1524">
        <v>0</v>
      </c>
      <c r="AQ1524">
        <v>16666.666666666668</v>
      </c>
      <c r="AR1524" t="s">
        <v>4360</v>
      </c>
      <c r="AS1524" t="s">
        <v>75</v>
      </c>
      <c r="AX1524" t="s">
        <v>76</v>
      </c>
      <c r="AY1524" t="s">
        <v>176</v>
      </c>
      <c r="AZ1524">
        <v>0</v>
      </c>
      <c r="BA1524" t="s">
        <v>176</v>
      </c>
      <c r="BB1524">
        <v>0</v>
      </c>
    </row>
    <row r="1525" spans="1:56" x14ac:dyDescent="0.15">
      <c r="A1525" s="4" t="str">
        <f>HYPERLINK("https://ibp.a2mac1.com/costing(costing:projects/details/9760/part/8414879)","Support")</f>
        <v>Support</v>
      </c>
      <c r="B1525">
        <v>8414879</v>
      </c>
      <c r="C1525">
        <v>8414778</v>
      </c>
      <c r="E1525">
        <v>0.13483545599999999</v>
      </c>
      <c r="F1525">
        <v>0</v>
      </c>
      <c r="G1525">
        <v>0</v>
      </c>
      <c r="H1525">
        <v>6.8397735073684213E-4</v>
      </c>
      <c r="I1525" t="s">
        <v>176</v>
      </c>
      <c r="J1525">
        <v>4.7310686315789477E-3</v>
      </c>
      <c r="K1525">
        <v>0.14025050198231578</v>
      </c>
      <c r="L1525">
        <v>1.1188724885816749E-2</v>
      </c>
      <c r="M1525">
        <v>6.7132349314900502E-2</v>
      </c>
      <c r="N1525">
        <v>0.20738285129721629</v>
      </c>
      <c r="O1525" t="s">
        <v>90</v>
      </c>
      <c r="P1525">
        <v>0</v>
      </c>
      <c r="Q1525" t="s">
        <v>90</v>
      </c>
      <c r="R1525">
        <v>0</v>
      </c>
      <c r="S1525" t="s">
        <v>90</v>
      </c>
      <c r="T1525">
        <v>0</v>
      </c>
      <c r="U1525" t="s">
        <v>90</v>
      </c>
      <c r="V1525">
        <v>0</v>
      </c>
      <c r="W1525" t="s">
        <v>90</v>
      </c>
      <c r="X1525">
        <v>0</v>
      </c>
      <c r="Y1525">
        <v>0.20738285129721629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59</v>
      </c>
      <c r="AF1525">
        <v>190</v>
      </c>
      <c r="AG1525">
        <v>51</v>
      </c>
      <c r="AI1525">
        <v>5.6000000000000001E-2</v>
      </c>
      <c r="AK1525" t="s">
        <v>740</v>
      </c>
      <c r="AL1525" t="s">
        <v>412</v>
      </c>
      <c r="AM1525">
        <v>200000</v>
      </c>
      <c r="AN1525" t="s">
        <v>73</v>
      </c>
      <c r="AO1525">
        <v>1</v>
      </c>
      <c r="AP1525">
        <v>0</v>
      </c>
      <c r="AQ1525">
        <v>16666.666666666668</v>
      </c>
      <c r="AR1525" t="s">
        <v>4365</v>
      </c>
      <c r="AS1525" t="s">
        <v>75</v>
      </c>
      <c r="AX1525" t="s">
        <v>76</v>
      </c>
      <c r="AY1525" t="s">
        <v>176</v>
      </c>
      <c r="AZ1525">
        <v>0</v>
      </c>
      <c r="BA1525" t="s">
        <v>176</v>
      </c>
      <c r="BB1525">
        <v>0</v>
      </c>
    </row>
    <row r="1526" spans="1:56" x14ac:dyDescent="0.15">
      <c r="A1526" s="4" t="str">
        <f>HYPERLINK("https://ibp.a2mac1.com/costing(costing:projects/details/9760/part/8414880)","Lock")</f>
        <v>Lock</v>
      </c>
      <c r="B1526">
        <v>8414880</v>
      </c>
      <c r="C1526">
        <v>8414778</v>
      </c>
      <c r="E1526">
        <v>8.4272159999999999E-2</v>
      </c>
      <c r="F1526">
        <v>0</v>
      </c>
      <c r="G1526">
        <v>0</v>
      </c>
      <c r="H1526">
        <v>4.2748584421052632E-4</v>
      </c>
      <c r="I1526" t="s">
        <v>176</v>
      </c>
      <c r="J1526">
        <v>2.9569178947368422E-3</v>
      </c>
      <c r="K1526">
        <v>8.7656563738947368E-2</v>
      </c>
      <c r="L1526">
        <v>9.422641154184605E-3</v>
      </c>
      <c r="M1526">
        <v>5.653584692510763E-2</v>
      </c>
      <c r="N1526">
        <v>0.144192410664055</v>
      </c>
      <c r="O1526" t="s">
        <v>90</v>
      </c>
      <c r="P1526">
        <v>0</v>
      </c>
      <c r="Q1526" t="s">
        <v>90</v>
      </c>
      <c r="R1526">
        <v>0</v>
      </c>
      <c r="S1526" t="s">
        <v>90</v>
      </c>
      <c r="T1526">
        <v>0</v>
      </c>
      <c r="U1526" t="s">
        <v>90</v>
      </c>
      <c r="V1526">
        <v>0</v>
      </c>
      <c r="W1526" t="s">
        <v>90</v>
      </c>
      <c r="X1526">
        <v>0</v>
      </c>
      <c r="Y1526">
        <v>0.144192410664055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65</v>
      </c>
      <c r="AF1526">
        <v>72</v>
      </c>
      <c r="AG1526">
        <v>59</v>
      </c>
      <c r="AI1526">
        <v>3.5000000000000003E-2</v>
      </c>
      <c r="AK1526" t="s">
        <v>740</v>
      </c>
      <c r="AL1526" t="s">
        <v>412</v>
      </c>
      <c r="AM1526">
        <v>200000</v>
      </c>
      <c r="AN1526" t="s">
        <v>73</v>
      </c>
      <c r="AO1526">
        <v>1</v>
      </c>
      <c r="AP1526">
        <v>0</v>
      </c>
      <c r="AQ1526">
        <v>16666.666666666668</v>
      </c>
      <c r="AR1526" t="s">
        <v>4370</v>
      </c>
      <c r="AS1526" t="s">
        <v>75</v>
      </c>
      <c r="AX1526" t="s">
        <v>76</v>
      </c>
      <c r="AY1526" t="s">
        <v>176</v>
      </c>
      <c r="AZ1526">
        <v>0</v>
      </c>
      <c r="BA1526" t="s">
        <v>176</v>
      </c>
      <c r="BB1526">
        <v>0</v>
      </c>
    </row>
    <row r="1527" spans="1:56" x14ac:dyDescent="0.15">
      <c r="A1527" s="4" t="str">
        <f>HYPERLINK("https://ibp.a2mac1.com/costing(costing:projects/details/9760/part/8414881)","Opening lock")</f>
        <v>Opening lock</v>
      </c>
      <c r="B1527">
        <v>8414881</v>
      </c>
      <c r="C1527">
        <v>8414778</v>
      </c>
      <c r="E1527">
        <v>6.9116019000000001E-2</v>
      </c>
      <c r="F1527">
        <v>0</v>
      </c>
      <c r="G1527">
        <v>0</v>
      </c>
      <c r="H1527">
        <v>3.5060356505263159E-4</v>
      </c>
      <c r="I1527" t="s">
        <v>176</v>
      </c>
      <c r="J1527">
        <v>2.4251234736842107E-3</v>
      </c>
      <c r="K1527">
        <v>7.189174603873684E-2</v>
      </c>
      <c r="L1527">
        <v>7.6565574225524614E-3</v>
      </c>
      <c r="M1527">
        <v>4.5939344535314765E-2</v>
      </c>
      <c r="N1527">
        <v>0.11783109057405161</v>
      </c>
      <c r="O1527" t="s">
        <v>90</v>
      </c>
      <c r="P1527">
        <v>0</v>
      </c>
      <c r="Q1527" t="s">
        <v>90</v>
      </c>
      <c r="R1527">
        <v>0</v>
      </c>
      <c r="S1527" t="s">
        <v>90</v>
      </c>
      <c r="T1527">
        <v>0</v>
      </c>
      <c r="U1527" t="s">
        <v>90</v>
      </c>
      <c r="V1527">
        <v>0</v>
      </c>
      <c r="W1527" t="s">
        <v>90</v>
      </c>
      <c r="X1527">
        <v>0</v>
      </c>
      <c r="Y1527">
        <v>0.11783109057405161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40</v>
      </c>
      <c r="AF1527">
        <v>126</v>
      </c>
      <c r="AG1527">
        <v>29</v>
      </c>
      <c r="AI1527">
        <v>3.1E-2</v>
      </c>
      <c r="AK1527" t="s">
        <v>740</v>
      </c>
      <c r="AL1527" t="s">
        <v>2086</v>
      </c>
      <c r="AM1527">
        <v>200000</v>
      </c>
      <c r="AN1527" t="s">
        <v>73</v>
      </c>
      <c r="AO1527">
        <v>1</v>
      </c>
      <c r="AP1527">
        <v>0</v>
      </c>
      <c r="AQ1527">
        <v>16666.666666666668</v>
      </c>
      <c r="AR1527" t="s">
        <v>4375</v>
      </c>
      <c r="AS1527" t="s">
        <v>75</v>
      </c>
      <c r="AX1527" t="s">
        <v>76</v>
      </c>
      <c r="AY1527" t="s">
        <v>176</v>
      </c>
      <c r="AZ1527">
        <v>0</v>
      </c>
      <c r="BA1527" t="s">
        <v>176</v>
      </c>
      <c r="BB1527">
        <v>0</v>
      </c>
    </row>
    <row r="1528" spans="1:56" x14ac:dyDescent="0.15">
      <c r="A1528" s="4" t="str">
        <f>HYPERLINK("https://ibp.a2mac1.com/costing(costing:projects/details/9760/part/8414882)","Stopper")</f>
        <v>Stopper</v>
      </c>
      <c r="B1528">
        <v>8414882</v>
      </c>
      <c r="C1528">
        <v>8414778</v>
      </c>
      <c r="E1528">
        <v>1.1705442E-2</v>
      </c>
      <c r="F1528">
        <v>0</v>
      </c>
      <c r="G1528">
        <v>0</v>
      </c>
      <c r="H1528">
        <v>5.902593810526316E-5</v>
      </c>
      <c r="I1528" t="s">
        <v>176</v>
      </c>
      <c r="J1528">
        <v>4.1071726315789473E-4</v>
      </c>
      <c r="K1528">
        <v>1.2175185201263159E-2</v>
      </c>
      <c r="L1528">
        <v>9.422359898105739E-3</v>
      </c>
      <c r="M1528">
        <v>5.6534159388634431E-2</v>
      </c>
      <c r="N1528">
        <v>6.8709344589897595E-2</v>
      </c>
      <c r="O1528" t="s">
        <v>177</v>
      </c>
      <c r="P1528">
        <v>7.305111120757895E-4</v>
      </c>
      <c r="Q1528" t="s">
        <v>177</v>
      </c>
      <c r="R1528">
        <v>3.3920495633180661E-3</v>
      </c>
      <c r="S1528" t="s">
        <v>178</v>
      </c>
      <c r="T1528">
        <v>8.2451213507877107E-3</v>
      </c>
      <c r="U1528" t="s">
        <v>90</v>
      </c>
      <c r="V1528">
        <v>0</v>
      </c>
      <c r="W1528" t="s">
        <v>90</v>
      </c>
      <c r="X1528">
        <v>0</v>
      </c>
      <c r="Y1528">
        <v>8.1077026616079156E-2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7</v>
      </c>
      <c r="AF1528">
        <v>7</v>
      </c>
      <c r="AG1528">
        <v>15</v>
      </c>
      <c r="AI1528">
        <v>1E-3</v>
      </c>
      <c r="AK1528" t="s">
        <v>740</v>
      </c>
      <c r="AL1528" t="s">
        <v>289</v>
      </c>
      <c r="AM1528">
        <v>800000</v>
      </c>
      <c r="AN1528" t="s">
        <v>97</v>
      </c>
      <c r="AO1528">
        <v>4</v>
      </c>
      <c r="AP1528">
        <v>0</v>
      </c>
      <c r="AQ1528">
        <v>66666.666666666672</v>
      </c>
      <c r="AR1528" t="s">
        <v>4380</v>
      </c>
      <c r="AS1528" t="s">
        <v>75</v>
      </c>
      <c r="AX1528" t="s">
        <v>76</v>
      </c>
      <c r="AY1528" t="s">
        <v>176</v>
      </c>
      <c r="AZ1528">
        <v>0</v>
      </c>
      <c r="BA1528" t="s">
        <v>176</v>
      </c>
      <c r="BB1528">
        <v>0</v>
      </c>
    </row>
    <row r="1529" spans="1:56" x14ac:dyDescent="0.15">
      <c r="A1529" s="4" t="str">
        <f>HYPERLINK("https://ibp.a2mac1.com/costing(costing:projects/details/9760/part/8414883)","Lid Seal")</f>
        <v>Lid Seal</v>
      </c>
      <c r="B1529">
        <v>8414883</v>
      </c>
      <c r="C1529">
        <v>8414778</v>
      </c>
      <c r="E1529">
        <v>6.6361684210526323E-2</v>
      </c>
      <c r="F1529">
        <v>0</v>
      </c>
      <c r="G1529">
        <v>0</v>
      </c>
      <c r="H1529">
        <v>3.3379927157894739E-4</v>
      </c>
      <c r="I1529" t="s">
        <v>176</v>
      </c>
      <c r="J1529">
        <v>2.3226589473684211E-3</v>
      </c>
      <c r="K1529">
        <v>6.9018142429473683E-2</v>
      </c>
      <c r="L1529">
        <v>9.422359898105739E-3</v>
      </c>
      <c r="M1529">
        <v>5.6534159388634431E-2</v>
      </c>
      <c r="N1529">
        <v>0.12555230181810811</v>
      </c>
      <c r="O1529" t="s">
        <v>90</v>
      </c>
      <c r="P1529">
        <v>0</v>
      </c>
      <c r="Q1529" t="s">
        <v>90</v>
      </c>
      <c r="R1529">
        <v>0</v>
      </c>
      <c r="S1529" t="s">
        <v>90</v>
      </c>
      <c r="T1529">
        <v>0</v>
      </c>
      <c r="U1529" t="s">
        <v>90</v>
      </c>
      <c r="V1529">
        <v>0</v>
      </c>
      <c r="W1529" t="s">
        <v>90</v>
      </c>
      <c r="X1529">
        <v>0</v>
      </c>
      <c r="Y1529">
        <v>0.12555230181810811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304</v>
      </c>
      <c r="AF1529">
        <v>17</v>
      </c>
      <c r="AG1529">
        <v>8</v>
      </c>
      <c r="AI1529">
        <v>0.02</v>
      </c>
      <c r="AK1529" t="s">
        <v>740</v>
      </c>
      <c r="AL1529" t="s">
        <v>403</v>
      </c>
      <c r="AM1529">
        <v>400000</v>
      </c>
      <c r="AN1529" t="s">
        <v>73</v>
      </c>
      <c r="AO1529">
        <v>2</v>
      </c>
      <c r="AP1529">
        <v>0</v>
      </c>
      <c r="AQ1529">
        <v>33333.333333333336</v>
      </c>
      <c r="AR1529" t="s">
        <v>4385</v>
      </c>
      <c r="AS1529" t="s">
        <v>75</v>
      </c>
      <c r="AX1529" t="s">
        <v>76</v>
      </c>
      <c r="AY1529" t="s">
        <v>176</v>
      </c>
      <c r="AZ1529">
        <v>0</v>
      </c>
      <c r="BA1529" t="s">
        <v>176</v>
      </c>
      <c r="BB1529">
        <v>0</v>
      </c>
    </row>
    <row r="1530" spans="1:56" x14ac:dyDescent="0.15">
      <c r="A1530" s="4" t="str">
        <f>HYPERLINK("https://ibp.a2mac1.com/costing(costing:projects/details/9760/part/8414884)","Compartment")</f>
        <v>Compartment</v>
      </c>
      <c r="B1530">
        <v>8414884</v>
      </c>
      <c r="C1530">
        <v>8414779</v>
      </c>
      <c r="E1530">
        <v>0.161320992</v>
      </c>
      <c r="F1530">
        <v>0</v>
      </c>
      <c r="G1530">
        <v>0</v>
      </c>
      <c r="H1530">
        <v>8.1833004463157896E-4</v>
      </c>
      <c r="I1530" t="s">
        <v>176</v>
      </c>
      <c r="J1530">
        <v>5.6603856842105263E-3</v>
      </c>
      <c r="K1530">
        <v>0.16779970772884212</v>
      </c>
      <c r="L1530">
        <v>1.2954808617448894E-2</v>
      </c>
      <c r="M1530">
        <v>7.7728851704693361E-2</v>
      </c>
      <c r="N1530">
        <v>0.24552855943353546</v>
      </c>
      <c r="O1530" t="s">
        <v>90</v>
      </c>
      <c r="P1530">
        <v>0</v>
      </c>
      <c r="Q1530" t="s">
        <v>90</v>
      </c>
      <c r="R1530">
        <v>0</v>
      </c>
      <c r="S1530" t="s">
        <v>90</v>
      </c>
      <c r="T1530">
        <v>0</v>
      </c>
      <c r="U1530" t="s">
        <v>90</v>
      </c>
      <c r="V1530">
        <v>0</v>
      </c>
      <c r="W1530" t="s">
        <v>90</v>
      </c>
      <c r="X1530">
        <v>0</v>
      </c>
      <c r="Y1530">
        <v>0.24552855943353546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46</v>
      </c>
      <c r="AF1530">
        <v>189</v>
      </c>
      <c r="AG1530">
        <v>104</v>
      </c>
      <c r="AI1530">
        <v>6.7000000000000004E-2</v>
      </c>
      <c r="AK1530" t="s">
        <v>740</v>
      </c>
      <c r="AL1530" t="s">
        <v>412</v>
      </c>
      <c r="AM1530">
        <v>200000</v>
      </c>
      <c r="AN1530" t="s">
        <v>73</v>
      </c>
      <c r="AO1530">
        <v>1</v>
      </c>
      <c r="AP1530">
        <v>0</v>
      </c>
      <c r="AQ1530">
        <v>16666.666666666668</v>
      </c>
      <c r="AR1530" t="s">
        <v>4392</v>
      </c>
      <c r="AS1530" t="s">
        <v>75</v>
      </c>
      <c r="AX1530" t="s">
        <v>76</v>
      </c>
      <c r="AY1530" t="s">
        <v>176</v>
      </c>
      <c r="AZ1530">
        <v>0</v>
      </c>
      <c r="BA1530" t="s">
        <v>176</v>
      </c>
      <c r="BB1530">
        <v>0</v>
      </c>
    </row>
    <row r="1531" spans="1:56" x14ac:dyDescent="0.15">
      <c r="A1531" s="4" t="str">
        <f>HYPERLINK("https://ibp.a2mac1.com/costing(costing:projects/details/9760/part/8414885)","Cover")</f>
        <v>Cover</v>
      </c>
      <c r="B1531">
        <v>8414885</v>
      </c>
      <c r="C1531">
        <v>8414779</v>
      </c>
      <c r="E1531">
        <v>0.33243934400000003</v>
      </c>
      <c r="F1531">
        <v>0</v>
      </c>
      <c r="G1531">
        <v>0</v>
      </c>
      <c r="H1531">
        <v>1.683868291368421E-3</v>
      </c>
      <c r="I1531" t="s">
        <v>176</v>
      </c>
      <c r="J1531">
        <v>1.1647310315789474E-2</v>
      </c>
      <c r="K1531">
        <v>0.3457705226071579</v>
      </c>
      <c r="L1531">
        <v>6.7703404298045361E-2</v>
      </c>
      <c r="M1531">
        <v>0.40622042578827217</v>
      </c>
      <c r="N1531">
        <v>0.75199094839543001</v>
      </c>
      <c r="O1531" t="s">
        <v>90</v>
      </c>
      <c r="P1531">
        <v>0</v>
      </c>
      <c r="Q1531" t="s">
        <v>90</v>
      </c>
      <c r="R1531">
        <v>0</v>
      </c>
      <c r="S1531" t="s">
        <v>90</v>
      </c>
      <c r="T1531">
        <v>0</v>
      </c>
      <c r="U1531" t="s">
        <v>90</v>
      </c>
      <c r="V1531">
        <v>0</v>
      </c>
      <c r="W1531" t="s">
        <v>90</v>
      </c>
      <c r="X1531">
        <v>0</v>
      </c>
      <c r="Y1531">
        <v>0.75199094839543001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47</v>
      </c>
      <c r="AF1531">
        <v>196</v>
      </c>
      <c r="AG1531">
        <v>109</v>
      </c>
      <c r="AI1531">
        <v>0.113</v>
      </c>
      <c r="AK1531" t="s">
        <v>740</v>
      </c>
      <c r="AL1531" t="s">
        <v>3981</v>
      </c>
      <c r="AM1531">
        <v>200000</v>
      </c>
      <c r="AN1531" t="s">
        <v>73</v>
      </c>
      <c r="AO1531">
        <v>1</v>
      </c>
      <c r="AP1531">
        <v>0</v>
      </c>
      <c r="AQ1531">
        <v>16666.666666666668</v>
      </c>
      <c r="AR1531" t="s">
        <v>4399</v>
      </c>
      <c r="AS1531" t="s">
        <v>75</v>
      </c>
      <c r="AX1531" t="s">
        <v>76</v>
      </c>
      <c r="AY1531" t="s">
        <v>176</v>
      </c>
      <c r="AZ1531">
        <v>0</v>
      </c>
      <c r="BA1531" t="s">
        <v>176</v>
      </c>
      <c r="BB1531">
        <v>0</v>
      </c>
    </row>
    <row r="1532" spans="1:56" x14ac:dyDescent="0.15">
      <c r="A1532" s="4" t="str">
        <f>HYPERLINK("https://ibp.a2mac1.com/costing(costing:projects/details/9760/part/8414886)","Bottom of Compartment")</f>
        <v>Bottom of Compartment</v>
      </c>
      <c r="B1532">
        <v>8414886</v>
      </c>
      <c r="C1532">
        <v>8414779</v>
      </c>
      <c r="E1532">
        <v>6.2602175999999995E-2</v>
      </c>
      <c r="F1532">
        <v>0</v>
      </c>
      <c r="G1532">
        <v>0</v>
      </c>
      <c r="H1532">
        <v>3.1756091284210528E-4</v>
      </c>
      <c r="I1532" t="s">
        <v>176</v>
      </c>
      <c r="J1532">
        <v>2.1965675789473683E-3</v>
      </c>
      <c r="K1532">
        <v>6.511630449178947E-2</v>
      </c>
      <c r="L1532">
        <v>7.6565574225524614E-3</v>
      </c>
      <c r="M1532">
        <v>4.5939344535314765E-2</v>
      </c>
      <c r="N1532">
        <v>0.11105564902710424</v>
      </c>
      <c r="O1532" t="s">
        <v>90</v>
      </c>
      <c r="P1532">
        <v>0</v>
      </c>
      <c r="Q1532" t="s">
        <v>90</v>
      </c>
      <c r="R1532">
        <v>0</v>
      </c>
      <c r="S1532" t="s">
        <v>90</v>
      </c>
      <c r="T1532">
        <v>0</v>
      </c>
      <c r="U1532" t="s">
        <v>90</v>
      </c>
      <c r="V1532">
        <v>0</v>
      </c>
      <c r="W1532" t="s">
        <v>90</v>
      </c>
      <c r="X1532">
        <v>0</v>
      </c>
      <c r="Y1532">
        <v>0.11105564902710424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30</v>
      </c>
      <c r="AF1532">
        <v>152</v>
      </c>
      <c r="AG1532">
        <v>56</v>
      </c>
      <c r="AI1532">
        <v>2.5999999999999999E-2</v>
      </c>
      <c r="AK1532" t="s">
        <v>740</v>
      </c>
      <c r="AL1532" t="s">
        <v>412</v>
      </c>
      <c r="AM1532">
        <v>200000</v>
      </c>
      <c r="AN1532" t="s">
        <v>73</v>
      </c>
      <c r="AO1532">
        <v>1</v>
      </c>
      <c r="AP1532">
        <v>0</v>
      </c>
      <c r="AQ1532">
        <v>16666.666666666668</v>
      </c>
      <c r="AR1532" t="s">
        <v>4403</v>
      </c>
      <c r="AS1532" t="s">
        <v>75</v>
      </c>
      <c r="AX1532" t="s">
        <v>76</v>
      </c>
      <c r="AY1532" t="s">
        <v>176</v>
      </c>
      <c r="AZ1532">
        <v>0</v>
      </c>
      <c r="BA1532" t="s">
        <v>176</v>
      </c>
      <c r="BB1532">
        <v>0</v>
      </c>
    </row>
    <row r="1533" spans="1:56" x14ac:dyDescent="0.15">
      <c r="A1533" s="4" t="str">
        <f>HYPERLINK("https://ibp.a2mac1.com/costing(costing:projects/details/9760/part/8414887)","Storage Box")</f>
        <v>Storage Box</v>
      </c>
      <c r="B1533">
        <v>8414887</v>
      </c>
      <c r="C1533">
        <v>8414780</v>
      </c>
      <c r="E1533">
        <v>0.71963133899999998</v>
      </c>
      <c r="F1533">
        <v>0</v>
      </c>
      <c r="G1533">
        <v>0</v>
      </c>
      <c r="H1533">
        <v>3.6504607271578946E-3</v>
      </c>
      <c r="I1533" t="s">
        <v>176</v>
      </c>
      <c r="J1533">
        <v>2.5250222421052633E-2</v>
      </c>
      <c r="K1533">
        <v>0.74853202214821057</v>
      </c>
      <c r="L1533">
        <v>5.8872985639884634E-2</v>
      </c>
      <c r="M1533">
        <v>0.3532379138393078</v>
      </c>
      <c r="N1533">
        <v>1.1017699359875184</v>
      </c>
      <c r="O1533" t="s">
        <v>90</v>
      </c>
      <c r="P1533">
        <v>0</v>
      </c>
      <c r="Q1533" t="s">
        <v>90</v>
      </c>
      <c r="R1533">
        <v>0</v>
      </c>
      <c r="S1533" t="s">
        <v>90</v>
      </c>
      <c r="T1533">
        <v>0</v>
      </c>
      <c r="U1533" t="s">
        <v>90</v>
      </c>
      <c r="V1533">
        <v>0</v>
      </c>
      <c r="W1533" t="s">
        <v>90</v>
      </c>
      <c r="X1533">
        <v>0</v>
      </c>
      <c r="Y1533">
        <v>1.1017699359875184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554</v>
      </c>
      <c r="AF1533">
        <v>252</v>
      </c>
      <c r="AG1533">
        <v>255</v>
      </c>
      <c r="AI1533">
        <v>0.38300000000000001</v>
      </c>
      <c r="AK1533" t="s">
        <v>740</v>
      </c>
      <c r="AL1533" t="s">
        <v>951</v>
      </c>
      <c r="AM1533">
        <v>200000</v>
      </c>
      <c r="AN1533" t="s">
        <v>73</v>
      </c>
      <c r="AO1533">
        <v>1</v>
      </c>
      <c r="AP1533">
        <v>0</v>
      </c>
      <c r="AQ1533">
        <v>16666.666666666668</v>
      </c>
      <c r="AR1533" t="s">
        <v>4410</v>
      </c>
      <c r="AS1533" t="s">
        <v>75</v>
      </c>
      <c r="AX1533" t="s">
        <v>76</v>
      </c>
      <c r="AY1533" t="s">
        <v>176</v>
      </c>
      <c r="AZ1533">
        <v>0</v>
      </c>
      <c r="BA1533" t="s">
        <v>176</v>
      </c>
      <c r="BB1533">
        <v>0</v>
      </c>
    </row>
    <row r="1534" spans="1:56" x14ac:dyDescent="0.15">
      <c r="A1534" s="4" t="str">
        <f>HYPERLINK("https://ibp.a2mac1.com/costing(costing:projects/details/9760/part/8414888)","Bottom of Compartment")</f>
        <v>Bottom of Compartment</v>
      </c>
      <c r="B1534">
        <v>8414888</v>
      </c>
      <c r="C1534">
        <v>8414780</v>
      </c>
      <c r="E1534">
        <v>0.21999189450000001</v>
      </c>
      <c r="F1534">
        <v>0</v>
      </c>
      <c r="G1534">
        <v>0</v>
      </c>
      <c r="H1534">
        <v>1.1159488583157894E-3</v>
      </c>
      <c r="I1534" t="s">
        <v>176</v>
      </c>
      <c r="J1534">
        <v>7.7190138421052634E-3</v>
      </c>
      <c r="K1534">
        <v>0.22882685720042106</v>
      </c>
      <c r="L1534">
        <v>2.1785227275609612E-2</v>
      </c>
      <c r="M1534">
        <v>0.13071136365365768</v>
      </c>
      <c r="N1534">
        <v>0.35953822085407872</v>
      </c>
      <c r="O1534" t="s">
        <v>90</v>
      </c>
      <c r="P1534">
        <v>0</v>
      </c>
      <c r="Q1534" t="s">
        <v>90</v>
      </c>
      <c r="R1534">
        <v>0</v>
      </c>
      <c r="S1534" t="s">
        <v>90</v>
      </c>
      <c r="T1534">
        <v>0</v>
      </c>
      <c r="U1534" t="s">
        <v>90</v>
      </c>
      <c r="V1534">
        <v>0</v>
      </c>
      <c r="W1534" t="s">
        <v>90</v>
      </c>
      <c r="X1534">
        <v>0</v>
      </c>
      <c r="Y1534">
        <v>0.35953822085407872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323</v>
      </c>
      <c r="AF1534">
        <v>221</v>
      </c>
      <c r="AG1534">
        <v>26</v>
      </c>
      <c r="AI1534">
        <v>0.13900000000000001</v>
      </c>
      <c r="AK1534" t="s">
        <v>740</v>
      </c>
      <c r="AL1534" t="s">
        <v>2246</v>
      </c>
      <c r="AM1534">
        <v>200000</v>
      </c>
      <c r="AN1534" t="s">
        <v>73</v>
      </c>
      <c r="AO1534">
        <v>1</v>
      </c>
      <c r="AP1534">
        <v>0</v>
      </c>
      <c r="AQ1534">
        <v>16666.666666666668</v>
      </c>
      <c r="AR1534" t="s">
        <v>4415</v>
      </c>
      <c r="AS1534" t="s">
        <v>75</v>
      </c>
      <c r="AX1534" t="s">
        <v>76</v>
      </c>
      <c r="AY1534" t="s">
        <v>176</v>
      </c>
      <c r="AZ1534">
        <v>0</v>
      </c>
      <c r="BA1534" t="s">
        <v>176</v>
      </c>
      <c r="BB1534">
        <v>0</v>
      </c>
    </row>
    <row r="1535" spans="1:56" x14ac:dyDescent="0.15">
      <c r="A1535" s="4" t="str">
        <f>HYPERLINK("https://ibp.a2mac1.com/costing(costing:projects/details/9760/part/8414889)","Light")</f>
        <v>Light</v>
      </c>
      <c r="B1535">
        <v>8414889</v>
      </c>
      <c r="C1535">
        <v>8414780</v>
      </c>
      <c r="E1535">
        <v>2.19</v>
      </c>
      <c r="F1535">
        <v>0</v>
      </c>
      <c r="G1535">
        <v>0</v>
      </c>
      <c r="H1535">
        <v>0</v>
      </c>
      <c r="I1535" t="s">
        <v>71</v>
      </c>
      <c r="J1535">
        <v>0</v>
      </c>
      <c r="K1535">
        <v>2.19</v>
      </c>
      <c r="L1535">
        <v>0</v>
      </c>
      <c r="M1535">
        <v>0</v>
      </c>
      <c r="N1535">
        <v>2.19</v>
      </c>
      <c r="O1535" t="s">
        <v>71</v>
      </c>
      <c r="P1535">
        <v>0</v>
      </c>
      <c r="Q1535" t="s">
        <v>71</v>
      </c>
      <c r="R1535">
        <v>0</v>
      </c>
      <c r="S1535" t="s">
        <v>71</v>
      </c>
      <c r="T1535">
        <v>0</v>
      </c>
      <c r="U1535" t="s">
        <v>71</v>
      </c>
      <c r="V1535">
        <v>0</v>
      </c>
      <c r="W1535" t="s">
        <v>71</v>
      </c>
      <c r="X1535">
        <v>0</v>
      </c>
      <c r="Y1535">
        <v>2.19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20</v>
      </c>
      <c r="AF1535">
        <v>48</v>
      </c>
      <c r="AG1535">
        <v>24</v>
      </c>
      <c r="AI1535">
        <v>8.9999999999999993E-3</v>
      </c>
      <c r="AK1535" t="s">
        <v>740</v>
      </c>
      <c r="AL1535" t="s">
        <v>4046</v>
      </c>
      <c r="AM1535">
        <v>200000</v>
      </c>
      <c r="AN1535" t="s">
        <v>73</v>
      </c>
      <c r="AO1535">
        <v>1</v>
      </c>
      <c r="AP1535">
        <v>0</v>
      </c>
      <c r="AQ1535">
        <v>16666.666666666668</v>
      </c>
      <c r="AR1535" t="s">
        <v>4416</v>
      </c>
      <c r="AS1535" t="s">
        <v>75</v>
      </c>
      <c r="AX1535" t="s">
        <v>76</v>
      </c>
      <c r="AY1535" t="s">
        <v>71</v>
      </c>
      <c r="AZ1535">
        <v>0</v>
      </c>
      <c r="BA1535" t="s">
        <v>71</v>
      </c>
      <c r="BB1535">
        <v>0</v>
      </c>
      <c r="BD1535">
        <v>2.19</v>
      </c>
    </row>
    <row r="1536" spans="1:56" x14ac:dyDescent="0.15">
      <c r="A1536" s="4" t="str">
        <f>HYPERLINK("https://ibp.a2mac1.com/costing(costing:projects/details/9760/part/8414890)","Upper Trim")</f>
        <v>Upper Trim</v>
      </c>
      <c r="B1536">
        <v>8414890</v>
      </c>
      <c r="C1536">
        <v>8414780</v>
      </c>
      <c r="E1536">
        <v>0.66326334899999995</v>
      </c>
      <c r="F1536">
        <v>0</v>
      </c>
      <c r="G1536">
        <v>0</v>
      </c>
      <c r="H1536">
        <v>3.3645238555789474E-3</v>
      </c>
      <c r="I1536" t="s">
        <v>176</v>
      </c>
      <c r="J1536">
        <v>2.3272398210526315E-2</v>
      </c>
      <c r="K1536">
        <v>0.6899002710661053</v>
      </c>
      <c r="L1536">
        <v>5.3574734444988205E-2</v>
      </c>
      <c r="M1536">
        <v>0.32144840666992924</v>
      </c>
      <c r="N1536">
        <v>1.0113486777360345</v>
      </c>
      <c r="O1536" t="s">
        <v>90</v>
      </c>
      <c r="P1536">
        <v>0</v>
      </c>
      <c r="Q1536" t="s">
        <v>90</v>
      </c>
      <c r="R1536">
        <v>0</v>
      </c>
      <c r="S1536" t="s">
        <v>90</v>
      </c>
      <c r="T1536">
        <v>0</v>
      </c>
      <c r="U1536" t="s">
        <v>90</v>
      </c>
      <c r="V1536">
        <v>0</v>
      </c>
      <c r="W1536" t="s">
        <v>90</v>
      </c>
      <c r="X1536">
        <v>0</v>
      </c>
      <c r="Y1536">
        <v>1.0113486777360345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605</v>
      </c>
      <c r="AF1536">
        <v>258</v>
      </c>
      <c r="AG1536">
        <v>99</v>
      </c>
      <c r="AI1536">
        <v>0.35299999999999998</v>
      </c>
      <c r="AK1536" t="s">
        <v>740</v>
      </c>
      <c r="AL1536" t="s">
        <v>951</v>
      </c>
      <c r="AM1536">
        <v>200000</v>
      </c>
      <c r="AN1536" t="s">
        <v>73</v>
      </c>
      <c r="AO1536">
        <v>1</v>
      </c>
      <c r="AP1536">
        <v>0</v>
      </c>
      <c r="AQ1536">
        <v>16666.666666666668</v>
      </c>
      <c r="AR1536" t="s">
        <v>4421</v>
      </c>
      <c r="AS1536" t="s">
        <v>75</v>
      </c>
      <c r="AX1536" t="s">
        <v>76</v>
      </c>
      <c r="AY1536" t="s">
        <v>176</v>
      </c>
      <c r="AZ1536">
        <v>0</v>
      </c>
      <c r="BA1536" t="s">
        <v>176</v>
      </c>
      <c r="BB1536">
        <v>0</v>
      </c>
    </row>
    <row r="1537" spans="1:56" x14ac:dyDescent="0.15">
      <c r="A1537" s="4" t="str">
        <f>HYPERLINK("https://ibp.a2mac1.com/costing(costing:projects/details/9760/part/8414891)","Air Vent")</f>
        <v>Air Vent</v>
      </c>
      <c r="B1537">
        <v>8414891</v>
      </c>
      <c r="C1537">
        <v>8414781</v>
      </c>
      <c r="E1537">
        <v>0.52971071999999997</v>
      </c>
      <c r="F1537">
        <v>0</v>
      </c>
      <c r="G1537">
        <v>0</v>
      </c>
      <c r="H1537">
        <v>2.687053877894737E-3</v>
      </c>
      <c r="I1537" t="s">
        <v>176</v>
      </c>
      <c r="J1537">
        <v>1.8586341052631579E-2</v>
      </c>
      <c r="K1537">
        <v>0.55098411493052635</v>
      </c>
      <c r="L1537">
        <v>0.11185549758884895</v>
      </c>
      <c r="M1537">
        <v>0.67113298553309375</v>
      </c>
      <c r="N1537">
        <v>1.22211710046362</v>
      </c>
      <c r="O1537" t="s">
        <v>90</v>
      </c>
      <c r="P1537">
        <v>0</v>
      </c>
      <c r="Q1537" t="s">
        <v>90</v>
      </c>
      <c r="R1537">
        <v>0</v>
      </c>
      <c r="S1537" t="s">
        <v>90</v>
      </c>
      <c r="T1537">
        <v>0</v>
      </c>
      <c r="U1537" t="s">
        <v>90</v>
      </c>
      <c r="V1537">
        <v>0</v>
      </c>
      <c r="W1537" t="s">
        <v>90</v>
      </c>
      <c r="X1537">
        <v>0</v>
      </c>
      <c r="Y1537">
        <v>1.22211710046362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165</v>
      </c>
      <c r="AF1537">
        <v>202</v>
      </c>
      <c r="AG1537">
        <v>102</v>
      </c>
      <c r="AI1537">
        <v>0.22</v>
      </c>
      <c r="AK1537" t="s">
        <v>740</v>
      </c>
      <c r="AL1537" t="s">
        <v>412</v>
      </c>
      <c r="AM1537">
        <v>200000</v>
      </c>
      <c r="AN1537" t="s">
        <v>73</v>
      </c>
      <c r="AO1537">
        <v>1</v>
      </c>
      <c r="AP1537">
        <v>0</v>
      </c>
      <c r="AQ1537">
        <v>16666.666666666668</v>
      </c>
      <c r="AR1537" t="s">
        <v>4429</v>
      </c>
      <c r="AS1537" t="s">
        <v>75</v>
      </c>
      <c r="AX1537" t="s">
        <v>76</v>
      </c>
      <c r="AY1537" t="s">
        <v>176</v>
      </c>
      <c r="AZ1537">
        <v>0</v>
      </c>
      <c r="BA1537" t="s">
        <v>176</v>
      </c>
      <c r="BB1537">
        <v>0</v>
      </c>
    </row>
    <row r="1538" spans="1:56" x14ac:dyDescent="0.15">
      <c r="A1538" s="4" t="str">
        <f>HYPERLINK("https://ibp.a2mac1.com/costing(costing:projects/details/9760/part/8414892)","Air Vent Trim")</f>
        <v>Air Vent Trim</v>
      </c>
      <c r="B1538">
        <v>8414892</v>
      </c>
      <c r="C1538">
        <v>8414781</v>
      </c>
      <c r="E1538">
        <v>0.33427680809716598</v>
      </c>
      <c r="F1538">
        <v>0</v>
      </c>
      <c r="G1538">
        <v>0</v>
      </c>
      <c r="H1538">
        <v>1.6914406489716598E-3</v>
      </c>
      <c r="I1538" t="s">
        <v>176</v>
      </c>
      <c r="J1538">
        <v>1.169968828340081E-2</v>
      </c>
      <c r="K1538">
        <v>0.34766793702953847</v>
      </c>
      <c r="L1538">
        <v>4.4744315786827485E-2</v>
      </c>
      <c r="M1538">
        <v>0.26846589472096494</v>
      </c>
      <c r="N1538">
        <v>0.6161338317505034</v>
      </c>
      <c r="O1538" t="s">
        <v>90</v>
      </c>
      <c r="P1538">
        <v>0</v>
      </c>
      <c r="Q1538" t="s">
        <v>90</v>
      </c>
      <c r="R1538">
        <v>0</v>
      </c>
      <c r="S1538" t="s">
        <v>90</v>
      </c>
      <c r="T1538">
        <v>0</v>
      </c>
      <c r="U1538" t="s">
        <v>90</v>
      </c>
      <c r="V1538">
        <v>0</v>
      </c>
      <c r="W1538" t="s">
        <v>90</v>
      </c>
      <c r="X1538">
        <v>0</v>
      </c>
      <c r="Y1538">
        <v>0.6161338317505034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47</v>
      </c>
      <c r="AF1538">
        <v>223</v>
      </c>
      <c r="AG1538">
        <v>98</v>
      </c>
      <c r="AI1538">
        <v>7.3999999999999996E-2</v>
      </c>
      <c r="AK1538" t="s">
        <v>740</v>
      </c>
      <c r="AL1538" t="s">
        <v>4435</v>
      </c>
      <c r="AM1538">
        <v>200000</v>
      </c>
      <c r="AN1538" t="s">
        <v>73</v>
      </c>
      <c r="AO1538">
        <v>1</v>
      </c>
      <c r="AP1538">
        <v>0</v>
      </c>
      <c r="AQ1538">
        <v>16666.666666666668</v>
      </c>
      <c r="AR1538" t="s">
        <v>4436</v>
      </c>
      <c r="AS1538" t="s">
        <v>75</v>
      </c>
      <c r="AX1538" t="s">
        <v>76</v>
      </c>
      <c r="AY1538" t="s">
        <v>176</v>
      </c>
      <c r="AZ1538">
        <v>0</v>
      </c>
      <c r="BA1538" t="s">
        <v>176</v>
      </c>
      <c r="BB1538">
        <v>0</v>
      </c>
    </row>
    <row r="1539" spans="1:56" x14ac:dyDescent="0.15">
      <c r="A1539" s="4" t="str">
        <f>HYPERLINK("https://ibp.a2mac1.com/costing(costing:projects/details/9760/part/8414893)","2nd Air Vent Trim")</f>
        <v>2nd Air Vent Trim</v>
      </c>
      <c r="B1539">
        <v>8414893</v>
      </c>
      <c r="C1539">
        <v>8414781</v>
      </c>
      <c r="E1539">
        <v>7.4641055999999997E-2</v>
      </c>
      <c r="F1539">
        <v>0</v>
      </c>
      <c r="G1539">
        <v>0</v>
      </c>
      <c r="H1539">
        <v>3.7863031915789475E-4</v>
      </c>
      <c r="I1539" t="s">
        <v>176</v>
      </c>
      <c r="J1539">
        <v>2.6189844210526315E-3</v>
      </c>
      <c r="K1539">
        <v>7.7638670740210525E-2</v>
      </c>
      <c r="L1539">
        <v>7.6565574225524614E-3</v>
      </c>
      <c r="M1539">
        <v>4.5939344535314765E-2</v>
      </c>
      <c r="N1539">
        <v>0.1235780152755253</v>
      </c>
      <c r="O1539" t="s">
        <v>90</v>
      </c>
      <c r="P1539">
        <v>0</v>
      </c>
      <c r="Q1539" t="s">
        <v>90</v>
      </c>
      <c r="R1539">
        <v>0</v>
      </c>
      <c r="S1539" t="s">
        <v>90</v>
      </c>
      <c r="T1539">
        <v>0</v>
      </c>
      <c r="U1539" t="s">
        <v>90</v>
      </c>
      <c r="V1539">
        <v>0</v>
      </c>
      <c r="W1539" t="s">
        <v>90</v>
      </c>
      <c r="X1539">
        <v>0</v>
      </c>
      <c r="Y1539">
        <v>0.1235780152755253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36</v>
      </c>
      <c r="AF1539">
        <v>201</v>
      </c>
      <c r="AG1539">
        <v>81</v>
      </c>
      <c r="AI1539">
        <v>3.1E-2</v>
      </c>
      <c r="AK1539" t="s">
        <v>740</v>
      </c>
      <c r="AL1539" t="s">
        <v>412</v>
      </c>
      <c r="AM1539">
        <v>200000</v>
      </c>
      <c r="AN1539" t="s">
        <v>73</v>
      </c>
      <c r="AO1539">
        <v>1</v>
      </c>
      <c r="AP1539">
        <v>0</v>
      </c>
      <c r="AQ1539">
        <v>16666.666666666668</v>
      </c>
      <c r="AR1539" t="s">
        <v>4439</v>
      </c>
      <c r="AS1539" t="s">
        <v>75</v>
      </c>
      <c r="AX1539" t="s">
        <v>76</v>
      </c>
      <c r="AY1539" t="s">
        <v>176</v>
      </c>
      <c r="AZ1539">
        <v>0</v>
      </c>
      <c r="BA1539" t="s">
        <v>176</v>
      </c>
      <c r="BB1539">
        <v>0</v>
      </c>
    </row>
    <row r="1540" spans="1:56" x14ac:dyDescent="0.15">
      <c r="A1540" s="4" t="str">
        <f>HYPERLINK("https://ibp.a2mac1.com/costing(costing:projects/details/9760/part/8415018)","Cup Holder")</f>
        <v>Cup Holder</v>
      </c>
      <c r="B1540">
        <v>8415018</v>
      </c>
      <c r="C1540">
        <v>8414894</v>
      </c>
      <c r="E1540">
        <v>0.47221804350000002</v>
      </c>
      <c r="F1540">
        <v>0</v>
      </c>
      <c r="G1540">
        <v>0</v>
      </c>
      <c r="H1540">
        <v>2.3954118296842107E-3</v>
      </c>
      <c r="I1540" t="s">
        <v>176</v>
      </c>
      <c r="J1540">
        <v>1.6569054157894735E-2</v>
      </c>
      <c r="K1540">
        <v>0.49118250948757897</v>
      </c>
      <c r="L1540">
        <v>3.2381729665402474E-2</v>
      </c>
      <c r="M1540">
        <v>0.19429037799241486</v>
      </c>
      <c r="N1540">
        <v>0.6854728874799938</v>
      </c>
      <c r="O1540" t="s">
        <v>90</v>
      </c>
      <c r="P1540">
        <v>0</v>
      </c>
      <c r="Q1540" t="s">
        <v>90</v>
      </c>
      <c r="R1540">
        <v>0</v>
      </c>
      <c r="S1540" t="s">
        <v>90</v>
      </c>
      <c r="T1540">
        <v>0</v>
      </c>
      <c r="U1540" t="s">
        <v>90</v>
      </c>
      <c r="V1540">
        <v>0</v>
      </c>
      <c r="W1540" t="s">
        <v>90</v>
      </c>
      <c r="X1540">
        <v>0</v>
      </c>
      <c r="Y1540">
        <v>0.6854728874799938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232</v>
      </c>
      <c r="AF1540">
        <v>118</v>
      </c>
      <c r="AG1540">
        <v>87</v>
      </c>
      <c r="AI1540">
        <v>0.20100000000000001</v>
      </c>
      <c r="AK1540" t="s">
        <v>740</v>
      </c>
      <c r="AL1540" t="s">
        <v>2612</v>
      </c>
      <c r="AM1540">
        <v>200000</v>
      </c>
      <c r="AN1540" t="s">
        <v>73</v>
      </c>
      <c r="AO1540">
        <v>1</v>
      </c>
      <c r="AP1540">
        <v>0</v>
      </c>
      <c r="AQ1540">
        <v>16666.666666666668</v>
      </c>
      <c r="AR1540" t="s">
        <v>4447</v>
      </c>
      <c r="AS1540" t="s">
        <v>75</v>
      </c>
      <c r="AX1540" t="s">
        <v>76</v>
      </c>
      <c r="AY1540" t="s">
        <v>176</v>
      </c>
      <c r="AZ1540">
        <v>0</v>
      </c>
      <c r="BA1540" t="s">
        <v>176</v>
      </c>
      <c r="BB1540">
        <v>0</v>
      </c>
    </row>
    <row r="1541" spans="1:56" x14ac:dyDescent="0.15">
      <c r="A1541" s="4" t="str">
        <f>HYPERLINK("https://ibp.a2mac1.com/costing(costing:projects/details/9760/part/8415019)","Bottom of Compartment")</f>
        <v>Bottom of Compartment</v>
      </c>
      <c r="B1541">
        <v>8415019</v>
      </c>
      <c r="C1541">
        <v>8414894</v>
      </c>
      <c r="E1541">
        <v>3.4818861E-2</v>
      </c>
      <c r="F1541">
        <v>0</v>
      </c>
      <c r="G1541">
        <v>0</v>
      </c>
      <c r="H1541">
        <v>1.7662499915789475E-4</v>
      </c>
      <c r="I1541" t="s">
        <v>176</v>
      </c>
      <c r="J1541">
        <v>1.2217144210526316E-3</v>
      </c>
      <c r="K1541">
        <v>3.6217200420210524E-2</v>
      </c>
      <c r="L1541">
        <v>5.8904736909203177E-3</v>
      </c>
      <c r="M1541">
        <v>3.5342842145521906E-2</v>
      </c>
      <c r="N1541">
        <v>7.1560042565732424E-2</v>
      </c>
      <c r="O1541" t="s">
        <v>90</v>
      </c>
      <c r="P1541">
        <v>0</v>
      </c>
      <c r="Q1541" t="s">
        <v>90</v>
      </c>
      <c r="R1541">
        <v>0</v>
      </c>
      <c r="S1541" t="s">
        <v>90</v>
      </c>
      <c r="T1541">
        <v>0</v>
      </c>
      <c r="U1541" t="s">
        <v>90</v>
      </c>
      <c r="V1541">
        <v>0</v>
      </c>
      <c r="W1541" t="s">
        <v>90</v>
      </c>
      <c r="X1541">
        <v>0</v>
      </c>
      <c r="Y1541">
        <v>7.1560042565732424E-2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166</v>
      </c>
      <c r="AF1541">
        <v>73</v>
      </c>
      <c r="AG1541">
        <v>12</v>
      </c>
      <c r="AI1541">
        <v>2.1999999999999999E-2</v>
      </c>
      <c r="AK1541" t="s">
        <v>740</v>
      </c>
      <c r="AL1541" t="s">
        <v>2246</v>
      </c>
      <c r="AM1541">
        <v>200000</v>
      </c>
      <c r="AN1541" t="s">
        <v>73</v>
      </c>
      <c r="AO1541">
        <v>1</v>
      </c>
      <c r="AP1541">
        <v>0</v>
      </c>
      <c r="AQ1541">
        <v>16666.666666666668</v>
      </c>
      <c r="AR1541" t="s">
        <v>4452</v>
      </c>
      <c r="AS1541" t="s">
        <v>75</v>
      </c>
      <c r="AX1541" t="s">
        <v>76</v>
      </c>
      <c r="AY1541" t="s">
        <v>176</v>
      </c>
      <c r="AZ1541">
        <v>0</v>
      </c>
      <c r="BA1541" t="s">
        <v>176</v>
      </c>
      <c r="BB1541">
        <v>0</v>
      </c>
    </row>
    <row r="1542" spans="1:56" x14ac:dyDescent="0.15">
      <c r="A1542" s="4" t="str">
        <f>HYPERLINK("https://ibp.a2mac1.com/costing(costing:projects/details/9760/part/8415020)","Bezel")</f>
        <v>Bezel</v>
      </c>
      <c r="B1542">
        <v>8415020</v>
      </c>
      <c r="C1542">
        <v>8414894</v>
      </c>
      <c r="E1542">
        <v>6.0194400000000002E-2</v>
      </c>
      <c r="F1542">
        <v>0</v>
      </c>
      <c r="G1542">
        <v>0</v>
      </c>
      <c r="H1542">
        <v>3.0534703157894739E-4</v>
      </c>
      <c r="I1542" t="s">
        <v>176</v>
      </c>
      <c r="J1542">
        <v>2.1120842105263157E-3</v>
      </c>
      <c r="K1542">
        <v>6.2611831242105259E-2</v>
      </c>
      <c r="L1542">
        <v>0.20545793536535259</v>
      </c>
      <c r="M1542">
        <v>1.2327476121921155</v>
      </c>
      <c r="N1542">
        <v>1.2953594434342208</v>
      </c>
      <c r="O1542" t="s">
        <v>177</v>
      </c>
      <c r="P1542">
        <v>3.756709874526316E-3</v>
      </c>
      <c r="Q1542" t="s">
        <v>177</v>
      </c>
      <c r="R1542">
        <v>7.3964856731526932E-2</v>
      </c>
      <c r="S1542" t="s">
        <v>178</v>
      </c>
      <c r="T1542">
        <v>0.15544313321210651</v>
      </c>
      <c r="U1542" t="s">
        <v>90</v>
      </c>
      <c r="V1542">
        <v>0</v>
      </c>
      <c r="W1542" t="s">
        <v>90</v>
      </c>
      <c r="X1542">
        <v>0</v>
      </c>
      <c r="Y1542">
        <v>1.5285241432523806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230</v>
      </c>
      <c r="AF1542">
        <v>119</v>
      </c>
      <c r="AG1542">
        <v>31</v>
      </c>
      <c r="AI1542">
        <v>2.5000000000000001E-2</v>
      </c>
      <c r="AK1542" t="s">
        <v>740</v>
      </c>
      <c r="AL1542" t="s">
        <v>412</v>
      </c>
      <c r="AM1542">
        <v>200000</v>
      </c>
      <c r="AN1542" t="s">
        <v>97</v>
      </c>
      <c r="AO1542">
        <v>1</v>
      </c>
      <c r="AP1542">
        <v>0</v>
      </c>
      <c r="AQ1542">
        <v>16666.666666666668</v>
      </c>
      <c r="AR1542" t="s">
        <v>4457</v>
      </c>
      <c r="AS1542" t="s">
        <v>75</v>
      </c>
      <c r="AX1542" t="s">
        <v>76</v>
      </c>
      <c r="AY1542" t="s">
        <v>176</v>
      </c>
      <c r="AZ1542">
        <v>0</v>
      </c>
      <c r="BA1542" t="s">
        <v>176</v>
      </c>
      <c r="BB1542">
        <v>0</v>
      </c>
    </row>
    <row r="1543" spans="1:56" x14ac:dyDescent="0.15">
      <c r="A1543" s="4" t="str">
        <f>HYPERLINK("https://ibp.a2mac1.com/costing(costing:projects/details/9760/part/8414895)","Ambience Light")</f>
        <v>Ambience Light</v>
      </c>
      <c r="B1543">
        <v>8414895</v>
      </c>
      <c r="C1543">
        <v>8414783</v>
      </c>
      <c r="E1543">
        <v>4.22</v>
      </c>
      <c r="F1543">
        <v>0</v>
      </c>
      <c r="G1543">
        <v>0</v>
      </c>
      <c r="H1543">
        <v>0</v>
      </c>
      <c r="I1543" t="s">
        <v>71</v>
      </c>
      <c r="J1543">
        <v>0</v>
      </c>
      <c r="K1543">
        <v>4.22</v>
      </c>
      <c r="L1543">
        <v>0</v>
      </c>
      <c r="M1543">
        <v>0</v>
      </c>
      <c r="N1543">
        <v>4.22</v>
      </c>
      <c r="O1543" t="s">
        <v>71</v>
      </c>
      <c r="P1543">
        <v>0</v>
      </c>
      <c r="Q1543" t="s">
        <v>71</v>
      </c>
      <c r="R1543">
        <v>0</v>
      </c>
      <c r="S1543" t="s">
        <v>71</v>
      </c>
      <c r="T1543">
        <v>0</v>
      </c>
      <c r="U1543" t="s">
        <v>71</v>
      </c>
      <c r="V1543">
        <v>0</v>
      </c>
      <c r="W1543" t="s">
        <v>71</v>
      </c>
      <c r="X1543">
        <v>0</v>
      </c>
      <c r="Y1543">
        <v>4.22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20</v>
      </c>
      <c r="AF1543">
        <v>17</v>
      </c>
      <c r="AG1543">
        <v>36</v>
      </c>
      <c r="AI1543">
        <v>8.0000000000000002E-3</v>
      </c>
      <c r="AK1543" t="s">
        <v>365</v>
      </c>
      <c r="AL1543" t="s">
        <v>2209</v>
      </c>
      <c r="AM1543">
        <v>400000</v>
      </c>
      <c r="AN1543" t="s">
        <v>97</v>
      </c>
      <c r="AO1543">
        <v>2</v>
      </c>
      <c r="AP1543">
        <v>0</v>
      </c>
      <c r="AQ1543">
        <v>33333.333333333336</v>
      </c>
      <c r="AR1543" t="s">
        <v>4461</v>
      </c>
      <c r="AS1543" t="s">
        <v>75</v>
      </c>
      <c r="AX1543" t="s">
        <v>76</v>
      </c>
      <c r="AY1543" t="s">
        <v>71</v>
      </c>
      <c r="AZ1543">
        <v>0</v>
      </c>
      <c r="BA1543" t="s">
        <v>71</v>
      </c>
      <c r="BB1543">
        <v>0</v>
      </c>
      <c r="BD1543">
        <v>2.11</v>
      </c>
    </row>
    <row r="1544" spans="1:56" x14ac:dyDescent="0.15">
      <c r="A1544" s="4" t="str">
        <f>HYPERLINK("https://ibp.a2mac1.com/costing(costing:projects/details/9760/part/8414896)","Light Diffuser")</f>
        <v>Light Diffuser</v>
      </c>
      <c r="B1544">
        <v>8414896</v>
      </c>
      <c r="C1544">
        <v>8414783</v>
      </c>
      <c r="E1544">
        <v>0.24199999999999999</v>
      </c>
      <c r="F1544">
        <v>0</v>
      </c>
      <c r="G1544">
        <v>0</v>
      </c>
      <c r="H1544">
        <v>0</v>
      </c>
      <c r="I1544" t="s">
        <v>71</v>
      </c>
      <c r="J1544">
        <v>0</v>
      </c>
      <c r="K1544">
        <v>0.24199999999999999</v>
      </c>
      <c r="L1544">
        <v>0</v>
      </c>
      <c r="M1544">
        <v>0</v>
      </c>
      <c r="N1544">
        <v>0.24199999999999999</v>
      </c>
      <c r="O1544" t="s">
        <v>71</v>
      </c>
      <c r="P1544">
        <v>0</v>
      </c>
      <c r="Q1544" t="s">
        <v>71</v>
      </c>
      <c r="R1544">
        <v>0</v>
      </c>
      <c r="S1544" t="s">
        <v>71</v>
      </c>
      <c r="T1544">
        <v>0</v>
      </c>
      <c r="U1544" t="s">
        <v>71</v>
      </c>
      <c r="V1544">
        <v>0</v>
      </c>
      <c r="W1544" t="s">
        <v>71</v>
      </c>
      <c r="X1544">
        <v>0</v>
      </c>
      <c r="Y1544">
        <v>0.24199999999999999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500</v>
      </c>
      <c r="AF1544">
        <v>225</v>
      </c>
      <c r="AG1544">
        <v>4</v>
      </c>
      <c r="AI1544">
        <v>2.3E-2</v>
      </c>
      <c r="AK1544" t="s">
        <v>740</v>
      </c>
      <c r="AL1544" t="s">
        <v>403</v>
      </c>
      <c r="AM1544">
        <v>200000</v>
      </c>
      <c r="AN1544" t="s">
        <v>73</v>
      </c>
      <c r="AO1544">
        <v>1</v>
      </c>
      <c r="AP1544">
        <v>0</v>
      </c>
      <c r="AQ1544">
        <v>16666.666666666668</v>
      </c>
      <c r="AR1544" t="s">
        <v>4462</v>
      </c>
      <c r="AS1544" t="s">
        <v>75</v>
      </c>
      <c r="AX1544" t="s">
        <v>76</v>
      </c>
      <c r="AY1544" t="s">
        <v>71</v>
      </c>
      <c r="AZ1544">
        <v>0</v>
      </c>
      <c r="BA1544" t="s">
        <v>71</v>
      </c>
      <c r="BB1544">
        <v>0</v>
      </c>
      <c r="BD1544">
        <v>0.24199999999999999</v>
      </c>
    </row>
    <row r="1545" spans="1:56" x14ac:dyDescent="0.15">
      <c r="A1545" s="4" t="str">
        <f>HYPERLINK("https://ibp.a2mac1.com/costing(costing:projects/details/9760/part/8414897)","Diffuser support")</f>
        <v>Diffuser support</v>
      </c>
      <c r="B1545">
        <v>8414897</v>
      </c>
      <c r="C1545">
        <v>8414783</v>
      </c>
      <c r="E1545">
        <v>0.45</v>
      </c>
      <c r="F1545">
        <v>0</v>
      </c>
      <c r="G1545">
        <v>0</v>
      </c>
      <c r="H1545">
        <v>0</v>
      </c>
      <c r="I1545" t="s">
        <v>71</v>
      </c>
      <c r="J1545">
        <v>0</v>
      </c>
      <c r="K1545">
        <v>0.45</v>
      </c>
      <c r="L1545">
        <v>0</v>
      </c>
      <c r="M1545">
        <v>0</v>
      </c>
      <c r="N1545">
        <v>0.45</v>
      </c>
      <c r="O1545" t="s">
        <v>71</v>
      </c>
      <c r="P1545">
        <v>0</v>
      </c>
      <c r="Q1545" t="s">
        <v>71</v>
      </c>
      <c r="R1545">
        <v>0</v>
      </c>
      <c r="S1545" t="s">
        <v>71</v>
      </c>
      <c r="T1545">
        <v>0</v>
      </c>
      <c r="U1545" t="s">
        <v>71</v>
      </c>
      <c r="V1545">
        <v>0</v>
      </c>
      <c r="W1545" t="s">
        <v>71</v>
      </c>
      <c r="X1545">
        <v>0</v>
      </c>
      <c r="Y1545">
        <v>0.45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510</v>
      </c>
      <c r="AF1545">
        <v>234</v>
      </c>
      <c r="AG1545">
        <v>23</v>
      </c>
      <c r="AI1545">
        <v>8.5999999999999993E-2</v>
      </c>
      <c r="AK1545" t="s">
        <v>740</v>
      </c>
      <c r="AL1545" t="s">
        <v>4463</v>
      </c>
      <c r="AM1545">
        <v>200000</v>
      </c>
      <c r="AN1545" t="s">
        <v>73</v>
      </c>
      <c r="AO1545">
        <v>1</v>
      </c>
      <c r="AP1545">
        <v>0</v>
      </c>
      <c r="AQ1545">
        <v>16666.666666666668</v>
      </c>
      <c r="AR1545" t="s">
        <v>4464</v>
      </c>
      <c r="AS1545" t="s">
        <v>75</v>
      </c>
      <c r="AX1545" t="s">
        <v>76</v>
      </c>
      <c r="AY1545" t="s">
        <v>71</v>
      </c>
      <c r="AZ1545">
        <v>0</v>
      </c>
      <c r="BA1545" t="s">
        <v>71</v>
      </c>
      <c r="BB1545">
        <v>0</v>
      </c>
      <c r="BD1545">
        <v>0.45</v>
      </c>
    </row>
    <row r="1546" spans="1:56" x14ac:dyDescent="0.15">
      <c r="A1546" s="4" t="str">
        <f>HYPERLINK("https://ibp.a2mac1.com/costing(costing:projects/details/9760/part/8414898)","Refrigeration Unit")</f>
        <v>Refrigeration Unit</v>
      </c>
      <c r="B1546">
        <v>8414898</v>
      </c>
      <c r="C1546">
        <v>8414784</v>
      </c>
      <c r="E1546">
        <v>6</v>
      </c>
      <c r="F1546">
        <v>0</v>
      </c>
      <c r="G1546">
        <v>0</v>
      </c>
      <c r="H1546">
        <v>0</v>
      </c>
      <c r="I1546" t="s">
        <v>71</v>
      </c>
      <c r="J1546">
        <v>0</v>
      </c>
      <c r="K1546">
        <v>6</v>
      </c>
      <c r="L1546">
        <v>0</v>
      </c>
      <c r="M1546">
        <v>0</v>
      </c>
      <c r="N1546">
        <v>6</v>
      </c>
      <c r="O1546" t="s">
        <v>71</v>
      </c>
      <c r="P1546">
        <v>0</v>
      </c>
      <c r="Q1546" t="s">
        <v>71</v>
      </c>
      <c r="R1546">
        <v>0</v>
      </c>
      <c r="S1546" t="s">
        <v>71</v>
      </c>
      <c r="T1546">
        <v>0</v>
      </c>
      <c r="U1546" t="s">
        <v>71</v>
      </c>
      <c r="V1546">
        <v>0</v>
      </c>
      <c r="W1546" t="s">
        <v>71</v>
      </c>
      <c r="X1546">
        <v>0</v>
      </c>
      <c r="Y1546">
        <v>6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4</v>
      </c>
      <c r="AF1546">
        <v>40</v>
      </c>
      <c r="AG1546">
        <v>40</v>
      </c>
      <c r="AI1546">
        <v>5.6000000000000001E-2</v>
      </c>
      <c r="AK1546" t="s">
        <v>740</v>
      </c>
      <c r="AL1546" t="s">
        <v>4471</v>
      </c>
      <c r="AM1546">
        <v>400000</v>
      </c>
      <c r="AN1546" t="s">
        <v>73</v>
      </c>
      <c r="AO1546">
        <v>2</v>
      </c>
      <c r="AP1546">
        <v>0</v>
      </c>
      <c r="AQ1546">
        <v>33333.333333333336</v>
      </c>
      <c r="AR1546" t="s">
        <v>4472</v>
      </c>
      <c r="AS1546" t="s">
        <v>75</v>
      </c>
      <c r="AX1546" t="s">
        <v>76</v>
      </c>
      <c r="AY1546" t="s">
        <v>71</v>
      </c>
      <c r="AZ1546">
        <v>0</v>
      </c>
      <c r="BA1546" t="s">
        <v>71</v>
      </c>
      <c r="BB1546">
        <v>0</v>
      </c>
      <c r="BD1546">
        <v>3</v>
      </c>
    </row>
    <row r="1547" spans="1:56" x14ac:dyDescent="0.15">
      <c r="A1547" s="4" t="str">
        <f>HYPERLINK("https://ibp.a2mac1.com/costing(costing:projects/details/9760/part/8414899)","Switch")</f>
        <v>Switch</v>
      </c>
      <c r="B1547">
        <v>8414899</v>
      </c>
      <c r="C1547">
        <v>8414784</v>
      </c>
      <c r="E1547">
        <v>0.28000000000000003</v>
      </c>
      <c r="F1547">
        <v>0</v>
      </c>
      <c r="G1547">
        <v>0</v>
      </c>
      <c r="H1547">
        <v>0</v>
      </c>
      <c r="I1547" t="s">
        <v>71</v>
      </c>
      <c r="J1547">
        <v>0</v>
      </c>
      <c r="K1547">
        <v>0.28000000000000003</v>
      </c>
      <c r="L1547">
        <v>0</v>
      </c>
      <c r="M1547">
        <v>0</v>
      </c>
      <c r="N1547">
        <v>0.28000000000000003</v>
      </c>
      <c r="O1547" t="s">
        <v>71</v>
      </c>
      <c r="P1547">
        <v>0</v>
      </c>
      <c r="Q1547" t="s">
        <v>71</v>
      </c>
      <c r="R1547">
        <v>0</v>
      </c>
      <c r="S1547" t="s">
        <v>71</v>
      </c>
      <c r="T1547">
        <v>0</v>
      </c>
      <c r="U1547" t="s">
        <v>71</v>
      </c>
      <c r="V1547">
        <v>0</v>
      </c>
      <c r="W1547" t="s">
        <v>71</v>
      </c>
      <c r="X1547">
        <v>0</v>
      </c>
      <c r="Y1547">
        <v>0.28000000000000003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65</v>
      </c>
      <c r="AF1547">
        <v>114</v>
      </c>
      <c r="AG1547">
        <v>35</v>
      </c>
      <c r="AI1547">
        <v>3.1E-2</v>
      </c>
      <c r="AK1547" t="s">
        <v>740</v>
      </c>
      <c r="AL1547" t="s">
        <v>403</v>
      </c>
      <c r="AM1547">
        <v>200000</v>
      </c>
      <c r="AN1547" t="s">
        <v>73</v>
      </c>
      <c r="AO1547">
        <v>1</v>
      </c>
      <c r="AP1547">
        <v>0</v>
      </c>
      <c r="AQ1547">
        <v>16666.666666666668</v>
      </c>
      <c r="AR1547" t="s">
        <v>4473</v>
      </c>
      <c r="AS1547" t="s">
        <v>75</v>
      </c>
      <c r="AX1547" t="s">
        <v>76</v>
      </c>
      <c r="AY1547" t="s">
        <v>71</v>
      </c>
      <c r="AZ1547">
        <v>0</v>
      </c>
      <c r="BA1547" t="s">
        <v>71</v>
      </c>
      <c r="BB1547">
        <v>0</v>
      </c>
      <c r="BD1547">
        <v>0.28000000000000003</v>
      </c>
    </row>
    <row r="1548" spans="1:56" x14ac:dyDescent="0.15">
      <c r="A1548" s="4" t="str">
        <f>HYPERLINK("https://ibp.a2mac1.com/costing(costing:projects/details/9760/part/8414900)","Compartment Lid")</f>
        <v>Compartment Lid</v>
      </c>
      <c r="B1548">
        <v>8414900</v>
      </c>
      <c r="C1548">
        <v>8414784</v>
      </c>
      <c r="E1548">
        <v>0.39246748799999998</v>
      </c>
      <c r="F1548">
        <v>0</v>
      </c>
      <c r="G1548">
        <v>0</v>
      </c>
      <c r="H1548">
        <v>1.9908626458947369E-3</v>
      </c>
      <c r="I1548" t="s">
        <v>176</v>
      </c>
      <c r="J1548">
        <v>1.3770789052631578E-2</v>
      </c>
      <c r="K1548">
        <v>0.40822913969852631</v>
      </c>
      <c r="L1548">
        <v>2.5317394738873903E-2</v>
      </c>
      <c r="M1548">
        <v>0.1519043684332434</v>
      </c>
      <c r="N1548">
        <v>0.56013350813176976</v>
      </c>
      <c r="O1548" t="s">
        <v>90</v>
      </c>
      <c r="P1548">
        <v>0</v>
      </c>
      <c r="Q1548" t="s">
        <v>90</v>
      </c>
      <c r="R1548">
        <v>0</v>
      </c>
      <c r="S1548" t="s">
        <v>90</v>
      </c>
      <c r="T1548">
        <v>0</v>
      </c>
      <c r="U1548" t="s">
        <v>90</v>
      </c>
      <c r="V1548">
        <v>0</v>
      </c>
      <c r="W1548" t="s">
        <v>90</v>
      </c>
      <c r="X1548">
        <v>0</v>
      </c>
      <c r="Y1548">
        <v>0.56013350813176976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31</v>
      </c>
      <c r="AF1548">
        <v>196</v>
      </c>
      <c r="AG1548">
        <v>244</v>
      </c>
      <c r="AI1548">
        <v>0.16300000000000001</v>
      </c>
      <c r="AK1548" t="s">
        <v>740</v>
      </c>
      <c r="AL1548" t="s">
        <v>412</v>
      </c>
      <c r="AM1548">
        <v>200000</v>
      </c>
      <c r="AN1548" t="s">
        <v>73</v>
      </c>
      <c r="AO1548">
        <v>1</v>
      </c>
      <c r="AP1548">
        <v>0</v>
      </c>
      <c r="AQ1548">
        <v>16666.666666666668</v>
      </c>
      <c r="AR1548" t="s">
        <v>4478</v>
      </c>
      <c r="AS1548" t="s">
        <v>75</v>
      </c>
      <c r="AX1548" t="s">
        <v>76</v>
      </c>
      <c r="AY1548" t="s">
        <v>176</v>
      </c>
      <c r="AZ1548">
        <v>0</v>
      </c>
      <c r="BA1548" t="s">
        <v>176</v>
      </c>
      <c r="BB1548">
        <v>0</v>
      </c>
    </row>
    <row r="1549" spans="1:56" x14ac:dyDescent="0.15">
      <c r="A1549" s="4" t="str">
        <f>HYPERLINK("https://ibp.a2mac1.com/costing(costing:projects/details/9760/part/8414901)","Compartment Lid Trim")</f>
        <v>Compartment Lid Trim</v>
      </c>
      <c r="B1549">
        <v>8414901</v>
      </c>
      <c r="C1549">
        <v>8414784</v>
      </c>
      <c r="E1549">
        <v>7.7011436123076926</v>
      </c>
      <c r="F1549">
        <v>0</v>
      </c>
      <c r="G1549">
        <v>0</v>
      </c>
      <c r="H1549">
        <v>3.8971069158866396E-2</v>
      </c>
      <c r="I1549" t="s">
        <v>176</v>
      </c>
      <c r="J1549">
        <v>0.26956273133603237</v>
      </c>
      <c r="K1549">
        <v>8.0096774128025903</v>
      </c>
      <c r="L1549">
        <v>0.12775025117353825</v>
      </c>
      <c r="M1549">
        <v>0.76650150704122955</v>
      </c>
      <c r="N1549">
        <v>8.7761789198438205</v>
      </c>
      <c r="O1549" t="s">
        <v>90</v>
      </c>
      <c r="P1549">
        <v>0</v>
      </c>
      <c r="Q1549" t="s">
        <v>90</v>
      </c>
      <c r="R1549">
        <v>0</v>
      </c>
      <c r="S1549" t="s">
        <v>90</v>
      </c>
      <c r="T1549">
        <v>0</v>
      </c>
      <c r="U1549" t="s">
        <v>90</v>
      </c>
      <c r="V1549">
        <v>0</v>
      </c>
      <c r="W1549" t="s">
        <v>90</v>
      </c>
      <c r="X1549">
        <v>0</v>
      </c>
      <c r="Y1549">
        <v>8.7761789198438205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35</v>
      </c>
      <c r="AF1549">
        <v>204</v>
      </c>
      <c r="AG1549">
        <v>245</v>
      </c>
      <c r="AI1549">
        <v>0.215</v>
      </c>
      <c r="AK1549" t="s">
        <v>740</v>
      </c>
      <c r="AL1549" t="s">
        <v>3981</v>
      </c>
      <c r="AM1549">
        <v>200000</v>
      </c>
      <c r="AN1549" t="s">
        <v>73</v>
      </c>
      <c r="AO1549">
        <v>1</v>
      </c>
      <c r="AP1549">
        <v>0</v>
      </c>
      <c r="AQ1549">
        <v>16666.666666666668</v>
      </c>
      <c r="AR1549" t="s">
        <v>4484</v>
      </c>
      <c r="AS1549" t="s">
        <v>75</v>
      </c>
      <c r="AX1549" t="s">
        <v>76</v>
      </c>
      <c r="AY1549" t="s">
        <v>176</v>
      </c>
      <c r="AZ1549">
        <v>0</v>
      </c>
      <c r="BA1549" t="s">
        <v>176</v>
      </c>
      <c r="BB1549">
        <v>0</v>
      </c>
    </row>
    <row r="1550" spans="1:56" x14ac:dyDescent="0.15">
      <c r="A1550" s="4" t="str">
        <f>HYPERLINK("https://ibp.a2mac1.com/costing(costing:projects/details/9760/part/8414902)","Lid Lock")</f>
        <v>Lid Lock</v>
      </c>
      <c r="B1550">
        <v>8414902</v>
      </c>
      <c r="C1550">
        <v>8414784</v>
      </c>
      <c r="E1550">
        <v>4.2361430999999998E-2</v>
      </c>
      <c r="F1550">
        <v>0</v>
      </c>
      <c r="G1550">
        <v>0</v>
      </c>
      <c r="H1550">
        <v>2.1488605600000001E-4</v>
      </c>
      <c r="I1550" t="s">
        <v>176</v>
      </c>
      <c r="J1550">
        <v>1.486366E-3</v>
      </c>
      <c r="K1550">
        <v>4.4062683056000002E-2</v>
      </c>
      <c r="L1550">
        <v>5.8904736909203177E-3</v>
      </c>
      <c r="M1550">
        <v>3.5342842145521906E-2</v>
      </c>
      <c r="N1550">
        <v>7.9405525201521901E-2</v>
      </c>
      <c r="O1550" t="s">
        <v>90</v>
      </c>
      <c r="P1550">
        <v>0</v>
      </c>
      <c r="Q1550" t="s">
        <v>90</v>
      </c>
      <c r="R1550">
        <v>0</v>
      </c>
      <c r="S1550" t="s">
        <v>90</v>
      </c>
      <c r="T1550">
        <v>0</v>
      </c>
      <c r="U1550" t="s">
        <v>90</v>
      </c>
      <c r="V1550">
        <v>0</v>
      </c>
      <c r="W1550" t="s">
        <v>90</v>
      </c>
      <c r="X1550">
        <v>0</v>
      </c>
      <c r="Y1550">
        <v>7.9405525201521901E-2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35</v>
      </c>
      <c r="AF1550">
        <v>109</v>
      </c>
      <c r="AG1550">
        <v>30</v>
      </c>
      <c r="AI1550">
        <v>1.9E-2</v>
      </c>
      <c r="AK1550" t="s">
        <v>740</v>
      </c>
      <c r="AL1550" t="s">
        <v>2086</v>
      </c>
      <c r="AM1550">
        <v>200000</v>
      </c>
      <c r="AN1550" t="s">
        <v>73</v>
      </c>
      <c r="AO1550">
        <v>1</v>
      </c>
      <c r="AP1550">
        <v>0</v>
      </c>
      <c r="AQ1550">
        <v>16666.666666666668</v>
      </c>
      <c r="AR1550" t="s">
        <v>4489</v>
      </c>
      <c r="AS1550" t="s">
        <v>75</v>
      </c>
      <c r="AX1550" t="s">
        <v>76</v>
      </c>
      <c r="AY1550" t="s">
        <v>176</v>
      </c>
      <c r="AZ1550">
        <v>0</v>
      </c>
      <c r="BA1550" t="s">
        <v>176</v>
      </c>
      <c r="BB1550">
        <v>0</v>
      </c>
    </row>
    <row r="1551" spans="1:56" x14ac:dyDescent="0.15">
      <c r="A1551" s="4" t="str">
        <f>HYPERLINK("https://ibp.a2mac1.com/costing(costing:projects/details/9760/part/8414903)","Cooling Fan")</f>
        <v>Cooling Fan</v>
      </c>
      <c r="B1551">
        <v>8414903</v>
      </c>
      <c r="C1551">
        <v>8414784</v>
      </c>
      <c r="E1551">
        <v>3.5</v>
      </c>
      <c r="F1551">
        <v>0</v>
      </c>
      <c r="G1551">
        <v>0</v>
      </c>
      <c r="H1551">
        <v>0</v>
      </c>
      <c r="I1551" t="s">
        <v>71</v>
      </c>
      <c r="J1551">
        <v>0</v>
      </c>
      <c r="K1551">
        <v>3.5</v>
      </c>
      <c r="L1551">
        <v>0</v>
      </c>
      <c r="M1551">
        <v>0</v>
      </c>
      <c r="N1551">
        <v>3.5</v>
      </c>
      <c r="O1551" t="s">
        <v>71</v>
      </c>
      <c r="P1551">
        <v>0</v>
      </c>
      <c r="Q1551" t="s">
        <v>71</v>
      </c>
      <c r="R1551">
        <v>0</v>
      </c>
      <c r="S1551" t="s">
        <v>71</v>
      </c>
      <c r="T1551">
        <v>0</v>
      </c>
      <c r="U1551" t="s">
        <v>71</v>
      </c>
      <c r="V1551">
        <v>0</v>
      </c>
      <c r="W1551" t="s">
        <v>71</v>
      </c>
      <c r="X1551">
        <v>0</v>
      </c>
      <c r="Y1551">
        <v>3.5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24</v>
      </c>
      <c r="AF1551">
        <v>120</v>
      </c>
      <c r="AG1551">
        <v>120</v>
      </c>
      <c r="AI1551">
        <v>0.14899999999999999</v>
      </c>
      <c r="AK1551" t="s">
        <v>740</v>
      </c>
      <c r="AL1551" t="s">
        <v>4490</v>
      </c>
      <c r="AM1551">
        <v>200000</v>
      </c>
      <c r="AN1551" t="s">
        <v>73</v>
      </c>
      <c r="AO1551">
        <v>1</v>
      </c>
      <c r="AP1551">
        <v>0</v>
      </c>
      <c r="AQ1551">
        <v>16666.666666666668</v>
      </c>
      <c r="AR1551" t="s">
        <v>4491</v>
      </c>
      <c r="AS1551" t="s">
        <v>75</v>
      </c>
      <c r="AX1551" t="s">
        <v>76</v>
      </c>
      <c r="AY1551" t="s">
        <v>71</v>
      </c>
      <c r="AZ1551">
        <v>0</v>
      </c>
      <c r="BA1551" t="s">
        <v>71</v>
      </c>
      <c r="BB1551">
        <v>0</v>
      </c>
      <c r="BD1551">
        <v>3.5</v>
      </c>
    </row>
    <row r="1552" spans="1:56" x14ac:dyDescent="0.15">
      <c r="A1552" s="4" t="str">
        <f>HYPERLINK("https://ibp.a2mac1.com/costing(costing:projects/details/9760/part/8414904)","Heat Sink")</f>
        <v>Heat Sink</v>
      </c>
      <c r="B1552">
        <v>8414904</v>
      </c>
      <c r="C1552">
        <v>8414784</v>
      </c>
      <c r="E1552">
        <v>1.5686566427499999</v>
      </c>
      <c r="F1552">
        <v>0</v>
      </c>
      <c r="G1552">
        <v>0</v>
      </c>
      <c r="H1552">
        <v>8.4440453322500008E-3</v>
      </c>
      <c r="I1552" t="s">
        <v>176</v>
      </c>
      <c r="J1552">
        <v>5.8407428187499999E-2</v>
      </c>
      <c r="K1552">
        <v>1.63550811626975</v>
      </c>
      <c r="L1552">
        <v>7.6533822956206074E-2</v>
      </c>
      <c r="M1552">
        <v>0.45920293773723647</v>
      </c>
      <c r="N1552">
        <v>2.0947110540069867</v>
      </c>
      <c r="O1552" t="s">
        <v>90</v>
      </c>
      <c r="P1552">
        <v>0</v>
      </c>
      <c r="Q1552" t="s">
        <v>90</v>
      </c>
      <c r="R1552">
        <v>0</v>
      </c>
      <c r="S1552" t="s">
        <v>90</v>
      </c>
      <c r="T1552">
        <v>0</v>
      </c>
      <c r="U1552" t="s">
        <v>90</v>
      </c>
      <c r="V1552">
        <v>0</v>
      </c>
      <c r="W1552" t="s">
        <v>90</v>
      </c>
      <c r="X1552">
        <v>0</v>
      </c>
      <c r="Y1552">
        <v>2.0947110540069867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21</v>
      </c>
      <c r="AF1552">
        <v>15</v>
      </c>
      <c r="AG1552">
        <v>120</v>
      </c>
      <c r="AI1552">
        <v>0.38300000000000001</v>
      </c>
      <c r="AK1552" t="s">
        <v>740</v>
      </c>
      <c r="AL1552" t="s">
        <v>104</v>
      </c>
      <c r="AM1552">
        <v>200000</v>
      </c>
      <c r="AN1552" t="s">
        <v>73</v>
      </c>
      <c r="AO1552">
        <v>1</v>
      </c>
      <c r="AP1552">
        <v>0</v>
      </c>
      <c r="AQ1552">
        <v>16666.666666666668</v>
      </c>
      <c r="AR1552" t="s">
        <v>4496</v>
      </c>
      <c r="AS1552" t="s">
        <v>75</v>
      </c>
      <c r="AX1552" t="s">
        <v>76</v>
      </c>
      <c r="AY1552" t="s">
        <v>176</v>
      </c>
      <c r="AZ1552">
        <v>0</v>
      </c>
      <c r="BA1552" t="s">
        <v>176</v>
      </c>
      <c r="BB1552">
        <v>0</v>
      </c>
    </row>
    <row r="1553" spans="1:56" x14ac:dyDescent="0.15">
      <c r="A1553" s="4" t="str">
        <f>HYPERLINK("https://ibp.a2mac1.com/costing(costing:projects/details/9760/part/8414905)","Heat Sink Protection")</f>
        <v>Heat Sink Protection</v>
      </c>
      <c r="B1553">
        <v>8414905</v>
      </c>
      <c r="C1553">
        <v>8414784</v>
      </c>
      <c r="E1553">
        <v>0.26967091199999998</v>
      </c>
      <c r="F1553">
        <v>0</v>
      </c>
      <c r="G1553">
        <v>0</v>
      </c>
      <c r="H1553">
        <v>1.3679547014736843E-3</v>
      </c>
      <c r="I1553" t="s">
        <v>176</v>
      </c>
      <c r="J1553">
        <v>9.4621372631578955E-3</v>
      </c>
      <c r="K1553">
        <v>0.28050100396463157</v>
      </c>
      <c r="L1553">
        <v>1.8253059812345325E-2</v>
      </c>
      <c r="M1553">
        <v>0.10951835887407195</v>
      </c>
      <c r="N1553">
        <v>0.39001936283870353</v>
      </c>
      <c r="O1553" t="s">
        <v>90</v>
      </c>
      <c r="P1553">
        <v>0</v>
      </c>
      <c r="Q1553" t="s">
        <v>90</v>
      </c>
      <c r="R1553">
        <v>0</v>
      </c>
      <c r="S1553" t="s">
        <v>90</v>
      </c>
      <c r="T1553">
        <v>0</v>
      </c>
      <c r="U1553" t="s">
        <v>90</v>
      </c>
      <c r="V1553">
        <v>0</v>
      </c>
      <c r="W1553" t="s">
        <v>90</v>
      </c>
      <c r="X1553">
        <v>0</v>
      </c>
      <c r="Y1553">
        <v>0.39001936283870353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105</v>
      </c>
      <c r="AF1553">
        <v>222</v>
      </c>
      <c r="AG1553">
        <v>186</v>
      </c>
      <c r="AI1553">
        <v>0.112</v>
      </c>
      <c r="AK1553" t="s">
        <v>740</v>
      </c>
      <c r="AL1553" t="s">
        <v>412</v>
      </c>
      <c r="AM1553">
        <v>200000</v>
      </c>
      <c r="AN1553" t="s">
        <v>73</v>
      </c>
      <c r="AO1553">
        <v>1</v>
      </c>
      <c r="AP1553">
        <v>0</v>
      </c>
      <c r="AQ1553">
        <v>16666.666666666668</v>
      </c>
      <c r="AR1553" t="s">
        <v>4501</v>
      </c>
      <c r="AS1553" t="s">
        <v>75</v>
      </c>
      <c r="AX1553" t="s">
        <v>76</v>
      </c>
      <c r="AY1553" t="s">
        <v>176</v>
      </c>
      <c r="AZ1553">
        <v>0</v>
      </c>
      <c r="BA1553" t="s">
        <v>176</v>
      </c>
      <c r="BB1553">
        <v>0</v>
      </c>
    </row>
    <row r="1554" spans="1:56" x14ac:dyDescent="0.15">
      <c r="A1554" s="4" t="str">
        <f>HYPERLINK("https://ibp.a2mac1.com/costing(costing:projects/details/9760/part/8414906)","Storage Box Mat")</f>
        <v>Storage Box Mat</v>
      </c>
      <c r="B1554">
        <v>8414906</v>
      </c>
      <c r="C1554">
        <v>8414784</v>
      </c>
      <c r="E1554">
        <v>0.23392493684210527</v>
      </c>
      <c r="F1554">
        <v>0</v>
      </c>
      <c r="G1554">
        <v>0</v>
      </c>
      <c r="H1554">
        <v>1.1836601804210527E-3</v>
      </c>
      <c r="I1554" t="s">
        <v>176</v>
      </c>
      <c r="J1554">
        <v>8.1873727894736844E-3</v>
      </c>
      <c r="K1554">
        <v>0.243295969812</v>
      </c>
      <c r="L1554">
        <v>2.3551311007241758E-2</v>
      </c>
      <c r="M1554">
        <v>0.14130786604345055</v>
      </c>
      <c r="N1554">
        <v>0.38460383585545055</v>
      </c>
      <c r="O1554" t="s">
        <v>90</v>
      </c>
      <c r="P1554">
        <v>0</v>
      </c>
      <c r="Q1554" t="s">
        <v>90</v>
      </c>
      <c r="R1554">
        <v>0</v>
      </c>
      <c r="S1554" t="s">
        <v>90</v>
      </c>
      <c r="T1554">
        <v>0</v>
      </c>
      <c r="U1554" t="s">
        <v>90</v>
      </c>
      <c r="V1554">
        <v>0</v>
      </c>
      <c r="W1554" t="s">
        <v>90</v>
      </c>
      <c r="X1554">
        <v>0</v>
      </c>
      <c r="Y1554">
        <v>0.38460383585545055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230</v>
      </c>
      <c r="AF1554">
        <v>139</v>
      </c>
      <c r="AG1554">
        <v>18</v>
      </c>
      <c r="AI1554">
        <v>0.14099999999999999</v>
      </c>
      <c r="AK1554" t="s">
        <v>740</v>
      </c>
      <c r="AL1554" t="s">
        <v>403</v>
      </c>
      <c r="AM1554">
        <v>200000</v>
      </c>
      <c r="AN1554" t="s">
        <v>73</v>
      </c>
      <c r="AO1554">
        <v>1</v>
      </c>
      <c r="AP1554">
        <v>0</v>
      </c>
      <c r="AQ1554">
        <v>16666.666666666668</v>
      </c>
      <c r="AR1554" t="s">
        <v>4504</v>
      </c>
      <c r="AS1554" t="s">
        <v>75</v>
      </c>
      <c r="AX1554" t="s">
        <v>76</v>
      </c>
      <c r="AY1554" t="s">
        <v>176</v>
      </c>
      <c r="AZ1554">
        <v>0</v>
      </c>
      <c r="BA1554" t="s">
        <v>176</v>
      </c>
      <c r="BB1554">
        <v>0</v>
      </c>
    </row>
    <row r="1555" spans="1:56" x14ac:dyDescent="0.15">
      <c r="A1555" s="4" t="str">
        <f>HYPERLINK("https://ibp.a2mac1.com/costing(costing:projects/details/9760/part/8414907)","Rail")</f>
        <v>Rail</v>
      </c>
      <c r="B1555">
        <v>8414907</v>
      </c>
      <c r="C1555">
        <v>8414784</v>
      </c>
      <c r="E1555">
        <v>0.89174540000000002</v>
      </c>
      <c r="F1555">
        <v>0</v>
      </c>
      <c r="G1555">
        <v>0</v>
      </c>
      <c r="H1555">
        <v>4.9290981999999999E-3</v>
      </c>
      <c r="I1555" t="s">
        <v>176</v>
      </c>
      <c r="J1555">
        <v>3.4297899999999999E-2</v>
      </c>
      <c r="K1555">
        <v>0.9309723982</v>
      </c>
      <c r="L1555">
        <v>0.13657659304016917</v>
      </c>
      <c r="M1555">
        <v>0.81945955824101502</v>
      </c>
      <c r="N1555">
        <v>1.7504319564410149</v>
      </c>
      <c r="O1555" t="s">
        <v>90</v>
      </c>
      <c r="P1555">
        <v>0</v>
      </c>
      <c r="Q1555" t="s">
        <v>90</v>
      </c>
      <c r="R1555">
        <v>0</v>
      </c>
      <c r="S1555" t="s">
        <v>90</v>
      </c>
      <c r="T1555">
        <v>0</v>
      </c>
      <c r="U1555" t="s">
        <v>90</v>
      </c>
      <c r="V1555">
        <v>0</v>
      </c>
      <c r="W1555" t="s">
        <v>90</v>
      </c>
      <c r="X1555">
        <v>0</v>
      </c>
      <c r="Y1555">
        <v>1.7504319564410149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257</v>
      </c>
      <c r="AF1555">
        <v>36</v>
      </c>
      <c r="AG1555">
        <v>40</v>
      </c>
      <c r="AI1555">
        <v>0.65</v>
      </c>
      <c r="AK1555" t="s">
        <v>740</v>
      </c>
      <c r="AL1555" t="s">
        <v>96</v>
      </c>
      <c r="AM1555">
        <v>400000</v>
      </c>
      <c r="AN1555" t="s">
        <v>73</v>
      </c>
      <c r="AO1555">
        <v>2</v>
      </c>
      <c r="AP1555">
        <v>0</v>
      </c>
      <c r="AQ1555">
        <v>33333.333333333336</v>
      </c>
      <c r="AR1555" t="s">
        <v>4509</v>
      </c>
      <c r="AS1555" t="s">
        <v>75</v>
      </c>
      <c r="AX1555" t="s">
        <v>76</v>
      </c>
      <c r="AY1555" t="s">
        <v>176</v>
      </c>
      <c r="AZ1555">
        <v>0</v>
      </c>
      <c r="BA1555" t="s">
        <v>176</v>
      </c>
      <c r="BB1555">
        <v>0</v>
      </c>
    </row>
    <row r="1556" spans="1:56" x14ac:dyDescent="0.15">
      <c r="A1556" s="4" t="str">
        <f>HYPERLINK("https://ibp.a2mac1.com/costing(costing:projects/details/9760/part/8414908)","Rail Support")</f>
        <v>Rail Support</v>
      </c>
      <c r="B1556">
        <v>8414908</v>
      </c>
      <c r="C1556">
        <v>8414784</v>
      </c>
      <c r="E1556">
        <v>0.32504976000000002</v>
      </c>
      <c r="F1556">
        <v>0</v>
      </c>
      <c r="G1556">
        <v>0</v>
      </c>
      <c r="H1556">
        <v>1.6488739705263157E-3</v>
      </c>
      <c r="I1556" t="s">
        <v>176</v>
      </c>
      <c r="J1556">
        <v>1.1405254736842105E-2</v>
      </c>
      <c r="K1556">
        <v>0.33810388870736841</v>
      </c>
      <c r="L1556">
        <v>2.1785227275609612E-2</v>
      </c>
      <c r="M1556">
        <v>0.13071136365365768</v>
      </c>
      <c r="N1556">
        <v>0.46881525236102611</v>
      </c>
      <c r="O1556" t="s">
        <v>90</v>
      </c>
      <c r="P1556">
        <v>0</v>
      </c>
      <c r="Q1556" t="s">
        <v>90</v>
      </c>
      <c r="R1556">
        <v>0</v>
      </c>
      <c r="S1556" t="s">
        <v>90</v>
      </c>
      <c r="T1556">
        <v>0</v>
      </c>
      <c r="U1556" t="s">
        <v>90</v>
      </c>
      <c r="V1556">
        <v>0</v>
      </c>
      <c r="W1556" t="s">
        <v>90</v>
      </c>
      <c r="X1556">
        <v>0</v>
      </c>
      <c r="Y1556">
        <v>0.46881525236102611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240</v>
      </c>
      <c r="AF1556">
        <v>143</v>
      </c>
      <c r="AG1556">
        <v>32</v>
      </c>
      <c r="AI1556">
        <v>0.13500000000000001</v>
      </c>
      <c r="AK1556" t="s">
        <v>740</v>
      </c>
      <c r="AL1556" t="s">
        <v>412</v>
      </c>
      <c r="AM1556">
        <v>200000</v>
      </c>
      <c r="AN1556" t="s">
        <v>73</v>
      </c>
      <c r="AO1556">
        <v>1</v>
      </c>
      <c r="AP1556">
        <v>0</v>
      </c>
      <c r="AQ1556">
        <v>16666.666666666668</v>
      </c>
      <c r="AR1556" t="s">
        <v>4514</v>
      </c>
      <c r="AS1556" t="s">
        <v>75</v>
      </c>
      <c r="AX1556" t="s">
        <v>76</v>
      </c>
      <c r="AY1556" t="s">
        <v>176</v>
      </c>
      <c r="AZ1556">
        <v>0</v>
      </c>
      <c r="BA1556" t="s">
        <v>176</v>
      </c>
      <c r="BB1556">
        <v>0</v>
      </c>
    </row>
    <row r="1557" spans="1:56" x14ac:dyDescent="0.15">
      <c r="A1557" s="4" t="str">
        <f>HYPERLINK("https://ibp.a2mac1.com/costing(costing:projects/details/9760/part/8414909)","Compartment")</f>
        <v>Compartment</v>
      </c>
      <c r="B1557">
        <v>8414909</v>
      </c>
      <c r="C1557">
        <v>8414784</v>
      </c>
      <c r="E1557">
        <v>0.70066281600000002</v>
      </c>
      <c r="F1557">
        <v>0</v>
      </c>
      <c r="G1557">
        <v>0</v>
      </c>
      <c r="H1557">
        <v>3.5542394475789473E-3</v>
      </c>
      <c r="I1557" t="s">
        <v>176</v>
      </c>
      <c r="J1557">
        <v>2.4584660210526316E-2</v>
      </c>
      <c r="K1557">
        <v>0.72880171565810525</v>
      </c>
      <c r="L1557">
        <v>4.4744315786827485E-2</v>
      </c>
      <c r="M1557">
        <v>0.26846589472096494</v>
      </c>
      <c r="N1557">
        <v>0.99726761037907019</v>
      </c>
      <c r="O1557" t="s">
        <v>90</v>
      </c>
      <c r="P1557">
        <v>0</v>
      </c>
      <c r="Q1557" t="s">
        <v>90</v>
      </c>
      <c r="R1557">
        <v>0</v>
      </c>
      <c r="S1557" t="s">
        <v>90</v>
      </c>
      <c r="T1557">
        <v>0</v>
      </c>
      <c r="U1557" t="s">
        <v>90</v>
      </c>
      <c r="V1557">
        <v>0</v>
      </c>
      <c r="W1557" t="s">
        <v>90</v>
      </c>
      <c r="X1557">
        <v>0</v>
      </c>
      <c r="Y1557">
        <v>0.99726761037907019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299</v>
      </c>
      <c r="AF1557">
        <v>165</v>
      </c>
      <c r="AG1557">
        <v>112</v>
      </c>
      <c r="AI1557">
        <v>0.29099999999999998</v>
      </c>
      <c r="AK1557" t="s">
        <v>740</v>
      </c>
      <c r="AL1557" t="s">
        <v>412</v>
      </c>
      <c r="AM1557">
        <v>200000</v>
      </c>
      <c r="AN1557" t="s">
        <v>73</v>
      </c>
      <c r="AO1557">
        <v>1</v>
      </c>
      <c r="AP1557">
        <v>0</v>
      </c>
      <c r="AQ1557">
        <v>16666.666666666668</v>
      </c>
      <c r="AR1557" t="s">
        <v>4519</v>
      </c>
      <c r="AS1557" t="s">
        <v>75</v>
      </c>
      <c r="AX1557" t="s">
        <v>76</v>
      </c>
      <c r="AY1557" t="s">
        <v>176</v>
      </c>
      <c r="AZ1557">
        <v>0</v>
      </c>
      <c r="BA1557" t="s">
        <v>176</v>
      </c>
      <c r="BB1557">
        <v>0</v>
      </c>
    </row>
    <row r="1558" spans="1:56" x14ac:dyDescent="0.15">
      <c r="A1558" s="4" t="str">
        <f>HYPERLINK("https://ibp.a2mac1.com/costing(costing:projects/details/9760/part/8414910)","Lid Insulation")</f>
        <v>Lid Insulation</v>
      </c>
      <c r="B1558">
        <v>8414910</v>
      </c>
      <c r="C1558">
        <v>8414784</v>
      </c>
      <c r="E1558">
        <v>5.1818129999999997E-2</v>
      </c>
      <c r="F1558">
        <v>0</v>
      </c>
      <c r="G1558">
        <v>0</v>
      </c>
      <c r="H1558">
        <v>2.6285688000000001E-4</v>
      </c>
      <c r="I1558" t="s">
        <v>176</v>
      </c>
      <c r="J1558">
        <v>1.81818E-3</v>
      </c>
      <c r="K1558">
        <v>5.3899166880000002E-2</v>
      </c>
      <c r="L1558">
        <v>9.422641154184605E-3</v>
      </c>
      <c r="M1558">
        <v>5.653584692510763E-2</v>
      </c>
      <c r="N1558">
        <v>0.11043501380510763</v>
      </c>
      <c r="O1558" t="s">
        <v>90</v>
      </c>
      <c r="P1558">
        <v>0</v>
      </c>
      <c r="Q1558" t="s">
        <v>90</v>
      </c>
      <c r="R1558">
        <v>0</v>
      </c>
      <c r="S1558" t="s">
        <v>90</v>
      </c>
      <c r="T1558">
        <v>0</v>
      </c>
      <c r="U1558" t="s">
        <v>90</v>
      </c>
      <c r="V1558">
        <v>0</v>
      </c>
      <c r="W1558" t="s">
        <v>90</v>
      </c>
      <c r="X1558">
        <v>0</v>
      </c>
      <c r="Y1558">
        <v>0.11043501380510763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26</v>
      </c>
      <c r="AF1558">
        <v>176</v>
      </c>
      <c r="AG1558">
        <v>105</v>
      </c>
      <c r="AI1558">
        <v>1.9E-2</v>
      </c>
      <c r="AK1558" t="s">
        <v>740</v>
      </c>
      <c r="AL1558" t="s">
        <v>2669</v>
      </c>
      <c r="AM1558">
        <v>200000</v>
      </c>
      <c r="AN1558" t="s">
        <v>73</v>
      </c>
      <c r="AO1558">
        <v>1</v>
      </c>
      <c r="AP1558">
        <v>0</v>
      </c>
      <c r="AQ1558">
        <v>16666.666666666668</v>
      </c>
      <c r="AR1558" t="s">
        <v>4523</v>
      </c>
      <c r="AS1558" t="s">
        <v>75</v>
      </c>
      <c r="AX1558" t="s">
        <v>76</v>
      </c>
      <c r="AY1558" t="s">
        <v>176</v>
      </c>
      <c r="AZ1558">
        <v>0</v>
      </c>
      <c r="BA1558" t="s">
        <v>176</v>
      </c>
      <c r="BB1558">
        <v>0</v>
      </c>
    </row>
    <row r="1559" spans="1:56" x14ac:dyDescent="0.15">
      <c r="A1559" s="4" t="str">
        <f>HYPERLINK("https://ibp.a2mac1.com/costing(costing:projects/details/9760/part/8414911)","Lid Seal")</f>
        <v>Lid Seal</v>
      </c>
      <c r="B1559">
        <v>8414911</v>
      </c>
      <c r="C1559">
        <v>8414784</v>
      </c>
      <c r="E1559">
        <v>6.8717894736842103E-2</v>
      </c>
      <c r="F1559">
        <v>0</v>
      </c>
      <c r="G1559">
        <v>0</v>
      </c>
      <c r="H1559">
        <v>3.4771254736842106E-4</v>
      </c>
      <c r="I1559" t="s">
        <v>176</v>
      </c>
      <c r="J1559">
        <v>2.4051263157894736E-3</v>
      </c>
      <c r="K1559">
        <v>7.1470733600000003E-2</v>
      </c>
      <c r="L1559">
        <v>7.6565574225524614E-3</v>
      </c>
      <c r="M1559">
        <v>4.5939344535314765E-2</v>
      </c>
      <c r="N1559">
        <v>0.11741007813531477</v>
      </c>
      <c r="O1559" t="s">
        <v>90</v>
      </c>
      <c r="P1559">
        <v>0</v>
      </c>
      <c r="Q1559" t="s">
        <v>90</v>
      </c>
      <c r="R1559">
        <v>0</v>
      </c>
      <c r="S1559" t="s">
        <v>90</v>
      </c>
      <c r="T1559">
        <v>0</v>
      </c>
      <c r="U1559" t="s">
        <v>90</v>
      </c>
      <c r="V1559">
        <v>0</v>
      </c>
      <c r="W1559" t="s">
        <v>90</v>
      </c>
      <c r="X1559">
        <v>0</v>
      </c>
      <c r="Y1559">
        <v>0.11741007813531477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13</v>
      </c>
      <c r="AF1559">
        <v>166</v>
      </c>
      <c r="AG1559">
        <v>200</v>
      </c>
      <c r="AI1559">
        <v>2.8000000000000001E-2</v>
      </c>
      <c r="AK1559" t="s">
        <v>740</v>
      </c>
      <c r="AL1559" t="s">
        <v>4527</v>
      </c>
      <c r="AM1559">
        <v>200000</v>
      </c>
      <c r="AN1559" t="s">
        <v>73</v>
      </c>
      <c r="AO1559">
        <v>1</v>
      </c>
      <c r="AP1559">
        <v>0</v>
      </c>
      <c r="AQ1559">
        <v>16666.666666666668</v>
      </c>
      <c r="AR1559" t="s">
        <v>4528</v>
      </c>
      <c r="AS1559" t="s">
        <v>75</v>
      </c>
      <c r="AX1559" t="s">
        <v>76</v>
      </c>
      <c r="AY1559" t="s">
        <v>176</v>
      </c>
      <c r="AZ1559">
        <v>0</v>
      </c>
      <c r="BA1559" t="s">
        <v>176</v>
      </c>
      <c r="BB1559">
        <v>0</v>
      </c>
    </row>
    <row r="1560" spans="1:56" x14ac:dyDescent="0.15">
      <c r="A1560" s="4" t="str">
        <f>HYPERLINK("https://ibp.a2mac1.com/costing(costing:projects/details/9760/part/8414912)","Ventilation Grille")</f>
        <v>Ventilation Grille</v>
      </c>
      <c r="B1560">
        <v>8414912</v>
      </c>
      <c r="C1560">
        <v>8414784</v>
      </c>
      <c r="E1560">
        <v>6.2602175999999995E-2</v>
      </c>
      <c r="F1560">
        <v>0</v>
      </c>
      <c r="G1560">
        <v>0</v>
      </c>
      <c r="H1560">
        <v>3.1756091284210528E-4</v>
      </c>
      <c r="I1560" t="s">
        <v>176</v>
      </c>
      <c r="J1560">
        <v>2.1965675789473683E-3</v>
      </c>
      <c r="K1560">
        <v>6.511630449178947E-2</v>
      </c>
      <c r="L1560">
        <v>7.6565574225524614E-3</v>
      </c>
      <c r="M1560">
        <v>4.5939344535314765E-2</v>
      </c>
      <c r="N1560">
        <v>0.11105564902710424</v>
      </c>
      <c r="O1560" t="s">
        <v>90</v>
      </c>
      <c r="P1560">
        <v>0</v>
      </c>
      <c r="Q1560" t="s">
        <v>90</v>
      </c>
      <c r="R1560">
        <v>0</v>
      </c>
      <c r="S1560" t="s">
        <v>90</v>
      </c>
      <c r="T1560">
        <v>0</v>
      </c>
      <c r="U1560" t="s">
        <v>90</v>
      </c>
      <c r="V1560">
        <v>0</v>
      </c>
      <c r="W1560" t="s">
        <v>90</v>
      </c>
      <c r="X1560">
        <v>0</v>
      </c>
      <c r="Y1560">
        <v>0.11105564902710424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5</v>
      </c>
      <c r="AF1560">
        <v>120</v>
      </c>
      <c r="AG1560">
        <v>120</v>
      </c>
      <c r="AI1560">
        <v>2.5999999999999999E-2</v>
      </c>
      <c r="AK1560" t="s">
        <v>740</v>
      </c>
      <c r="AL1560" t="s">
        <v>412</v>
      </c>
      <c r="AM1560">
        <v>200000</v>
      </c>
      <c r="AN1560" t="s">
        <v>73</v>
      </c>
      <c r="AO1560">
        <v>1</v>
      </c>
      <c r="AP1560">
        <v>0</v>
      </c>
      <c r="AQ1560">
        <v>16666.666666666668</v>
      </c>
      <c r="AR1560" t="s">
        <v>4531</v>
      </c>
      <c r="AS1560" t="s">
        <v>75</v>
      </c>
      <c r="AX1560" t="s">
        <v>76</v>
      </c>
      <c r="AY1560" t="s">
        <v>176</v>
      </c>
      <c r="AZ1560">
        <v>0</v>
      </c>
      <c r="BA1560" t="s">
        <v>176</v>
      </c>
      <c r="BB1560">
        <v>0</v>
      </c>
    </row>
    <row r="1561" spans="1:56" x14ac:dyDescent="0.15">
      <c r="A1561" s="4" t="str">
        <f>HYPERLINK("https://ibp.a2mac1.com/costing(costing:projects/details/9760/part/8414913)","Ventilation Grille 2")</f>
        <v>Ventilation Grille 2</v>
      </c>
      <c r="B1561">
        <v>8414913</v>
      </c>
      <c r="C1561">
        <v>8414784</v>
      </c>
      <c r="E1561">
        <v>3.4839884210526313E-2</v>
      </c>
      <c r="F1561">
        <v>0</v>
      </c>
      <c r="G1561">
        <v>0</v>
      </c>
      <c r="H1561">
        <v>1.7628981410526315E-4</v>
      </c>
      <c r="I1561" t="s">
        <v>176</v>
      </c>
      <c r="J1561">
        <v>1.219395947368421E-3</v>
      </c>
      <c r="K1561">
        <v>3.6235569971999997E-2</v>
      </c>
      <c r="L1561">
        <v>5.8904736909203177E-3</v>
      </c>
      <c r="M1561">
        <v>3.5342842145521906E-2</v>
      </c>
      <c r="N1561">
        <v>7.1578412117521903E-2</v>
      </c>
      <c r="O1561" t="s">
        <v>90</v>
      </c>
      <c r="P1561">
        <v>0</v>
      </c>
      <c r="Q1561" t="s">
        <v>90</v>
      </c>
      <c r="R1561">
        <v>0</v>
      </c>
      <c r="S1561" t="s">
        <v>90</v>
      </c>
      <c r="T1561">
        <v>0</v>
      </c>
      <c r="U1561" t="s">
        <v>90</v>
      </c>
      <c r="V1561">
        <v>0</v>
      </c>
      <c r="W1561" t="s">
        <v>90</v>
      </c>
      <c r="X1561">
        <v>0</v>
      </c>
      <c r="Y1561">
        <v>7.1578412117521903E-2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17</v>
      </c>
      <c r="AF1561">
        <v>120</v>
      </c>
      <c r="AG1561">
        <v>74</v>
      </c>
      <c r="AI1561">
        <v>2.1000000000000001E-2</v>
      </c>
      <c r="AK1561" t="s">
        <v>740</v>
      </c>
      <c r="AL1561" t="s">
        <v>403</v>
      </c>
      <c r="AM1561">
        <v>200000</v>
      </c>
      <c r="AN1561" t="s">
        <v>73</v>
      </c>
      <c r="AO1561">
        <v>1</v>
      </c>
      <c r="AP1561">
        <v>0</v>
      </c>
      <c r="AQ1561">
        <v>16666.666666666668</v>
      </c>
      <c r="AR1561" t="s">
        <v>4535</v>
      </c>
      <c r="AS1561" t="s">
        <v>75</v>
      </c>
      <c r="AX1561" t="s">
        <v>76</v>
      </c>
      <c r="AY1561" t="s">
        <v>176</v>
      </c>
      <c r="AZ1561">
        <v>0</v>
      </c>
      <c r="BA1561" t="s">
        <v>176</v>
      </c>
      <c r="BB1561">
        <v>0</v>
      </c>
    </row>
    <row r="1562" spans="1:56" x14ac:dyDescent="0.15">
      <c r="A1562" s="4" t="str">
        <f>HYPERLINK("https://ibp.a2mac1.com/costing(costing:projects/details/9760/part/8414914)","Duct")</f>
        <v>Duct</v>
      </c>
      <c r="B1562">
        <v>8414914</v>
      </c>
      <c r="C1562">
        <v>8414784</v>
      </c>
      <c r="E1562">
        <v>1.9250553E-2</v>
      </c>
      <c r="F1562">
        <v>0</v>
      </c>
      <c r="G1562">
        <v>0</v>
      </c>
      <c r="H1562">
        <v>9.7651927999999996E-5</v>
      </c>
      <c r="I1562" t="s">
        <v>176</v>
      </c>
      <c r="J1562">
        <v>6.7545799999999998E-4</v>
      </c>
      <c r="K1562">
        <v>2.0023662928000001E-2</v>
      </c>
      <c r="L1562">
        <v>5.8904736909203177E-3</v>
      </c>
      <c r="M1562">
        <v>3.5342842145521906E-2</v>
      </c>
      <c r="N1562">
        <v>5.5366505073521907E-2</v>
      </c>
      <c r="O1562" t="s">
        <v>90</v>
      </c>
      <c r="P1562">
        <v>0</v>
      </c>
      <c r="Q1562" t="s">
        <v>90</v>
      </c>
      <c r="R1562">
        <v>0</v>
      </c>
      <c r="S1562" t="s">
        <v>90</v>
      </c>
      <c r="T1562">
        <v>0</v>
      </c>
      <c r="U1562" t="s">
        <v>90</v>
      </c>
      <c r="V1562">
        <v>0</v>
      </c>
      <c r="W1562" t="s">
        <v>90</v>
      </c>
      <c r="X1562">
        <v>0</v>
      </c>
      <c r="Y1562">
        <v>5.5366505073521907E-2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126</v>
      </c>
      <c r="AF1562">
        <v>94</v>
      </c>
      <c r="AG1562">
        <v>82</v>
      </c>
      <c r="AI1562">
        <v>1.9E-2</v>
      </c>
      <c r="AK1562" t="s">
        <v>740</v>
      </c>
      <c r="AL1562" t="s">
        <v>4538</v>
      </c>
      <c r="AM1562">
        <v>200000</v>
      </c>
      <c r="AN1562" t="s">
        <v>73</v>
      </c>
      <c r="AO1562">
        <v>1</v>
      </c>
      <c r="AP1562">
        <v>0</v>
      </c>
      <c r="AQ1562">
        <v>16666.666666666668</v>
      </c>
      <c r="AR1562" t="s">
        <v>4539</v>
      </c>
      <c r="AS1562" t="s">
        <v>75</v>
      </c>
      <c r="AX1562" t="s">
        <v>76</v>
      </c>
      <c r="AY1562" t="s">
        <v>176</v>
      </c>
      <c r="AZ1562">
        <v>0</v>
      </c>
      <c r="BA1562" t="s">
        <v>176</v>
      </c>
      <c r="BB1562">
        <v>0</v>
      </c>
    </row>
    <row r="1563" spans="1:56" x14ac:dyDescent="0.15">
      <c r="A1563" s="4" t="str">
        <f>HYPERLINK("https://ibp.a2mac1.com/costing(costing:projects/details/9760/part/8414915)","Duct 2")</f>
        <v>Duct 2</v>
      </c>
      <c r="B1563">
        <v>8414915</v>
      </c>
      <c r="C1563">
        <v>8414784</v>
      </c>
      <c r="E1563">
        <v>7.712985E-2</v>
      </c>
      <c r="F1563">
        <v>0</v>
      </c>
      <c r="G1563">
        <v>0</v>
      </c>
      <c r="H1563">
        <v>3.9125517894736845E-4</v>
      </c>
      <c r="I1563" t="s">
        <v>176</v>
      </c>
      <c r="J1563">
        <v>2.7063105263157895E-3</v>
      </c>
      <c r="K1563">
        <v>8.0227415705263164E-2</v>
      </c>
      <c r="L1563">
        <v>1.1188724885816749E-2</v>
      </c>
      <c r="M1563">
        <v>6.7132349314900502E-2</v>
      </c>
      <c r="N1563">
        <v>0.14735976502016365</v>
      </c>
      <c r="O1563" t="s">
        <v>90</v>
      </c>
      <c r="P1563">
        <v>0</v>
      </c>
      <c r="Q1563" t="s">
        <v>90</v>
      </c>
      <c r="R1563">
        <v>0</v>
      </c>
      <c r="S1563" t="s">
        <v>90</v>
      </c>
      <c r="T1563">
        <v>0</v>
      </c>
      <c r="U1563" t="s">
        <v>90</v>
      </c>
      <c r="V1563">
        <v>0</v>
      </c>
      <c r="W1563" t="s">
        <v>90</v>
      </c>
      <c r="X1563">
        <v>0</v>
      </c>
      <c r="Y1563">
        <v>0.14735976502016365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164</v>
      </c>
      <c r="AF1563">
        <v>97</v>
      </c>
      <c r="AG1563">
        <v>290</v>
      </c>
      <c r="AI1563">
        <v>5.8000000000000003E-2</v>
      </c>
      <c r="AK1563" t="s">
        <v>740</v>
      </c>
      <c r="AL1563" t="s">
        <v>2282</v>
      </c>
      <c r="AM1563">
        <v>200000</v>
      </c>
      <c r="AN1563" t="s">
        <v>73</v>
      </c>
      <c r="AO1563">
        <v>1</v>
      </c>
      <c r="AP1563">
        <v>0</v>
      </c>
      <c r="AQ1563">
        <v>16666.666666666668</v>
      </c>
      <c r="AR1563" t="s">
        <v>4544</v>
      </c>
      <c r="AS1563" t="s">
        <v>75</v>
      </c>
      <c r="AX1563" t="s">
        <v>76</v>
      </c>
      <c r="AY1563" t="s">
        <v>176</v>
      </c>
      <c r="AZ1563">
        <v>0</v>
      </c>
      <c r="BA1563" t="s">
        <v>176</v>
      </c>
      <c r="BB1563">
        <v>0</v>
      </c>
    </row>
    <row r="1564" spans="1:56" x14ac:dyDescent="0.15">
      <c r="A1564" s="4" t="str">
        <f>HYPERLINK("https://ibp.a2mac1.com/costing(costing:projects/details/9760/part/8414916)","Cooling Fan 2")</f>
        <v>Cooling Fan 2</v>
      </c>
      <c r="B1564">
        <v>8414916</v>
      </c>
      <c r="C1564">
        <v>8414784</v>
      </c>
      <c r="E1564">
        <v>3</v>
      </c>
      <c r="F1564">
        <v>0</v>
      </c>
      <c r="G1564">
        <v>0</v>
      </c>
      <c r="H1564">
        <v>0</v>
      </c>
      <c r="I1564" t="s">
        <v>71</v>
      </c>
      <c r="J1564">
        <v>0</v>
      </c>
      <c r="K1564">
        <v>3</v>
      </c>
      <c r="L1564">
        <v>0</v>
      </c>
      <c r="M1564">
        <v>0</v>
      </c>
      <c r="N1564">
        <v>3</v>
      </c>
      <c r="O1564" t="s">
        <v>71</v>
      </c>
      <c r="P1564">
        <v>0</v>
      </c>
      <c r="Q1564" t="s">
        <v>71</v>
      </c>
      <c r="R1564">
        <v>0</v>
      </c>
      <c r="S1564" t="s">
        <v>71</v>
      </c>
      <c r="T1564">
        <v>0</v>
      </c>
      <c r="U1564" t="s">
        <v>71</v>
      </c>
      <c r="V1564">
        <v>0</v>
      </c>
      <c r="W1564" t="s">
        <v>71</v>
      </c>
      <c r="X1564">
        <v>0</v>
      </c>
      <c r="Y1564">
        <v>3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15</v>
      </c>
      <c r="AF1564">
        <v>51</v>
      </c>
      <c r="AG1564">
        <v>51</v>
      </c>
      <c r="AI1564">
        <v>2.8000000000000001E-2</v>
      </c>
      <c r="AK1564" t="s">
        <v>740</v>
      </c>
      <c r="AL1564" t="s">
        <v>4545</v>
      </c>
      <c r="AM1564">
        <v>200000</v>
      </c>
      <c r="AN1564" t="s">
        <v>73</v>
      </c>
      <c r="AO1564">
        <v>1</v>
      </c>
      <c r="AP1564">
        <v>0</v>
      </c>
      <c r="AQ1564">
        <v>16666.666666666668</v>
      </c>
      <c r="AR1564" t="s">
        <v>4546</v>
      </c>
      <c r="AS1564" t="s">
        <v>75</v>
      </c>
      <c r="AX1564" t="s">
        <v>76</v>
      </c>
      <c r="AY1564" t="s">
        <v>71</v>
      </c>
      <c r="AZ1564">
        <v>0</v>
      </c>
      <c r="BA1564" t="s">
        <v>71</v>
      </c>
      <c r="BB1564">
        <v>0</v>
      </c>
      <c r="BD1564">
        <v>3</v>
      </c>
    </row>
    <row r="1565" spans="1:56" x14ac:dyDescent="0.15">
      <c r="A1565" s="4" t="str">
        <f>HYPERLINK("https://ibp.a2mac1.com/costing(costing:projects/details/9760/part/8414918)","Sliding Stopper")</f>
        <v>Sliding Stopper</v>
      </c>
      <c r="B1565">
        <v>8414918</v>
      </c>
      <c r="C1565">
        <v>8414784</v>
      </c>
      <c r="E1565">
        <v>8.2952105263157903E-3</v>
      </c>
      <c r="F1565">
        <v>0</v>
      </c>
      <c r="G1565">
        <v>0</v>
      </c>
      <c r="H1565">
        <v>4.1774680210526316E-5</v>
      </c>
      <c r="I1565" t="s">
        <v>176</v>
      </c>
      <c r="J1565">
        <v>2.9033236842105264E-4</v>
      </c>
      <c r="K1565">
        <v>8.6273175749473682E-3</v>
      </c>
      <c r="L1565">
        <v>1.1188457708337535E-2</v>
      </c>
      <c r="M1565">
        <v>6.7130746250025214E-2</v>
      </c>
      <c r="N1565">
        <v>7.5758063824972577E-2</v>
      </c>
      <c r="O1565" t="s">
        <v>90</v>
      </c>
      <c r="P1565">
        <v>0</v>
      </c>
      <c r="Q1565" t="s">
        <v>90</v>
      </c>
      <c r="R1565">
        <v>0</v>
      </c>
      <c r="S1565" t="s">
        <v>90</v>
      </c>
      <c r="T1565">
        <v>0</v>
      </c>
      <c r="U1565" t="s">
        <v>90</v>
      </c>
      <c r="V1565">
        <v>0</v>
      </c>
      <c r="W1565" t="s">
        <v>90</v>
      </c>
      <c r="X1565">
        <v>0</v>
      </c>
      <c r="Y1565">
        <v>7.5758063824972577E-2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11</v>
      </c>
      <c r="AF1565">
        <v>12</v>
      </c>
      <c r="AG1565">
        <v>5</v>
      </c>
      <c r="AI1565">
        <v>1E-3</v>
      </c>
      <c r="AK1565" t="s">
        <v>740</v>
      </c>
      <c r="AL1565" t="s">
        <v>403</v>
      </c>
      <c r="AM1565">
        <v>1000000</v>
      </c>
      <c r="AN1565" t="s">
        <v>73</v>
      </c>
      <c r="AO1565">
        <v>5</v>
      </c>
      <c r="AP1565">
        <v>0</v>
      </c>
      <c r="AQ1565">
        <v>83333.333333333328</v>
      </c>
      <c r="AR1565" t="s">
        <v>4549</v>
      </c>
      <c r="AS1565" t="s">
        <v>75</v>
      </c>
      <c r="AX1565" t="s">
        <v>76</v>
      </c>
      <c r="AY1565" t="s">
        <v>176</v>
      </c>
      <c r="AZ1565">
        <v>0</v>
      </c>
      <c r="BA1565" t="s">
        <v>176</v>
      </c>
      <c r="BB1565">
        <v>0</v>
      </c>
    </row>
    <row r="1566" spans="1:56" x14ac:dyDescent="0.15">
      <c r="A1566" s="4" t="str">
        <f>HYPERLINK("https://ibp.a2mac1.com/costing(costing:projects/details/9760/part/8414919)","Retarder")</f>
        <v>Retarder</v>
      </c>
      <c r="B1566">
        <v>8414919</v>
      </c>
      <c r="C1566">
        <v>8414784</v>
      </c>
      <c r="E1566">
        <v>1.6590421052631579E-3</v>
      </c>
      <c r="F1566">
        <v>0</v>
      </c>
      <c r="G1566">
        <v>0</v>
      </c>
      <c r="H1566">
        <v>8.3947530526315791E-6</v>
      </c>
      <c r="I1566" t="s">
        <v>176</v>
      </c>
      <c r="J1566">
        <v>5.8066473684210524E-5</v>
      </c>
      <c r="K1566">
        <v>1.725503332E-3</v>
      </c>
      <c r="L1566">
        <v>4.1243899592881732E-3</v>
      </c>
      <c r="M1566">
        <v>2.4746339755729041E-2</v>
      </c>
      <c r="N1566">
        <v>2.6471843087729041E-2</v>
      </c>
      <c r="O1566" t="s">
        <v>90</v>
      </c>
      <c r="P1566">
        <v>0</v>
      </c>
      <c r="Q1566" t="s">
        <v>90</v>
      </c>
      <c r="R1566">
        <v>0</v>
      </c>
      <c r="S1566" t="s">
        <v>90</v>
      </c>
      <c r="T1566">
        <v>0</v>
      </c>
      <c r="U1566" t="s">
        <v>90</v>
      </c>
      <c r="V1566">
        <v>0</v>
      </c>
      <c r="W1566" t="s">
        <v>90</v>
      </c>
      <c r="X1566">
        <v>0</v>
      </c>
      <c r="Y1566">
        <v>2.6471843087729041E-2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24</v>
      </c>
      <c r="AF1566">
        <v>15</v>
      </c>
      <c r="AG1566">
        <v>8</v>
      </c>
      <c r="AI1566">
        <v>1E-3</v>
      </c>
      <c r="AK1566" t="s">
        <v>740</v>
      </c>
      <c r="AL1566" t="s">
        <v>403</v>
      </c>
      <c r="AM1566">
        <v>200000</v>
      </c>
      <c r="AN1566" t="s">
        <v>73</v>
      </c>
      <c r="AO1566">
        <v>1</v>
      </c>
      <c r="AP1566">
        <v>0</v>
      </c>
      <c r="AQ1566">
        <v>16666.666666666668</v>
      </c>
      <c r="AR1566" t="s">
        <v>4552</v>
      </c>
      <c r="AS1566" t="s">
        <v>75</v>
      </c>
      <c r="AX1566" t="s">
        <v>76</v>
      </c>
      <c r="AY1566" t="s">
        <v>176</v>
      </c>
      <c r="AZ1566">
        <v>0</v>
      </c>
      <c r="BA1566" t="s">
        <v>176</v>
      </c>
      <c r="BB1566">
        <v>0</v>
      </c>
    </row>
    <row r="1567" spans="1:56" x14ac:dyDescent="0.15">
      <c r="A1567" s="4" t="str">
        <f>HYPERLINK("https://ibp.a2mac1.com/costing(costing:projects/details/9760/part/8414920)","Retarder Support")</f>
        <v>Retarder Support</v>
      </c>
      <c r="B1567">
        <v>8414920</v>
      </c>
      <c r="C1567">
        <v>8414784</v>
      </c>
      <c r="E1567">
        <v>2.4525038999999998E-2</v>
      </c>
      <c r="F1567">
        <v>0</v>
      </c>
      <c r="G1567">
        <v>0</v>
      </c>
      <c r="H1567">
        <v>1.2440771663157894E-4</v>
      </c>
      <c r="I1567" t="s">
        <v>176</v>
      </c>
      <c r="J1567">
        <v>8.6052768421052627E-4</v>
      </c>
      <c r="K1567">
        <v>2.5509974400842104E-2</v>
      </c>
      <c r="L1567">
        <v>4.1243899592881732E-3</v>
      </c>
      <c r="M1567">
        <v>2.4746339755729041E-2</v>
      </c>
      <c r="N1567">
        <v>5.0256314156571148E-2</v>
      </c>
      <c r="O1567" t="s">
        <v>90</v>
      </c>
      <c r="P1567">
        <v>0</v>
      </c>
      <c r="Q1567" t="s">
        <v>90</v>
      </c>
      <c r="R1567">
        <v>0</v>
      </c>
      <c r="S1567" t="s">
        <v>90</v>
      </c>
      <c r="T1567">
        <v>0</v>
      </c>
      <c r="U1567" t="s">
        <v>90</v>
      </c>
      <c r="V1567">
        <v>0</v>
      </c>
      <c r="W1567" t="s">
        <v>90</v>
      </c>
      <c r="X1567">
        <v>0</v>
      </c>
      <c r="Y1567">
        <v>5.0256314156571148E-2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51</v>
      </c>
      <c r="AF1567">
        <v>62</v>
      </c>
      <c r="AG1567">
        <v>19</v>
      </c>
      <c r="AI1567">
        <v>1.0999999999999999E-2</v>
      </c>
      <c r="AK1567" t="s">
        <v>740</v>
      </c>
      <c r="AL1567" t="s">
        <v>2086</v>
      </c>
      <c r="AM1567">
        <v>200000</v>
      </c>
      <c r="AN1567" t="s">
        <v>73</v>
      </c>
      <c r="AO1567">
        <v>1</v>
      </c>
      <c r="AP1567">
        <v>0</v>
      </c>
      <c r="AQ1567">
        <v>16666.666666666668</v>
      </c>
      <c r="AR1567" t="s">
        <v>4557</v>
      </c>
      <c r="AS1567" t="s">
        <v>75</v>
      </c>
      <c r="AX1567" t="s">
        <v>76</v>
      </c>
      <c r="AY1567" t="s">
        <v>176</v>
      </c>
      <c r="AZ1567">
        <v>0</v>
      </c>
      <c r="BA1567" t="s">
        <v>176</v>
      </c>
      <c r="BB1567">
        <v>0</v>
      </c>
    </row>
    <row r="1568" spans="1:56" x14ac:dyDescent="0.15">
      <c r="A1568" s="4" t="str">
        <f>HYPERLINK("https://ibp.a2mac1.com/costing(costing:projects/details/9760/part/8414921)","Return Spring Support")</f>
        <v>Return Spring Support</v>
      </c>
      <c r="B1568">
        <v>8414921</v>
      </c>
      <c r="C1568">
        <v>8414784</v>
      </c>
      <c r="E1568">
        <v>4.3339968E-2</v>
      </c>
      <c r="F1568">
        <v>0</v>
      </c>
      <c r="G1568">
        <v>0</v>
      </c>
      <c r="H1568">
        <v>2.1984986273684211E-4</v>
      </c>
      <c r="I1568" t="s">
        <v>176</v>
      </c>
      <c r="J1568">
        <v>1.5207006315789474E-3</v>
      </c>
      <c r="K1568">
        <v>4.508051849431579E-2</v>
      </c>
      <c r="L1568">
        <v>5.8904736909203177E-3</v>
      </c>
      <c r="M1568">
        <v>3.5342842145521906E-2</v>
      </c>
      <c r="N1568">
        <v>8.0423360639837696E-2</v>
      </c>
      <c r="O1568" t="s">
        <v>90</v>
      </c>
      <c r="P1568">
        <v>0</v>
      </c>
      <c r="Q1568" t="s">
        <v>90</v>
      </c>
      <c r="R1568">
        <v>0</v>
      </c>
      <c r="S1568" t="s">
        <v>90</v>
      </c>
      <c r="T1568">
        <v>0</v>
      </c>
      <c r="U1568" t="s">
        <v>90</v>
      </c>
      <c r="V1568">
        <v>0</v>
      </c>
      <c r="W1568" t="s">
        <v>90</v>
      </c>
      <c r="X1568">
        <v>0</v>
      </c>
      <c r="Y1568">
        <v>8.0423360639837696E-2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81</v>
      </c>
      <c r="AF1568">
        <v>58</v>
      </c>
      <c r="AG1568">
        <v>17</v>
      </c>
      <c r="AI1568">
        <v>1.7999999999999999E-2</v>
      </c>
      <c r="AK1568" t="s">
        <v>740</v>
      </c>
      <c r="AL1568" t="s">
        <v>412</v>
      </c>
      <c r="AM1568">
        <v>200000</v>
      </c>
      <c r="AN1568" t="s">
        <v>73</v>
      </c>
      <c r="AO1568">
        <v>1</v>
      </c>
      <c r="AP1568">
        <v>0</v>
      </c>
      <c r="AQ1568">
        <v>16666.666666666668</v>
      </c>
      <c r="AR1568" t="s">
        <v>4562</v>
      </c>
      <c r="AS1568" t="s">
        <v>75</v>
      </c>
      <c r="AX1568" t="s">
        <v>76</v>
      </c>
      <c r="AY1568" t="s">
        <v>176</v>
      </c>
      <c r="AZ1568">
        <v>0</v>
      </c>
      <c r="BA1568" t="s">
        <v>176</v>
      </c>
      <c r="BB1568">
        <v>0</v>
      </c>
    </row>
    <row r="1569" spans="1:56" x14ac:dyDescent="0.15">
      <c r="A1569" s="4" t="str">
        <f>HYPERLINK("https://ibp.a2mac1.com/costing(costing:projects/details/9760/part/8414922)","Return Spring")</f>
        <v>Return Spring</v>
      </c>
      <c r="B1569">
        <v>8414922</v>
      </c>
      <c r="C1569">
        <v>8414784</v>
      </c>
      <c r="E1569">
        <v>1.2897500578947368E-2</v>
      </c>
      <c r="F1569">
        <v>0</v>
      </c>
      <c r="G1569">
        <v>0</v>
      </c>
      <c r="H1569">
        <v>6.7149395789473681E-5</v>
      </c>
      <c r="I1569" t="s">
        <v>176</v>
      </c>
      <c r="J1569">
        <v>4.644721052631579E-4</v>
      </c>
      <c r="K1569">
        <v>1.342912208E-2</v>
      </c>
      <c r="L1569">
        <v>4.1243899592881732E-3</v>
      </c>
      <c r="M1569">
        <v>2.4746339755729041E-2</v>
      </c>
      <c r="N1569">
        <v>3.8175461835729042E-2</v>
      </c>
      <c r="O1569" t="s">
        <v>90</v>
      </c>
      <c r="P1569">
        <v>0</v>
      </c>
      <c r="Q1569" t="s">
        <v>90</v>
      </c>
      <c r="R1569">
        <v>0</v>
      </c>
      <c r="S1569" t="s">
        <v>90</v>
      </c>
      <c r="T1569">
        <v>0</v>
      </c>
      <c r="U1569" t="s">
        <v>90</v>
      </c>
      <c r="V1569">
        <v>0</v>
      </c>
      <c r="W1569" t="s">
        <v>90</v>
      </c>
      <c r="X1569">
        <v>0</v>
      </c>
      <c r="Y1569">
        <v>3.8175461835729042E-2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28</v>
      </c>
      <c r="AF1569">
        <v>32</v>
      </c>
      <c r="AG1569">
        <v>22</v>
      </c>
      <c r="AI1569">
        <v>1.0999999999999999E-2</v>
      </c>
      <c r="AK1569" t="s">
        <v>740</v>
      </c>
      <c r="AL1569" t="s">
        <v>405</v>
      </c>
      <c r="AM1569">
        <v>200000</v>
      </c>
      <c r="AN1569" t="s">
        <v>73</v>
      </c>
      <c r="AO1569">
        <v>1</v>
      </c>
      <c r="AP1569">
        <v>0</v>
      </c>
      <c r="AQ1569">
        <v>16666.666666666668</v>
      </c>
      <c r="AR1569" t="s">
        <v>4568</v>
      </c>
      <c r="AS1569" t="s">
        <v>75</v>
      </c>
      <c r="AX1569" t="s">
        <v>76</v>
      </c>
      <c r="AY1569" t="s">
        <v>176</v>
      </c>
      <c r="AZ1569">
        <v>0</v>
      </c>
      <c r="BA1569" t="s">
        <v>176</v>
      </c>
      <c r="BB1569">
        <v>0</v>
      </c>
    </row>
    <row r="1570" spans="1:56" x14ac:dyDescent="0.15">
      <c r="A1570" s="4" t="str">
        <f>HYPERLINK("https://ibp.a2mac1.com/costing(costing:projects/details/9760/part/8414923)","Heat Sink 2")</f>
        <v>Heat Sink 2</v>
      </c>
      <c r="B1570">
        <v>8414923</v>
      </c>
      <c r="C1570">
        <v>8414784</v>
      </c>
      <c r="E1570">
        <v>1.5317952595</v>
      </c>
      <c r="F1570">
        <v>0</v>
      </c>
      <c r="G1570">
        <v>0</v>
      </c>
      <c r="H1570">
        <v>8.1967342077500002E-3</v>
      </c>
      <c r="I1570" t="s">
        <v>176</v>
      </c>
      <c r="J1570">
        <v>5.7034929875000001E-2</v>
      </c>
      <c r="K1570">
        <v>1.5970269235827499</v>
      </c>
      <c r="L1570">
        <v>4.1210918183621596E-2</v>
      </c>
      <c r="M1570">
        <v>0.24726550910172956</v>
      </c>
      <c r="N1570">
        <v>1.8442924326844796</v>
      </c>
      <c r="O1570" t="s">
        <v>90</v>
      </c>
      <c r="P1570">
        <v>0</v>
      </c>
      <c r="Q1570" t="s">
        <v>90</v>
      </c>
      <c r="R1570">
        <v>0</v>
      </c>
      <c r="S1570" t="s">
        <v>90</v>
      </c>
      <c r="T1570">
        <v>0</v>
      </c>
      <c r="U1570" t="s">
        <v>90</v>
      </c>
      <c r="V1570">
        <v>0</v>
      </c>
      <c r="W1570" t="s">
        <v>90</v>
      </c>
      <c r="X1570">
        <v>0</v>
      </c>
      <c r="Y1570">
        <v>1.8442924326844796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19</v>
      </c>
      <c r="AF1570">
        <v>55</v>
      </c>
      <c r="AG1570">
        <v>44</v>
      </c>
      <c r="AI1570">
        <v>0.187</v>
      </c>
      <c r="AK1570" t="s">
        <v>740</v>
      </c>
      <c r="AL1570" t="s">
        <v>104</v>
      </c>
      <c r="AM1570">
        <v>400000</v>
      </c>
      <c r="AN1570" t="s">
        <v>73</v>
      </c>
      <c r="AO1570">
        <v>2</v>
      </c>
      <c r="AP1570">
        <v>0</v>
      </c>
      <c r="AQ1570">
        <v>33333.333333333336</v>
      </c>
      <c r="AR1570" t="s">
        <v>4574</v>
      </c>
      <c r="AS1570" t="s">
        <v>75</v>
      </c>
      <c r="AX1570" t="s">
        <v>76</v>
      </c>
      <c r="AY1570" t="s">
        <v>176</v>
      </c>
      <c r="AZ1570">
        <v>0</v>
      </c>
      <c r="BA1570" t="s">
        <v>176</v>
      </c>
      <c r="BB1570">
        <v>0</v>
      </c>
    </row>
    <row r="1571" spans="1:56" x14ac:dyDescent="0.15">
      <c r="A1571" s="4" t="str">
        <f>HYPERLINK("https://ibp.a2mac1.com/costing(costing:projects/details/9760/part/8414924)","Temperature Sensor")</f>
        <v>Temperature Sensor</v>
      </c>
      <c r="B1571">
        <v>8414924</v>
      </c>
      <c r="C1571">
        <v>8414784</v>
      </c>
      <c r="E1571">
        <v>1</v>
      </c>
      <c r="F1571">
        <v>0</v>
      </c>
      <c r="G1571">
        <v>0</v>
      </c>
      <c r="H1571">
        <v>0</v>
      </c>
      <c r="I1571" t="s">
        <v>71</v>
      </c>
      <c r="J1571">
        <v>0</v>
      </c>
      <c r="K1571">
        <v>1</v>
      </c>
      <c r="L1571">
        <v>0</v>
      </c>
      <c r="M1571">
        <v>0</v>
      </c>
      <c r="N1571">
        <v>1</v>
      </c>
      <c r="O1571" t="s">
        <v>71</v>
      </c>
      <c r="P1571">
        <v>0</v>
      </c>
      <c r="Q1571" t="s">
        <v>71</v>
      </c>
      <c r="R1571">
        <v>0</v>
      </c>
      <c r="S1571" t="s">
        <v>71</v>
      </c>
      <c r="T1571">
        <v>0</v>
      </c>
      <c r="U1571" t="s">
        <v>71</v>
      </c>
      <c r="V1571">
        <v>0</v>
      </c>
      <c r="W1571" t="s">
        <v>71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11</v>
      </c>
      <c r="AF1571">
        <v>34</v>
      </c>
      <c r="AG1571">
        <v>5</v>
      </c>
      <c r="AI1571">
        <v>1.2999999999999999E-2</v>
      </c>
      <c r="AK1571" t="s">
        <v>740</v>
      </c>
      <c r="AL1571" t="s">
        <v>4575</v>
      </c>
      <c r="AM1571">
        <v>400000</v>
      </c>
      <c r="AN1571" t="s">
        <v>73</v>
      </c>
      <c r="AO1571">
        <v>2</v>
      </c>
      <c r="AP1571">
        <v>0</v>
      </c>
      <c r="AQ1571">
        <v>33333.333333333336</v>
      </c>
      <c r="AR1571" t="s">
        <v>4576</v>
      </c>
      <c r="AS1571" t="s">
        <v>75</v>
      </c>
      <c r="AX1571" t="s">
        <v>76</v>
      </c>
      <c r="AY1571" t="s">
        <v>71</v>
      </c>
      <c r="AZ1571">
        <v>0</v>
      </c>
      <c r="BA1571" t="s">
        <v>71</v>
      </c>
      <c r="BB1571">
        <v>0</v>
      </c>
      <c r="BD1571">
        <v>0.5</v>
      </c>
    </row>
    <row r="1572" spans="1:56" x14ac:dyDescent="0.15">
      <c r="A1572" s="4" t="str">
        <f>HYPERLINK("https://ibp.a2mac1.com/costing(costing:projects/details/9760/part/8414766)","Rear Cover")</f>
        <v>Rear Cover</v>
      </c>
      <c r="B1572">
        <v>8414766</v>
      </c>
      <c r="C1572">
        <v>8414735</v>
      </c>
      <c r="E1572">
        <v>2.0416985390769229</v>
      </c>
      <c r="F1572">
        <v>0</v>
      </c>
      <c r="G1572">
        <v>0</v>
      </c>
      <c r="H1572">
        <v>1.0331864846769231E-2</v>
      </c>
      <c r="I1572" t="s">
        <v>176</v>
      </c>
      <c r="J1572">
        <v>7.1465468307692306E-2</v>
      </c>
      <c r="K1572">
        <v>2.1234958722313846</v>
      </c>
      <c r="L1572">
        <v>3.5913897128666765E-2</v>
      </c>
      <c r="M1572">
        <v>0.2154833827720006</v>
      </c>
      <c r="N1572">
        <v>2.3389792550033852</v>
      </c>
      <c r="O1572" t="s">
        <v>90</v>
      </c>
      <c r="P1572">
        <v>0</v>
      </c>
      <c r="Q1572" t="s">
        <v>90</v>
      </c>
      <c r="R1572">
        <v>0</v>
      </c>
      <c r="S1572" t="s">
        <v>90</v>
      </c>
      <c r="T1572">
        <v>0</v>
      </c>
      <c r="U1572" t="s">
        <v>90</v>
      </c>
      <c r="V1572">
        <v>0</v>
      </c>
      <c r="W1572" t="s">
        <v>90</v>
      </c>
      <c r="X1572">
        <v>0</v>
      </c>
      <c r="Y1572">
        <v>2.3389792550033852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102</v>
      </c>
      <c r="AF1572">
        <v>216</v>
      </c>
      <c r="AG1572">
        <v>31</v>
      </c>
      <c r="AI1572">
        <v>5.7000000000000002E-2</v>
      </c>
      <c r="AK1572" t="s">
        <v>740</v>
      </c>
      <c r="AL1572" t="s">
        <v>3981</v>
      </c>
      <c r="AM1572">
        <v>200000</v>
      </c>
      <c r="AN1572" t="s">
        <v>73</v>
      </c>
      <c r="AO1572">
        <v>1</v>
      </c>
      <c r="AP1572">
        <v>0</v>
      </c>
      <c r="AQ1572">
        <v>16666.666666666668</v>
      </c>
      <c r="AR1572" t="s">
        <v>4583</v>
      </c>
      <c r="AS1572" t="s">
        <v>75</v>
      </c>
      <c r="AX1572" t="s">
        <v>76</v>
      </c>
      <c r="AY1572" t="s">
        <v>176</v>
      </c>
      <c r="AZ1572">
        <v>0</v>
      </c>
      <c r="BA1572" t="s">
        <v>176</v>
      </c>
      <c r="BB1572">
        <v>0</v>
      </c>
    </row>
    <row r="1573" spans="1:56" x14ac:dyDescent="0.15">
      <c r="A1573" s="4" t="str">
        <f>HYPERLINK("https://ibp.a2mac1.com/costing(costing:projects/details/9760/part/8414767)","Rear Bezel")</f>
        <v>Rear Bezel</v>
      </c>
      <c r="B1573">
        <v>8414767</v>
      </c>
      <c r="C1573">
        <v>8414735</v>
      </c>
      <c r="E1573">
        <v>1.473799268923077</v>
      </c>
      <c r="F1573">
        <v>0</v>
      </c>
      <c r="G1573">
        <v>0</v>
      </c>
      <c r="H1573">
        <v>7.4655770664939268E-3</v>
      </c>
      <c r="I1573" t="s">
        <v>176</v>
      </c>
      <c r="J1573">
        <v>5.1639367060728747E-2</v>
      </c>
      <c r="K1573">
        <v>1.5329042130502997</v>
      </c>
      <c r="L1573">
        <v>0.15777367461128469</v>
      </c>
      <c r="M1573">
        <v>0.94664204766770821</v>
      </c>
      <c r="N1573">
        <v>2.4795462607180077</v>
      </c>
      <c r="O1573" t="s">
        <v>177</v>
      </c>
      <c r="P1573">
        <v>9.1974252783017976E-2</v>
      </c>
      <c r="Q1573" t="s">
        <v>177</v>
      </c>
      <c r="R1573">
        <v>5.6798522860062491E-2</v>
      </c>
      <c r="S1573" t="s">
        <v>178</v>
      </c>
      <c r="T1573">
        <v>0.29754555128616095</v>
      </c>
      <c r="U1573" t="s">
        <v>90</v>
      </c>
      <c r="V1573">
        <v>0</v>
      </c>
      <c r="W1573" t="s">
        <v>90</v>
      </c>
      <c r="X1573">
        <v>0</v>
      </c>
      <c r="Y1573">
        <v>2.9258645876472493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160</v>
      </c>
      <c r="AF1573">
        <v>220</v>
      </c>
      <c r="AG1573">
        <v>370</v>
      </c>
      <c r="AI1573">
        <v>0.26700000000000002</v>
      </c>
      <c r="AK1573" t="s">
        <v>740</v>
      </c>
      <c r="AL1573" t="s">
        <v>3981</v>
      </c>
      <c r="AM1573">
        <v>200000</v>
      </c>
      <c r="AN1573" t="s">
        <v>97</v>
      </c>
      <c r="AO1573">
        <v>1</v>
      </c>
      <c r="AP1573">
        <v>0</v>
      </c>
      <c r="AQ1573">
        <v>16666.666666666668</v>
      </c>
      <c r="AR1573" t="s">
        <v>4590</v>
      </c>
      <c r="AS1573" t="s">
        <v>75</v>
      </c>
      <c r="AX1573" t="s">
        <v>76</v>
      </c>
      <c r="AY1573" t="s">
        <v>176</v>
      </c>
      <c r="AZ1573">
        <v>0</v>
      </c>
      <c r="BA1573" t="s">
        <v>176</v>
      </c>
      <c r="BB1573">
        <v>0</v>
      </c>
    </row>
    <row r="1574" spans="1:56" x14ac:dyDescent="0.15">
      <c r="A1574" s="4" t="str">
        <f>HYPERLINK("https://ibp.a2mac1.com/costing(costing:projects/details/9760/part/8414768)","Dummy Plate")</f>
        <v>Dummy Plate</v>
      </c>
      <c r="B1574">
        <v>8414768</v>
      </c>
      <c r="C1574">
        <v>8414735</v>
      </c>
      <c r="E1574">
        <v>1.9262207999999999E-2</v>
      </c>
      <c r="F1574">
        <v>0</v>
      </c>
      <c r="G1574">
        <v>0</v>
      </c>
      <c r="H1574">
        <v>9.771105010526316E-5</v>
      </c>
      <c r="I1574" t="s">
        <v>176</v>
      </c>
      <c r="J1574">
        <v>6.7586694736842103E-4</v>
      </c>
      <c r="K1574">
        <v>2.0035785997473684E-2</v>
      </c>
      <c r="L1574">
        <v>4.1243899592881732E-3</v>
      </c>
      <c r="M1574">
        <v>2.4746339755729041E-2</v>
      </c>
      <c r="N1574">
        <v>4.4782125753202721E-2</v>
      </c>
      <c r="O1574" t="s">
        <v>90</v>
      </c>
      <c r="P1574">
        <v>0</v>
      </c>
      <c r="Q1574" t="s">
        <v>90</v>
      </c>
      <c r="R1574">
        <v>0</v>
      </c>
      <c r="S1574" t="s">
        <v>90</v>
      </c>
      <c r="T1574">
        <v>0</v>
      </c>
      <c r="U1574" t="s">
        <v>90</v>
      </c>
      <c r="V1574">
        <v>0</v>
      </c>
      <c r="W1574" t="s">
        <v>90</v>
      </c>
      <c r="X1574">
        <v>0</v>
      </c>
      <c r="Y1574">
        <v>4.4782125753202721E-2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47</v>
      </c>
      <c r="AF1574">
        <v>12</v>
      </c>
      <c r="AG1574">
        <v>48</v>
      </c>
      <c r="AI1574">
        <v>8.0000000000000002E-3</v>
      </c>
      <c r="AK1574" t="s">
        <v>740</v>
      </c>
      <c r="AL1574" t="s">
        <v>412</v>
      </c>
      <c r="AM1574">
        <v>200000</v>
      </c>
      <c r="AN1574" t="s">
        <v>73</v>
      </c>
      <c r="AO1574">
        <v>1</v>
      </c>
      <c r="AP1574">
        <v>0</v>
      </c>
      <c r="AQ1574">
        <v>16666.666666666668</v>
      </c>
      <c r="AR1574" t="s">
        <v>4595</v>
      </c>
      <c r="AS1574" t="s">
        <v>75</v>
      </c>
      <c r="AX1574" t="s">
        <v>76</v>
      </c>
      <c r="AY1574" t="s">
        <v>176</v>
      </c>
      <c r="AZ1574">
        <v>0</v>
      </c>
      <c r="BA1574" t="s">
        <v>176</v>
      </c>
      <c r="BB1574">
        <v>0</v>
      </c>
    </row>
    <row r="1575" spans="1:56" x14ac:dyDescent="0.15">
      <c r="A1575" s="4" t="str">
        <f>HYPERLINK("https://ibp.a2mac1.com/costing(costing:projects/details/9760/part/8414769)","Fasteners Cover")</f>
        <v>Fasteners Cover</v>
      </c>
      <c r="B1575">
        <v>8414769</v>
      </c>
      <c r="C1575">
        <v>8414735</v>
      </c>
      <c r="E1575">
        <v>1.5031464E-2</v>
      </c>
      <c r="F1575">
        <v>0</v>
      </c>
      <c r="G1575">
        <v>0</v>
      </c>
      <c r="H1575">
        <v>7.6249832421052628E-5</v>
      </c>
      <c r="I1575" t="s">
        <v>176</v>
      </c>
      <c r="J1575">
        <v>5.2741978947368423E-4</v>
      </c>
      <c r="K1575">
        <v>1.5635133621894736E-2</v>
      </c>
      <c r="L1575">
        <v>4.1243899592881732E-3</v>
      </c>
      <c r="M1575">
        <v>2.4746339755729041E-2</v>
      </c>
      <c r="N1575">
        <v>4.0381473377623774E-2</v>
      </c>
      <c r="O1575" t="s">
        <v>90</v>
      </c>
      <c r="P1575">
        <v>0</v>
      </c>
      <c r="Q1575" t="s">
        <v>90</v>
      </c>
      <c r="R1575">
        <v>0</v>
      </c>
      <c r="S1575" t="s">
        <v>90</v>
      </c>
      <c r="T1575">
        <v>0</v>
      </c>
      <c r="U1575" t="s">
        <v>90</v>
      </c>
      <c r="V1575">
        <v>0</v>
      </c>
      <c r="W1575" t="s">
        <v>90</v>
      </c>
      <c r="X1575">
        <v>0</v>
      </c>
      <c r="Y1575">
        <v>4.0381473377623774E-2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12</v>
      </c>
      <c r="AF1575">
        <v>85</v>
      </c>
      <c r="AG1575">
        <v>69</v>
      </c>
      <c r="AI1575">
        <v>8.0000000000000002E-3</v>
      </c>
      <c r="AK1575" t="s">
        <v>740</v>
      </c>
      <c r="AL1575" t="s">
        <v>951</v>
      </c>
      <c r="AM1575">
        <v>200000</v>
      </c>
      <c r="AN1575" t="s">
        <v>73</v>
      </c>
      <c r="AO1575">
        <v>1</v>
      </c>
      <c r="AP1575">
        <v>0</v>
      </c>
      <c r="AQ1575">
        <v>16666.666666666668</v>
      </c>
      <c r="AR1575" t="s">
        <v>4598</v>
      </c>
      <c r="AS1575" t="s">
        <v>75</v>
      </c>
      <c r="AX1575" t="s">
        <v>76</v>
      </c>
      <c r="AY1575" t="s">
        <v>176</v>
      </c>
      <c r="AZ1575">
        <v>0</v>
      </c>
      <c r="BA1575" t="s">
        <v>176</v>
      </c>
      <c r="BB1575">
        <v>0</v>
      </c>
    </row>
    <row r="1576" spans="1:56" x14ac:dyDescent="0.15">
      <c r="A1576" s="4" t="str">
        <f>HYPERLINK("https://ibp.a2mac1.com/costing(costing:projects/details/9760/part/8414770)","Fasteners Cover 2")</f>
        <v>Fasteners Cover 2</v>
      </c>
      <c r="B1576">
        <v>8414770</v>
      </c>
      <c r="C1576">
        <v>8414735</v>
      </c>
      <c r="E1576">
        <v>1.5031464E-2</v>
      </c>
      <c r="F1576">
        <v>0</v>
      </c>
      <c r="G1576">
        <v>0</v>
      </c>
      <c r="H1576">
        <v>7.6249832421052628E-5</v>
      </c>
      <c r="I1576" t="s">
        <v>176</v>
      </c>
      <c r="J1576">
        <v>5.2741978947368423E-4</v>
      </c>
      <c r="K1576">
        <v>1.5635133621894736E-2</v>
      </c>
      <c r="L1576">
        <v>4.1243899592881732E-3</v>
      </c>
      <c r="M1576">
        <v>2.4746339755729041E-2</v>
      </c>
      <c r="N1576">
        <v>4.0381473377623774E-2</v>
      </c>
      <c r="O1576" t="s">
        <v>90</v>
      </c>
      <c r="P1576">
        <v>0</v>
      </c>
      <c r="Q1576" t="s">
        <v>90</v>
      </c>
      <c r="R1576">
        <v>0</v>
      </c>
      <c r="S1576" t="s">
        <v>90</v>
      </c>
      <c r="T1576">
        <v>0</v>
      </c>
      <c r="U1576" t="s">
        <v>90</v>
      </c>
      <c r="V1576">
        <v>0</v>
      </c>
      <c r="W1576" t="s">
        <v>90</v>
      </c>
      <c r="X1576">
        <v>0</v>
      </c>
      <c r="Y1576">
        <v>4.0381473377623774E-2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13</v>
      </c>
      <c r="AF1576">
        <v>85</v>
      </c>
      <c r="AG1576">
        <v>69</v>
      </c>
      <c r="AI1576">
        <v>8.0000000000000002E-3</v>
      </c>
      <c r="AK1576" t="s">
        <v>740</v>
      </c>
      <c r="AL1576" t="s">
        <v>951</v>
      </c>
      <c r="AM1576">
        <v>200000</v>
      </c>
      <c r="AN1576" t="s">
        <v>73</v>
      </c>
      <c r="AO1576">
        <v>1</v>
      </c>
      <c r="AP1576">
        <v>0</v>
      </c>
      <c r="AQ1576">
        <v>16666.666666666668</v>
      </c>
      <c r="AR1576" t="s">
        <v>4601</v>
      </c>
      <c r="AS1576" t="s">
        <v>75</v>
      </c>
      <c r="AX1576" t="s">
        <v>76</v>
      </c>
      <c r="AY1576" t="s">
        <v>176</v>
      </c>
      <c r="AZ1576">
        <v>0</v>
      </c>
      <c r="BA1576" t="s">
        <v>176</v>
      </c>
      <c r="BB1576">
        <v>0</v>
      </c>
    </row>
    <row r="1577" spans="1:56" x14ac:dyDescent="0.15">
      <c r="A1577" s="4" t="str">
        <f>HYPERLINK("https://ibp.a2mac1.com/costing(costing:projects/details/9760/part/8414771)","Bag Hook")</f>
        <v>Bag Hook</v>
      </c>
      <c r="B1577">
        <v>8414771</v>
      </c>
      <c r="C1577">
        <v>8414735</v>
      </c>
      <c r="E1577">
        <v>0.19174121399999999</v>
      </c>
      <c r="F1577">
        <v>0</v>
      </c>
      <c r="G1577">
        <v>0</v>
      </c>
      <c r="H1577">
        <v>9.6687549515789479E-4</v>
      </c>
      <c r="I1577" t="s">
        <v>176</v>
      </c>
      <c r="J1577">
        <v>6.7277618947368424E-3</v>
      </c>
      <c r="K1577">
        <v>0.19943585138989472</v>
      </c>
      <c r="L1577">
        <v>1.6486483961553708E-2</v>
      </c>
      <c r="M1577">
        <v>9.8918903769322247E-2</v>
      </c>
      <c r="N1577">
        <v>0.298354755159217</v>
      </c>
      <c r="O1577" t="s">
        <v>90</v>
      </c>
      <c r="P1577">
        <v>0</v>
      </c>
      <c r="Q1577" t="s">
        <v>90</v>
      </c>
      <c r="R1577">
        <v>0</v>
      </c>
      <c r="S1577" t="s">
        <v>90</v>
      </c>
      <c r="T1577">
        <v>0</v>
      </c>
      <c r="U1577" t="s">
        <v>90</v>
      </c>
      <c r="V1577">
        <v>0</v>
      </c>
      <c r="W1577" t="s">
        <v>90</v>
      </c>
      <c r="X1577">
        <v>0</v>
      </c>
      <c r="Y1577">
        <v>0.298354755159217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61</v>
      </c>
      <c r="AF1577">
        <v>81</v>
      </c>
      <c r="AG1577">
        <v>29</v>
      </c>
      <c r="AI1577">
        <v>4.2999999999999997E-2</v>
      </c>
      <c r="AK1577" t="s">
        <v>740</v>
      </c>
      <c r="AL1577" t="s">
        <v>2086</v>
      </c>
      <c r="AM1577">
        <v>400000</v>
      </c>
      <c r="AN1577" t="s">
        <v>73</v>
      </c>
      <c r="AO1577">
        <v>2</v>
      </c>
      <c r="AP1577">
        <v>0</v>
      </c>
      <c r="AQ1577">
        <v>33333.333333333336</v>
      </c>
      <c r="AR1577" t="s">
        <v>4605</v>
      </c>
      <c r="AS1577" t="s">
        <v>75</v>
      </c>
      <c r="AX1577" t="s">
        <v>76</v>
      </c>
      <c r="AY1577" t="s">
        <v>176</v>
      </c>
      <c r="AZ1577">
        <v>0</v>
      </c>
      <c r="BA1577" t="s">
        <v>176</v>
      </c>
      <c r="BB1577">
        <v>0</v>
      </c>
    </row>
    <row r="1578" spans="1:56" x14ac:dyDescent="0.15">
      <c r="A1578" s="4" t="str">
        <f>HYPERLINK("https://ibp.a2mac1.com/costing(costing:projects/details/9760/part/8414925)","Headliner Filler")</f>
        <v>Headliner Filler</v>
      </c>
      <c r="B1578">
        <v>8414925</v>
      </c>
      <c r="C1578">
        <v>8414785</v>
      </c>
      <c r="E1578">
        <v>41.91</v>
      </c>
      <c r="F1578">
        <v>1.04</v>
      </c>
      <c r="G1578">
        <v>0</v>
      </c>
      <c r="H1578">
        <v>0.21206459999999999</v>
      </c>
      <c r="I1578" t="s">
        <v>176</v>
      </c>
      <c r="J1578">
        <v>1.46685</v>
      </c>
      <c r="K1578">
        <v>44.665314600000002</v>
      </c>
      <c r="L1578">
        <v>1.8638105593679357</v>
      </c>
      <c r="M1578">
        <v>11.182863356207616</v>
      </c>
      <c r="N1578">
        <v>55.848177956207614</v>
      </c>
      <c r="O1578" t="s">
        <v>177</v>
      </c>
      <c r="P1578">
        <v>2.6799188759999999</v>
      </c>
      <c r="Q1578" t="s">
        <v>177</v>
      </c>
      <c r="R1578">
        <v>0.67097180137245693</v>
      </c>
      <c r="S1578" t="s">
        <v>178</v>
      </c>
      <c r="T1578">
        <v>6.7017813547449139</v>
      </c>
      <c r="U1578" t="s">
        <v>90</v>
      </c>
      <c r="V1578">
        <v>0</v>
      </c>
      <c r="W1578" t="s">
        <v>90</v>
      </c>
      <c r="X1578">
        <v>0</v>
      </c>
      <c r="Y1578">
        <v>65.900849988324993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1785</v>
      </c>
      <c r="AF1578">
        <v>1378</v>
      </c>
      <c r="AG1578">
        <v>195</v>
      </c>
      <c r="AI1578">
        <v>2.7410000000000001</v>
      </c>
      <c r="AK1578" t="s">
        <v>772</v>
      </c>
      <c r="AL1578" t="s">
        <v>403</v>
      </c>
      <c r="AM1578">
        <v>200000</v>
      </c>
      <c r="AN1578" t="s">
        <v>97</v>
      </c>
      <c r="AO1578">
        <v>1</v>
      </c>
      <c r="AP1578">
        <v>0</v>
      </c>
      <c r="AQ1578">
        <v>16666.666666666668</v>
      </c>
      <c r="AR1578" t="s">
        <v>4613</v>
      </c>
      <c r="AS1578" t="s">
        <v>75</v>
      </c>
      <c r="AX1578" t="s">
        <v>76</v>
      </c>
      <c r="AY1578" t="s">
        <v>176</v>
      </c>
      <c r="AZ1578">
        <v>3.6400000000000002E-2</v>
      </c>
      <c r="BA1578" t="s">
        <v>176</v>
      </c>
      <c r="BB1578">
        <v>0</v>
      </c>
    </row>
    <row r="1579" spans="1:56" x14ac:dyDescent="0.15">
      <c r="A1579" s="4" t="str">
        <f>HYPERLINK("https://ibp.a2mac1.com/costing(costing:projects/details/9760/part/8415021)","Driver Side")</f>
        <v>Driver Side</v>
      </c>
      <c r="B1579">
        <v>8415021</v>
      </c>
      <c r="C1579">
        <v>8414928</v>
      </c>
      <c r="E1579">
        <v>10.99</v>
      </c>
      <c r="F1579">
        <v>0</v>
      </c>
      <c r="G1579">
        <v>0</v>
      </c>
      <c r="H1579">
        <v>5.5609400000000003E-2</v>
      </c>
      <c r="I1579" t="s">
        <v>176</v>
      </c>
      <c r="J1579">
        <v>0.38464999999999999</v>
      </c>
      <c r="K1579">
        <v>11.430259400000001</v>
      </c>
      <c r="L1579">
        <v>0.69996138022235288</v>
      </c>
      <c r="M1579">
        <v>4.1997682813341175</v>
      </c>
      <c r="N1579">
        <v>15.630027681334118</v>
      </c>
      <c r="O1579" t="s">
        <v>177</v>
      </c>
      <c r="P1579">
        <v>0.68581556399999999</v>
      </c>
      <c r="Q1579" t="s">
        <v>177</v>
      </c>
      <c r="R1579">
        <v>0.25198609688004703</v>
      </c>
      <c r="S1579" t="s">
        <v>178</v>
      </c>
      <c r="T1579">
        <v>1.875603321760094</v>
      </c>
      <c r="U1579" t="s">
        <v>90</v>
      </c>
      <c r="V1579">
        <v>0</v>
      </c>
      <c r="W1579" t="s">
        <v>90</v>
      </c>
      <c r="X1579">
        <v>0</v>
      </c>
      <c r="Y1579">
        <v>18.44343266397426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56</v>
      </c>
      <c r="AF1579">
        <v>440</v>
      </c>
      <c r="AG1579">
        <v>152</v>
      </c>
      <c r="AI1579">
        <v>0.64</v>
      </c>
      <c r="AK1579" t="s">
        <v>772</v>
      </c>
      <c r="AL1579" t="s">
        <v>4621</v>
      </c>
      <c r="AM1579">
        <v>200000</v>
      </c>
      <c r="AN1579" t="s">
        <v>97</v>
      </c>
      <c r="AO1579">
        <v>1</v>
      </c>
      <c r="AP1579">
        <v>0</v>
      </c>
      <c r="AQ1579">
        <v>16666.666666666668</v>
      </c>
      <c r="AR1579" t="s">
        <v>4622</v>
      </c>
      <c r="AS1579" t="s">
        <v>75</v>
      </c>
      <c r="AX1579" t="s">
        <v>76</v>
      </c>
      <c r="AY1579" t="s">
        <v>176</v>
      </c>
      <c r="AZ1579">
        <v>0</v>
      </c>
      <c r="BA1579" t="s">
        <v>176</v>
      </c>
      <c r="BB1579">
        <v>0</v>
      </c>
    </row>
    <row r="1580" spans="1:56" x14ac:dyDescent="0.15">
      <c r="A1580" s="4" t="str">
        <f>HYPERLINK("https://ibp.a2mac1.com/costing(costing:projects/details/9760/part/8415022)","Passenger Side")</f>
        <v>Passenger Side</v>
      </c>
      <c r="B1580">
        <v>8415022</v>
      </c>
      <c r="C1580">
        <v>8414928</v>
      </c>
      <c r="E1580">
        <v>10.99</v>
      </c>
      <c r="F1580">
        <v>0</v>
      </c>
      <c r="G1580">
        <v>0</v>
      </c>
      <c r="H1580">
        <v>5.5609400000000003E-2</v>
      </c>
      <c r="I1580" t="s">
        <v>176</v>
      </c>
      <c r="J1580">
        <v>0.38464999999999999</v>
      </c>
      <c r="K1580">
        <v>11.430259400000001</v>
      </c>
      <c r="L1580">
        <v>0.69996138022235288</v>
      </c>
      <c r="M1580">
        <v>4.1997682813341175</v>
      </c>
      <c r="N1580">
        <v>15.630027681334118</v>
      </c>
      <c r="O1580" t="s">
        <v>177</v>
      </c>
      <c r="P1580">
        <v>0.68581556399999999</v>
      </c>
      <c r="Q1580" t="s">
        <v>177</v>
      </c>
      <c r="R1580">
        <v>0.25198609688004703</v>
      </c>
      <c r="S1580" t="s">
        <v>178</v>
      </c>
      <c r="T1580">
        <v>1.875603321760094</v>
      </c>
      <c r="U1580" t="s">
        <v>90</v>
      </c>
      <c r="V1580">
        <v>0</v>
      </c>
      <c r="W1580" t="s">
        <v>90</v>
      </c>
      <c r="X1580">
        <v>0</v>
      </c>
      <c r="Y1580">
        <v>18.44343266397426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56</v>
      </c>
      <c r="AF1580">
        <v>440</v>
      </c>
      <c r="AG1580">
        <v>152</v>
      </c>
      <c r="AI1580">
        <v>0.64300000000000002</v>
      </c>
      <c r="AK1580" t="s">
        <v>772</v>
      </c>
      <c r="AL1580" t="s">
        <v>4625</v>
      </c>
      <c r="AM1580">
        <v>200000</v>
      </c>
      <c r="AN1580" t="s">
        <v>97</v>
      </c>
      <c r="AO1580">
        <v>1</v>
      </c>
      <c r="AP1580">
        <v>0</v>
      </c>
      <c r="AQ1580">
        <v>16666.666666666668</v>
      </c>
      <c r="AR1580" t="s">
        <v>4626</v>
      </c>
      <c r="AS1580" t="s">
        <v>75</v>
      </c>
      <c r="AX1580" t="s">
        <v>76</v>
      </c>
      <c r="AY1580" t="s">
        <v>176</v>
      </c>
      <c r="AZ1580">
        <v>0</v>
      </c>
      <c r="BA1580" t="s">
        <v>176</v>
      </c>
      <c r="BB1580">
        <v>0</v>
      </c>
    </row>
    <row r="1581" spans="1:56" x14ac:dyDescent="0.15">
      <c r="A1581" s="4" t="str">
        <f>HYPERLINK("https://ibp.a2mac1.com/costing(costing:projects/details/9760/part/8415023)","Front")</f>
        <v>Front</v>
      </c>
      <c r="B1581">
        <v>8415023</v>
      </c>
      <c r="C1581">
        <v>8414929</v>
      </c>
      <c r="E1581">
        <v>0.38</v>
      </c>
      <c r="F1581">
        <v>0.3</v>
      </c>
      <c r="G1581">
        <v>0</v>
      </c>
      <c r="H1581">
        <v>1.9227999999999999E-3</v>
      </c>
      <c r="I1581" t="s">
        <v>176</v>
      </c>
      <c r="J1581">
        <v>1.3299999999999999E-2</v>
      </c>
      <c r="K1581">
        <v>0.70572279999999998</v>
      </c>
      <c r="L1581">
        <v>5.1808650713356059E-2</v>
      </c>
      <c r="M1581">
        <v>0.31085190428013637</v>
      </c>
      <c r="N1581">
        <v>1.0165747042801363</v>
      </c>
      <c r="O1581" t="s">
        <v>177</v>
      </c>
      <c r="P1581">
        <v>4.2343367999999999E-2</v>
      </c>
      <c r="Q1581" t="s">
        <v>177</v>
      </c>
      <c r="R1581">
        <v>1.8651114256808182E-2</v>
      </c>
      <c r="S1581" t="s">
        <v>178</v>
      </c>
      <c r="T1581">
        <v>0.12198896451361636</v>
      </c>
      <c r="U1581" t="s">
        <v>90</v>
      </c>
      <c r="V1581">
        <v>0</v>
      </c>
      <c r="W1581" t="s">
        <v>90</v>
      </c>
      <c r="X1581">
        <v>0</v>
      </c>
      <c r="Y1581">
        <v>1.1995581510505609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8</v>
      </c>
      <c r="AF1581">
        <v>240</v>
      </c>
      <c r="AG1581">
        <v>47</v>
      </c>
      <c r="AI1581">
        <v>4.2000000000000003E-2</v>
      </c>
      <c r="AK1581" t="s">
        <v>772</v>
      </c>
      <c r="AL1581" t="s">
        <v>1952</v>
      </c>
      <c r="AM1581">
        <v>200000</v>
      </c>
      <c r="AN1581" t="s">
        <v>97</v>
      </c>
      <c r="AO1581">
        <v>1</v>
      </c>
      <c r="AP1581">
        <v>0</v>
      </c>
      <c r="AQ1581">
        <v>16666.666666666668</v>
      </c>
      <c r="AR1581" t="s">
        <v>4631</v>
      </c>
      <c r="AS1581" t="s">
        <v>75</v>
      </c>
      <c r="AX1581" t="s">
        <v>76</v>
      </c>
      <c r="AY1581" t="s">
        <v>176</v>
      </c>
      <c r="AZ1581">
        <v>1.0500000000000001E-2</v>
      </c>
      <c r="BA1581" t="s">
        <v>176</v>
      </c>
      <c r="BB1581">
        <v>0</v>
      </c>
    </row>
    <row r="1582" spans="1:56" x14ac:dyDescent="0.15">
      <c r="A1582" s="4" t="str">
        <f>HYPERLINK("https://ibp.a2mac1.com/costing(costing:projects/details/9760/part/8415024)","Rear")</f>
        <v>Rear</v>
      </c>
      <c r="B1582">
        <v>8415024</v>
      </c>
      <c r="C1582">
        <v>8414929</v>
      </c>
      <c r="E1582">
        <v>0.76</v>
      </c>
      <c r="F1582">
        <v>0.6</v>
      </c>
      <c r="G1582">
        <v>0</v>
      </c>
      <c r="H1582">
        <v>3.8227999999999999E-3</v>
      </c>
      <c r="I1582" t="s">
        <v>176</v>
      </c>
      <c r="J1582">
        <v>2.6599999999999999E-2</v>
      </c>
      <c r="K1582">
        <v>1.4114228</v>
      </c>
      <c r="L1582">
        <v>0.10125597272292933</v>
      </c>
      <c r="M1582">
        <v>0.60753583633757591</v>
      </c>
      <c r="N1582">
        <v>2.018958636337576</v>
      </c>
      <c r="O1582" t="s">
        <v>177</v>
      </c>
      <c r="P1582">
        <v>8.4685367999999997E-2</v>
      </c>
      <c r="Q1582" t="s">
        <v>177</v>
      </c>
      <c r="R1582">
        <v>3.6452150180254557E-2</v>
      </c>
      <c r="S1582" t="s">
        <v>178</v>
      </c>
      <c r="T1582">
        <v>0.24227503636050912</v>
      </c>
      <c r="U1582" t="s">
        <v>90</v>
      </c>
      <c r="V1582">
        <v>0</v>
      </c>
      <c r="W1582" t="s">
        <v>90</v>
      </c>
      <c r="X1582">
        <v>0</v>
      </c>
      <c r="Y1582">
        <v>2.3823711908783398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8</v>
      </c>
      <c r="AF1582">
        <v>240</v>
      </c>
      <c r="AG1582">
        <v>47</v>
      </c>
      <c r="AI1582">
        <v>8.4000000000000005E-2</v>
      </c>
      <c r="AK1582" t="s">
        <v>772</v>
      </c>
      <c r="AL1582" t="s">
        <v>1952</v>
      </c>
      <c r="AM1582">
        <v>400000</v>
      </c>
      <c r="AN1582" t="s">
        <v>97</v>
      </c>
      <c r="AO1582">
        <v>2</v>
      </c>
      <c r="AP1582">
        <v>0</v>
      </c>
      <c r="AQ1582">
        <v>33333.333333333336</v>
      </c>
      <c r="AR1582" t="s">
        <v>4634</v>
      </c>
      <c r="AS1582" t="s">
        <v>75</v>
      </c>
      <c r="AX1582" t="s">
        <v>76</v>
      </c>
      <c r="AY1582" t="s">
        <v>176</v>
      </c>
      <c r="AZ1582">
        <v>2.1000000000000001E-2</v>
      </c>
      <c r="BA1582" t="s">
        <v>176</v>
      </c>
      <c r="BB1582">
        <v>0</v>
      </c>
    </row>
    <row r="1583" spans="1:56" x14ac:dyDescent="0.15">
      <c r="A1583" s="4" t="str">
        <f>HYPERLINK("https://ibp.a2mac1.com/costing(costing:projects/details/9760/part/8415025)","Front Support")</f>
        <v>Front Support</v>
      </c>
      <c r="B1583">
        <v>8415025</v>
      </c>
      <c r="C1583">
        <v>8414929</v>
      </c>
      <c r="E1583">
        <v>0.11945103157894738</v>
      </c>
      <c r="F1583">
        <v>0.186</v>
      </c>
      <c r="G1583">
        <v>0</v>
      </c>
      <c r="H1583">
        <v>6.044222197894737E-4</v>
      </c>
      <c r="I1583" t="s">
        <v>176</v>
      </c>
      <c r="J1583">
        <v>4.1807861052631581E-3</v>
      </c>
      <c r="K1583">
        <v>0.31674623990400003</v>
      </c>
      <c r="L1583">
        <v>1.4720892349081038E-2</v>
      </c>
      <c r="M1583">
        <v>8.8325354094486219E-2</v>
      </c>
      <c r="N1583">
        <v>0.40507159399848625</v>
      </c>
      <c r="O1583" t="s">
        <v>177</v>
      </c>
      <c r="P1583">
        <v>1.900477439424E-2</v>
      </c>
      <c r="Q1583" t="s">
        <v>177</v>
      </c>
      <c r="R1583">
        <v>5.2995212456691731E-3</v>
      </c>
      <c r="S1583" t="s">
        <v>178</v>
      </c>
      <c r="T1583">
        <v>4.8608591279818349E-2</v>
      </c>
      <c r="U1583" t="s">
        <v>90</v>
      </c>
      <c r="V1583">
        <v>0</v>
      </c>
      <c r="W1583" t="s">
        <v>90</v>
      </c>
      <c r="X1583">
        <v>0</v>
      </c>
      <c r="Y1583">
        <v>0.47798448091821377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54</v>
      </c>
      <c r="AF1583">
        <v>205</v>
      </c>
      <c r="AG1583">
        <v>31</v>
      </c>
      <c r="AI1583">
        <v>7.1999999999999995E-2</v>
      </c>
      <c r="AK1583" t="s">
        <v>740</v>
      </c>
      <c r="AL1583" t="s">
        <v>403</v>
      </c>
      <c r="AM1583">
        <v>200000</v>
      </c>
      <c r="AN1583" t="s">
        <v>97</v>
      </c>
      <c r="AO1583">
        <v>1</v>
      </c>
      <c r="AP1583">
        <v>0</v>
      </c>
      <c r="AQ1583">
        <v>16666.666666666668</v>
      </c>
      <c r="AR1583" t="s">
        <v>4639</v>
      </c>
      <c r="AS1583" t="s">
        <v>75</v>
      </c>
      <c r="AX1583" t="s">
        <v>76</v>
      </c>
      <c r="AY1583" t="s">
        <v>176</v>
      </c>
      <c r="AZ1583">
        <v>6.5100000000000002E-3</v>
      </c>
      <c r="BA1583" t="s">
        <v>176</v>
      </c>
      <c r="BB1583">
        <v>0</v>
      </c>
    </row>
    <row r="1584" spans="1:56" x14ac:dyDescent="0.15">
      <c r="A1584" s="4" t="str">
        <f>HYPERLINK("https://ibp.a2mac1.com/costing(costing:projects/details/9760/part/8415026)","Rear Support")</f>
        <v>Rear Support</v>
      </c>
      <c r="B1584">
        <v>8415026</v>
      </c>
      <c r="C1584">
        <v>8414929</v>
      </c>
      <c r="E1584">
        <v>0.23890206315789475</v>
      </c>
      <c r="F1584">
        <v>0.372</v>
      </c>
      <c r="G1584">
        <v>0</v>
      </c>
      <c r="H1584">
        <v>1.2016773776842105E-3</v>
      </c>
      <c r="I1584" t="s">
        <v>176</v>
      </c>
      <c r="J1584">
        <v>8.3615722105263163E-3</v>
      </c>
      <c r="K1584">
        <v>0.63348531274610531</v>
      </c>
      <c r="L1584">
        <v>2.7082670056725659E-2</v>
      </c>
      <c r="M1584">
        <v>0.16249602034035396</v>
      </c>
      <c r="N1584">
        <v>0.79598133308645924</v>
      </c>
      <c r="O1584" t="s">
        <v>177</v>
      </c>
      <c r="P1584">
        <v>3.8009118764766314E-2</v>
      </c>
      <c r="Q1584" t="s">
        <v>177</v>
      </c>
      <c r="R1584">
        <v>9.7497612204212377E-3</v>
      </c>
      <c r="S1584" t="s">
        <v>178</v>
      </c>
      <c r="T1584">
        <v>9.5517759970375107E-2</v>
      </c>
      <c r="U1584" t="s">
        <v>90</v>
      </c>
      <c r="V1584">
        <v>0</v>
      </c>
      <c r="W1584" t="s">
        <v>90</v>
      </c>
      <c r="X1584">
        <v>0</v>
      </c>
      <c r="Y1584">
        <v>0.93925797304202185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40</v>
      </c>
      <c r="AF1584">
        <v>225</v>
      </c>
      <c r="AG1584">
        <v>36</v>
      </c>
      <c r="AI1584">
        <v>0.13800000000000001</v>
      </c>
      <c r="AK1584" t="s">
        <v>740</v>
      </c>
      <c r="AL1584" t="s">
        <v>403</v>
      </c>
      <c r="AM1584">
        <v>400000</v>
      </c>
      <c r="AN1584" t="s">
        <v>97</v>
      </c>
      <c r="AO1584">
        <v>2</v>
      </c>
      <c r="AP1584">
        <v>0</v>
      </c>
      <c r="AQ1584">
        <v>33333.333333333336</v>
      </c>
      <c r="AR1584" t="s">
        <v>4642</v>
      </c>
      <c r="AS1584" t="s">
        <v>75</v>
      </c>
      <c r="AX1584" t="s">
        <v>76</v>
      </c>
      <c r="AY1584" t="s">
        <v>176</v>
      </c>
      <c r="AZ1584">
        <v>1.302E-2</v>
      </c>
      <c r="BA1584" t="s">
        <v>176</v>
      </c>
      <c r="BB1584">
        <v>0</v>
      </c>
    </row>
    <row r="1585" spans="1:56" x14ac:dyDescent="0.15">
      <c r="A1585" s="4" t="str">
        <f>HYPERLINK("https://ibp.a2mac1.com/costing(costing:projects/details/9760/part/8415028)","Rear Reading Light 2nd Row")</f>
        <v>Rear Reading Light 2nd Row</v>
      </c>
      <c r="B1585">
        <v>8415028</v>
      </c>
      <c r="C1585">
        <v>8414930</v>
      </c>
      <c r="E1585">
        <v>5.08</v>
      </c>
      <c r="F1585">
        <v>0</v>
      </c>
      <c r="G1585">
        <v>0</v>
      </c>
      <c r="H1585">
        <v>0</v>
      </c>
      <c r="I1585" t="s">
        <v>71</v>
      </c>
      <c r="J1585">
        <v>0</v>
      </c>
      <c r="K1585">
        <v>5.08</v>
      </c>
      <c r="L1585">
        <v>0</v>
      </c>
      <c r="M1585">
        <v>0</v>
      </c>
      <c r="N1585">
        <v>5.08</v>
      </c>
      <c r="O1585" t="s">
        <v>71</v>
      </c>
      <c r="P1585">
        <v>0</v>
      </c>
      <c r="Q1585" t="s">
        <v>71</v>
      </c>
      <c r="R1585">
        <v>0</v>
      </c>
      <c r="S1585" t="s">
        <v>71</v>
      </c>
      <c r="T1585">
        <v>0</v>
      </c>
      <c r="U1585" t="s">
        <v>71</v>
      </c>
      <c r="V1585">
        <v>0</v>
      </c>
      <c r="W1585" t="s">
        <v>71</v>
      </c>
      <c r="X1585">
        <v>0</v>
      </c>
      <c r="Y1585">
        <v>5.08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33</v>
      </c>
      <c r="AF1585">
        <v>47</v>
      </c>
      <c r="AG1585">
        <v>52</v>
      </c>
      <c r="AI1585">
        <v>5.1999999999999998E-2</v>
      </c>
      <c r="AK1585" t="s">
        <v>365</v>
      </c>
      <c r="AL1585" t="s">
        <v>3874</v>
      </c>
      <c r="AM1585">
        <v>400000</v>
      </c>
      <c r="AN1585" t="s">
        <v>97</v>
      </c>
      <c r="AO1585">
        <v>2</v>
      </c>
      <c r="AP1585">
        <v>0</v>
      </c>
      <c r="AQ1585">
        <v>33333.333333333336</v>
      </c>
      <c r="AR1585" t="s">
        <v>4648</v>
      </c>
      <c r="AS1585" t="s">
        <v>75</v>
      </c>
      <c r="AX1585" t="s">
        <v>76</v>
      </c>
      <c r="AY1585" t="s">
        <v>71</v>
      </c>
      <c r="AZ1585">
        <v>0</v>
      </c>
      <c r="BA1585" t="s">
        <v>71</v>
      </c>
      <c r="BB1585">
        <v>0</v>
      </c>
      <c r="BD1585">
        <v>2.54</v>
      </c>
    </row>
    <row r="1586" spans="1:56" x14ac:dyDescent="0.15">
      <c r="A1586" s="4" t="str">
        <f>HYPERLINK("https://ibp.a2mac1.com/costing(costing:projects/details/9760/part/8414926)","Hanger Support")</f>
        <v>Hanger Support</v>
      </c>
      <c r="B1586">
        <v>8414926</v>
      </c>
      <c r="C1586">
        <v>8414786</v>
      </c>
      <c r="E1586">
        <v>7.0000000000000007E-2</v>
      </c>
      <c r="F1586">
        <v>0.08</v>
      </c>
      <c r="G1586">
        <v>0</v>
      </c>
      <c r="H1586">
        <v>3.5209999999999999E-4</v>
      </c>
      <c r="I1586" t="s">
        <v>176</v>
      </c>
      <c r="J1586">
        <v>2.4499999999999999E-3</v>
      </c>
      <c r="K1586">
        <v>0.15560209999999999</v>
      </c>
      <c r="L1586">
        <v>2.3550608025001675E-2</v>
      </c>
      <c r="M1586">
        <v>0.14130364815001004</v>
      </c>
      <c r="N1586">
        <v>0.29690574815001003</v>
      </c>
      <c r="O1586" t="s">
        <v>177</v>
      </c>
      <c r="P1586">
        <v>9.3361260000000001E-3</v>
      </c>
      <c r="Q1586" t="s">
        <v>177</v>
      </c>
      <c r="R1586">
        <v>8.4782188890006032E-3</v>
      </c>
      <c r="S1586" t="s">
        <v>178</v>
      </c>
      <c r="T1586">
        <v>3.5628689778001203E-2</v>
      </c>
      <c r="U1586" t="s">
        <v>90</v>
      </c>
      <c r="V1586">
        <v>0</v>
      </c>
      <c r="W1586" t="s">
        <v>90</v>
      </c>
      <c r="X1586">
        <v>0</v>
      </c>
      <c r="Y1586">
        <v>0.35034878281701187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20</v>
      </c>
      <c r="AF1586">
        <v>21</v>
      </c>
      <c r="AG1586">
        <v>17</v>
      </c>
      <c r="AI1586">
        <v>4.0000000000000001E-3</v>
      </c>
      <c r="AK1586" t="s">
        <v>740</v>
      </c>
      <c r="AL1586" t="s">
        <v>412</v>
      </c>
      <c r="AM1586">
        <v>400000</v>
      </c>
      <c r="AN1586" t="s">
        <v>97</v>
      </c>
      <c r="AO1586">
        <v>2</v>
      </c>
      <c r="AP1586">
        <v>0</v>
      </c>
      <c r="AQ1586">
        <v>33333.333333333336</v>
      </c>
      <c r="AR1586" t="s">
        <v>4653</v>
      </c>
      <c r="AS1586" t="s">
        <v>75</v>
      </c>
      <c r="AX1586" t="s">
        <v>76</v>
      </c>
      <c r="AY1586" t="s">
        <v>176</v>
      </c>
      <c r="AZ1586">
        <v>2.8E-3</v>
      </c>
      <c r="BA1586" t="s">
        <v>176</v>
      </c>
      <c r="BB1586">
        <v>0</v>
      </c>
    </row>
    <row r="1587" spans="1:56" x14ac:dyDescent="0.15">
      <c r="A1587" s="4" t="str">
        <f>HYPERLINK("https://ibp.a2mac1.com/costing(costing:projects/details/9760/part/8414927)","Outside Privacy Protection Indicator Light")</f>
        <v>Outside Privacy Protection Indicator Light</v>
      </c>
      <c r="B1587">
        <v>8414927</v>
      </c>
      <c r="C1587">
        <v>8414786</v>
      </c>
      <c r="E1587">
        <v>2.98</v>
      </c>
      <c r="F1587">
        <v>0</v>
      </c>
      <c r="G1587">
        <v>0</v>
      </c>
      <c r="H1587">
        <v>0</v>
      </c>
      <c r="I1587" t="s">
        <v>71</v>
      </c>
      <c r="J1587">
        <v>0</v>
      </c>
      <c r="K1587">
        <v>2.98</v>
      </c>
      <c r="L1587">
        <v>0</v>
      </c>
      <c r="M1587">
        <v>0</v>
      </c>
      <c r="N1587">
        <v>2.98</v>
      </c>
      <c r="O1587" t="s">
        <v>71</v>
      </c>
      <c r="P1587">
        <v>0</v>
      </c>
      <c r="Q1587" t="s">
        <v>71</v>
      </c>
      <c r="R1587">
        <v>0</v>
      </c>
      <c r="S1587" t="s">
        <v>71</v>
      </c>
      <c r="T1587">
        <v>0</v>
      </c>
      <c r="U1587" t="s">
        <v>71</v>
      </c>
      <c r="V1587">
        <v>0</v>
      </c>
      <c r="W1587" t="s">
        <v>71</v>
      </c>
      <c r="X1587">
        <v>0</v>
      </c>
      <c r="Y1587">
        <v>2.98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32</v>
      </c>
      <c r="AF1587">
        <v>36</v>
      </c>
      <c r="AG1587">
        <v>40</v>
      </c>
      <c r="AI1587">
        <v>1.7999999999999999E-2</v>
      </c>
      <c r="AK1587" t="s">
        <v>740</v>
      </c>
      <c r="AL1587" t="s">
        <v>3870</v>
      </c>
      <c r="AM1587">
        <v>200000</v>
      </c>
      <c r="AN1587" t="s">
        <v>97</v>
      </c>
      <c r="AO1587">
        <v>1</v>
      </c>
      <c r="AP1587">
        <v>0</v>
      </c>
      <c r="AQ1587">
        <v>16666.666666666668</v>
      </c>
      <c r="AR1587" t="s">
        <v>4654</v>
      </c>
      <c r="AS1587" t="s">
        <v>75</v>
      </c>
      <c r="AX1587" t="s">
        <v>76</v>
      </c>
      <c r="AY1587" t="s">
        <v>71</v>
      </c>
      <c r="AZ1587">
        <v>0</v>
      </c>
      <c r="BA1587" t="s">
        <v>71</v>
      </c>
      <c r="BB1587">
        <v>0</v>
      </c>
      <c r="BD1587">
        <v>2.98</v>
      </c>
    </row>
    <row r="1588" spans="1:56" x14ac:dyDescent="0.15">
      <c r="A1588" s="4" t="str">
        <f>HYPERLINK("https://ibp.a2mac1.com/costing(costing:projects/details/9760/part/8415105)","Rear")</f>
        <v>Rear</v>
      </c>
      <c r="B1588">
        <v>8415105</v>
      </c>
      <c r="C1588">
        <v>8415040</v>
      </c>
      <c r="E1588">
        <v>0.447186054</v>
      </c>
      <c r="F1588">
        <v>0.13</v>
      </c>
      <c r="G1588">
        <v>0</v>
      </c>
      <c r="H1588">
        <v>2.268432514526316E-3</v>
      </c>
      <c r="I1588" t="s">
        <v>176</v>
      </c>
      <c r="J1588">
        <v>1.5690738736842104E-2</v>
      </c>
      <c r="K1588">
        <v>0.59969522525136842</v>
      </c>
      <c r="L1588">
        <v>3.767998086029891E-2</v>
      </c>
      <c r="M1588">
        <v>0.22607988516179345</v>
      </c>
      <c r="N1588">
        <v>0.82577511041316187</v>
      </c>
      <c r="O1588" t="s">
        <v>177</v>
      </c>
      <c r="P1588">
        <v>3.5981713515082107E-2</v>
      </c>
      <c r="Q1588" t="s">
        <v>177</v>
      </c>
      <c r="R1588">
        <v>1.3564793109707608E-2</v>
      </c>
      <c r="S1588" t="s">
        <v>178</v>
      </c>
      <c r="T1588">
        <v>9.909301324957942E-2</v>
      </c>
      <c r="U1588" t="s">
        <v>90</v>
      </c>
      <c r="V1588">
        <v>0</v>
      </c>
      <c r="W1588" t="s">
        <v>90</v>
      </c>
      <c r="X1588">
        <v>0</v>
      </c>
      <c r="Y1588">
        <v>0.97441463028753106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175</v>
      </c>
      <c r="AF1588">
        <v>538</v>
      </c>
      <c r="AG1588">
        <v>127</v>
      </c>
      <c r="AI1588">
        <v>0.23799999999999999</v>
      </c>
      <c r="AK1588" t="s">
        <v>740</v>
      </c>
      <c r="AL1588" t="s">
        <v>951</v>
      </c>
      <c r="AM1588">
        <v>200000</v>
      </c>
      <c r="AN1588" t="s">
        <v>97</v>
      </c>
      <c r="AO1588">
        <v>1</v>
      </c>
      <c r="AP1588">
        <v>0</v>
      </c>
      <c r="AQ1588">
        <v>16666.666666666668</v>
      </c>
      <c r="AR1588" t="s">
        <v>4663</v>
      </c>
      <c r="AS1588" t="s">
        <v>75</v>
      </c>
      <c r="AX1588" t="s">
        <v>76</v>
      </c>
      <c r="AY1588" t="s">
        <v>176</v>
      </c>
      <c r="AZ1588">
        <v>4.5500000000000002E-3</v>
      </c>
      <c r="BA1588" t="s">
        <v>176</v>
      </c>
      <c r="BB1588">
        <v>0</v>
      </c>
    </row>
    <row r="1589" spans="1:56" x14ac:dyDescent="0.15">
      <c r="A1589" s="4" t="str">
        <f>HYPERLINK("https://ibp.a2mac1.com/costing(costing:projects/details/9760/part/8415029)","A Pillar Upper Panel")</f>
        <v>A Pillar Upper Panel</v>
      </c>
      <c r="B1589">
        <v>8415029</v>
      </c>
      <c r="C1589">
        <v>8414931</v>
      </c>
      <c r="E1589">
        <v>1.43</v>
      </c>
      <c r="F1589">
        <v>7.0000000000000007E-2</v>
      </c>
      <c r="G1589">
        <v>0</v>
      </c>
      <c r="H1589">
        <v>7.2357999999999997E-3</v>
      </c>
      <c r="I1589" t="s">
        <v>176</v>
      </c>
      <c r="J1589">
        <v>5.0049999999999997E-2</v>
      </c>
      <c r="K1589">
        <v>1.5597357999999999</v>
      </c>
      <c r="L1589">
        <v>0.18956318178066328</v>
      </c>
      <c r="M1589">
        <v>1.1373790906839798</v>
      </c>
      <c r="N1589">
        <v>2.6971148906839799</v>
      </c>
      <c r="O1589" t="s">
        <v>177</v>
      </c>
      <c r="P1589">
        <v>9.3584148000000006E-2</v>
      </c>
      <c r="Q1589" t="s">
        <v>177</v>
      </c>
      <c r="R1589">
        <v>6.8242745441038782E-2</v>
      </c>
      <c r="S1589" t="s">
        <v>178</v>
      </c>
      <c r="T1589">
        <v>0.32365378688207758</v>
      </c>
      <c r="U1589" t="s">
        <v>90</v>
      </c>
      <c r="V1589">
        <v>0</v>
      </c>
      <c r="W1589" t="s">
        <v>90</v>
      </c>
      <c r="X1589">
        <v>0</v>
      </c>
      <c r="Y1589">
        <v>3.1825955710070963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68</v>
      </c>
      <c r="AF1589">
        <v>124</v>
      </c>
      <c r="AG1589">
        <v>735</v>
      </c>
      <c r="AI1589">
        <v>0.32100000000000001</v>
      </c>
      <c r="AK1589" t="s">
        <v>740</v>
      </c>
      <c r="AL1589" t="s">
        <v>412</v>
      </c>
      <c r="AM1589">
        <v>200000</v>
      </c>
      <c r="AN1589" t="s">
        <v>97</v>
      </c>
      <c r="AO1589">
        <v>1</v>
      </c>
      <c r="AP1589">
        <v>0</v>
      </c>
      <c r="AQ1589">
        <v>16666.666666666668</v>
      </c>
      <c r="AR1589" t="s">
        <v>4669</v>
      </c>
      <c r="AS1589" t="s">
        <v>75</v>
      </c>
      <c r="AX1589" t="s">
        <v>76</v>
      </c>
      <c r="AY1589" t="s">
        <v>176</v>
      </c>
      <c r="AZ1589">
        <v>2.4499999999999999E-3</v>
      </c>
      <c r="BA1589" t="s">
        <v>176</v>
      </c>
      <c r="BB1589">
        <v>0</v>
      </c>
    </row>
    <row r="1590" spans="1:56" x14ac:dyDescent="0.15">
      <c r="A1590" s="4" t="str">
        <f>HYPERLINK("https://ibp.a2mac1.com/costing(costing:projects/details/9760/part/8415030)","A Pillar Lower Panel")</f>
        <v>A Pillar Lower Panel</v>
      </c>
      <c r="B1590">
        <v>8415030</v>
      </c>
      <c r="C1590">
        <v>8414931</v>
      </c>
      <c r="E1590">
        <v>0.95637689699999995</v>
      </c>
      <c r="F1590">
        <v>7.0000000000000007E-2</v>
      </c>
      <c r="G1590">
        <v>0</v>
      </c>
      <c r="H1590">
        <v>4.8513955877894739E-3</v>
      </c>
      <c r="I1590" t="s">
        <v>176</v>
      </c>
      <c r="J1590">
        <v>3.355708410526316E-2</v>
      </c>
      <c r="K1590">
        <v>1.0672353766930527</v>
      </c>
      <c r="L1590">
        <v>7.6533822956206074E-2</v>
      </c>
      <c r="M1590">
        <v>0.45920293773723647</v>
      </c>
      <c r="N1590">
        <v>1.5264383144302891</v>
      </c>
      <c r="O1590" t="s">
        <v>177</v>
      </c>
      <c r="P1590">
        <v>6.4034122601583157E-2</v>
      </c>
      <c r="Q1590" t="s">
        <v>177</v>
      </c>
      <c r="R1590">
        <v>2.7552176264234188E-2</v>
      </c>
      <c r="S1590" t="s">
        <v>178</v>
      </c>
      <c r="T1590">
        <v>0.18317259773163469</v>
      </c>
      <c r="U1590" t="s">
        <v>90</v>
      </c>
      <c r="V1590">
        <v>0</v>
      </c>
      <c r="W1590" t="s">
        <v>90</v>
      </c>
      <c r="X1590">
        <v>0</v>
      </c>
      <c r="Y1590">
        <v>1.8011972110277412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142</v>
      </c>
      <c r="AF1590">
        <v>950</v>
      </c>
      <c r="AG1590">
        <v>340</v>
      </c>
      <c r="AI1590">
        <v>0.50900000000000001</v>
      </c>
      <c r="AK1590" t="s">
        <v>740</v>
      </c>
      <c r="AL1590" t="s">
        <v>951</v>
      </c>
      <c r="AM1590">
        <v>200000</v>
      </c>
      <c r="AN1590" t="s">
        <v>97</v>
      </c>
      <c r="AO1590">
        <v>1</v>
      </c>
      <c r="AP1590">
        <v>0</v>
      </c>
      <c r="AQ1590">
        <v>16666.666666666668</v>
      </c>
      <c r="AR1590" t="s">
        <v>4674</v>
      </c>
      <c r="AS1590" t="s">
        <v>75</v>
      </c>
      <c r="AX1590" t="s">
        <v>76</v>
      </c>
      <c r="AY1590" t="s">
        <v>176</v>
      </c>
      <c r="AZ1590">
        <v>2.4499999999999999E-3</v>
      </c>
      <c r="BA1590" t="s">
        <v>176</v>
      </c>
      <c r="BB1590">
        <v>0</v>
      </c>
    </row>
    <row r="1591" spans="1:56" x14ac:dyDescent="0.15">
      <c r="A1591" s="4" t="str">
        <f>HYPERLINK("https://ibp.a2mac1.com/costing(costing:projects/details/9760/part/8415031)","B Pillar Central Panel")</f>
        <v>B Pillar Central Panel</v>
      </c>
      <c r="B1591">
        <v>8415031</v>
      </c>
      <c r="C1591">
        <v>8414931</v>
      </c>
      <c r="E1591">
        <v>0.61</v>
      </c>
      <c r="F1591">
        <v>0</v>
      </c>
      <c r="G1591">
        <v>0</v>
      </c>
      <c r="H1591">
        <v>3.0866000000000001E-3</v>
      </c>
      <c r="I1591" t="s">
        <v>176</v>
      </c>
      <c r="J1591">
        <v>2.1350000000000001E-2</v>
      </c>
      <c r="K1591">
        <v>0.63443660000000002</v>
      </c>
      <c r="L1591">
        <v>8.3598157882734656E-2</v>
      </c>
      <c r="M1591">
        <v>0.50158894729640791</v>
      </c>
      <c r="N1591">
        <v>1.1360255472964078</v>
      </c>
      <c r="O1591" t="s">
        <v>177</v>
      </c>
      <c r="P1591">
        <v>3.8066195999999997E-2</v>
      </c>
      <c r="Q1591" t="s">
        <v>177</v>
      </c>
      <c r="R1591">
        <v>3.0095336837784474E-2</v>
      </c>
      <c r="S1591" t="s">
        <v>178</v>
      </c>
      <c r="T1591">
        <v>0.13632306567556896</v>
      </c>
      <c r="U1591" t="s">
        <v>90</v>
      </c>
      <c r="V1591">
        <v>0</v>
      </c>
      <c r="W1591" t="s">
        <v>90</v>
      </c>
      <c r="X1591">
        <v>0</v>
      </c>
      <c r="Y1591">
        <v>1.3405101458097612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55</v>
      </c>
      <c r="AF1591">
        <v>142</v>
      </c>
      <c r="AG1591">
        <v>242</v>
      </c>
      <c r="AI1591">
        <v>0.13800000000000001</v>
      </c>
      <c r="AK1591" t="s">
        <v>740</v>
      </c>
      <c r="AL1591" t="s">
        <v>4677</v>
      </c>
      <c r="AM1591">
        <v>200000</v>
      </c>
      <c r="AN1591" t="s">
        <v>97</v>
      </c>
      <c r="AO1591">
        <v>1</v>
      </c>
      <c r="AP1591">
        <v>0</v>
      </c>
      <c r="AQ1591">
        <v>16666.666666666668</v>
      </c>
      <c r="AR1591" t="s">
        <v>4678</v>
      </c>
      <c r="AS1591" t="s">
        <v>75</v>
      </c>
      <c r="AX1591" t="s">
        <v>76</v>
      </c>
      <c r="AY1591" t="s">
        <v>176</v>
      </c>
      <c r="AZ1591">
        <v>0</v>
      </c>
      <c r="BA1591" t="s">
        <v>176</v>
      </c>
      <c r="BB1591">
        <v>0</v>
      </c>
    </row>
    <row r="1592" spans="1:56" x14ac:dyDescent="0.15">
      <c r="A1592" s="4" t="str">
        <f>HYPERLINK("https://ibp.a2mac1.com/costing(costing:projects/details/9760/part/8415032)","B Pillar Lower Panel")</f>
        <v>B Pillar Lower Panel</v>
      </c>
      <c r="B1592">
        <v>8415032</v>
      </c>
      <c r="C1592">
        <v>8414931</v>
      </c>
      <c r="E1592">
        <v>1.1912435219999999</v>
      </c>
      <c r="F1592">
        <v>0.12</v>
      </c>
      <c r="G1592">
        <v>0</v>
      </c>
      <c r="H1592">
        <v>6.0427992193684207E-3</v>
      </c>
      <c r="I1592" t="s">
        <v>176</v>
      </c>
      <c r="J1592">
        <v>4.179801831578947E-2</v>
      </c>
      <c r="K1592">
        <v>1.3632843395351579</v>
      </c>
      <c r="L1592">
        <v>9.4194660272527514E-2</v>
      </c>
      <c r="M1592">
        <v>0.56516796163516514</v>
      </c>
      <c r="N1592">
        <v>1.928452301170323</v>
      </c>
      <c r="O1592" t="s">
        <v>177</v>
      </c>
      <c r="P1592">
        <v>8.1797060372109473E-2</v>
      </c>
      <c r="Q1592" t="s">
        <v>177</v>
      </c>
      <c r="R1592">
        <v>3.3910077698109907E-2</v>
      </c>
      <c r="S1592" t="s">
        <v>178</v>
      </c>
      <c r="T1592">
        <v>0.23141427614043877</v>
      </c>
      <c r="U1592" t="s">
        <v>90</v>
      </c>
      <c r="V1592">
        <v>0</v>
      </c>
      <c r="W1592" t="s">
        <v>90</v>
      </c>
      <c r="X1592">
        <v>0</v>
      </c>
      <c r="Y1592">
        <v>2.2755737153809812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76</v>
      </c>
      <c r="AF1592">
        <v>578</v>
      </c>
      <c r="AG1592">
        <v>610</v>
      </c>
      <c r="AI1592">
        <v>0.63400000000000001</v>
      </c>
      <c r="AK1592" t="s">
        <v>740</v>
      </c>
      <c r="AL1592" t="s">
        <v>951</v>
      </c>
      <c r="AM1592">
        <v>200000</v>
      </c>
      <c r="AN1592" t="s">
        <v>97</v>
      </c>
      <c r="AO1592">
        <v>1</v>
      </c>
      <c r="AP1592">
        <v>0</v>
      </c>
      <c r="AQ1592">
        <v>16666.666666666668</v>
      </c>
      <c r="AR1592" t="s">
        <v>4683</v>
      </c>
      <c r="AS1592" t="s">
        <v>75</v>
      </c>
      <c r="AX1592" t="s">
        <v>76</v>
      </c>
      <c r="AY1592" t="s">
        <v>176</v>
      </c>
      <c r="AZ1592">
        <v>4.1999999999999997E-3</v>
      </c>
      <c r="BA1592" t="s">
        <v>176</v>
      </c>
      <c r="BB1592">
        <v>0</v>
      </c>
    </row>
    <row r="1593" spans="1:56" x14ac:dyDescent="0.15">
      <c r="A1593" s="4" t="str">
        <f>HYPERLINK("https://ibp.a2mac1.com/costing(costing:projects/details/9760/part/8415033)","C Pillar Upper Panel")</f>
        <v>C Pillar Upper Panel</v>
      </c>
      <c r="B1593">
        <v>8415033</v>
      </c>
      <c r="C1593">
        <v>8414931</v>
      </c>
      <c r="E1593">
        <v>0.85</v>
      </c>
      <c r="F1593">
        <v>0.02</v>
      </c>
      <c r="G1593">
        <v>0</v>
      </c>
      <c r="H1593">
        <v>4.3010000000000001E-3</v>
      </c>
      <c r="I1593" t="s">
        <v>176</v>
      </c>
      <c r="J1593">
        <v>2.9749999999999999E-2</v>
      </c>
      <c r="K1593">
        <v>0.90475099999999997</v>
      </c>
      <c r="L1593">
        <v>0.1136215813204811</v>
      </c>
      <c r="M1593">
        <v>0.68172948792288657</v>
      </c>
      <c r="N1593">
        <v>1.5864804879228867</v>
      </c>
      <c r="O1593" t="s">
        <v>177</v>
      </c>
      <c r="P1593">
        <v>5.4285060000000003E-2</v>
      </c>
      <c r="Q1593" t="s">
        <v>177</v>
      </c>
      <c r="R1593">
        <v>4.0903769275373196E-2</v>
      </c>
      <c r="S1593" t="s">
        <v>178</v>
      </c>
      <c r="T1593">
        <v>0.1903776585507464</v>
      </c>
      <c r="U1593" t="s">
        <v>90</v>
      </c>
      <c r="V1593">
        <v>0</v>
      </c>
      <c r="W1593" t="s">
        <v>90</v>
      </c>
      <c r="X1593">
        <v>0</v>
      </c>
      <c r="Y1593">
        <v>1.8720469757490061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150</v>
      </c>
      <c r="AF1593">
        <v>328</v>
      </c>
      <c r="AG1593">
        <v>83</v>
      </c>
      <c r="AI1593">
        <v>0.19</v>
      </c>
      <c r="AK1593" t="s">
        <v>740</v>
      </c>
      <c r="AL1593" t="s">
        <v>4677</v>
      </c>
      <c r="AM1593">
        <v>200000</v>
      </c>
      <c r="AN1593" t="s">
        <v>97</v>
      </c>
      <c r="AO1593">
        <v>1</v>
      </c>
      <c r="AP1593">
        <v>0</v>
      </c>
      <c r="AQ1593">
        <v>16666.666666666668</v>
      </c>
      <c r="AR1593" t="s">
        <v>4686</v>
      </c>
      <c r="AS1593" t="s">
        <v>75</v>
      </c>
      <c r="AX1593" t="s">
        <v>76</v>
      </c>
      <c r="AY1593" t="s">
        <v>176</v>
      </c>
      <c r="AZ1593">
        <v>6.9999999999999999E-4</v>
      </c>
      <c r="BA1593" t="s">
        <v>176</v>
      </c>
      <c r="BB1593">
        <v>0</v>
      </c>
    </row>
    <row r="1594" spans="1:56" x14ac:dyDescent="0.15">
      <c r="A1594" s="4" t="str">
        <f>HYPERLINK("https://ibp.a2mac1.com/costing(costing:projects/details/9760/part/8415034)","C Pillar Central Panel")</f>
        <v>C Pillar Central Panel</v>
      </c>
      <c r="B1594">
        <v>8415034</v>
      </c>
      <c r="C1594">
        <v>8414931</v>
      </c>
      <c r="E1594">
        <v>1.41</v>
      </c>
      <c r="F1594">
        <v>0</v>
      </c>
      <c r="G1594">
        <v>0</v>
      </c>
      <c r="H1594">
        <v>7.1345999999999996E-3</v>
      </c>
      <c r="I1594" t="s">
        <v>176</v>
      </c>
      <c r="J1594">
        <v>4.9349999999999998E-2</v>
      </c>
      <c r="K1594">
        <v>1.4664846</v>
      </c>
      <c r="L1594">
        <v>0.18603101431739902</v>
      </c>
      <c r="M1594">
        <v>1.1161860859043939</v>
      </c>
      <c r="N1594">
        <v>2.582670685904394</v>
      </c>
      <c r="O1594" t="s">
        <v>177</v>
      </c>
      <c r="P1594">
        <v>8.7989075999999999E-2</v>
      </c>
      <c r="Q1594" t="s">
        <v>177</v>
      </c>
      <c r="R1594">
        <v>6.6971165154263643E-2</v>
      </c>
      <c r="S1594" t="s">
        <v>178</v>
      </c>
      <c r="T1594">
        <v>0.30992048230852731</v>
      </c>
      <c r="U1594" t="s">
        <v>90</v>
      </c>
      <c r="V1594">
        <v>0</v>
      </c>
      <c r="W1594" t="s">
        <v>90</v>
      </c>
      <c r="X1594">
        <v>0</v>
      </c>
      <c r="Y1594">
        <v>3.0475514093671849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120</v>
      </c>
      <c r="AF1594">
        <v>332</v>
      </c>
      <c r="AG1594">
        <v>310</v>
      </c>
      <c r="AI1594">
        <v>0.316</v>
      </c>
      <c r="AK1594" t="s">
        <v>740</v>
      </c>
      <c r="AL1594" t="s">
        <v>4677</v>
      </c>
      <c r="AM1594">
        <v>200000</v>
      </c>
      <c r="AN1594" t="s">
        <v>97</v>
      </c>
      <c r="AO1594">
        <v>1</v>
      </c>
      <c r="AP1594">
        <v>0</v>
      </c>
      <c r="AQ1594">
        <v>16666.666666666668</v>
      </c>
      <c r="AR1594" t="s">
        <v>4689</v>
      </c>
      <c r="AS1594" t="s">
        <v>75</v>
      </c>
      <c r="AX1594" t="s">
        <v>76</v>
      </c>
      <c r="AY1594" t="s">
        <v>176</v>
      </c>
      <c r="AZ1594">
        <v>0</v>
      </c>
      <c r="BA1594" t="s">
        <v>176</v>
      </c>
      <c r="BB1594">
        <v>0</v>
      </c>
    </row>
    <row r="1595" spans="1:56" x14ac:dyDescent="0.15">
      <c r="A1595" s="4" t="str">
        <f>HYPERLINK("https://ibp.a2mac1.com/costing(costing:projects/details/9760/part/8415035)","C Pillar Lower Panel")</f>
        <v>C Pillar Lower Panel</v>
      </c>
      <c r="B1595">
        <v>8415035</v>
      </c>
      <c r="C1595">
        <v>8414931</v>
      </c>
      <c r="E1595">
        <v>0.934078992</v>
      </c>
      <c r="F1595">
        <v>0.08</v>
      </c>
      <c r="G1595">
        <v>0</v>
      </c>
      <c r="H1595">
        <v>4.7382854130526312E-3</v>
      </c>
      <c r="I1595" t="s">
        <v>176</v>
      </c>
      <c r="J1595">
        <v>3.2774701473684213E-2</v>
      </c>
      <c r="K1595">
        <v>1.0543919788867369</v>
      </c>
      <c r="L1595">
        <v>5.3574734444988205E-2</v>
      </c>
      <c r="M1595">
        <v>0.32144840666992924</v>
      </c>
      <c r="N1595">
        <v>1.3758403855566661</v>
      </c>
      <c r="O1595" t="s">
        <v>177</v>
      </c>
      <c r="P1595">
        <v>6.326351873320421E-2</v>
      </c>
      <c r="Q1595" t="s">
        <v>177</v>
      </c>
      <c r="R1595">
        <v>1.9286904400195756E-2</v>
      </c>
      <c r="S1595" t="s">
        <v>178</v>
      </c>
      <c r="T1595">
        <v>0.16510084626679994</v>
      </c>
      <c r="U1595" t="s">
        <v>90</v>
      </c>
      <c r="V1595">
        <v>0</v>
      </c>
      <c r="W1595" t="s">
        <v>90</v>
      </c>
      <c r="X1595">
        <v>0</v>
      </c>
      <c r="Y1595">
        <v>1.6234916549568659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73</v>
      </c>
      <c r="AF1595">
        <v>438</v>
      </c>
      <c r="AG1595">
        <v>260</v>
      </c>
      <c r="AI1595">
        <v>0.35199999999999998</v>
      </c>
      <c r="AK1595" t="s">
        <v>740</v>
      </c>
      <c r="AL1595" t="s">
        <v>4692</v>
      </c>
      <c r="AM1595">
        <v>200000</v>
      </c>
      <c r="AN1595" t="s">
        <v>97</v>
      </c>
      <c r="AO1595">
        <v>1</v>
      </c>
      <c r="AP1595">
        <v>0</v>
      </c>
      <c r="AQ1595">
        <v>16666.666666666668</v>
      </c>
      <c r="AR1595" t="s">
        <v>4693</v>
      </c>
      <c r="AS1595" t="s">
        <v>75</v>
      </c>
      <c r="AX1595" t="s">
        <v>76</v>
      </c>
      <c r="AY1595" t="s">
        <v>176</v>
      </c>
      <c r="AZ1595">
        <v>2.8E-3</v>
      </c>
      <c r="BA1595" t="s">
        <v>176</v>
      </c>
      <c r="BB1595">
        <v>0</v>
      </c>
    </row>
    <row r="1596" spans="1:56" x14ac:dyDescent="0.15">
      <c r="A1596" s="4" t="str">
        <f>HYPERLINK("https://ibp.a2mac1.com/costing(costing:projects/details/9760/part/8415036)","Rear Quarter Panel")</f>
        <v>Rear Quarter Panel</v>
      </c>
      <c r="B1596">
        <v>8415036</v>
      </c>
      <c r="C1596">
        <v>8414931</v>
      </c>
      <c r="E1596">
        <v>0.41900205899999998</v>
      </c>
      <c r="F1596">
        <v>0.02</v>
      </c>
      <c r="G1596">
        <v>0</v>
      </c>
      <c r="H1596">
        <v>2.1254640787368422E-3</v>
      </c>
      <c r="I1596" t="s">
        <v>176</v>
      </c>
      <c r="J1596">
        <v>1.4701826631578947E-2</v>
      </c>
      <c r="K1596">
        <v>0.45652934971031578</v>
      </c>
      <c r="L1596">
        <v>3.414781339703462E-2</v>
      </c>
      <c r="M1596">
        <v>0.20488688038220773</v>
      </c>
      <c r="N1596">
        <v>0.66141623009252348</v>
      </c>
      <c r="O1596" t="s">
        <v>177</v>
      </c>
      <c r="P1596">
        <v>2.7391760982618946E-2</v>
      </c>
      <c r="Q1596" t="s">
        <v>177</v>
      </c>
      <c r="R1596">
        <v>1.2293212822932463E-2</v>
      </c>
      <c r="S1596" t="s">
        <v>178</v>
      </c>
      <c r="T1596">
        <v>7.9369947611102817E-2</v>
      </c>
      <c r="U1596" t="s">
        <v>90</v>
      </c>
      <c r="V1596">
        <v>0</v>
      </c>
      <c r="W1596" t="s">
        <v>90</v>
      </c>
      <c r="X1596">
        <v>0</v>
      </c>
      <c r="Y1596">
        <v>0.78047115150917779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115</v>
      </c>
      <c r="AF1596">
        <v>617</v>
      </c>
      <c r="AG1596">
        <v>198</v>
      </c>
      <c r="AI1596">
        <v>0.223</v>
      </c>
      <c r="AK1596" t="s">
        <v>740</v>
      </c>
      <c r="AL1596" t="s">
        <v>951</v>
      </c>
      <c r="AM1596">
        <v>200000</v>
      </c>
      <c r="AN1596" t="s">
        <v>97</v>
      </c>
      <c r="AO1596">
        <v>1</v>
      </c>
      <c r="AP1596">
        <v>0</v>
      </c>
      <c r="AQ1596">
        <v>16666.666666666668</v>
      </c>
      <c r="AR1596" t="s">
        <v>4698</v>
      </c>
      <c r="AS1596" t="s">
        <v>75</v>
      </c>
      <c r="AX1596" t="s">
        <v>76</v>
      </c>
      <c r="AY1596" t="s">
        <v>176</v>
      </c>
      <c r="AZ1596">
        <v>6.9999999999999999E-4</v>
      </c>
      <c r="BA1596" t="s">
        <v>176</v>
      </c>
      <c r="BB1596">
        <v>0</v>
      </c>
    </row>
    <row r="1597" spans="1:56" x14ac:dyDescent="0.15">
      <c r="A1597" s="4" t="str">
        <f>HYPERLINK("https://ibp.a2mac1.com/costing(costing:projects/details/9760/part/8415037)","C Pillar Panel Support")</f>
        <v>C Pillar Panel Support</v>
      </c>
      <c r="B1597">
        <v>8415037</v>
      </c>
      <c r="C1597">
        <v>8414931</v>
      </c>
      <c r="E1597">
        <v>1.0221395520000001</v>
      </c>
      <c r="F1597">
        <v>0.06</v>
      </c>
      <c r="G1597">
        <v>0</v>
      </c>
      <c r="H1597">
        <v>5.1849886046315789E-3</v>
      </c>
      <c r="I1597" t="s">
        <v>176</v>
      </c>
      <c r="J1597">
        <v>3.5864545684210526E-2</v>
      </c>
      <c r="K1597">
        <v>1.1252890862888421</v>
      </c>
      <c r="L1597">
        <v>8.183207415110251E-2</v>
      </c>
      <c r="M1597">
        <v>0.49099244490661503</v>
      </c>
      <c r="N1597">
        <v>1.6162815311954573</v>
      </c>
      <c r="O1597" t="s">
        <v>177</v>
      </c>
      <c r="P1597">
        <v>6.7517345177330532E-2</v>
      </c>
      <c r="Q1597" t="s">
        <v>177</v>
      </c>
      <c r="R1597">
        <v>2.9459546694396904E-2</v>
      </c>
      <c r="S1597" t="s">
        <v>178</v>
      </c>
      <c r="T1597">
        <v>0.19395378374345487</v>
      </c>
      <c r="U1597" t="s">
        <v>90</v>
      </c>
      <c r="V1597">
        <v>0</v>
      </c>
      <c r="W1597" t="s">
        <v>90</v>
      </c>
      <c r="X1597">
        <v>0</v>
      </c>
      <c r="Y1597">
        <v>1.9072122068106394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183</v>
      </c>
      <c r="AF1597">
        <v>622</v>
      </c>
      <c r="AG1597">
        <v>665</v>
      </c>
      <c r="AI1597">
        <v>0.54400000000000004</v>
      </c>
      <c r="AK1597" t="s">
        <v>740</v>
      </c>
      <c r="AL1597" t="s">
        <v>951</v>
      </c>
      <c r="AM1597">
        <v>200000</v>
      </c>
      <c r="AN1597" t="s">
        <v>97</v>
      </c>
      <c r="AO1597">
        <v>1</v>
      </c>
      <c r="AP1597">
        <v>0</v>
      </c>
      <c r="AQ1597">
        <v>16666.666666666668</v>
      </c>
      <c r="AR1597" t="s">
        <v>4703</v>
      </c>
      <c r="AS1597" t="s">
        <v>75</v>
      </c>
      <c r="AX1597" t="s">
        <v>76</v>
      </c>
      <c r="AY1597" t="s">
        <v>176</v>
      </c>
      <c r="AZ1597">
        <v>2.0999999999999999E-3</v>
      </c>
      <c r="BA1597" t="s">
        <v>176</v>
      </c>
      <c r="BB1597">
        <v>0</v>
      </c>
    </row>
    <row r="1598" spans="1:56" x14ac:dyDescent="0.15">
      <c r="A1598" s="4" t="str">
        <f>HYPERLINK("https://ibp.a2mac1.com/costing(costing:projects/details/9760/part/8415038)","2nd C Pillar Panel Support")</f>
        <v>2nd C Pillar Panel Support</v>
      </c>
      <c r="B1598">
        <v>8415038</v>
      </c>
      <c r="C1598">
        <v>8414931</v>
      </c>
      <c r="D1598" t="s">
        <v>4704</v>
      </c>
      <c r="E1598">
        <v>0.22359999999999999</v>
      </c>
      <c r="F1598">
        <v>0</v>
      </c>
      <c r="G1598">
        <v>0</v>
      </c>
      <c r="H1598">
        <v>0</v>
      </c>
      <c r="I1598" t="s">
        <v>71</v>
      </c>
      <c r="J1598">
        <v>0</v>
      </c>
      <c r="K1598">
        <v>0.22359999999999999</v>
      </c>
      <c r="L1598">
        <v>0</v>
      </c>
      <c r="M1598">
        <v>0</v>
      </c>
      <c r="N1598">
        <v>0.22359999999999999</v>
      </c>
      <c r="O1598" t="s">
        <v>71</v>
      </c>
      <c r="P1598">
        <v>0</v>
      </c>
      <c r="Q1598" t="s">
        <v>71</v>
      </c>
      <c r="R1598">
        <v>0</v>
      </c>
      <c r="S1598" t="s">
        <v>71</v>
      </c>
      <c r="T1598">
        <v>0</v>
      </c>
      <c r="U1598" t="s">
        <v>71</v>
      </c>
      <c r="V1598">
        <v>0</v>
      </c>
      <c r="W1598" t="s">
        <v>71</v>
      </c>
      <c r="X1598">
        <v>0</v>
      </c>
      <c r="Y1598">
        <v>0.22359999999999999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45</v>
      </c>
      <c r="AF1598">
        <v>39</v>
      </c>
      <c r="AG1598">
        <v>84</v>
      </c>
      <c r="AI1598">
        <v>4.8000000000000001E-2</v>
      </c>
      <c r="AK1598" t="s">
        <v>740</v>
      </c>
      <c r="AL1598" t="s">
        <v>96</v>
      </c>
      <c r="AM1598">
        <v>200000</v>
      </c>
      <c r="AN1598" t="s">
        <v>97</v>
      </c>
      <c r="AO1598">
        <v>1</v>
      </c>
      <c r="AP1598">
        <v>0</v>
      </c>
      <c r="AQ1598">
        <v>16666.666666666668</v>
      </c>
      <c r="AR1598" t="s">
        <v>4705</v>
      </c>
      <c r="AS1598" t="s">
        <v>75</v>
      </c>
      <c r="AX1598" t="s">
        <v>76</v>
      </c>
      <c r="AY1598" t="s">
        <v>71</v>
      </c>
      <c r="AZ1598">
        <v>0</v>
      </c>
      <c r="BA1598" t="s">
        <v>71</v>
      </c>
      <c r="BB1598">
        <v>0</v>
      </c>
      <c r="BD1598">
        <v>0.22359999999999999</v>
      </c>
    </row>
    <row r="1599" spans="1:56" x14ac:dyDescent="0.15">
      <c r="A1599" s="4" t="str">
        <f>HYPERLINK("https://ibp.a2mac1.com/costing(costing:projects/details/9760/part/8415039)","Second Rear Quarter Panel")</f>
        <v>Second Rear Quarter Panel</v>
      </c>
      <c r="B1599">
        <v>8415039</v>
      </c>
      <c r="C1599">
        <v>8414931</v>
      </c>
      <c r="E1599">
        <v>0.43</v>
      </c>
      <c r="F1599">
        <v>0.04</v>
      </c>
      <c r="G1599">
        <v>0</v>
      </c>
      <c r="H1599">
        <v>2.1757999999999999E-3</v>
      </c>
      <c r="I1599" t="s">
        <v>176</v>
      </c>
      <c r="J1599">
        <v>1.5049999999999999E-2</v>
      </c>
      <c r="K1599">
        <v>0.4886258</v>
      </c>
      <c r="L1599">
        <v>5.8872985639884634E-2</v>
      </c>
      <c r="M1599">
        <v>0.3532379138393078</v>
      </c>
      <c r="N1599">
        <v>0.8418637138393078</v>
      </c>
      <c r="O1599" t="s">
        <v>177</v>
      </c>
      <c r="P1599">
        <v>2.9317547999999999E-2</v>
      </c>
      <c r="Q1599" t="s">
        <v>177</v>
      </c>
      <c r="R1599">
        <v>2.1194274830358469E-2</v>
      </c>
      <c r="S1599" t="s">
        <v>178</v>
      </c>
      <c r="T1599">
        <v>0.10102364566071693</v>
      </c>
      <c r="U1599" t="s">
        <v>90</v>
      </c>
      <c r="V1599">
        <v>0</v>
      </c>
      <c r="W1599" t="s">
        <v>90</v>
      </c>
      <c r="X1599">
        <v>0</v>
      </c>
      <c r="Y1599">
        <v>0.99339918233038327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50</v>
      </c>
      <c r="AF1599">
        <v>98</v>
      </c>
      <c r="AG1599">
        <v>280</v>
      </c>
      <c r="AI1599">
        <v>9.6000000000000002E-2</v>
      </c>
      <c r="AK1599" t="s">
        <v>740</v>
      </c>
      <c r="AL1599" t="s">
        <v>412</v>
      </c>
      <c r="AM1599">
        <v>200000</v>
      </c>
      <c r="AN1599" t="s">
        <v>97</v>
      </c>
      <c r="AO1599">
        <v>1</v>
      </c>
      <c r="AP1599">
        <v>0</v>
      </c>
      <c r="AQ1599">
        <v>16666.666666666668</v>
      </c>
      <c r="AR1599" t="s">
        <v>4708</v>
      </c>
      <c r="AS1599" t="s">
        <v>75</v>
      </c>
      <c r="AX1599" t="s">
        <v>76</v>
      </c>
      <c r="AY1599" t="s">
        <v>176</v>
      </c>
      <c r="AZ1599">
        <v>1.4E-3</v>
      </c>
      <c r="BA1599" t="s">
        <v>176</v>
      </c>
      <c r="BB1599">
        <v>0</v>
      </c>
    </row>
    <row r="1600" spans="1:56" x14ac:dyDescent="0.15">
      <c r="A1600" s="4" t="str">
        <f>HYPERLINK("https://ibp.a2mac1.com/costing(costing:projects/details/9760/part/8415041)","B Pillar Upper Panel")</f>
        <v>B Pillar Upper Panel</v>
      </c>
      <c r="B1600">
        <v>8415041</v>
      </c>
      <c r="C1600">
        <v>8414931</v>
      </c>
      <c r="E1600">
        <v>1.91</v>
      </c>
      <c r="F1600">
        <v>0.14000000000000001</v>
      </c>
      <c r="G1600">
        <v>0</v>
      </c>
      <c r="H1600">
        <v>9.6646000000000006E-3</v>
      </c>
      <c r="I1600" t="s">
        <v>176</v>
      </c>
      <c r="J1600">
        <v>6.6850000000000007E-2</v>
      </c>
      <c r="K1600">
        <v>2.1314145999999998</v>
      </c>
      <c r="L1600">
        <v>0.25137611238778834</v>
      </c>
      <c r="M1600">
        <v>1.5082566743267301</v>
      </c>
      <c r="N1600">
        <v>3.6396712743267301</v>
      </c>
      <c r="O1600" t="s">
        <v>177</v>
      </c>
      <c r="P1600">
        <v>0.12788487600000001</v>
      </c>
      <c r="Q1600" t="s">
        <v>177</v>
      </c>
      <c r="R1600">
        <v>9.0495400459603803E-2</v>
      </c>
      <c r="S1600" t="s">
        <v>178</v>
      </c>
      <c r="T1600">
        <v>0.43676055291920762</v>
      </c>
      <c r="U1600" t="s">
        <v>90</v>
      </c>
      <c r="V1600">
        <v>0</v>
      </c>
      <c r="W1600" t="s">
        <v>90</v>
      </c>
      <c r="X1600">
        <v>0</v>
      </c>
      <c r="Y1600">
        <v>4.2948121037055413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89</v>
      </c>
      <c r="AF1600">
        <v>350</v>
      </c>
      <c r="AG1600">
        <v>440</v>
      </c>
      <c r="AI1600">
        <v>0.43</v>
      </c>
      <c r="AK1600" t="s">
        <v>740</v>
      </c>
      <c r="AL1600" t="s">
        <v>951</v>
      </c>
      <c r="AM1600">
        <v>200000</v>
      </c>
      <c r="AN1600" t="s">
        <v>97</v>
      </c>
      <c r="AO1600">
        <v>1</v>
      </c>
      <c r="AP1600">
        <v>0</v>
      </c>
      <c r="AQ1600">
        <v>16666.666666666668</v>
      </c>
      <c r="AR1600" t="s">
        <v>4711</v>
      </c>
      <c r="AS1600" t="s">
        <v>75</v>
      </c>
      <c r="AX1600" t="s">
        <v>76</v>
      </c>
      <c r="AY1600" t="s">
        <v>176</v>
      </c>
      <c r="AZ1600">
        <v>4.8999999999999998E-3</v>
      </c>
      <c r="BA1600" t="s">
        <v>176</v>
      </c>
      <c r="BB1600">
        <v>0</v>
      </c>
    </row>
    <row r="1601" spans="1:56" x14ac:dyDescent="0.15">
      <c r="A1601" s="4" t="str">
        <f>HYPERLINK("https://ibp.a2mac1.com/costing(costing:projects/details/9760/part/8415106)","Lower")</f>
        <v>Lower</v>
      </c>
      <c r="B1601">
        <v>8415106</v>
      </c>
      <c r="C1601">
        <v>8415044</v>
      </c>
      <c r="E1601">
        <v>2.3199999999999998</v>
      </c>
      <c r="F1601">
        <v>1</v>
      </c>
      <c r="G1601">
        <v>0</v>
      </c>
      <c r="H1601">
        <v>1.17392E-2</v>
      </c>
      <c r="I1601" t="s">
        <v>176</v>
      </c>
      <c r="J1601">
        <v>8.1199999999999994E-2</v>
      </c>
      <c r="K1601">
        <v>3.4479392</v>
      </c>
      <c r="L1601">
        <v>0.35557505255408484</v>
      </c>
      <c r="M1601">
        <v>2.133450315324509</v>
      </c>
      <c r="N1601">
        <v>5.581389515324509</v>
      </c>
      <c r="O1601" t="s">
        <v>177</v>
      </c>
      <c r="P1601">
        <v>0.20687635200000001</v>
      </c>
      <c r="Q1601" t="s">
        <v>177</v>
      </c>
      <c r="R1601">
        <v>0.12800701891947053</v>
      </c>
      <c r="S1601" t="s">
        <v>178</v>
      </c>
      <c r="T1601">
        <v>0.66976674183894103</v>
      </c>
      <c r="U1601" t="s">
        <v>90</v>
      </c>
      <c r="V1601">
        <v>0</v>
      </c>
      <c r="W1601" t="s">
        <v>90</v>
      </c>
      <c r="X1601">
        <v>0</v>
      </c>
      <c r="Y1601">
        <v>6.5860396280829203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258</v>
      </c>
      <c r="AF1601">
        <v>1200</v>
      </c>
      <c r="AG1601">
        <v>565</v>
      </c>
      <c r="AI1601">
        <v>0.96299999999999997</v>
      </c>
      <c r="AK1601" t="s">
        <v>740</v>
      </c>
      <c r="AL1601" t="s">
        <v>1375</v>
      </c>
      <c r="AM1601">
        <v>200000</v>
      </c>
      <c r="AN1601" t="s">
        <v>97</v>
      </c>
      <c r="AO1601">
        <v>1</v>
      </c>
      <c r="AP1601">
        <v>0</v>
      </c>
      <c r="AQ1601">
        <v>16666.666666666668</v>
      </c>
      <c r="AR1601" t="s">
        <v>4718</v>
      </c>
      <c r="AS1601" t="s">
        <v>75</v>
      </c>
      <c r="AX1601" t="s">
        <v>76</v>
      </c>
      <c r="AY1601" t="s">
        <v>176</v>
      </c>
      <c r="AZ1601">
        <v>3.5000000000000003E-2</v>
      </c>
      <c r="BA1601" t="s">
        <v>176</v>
      </c>
      <c r="BB1601">
        <v>0</v>
      </c>
    </row>
    <row r="1602" spans="1:56" x14ac:dyDescent="0.15">
      <c r="A1602" s="4" t="str">
        <f>HYPERLINK("https://ibp.a2mac1.com/costing(costing:projects/details/9760/part/8415107)","Access Panel no storage")</f>
        <v>Access Panel no storage</v>
      </c>
      <c r="B1602">
        <v>8415107</v>
      </c>
      <c r="C1602">
        <v>8415044</v>
      </c>
      <c r="E1602">
        <v>0.08</v>
      </c>
      <c r="F1602">
        <v>0</v>
      </c>
      <c r="G1602">
        <v>0</v>
      </c>
      <c r="H1602">
        <v>4.0479999999999997E-4</v>
      </c>
      <c r="I1602" t="s">
        <v>176</v>
      </c>
      <c r="J1602">
        <v>2.8E-3</v>
      </c>
      <c r="K1602">
        <v>8.3204799999999995E-2</v>
      </c>
      <c r="L1602">
        <v>1.4720892349081038E-2</v>
      </c>
      <c r="M1602">
        <v>8.8325354094486219E-2</v>
      </c>
      <c r="N1602">
        <v>0.17153015409448621</v>
      </c>
      <c r="O1602" t="s">
        <v>177</v>
      </c>
      <c r="P1602">
        <v>4.9922880000000001E-3</v>
      </c>
      <c r="Q1602" t="s">
        <v>177</v>
      </c>
      <c r="R1602">
        <v>5.2995212456691731E-3</v>
      </c>
      <c r="S1602" t="s">
        <v>178</v>
      </c>
      <c r="T1602">
        <v>2.0583618491338346E-2</v>
      </c>
      <c r="U1602" t="s">
        <v>90</v>
      </c>
      <c r="V1602">
        <v>0</v>
      </c>
      <c r="W1602" t="s">
        <v>90</v>
      </c>
      <c r="X1602">
        <v>0</v>
      </c>
      <c r="Y1602">
        <v>0.20240558183149374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18</v>
      </c>
      <c r="AF1602">
        <v>167</v>
      </c>
      <c r="AG1602">
        <v>139</v>
      </c>
      <c r="AI1602">
        <v>3.9E-2</v>
      </c>
      <c r="AK1602" t="s">
        <v>740</v>
      </c>
      <c r="AL1602" t="s">
        <v>1375</v>
      </c>
      <c r="AM1602">
        <v>200000</v>
      </c>
      <c r="AN1602" t="s">
        <v>97</v>
      </c>
      <c r="AO1602">
        <v>1</v>
      </c>
      <c r="AP1602">
        <v>0</v>
      </c>
      <c r="AQ1602">
        <v>16666.666666666668</v>
      </c>
      <c r="AR1602" t="s">
        <v>4722</v>
      </c>
      <c r="AS1602" t="s">
        <v>75</v>
      </c>
      <c r="AX1602" t="s">
        <v>76</v>
      </c>
      <c r="AY1602" t="s">
        <v>176</v>
      </c>
      <c r="AZ1602">
        <v>0</v>
      </c>
      <c r="BA1602" t="s">
        <v>176</v>
      </c>
      <c r="BB1602">
        <v>0</v>
      </c>
    </row>
    <row r="1603" spans="1:56" x14ac:dyDescent="0.15">
      <c r="A1603" s="4" t="str">
        <f>HYPERLINK("https://ibp.a2mac1.com/costing(costing:projects/details/9760/part/8415324)","Net")</f>
        <v>Net</v>
      </c>
      <c r="B1603">
        <v>8415324</v>
      </c>
      <c r="C1603">
        <v>8415109</v>
      </c>
      <c r="D1603" t="s">
        <v>4726</v>
      </c>
      <c r="E1603">
        <v>0.5</v>
      </c>
      <c r="F1603">
        <v>0</v>
      </c>
      <c r="G1603">
        <v>0</v>
      </c>
      <c r="H1603">
        <v>0</v>
      </c>
      <c r="I1603" t="s">
        <v>71</v>
      </c>
      <c r="J1603">
        <v>0</v>
      </c>
      <c r="K1603">
        <v>0.5</v>
      </c>
      <c r="L1603">
        <v>0</v>
      </c>
      <c r="M1603">
        <v>0</v>
      </c>
      <c r="N1603">
        <v>0.5</v>
      </c>
      <c r="O1603" t="s">
        <v>71</v>
      </c>
      <c r="P1603">
        <v>0</v>
      </c>
      <c r="Q1603" t="s">
        <v>71</v>
      </c>
      <c r="R1603">
        <v>0</v>
      </c>
      <c r="S1603" t="s">
        <v>71</v>
      </c>
      <c r="T1603">
        <v>0</v>
      </c>
      <c r="U1603" t="s">
        <v>71</v>
      </c>
      <c r="V1603">
        <v>0</v>
      </c>
      <c r="W1603" t="s">
        <v>71</v>
      </c>
      <c r="X1603">
        <v>0</v>
      </c>
      <c r="Y1603">
        <v>0.5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17</v>
      </c>
      <c r="AF1603">
        <v>410</v>
      </c>
      <c r="AG1603">
        <v>112</v>
      </c>
      <c r="AI1603">
        <v>0.107</v>
      </c>
      <c r="AK1603" t="s">
        <v>740</v>
      </c>
      <c r="AL1603" t="s">
        <v>405</v>
      </c>
      <c r="AM1603">
        <v>200000</v>
      </c>
      <c r="AN1603" t="s">
        <v>97</v>
      </c>
      <c r="AO1603">
        <v>1</v>
      </c>
      <c r="AP1603">
        <v>0</v>
      </c>
      <c r="AQ1603">
        <v>16666.666666666668</v>
      </c>
      <c r="AR1603" t="s">
        <v>4727</v>
      </c>
      <c r="AS1603" t="s">
        <v>75</v>
      </c>
      <c r="AX1603" t="s">
        <v>76</v>
      </c>
      <c r="AY1603" t="s">
        <v>71</v>
      </c>
      <c r="AZ1603">
        <v>0</v>
      </c>
      <c r="BA1603" t="s">
        <v>71</v>
      </c>
      <c r="BB1603">
        <v>0</v>
      </c>
      <c r="BD1603">
        <v>0.5</v>
      </c>
    </row>
    <row r="1604" spans="1:56" x14ac:dyDescent="0.15">
      <c r="A1604" s="4" t="str">
        <f>HYPERLINK("https://ibp.a2mac1.com/costing(costing:projects/details/9760/part/8415108)","Lower")</f>
        <v>Lower</v>
      </c>
      <c r="B1604">
        <v>8415108</v>
      </c>
      <c r="C1604">
        <v>8415045</v>
      </c>
      <c r="E1604">
        <v>2.3199999999999998</v>
      </c>
      <c r="F1604">
        <v>0.88</v>
      </c>
      <c r="G1604">
        <v>0</v>
      </c>
      <c r="H1604">
        <v>1.17392E-2</v>
      </c>
      <c r="I1604" t="s">
        <v>176</v>
      </c>
      <c r="J1604">
        <v>8.1199999999999994E-2</v>
      </c>
      <c r="K1604">
        <v>3.3237391999999999</v>
      </c>
      <c r="L1604">
        <v>0.35557505255408484</v>
      </c>
      <c r="M1604">
        <v>2.133450315324509</v>
      </c>
      <c r="N1604">
        <v>5.4571895153245089</v>
      </c>
      <c r="O1604" t="s">
        <v>177</v>
      </c>
      <c r="P1604">
        <v>0.199424352</v>
      </c>
      <c r="Q1604" t="s">
        <v>177</v>
      </c>
      <c r="R1604">
        <v>0.12800701891947053</v>
      </c>
      <c r="S1604" t="s">
        <v>178</v>
      </c>
      <c r="T1604">
        <v>0.65486274183894111</v>
      </c>
      <c r="U1604" t="s">
        <v>90</v>
      </c>
      <c r="V1604">
        <v>0</v>
      </c>
      <c r="W1604" t="s">
        <v>90</v>
      </c>
      <c r="X1604">
        <v>0</v>
      </c>
      <c r="Y1604">
        <v>6.4394836280829209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330</v>
      </c>
      <c r="AF1604">
        <v>1200</v>
      </c>
      <c r="AG1604">
        <v>565</v>
      </c>
      <c r="AI1604">
        <v>1.121</v>
      </c>
      <c r="AK1604" t="s">
        <v>740</v>
      </c>
      <c r="AL1604" t="s">
        <v>403</v>
      </c>
      <c r="AM1604">
        <v>200000</v>
      </c>
      <c r="AN1604" t="s">
        <v>97</v>
      </c>
      <c r="AO1604">
        <v>1</v>
      </c>
      <c r="AP1604">
        <v>0</v>
      </c>
      <c r="AQ1604">
        <v>16666.666666666668</v>
      </c>
      <c r="AR1604" t="s">
        <v>4731</v>
      </c>
      <c r="AS1604" t="s">
        <v>75</v>
      </c>
      <c r="AX1604" t="s">
        <v>76</v>
      </c>
      <c r="AY1604" t="s">
        <v>176</v>
      </c>
      <c r="AZ1604">
        <v>3.0800000000000001E-2</v>
      </c>
      <c r="BA1604" t="s">
        <v>176</v>
      </c>
      <c r="BB1604">
        <v>0</v>
      </c>
    </row>
    <row r="1605" spans="1:56" x14ac:dyDescent="0.15">
      <c r="A1605" s="4" t="str">
        <f>HYPERLINK("https://ibp.a2mac1.com/costing(costing:projects/details/9760/part/8415042)","Sill Panel")</f>
        <v>Sill Panel</v>
      </c>
      <c r="B1605">
        <v>8415042</v>
      </c>
      <c r="C1605">
        <v>8414932</v>
      </c>
      <c r="E1605">
        <v>1.375378956</v>
      </c>
      <c r="F1605">
        <v>0</v>
      </c>
      <c r="G1605">
        <v>0</v>
      </c>
      <c r="H1605">
        <v>6.9768596665263161E-3</v>
      </c>
      <c r="I1605" t="s">
        <v>176</v>
      </c>
      <c r="J1605">
        <v>4.8258910736842103E-2</v>
      </c>
      <c r="K1605">
        <v>1.4306147264033684</v>
      </c>
      <c r="L1605">
        <v>0.11715374878374539</v>
      </c>
      <c r="M1605">
        <v>0.70292249270247231</v>
      </c>
      <c r="N1605">
        <v>2.1335372191058406</v>
      </c>
      <c r="O1605" t="s">
        <v>177</v>
      </c>
      <c r="P1605">
        <v>8.5836883584202106E-2</v>
      </c>
      <c r="Q1605" t="s">
        <v>177</v>
      </c>
      <c r="R1605">
        <v>4.2175349562148343E-2</v>
      </c>
      <c r="S1605" t="s">
        <v>178</v>
      </c>
      <c r="T1605">
        <v>0.25602446629270087</v>
      </c>
      <c r="U1605" t="s">
        <v>90</v>
      </c>
      <c r="V1605">
        <v>0</v>
      </c>
      <c r="W1605" t="s">
        <v>90</v>
      </c>
      <c r="X1605">
        <v>0</v>
      </c>
      <c r="Y1605">
        <v>2.5175739185448922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146</v>
      </c>
      <c r="AF1605">
        <v>833</v>
      </c>
      <c r="AG1605">
        <v>226</v>
      </c>
      <c r="AI1605">
        <v>0.73199999999999998</v>
      </c>
      <c r="AK1605" t="s">
        <v>740</v>
      </c>
      <c r="AL1605" t="s">
        <v>951</v>
      </c>
      <c r="AM1605">
        <v>200000</v>
      </c>
      <c r="AN1605" t="s">
        <v>97</v>
      </c>
      <c r="AO1605">
        <v>1</v>
      </c>
      <c r="AP1605">
        <v>0</v>
      </c>
      <c r="AQ1605">
        <v>16666.666666666668</v>
      </c>
      <c r="AR1605" t="s">
        <v>4737</v>
      </c>
      <c r="AS1605" t="s">
        <v>75</v>
      </c>
      <c r="AX1605" t="s">
        <v>76</v>
      </c>
      <c r="AY1605" t="s">
        <v>176</v>
      </c>
      <c r="AZ1605">
        <v>0</v>
      </c>
      <c r="BA1605" t="s">
        <v>176</v>
      </c>
      <c r="BB1605">
        <v>0</v>
      </c>
    </row>
    <row r="1606" spans="1:56" x14ac:dyDescent="0.15">
      <c r="A1606" s="4" t="str">
        <f>HYPERLINK("https://ibp.a2mac1.com/costing(costing:projects/details/9760/part/8415043)","Trunk Hinges Trims")</f>
        <v>Trunk Hinges Trims</v>
      </c>
      <c r="B1606">
        <v>8415043</v>
      </c>
      <c r="C1606">
        <v>8414932</v>
      </c>
      <c r="E1606">
        <v>9.3451512E-2</v>
      </c>
      <c r="F1606">
        <v>0</v>
      </c>
      <c r="G1606">
        <v>0</v>
      </c>
      <c r="H1606">
        <v>4.7123920336842104E-4</v>
      </c>
      <c r="I1606" t="s">
        <v>176</v>
      </c>
      <c r="J1606">
        <v>3.2790004210526318E-3</v>
      </c>
      <c r="K1606">
        <v>9.7201751624421059E-2</v>
      </c>
      <c r="L1606">
        <v>1.6486483961553708E-2</v>
      </c>
      <c r="M1606">
        <v>9.8918903769322247E-2</v>
      </c>
      <c r="N1606">
        <v>0.19612065539374329</v>
      </c>
      <c r="O1606" t="s">
        <v>177</v>
      </c>
      <c r="P1606">
        <v>5.832105097465263E-3</v>
      </c>
      <c r="Q1606" t="s">
        <v>177</v>
      </c>
      <c r="R1606">
        <v>5.9351342261593342E-3</v>
      </c>
      <c r="S1606" t="s">
        <v>178</v>
      </c>
      <c r="T1606">
        <v>2.3534478647249196E-2</v>
      </c>
      <c r="U1606" t="s">
        <v>90</v>
      </c>
      <c r="V1606">
        <v>0</v>
      </c>
      <c r="W1606" t="s">
        <v>90</v>
      </c>
      <c r="X1606">
        <v>0</v>
      </c>
      <c r="Y1606">
        <v>0.23142237336461707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126</v>
      </c>
      <c r="AF1606">
        <v>80</v>
      </c>
      <c r="AG1606">
        <v>82</v>
      </c>
      <c r="AI1606">
        <v>4.3999999999999997E-2</v>
      </c>
      <c r="AK1606" t="s">
        <v>740</v>
      </c>
      <c r="AL1606" t="s">
        <v>399</v>
      </c>
      <c r="AM1606">
        <v>400000</v>
      </c>
      <c r="AN1606" t="s">
        <v>97</v>
      </c>
      <c r="AO1606">
        <v>2</v>
      </c>
      <c r="AP1606">
        <v>0</v>
      </c>
      <c r="AQ1606">
        <v>33333.333333333336</v>
      </c>
      <c r="AR1606" t="s">
        <v>4742</v>
      </c>
      <c r="AS1606" t="s">
        <v>75</v>
      </c>
      <c r="AX1606" t="s">
        <v>76</v>
      </c>
      <c r="AY1606" t="s">
        <v>176</v>
      </c>
      <c r="AZ1606">
        <v>0</v>
      </c>
      <c r="BA1606" t="s">
        <v>176</v>
      </c>
      <c r="BB1606">
        <v>0</v>
      </c>
    </row>
    <row r="1607" spans="1:56" x14ac:dyDescent="0.15">
      <c r="A1607" s="4" t="str">
        <f>HYPERLINK("https://ibp.a2mac1.com/costing(costing:projects/details/9760/part/8415110)","Rear")</f>
        <v>Rear</v>
      </c>
      <c r="B1607">
        <v>8415110</v>
      </c>
      <c r="C1607">
        <v>8415056</v>
      </c>
      <c r="E1607">
        <v>0.447186054</v>
      </c>
      <c r="F1607">
        <v>0.13</v>
      </c>
      <c r="G1607">
        <v>0</v>
      </c>
      <c r="H1607">
        <v>2.268432514526316E-3</v>
      </c>
      <c r="I1607" t="s">
        <v>176</v>
      </c>
      <c r="J1607">
        <v>1.5690738736842104E-2</v>
      </c>
      <c r="K1607">
        <v>0.59969522525136842</v>
      </c>
      <c r="L1607">
        <v>3.767998086029891E-2</v>
      </c>
      <c r="M1607">
        <v>0.22607988516179345</v>
      </c>
      <c r="N1607">
        <v>0.82577511041316187</v>
      </c>
      <c r="O1607" t="s">
        <v>177</v>
      </c>
      <c r="P1607">
        <v>3.5981713515082107E-2</v>
      </c>
      <c r="Q1607" t="s">
        <v>177</v>
      </c>
      <c r="R1607">
        <v>1.3564793109707608E-2</v>
      </c>
      <c r="S1607" t="s">
        <v>178</v>
      </c>
      <c r="T1607">
        <v>9.909301324957942E-2</v>
      </c>
      <c r="U1607" t="s">
        <v>90</v>
      </c>
      <c r="V1607">
        <v>0</v>
      </c>
      <c r="W1607" t="s">
        <v>90</v>
      </c>
      <c r="X1607">
        <v>0</v>
      </c>
      <c r="Y1607">
        <v>0.97441463028753106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175</v>
      </c>
      <c r="AF1607">
        <v>538</v>
      </c>
      <c r="AG1607">
        <v>127</v>
      </c>
      <c r="AI1607">
        <v>0.23799999999999999</v>
      </c>
      <c r="AK1607" t="s">
        <v>740</v>
      </c>
      <c r="AL1607" t="s">
        <v>951</v>
      </c>
      <c r="AM1607">
        <v>200000</v>
      </c>
      <c r="AN1607" t="s">
        <v>97</v>
      </c>
      <c r="AO1607">
        <v>1</v>
      </c>
      <c r="AP1607">
        <v>0</v>
      </c>
      <c r="AQ1607">
        <v>16666.666666666668</v>
      </c>
      <c r="AR1607" t="s">
        <v>4748</v>
      </c>
      <c r="AS1607" t="s">
        <v>75</v>
      </c>
      <c r="AX1607" t="s">
        <v>76</v>
      </c>
      <c r="AY1607" t="s">
        <v>176</v>
      </c>
      <c r="AZ1607">
        <v>4.5500000000000002E-3</v>
      </c>
      <c r="BA1607" t="s">
        <v>176</v>
      </c>
      <c r="BB1607">
        <v>0</v>
      </c>
    </row>
    <row r="1608" spans="1:56" x14ac:dyDescent="0.15">
      <c r="A1608" s="4" t="str">
        <f>HYPERLINK("https://ibp.a2mac1.com/costing(costing:projects/details/9760/part/8415046)","A Pillar Upper Panel")</f>
        <v>A Pillar Upper Panel</v>
      </c>
      <c r="B1608">
        <v>8415046</v>
      </c>
      <c r="C1608">
        <v>8414933</v>
      </c>
      <c r="E1608">
        <v>1.43</v>
      </c>
      <c r="F1608">
        <v>7.0000000000000007E-2</v>
      </c>
      <c r="G1608">
        <v>0</v>
      </c>
      <c r="H1608">
        <v>7.2357999999999997E-3</v>
      </c>
      <c r="I1608" t="s">
        <v>176</v>
      </c>
      <c r="J1608">
        <v>5.0049999999999997E-2</v>
      </c>
      <c r="K1608">
        <v>1.5597357999999999</v>
      </c>
      <c r="L1608">
        <v>0.18956318178066328</v>
      </c>
      <c r="M1608">
        <v>1.1373790906839798</v>
      </c>
      <c r="N1608">
        <v>2.6971148906839799</v>
      </c>
      <c r="O1608" t="s">
        <v>177</v>
      </c>
      <c r="P1608">
        <v>9.3584148000000006E-2</v>
      </c>
      <c r="Q1608" t="s">
        <v>177</v>
      </c>
      <c r="R1608">
        <v>6.8242745441038782E-2</v>
      </c>
      <c r="S1608" t="s">
        <v>178</v>
      </c>
      <c r="T1608">
        <v>0.32365378688207758</v>
      </c>
      <c r="U1608" t="s">
        <v>90</v>
      </c>
      <c r="V1608">
        <v>0</v>
      </c>
      <c r="W1608" t="s">
        <v>90</v>
      </c>
      <c r="X1608">
        <v>0</v>
      </c>
      <c r="Y1608">
        <v>3.1825955710070963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68</v>
      </c>
      <c r="AF1608">
        <v>124</v>
      </c>
      <c r="AG1608">
        <v>735</v>
      </c>
      <c r="AI1608">
        <v>0.32100000000000001</v>
      </c>
      <c r="AK1608" t="s">
        <v>740</v>
      </c>
      <c r="AL1608" t="s">
        <v>412</v>
      </c>
      <c r="AM1608">
        <v>200000</v>
      </c>
      <c r="AN1608" t="s">
        <v>97</v>
      </c>
      <c r="AO1608">
        <v>1</v>
      </c>
      <c r="AP1608">
        <v>0</v>
      </c>
      <c r="AQ1608">
        <v>16666.666666666668</v>
      </c>
      <c r="AR1608" t="s">
        <v>4752</v>
      </c>
      <c r="AS1608" t="s">
        <v>75</v>
      </c>
      <c r="AX1608" t="s">
        <v>76</v>
      </c>
      <c r="AY1608" t="s">
        <v>176</v>
      </c>
      <c r="AZ1608">
        <v>2.4499999999999999E-3</v>
      </c>
      <c r="BA1608" t="s">
        <v>176</v>
      </c>
      <c r="BB1608">
        <v>0</v>
      </c>
    </row>
    <row r="1609" spans="1:56" x14ac:dyDescent="0.15">
      <c r="A1609" s="4" t="str">
        <f>HYPERLINK("https://ibp.a2mac1.com/costing(costing:projects/details/9760/part/8415047)","A Pillar Lower Panel")</f>
        <v>A Pillar Lower Panel</v>
      </c>
      <c r="B1609">
        <v>8415047</v>
      </c>
      <c r="C1609">
        <v>8414933</v>
      </c>
      <c r="E1609">
        <v>0.95637689699999995</v>
      </c>
      <c r="F1609">
        <v>7.0000000000000007E-2</v>
      </c>
      <c r="G1609">
        <v>0</v>
      </c>
      <c r="H1609">
        <v>4.8513955877894739E-3</v>
      </c>
      <c r="I1609" t="s">
        <v>176</v>
      </c>
      <c r="J1609">
        <v>3.355708410526316E-2</v>
      </c>
      <c r="K1609">
        <v>1.0672353766930527</v>
      </c>
      <c r="L1609">
        <v>7.6533822956206074E-2</v>
      </c>
      <c r="M1609">
        <v>0.45920293773723647</v>
      </c>
      <c r="N1609">
        <v>1.5264383144302891</v>
      </c>
      <c r="O1609" t="s">
        <v>177</v>
      </c>
      <c r="P1609">
        <v>6.4034122601583157E-2</v>
      </c>
      <c r="Q1609" t="s">
        <v>177</v>
      </c>
      <c r="R1609">
        <v>2.7552176264234188E-2</v>
      </c>
      <c r="S1609" t="s">
        <v>178</v>
      </c>
      <c r="T1609">
        <v>0.18317259773163469</v>
      </c>
      <c r="U1609" t="s">
        <v>90</v>
      </c>
      <c r="V1609">
        <v>0</v>
      </c>
      <c r="W1609" t="s">
        <v>90</v>
      </c>
      <c r="X1609">
        <v>0</v>
      </c>
      <c r="Y1609">
        <v>1.8011972110277412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142</v>
      </c>
      <c r="AF1609">
        <v>950</v>
      </c>
      <c r="AG1609">
        <v>340</v>
      </c>
      <c r="AI1609">
        <v>0.50900000000000001</v>
      </c>
      <c r="AK1609" t="s">
        <v>740</v>
      </c>
      <c r="AL1609" t="s">
        <v>951</v>
      </c>
      <c r="AM1609">
        <v>200000</v>
      </c>
      <c r="AN1609" t="s">
        <v>97</v>
      </c>
      <c r="AO1609">
        <v>1</v>
      </c>
      <c r="AP1609">
        <v>0</v>
      </c>
      <c r="AQ1609">
        <v>16666.666666666668</v>
      </c>
      <c r="AR1609" t="s">
        <v>4755</v>
      </c>
      <c r="AS1609" t="s">
        <v>75</v>
      </c>
      <c r="AX1609" t="s">
        <v>76</v>
      </c>
      <c r="AY1609" t="s">
        <v>176</v>
      </c>
      <c r="AZ1609">
        <v>2.4499999999999999E-3</v>
      </c>
      <c r="BA1609" t="s">
        <v>176</v>
      </c>
      <c r="BB1609">
        <v>0</v>
      </c>
    </row>
    <row r="1610" spans="1:56" x14ac:dyDescent="0.15">
      <c r="A1610" s="4" t="str">
        <f>HYPERLINK("https://ibp.a2mac1.com/costing(costing:projects/details/9760/part/8415048)","B Pillar Central Panel")</f>
        <v>B Pillar Central Panel</v>
      </c>
      <c r="B1610">
        <v>8415048</v>
      </c>
      <c r="C1610">
        <v>8414933</v>
      </c>
      <c r="E1610">
        <v>0.61</v>
      </c>
      <c r="F1610">
        <v>0</v>
      </c>
      <c r="G1610">
        <v>0</v>
      </c>
      <c r="H1610">
        <v>3.0866000000000001E-3</v>
      </c>
      <c r="I1610" t="s">
        <v>176</v>
      </c>
      <c r="J1610">
        <v>2.1350000000000001E-2</v>
      </c>
      <c r="K1610">
        <v>0.63443660000000002</v>
      </c>
      <c r="L1610">
        <v>8.3598157882734656E-2</v>
      </c>
      <c r="M1610">
        <v>0.50158894729640791</v>
      </c>
      <c r="N1610">
        <v>1.1360255472964078</v>
      </c>
      <c r="O1610" t="s">
        <v>177</v>
      </c>
      <c r="P1610">
        <v>3.8066195999999997E-2</v>
      </c>
      <c r="Q1610" t="s">
        <v>177</v>
      </c>
      <c r="R1610">
        <v>3.0095336837784474E-2</v>
      </c>
      <c r="S1610" t="s">
        <v>178</v>
      </c>
      <c r="T1610">
        <v>0.13632306567556896</v>
      </c>
      <c r="U1610" t="s">
        <v>90</v>
      </c>
      <c r="V1610">
        <v>0</v>
      </c>
      <c r="W1610" t="s">
        <v>90</v>
      </c>
      <c r="X1610">
        <v>0</v>
      </c>
      <c r="Y1610">
        <v>1.3405101458097612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55</v>
      </c>
      <c r="AF1610">
        <v>142</v>
      </c>
      <c r="AG1610">
        <v>242</v>
      </c>
      <c r="AI1610">
        <v>0.13800000000000001</v>
      </c>
      <c r="AK1610" t="s">
        <v>740</v>
      </c>
      <c r="AL1610" t="s">
        <v>4677</v>
      </c>
      <c r="AM1610">
        <v>200000</v>
      </c>
      <c r="AN1610" t="s">
        <v>97</v>
      </c>
      <c r="AO1610">
        <v>1</v>
      </c>
      <c r="AP1610">
        <v>0</v>
      </c>
      <c r="AQ1610">
        <v>16666.666666666668</v>
      </c>
      <c r="AR1610" t="s">
        <v>4758</v>
      </c>
      <c r="AS1610" t="s">
        <v>75</v>
      </c>
      <c r="AX1610" t="s">
        <v>76</v>
      </c>
      <c r="AY1610" t="s">
        <v>176</v>
      </c>
      <c r="AZ1610">
        <v>0</v>
      </c>
      <c r="BA1610" t="s">
        <v>176</v>
      </c>
      <c r="BB1610">
        <v>0</v>
      </c>
    </row>
    <row r="1611" spans="1:56" x14ac:dyDescent="0.15">
      <c r="A1611" s="4" t="str">
        <f>HYPERLINK("https://ibp.a2mac1.com/costing(costing:projects/details/9760/part/8415049)","B Pillar Lower Panel")</f>
        <v>B Pillar Lower Panel</v>
      </c>
      <c r="B1611">
        <v>8415049</v>
      </c>
      <c r="C1611">
        <v>8414933</v>
      </c>
      <c r="E1611">
        <v>1.1912435219999999</v>
      </c>
      <c r="F1611">
        <v>0.12</v>
      </c>
      <c r="G1611">
        <v>0</v>
      </c>
      <c r="H1611">
        <v>6.0427992193684207E-3</v>
      </c>
      <c r="I1611" t="s">
        <v>176</v>
      </c>
      <c r="J1611">
        <v>4.179801831578947E-2</v>
      </c>
      <c r="K1611">
        <v>1.3632843395351579</v>
      </c>
      <c r="L1611">
        <v>9.4194660272527514E-2</v>
      </c>
      <c r="M1611">
        <v>0.56516796163516514</v>
      </c>
      <c r="N1611">
        <v>1.928452301170323</v>
      </c>
      <c r="O1611" t="s">
        <v>177</v>
      </c>
      <c r="P1611">
        <v>8.1797060372109473E-2</v>
      </c>
      <c r="Q1611" t="s">
        <v>177</v>
      </c>
      <c r="R1611">
        <v>3.3910077698109907E-2</v>
      </c>
      <c r="S1611" t="s">
        <v>178</v>
      </c>
      <c r="T1611">
        <v>0.23141427614043877</v>
      </c>
      <c r="U1611" t="s">
        <v>90</v>
      </c>
      <c r="V1611">
        <v>0</v>
      </c>
      <c r="W1611" t="s">
        <v>90</v>
      </c>
      <c r="X1611">
        <v>0</v>
      </c>
      <c r="Y1611">
        <v>2.2755737153809812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76</v>
      </c>
      <c r="AF1611">
        <v>578</v>
      </c>
      <c r="AG1611">
        <v>610</v>
      </c>
      <c r="AI1611">
        <v>0.63400000000000001</v>
      </c>
      <c r="AK1611" t="s">
        <v>740</v>
      </c>
      <c r="AL1611" t="s">
        <v>951</v>
      </c>
      <c r="AM1611">
        <v>200000</v>
      </c>
      <c r="AN1611" t="s">
        <v>97</v>
      </c>
      <c r="AO1611">
        <v>1</v>
      </c>
      <c r="AP1611">
        <v>0</v>
      </c>
      <c r="AQ1611">
        <v>16666.666666666668</v>
      </c>
      <c r="AR1611" t="s">
        <v>4761</v>
      </c>
      <c r="AS1611" t="s">
        <v>75</v>
      </c>
      <c r="AX1611" t="s">
        <v>76</v>
      </c>
      <c r="AY1611" t="s">
        <v>176</v>
      </c>
      <c r="AZ1611">
        <v>4.1999999999999997E-3</v>
      </c>
      <c r="BA1611" t="s">
        <v>176</v>
      </c>
      <c r="BB1611">
        <v>0</v>
      </c>
    </row>
    <row r="1612" spans="1:56" x14ac:dyDescent="0.15">
      <c r="A1612" s="4" t="str">
        <f>HYPERLINK("https://ibp.a2mac1.com/costing(costing:projects/details/9760/part/8415050)","C Pillar Upper Panel")</f>
        <v>C Pillar Upper Panel</v>
      </c>
      <c r="B1612">
        <v>8415050</v>
      </c>
      <c r="C1612">
        <v>8414933</v>
      </c>
      <c r="E1612">
        <v>0.85</v>
      </c>
      <c r="F1612">
        <v>0.02</v>
      </c>
      <c r="G1612">
        <v>0</v>
      </c>
      <c r="H1612">
        <v>4.3010000000000001E-3</v>
      </c>
      <c r="I1612" t="s">
        <v>176</v>
      </c>
      <c r="J1612">
        <v>2.9749999999999999E-2</v>
      </c>
      <c r="K1612">
        <v>0.90475099999999997</v>
      </c>
      <c r="L1612">
        <v>0.1136215813204811</v>
      </c>
      <c r="M1612">
        <v>0.68172948792288657</v>
      </c>
      <c r="N1612">
        <v>1.5864804879228867</v>
      </c>
      <c r="O1612" t="s">
        <v>177</v>
      </c>
      <c r="P1612">
        <v>5.4285060000000003E-2</v>
      </c>
      <c r="Q1612" t="s">
        <v>177</v>
      </c>
      <c r="R1612">
        <v>4.0903769275373196E-2</v>
      </c>
      <c r="S1612" t="s">
        <v>178</v>
      </c>
      <c r="T1612">
        <v>0.1903776585507464</v>
      </c>
      <c r="U1612" t="s">
        <v>90</v>
      </c>
      <c r="V1612">
        <v>0</v>
      </c>
      <c r="W1612" t="s">
        <v>90</v>
      </c>
      <c r="X1612">
        <v>0</v>
      </c>
      <c r="Y1612">
        <v>1.8720469757490061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150</v>
      </c>
      <c r="AF1612">
        <v>328</v>
      </c>
      <c r="AG1612">
        <v>83</v>
      </c>
      <c r="AI1612">
        <v>0.19</v>
      </c>
      <c r="AK1612" t="s">
        <v>740</v>
      </c>
      <c r="AL1612" t="s">
        <v>4677</v>
      </c>
      <c r="AM1612">
        <v>200000</v>
      </c>
      <c r="AN1612" t="s">
        <v>97</v>
      </c>
      <c r="AO1612">
        <v>1</v>
      </c>
      <c r="AP1612">
        <v>0</v>
      </c>
      <c r="AQ1612">
        <v>16666.666666666668</v>
      </c>
      <c r="AR1612" t="s">
        <v>4764</v>
      </c>
      <c r="AS1612" t="s">
        <v>75</v>
      </c>
      <c r="AX1612" t="s">
        <v>76</v>
      </c>
      <c r="AY1612" t="s">
        <v>176</v>
      </c>
      <c r="AZ1612">
        <v>6.9999999999999999E-4</v>
      </c>
      <c r="BA1612" t="s">
        <v>176</v>
      </c>
      <c r="BB1612">
        <v>0</v>
      </c>
    </row>
    <row r="1613" spans="1:56" x14ac:dyDescent="0.15">
      <c r="A1613" s="4" t="str">
        <f>HYPERLINK("https://ibp.a2mac1.com/costing(costing:projects/details/9760/part/8415051)","C Pillar Central Panel")</f>
        <v>C Pillar Central Panel</v>
      </c>
      <c r="B1613">
        <v>8415051</v>
      </c>
      <c r="C1613">
        <v>8414933</v>
      </c>
      <c r="E1613">
        <v>1.41</v>
      </c>
      <c r="F1613">
        <v>0</v>
      </c>
      <c r="G1613">
        <v>0</v>
      </c>
      <c r="H1613">
        <v>7.1345999999999996E-3</v>
      </c>
      <c r="I1613" t="s">
        <v>176</v>
      </c>
      <c r="J1613">
        <v>4.9349999999999998E-2</v>
      </c>
      <c r="K1613">
        <v>1.4664846</v>
      </c>
      <c r="L1613">
        <v>0.18603101431739902</v>
      </c>
      <c r="M1613">
        <v>1.1161860859043939</v>
      </c>
      <c r="N1613">
        <v>2.582670685904394</v>
      </c>
      <c r="O1613" t="s">
        <v>177</v>
      </c>
      <c r="P1613">
        <v>8.7989075999999999E-2</v>
      </c>
      <c r="Q1613" t="s">
        <v>177</v>
      </c>
      <c r="R1613">
        <v>6.6971165154263643E-2</v>
      </c>
      <c r="S1613" t="s">
        <v>178</v>
      </c>
      <c r="T1613">
        <v>0.30992048230852731</v>
      </c>
      <c r="U1613" t="s">
        <v>90</v>
      </c>
      <c r="V1613">
        <v>0</v>
      </c>
      <c r="W1613" t="s">
        <v>90</v>
      </c>
      <c r="X1613">
        <v>0</v>
      </c>
      <c r="Y1613">
        <v>3.0475514093671849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120</v>
      </c>
      <c r="AF1613">
        <v>332</v>
      </c>
      <c r="AG1613">
        <v>310</v>
      </c>
      <c r="AI1613">
        <v>0.316</v>
      </c>
      <c r="AK1613" t="s">
        <v>740</v>
      </c>
      <c r="AL1613" t="s">
        <v>4677</v>
      </c>
      <c r="AM1613">
        <v>200000</v>
      </c>
      <c r="AN1613" t="s">
        <v>97</v>
      </c>
      <c r="AO1613">
        <v>1</v>
      </c>
      <c r="AP1613">
        <v>0</v>
      </c>
      <c r="AQ1613">
        <v>16666.666666666668</v>
      </c>
      <c r="AR1613" t="s">
        <v>4767</v>
      </c>
      <c r="AS1613" t="s">
        <v>75</v>
      </c>
      <c r="AX1613" t="s">
        <v>76</v>
      </c>
      <c r="AY1613" t="s">
        <v>176</v>
      </c>
      <c r="AZ1613">
        <v>0</v>
      </c>
      <c r="BA1613" t="s">
        <v>176</v>
      </c>
      <c r="BB1613">
        <v>0</v>
      </c>
    </row>
    <row r="1614" spans="1:56" x14ac:dyDescent="0.15">
      <c r="A1614" s="4" t="str">
        <f>HYPERLINK("https://ibp.a2mac1.com/costing(costing:projects/details/9760/part/8415052)","C Pillar Lower Panel")</f>
        <v>C Pillar Lower Panel</v>
      </c>
      <c r="B1614">
        <v>8415052</v>
      </c>
      <c r="C1614">
        <v>8414933</v>
      </c>
      <c r="E1614">
        <v>0.934078992</v>
      </c>
      <c r="F1614">
        <v>0.08</v>
      </c>
      <c r="G1614">
        <v>0</v>
      </c>
      <c r="H1614">
        <v>4.7382854130526312E-3</v>
      </c>
      <c r="I1614" t="s">
        <v>176</v>
      </c>
      <c r="J1614">
        <v>3.2774701473684213E-2</v>
      </c>
      <c r="K1614">
        <v>1.0543919788867369</v>
      </c>
      <c r="L1614">
        <v>5.3574734444988205E-2</v>
      </c>
      <c r="M1614">
        <v>0.32144840666992924</v>
      </c>
      <c r="N1614">
        <v>1.3758403855566661</v>
      </c>
      <c r="O1614" t="s">
        <v>177</v>
      </c>
      <c r="P1614">
        <v>6.326351873320421E-2</v>
      </c>
      <c r="Q1614" t="s">
        <v>177</v>
      </c>
      <c r="R1614">
        <v>1.9286904400195756E-2</v>
      </c>
      <c r="S1614" t="s">
        <v>178</v>
      </c>
      <c r="T1614">
        <v>0.16510084626679994</v>
      </c>
      <c r="U1614" t="s">
        <v>90</v>
      </c>
      <c r="V1614">
        <v>0</v>
      </c>
      <c r="W1614" t="s">
        <v>90</v>
      </c>
      <c r="X1614">
        <v>0</v>
      </c>
      <c r="Y1614">
        <v>1.6234916549568659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73</v>
      </c>
      <c r="AF1614">
        <v>438</v>
      </c>
      <c r="AG1614">
        <v>260</v>
      </c>
      <c r="AI1614">
        <v>0.35199999999999998</v>
      </c>
      <c r="AK1614" t="s">
        <v>740</v>
      </c>
      <c r="AL1614" t="s">
        <v>4692</v>
      </c>
      <c r="AM1614">
        <v>200000</v>
      </c>
      <c r="AN1614" t="s">
        <v>97</v>
      </c>
      <c r="AO1614">
        <v>1</v>
      </c>
      <c r="AP1614">
        <v>0</v>
      </c>
      <c r="AQ1614">
        <v>16666.666666666668</v>
      </c>
      <c r="AR1614" t="s">
        <v>4770</v>
      </c>
      <c r="AS1614" t="s">
        <v>75</v>
      </c>
      <c r="AX1614" t="s">
        <v>76</v>
      </c>
      <c r="AY1614" t="s">
        <v>176</v>
      </c>
      <c r="AZ1614">
        <v>2.8E-3</v>
      </c>
      <c r="BA1614" t="s">
        <v>176</v>
      </c>
      <c r="BB1614">
        <v>0</v>
      </c>
    </row>
    <row r="1615" spans="1:56" x14ac:dyDescent="0.15">
      <c r="A1615" s="4" t="str">
        <f>HYPERLINK("https://ibp.a2mac1.com/costing(costing:projects/details/9760/part/8415053)","Rear Quarter Panel")</f>
        <v>Rear Quarter Panel</v>
      </c>
      <c r="B1615">
        <v>8415053</v>
      </c>
      <c r="C1615">
        <v>8414933</v>
      </c>
      <c r="E1615">
        <v>0.41900205899999998</v>
      </c>
      <c r="F1615">
        <v>0.02</v>
      </c>
      <c r="G1615">
        <v>0</v>
      </c>
      <c r="H1615">
        <v>2.1254640787368422E-3</v>
      </c>
      <c r="I1615" t="s">
        <v>176</v>
      </c>
      <c r="J1615">
        <v>1.4701826631578947E-2</v>
      </c>
      <c r="K1615">
        <v>0.45652934971031578</v>
      </c>
      <c r="L1615">
        <v>3.414781339703462E-2</v>
      </c>
      <c r="M1615">
        <v>0.20488688038220773</v>
      </c>
      <c r="N1615">
        <v>0.66141623009252348</v>
      </c>
      <c r="O1615" t="s">
        <v>177</v>
      </c>
      <c r="P1615">
        <v>2.7391760982618946E-2</v>
      </c>
      <c r="Q1615" t="s">
        <v>177</v>
      </c>
      <c r="R1615">
        <v>1.2293212822932463E-2</v>
      </c>
      <c r="S1615" t="s">
        <v>178</v>
      </c>
      <c r="T1615">
        <v>7.9369947611102817E-2</v>
      </c>
      <c r="U1615" t="s">
        <v>90</v>
      </c>
      <c r="V1615">
        <v>0</v>
      </c>
      <c r="W1615" t="s">
        <v>90</v>
      </c>
      <c r="X1615">
        <v>0</v>
      </c>
      <c r="Y1615">
        <v>0.78047115150917779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115</v>
      </c>
      <c r="AF1615">
        <v>617</v>
      </c>
      <c r="AG1615">
        <v>198</v>
      </c>
      <c r="AI1615">
        <v>0.223</v>
      </c>
      <c r="AK1615" t="s">
        <v>740</v>
      </c>
      <c r="AL1615" t="s">
        <v>951</v>
      </c>
      <c r="AM1615">
        <v>200000</v>
      </c>
      <c r="AN1615" t="s">
        <v>97</v>
      </c>
      <c r="AO1615">
        <v>1</v>
      </c>
      <c r="AP1615">
        <v>0</v>
      </c>
      <c r="AQ1615">
        <v>16666.666666666668</v>
      </c>
      <c r="AR1615" t="s">
        <v>4773</v>
      </c>
      <c r="AS1615" t="s">
        <v>75</v>
      </c>
      <c r="AX1615" t="s">
        <v>76</v>
      </c>
      <c r="AY1615" t="s">
        <v>176</v>
      </c>
      <c r="AZ1615">
        <v>6.9999999999999999E-4</v>
      </c>
      <c r="BA1615" t="s">
        <v>176</v>
      </c>
      <c r="BB1615">
        <v>0</v>
      </c>
    </row>
    <row r="1616" spans="1:56" x14ac:dyDescent="0.15">
      <c r="A1616" s="4" t="str">
        <f>HYPERLINK("https://ibp.a2mac1.com/costing(costing:projects/details/9760/part/8415054)","C Pillar Panel Support")</f>
        <v>C Pillar Panel Support</v>
      </c>
      <c r="B1616">
        <v>8415054</v>
      </c>
      <c r="C1616">
        <v>8414933</v>
      </c>
      <c r="E1616">
        <v>1.0221395520000001</v>
      </c>
      <c r="F1616">
        <v>0.06</v>
      </c>
      <c r="G1616">
        <v>0</v>
      </c>
      <c r="H1616">
        <v>5.1849886046315789E-3</v>
      </c>
      <c r="I1616" t="s">
        <v>176</v>
      </c>
      <c r="J1616">
        <v>3.5864545684210526E-2</v>
      </c>
      <c r="K1616">
        <v>1.1252890862888421</v>
      </c>
      <c r="L1616">
        <v>8.183207415110251E-2</v>
      </c>
      <c r="M1616">
        <v>0.49099244490661503</v>
      </c>
      <c r="N1616">
        <v>1.6162815311954573</v>
      </c>
      <c r="O1616" t="s">
        <v>177</v>
      </c>
      <c r="P1616">
        <v>6.7517345177330532E-2</v>
      </c>
      <c r="Q1616" t="s">
        <v>177</v>
      </c>
      <c r="R1616">
        <v>2.9459546694396904E-2</v>
      </c>
      <c r="S1616" t="s">
        <v>178</v>
      </c>
      <c r="T1616">
        <v>0.19395378374345487</v>
      </c>
      <c r="U1616" t="s">
        <v>90</v>
      </c>
      <c r="V1616">
        <v>0</v>
      </c>
      <c r="W1616" t="s">
        <v>90</v>
      </c>
      <c r="X1616">
        <v>0</v>
      </c>
      <c r="Y1616">
        <v>1.9072122068106394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183</v>
      </c>
      <c r="AF1616">
        <v>622</v>
      </c>
      <c r="AG1616">
        <v>665</v>
      </c>
      <c r="AI1616">
        <v>0.54400000000000004</v>
      </c>
      <c r="AK1616" t="s">
        <v>107</v>
      </c>
      <c r="AL1616" t="s">
        <v>951</v>
      </c>
      <c r="AM1616">
        <v>200000</v>
      </c>
      <c r="AN1616" t="s">
        <v>97</v>
      </c>
      <c r="AO1616">
        <v>1</v>
      </c>
      <c r="AP1616">
        <v>0</v>
      </c>
      <c r="AQ1616">
        <v>16666.666666666668</v>
      </c>
      <c r="AR1616" t="s">
        <v>4776</v>
      </c>
      <c r="AS1616" t="s">
        <v>75</v>
      </c>
      <c r="AX1616" t="s">
        <v>76</v>
      </c>
      <c r="AY1616" t="s">
        <v>176</v>
      </c>
      <c r="AZ1616">
        <v>2.0999999999999999E-3</v>
      </c>
      <c r="BA1616" t="s">
        <v>176</v>
      </c>
      <c r="BB1616">
        <v>0</v>
      </c>
    </row>
    <row r="1617" spans="1:56" x14ac:dyDescent="0.15">
      <c r="A1617" s="4" t="str">
        <f>HYPERLINK("https://ibp.a2mac1.com/costing(costing:projects/details/9760/part/8415055)","Second Rear Quarter Panel")</f>
        <v>Second Rear Quarter Panel</v>
      </c>
      <c r="B1617">
        <v>8415055</v>
      </c>
      <c r="C1617">
        <v>8414933</v>
      </c>
      <c r="E1617">
        <v>0.43</v>
      </c>
      <c r="F1617">
        <v>0.04</v>
      </c>
      <c r="G1617">
        <v>0</v>
      </c>
      <c r="H1617">
        <v>2.1757999999999999E-3</v>
      </c>
      <c r="I1617" t="s">
        <v>176</v>
      </c>
      <c r="J1617">
        <v>1.5049999999999999E-2</v>
      </c>
      <c r="K1617">
        <v>0.4886258</v>
      </c>
      <c r="L1617">
        <v>5.8872985639884634E-2</v>
      </c>
      <c r="M1617">
        <v>0.3532379138393078</v>
      </c>
      <c r="N1617">
        <v>0.8418637138393078</v>
      </c>
      <c r="O1617" t="s">
        <v>177</v>
      </c>
      <c r="P1617">
        <v>2.9317547999999999E-2</v>
      </c>
      <c r="Q1617" t="s">
        <v>177</v>
      </c>
      <c r="R1617">
        <v>2.1194274830358469E-2</v>
      </c>
      <c r="S1617" t="s">
        <v>178</v>
      </c>
      <c r="T1617">
        <v>0.10102364566071693</v>
      </c>
      <c r="U1617" t="s">
        <v>90</v>
      </c>
      <c r="V1617">
        <v>0</v>
      </c>
      <c r="W1617" t="s">
        <v>90</v>
      </c>
      <c r="X1617">
        <v>0</v>
      </c>
      <c r="Y1617">
        <v>0.99339918233038327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50</v>
      </c>
      <c r="AF1617">
        <v>98</v>
      </c>
      <c r="AG1617">
        <v>280</v>
      </c>
      <c r="AI1617">
        <v>9.6000000000000002E-2</v>
      </c>
      <c r="AK1617" t="s">
        <v>107</v>
      </c>
      <c r="AL1617" t="s">
        <v>412</v>
      </c>
      <c r="AM1617">
        <v>200000</v>
      </c>
      <c r="AN1617" t="s">
        <v>97</v>
      </c>
      <c r="AO1617">
        <v>1</v>
      </c>
      <c r="AP1617">
        <v>0</v>
      </c>
      <c r="AQ1617">
        <v>16666.666666666668</v>
      </c>
      <c r="AR1617" t="s">
        <v>4779</v>
      </c>
      <c r="AS1617" t="s">
        <v>75</v>
      </c>
      <c r="AX1617" t="s">
        <v>76</v>
      </c>
      <c r="AY1617" t="s">
        <v>176</v>
      </c>
      <c r="AZ1617">
        <v>1.4E-3</v>
      </c>
      <c r="BA1617" t="s">
        <v>176</v>
      </c>
      <c r="BB1617">
        <v>0</v>
      </c>
    </row>
    <row r="1618" spans="1:56" x14ac:dyDescent="0.15">
      <c r="A1618" s="4" t="str">
        <f>HYPERLINK("https://ibp.a2mac1.com/costing(costing:projects/details/9760/part/8415057)","B Pillar Upper Panel")</f>
        <v>B Pillar Upper Panel</v>
      </c>
      <c r="B1618">
        <v>8415057</v>
      </c>
      <c r="C1618">
        <v>8414933</v>
      </c>
      <c r="E1618">
        <v>1.91</v>
      </c>
      <c r="F1618">
        <v>0.14000000000000001</v>
      </c>
      <c r="G1618">
        <v>0</v>
      </c>
      <c r="H1618">
        <v>9.6646000000000006E-3</v>
      </c>
      <c r="I1618" t="s">
        <v>176</v>
      </c>
      <c r="J1618">
        <v>6.6850000000000007E-2</v>
      </c>
      <c r="K1618">
        <v>2.1314145999999998</v>
      </c>
      <c r="L1618">
        <v>0.25137611238778834</v>
      </c>
      <c r="M1618">
        <v>1.5082566743267301</v>
      </c>
      <c r="N1618">
        <v>3.6396712743267301</v>
      </c>
      <c r="O1618" t="s">
        <v>177</v>
      </c>
      <c r="P1618">
        <v>0.12788487600000001</v>
      </c>
      <c r="Q1618" t="s">
        <v>177</v>
      </c>
      <c r="R1618">
        <v>9.0495400459603803E-2</v>
      </c>
      <c r="S1618" t="s">
        <v>178</v>
      </c>
      <c r="T1618">
        <v>0.43676055291920762</v>
      </c>
      <c r="U1618" t="s">
        <v>90</v>
      </c>
      <c r="V1618">
        <v>0</v>
      </c>
      <c r="W1618" t="s">
        <v>90</v>
      </c>
      <c r="X1618">
        <v>0</v>
      </c>
      <c r="Y1618">
        <v>4.2948121037055413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89</v>
      </c>
      <c r="AF1618">
        <v>350</v>
      </c>
      <c r="AG1618">
        <v>440</v>
      </c>
      <c r="AI1618">
        <v>0.43</v>
      </c>
      <c r="AK1618" t="s">
        <v>740</v>
      </c>
      <c r="AL1618" t="s">
        <v>951</v>
      </c>
      <c r="AM1618">
        <v>200000</v>
      </c>
      <c r="AN1618" t="s">
        <v>97</v>
      </c>
      <c r="AO1618">
        <v>1</v>
      </c>
      <c r="AP1618">
        <v>0</v>
      </c>
      <c r="AQ1618">
        <v>16666.666666666668</v>
      </c>
      <c r="AR1618" t="s">
        <v>4782</v>
      </c>
      <c r="AS1618" t="s">
        <v>75</v>
      </c>
      <c r="AX1618" t="s">
        <v>76</v>
      </c>
      <c r="AY1618" t="s">
        <v>176</v>
      </c>
      <c r="AZ1618">
        <v>4.8999999999999998E-3</v>
      </c>
      <c r="BA1618" t="s">
        <v>176</v>
      </c>
      <c r="BB1618">
        <v>0</v>
      </c>
    </row>
    <row r="1619" spans="1:56" x14ac:dyDescent="0.15">
      <c r="A1619" s="4" t="str">
        <f>HYPERLINK("https://ibp.a2mac1.com/costing(costing:projects/details/9760/part/8414934)","Rear View Mirror")</f>
        <v>Rear View Mirror</v>
      </c>
      <c r="B1619">
        <v>8414934</v>
      </c>
      <c r="C1619">
        <v>8414788</v>
      </c>
      <c r="D1619" t="s">
        <v>4786</v>
      </c>
      <c r="E1619">
        <v>5.8</v>
      </c>
      <c r="F1619">
        <v>0</v>
      </c>
      <c r="G1619">
        <v>0</v>
      </c>
      <c r="H1619">
        <v>0</v>
      </c>
      <c r="I1619" t="s">
        <v>71</v>
      </c>
      <c r="J1619">
        <v>0</v>
      </c>
      <c r="K1619">
        <v>5.8</v>
      </c>
      <c r="L1619">
        <v>0</v>
      </c>
      <c r="M1619">
        <v>0</v>
      </c>
      <c r="N1619">
        <v>5.8</v>
      </c>
      <c r="O1619" t="s">
        <v>71</v>
      </c>
      <c r="P1619">
        <v>0</v>
      </c>
      <c r="Q1619" t="s">
        <v>71</v>
      </c>
      <c r="R1619">
        <v>0</v>
      </c>
      <c r="S1619" t="s">
        <v>71</v>
      </c>
      <c r="T1619">
        <v>0</v>
      </c>
      <c r="U1619" t="s">
        <v>71</v>
      </c>
      <c r="V1619">
        <v>0</v>
      </c>
      <c r="W1619" t="s">
        <v>71</v>
      </c>
      <c r="X1619">
        <v>0</v>
      </c>
      <c r="Y1619">
        <v>5.8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32</v>
      </c>
      <c r="AF1619">
        <v>230</v>
      </c>
      <c r="AG1619">
        <v>56</v>
      </c>
      <c r="AI1619">
        <v>0.246</v>
      </c>
      <c r="AK1619" t="s">
        <v>284</v>
      </c>
      <c r="AL1619" t="s">
        <v>4787</v>
      </c>
      <c r="AM1619">
        <v>200000</v>
      </c>
      <c r="AN1619" t="s">
        <v>97</v>
      </c>
      <c r="AO1619">
        <v>1</v>
      </c>
      <c r="AP1619">
        <v>0</v>
      </c>
      <c r="AQ1619">
        <v>16666.666666666668</v>
      </c>
      <c r="AR1619" t="s">
        <v>4788</v>
      </c>
      <c r="AS1619" t="s">
        <v>75</v>
      </c>
      <c r="AX1619" t="s">
        <v>76</v>
      </c>
      <c r="AY1619" t="s">
        <v>71</v>
      </c>
      <c r="AZ1619">
        <v>0</v>
      </c>
      <c r="BA1619" t="s">
        <v>71</v>
      </c>
      <c r="BB1619">
        <v>0</v>
      </c>
      <c r="BD1619">
        <v>5.8</v>
      </c>
    </row>
    <row r="1620" spans="1:56" x14ac:dyDescent="0.15">
      <c r="A1620" s="4" t="str">
        <f>HYPERLINK("https://ibp.a2mac1.com/costing(costing:projects/details/9760/part/8414935)","Stand")</f>
        <v>Stand</v>
      </c>
      <c r="B1620">
        <v>8414935</v>
      </c>
      <c r="C1620">
        <v>8414788</v>
      </c>
      <c r="D1620" t="s">
        <v>4789</v>
      </c>
      <c r="E1620">
        <v>0.8</v>
      </c>
      <c r="F1620">
        <v>0</v>
      </c>
      <c r="G1620">
        <v>0</v>
      </c>
      <c r="H1620">
        <v>0</v>
      </c>
      <c r="I1620" t="s">
        <v>71</v>
      </c>
      <c r="J1620">
        <v>0</v>
      </c>
      <c r="K1620">
        <v>0.8</v>
      </c>
      <c r="L1620">
        <v>0</v>
      </c>
      <c r="M1620">
        <v>0</v>
      </c>
      <c r="N1620">
        <v>0.8</v>
      </c>
      <c r="O1620" t="s">
        <v>71</v>
      </c>
      <c r="P1620">
        <v>0</v>
      </c>
      <c r="Q1620" t="s">
        <v>71</v>
      </c>
      <c r="R1620">
        <v>0</v>
      </c>
      <c r="S1620" t="s">
        <v>71</v>
      </c>
      <c r="T1620">
        <v>0</v>
      </c>
      <c r="U1620" t="s">
        <v>71</v>
      </c>
      <c r="V1620">
        <v>0</v>
      </c>
      <c r="W1620" t="s">
        <v>71</v>
      </c>
      <c r="X1620">
        <v>0</v>
      </c>
      <c r="Y1620">
        <v>0.8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85</v>
      </c>
      <c r="AF1620">
        <v>34</v>
      </c>
      <c r="AG1620">
        <v>55</v>
      </c>
      <c r="AI1620">
        <v>6.6000000000000003E-2</v>
      </c>
      <c r="AK1620" t="s">
        <v>740</v>
      </c>
      <c r="AL1620" t="s">
        <v>104</v>
      </c>
      <c r="AM1620">
        <v>200000</v>
      </c>
      <c r="AN1620" t="s">
        <v>97</v>
      </c>
      <c r="AO1620">
        <v>1</v>
      </c>
      <c r="AP1620">
        <v>0</v>
      </c>
      <c r="AQ1620">
        <v>16666.666666666668</v>
      </c>
      <c r="AR1620" t="s">
        <v>4790</v>
      </c>
      <c r="AS1620" t="s">
        <v>75</v>
      </c>
      <c r="AX1620" t="s">
        <v>76</v>
      </c>
      <c r="AY1620" t="s">
        <v>71</v>
      </c>
      <c r="AZ1620">
        <v>0</v>
      </c>
      <c r="BA1620" t="s">
        <v>71</v>
      </c>
      <c r="BB1620">
        <v>0</v>
      </c>
      <c r="BD1620">
        <v>0.8</v>
      </c>
    </row>
    <row r="1621" spans="1:56" x14ac:dyDescent="0.15">
      <c r="A1621" s="4" t="str">
        <f>HYPERLINK("https://ibp.a2mac1.com/costing(costing:projects/details/9760/part/8414936)","Trim")</f>
        <v>Trim</v>
      </c>
      <c r="B1621">
        <v>8414936</v>
      </c>
      <c r="C1621">
        <v>8414788</v>
      </c>
      <c r="E1621">
        <v>0.33227308799999999</v>
      </c>
      <c r="F1621">
        <v>0</v>
      </c>
      <c r="G1621">
        <v>0</v>
      </c>
      <c r="H1621">
        <v>1.6855156143157895E-3</v>
      </c>
      <c r="I1621" t="s">
        <v>176</v>
      </c>
      <c r="J1621">
        <v>1.1658704842105263E-2</v>
      </c>
      <c r="K1621">
        <v>0.34561730845642108</v>
      </c>
      <c r="L1621">
        <v>2.3551311007241758E-2</v>
      </c>
      <c r="M1621">
        <v>0.14130786604345055</v>
      </c>
      <c r="N1621">
        <v>0.4869251744998716</v>
      </c>
      <c r="O1621" t="s">
        <v>177</v>
      </c>
      <c r="P1621">
        <v>2.0737038507385262E-2</v>
      </c>
      <c r="Q1621" t="s">
        <v>177</v>
      </c>
      <c r="R1621">
        <v>8.4784719626070319E-3</v>
      </c>
      <c r="S1621" t="s">
        <v>178</v>
      </c>
      <c r="T1621">
        <v>5.843102093998459E-2</v>
      </c>
      <c r="U1621" t="s">
        <v>90</v>
      </c>
      <c r="V1621">
        <v>0</v>
      </c>
      <c r="W1621" t="s">
        <v>90</v>
      </c>
      <c r="X1621">
        <v>0</v>
      </c>
      <c r="Y1621">
        <v>0.57457170590984852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63</v>
      </c>
      <c r="AF1621">
        <v>283</v>
      </c>
      <c r="AG1621">
        <v>160</v>
      </c>
      <c r="AI1621">
        <v>0.13800000000000001</v>
      </c>
      <c r="AK1621" t="s">
        <v>740</v>
      </c>
      <c r="AL1621" t="s">
        <v>412</v>
      </c>
      <c r="AM1621">
        <v>200000</v>
      </c>
      <c r="AN1621" t="s">
        <v>97</v>
      </c>
      <c r="AO1621">
        <v>1</v>
      </c>
      <c r="AP1621">
        <v>0</v>
      </c>
      <c r="AQ1621">
        <v>16666.666666666668</v>
      </c>
      <c r="AR1621" t="s">
        <v>4795</v>
      </c>
      <c r="AS1621" t="s">
        <v>75</v>
      </c>
      <c r="AX1621" t="s">
        <v>76</v>
      </c>
      <c r="AY1621" t="s">
        <v>176</v>
      </c>
      <c r="AZ1621">
        <v>0</v>
      </c>
      <c r="BA1621" t="s">
        <v>176</v>
      </c>
      <c r="BB1621">
        <v>0</v>
      </c>
    </row>
    <row r="1622" spans="1:56" x14ac:dyDescent="0.15">
      <c r="A1622" s="4" t="str">
        <f>HYPERLINK("https://ibp.a2mac1.com/costing(costing:projects/details/9760/part/8414937)","Stand Support")</f>
        <v>Stand Support</v>
      </c>
      <c r="B1622">
        <v>8414937</v>
      </c>
      <c r="C1622">
        <v>8414788</v>
      </c>
      <c r="D1622" t="s">
        <v>4789</v>
      </c>
      <c r="E1622">
        <v>0.4</v>
      </c>
      <c r="F1622">
        <v>0</v>
      </c>
      <c r="G1622">
        <v>0</v>
      </c>
      <c r="H1622">
        <v>0</v>
      </c>
      <c r="I1622" t="s">
        <v>71</v>
      </c>
      <c r="J1622">
        <v>0</v>
      </c>
      <c r="K1622">
        <v>0.4</v>
      </c>
      <c r="L1622">
        <v>0</v>
      </c>
      <c r="M1622">
        <v>0</v>
      </c>
      <c r="N1622">
        <v>0.4</v>
      </c>
      <c r="O1622" t="s">
        <v>71</v>
      </c>
      <c r="P1622">
        <v>0</v>
      </c>
      <c r="Q1622" t="s">
        <v>71</v>
      </c>
      <c r="R1622">
        <v>0</v>
      </c>
      <c r="S1622" t="s">
        <v>71</v>
      </c>
      <c r="T1622">
        <v>0</v>
      </c>
      <c r="U1622" t="s">
        <v>71</v>
      </c>
      <c r="V1622">
        <v>0</v>
      </c>
      <c r="W1622" t="s">
        <v>71</v>
      </c>
      <c r="X1622">
        <v>0</v>
      </c>
      <c r="Y1622">
        <v>0.4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10</v>
      </c>
      <c r="AF1622">
        <v>35</v>
      </c>
      <c r="AG1622">
        <v>35</v>
      </c>
      <c r="AI1622">
        <v>2.1000000000000001E-2</v>
      </c>
      <c r="AK1622" t="s">
        <v>740</v>
      </c>
      <c r="AL1622" t="s">
        <v>104</v>
      </c>
      <c r="AM1622">
        <v>200000</v>
      </c>
      <c r="AN1622" t="s">
        <v>97</v>
      </c>
      <c r="AO1622">
        <v>1</v>
      </c>
      <c r="AP1622">
        <v>0</v>
      </c>
      <c r="AQ1622">
        <v>16666.666666666668</v>
      </c>
      <c r="AR1622" t="s">
        <v>4796</v>
      </c>
      <c r="AS1622" t="s">
        <v>75</v>
      </c>
      <c r="AX1622" t="s">
        <v>76</v>
      </c>
      <c r="AY1622" t="s">
        <v>71</v>
      </c>
      <c r="AZ1622">
        <v>0</v>
      </c>
      <c r="BA1622" t="s">
        <v>71</v>
      </c>
      <c r="BB1622">
        <v>0</v>
      </c>
      <c r="BD1622">
        <v>0.4</v>
      </c>
    </row>
    <row r="1623" spans="1:56" x14ac:dyDescent="0.15">
      <c r="A1623" s="4" t="str">
        <f>HYPERLINK("https://ibp.a2mac1.com/costing(costing:projects/details/9760/part/8414938)","2nd Trim")</f>
        <v>2nd Trim</v>
      </c>
      <c r="B1623">
        <v>8414938</v>
      </c>
      <c r="C1623">
        <v>8414788</v>
      </c>
      <c r="E1623">
        <v>5.0563296000000001E-2</v>
      </c>
      <c r="F1623">
        <v>0</v>
      </c>
      <c r="G1623">
        <v>0</v>
      </c>
      <c r="H1623">
        <v>2.5649150652631581E-4</v>
      </c>
      <c r="I1623" t="s">
        <v>176</v>
      </c>
      <c r="J1623">
        <v>1.7741507368421053E-3</v>
      </c>
      <c r="K1623">
        <v>5.2593938243368422E-2</v>
      </c>
      <c r="L1623">
        <v>5.8904736909203177E-3</v>
      </c>
      <c r="M1623">
        <v>3.5342842145521906E-2</v>
      </c>
      <c r="N1623">
        <v>8.7936780388890329E-2</v>
      </c>
      <c r="O1623" t="s">
        <v>177</v>
      </c>
      <c r="P1623">
        <v>3.1556362946021052E-3</v>
      </c>
      <c r="Q1623" t="s">
        <v>177</v>
      </c>
      <c r="R1623">
        <v>2.1205705287313144E-3</v>
      </c>
      <c r="S1623" t="s">
        <v>178</v>
      </c>
      <c r="T1623">
        <v>1.0552413646666838E-2</v>
      </c>
      <c r="U1623" t="s">
        <v>90</v>
      </c>
      <c r="V1623">
        <v>0</v>
      </c>
      <c r="W1623" t="s">
        <v>90</v>
      </c>
      <c r="X1623">
        <v>0</v>
      </c>
      <c r="Y1623">
        <v>0.10376540085889058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48</v>
      </c>
      <c r="AF1623">
        <v>60</v>
      </c>
      <c r="AG1623">
        <v>82</v>
      </c>
      <c r="AI1623">
        <v>2.1000000000000001E-2</v>
      </c>
      <c r="AK1623" t="s">
        <v>740</v>
      </c>
      <c r="AL1623" t="s">
        <v>412</v>
      </c>
      <c r="AM1623">
        <v>200000</v>
      </c>
      <c r="AN1623" t="s">
        <v>97</v>
      </c>
      <c r="AO1623">
        <v>1</v>
      </c>
      <c r="AP1623">
        <v>0</v>
      </c>
      <c r="AQ1623">
        <v>16666.666666666668</v>
      </c>
      <c r="AR1623" t="s">
        <v>4799</v>
      </c>
      <c r="AS1623" t="s">
        <v>75</v>
      </c>
      <c r="AX1623" t="s">
        <v>76</v>
      </c>
      <c r="AY1623" t="s">
        <v>176</v>
      </c>
      <c r="AZ1623">
        <v>0</v>
      </c>
      <c r="BA1623" t="s">
        <v>176</v>
      </c>
      <c r="BB1623">
        <v>0</v>
      </c>
    </row>
    <row r="1624" spans="1:56" x14ac:dyDescent="0.15">
      <c r="A1624" s="4" t="str">
        <f>HYPERLINK("https://ibp.a2mac1.com/costing(costing:projects/details/9760/part/8414939)","Multifunction Support")</f>
        <v>Multifunction Support</v>
      </c>
      <c r="B1624">
        <v>8414939</v>
      </c>
      <c r="C1624">
        <v>8414788</v>
      </c>
      <c r="E1624">
        <v>7.3397506000000001E-2</v>
      </c>
      <c r="F1624">
        <v>0</v>
      </c>
      <c r="G1624">
        <v>0</v>
      </c>
      <c r="H1624">
        <v>4.0812239600000001E-4</v>
      </c>
      <c r="I1624" t="s">
        <v>176</v>
      </c>
      <c r="J1624">
        <v>2.822981E-3</v>
      </c>
      <c r="K1624">
        <v>7.6628609395999997E-2</v>
      </c>
      <c r="L1624">
        <v>1.2954808617448894E-2</v>
      </c>
      <c r="M1624">
        <v>7.7728851704693361E-2</v>
      </c>
      <c r="N1624">
        <v>0.15435746110069337</v>
      </c>
      <c r="O1624" t="s">
        <v>177</v>
      </c>
      <c r="P1624">
        <v>4.5977165637599996E-3</v>
      </c>
      <c r="Q1624" t="s">
        <v>177</v>
      </c>
      <c r="R1624">
        <v>4.6637311022816015E-3</v>
      </c>
      <c r="S1624" t="s">
        <v>178</v>
      </c>
      <c r="T1624">
        <v>1.8522895332083202E-2</v>
      </c>
      <c r="U1624" t="s">
        <v>90</v>
      </c>
      <c r="V1624">
        <v>0</v>
      </c>
      <c r="W1624" t="s">
        <v>90</v>
      </c>
      <c r="X1624">
        <v>0</v>
      </c>
      <c r="Y1624">
        <v>0.18214180409881817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15</v>
      </c>
      <c r="AF1624">
        <v>187</v>
      </c>
      <c r="AG1624">
        <v>49</v>
      </c>
      <c r="AI1624">
        <v>0.107</v>
      </c>
      <c r="AK1624" t="s">
        <v>740</v>
      </c>
      <c r="AL1624" t="s">
        <v>96</v>
      </c>
      <c r="AM1624">
        <v>200000</v>
      </c>
      <c r="AN1624" t="s">
        <v>97</v>
      </c>
      <c r="AO1624">
        <v>1</v>
      </c>
      <c r="AP1624">
        <v>0</v>
      </c>
      <c r="AQ1624">
        <v>16666.666666666668</v>
      </c>
      <c r="AR1624" t="s">
        <v>4804</v>
      </c>
      <c r="AS1624" t="s">
        <v>75</v>
      </c>
      <c r="AX1624" t="s">
        <v>76</v>
      </c>
      <c r="AY1624" t="s">
        <v>176</v>
      </c>
      <c r="AZ1624">
        <v>0</v>
      </c>
      <c r="BA1624" t="s">
        <v>176</v>
      </c>
      <c r="BB1624">
        <v>0</v>
      </c>
    </row>
    <row r="1625" spans="1:56" x14ac:dyDescent="0.15">
      <c r="A1625" s="4" t="str">
        <f>HYPERLINK("https://ibp.a2mac1.com/costing(costing:projects/details/9760/part/8414940)","Parcel Tray")</f>
        <v>Parcel Tray</v>
      </c>
      <c r="B1625">
        <v>8414940</v>
      </c>
      <c r="C1625">
        <v>8414789</v>
      </c>
      <c r="E1625">
        <v>2.7</v>
      </c>
      <c r="F1625">
        <v>0</v>
      </c>
      <c r="G1625">
        <v>0</v>
      </c>
      <c r="H1625">
        <v>1.3662000000000001E-2</v>
      </c>
      <c r="I1625" t="s">
        <v>176</v>
      </c>
      <c r="J1625">
        <v>9.4500000000000001E-2</v>
      </c>
      <c r="K1625">
        <v>2.8081619999999998</v>
      </c>
      <c r="L1625">
        <v>0.45447574152548492</v>
      </c>
      <c r="M1625">
        <v>2.7268544491529094</v>
      </c>
      <c r="N1625">
        <v>5.5350164491529092</v>
      </c>
      <c r="O1625" t="s">
        <v>177</v>
      </c>
      <c r="P1625">
        <v>0.16848972000000001</v>
      </c>
      <c r="Q1625" t="s">
        <v>177</v>
      </c>
      <c r="R1625">
        <v>0.16361126694917455</v>
      </c>
      <c r="S1625" t="s">
        <v>178</v>
      </c>
      <c r="T1625">
        <v>0.66420197389834912</v>
      </c>
      <c r="U1625" t="s">
        <v>90</v>
      </c>
      <c r="V1625">
        <v>0</v>
      </c>
      <c r="W1625" t="s">
        <v>90</v>
      </c>
      <c r="X1625">
        <v>0</v>
      </c>
      <c r="Y1625">
        <v>6.5313194100004335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550</v>
      </c>
      <c r="AF1625">
        <v>550</v>
      </c>
      <c r="AG1625">
        <v>122</v>
      </c>
      <c r="AI1625">
        <v>1</v>
      </c>
      <c r="AK1625" t="s">
        <v>772</v>
      </c>
      <c r="AL1625" t="s">
        <v>403</v>
      </c>
      <c r="AM1625">
        <v>200000</v>
      </c>
      <c r="AN1625" t="s">
        <v>97</v>
      </c>
      <c r="AO1625">
        <v>1</v>
      </c>
      <c r="AP1625">
        <v>0</v>
      </c>
      <c r="AQ1625">
        <v>16666.666666666668</v>
      </c>
      <c r="AR1625" t="s">
        <v>4810</v>
      </c>
      <c r="AS1625" t="s">
        <v>75</v>
      </c>
      <c r="AX1625" t="s">
        <v>76</v>
      </c>
      <c r="AY1625" t="s">
        <v>176</v>
      </c>
      <c r="AZ1625">
        <v>0</v>
      </c>
      <c r="BA1625" t="s">
        <v>176</v>
      </c>
      <c r="BB1625">
        <v>0</v>
      </c>
    </row>
    <row r="1626" spans="1:56" x14ac:dyDescent="0.15">
      <c r="A1626" s="4" t="str">
        <f>HYPERLINK("https://ibp.a2mac1.com/costing(costing:projects/details/9760/part/8415058)","Front Trunk Box")</f>
        <v>Front Trunk Box</v>
      </c>
      <c r="B1626">
        <v>8415058</v>
      </c>
      <c r="C1626">
        <v>8414944</v>
      </c>
      <c r="E1626">
        <v>6.890047311</v>
      </c>
      <c r="F1626">
        <v>0</v>
      </c>
      <c r="G1626">
        <v>0</v>
      </c>
      <c r="H1626">
        <v>3.4951016936000001E-2</v>
      </c>
      <c r="I1626" t="s">
        <v>176</v>
      </c>
      <c r="J1626">
        <v>0.241756046</v>
      </c>
      <c r="K1626">
        <v>7.1667543739359996</v>
      </c>
      <c r="L1626">
        <v>0.44741140659895634</v>
      </c>
      <c r="M1626">
        <v>2.6844684395937377</v>
      </c>
      <c r="N1626">
        <v>9.8512228135297377</v>
      </c>
      <c r="O1626" t="s">
        <v>177</v>
      </c>
      <c r="P1626">
        <v>0.43000526243616</v>
      </c>
      <c r="Q1626" t="s">
        <v>177</v>
      </c>
      <c r="R1626">
        <v>0.16106810637562427</v>
      </c>
      <c r="S1626" t="s">
        <v>178</v>
      </c>
      <c r="T1626">
        <v>1.1821467376235686</v>
      </c>
      <c r="U1626" t="s">
        <v>90</v>
      </c>
      <c r="V1626">
        <v>0</v>
      </c>
      <c r="W1626" t="s">
        <v>90</v>
      </c>
      <c r="X1626">
        <v>0</v>
      </c>
      <c r="Y1626">
        <v>11.624442919965091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830</v>
      </c>
      <c r="AF1626">
        <v>1432</v>
      </c>
      <c r="AG1626">
        <v>260</v>
      </c>
      <c r="AI1626">
        <v>3.6669999999999998</v>
      </c>
      <c r="AK1626" t="s">
        <v>740</v>
      </c>
      <c r="AL1626" t="s">
        <v>1346</v>
      </c>
      <c r="AM1626">
        <v>200000</v>
      </c>
      <c r="AN1626" t="s">
        <v>97</v>
      </c>
      <c r="AO1626">
        <v>1</v>
      </c>
      <c r="AP1626">
        <v>0</v>
      </c>
      <c r="AQ1626">
        <v>16666.666666666668</v>
      </c>
      <c r="AR1626" t="s">
        <v>4818</v>
      </c>
      <c r="AS1626" t="s">
        <v>75</v>
      </c>
      <c r="AX1626" t="s">
        <v>76</v>
      </c>
      <c r="AY1626" t="s">
        <v>176</v>
      </c>
      <c r="AZ1626">
        <v>0</v>
      </c>
      <c r="BA1626" t="s">
        <v>176</v>
      </c>
      <c r="BB1626">
        <v>0</v>
      </c>
    </row>
    <row r="1627" spans="1:56" x14ac:dyDescent="0.15">
      <c r="A1627" s="4" t="str">
        <f>HYPERLINK("https://ibp.a2mac1.com/costing(costing:projects/details/9760/part/8415059)","Fastener Cover")</f>
        <v>Fastener Cover</v>
      </c>
      <c r="B1627">
        <v>8415059</v>
      </c>
      <c r="C1627">
        <v>8414944</v>
      </c>
      <c r="E1627">
        <v>2.5322807999999999E-2</v>
      </c>
      <c r="F1627">
        <v>0</v>
      </c>
      <c r="G1627">
        <v>0</v>
      </c>
      <c r="H1627">
        <v>1.2769295663157893E-4</v>
      </c>
      <c r="I1627" t="s">
        <v>176</v>
      </c>
      <c r="J1627">
        <v>8.8851957894736839E-4</v>
      </c>
      <c r="K1627">
        <v>2.6339020535578947E-2</v>
      </c>
      <c r="L1627">
        <v>5.8902978663817546E-3</v>
      </c>
      <c r="M1627">
        <v>3.5341787198290529E-2</v>
      </c>
      <c r="N1627">
        <v>6.1680807733869476E-2</v>
      </c>
      <c r="O1627" t="s">
        <v>177</v>
      </c>
      <c r="P1627">
        <v>1.5803412321347369E-3</v>
      </c>
      <c r="Q1627" t="s">
        <v>177</v>
      </c>
      <c r="R1627">
        <v>2.1205072318974316E-3</v>
      </c>
      <c r="S1627" t="s">
        <v>178</v>
      </c>
      <c r="T1627">
        <v>7.4016969280643373E-3</v>
      </c>
      <c r="U1627" t="s">
        <v>90</v>
      </c>
      <c r="V1627">
        <v>0</v>
      </c>
      <c r="W1627" t="s">
        <v>90</v>
      </c>
      <c r="X1627">
        <v>0</v>
      </c>
      <c r="Y1627">
        <v>7.2783353125965983E-2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12</v>
      </c>
      <c r="AF1627">
        <v>34</v>
      </c>
      <c r="AG1627">
        <v>34</v>
      </c>
      <c r="AI1627">
        <v>8.0000000000000002E-3</v>
      </c>
      <c r="AK1627" t="s">
        <v>740</v>
      </c>
      <c r="AL1627" t="s">
        <v>2246</v>
      </c>
      <c r="AM1627">
        <v>400000</v>
      </c>
      <c r="AN1627" t="s">
        <v>97</v>
      </c>
      <c r="AO1627">
        <v>2</v>
      </c>
      <c r="AP1627">
        <v>0</v>
      </c>
      <c r="AQ1627">
        <v>33333.333333333336</v>
      </c>
      <c r="AR1627" t="s">
        <v>4821</v>
      </c>
      <c r="AS1627" t="s">
        <v>75</v>
      </c>
      <c r="AX1627" t="s">
        <v>76</v>
      </c>
      <c r="AY1627" t="s">
        <v>176</v>
      </c>
      <c r="AZ1627">
        <v>0</v>
      </c>
      <c r="BA1627" t="s">
        <v>176</v>
      </c>
      <c r="BB1627">
        <v>0</v>
      </c>
    </row>
    <row r="1628" spans="1:56" x14ac:dyDescent="0.15">
      <c r="A1628" s="4" t="str">
        <f>HYPERLINK("https://ibp.a2mac1.com/costing(costing:projects/details/9760/part/8415060)","Front Trunk Lid Seal")</f>
        <v>Front Trunk Lid Seal</v>
      </c>
      <c r="B1628">
        <v>8415060</v>
      </c>
      <c r="C1628">
        <v>8414944</v>
      </c>
      <c r="E1628">
        <v>1.6237371657499999</v>
      </c>
      <c r="F1628">
        <v>0</v>
      </c>
      <c r="G1628">
        <v>0</v>
      </c>
      <c r="H1628">
        <v>8.3870961541052634E-3</v>
      </c>
      <c r="I1628" t="s">
        <v>176</v>
      </c>
      <c r="J1628">
        <v>5.8013510947368424E-2</v>
      </c>
      <c r="K1628">
        <v>1.6901377728514737</v>
      </c>
      <c r="L1628">
        <v>2.4564957110409874E-2</v>
      </c>
      <c r="M1628">
        <v>0.14738974266245924</v>
      </c>
      <c r="N1628">
        <v>1.837527515513933</v>
      </c>
      <c r="O1628" t="s">
        <v>177</v>
      </c>
      <c r="P1628">
        <v>0.10140826637108842</v>
      </c>
      <c r="Q1628" t="s">
        <v>177</v>
      </c>
      <c r="R1628">
        <v>8.8433845597475549E-3</v>
      </c>
      <c r="S1628" t="s">
        <v>178</v>
      </c>
      <c r="T1628">
        <v>0.22050330186167194</v>
      </c>
      <c r="U1628" t="s">
        <v>90</v>
      </c>
      <c r="V1628">
        <v>0</v>
      </c>
      <c r="W1628" t="s">
        <v>90</v>
      </c>
      <c r="X1628">
        <v>0</v>
      </c>
      <c r="Y1628">
        <v>2.1682824683064408</v>
      </c>
      <c r="Z1628">
        <v>0</v>
      </c>
      <c r="AA1628">
        <v>0</v>
      </c>
      <c r="AB1628">
        <v>0</v>
      </c>
      <c r="AC1628">
        <v>0</v>
      </c>
      <c r="AD1628">
        <v>0</v>
      </c>
      <c r="AI1628">
        <v>0.89900000000000002</v>
      </c>
      <c r="AK1628" t="s">
        <v>740</v>
      </c>
      <c r="AL1628" t="s">
        <v>4828</v>
      </c>
      <c r="AM1628">
        <v>200000</v>
      </c>
      <c r="AN1628" t="s">
        <v>97</v>
      </c>
      <c r="AO1628">
        <v>1</v>
      </c>
      <c r="AP1628">
        <v>0</v>
      </c>
      <c r="AQ1628">
        <v>16666.666666666668</v>
      </c>
      <c r="AR1628" t="s">
        <v>4829</v>
      </c>
      <c r="AS1628" t="s">
        <v>75</v>
      </c>
      <c r="AX1628" t="s">
        <v>76</v>
      </c>
      <c r="AY1628" t="s">
        <v>176</v>
      </c>
      <c r="AZ1628">
        <v>0</v>
      </c>
      <c r="BA1628" t="s">
        <v>176</v>
      </c>
      <c r="BB1628">
        <v>0</v>
      </c>
    </row>
    <row r="1629" spans="1:56" x14ac:dyDescent="0.15">
      <c r="A1629" s="4" t="str">
        <f>HYPERLINK("https://ibp.a2mac1.com/costing(costing:projects/details/9760/part/8414941)","Trunk Storage Box Right Support")</f>
        <v>Trunk Storage Box Right Support</v>
      </c>
      <c r="B1629">
        <v>8414941</v>
      </c>
      <c r="C1629">
        <v>8414790</v>
      </c>
      <c r="E1629">
        <v>0.80189069099999999</v>
      </c>
      <c r="F1629">
        <v>8.7999999999999995E-2</v>
      </c>
      <c r="G1629">
        <v>0</v>
      </c>
      <c r="H1629">
        <v>4.0677362370526316E-3</v>
      </c>
      <c r="I1629" t="s">
        <v>176</v>
      </c>
      <c r="J1629">
        <v>2.8136515473684211E-2</v>
      </c>
      <c r="K1629">
        <v>0.92517494271073686</v>
      </c>
      <c r="L1629">
        <v>7.3001655492941783E-2</v>
      </c>
      <c r="M1629">
        <v>0.43800993295765073</v>
      </c>
      <c r="N1629">
        <v>1.3631848756683875</v>
      </c>
      <c r="O1629" t="s">
        <v>177</v>
      </c>
      <c r="P1629">
        <v>5.5510496562644208E-2</v>
      </c>
      <c r="Q1629" t="s">
        <v>177</v>
      </c>
      <c r="R1629">
        <v>2.6280595977459045E-2</v>
      </c>
      <c r="S1629" t="s">
        <v>178</v>
      </c>
      <c r="T1629">
        <v>0.1635821850802065</v>
      </c>
      <c r="U1629" t="s">
        <v>90</v>
      </c>
      <c r="V1629">
        <v>0</v>
      </c>
      <c r="W1629" t="s">
        <v>90</v>
      </c>
      <c r="X1629">
        <v>0</v>
      </c>
      <c r="Y1629">
        <v>1.6085581532886974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154</v>
      </c>
      <c r="AF1629">
        <v>356</v>
      </c>
      <c r="AG1629">
        <v>115</v>
      </c>
      <c r="AI1629">
        <v>0.443</v>
      </c>
      <c r="AK1629" t="s">
        <v>740</v>
      </c>
      <c r="AL1629" t="s">
        <v>446</v>
      </c>
      <c r="AM1629">
        <v>200000</v>
      </c>
      <c r="AN1629" t="s">
        <v>97</v>
      </c>
      <c r="AO1629">
        <v>1</v>
      </c>
      <c r="AP1629">
        <v>0</v>
      </c>
      <c r="AQ1629">
        <v>16666.666666666668</v>
      </c>
      <c r="AR1629" t="s">
        <v>4836</v>
      </c>
      <c r="AS1629" t="s">
        <v>75</v>
      </c>
      <c r="AX1629" t="s">
        <v>76</v>
      </c>
      <c r="AY1629" t="s">
        <v>176</v>
      </c>
      <c r="AZ1629">
        <v>3.0799999999999998E-3</v>
      </c>
      <c r="BA1629" t="s">
        <v>176</v>
      </c>
      <c r="BB1629">
        <v>0</v>
      </c>
    </row>
    <row r="1630" spans="1:56" x14ac:dyDescent="0.15">
      <c r="A1630" s="4" t="str">
        <f>HYPERLINK("https://ibp.a2mac1.com/costing(costing:projects/details/9760/part/8414942)","Trunk Storage Box Left Support")</f>
        <v>Trunk Storage Box Left Support</v>
      </c>
      <c r="B1630">
        <v>8414942</v>
      </c>
      <c r="C1630">
        <v>8414790</v>
      </c>
      <c r="E1630">
        <v>0.53761068899999997</v>
      </c>
      <c r="F1630">
        <v>8.7999999999999995E-2</v>
      </c>
      <c r="G1630">
        <v>0</v>
      </c>
      <c r="H1630">
        <v>2.7271279061052631E-3</v>
      </c>
      <c r="I1630" t="s">
        <v>176</v>
      </c>
      <c r="J1630">
        <v>1.8863532947368422E-2</v>
      </c>
      <c r="K1630">
        <v>0.65028134985347363</v>
      </c>
      <c r="L1630">
        <v>5.0042566981723914E-2</v>
      </c>
      <c r="M1630">
        <v>0.3002554018903435</v>
      </c>
      <c r="N1630">
        <v>0.95053675174381724</v>
      </c>
      <c r="O1630" t="s">
        <v>177</v>
      </c>
      <c r="P1630">
        <v>3.9016880991208418E-2</v>
      </c>
      <c r="Q1630" t="s">
        <v>177</v>
      </c>
      <c r="R1630">
        <v>1.8015324113420609E-2</v>
      </c>
      <c r="S1630" t="s">
        <v>178</v>
      </c>
      <c r="T1630">
        <v>0.11406441020925806</v>
      </c>
      <c r="U1630" t="s">
        <v>90</v>
      </c>
      <c r="V1630">
        <v>0</v>
      </c>
      <c r="W1630" t="s">
        <v>90</v>
      </c>
      <c r="X1630">
        <v>0</v>
      </c>
      <c r="Y1630">
        <v>1.1216333670577043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123</v>
      </c>
      <c r="AF1630">
        <v>308</v>
      </c>
      <c r="AG1630">
        <v>112</v>
      </c>
      <c r="AI1630">
        <v>0.29699999999999999</v>
      </c>
      <c r="AK1630" t="s">
        <v>740</v>
      </c>
      <c r="AL1630" t="s">
        <v>446</v>
      </c>
      <c r="AM1630">
        <v>200000</v>
      </c>
      <c r="AN1630" t="s">
        <v>97</v>
      </c>
      <c r="AO1630">
        <v>1</v>
      </c>
      <c r="AP1630">
        <v>0</v>
      </c>
      <c r="AQ1630">
        <v>16666.666666666668</v>
      </c>
      <c r="AR1630" t="s">
        <v>4841</v>
      </c>
      <c r="AS1630" t="s">
        <v>75</v>
      </c>
      <c r="AX1630" t="s">
        <v>76</v>
      </c>
      <c r="AY1630" t="s">
        <v>176</v>
      </c>
      <c r="AZ1630">
        <v>3.0799999999999998E-3</v>
      </c>
      <c r="BA1630" t="s">
        <v>176</v>
      </c>
      <c r="BB1630">
        <v>0</v>
      </c>
    </row>
    <row r="1631" spans="1:56" x14ac:dyDescent="0.15">
      <c r="A1631" s="4" t="str">
        <f>HYPERLINK("https://ibp.a2mac1.com/costing(costing:projects/details/9760/part/8414943)","Trunk Storage Box Front Support")</f>
        <v>Trunk Storage Box Front Support</v>
      </c>
      <c r="B1631">
        <v>8414943</v>
      </c>
      <c r="C1631">
        <v>8414790</v>
      </c>
      <c r="E1631">
        <v>0.72350614000000002</v>
      </c>
      <c r="F1631">
        <v>0</v>
      </c>
      <c r="G1631">
        <v>0</v>
      </c>
      <c r="H1631">
        <v>3.7166914399999998E-3</v>
      </c>
      <c r="I1631" t="s">
        <v>176</v>
      </c>
      <c r="J1631">
        <v>2.570834E-2</v>
      </c>
      <c r="K1631">
        <v>0.75293117143999999</v>
      </c>
      <c r="L1631">
        <v>8.3598157882734656E-2</v>
      </c>
      <c r="M1631">
        <v>0.50158894729640791</v>
      </c>
      <c r="N1631">
        <v>1.2545201187364079</v>
      </c>
      <c r="O1631" t="s">
        <v>177</v>
      </c>
      <c r="P1631">
        <v>4.5175870286400001E-2</v>
      </c>
      <c r="Q1631" t="s">
        <v>177</v>
      </c>
      <c r="R1631">
        <v>3.0095336837784474E-2</v>
      </c>
      <c r="S1631" t="s">
        <v>178</v>
      </c>
      <c r="T1631">
        <v>0.15054241424836895</v>
      </c>
      <c r="U1631" t="s">
        <v>90</v>
      </c>
      <c r="V1631">
        <v>0</v>
      </c>
      <c r="W1631" t="s">
        <v>90</v>
      </c>
      <c r="X1631">
        <v>0</v>
      </c>
      <c r="Y1631">
        <v>1.4803337401089613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110</v>
      </c>
      <c r="AF1631">
        <v>1030</v>
      </c>
      <c r="AG1631">
        <v>110</v>
      </c>
      <c r="AI1631">
        <v>0.51800000000000002</v>
      </c>
      <c r="AK1631" t="s">
        <v>740</v>
      </c>
      <c r="AL1631" t="s">
        <v>399</v>
      </c>
      <c r="AM1631">
        <v>200000</v>
      </c>
      <c r="AN1631" t="s">
        <v>97</v>
      </c>
      <c r="AO1631">
        <v>1</v>
      </c>
      <c r="AP1631">
        <v>0</v>
      </c>
      <c r="AQ1631">
        <v>16666.666666666668</v>
      </c>
      <c r="AR1631" t="s">
        <v>4846</v>
      </c>
      <c r="AS1631" t="s">
        <v>75</v>
      </c>
      <c r="AX1631" t="s">
        <v>76</v>
      </c>
      <c r="AY1631" t="s">
        <v>176</v>
      </c>
      <c r="AZ1631">
        <v>0</v>
      </c>
      <c r="BA1631" t="s">
        <v>176</v>
      </c>
      <c r="BB1631">
        <v>0</v>
      </c>
    </row>
    <row r="1632" spans="1:56" x14ac:dyDescent="0.15">
      <c r="A1632" s="4" t="str">
        <f>HYPERLINK("https://ibp.a2mac1.com/costing(costing:projects/details/9760/part/8415111)","Driver")</f>
        <v>Driver</v>
      </c>
      <c r="B1632">
        <v>8415111</v>
      </c>
      <c r="C1632">
        <v>8415065</v>
      </c>
      <c r="E1632">
        <v>4.7699999999999996</v>
      </c>
      <c r="F1632">
        <v>0</v>
      </c>
      <c r="G1632">
        <v>0</v>
      </c>
      <c r="H1632">
        <v>2.41362E-2</v>
      </c>
      <c r="I1632" t="s">
        <v>176</v>
      </c>
      <c r="J1632">
        <v>0.16694999999999999</v>
      </c>
      <c r="K1632">
        <v>4.9610861999999996</v>
      </c>
      <c r="L1632">
        <v>0.19662751670719186</v>
      </c>
      <c r="M1632">
        <v>1.1797651002431513</v>
      </c>
      <c r="N1632">
        <v>6.1408513002431508</v>
      </c>
      <c r="O1632" t="s">
        <v>177</v>
      </c>
      <c r="P1632">
        <v>0.29766517199999998</v>
      </c>
      <c r="Q1632" t="s">
        <v>177</v>
      </c>
      <c r="R1632">
        <v>7.0785906014589076E-2</v>
      </c>
      <c r="S1632" t="s">
        <v>178</v>
      </c>
      <c r="T1632">
        <v>0.73690215602917819</v>
      </c>
      <c r="U1632" t="s">
        <v>90</v>
      </c>
      <c r="V1632">
        <v>0</v>
      </c>
      <c r="W1632" t="s">
        <v>90</v>
      </c>
      <c r="X1632">
        <v>0</v>
      </c>
      <c r="Y1632">
        <v>7.2462045342869184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70</v>
      </c>
      <c r="AF1632">
        <v>530</v>
      </c>
      <c r="AG1632">
        <v>11</v>
      </c>
      <c r="AI1632">
        <v>0.626</v>
      </c>
      <c r="AK1632" t="s">
        <v>740</v>
      </c>
      <c r="AL1632" t="s">
        <v>4854</v>
      </c>
      <c r="AM1632">
        <v>200000</v>
      </c>
      <c r="AN1632" t="s">
        <v>97</v>
      </c>
      <c r="AO1632">
        <v>1</v>
      </c>
      <c r="AP1632">
        <v>0</v>
      </c>
      <c r="AQ1632">
        <v>16666.666666666668</v>
      </c>
      <c r="AR1632" t="s">
        <v>4855</v>
      </c>
      <c r="AS1632" t="s">
        <v>75</v>
      </c>
      <c r="AX1632" t="s">
        <v>76</v>
      </c>
      <c r="AY1632" t="s">
        <v>176</v>
      </c>
      <c r="AZ1632">
        <v>0</v>
      </c>
      <c r="BA1632" t="s">
        <v>176</v>
      </c>
      <c r="BB1632">
        <v>0</v>
      </c>
    </row>
    <row r="1633" spans="1:56" x14ac:dyDescent="0.15">
      <c r="A1633" s="4" t="str">
        <f>HYPERLINK("https://ibp.a2mac1.com/costing(costing:projects/details/9760/part/8415112)","Passenger")</f>
        <v>Passenger</v>
      </c>
      <c r="B1633">
        <v>8415112</v>
      </c>
      <c r="C1633">
        <v>8415065</v>
      </c>
      <c r="E1633">
        <v>4.93</v>
      </c>
      <c r="F1633">
        <v>0</v>
      </c>
      <c r="G1633">
        <v>0</v>
      </c>
      <c r="H1633">
        <v>2.4945800000000001E-2</v>
      </c>
      <c r="I1633" t="s">
        <v>176</v>
      </c>
      <c r="J1633">
        <v>0.17255000000000001</v>
      </c>
      <c r="K1633">
        <v>5.1274958000000002</v>
      </c>
      <c r="L1633">
        <v>0.19662751670719186</v>
      </c>
      <c r="M1633">
        <v>1.1797651002431513</v>
      </c>
      <c r="N1633">
        <v>6.3072609002431514</v>
      </c>
      <c r="O1633" t="s">
        <v>177</v>
      </c>
      <c r="P1633">
        <v>0.307649748</v>
      </c>
      <c r="Q1633" t="s">
        <v>177</v>
      </c>
      <c r="R1633">
        <v>7.0785906014589076E-2</v>
      </c>
      <c r="S1633" t="s">
        <v>178</v>
      </c>
      <c r="T1633">
        <v>0.75687130802917812</v>
      </c>
      <c r="U1633" t="s">
        <v>90</v>
      </c>
      <c r="V1633">
        <v>0</v>
      </c>
      <c r="W1633" t="s">
        <v>90</v>
      </c>
      <c r="X1633">
        <v>0</v>
      </c>
      <c r="Y1633">
        <v>7.4425678622869187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745</v>
      </c>
      <c r="AF1633">
        <v>515</v>
      </c>
      <c r="AG1633">
        <v>11</v>
      </c>
      <c r="AI1633">
        <v>0.77500000000000002</v>
      </c>
      <c r="AK1633" t="s">
        <v>740</v>
      </c>
      <c r="AL1633" t="s">
        <v>399</v>
      </c>
      <c r="AM1633">
        <v>200000</v>
      </c>
      <c r="AN1633" t="s">
        <v>97</v>
      </c>
      <c r="AO1633">
        <v>1</v>
      </c>
      <c r="AP1633">
        <v>0</v>
      </c>
      <c r="AQ1633">
        <v>16666.666666666668</v>
      </c>
      <c r="AR1633" t="s">
        <v>4858</v>
      </c>
      <c r="AS1633" t="s">
        <v>75</v>
      </c>
      <c r="AX1633" t="s">
        <v>76</v>
      </c>
      <c r="AY1633" t="s">
        <v>176</v>
      </c>
      <c r="AZ1633">
        <v>0</v>
      </c>
      <c r="BA1633" t="s">
        <v>176</v>
      </c>
      <c r="BB1633">
        <v>0</v>
      </c>
    </row>
    <row r="1634" spans="1:56" x14ac:dyDescent="0.15">
      <c r="A1634" s="4" t="str">
        <f>HYPERLINK("https://ibp.a2mac1.com/costing(costing:projects/details/9760/part/8415113)","Rear Complete")</f>
        <v>Rear Complete</v>
      </c>
      <c r="B1634">
        <v>8415113</v>
      </c>
      <c r="C1634">
        <v>8415065</v>
      </c>
      <c r="E1634">
        <v>6.78</v>
      </c>
      <c r="F1634">
        <v>0</v>
      </c>
      <c r="G1634">
        <v>0</v>
      </c>
      <c r="H1634">
        <v>3.4306799999999998E-2</v>
      </c>
      <c r="I1634" t="s">
        <v>176</v>
      </c>
      <c r="J1634">
        <v>0.23730000000000001</v>
      </c>
      <c r="K1634">
        <v>7.0516068000000001</v>
      </c>
      <c r="L1634">
        <v>0.32025337792144193</v>
      </c>
      <c r="M1634">
        <v>1.9215202675286518</v>
      </c>
      <c r="N1634">
        <v>8.973127067528651</v>
      </c>
      <c r="O1634" t="s">
        <v>177</v>
      </c>
      <c r="P1634">
        <v>0.42309640799999998</v>
      </c>
      <c r="Q1634" t="s">
        <v>177</v>
      </c>
      <c r="R1634">
        <v>0.1152912160517191</v>
      </c>
      <c r="S1634" t="s">
        <v>178</v>
      </c>
      <c r="T1634">
        <v>1.0767752481034383</v>
      </c>
      <c r="U1634" t="s">
        <v>90</v>
      </c>
      <c r="V1634">
        <v>0</v>
      </c>
      <c r="W1634" t="s">
        <v>90</v>
      </c>
      <c r="X1634">
        <v>0</v>
      </c>
      <c r="Y1634">
        <v>10.588289939683809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395</v>
      </c>
      <c r="AF1634">
        <v>1335</v>
      </c>
      <c r="AG1634">
        <v>10</v>
      </c>
      <c r="AI1634">
        <v>1.03</v>
      </c>
      <c r="AK1634" t="s">
        <v>740</v>
      </c>
      <c r="AL1634" t="s">
        <v>399</v>
      </c>
      <c r="AM1634">
        <v>200000</v>
      </c>
      <c r="AN1634" t="s">
        <v>97</v>
      </c>
      <c r="AO1634">
        <v>1</v>
      </c>
      <c r="AP1634">
        <v>0</v>
      </c>
      <c r="AQ1634">
        <v>16666.666666666668</v>
      </c>
      <c r="AR1634" t="s">
        <v>4861</v>
      </c>
      <c r="AS1634" t="s">
        <v>75</v>
      </c>
      <c r="AX1634" t="s">
        <v>76</v>
      </c>
      <c r="AY1634" t="s">
        <v>176</v>
      </c>
      <c r="AZ1634">
        <v>0</v>
      </c>
      <c r="BA1634" t="s">
        <v>176</v>
      </c>
      <c r="BB1634">
        <v>0</v>
      </c>
    </row>
    <row r="1635" spans="1:56" x14ac:dyDescent="0.15">
      <c r="A1635" s="4" t="str">
        <f>HYPERLINK("https://ibp.a2mac1.com/costing(costing:projects/details/9760/part/8415061)","Complete Carpet")</f>
        <v>Complete Carpet</v>
      </c>
      <c r="B1635">
        <v>8415061</v>
      </c>
      <c r="C1635">
        <v>8414945</v>
      </c>
      <c r="E1635">
        <v>49.9</v>
      </c>
      <c r="F1635">
        <v>0.06</v>
      </c>
      <c r="G1635">
        <v>0</v>
      </c>
      <c r="H1635">
        <v>0.252494</v>
      </c>
      <c r="I1635" t="s">
        <v>176</v>
      </c>
      <c r="J1635">
        <v>1.7464999999999999</v>
      </c>
      <c r="K1635">
        <v>51.961094000000003</v>
      </c>
      <c r="L1635">
        <v>1.1344179782038604</v>
      </c>
      <c r="M1635">
        <v>6.8065078692231618</v>
      </c>
      <c r="N1635">
        <v>58.767601869223164</v>
      </c>
      <c r="O1635" t="s">
        <v>177</v>
      </c>
      <c r="P1635">
        <v>3.1176656399999998</v>
      </c>
      <c r="Q1635" t="s">
        <v>177</v>
      </c>
      <c r="R1635">
        <v>0.40839047215338969</v>
      </c>
      <c r="S1635" t="s">
        <v>178</v>
      </c>
      <c r="T1635">
        <v>7.0521122243067795</v>
      </c>
      <c r="U1635" t="s">
        <v>90</v>
      </c>
      <c r="V1635">
        <v>0</v>
      </c>
      <c r="W1635" t="s">
        <v>90</v>
      </c>
      <c r="X1635">
        <v>0</v>
      </c>
      <c r="Y1635">
        <v>69.345770205683337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1885</v>
      </c>
      <c r="AF1635">
        <v>1500</v>
      </c>
      <c r="AG1635">
        <v>320</v>
      </c>
      <c r="AI1635">
        <v>6.7640000000000002</v>
      </c>
      <c r="AK1635" t="s">
        <v>772</v>
      </c>
      <c r="AL1635" t="s">
        <v>4866</v>
      </c>
      <c r="AM1635">
        <v>200000</v>
      </c>
      <c r="AN1635" t="s">
        <v>97</v>
      </c>
      <c r="AO1635">
        <v>1</v>
      </c>
      <c r="AP1635">
        <v>0</v>
      </c>
      <c r="AQ1635">
        <v>16666.666666666668</v>
      </c>
      <c r="AR1635" t="s">
        <v>4867</v>
      </c>
      <c r="AS1635" t="s">
        <v>75</v>
      </c>
      <c r="AX1635" t="s">
        <v>76</v>
      </c>
      <c r="AY1635" t="s">
        <v>176</v>
      </c>
      <c r="AZ1635">
        <v>2.0999999999999999E-3</v>
      </c>
      <c r="BA1635" t="s">
        <v>176</v>
      </c>
      <c r="BB1635">
        <v>0</v>
      </c>
    </row>
    <row r="1636" spans="1:56" x14ac:dyDescent="0.15">
      <c r="A1636" s="4" t="str">
        <f>HYPERLINK("https://ibp.a2mac1.com/costing(costing:projects/details/9760/part/8415062)","Rear")</f>
        <v>Rear</v>
      </c>
      <c r="B1636">
        <v>8415062</v>
      </c>
      <c r="C1636">
        <v>8414945</v>
      </c>
      <c r="E1636">
        <v>3.3</v>
      </c>
      <c r="F1636">
        <v>0</v>
      </c>
      <c r="G1636">
        <v>0</v>
      </c>
      <c r="H1636">
        <v>1.6698000000000001E-2</v>
      </c>
      <c r="I1636" t="s">
        <v>176</v>
      </c>
      <c r="J1636">
        <v>0.11550000000000001</v>
      </c>
      <c r="K1636">
        <v>3.4321980000000001</v>
      </c>
      <c r="L1636">
        <v>0.5092243372060814</v>
      </c>
      <c r="M1636">
        <v>3.055346023236488</v>
      </c>
      <c r="N1636">
        <v>6.487544023236488</v>
      </c>
      <c r="O1636" t="s">
        <v>177</v>
      </c>
      <c r="P1636">
        <v>0.20593188000000001</v>
      </c>
      <c r="Q1636" t="s">
        <v>177</v>
      </c>
      <c r="R1636">
        <v>0.18332076139418929</v>
      </c>
      <c r="S1636" t="s">
        <v>178</v>
      </c>
      <c r="T1636">
        <v>0.77850528278837861</v>
      </c>
      <c r="U1636" t="s">
        <v>90</v>
      </c>
      <c r="V1636">
        <v>0</v>
      </c>
      <c r="W1636" t="s">
        <v>90</v>
      </c>
      <c r="X1636">
        <v>0</v>
      </c>
      <c r="Y1636">
        <v>7.6553019474190558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785</v>
      </c>
      <c r="AF1636">
        <v>1240</v>
      </c>
      <c r="AG1636">
        <v>80</v>
      </c>
      <c r="AI1636">
        <v>1.2310000000000001</v>
      </c>
      <c r="AK1636" t="s">
        <v>772</v>
      </c>
      <c r="AL1636" t="s">
        <v>1375</v>
      </c>
      <c r="AM1636">
        <v>200000</v>
      </c>
      <c r="AN1636" t="s">
        <v>97</v>
      </c>
      <c r="AO1636">
        <v>1</v>
      </c>
      <c r="AP1636">
        <v>0</v>
      </c>
      <c r="AQ1636">
        <v>16666.666666666668</v>
      </c>
      <c r="AR1636" t="s">
        <v>4871</v>
      </c>
      <c r="AS1636" t="s">
        <v>75</v>
      </c>
      <c r="AX1636" t="s">
        <v>76</v>
      </c>
      <c r="AY1636" t="s">
        <v>176</v>
      </c>
      <c r="AZ1636">
        <v>0</v>
      </c>
      <c r="BA1636" t="s">
        <v>176</v>
      </c>
      <c r="BB1636">
        <v>0</v>
      </c>
    </row>
    <row r="1637" spans="1:56" x14ac:dyDescent="0.15">
      <c r="A1637" s="4" t="str">
        <f>HYPERLINK("https://ibp.a2mac1.com/costing(costing:projects/details/9760/part/8415063)","Foot Rest")</f>
        <v>Foot Rest</v>
      </c>
      <c r="B1637">
        <v>8415063</v>
      </c>
      <c r="C1637">
        <v>8414945</v>
      </c>
      <c r="E1637">
        <v>8.6017868999999997E-2</v>
      </c>
      <c r="F1637">
        <v>0.06</v>
      </c>
      <c r="G1637">
        <v>0</v>
      </c>
      <c r="H1637">
        <v>4.3634127031578948E-4</v>
      </c>
      <c r="I1637" t="s">
        <v>176</v>
      </c>
      <c r="J1637">
        <v>3.0181708421052633E-3</v>
      </c>
      <c r="K1637">
        <v>0.15157238111242105</v>
      </c>
      <c r="L1637">
        <v>1.4720892349081038E-2</v>
      </c>
      <c r="M1637">
        <v>8.8325354094486219E-2</v>
      </c>
      <c r="N1637">
        <v>0.23989773520690727</v>
      </c>
      <c r="O1637" t="s">
        <v>177</v>
      </c>
      <c r="P1637">
        <v>9.0943428667452624E-3</v>
      </c>
      <c r="Q1637" t="s">
        <v>177</v>
      </c>
      <c r="R1637">
        <v>5.2995212456691731E-3</v>
      </c>
      <c r="S1637" t="s">
        <v>178</v>
      </c>
      <c r="T1637">
        <v>2.8787728224828873E-2</v>
      </c>
      <c r="U1637" t="s">
        <v>90</v>
      </c>
      <c r="V1637">
        <v>0</v>
      </c>
      <c r="W1637" t="s">
        <v>90</v>
      </c>
      <c r="X1637">
        <v>0</v>
      </c>
      <c r="Y1637">
        <v>0.28307932754415061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26</v>
      </c>
      <c r="AF1637">
        <v>106</v>
      </c>
      <c r="AG1637">
        <v>300</v>
      </c>
      <c r="AI1637">
        <v>8.1000000000000003E-2</v>
      </c>
      <c r="AK1637" t="s">
        <v>740</v>
      </c>
      <c r="AL1637" t="s">
        <v>399</v>
      </c>
      <c r="AM1637">
        <v>200000</v>
      </c>
      <c r="AN1637" t="s">
        <v>97</v>
      </c>
      <c r="AO1637">
        <v>1</v>
      </c>
      <c r="AP1637">
        <v>0</v>
      </c>
      <c r="AQ1637">
        <v>16666.666666666668</v>
      </c>
      <c r="AR1637" t="s">
        <v>4876</v>
      </c>
      <c r="AS1637" t="s">
        <v>75</v>
      </c>
      <c r="AX1637" t="s">
        <v>76</v>
      </c>
      <c r="AY1637" t="s">
        <v>176</v>
      </c>
      <c r="AZ1637">
        <v>2.0999999999999999E-3</v>
      </c>
      <c r="BA1637" t="s">
        <v>176</v>
      </c>
      <c r="BB1637">
        <v>0</v>
      </c>
    </row>
    <row r="1638" spans="1:56" x14ac:dyDescent="0.15">
      <c r="A1638" s="4" t="str">
        <f>HYPERLINK("https://ibp.a2mac1.com/costing(costing:projects/details/9760/part/8415064)","Foot Rest Support")</f>
        <v>Foot Rest Support</v>
      </c>
      <c r="B1638">
        <v>8415064</v>
      </c>
      <c r="C1638">
        <v>8414945</v>
      </c>
      <c r="E1638">
        <v>0.1363635</v>
      </c>
      <c r="F1638">
        <v>0</v>
      </c>
      <c r="G1638">
        <v>0</v>
      </c>
      <c r="H1638">
        <v>6.9172863157894741E-4</v>
      </c>
      <c r="I1638" t="s">
        <v>176</v>
      </c>
      <c r="J1638">
        <v>4.784684210526316E-3</v>
      </c>
      <c r="K1638">
        <v>0.14183991284210526</v>
      </c>
      <c r="L1638">
        <v>2.1785227275609612E-2</v>
      </c>
      <c r="M1638">
        <v>0.13071136365365768</v>
      </c>
      <c r="N1638">
        <v>0.27255127649576294</v>
      </c>
      <c r="O1638" t="s">
        <v>177</v>
      </c>
      <c r="P1638">
        <v>8.5103947705263156E-3</v>
      </c>
      <c r="Q1638" t="s">
        <v>177</v>
      </c>
      <c r="R1638">
        <v>7.8426818192194603E-3</v>
      </c>
      <c r="S1638" t="s">
        <v>178</v>
      </c>
      <c r="T1638">
        <v>3.2706153179491555E-2</v>
      </c>
      <c r="U1638" t="s">
        <v>90</v>
      </c>
      <c r="V1638">
        <v>0</v>
      </c>
      <c r="W1638" t="s">
        <v>90</v>
      </c>
      <c r="X1638">
        <v>0</v>
      </c>
      <c r="Y1638">
        <v>0.32161050626500026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115</v>
      </c>
      <c r="AF1638">
        <v>142</v>
      </c>
      <c r="AG1638">
        <v>312</v>
      </c>
      <c r="AI1638">
        <v>0.05</v>
      </c>
      <c r="AK1638" t="s">
        <v>740</v>
      </c>
      <c r="AL1638" t="s">
        <v>2669</v>
      </c>
      <c r="AM1638">
        <v>200000</v>
      </c>
      <c r="AN1638" t="s">
        <v>97</v>
      </c>
      <c r="AO1638">
        <v>1</v>
      </c>
      <c r="AP1638">
        <v>0</v>
      </c>
      <c r="AQ1638">
        <v>16666.666666666668</v>
      </c>
      <c r="AR1638" t="s">
        <v>4881</v>
      </c>
      <c r="AS1638" t="s">
        <v>75</v>
      </c>
      <c r="AX1638" t="s">
        <v>76</v>
      </c>
      <c r="AY1638" t="s">
        <v>176</v>
      </c>
      <c r="AZ1638">
        <v>0</v>
      </c>
      <c r="BA1638" t="s">
        <v>176</v>
      </c>
      <c r="BB1638">
        <v>0</v>
      </c>
    </row>
    <row r="1639" spans="1:56" x14ac:dyDescent="0.15">
      <c r="A1639" s="4" t="str">
        <f>HYPERLINK("https://ibp.a2mac1.com/costing(costing:projects/details/9760/part/8415325)","Cover")</f>
        <v>Cover</v>
      </c>
      <c r="B1639">
        <v>8415325</v>
      </c>
      <c r="C1639">
        <v>8415116</v>
      </c>
      <c r="E1639">
        <v>9.83</v>
      </c>
      <c r="F1639">
        <v>0</v>
      </c>
      <c r="G1639">
        <v>0</v>
      </c>
      <c r="H1639">
        <v>4.9739800000000001E-2</v>
      </c>
      <c r="I1639" t="s">
        <v>176</v>
      </c>
      <c r="J1639">
        <v>0.34405000000000002</v>
      </c>
      <c r="K1639">
        <v>10.2237898</v>
      </c>
      <c r="L1639">
        <v>0.22488485641330616</v>
      </c>
      <c r="M1639">
        <v>1.349309138479837</v>
      </c>
      <c r="N1639">
        <v>11.573098938479838</v>
      </c>
      <c r="O1639" t="s">
        <v>177</v>
      </c>
      <c r="P1639">
        <v>0.61342738799999996</v>
      </c>
      <c r="Q1639" t="s">
        <v>177</v>
      </c>
      <c r="R1639">
        <v>8.0958548308790221E-2</v>
      </c>
      <c r="S1639" t="s">
        <v>178</v>
      </c>
      <c r="T1639">
        <v>1.3887718726175804</v>
      </c>
      <c r="U1639" t="s">
        <v>90</v>
      </c>
      <c r="V1639">
        <v>0</v>
      </c>
      <c r="W1639" t="s">
        <v>90</v>
      </c>
      <c r="X1639">
        <v>0</v>
      </c>
      <c r="Y1639">
        <v>13.656256747406207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712</v>
      </c>
      <c r="AF1639">
        <v>907</v>
      </c>
      <c r="AG1639">
        <v>66</v>
      </c>
      <c r="AI1639">
        <v>2.125</v>
      </c>
      <c r="AK1639" t="s">
        <v>740</v>
      </c>
      <c r="AL1639" t="s">
        <v>4889</v>
      </c>
      <c r="AM1639">
        <v>200000</v>
      </c>
      <c r="AN1639" t="s">
        <v>97</v>
      </c>
      <c r="AO1639">
        <v>1</v>
      </c>
      <c r="AP1639">
        <v>0</v>
      </c>
      <c r="AQ1639">
        <v>16666.666666666668</v>
      </c>
      <c r="AR1639" t="s">
        <v>4890</v>
      </c>
      <c r="AS1639" t="s">
        <v>75</v>
      </c>
      <c r="AX1639" t="s">
        <v>76</v>
      </c>
      <c r="AY1639" t="s">
        <v>176</v>
      </c>
      <c r="AZ1639">
        <v>0</v>
      </c>
      <c r="BA1639" t="s">
        <v>176</v>
      </c>
      <c r="BB1639">
        <v>0</v>
      </c>
    </row>
    <row r="1640" spans="1:56" x14ac:dyDescent="0.15">
      <c r="A1640" s="4" t="str">
        <f>HYPERLINK("https://ibp.a2mac1.com/costing(costing:projects/details/9760/part/8415114)","Main Floor")</f>
        <v>Main Floor</v>
      </c>
      <c r="B1640">
        <v>8415114</v>
      </c>
      <c r="C1640">
        <v>8415067</v>
      </c>
      <c r="E1640">
        <v>5.38</v>
      </c>
      <c r="F1640">
        <v>0</v>
      </c>
      <c r="G1640">
        <v>0</v>
      </c>
      <c r="H1640">
        <v>2.7222799999999998E-2</v>
      </c>
      <c r="I1640" t="s">
        <v>176</v>
      </c>
      <c r="J1640">
        <v>0.1883</v>
      </c>
      <c r="K1640">
        <v>5.5955228000000004</v>
      </c>
      <c r="L1640">
        <v>0.5357155931805635</v>
      </c>
      <c r="M1640">
        <v>3.214293559083381</v>
      </c>
      <c r="N1640">
        <v>8.8098163590833813</v>
      </c>
      <c r="O1640" t="s">
        <v>177</v>
      </c>
      <c r="P1640">
        <v>0.33573136799999997</v>
      </c>
      <c r="Q1640" t="s">
        <v>177</v>
      </c>
      <c r="R1640">
        <v>0.19285761354500286</v>
      </c>
      <c r="S1640" t="s">
        <v>178</v>
      </c>
      <c r="T1640">
        <v>1.0571779630900058</v>
      </c>
      <c r="U1640" t="s">
        <v>90</v>
      </c>
      <c r="V1640">
        <v>0</v>
      </c>
      <c r="W1640" t="s">
        <v>90</v>
      </c>
      <c r="X1640">
        <v>0</v>
      </c>
      <c r="Y1640">
        <v>10.395583303718389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517</v>
      </c>
      <c r="AF1640">
        <v>905</v>
      </c>
      <c r="AG1640">
        <v>17</v>
      </c>
      <c r="AI1640">
        <v>1.361</v>
      </c>
      <c r="AK1640" t="s">
        <v>772</v>
      </c>
      <c r="AL1640" t="s">
        <v>403</v>
      </c>
      <c r="AM1640">
        <v>200000</v>
      </c>
      <c r="AN1640" t="s">
        <v>97</v>
      </c>
      <c r="AO1640">
        <v>1</v>
      </c>
      <c r="AP1640">
        <v>0</v>
      </c>
      <c r="AQ1640">
        <v>16666.666666666668</v>
      </c>
      <c r="AR1640" t="s">
        <v>4896</v>
      </c>
      <c r="AS1640" t="s">
        <v>75</v>
      </c>
      <c r="AX1640" t="s">
        <v>76</v>
      </c>
      <c r="AY1640" t="s">
        <v>176</v>
      </c>
      <c r="AZ1640">
        <v>0</v>
      </c>
      <c r="BA1640" t="s">
        <v>176</v>
      </c>
      <c r="BB1640">
        <v>0</v>
      </c>
    </row>
    <row r="1641" spans="1:56" x14ac:dyDescent="0.15">
      <c r="A1641" s="4" t="str">
        <f>HYPERLINK("https://ibp.a2mac1.com/costing(costing:projects/details/9760/part/8415115)","Open Lid Holder")</f>
        <v>Open Lid Holder</v>
      </c>
      <c r="B1641">
        <v>8415115</v>
      </c>
      <c r="C1641">
        <v>8415067</v>
      </c>
      <c r="E1641">
        <v>3.1213686000000001E-2</v>
      </c>
      <c r="F1641">
        <v>0.04</v>
      </c>
      <c r="G1641">
        <v>0</v>
      </c>
      <c r="H1641">
        <v>1.5833709389473683E-4</v>
      </c>
      <c r="I1641" t="s">
        <v>176</v>
      </c>
      <c r="J1641">
        <v>1.0952170526315789E-3</v>
      </c>
      <c r="K1641">
        <v>7.386724014652632E-2</v>
      </c>
      <c r="L1641">
        <v>7.6565574225524614E-3</v>
      </c>
      <c r="M1641">
        <v>4.5939344535314765E-2</v>
      </c>
      <c r="N1641">
        <v>0.11980658468184108</v>
      </c>
      <c r="O1641" t="s">
        <v>177</v>
      </c>
      <c r="P1641">
        <v>4.4320344087915792E-3</v>
      </c>
      <c r="Q1641" t="s">
        <v>177</v>
      </c>
      <c r="R1641">
        <v>2.756360672118886E-3</v>
      </c>
      <c r="S1641" t="s">
        <v>178</v>
      </c>
      <c r="T1641">
        <v>1.437679016182093E-2</v>
      </c>
      <c r="U1641" t="s">
        <v>90</v>
      </c>
      <c r="V1641">
        <v>0</v>
      </c>
      <c r="W1641" t="s">
        <v>90</v>
      </c>
      <c r="X1641">
        <v>0</v>
      </c>
      <c r="Y1641">
        <v>0.14137176992457248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41</v>
      </c>
      <c r="AF1641">
        <v>78</v>
      </c>
      <c r="AG1641">
        <v>36</v>
      </c>
      <c r="AI1641">
        <v>1.4E-2</v>
      </c>
      <c r="AK1641" t="s">
        <v>740</v>
      </c>
      <c r="AL1641" t="s">
        <v>403</v>
      </c>
      <c r="AM1641">
        <v>200000</v>
      </c>
      <c r="AN1641" t="s">
        <v>97</v>
      </c>
      <c r="AO1641">
        <v>1</v>
      </c>
      <c r="AP1641">
        <v>0</v>
      </c>
      <c r="AQ1641">
        <v>16666.666666666668</v>
      </c>
      <c r="AR1641" t="s">
        <v>4902</v>
      </c>
      <c r="AS1641" t="s">
        <v>75</v>
      </c>
      <c r="AX1641" t="s">
        <v>76</v>
      </c>
      <c r="AY1641" t="s">
        <v>176</v>
      </c>
      <c r="AZ1641">
        <v>1.4E-3</v>
      </c>
      <c r="BA1641" t="s">
        <v>176</v>
      </c>
      <c r="BB1641">
        <v>0</v>
      </c>
    </row>
    <row r="1642" spans="1:56" x14ac:dyDescent="0.15">
      <c r="A1642" s="4" t="str">
        <f>HYPERLINK("https://ibp.a2mac1.com/costing(costing:projects/details/9760/part/8415066)","Trunk Cup Carpet")</f>
        <v>Trunk Cup Carpet</v>
      </c>
      <c r="B1642">
        <v>8415066</v>
      </c>
      <c r="C1642">
        <v>8414946</v>
      </c>
      <c r="E1642">
        <v>2.98</v>
      </c>
      <c r="F1642">
        <v>0</v>
      </c>
      <c r="G1642">
        <v>0</v>
      </c>
      <c r="H1642">
        <v>1.50788E-2</v>
      </c>
      <c r="I1642" t="s">
        <v>176</v>
      </c>
      <c r="J1642">
        <v>0.1043</v>
      </c>
      <c r="K1642">
        <v>3.0993788000000002</v>
      </c>
      <c r="L1642">
        <v>0.25490827985105263</v>
      </c>
      <c r="M1642">
        <v>1.5294496791063157</v>
      </c>
      <c r="N1642">
        <v>4.6288284791063159</v>
      </c>
      <c r="O1642" t="s">
        <v>177</v>
      </c>
      <c r="P1642">
        <v>0.18596272799999999</v>
      </c>
      <c r="Q1642" t="s">
        <v>177</v>
      </c>
      <c r="R1642">
        <v>9.1766980746378943E-2</v>
      </c>
      <c r="S1642" t="s">
        <v>178</v>
      </c>
      <c r="T1642">
        <v>0.55545941749275785</v>
      </c>
      <c r="U1642" t="s">
        <v>90</v>
      </c>
      <c r="V1642">
        <v>0</v>
      </c>
      <c r="W1642" t="s">
        <v>90</v>
      </c>
      <c r="X1642">
        <v>0</v>
      </c>
      <c r="Y1642">
        <v>5.4620176053454523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534</v>
      </c>
      <c r="AF1642">
        <v>907</v>
      </c>
      <c r="AG1642">
        <v>335</v>
      </c>
      <c r="AI1642">
        <v>1.27</v>
      </c>
      <c r="AK1642" t="s">
        <v>772</v>
      </c>
      <c r="AL1642" t="s">
        <v>4907</v>
      </c>
      <c r="AM1642">
        <v>200000</v>
      </c>
      <c r="AN1642" t="s">
        <v>97</v>
      </c>
      <c r="AO1642">
        <v>1</v>
      </c>
      <c r="AP1642">
        <v>0</v>
      </c>
      <c r="AQ1642">
        <v>16666.666666666668</v>
      </c>
      <c r="AR1642" t="s">
        <v>4908</v>
      </c>
      <c r="AS1642" t="s">
        <v>75</v>
      </c>
      <c r="AX1642" t="s">
        <v>76</v>
      </c>
      <c r="AY1642" t="s">
        <v>176</v>
      </c>
      <c r="AZ1642">
        <v>0</v>
      </c>
      <c r="BA1642" t="s">
        <v>176</v>
      </c>
      <c r="BB1642">
        <v>0</v>
      </c>
    </row>
    <row r="1643" spans="1:56" x14ac:dyDescent="0.15">
      <c r="A1643" s="4" t="str">
        <f>HYPERLINK("https://ibp.a2mac1.com/costing(costing:projects/details/9760/part/8415068)","Front Speaker")</f>
        <v>Front Speaker</v>
      </c>
      <c r="B1643">
        <v>8415068</v>
      </c>
      <c r="C1643">
        <v>8414947</v>
      </c>
      <c r="E1643">
        <v>5.4</v>
      </c>
      <c r="F1643">
        <v>0</v>
      </c>
      <c r="G1643">
        <v>0</v>
      </c>
      <c r="H1643">
        <v>0</v>
      </c>
      <c r="I1643" t="s">
        <v>71</v>
      </c>
      <c r="J1643">
        <v>0</v>
      </c>
      <c r="K1643">
        <v>5.4</v>
      </c>
      <c r="L1643">
        <v>0</v>
      </c>
      <c r="M1643">
        <v>0</v>
      </c>
      <c r="N1643">
        <v>5.4</v>
      </c>
      <c r="O1643" t="s">
        <v>71</v>
      </c>
      <c r="P1643">
        <v>0</v>
      </c>
      <c r="Q1643" t="s">
        <v>71</v>
      </c>
      <c r="R1643">
        <v>0</v>
      </c>
      <c r="S1643" t="s">
        <v>71</v>
      </c>
      <c r="T1643">
        <v>0</v>
      </c>
      <c r="U1643" t="s">
        <v>71</v>
      </c>
      <c r="V1643">
        <v>0</v>
      </c>
      <c r="W1643" t="s">
        <v>71</v>
      </c>
      <c r="X1643">
        <v>0</v>
      </c>
      <c r="Y1643">
        <v>5.4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17</v>
      </c>
      <c r="AF1643">
        <v>38</v>
      </c>
      <c r="AG1643">
        <v>37</v>
      </c>
      <c r="AI1643">
        <v>5.0999999999999997E-2</v>
      </c>
      <c r="AK1643" t="s">
        <v>740</v>
      </c>
      <c r="AL1643" t="s">
        <v>1397</v>
      </c>
      <c r="AM1643">
        <v>400000</v>
      </c>
      <c r="AN1643" t="s">
        <v>97</v>
      </c>
      <c r="AO1643">
        <v>2</v>
      </c>
      <c r="AP1643">
        <v>0</v>
      </c>
      <c r="AQ1643">
        <v>33333.333333333336</v>
      </c>
      <c r="AR1643" t="s">
        <v>4913</v>
      </c>
      <c r="AS1643" t="s">
        <v>75</v>
      </c>
      <c r="AX1643" t="s">
        <v>76</v>
      </c>
      <c r="AY1643" t="s">
        <v>71</v>
      </c>
      <c r="AZ1643">
        <v>0</v>
      </c>
      <c r="BA1643" t="s">
        <v>71</v>
      </c>
      <c r="BB1643">
        <v>0</v>
      </c>
      <c r="BD1643">
        <v>2.7</v>
      </c>
    </row>
    <row r="1644" spans="1:56" x14ac:dyDescent="0.15">
      <c r="A1644" s="4" t="str">
        <f>HYPERLINK("https://ibp.a2mac1.com/costing(costing:projects/details/9760/part/8415069)","Front Speaker Grille")</f>
        <v>Front Speaker Grille</v>
      </c>
      <c r="B1644">
        <v>8415069</v>
      </c>
      <c r="C1644">
        <v>8414947</v>
      </c>
      <c r="E1644">
        <v>1.1681439E-2</v>
      </c>
      <c r="F1644">
        <v>0</v>
      </c>
      <c r="G1644">
        <v>0</v>
      </c>
      <c r="H1644">
        <v>5.890490042105263E-5</v>
      </c>
      <c r="I1644" t="s">
        <v>176</v>
      </c>
      <c r="J1644">
        <v>4.0987505263157897E-4</v>
      </c>
      <c r="K1644">
        <v>1.2150218953052632E-2</v>
      </c>
      <c r="L1644">
        <v>1.2954421929829723E-2</v>
      </c>
      <c r="M1644">
        <v>7.7726531578978339E-2</v>
      </c>
      <c r="N1644">
        <v>8.9876750532030966E-2</v>
      </c>
      <c r="O1644" t="s">
        <v>177</v>
      </c>
      <c r="P1644">
        <v>7.2901313718315788E-4</v>
      </c>
      <c r="Q1644" t="s">
        <v>177</v>
      </c>
      <c r="R1644">
        <v>4.6635918947387006E-3</v>
      </c>
      <c r="S1644" t="s">
        <v>178</v>
      </c>
      <c r="T1644">
        <v>1.0785210063843717E-2</v>
      </c>
      <c r="U1644" t="s">
        <v>90</v>
      </c>
      <c r="V1644">
        <v>0</v>
      </c>
      <c r="W1644" t="s">
        <v>90</v>
      </c>
      <c r="X1644">
        <v>0</v>
      </c>
      <c r="Y1644">
        <v>0.10605456562779654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18</v>
      </c>
      <c r="AF1644">
        <v>44</v>
      </c>
      <c r="AG1644">
        <v>56</v>
      </c>
      <c r="AI1644">
        <v>1.0999999999999999E-2</v>
      </c>
      <c r="AK1644" t="s">
        <v>740</v>
      </c>
      <c r="AL1644" t="s">
        <v>403</v>
      </c>
      <c r="AM1644">
        <v>400000</v>
      </c>
      <c r="AN1644" t="s">
        <v>97</v>
      </c>
      <c r="AO1644">
        <v>2</v>
      </c>
      <c r="AP1644">
        <v>0</v>
      </c>
      <c r="AQ1644">
        <v>33333.333333333336</v>
      </c>
      <c r="AR1644" t="s">
        <v>4916</v>
      </c>
      <c r="AS1644" t="s">
        <v>75</v>
      </c>
      <c r="AX1644" t="s">
        <v>76</v>
      </c>
      <c r="AY1644" t="s">
        <v>176</v>
      </c>
      <c r="AZ1644">
        <v>0</v>
      </c>
      <c r="BA1644" t="s">
        <v>176</v>
      </c>
      <c r="BB1644">
        <v>0</v>
      </c>
    </row>
    <row r="1645" spans="1:56" x14ac:dyDescent="0.15">
      <c r="A1645" s="4" t="str">
        <f>HYPERLINK("https://ibp.a2mac1.com/costing(costing:projects/details/9760/part/8415070)","Speaker")</f>
        <v>Speaker</v>
      </c>
      <c r="B1645">
        <v>8415070</v>
      </c>
      <c r="C1645">
        <v>8414948</v>
      </c>
      <c r="E1645">
        <v>5.4</v>
      </c>
      <c r="F1645">
        <v>0</v>
      </c>
      <c r="G1645">
        <v>0</v>
      </c>
      <c r="H1645">
        <v>0</v>
      </c>
      <c r="I1645" t="s">
        <v>71</v>
      </c>
      <c r="J1645">
        <v>0</v>
      </c>
      <c r="K1645">
        <v>5.4</v>
      </c>
      <c r="L1645">
        <v>0</v>
      </c>
      <c r="M1645">
        <v>0</v>
      </c>
      <c r="N1645">
        <v>5.4</v>
      </c>
      <c r="O1645" t="s">
        <v>71</v>
      </c>
      <c r="P1645">
        <v>0</v>
      </c>
      <c r="Q1645" t="s">
        <v>71</v>
      </c>
      <c r="R1645">
        <v>0</v>
      </c>
      <c r="S1645" t="s">
        <v>71</v>
      </c>
      <c r="T1645">
        <v>0</v>
      </c>
      <c r="U1645" t="s">
        <v>71</v>
      </c>
      <c r="V1645">
        <v>0</v>
      </c>
      <c r="W1645" t="s">
        <v>71</v>
      </c>
      <c r="X1645">
        <v>0</v>
      </c>
      <c r="Y1645">
        <v>5.4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17</v>
      </c>
      <c r="AF1645">
        <v>38</v>
      </c>
      <c r="AG1645">
        <v>37</v>
      </c>
      <c r="AI1645">
        <v>5.0999999999999997E-2</v>
      </c>
      <c r="AK1645" t="s">
        <v>284</v>
      </c>
      <c r="AL1645" t="s">
        <v>1397</v>
      </c>
      <c r="AM1645">
        <v>400000</v>
      </c>
      <c r="AN1645" t="s">
        <v>97</v>
      </c>
      <c r="AO1645">
        <v>2</v>
      </c>
      <c r="AP1645">
        <v>0</v>
      </c>
      <c r="AQ1645">
        <v>33333.333333333336</v>
      </c>
      <c r="AR1645" t="s">
        <v>4919</v>
      </c>
      <c r="AS1645" t="s">
        <v>75</v>
      </c>
      <c r="AX1645" t="s">
        <v>76</v>
      </c>
      <c r="AY1645" t="s">
        <v>71</v>
      </c>
      <c r="AZ1645">
        <v>0</v>
      </c>
      <c r="BA1645" t="s">
        <v>71</v>
      </c>
      <c r="BB1645">
        <v>0</v>
      </c>
      <c r="BD1645">
        <v>2.7</v>
      </c>
    </row>
    <row r="1646" spans="1:56" x14ac:dyDescent="0.15">
      <c r="A1646" s="4" t="str">
        <f>HYPERLINK("https://ibp.a2mac1.com/costing(costing:projects/details/9760/part/8415071)","Rear Speaker Grille")</f>
        <v>Rear Speaker Grille</v>
      </c>
      <c r="B1646">
        <v>8415071</v>
      </c>
      <c r="C1646">
        <v>8414948</v>
      </c>
      <c r="E1646">
        <v>3.2920418999999999E-2</v>
      </c>
      <c r="F1646">
        <v>0</v>
      </c>
      <c r="G1646">
        <v>0</v>
      </c>
      <c r="H1646">
        <v>1.6600471936842106E-4</v>
      </c>
      <c r="I1646" t="s">
        <v>176</v>
      </c>
      <c r="J1646">
        <v>1.1551024210526316E-3</v>
      </c>
      <c r="K1646">
        <v>3.4241526140421051E-2</v>
      </c>
      <c r="L1646">
        <v>1.2954421929829723E-2</v>
      </c>
      <c r="M1646">
        <v>7.7726531578978339E-2</v>
      </c>
      <c r="N1646">
        <v>0.11196805771939938</v>
      </c>
      <c r="O1646" t="s">
        <v>177</v>
      </c>
      <c r="P1646">
        <v>2.0544915684252633E-3</v>
      </c>
      <c r="Q1646" t="s">
        <v>177</v>
      </c>
      <c r="R1646">
        <v>4.6635918947387006E-3</v>
      </c>
      <c r="S1646" t="s">
        <v>178</v>
      </c>
      <c r="T1646">
        <v>1.3436166926327927E-2</v>
      </c>
      <c r="U1646" t="s">
        <v>90</v>
      </c>
      <c r="V1646">
        <v>0</v>
      </c>
      <c r="W1646" t="s">
        <v>90</v>
      </c>
      <c r="X1646">
        <v>0</v>
      </c>
      <c r="Y1646">
        <v>0.13212230810889128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22</v>
      </c>
      <c r="AF1646">
        <v>48</v>
      </c>
      <c r="AG1646">
        <v>113</v>
      </c>
      <c r="AI1646">
        <v>3.1E-2</v>
      </c>
      <c r="AK1646" t="s">
        <v>740</v>
      </c>
      <c r="AL1646" t="s">
        <v>399</v>
      </c>
      <c r="AM1646">
        <v>400000</v>
      </c>
      <c r="AN1646" t="s">
        <v>97</v>
      </c>
      <c r="AO1646">
        <v>2</v>
      </c>
      <c r="AP1646">
        <v>0</v>
      </c>
      <c r="AQ1646">
        <v>33333.333333333336</v>
      </c>
      <c r="AR1646" t="s">
        <v>4924</v>
      </c>
      <c r="AS1646" t="s">
        <v>75</v>
      </c>
      <c r="AX1646" t="s">
        <v>76</v>
      </c>
      <c r="AY1646" t="s">
        <v>176</v>
      </c>
      <c r="AZ1646">
        <v>0</v>
      </c>
      <c r="BA1646" t="s">
        <v>176</v>
      </c>
      <c r="BB1646">
        <v>0</v>
      </c>
    </row>
    <row r="1647" spans="1:56" x14ac:dyDescent="0.15">
      <c r="A1647" s="4" t="str">
        <f>HYPERLINK("https://ibp.a2mac1.com/costing(costing:projects/details/9760/part/8415072)","Rear Tweeter")</f>
        <v>Rear Tweeter</v>
      </c>
      <c r="B1647">
        <v>8415072</v>
      </c>
      <c r="C1647">
        <v>8414949</v>
      </c>
      <c r="E1647">
        <v>7.36</v>
      </c>
      <c r="F1647">
        <v>0</v>
      </c>
      <c r="G1647">
        <v>0</v>
      </c>
      <c r="H1647">
        <v>0</v>
      </c>
      <c r="I1647" t="s">
        <v>71</v>
      </c>
      <c r="J1647">
        <v>0</v>
      </c>
      <c r="K1647">
        <v>7.36</v>
      </c>
      <c r="L1647">
        <v>0</v>
      </c>
      <c r="M1647">
        <v>0</v>
      </c>
      <c r="N1647">
        <v>7.36</v>
      </c>
      <c r="O1647" t="s">
        <v>71</v>
      </c>
      <c r="P1647">
        <v>0</v>
      </c>
      <c r="Q1647" t="s">
        <v>71</v>
      </c>
      <c r="R1647">
        <v>0</v>
      </c>
      <c r="S1647" t="s">
        <v>71</v>
      </c>
      <c r="T1647">
        <v>0</v>
      </c>
      <c r="U1647" t="s">
        <v>71</v>
      </c>
      <c r="V1647">
        <v>0</v>
      </c>
      <c r="W1647" t="s">
        <v>71</v>
      </c>
      <c r="X1647">
        <v>0</v>
      </c>
      <c r="Y1647">
        <v>7.36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39</v>
      </c>
      <c r="AF1647">
        <v>86</v>
      </c>
      <c r="AG1647">
        <v>124</v>
      </c>
      <c r="AI1647">
        <v>0.19800000000000001</v>
      </c>
      <c r="AK1647" t="s">
        <v>284</v>
      </c>
      <c r="AL1647" t="s">
        <v>3870</v>
      </c>
      <c r="AM1647">
        <v>400000</v>
      </c>
      <c r="AN1647" t="s">
        <v>97</v>
      </c>
      <c r="AO1647">
        <v>2</v>
      </c>
      <c r="AP1647">
        <v>0</v>
      </c>
      <c r="AQ1647">
        <v>33333.333333333336</v>
      </c>
      <c r="AR1647" t="s">
        <v>4927</v>
      </c>
      <c r="AS1647" t="s">
        <v>75</v>
      </c>
      <c r="AX1647" t="s">
        <v>76</v>
      </c>
      <c r="AY1647" t="s">
        <v>71</v>
      </c>
      <c r="AZ1647">
        <v>0</v>
      </c>
      <c r="BA1647" t="s">
        <v>71</v>
      </c>
      <c r="BB1647">
        <v>0</v>
      </c>
      <c r="BD1647">
        <v>3.68</v>
      </c>
    </row>
    <row r="1648" spans="1:56" x14ac:dyDescent="0.15">
      <c r="A1648" s="4" t="str">
        <f>HYPERLINK("https://ibp.a2mac1.com/costing(costing:projects/details/9760/part/8415073)","Tweeter on B pillar")</f>
        <v>Tweeter on B pillar</v>
      </c>
      <c r="B1648">
        <v>8415073</v>
      </c>
      <c r="C1648">
        <v>8414949</v>
      </c>
      <c r="E1648">
        <v>6</v>
      </c>
      <c r="F1648">
        <v>0</v>
      </c>
      <c r="G1648">
        <v>0</v>
      </c>
      <c r="H1648">
        <v>0</v>
      </c>
      <c r="I1648" t="s">
        <v>71</v>
      </c>
      <c r="J1648">
        <v>0</v>
      </c>
      <c r="K1648">
        <v>6</v>
      </c>
      <c r="L1648">
        <v>0</v>
      </c>
      <c r="M1648">
        <v>0</v>
      </c>
      <c r="N1648">
        <v>6</v>
      </c>
      <c r="O1648" t="s">
        <v>71</v>
      </c>
      <c r="P1648">
        <v>0</v>
      </c>
      <c r="Q1648" t="s">
        <v>71</v>
      </c>
      <c r="R1648">
        <v>0</v>
      </c>
      <c r="S1648" t="s">
        <v>71</v>
      </c>
      <c r="T1648">
        <v>0</v>
      </c>
      <c r="U1648" t="s">
        <v>71</v>
      </c>
      <c r="V1648">
        <v>0</v>
      </c>
      <c r="W1648" t="s">
        <v>71</v>
      </c>
      <c r="X1648">
        <v>0</v>
      </c>
      <c r="Y1648">
        <v>6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18</v>
      </c>
      <c r="AF1648">
        <v>30</v>
      </c>
      <c r="AG1648">
        <v>50</v>
      </c>
      <c r="AI1648">
        <v>5.5E-2</v>
      </c>
      <c r="AK1648" t="s">
        <v>740</v>
      </c>
      <c r="AL1648" t="s">
        <v>1433</v>
      </c>
      <c r="AM1648">
        <v>400000</v>
      </c>
      <c r="AN1648" t="s">
        <v>97</v>
      </c>
      <c r="AO1648">
        <v>2</v>
      </c>
      <c r="AP1648">
        <v>0</v>
      </c>
      <c r="AQ1648">
        <v>33333.333333333336</v>
      </c>
      <c r="AR1648" t="s">
        <v>4928</v>
      </c>
      <c r="AS1648" t="s">
        <v>75</v>
      </c>
      <c r="AX1648" t="s">
        <v>76</v>
      </c>
      <c r="AY1648" t="s">
        <v>71</v>
      </c>
      <c r="AZ1648">
        <v>0</v>
      </c>
      <c r="BA1648" t="s">
        <v>71</v>
      </c>
      <c r="BB1648">
        <v>0</v>
      </c>
      <c r="BD1648">
        <v>3</v>
      </c>
    </row>
    <row r="1649" spans="1:56" x14ac:dyDescent="0.15">
      <c r="A1649" s="4" t="str">
        <f>HYPERLINK("https://ibp.a2mac1.com/costing(costing:projects/details/9760/part/8415074)","Tweeter Grille on B pillar")</f>
        <v>Tweeter Grille on B pillar</v>
      </c>
      <c r="B1649">
        <v>8415074</v>
      </c>
      <c r="C1649">
        <v>8414949</v>
      </c>
      <c r="E1649">
        <v>4.1336525999999998E-2</v>
      </c>
      <c r="F1649">
        <v>0</v>
      </c>
      <c r="G1649">
        <v>0</v>
      </c>
      <c r="H1649">
        <v>2.0844383536842105E-4</v>
      </c>
      <c r="I1649" t="s">
        <v>176</v>
      </c>
      <c r="J1649">
        <v>1.4504044210526315E-3</v>
      </c>
      <c r="K1649">
        <v>4.2995374256421054E-2</v>
      </c>
      <c r="L1649">
        <v>1.2954421929829723E-2</v>
      </c>
      <c r="M1649">
        <v>7.7726531578978339E-2</v>
      </c>
      <c r="N1649">
        <v>0.12072190583539939</v>
      </c>
      <c r="O1649" t="s">
        <v>177</v>
      </c>
      <c r="P1649">
        <v>2.5797224553852634E-3</v>
      </c>
      <c r="Q1649" t="s">
        <v>177</v>
      </c>
      <c r="R1649">
        <v>4.6635918947387006E-3</v>
      </c>
      <c r="S1649" t="s">
        <v>178</v>
      </c>
      <c r="T1649">
        <v>1.4486628700247927E-2</v>
      </c>
      <c r="U1649" t="s">
        <v>90</v>
      </c>
      <c r="V1649">
        <v>0</v>
      </c>
      <c r="W1649" t="s">
        <v>90</v>
      </c>
      <c r="X1649">
        <v>0</v>
      </c>
      <c r="Y1649">
        <v>0.14245184888577128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24</v>
      </c>
      <c r="AF1649">
        <v>50</v>
      </c>
      <c r="AG1649">
        <v>75</v>
      </c>
      <c r="AI1649">
        <v>2.1999999999999999E-2</v>
      </c>
      <c r="AK1649" t="s">
        <v>740</v>
      </c>
      <c r="AL1649" t="s">
        <v>951</v>
      </c>
      <c r="AM1649">
        <v>400000</v>
      </c>
      <c r="AN1649" t="s">
        <v>97</v>
      </c>
      <c r="AO1649">
        <v>2</v>
      </c>
      <c r="AP1649">
        <v>0</v>
      </c>
      <c r="AQ1649">
        <v>33333.333333333336</v>
      </c>
      <c r="AR1649" t="s">
        <v>4931</v>
      </c>
      <c r="AS1649" t="s">
        <v>75</v>
      </c>
      <c r="AX1649" t="s">
        <v>76</v>
      </c>
      <c r="AY1649" t="s">
        <v>176</v>
      </c>
      <c r="AZ1649">
        <v>0</v>
      </c>
      <c r="BA1649" t="s">
        <v>176</v>
      </c>
      <c r="BB1649">
        <v>0</v>
      </c>
    </row>
    <row r="1650" spans="1:56" x14ac:dyDescent="0.15">
      <c r="A1650" s="4" t="str">
        <f>HYPERLINK("https://ibp.a2mac1.com/costing(costing:projects/details/9760/part/8415075)","Rear Tweeter Grille")</f>
        <v>Rear Tweeter Grille</v>
      </c>
      <c r="B1650">
        <v>8415075</v>
      </c>
      <c r="C1650">
        <v>8414949</v>
      </c>
      <c r="E1650">
        <v>0.20292476400000001</v>
      </c>
      <c r="F1650">
        <v>0</v>
      </c>
      <c r="G1650">
        <v>0</v>
      </c>
      <c r="H1650">
        <v>1.0232697372631579E-3</v>
      </c>
      <c r="I1650" t="s">
        <v>176</v>
      </c>
      <c r="J1650">
        <v>7.1201671578947365E-3</v>
      </c>
      <c r="K1650">
        <v>0.2110682008951579</v>
      </c>
      <c r="L1650">
        <v>4.1210918183621596E-2</v>
      </c>
      <c r="M1650">
        <v>0.24726550910172956</v>
      </c>
      <c r="N1650">
        <v>0.45833370999688744</v>
      </c>
      <c r="O1650" t="s">
        <v>177</v>
      </c>
      <c r="P1650">
        <v>1.2664092053709474E-2</v>
      </c>
      <c r="Q1650" t="s">
        <v>177</v>
      </c>
      <c r="R1650">
        <v>1.4835930546103774E-2</v>
      </c>
      <c r="S1650" t="s">
        <v>178</v>
      </c>
      <c r="T1650">
        <v>5.5000045199626493E-2</v>
      </c>
      <c r="U1650" t="s">
        <v>90</v>
      </c>
      <c r="V1650">
        <v>0</v>
      </c>
      <c r="W1650" t="s">
        <v>90</v>
      </c>
      <c r="X1650">
        <v>0</v>
      </c>
      <c r="Y1650">
        <v>0.54083377779632724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29</v>
      </c>
      <c r="AF1650">
        <v>121</v>
      </c>
      <c r="AG1650">
        <v>203</v>
      </c>
      <c r="AI1650">
        <v>0.108</v>
      </c>
      <c r="AK1650" t="s">
        <v>740</v>
      </c>
      <c r="AL1650" t="s">
        <v>951</v>
      </c>
      <c r="AM1650">
        <v>400000</v>
      </c>
      <c r="AN1650" t="s">
        <v>97</v>
      </c>
      <c r="AO1650">
        <v>2</v>
      </c>
      <c r="AP1650">
        <v>0</v>
      </c>
      <c r="AQ1650">
        <v>33333.333333333336</v>
      </c>
      <c r="AR1650" t="s">
        <v>4936</v>
      </c>
      <c r="AS1650" t="s">
        <v>75</v>
      </c>
      <c r="AX1650" t="s">
        <v>76</v>
      </c>
      <c r="AY1650" t="s">
        <v>176</v>
      </c>
      <c r="AZ1650">
        <v>0</v>
      </c>
      <c r="BA1650" t="s">
        <v>176</v>
      </c>
      <c r="BB1650">
        <v>0</v>
      </c>
    </row>
    <row r="1651" spans="1:56" x14ac:dyDescent="0.15">
      <c r="A1651" s="4" t="str">
        <f>HYPERLINK("https://ibp.a2mac1.com/costing(costing:projects/details/9760/part/8415076)","2nd Rear Tweeter")</f>
        <v>2nd Rear Tweeter</v>
      </c>
      <c r="B1651">
        <v>8415076</v>
      </c>
      <c r="C1651">
        <v>8414949</v>
      </c>
      <c r="E1651">
        <v>5.6</v>
      </c>
      <c r="F1651">
        <v>0</v>
      </c>
      <c r="G1651">
        <v>0</v>
      </c>
      <c r="H1651">
        <v>0</v>
      </c>
      <c r="I1651" t="s">
        <v>71</v>
      </c>
      <c r="J1651">
        <v>0</v>
      </c>
      <c r="K1651">
        <v>5.6</v>
      </c>
      <c r="L1651">
        <v>0</v>
      </c>
      <c r="M1651">
        <v>0</v>
      </c>
      <c r="N1651">
        <v>5.6</v>
      </c>
      <c r="O1651" t="s">
        <v>71</v>
      </c>
      <c r="P1651">
        <v>0</v>
      </c>
      <c r="Q1651" t="s">
        <v>71</v>
      </c>
      <c r="R1651">
        <v>0</v>
      </c>
      <c r="S1651" t="s">
        <v>71</v>
      </c>
      <c r="T1651">
        <v>0</v>
      </c>
      <c r="U1651" t="s">
        <v>71</v>
      </c>
      <c r="V1651">
        <v>0</v>
      </c>
      <c r="W1651" t="s">
        <v>71</v>
      </c>
      <c r="X1651">
        <v>0</v>
      </c>
      <c r="Y1651">
        <v>5.6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28</v>
      </c>
      <c r="AF1651">
        <v>40</v>
      </c>
      <c r="AG1651">
        <v>44</v>
      </c>
      <c r="AI1651">
        <v>8.3000000000000004E-2</v>
      </c>
      <c r="AK1651" t="s">
        <v>740</v>
      </c>
      <c r="AL1651" t="s">
        <v>3870</v>
      </c>
      <c r="AM1651">
        <v>400000</v>
      </c>
      <c r="AN1651" t="s">
        <v>97</v>
      </c>
      <c r="AO1651">
        <v>2</v>
      </c>
      <c r="AP1651">
        <v>0</v>
      </c>
      <c r="AQ1651">
        <v>33333.333333333336</v>
      </c>
      <c r="AR1651" t="s">
        <v>4937</v>
      </c>
      <c r="AS1651" t="s">
        <v>75</v>
      </c>
      <c r="AX1651" t="s">
        <v>76</v>
      </c>
      <c r="AY1651" t="s">
        <v>71</v>
      </c>
      <c r="AZ1651">
        <v>0</v>
      </c>
      <c r="BA1651" t="s">
        <v>71</v>
      </c>
      <c r="BB1651">
        <v>0</v>
      </c>
      <c r="BD1651">
        <v>2.8</v>
      </c>
    </row>
    <row r="1652" spans="1:56" x14ac:dyDescent="0.15">
      <c r="A1652" s="4" t="str">
        <f>HYPERLINK("https://ibp.a2mac1.com/costing(costing:projects/details/9760/part/8414950)","Tie Bracket")</f>
        <v>Tie Bracket</v>
      </c>
      <c r="B1652">
        <v>8414950</v>
      </c>
      <c r="C1652">
        <v>8414793</v>
      </c>
      <c r="E1652">
        <v>2.6754587999999999E-2</v>
      </c>
      <c r="F1652">
        <v>0</v>
      </c>
      <c r="G1652">
        <v>0</v>
      </c>
      <c r="H1652">
        <v>1.3571750905263158E-4</v>
      </c>
      <c r="I1652" t="s">
        <v>176</v>
      </c>
      <c r="J1652">
        <v>9.3875747368421048E-4</v>
      </c>
      <c r="K1652">
        <v>2.7829062982736841E-2</v>
      </c>
      <c r="L1652">
        <v>7.6565574225524614E-3</v>
      </c>
      <c r="M1652">
        <v>4.5939344535314765E-2</v>
      </c>
      <c r="N1652">
        <v>7.376840751805161E-2</v>
      </c>
      <c r="O1652" t="s">
        <v>177</v>
      </c>
      <c r="P1652">
        <v>1.6697437789642106E-3</v>
      </c>
      <c r="Q1652" t="s">
        <v>177</v>
      </c>
      <c r="R1652">
        <v>2.756360672118886E-3</v>
      </c>
      <c r="S1652" t="s">
        <v>178</v>
      </c>
      <c r="T1652">
        <v>8.8522089021661927E-3</v>
      </c>
      <c r="U1652" t="s">
        <v>90</v>
      </c>
      <c r="V1652">
        <v>0</v>
      </c>
      <c r="W1652" t="s">
        <v>90</v>
      </c>
      <c r="X1652">
        <v>0</v>
      </c>
      <c r="Y1652">
        <v>8.7046720871300901E-2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32</v>
      </c>
      <c r="AF1652">
        <v>27</v>
      </c>
      <c r="AG1652">
        <v>54</v>
      </c>
      <c r="AI1652">
        <v>1.2E-2</v>
      </c>
      <c r="AK1652" t="s">
        <v>740</v>
      </c>
      <c r="AL1652" t="s">
        <v>2086</v>
      </c>
      <c r="AM1652">
        <v>200000</v>
      </c>
      <c r="AN1652" t="s">
        <v>97</v>
      </c>
      <c r="AO1652">
        <v>1</v>
      </c>
      <c r="AP1652">
        <v>0</v>
      </c>
      <c r="AQ1652">
        <v>16666.666666666668</v>
      </c>
      <c r="AR1652" t="s">
        <v>4945</v>
      </c>
      <c r="AS1652" t="s">
        <v>75</v>
      </c>
      <c r="AX1652" t="s">
        <v>76</v>
      </c>
      <c r="AY1652" t="s">
        <v>176</v>
      </c>
      <c r="AZ1652">
        <v>0</v>
      </c>
      <c r="BA1652" t="s">
        <v>176</v>
      </c>
      <c r="BB1652">
        <v>0</v>
      </c>
    </row>
    <row r="1653" spans="1:56" x14ac:dyDescent="0.15">
      <c r="A1653" s="4" t="str">
        <f>HYPERLINK("https://ibp.a2mac1.com/costing(costing:projects/details/9760/part/8414951)","Trunk Light")</f>
        <v>Trunk Light</v>
      </c>
      <c r="B1653">
        <v>8414951</v>
      </c>
      <c r="C1653">
        <v>8414794</v>
      </c>
      <c r="E1653">
        <v>0.56999999999999995</v>
      </c>
      <c r="F1653">
        <v>0</v>
      </c>
      <c r="G1653">
        <v>0</v>
      </c>
      <c r="H1653">
        <v>0</v>
      </c>
      <c r="I1653" t="s">
        <v>71</v>
      </c>
      <c r="J1653">
        <v>0</v>
      </c>
      <c r="K1653">
        <v>0.56999999999999995</v>
      </c>
      <c r="L1653">
        <v>0</v>
      </c>
      <c r="M1653">
        <v>0</v>
      </c>
      <c r="N1653">
        <v>0.56999999999999995</v>
      </c>
      <c r="O1653" t="s">
        <v>71</v>
      </c>
      <c r="P1653">
        <v>0</v>
      </c>
      <c r="Q1653" t="s">
        <v>71</v>
      </c>
      <c r="R1653">
        <v>0</v>
      </c>
      <c r="S1653" t="s">
        <v>71</v>
      </c>
      <c r="T1653">
        <v>0</v>
      </c>
      <c r="U1653" t="s">
        <v>71</v>
      </c>
      <c r="V1653">
        <v>0</v>
      </c>
      <c r="W1653" t="s">
        <v>71</v>
      </c>
      <c r="X1653">
        <v>0</v>
      </c>
      <c r="Y1653">
        <v>0.56999999999999995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21</v>
      </c>
      <c r="AF1653">
        <v>70</v>
      </c>
      <c r="AG1653">
        <v>37</v>
      </c>
      <c r="AI1653">
        <v>1.7999999999999999E-2</v>
      </c>
      <c r="AK1653" t="s">
        <v>365</v>
      </c>
      <c r="AL1653" t="s">
        <v>466</v>
      </c>
      <c r="AM1653">
        <v>200000</v>
      </c>
      <c r="AN1653" t="s">
        <v>97</v>
      </c>
      <c r="AO1653">
        <v>1</v>
      </c>
      <c r="AP1653">
        <v>0</v>
      </c>
      <c r="AQ1653">
        <v>16666.666666666668</v>
      </c>
      <c r="AR1653" t="s">
        <v>4948</v>
      </c>
      <c r="AS1653" t="s">
        <v>75</v>
      </c>
      <c r="AX1653" t="s">
        <v>76</v>
      </c>
      <c r="AY1653" t="s">
        <v>71</v>
      </c>
      <c r="AZ1653">
        <v>0</v>
      </c>
      <c r="BA1653" t="s">
        <v>71</v>
      </c>
      <c r="BB1653">
        <v>0</v>
      </c>
      <c r="BD1653">
        <v>0.56999999999999995</v>
      </c>
    </row>
    <row r="1654" spans="1:56" x14ac:dyDescent="0.15">
      <c r="A1654" s="4" t="str">
        <f>HYPERLINK("https://ibp.a2mac1.com/costing(costing:projects/details/9760/part/8416476)","Closures&gt;Front door&gt;Outer panel&gt;Panel&gt;Part 01 (single/main)")</f>
        <v>Closures&gt;Front door&gt;Outer panel&gt;Panel&gt;Part 01 (single/main)</v>
      </c>
      <c r="B1654">
        <v>8416476</v>
      </c>
      <c r="C1654">
        <v>8416159</v>
      </c>
      <c r="D1654" t="s">
        <v>4963</v>
      </c>
      <c r="E1654">
        <v>3.0591438725</v>
      </c>
      <c r="F1654">
        <v>0</v>
      </c>
      <c r="G1654">
        <v>0</v>
      </c>
      <c r="H1654">
        <v>6.5088167500000006E-5</v>
      </c>
      <c r="I1654" t="s">
        <v>176</v>
      </c>
      <c r="J1654">
        <v>0.113904293125</v>
      </c>
      <c r="K1654">
        <v>3.1731132537925002</v>
      </c>
      <c r="L1654">
        <v>0.24982862648184256</v>
      </c>
      <c r="M1654">
        <v>1.4989717588910554</v>
      </c>
      <c r="N1654">
        <v>4.6720850126835556</v>
      </c>
      <c r="O1654" t="s">
        <v>90</v>
      </c>
      <c r="P1654">
        <v>0</v>
      </c>
      <c r="Q1654" t="s">
        <v>90</v>
      </c>
      <c r="R1654">
        <v>0</v>
      </c>
      <c r="S1654" t="s">
        <v>90</v>
      </c>
      <c r="T1654">
        <v>0</v>
      </c>
      <c r="U1654" t="s">
        <v>90</v>
      </c>
      <c r="V1654">
        <v>0</v>
      </c>
      <c r="W1654" t="s">
        <v>90</v>
      </c>
      <c r="X1654">
        <v>0</v>
      </c>
      <c r="Y1654">
        <v>4.6720850126835556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 t="s">
        <v>4964</v>
      </c>
      <c r="AM1654">
        <v>200000</v>
      </c>
      <c r="AN1654" t="s">
        <v>73</v>
      </c>
      <c r="AO1654">
        <v>1</v>
      </c>
      <c r="AP1654">
        <v>0</v>
      </c>
      <c r="AQ1654">
        <v>16666.666666666668</v>
      </c>
      <c r="AR1654" t="s">
        <v>9</v>
      </c>
      <c r="AS1654" t="s">
        <v>75</v>
      </c>
      <c r="AX1654" t="s">
        <v>76</v>
      </c>
      <c r="AY1654" t="s">
        <v>176</v>
      </c>
      <c r="AZ1654">
        <v>0</v>
      </c>
      <c r="BA1654" t="s">
        <v>176</v>
      </c>
      <c r="BB1654">
        <v>0</v>
      </c>
    </row>
    <row r="1655" spans="1:56" x14ac:dyDescent="0.15">
      <c r="A1655" s="4" t="str">
        <f>HYPERLINK("https://ibp.a2mac1.com/costing(costing:projects/details/9760/part/8416824)","Closures&gt;Front door&gt;Top roll assy&gt;Cross member 01 (outer)&gt;Cross member&gt;Part 01 (single/main)")</f>
        <v>Closures&gt;Front door&gt;Top roll assy&gt;Cross member 01 (outer)&gt;Cross member&gt;Part 01 (single/main)</v>
      </c>
      <c r="B1655">
        <v>8416824</v>
      </c>
      <c r="C1655">
        <v>8416477</v>
      </c>
      <c r="D1655" t="s">
        <v>4963</v>
      </c>
      <c r="E1655">
        <v>1.3986544000000001</v>
      </c>
      <c r="F1655">
        <v>0</v>
      </c>
      <c r="G1655">
        <v>0</v>
      </c>
      <c r="H1655">
        <v>3.0739657142857144E-5</v>
      </c>
      <c r="I1655" t="s">
        <v>176</v>
      </c>
      <c r="J1655">
        <v>5.3794399999999999E-2</v>
      </c>
      <c r="K1655">
        <v>1.4524795396571428</v>
      </c>
      <c r="L1655">
        <v>1.3850815167047692E-2</v>
      </c>
      <c r="M1655">
        <v>8.3104891002286158E-2</v>
      </c>
      <c r="N1655">
        <v>1.5355844306594291</v>
      </c>
      <c r="O1655" t="s">
        <v>177</v>
      </c>
      <c r="P1655">
        <v>8.7148772379428571E-2</v>
      </c>
      <c r="Q1655" t="s">
        <v>177</v>
      </c>
      <c r="R1655">
        <v>4.9862934601371698E-3</v>
      </c>
      <c r="S1655" t="s">
        <v>178</v>
      </c>
      <c r="T1655">
        <v>0.18427013167913148</v>
      </c>
      <c r="U1655" t="s">
        <v>90</v>
      </c>
      <c r="V1655">
        <v>0</v>
      </c>
      <c r="W1655" t="s">
        <v>90</v>
      </c>
      <c r="X1655">
        <v>0</v>
      </c>
      <c r="Y1655">
        <v>1.8119896281781263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K1655" t="s">
        <v>272</v>
      </c>
      <c r="AM1655">
        <v>200000</v>
      </c>
      <c r="AN1655" t="s">
        <v>97</v>
      </c>
      <c r="AO1655">
        <v>1</v>
      </c>
      <c r="AP1655">
        <v>0</v>
      </c>
      <c r="AQ1655">
        <v>16666.666666666668</v>
      </c>
      <c r="AR1655" t="s">
        <v>9</v>
      </c>
      <c r="AS1655" t="s">
        <v>75</v>
      </c>
      <c r="AX1655" t="s">
        <v>76</v>
      </c>
      <c r="AY1655" t="s">
        <v>176</v>
      </c>
      <c r="AZ1655">
        <v>0</v>
      </c>
      <c r="BA1655" t="s">
        <v>176</v>
      </c>
      <c r="BB1655">
        <v>0</v>
      </c>
    </row>
    <row r="1656" spans="1:56" x14ac:dyDescent="0.15">
      <c r="A1656" s="4" t="str">
        <f>HYPERLINK("https://ibp.a2mac1.com/costing(costing:projects/details/9760/part/8416825)","Closures&gt;Front door&gt;Top roll assy&gt;Cross member 01 (outer)&gt;Fixing parts&gt;Part 01 (single/main)")</f>
        <v>Closures&gt;Front door&gt;Top roll assy&gt;Cross member 01 (outer)&gt;Fixing parts&gt;Part 01 (single/main)</v>
      </c>
      <c r="B1656">
        <v>8416825</v>
      </c>
      <c r="C1656">
        <v>8416520</v>
      </c>
      <c r="E1656">
        <v>5.3152535000000001E-2</v>
      </c>
      <c r="F1656">
        <v>0</v>
      </c>
      <c r="G1656">
        <v>0</v>
      </c>
      <c r="H1656">
        <v>1.130905E-6</v>
      </c>
      <c r="I1656" t="s">
        <v>176</v>
      </c>
      <c r="J1656">
        <v>1.97908375E-3</v>
      </c>
      <c r="K1656">
        <v>5.5132749655E-2</v>
      </c>
      <c r="L1656">
        <v>4.3658469829901307E-3</v>
      </c>
      <c r="M1656">
        <v>2.6195081897940786E-2</v>
      </c>
      <c r="N1656">
        <v>8.132783155294078E-2</v>
      </c>
      <c r="O1656" t="s">
        <v>177</v>
      </c>
      <c r="P1656">
        <v>3.3079649793000001E-3</v>
      </c>
      <c r="Q1656" t="s">
        <v>177</v>
      </c>
      <c r="R1656">
        <v>1.5717049138764471E-3</v>
      </c>
      <c r="S1656" t="s">
        <v>178</v>
      </c>
      <c r="T1656">
        <v>9.7593397863528948E-3</v>
      </c>
      <c r="U1656" t="s">
        <v>90</v>
      </c>
      <c r="V1656">
        <v>0</v>
      </c>
      <c r="W1656" t="s">
        <v>90</v>
      </c>
      <c r="X1656">
        <v>0</v>
      </c>
      <c r="Y1656">
        <v>9.5966841232470124E-2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K1656" t="s">
        <v>272</v>
      </c>
      <c r="AM1656">
        <v>200000</v>
      </c>
      <c r="AN1656" t="s">
        <v>97</v>
      </c>
      <c r="AO1656">
        <v>1</v>
      </c>
      <c r="AP1656">
        <v>0</v>
      </c>
      <c r="AQ1656">
        <v>16666.666666666668</v>
      </c>
      <c r="AR1656" t="s">
        <v>9</v>
      </c>
      <c r="AS1656" t="s">
        <v>75</v>
      </c>
      <c r="AX1656" t="s">
        <v>76</v>
      </c>
      <c r="AY1656" t="s">
        <v>176</v>
      </c>
      <c r="AZ1656">
        <v>0</v>
      </c>
      <c r="BA1656" t="s">
        <v>176</v>
      </c>
      <c r="BB1656">
        <v>0</v>
      </c>
    </row>
    <row r="1657" spans="1:56" x14ac:dyDescent="0.15">
      <c r="A1657" s="4" t="str">
        <f>HYPERLINK("https://ibp.a2mac1.com/costing(costing:projects/details/9760/part/8416826)","Closures&gt;Front door&gt;Top roll assy&gt;Cross member 02 (inner)&gt;Cross member&gt;Part 01 (single/main)")</f>
        <v>Closures&gt;Front door&gt;Top roll assy&gt;Cross member 02 (inner)&gt;Cross member&gt;Part 01 (single/main)</v>
      </c>
      <c r="B1657">
        <v>8416826</v>
      </c>
      <c r="C1657">
        <v>8416521</v>
      </c>
      <c r="D1657" t="s">
        <v>4963</v>
      </c>
      <c r="E1657">
        <v>0.82386429250000004</v>
      </c>
      <c r="F1657">
        <v>0</v>
      </c>
      <c r="G1657">
        <v>0</v>
      </c>
      <c r="H1657">
        <v>1.75290275E-5</v>
      </c>
      <c r="I1657" t="s">
        <v>176</v>
      </c>
      <c r="J1657">
        <v>3.0675798125000001E-2</v>
      </c>
      <c r="K1657">
        <v>0.85455761965249999</v>
      </c>
      <c r="L1657">
        <v>1.3850815167047692E-2</v>
      </c>
      <c r="M1657">
        <v>8.3104891002286158E-2</v>
      </c>
      <c r="N1657">
        <v>0.93766251065478612</v>
      </c>
      <c r="O1657" t="s">
        <v>177</v>
      </c>
      <c r="P1657">
        <v>5.1273457179150002E-2</v>
      </c>
      <c r="Q1657" t="s">
        <v>177</v>
      </c>
      <c r="R1657">
        <v>4.9862934601371698E-3</v>
      </c>
      <c r="S1657" t="s">
        <v>178</v>
      </c>
      <c r="T1657">
        <v>0.11251950127857434</v>
      </c>
      <c r="U1657" t="s">
        <v>90</v>
      </c>
      <c r="V1657">
        <v>0</v>
      </c>
      <c r="W1657" t="s">
        <v>90</v>
      </c>
      <c r="X1657">
        <v>0</v>
      </c>
      <c r="Y1657">
        <v>1.1064417625726477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K1657" t="s">
        <v>272</v>
      </c>
      <c r="AM1657">
        <v>200000</v>
      </c>
      <c r="AN1657" t="s">
        <v>97</v>
      </c>
      <c r="AO1657">
        <v>1</v>
      </c>
      <c r="AP1657">
        <v>0</v>
      </c>
      <c r="AQ1657">
        <v>16666.666666666668</v>
      </c>
      <c r="AR1657" t="s">
        <v>9</v>
      </c>
      <c r="AS1657" t="s">
        <v>75</v>
      </c>
      <c r="AX1657" t="s">
        <v>76</v>
      </c>
      <c r="AY1657" t="s">
        <v>176</v>
      </c>
      <c r="AZ1657">
        <v>0</v>
      </c>
      <c r="BA1657" t="s">
        <v>176</v>
      </c>
      <c r="BB1657">
        <v>0</v>
      </c>
    </row>
    <row r="1658" spans="1:56" x14ac:dyDescent="0.15">
      <c r="A1658" s="4" t="str">
        <f>HYPERLINK("https://ibp.a2mac1.com/costing(costing:projects/details/9760/part/8416827)","Closures&gt;Front door&gt;Top roll assy&gt;Cross member 02 (inner)&gt;Brackets&gt;Part 01 (single/main)")</f>
        <v>Closures&gt;Front door&gt;Top roll assy&gt;Cross member 02 (inner)&gt;Brackets&gt;Part 01 (single/main)</v>
      </c>
      <c r="B1658">
        <v>8416827</v>
      </c>
      <c r="C1658">
        <v>8416522</v>
      </c>
      <c r="D1658" t="s">
        <v>4963</v>
      </c>
      <c r="E1658">
        <v>0.27518688333333335</v>
      </c>
      <c r="F1658">
        <v>0</v>
      </c>
      <c r="G1658">
        <v>0</v>
      </c>
      <c r="H1658">
        <v>5.9499866666666669E-6</v>
      </c>
      <c r="I1658" t="s">
        <v>176</v>
      </c>
      <c r="J1658">
        <v>1.0412476666666667E-2</v>
      </c>
      <c r="K1658">
        <v>0.28560530998666667</v>
      </c>
      <c r="L1658">
        <v>1.433145541358854E-2</v>
      </c>
      <c r="M1658">
        <v>8.5988732481531244E-2</v>
      </c>
      <c r="N1658">
        <v>0.37159404246819788</v>
      </c>
      <c r="O1658" t="s">
        <v>177</v>
      </c>
      <c r="P1658">
        <v>1.71363185992E-2</v>
      </c>
      <c r="Q1658" t="s">
        <v>177</v>
      </c>
      <c r="R1658">
        <v>5.1593239488918743E-3</v>
      </c>
      <c r="S1658" t="s">
        <v>178</v>
      </c>
      <c r="T1658">
        <v>4.459128509618375E-2</v>
      </c>
      <c r="U1658" t="s">
        <v>90</v>
      </c>
      <c r="V1658">
        <v>0</v>
      </c>
      <c r="W1658" t="s">
        <v>90</v>
      </c>
      <c r="X1658">
        <v>0</v>
      </c>
      <c r="Y1658">
        <v>0.43848097011247356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K1658" t="s">
        <v>272</v>
      </c>
      <c r="AM1658">
        <v>200000</v>
      </c>
      <c r="AN1658" t="s">
        <v>97</v>
      </c>
      <c r="AO1658">
        <v>1</v>
      </c>
      <c r="AP1658">
        <v>0</v>
      </c>
      <c r="AQ1658">
        <v>16666.666666666668</v>
      </c>
      <c r="AR1658" t="s">
        <v>9</v>
      </c>
      <c r="AS1658" t="s">
        <v>75</v>
      </c>
      <c r="AX1658" t="s">
        <v>76</v>
      </c>
      <c r="AY1658" t="s">
        <v>176</v>
      </c>
      <c r="AZ1658">
        <v>0</v>
      </c>
      <c r="BA1658" t="s">
        <v>176</v>
      </c>
      <c r="BB1658">
        <v>0</v>
      </c>
    </row>
    <row r="1659" spans="1:56" x14ac:dyDescent="0.15">
      <c r="A1659" s="4" t="str">
        <f>HYPERLINK("https://ibp.a2mac1.com/costing(costing:projects/details/9760/part/8416523)","Closures&gt;Front door&gt;Window frame assy&gt;Reinforcements&gt;Part 01 (single/main)")</f>
        <v>Closures&gt;Front door&gt;Window frame assy&gt;Reinforcements&gt;Part 01 (single/main)</v>
      </c>
      <c r="B1659">
        <v>8416523</v>
      </c>
      <c r="C1659">
        <v>8416162</v>
      </c>
      <c r="D1659" t="s">
        <v>4963</v>
      </c>
      <c r="E1659">
        <v>6.9138030000000003E-2</v>
      </c>
      <c r="F1659">
        <v>0</v>
      </c>
      <c r="G1659">
        <v>0</v>
      </c>
      <c r="H1659">
        <v>1.5195171428571429E-6</v>
      </c>
      <c r="I1659" t="s">
        <v>176</v>
      </c>
      <c r="J1659">
        <v>2.6591549999999999E-3</v>
      </c>
      <c r="K1659">
        <v>7.1798704517142861E-2</v>
      </c>
      <c r="L1659">
        <v>4.9079754834314279E-3</v>
      </c>
      <c r="M1659">
        <v>2.9447852900588566E-2</v>
      </c>
      <c r="N1659">
        <v>0.10124655741773142</v>
      </c>
      <c r="O1659" t="s">
        <v>177</v>
      </c>
      <c r="P1659">
        <v>4.3079222710285716E-3</v>
      </c>
      <c r="Q1659" t="s">
        <v>177</v>
      </c>
      <c r="R1659">
        <v>1.7668711740353141E-3</v>
      </c>
      <c r="S1659" t="s">
        <v>178</v>
      </c>
      <c r="T1659">
        <v>1.2149586890127771E-2</v>
      </c>
      <c r="U1659" t="s">
        <v>90</v>
      </c>
      <c r="V1659">
        <v>0</v>
      </c>
      <c r="W1659" t="s">
        <v>90</v>
      </c>
      <c r="X1659">
        <v>0</v>
      </c>
      <c r="Y1659">
        <v>0.11947093775292308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K1659" t="s">
        <v>272</v>
      </c>
      <c r="AM1659">
        <v>200000</v>
      </c>
      <c r="AN1659" t="s">
        <v>97</v>
      </c>
      <c r="AO1659">
        <v>1</v>
      </c>
      <c r="AP1659">
        <v>0</v>
      </c>
      <c r="AQ1659">
        <v>16666.666666666668</v>
      </c>
      <c r="AR1659" t="s">
        <v>9</v>
      </c>
      <c r="AS1659" t="s">
        <v>75</v>
      </c>
      <c r="AX1659" t="s">
        <v>76</v>
      </c>
      <c r="AY1659" t="s">
        <v>176</v>
      </c>
      <c r="AZ1659">
        <v>0</v>
      </c>
      <c r="BA1659" t="s">
        <v>176</v>
      </c>
      <c r="BB1659">
        <v>0</v>
      </c>
    </row>
    <row r="1660" spans="1:56" x14ac:dyDescent="0.15">
      <c r="A1660" s="4" t="str">
        <f>HYPERLINK("https://ibp.a2mac1.com/costing(costing:projects/details/9760/part/8417262)","Closures&gt;Front door&gt;Window frame assy&gt;Glass slides&gt;Front&gt;slide&gt;Part 01 (single/main)")</f>
        <v>Closures&gt;Front door&gt;Window frame assy&gt;Glass slides&gt;Front&gt;slide&gt;Part 01 (single/main)</v>
      </c>
      <c r="B1660">
        <v>8417262</v>
      </c>
      <c r="C1660">
        <v>8416828</v>
      </c>
      <c r="D1660" t="s">
        <v>5008</v>
      </c>
      <c r="E1660">
        <v>0.13431789250000001</v>
      </c>
      <c r="F1660">
        <v>0</v>
      </c>
      <c r="G1660">
        <v>0</v>
      </c>
      <c r="H1660">
        <v>2.8578275000000002E-6</v>
      </c>
      <c r="I1660" t="s">
        <v>176</v>
      </c>
      <c r="J1660">
        <v>5.001198125E-3</v>
      </c>
      <c r="K1660">
        <v>0.13932194845250001</v>
      </c>
      <c r="L1660">
        <v>4.0900761719984691E-2</v>
      </c>
      <c r="M1660">
        <v>0.24540457031990814</v>
      </c>
      <c r="N1660">
        <v>0.38472651877240815</v>
      </c>
      <c r="O1660" t="s">
        <v>177</v>
      </c>
      <c r="P1660">
        <v>8.3593169071499995E-3</v>
      </c>
      <c r="Q1660" t="s">
        <v>177</v>
      </c>
      <c r="R1660">
        <v>1.4724274219194488E-2</v>
      </c>
      <c r="S1660" t="s">
        <v>178</v>
      </c>
      <c r="T1660">
        <v>4.6167182252688975E-2</v>
      </c>
      <c r="U1660" t="s">
        <v>90</v>
      </c>
      <c r="V1660">
        <v>0</v>
      </c>
      <c r="W1660" t="s">
        <v>90</v>
      </c>
      <c r="X1660">
        <v>0</v>
      </c>
      <c r="Y1660">
        <v>0.45397729215144161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K1660" t="s">
        <v>272</v>
      </c>
      <c r="AM1660">
        <v>200000</v>
      </c>
      <c r="AN1660" t="s">
        <v>97</v>
      </c>
      <c r="AO1660">
        <v>1</v>
      </c>
      <c r="AP1660">
        <v>0</v>
      </c>
      <c r="AQ1660">
        <v>16666.666666666668</v>
      </c>
      <c r="AR1660" t="s">
        <v>9</v>
      </c>
      <c r="AS1660" t="s">
        <v>75</v>
      </c>
      <c r="AX1660" t="s">
        <v>76</v>
      </c>
      <c r="AY1660" t="s">
        <v>176</v>
      </c>
      <c r="AZ1660">
        <v>0</v>
      </c>
      <c r="BA1660" t="s">
        <v>176</v>
      </c>
      <c r="BB1660">
        <v>0</v>
      </c>
    </row>
    <row r="1661" spans="1:56" x14ac:dyDescent="0.15">
      <c r="A1661" s="4" t="str">
        <f>HYPERLINK("https://ibp.a2mac1.com/costing(costing:projects/details/9760/part/8417263)","Closures&gt;Front door&gt;Window frame assy&gt;Glass slides&gt;Front&gt;Fixing parts&gt;Part 01 (single/main)")</f>
        <v>Closures&gt;Front door&gt;Window frame assy&gt;Glass slides&gt;Front&gt;Fixing parts&gt;Part 01 (single/main)</v>
      </c>
      <c r="B1661">
        <v>8417263</v>
      </c>
      <c r="C1661">
        <v>8416829</v>
      </c>
      <c r="D1661" t="s">
        <v>4963</v>
      </c>
      <c r="E1661">
        <v>6.8178759230769229E-2</v>
      </c>
      <c r="F1661">
        <v>0</v>
      </c>
      <c r="G1661">
        <v>0</v>
      </c>
      <c r="H1661">
        <v>1.5235476923076922E-6</v>
      </c>
      <c r="I1661" t="s">
        <v>176</v>
      </c>
      <c r="J1661">
        <v>2.6662084615384617E-3</v>
      </c>
      <c r="K1661">
        <v>7.0846491240000004E-2</v>
      </c>
      <c r="L1661">
        <v>3.0616828624627588E-3</v>
      </c>
      <c r="M1661">
        <v>1.8370097174776553E-2</v>
      </c>
      <c r="N1661">
        <v>8.921658841477656E-2</v>
      </c>
      <c r="O1661" t="s">
        <v>177</v>
      </c>
      <c r="P1661">
        <v>4.2507894743999998E-3</v>
      </c>
      <c r="Q1661" t="s">
        <v>177</v>
      </c>
      <c r="R1661">
        <v>1.1022058304865931E-3</v>
      </c>
      <c r="S1661" t="s">
        <v>178</v>
      </c>
      <c r="T1661">
        <v>1.0705990609773187E-2</v>
      </c>
      <c r="U1661" t="s">
        <v>90</v>
      </c>
      <c r="V1661">
        <v>0</v>
      </c>
      <c r="W1661" t="s">
        <v>90</v>
      </c>
      <c r="X1661">
        <v>0</v>
      </c>
      <c r="Y1661">
        <v>0.10527557432943634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K1661" t="s">
        <v>272</v>
      </c>
      <c r="AM1661">
        <v>200000</v>
      </c>
      <c r="AN1661" t="s">
        <v>97</v>
      </c>
      <c r="AO1661">
        <v>1</v>
      </c>
      <c r="AP1661">
        <v>0</v>
      </c>
      <c r="AQ1661">
        <v>16666.666666666668</v>
      </c>
      <c r="AR1661" t="s">
        <v>9</v>
      </c>
      <c r="AS1661" t="s">
        <v>75</v>
      </c>
      <c r="AX1661" t="s">
        <v>76</v>
      </c>
      <c r="AY1661" t="s">
        <v>176</v>
      </c>
      <c r="AZ1661">
        <v>0</v>
      </c>
      <c r="BA1661" t="s">
        <v>176</v>
      </c>
      <c r="BB1661">
        <v>0</v>
      </c>
    </row>
    <row r="1662" spans="1:56" x14ac:dyDescent="0.15">
      <c r="A1662" s="4" t="str">
        <f>HYPERLINK("https://ibp.a2mac1.com/costing(costing:projects/details/9760/part/8416830)","Closures&gt;Front door&gt;Anti-intrusion beam&gt;Beam 01 (single/upper)&gt;Beam&gt;Part 01 (single/main)")</f>
        <v>Closures&gt;Front door&gt;Anti-intrusion beam&gt;Beam 01 (single/upper)&gt;Beam&gt;Part 01 (single/main)</v>
      </c>
      <c r="B1662">
        <v>8416830</v>
      </c>
      <c r="C1662">
        <v>8416525</v>
      </c>
      <c r="D1662" t="s">
        <v>4963</v>
      </c>
      <c r="E1662">
        <v>1.2332824675</v>
      </c>
      <c r="F1662">
        <v>0</v>
      </c>
      <c r="G1662">
        <v>0</v>
      </c>
      <c r="H1662">
        <v>2.62400525E-5</v>
      </c>
      <c r="I1662" t="s">
        <v>176</v>
      </c>
      <c r="J1662">
        <v>4.5920091874999999E-2</v>
      </c>
      <c r="K1662">
        <v>1.2792287994275</v>
      </c>
      <c r="L1662">
        <v>2.1317587816820249E-2</v>
      </c>
      <c r="M1662">
        <v>0.1279055269009215</v>
      </c>
      <c r="N1662">
        <v>1.4071343263284215</v>
      </c>
      <c r="O1662" t="s">
        <v>177</v>
      </c>
      <c r="P1662">
        <v>7.6753727965649998E-2</v>
      </c>
      <c r="Q1662" t="s">
        <v>177</v>
      </c>
      <c r="R1662">
        <v>7.6743316140552896E-3</v>
      </c>
      <c r="S1662" t="s">
        <v>178</v>
      </c>
      <c r="T1662">
        <v>0.16885611915941057</v>
      </c>
      <c r="U1662" t="s">
        <v>90</v>
      </c>
      <c r="V1662">
        <v>0</v>
      </c>
      <c r="W1662" t="s">
        <v>90</v>
      </c>
      <c r="X1662">
        <v>0</v>
      </c>
      <c r="Y1662">
        <v>1.6604185050675373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K1662" t="s">
        <v>272</v>
      </c>
      <c r="AM1662">
        <v>200000</v>
      </c>
      <c r="AN1662" t="s">
        <v>97</v>
      </c>
      <c r="AO1662">
        <v>1</v>
      </c>
      <c r="AP1662">
        <v>0</v>
      </c>
      <c r="AQ1662">
        <v>16666.666666666668</v>
      </c>
      <c r="AR1662" t="s">
        <v>9</v>
      </c>
      <c r="AS1662" t="s">
        <v>75</v>
      </c>
      <c r="AX1662" t="s">
        <v>76</v>
      </c>
      <c r="AY1662" t="s">
        <v>176</v>
      </c>
      <c r="AZ1662">
        <v>0</v>
      </c>
      <c r="BA1662" t="s">
        <v>176</v>
      </c>
      <c r="BB1662">
        <v>0</v>
      </c>
    </row>
    <row r="1663" spans="1:56" x14ac:dyDescent="0.15">
      <c r="A1663" s="4" t="str">
        <f>HYPERLINK("https://ibp.a2mac1.com/costing(costing:projects/details/9760/part/8416526)","Closures&gt;Front door&gt;Housing assy&gt;Housing&gt;Part 01 (single/front)")</f>
        <v>Closures&gt;Front door&gt;Housing assy&gt;Housing&gt;Part 01 (single/front)</v>
      </c>
      <c r="B1663">
        <v>8416526</v>
      </c>
      <c r="C1663">
        <v>8416165</v>
      </c>
      <c r="D1663" t="s">
        <v>4963</v>
      </c>
      <c r="E1663">
        <v>3.1934617649999999</v>
      </c>
      <c r="F1663">
        <v>0</v>
      </c>
      <c r="G1663">
        <v>0</v>
      </c>
      <c r="H1663">
        <v>6.7945994999999996E-5</v>
      </c>
      <c r="I1663" t="s">
        <v>176</v>
      </c>
      <c r="J1663">
        <v>0.11890549124999999</v>
      </c>
      <c r="K1663">
        <v>3.3124352022450001</v>
      </c>
      <c r="L1663">
        <v>0.24982862648184256</v>
      </c>
      <c r="M1663">
        <v>1.4989717588910554</v>
      </c>
      <c r="N1663">
        <v>4.811406961136055</v>
      </c>
      <c r="O1663" t="s">
        <v>90</v>
      </c>
      <c r="P1663">
        <v>0</v>
      </c>
      <c r="Q1663" t="s">
        <v>90</v>
      </c>
      <c r="R1663">
        <v>0</v>
      </c>
      <c r="S1663" t="s">
        <v>90</v>
      </c>
      <c r="T1663">
        <v>0</v>
      </c>
      <c r="U1663" t="s">
        <v>90</v>
      </c>
      <c r="V1663">
        <v>0</v>
      </c>
      <c r="W1663" t="s">
        <v>90</v>
      </c>
      <c r="X1663">
        <v>0</v>
      </c>
      <c r="Y1663">
        <v>4.811406961136055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K1663" t="s">
        <v>5035</v>
      </c>
      <c r="AM1663">
        <v>200000</v>
      </c>
      <c r="AN1663" t="s">
        <v>73</v>
      </c>
      <c r="AO1663">
        <v>1</v>
      </c>
      <c r="AP1663">
        <v>0</v>
      </c>
      <c r="AQ1663">
        <v>16666.666666666668</v>
      </c>
      <c r="AR1663" t="s">
        <v>9</v>
      </c>
      <c r="AS1663" t="s">
        <v>75</v>
      </c>
      <c r="AX1663" t="s">
        <v>76</v>
      </c>
      <c r="AY1663" t="s">
        <v>176</v>
      </c>
      <c r="AZ1663">
        <v>0</v>
      </c>
      <c r="BA1663" t="s">
        <v>176</v>
      </c>
      <c r="BB1663">
        <v>0</v>
      </c>
    </row>
    <row r="1664" spans="1:56" x14ac:dyDescent="0.15">
      <c r="A1664" s="4" t="str">
        <f>HYPERLINK("https://ibp.a2mac1.com/costing(costing:projects/details/9760/part/8416527)","Closures&gt;Front door&gt;Housing assy&gt;Reinforcements&gt;Part 01 (single/main)")</f>
        <v>Closures&gt;Front door&gt;Housing assy&gt;Reinforcements&gt;Part 01 (single/main)</v>
      </c>
      <c r="B1664">
        <v>8416527</v>
      </c>
      <c r="C1664">
        <v>8416166</v>
      </c>
      <c r="D1664" t="s">
        <v>4963</v>
      </c>
      <c r="E1664">
        <v>0.35435023333333332</v>
      </c>
      <c r="F1664">
        <v>0</v>
      </c>
      <c r="G1664">
        <v>0</v>
      </c>
      <c r="H1664">
        <v>7.661626666666667E-6</v>
      </c>
      <c r="I1664" t="s">
        <v>176</v>
      </c>
      <c r="J1664">
        <v>1.3407846666666667E-2</v>
      </c>
      <c r="K1664">
        <v>0.36776574162666664</v>
      </c>
      <c r="L1664">
        <v>1.2228940964449372E-2</v>
      </c>
      <c r="M1664">
        <v>7.3373645786696237E-2</v>
      </c>
      <c r="N1664">
        <v>0.44113938741336289</v>
      </c>
      <c r="O1664" t="s">
        <v>177</v>
      </c>
      <c r="P1664">
        <v>2.20659444976E-2</v>
      </c>
      <c r="Q1664" t="s">
        <v>177</v>
      </c>
      <c r="R1664">
        <v>4.4024187472017735E-3</v>
      </c>
      <c r="S1664" t="s">
        <v>178</v>
      </c>
      <c r="T1664">
        <v>5.2936726489603549E-2</v>
      </c>
      <c r="U1664" t="s">
        <v>90</v>
      </c>
      <c r="V1664">
        <v>0</v>
      </c>
      <c r="W1664" t="s">
        <v>90</v>
      </c>
      <c r="X1664">
        <v>0</v>
      </c>
      <c r="Y1664">
        <v>0.52054447714776819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K1664" t="s">
        <v>272</v>
      </c>
      <c r="AM1664">
        <v>200000</v>
      </c>
      <c r="AN1664" t="s">
        <v>97</v>
      </c>
      <c r="AO1664">
        <v>1</v>
      </c>
      <c r="AP1664">
        <v>0</v>
      </c>
      <c r="AQ1664">
        <v>16666.666666666668</v>
      </c>
      <c r="AR1664" t="s">
        <v>9</v>
      </c>
      <c r="AS1664" t="s">
        <v>75</v>
      </c>
      <c r="AX1664" t="s">
        <v>76</v>
      </c>
      <c r="AY1664" t="s">
        <v>176</v>
      </c>
      <c r="AZ1664">
        <v>0</v>
      </c>
      <c r="BA1664" t="s">
        <v>176</v>
      </c>
      <c r="BB1664">
        <v>0</v>
      </c>
    </row>
    <row r="1665" spans="1:54" x14ac:dyDescent="0.15">
      <c r="A1665" s="4" t="str">
        <f>HYPERLINK("https://ibp.a2mac1.com/costing(costing:projects/details/9760/part/8416528)","Closures&gt;Front door&gt;Housing assy&gt;Reinforcements&gt;Part 02")</f>
        <v>Closures&gt;Front door&gt;Housing assy&gt;Reinforcements&gt;Part 02</v>
      </c>
      <c r="B1665">
        <v>8416528</v>
      </c>
      <c r="C1665">
        <v>8416166</v>
      </c>
      <c r="D1665" t="s">
        <v>4963</v>
      </c>
      <c r="E1665">
        <v>0.21487195000000001</v>
      </c>
      <c r="F1665">
        <v>0</v>
      </c>
      <c r="G1665">
        <v>0</v>
      </c>
      <c r="H1665">
        <v>4.6458800000000001E-6</v>
      </c>
      <c r="I1665" t="s">
        <v>176</v>
      </c>
      <c r="J1665">
        <v>8.1302900000000001E-3</v>
      </c>
      <c r="K1665">
        <v>0.22300688588000001</v>
      </c>
      <c r="L1665">
        <v>1.2228940964449372E-2</v>
      </c>
      <c r="M1665">
        <v>7.3373645786696237E-2</v>
      </c>
      <c r="N1665">
        <v>0.29638053166669626</v>
      </c>
      <c r="O1665" t="s">
        <v>177</v>
      </c>
      <c r="P1665">
        <v>1.3380413152800001E-2</v>
      </c>
      <c r="Q1665" t="s">
        <v>177</v>
      </c>
      <c r="R1665">
        <v>4.4024187472017735E-3</v>
      </c>
      <c r="S1665" t="s">
        <v>178</v>
      </c>
      <c r="T1665">
        <v>3.5565663800003547E-2</v>
      </c>
      <c r="U1665" t="s">
        <v>90</v>
      </c>
      <c r="V1665">
        <v>0</v>
      </c>
      <c r="W1665" t="s">
        <v>90</v>
      </c>
      <c r="X1665">
        <v>0</v>
      </c>
      <c r="Y1665">
        <v>0.34972902736670153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K1665" t="s">
        <v>272</v>
      </c>
      <c r="AM1665">
        <v>200000</v>
      </c>
      <c r="AN1665" t="s">
        <v>97</v>
      </c>
      <c r="AO1665">
        <v>1</v>
      </c>
      <c r="AP1665">
        <v>0</v>
      </c>
      <c r="AQ1665">
        <v>16666.666666666668</v>
      </c>
      <c r="AR1665" t="s">
        <v>9</v>
      </c>
      <c r="AS1665" t="s">
        <v>75</v>
      </c>
      <c r="AX1665" t="s">
        <v>76</v>
      </c>
      <c r="AY1665" t="s">
        <v>176</v>
      </c>
      <c r="AZ1665">
        <v>0</v>
      </c>
      <c r="BA1665" t="s">
        <v>176</v>
      </c>
      <c r="BB1665">
        <v>0</v>
      </c>
    </row>
    <row r="1666" spans="1:54" x14ac:dyDescent="0.15">
      <c r="A1666" s="4" t="str">
        <f>HYPERLINK("https://ibp.a2mac1.com/costing(costing:projects/details/9760/part/8416529)","Closures&gt;Front door&gt;Housing assy&gt;Reinforcements&gt;Part 03")</f>
        <v>Closures&gt;Front door&gt;Housing assy&gt;Reinforcements&gt;Part 03</v>
      </c>
      <c r="B1666">
        <v>8416529</v>
      </c>
      <c r="C1666">
        <v>8416166</v>
      </c>
      <c r="D1666" t="s">
        <v>4963</v>
      </c>
      <c r="E1666">
        <v>0.10127712749999999</v>
      </c>
      <c r="F1666">
        <v>0</v>
      </c>
      <c r="G1666">
        <v>0</v>
      </c>
      <c r="H1666">
        <v>2.1548324999999998E-6</v>
      </c>
      <c r="I1666" t="s">
        <v>176</v>
      </c>
      <c r="J1666">
        <v>3.7709568750000002E-3</v>
      </c>
      <c r="K1666">
        <v>0.10505023920750001</v>
      </c>
      <c r="L1666">
        <v>1.2228940964449372E-2</v>
      </c>
      <c r="M1666">
        <v>7.3373645786696237E-2</v>
      </c>
      <c r="N1666">
        <v>0.17842388499419623</v>
      </c>
      <c r="O1666" t="s">
        <v>177</v>
      </c>
      <c r="P1666">
        <v>6.3030143524499998E-3</v>
      </c>
      <c r="Q1666" t="s">
        <v>177</v>
      </c>
      <c r="R1666">
        <v>4.4024187472017735E-3</v>
      </c>
      <c r="S1666" t="s">
        <v>178</v>
      </c>
      <c r="T1666">
        <v>2.1410866199303547E-2</v>
      </c>
      <c r="U1666" t="s">
        <v>90</v>
      </c>
      <c r="V1666">
        <v>0</v>
      </c>
      <c r="W1666" t="s">
        <v>90</v>
      </c>
      <c r="X1666">
        <v>0</v>
      </c>
      <c r="Y1666">
        <v>0.21054018429315155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K1666" t="s">
        <v>272</v>
      </c>
      <c r="AM1666">
        <v>200000</v>
      </c>
      <c r="AN1666" t="s">
        <v>97</v>
      </c>
      <c r="AO1666">
        <v>1</v>
      </c>
      <c r="AP1666">
        <v>0</v>
      </c>
      <c r="AQ1666">
        <v>16666.666666666668</v>
      </c>
      <c r="AR1666" t="s">
        <v>9</v>
      </c>
      <c r="AS1666" t="s">
        <v>75</v>
      </c>
      <c r="AX1666" t="s">
        <v>76</v>
      </c>
      <c r="AY1666" t="s">
        <v>176</v>
      </c>
      <c r="AZ1666">
        <v>0</v>
      </c>
      <c r="BA1666" t="s">
        <v>176</v>
      </c>
      <c r="BB1666">
        <v>0</v>
      </c>
    </row>
    <row r="1667" spans="1:54" x14ac:dyDescent="0.15">
      <c r="A1667" s="4" t="str">
        <f>HYPERLINK("https://ibp.a2mac1.com/costing(costing:projects/details/9760/part/8416530)","Closures&gt;Front door&gt;Housing assy&gt;Reinforcements&gt;Part 04")</f>
        <v>Closures&gt;Front door&gt;Housing assy&gt;Reinforcements&gt;Part 04</v>
      </c>
      <c r="B1667">
        <v>8416530</v>
      </c>
      <c r="C1667">
        <v>8416166</v>
      </c>
      <c r="D1667" t="s">
        <v>4963</v>
      </c>
      <c r="E1667">
        <v>0.116360955</v>
      </c>
      <c r="F1667">
        <v>0</v>
      </c>
      <c r="G1667">
        <v>0</v>
      </c>
      <c r="H1667">
        <v>2.4757650000000002E-6</v>
      </c>
      <c r="I1667" t="s">
        <v>176</v>
      </c>
      <c r="J1667">
        <v>4.3325887499999997E-3</v>
      </c>
      <c r="K1667">
        <v>0.120696019515</v>
      </c>
      <c r="L1667">
        <v>1.2228940964449372E-2</v>
      </c>
      <c r="M1667">
        <v>7.3373645786696237E-2</v>
      </c>
      <c r="N1667">
        <v>0.19406966530169623</v>
      </c>
      <c r="O1667" t="s">
        <v>177</v>
      </c>
      <c r="P1667">
        <v>7.2417611709000001E-3</v>
      </c>
      <c r="Q1667" t="s">
        <v>177</v>
      </c>
      <c r="R1667">
        <v>4.4024187472017735E-3</v>
      </c>
      <c r="S1667" t="s">
        <v>178</v>
      </c>
      <c r="T1667">
        <v>2.3288359836203549E-2</v>
      </c>
      <c r="U1667" t="s">
        <v>90</v>
      </c>
      <c r="V1667">
        <v>0</v>
      </c>
      <c r="W1667" t="s">
        <v>90</v>
      </c>
      <c r="X1667">
        <v>0</v>
      </c>
      <c r="Y1667">
        <v>0.22900220505600155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K1667" t="s">
        <v>272</v>
      </c>
      <c r="AM1667">
        <v>200000</v>
      </c>
      <c r="AN1667" t="s">
        <v>97</v>
      </c>
      <c r="AO1667">
        <v>1</v>
      </c>
      <c r="AP1667">
        <v>0</v>
      </c>
      <c r="AQ1667">
        <v>16666.666666666668</v>
      </c>
      <c r="AR1667" t="s">
        <v>9</v>
      </c>
      <c r="AS1667" t="s">
        <v>75</v>
      </c>
      <c r="AX1667" t="s">
        <v>76</v>
      </c>
      <c r="AY1667" t="s">
        <v>176</v>
      </c>
      <c r="AZ1667">
        <v>0</v>
      </c>
      <c r="BA1667" t="s">
        <v>176</v>
      </c>
      <c r="BB1667">
        <v>0</v>
      </c>
    </row>
    <row r="1668" spans="1:54" x14ac:dyDescent="0.15">
      <c r="A1668" s="4" t="str">
        <f>HYPERLINK("https://ibp.a2mac1.com/costing(costing:projects/details/9760/part/8416531)","Closures&gt;Front door&gt;Housing assy&gt;Reinforcements&gt;Part 05")</f>
        <v>Closures&gt;Front door&gt;Housing assy&gt;Reinforcements&gt;Part 05</v>
      </c>
      <c r="B1668">
        <v>8416531</v>
      </c>
      <c r="C1668">
        <v>8416166</v>
      </c>
      <c r="D1668" t="s">
        <v>4963</v>
      </c>
      <c r="E1668">
        <v>0.45058923000000001</v>
      </c>
      <c r="F1668">
        <v>0</v>
      </c>
      <c r="G1668">
        <v>0</v>
      </c>
      <c r="H1668">
        <v>9.9030600000000007E-6</v>
      </c>
      <c r="I1668" t="s">
        <v>176</v>
      </c>
      <c r="J1668">
        <v>1.7330354999999999E-2</v>
      </c>
      <c r="K1668">
        <v>0.46792948806000001</v>
      </c>
      <c r="L1668">
        <v>1.2228940964449372E-2</v>
      </c>
      <c r="M1668">
        <v>7.3373645786696237E-2</v>
      </c>
      <c r="N1668">
        <v>0.54130313384669626</v>
      </c>
      <c r="O1668" t="s">
        <v>177</v>
      </c>
      <c r="P1668">
        <v>2.8075769283600002E-2</v>
      </c>
      <c r="Q1668" t="s">
        <v>177</v>
      </c>
      <c r="R1668">
        <v>4.4024187472017735E-3</v>
      </c>
      <c r="S1668" t="s">
        <v>178</v>
      </c>
      <c r="T1668">
        <v>6.4956376061603552E-2</v>
      </c>
      <c r="U1668" t="s">
        <v>90</v>
      </c>
      <c r="V1668">
        <v>0</v>
      </c>
      <c r="W1668" t="s">
        <v>90</v>
      </c>
      <c r="X1668">
        <v>0</v>
      </c>
      <c r="Y1668">
        <v>0.63873769793910151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K1668" t="s">
        <v>272</v>
      </c>
      <c r="AM1668">
        <v>200000</v>
      </c>
      <c r="AN1668" t="s">
        <v>97</v>
      </c>
      <c r="AO1668">
        <v>1</v>
      </c>
      <c r="AP1668">
        <v>0</v>
      </c>
      <c r="AQ1668">
        <v>16666.666666666668</v>
      </c>
      <c r="AR1668" t="s">
        <v>9</v>
      </c>
      <c r="AS1668" t="s">
        <v>75</v>
      </c>
      <c r="AX1668" t="s">
        <v>76</v>
      </c>
      <c r="AY1668" t="s">
        <v>176</v>
      </c>
      <c r="AZ1668">
        <v>0</v>
      </c>
      <c r="BA1668" t="s">
        <v>176</v>
      </c>
      <c r="BB1668">
        <v>0</v>
      </c>
    </row>
    <row r="1669" spans="1:54" x14ac:dyDescent="0.15">
      <c r="A1669" s="4" t="str">
        <f>HYPERLINK("https://ibp.a2mac1.com/costing(costing:projects/details/9760/part/8416831)","Closures&gt;Front door&gt;Housing assy&gt;Fixing parts&gt;Front&gt;Part 01 (single/main)")</f>
        <v>Closures&gt;Front door&gt;Housing assy&gt;Fixing parts&gt;Front&gt;Part 01 (single/main)</v>
      </c>
      <c r="B1669">
        <v>8416831</v>
      </c>
      <c r="C1669">
        <v>8416532</v>
      </c>
      <c r="D1669" t="s">
        <v>4963</v>
      </c>
      <c r="E1669">
        <v>3.2322487499999997E-2</v>
      </c>
      <c r="F1669">
        <v>0</v>
      </c>
      <c r="G1669">
        <v>0</v>
      </c>
      <c r="H1669">
        <v>6.8771250000000002E-7</v>
      </c>
      <c r="I1669" t="s">
        <v>176</v>
      </c>
      <c r="J1669">
        <v>1.2034968750000001E-3</v>
      </c>
      <c r="K1669">
        <v>3.3526672087500001E-2</v>
      </c>
      <c r="L1669">
        <v>2.3884525316540659E-3</v>
      </c>
      <c r="M1669">
        <v>1.4330715189924396E-2</v>
      </c>
      <c r="N1669">
        <v>4.7857387277424397E-2</v>
      </c>
      <c r="O1669" t="s">
        <v>177</v>
      </c>
      <c r="P1669">
        <v>2.0116003252500002E-3</v>
      </c>
      <c r="Q1669" t="s">
        <v>177</v>
      </c>
      <c r="R1669">
        <v>8.5984291139546386E-4</v>
      </c>
      <c r="S1669" t="s">
        <v>178</v>
      </c>
      <c r="T1669">
        <v>5.7428864732909273E-3</v>
      </c>
      <c r="U1669" t="s">
        <v>90</v>
      </c>
      <c r="V1669">
        <v>0</v>
      </c>
      <c r="W1669" t="s">
        <v>90</v>
      </c>
      <c r="X1669">
        <v>0</v>
      </c>
      <c r="Y1669">
        <v>5.6471716987360789E-2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K1669" t="s">
        <v>272</v>
      </c>
      <c r="AM1669">
        <v>200000</v>
      </c>
      <c r="AN1669" t="s">
        <v>97</v>
      </c>
      <c r="AO1669">
        <v>1</v>
      </c>
      <c r="AP1669">
        <v>0</v>
      </c>
      <c r="AQ1669">
        <v>16666.666666666668</v>
      </c>
      <c r="AR1669" t="s">
        <v>9</v>
      </c>
      <c r="AS1669" t="s">
        <v>75</v>
      </c>
      <c r="AX1669" t="s">
        <v>76</v>
      </c>
      <c r="AY1669" t="s">
        <v>176</v>
      </c>
      <c r="AZ1669">
        <v>0</v>
      </c>
      <c r="BA1669" t="s">
        <v>176</v>
      </c>
      <c r="BB1669">
        <v>0</v>
      </c>
    </row>
    <row r="1670" spans="1:54" x14ac:dyDescent="0.15">
      <c r="A1670" s="4" t="str">
        <f>HYPERLINK("https://ibp.a2mac1.com/costing(costing:projects/details/9760/part/8416832)","Closures&gt;Front door&gt;Housing assy&gt;Fixing parts&gt;Front&gt;Part 02")</f>
        <v>Closures&gt;Front door&gt;Housing assy&gt;Fixing parts&gt;Front&gt;Part 02</v>
      </c>
      <c r="B1670">
        <v>8416832</v>
      </c>
      <c r="C1670">
        <v>8416532</v>
      </c>
      <c r="D1670" t="s">
        <v>4963</v>
      </c>
      <c r="E1670">
        <v>3.2322487499999997E-2</v>
      </c>
      <c r="F1670">
        <v>0</v>
      </c>
      <c r="G1670">
        <v>0</v>
      </c>
      <c r="H1670">
        <v>6.8771250000000002E-7</v>
      </c>
      <c r="I1670" t="s">
        <v>176</v>
      </c>
      <c r="J1670">
        <v>1.2034968750000001E-3</v>
      </c>
      <c r="K1670">
        <v>3.3526672087500001E-2</v>
      </c>
      <c r="L1670">
        <v>2.3884525316540659E-3</v>
      </c>
      <c r="M1670">
        <v>1.4330715189924396E-2</v>
      </c>
      <c r="N1670">
        <v>4.7857387277424397E-2</v>
      </c>
      <c r="O1670" t="s">
        <v>177</v>
      </c>
      <c r="P1670">
        <v>2.0116003252500002E-3</v>
      </c>
      <c r="Q1670" t="s">
        <v>177</v>
      </c>
      <c r="R1670">
        <v>8.5984291139546386E-4</v>
      </c>
      <c r="S1670" t="s">
        <v>178</v>
      </c>
      <c r="T1670">
        <v>5.7428864732909273E-3</v>
      </c>
      <c r="U1670" t="s">
        <v>90</v>
      </c>
      <c r="V1670">
        <v>0</v>
      </c>
      <c r="W1670" t="s">
        <v>90</v>
      </c>
      <c r="X1670">
        <v>0</v>
      </c>
      <c r="Y1670">
        <v>5.6471716987360789E-2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K1670" t="s">
        <v>272</v>
      </c>
      <c r="AM1670">
        <v>200000</v>
      </c>
      <c r="AN1670" t="s">
        <v>97</v>
      </c>
      <c r="AO1670">
        <v>1</v>
      </c>
      <c r="AP1670">
        <v>0</v>
      </c>
      <c r="AQ1670">
        <v>16666.666666666668</v>
      </c>
      <c r="AR1670" t="s">
        <v>9</v>
      </c>
      <c r="AS1670" t="s">
        <v>75</v>
      </c>
      <c r="AX1670" t="s">
        <v>76</v>
      </c>
      <c r="AY1670" t="s">
        <v>176</v>
      </c>
      <c r="AZ1670">
        <v>0</v>
      </c>
      <c r="BA1670" t="s">
        <v>176</v>
      </c>
      <c r="BB1670">
        <v>0</v>
      </c>
    </row>
    <row r="1671" spans="1:54" x14ac:dyDescent="0.15">
      <c r="A1671" s="4" t="str">
        <f>HYPERLINK("https://ibp.a2mac1.com/costing(costing:projects/details/9760/part/8416168)","Handle")</f>
        <v>Handle</v>
      </c>
      <c r="B1671">
        <v>8416168</v>
      </c>
      <c r="C1671">
        <v>8415823</v>
      </c>
      <c r="E1671">
        <v>0.27207868800000001</v>
      </c>
      <c r="F1671">
        <v>0</v>
      </c>
      <c r="G1671">
        <v>0</v>
      </c>
      <c r="H1671">
        <v>1.380168582736842E-3</v>
      </c>
      <c r="I1671" t="s">
        <v>176</v>
      </c>
      <c r="J1671">
        <v>9.5466206315789476E-3</v>
      </c>
      <c r="K1671">
        <v>0.28300547721431579</v>
      </c>
      <c r="L1671">
        <v>8.183207415110251E-2</v>
      </c>
      <c r="M1671">
        <v>0.49099244490661503</v>
      </c>
      <c r="N1671">
        <v>0.77399792212093088</v>
      </c>
      <c r="O1671" t="s">
        <v>90</v>
      </c>
      <c r="P1671">
        <v>0</v>
      </c>
      <c r="Q1671" t="s">
        <v>90</v>
      </c>
      <c r="R1671">
        <v>0</v>
      </c>
      <c r="S1671" t="s">
        <v>90</v>
      </c>
      <c r="T1671">
        <v>0</v>
      </c>
      <c r="U1671" t="s">
        <v>90</v>
      </c>
      <c r="V1671">
        <v>0</v>
      </c>
      <c r="W1671" t="s">
        <v>90</v>
      </c>
      <c r="X1671">
        <v>0</v>
      </c>
      <c r="Y1671">
        <v>0.77399792212093088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115</v>
      </c>
      <c r="AF1671">
        <v>400</v>
      </c>
      <c r="AG1671">
        <v>120</v>
      </c>
      <c r="AI1671">
        <v>0.113</v>
      </c>
      <c r="AK1671" t="s">
        <v>740</v>
      </c>
      <c r="AL1671" t="s">
        <v>412</v>
      </c>
      <c r="AM1671">
        <v>200000</v>
      </c>
      <c r="AN1671" t="s">
        <v>73</v>
      </c>
      <c r="AO1671">
        <v>1</v>
      </c>
      <c r="AP1671">
        <v>0</v>
      </c>
      <c r="AQ1671">
        <v>16666.666666666668</v>
      </c>
      <c r="AR1671" t="s">
        <v>5078</v>
      </c>
      <c r="AS1671" t="s">
        <v>75</v>
      </c>
      <c r="AX1671" t="s">
        <v>76</v>
      </c>
      <c r="AY1671" t="s">
        <v>176</v>
      </c>
      <c r="AZ1671">
        <v>0</v>
      </c>
      <c r="BA1671" t="s">
        <v>176</v>
      </c>
      <c r="BB1671">
        <v>0</v>
      </c>
    </row>
    <row r="1672" spans="1:54" x14ac:dyDescent="0.15">
      <c r="A1672" s="4" t="str">
        <f>HYPERLINK("https://ibp.a2mac1.com/costing(costing:projects/details/9760/part/8416169)","Trim")</f>
        <v>Trim</v>
      </c>
      <c r="B1672">
        <v>8416169</v>
      </c>
      <c r="C1672">
        <v>8415823</v>
      </c>
      <c r="E1672">
        <v>0.75925066757446813</v>
      </c>
      <c r="F1672">
        <v>0</v>
      </c>
      <c r="G1672">
        <v>0</v>
      </c>
      <c r="H1672">
        <v>3.8473962286047032E-3</v>
      </c>
      <c r="I1672" t="s">
        <v>176</v>
      </c>
      <c r="J1672">
        <v>2.6612424506159013E-2</v>
      </c>
      <c r="K1672">
        <v>0.78971048830923185</v>
      </c>
      <c r="L1672">
        <v>0.10832333012558466</v>
      </c>
      <c r="M1672">
        <v>0.64993998075350801</v>
      </c>
      <c r="N1672">
        <v>1.4396504690627399</v>
      </c>
      <c r="O1672" t="s">
        <v>90</v>
      </c>
      <c r="P1672">
        <v>0</v>
      </c>
      <c r="Q1672" t="s">
        <v>90</v>
      </c>
      <c r="R1672">
        <v>0</v>
      </c>
      <c r="S1672" t="s">
        <v>90</v>
      </c>
      <c r="T1672">
        <v>0</v>
      </c>
      <c r="U1672" t="s">
        <v>90</v>
      </c>
      <c r="V1672">
        <v>0</v>
      </c>
      <c r="W1672" t="s">
        <v>90</v>
      </c>
      <c r="X1672">
        <v>0</v>
      </c>
      <c r="Y1672">
        <v>1.4396504690627399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72</v>
      </c>
      <c r="AF1672">
        <v>435</v>
      </c>
      <c r="AG1672">
        <v>125</v>
      </c>
      <c r="AI1672">
        <v>0.183</v>
      </c>
      <c r="AK1672" t="s">
        <v>740</v>
      </c>
      <c r="AL1672" t="s">
        <v>5084</v>
      </c>
      <c r="AM1672">
        <v>200000</v>
      </c>
      <c r="AN1672" t="s">
        <v>73</v>
      </c>
      <c r="AO1672">
        <v>1</v>
      </c>
      <c r="AP1672">
        <v>0</v>
      </c>
      <c r="AQ1672">
        <v>16666.666666666668</v>
      </c>
      <c r="AR1672" t="s">
        <v>5085</v>
      </c>
      <c r="AS1672" t="s">
        <v>75</v>
      </c>
      <c r="AX1672" t="s">
        <v>76</v>
      </c>
      <c r="AY1672" t="s">
        <v>176</v>
      </c>
      <c r="AZ1672">
        <v>0</v>
      </c>
      <c r="BA1672" t="s">
        <v>176</v>
      </c>
      <c r="BB1672">
        <v>0</v>
      </c>
    </row>
    <row r="1673" spans="1:54" x14ac:dyDescent="0.15">
      <c r="A1673" s="4" t="str">
        <f>HYPERLINK("https://ibp.a2mac1.com/costing(costing:projects/details/9760/part/8416170)","Handle Support")</f>
        <v>Handle Support</v>
      </c>
      <c r="B1673">
        <v>8416170</v>
      </c>
      <c r="C1673">
        <v>8415823</v>
      </c>
      <c r="E1673">
        <v>7.2619511999999997E-2</v>
      </c>
      <c r="F1673">
        <v>0</v>
      </c>
      <c r="G1673">
        <v>0</v>
      </c>
      <c r="H1673">
        <v>3.6837566989473685E-4</v>
      </c>
      <c r="I1673" t="s">
        <v>176</v>
      </c>
      <c r="J1673">
        <v>2.548053052631579E-3</v>
      </c>
      <c r="K1673">
        <v>7.5535940722526312E-2</v>
      </c>
      <c r="L1673">
        <v>7.6565574225524614E-3</v>
      </c>
      <c r="M1673">
        <v>4.5939344535314765E-2</v>
      </c>
      <c r="N1673">
        <v>0.12147528525784108</v>
      </c>
      <c r="O1673" t="s">
        <v>90</v>
      </c>
      <c r="P1673">
        <v>0</v>
      </c>
      <c r="Q1673" t="s">
        <v>90</v>
      </c>
      <c r="R1673">
        <v>0</v>
      </c>
      <c r="S1673" t="s">
        <v>90</v>
      </c>
      <c r="T1673">
        <v>0</v>
      </c>
      <c r="U1673" t="s">
        <v>90</v>
      </c>
      <c r="V1673">
        <v>0</v>
      </c>
      <c r="W1673" t="s">
        <v>90</v>
      </c>
      <c r="X1673">
        <v>0</v>
      </c>
      <c r="Y1673">
        <v>0.12147528525784108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40</v>
      </c>
      <c r="AF1673">
        <v>152</v>
      </c>
      <c r="AG1673">
        <v>55</v>
      </c>
      <c r="AI1673">
        <v>3.4000000000000002E-2</v>
      </c>
      <c r="AK1673" t="s">
        <v>740</v>
      </c>
      <c r="AL1673" t="s">
        <v>112</v>
      </c>
      <c r="AM1673">
        <v>200000</v>
      </c>
      <c r="AN1673" t="s">
        <v>73</v>
      </c>
      <c r="AO1673">
        <v>1</v>
      </c>
      <c r="AP1673">
        <v>0</v>
      </c>
      <c r="AQ1673">
        <v>16666.666666666668</v>
      </c>
      <c r="AR1673" t="s">
        <v>5090</v>
      </c>
      <c r="AS1673" t="s">
        <v>75</v>
      </c>
      <c r="AX1673" t="s">
        <v>76</v>
      </c>
      <c r="AY1673" t="s">
        <v>176</v>
      </c>
      <c r="AZ1673">
        <v>0</v>
      </c>
      <c r="BA1673" t="s">
        <v>176</v>
      </c>
      <c r="BB1673">
        <v>0</v>
      </c>
    </row>
    <row r="1674" spans="1:54" x14ac:dyDescent="0.15">
      <c r="A1674" s="4" t="str">
        <f>HYPERLINK("https://ibp.a2mac1.com/costing(costing:projects/details/9760/part/8416171)","Speaker Grille")</f>
        <v>Speaker Grille</v>
      </c>
      <c r="B1674">
        <v>8416171</v>
      </c>
      <c r="C1674">
        <v>8415824</v>
      </c>
      <c r="E1674">
        <v>0.17474076899999999</v>
      </c>
      <c r="F1674">
        <v>0</v>
      </c>
      <c r="G1674">
        <v>0</v>
      </c>
      <c r="H1674">
        <v>8.8640430189473689E-4</v>
      </c>
      <c r="I1674" t="s">
        <v>176</v>
      </c>
      <c r="J1674">
        <v>6.1312550526315792E-3</v>
      </c>
      <c r="K1674">
        <v>0.18175842835452632</v>
      </c>
      <c r="L1674">
        <v>1.6486976080713183E-2</v>
      </c>
      <c r="M1674">
        <v>9.8921856484279092E-2</v>
      </c>
      <c r="N1674">
        <v>0.28068028483880542</v>
      </c>
      <c r="O1674" t="s">
        <v>177</v>
      </c>
      <c r="P1674">
        <v>1.0905505701271578E-2</v>
      </c>
      <c r="Q1674" t="s">
        <v>177</v>
      </c>
      <c r="R1674">
        <v>5.9353113890567456E-3</v>
      </c>
      <c r="S1674" t="s">
        <v>178</v>
      </c>
      <c r="T1674">
        <v>3.3681634180656651E-2</v>
      </c>
      <c r="U1674" t="s">
        <v>90</v>
      </c>
      <c r="V1674">
        <v>0</v>
      </c>
      <c r="W1674" t="s">
        <v>90</v>
      </c>
      <c r="X1674">
        <v>0</v>
      </c>
      <c r="Y1674">
        <v>0.3312027361097904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15</v>
      </c>
      <c r="AF1674">
        <v>245</v>
      </c>
      <c r="AG1674">
        <v>170</v>
      </c>
      <c r="AI1674">
        <v>9.2999999999999999E-2</v>
      </c>
      <c r="AK1674" t="s">
        <v>740</v>
      </c>
      <c r="AL1674" t="s">
        <v>951</v>
      </c>
      <c r="AM1674">
        <v>200000</v>
      </c>
      <c r="AN1674" t="s">
        <v>97</v>
      </c>
      <c r="AO1674">
        <v>1</v>
      </c>
      <c r="AP1674">
        <v>0</v>
      </c>
      <c r="AQ1674">
        <v>16666.666666666668</v>
      </c>
      <c r="AR1674" t="s">
        <v>5097</v>
      </c>
      <c r="AS1674" t="s">
        <v>75</v>
      </c>
      <c r="AX1674" t="s">
        <v>76</v>
      </c>
      <c r="AY1674" t="s">
        <v>176</v>
      </c>
      <c r="AZ1674">
        <v>0</v>
      </c>
      <c r="BA1674" t="s">
        <v>176</v>
      </c>
      <c r="BB1674">
        <v>0</v>
      </c>
    </row>
    <row r="1675" spans="1:54" x14ac:dyDescent="0.15">
      <c r="A1675" s="4" t="str">
        <f>HYPERLINK("https://ibp.a2mac1.com/costing(costing:projects/details/9760/part/8416172)","Speaker Bezel")</f>
        <v>Speaker Bezel</v>
      </c>
      <c r="B1675">
        <v>8416172</v>
      </c>
      <c r="C1675">
        <v>8415824</v>
      </c>
      <c r="E1675">
        <v>3.9292112999999997E-2</v>
      </c>
      <c r="F1675">
        <v>0</v>
      </c>
      <c r="G1675">
        <v>0</v>
      </c>
      <c r="H1675">
        <v>1.9931638273684211E-4</v>
      </c>
      <c r="I1675" t="s">
        <v>176</v>
      </c>
      <c r="J1675">
        <v>1.3786706315789474E-3</v>
      </c>
      <c r="K1675">
        <v>4.0870100014315791E-2</v>
      </c>
      <c r="L1675">
        <v>7.6565574225524614E-3</v>
      </c>
      <c r="M1675">
        <v>4.5939344535314765E-2</v>
      </c>
      <c r="N1675">
        <v>8.6809444549630563E-2</v>
      </c>
      <c r="O1675" t="s">
        <v>177</v>
      </c>
      <c r="P1675">
        <v>2.4522060008589472E-3</v>
      </c>
      <c r="Q1675" t="s">
        <v>177</v>
      </c>
      <c r="R1675">
        <v>2.756360672118886E-3</v>
      </c>
      <c r="S1675" t="s">
        <v>178</v>
      </c>
      <c r="T1675">
        <v>1.0417133345955667E-2</v>
      </c>
      <c r="U1675" t="s">
        <v>90</v>
      </c>
      <c r="V1675">
        <v>0</v>
      </c>
      <c r="W1675" t="s">
        <v>90</v>
      </c>
      <c r="X1675">
        <v>0</v>
      </c>
      <c r="Y1675">
        <v>0.10243514456856406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32</v>
      </c>
      <c r="AF1675">
        <v>265</v>
      </c>
      <c r="AG1675">
        <v>180</v>
      </c>
      <c r="AI1675">
        <v>3.6999999999999998E-2</v>
      </c>
      <c r="AK1675" t="s">
        <v>740</v>
      </c>
      <c r="AL1675" t="s">
        <v>399</v>
      </c>
      <c r="AM1675">
        <v>200000</v>
      </c>
      <c r="AN1675" t="s">
        <v>97</v>
      </c>
      <c r="AO1675">
        <v>1</v>
      </c>
      <c r="AP1675">
        <v>0</v>
      </c>
      <c r="AQ1675">
        <v>16666.666666666668</v>
      </c>
      <c r="AR1675" t="s">
        <v>5102</v>
      </c>
      <c r="AS1675" t="s">
        <v>75</v>
      </c>
      <c r="AX1675" t="s">
        <v>76</v>
      </c>
      <c r="AY1675" t="s">
        <v>176</v>
      </c>
      <c r="AZ1675">
        <v>0</v>
      </c>
      <c r="BA1675" t="s">
        <v>176</v>
      </c>
      <c r="BB1675">
        <v>0</v>
      </c>
    </row>
    <row r="1676" spans="1:54" x14ac:dyDescent="0.15">
      <c r="A1676" s="4" t="str">
        <f>HYPERLINK("https://ibp.a2mac1.com/costing(costing:projects/details/9760/part/8416173)","Speaker Badge")</f>
        <v>Speaker Badge</v>
      </c>
      <c r="B1676">
        <v>8416173</v>
      </c>
      <c r="C1676">
        <v>8415824</v>
      </c>
      <c r="E1676">
        <v>1.3382168999999999E-2</v>
      </c>
      <c r="F1676">
        <v>0</v>
      </c>
      <c r="G1676">
        <v>0</v>
      </c>
      <c r="H1676">
        <v>7.2035931000000004E-5</v>
      </c>
      <c r="I1676" t="s">
        <v>176</v>
      </c>
      <c r="J1676">
        <v>4.9827224999999999E-4</v>
      </c>
      <c r="K1676">
        <v>1.3952477180999999E-2</v>
      </c>
      <c r="L1676">
        <v>4.1243899592881732E-3</v>
      </c>
      <c r="M1676">
        <v>2.4746339755729041E-2</v>
      </c>
      <c r="N1676">
        <v>3.8698816936729039E-2</v>
      </c>
      <c r="O1676" t="s">
        <v>177</v>
      </c>
      <c r="P1676">
        <v>8.3714863086E-4</v>
      </c>
      <c r="Q1676" t="s">
        <v>177</v>
      </c>
      <c r="R1676">
        <v>1.4847803853437424E-3</v>
      </c>
      <c r="S1676" t="s">
        <v>178</v>
      </c>
      <c r="T1676">
        <v>4.6438580324074845E-3</v>
      </c>
      <c r="U1676" t="s">
        <v>90</v>
      </c>
      <c r="V1676">
        <v>0</v>
      </c>
      <c r="W1676" t="s">
        <v>90</v>
      </c>
      <c r="X1676">
        <v>0</v>
      </c>
      <c r="Y1676">
        <v>4.5664603985340266E-2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11</v>
      </c>
      <c r="AF1676">
        <v>61</v>
      </c>
      <c r="AG1676">
        <v>10</v>
      </c>
      <c r="AI1676">
        <v>3.0000000000000001E-3</v>
      </c>
      <c r="AK1676" t="s">
        <v>740</v>
      </c>
      <c r="AL1676" t="s">
        <v>104</v>
      </c>
      <c r="AM1676">
        <v>200000</v>
      </c>
      <c r="AN1676" t="s">
        <v>97</v>
      </c>
      <c r="AO1676">
        <v>1</v>
      </c>
      <c r="AP1676">
        <v>0</v>
      </c>
      <c r="AQ1676">
        <v>16666.666666666668</v>
      </c>
      <c r="AR1676" t="s">
        <v>5107</v>
      </c>
      <c r="AS1676" t="s">
        <v>75</v>
      </c>
      <c r="AX1676" t="s">
        <v>76</v>
      </c>
      <c r="AY1676" t="s">
        <v>176</v>
      </c>
      <c r="AZ1676">
        <v>0</v>
      </c>
      <c r="BA1676" t="s">
        <v>176</v>
      </c>
      <c r="BB1676">
        <v>0</v>
      </c>
    </row>
    <row r="1677" spans="1:54" x14ac:dyDescent="0.15">
      <c r="A1677" s="4" t="str">
        <f>HYPERLINK("https://ibp.a2mac1.com/costing(costing:projects/details/9760/part/8416174)","Medium Grilles")</f>
        <v>Medium Grilles</v>
      </c>
      <c r="B1677">
        <v>8416174</v>
      </c>
      <c r="C1677">
        <v>8415824</v>
      </c>
      <c r="E1677">
        <v>9.3675182999999995E-2</v>
      </c>
      <c r="F1677">
        <v>0</v>
      </c>
      <c r="G1677">
        <v>0</v>
      </c>
      <c r="H1677">
        <v>5.0425151700000004E-4</v>
      </c>
      <c r="I1677" t="s">
        <v>176</v>
      </c>
      <c r="J1677">
        <v>3.48790575E-3</v>
      </c>
      <c r="K1677">
        <v>9.7667340266999997E-2</v>
      </c>
      <c r="L1677">
        <v>0.10832333012558466</v>
      </c>
      <c r="M1677">
        <v>0.64993998075350801</v>
      </c>
      <c r="N1677">
        <v>0.74760732102050798</v>
      </c>
      <c r="O1677" t="s">
        <v>177</v>
      </c>
      <c r="P1677">
        <v>5.8600404160200001E-3</v>
      </c>
      <c r="Q1677" t="s">
        <v>177</v>
      </c>
      <c r="R1677">
        <v>3.899639884521048E-2</v>
      </c>
      <c r="S1677" t="s">
        <v>178</v>
      </c>
      <c r="T1677">
        <v>8.9712878522460959E-2</v>
      </c>
      <c r="U1677" t="s">
        <v>90</v>
      </c>
      <c r="V1677">
        <v>0</v>
      </c>
      <c r="W1677" t="s">
        <v>90</v>
      </c>
      <c r="X1677">
        <v>0</v>
      </c>
      <c r="Y1677">
        <v>0.8821766388041995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14</v>
      </c>
      <c r="AF1677">
        <v>262</v>
      </c>
      <c r="AG1677">
        <v>102</v>
      </c>
      <c r="AI1677">
        <v>2.1000000000000001E-2</v>
      </c>
      <c r="AK1677" t="s">
        <v>740</v>
      </c>
      <c r="AL1677" t="s">
        <v>104</v>
      </c>
      <c r="AM1677">
        <v>200000</v>
      </c>
      <c r="AN1677" t="s">
        <v>97</v>
      </c>
      <c r="AO1677">
        <v>1</v>
      </c>
      <c r="AP1677">
        <v>0</v>
      </c>
      <c r="AQ1677">
        <v>16666.666666666668</v>
      </c>
      <c r="AR1677" t="s">
        <v>5112</v>
      </c>
      <c r="AS1677" t="s">
        <v>75</v>
      </c>
      <c r="AX1677" t="s">
        <v>76</v>
      </c>
      <c r="AY1677" t="s">
        <v>176</v>
      </c>
      <c r="AZ1677">
        <v>0</v>
      </c>
      <c r="BA1677" t="s">
        <v>176</v>
      </c>
      <c r="BB1677">
        <v>0</v>
      </c>
    </row>
    <row r="1678" spans="1:54" x14ac:dyDescent="0.15">
      <c r="A1678" s="4" t="str">
        <f>HYPERLINK("https://ibp.a2mac1.com/costing(costing:projects/details/9760/part/8416175)","Medium Grilles Support")</f>
        <v>Medium Grilles Support</v>
      </c>
      <c r="B1678">
        <v>8416175</v>
      </c>
      <c r="C1678">
        <v>8415824</v>
      </c>
      <c r="E1678">
        <v>0.113165472</v>
      </c>
      <c r="F1678">
        <v>0</v>
      </c>
      <c r="G1678">
        <v>0</v>
      </c>
      <c r="H1678">
        <v>5.7405241936842109E-4</v>
      </c>
      <c r="I1678" t="s">
        <v>176</v>
      </c>
      <c r="J1678">
        <v>3.9707183157894734E-3</v>
      </c>
      <c r="K1678">
        <v>0.1177102427351579</v>
      </c>
      <c r="L1678">
        <v>3.0647397203088871E-3</v>
      </c>
      <c r="M1678">
        <v>1.8388438321853322E-2</v>
      </c>
      <c r="N1678">
        <v>0.13609868105701123</v>
      </c>
      <c r="O1678" t="s">
        <v>90</v>
      </c>
      <c r="P1678">
        <v>0</v>
      </c>
      <c r="Q1678" t="s">
        <v>90</v>
      </c>
      <c r="R1678">
        <v>0</v>
      </c>
      <c r="S1678" t="s">
        <v>90</v>
      </c>
      <c r="T1678">
        <v>0</v>
      </c>
      <c r="U1678" t="s">
        <v>90</v>
      </c>
      <c r="V1678">
        <v>0</v>
      </c>
      <c r="W1678" t="s">
        <v>90</v>
      </c>
      <c r="X1678">
        <v>0</v>
      </c>
      <c r="Y1678">
        <v>0.13609868105701123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35</v>
      </c>
      <c r="AF1678">
        <v>260</v>
      </c>
      <c r="AG1678">
        <v>100</v>
      </c>
      <c r="AI1678">
        <v>4.7E-2</v>
      </c>
      <c r="AK1678" t="s">
        <v>740</v>
      </c>
      <c r="AL1678" t="s">
        <v>412</v>
      </c>
      <c r="AM1678">
        <v>200000</v>
      </c>
      <c r="AN1678" t="s">
        <v>73</v>
      </c>
      <c r="AO1678">
        <v>1</v>
      </c>
      <c r="AP1678">
        <v>0</v>
      </c>
      <c r="AQ1678">
        <v>16666.666666666668</v>
      </c>
      <c r="AR1678" t="s">
        <v>5117</v>
      </c>
      <c r="AS1678" t="s">
        <v>75</v>
      </c>
      <c r="AX1678" t="s">
        <v>76</v>
      </c>
      <c r="AY1678" t="s">
        <v>176</v>
      </c>
      <c r="AZ1678">
        <v>0</v>
      </c>
      <c r="BA1678" t="s">
        <v>176</v>
      </c>
      <c r="BB1678">
        <v>0</v>
      </c>
    </row>
    <row r="1679" spans="1:54" x14ac:dyDescent="0.15">
      <c r="A1679" s="4" t="str">
        <f>HYPERLINK("https://ibp.a2mac1.com/costing(costing:projects/details/9760/part/8415811)","Panel carrier")</f>
        <v>Panel carrier</v>
      </c>
      <c r="B1679">
        <v>8415811</v>
      </c>
      <c r="C1679">
        <v>8415622</v>
      </c>
      <c r="E1679">
        <v>2.7131792520000002</v>
      </c>
      <c r="F1679">
        <v>0</v>
      </c>
      <c r="G1679">
        <v>0</v>
      </c>
      <c r="H1679">
        <v>1.3763094752E-2</v>
      </c>
      <c r="I1679" t="s">
        <v>176</v>
      </c>
      <c r="J1679">
        <v>9.5199272000000001E-2</v>
      </c>
      <c r="K1679">
        <v>2.8221416187520001</v>
      </c>
      <c r="L1679">
        <v>0.21252227029188117</v>
      </c>
      <c r="M1679">
        <v>1.275133621751287</v>
      </c>
      <c r="N1679">
        <v>4.0972752405032873</v>
      </c>
      <c r="O1679" t="s">
        <v>90</v>
      </c>
      <c r="P1679">
        <v>0</v>
      </c>
      <c r="Q1679" t="s">
        <v>90</v>
      </c>
      <c r="R1679">
        <v>0</v>
      </c>
      <c r="S1679" t="s">
        <v>90</v>
      </c>
      <c r="T1679">
        <v>0</v>
      </c>
      <c r="U1679" t="s">
        <v>90</v>
      </c>
      <c r="V1679">
        <v>0</v>
      </c>
      <c r="W1679" t="s">
        <v>90</v>
      </c>
      <c r="X1679">
        <v>0</v>
      </c>
      <c r="Y1679">
        <v>4.0972752405032873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160</v>
      </c>
      <c r="AF1679">
        <v>943</v>
      </c>
      <c r="AG1679">
        <v>600</v>
      </c>
      <c r="AI1679">
        <v>1.444</v>
      </c>
      <c r="AK1679" t="s">
        <v>740</v>
      </c>
      <c r="AL1679" t="s">
        <v>951</v>
      </c>
      <c r="AM1679">
        <v>200000</v>
      </c>
      <c r="AN1679" t="s">
        <v>73</v>
      </c>
      <c r="AO1679">
        <v>1</v>
      </c>
      <c r="AP1679">
        <v>0</v>
      </c>
      <c r="AQ1679">
        <v>16666.666666666668</v>
      </c>
      <c r="AR1679" t="s">
        <v>5124</v>
      </c>
      <c r="AS1679" t="s">
        <v>75</v>
      </c>
      <c r="AX1679" t="s">
        <v>76</v>
      </c>
      <c r="AY1679" t="s">
        <v>176</v>
      </c>
      <c r="AZ1679">
        <v>0</v>
      </c>
      <c r="BA1679" t="s">
        <v>176</v>
      </c>
      <c r="BB1679">
        <v>0</v>
      </c>
    </row>
    <row r="1680" spans="1:54" x14ac:dyDescent="0.15">
      <c r="A1680" s="4" t="str">
        <f>HYPERLINK("https://ibp.a2mac1.com/costing(costing:projects/details/9760/part/8415812)","Insert")</f>
        <v>Insert</v>
      </c>
      <c r="B1680">
        <v>8415812</v>
      </c>
      <c r="C1680">
        <v>8415622</v>
      </c>
      <c r="E1680">
        <v>1.1193436224680851</v>
      </c>
      <c r="F1680">
        <v>0</v>
      </c>
      <c r="G1680">
        <v>0</v>
      </c>
      <c r="H1680">
        <v>5.6706879684927216E-3</v>
      </c>
      <c r="I1680" t="s">
        <v>176</v>
      </c>
      <c r="J1680">
        <v>3.9224126264277716E-2</v>
      </c>
      <c r="K1680">
        <v>1.1642384367008556</v>
      </c>
      <c r="L1680">
        <v>0.13304850236843468</v>
      </c>
      <c r="M1680">
        <v>0.79829101421060811</v>
      </c>
      <c r="N1680">
        <v>1.9625294509114637</v>
      </c>
      <c r="O1680" t="s">
        <v>90</v>
      </c>
      <c r="P1680">
        <v>0</v>
      </c>
      <c r="Q1680" t="s">
        <v>90</v>
      </c>
      <c r="R1680">
        <v>0</v>
      </c>
      <c r="S1680" t="s">
        <v>90</v>
      </c>
      <c r="T1680">
        <v>0</v>
      </c>
      <c r="U1680" t="s">
        <v>90</v>
      </c>
      <c r="V1680">
        <v>0</v>
      </c>
      <c r="W1680" t="s">
        <v>90</v>
      </c>
      <c r="X1680">
        <v>0</v>
      </c>
      <c r="Y1680">
        <v>1.9625294509114637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130</v>
      </c>
      <c r="AF1680">
        <v>610</v>
      </c>
      <c r="AG1680">
        <v>172</v>
      </c>
      <c r="AI1680">
        <v>0.223</v>
      </c>
      <c r="AK1680" t="s">
        <v>740</v>
      </c>
      <c r="AL1680" t="s">
        <v>3968</v>
      </c>
      <c r="AM1680">
        <v>200000</v>
      </c>
      <c r="AN1680" t="s">
        <v>73</v>
      </c>
      <c r="AO1680">
        <v>1</v>
      </c>
      <c r="AP1680">
        <v>0</v>
      </c>
      <c r="AQ1680">
        <v>16666.666666666668</v>
      </c>
      <c r="AR1680" t="s">
        <v>5129</v>
      </c>
      <c r="AS1680" t="s">
        <v>75</v>
      </c>
      <c r="AX1680" t="s">
        <v>76</v>
      </c>
      <c r="AY1680" t="s">
        <v>176</v>
      </c>
      <c r="AZ1680">
        <v>0</v>
      </c>
      <c r="BA1680" t="s">
        <v>176</v>
      </c>
      <c r="BB1680">
        <v>0</v>
      </c>
    </row>
    <row r="1681" spans="1:56" x14ac:dyDescent="0.15">
      <c r="A1681" s="4" t="str">
        <f>HYPERLINK("https://ibp.a2mac1.com/costing(costing:projects/details/9760/part/8415813)","Armrest")</f>
        <v>Armrest</v>
      </c>
      <c r="B1681">
        <v>8415813</v>
      </c>
      <c r="C1681">
        <v>8415622</v>
      </c>
      <c r="E1681">
        <v>2.9817817247659573</v>
      </c>
      <c r="F1681">
        <v>0</v>
      </c>
      <c r="G1681">
        <v>0</v>
      </c>
      <c r="H1681">
        <v>1.5103637367543114E-2</v>
      </c>
      <c r="I1681" t="s">
        <v>176</v>
      </c>
      <c r="J1681">
        <v>0.10447179997312429</v>
      </c>
      <c r="K1681">
        <v>3.1013571621066247</v>
      </c>
      <c r="L1681">
        <v>0.38913064345509557</v>
      </c>
      <c r="M1681">
        <v>2.3347838607305733</v>
      </c>
      <c r="N1681">
        <v>5.436141022837198</v>
      </c>
      <c r="O1681" t="s">
        <v>90</v>
      </c>
      <c r="P1681">
        <v>0</v>
      </c>
      <c r="Q1681" t="s">
        <v>90</v>
      </c>
      <c r="R1681">
        <v>0</v>
      </c>
      <c r="S1681" t="s">
        <v>90</v>
      </c>
      <c r="T1681">
        <v>0</v>
      </c>
      <c r="U1681" t="s">
        <v>90</v>
      </c>
      <c r="V1681">
        <v>0</v>
      </c>
      <c r="W1681" t="s">
        <v>90</v>
      </c>
      <c r="X1681">
        <v>0</v>
      </c>
      <c r="Y1681">
        <v>5.436141022837198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140</v>
      </c>
      <c r="AF1681">
        <v>840</v>
      </c>
      <c r="AG1681">
        <v>290</v>
      </c>
      <c r="AI1681">
        <v>0.66400000000000003</v>
      </c>
      <c r="AK1681" t="s">
        <v>740</v>
      </c>
      <c r="AL1681" t="s">
        <v>5136</v>
      </c>
      <c r="AM1681">
        <v>200000</v>
      </c>
      <c r="AN1681" t="s">
        <v>73</v>
      </c>
      <c r="AO1681">
        <v>1</v>
      </c>
      <c r="AP1681">
        <v>0</v>
      </c>
      <c r="AQ1681">
        <v>16666.666666666668</v>
      </c>
      <c r="AR1681" t="s">
        <v>5137</v>
      </c>
      <c r="AS1681" t="s">
        <v>75</v>
      </c>
      <c r="AX1681" t="s">
        <v>76</v>
      </c>
      <c r="AY1681" t="s">
        <v>176</v>
      </c>
      <c r="AZ1681">
        <v>0</v>
      </c>
      <c r="BA1681" t="s">
        <v>176</v>
      </c>
      <c r="BB1681">
        <v>0</v>
      </c>
    </row>
    <row r="1682" spans="1:56" x14ac:dyDescent="0.15">
      <c r="A1682" s="4" t="str">
        <f>HYPERLINK("https://ibp.a2mac1.com/costing(costing:projects/details/9760/part/8415814)","Trim")</f>
        <v>Trim</v>
      </c>
      <c r="B1682">
        <v>8415814</v>
      </c>
      <c r="C1682">
        <v>8415622</v>
      </c>
      <c r="E1682">
        <v>0.25040870399999998</v>
      </c>
      <c r="F1682">
        <v>0</v>
      </c>
      <c r="G1682">
        <v>0</v>
      </c>
      <c r="H1682">
        <v>1.2702436513684211E-3</v>
      </c>
      <c r="I1682" t="s">
        <v>176</v>
      </c>
      <c r="J1682">
        <v>8.7862703157894732E-3</v>
      </c>
      <c r="K1682">
        <v>0.26046521796715788</v>
      </c>
      <c r="L1682">
        <v>7.4767739224573929E-2</v>
      </c>
      <c r="M1682">
        <v>0.4486064353474436</v>
      </c>
      <c r="N1682">
        <v>0.70907165331460154</v>
      </c>
      <c r="O1682" t="s">
        <v>90</v>
      </c>
      <c r="P1682">
        <v>0</v>
      </c>
      <c r="Q1682" t="s">
        <v>90</v>
      </c>
      <c r="R1682">
        <v>0</v>
      </c>
      <c r="S1682" t="s">
        <v>90</v>
      </c>
      <c r="T1682">
        <v>0</v>
      </c>
      <c r="U1682" t="s">
        <v>90</v>
      </c>
      <c r="V1682">
        <v>0</v>
      </c>
      <c r="W1682" t="s">
        <v>90</v>
      </c>
      <c r="X1682">
        <v>0</v>
      </c>
      <c r="Y1682">
        <v>0.70907165331460154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40</v>
      </c>
      <c r="AF1682">
        <v>575</v>
      </c>
      <c r="AG1682">
        <v>48</v>
      </c>
      <c r="AI1682">
        <v>0.104</v>
      </c>
      <c r="AK1682" t="s">
        <v>740</v>
      </c>
      <c r="AL1682" t="s">
        <v>2495</v>
      </c>
      <c r="AM1682">
        <v>200000</v>
      </c>
      <c r="AN1682" t="s">
        <v>73</v>
      </c>
      <c r="AO1682">
        <v>1</v>
      </c>
      <c r="AP1682">
        <v>0</v>
      </c>
      <c r="AQ1682">
        <v>16666.666666666668</v>
      </c>
      <c r="AR1682" t="s">
        <v>5143</v>
      </c>
      <c r="AS1682" t="s">
        <v>75</v>
      </c>
      <c r="AX1682" t="s">
        <v>76</v>
      </c>
      <c r="AY1682" t="s">
        <v>176</v>
      </c>
      <c r="AZ1682">
        <v>0</v>
      </c>
      <c r="BA1682" t="s">
        <v>176</v>
      </c>
      <c r="BB1682">
        <v>0</v>
      </c>
    </row>
    <row r="1683" spans="1:56" x14ac:dyDescent="0.15">
      <c r="A1683" s="4" t="str">
        <f>HYPERLINK("https://ibp.a2mac1.com/costing(costing:projects/details/9760/part/8415815)","Upper Band")</f>
        <v>Upper Band</v>
      </c>
      <c r="B1683">
        <v>8415815</v>
      </c>
      <c r="C1683">
        <v>8415622</v>
      </c>
      <c r="E1683">
        <v>1.2663591059999999</v>
      </c>
      <c r="F1683">
        <v>0</v>
      </c>
      <c r="G1683">
        <v>0</v>
      </c>
      <c r="H1683">
        <v>6.4144965928421048E-3</v>
      </c>
      <c r="I1683" t="s">
        <v>176</v>
      </c>
      <c r="J1683">
        <v>4.4369047578947371E-2</v>
      </c>
      <c r="K1683">
        <v>1.3171426501717896</v>
      </c>
      <c r="L1683">
        <v>0.16660409326944542</v>
      </c>
      <c r="M1683">
        <v>0.99962455961667251</v>
      </c>
      <c r="N1683">
        <v>2.3167672097884622</v>
      </c>
      <c r="O1683" t="s">
        <v>90</v>
      </c>
      <c r="P1683">
        <v>0</v>
      </c>
      <c r="Q1683" t="s">
        <v>90</v>
      </c>
      <c r="R1683">
        <v>0</v>
      </c>
      <c r="S1683" t="s">
        <v>90</v>
      </c>
      <c r="T1683">
        <v>0</v>
      </c>
      <c r="U1683" t="s">
        <v>90</v>
      </c>
      <c r="V1683">
        <v>0</v>
      </c>
      <c r="W1683" t="s">
        <v>90</v>
      </c>
      <c r="X1683">
        <v>0</v>
      </c>
      <c r="Y1683">
        <v>2.3167672097884622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93</v>
      </c>
      <c r="AF1683">
        <v>895</v>
      </c>
      <c r="AG1683">
        <v>47</v>
      </c>
      <c r="AI1683">
        <v>0.28199999999999997</v>
      </c>
      <c r="AK1683" t="s">
        <v>740</v>
      </c>
      <c r="AL1683" t="s">
        <v>5136</v>
      </c>
      <c r="AM1683">
        <v>200000</v>
      </c>
      <c r="AN1683" t="s">
        <v>73</v>
      </c>
      <c r="AO1683">
        <v>1</v>
      </c>
      <c r="AP1683">
        <v>0</v>
      </c>
      <c r="AQ1683">
        <v>16666.666666666668</v>
      </c>
      <c r="AR1683" t="s">
        <v>5147</v>
      </c>
      <c r="AS1683" t="s">
        <v>75</v>
      </c>
      <c r="AX1683" t="s">
        <v>76</v>
      </c>
      <c r="AY1683" t="s">
        <v>176</v>
      </c>
      <c r="AZ1683">
        <v>0</v>
      </c>
      <c r="BA1683" t="s">
        <v>176</v>
      </c>
      <c r="BB1683">
        <v>0</v>
      </c>
    </row>
    <row r="1684" spans="1:56" x14ac:dyDescent="0.15">
      <c r="A1684" s="4" t="str">
        <f>HYPERLINK("https://ibp.a2mac1.com/costing(costing:projects/details/9760/part/8415816)","Door Map Pocket Panel")</f>
        <v>Door Map Pocket Panel</v>
      </c>
      <c r="B1684">
        <v>8415816</v>
      </c>
      <c r="C1684">
        <v>8415622</v>
      </c>
      <c r="E1684">
        <v>0.80230439099999995</v>
      </c>
      <c r="F1684">
        <v>0</v>
      </c>
      <c r="G1684">
        <v>0</v>
      </c>
      <c r="H1684">
        <v>4.0698348054736839E-3</v>
      </c>
      <c r="I1684" t="s">
        <v>176</v>
      </c>
      <c r="J1684">
        <v>2.8151031263157895E-2</v>
      </c>
      <c r="K1684">
        <v>0.83452525706863157</v>
      </c>
      <c r="L1684">
        <v>6.417123683478107E-2</v>
      </c>
      <c r="M1684">
        <v>0.38502742100868642</v>
      </c>
      <c r="N1684">
        <v>1.219552678077318</v>
      </c>
      <c r="O1684" t="s">
        <v>90</v>
      </c>
      <c r="P1684">
        <v>0</v>
      </c>
      <c r="Q1684" t="s">
        <v>90</v>
      </c>
      <c r="R1684">
        <v>0</v>
      </c>
      <c r="S1684" t="s">
        <v>90</v>
      </c>
      <c r="T1684">
        <v>0</v>
      </c>
      <c r="U1684" t="s">
        <v>90</v>
      </c>
      <c r="V1684">
        <v>0</v>
      </c>
      <c r="W1684" t="s">
        <v>90</v>
      </c>
      <c r="X1684">
        <v>0</v>
      </c>
      <c r="Y1684">
        <v>1.219552678077318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52</v>
      </c>
      <c r="AF1684">
        <v>835</v>
      </c>
      <c r="AG1684">
        <v>280</v>
      </c>
      <c r="AI1684">
        <v>0.42699999999999999</v>
      </c>
      <c r="AK1684" t="s">
        <v>740</v>
      </c>
      <c r="AL1684" t="s">
        <v>951</v>
      </c>
      <c r="AM1684">
        <v>200000</v>
      </c>
      <c r="AN1684" t="s">
        <v>73</v>
      </c>
      <c r="AO1684">
        <v>1</v>
      </c>
      <c r="AP1684">
        <v>0</v>
      </c>
      <c r="AQ1684">
        <v>16666.666666666668</v>
      </c>
      <c r="AR1684" t="s">
        <v>5152</v>
      </c>
      <c r="AS1684" t="s">
        <v>75</v>
      </c>
      <c r="AX1684" t="s">
        <v>76</v>
      </c>
      <c r="AY1684" t="s">
        <v>176</v>
      </c>
      <c r="AZ1684">
        <v>0</v>
      </c>
      <c r="BA1684" t="s">
        <v>176</v>
      </c>
      <c r="BB1684">
        <v>0</v>
      </c>
    </row>
    <row r="1685" spans="1:56" x14ac:dyDescent="0.15">
      <c r="A1685" s="4" t="str">
        <f>HYPERLINK("https://ibp.a2mac1.com/costing(costing:projects/details/9760/part/8415817)","Soundproofing")</f>
        <v>Soundproofing</v>
      </c>
      <c r="B1685">
        <v>8415817</v>
      </c>
      <c r="C1685">
        <v>8415622</v>
      </c>
      <c r="E1685">
        <v>3.5821052631578949</v>
      </c>
      <c r="F1685">
        <v>0</v>
      </c>
      <c r="G1685">
        <v>0</v>
      </c>
      <c r="H1685">
        <v>1.8125452631578949E-2</v>
      </c>
      <c r="I1685" t="s">
        <v>176</v>
      </c>
      <c r="J1685">
        <v>0.1253736842105263</v>
      </c>
      <c r="K1685">
        <v>3.7256043999999999</v>
      </c>
      <c r="L1685">
        <v>2.7083478470506045E-2</v>
      </c>
      <c r="M1685">
        <v>0.16250087082303627</v>
      </c>
      <c r="N1685">
        <v>3.8881052708230364</v>
      </c>
      <c r="O1685" t="s">
        <v>177</v>
      </c>
      <c r="P1685">
        <v>0.22353626400000001</v>
      </c>
      <c r="Q1685" t="s">
        <v>177</v>
      </c>
      <c r="R1685">
        <v>9.7500522493821767E-3</v>
      </c>
      <c r="S1685" t="s">
        <v>178</v>
      </c>
      <c r="T1685">
        <v>0.46657263249876435</v>
      </c>
      <c r="U1685" t="s">
        <v>90</v>
      </c>
      <c r="V1685">
        <v>0</v>
      </c>
      <c r="W1685" t="s">
        <v>90</v>
      </c>
      <c r="X1685">
        <v>0</v>
      </c>
      <c r="Y1685">
        <v>4.5879642195711829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15</v>
      </c>
      <c r="AF1685">
        <v>800</v>
      </c>
      <c r="AG1685">
        <v>510</v>
      </c>
      <c r="AI1685">
        <v>8.5999999999999993E-2</v>
      </c>
      <c r="AK1685" t="s">
        <v>740</v>
      </c>
      <c r="AL1685" t="s">
        <v>4050</v>
      </c>
      <c r="AM1685">
        <v>200000</v>
      </c>
      <c r="AN1685" t="s">
        <v>97</v>
      </c>
      <c r="AO1685">
        <v>1</v>
      </c>
      <c r="AP1685">
        <v>0</v>
      </c>
      <c r="AQ1685">
        <v>16666.666666666668</v>
      </c>
      <c r="AR1685" t="s">
        <v>5158</v>
      </c>
      <c r="AS1685" t="s">
        <v>75</v>
      </c>
      <c r="AX1685" t="s">
        <v>76</v>
      </c>
      <c r="AY1685" t="s">
        <v>176</v>
      </c>
      <c r="AZ1685">
        <v>0</v>
      </c>
      <c r="BA1685" t="s">
        <v>176</v>
      </c>
      <c r="BB1685">
        <v>0</v>
      </c>
    </row>
    <row r="1686" spans="1:56" x14ac:dyDescent="0.15">
      <c r="A1686" s="4" t="str">
        <f>HYPERLINK("https://ibp.a2mac1.com/costing(costing:projects/details/9760/part/8415818)","Reinforcement")</f>
        <v>Reinforcement</v>
      </c>
      <c r="B1686">
        <v>8415818</v>
      </c>
      <c r="C1686">
        <v>8415622</v>
      </c>
      <c r="E1686">
        <v>0.18413543399999999</v>
      </c>
      <c r="F1686">
        <v>0</v>
      </c>
      <c r="G1686">
        <v>0</v>
      </c>
      <c r="H1686">
        <v>9.3406044715789471E-4</v>
      </c>
      <c r="I1686" t="s">
        <v>176</v>
      </c>
      <c r="J1686">
        <v>6.4608924210526313E-3</v>
      </c>
      <c r="K1686">
        <v>0.19153038686821053</v>
      </c>
      <c r="L1686">
        <v>1.6486976080713183E-2</v>
      </c>
      <c r="M1686">
        <v>9.8921856484279092E-2</v>
      </c>
      <c r="N1686">
        <v>0.29045224335248959</v>
      </c>
      <c r="O1686" t="s">
        <v>90</v>
      </c>
      <c r="P1686">
        <v>0</v>
      </c>
      <c r="Q1686" t="s">
        <v>90</v>
      </c>
      <c r="R1686">
        <v>0</v>
      </c>
      <c r="S1686" t="s">
        <v>90</v>
      </c>
      <c r="T1686">
        <v>0</v>
      </c>
      <c r="U1686" t="s">
        <v>90</v>
      </c>
      <c r="V1686">
        <v>0</v>
      </c>
      <c r="W1686" t="s">
        <v>90</v>
      </c>
      <c r="X1686">
        <v>0</v>
      </c>
      <c r="Y1686">
        <v>0.29045224335248959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52</v>
      </c>
      <c r="AF1686">
        <v>810</v>
      </c>
      <c r="AG1686">
        <v>40</v>
      </c>
      <c r="AI1686">
        <v>9.8000000000000004E-2</v>
      </c>
      <c r="AK1686" t="s">
        <v>740</v>
      </c>
      <c r="AL1686" t="s">
        <v>951</v>
      </c>
      <c r="AM1686">
        <v>200000</v>
      </c>
      <c r="AN1686" t="s">
        <v>73</v>
      </c>
      <c r="AO1686">
        <v>1</v>
      </c>
      <c r="AP1686">
        <v>0</v>
      </c>
      <c r="AQ1686">
        <v>16666.666666666668</v>
      </c>
      <c r="AR1686" t="s">
        <v>5163</v>
      </c>
      <c r="AS1686" t="s">
        <v>75</v>
      </c>
      <c r="AX1686" t="s">
        <v>76</v>
      </c>
      <c r="AY1686" t="s">
        <v>176</v>
      </c>
      <c r="AZ1686">
        <v>0</v>
      </c>
      <c r="BA1686" t="s">
        <v>176</v>
      </c>
      <c r="BB1686">
        <v>0</v>
      </c>
    </row>
    <row r="1687" spans="1:56" x14ac:dyDescent="0.15">
      <c r="A1687" s="4" t="str">
        <f>HYPERLINK("https://ibp.a2mac1.com/costing(costing:projects/details/9760/part/8415819)","Storage Box Mat")</f>
        <v>Storage Box Mat</v>
      </c>
      <c r="B1687">
        <v>8415819</v>
      </c>
      <c r="C1687">
        <v>8415622</v>
      </c>
      <c r="E1687">
        <v>0.120283338</v>
      </c>
      <c r="F1687">
        <v>0</v>
      </c>
      <c r="G1687">
        <v>0</v>
      </c>
      <c r="H1687">
        <v>6.1015908799999996E-4</v>
      </c>
      <c r="I1687" t="s">
        <v>176</v>
      </c>
      <c r="J1687">
        <v>4.2204679999999998E-3</v>
      </c>
      <c r="K1687">
        <v>0.12511396508799999</v>
      </c>
      <c r="L1687">
        <v>1.2954808617448894E-2</v>
      </c>
      <c r="M1687">
        <v>7.7728851704693361E-2</v>
      </c>
      <c r="N1687">
        <v>0.20284281679269336</v>
      </c>
      <c r="O1687" t="s">
        <v>90</v>
      </c>
      <c r="P1687">
        <v>0</v>
      </c>
      <c r="Q1687" t="s">
        <v>90</v>
      </c>
      <c r="R1687">
        <v>0</v>
      </c>
      <c r="S1687" t="s">
        <v>90</v>
      </c>
      <c r="T1687">
        <v>0</v>
      </c>
      <c r="U1687" t="s">
        <v>90</v>
      </c>
      <c r="V1687">
        <v>0</v>
      </c>
      <c r="W1687" t="s">
        <v>90</v>
      </c>
      <c r="X1687">
        <v>0</v>
      </c>
      <c r="Y1687">
        <v>0.20284281679269336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93</v>
      </c>
      <c r="AF1687">
        <v>410</v>
      </c>
      <c r="AG1687">
        <v>22</v>
      </c>
      <c r="AI1687">
        <v>7.5999999999999998E-2</v>
      </c>
      <c r="AK1687" t="s">
        <v>740</v>
      </c>
      <c r="AL1687" t="s">
        <v>2246</v>
      </c>
      <c r="AM1687">
        <v>200000</v>
      </c>
      <c r="AN1687" t="s">
        <v>73</v>
      </c>
      <c r="AO1687">
        <v>1</v>
      </c>
      <c r="AP1687">
        <v>0</v>
      </c>
      <c r="AQ1687">
        <v>16666.666666666668</v>
      </c>
      <c r="AR1687" t="s">
        <v>5168</v>
      </c>
      <c r="AS1687" t="s">
        <v>75</v>
      </c>
      <c r="AX1687" t="s">
        <v>76</v>
      </c>
      <c r="AY1687" t="s">
        <v>176</v>
      </c>
      <c r="AZ1687">
        <v>0</v>
      </c>
      <c r="BA1687" t="s">
        <v>176</v>
      </c>
      <c r="BB1687">
        <v>0</v>
      </c>
    </row>
    <row r="1688" spans="1:56" x14ac:dyDescent="0.15">
      <c r="A1688" s="4" t="str">
        <f>HYPERLINK("https://ibp.a2mac1.com/costing(costing:projects/details/9760/part/8415820)","2nd Trim")</f>
        <v>2nd Trim</v>
      </c>
      <c r="B1688">
        <v>8415820</v>
      </c>
      <c r="C1688">
        <v>8415622</v>
      </c>
      <c r="E1688">
        <v>7.4641055999999997E-2</v>
      </c>
      <c r="F1688">
        <v>0</v>
      </c>
      <c r="G1688">
        <v>0</v>
      </c>
      <c r="H1688">
        <v>3.7863031915789475E-4</v>
      </c>
      <c r="I1688" t="s">
        <v>176</v>
      </c>
      <c r="J1688">
        <v>2.6189844210526315E-3</v>
      </c>
      <c r="K1688">
        <v>7.7638670740210525E-2</v>
      </c>
      <c r="L1688">
        <v>3.5913897128666765E-2</v>
      </c>
      <c r="M1688">
        <v>0.2154833827720006</v>
      </c>
      <c r="N1688">
        <v>0.2931220535122111</v>
      </c>
      <c r="O1688" t="s">
        <v>90</v>
      </c>
      <c r="P1688">
        <v>0</v>
      </c>
      <c r="Q1688" t="s">
        <v>90</v>
      </c>
      <c r="R1688">
        <v>0</v>
      </c>
      <c r="S1688" t="s">
        <v>90</v>
      </c>
      <c r="T1688">
        <v>0</v>
      </c>
      <c r="U1688" t="s">
        <v>90</v>
      </c>
      <c r="V1688">
        <v>0</v>
      </c>
      <c r="W1688" t="s">
        <v>90</v>
      </c>
      <c r="X1688">
        <v>0</v>
      </c>
      <c r="Y1688">
        <v>0.2931220535122111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110</v>
      </c>
      <c r="AF1688">
        <v>460</v>
      </c>
      <c r="AG1688">
        <v>34</v>
      </c>
      <c r="AI1688">
        <v>3.1E-2</v>
      </c>
      <c r="AK1688" t="s">
        <v>740</v>
      </c>
      <c r="AL1688" t="s">
        <v>2495</v>
      </c>
      <c r="AM1688">
        <v>200000</v>
      </c>
      <c r="AN1688" t="s">
        <v>73</v>
      </c>
      <c r="AO1688">
        <v>1</v>
      </c>
      <c r="AP1688">
        <v>0</v>
      </c>
      <c r="AQ1688">
        <v>16666.666666666668</v>
      </c>
      <c r="AR1688" t="s">
        <v>5172</v>
      </c>
      <c r="AS1688" t="s">
        <v>75</v>
      </c>
      <c r="AX1688" t="s">
        <v>76</v>
      </c>
      <c r="AY1688" t="s">
        <v>176</v>
      </c>
      <c r="AZ1688">
        <v>0</v>
      </c>
      <c r="BA1688" t="s">
        <v>176</v>
      </c>
      <c r="BB1688">
        <v>0</v>
      </c>
    </row>
    <row r="1689" spans="1:56" x14ac:dyDescent="0.15">
      <c r="A1689" s="4" t="str">
        <f>HYPERLINK("https://ibp.a2mac1.com/costing(costing:projects/details/9760/part/8415821)","Door Panel Adjuster")</f>
        <v>Door Panel Adjuster</v>
      </c>
      <c r="B1689">
        <v>8415821</v>
      </c>
      <c r="C1689">
        <v>8415622</v>
      </c>
      <c r="E1689">
        <v>2.3531781000000002E-2</v>
      </c>
      <c r="F1689">
        <v>0</v>
      </c>
      <c r="G1689">
        <v>0</v>
      </c>
      <c r="H1689">
        <v>1.1936923494736842E-4</v>
      </c>
      <c r="I1689" t="s">
        <v>176</v>
      </c>
      <c r="J1689">
        <v>8.2567652631578947E-4</v>
      </c>
      <c r="K1689">
        <v>2.4476826761263157E-2</v>
      </c>
      <c r="L1689">
        <v>4.1243899592881732E-3</v>
      </c>
      <c r="M1689">
        <v>2.4746339755729041E-2</v>
      </c>
      <c r="N1689">
        <v>4.9223166516992198E-2</v>
      </c>
      <c r="O1689" t="s">
        <v>90</v>
      </c>
      <c r="P1689">
        <v>0</v>
      </c>
      <c r="Q1689" t="s">
        <v>90</v>
      </c>
      <c r="R1689">
        <v>0</v>
      </c>
      <c r="S1689" t="s">
        <v>90</v>
      </c>
      <c r="T1689">
        <v>0</v>
      </c>
      <c r="U1689" t="s">
        <v>90</v>
      </c>
      <c r="V1689">
        <v>0</v>
      </c>
      <c r="W1689" t="s">
        <v>90</v>
      </c>
      <c r="X1689">
        <v>0</v>
      </c>
      <c r="Y1689">
        <v>4.9223166516992198E-2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52</v>
      </c>
      <c r="AF1689">
        <v>45</v>
      </c>
      <c r="AG1689">
        <v>35</v>
      </c>
      <c r="AI1689">
        <v>1.2999999999999999E-2</v>
      </c>
      <c r="AK1689" t="s">
        <v>272</v>
      </c>
      <c r="AL1689" t="s">
        <v>446</v>
      </c>
      <c r="AM1689">
        <v>200000</v>
      </c>
      <c r="AN1689" t="s">
        <v>73</v>
      </c>
      <c r="AO1689">
        <v>1</v>
      </c>
      <c r="AP1689">
        <v>0</v>
      </c>
      <c r="AQ1689">
        <v>16666.666666666668</v>
      </c>
      <c r="AR1689" t="s">
        <v>5177</v>
      </c>
      <c r="AS1689" t="s">
        <v>75</v>
      </c>
      <c r="AX1689" t="s">
        <v>76</v>
      </c>
      <c r="AY1689" t="s">
        <v>176</v>
      </c>
      <c r="AZ1689">
        <v>0</v>
      </c>
      <c r="BA1689" t="s">
        <v>176</v>
      </c>
      <c r="BB1689">
        <v>0</v>
      </c>
    </row>
    <row r="1690" spans="1:56" x14ac:dyDescent="0.15">
      <c r="A1690" s="4" t="str">
        <f>HYPERLINK("https://ibp.a2mac1.com/costing(costing:projects/details/9760/part/8415822)","Door Panel Adjuster Support")</f>
        <v>Door Panel Adjuster Support</v>
      </c>
      <c r="B1690">
        <v>8415822</v>
      </c>
      <c r="C1690">
        <v>8415622</v>
      </c>
      <c r="E1690">
        <v>3.6116639999999998E-2</v>
      </c>
      <c r="F1690">
        <v>0</v>
      </c>
      <c r="G1690">
        <v>0</v>
      </c>
      <c r="H1690">
        <v>1.8320821894736843E-4</v>
      </c>
      <c r="I1690" t="s">
        <v>176</v>
      </c>
      <c r="J1690">
        <v>1.2672505263157895E-3</v>
      </c>
      <c r="K1690">
        <v>3.7567098745263157E-2</v>
      </c>
      <c r="L1690">
        <v>5.8904736909203177E-3</v>
      </c>
      <c r="M1690">
        <v>3.5342842145521906E-2</v>
      </c>
      <c r="N1690">
        <v>7.2909940890785063E-2</v>
      </c>
      <c r="O1690" t="s">
        <v>90</v>
      </c>
      <c r="P1690">
        <v>0</v>
      </c>
      <c r="Q1690" t="s">
        <v>90</v>
      </c>
      <c r="R1690">
        <v>0</v>
      </c>
      <c r="S1690" t="s">
        <v>90</v>
      </c>
      <c r="T1690">
        <v>0</v>
      </c>
      <c r="U1690" t="s">
        <v>90</v>
      </c>
      <c r="V1690">
        <v>0</v>
      </c>
      <c r="W1690" t="s">
        <v>90</v>
      </c>
      <c r="X1690">
        <v>0</v>
      </c>
      <c r="Y1690">
        <v>7.2909940890785063E-2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25</v>
      </c>
      <c r="AF1690">
        <v>65</v>
      </c>
      <c r="AG1690">
        <v>87</v>
      </c>
      <c r="AI1690">
        <v>1.4999999999999999E-2</v>
      </c>
      <c r="AK1690" t="s">
        <v>272</v>
      </c>
      <c r="AL1690" t="s">
        <v>2495</v>
      </c>
      <c r="AM1690">
        <v>200000</v>
      </c>
      <c r="AN1690" t="s">
        <v>73</v>
      </c>
      <c r="AO1690">
        <v>1</v>
      </c>
      <c r="AP1690">
        <v>0</v>
      </c>
      <c r="AQ1690">
        <v>16666.666666666668</v>
      </c>
      <c r="AR1690" t="s">
        <v>5180</v>
      </c>
      <c r="AS1690" t="s">
        <v>75</v>
      </c>
      <c r="AX1690" t="s">
        <v>76</v>
      </c>
      <c r="AY1690" t="s">
        <v>176</v>
      </c>
      <c r="AZ1690">
        <v>0</v>
      </c>
      <c r="BA1690" t="s">
        <v>176</v>
      </c>
      <c r="BB1690">
        <v>0</v>
      </c>
    </row>
    <row r="1691" spans="1:56" x14ac:dyDescent="0.15">
      <c r="A1691" s="4" t="str">
        <f>HYPERLINK("https://ibp.a2mac1.com/costing(costing:projects/details/9760/part/8415825)","Electric Windows Lift Control")</f>
        <v>Electric Windows Lift Control</v>
      </c>
      <c r="B1691">
        <v>8415825</v>
      </c>
      <c r="C1691">
        <v>8415623</v>
      </c>
      <c r="E1691">
        <v>4.7300000000000004</v>
      </c>
      <c r="F1691">
        <v>0</v>
      </c>
      <c r="G1691">
        <v>0</v>
      </c>
      <c r="H1691">
        <v>0</v>
      </c>
      <c r="I1691" t="s">
        <v>71</v>
      </c>
      <c r="J1691">
        <v>0</v>
      </c>
      <c r="K1691">
        <v>4.7300000000000004</v>
      </c>
      <c r="L1691">
        <v>0</v>
      </c>
      <c r="M1691">
        <v>0</v>
      </c>
      <c r="N1691">
        <v>4.7300000000000004</v>
      </c>
      <c r="O1691" t="s">
        <v>71</v>
      </c>
      <c r="P1691">
        <v>0</v>
      </c>
      <c r="Q1691" t="s">
        <v>71</v>
      </c>
      <c r="R1691">
        <v>0</v>
      </c>
      <c r="S1691" t="s">
        <v>71</v>
      </c>
      <c r="T1691">
        <v>0</v>
      </c>
      <c r="U1691" t="s">
        <v>71</v>
      </c>
      <c r="V1691">
        <v>0</v>
      </c>
      <c r="W1691" t="s">
        <v>71</v>
      </c>
      <c r="X1691">
        <v>0</v>
      </c>
      <c r="Y1691">
        <v>4.7300000000000004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47</v>
      </c>
      <c r="AF1691">
        <v>57</v>
      </c>
      <c r="AG1691">
        <v>111</v>
      </c>
      <c r="AI1691">
        <v>0.104</v>
      </c>
      <c r="AK1691" t="s">
        <v>365</v>
      </c>
      <c r="AL1691" t="s">
        <v>466</v>
      </c>
      <c r="AM1691">
        <v>200000</v>
      </c>
      <c r="AN1691" t="s">
        <v>97</v>
      </c>
      <c r="AO1691">
        <v>1</v>
      </c>
      <c r="AP1691">
        <v>0</v>
      </c>
      <c r="AQ1691">
        <v>16666.666666666668</v>
      </c>
      <c r="AR1691" t="s">
        <v>5183</v>
      </c>
      <c r="AS1691" t="s">
        <v>75</v>
      </c>
      <c r="AX1691" t="s">
        <v>76</v>
      </c>
      <c r="AY1691" t="s">
        <v>71</v>
      </c>
      <c r="AZ1691">
        <v>0</v>
      </c>
      <c r="BA1691" t="s">
        <v>71</v>
      </c>
      <c r="BB1691">
        <v>0</v>
      </c>
      <c r="BD1691">
        <v>4.7300000000000004</v>
      </c>
    </row>
    <row r="1692" spans="1:56" x14ac:dyDescent="0.15">
      <c r="A1692" s="4" t="str">
        <f>HYPERLINK("https://ibp.a2mac1.com/costing(costing:projects/details/9760/part/8415826)","Speaker")</f>
        <v>Speaker</v>
      </c>
      <c r="B1692">
        <v>8415826</v>
      </c>
      <c r="C1692">
        <v>8415624</v>
      </c>
      <c r="E1692">
        <v>5.86</v>
      </c>
      <c r="F1692">
        <v>0</v>
      </c>
      <c r="G1692">
        <v>0</v>
      </c>
      <c r="H1692">
        <v>0</v>
      </c>
      <c r="I1692" t="s">
        <v>71</v>
      </c>
      <c r="J1692">
        <v>0</v>
      </c>
      <c r="K1692">
        <v>5.86</v>
      </c>
      <c r="L1692">
        <v>0</v>
      </c>
      <c r="M1692">
        <v>0</v>
      </c>
      <c r="N1692">
        <v>5.86</v>
      </c>
      <c r="O1692" t="s">
        <v>71</v>
      </c>
      <c r="P1692">
        <v>0</v>
      </c>
      <c r="Q1692" t="s">
        <v>71</v>
      </c>
      <c r="R1692">
        <v>0</v>
      </c>
      <c r="S1692" t="s">
        <v>71</v>
      </c>
      <c r="T1692">
        <v>0</v>
      </c>
      <c r="U1692" t="s">
        <v>71</v>
      </c>
      <c r="V1692">
        <v>0</v>
      </c>
      <c r="W1692" t="s">
        <v>71</v>
      </c>
      <c r="X1692">
        <v>0</v>
      </c>
      <c r="Y1692">
        <v>5.86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75</v>
      </c>
      <c r="AF1692">
        <v>195</v>
      </c>
      <c r="AG1692">
        <v>196</v>
      </c>
      <c r="AI1692">
        <v>0.83</v>
      </c>
      <c r="AK1692" t="s">
        <v>284</v>
      </c>
      <c r="AL1692" t="s">
        <v>1397</v>
      </c>
      <c r="AM1692">
        <v>200000</v>
      </c>
      <c r="AN1692" t="s">
        <v>97</v>
      </c>
      <c r="AO1692">
        <v>1</v>
      </c>
      <c r="AP1692">
        <v>0</v>
      </c>
      <c r="AQ1692">
        <v>16666.666666666668</v>
      </c>
      <c r="AR1692" t="s">
        <v>5186</v>
      </c>
      <c r="AS1692" t="s">
        <v>75</v>
      </c>
      <c r="AX1692" t="s">
        <v>76</v>
      </c>
      <c r="AY1692" t="s">
        <v>71</v>
      </c>
      <c r="AZ1692">
        <v>0</v>
      </c>
      <c r="BA1692" t="s">
        <v>71</v>
      </c>
      <c r="BB1692">
        <v>0</v>
      </c>
      <c r="BD1692">
        <v>5.86</v>
      </c>
    </row>
    <row r="1693" spans="1:56" x14ac:dyDescent="0.15">
      <c r="A1693" s="4" t="str">
        <f>HYPERLINK("https://ibp.a2mac1.com/costing(costing:projects/details/9760/part/8415827)","Medium")</f>
        <v>Medium</v>
      </c>
      <c r="B1693">
        <v>8415827</v>
      </c>
      <c r="C1693">
        <v>8415624</v>
      </c>
      <c r="E1693">
        <v>3.68</v>
      </c>
      <c r="F1693">
        <v>0</v>
      </c>
      <c r="G1693">
        <v>0</v>
      </c>
      <c r="H1693">
        <v>0</v>
      </c>
      <c r="I1693" t="s">
        <v>71</v>
      </c>
      <c r="J1693">
        <v>0</v>
      </c>
      <c r="K1693">
        <v>3.68</v>
      </c>
      <c r="L1693">
        <v>0</v>
      </c>
      <c r="M1693">
        <v>0</v>
      </c>
      <c r="N1693">
        <v>3.68</v>
      </c>
      <c r="O1693" t="s">
        <v>71</v>
      </c>
      <c r="P1693">
        <v>0</v>
      </c>
      <c r="Q1693" t="s">
        <v>71</v>
      </c>
      <c r="R1693">
        <v>0</v>
      </c>
      <c r="S1693" t="s">
        <v>71</v>
      </c>
      <c r="T1693">
        <v>0</v>
      </c>
      <c r="U1693" t="s">
        <v>71</v>
      </c>
      <c r="V1693">
        <v>0</v>
      </c>
      <c r="W1693" t="s">
        <v>71</v>
      </c>
      <c r="X1693">
        <v>0</v>
      </c>
      <c r="Y1693">
        <v>3.68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38</v>
      </c>
      <c r="AF1693">
        <v>86</v>
      </c>
      <c r="AG1693">
        <v>110</v>
      </c>
      <c r="AI1693">
        <v>9.9000000000000005E-2</v>
      </c>
      <c r="AK1693" t="s">
        <v>284</v>
      </c>
      <c r="AL1693" t="s">
        <v>5187</v>
      </c>
      <c r="AM1693">
        <v>200000</v>
      </c>
      <c r="AN1693" t="s">
        <v>97</v>
      </c>
      <c r="AO1693">
        <v>1</v>
      </c>
      <c r="AP1693">
        <v>0</v>
      </c>
      <c r="AQ1693">
        <v>16666.666666666668</v>
      </c>
      <c r="AR1693" t="s">
        <v>5188</v>
      </c>
      <c r="AS1693" t="s">
        <v>75</v>
      </c>
      <c r="AX1693" t="s">
        <v>76</v>
      </c>
      <c r="AY1693" t="s">
        <v>71</v>
      </c>
      <c r="AZ1693">
        <v>0</v>
      </c>
      <c r="BA1693" t="s">
        <v>71</v>
      </c>
      <c r="BB1693">
        <v>0</v>
      </c>
      <c r="BD1693">
        <v>3.68</v>
      </c>
    </row>
    <row r="1694" spans="1:56" x14ac:dyDescent="0.15">
      <c r="A1694" s="4" t="str">
        <f>HYPERLINK("https://ibp.a2mac1.com/costing(costing:projects/details/9760/part/8416176)","Mirror")</f>
        <v>Mirror</v>
      </c>
      <c r="B1694">
        <v>8416176</v>
      </c>
      <c r="C1694">
        <v>8415831</v>
      </c>
      <c r="D1694" t="s">
        <v>5199</v>
      </c>
      <c r="E1694">
        <v>15</v>
      </c>
      <c r="F1694">
        <v>0</v>
      </c>
      <c r="G1694">
        <v>0</v>
      </c>
      <c r="H1694">
        <v>0</v>
      </c>
      <c r="I1694" t="s">
        <v>71</v>
      </c>
      <c r="J1694">
        <v>0</v>
      </c>
      <c r="K1694">
        <v>15</v>
      </c>
      <c r="L1694">
        <v>0</v>
      </c>
      <c r="M1694">
        <v>0</v>
      </c>
      <c r="N1694">
        <v>15</v>
      </c>
      <c r="O1694" t="s">
        <v>71</v>
      </c>
      <c r="P1694">
        <v>0</v>
      </c>
      <c r="Q1694" t="s">
        <v>71</v>
      </c>
      <c r="R1694">
        <v>0</v>
      </c>
      <c r="S1694" t="s">
        <v>71</v>
      </c>
      <c r="T1694">
        <v>0</v>
      </c>
      <c r="U1694" t="s">
        <v>71</v>
      </c>
      <c r="V1694">
        <v>0</v>
      </c>
      <c r="W1694" t="s">
        <v>71</v>
      </c>
      <c r="X1694">
        <v>0</v>
      </c>
      <c r="Y1694">
        <v>15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42</v>
      </c>
      <c r="AF1694">
        <v>208</v>
      </c>
      <c r="AG1694">
        <v>129</v>
      </c>
      <c r="AI1694">
        <v>0.18099999999999999</v>
      </c>
      <c r="AK1694" t="s">
        <v>5035</v>
      </c>
      <c r="AL1694" t="s">
        <v>5200</v>
      </c>
      <c r="AM1694">
        <v>200000</v>
      </c>
      <c r="AN1694" t="s">
        <v>97</v>
      </c>
      <c r="AO1694">
        <v>1</v>
      </c>
      <c r="AP1694">
        <v>0</v>
      </c>
      <c r="AQ1694">
        <v>16666.666666666668</v>
      </c>
      <c r="AR1694" t="s">
        <v>5201</v>
      </c>
      <c r="AS1694" t="s">
        <v>75</v>
      </c>
      <c r="AX1694" t="s">
        <v>76</v>
      </c>
      <c r="AY1694" t="s">
        <v>71</v>
      </c>
      <c r="AZ1694">
        <v>0</v>
      </c>
      <c r="BA1694" t="s">
        <v>71</v>
      </c>
      <c r="BB1694">
        <v>0</v>
      </c>
      <c r="BD1694">
        <v>15</v>
      </c>
    </row>
    <row r="1695" spans="1:56" x14ac:dyDescent="0.15">
      <c r="A1695" s="4" t="str">
        <f>HYPERLINK("https://ibp.a2mac1.com/costing(costing:projects/details/9760/part/8416177)","Support")</f>
        <v>Support</v>
      </c>
      <c r="B1695">
        <v>8416177</v>
      </c>
      <c r="C1695">
        <v>8415831</v>
      </c>
      <c r="D1695" t="s">
        <v>5208</v>
      </c>
      <c r="E1695">
        <v>0.84045808736842109</v>
      </c>
      <c r="F1695">
        <v>0</v>
      </c>
      <c r="G1695">
        <v>0</v>
      </c>
      <c r="H1695">
        <v>2.6549855477894738E-3</v>
      </c>
      <c r="I1695" t="s">
        <v>176</v>
      </c>
      <c r="J1695">
        <v>3.0170290315789473E-2</v>
      </c>
      <c r="K1695">
        <v>0.87328336323199995</v>
      </c>
      <c r="L1695">
        <v>2.6384818570129746E-2</v>
      </c>
      <c r="M1695">
        <v>0.15830891142077846</v>
      </c>
      <c r="N1695">
        <v>1.0315922746527786</v>
      </c>
      <c r="O1695" t="s">
        <v>90</v>
      </c>
      <c r="P1695">
        <v>0</v>
      </c>
      <c r="Q1695" t="s">
        <v>90</v>
      </c>
      <c r="R1695">
        <v>0</v>
      </c>
      <c r="S1695" t="s">
        <v>90</v>
      </c>
      <c r="T1695">
        <v>0</v>
      </c>
      <c r="U1695" t="s">
        <v>90</v>
      </c>
      <c r="V1695">
        <v>0</v>
      </c>
      <c r="W1695" t="s">
        <v>90</v>
      </c>
      <c r="X1695">
        <v>0</v>
      </c>
      <c r="Y1695">
        <v>1.0315922746527786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113</v>
      </c>
      <c r="AF1695">
        <v>171</v>
      </c>
      <c r="AG1695">
        <v>52</v>
      </c>
      <c r="AI1695">
        <v>0.33400000000000002</v>
      </c>
      <c r="AK1695" t="s">
        <v>5035</v>
      </c>
      <c r="AL1695" t="s">
        <v>5209</v>
      </c>
      <c r="AM1695">
        <v>200000</v>
      </c>
      <c r="AN1695" t="s">
        <v>97</v>
      </c>
      <c r="AO1695">
        <v>1</v>
      </c>
      <c r="AP1695">
        <v>0</v>
      </c>
      <c r="AQ1695">
        <v>16666.666666666668</v>
      </c>
      <c r="AR1695" t="s">
        <v>5210</v>
      </c>
      <c r="AS1695" t="s">
        <v>75</v>
      </c>
      <c r="AX1695" t="s">
        <v>76</v>
      </c>
      <c r="AY1695" t="s">
        <v>176</v>
      </c>
      <c r="AZ1695">
        <v>0</v>
      </c>
      <c r="BA1695" t="s">
        <v>176</v>
      </c>
      <c r="BB1695">
        <v>0</v>
      </c>
    </row>
    <row r="1696" spans="1:56" x14ac:dyDescent="0.15">
      <c r="A1696" s="4" t="str">
        <f>HYPERLINK("https://ibp.a2mac1.com/costing(costing:projects/details/9760/part/8416178)","Harness")</f>
        <v>Harness</v>
      </c>
      <c r="B1696">
        <v>8416178</v>
      </c>
      <c r="C1696">
        <v>8415831</v>
      </c>
      <c r="E1696">
        <v>3.85</v>
      </c>
      <c r="F1696">
        <v>0</v>
      </c>
      <c r="G1696">
        <v>0</v>
      </c>
      <c r="H1696">
        <v>0</v>
      </c>
      <c r="I1696" t="s">
        <v>71</v>
      </c>
      <c r="J1696">
        <v>0</v>
      </c>
      <c r="K1696">
        <v>3.85</v>
      </c>
      <c r="L1696">
        <v>0</v>
      </c>
      <c r="M1696">
        <v>0</v>
      </c>
      <c r="N1696">
        <v>3.85</v>
      </c>
      <c r="O1696" t="s">
        <v>71</v>
      </c>
      <c r="P1696">
        <v>0</v>
      </c>
      <c r="Q1696" t="s">
        <v>71</v>
      </c>
      <c r="R1696">
        <v>0</v>
      </c>
      <c r="S1696" t="s">
        <v>71</v>
      </c>
      <c r="T1696">
        <v>0</v>
      </c>
      <c r="U1696" t="s">
        <v>71</v>
      </c>
      <c r="V1696">
        <v>0</v>
      </c>
      <c r="W1696" t="s">
        <v>71</v>
      </c>
      <c r="X1696">
        <v>0</v>
      </c>
      <c r="Y1696">
        <v>3.85</v>
      </c>
      <c r="Z1696">
        <v>0</v>
      </c>
      <c r="AA1696">
        <v>0</v>
      </c>
      <c r="AB1696">
        <v>0</v>
      </c>
      <c r="AC1696">
        <v>0</v>
      </c>
      <c r="AD1696">
        <v>0</v>
      </c>
      <c r="AI1696">
        <v>8.5999999999999993E-2</v>
      </c>
      <c r="AK1696" t="s">
        <v>323</v>
      </c>
      <c r="AL1696" t="s">
        <v>3168</v>
      </c>
      <c r="AM1696">
        <v>200000</v>
      </c>
      <c r="AN1696" t="s">
        <v>97</v>
      </c>
      <c r="AO1696">
        <v>1</v>
      </c>
      <c r="AP1696">
        <v>0</v>
      </c>
      <c r="AQ1696">
        <v>16666.666666666668</v>
      </c>
      <c r="AR1696" t="s">
        <v>5211</v>
      </c>
      <c r="AS1696" t="s">
        <v>75</v>
      </c>
      <c r="AX1696" t="s">
        <v>76</v>
      </c>
      <c r="AY1696" t="s">
        <v>71</v>
      </c>
      <c r="AZ1696">
        <v>0</v>
      </c>
      <c r="BA1696" t="s">
        <v>71</v>
      </c>
      <c r="BB1696">
        <v>0</v>
      </c>
      <c r="BD1696">
        <v>3.85</v>
      </c>
    </row>
    <row r="1697" spans="1:56" x14ac:dyDescent="0.15">
      <c r="A1697" s="4" t="str">
        <f>HYPERLINK("https://ibp.a2mac1.com/costing(costing:projects/details/9760/part/8416179)","Mirror Support")</f>
        <v>Mirror Support</v>
      </c>
      <c r="B1697">
        <v>8416179</v>
      </c>
      <c r="C1697">
        <v>8415831</v>
      </c>
      <c r="D1697" t="s">
        <v>5217</v>
      </c>
      <c r="E1697">
        <v>0.27352171962886596</v>
      </c>
      <c r="F1697">
        <v>0</v>
      </c>
      <c r="G1697">
        <v>0</v>
      </c>
      <c r="H1697">
        <v>2.8488992329896905E-4</v>
      </c>
      <c r="I1697" t="s">
        <v>176</v>
      </c>
      <c r="J1697">
        <v>9.5876416494845365E-3</v>
      </c>
      <c r="K1697">
        <v>0.28339425120164946</v>
      </c>
      <c r="L1697">
        <v>8.484225793651724E-3</v>
      </c>
      <c r="M1697">
        <v>5.0905354761910347E-2</v>
      </c>
      <c r="N1697">
        <v>0.33429960596355984</v>
      </c>
      <c r="O1697" t="s">
        <v>90</v>
      </c>
      <c r="P1697">
        <v>0</v>
      </c>
      <c r="Q1697" t="s">
        <v>90</v>
      </c>
      <c r="R1697">
        <v>0</v>
      </c>
      <c r="S1697" t="s">
        <v>90</v>
      </c>
      <c r="T1697">
        <v>0</v>
      </c>
      <c r="U1697" t="s">
        <v>90</v>
      </c>
      <c r="V1697">
        <v>0</v>
      </c>
      <c r="W1697" t="s">
        <v>90</v>
      </c>
      <c r="X1697">
        <v>0</v>
      </c>
      <c r="Y1697">
        <v>0.33429960596355984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102</v>
      </c>
      <c r="AF1697">
        <v>160</v>
      </c>
      <c r="AG1697">
        <v>93</v>
      </c>
      <c r="AI1697">
        <v>0.124</v>
      </c>
      <c r="AK1697" t="s">
        <v>5035</v>
      </c>
      <c r="AL1697" t="s">
        <v>446</v>
      </c>
      <c r="AM1697">
        <v>200000</v>
      </c>
      <c r="AN1697" t="s">
        <v>97</v>
      </c>
      <c r="AO1697">
        <v>1</v>
      </c>
      <c r="AP1697">
        <v>0</v>
      </c>
      <c r="AQ1697">
        <v>16666.666666666668</v>
      </c>
      <c r="AR1697" t="s">
        <v>5218</v>
      </c>
      <c r="AS1697" t="s">
        <v>75</v>
      </c>
      <c r="AX1697" t="s">
        <v>76</v>
      </c>
      <c r="AY1697" t="s">
        <v>176</v>
      </c>
      <c r="AZ1697">
        <v>0</v>
      </c>
      <c r="BA1697" t="s">
        <v>176</v>
      </c>
      <c r="BB1697">
        <v>0</v>
      </c>
    </row>
    <row r="1698" spans="1:56" x14ac:dyDescent="0.15">
      <c r="A1698" s="4" t="str">
        <f>HYPERLINK("https://ibp.a2mac1.com/costing(costing:projects/details/9760/part/8416180)","Lower Shell")</f>
        <v>Lower Shell</v>
      </c>
      <c r="B1698">
        <v>8416180</v>
      </c>
      <c r="C1698">
        <v>8415831</v>
      </c>
      <c r="D1698" t="s">
        <v>5229</v>
      </c>
      <c r="E1698">
        <v>0.51229068</v>
      </c>
      <c r="F1698">
        <v>0</v>
      </c>
      <c r="G1698">
        <v>0</v>
      </c>
      <c r="H1698">
        <v>1.60596224E-3</v>
      </c>
      <c r="I1698" t="s">
        <v>176</v>
      </c>
      <c r="J1698">
        <v>1.7948795789473684E-2</v>
      </c>
      <c r="K1698">
        <v>0.5318454380294737</v>
      </c>
      <c r="L1698">
        <v>9.8555405852154165E-2</v>
      </c>
      <c r="M1698">
        <v>0.59133243511292499</v>
      </c>
      <c r="N1698">
        <v>1.1231778731423987</v>
      </c>
      <c r="O1698" t="s">
        <v>90</v>
      </c>
      <c r="P1698">
        <v>0</v>
      </c>
      <c r="Q1698" t="s">
        <v>90</v>
      </c>
      <c r="R1698">
        <v>0</v>
      </c>
      <c r="S1698" t="s">
        <v>90</v>
      </c>
      <c r="T1698">
        <v>0</v>
      </c>
      <c r="U1698" t="s">
        <v>90</v>
      </c>
      <c r="V1698">
        <v>0</v>
      </c>
      <c r="W1698" t="s">
        <v>90</v>
      </c>
      <c r="X1698">
        <v>0</v>
      </c>
      <c r="Y1698">
        <v>1.1231778731423987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139</v>
      </c>
      <c r="AF1698">
        <v>239</v>
      </c>
      <c r="AG1698">
        <v>46</v>
      </c>
      <c r="AI1698">
        <v>0.08</v>
      </c>
      <c r="AK1698" t="s">
        <v>5035</v>
      </c>
      <c r="AL1698" t="s">
        <v>435</v>
      </c>
      <c r="AM1698">
        <v>200000</v>
      </c>
      <c r="AN1698" t="s">
        <v>97</v>
      </c>
      <c r="AO1698">
        <v>1</v>
      </c>
      <c r="AP1698">
        <v>0</v>
      </c>
      <c r="AQ1698">
        <v>16666.666666666668</v>
      </c>
      <c r="AR1698" t="s">
        <v>5230</v>
      </c>
      <c r="AS1698" t="s">
        <v>75</v>
      </c>
      <c r="AX1698" t="s">
        <v>76</v>
      </c>
      <c r="AY1698" t="s">
        <v>176</v>
      </c>
      <c r="AZ1698">
        <v>0</v>
      </c>
      <c r="BA1698" t="s">
        <v>176</v>
      </c>
      <c r="BB1698">
        <v>0</v>
      </c>
    </row>
    <row r="1699" spans="1:56" x14ac:dyDescent="0.15">
      <c r="A1699" s="4" t="str">
        <f>HYPERLINK("https://ibp.a2mac1.com/costing(costing:projects/details/9760/part/8416181)","Support Cover")</f>
        <v>Support Cover</v>
      </c>
      <c r="B1699">
        <v>8416181</v>
      </c>
      <c r="C1699">
        <v>8415831</v>
      </c>
      <c r="D1699" t="s">
        <v>5233</v>
      </c>
      <c r="E1699">
        <v>0.13966732500000001</v>
      </c>
      <c r="F1699">
        <v>0</v>
      </c>
      <c r="G1699">
        <v>0</v>
      </c>
      <c r="H1699">
        <v>7.0848788421052635E-4</v>
      </c>
      <c r="I1699" t="s">
        <v>176</v>
      </c>
      <c r="J1699">
        <v>4.9006078947368423E-3</v>
      </c>
      <c r="K1699">
        <v>0.14527642077894737</v>
      </c>
      <c r="L1699">
        <v>2.3211601582674491E-3</v>
      </c>
      <c r="M1699">
        <v>1.3926960949604694E-2</v>
      </c>
      <c r="N1699">
        <v>0.15920338172855206</v>
      </c>
      <c r="O1699" t="s">
        <v>90</v>
      </c>
      <c r="P1699">
        <v>0</v>
      </c>
      <c r="Q1699" t="s">
        <v>90</v>
      </c>
      <c r="R1699">
        <v>0</v>
      </c>
      <c r="S1699" t="s">
        <v>90</v>
      </c>
      <c r="T1699">
        <v>0</v>
      </c>
      <c r="U1699" t="s">
        <v>90</v>
      </c>
      <c r="V1699">
        <v>0</v>
      </c>
      <c r="W1699" t="s">
        <v>90</v>
      </c>
      <c r="X1699">
        <v>0</v>
      </c>
      <c r="Y1699">
        <v>0.15920338172855206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110</v>
      </c>
      <c r="AF1699">
        <v>166</v>
      </c>
      <c r="AG1699">
        <v>40</v>
      </c>
      <c r="AI1699">
        <v>0.05</v>
      </c>
      <c r="AK1699" t="s">
        <v>5035</v>
      </c>
      <c r="AL1699" t="s">
        <v>5234</v>
      </c>
      <c r="AM1699">
        <v>200000</v>
      </c>
      <c r="AN1699" t="s">
        <v>97</v>
      </c>
      <c r="AO1699">
        <v>1</v>
      </c>
      <c r="AP1699">
        <v>0</v>
      </c>
      <c r="AQ1699">
        <v>16666.666666666668</v>
      </c>
      <c r="AR1699" t="s">
        <v>5235</v>
      </c>
      <c r="AS1699" t="s">
        <v>75</v>
      </c>
      <c r="AX1699" t="s">
        <v>76</v>
      </c>
      <c r="AY1699" t="s">
        <v>176</v>
      </c>
      <c r="AZ1699">
        <v>0</v>
      </c>
      <c r="BA1699" t="s">
        <v>176</v>
      </c>
      <c r="BB1699">
        <v>0</v>
      </c>
    </row>
    <row r="1700" spans="1:56" x14ac:dyDescent="0.15">
      <c r="A1700" s="4" t="str">
        <f>HYPERLINK("https://ibp.a2mac1.com/costing(costing:projects/details/9760/part/8416182)","Support Lower Cover")</f>
        <v>Support Lower Cover</v>
      </c>
      <c r="B1700">
        <v>8416182</v>
      </c>
      <c r="C1700">
        <v>8415831</v>
      </c>
      <c r="D1700" t="s">
        <v>5233</v>
      </c>
      <c r="E1700">
        <v>0.13966732500000001</v>
      </c>
      <c r="F1700">
        <v>0</v>
      </c>
      <c r="G1700">
        <v>0</v>
      </c>
      <c r="H1700">
        <v>7.0848788421052635E-4</v>
      </c>
      <c r="I1700" t="s">
        <v>176</v>
      </c>
      <c r="J1700">
        <v>4.9006078947368423E-3</v>
      </c>
      <c r="K1700">
        <v>0.14527642077894737</v>
      </c>
      <c r="L1700">
        <v>2.3211601582674491E-3</v>
      </c>
      <c r="M1700">
        <v>1.3926960949604694E-2</v>
      </c>
      <c r="N1700">
        <v>0.15920338172855206</v>
      </c>
      <c r="O1700" t="s">
        <v>90</v>
      </c>
      <c r="P1700">
        <v>0</v>
      </c>
      <c r="Q1700" t="s">
        <v>90</v>
      </c>
      <c r="R1700">
        <v>0</v>
      </c>
      <c r="S1700" t="s">
        <v>90</v>
      </c>
      <c r="T1700">
        <v>0</v>
      </c>
      <c r="U1700" t="s">
        <v>90</v>
      </c>
      <c r="V1700">
        <v>0</v>
      </c>
      <c r="W1700" t="s">
        <v>90</v>
      </c>
      <c r="X1700">
        <v>0</v>
      </c>
      <c r="Y1700">
        <v>0.15920338172855206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112</v>
      </c>
      <c r="AF1700">
        <v>173</v>
      </c>
      <c r="AG1700">
        <v>38</v>
      </c>
      <c r="AI1700">
        <v>0.05</v>
      </c>
      <c r="AK1700" t="s">
        <v>5035</v>
      </c>
      <c r="AL1700" t="s">
        <v>5234</v>
      </c>
      <c r="AM1700">
        <v>200000</v>
      </c>
      <c r="AN1700" t="s">
        <v>97</v>
      </c>
      <c r="AO1700">
        <v>1</v>
      </c>
      <c r="AP1700">
        <v>0</v>
      </c>
      <c r="AQ1700">
        <v>16666.666666666668</v>
      </c>
      <c r="AR1700" t="s">
        <v>5238</v>
      </c>
      <c r="AS1700" t="s">
        <v>75</v>
      </c>
      <c r="AX1700" t="s">
        <v>76</v>
      </c>
      <c r="AY1700" t="s">
        <v>176</v>
      </c>
      <c r="AZ1700">
        <v>0</v>
      </c>
      <c r="BA1700" t="s">
        <v>176</v>
      </c>
      <c r="BB1700">
        <v>0</v>
      </c>
    </row>
    <row r="1701" spans="1:56" x14ac:dyDescent="0.15">
      <c r="A1701" s="4" t="str">
        <f>HYPERLINK("https://ibp.a2mac1.com/costing(costing:projects/details/9760/part/8416183)","Support Seal")</f>
        <v>Support Seal</v>
      </c>
      <c r="B1701">
        <v>8416183</v>
      </c>
      <c r="C1701">
        <v>8415831</v>
      </c>
      <c r="D1701" t="s">
        <v>5241</v>
      </c>
      <c r="E1701">
        <v>1.7132685631578947E-2</v>
      </c>
      <c r="F1701">
        <v>0</v>
      </c>
      <c r="G1701">
        <v>0</v>
      </c>
      <c r="H1701">
        <v>8.8011562736842105E-5</v>
      </c>
      <c r="I1701" t="s">
        <v>176</v>
      </c>
      <c r="J1701">
        <v>6.0877563157894733E-4</v>
      </c>
      <c r="K1701">
        <v>1.7829472825894737E-2</v>
      </c>
      <c r="L1701">
        <v>3.0171767124431421E-4</v>
      </c>
      <c r="M1701">
        <v>1.8103060274658853E-3</v>
      </c>
      <c r="N1701">
        <v>1.9639778853360622E-2</v>
      </c>
      <c r="O1701" t="s">
        <v>90</v>
      </c>
      <c r="P1701">
        <v>0</v>
      </c>
      <c r="Q1701" t="s">
        <v>90</v>
      </c>
      <c r="R1701">
        <v>0</v>
      </c>
      <c r="S1701" t="s">
        <v>90</v>
      </c>
      <c r="T1701">
        <v>0</v>
      </c>
      <c r="U1701" t="s">
        <v>90</v>
      </c>
      <c r="V1701">
        <v>0</v>
      </c>
      <c r="W1701" t="s">
        <v>90</v>
      </c>
      <c r="X1701">
        <v>0</v>
      </c>
      <c r="Y1701">
        <v>1.9639778853360622E-2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22</v>
      </c>
      <c r="AF1701">
        <v>109</v>
      </c>
      <c r="AG1701">
        <v>62</v>
      </c>
      <c r="AI1701">
        <v>1.2999999999999999E-2</v>
      </c>
      <c r="AK1701" t="s">
        <v>5035</v>
      </c>
      <c r="AL1701" t="s">
        <v>5242</v>
      </c>
      <c r="AM1701">
        <v>200000</v>
      </c>
      <c r="AN1701" t="s">
        <v>97</v>
      </c>
      <c r="AO1701">
        <v>1</v>
      </c>
      <c r="AP1701">
        <v>0</v>
      </c>
      <c r="AQ1701">
        <v>16666.666666666668</v>
      </c>
      <c r="AR1701" t="s">
        <v>5243</v>
      </c>
      <c r="AS1701" t="s">
        <v>75</v>
      </c>
      <c r="AX1701" t="s">
        <v>76</v>
      </c>
      <c r="AY1701" t="s">
        <v>176</v>
      </c>
      <c r="AZ1701">
        <v>0</v>
      </c>
      <c r="BA1701" t="s">
        <v>176</v>
      </c>
      <c r="BB1701">
        <v>0</v>
      </c>
    </row>
    <row r="1702" spans="1:56" x14ac:dyDescent="0.15">
      <c r="A1702" s="4" t="str">
        <f>HYPERLINK("https://ibp.a2mac1.com/costing(costing:projects/details/9760/part/8416184)","Seal Cover")</f>
        <v>Seal Cover</v>
      </c>
      <c r="B1702">
        <v>8416184</v>
      </c>
      <c r="C1702">
        <v>8415831</v>
      </c>
      <c r="D1702" t="s">
        <v>5248</v>
      </c>
      <c r="E1702">
        <v>7.5157319999999998E-3</v>
      </c>
      <c r="F1702">
        <v>0</v>
      </c>
      <c r="G1702">
        <v>0</v>
      </c>
      <c r="H1702">
        <v>3.8124916210526314E-5</v>
      </c>
      <c r="I1702" t="s">
        <v>176</v>
      </c>
      <c r="J1702">
        <v>2.6370989473684212E-4</v>
      </c>
      <c r="K1702">
        <v>7.817566810947368E-3</v>
      </c>
      <c r="L1702">
        <v>1.8567124068331081E-4</v>
      </c>
      <c r="M1702">
        <v>1.1140274440998648E-3</v>
      </c>
      <c r="N1702">
        <v>8.9315942550472326E-3</v>
      </c>
      <c r="O1702" t="s">
        <v>90</v>
      </c>
      <c r="P1702">
        <v>0</v>
      </c>
      <c r="Q1702" t="s">
        <v>90</v>
      </c>
      <c r="R1702">
        <v>0</v>
      </c>
      <c r="S1702" t="s">
        <v>90</v>
      </c>
      <c r="T1702">
        <v>0</v>
      </c>
      <c r="U1702" t="s">
        <v>90</v>
      </c>
      <c r="V1702">
        <v>0</v>
      </c>
      <c r="W1702" t="s">
        <v>90</v>
      </c>
      <c r="X1702">
        <v>0</v>
      </c>
      <c r="Y1702">
        <v>8.9315942550472326E-3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92</v>
      </c>
      <c r="AF1702">
        <v>100</v>
      </c>
      <c r="AG1702">
        <v>4</v>
      </c>
      <c r="AI1702">
        <v>4.0000000000000001E-3</v>
      </c>
      <c r="AK1702" t="s">
        <v>5035</v>
      </c>
      <c r="AL1702" t="s">
        <v>403</v>
      </c>
      <c r="AM1702">
        <v>200000</v>
      </c>
      <c r="AN1702" t="s">
        <v>97</v>
      </c>
      <c r="AO1702">
        <v>1</v>
      </c>
      <c r="AP1702">
        <v>0</v>
      </c>
      <c r="AQ1702">
        <v>16666.666666666668</v>
      </c>
      <c r="AR1702" t="s">
        <v>5249</v>
      </c>
      <c r="AS1702" t="s">
        <v>75</v>
      </c>
      <c r="AX1702" t="s">
        <v>76</v>
      </c>
      <c r="AY1702" t="s">
        <v>176</v>
      </c>
      <c r="AZ1702">
        <v>0</v>
      </c>
      <c r="BA1702" t="s">
        <v>176</v>
      </c>
      <c r="BB1702">
        <v>0</v>
      </c>
    </row>
    <row r="1703" spans="1:56" x14ac:dyDescent="0.15">
      <c r="A1703" s="4" t="str">
        <f>HYPERLINK("https://ibp.a2mac1.com/costing(costing:projects/details/9760/part/8416185)","2nd Seal Cover")</f>
        <v>2nd Seal Cover</v>
      </c>
      <c r="B1703">
        <v>8416185</v>
      </c>
      <c r="C1703">
        <v>8415831</v>
      </c>
      <c r="D1703" t="s">
        <v>5253</v>
      </c>
      <c r="E1703">
        <v>1.3178988947368421E-2</v>
      </c>
      <c r="F1703">
        <v>0</v>
      </c>
      <c r="G1703">
        <v>0</v>
      </c>
      <c r="H1703">
        <v>6.7701202105263156E-5</v>
      </c>
      <c r="I1703" t="s">
        <v>176</v>
      </c>
      <c r="J1703">
        <v>4.6828894736842104E-4</v>
      </c>
      <c r="K1703">
        <v>1.3714979096842106E-2</v>
      </c>
      <c r="L1703">
        <v>2.3208963704919518E-4</v>
      </c>
      <c r="M1703">
        <v>1.3925378222951711E-3</v>
      </c>
      <c r="N1703">
        <v>1.5107516919137276E-2</v>
      </c>
      <c r="O1703" t="s">
        <v>90</v>
      </c>
      <c r="P1703">
        <v>0</v>
      </c>
      <c r="Q1703" t="s">
        <v>90</v>
      </c>
      <c r="R1703">
        <v>0</v>
      </c>
      <c r="S1703" t="s">
        <v>90</v>
      </c>
      <c r="T1703">
        <v>0</v>
      </c>
      <c r="U1703" t="s">
        <v>90</v>
      </c>
      <c r="V1703">
        <v>0</v>
      </c>
      <c r="W1703" t="s">
        <v>90</v>
      </c>
      <c r="X1703">
        <v>0</v>
      </c>
      <c r="Y1703">
        <v>1.5107516919137276E-2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62</v>
      </c>
      <c r="AF1703">
        <v>62</v>
      </c>
      <c r="AG1703">
        <v>24</v>
      </c>
      <c r="AI1703">
        <v>0.01</v>
      </c>
      <c r="AK1703" t="s">
        <v>5035</v>
      </c>
      <c r="AL1703" t="s">
        <v>5242</v>
      </c>
      <c r="AM1703">
        <v>200000</v>
      </c>
      <c r="AN1703" t="s">
        <v>97</v>
      </c>
      <c r="AO1703">
        <v>1</v>
      </c>
      <c r="AP1703">
        <v>0</v>
      </c>
      <c r="AQ1703">
        <v>16666.666666666668</v>
      </c>
      <c r="AR1703" t="s">
        <v>5254</v>
      </c>
      <c r="AS1703" t="s">
        <v>75</v>
      </c>
      <c r="AX1703" t="s">
        <v>76</v>
      </c>
      <c r="AY1703" t="s">
        <v>176</v>
      </c>
      <c r="AZ1703">
        <v>0</v>
      </c>
      <c r="BA1703" t="s">
        <v>176</v>
      </c>
      <c r="BB1703">
        <v>0</v>
      </c>
    </row>
    <row r="1704" spans="1:56" x14ac:dyDescent="0.15">
      <c r="A1704" s="4" t="str">
        <f>HYPERLINK("https://ibp.a2mac1.com/costing(costing:projects/details/9760/part/8416186)","Turn Signal")</f>
        <v>Turn Signal</v>
      </c>
      <c r="B1704">
        <v>8416186</v>
      </c>
      <c r="C1704">
        <v>8415831</v>
      </c>
      <c r="E1704">
        <v>3.61</v>
      </c>
      <c r="F1704">
        <v>0</v>
      </c>
      <c r="G1704">
        <v>0</v>
      </c>
      <c r="H1704">
        <v>0</v>
      </c>
      <c r="I1704" t="s">
        <v>71</v>
      </c>
      <c r="J1704">
        <v>0</v>
      </c>
      <c r="K1704">
        <v>3.61</v>
      </c>
      <c r="L1704">
        <v>0</v>
      </c>
      <c r="M1704">
        <v>0</v>
      </c>
      <c r="N1704">
        <v>3.61</v>
      </c>
      <c r="O1704" t="s">
        <v>71</v>
      </c>
      <c r="P1704">
        <v>0</v>
      </c>
      <c r="Q1704" t="s">
        <v>71</v>
      </c>
      <c r="R1704">
        <v>0</v>
      </c>
      <c r="S1704" t="s">
        <v>71</v>
      </c>
      <c r="T1704">
        <v>0</v>
      </c>
      <c r="U1704" t="s">
        <v>71</v>
      </c>
      <c r="V1704">
        <v>0</v>
      </c>
      <c r="W1704" t="s">
        <v>71</v>
      </c>
      <c r="X1704">
        <v>0</v>
      </c>
      <c r="Y1704">
        <v>3.61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90</v>
      </c>
      <c r="AF1704">
        <v>232</v>
      </c>
      <c r="AG1704">
        <v>75</v>
      </c>
      <c r="AI1704">
        <v>8.6999999999999994E-2</v>
      </c>
      <c r="AK1704" t="s">
        <v>365</v>
      </c>
      <c r="AL1704" t="s">
        <v>5255</v>
      </c>
      <c r="AM1704">
        <v>200000</v>
      </c>
      <c r="AN1704" t="s">
        <v>97</v>
      </c>
      <c r="AO1704">
        <v>1</v>
      </c>
      <c r="AP1704">
        <v>0</v>
      </c>
      <c r="AQ1704">
        <v>16666.666666666668</v>
      </c>
      <c r="AR1704" t="s">
        <v>5256</v>
      </c>
      <c r="AS1704" t="s">
        <v>75</v>
      </c>
      <c r="AX1704" t="s">
        <v>76</v>
      </c>
      <c r="AY1704" t="s">
        <v>71</v>
      </c>
      <c r="AZ1704">
        <v>0</v>
      </c>
      <c r="BA1704" t="s">
        <v>71</v>
      </c>
      <c r="BB1704">
        <v>0</v>
      </c>
      <c r="BD1704">
        <v>3.61</v>
      </c>
    </row>
    <row r="1705" spans="1:56" x14ac:dyDescent="0.15">
      <c r="A1705" s="4" t="str">
        <f>HYPERLINK("https://ibp.a2mac1.com/costing(costing:projects/details/9760/part/8416187)","Trim Signal")</f>
        <v>Trim Signal</v>
      </c>
      <c r="B1705">
        <v>8416187</v>
      </c>
      <c r="C1705">
        <v>8415831</v>
      </c>
      <c r="D1705" t="s">
        <v>5259</v>
      </c>
      <c r="E1705">
        <v>4.7486890499999997E-2</v>
      </c>
      <c r="F1705">
        <v>0</v>
      </c>
      <c r="G1705">
        <v>0</v>
      </c>
      <c r="H1705">
        <v>2.4088588063157895E-4</v>
      </c>
      <c r="I1705" t="s">
        <v>176</v>
      </c>
      <c r="J1705">
        <v>1.6662066842105263E-3</v>
      </c>
      <c r="K1705">
        <v>4.9393983064842106E-2</v>
      </c>
      <c r="L1705">
        <v>3.9455587084421894E-4</v>
      </c>
      <c r="M1705">
        <v>2.3673352250653135E-3</v>
      </c>
      <c r="N1705">
        <v>5.1761318289907418E-2</v>
      </c>
      <c r="O1705" t="s">
        <v>90</v>
      </c>
      <c r="P1705">
        <v>0</v>
      </c>
      <c r="Q1705" t="s">
        <v>90</v>
      </c>
      <c r="R1705">
        <v>0</v>
      </c>
      <c r="S1705" t="s">
        <v>90</v>
      </c>
      <c r="T1705">
        <v>0</v>
      </c>
      <c r="U1705" t="s">
        <v>90</v>
      </c>
      <c r="V1705">
        <v>0</v>
      </c>
      <c r="W1705" t="s">
        <v>90</v>
      </c>
      <c r="X1705">
        <v>0</v>
      </c>
      <c r="Y1705">
        <v>5.1761318289907418E-2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38</v>
      </c>
      <c r="AF1705">
        <v>119</v>
      </c>
      <c r="AG1705">
        <v>44</v>
      </c>
      <c r="AI1705">
        <v>1.7000000000000001E-2</v>
      </c>
      <c r="AK1705" t="s">
        <v>5035</v>
      </c>
      <c r="AL1705" t="s">
        <v>5260</v>
      </c>
      <c r="AM1705">
        <v>200000</v>
      </c>
      <c r="AN1705" t="s">
        <v>97</v>
      </c>
      <c r="AO1705">
        <v>1</v>
      </c>
      <c r="AP1705">
        <v>0</v>
      </c>
      <c r="AQ1705">
        <v>16666.666666666668</v>
      </c>
      <c r="AR1705" t="s">
        <v>5261</v>
      </c>
      <c r="AS1705" t="s">
        <v>75</v>
      </c>
      <c r="AX1705" t="s">
        <v>76</v>
      </c>
      <c r="AY1705" t="s">
        <v>176</v>
      </c>
      <c r="AZ1705">
        <v>0</v>
      </c>
      <c r="BA1705" t="s">
        <v>176</v>
      </c>
      <c r="BB1705">
        <v>0</v>
      </c>
    </row>
    <row r="1706" spans="1:56" x14ac:dyDescent="0.15">
      <c r="A1706" s="4" t="str">
        <f>HYPERLINK("https://ibp.a2mac1.com/costing(costing:projects/details/9760/part/8416189)","Folding Motor Support")</f>
        <v>Folding Motor Support</v>
      </c>
      <c r="B1706">
        <v>8416189</v>
      </c>
      <c r="C1706">
        <v>8415831</v>
      </c>
      <c r="D1706" t="s">
        <v>5264</v>
      </c>
      <c r="E1706">
        <v>6.6556066499999997E-2</v>
      </c>
      <c r="F1706">
        <v>0</v>
      </c>
      <c r="G1706">
        <v>0</v>
      </c>
      <c r="H1706">
        <v>3.3761774084210529E-4</v>
      </c>
      <c r="I1706" t="s">
        <v>176</v>
      </c>
      <c r="J1706">
        <v>2.3353005789473686E-3</v>
      </c>
      <c r="K1706">
        <v>6.922898481978948E-2</v>
      </c>
      <c r="L1706">
        <v>1.531899933371159E-3</v>
      </c>
      <c r="M1706">
        <v>9.1913996002269543E-3</v>
      </c>
      <c r="N1706">
        <v>7.8420384420016434E-2</v>
      </c>
      <c r="O1706" t="s">
        <v>90</v>
      </c>
      <c r="P1706">
        <v>0</v>
      </c>
      <c r="Q1706" t="s">
        <v>90</v>
      </c>
      <c r="R1706">
        <v>0</v>
      </c>
      <c r="S1706" t="s">
        <v>90</v>
      </c>
      <c r="T1706">
        <v>0</v>
      </c>
      <c r="U1706" t="s">
        <v>90</v>
      </c>
      <c r="V1706">
        <v>0</v>
      </c>
      <c r="W1706" t="s">
        <v>90</v>
      </c>
      <c r="X1706">
        <v>0</v>
      </c>
      <c r="Y1706">
        <v>7.8420384420016434E-2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83</v>
      </c>
      <c r="AF1706">
        <v>95</v>
      </c>
      <c r="AG1706">
        <v>30</v>
      </c>
      <c r="AI1706">
        <v>3.3000000000000002E-2</v>
      </c>
      <c r="AK1706" t="s">
        <v>5035</v>
      </c>
      <c r="AL1706" t="s">
        <v>749</v>
      </c>
      <c r="AM1706">
        <v>200000</v>
      </c>
      <c r="AN1706" t="s">
        <v>97</v>
      </c>
      <c r="AO1706">
        <v>1</v>
      </c>
      <c r="AP1706">
        <v>0</v>
      </c>
      <c r="AQ1706">
        <v>16666.666666666668</v>
      </c>
      <c r="AR1706" t="s">
        <v>5265</v>
      </c>
      <c r="AS1706" t="s">
        <v>75</v>
      </c>
      <c r="AX1706" t="s">
        <v>76</v>
      </c>
      <c r="AY1706" t="s">
        <v>176</v>
      </c>
      <c r="AZ1706">
        <v>0</v>
      </c>
      <c r="BA1706" t="s">
        <v>176</v>
      </c>
      <c r="BB1706">
        <v>0</v>
      </c>
    </row>
    <row r="1707" spans="1:56" x14ac:dyDescent="0.15">
      <c r="A1707" s="4" t="str">
        <f>HYPERLINK("https://ibp.a2mac1.com/costing(costing:projects/details/9760/part/8416191)","360 View Camera Support")</f>
        <v>360 View Camera Support</v>
      </c>
      <c r="B1707">
        <v>8416191</v>
      </c>
      <c r="C1707">
        <v>8415831</v>
      </c>
      <c r="D1707" t="s">
        <v>5269</v>
      </c>
      <c r="E1707">
        <v>1.5133104E-2</v>
      </c>
      <c r="F1707">
        <v>0</v>
      </c>
      <c r="G1707">
        <v>0</v>
      </c>
      <c r="H1707">
        <v>7.6765419789473678E-5</v>
      </c>
      <c r="I1707" t="s">
        <v>176</v>
      </c>
      <c r="J1707">
        <v>5.3098610526315789E-4</v>
      </c>
      <c r="K1707">
        <v>1.5740855525052631E-2</v>
      </c>
      <c r="L1707">
        <v>2.7850826789310219E-4</v>
      </c>
      <c r="M1707">
        <v>1.6710496073586132E-3</v>
      </c>
      <c r="N1707">
        <v>1.7411905132411244E-2</v>
      </c>
      <c r="O1707" t="s">
        <v>90</v>
      </c>
      <c r="P1707">
        <v>0</v>
      </c>
      <c r="Q1707" t="s">
        <v>90</v>
      </c>
      <c r="R1707">
        <v>0</v>
      </c>
      <c r="S1707" t="s">
        <v>90</v>
      </c>
      <c r="T1707">
        <v>0</v>
      </c>
      <c r="U1707" t="s">
        <v>90</v>
      </c>
      <c r="V1707">
        <v>0</v>
      </c>
      <c r="W1707" t="s">
        <v>90</v>
      </c>
      <c r="X1707">
        <v>0</v>
      </c>
      <c r="Y1707">
        <v>1.7411905132411244E-2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20</v>
      </c>
      <c r="AF1707">
        <v>65</v>
      </c>
      <c r="AG1707">
        <v>29</v>
      </c>
      <c r="AI1707">
        <v>6.0000000000000001E-3</v>
      </c>
      <c r="AK1707" t="s">
        <v>5035</v>
      </c>
      <c r="AL1707" t="s">
        <v>448</v>
      </c>
      <c r="AM1707">
        <v>200000</v>
      </c>
      <c r="AN1707" t="s">
        <v>97</v>
      </c>
      <c r="AO1707">
        <v>1</v>
      </c>
      <c r="AP1707">
        <v>0</v>
      </c>
      <c r="AQ1707">
        <v>16666.666666666668</v>
      </c>
      <c r="AR1707" t="s">
        <v>5270</v>
      </c>
      <c r="AS1707" t="s">
        <v>75</v>
      </c>
      <c r="AX1707" t="s">
        <v>76</v>
      </c>
      <c r="AY1707" t="s">
        <v>176</v>
      </c>
      <c r="AZ1707">
        <v>0</v>
      </c>
      <c r="BA1707" t="s">
        <v>176</v>
      </c>
      <c r="BB1707">
        <v>0</v>
      </c>
    </row>
    <row r="1708" spans="1:56" x14ac:dyDescent="0.15">
      <c r="A1708" s="4" t="str">
        <f>HYPERLINK("https://ibp.a2mac1.com/costing(costing:projects/details/9760/part/8416192)","360 View Camera side Wire Harness")</f>
        <v>360 View Camera side Wire Harness</v>
      </c>
      <c r="B1708">
        <v>8416192</v>
      </c>
      <c r="C1708">
        <v>8415831</v>
      </c>
      <c r="E1708">
        <v>1.42</v>
      </c>
      <c r="F1708">
        <v>0</v>
      </c>
      <c r="G1708">
        <v>0</v>
      </c>
      <c r="H1708">
        <v>0</v>
      </c>
      <c r="I1708" t="s">
        <v>71</v>
      </c>
      <c r="J1708">
        <v>0</v>
      </c>
      <c r="K1708">
        <v>1.42</v>
      </c>
      <c r="L1708">
        <v>0</v>
      </c>
      <c r="M1708">
        <v>0</v>
      </c>
      <c r="N1708">
        <v>1.42</v>
      </c>
      <c r="O1708" t="s">
        <v>71</v>
      </c>
      <c r="P1708">
        <v>0</v>
      </c>
      <c r="Q1708" t="s">
        <v>71</v>
      </c>
      <c r="R1708">
        <v>0</v>
      </c>
      <c r="S1708" t="s">
        <v>71</v>
      </c>
      <c r="T1708">
        <v>0</v>
      </c>
      <c r="U1708" t="s">
        <v>71</v>
      </c>
      <c r="V1708">
        <v>0</v>
      </c>
      <c r="W1708" t="s">
        <v>71</v>
      </c>
      <c r="X1708">
        <v>0</v>
      </c>
      <c r="Y1708">
        <v>1.42</v>
      </c>
      <c r="Z1708">
        <v>0</v>
      </c>
      <c r="AA1708">
        <v>0</v>
      </c>
      <c r="AB1708">
        <v>0</v>
      </c>
      <c r="AC1708">
        <v>0</v>
      </c>
      <c r="AD1708">
        <v>0</v>
      </c>
      <c r="AI1708">
        <v>1.4999999999999999E-2</v>
      </c>
      <c r="AK1708" t="s">
        <v>323</v>
      </c>
      <c r="AL1708" t="s">
        <v>3168</v>
      </c>
      <c r="AM1708">
        <v>200000</v>
      </c>
      <c r="AN1708" t="s">
        <v>97</v>
      </c>
      <c r="AO1708">
        <v>1</v>
      </c>
      <c r="AP1708">
        <v>0</v>
      </c>
      <c r="AQ1708">
        <v>16666.666666666668</v>
      </c>
      <c r="AR1708" t="s">
        <v>5271</v>
      </c>
      <c r="AS1708" t="s">
        <v>75</v>
      </c>
      <c r="AX1708" t="s">
        <v>76</v>
      </c>
      <c r="AY1708" t="s">
        <v>71</v>
      </c>
      <c r="AZ1708">
        <v>0</v>
      </c>
      <c r="BA1708" t="s">
        <v>71</v>
      </c>
      <c r="BB1708">
        <v>0</v>
      </c>
      <c r="BD1708">
        <v>1.42</v>
      </c>
    </row>
    <row r="1709" spans="1:56" x14ac:dyDescent="0.15">
      <c r="A1709" s="4" t="str">
        <f>HYPERLINK("https://ibp.a2mac1.com/costing(costing:projects/details/9760/part/8416193)","Shell")</f>
        <v>Shell</v>
      </c>
      <c r="B1709">
        <v>8416193</v>
      </c>
      <c r="C1709">
        <v>8415831</v>
      </c>
      <c r="D1709" t="s">
        <v>5278</v>
      </c>
      <c r="E1709">
        <v>0.58616773242268039</v>
      </c>
      <c r="F1709">
        <v>0</v>
      </c>
      <c r="G1709">
        <v>0</v>
      </c>
      <c r="H1709">
        <v>1.5007206969072165E-3</v>
      </c>
      <c r="I1709" t="s">
        <v>176</v>
      </c>
      <c r="J1709">
        <v>2.0530917010309277E-2</v>
      </c>
      <c r="K1709">
        <v>0.60819937012989689</v>
      </c>
      <c r="L1709">
        <v>0.16017274449404048</v>
      </c>
      <c r="M1709">
        <v>0.96103646696424294</v>
      </c>
      <c r="N1709">
        <v>1.5692358370941399</v>
      </c>
      <c r="O1709" t="s">
        <v>90</v>
      </c>
      <c r="P1709">
        <v>0</v>
      </c>
      <c r="Q1709" t="s">
        <v>90</v>
      </c>
      <c r="R1709">
        <v>0</v>
      </c>
      <c r="S1709" t="s">
        <v>90</v>
      </c>
      <c r="T1709">
        <v>0</v>
      </c>
      <c r="U1709" t="s">
        <v>90</v>
      </c>
      <c r="V1709">
        <v>0</v>
      </c>
      <c r="W1709" t="s">
        <v>90</v>
      </c>
      <c r="X1709">
        <v>0</v>
      </c>
      <c r="Y1709">
        <v>1.5692358370941399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132</v>
      </c>
      <c r="AF1709">
        <v>237</v>
      </c>
      <c r="AG1709">
        <v>78</v>
      </c>
      <c r="AH1709">
        <v>0</v>
      </c>
      <c r="AI1709">
        <v>0.11</v>
      </c>
      <c r="AK1709" t="s">
        <v>5035</v>
      </c>
      <c r="AM1709">
        <v>200000</v>
      </c>
      <c r="AN1709" t="s">
        <v>97</v>
      </c>
      <c r="AO1709">
        <v>1</v>
      </c>
      <c r="AP1709">
        <v>0</v>
      </c>
      <c r="AQ1709">
        <v>16666.666666666668</v>
      </c>
      <c r="AR1709" t="s">
        <v>5279</v>
      </c>
      <c r="AS1709" t="s">
        <v>75</v>
      </c>
      <c r="AX1709" t="s">
        <v>76</v>
      </c>
      <c r="AY1709" t="s">
        <v>176</v>
      </c>
      <c r="AZ1709">
        <v>0</v>
      </c>
      <c r="BA1709" t="s">
        <v>176</v>
      </c>
      <c r="BB1709">
        <v>0</v>
      </c>
    </row>
    <row r="1710" spans="1:56" x14ac:dyDescent="0.15">
      <c r="A1710" s="4" t="str">
        <f>HYPERLINK("https://ibp.a2mac1.com/costing(costing:projects/details/9760/part/8415828)","Interior Trim")</f>
        <v>Interior Trim</v>
      </c>
      <c r="B1710">
        <v>8415828</v>
      </c>
      <c r="C1710">
        <v>8415625</v>
      </c>
      <c r="D1710" t="s">
        <v>5286</v>
      </c>
      <c r="E1710">
        <v>2.1273829500000001E-2</v>
      </c>
      <c r="F1710">
        <v>0</v>
      </c>
      <c r="G1710">
        <v>0</v>
      </c>
      <c r="H1710">
        <v>1.0791536568421053E-4</v>
      </c>
      <c r="I1710" t="s">
        <v>176</v>
      </c>
      <c r="J1710">
        <v>7.4645015789473685E-4</v>
      </c>
      <c r="K1710">
        <v>2.2128195023578948E-2</v>
      </c>
      <c r="L1710">
        <v>5.1060493928297736E-4</v>
      </c>
      <c r="M1710">
        <v>3.0636296356978637E-3</v>
      </c>
      <c r="N1710">
        <v>2.5191824659276812E-2</v>
      </c>
      <c r="O1710" t="s">
        <v>90</v>
      </c>
      <c r="P1710">
        <v>0</v>
      </c>
      <c r="Q1710" t="s">
        <v>90</v>
      </c>
      <c r="R1710">
        <v>0</v>
      </c>
      <c r="S1710" t="s">
        <v>90</v>
      </c>
      <c r="T1710">
        <v>0</v>
      </c>
      <c r="U1710" t="s">
        <v>90</v>
      </c>
      <c r="V1710">
        <v>0</v>
      </c>
      <c r="W1710" t="s">
        <v>90</v>
      </c>
      <c r="X1710">
        <v>0</v>
      </c>
      <c r="Y1710">
        <v>2.5191824659276812E-2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31</v>
      </c>
      <c r="AF1710">
        <v>80</v>
      </c>
      <c r="AG1710">
        <v>67</v>
      </c>
      <c r="AI1710">
        <v>1.0999999999999999E-2</v>
      </c>
      <c r="AK1710" t="s">
        <v>5035</v>
      </c>
      <c r="AL1710" t="s">
        <v>951</v>
      </c>
      <c r="AM1710">
        <v>200000</v>
      </c>
      <c r="AN1710" t="s">
        <v>97</v>
      </c>
      <c r="AO1710">
        <v>1</v>
      </c>
      <c r="AP1710">
        <v>0</v>
      </c>
      <c r="AQ1710">
        <v>16666.666666666668</v>
      </c>
      <c r="AR1710" t="s">
        <v>5287</v>
      </c>
      <c r="AS1710" t="s">
        <v>75</v>
      </c>
      <c r="AX1710" t="s">
        <v>76</v>
      </c>
      <c r="AY1710" t="s">
        <v>176</v>
      </c>
      <c r="AZ1710">
        <v>0</v>
      </c>
      <c r="BA1710" t="s">
        <v>176</v>
      </c>
      <c r="BB1710">
        <v>0</v>
      </c>
    </row>
    <row r="1711" spans="1:56" x14ac:dyDescent="0.15">
      <c r="A1711" s="4" t="str">
        <f>HYPERLINK("https://ibp.a2mac1.com/costing(costing:projects/details/9760/part/8415829)","Inner Sound Insulation")</f>
        <v>Inner Sound Insulation</v>
      </c>
      <c r="B1711">
        <v>8415829</v>
      </c>
      <c r="C1711">
        <v>8415625</v>
      </c>
      <c r="D1711" t="s">
        <v>5293</v>
      </c>
      <c r="E1711">
        <v>2.6737153608247422E-3</v>
      </c>
      <c r="F1711">
        <v>0</v>
      </c>
      <c r="G1711">
        <v>0</v>
      </c>
      <c r="H1711">
        <v>5.4679286597938147E-5</v>
      </c>
      <c r="I1711" t="s">
        <v>176</v>
      </c>
      <c r="J1711">
        <v>9.3720618556701035E-5</v>
      </c>
      <c r="K1711">
        <v>2.8221152659793814E-3</v>
      </c>
      <c r="L1711">
        <v>3.1128773885009866E-2</v>
      </c>
      <c r="M1711">
        <v>0.18677264331005919</v>
      </c>
      <c r="N1711">
        <v>0.18959475857603858</v>
      </c>
      <c r="O1711" t="s">
        <v>90</v>
      </c>
      <c r="P1711">
        <v>0</v>
      </c>
      <c r="Q1711" t="s">
        <v>90</v>
      </c>
      <c r="R1711">
        <v>0</v>
      </c>
      <c r="S1711" t="s">
        <v>90</v>
      </c>
      <c r="T1711">
        <v>0</v>
      </c>
      <c r="U1711" t="s">
        <v>90</v>
      </c>
      <c r="V1711">
        <v>0</v>
      </c>
      <c r="W1711" t="s">
        <v>90</v>
      </c>
      <c r="X1711">
        <v>0</v>
      </c>
      <c r="Y1711">
        <v>0.18959475857603858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18</v>
      </c>
      <c r="AF1711">
        <v>70</v>
      </c>
      <c r="AG1711">
        <v>48</v>
      </c>
      <c r="AI1711">
        <v>1E-3</v>
      </c>
      <c r="AK1711" t="s">
        <v>5035</v>
      </c>
      <c r="AL1711" t="s">
        <v>2582</v>
      </c>
      <c r="AM1711">
        <v>200000</v>
      </c>
      <c r="AN1711" t="s">
        <v>97</v>
      </c>
      <c r="AO1711">
        <v>1</v>
      </c>
      <c r="AP1711">
        <v>0</v>
      </c>
      <c r="AQ1711">
        <v>16666.666666666668</v>
      </c>
      <c r="AR1711" t="s">
        <v>5294</v>
      </c>
      <c r="AS1711" t="s">
        <v>75</v>
      </c>
      <c r="AX1711" t="s">
        <v>76</v>
      </c>
      <c r="AY1711" t="s">
        <v>176</v>
      </c>
      <c r="AZ1711">
        <v>0</v>
      </c>
      <c r="BA1711" t="s">
        <v>176</v>
      </c>
      <c r="BB1711">
        <v>0</v>
      </c>
    </row>
    <row r="1712" spans="1:56" x14ac:dyDescent="0.15">
      <c r="A1712" s="4" t="str">
        <f>HYPERLINK("https://ibp.a2mac1.com/costing(costing:projects/details/9760/part/8415830)","Fasteners Cover")</f>
        <v>Fasteners Cover</v>
      </c>
      <c r="B1712">
        <v>8415830</v>
      </c>
      <c r="C1712">
        <v>8415625</v>
      </c>
      <c r="E1712">
        <v>0.2</v>
      </c>
      <c r="F1712">
        <v>0</v>
      </c>
      <c r="G1712">
        <v>0</v>
      </c>
      <c r="H1712">
        <v>0</v>
      </c>
      <c r="I1712" t="s">
        <v>71</v>
      </c>
      <c r="J1712">
        <v>0</v>
      </c>
      <c r="K1712">
        <v>0.2</v>
      </c>
      <c r="L1712">
        <v>0</v>
      </c>
      <c r="M1712">
        <v>0</v>
      </c>
      <c r="N1712">
        <v>0.2</v>
      </c>
      <c r="O1712" t="s">
        <v>71</v>
      </c>
      <c r="P1712">
        <v>0</v>
      </c>
      <c r="Q1712" t="s">
        <v>71</v>
      </c>
      <c r="R1712">
        <v>0</v>
      </c>
      <c r="S1712" t="s">
        <v>71</v>
      </c>
      <c r="T1712">
        <v>0</v>
      </c>
      <c r="U1712" t="s">
        <v>71</v>
      </c>
      <c r="V1712">
        <v>0</v>
      </c>
      <c r="W1712" t="s">
        <v>71</v>
      </c>
      <c r="X1712">
        <v>0</v>
      </c>
      <c r="Y1712">
        <v>0.2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</v>
      </c>
      <c r="AF1712">
        <v>123</v>
      </c>
      <c r="AG1712">
        <v>90</v>
      </c>
      <c r="AI1712">
        <v>2.9000000000000001E-2</v>
      </c>
      <c r="AK1712" t="s">
        <v>5035</v>
      </c>
      <c r="AL1712" t="s">
        <v>5295</v>
      </c>
      <c r="AM1712">
        <v>200000</v>
      </c>
      <c r="AN1712" t="s">
        <v>97</v>
      </c>
      <c r="AO1712">
        <v>1</v>
      </c>
      <c r="AP1712">
        <v>0</v>
      </c>
      <c r="AQ1712">
        <v>16666.666666666668</v>
      </c>
      <c r="AR1712" t="s">
        <v>5296</v>
      </c>
      <c r="AS1712" t="s">
        <v>75</v>
      </c>
      <c r="AX1712" t="s">
        <v>76</v>
      </c>
      <c r="AY1712" t="s">
        <v>71</v>
      </c>
      <c r="AZ1712">
        <v>0</v>
      </c>
      <c r="BA1712" t="s">
        <v>71</v>
      </c>
      <c r="BB1712">
        <v>0</v>
      </c>
      <c r="BD1712">
        <v>0.2</v>
      </c>
    </row>
    <row r="1713" spans="1:56" x14ac:dyDescent="0.15">
      <c r="A1713" s="4" t="str">
        <f>HYPERLINK("https://ibp.a2mac1.com/costing(costing:projects/details/9760/part/8415832)","A Pillar Accent")</f>
        <v>A Pillar Accent</v>
      </c>
      <c r="B1713">
        <v>8415832</v>
      </c>
      <c r="C1713">
        <v>8415626</v>
      </c>
      <c r="D1713" t="s">
        <v>5304</v>
      </c>
      <c r="E1713">
        <v>6.0246875371134018E-2</v>
      </c>
      <c r="F1713">
        <v>0</v>
      </c>
      <c r="G1713">
        <v>0</v>
      </c>
      <c r="H1713">
        <v>1.2429500577319587E-4</v>
      </c>
      <c r="I1713" t="s">
        <v>176</v>
      </c>
      <c r="J1713">
        <v>2.1118083505154641E-3</v>
      </c>
      <c r="K1713">
        <v>6.2482978727422679E-2</v>
      </c>
      <c r="L1713">
        <v>1.6452134573124312E-2</v>
      </c>
      <c r="M1713">
        <v>9.8712807438745873E-2</v>
      </c>
      <c r="N1713">
        <v>0.16119578616616856</v>
      </c>
      <c r="O1713" t="s">
        <v>177</v>
      </c>
      <c r="P1713">
        <v>3.7489787236453607E-3</v>
      </c>
      <c r="Q1713" t="s">
        <v>177</v>
      </c>
      <c r="R1713">
        <v>5.9227684463247525E-3</v>
      </c>
      <c r="S1713" t="s">
        <v>178</v>
      </c>
      <c r="T1713">
        <v>1.9343494339940228E-2</v>
      </c>
      <c r="U1713" t="s">
        <v>90</v>
      </c>
      <c r="V1713">
        <v>0</v>
      </c>
      <c r="W1713" t="s">
        <v>90</v>
      </c>
      <c r="X1713">
        <v>0</v>
      </c>
      <c r="Y1713">
        <v>0.19021102767607889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29</v>
      </c>
      <c r="AF1713">
        <v>135</v>
      </c>
      <c r="AG1713">
        <v>86</v>
      </c>
      <c r="AI1713">
        <v>2.1999999999999999E-2</v>
      </c>
      <c r="AK1713" t="s">
        <v>5305</v>
      </c>
      <c r="AL1713" t="s">
        <v>5306</v>
      </c>
      <c r="AM1713">
        <v>200000</v>
      </c>
      <c r="AN1713" t="s">
        <v>97</v>
      </c>
      <c r="AO1713">
        <v>1</v>
      </c>
      <c r="AP1713">
        <v>0</v>
      </c>
      <c r="AQ1713">
        <v>16666.666666666668</v>
      </c>
      <c r="AR1713" t="s">
        <v>5307</v>
      </c>
      <c r="AS1713" t="s">
        <v>75</v>
      </c>
      <c r="AX1713" t="s">
        <v>76</v>
      </c>
      <c r="AY1713" t="s">
        <v>176</v>
      </c>
      <c r="AZ1713">
        <v>0</v>
      </c>
      <c r="BA1713" t="s">
        <v>176</v>
      </c>
      <c r="BB1713">
        <v>0</v>
      </c>
    </row>
    <row r="1714" spans="1:56" x14ac:dyDescent="0.15">
      <c r="A1714" s="4" t="str">
        <f>HYPERLINK("https://ibp.a2mac1.com/costing(costing:projects/details/9760/part/8415833)","A Pillar Accent Seal")</f>
        <v>A Pillar Accent Seal</v>
      </c>
      <c r="B1714">
        <v>8415833</v>
      </c>
      <c r="C1714">
        <v>8415626</v>
      </c>
      <c r="D1714" t="s">
        <v>5312</v>
      </c>
      <c r="E1714">
        <v>1.551596943298969E-3</v>
      </c>
      <c r="F1714">
        <v>0</v>
      </c>
      <c r="G1714">
        <v>0</v>
      </c>
      <c r="H1714">
        <v>3.2010913402061857E-6</v>
      </c>
      <c r="I1714" t="s">
        <v>176</v>
      </c>
      <c r="J1714">
        <v>5.4387474226804127E-5</v>
      </c>
      <c r="K1714">
        <v>1.6091855088659795E-3</v>
      </c>
      <c r="L1714">
        <v>1.0129341612005195E-2</v>
      </c>
      <c r="M1714">
        <v>6.0776049672031165E-2</v>
      </c>
      <c r="N1714">
        <v>6.2385235180897149E-2</v>
      </c>
      <c r="O1714" t="s">
        <v>177</v>
      </c>
      <c r="P1714">
        <v>9.6551130531958768E-5</v>
      </c>
      <c r="Q1714" t="s">
        <v>177</v>
      </c>
      <c r="R1714">
        <v>3.64656298032187E-3</v>
      </c>
      <c r="S1714" t="s">
        <v>178</v>
      </c>
      <c r="T1714">
        <v>7.4862282217076576E-3</v>
      </c>
      <c r="U1714" t="s">
        <v>90</v>
      </c>
      <c r="V1714">
        <v>0</v>
      </c>
      <c r="W1714" t="s">
        <v>90</v>
      </c>
      <c r="X1714">
        <v>0</v>
      </c>
      <c r="Y1714">
        <v>7.3614577513458637E-2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8</v>
      </c>
      <c r="AF1714">
        <v>123</v>
      </c>
      <c r="AG1714">
        <v>83</v>
      </c>
      <c r="AI1714">
        <v>1E-3</v>
      </c>
      <c r="AK1714" t="s">
        <v>5305</v>
      </c>
      <c r="AL1714" t="s">
        <v>2246</v>
      </c>
      <c r="AM1714">
        <v>200000</v>
      </c>
      <c r="AN1714" t="s">
        <v>97</v>
      </c>
      <c r="AO1714">
        <v>1</v>
      </c>
      <c r="AP1714">
        <v>0</v>
      </c>
      <c r="AQ1714">
        <v>16666.666666666668</v>
      </c>
      <c r="AR1714" t="s">
        <v>5313</v>
      </c>
      <c r="AS1714" t="s">
        <v>75</v>
      </c>
      <c r="AX1714" t="s">
        <v>76</v>
      </c>
      <c r="AY1714" t="s">
        <v>176</v>
      </c>
      <c r="AZ1714">
        <v>0</v>
      </c>
      <c r="BA1714" t="s">
        <v>176</v>
      </c>
      <c r="BB1714">
        <v>0</v>
      </c>
    </row>
    <row r="1715" spans="1:56" x14ac:dyDescent="0.15">
      <c r="A1715" s="4" t="str">
        <f>HYPERLINK("https://ibp.a2mac1.com/costing(costing:projects/details/9760/part/8416194)","Mood Light")</f>
        <v>Mood Light</v>
      </c>
      <c r="B1715">
        <v>8416194</v>
      </c>
      <c r="C1715">
        <v>8415837</v>
      </c>
      <c r="E1715">
        <v>2.0299999999999998</v>
      </c>
      <c r="F1715">
        <v>0</v>
      </c>
      <c r="G1715">
        <v>0</v>
      </c>
      <c r="H1715">
        <v>0</v>
      </c>
      <c r="I1715" t="s">
        <v>71</v>
      </c>
      <c r="J1715">
        <v>0</v>
      </c>
      <c r="K1715">
        <v>2.0299999999999998</v>
      </c>
      <c r="L1715">
        <v>0</v>
      </c>
      <c r="M1715">
        <v>0</v>
      </c>
      <c r="N1715">
        <v>2.0299999999999998</v>
      </c>
      <c r="O1715" t="s">
        <v>71</v>
      </c>
      <c r="P1715">
        <v>0</v>
      </c>
      <c r="Q1715" t="s">
        <v>71</v>
      </c>
      <c r="R1715">
        <v>0</v>
      </c>
      <c r="S1715" t="s">
        <v>71</v>
      </c>
      <c r="T1715">
        <v>0</v>
      </c>
      <c r="U1715" t="s">
        <v>71</v>
      </c>
      <c r="V1715">
        <v>0</v>
      </c>
      <c r="W1715" t="s">
        <v>71</v>
      </c>
      <c r="X1715">
        <v>0</v>
      </c>
      <c r="Y1715">
        <v>2.0299999999999998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20</v>
      </c>
      <c r="AG1715">
        <v>25</v>
      </c>
      <c r="AI1715">
        <v>8.0000000000000002E-3</v>
      </c>
      <c r="AK1715" t="s">
        <v>365</v>
      </c>
      <c r="AL1715" t="s">
        <v>827</v>
      </c>
      <c r="AM1715">
        <v>200000</v>
      </c>
      <c r="AN1715" t="s">
        <v>97</v>
      </c>
      <c r="AO1715">
        <v>1</v>
      </c>
      <c r="AP1715">
        <v>0</v>
      </c>
      <c r="AQ1715">
        <v>16666.666666666668</v>
      </c>
      <c r="AR1715" t="s">
        <v>5317</v>
      </c>
      <c r="AS1715" t="s">
        <v>75</v>
      </c>
      <c r="AX1715" t="s">
        <v>76</v>
      </c>
      <c r="AY1715" t="s">
        <v>71</v>
      </c>
      <c r="AZ1715">
        <v>0</v>
      </c>
      <c r="BA1715" t="s">
        <v>71</v>
      </c>
      <c r="BB1715">
        <v>0</v>
      </c>
      <c r="BD1715">
        <v>2.0299999999999998</v>
      </c>
    </row>
    <row r="1716" spans="1:56" x14ac:dyDescent="0.15">
      <c r="A1716" s="4" t="str">
        <f>HYPERLINK("https://ibp.a2mac1.com/costing(costing:projects/details/9760/part/8416195)","Light Diffuser")</f>
        <v>Light Diffuser</v>
      </c>
      <c r="B1716">
        <v>8416195</v>
      </c>
      <c r="C1716">
        <v>8415837</v>
      </c>
      <c r="D1716" t="s">
        <v>5323</v>
      </c>
      <c r="E1716">
        <v>3.0263814432989689E-2</v>
      </c>
      <c r="F1716">
        <v>0</v>
      </c>
      <c r="G1716">
        <v>0</v>
      </c>
      <c r="H1716">
        <v>6.2437113402061855E-5</v>
      </c>
      <c r="I1716" t="s">
        <v>176</v>
      </c>
      <c r="J1716">
        <v>1.0608247422680412E-3</v>
      </c>
      <c r="K1716">
        <v>3.138707628865979E-2</v>
      </c>
      <c r="L1716">
        <v>2.6336478809958347E-2</v>
      </c>
      <c r="M1716">
        <v>9.2177675834854214E-2</v>
      </c>
      <c r="N1716">
        <v>0.123564752123514</v>
      </c>
      <c r="O1716" t="s">
        <v>177</v>
      </c>
      <c r="P1716">
        <v>1.8832245773195877E-3</v>
      </c>
      <c r="Q1716" t="s">
        <v>177</v>
      </c>
      <c r="R1716">
        <v>5.5306605500912527E-3</v>
      </c>
      <c r="S1716" t="s">
        <v>178</v>
      </c>
      <c r="T1716">
        <v>1.4827770254821682E-2</v>
      </c>
      <c r="U1716" t="s">
        <v>90</v>
      </c>
      <c r="V1716">
        <v>0</v>
      </c>
      <c r="W1716" t="s">
        <v>90</v>
      </c>
      <c r="X1716">
        <v>0</v>
      </c>
      <c r="Y1716">
        <v>0.14580640750574653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6</v>
      </c>
      <c r="AF1716">
        <v>735</v>
      </c>
      <c r="AG1716">
        <v>44</v>
      </c>
      <c r="AI1716">
        <v>1.4E-2</v>
      </c>
      <c r="AK1716" t="s">
        <v>365</v>
      </c>
      <c r="AL1716" t="s">
        <v>5324</v>
      </c>
      <c r="AM1716">
        <v>200000</v>
      </c>
      <c r="AN1716" t="s">
        <v>97</v>
      </c>
      <c r="AO1716">
        <v>1</v>
      </c>
      <c r="AP1716">
        <v>0</v>
      </c>
      <c r="AQ1716">
        <v>16666.666666666668</v>
      </c>
      <c r="AR1716" t="s">
        <v>5325</v>
      </c>
      <c r="AS1716" t="s">
        <v>75</v>
      </c>
      <c r="AX1716" t="s">
        <v>76</v>
      </c>
      <c r="AY1716" t="s">
        <v>176</v>
      </c>
      <c r="AZ1716">
        <v>0</v>
      </c>
      <c r="BA1716" t="s">
        <v>176</v>
      </c>
      <c r="BB1716">
        <v>0</v>
      </c>
    </row>
    <row r="1717" spans="1:56" x14ac:dyDescent="0.15">
      <c r="A1717" s="4" t="str">
        <f>HYPERLINK("https://ibp.a2mac1.com/costing(costing:projects/details/9760/part/8416196)","Mood Light Diffuser Support")</f>
        <v>Mood Light Diffuser Support</v>
      </c>
      <c r="B1717">
        <v>8416196</v>
      </c>
      <c r="C1717">
        <v>8415837</v>
      </c>
      <c r="D1717" t="s">
        <v>5331</v>
      </c>
      <c r="E1717">
        <v>3.5574506530927835E-2</v>
      </c>
      <c r="F1717">
        <v>0</v>
      </c>
      <c r="G1717">
        <v>0</v>
      </c>
      <c r="H1717">
        <v>7.3393573814432988E-5</v>
      </c>
      <c r="I1717" t="s">
        <v>176</v>
      </c>
      <c r="J1717">
        <v>1.2469781958762886E-3</v>
      </c>
      <c r="K1717">
        <v>3.6894878300618557E-2</v>
      </c>
      <c r="L1717">
        <v>1.1435973137028465E-2</v>
      </c>
      <c r="M1717">
        <v>6.8615838822170788E-2</v>
      </c>
      <c r="N1717">
        <v>0.10551071712278935</v>
      </c>
      <c r="O1717" t="s">
        <v>90</v>
      </c>
      <c r="P1717">
        <v>0</v>
      </c>
      <c r="Q1717" t="s">
        <v>90</v>
      </c>
      <c r="R1717">
        <v>0</v>
      </c>
      <c r="S1717" t="s">
        <v>90</v>
      </c>
      <c r="T1717">
        <v>0</v>
      </c>
      <c r="U1717" t="s">
        <v>90</v>
      </c>
      <c r="V1717">
        <v>0</v>
      </c>
      <c r="W1717" t="s">
        <v>90</v>
      </c>
      <c r="X1717">
        <v>0</v>
      </c>
      <c r="Y1717">
        <v>0.10551071712278935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18</v>
      </c>
      <c r="AF1717">
        <v>755</v>
      </c>
      <c r="AG1717">
        <v>40</v>
      </c>
      <c r="AI1717">
        <v>3.1E-2</v>
      </c>
      <c r="AK1717" t="s">
        <v>5035</v>
      </c>
      <c r="AL1717" t="s">
        <v>5332</v>
      </c>
      <c r="AM1717">
        <v>200000</v>
      </c>
      <c r="AN1717" t="s">
        <v>97</v>
      </c>
      <c r="AO1717">
        <v>1</v>
      </c>
      <c r="AP1717">
        <v>0</v>
      </c>
      <c r="AQ1717">
        <v>16666.666666666668</v>
      </c>
      <c r="AR1717" t="s">
        <v>5333</v>
      </c>
      <c r="AS1717" t="s">
        <v>75</v>
      </c>
      <c r="AX1717" t="s">
        <v>76</v>
      </c>
      <c r="AY1717" t="s">
        <v>176</v>
      </c>
      <c r="AZ1717">
        <v>0</v>
      </c>
      <c r="BA1717" t="s">
        <v>176</v>
      </c>
      <c r="BB1717">
        <v>0</v>
      </c>
    </row>
    <row r="1718" spans="1:56" x14ac:dyDescent="0.15">
      <c r="A1718" s="4" t="str">
        <f>HYPERLINK("https://ibp.a2mac1.com/costing(costing:projects/details/9760/part/8415834)","Harness")</f>
        <v>Harness</v>
      </c>
      <c r="B1718">
        <v>8415834</v>
      </c>
      <c r="C1718">
        <v>8415627</v>
      </c>
      <c r="E1718">
        <v>0</v>
      </c>
      <c r="F1718">
        <v>10.49</v>
      </c>
      <c r="G1718">
        <v>0</v>
      </c>
      <c r="H1718">
        <v>0</v>
      </c>
      <c r="I1718" t="s">
        <v>176</v>
      </c>
      <c r="J1718">
        <v>0</v>
      </c>
      <c r="K1718">
        <v>10.857150000000001</v>
      </c>
      <c r="L1718">
        <v>0.35650171081813409</v>
      </c>
      <c r="M1718">
        <v>1.2477559878634694</v>
      </c>
      <c r="N1718">
        <v>12.10490598786347</v>
      </c>
      <c r="O1718" t="s">
        <v>177</v>
      </c>
      <c r="P1718">
        <v>0.65142900000000004</v>
      </c>
      <c r="Q1718" t="s">
        <v>177</v>
      </c>
      <c r="R1718">
        <v>7.4865359271808166E-2</v>
      </c>
      <c r="S1718" t="s">
        <v>322</v>
      </c>
      <c r="T1718">
        <v>1.210490598786347</v>
      </c>
      <c r="U1718" t="s">
        <v>90</v>
      </c>
      <c r="V1718">
        <v>0</v>
      </c>
      <c r="W1718" t="s">
        <v>90</v>
      </c>
      <c r="X1718">
        <v>0</v>
      </c>
      <c r="Y1718">
        <v>14.041690945921625</v>
      </c>
      <c r="Z1718">
        <v>0</v>
      </c>
      <c r="AA1718">
        <v>0</v>
      </c>
      <c r="AB1718">
        <v>0</v>
      </c>
      <c r="AC1718">
        <v>0</v>
      </c>
      <c r="AD1718">
        <v>0</v>
      </c>
      <c r="AI1718">
        <v>0.81100000000000005</v>
      </c>
      <c r="AK1718" t="s">
        <v>323</v>
      </c>
      <c r="AL1718" t="s">
        <v>3168</v>
      </c>
      <c r="AM1718">
        <v>200000</v>
      </c>
      <c r="AN1718" t="s">
        <v>97</v>
      </c>
      <c r="AO1718">
        <v>1</v>
      </c>
      <c r="AP1718">
        <v>0</v>
      </c>
      <c r="AQ1718">
        <v>16666.666666666668</v>
      </c>
      <c r="AR1718" t="s">
        <v>5337</v>
      </c>
      <c r="AS1718" t="s">
        <v>75</v>
      </c>
      <c r="AX1718" t="s">
        <v>76</v>
      </c>
      <c r="AY1718" t="s">
        <v>176</v>
      </c>
      <c r="AZ1718">
        <v>0.36714999999999998</v>
      </c>
      <c r="BA1718" t="s">
        <v>176</v>
      </c>
      <c r="BB1718">
        <v>0</v>
      </c>
    </row>
    <row r="1719" spans="1:56" x14ac:dyDescent="0.15">
      <c r="A1719" s="4" t="str">
        <f>HYPERLINK("https://ibp.a2mac1.com/costing(costing:projects/details/9760/part/8415835)","Harness Grommet")</f>
        <v>Harness Grommet</v>
      </c>
      <c r="B1719">
        <v>8415835</v>
      </c>
      <c r="C1719">
        <v>8415627</v>
      </c>
      <c r="D1719" t="s">
        <v>5338</v>
      </c>
      <c r="E1719">
        <v>0</v>
      </c>
      <c r="F1719">
        <v>0</v>
      </c>
      <c r="G1719">
        <v>0</v>
      </c>
      <c r="H1719">
        <v>0</v>
      </c>
      <c r="I1719" t="s">
        <v>176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1326</v>
      </c>
      <c r="P1719">
        <v>0</v>
      </c>
      <c r="Q1719" t="s">
        <v>1326</v>
      </c>
      <c r="R1719">
        <v>0</v>
      </c>
      <c r="S1719" t="s">
        <v>177</v>
      </c>
      <c r="T1719">
        <v>0</v>
      </c>
      <c r="U1719" t="s">
        <v>90</v>
      </c>
      <c r="V1719">
        <v>0</v>
      </c>
      <c r="W1719" t="s">
        <v>90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51</v>
      </c>
      <c r="AF1719">
        <v>188</v>
      </c>
      <c r="AG1719">
        <v>50</v>
      </c>
      <c r="AI1719">
        <v>1E-3</v>
      </c>
      <c r="AK1719" t="s">
        <v>284</v>
      </c>
      <c r="AL1719" t="s">
        <v>289</v>
      </c>
      <c r="AM1719">
        <v>200000</v>
      </c>
      <c r="AN1719" t="s">
        <v>97</v>
      </c>
      <c r="AO1719">
        <v>1</v>
      </c>
      <c r="AP1719">
        <v>0</v>
      </c>
      <c r="AQ1719">
        <v>16666.666666666668</v>
      </c>
      <c r="AR1719" t="s">
        <v>5339</v>
      </c>
      <c r="AS1719" t="s">
        <v>75</v>
      </c>
      <c r="AX1719" t="s">
        <v>76</v>
      </c>
      <c r="AY1719" t="s">
        <v>176</v>
      </c>
      <c r="AZ1719">
        <v>0</v>
      </c>
      <c r="BA1719" t="s">
        <v>176</v>
      </c>
      <c r="BB1719">
        <v>0</v>
      </c>
    </row>
    <row r="1720" spans="1:56" x14ac:dyDescent="0.15">
      <c r="A1720" s="4" t="str">
        <f>HYPERLINK("https://ibp.a2mac1.com/costing(costing:projects/details/9760/part/8415836)","Door Sill Light")</f>
        <v>Door Sill Light</v>
      </c>
      <c r="B1720">
        <v>8415836</v>
      </c>
      <c r="C1720">
        <v>8415627</v>
      </c>
      <c r="E1720">
        <v>0.53</v>
      </c>
      <c r="F1720">
        <v>0</v>
      </c>
      <c r="G1720">
        <v>0</v>
      </c>
      <c r="H1720">
        <v>0</v>
      </c>
      <c r="I1720" t="s">
        <v>71</v>
      </c>
      <c r="J1720">
        <v>0</v>
      </c>
      <c r="K1720">
        <v>0.53</v>
      </c>
      <c r="L1720">
        <v>0</v>
      </c>
      <c r="M1720">
        <v>0</v>
      </c>
      <c r="N1720">
        <v>0.53</v>
      </c>
      <c r="O1720" t="s">
        <v>71</v>
      </c>
      <c r="P1720">
        <v>0</v>
      </c>
      <c r="Q1720" t="s">
        <v>71</v>
      </c>
      <c r="R1720">
        <v>0</v>
      </c>
      <c r="S1720" t="s">
        <v>71</v>
      </c>
      <c r="T1720">
        <v>0</v>
      </c>
      <c r="U1720" t="s">
        <v>71</v>
      </c>
      <c r="V1720">
        <v>0</v>
      </c>
      <c r="W1720" t="s">
        <v>71</v>
      </c>
      <c r="X1720">
        <v>0</v>
      </c>
      <c r="Y1720">
        <v>0.53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39</v>
      </c>
      <c r="AF1720">
        <v>56</v>
      </c>
      <c r="AG1720">
        <v>28</v>
      </c>
      <c r="AI1720">
        <v>2.1000000000000001E-2</v>
      </c>
      <c r="AK1720" t="s">
        <v>365</v>
      </c>
      <c r="AL1720" t="s">
        <v>466</v>
      </c>
      <c r="AM1720">
        <v>200000</v>
      </c>
      <c r="AN1720" t="s">
        <v>97</v>
      </c>
      <c r="AO1720">
        <v>1</v>
      </c>
      <c r="AP1720">
        <v>0</v>
      </c>
      <c r="AQ1720">
        <v>16666.666666666668</v>
      </c>
      <c r="AR1720" t="s">
        <v>5340</v>
      </c>
      <c r="AS1720" t="s">
        <v>75</v>
      </c>
      <c r="AX1720" t="s">
        <v>76</v>
      </c>
      <c r="AY1720" t="s">
        <v>71</v>
      </c>
      <c r="AZ1720">
        <v>0</v>
      </c>
      <c r="BA1720" t="s">
        <v>71</v>
      </c>
      <c r="BB1720">
        <v>0</v>
      </c>
      <c r="BD1720">
        <v>0.53</v>
      </c>
    </row>
    <row r="1721" spans="1:56" x14ac:dyDescent="0.15">
      <c r="A1721" s="4" t="str">
        <f>HYPERLINK("https://ibp.a2mac1.com/costing(costing:projects/details/9760/part/8416197)","On Body")</f>
        <v>On Body</v>
      </c>
      <c r="B1721">
        <v>8416197</v>
      </c>
      <c r="C1721">
        <v>8415840</v>
      </c>
      <c r="D1721" t="s">
        <v>5348</v>
      </c>
      <c r="E1721">
        <v>0.14652861</v>
      </c>
      <c r="F1721">
        <v>0</v>
      </c>
      <c r="G1721">
        <v>0</v>
      </c>
      <c r="H1721">
        <v>3.11763E-6</v>
      </c>
      <c r="I1721" t="s">
        <v>176</v>
      </c>
      <c r="J1721">
        <v>5.4558525000000004E-3</v>
      </c>
      <c r="K1721">
        <v>0.15198758012999999</v>
      </c>
      <c r="L1721">
        <v>0.18397179041108594</v>
      </c>
      <c r="M1721">
        <v>1.1038307424665155</v>
      </c>
      <c r="N1721">
        <v>1.2558183225965156</v>
      </c>
      <c r="O1721" t="s">
        <v>90</v>
      </c>
      <c r="P1721">
        <v>0</v>
      </c>
      <c r="Q1721" t="s">
        <v>90</v>
      </c>
      <c r="R1721">
        <v>0</v>
      </c>
      <c r="S1721" t="s">
        <v>90</v>
      </c>
      <c r="T1721">
        <v>0</v>
      </c>
      <c r="U1721" t="s">
        <v>90</v>
      </c>
      <c r="V1721">
        <v>0</v>
      </c>
      <c r="W1721" t="s">
        <v>90</v>
      </c>
      <c r="X1721">
        <v>0</v>
      </c>
      <c r="Y1721">
        <v>1.2558183225965156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69</v>
      </c>
      <c r="AF1721">
        <v>55</v>
      </c>
      <c r="AG1721">
        <v>25</v>
      </c>
      <c r="AI1721">
        <v>0.20399999999999999</v>
      </c>
      <c r="AK1721" t="s">
        <v>5035</v>
      </c>
      <c r="AL1721" t="s">
        <v>96</v>
      </c>
      <c r="AM1721">
        <v>200000</v>
      </c>
      <c r="AN1721" t="s">
        <v>97</v>
      </c>
      <c r="AO1721">
        <v>1</v>
      </c>
      <c r="AP1721">
        <v>0</v>
      </c>
      <c r="AQ1721">
        <v>16666.666666666668</v>
      </c>
      <c r="AR1721" t="s">
        <v>5349</v>
      </c>
      <c r="AS1721" t="s">
        <v>75</v>
      </c>
      <c r="AX1721" t="s">
        <v>76</v>
      </c>
      <c r="AY1721" t="s">
        <v>176</v>
      </c>
      <c r="AZ1721">
        <v>0</v>
      </c>
      <c r="BA1721" t="s">
        <v>176</v>
      </c>
      <c r="BB1721">
        <v>0</v>
      </c>
    </row>
    <row r="1722" spans="1:56" x14ac:dyDescent="0.15">
      <c r="A1722" s="4" t="str">
        <f>HYPERLINK("https://ibp.a2mac1.com/costing(costing:projects/details/9760/part/8416198)","On Door")</f>
        <v>On Door</v>
      </c>
      <c r="B1722">
        <v>8416198</v>
      </c>
      <c r="C1722">
        <v>8415840</v>
      </c>
      <c r="D1722" t="s">
        <v>5348</v>
      </c>
      <c r="E1722">
        <v>7.0391195000000004E-2</v>
      </c>
      <c r="F1722">
        <v>0</v>
      </c>
      <c r="G1722">
        <v>0</v>
      </c>
      <c r="H1722">
        <v>1.4976850000000001E-6</v>
      </c>
      <c r="I1722" t="s">
        <v>176</v>
      </c>
      <c r="J1722">
        <v>2.6209487500000002E-3</v>
      </c>
      <c r="K1722">
        <v>7.3013641434999998E-2</v>
      </c>
      <c r="L1722">
        <v>0.22608553666765549</v>
      </c>
      <c r="M1722">
        <v>1.3565132200059329</v>
      </c>
      <c r="N1722">
        <v>1.4295268614409329</v>
      </c>
      <c r="O1722" t="s">
        <v>90</v>
      </c>
      <c r="P1722">
        <v>0</v>
      </c>
      <c r="Q1722" t="s">
        <v>90</v>
      </c>
      <c r="R1722">
        <v>0</v>
      </c>
      <c r="S1722" t="s">
        <v>90</v>
      </c>
      <c r="T1722">
        <v>0</v>
      </c>
      <c r="U1722" t="s">
        <v>90</v>
      </c>
      <c r="V1722">
        <v>0</v>
      </c>
      <c r="W1722" t="s">
        <v>90</v>
      </c>
      <c r="X1722">
        <v>0</v>
      </c>
      <c r="Y1722">
        <v>1.4295268614409329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41</v>
      </c>
      <c r="AF1722">
        <v>50</v>
      </c>
      <c r="AG1722">
        <v>51</v>
      </c>
      <c r="AI1722">
        <v>0.122</v>
      </c>
      <c r="AK1722" t="s">
        <v>5035</v>
      </c>
      <c r="AL1722" t="s">
        <v>96</v>
      </c>
      <c r="AM1722">
        <v>200000</v>
      </c>
      <c r="AN1722" t="s">
        <v>97</v>
      </c>
      <c r="AO1722">
        <v>1</v>
      </c>
      <c r="AP1722">
        <v>0</v>
      </c>
      <c r="AQ1722">
        <v>16666.666666666668</v>
      </c>
      <c r="AR1722" t="s">
        <v>5353</v>
      </c>
      <c r="AS1722" t="s">
        <v>75</v>
      </c>
      <c r="AX1722" t="s">
        <v>76</v>
      </c>
      <c r="AY1722" t="s">
        <v>176</v>
      </c>
      <c r="AZ1722">
        <v>0</v>
      </c>
      <c r="BA1722" t="s">
        <v>176</v>
      </c>
      <c r="BB1722">
        <v>0</v>
      </c>
    </row>
    <row r="1723" spans="1:56" x14ac:dyDescent="0.15">
      <c r="A1723" s="4" t="str">
        <f>HYPERLINK("https://ibp.a2mac1.com/costing(costing:projects/details/9760/part/8416199)","On Body")</f>
        <v>On Body</v>
      </c>
      <c r="B1723">
        <v>8416199</v>
      </c>
      <c r="C1723">
        <v>8415841</v>
      </c>
      <c r="D1723" t="s">
        <v>5348</v>
      </c>
      <c r="E1723">
        <v>0.14652861</v>
      </c>
      <c r="F1723">
        <v>0</v>
      </c>
      <c r="G1723">
        <v>0</v>
      </c>
      <c r="H1723">
        <v>3.11763E-6</v>
      </c>
      <c r="I1723" t="s">
        <v>176</v>
      </c>
      <c r="J1723">
        <v>5.4558525000000004E-3</v>
      </c>
      <c r="K1723">
        <v>0.15198758012999999</v>
      </c>
      <c r="L1723">
        <v>0.22608553666765549</v>
      </c>
      <c r="M1723">
        <v>1.3565132200059329</v>
      </c>
      <c r="N1723">
        <v>1.508500800135933</v>
      </c>
      <c r="O1723" t="s">
        <v>90</v>
      </c>
      <c r="P1723">
        <v>0</v>
      </c>
      <c r="Q1723" t="s">
        <v>90</v>
      </c>
      <c r="R1723">
        <v>0</v>
      </c>
      <c r="S1723" t="s">
        <v>90</v>
      </c>
      <c r="T1723">
        <v>0</v>
      </c>
      <c r="U1723" t="s">
        <v>90</v>
      </c>
      <c r="V1723">
        <v>0</v>
      </c>
      <c r="W1723" t="s">
        <v>90</v>
      </c>
      <c r="X1723">
        <v>0</v>
      </c>
      <c r="Y1723">
        <v>1.508500800135933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69</v>
      </c>
      <c r="AF1723">
        <v>55</v>
      </c>
      <c r="AG1723">
        <v>25</v>
      </c>
      <c r="AI1723">
        <v>0.20499999999999999</v>
      </c>
      <c r="AK1723" t="s">
        <v>5035</v>
      </c>
      <c r="AL1723" t="s">
        <v>96</v>
      </c>
      <c r="AM1723">
        <v>200000</v>
      </c>
      <c r="AN1723" t="s">
        <v>97</v>
      </c>
      <c r="AO1723">
        <v>1</v>
      </c>
      <c r="AP1723">
        <v>0</v>
      </c>
      <c r="AQ1723">
        <v>16666.666666666668</v>
      </c>
      <c r="AR1723" t="s">
        <v>5358</v>
      </c>
      <c r="AS1723" t="s">
        <v>75</v>
      </c>
      <c r="AX1723" t="s">
        <v>76</v>
      </c>
      <c r="AY1723" t="s">
        <v>176</v>
      </c>
      <c r="AZ1723">
        <v>0</v>
      </c>
      <c r="BA1723" t="s">
        <v>176</v>
      </c>
      <c r="BB1723">
        <v>0</v>
      </c>
    </row>
    <row r="1724" spans="1:56" x14ac:dyDescent="0.15">
      <c r="A1724" s="4" t="str">
        <f>HYPERLINK("https://ibp.a2mac1.com/costing(costing:projects/details/9760/part/8416200)","On Door")</f>
        <v>On Door</v>
      </c>
      <c r="B1724">
        <v>8416200</v>
      </c>
      <c r="C1724">
        <v>8415841</v>
      </c>
      <c r="D1724" t="s">
        <v>5348</v>
      </c>
      <c r="E1724">
        <v>7.0391195000000004E-2</v>
      </c>
      <c r="F1724">
        <v>0</v>
      </c>
      <c r="G1724">
        <v>0</v>
      </c>
      <c r="H1724">
        <v>1.4976850000000001E-6</v>
      </c>
      <c r="I1724" t="s">
        <v>176</v>
      </c>
      <c r="J1724">
        <v>2.6209487500000002E-3</v>
      </c>
      <c r="K1724">
        <v>7.3013641434999998E-2</v>
      </c>
      <c r="L1724">
        <v>0.22608553666765549</v>
      </c>
      <c r="M1724">
        <v>1.3565132200059329</v>
      </c>
      <c r="N1724">
        <v>1.4295268614409329</v>
      </c>
      <c r="O1724" t="s">
        <v>90</v>
      </c>
      <c r="P1724">
        <v>0</v>
      </c>
      <c r="Q1724" t="s">
        <v>90</v>
      </c>
      <c r="R1724">
        <v>0</v>
      </c>
      <c r="S1724" t="s">
        <v>90</v>
      </c>
      <c r="T1724">
        <v>0</v>
      </c>
      <c r="U1724" t="s">
        <v>90</v>
      </c>
      <c r="V1724">
        <v>0</v>
      </c>
      <c r="W1724" t="s">
        <v>90</v>
      </c>
      <c r="X1724">
        <v>0</v>
      </c>
      <c r="Y1724">
        <v>1.4295268614409329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41</v>
      </c>
      <c r="AF1724">
        <v>51</v>
      </c>
      <c r="AG1724">
        <v>50</v>
      </c>
      <c r="AI1724">
        <v>0.122</v>
      </c>
      <c r="AK1724" t="s">
        <v>5035</v>
      </c>
      <c r="AL1724" t="s">
        <v>96</v>
      </c>
      <c r="AM1724">
        <v>200000</v>
      </c>
      <c r="AN1724" t="s">
        <v>97</v>
      </c>
      <c r="AO1724">
        <v>1</v>
      </c>
      <c r="AP1724">
        <v>0</v>
      </c>
      <c r="AQ1724">
        <v>16666.666666666668</v>
      </c>
      <c r="AR1724" t="s">
        <v>5361</v>
      </c>
      <c r="AS1724" t="s">
        <v>75</v>
      </c>
      <c r="AX1724" t="s">
        <v>76</v>
      </c>
      <c r="AY1724" t="s">
        <v>176</v>
      </c>
      <c r="AZ1724">
        <v>0</v>
      </c>
      <c r="BA1724" t="s">
        <v>176</v>
      </c>
      <c r="BB1724">
        <v>0</v>
      </c>
    </row>
    <row r="1725" spans="1:56" x14ac:dyDescent="0.15">
      <c r="A1725" s="4" t="str">
        <f>HYPERLINK("https://ibp.a2mac1.com/costing(costing:projects/details/9760/part/8415838)","Door Stopper")</f>
        <v>Door Stopper</v>
      </c>
      <c r="B1725">
        <v>8415838</v>
      </c>
      <c r="C1725">
        <v>8415628</v>
      </c>
      <c r="D1725" t="s">
        <v>5363</v>
      </c>
      <c r="E1725">
        <v>2.1</v>
      </c>
      <c r="F1725">
        <v>0</v>
      </c>
      <c r="G1725">
        <v>0</v>
      </c>
      <c r="H1725">
        <v>0</v>
      </c>
      <c r="I1725" t="s">
        <v>71</v>
      </c>
      <c r="J1725">
        <v>0</v>
      </c>
      <c r="K1725">
        <v>2.1</v>
      </c>
      <c r="L1725">
        <v>0</v>
      </c>
      <c r="M1725">
        <v>0</v>
      </c>
      <c r="N1725">
        <v>2.1</v>
      </c>
      <c r="O1725" t="s">
        <v>71</v>
      </c>
      <c r="P1725">
        <v>0</v>
      </c>
      <c r="Q1725" t="s">
        <v>71</v>
      </c>
      <c r="R1725">
        <v>0</v>
      </c>
      <c r="S1725" t="s">
        <v>71</v>
      </c>
      <c r="T1725">
        <v>0</v>
      </c>
      <c r="U1725" t="s">
        <v>71</v>
      </c>
      <c r="V1725">
        <v>0</v>
      </c>
      <c r="W1725" t="s">
        <v>71</v>
      </c>
      <c r="X1725">
        <v>0</v>
      </c>
      <c r="Y1725">
        <v>2.1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37</v>
      </c>
      <c r="AF1725">
        <v>197</v>
      </c>
      <c r="AG1725">
        <v>88</v>
      </c>
      <c r="AI1725">
        <v>0.16800000000000001</v>
      </c>
      <c r="AK1725" t="s">
        <v>5305</v>
      </c>
      <c r="AL1725" t="s">
        <v>5364</v>
      </c>
      <c r="AM1725">
        <v>200000</v>
      </c>
      <c r="AN1725" t="s">
        <v>97</v>
      </c>
      <c r="AO1725">
        <v>1</v>
      </c>
      <c r="AP1725">
        <v>0</v>
      </c>
      <c r="AQ1725">
        <v>16666.666666666668</v>
      </c>
      <c r="AR1725" t="s">
        <v>5365</v>
      </c>
      <c r="AS1725" t="s">
        <v>75</v>
      </c>
      <c r="AX1725" t="s">
        <v>76</v>
      </c>
      <c r="AY1725" t="s">
        <v>71</v>
      </c>
      <c r="AZ1725">
        <v>0</v>
      </c>
      <c r="BA1725" t="s">
        <v>71</v>
      </c>
      <c r="BB1725">
        <v>0</v>
      </c>
      <c r="BD1725">
        <v>2.1</v>
      </c>
    </row>
    <row r="1726" spans="1:56" x14ac:dyDescent="0.15">
      <c r="A1726" s="4" t="str">
        <f>HYPERLINK("https://ibp.a2mac1.com/costing(costing:projects/details/9760/part/8415839)","Door Stopper Protection")</f>
        <v>Door Stopper Protection</v>
      </c>
      <c r="B1726">
        <v>8415839</v>
      </c>
      <c r="C1726">
        <v>8415628</v>
      </c>
      <c r="D1726" t="s">
        <v>5369</v>
      </c>
      <c r="E1726">
        <v>4.5214049999999999E-2</v>
      </c>
      <c r="F1726">
        <v>0</v>
      </c>
      <c r="G1726">
        <v>0</v>
      </c>
      <c r="H1726">
        <v>2.2935648421052631E-4</v>
      </c>
      <c r="I1726" t="s">
        <v>176</v>
      </c>
      <c r="J1726">
        <v>1.586457894736842E-3</v>
      </c>
      <c r="K1726">
        <v>4.7029864378947371E-2</v>
      </c>
      <c r="L1726">
        <v>1.5783251295997008E-3</v>
      </c>
      <c r="M1726">
        <v>9.4699507775982041E-3</v>
      </c>
      <c r="N1726">
        <v>5.649981515654557E-2</v>
      </c>
      <c r="O1726" t="s">
        <v>177</v>
      </c>
      <c r="P1726">
        <v>2.8217918627368422E-3</v>
      </c>
      <c r="Q1726" t="s">
        <v>177</v>
      </c>
      <c r="R1726">
        <v>5.6819704665589225E-4</v>
      </c>
      <c r="S1726" t="s">
        <v>178</v>
      </c>
      <c r="T1726">
        <v>6.7799778187854686E-3</v>
      </c>
      <c r="U1726" t="s">
        <v>90</v>
      </c>
      <c r="V1726">
        <v>0</v>
      </c>
      <c r="W1726" t="s">
        <v>90</v>
      </c>
      <c r="X1726">
        <v>0</v>
      </c>
      <c r="Y1726">
        <v>6.6669781884723778E-2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57</v>
      </c>
      <c r="AF1726">
        <v>160</v>
      </c>
      <c r="AG1726">
        <v>87</v>
      </c>
      <c r="AI1726">
        <v>3.4000000000000002E-2</v>
      </c>
      <c r="AK1726" t="s">
        <v>5370</v>
      </c>
      <c r="AL1726" t="s">
        <v>2282</v>
      </c>
      <c r="AM1726">
        <v>200000</v>
      </c>
      <c r="AN1726" t="s">
        <v>97</v>
      </c>
      <c r="AO1726">
        <v>1</v>
      </c>
      <c r="AP1726">
        <v>0</v>
      </c>
      <c r="AQ1726">
        <v>16666.666666666668</v>
      </c>
      <c r="AR1726" t="s">
        <v>5371</v>
      </c>
      <c r="AS1726" t="s">
        <v>75</v>
      </c>
      <c r="AX1726" t="s">
        <v>76</v>
      </c>
      <c r="AY1726" t="s">
        <v>176</v>
      </c>
      <c r="AZ1726">
        <v>0</v>
      </c>
      <c r="BA1726" t="s">
        <v>176</v>
      </c>
      <c r="BB1726">
        <v>0</v>
      </c>
    </row>
    <row r="1727" spans="1:56" x14ac:dyDescent="0.15">
      <c r="A1727" s="4" t="str">
        <f>HYPERLINK("https://ibp.a2mac1.com/costing(costing:projects/details/9760/part/8416201)","On Body")</f>
        <v>On Body</v>
      </c>
      <c r="B1727">
        <v>8416201</v>
      </c>
      <c r="C1727">
        <v>8415845</v>
      </c>
      <c r="D1727" t="s">
        <v>5383</v>
      </c>
      <c r="E1727">
        <v>3.8164060197368421</v>
      </c>
      <c r="F1727">
        <v>0</v>
      </c>
      <c r="G1727">
        <v>0</v>
      </c>
      <c r="H1727">
        <v>7.8856528947368418E-3</v>
      </c>
      <c r="I1727" t="s">
        <v>176</v>
      </c>
      <c r="J1727">
        <v>0.13397953947368421</v>
      </c>
      <c r="K1727">
        <v>3.958271212105263</v>
      </c>
      <c r="L1727">
        <v>0.12610470940868315</v>
      </c>
      <c r="M1727">
        <v>0.75662825645209886</v>
      </c>
      <c r="N1727">
        <v>4.7148994685573618</v>
      </c>
      <c r="O1727" t="s">
        <v>177</v>
      </c>
      <c r="P1727">
        <v>0.23749627272631579</v>
      </c>
      <c r="Q1727" t="s">
        <v>177</v>
      </c>
      <c r="R1727">
        <v>4.539769538712593E-2</v>
      </c>
      <c r="S1727" t="s">
        <v>178</v>
      </c>
      <c r="T1727">
        <v>0.56578793622688339</v>
      </c>
      <c r="U1727" t="s">
        <v>90</v>
      </c>
      <c r="V1727">
        <v>0</v>
      </c>
      <c r="W1727" t="s">
        <v>90</v>
      </c>
      <c r="X1727">
        <v>0</v>
      </c>
      <c r="Y1727">
        <v>5.5635813728976871</v>
      </c>
      <c r="Z1727">
        <v>0</v>
      </c>
      <c r="AA1727">
        <v>0</v>
      </c>
      <c r="AB1727">
        <v>0</v>
      </c>
      <c r="AC1727">
        <v>0</v>
      </c>
      <c r="AD1727">
        <v>0</v>
      </c>
      <c r="AI1727">
        <v>1.5029999999999999</v>
      </c>
      <c r="AK1727" t="s">
        <v>5305</v>
      </c>
      <c r="AL1727" t="s">
        <v>5384</v>
      </c>
      <c r="AM1727">
        <v>200000</v>
      </c>
      <c r="AN1727" t="s">
        <v>97</v>
      </c>
      <c r="AO1727">
        <v>1</v>
      </c>
      <c r="AP1727">
        <v>0</v>
      </c>
      <c r="AQ1727">
        <v>16666.666666666668</v>
      </c>
      <c r="AR1727" t="s">
        <v>5385</v>
      </c>
      <c r="AS1727" t="s">
        <v>75</v>
      </c>
      <c r="AX1727" t="s">
        <v>76</v>
      </c>
      <c r="AY1727" t="s">
        <v>176</v>
      </c>
      <c r="AZ1727">
        <v>0</v>
      </c>
      <c r="BA1727" t="s">
        <v>176</v>
      </c>
      <c r="BB1727">
        <v>0</v>
      </c>
    </row>
    <row r="1728" spans="1:56" x14ac:dyDescent="0.15">
      <c r="A1728" s="4" t="str">
        <f>HYPERLINK("https://ibp.a2mac1.com/costing(costing:projects/details/9760/part/8416202)","On Door")</f>
        <v>On Door</v>
      </c>
      <c r="B1728">
        <v>8416202</v>
      </c>
      <c r="C1728">
        <v>8415845</v>
      </c>
      <c r="D1728" t="s">
        <v>5390</v>
      </c>
      <c r="E1728">
        <v>0.6876947175</v>
      </c>
      <c r="F1728">
        <v>0</v>
      </c>
      <c r="G1728">
        <v>0</v>
      </c>
      <c r="H1728">
        <v>7.1699499368421053E-4</v>
      </c>
      <c r="I1728" t="s">
        <v>176</v>
      </c>
      <c r="J1728">
        <v>2.4129639210526316E-2</v>
      </c>
      <c r="K1728">
        <v>0.71254135170421051</v>
      </c>
      <c r="L1728">
        <v>0.11031192108116587</v>
      </c>
      <c r="M1728">
        <v>0.66187152648699521</v>
      </c>
      <c r="N1728">
        <v>1.3744128781912057</v>
      </c>
      <c r="O1728" t="s">
        <v>177</v>
      </c>
      <c r="P1728">
        <v>4.2752481102252632E-2</v>
      </c>
      <c r="Q1728" t="s">
        <v>177</v>
      </c>
      <c r="R1728">
        <v>3.9712291589219711E-2</v>
      </c>
      <c r="S1728" t="s">
        <v>178</v>
      </c>
      <c r="T1728">
        <v>0.16492954538294469</v>
      </c>
      <c r="U1728" t="s">
        <v>90</v>
      </c>
      <c r="V1728">
        <v>0</v>
      </c>
      <c r="W1728" t="s">
        <v>90</v>
      </c>
      <c r="X1728">
        <v>0</v>
      </c>
      <c r="Y1728">
        <v>1.6218071962656229</v>
      </c>
      <c r="Z1728">
        <v>0</v>
      </c>
      <c r="AA1728">
        <v>0</v>
      </c>
      <c r="AB1728">
        <v>0</v>
      </c>
      <c r="AC1728">
        <v>0</v>
      </c>
      <c r="AD1728">
        <v>0</v>
      </c>
      <c r="AI1728">
        <v>0.23499999999999999</v>
      </c>
      <c r="AK1728" t="s">
        <v>5305</v>
      </c>
      <c r="AL1728" t="s">
        <v>289</v>
      </c>
      <c r="AM1728">
        <v>200000</v>
      </c>
      <c r="AN1728" t="s">
        <v>97</v>
      </c>
      <c r="AO1728">
        <v>1</v>
      </c>
      <c r="AP1728">
        <v>0</v>
      </c>
      <c r="AQ1728">
        <v>16666.666666666668</v>
      </c>
      <c r="AR1728" t="s">
        <v>5391</v>
      </c>
      <c r="AS1728" t="s">
        <v>75</v>
      </c>
      <c r="AX1728" t="s">
        <v>76</v>
      </c>
      <c r="AY1728" t="s">
        <v>176</v>
      </c>
      <c r="AZ1728">
        <v>0</v>
      </c>
      <c r="BA1728" t="s">
        <v>176</v>
      </c>
      <c r="BB1728">
        <v>0</v>
      </c>
    </row>
    <row r="1729" spans="1:56" x14ac:dyDescent="0.15">
      <c r="A1729" s="4" t="str">
        <f>HYPERLINK("https://ibp.a2mac1.com/costing(costing:projects/details/9760/part/8415842)","Interior Weatherstrip")</f>
        <v>Interior Weatherstrip</v>
      </c>
      <c r="B1729">
        <v>8415842</v>
      </c>
      <c r="C1729">
        <v>8415629</v>
      </c>
      <c r="D1729" t="s">
        <v>5399</v>
      </c>
      <c r="E1729">
        <v>1.5748593197368421</v>
      </c>
      <c r="F1729">
        <v>0</v>
      </c>
      <c r="G1729">
        <v>0</v>
      </c>
      <c r="H1729">
        <v>1.6492440421052631E-3</v>
      </c>
      <c r="I1729" t="s">
        <v>176</v>
      </c>
      <c r="J1729">
        <v>5.5503405263157897E-2</v>
      </c>
      <c r="K1729">
        <v>1.6320119690421053</v>
      </c>
      <c r="L1729">
        <v>4.918855572128588E-2</v>
      </c>
      <c r="M1729">
        <v>0.29513133432771527</v>
      </c>
      <c r="N1729">
        <v>1.9271433033698204</v>
      </c>
      <c r="O1729" t="s">
        <v>177</v>
      </c>
      <c r="P1729">
        <v>9.7920718142526314E-2</v>
      </c>
      <c r="Q1729" t="s">
        <v>177</v>
      </c>
      <c r="R1729">
        <v>1.7707880059662916E-2</v>
      </c>
      <c r="S1729" t="s">
        <v>178</v>
      </c>
      <c r="T1729">
        <v>0.23125719640437847</v>
      </c>
      <c r="U1729" t="s">
        <v>90</v>
      </c>
      <c r="V1729">
        <v>0</v>
      </c>
      <c r="W1729" t="s">
        <v>90</v>
      </c>
      <c r="X1729">
        <v>0</v>
      </c>
      <c r="Y1729">
        <v>2.2740290979763884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73</v>
      </c>
      <c r="AF1729">
        <v>1075</v>
      </c>
      <c r="AG1729">
        <v>550</v>
      </c>
      <c r="AI1729">
        <v>0.57399999999999995</v>
      </c>
      <c r="AK1729" t="s">
        <v>5305</v>
      </c>
      <c r="AL1729" t="s">
        <v>5400</v>
      </c>
      <c r="AM1729">
        <v>200000</v>
      </c>
      <c r="AN1729" t="s">
        <v>97</v>
      </c>
      <c r="AO1729">
        <v>1</v>
      </c>
      <c r="AP1729">
        <v>0</v>
      </c>
      <c r="AQ1729">
        <v>16666.666666666668</v>
      </c>
      <c r="AR1729" t="s">
        <v>5401</v>
      </c>
      <c r="AS1729" t="s">
        <v>75</v>
      </c>
      <c r="AX1729" t="s">
        <v>76</v>
      </c>
      <c r="AY1729" t="s">
        <v>176</v>
      </c>
      <c r="AZ1729">
        <v>0</v>
      </c>
      <c r="BA1729" t="s">
        <v>176</v>
      </c>
      <c r="BB1729">
        <v>0</v>
      </c>
    </row>
    <row r="1730" spans="1:56" x14ac:dyDescent="0.15">
      <c r="A1730" s="4" t="str">
        <f>HYPERLINK("https://ibp.a2mac1.com/costing(costing:projects/details/9760/part/8415843)","Exterior Weatherstrip")</f>
        <v>Exterior Weatherstrip</v>
      </c>
      <c r="B1730">
        <v>8415843</v>
      </c>
      <c r="C1730">
        <v>8415629</v>
      </c>
      <c r="D1730" t="s">
        <v>5408</v>
      </c>
      <c r="E1730">
        <v>0.75683892960526311</v>
      </c>
      <c r="F1730">
        <v>0</v>
      </c>
      <c r="G1730">
        <v>0</v>
      </c>
      <c r="H1730">
        <v>7.9232317894736837E-4</v>
      </c>
      <c r="I1730" t="s">
        <v>176</v>
      </c>
      <c r="J1730">
        <v>2.6664722368421052E-2</v>
      </c>
      <c r="K1730">
        <v>0.78429597515263161</v>
      </c>
      <c r="L1730">
        <v>3.696388264930988E-2</v>
      </c>
      <c r="M1730">
        <v>0.22178329589585927</v>
      </c>
      <c r="N1730">
        <v>1.0060792710484909</v>
      </c>
      <c r="O1730" t="s">
        <v>177</v>
      </c>
      <c r="P1730">
        <v>4.7057758509157895E-2</v>
      </c>
      <c r="Q1730" t="s">
        <v>177</v>
      </c>
      <c r="R1730">
        <v>1.3306997753751557E-2</v>
      </c>
      <c r="S1730" t="s">
        <v>178</v>
      </c>
      <c r="T1730">
        <v>0.1207295125258189</v>
      </c>
      <c r="U1730" t="s">
        <v>90</v>
      </c>
      <c r="V1730">
        <v>0</v>
      </c>
      <c r="W1730" t="s">
        <v>90</v>
      </c>
      <c r="X1730">
        <v>0</v>
      </c>
      <c r="Y1730">
        <v>1.1871735398372192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20</v>
      </c>
      <c r="AF1730">
        <v>1110</v>
      </c>
      <c r="AG1730">
        <v>29</v>
      </c>
      <c r="AI1730">
        <v>0.28299999999999997</v>
      </c>
      <c r="AK1730" t="s">
        <v>5305</v>
      </c>
      <c r="AL1730" t="s">
        <v>5400</v>
      </c>
      <c r="AM1730">
        <v>200000</v>
      </c>
      <c r="AN1730" t="s">
        <v>97</v>
      </c>
      <c r="AO1730">
        <v>1</v>
      </c>
      <c r="AP1730">
        <v>0</v>
      </c>
      <c r="AQ1730">
        <v>16666.666666666668</v>
      </c>
      <c r="AR1730" t="s">
        <v>5409</v>
      </c>
      <c r="AS1730" t="s">
        <v>75</v>
      </c>
      <c r="AX1730" t="s">
        <v>76</v>
      </c>
      <c r="AY1730" t="s">
        <v>176</v>
      </c>
      <c r="AZ1730">
        <v>0</v>
      </c>
      <c r="BA1730" t="s">
        <v>176</v>
      </c>
      <c r="BB1730">
        <v>0</v>
      </c>
    </row>
    <row r="1731" spans="1:56" x14ac:dyDescent="0.15">
      <c r="A1731" s="4" t="str">
        <f>HYPERLINK("https://ibp.a2mac1.com/costing(costing:projects/details/9760/part/8415844)","Exterior Weatherstrip Bezel")</f>
        <v>Exterior Weatherstrip Bezel</v>
      </c>
      <c r="B1731">
        <v>8415844</v>
      </c>
      <c r="C1731">
        <v>8415629</v>
      </c>
      <c r="D1731" t="s">
        <v>5414</v>
      </c>
      <c r="E1731">
        <v>0.20244549873449894</v>
      </c>
      <c r="F1731">
        <v>0</v>
      </c>
      <c r="G1731">
        <v>0</v>
      </c>
      <c r="H1731">
        <v>2.1054331868387889E-4</v>
      </c>
      <c r="I1731" t="s">
        <v>176</v>
      </c>
      <c r="J1731">
        <v>7.085592455707463E-3</v>
      </c>
      <c r="K1731">
        <v>0.20974163450889027</v>
      </c>
      <c r="L1731">
        <v>5.0904421087457248E-2</v>
      </c>
      <c r="M1731">
        <v>0.3054265265247435</v>
      </c>
      <c r="N1731">
        <v>0.51516816103363372</v>
      </c>
      <c r="O1731" t="s">
        <v>177</v>
      </c>
      <c r="P1731">
        <v>1.2584498070533417E-2</v>
      </c>
      <c r="Q1731" t="s">
        <v>177</v>
      </c>
      <c r="R1731">
        <v>1.832559159148461E-2</v>
      </c>
      <c r="S1731" t="s">
        <v>178</v>
      </c>
      <c r="T1731">
        <v>6.1820179324036051E-2</v>
      </c>
      <c r="U1731" t="s">
        <v>90</v>
      </c>
      <c r="V1731">
        <v>0</v>
      </c>
      <c r="W1731" t="s">
        <v>90</v>
      </c>
      <c r="X1731">
        <v>0</v>
      </c>
      <c r="Y1731">
        <v>0.6078984300196878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9</v>
      </c>
      <c r="AF1731">
        <v>1100</v>
      </c>
      <c r="AG1731">
        <v>20</v>
      </c>
      <c r="AI1731">
        <v>8.3000000000000004E-2</v>
      </c>
      <c r="AK1731" t="s">
        <v>5305</v>
      </c>
      <c r="AL1731" t="s">
        <v>104</v>
      </c>
      <c r="AM1731">
        <v>200000</v>
      </c>
      <c r="AN1731" t="s">
        <v>97</v>
      </c>
      <c r="AO1731">
        <v>1</v>
      </c>
      <c r="AP1731">
        <v>0</v>
      </c>
      <c r="AQ1731">
        <v>16666.666666666668</v>
      </c>
      <c r="AR1731" t="s">
        <v>5415</v>
      </c>
      <c r="AS1731" t="s">
        <v>75</v>
      </c>
      <c r="AX1731" t="s">
        <v>76</v>
      </c>
      <c r="AY1731" t="s">
        <v>176</v>
      </c>
      <c r="AZ1731">
        <v>0</v>
      </c>
      <c r="BA1731" t="s">
        <v>176</v>
      </c>
      <c r="BB1731">
        <v>0</v>
      </c>
    </row>
    <row r="1732" spans="1:56" x14ac:dyDescent="0.15">
      <c r="A1732" s="4" t="str">
        <f>HYPERLINK("https://ibp.a2mac1.com/costing(costing:projects/details/9760/part/8416203)","Glas Panel")</f>
        <v>Glas Panel</v>
      </c>
      <c r="B1732">
        <v>8416203</v>
      </c>
      <c r="C1732">
        <v>8415848</v>
      </c>
      <c r="E1732">
        <v>14.153359999999999</v>
      </c>
      <c r="F1732">
        <v>0</v>
      </c>
      <c r="G1732">
        <v>0</v>
      </c>
      <c r="H1732">
        <v>7.1616001600000007E-2</v>
      </c>
      <c r="I1732" t="s">
        <v>176</v>
      </c>
      <c r="J1732">
        <v>0.49536760000000002</v>
      </c>
      <c r="K1732">
        <v>14.7203436016</v>
      </c>
      <c r="L1732">
        <v>1.7189916933741001</v>
      </c>
      <c r="M1732">
        <v>10.3139501602446</v>
      </c>
      <c r="N1732">
        <v>25.034293761844602</v>
      </c>
      <c r="O1732" t="s">
        <v>177</v>
      </c>
      <c r="P1732">
        <v>0.883220616096</v>
      </c>
      <c r="Q1732" t="s">
        <v>177</v>
      </c>
      <c r="R1732">
        <v>0.61883700961467603</v>
      </c>
      <c r="S1732" t="s">
        <v>178</v>
      </c>
      <c r="T1732">
        <v>3.0041152514213518</v>
      </c>
      <c r="U1732" t="s">
        <v>90</v>
      </c>
      <c r="V1732">
        <v>0</v>
      </c>
      <c r="W1732" t="s">
        <v>90</v>
      </c>
      <c r="X1732">
        <v>0</v>
      </c>
      <c r="Y1732">
        <v>29.540466638976628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K1732" t="s">
        <v>1464</v>
      </c>
      <c r="AM1732">
        <v>200000</v>
      </c>
      <c r="AN1732" t="s">
        <v>97</v>
      </c>
      <c r="AO1732">
        <v>1</v>
      </c>
      <c r="AP1732">
        <v>0</v>
      </c>
      <c r="AQ1732">
        <v>16666.666666666668</v>
      </c>
      <c r="AR1732" t="s">
        <v>9</v>
      </c>
      <c r="AS1732" t="s">
        <v>75</v>
      </c>
      <c r="AX1732" t="s">
        <v>76</v>
      </c>
      <c r="AY1732" t="s">
        <v>176</v>
      </c>
      <c r="AZ1732">
        <v>0</v>
      </c>
      <c r="BA1732" t="s">
        <v>176</v>
      </c>
      <c r="BB1732">
        <v>0</v>
      </c>
    </row>
    <row r="1733" spans="1:56" x14ac:dyDescent="0.15">
      <c r="A1733" s="4" t="str">
        <f>HYPERLINK("https://ibp.a2mac1.com/costing(costing:projects/details/9760/part/8415846)","Window Regulator")</f>
        <v>Window Regulator</v>
      </c>
      <c r="B1733">
        <v>8415846</v>
      </c>
      <c r="C1733">
        <v>8415630</v>
      </c>
      <c r="D1733" t="s">
        <v>5199</v>
      </c>
      <c r="E1733">
        <v>7.25</v>
      </c>
      <c r="F1733">
        <v>0</v>
      </c>
      <c r="G1733">
        <v>0</v>
      </c>
      <c r="H1733">
        <v>0</v>
      </c>
      <c r="I1733" t="s">
        <v>71</v>
      </c>
      <c r="J1733">
        <v>0</v>
      </c>
      <c r="K1733">
        <v>7.25</v>
      </c>
      <c r="L1733">
        <v>0</v>
      </c>
      <c r="M1733">
        <v>0</v>
      </c>
      <c r="N1733">
        <v>7.25</v>
      </c>
      <c r="O1733" t="s">
        <v>71</v>
      </c>
      <c r="P1733">
        <v>0</v>
      </c>
      <c r="Q1733" t="s">
        <v>71</v>
      </c>
      <c r="R1733">
        <v>0</v>
      </c>
      <c r="S1733" t="s">
        <v>71</v>
      </c>
      <c r="T1733">
        <v>0</v>
      </c>
      <c r="U1733" t="s">
        <v>71</v>
      </c>
      <c r="V1733">
        <v>0</v>
      </c>
      <c r="W1733" t="s">
        <v>71</v>
      </c>
      <c r="X1733">
        <v>0</v>
      </c>
      <c r="Y1733">
        <v>7.25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62</v>
      </c>
      <c r="AF1733">
        <v>655</v>
      </c>
      <c r="AG1733">
        <v>545</v>
      </c>
      <c r="AI1733">
        <v>1.014</v>
      </c>
      <c r="AK1733" t="s">
        <v>5281</v>
      </c>
      <c r="AL1733" t="s">
        <v>5426</v>
      </c>
      <c r="AM1733">
        <v>200000</v>
      </c>
      <c r="AN1733" t="s">
        <v>97</v>
      </c>
      <c r="AO1733">
        <v>1</v>
      </c>
      <c r="AP1733">
        <v>0</v>
      </c>
      <c r="AQ1733">
        <v>16666.666666666668</v>
      </c>
      <c r="AR1733" t="s">
        <v>5427</v>
      </c>
      <c r="AS1733" t="s">
        <v>75</v>
      </c>
      <c r="AX1733" t="s">
        <v>76</v>
      </c>
      <c r="AY1733" t="s">
        <v>71</v>
      </c>
      <c r="AZ1733">
        <v>0</v>
      </c>
      <c r="BA1733" t="s">
        <v>71</v>
      </c>
      <c r="BB1733">
        <v>0</v>
      </c>
      <c r="BD1733">
        <v>7.25</v>
      </c>
    </row>
    <row r="1734" spans="1:56" x14ac:dyDescent="0.15">
      <c r="A1734" s="4" t="str">
        <f>HYPERLINK("https://ibp.a2mac1.com/costing(costing:projects/details/9760/part/8416204)","Opening Control")</f>
        <v>Opening Control</v>
      </c>
      <c r="B1734">
        <v>8416204</v>
      </c>
      <c r="C1734">
        <v>8415853</v>
      </c>
      <c r="D1734" t="s">
        <v>5433</v>
      </c>
      <c r="E1734">
        <v>3.1301087999999998E-2</v>
      </c>
      <c r="F1734">
        <v>0</v>
      </c>
      <c r="G1734">
        <v>0</v>
      </c>
      <c r="H1734">
        <v>1.5878045642105264E-4</v>
      </c>
      <c r="I1734" t="s">
        <v>176</v>
      </c>
      <c r="J1734">
        <v>1.0982837894736842E-3</v>
      </c>
      <c r="K1734">
        <v>3.2558152245894735E-2</v>
      </c>
      <c r="L1734">
        <v>3.0171767124431421E-4</v>
      </c>
      <c r="M1734">
        <v>1.8103060274658853E-3</v>
      </c>
      <c r="N1734">
        <v>3.4368458273360623E-2</v>
      </c>
      <c r="O1734" t="s">
        <v>177</v>
      </c>
      <c r="P1734">
        <v>1.953489134753684E-3</v>
      </c>
      <c r="Q1734" t="s">
        <v>177</v>
      </c>
      <c r="R1734">
        <v>1.0861836164795312E-4</v>
      </c>
      <c r="S1734" t="s">
        <v>178</v>
      </c>
      <c r="T1734">
        <v>4.1242149928032747E-3</v>
      </c>
      <c r="U1734" t="s">
        <v>90</v>
      </c>
      <c r="V1734">
        <v>0</v>
      </c>
      <c r="W1734" t="s">
        <v>90</v>
      </c>
      <c r="X1734">
        <v>0</v>
      </c>
      <c r="Y1734">
        <v>4.0554780762565537E-2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39</v>
      </c>
      <c r="AF1734">
        <v>29</v>
      </c>
      <c r="AG1734">
        <v>62</v>
      </c>
      <c r="AI1734">
        <v>1.2999999999999999E-2</v>
      </c>
      <c r="AK1734" t="s">
        <v>5305</v>
      </c>
      <c r="AL1734" t="s">
        <v>2495</v>
      </c>
      <c r="AM1734">
        <v>200000</v>
      </c>
      <c r="AN1734" t="s">
        <v>97</v>
      </c>
      <c r="AO1734">
        <v>1</v>
      </c>
      <c r="AP1734">
        <v>0</v>
      </c>
      <c r="AQ1734">
        <v>16666.666666666668</v>
      </c>
      <c r="AR1734" t="s">
        <v>5434</v>
      </c>
      <c r="AS1734" t="s">
        <v>75</v>
      </c>
      <c r="AX1734" t="s">
        <v>76</v>
      </c>
      <c r="AY1734" t="s">
        <v>176</v>
      </c>
      <c r="AZ1734">
        <v>0</v>
      </c>
      <c r="BA1734" t="s">
        <v>176</v>
      </c>
      <c r="BB1734">
        <v>0</v>
      </c>
    </row>
    <row r="1735" spans="1:56" x14ac:dyDescent="0.15">
      <c r="A1735" s="4" t="str">
        <f>HYPERLINK("https://ibp.a2mac1.com/costing(costing:projects/details/9760/part/8416205)","Opening Control Support")</f>
        <v>Opening Control Support</v>
      </c>
      <c r="B1735">
        <v>8416205</v>
      </c>
      <c r="C1735">
        <v>8415853</v>
      </c>
      <c r="D1735" t="s">
        <v>5217</v>
      </c>
      <c r="E1735">
        <v>0.14999578173195877</v>
      </c>
      <c r="F1735">
        <v>0</v>
      </c>
      <c r="G1735">
        <v>0</v>
      </c>
      <c r="H1735">
        <v>1.5622995793814433E-4</v>
      </c>
      <c r="I1735" t="s">
        <v>176</v>
      </c>
      <c r="J1735">
        <v>5.257738969072165E-3</v>
      </c>
      <c r="K1735">
        <v>0.15540975065896906</v>
      </c>
      <c r="L1735">
        <v>5.5561688591553356E-3</v>
      </c>
      <c r="M1735">
        <v>3.333701315493201E-2</v>
      </c>
      <c r="N1735">
        <v>0.1887467638139011</v>
      </c>
      <c r="O1735" t="s">
        <v>177</v>
      </c>
      <c r="P1735">
        <v>9.3245850395381451E-3</v>
      </c>
      <c r="Q1735" t="s">
        <v>177</v>
      </c>
      <c r="R1735">
        <v>2.0002207892959208E-3</v>
      </c>
      <c r="S1735" t="s">
        <v>178</v>
      </c>
      <c r="T1735">
        <v>2.2649611657668132E-2</v>
      </c>
      <c r="U1735" t="s">
        <v>90</v>
      </c>
      <c r="V1735">
        <v>0</v>
      </c>
      <c r="W1735" t="s">
        <v>90</v>
      </c>
      <c r="X1735">
        <v>0</v>
      </c>
      <c r="Y1735">
        <v>0.22272118130040328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72</v>
      </c>
      <c r="AF1735">
        <v>83</v>
      </c>
      <c r="AG1735">
        <v>125</v>
      </c>
      <c r="AI1735">
        <v>6.8000000000000005E-2</v>
      </c>
      <c r="AK1735" t="s">
        <v>5305</v>
      </c>
      <c r="AL1735" t="s">
        <v>446</v>
      </c>
      <c r="AM1735">
        <v>200000</v>
      </c>
      <c r="AN1735" t="s">
        <v>97</v>
      </c>
      <c r="AO1735">
        <v>1</v>
      </c>
      <c r="AP1735">
        <v>0</v>
      </c>
      <c r="AQ1735">
        <v>16666.666666666668</v>
      </c>
      <c r="AR1735" t="s">
        <v>5440</v>
      </c>
      <c r="AS1735" t="s">
        <v>75</v>
      </c>
      <c r="AX1735" t="s">
        <v>76</v>
      </c>
      <c r="AY1735" t="s">
        <v>176</v>
      </c>
      <c r="AZ1735">
        <v>0</v>
      </c>
      <c r="BA1735" t="s">
        <v>176</v>
      </c>
      <c r="BB1735">
        <v>0</v>
      </c>
    </row>
    <row r="1736" spans="1:56" x14ac:dyDescent="0.15">
      <c r="A1736" s="4" t="str">
        <f>HYPERLINK("https://ibp.a2mac1.com/costing(costing:projects/details/9760/part/8416206)","Switch Opening")</f>
        <v>Switch Opening</v>
      </c>
      <c r="B1736">
        <v>8416206</v>
      </c>
      <c r="C1736">
        <v>8415853</v>
      </c>
      <c r="E1736">
        <v>1.05</v>
      </c>
      <c r="F1736">
        <v>0</v>
      </c>
      <c r="G1736">
        <v>0</v>
      </c>
      <c r="H1736">
        <v>0</v>
      </c>
      <c r="I1736" t="s">
        <v>71</v>
      </c>
      <c r="J1736">
        <v>0</v>
      </c>
      <c r="K1736">
        <v>1.05</v>
      </c>
      <c r="L1736">
        <v>0</v>
      </c>
      <c r="M1736">
        <v>0</v>
      </c>
      <c r="N1736">
        <v>1.05</v>
      </c>
      <c r="O1736" t="s">
        <v>71</v>
      </c>
      <c r="P1736">
        <v>0</v>
      </c>
      <c r="Q1736" t="s">
        <v>71</v>
      </c>
      <c r="R1736">
        <v>0</v>
      </c>
      <c r="S1736" t="s">
        <v>71</v>
      </c>
      <c r="T1736">
        <v>0</v>
      </c>
      <c r="U1736" t="s">
        <v>71</v>
      </c>
      <c r="V1736">
        <v>0</v>
      </c>
      <c r="W1736" t="s">
        <v>71</v>
      </c>
      <c r="X1736">
        <v>0</v>
      </c>
      <c r="Y1736">
        <v>1.05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38</v>
      </c>
      <c r="AF1736">
        <v>47</v>
      </c>
      <c r="AG1736">
        <v>26</v>
      </c>
      <c r="AI1736">
        <v>2.1999999999999999E-2</v>
      </c>
      <c r="AK1736" t="s">
        <v>288</v>
      </c>
      <c r="AL1736" t="s">
        <v>1433</v>
      </c>
      <c r="AM1736">
        <v>200000</v>
      </c>
      <c r="AN1736" t="s">
        <v>97</v>
      </c>
      <c r="AO1736">
        <v>1</v>
      </c>
      <c r="AP1736">
        <v>0</v>
      </c>
      <c r="AQ1736">
        <v>16666.666666666668</v>
      </c>
      <c r="AR1736" t="s">
        <v>5441</v>
      </c>
      <c r="AS1736" t="s">
        <v>75</v>
      </c>
      <c r="AX1736" t="s">
        <v>76</v>
      </c>
      <c r="AY1736" t="s">
        <v>71</v>
      </c>
      <c r="AZ1736">
        <v>0</v>
      </c>
      <c r="BA1736" t="s">
        <v>71</v>
      </c>
      <c r="BB1736">
        <v>0</v>
      </c>
      <c r="BD1736">
        <v>1.05</v>
      </c>
    </row>
    <row r="1737" spans="1:56" x14ac:dyDescent="0.15">
      <c r="A1737" s="4" t="str">
        <f>HYPERLINK("https://ibp.a2mac1.com/costing(costing:projects/details/9760/part/8416207)","Spring")</f>
        <v>Spring</v>
      </c>
      <c r="B1737">
        <v>8416207</v>
      </c>
      <c r="C1737">
        <v>8415853</v>
      </c>
      <c r="E1737">
        <v>1.2225999999999999E-3</v>
      </c>
      <c r="F1737">
        <v>0</v>
      </c>
      <c r="G1737">
        <v>0</v>
      </c>
      <c r="H1737">
        <v>2.518556E-6</v>
      </c>
      <c r="I1737" t="s">
        <v>176</v>
      </c>
      <c r="J1737">
        <v>4.2790999999999997E-5</v>
      </c>
      <c r="K1737">
        <v>1.267909556E-3</v>
      </c>
      <c r="L1737">
        <v>4.1124777371057047E-2</v>
      </c>
      <c r="M1737">
        <v>0.24674866422634228</v>
      </c>
      <c r="N1737">
        <v>0.24801657378234229</v>
      </c>
      <c r="O1737" t="s">
        <v>177</v>
      </c>
      <c r="P1737">
        <v>7.6074573359999998E-5</v>
      </c>
      <c r="Q1737" t="s">
        <v>177</v>
      </c>
      <c r="R1737">
        <v>1.4804919853580538E-2</v>
      </c>
      <c r="S1737" t="s">
        <v>178</v>
      </c>
      <c r="T1737">
        <v>2.9761988853881073E-2</v>
      </c>
      <c r="U1737" t="s">
        <v>90</v>
      </c>
      <c r="V1737">
        <v>0</v>
      </c>
      <c r="W1737" t="s">
        <v>90</v>
      </c>
      <c r="X1737">
        <v>0</v>
      </c>
      <c r="Y1737">
        <v>0.29265955706316388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8</v>
      </c>
      <c r="AF1737">
        <v>29</v>
      </c>
      <c r="AG1737">
        <v>16</v>
      </c>
      <c r="AI1737">
        <v>2E-3</v>
      </c>
      <c r="AK1737" t="s">
        <v>5305</v>
      </c>
      <c r="AL1737" t="s">
        <v>96</v>
      </c>
      <c r="AM1737">
        <v>200000</v>
      </c>
      <c r="AN1737" t="s">
        <v>97</v>
      </c>
      <c r="AO1737">
        <v>1</v>
      </c>
      <c r="AP1737">
        <v>0</v>
      </c>
      <c r="AQ1737">
        <v>16666.666666666668</v>
      </c>
      <c r="AR1737" t="s">
        <v>5450</v>
      </c>
      <c r="AS1737" t="s">
        <v>75</v>
      </c>
      <c r="AX1737" t="s">
        <v>76</v>
      </c>
      <c r="AY1737" t="s">
        <v>176</v>
      </c>
      <c r="AZ1737">
        <v>0</v>
      </c>
      <c r="BA1737" t="s">
        <v>176</v>
      </c>
      <c r="BB1737">
        <v>0</v>
      </c>
    </row>
    <row r="1738" spans="1:56" x14ac:dyDescent="0.15">
      <c r="A1738" s="4" t="str">
        <f>HYPERLINK("https://ibp.a2mac1.com/costing(costing:projects/details/9760/part/8416208)","Stopper")</f>
        <v>Stopper</v>
      </c>
      <c r="B1738">
        <v>8416208</v>
      </c>
      <c r="C1738">
        <v>8415853</v>
      </c>
      <c r="E1738">
        <v>0.1</v>
      </c>
      <c r="F1738">
        <v>0</v>
      </c>
      <c r="G1738">
        <v>0</v>
      </c>
      <c r="H1738">
        <v>0</v>
      </c>
      <c r="I1738" t="s">
        <v>71</v>
      </c>
      <c r="J1738">
        <v>0</v>
      </c>
      <c r="K1738">
        <v>0.1</v>
      </c>
      <c r="L1738">
        <v>0</v>
      </c>
      <c r="M1738">
        <v>0</v>
      </c>
      <c r="N1738">
        <v>0.1</v>
      </c>
      <c r="O1738" t="s">
        <v>71</v>
      </c>
      <c r="P1738">
        <v>0</v>
      </c>
      <c r="Q1738" t="s">
        <v>71</v>
      </c>
      <c r="R1738">
        <v>0</v>
      </c>
      <c r="S1738" t="s">
        <v>71</v>
      </c>
      <c r="T1738">
        <v>0</v>
      </c>
      <c r="U1738" t="s">
        <v>71</v>
      </c>
      <c r="V1738">
        <v>0</v>
      </c>
      <c r="W1738" t="s">
        <v>71</v>
      </c>
      <c r="X1738">
        <v>0</v>
      </c>
      <c r="Y1738">
        <v>0.1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6</v>
      </c>
      <c r="AF1738">
        <v>7</v>
      </c>
      <c r="AG1738">
        <v>7</v>
      </c>
      <c r="AI1738">
        <v>1E-3</v>
      </c>
      <c r="AK1738" t="s">
        <v>5305</v>
      </c>
      <c r="AL1738" t="s">
        <v>4527</v>
      </c>
      <c r="AM1738">
        <v>200000</v>
      </c>
      <c r="AN1738" t="s">
        <v>97</v>
      </c>
      <c r="AO1738">
        <v>1</v>
      </c>
      <c r="AP1738">
        <v>0</v>
      </c>
      <c r="AQ1738">
        <v>16666.666666666668</v>
      </c>
      <c r="AR1738" t="s">
        <v>5451</v>
      </c>
      <c r="AS1738" t="s">
        <v>75</v>
      </c>
      <c r="AX1738" t="s">
        <v>76</v>
      </c>
      <c r="AY1738" t="s">
        <v>71</v>
      </c>
      <c r="AZ1738">
        <v>0</v>
      </c>
      <c r="BA1738" t="s">
        <v>71</v>
      </c>
      <c r="BB1738">
        <v>0</v>
      </c>
      <c r="BD1738">
        <v>0.1</v>
      </c>
    </row>
    <row r="1739" spans="1:56" x14ac:dyDescent="0.15">
      <c r="A1739" s="4" t="str">
        <f>HYPERLINK("https://ibp.a2mac1.com/costing(costing:projects/details/9760/part/8416209)","Opening Control")</f>
        <v>Opening Control</v>
      </c>
      <c r="B1739">
        <v>8416209</v>
      </c>
      <c r="C1739">
        <v>8415854</v>
      </c>
      <c r="E1739">
        <v>0.14999578173195877</v>
      </c>
      <c r="F1739">
        <v>0</v>
      </c>
      <c r="G1739">
        <v>0</v>
      </c>
      <c r="H1739">
        <v>1.5622995793814433E-4</v>
      </c>
      <c r="I1739" t="s">
        <v>176</v>
      </c>
      <c r="J1739">
        <v>5.257738969072165E-3</v>
      </c>
      <c r="K1739">
        <v>0.15540975065896906</v>
      </c>
      <c r="L1739">
        <v>4.4634349952700726E-3</v>
      </c>
      <c r="M1739">
        <v>2.6780609971620437E-2</v>
      </c>
      <c r="N1739">
        <v>0.18219036063058952</v>
      </c>
      <c r="O1739" t="s">
        <v>177</v>
      </c>
      <c r="P1739">
        <v>9.3245850395381451E-3</v>
      </c>
      <c r="Q1739" t="s">
        <v>177</v>
      </c>
      <c r="R1739">
        <v>1.6068365982972262E-3</v>
      </c>
      <c r="S1739" t="s">
        <v>178</v>
      </c>
      <c r="T1739">
        <v>2.186284327567074E-2</v>
      </c>
      <c r="U1739" t="s">
        <v>90</v>
      </c>
      <c r="V1739">
        <v>0</v>
      </c>
      <c r="W1739" t="s">
        <v>90</v>
      </c>
      <c r="X1739">
        <v>0</v>
      </c>
      <c r="Y1739">
        <v>0.21498462554409561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58</v>
      </c>
      <c r="AF1739">
        <v>206</v>
      </c>
      <c r="AG1739">
        <v>56</v>
      </c>
      <c r="AI1739">
        <v>6.6000000000000003E-2</v>
      </c>
      <c r="AK1739" t="s">
        <v>5305</v>
      </c>
      <c r="AL1739" t="s">
        <v>5457</v>
      </c>
      <c r="AM1739">
        <v>200000</v>
      </c>
      <c r="AN1739" t="s">
        <v>97</v>
      </c>
      <c r="AO1739">
        <v>1</v>
      </c>
      <c r="AP1739">
        <v>0</v>
      </c>
      <c r="AQ1739">
        <v>16666.666666666668</v>
      </c>
      <c r="AR1739" t="s">
        <v>5458</v>
      </c>
      <c r="AS1739" t="s">
        <v>75</v>
      </c>
      <c r="AX1739" t="s">
        <v>76</v>
      </c>
      <c r="AY1739" t="s">
        <v>176</v>
      </c>
      <c r="AZ1739">
        <v>0</v>
      </c>
      <c r="BA1739" t="s">
        <v>176</v>
      </c>
      <c r="BB1739">
        <v>0</v>
      </c>
    </row>
    <row r="1740" spans="1:56" x14ac:dyDescent="0.15">
      <c r="A1740" s="4" t="str">
        <f>HYPERLINK("https://ibp.a2mac1.com/costing(costing:projects/details/9760/part/8416210)","Opening Control Support")</f>
        <v>Opening Control Support</v>
      </c>
      <c r="B1740">
        <v>8416210</v>
      </c>
      <c r="C1740">
        <v>8415854</v>
      </c>
      <c r="E1740">
        <v>0.61762968948453612</v>
      </c>
      <c r="F1740">
        <v>0</v>
      </c>
      <c r="G1740">
        <v>0</v>
      </c>
      <c r="H1740">
        <v>6.4329982680412371E-4</v>
      </c>
      <c r="I1740" t="s">
        <v>176</v>
      </c>
      <c r="J1740">
        <v>2.1649513402061855E-2</v>
      </c>
      <c r="K1740">
        <v>0.63992250271340201</v>
      </c>
      <c r="L1740">
        <v>2.9674841040629066E-2</v>
      </c>
      <c r="M1740">
        <v>0.17804904624377441</v>
      </c>
      <c r="N1740">
        <v>0.8179715489571765</v>
      </c>
      <c r="O1740" t="s">
        <v>177</v>
      </c>
      <c r="P1740">
        <v>3.8395350162804126E-2</v>
      </c>
      <c r="Q1740" t="s">
        <v>177</v>
      </c>
      <c r="R1740">
        <v>1.0682942774626464E-2</v>
      </c>
      <c r="S1740" t="s">
        <v>178</v>
      </c>
      <c r="T1740">
        <v>9.8156585874861174E-2</v>
      </c>
      <c r="U1740" t="s">
        <v>90</v>
      </c>
      <c r="V1740">
        <v>0</v>
      </c>
      <c r="W1740" t="s">
        <v>90</v>
      </c>
      <c r="X1740">
        <v>0</v>
      </c>
      <c r="Y1740">
        <v>0.96520642776946819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63</v>
      </c>
      <c r="AF1740">
        <v>285</v>
      </c>
      <c r="AG1740">
        <v>168</v>
      </c>
      <c r="AI1740">
        <v>0.28000000000000003</v>
      </c>
      <c r="AK1740" t="s">
        <v>5305</v>
      </c>
      <c r="AL1740" t="s">
        <v>5457</v>
      </c>
      <c r="AM1740">
        <v>200000</v>
      </c>
      <c r="AN1740" t="s">
        <v>97</v>
      </c>
      <c r="AO1740">
        <v>1</v>
      </c>
      <c r="AP1740">
        <v>0</v>
      </c>
      <c r="AQ1740">
        <v>16666.666666666668</v>
      </c>
      <c r="AR1740" t="s">
        <v>5464</v>
      </c>
      <c r="AS1740" t="s">
        <v>75</v>
      </c>
      <c r="AX1740" t="s">
        <v>76</v>
      </c>
      <c r="AY1740" t="s">
        <v>176</v>
      </c>
      <c r="AZ1740">
        <v>0</v>
      </c>
      <c r="BA1740" t="s">
        <v>176</v>
      </c>
      <c r="BB1740">
        <v>0</v>
      </c>
    </row>
    <row r="1741" spans="1:56" x14ac:dyDescent="0.15">
      <c r="A1741" s="4" t="str">
        <f>HYPERLINK("https://ibp.a2mac1.com/costing(costing:projects/details/9760/part/8416211)","Bezel")</f>
        <v>Bezel</v>
      </c>
      <c r="B1741">
        <v>8416211</v>
      </c>
      <c r="C1741">
        <v>8415854</v>
      </c>
      <c r="E1741">
        <v>0.20781748451988771</v>
      </c>
      <c r="F1741">
        <v>0</v>
      </c>
      <c r="G1741">
        <v>0</v>
      </c>
      <c r="H1741">
        <v>2.1813174166292757E-3</v>
      </c>
      <c r="I1741" t="s">
        <v>176</v>
      </c>
      <c r="J1741">
        <v>7.2771563712115336E-3</v>
      </c>
      <c r="K1741">
        <v>0.21727595830772853</v>
      </c>
      <c r="L1741">
        <v>0.10803578061978145</v>
      </c>
      <c r="M1741">
        <v>0.64821468371868862</v>
      </c>
      <c r="N1741">
        <v>0.86549064202641712</v>
      </c>
      <c r="O1741" t="s">
        <v>177</v>
      </c>
      <c r="P1741">
        <v>1.3036557498463712E-2</v>
      </c>
      <c r="Q1741" t="s">
        <v>177</v>
      </c>
      <c r="R1741">
        <v>3.8892881023121322E-2</v>
      </c>
      <c r="S1741" t="s">
        <v>178</v>
      </c>
      <c r="T1741">
        <v>0.10385887704317007</v>
      </c>
      <c r="U1741" t="s">
        <v>90</v>
      </c>
      <c r="V1741">
        <v>0</v>
      </c>
      <c r="W1741" t="s">
        <v>90</v>
      </c>
      <c r="X1741">
        <v>0</v>
      </c>
      <c r="Y1741">
        <v>1.0212789575911723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42</v>
      </c>
      <c r="AF1741">
        <v>215</v>
      </c>
      <c r="AG1741">
        <v>27</v>
      </c>
      <c r="AI1741">
        <v>2.5000000000000001E-2</v>
      </c>
      <c r="AK1741" t="s">
        <v>5305</v>
      </c>
      <c r="AL1741" t="s">
        <v>5471</v>
      </c>
      <c r="AM1741">
        <v>200000</v>
      </c>
      <c r="AN1741" t="s">
        <v>97</v>
      </c>
      <c r="AO1741">
        <v>1</v>
      </c>
      <c r="AP1741">
        <v>0</v>
      </c>
      <c r="AQ1741">
        <v>16666.666666666668</v>
      </c>
      <c r="AR1741" t="s">
        <v>5472</v>
      </c>
      <c r="AS1741" t="s">
        <v>75</v>
      </c>
      <c r="AX1741" t="s">
        <v>76</v>
      </c>
      <c r="AY1741" t="s">
        <v>176</v>
      </c>
      <c r="AZ1741">
        <v>0</v>
      </c>
      <c r="BA1741" t="s">
        <v>176</v>
      </c>
      <c r="BB1741">
        <v>0</v>
      </c>
    </row>
    <row r="1742" spans="1:56" x14ac:dyDescent="0.15">
      <c r="A1742" s="4" t="str">
        <f>HYPERLINK("https://ibp.a2mac1.com/costing(costing:projects/details/9760/part/8416212)","2nd Bezel")</f>
        <v>2nd Bezel</v>
      </c>
      <c r="B1742">
        <v>8416212</v>
      </c>
      <c r="C1742">
        <v>8415854</v>
      </c>
      <c r="E1742">
        <v>0.26417702709720731</v>
      </c>
      <c r="F1742">
        <v>0</v>
      </c>
      <c r="G1742">
        <v>0</v>
      </c>
      <c r="H1742">
        <v>3.3200038922234156E-3</v>
      </c>
      <c r="I1742" t="s">
        <v>176</v>
      </c>
      <c r="J1742">
        <v>9.2570530451127828E-3</v>
      </c>
      <c r="K1742">
        <v>0.27675408403454349</v>
      </c>
      <c r="L1742">
        <v>0.10190887658593149</v>
      </c>
      <c r="M1742">
        <v>0.61145325951558904</v>
      </c>
      <c r="N1742">
        <v>0.88820734355013253</v>
      </c>
      <c r="O1742" t="s">
        <v>177</v>
      </c>
      <c r="P1742">
        <v>1.660524504207261E-2</v>
      </c>
      <c r="Q1742" t="s">
        <v>177</v>
      </c>
      <c r="R1742">
        <v>3.668719557093534E-2</v>
      </c>
      <c r="S1742" t="s">
        <v>178</v>
      </c>
      <c r="T1742">
        <v>0.10658488122601589</v>
      </c>
      <c r="U1742" t="s">
        <v>90</v>
      </c>
      <c r="V1742">
        <v>0</v>
      </c>
      <c r="W1742" t="s">
        <v>90</v>
      </c>
      <c r="X1742">
        <v>0</v>
      </c>
      <c r="Y1742">
        <v>1.0480846653891562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62</v>
      </c>
      <c r="AF1742">
        <v>225</v>
      </c>
      <c r="AG1742">
        <v>33</v>
      </c>
      <c r="AI1742">
        <v>4.4999999999999998E-2</v>
      </c>
      <c r="AK1742" t="s">
        <v>5305</v>
      </c>
      <c r="AL1742" t="s">
        <v>5471</v>
      </c>
      <c r="AM1742">
        <v>200000</v>
      </c>
      <c r="AN1742" t="s">
        <v>97</v>
      </c>
      <c r="AO1742">
        <v>1</v>
      </c>
      <c r="AP1742">
        <v>0</v>
      </c>
      <c r="AQ1742">
        <v>16666.666666666668</v>
      </c>
      <c r="AR1742" t="s">
        <v>5478</v>
      </c>
      <c r="AS1742" t="s">
        <v>75</v>
      </c>
      <c r="AX1742" t="s">
        <v>76</v>
      </c>
      <c r="AY1742" t="s">
        <v>176</v>
      </c>
      <c r="AZ1742">
        <v>0</v>
      </c>
      <c r="BA1742" t="s">
        <v>176</v>
      </c>
      <c r="BB1742">
        <v>0</v>
      </c>
    </row>
    <row r="1743" spans="1:56" x14ac:dyDescent="0.15">
      <c r="A1743" s="4" t="str">
        <f>HYPERLINK("https://ibp.a2mac1.com/costing(costing:projects/details/9760/part/8416213)","Welcome Light")</f>
        <v>Welcome Light</v>
      </c>
      <c r="B1743">
        <v>8416213</v>
      </c>
      <c r="C1743">
        <v>8415854</v>
      </c>
      <c r="D1743" t="s">
        <v>5199</v>
      </c>
      <c r="E1743">
        <v>1.25</v>
      </c>
      <c r="F1743">
        <v>0</v>
      </c>
      <c r="G1743">
        <v>0</v>
      </c>
      <c r="H1743">
        <v>0</v>
      </c>
      <c r="I1743" t="s">
        <v>71</v>
      </c>
      <c r="J1743">
        <v>0</v>
      </c>
      <c r="K1743">
        <v>1.25</v>
      </c>
      <c r="L1743">
        <v>0</v>
      </c>
      <c r="M1743">
        <v>0</v>
      </c>
      <c r="N1743">
        <v>1.25</v>
      </c>
      <c r="O1743" t="s">
        <v>71</v>
      </c>
      <c r="P1743">
        <v>0</v>
      </c>
      <c r="Q1743" t="s">
        <v>71</v>
      </c>
      <c r="R1743">
        <v>0</v>
      </c>
      <c r="S1743" t="s">
        <v>71</v>
      </c>
      <c r="T1743">
        <v>0</v>
      </c>
      <c r="U1743" t="s">
        <v>71</v>
      </c>
      <c r="V1743">
        <v>0</v>
      </c>
      <c r="W1743" t="s">
        <v>71</v>
      </c>
      <c r="X1743">
        <v>0</v>
      </c>
      <c r="Y1743">
        <v>1.25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13</v>
      </c>
      <c r="AF1743">
        <v>76</v>
      </c>
      <c r="AG1743">
        <v>18</v>
      </c>
      <c r="AI1743">
        <v>4.8000000000000001E-2</v>
      </c>
      <c r="AK1743" t="s">
        <v>288</v>
      </c>
      <c r="AL1743" t="s">
        <v>827</v>
      </c>
      <c r="AM1743">
        <v>200000</v>
      </c>
      <c r="AN1743" t="s">
        <v>97</v>
      </c>
      <c r="AO1743">
        <v>1</v>
      </c>
      <c r="AP1743">
        <v>0</v>
      </c>
      <c r="AQ1743">
        <v>16666.666666666668</v>
      </c>
      <c r="AR1743" t="s">
        <v>5479</v>
      </c>
      <c r="AS1743" t="s">
        <v>75</v>
      </c>
      <c r="AX1743" t="s">
        <v>76</v>
      </c>
      <c r="AY1743" t="s">
        <v>71</v>
      </c>
      <c r="AZ1743">
        <v>0</v>
      </c>
      <c r="BA1743" t="s">
        <v>71</v>
      </c>
      <c r="BB1743">
        <v>0</v>
      </c>
      <c r="BD1743">
        <v>1.25</v>
      </c>
    </row>
    <row r="1744" spans="1:56" x14ac:dyDescent="0.15">
      <c r="A1744" s="4" t="str">
        <f>HYPERLINK("https://ibp.a2mac1.com/costing(costing:projects/details/9760/part/8416214)","Unlocking Contactor")</f>
        <v>Unlocking Contactor</v>
      </c>
      <c r="B1744">
        <v>8416214</v>
      </c>
      <c r="C1744">
        <v>8415854</v>
      </c>
      <c r="E1744">
        <v>0.61</v>
      </c>
      <c r="F1744">
        <v>0</v>
      </c>
      <c r="G1744">
        <v>0</v>
      </c>
      <c r="H1744">
        <v>0</v>
      </c>
      <c r="I1744" t="s">
        <v>71</v>
      </c>
      <c r="J1744">
        <v>0</v>
      </c>
      <c r="K1744">
        <v>0.61</v>
      </c>
      <c r="L1744">
        <v>0</v>
      </c>
      <c r="M1744">
        <v>0</v>
      </c>
      <c r="N1744">
        <v>0.61</v>
      </c>
      <c r="O1744" t="s">
        <v>71</v>
      </c>
      <c r="P1744">
        <v>0</v>
      </c>
      <c r="Q1744" t="s">
        <v>71</v>
      </c>
      <c r="R1744">
        <v>0</v>
      </c>
      <c r="S1744" t="s">
        <v>71</v>
      </c>
      <c r="T1744">
        <v>0</v>
      </c>
      <c r="U1744" t="s">
        <v>71</v>
      </c>
      <c r="V1744">
        <v>0</v>
      </c>
      <c r="W1744" t="s">
        <v>71</v>
      </c>
      <c r="X1744">
        <v>0</v>
      </c>
      <c r="Y1744">
        <v>0.61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9</v>
      </c>
      <c r="AF1744">
        <v>125</v>
      </c>
      <c r="AG1744">
        <v>51</v>
      </c>
      <c r="AI1744">
        <v>1E-3</v>
      </c>
      <c r="AK1744" t="s">
        <v>5305</v>
      </c>
      <c r="AL1744" t="s">
        <v>4020</v>
      </c>
      <c r="AM1744">
        <v>200000</v>
      </c>
      <c r="AN1744" t="s">
        <v>97</v>
      </c>
      <c r="AO1744">
        <v>1</v>
      </c>
      <c r="AP1744">
        <v>0</v>
      </c>
      <c r="AQ1744">
        <v>16666.666666666668</v>
      </c>
      <c r="AR1744" t="s">
        <v>5480</v>
      </c>
      <c r="AS1744" t="s">
        <v>75</v>
      </c>
      <c r="AX1744" t="s">
        <v>76</v>
      </c>
      <c r="AY1744" t="s">
        <v>71</v>
      </c>
      <c r="AZ1744">
        <v>0</v>
      </c>
      <c r="BA1744" t="s">
        <v>71</v>
      </c>
      <c r="BB1744">
        <v>0</v>
      </c>
      <c r="BD1744">
        <v>0.61</v>
      </c>
    </row>
    <row r="1745" spans="1:56" x14ac:dyDescent="0.15">
      <c r="A1745" s="4" t="str">
        <f>HYPERLINK("https://ibp.a2mac1.com/costing(costing:projects/details/9760/part/8416215)","Mechanism")</f>
        <v>Mechanism</v>
      </c>
      <c r="B1745">
        <v>8416215</v>
      </c>
      <c r="C1745">
        <v>8415854</v>
      </c>
      <c r="E1745">
        <v>5.6251825402061854E-2</v>
      </c>
      <c r="F1745">
        <v>0</v>
      </c>
      <c r="G1745">
        <v>0</v>
      </c>
      <c r="H1745">
        <v>5.8589783092783507E-5</v>
      </c>
      <c r="I1745" t="s">
        <v>176</v>
      </c>
      <c r="J1745">
        <v>1.9717715463917528E-3</v>
      </c>
      <c r="K1745">
        <v>5.8282186731546393E-2</v>
      </c>
      <c r="L1745">
        <v>8.4544306208829603E-3</v>
      </c>
      <c r="M1745">
        <v>5.0726583725297758E-2</v>
      </c>
      <c r="N1745">
        <v>0.10900877045684415</v>
      </c>
      <c r="O1745" t="s">
        <v>177</v>
      </c>
      <c r="P1745">
        <v>3.4969312038927833E-3</v>
      </c>
      <c r="Q1745" t="s">
        <v>177</v>
      </c>
      <c r="R1745">
        <v>3.0435950235178652E-3</v>
      </c>
      <c r="S1745" t="s">
        <v>178</v>
      </c>
      <c r="T1745">
        <v>1.3081052454821298E-2</v>
      </c>
      <c r="U1745" t="s">
        <v>90</v>
      </c>
      <c r="V1745">
        <v>0</v>
      </c>
      <c r="W1745" t="s">
        <v>90</v>
      </c>
      <c r="X1745">
        <v>0</v>
      </c>
      <c r="Y1745">
        <v>0.12863034913907609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13</v>
      </c>
      <c r="AF1745">
        <v>111</v>
      </c>
      <c r="AG1745">
        <v>45</v>
      </c>
      <c r="AI1745">
        <v>2.1999999999999999E-2</v>
      </c>
      <c r="AK1745" t="s">
        <v>5305</v>
      </c>
      <c r="AL1745" t="s">
        <v>2086</v>
      </c>
      <c r="AM1745">
        <v>200000</v>
      </c>
      <c r="AN1745" t="s">
        <v>97</v>
      </c>
      <c r="AO1745">
        <v>1</v>
      </c>
      <c r="AP1745">
        <v>0</v>
      </c>
      <c r="AQ1745">
        <v>16666.666666666668</v>
      </c>
      <c r="AR1745" t="s">
        <v>5484</v>
      </c>
      <c r="AS1745" t="s">
        <v>75</v>
      </c>
      <c r="AX1745" t="s">
        <v>76</v>
      </c>
      <c r="AY1745" t="s">
        <v>176</v>
      </c>
      <c r="AZ1745">
        <v>0</v>
      </c>
      <c r="BA1745" t="s">
        <v>176</v>
      </c>
      <c r="BB1745">
        <v>0</v>
      </c>
    </row>
    <row r="1746" spans="1:56" x14ac:dyDescent="0.15">
      <c r="A1746" s="4" t="str">
        <f>HYPERLINK("https://ibp.a2mac1.com/costing(costing:projects/details/9760/part/8415849)","Door Latch")</f>
        <v>Door Latch</v>
      </c>
      <c r="B1746">
        <v>8415849</v>
      </c>
      <c r="C1746">
        <v>8415631</v>
      </c>
      <c r="D1746" t="s">
        <v>5199</v>
      </c>
      <c r="E1746">
        <v>9.5</v>
      </c>
      <c r="F1746">
        <v>0</v>
      </c>
      <c r="G1746">
        <v>0</v>
      </c>
      <c r="H1746">
        <v>0</v>
      </c>
      <c r="I1746" t="s">
        <v>71</v>
      </c>
      <c r="J1746">
        <v>0</v>
      </c>
      <c r="K1746">
        <v>9.5</v>
      </c>
      <c r="L1746">
        <v>0</v>
      </c>
      <c r="M1746">
        <v>0</v>
      </c>
      <c r="N1746">
        <v>9.5</v>
      </c>
      <c r="O1746" t="s">
        <v>71</v>
      </c>
      <c r="P1746">
        <v>0</v>
      </c>
      <c r="Q1746" t="s">
        <v>71</v>
      </c>
      <c r="R1746">
        <v>0</v>
      </c>
      <c r="S1746" t="s">
        <v>71</v>
      </c>
      <c r="T1746">
        <v>0</v>
      </c>
      <c r="U1746" t="s">
        <v>71</v>
      </c>
      <c r="V1746">
        <v>0</v>
      </c>
      <c r="W1746" t="s">
        <v>71</v>
      </c>
      <c r="X1746">
        <v>0</v>
      </c>
      <c r="Y1746">
        <v>9.5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110</v>
      </c>
      <c r="AF1746">
        <v>92</v>
      </c>
      <c r="AG1746">
        <v>179</v>
      </c>
      <c r="AI1746">
        <v>6.6000000000000003E-2</v>
      </c>
      <c r="AK1746" t="s">
        <v>5281</v>
      </c>
      <c r="AL1746" t="s">
        <v>5487</v>
      </c>
      <c r="AM1746">
        <v>200000</v>
      </c>
      <c r="AN1746" t="s">
        <v>97</v>
      </c>
      <c r="AO1746">
        <v>1</v>
      </c>
      <c r="AP1746">
        <v>0</v>
      </c>
      <c r="AQ1746">
        <v>16666.666666666668</v>
      </c>
      <c r="AR1746" t="s">
        <v>5488</v>
      </c>
      <c r="AS1746" t="s">
        <v>75</v>
      </c>
      <c r="AX1746" t="s">
        <v>76</v>
      </c>
      <c r="AY1746" t="s">
        <v>71</v>
      </c>
      <c r="AZ1746">
        <v>0</v>
      </c>
      <c r="BA1746" t="s">
        <v>71</v>
      </c>
      <c r="BB1746">
        <v>0</v>
      </c>
      <c r="BD1746">
        <v>9.5</v>
      </c>
    </row>
    <row r="1747" spans="1:56" x14ac:dyDescent="0.15">
      <c r="A1747" s="4" t="str">
        <f>HYPERLINK("https://ibp.a2mac1.com/costing(costing:projects/details/9760/part/8415850)","Door Striker")</f>
        <v>Door Striker</v>
      </c>
      <c r="B1747">
        <v>8415850</v>
      </c>
      <c r="C1747">
        <v>8415631</v>
      </c>
      <c r="D1747" t="s">
        <v>4963</v>
      </c>
      <c r="E1747">
        <v>7.4700859999999994E-2</v>
      </c>
      <c r="F1747">
        <v>0</v>
      </c>
      <c r="G1747">
        <v>0</v>
      </c>
      <c r="H1747">
        <v>5.8283088571428566E-4</v>
      </c>
      <c r="I1747" t="s">
        <v>176</v>
      </c>
      <c r="J1747">
        <v>2.8731099999999999E-3</v>
      </c>
      <c r="K1747">
        <v>7.8156800885714292E-2</v>
      </c>
      <c r="L1747">
        <v>1.0041604516457341E-2</v>
      </c>
      <c r="M1747">
        <v>6.0249627098744048E-2</v>
      </c>
      <c r="N1747">
        <v>0.13840642798445832</v>
      </c>
      <c r="O1747" t="s">
        <v>177</v>
      </c>
      <c r="P1747">
        <v>4.6894080531428572E-3</v>
      </c>
      <c r="Q1747" t="s">
        <v>177</v>
      </c>
      <c r="R1747">
        <v>3.6149776259246425E-3</v>
      </c>
      <c r="S1747" t="s">
        <v>178</v>
      </c>
      <c r="T1747">
        <v>1.6608771358134999E-2</v>
      </c>
      <c r="U1747" t="s">
        <v>90</v>
      </c>
      <c r="V1747">
        <v>0</v>
      </c>
      <c r="W1747" t="s">
        <v>90</v>
      </c>
      <c r="X1747">
        <v>0</v>
      </c>
      <c r="Y1747">
        <v>0.16331958502166083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33</v>
      </c>
      <c r="AF1747">
        <v>50</v>
      </c>
      <c r="AG1747">
        <v>68</v>
      </c>
      <c r="AI1747">
        <v>9.4E-2</v>
      </c>
      <c r="AK1747" t="s">
        <v>5305</v>
      </c>
      <c r="AL1747" t="s">
        <v>96</v>
      </c>
      <c r="AM1747">
        <v>200000</v>
      </c>
      <c r="AN1747" t="s">
        <v>97</v>
      </c>
      <c r="AO1747">
        <v>1</v>
      </c>
      <c r="AP1747">
        <v>0</v>
      </c>
      <c r="AQ1747">
        <v>16666.666666666668</v>
      </c>
      <c r="AR1747" t="s">
        <v>5497</v>
      </c>
      <c r="AS1747" t="s">
        <v>75</v>
      </c>
      <c r="AX1747" t="s">
        <v>76</v>
      </c>
      <c r="AY1747" t="s">
        <v>176</v>
      </c>
      <c r="AZ1747">
        <v>0</v>
      </c>
      <c r="BA1747" t="s">
        <v>176</v>
      </c>
      <c r="BB1747">
        <v>0</v>
      </c>
    </row>
    <row r="1748" spans="1:56" x14ac:dyDescent="0.15">
      <c r="A1748" s="4" t="str">
        <f>HYPERLINK("https://ibp.a2mac1.com/costing(costing:projects/details/9760/part/8415851)","Access Cover")</f>
        <v>Access Cover</v>
      </c>
      <c r="B1748">
        <v>8415851</v>
      </c>
      <c r="C1748">
        <v>8415631</v>
      </c>
      <c r="D1748" t="s">
        <v>5501</v>
      </c>
      <c r="E1748">
        <v>3.7578659999999999E-3</v>
      </c>
      <c r="F1748">
        <v>0</v>
      </c>
      <c r="G1748">
        <v>0</v>
      </c>
      <c r="H1748">
        <v>1.9062458105263157E-5</v>
      </c>
      <c r="I1748" t="s">
        <v>176</v>
      </c>
      <c r="J1748">
        <v>1.3185494736842106E-4</v>
      </c>
      <c r="K1748">
        <v>3.908783405473684E-3</v>
      </c>
      <c r="L1748">
        <v>9.2835151385610077E-5</v>
      </c>
      <c r="M1748">
        <v>5.5701090831366043E-4</v>
      </c>
      <c r="N1748">
        <v>4.4657943137873446E-3</v>
      </c>
      <c r="O1748" t="s">
        <v>177</v>
      </c>
      <c r="P1748">
        <v>2.3452700432842106E-4</v>
      </c>
      <c r="Q1748" t="s">
        <v>177</v>
      </c>
      <c r="R1748">
        <v>3.3420654498819631E-5</v>
      </c>
      <c r="S1748" t="s">
        <v>178</v>
      </c>
      <c r="T1748">
        <v>5.3589531765448138E-4</v>
      </c>
      <c r="U1748" t="s">
        <v>90</v>
      </c>
      <c r="V1748">
        <v>0</v>
      </c>
      <c r="W1748" t="s">
        <v>90</v>
      </c>
      <c r="X1748">
        <v>0</v>
      </c>
      <c r="Y1748">
        <v>5.2696372902690664E-3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8</v>
      </c>
      <c r="AF1748">
        <v>58</v>
      </c>
      <c r="AG1748">
        <v>30</v>
      </c>
      <c r="AI1748">
        <v>2E-3</v>
      </c>
      <c r="AK1748" t="s">
        <v>5305</v>
      </c>
      <c r="AL1748" t="s">
        <v>951</v>
      </c>
      <c r="AM1748">
        <v>200000</v>
      </c>
      <c r="AN1748" t="s">
        <v>97</v>
      </c>
      <c r="AO1748">
        <v>1</v>
      </c>
      <c r="AP1748">
        <v>0</v>
      </c>
      <c r="AQ1748">
        <v>16666.666666666668</v>
      </c>
      <c r="AR1748" t="s">
        <v>5502</v>
      </c>
      <c r="AS1748" t="s">
        <v>75</v>
      </c>
      <c r="AX1748" t="s">
        <v>76</v>
      </c>
      <c r="AY1748" t="s">
        <v>176</v>
      </c>
      <c r="AZ1748">
        <v>0</v>
      </c>
      <c r="BA1748" t="s">
        <v>176</v>
      </c>
      <c r="BB1748">
        <v>0</v>
      </c>
    </row>
    <row r="1749" spans="1:56" x14ac:dyDescent="0.15">
      <c r="A1749" s="4" t="str">
        <f>HYPERLINK("https://ibp.a2mac1.com/costing(costing:projects/details/9760/part/8415852)","Closing Assist Actuator")</f>
        <v>Closing Assist Actuator</v>
      </c>
      <c r="B1749">
        <v>8415852</v>
      </c>
      <c r="C1749">
        <v>8415631</v>
      </c>
      <c r="D1749" t="s">
        <v>5503</v>
      </c>
      <c r="E1749">
        <v>3.5</v>
      </c>
      <c r="F1749">
        <v>0</v>
      </c>
      <c r="G1749">
        <v>0</v>
      </c>
      <c r="H1749">
        <v>0</v>
      </c>
      <c r="I1749" t="s">
        <v>71</v>
      </c>
      <c r="J1749">
        <v>0</v>
      </c>
      <c r="K1749">
        <v>3.5</v>
      </c>
      <c r="L1749">
        <v>0</v>
      </c>
      <c r="M1749">
        <v>0</v>
      </c>
      <c r="N1749">
        <v>3.5</v>
      </c>
      <c r="O1749" t="s">
        <v>71</v>
      </c>
      <c r="P1749">
        <v>0</v>
      </c>
      <c r="Q1749" t="s">
        <v>71</v>
      </c>
      <c r="R1749">
        <v>0</v>
      </c>
      <c r="S1749" t="s">
        <v>71</v>
      </c>
      <c r="T1749">
        <v>0</v>
      </c>
      <c r="U1749" t="s">
        <v>71</v>
      </c>
      <c r="V1749">
        <v>0</v>
      </c>
      <c r="W1749" t="s">
        <v>71</v>
      </c>
      <c r="X1749">
        <v>0</v>
      </c>
      <c r="Y1749">
        <v>3.5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38</v>
      </c>
      <c r="AF1749">
        <v>144</v>
      </c>
      <c r="AG1749">
        <v>114</v>
      </c>
      <c r="AI1749">
        <v>0.81299999999999994</v>
      </c>
      <c r="AK1749" t="s">
        <v>5305</v>
      </c>
      <c r="AL1749" t="s">
        <v>856</v>
      </c>
      <c r="AM1749">
        <v>200000</v>
      </c>
      <c r="AN1749" t="s">
        <v>97</v>
      </c>
      <c r="AO1749">
        <v>1</v>
      </c>
      <c r="AP1749">
        <v>0</v>
      </c>
      <c r="AQ1749">
        <v>16666.666666666668</v>
      </c>
      <c r="AR1749" t="s">
        <v>5504</v>
      </c>
      <c r="AS1749" t="s">
        <v>75</v>
      </c>
      <c r="AX1749" t="s">
        <v>76</v>
      </c>
      <c r="AY1749" t="s">
        <v>71</v>
      </c>
      <c r="AZ1749">
        <v>0</v>
      </c>
      <c r="BA1749" t="s">
        <v>71</v>
      </c>
      <c r="BB1749">
        <v>0</v>
      </c>
      <c r="BD1749">
        <v>3.5</v>
      </c>
    </row>
    <row r="1750" spans="1:56" x14ac:dyDescent="0.15">
      <c r="A1750" s="4" t="str">
        <f>HYPERLINK("https://ibp.a2mac1.com/costing(costing:projects/details/9760/part/8415619)","Door Moisture Shield")</f>
        <v>Door Moisture Shield</v>
      </c>
      <c r="B1750">
        <v>8415619</v>
      </c>
      <c r="C1750">
        <v>8415582</v>
      </c>
      <c r="D1750" t="s">
        <v>5514</v>
      </c>
      <c r="E1750">
        <v>0.13214344375000001</v>
      </c>
      <c r="F1750">
        <v>0</v>
      </c>
      <c r="G1750">
        <v>0</v>
      </c>
      <c r="H1750">
        <v>2.772051875E-4</v>
      </c>
      <c r="I1750" t="s">
        <v>176</v>
      </c>
      <c r="J1750">
        <v>4.709796875E-3</v>
      </c>
      <c r="K1750">
        <v>0.1371304458125</v>
      </c>
      <c r="L1750">
        <v>2.6849282026233646E-2</v>
      </c>
      <c r="M1750">
        <v>0.16109569215740185</v>
      </c>
      <c r="N1750">
        <v>0.29822613796990188</v>
      </c>
      <c r="O1750" t="s">
        <v>177</v>
      </c>
      <c r="P1750">
        <v>8.2278267487500001E-3</v>
      </c>
      <c r="Q1750" t="s">
        <v>177</v>
      </c>
      <c r="R1750">
        <v>9.6657415294441121E-3</v>
      </c>
      <c r="S1750" t="s">
        <v>178</v>
      </c>
      <c r="T1750">
        <v>3.5787136556388224E-2</v>
      </c>
      <c r="U1750" t="s">
        <v>90</v>
      </c>
      <c r="V1750">
        <v>0</v>
      </c>
      <c r="W1750" t="s">
        <v>90</v>
      </c>
      <c r="X1750">
        <v>0</v>
      </c>
      <c r="Y1750">
        <v>0.3519068428044842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7</v>
      </c>
      <c r="AF1750">
        <v>362</v>
      </c>
      <c r="AG1750">
        <v>413</v>
      </c>
      <c r="AI1750">
        <v>6.8000000000000005E-2</v>
      </c>
      <c r="AK1750" t="s">
        <v>5305</v>
      </c>
      <c r="AL1750" t="s">
        <v>5515</v>
      </c>
      <c r="AM1750">
        <v>200000</v>
      </c>
      <c r="AN1750" t="s">
        <v>97</v>
      </c>
      <c r="AO1750">
        <v>1</v>
      </c>
      <c r="AP1750">
        <v>0</v>
      </c>
      <c r="AQ1750">
        <v>16666.666666666668</v>
      </c>
      <c r="AR1750" t="s">
        <v>5516</v>
      </c>
      <c r="AS1750" t="s">
        <v>75</v>
      </c>
      <c r="AX1750" t="s">
        <v>76</v>
      </c>
      <c r="AY1750" t="s">
        <v>176</v>
      </c>
      <c r="AZ1750">
        <v>0</v>
      </c>
      <c r="BA1750" t="s">
        <v>176</v>
      </c>
      <c r="BB1750">
        <v>0</v>
      </c>
    </row>
    <row r="1751" spans="1:56" x14ac:dyDescent="0.15">
      <c r="A1751" s="4" t="str">
        <f>HYPERLINK("https://ibp.a2mac1.com/costing(costing:projects/details/9760/part/8415620)","Hole Plug")</f>
        <v>Hole Plug</v>
      </c>
      <c r="B1751">
        <v>8415620</v>
      </c>
      <c r="C1751">
        <v>8415582</v>
      </c>
      <c r="D1751" t="s">
        <v>5312</v>
      </c>
      <c r="E1751">
        <v>0.1</v>
      </c>
      <c r="F1751">
        <v>0</v>
      </c>
      <c r="G1751">
        <v>0</v>
      </c>
      <c r="H1751">
        <v>0</v>
      </c>
      <c r="I1751" t="s">
        <v>71</v>
      </c>
      <c r="J1751">
        <v>0</v>
      </c>
      <c r="K1751">
        <v>0.1</v>
      </c>
      <c r="L1751">
        <v>0</v>
      </c>
      <c r="M1751">
        <v>0</v>
      </c>
      <c r="N1751">
        <v>0.1</v>
      </c>
      <c r="O1751" t="s">
        <v>71</v>
      </c>
      <c r="P1751">
        <v>0</v>
      </c>
      <c r="Q1751" t="s">
        <v>71</v>
      </c>
      <c r="R1751">
        <v>0</v>
      </c>
      <c r="S1751" t="s">
        <v>71</v>
      </c>
      <c r="T1751">
        <v>0</v>
      </c>
      <c r="U1751" t="s">
        <v>71</v>
      </c>
      <c r="V1751">
        <v>0</v>
      </c>
      <c r="W1751" t="s">
        <v>71</v>
      </c>
      <c r="X1751">
        <v>0</v>
      </c>
      <c r="Y1751">
        <v>0.1</v>
      </c>
      <c r="Z1751">
        <v>0</v>
      </c>
      <c r="AA1751">
        <v>0</v>
      </c>
      <c r="AB1751">
        <v>0</v>
      </c>
      <c r="AC1751">
        <v>0</v>
      </c>
      <c r="AD1751">
        <v>0</v>
      </c>
      <c r="AI1751">
        <v>1E-4</v>
      </c>
      <c r="AK1751" t="s">
        <v>5305</v>
      </c>
      <c r="AL1751" t="s">
        <v>2246</v>
      </c>
      <c r="AM1751">
        <v>200000</v>
      </c>
      <c r="AN1751" t="s">
        <v>97</v>
      </c>
      <c r="AO1751">
        <v>1</v>
      </c>
      <c r="AP1751">
        <v>0</v>
      </c>
      <c r="AQ1751">
        <v>16666.666666666668</v>
      </c>
      <c r="AR1751" t="s">
        <v>5517</v>
      </c>
      <c r="AS1751" t="s">
        <v>75</v>
      </c>
      <c r="AX1751" t="s">
        <v>76</v>
      </c>
      <c r="AY1751" t="s">
        <v>71</v>
      </c>
      <c r="AZ1751">
        <v>0</v>
      </c>
      <c r="BA1751" t="s">
        <v>71</v>
      </c>
      <c r="BB1751">
        <v>0</v>
      </c>
      <c r="BD1751">
        <v>0.1</v>
      </c>
    </row>
    <row r="1752" spans="1:56" x14ac:dyDescent="0.15">
      <c r="A1752" s="4" t="str">
        <f>HYPERLINK("https://ibp.a2mac1.com/costing(costing:projects/details/9760/part/8415621)","Water Drainage Outlet")</f>
        <v>Water Drainage Outlet</v>
      </c>
      <c r="B1752">
        <v>8415621</v>
      </c>
      <c r="C1752">
        <v>8415582</v>
      </c>
      <c r="E1752">
        <v>0.2</v>
      </c>
      <c r="F1752">
        <v>0</v>
      </c>
      <c r="G1752">
        <v>0</v>
      </c>
      <c r="H1752">
        <v>0</v>
      </c>
      <c r="I1752" t="s">
        <v>71</v>
      </c>
      <c r="J1752">
        <v>0</v>
      </c>
      <c r="K1752">
        <v>0.2</v>
      </c>
      <c r="L1752">
        <v>0</v>
      </c>
      <c r="M1752">
        <v>0</v>
      </c>
      <c r="N1752">
        <v>0.2</v>
      </c>
      <c r="O1752" t="s">
        <v>71</v>
      </c>
      <c r="P1752">
        <v>0</v>
      </c>
      <c r="Q1752" t="s">
        <v>71</v>
      </c>
      <c r="R1752">
        <v>0</v>
      </c>
      <c r="S1752" t="s">
        <v>71</v>
      </c>
      <c r="T1752">
        <v>0</v>
      </c>
      <c r="U1752" t="s">
        <v>71</v>
      </c>
      <c r="V1752">
        <v>0</v>
      </c>
      <c r="W1752" t="s">
        <v>71</v>
      </c>
      <c r="X1752">
        <v>0</v>
      </c>
      <c r="Y1752">
        <v>0.2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8</v>
      </c>
      <c r="AF1752">
        <v>28</v>
      </c>
      <c r="AG1752">
        <v>28</v>
      </c>
      <c r="AI1752">
        <v>3.0000000000000001E-3</v>
      </c>
      <c r="AK1752" t="s">
        <v>5305</v>
      </c>
      <c r="AL1752" t="s">
        <v>403</v>
      </c>
      <c r="AM1752">
        <v>400000</v>
      </c>
      <c r="AN1752" t="s">
        <v>97</v>
      </c>
      <c r="AO1752">
        <v>2</v>
      </c>
      <c r="AP1752">
        <v>0</v>
      </c>
      <c r="AQ1752">
        <v>33333.333333333336</v>
      </c>
      <c r="AR1752" t="s">
        <v>5518</v>
      </c>
      <c r="AS1752" t="s">
        <v>75</v>
      </c>
      <c r="AX1752" t="s">
        <v>76</v>
      </c>
      <c r="AY1752" t="s">
        <v>71</v>
      </c>
      <c r="AZ1752">
        <v>0</v>
      </c>
      <c r="BA1752" t="s">
        <v>71</v>
      </c>
      <c r="BB1752">
        <v>0</v>
      </c>
      <c r="BD1752">
        <v>0.1</v>
      </c>
    </row>
    <row r="1753" spans="1:56" x14ac:dyDescent="0.15">
      <c r="A1753" s="4" t="str">
        <f>HYPERLINK("https://ibp.a2mac1.com/costing(costing:projects/details/9760/part/8416216)","Hinges&gt;Hood&gt;On BIW&gt;Part 01 (single/main)")</f>
        <v>Hinges&gt;Hood&gt;On BIW&gt;Part 01 (single/main)</v>
      </c>
      <c r="B1753">
        <v>8416216</v>
      </c>
      <c r="C1753">
        <v>8415855</v>
      </c>
      <c r="D1753" t="s">
        <v>5528</v>
      </c>
      <c r="E1753">
        <v>0.24780573750000001</v>
      </c>
      <c r="F1753">
        <v>0</v>
      </c>
      <c r="G1753">
        <v>0</v>
      </c>
      <c r="H1753">
        <v>5.2724624999999998E-6</v>
      </c>
      <c r="I1753" t="s">
        <v>176</v>
      </c>
      <c r="J1753">
        <v>9.2268093750000005E-3</v>
      </c>
      <c r="K1753">
        <v>0.25703781933749997</v>
      </c>
      <c r="L1753">
        <v>1.433145541358854E-2</v>
      </c>
      <c r="M1753">
        <v>8.5988732481531244E-2</v>
      </c>
      <c r="N1753">
        <v>0.34302655181903124</v>
      </c>
      <c r="O1753" t="s">
        <v>90</v>
      </c>
      <c r="P1753">
        <v>0</v>
      </c>
      <c r="Q1753" t="s">
        <v>90</v>
      </c>
      <c r="R1753">
        <v>0</v>
      </c>
      <c r="S1753" t="s">
        <v>90</v>
      </c>
      <c r="T1753">
        <v>0</v>
      </c>
      <c r="U1753" t="s">
        <v>90</v>
      </c>
      <c r="V1753">
        <v>0</v>
      </c>
      <c r="W1753" t="s">
        <v>90</v>
      </c>
      <c r="X1753">
        <v>0</v>
      </c>
      <c r="Y1753">
        <v>0.34302655181903124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K1753" t="s">
        <v>272</v>
      </c>
      <c r="AM1753">
        <v>200000</v>
      </c>
      <c r="AN1753" t="s">
        <v>73</v>
      </c>
      <c r="AO1753">
        <v>1</v>
      </c>
      <c r="AP1753">
        <v>0</v>
      </c>
      <c r="AQ1753">
        <v>16666.666666666668</v>
      </c>
      <c r="AR1753" t="s">
        <v>9</v>
      </c>
      <c r="AS1753" t="s">
        <v>75</v>
      </c>
      <c r="AX1753" t="s">
        <v>76</v>
      </c>
      <c r="AY1753" t="s">
        <v>176</v>
      </c>
      <c r="AZ1753">
        <v>0</v>
      </c>
      <c r="BA1753" t="s">
        <v>176</v>
      </c>
      <c r="BB1753">
        <v>0</v>
      </c>
    </row>
    <row r="1754" spans="1:56" x14ac:dyDescent="0.15">
      <c r="A1754" s="4" t="str">
        <f>HYPERLINK("https://ibp.a2mac1.com/costing(costing:projects/details/9760/part/8416217)","Hinges&gt;Hood&gt;On hood&gt;Part 01 (single/main)")</f>
        <v>Hinges&gt;Hood&gt;On hood&gt;Part 01 (single/main)</v>
      </c>
      <c r="B1754">
        <v>8416217</v>
      </c>
      <c r="C1754">
        <v>8415855</v>
      </c>
      <c r="D1754" t="s">
        <v>5528</v>
      </c>
      <c r="E1754">
        <v>0.245650905</v>
      </c>
      <c r="F1754">
        <v>0</v>
      </c>
      <c r="G1754">
        <v>0</v>
      </c>
      <c r="H1754">
        <v>5.2266150000000003E-6</v>
      </c>
      <c r="I1754" t="s">
        <v>176</v>
      </c>
      <c r="J1754">
        <v>9.1465762499999999E-3</v>
      </c>
      <c r="K1754">
        <v>0.25480270786499998</v>
      </c>
      <c r="L1754">
        <v>4.9079754834314279E-3</v>
      </c>
      <c r="M1754">
        <v>2.9447852900588566E-2</v>
      </c>
      <c r="N1754">
        <v>0.28425056076558858</v>
      </c>
      <c r="O1754" t="s">
        <v>90</v>
      </c>
      <c r="P1754">
        <v>0</v>
      </c>
      <c r="Q1754" t="s">
        <v>90</v>
      </c>
      <c r="R1754">
        <v>0</v>
      </c>
      <c r="S1754" t="s">
        <v>90</v>
      </c>
      <c r="T1754">
        <v>0</v>
      </c>
      <c r="U1754" t="s">
        <v>90</v>
      </c>
      <c r="V1754">
        <v>0</v>
      </c>
      <c r="W1754" t="s">
        <v>90</v>
      </c>
      <c r="X1754">
        <v>0</v>
      </c>
      <c r="Y1754">
        <v>0.28425056076558858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K1754" t="s">
        <v>272</v>
      </c>
      <c r="AM1754">
        <v>200000</v>
      </c>
      <c r="AN1754" t="s">
        <v>73</v>
      </c>
      <c r="AO1754">
        <v>1</v>
      </c>
      <c r="AP1754">
        <v>0</v>
      </c>
      <c r="AQ1754">
        <v>16666.666666666668</v>
      </c>
      <c r="AR1754" t="s">
        <v>9</v>
      </c>
      <c r="AS1754" t="s">
        <v>75</v>
      </c>
      <c r="AX1754" t="s">
        <v>76</v>
      </c>
      <c r="AY1754" t="s">
        <v>176</v>
      </c>
      <c r="AZ1754">
        <v>0</v>
      </c>
      <c r="BA1754" t="s">
        <v>176</v>
      </c>
      <c r="BB1754">
        <v>0</v>
      </c>
    </row>
    <row r="1755" spans="1:56" x14ac:dyDescent="0.15">
      <c r="A1755" s="4" t="str">
        <f>HYPERLINK("https://ibp.a2mac1.com/costing(costing:projects/details/9760/part/8416218)","Hinges&gt;Hood&gt;Joint&gt;Part 01 (single/main)")</f>
        <v>Hinges&gt;Hood&gt;Joint&gt;Part 01 (single/main)</v>
      </c>
      <c r="B1755">
        <v>8416218</v>
      </c>
      <c r="C1755">
        <v>8415855</v>
      </c>
      <c r="D1755" t="s">
        <v>5528</v>
      </c>
      <c r="E1755">
        <v>0.49827062999999999</v>
      </c>
      <c r="F1755">
        <v>0</v>
      </c>
      <c r="G1755">
        <v>0</v>
      </c>
      <c r="H1755">
        <v>1.0951002857142858E-5</v>
      </c>
      <c r="I1755" t="s">
        <v>176</v>
      </c>
      <c r="J1755">
        <v>1.9164255000000002E-2</v>
      </c>
      <c r="K1755">
        <v>0.5174458360028571</v>
      </c>
      <c r="L1755">
        <v>1.2228940964449372E-2</v>
      </c>
      <c r="M1755">
        <v>7.3373645786696237E-2</v>
      </c>
      <c r="N1755">
        <v>0.59081948178955335</v>
      </c>
      <c r="O1755" t="s">
        <v>90</v>
      </c>
      <c r="P1755">
        <v>0</v>
      </c>
      <c r="Q1755" t="s">
        <v>90</v>
      </c>
      <c r="R1755">
        <v>0</v>
      </c>
      <c r="S1755" t="s">
        <v>90</v>
      </c>
      <c r="T1755">
        <v>0</v>
      </c>
      <c r="U1755" t="s">
        <v>90</v>
      </c>
      <c r="V1755">
        <v>0</v>
      </c>
      <c r="W1755" t="s">
        <v>90</v>
      </c>
      <c r="X1755">
        <v>0</v>
      </c>
      <c r="Y1755">
        <v>0.59081948178955335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K1755" t="s">
        <v>272</v>
      </c>
      <c r="AM1755">
        <v>200000</v>
      </c>
      <c r="AN1755" t="s">
        <v>73</v>
      </c>
      <c r="AO1755">
        <v>1</v>
      </c>
      <c r="AP1755">
        <v>0</v>
      </c>
      <c r="AQ1755">
        <v>16666.666666666668</v>
      </c>
      <c r="AR1755" t="s">
        <v>9</v>
      </c>
      <c r="AS1755" t="s">
        <v>75</v>
      </c>
      <c r="AX1755" t="s">
        <v>76</v>
      </c>
      <c r="AY1755" t="s">
        <v>176</v>
      </c>
      <c r="AZ1755">
        <v>0</v>
      </c>
      <c r="BA1755" t="s">
        <v>176</v>
      </c>
      <c r="BB1755">
        <v>0</v>
      </c>
    </row>
    <row r="1756" spans="1:56" x14ac:dyDescent="0.15">
      <c r="A1756" s="4" t="str">
        <f>HYPERLINK("https://ibp.a2mac1.com/costing(costing:projects/details/9760/part/8416219)","Hinges&gt;Hood&gt;On BIW&gt;Part 01 (single/main)")</f>
        <v>Hinges&gt;Hood&gt;On BIW&gt;Part 01 (single/main)</v>
      </c>
      <c r="B1756">
        <v>8416219</v>
      </c>
      <c r="C1756">
        <v>8415856</v>
      </c>
      <c r="D1756" t="s">
        <v>5528</v>
      </c>
      <c r="E1756">
        <v>0.24780573750000001</v>
      </c>
      <c r="F1756">
        <v>0</v>
      </c>
      <c r="G1756">
        <v>0</v>
      </c>
      <c r="H1756">
        <v>5.2724624999999998E-6</v>
      </c>
      <c r="I1756" t="s">
        <v>176</v>
      </c>
      <c r="J1756">
        <v>9.2268093750000005E-3</v>
      </c>
      <c r="K1756">
        <v>0.25703781933749997</v>
      </c>
      <c r="L1756">
        <v>1.433145541358854E-2</v>
      </c>
      <c r="M1756">
        <v>8.5988732481531244E-2</v>
      </c>
      <c r="N1756">
        <v>0.34302655181903124</v>
      </c>
      <c r="O1756" t="s">
        <v>90</v>
      </c>
      <c r="P1756">
        <v>0</v>
      </c>
      <c r="Q1756" t="s">
        <v>90</v>
      </c>
      <c r="R1756">
        <v>0</v>
      </c>
      <c r="S1756" t="s">
        <v>90</v>
      </c>
      <c r="T1756">
        <v>0</v>
      </c>
      <c r="U1756" t="s">
        <v>90</v>
      </c>
      <c r="V1756">
        <v>0</v>
      </c>
      <c r="W1756" t="s">
        <v>90</v>
      </c>
      <c r="X1756">
        <v>0</v>
      </c>
      <c r="Y1756">
        <v>0.34302655181903124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K1756" t="s">
        <v>272</v>
      </c>
      <c r="AM1756">
        <v>200000</v>
      </c>
      <c r="AN1756" t="s">
        <v>73</v>
      </c>
      <c r="AO1756">
        <v>1</v>
      </c>
      <c r="AP1756">
        <v>0</v>
      </c>
      <c r="AQ1756">
        <v>16666.666666666668</v>
      </c>
      <c r="AR1756" t="s">
        <v>9</v>
      </c>
      <c r="AS1756" t="s">
        <v>75</v>
      </c>
      <c r="AX1756" t="s">
        <v>76</v>
      </c>
      <c r="AY1756" t="s">
        <v>176</v>
      </c>
      <c r="AZ1756">
        <v>0</v>
      </c>
      <c r="BA1756" t="s">
        <v>176</v>
      </c>
      <c r="BB1756">
        <v>0</v>
      </c>
    </row>
    <row r="1757" spans="1:56" x14ac:dyDescent="0.15">
      <c r="A1757" s="4" t="str">
        <f>HYPERLINK("https://ibp.a2mac1.com/costing(costing:projects/details/9760/part/8416220)","Hinges&gt;Hood&gt;On hood&gt;Part 01 (single/main)")</f>
        <v>Hinges&gt;Hood&gt;On hood&gt;Part 01 (single/main)</v>
      </c>
      <c r="B1757">
        <v>8416220</v>
      </c>
      <c r="C1757">
        <v>8415856</v>
      </c>
      <c r="D1757" t="s">
        <v>5528</v>
      </c>
      <c r="E1757">
        <v>0.245650905</v>
      </c>
      <c r="F1757">
        <v>0</v>
      </c>
      <c r="G1757">
        <v>0</v>
      </c>
      <c r="H1757">
        <v>5.2266150000000003E-6</v>
      </c>
      <c r="I1757" t="s">
        <v>176</v>
      </c>
      <c r="J1757">
        <v>9.1465762499999999E-3</v>
      </c>
      <c r="K1757">
        <v>0.25480270786499998</v>
      </c>
      <c r="L1757">
        <v>4.9079754834314279E-3</v>
      </c>
      <c r="M1757">
        <v>2.9447852900588566E-2</v>
      </c>
      <c r="N1757">
        <v>0.28425056076558858</v>
      </c>
      <c r="O1757" t="s">
        <v>90</v>
      </c>
      <c r="P1757">
        <v>0</v>
      </c>
      <c r="Q1757" t="s">
        <v>90</v>
      </c>
      <c r="R1757">
        <v>0</v>
      </c>
      <c r="S1757" t="s">
        <v>90</v>
      </c>
      <c r="T1757">
        <v>0</v>
      </c>
      <c r="U1757" t="s">
        <v>90</v>
      </c>
      <c r="V1757">
        <v>0</v>
      </c>
      <c r="W1757" t="s">
        <v>90</v>
      </c>
      <c r="X1757">
        <v>0</v>
      </c>
      <c r="Y1757">
        <v>0.28425056076558858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K1757" t="s">
        <v>272</v>
      </c>
      <c r="AM1757">
        <v>200000</v>
      </c>
      <c r="AN1757" t="s">
        <v>73</v>
      </c>
      <c r="AO1757">
        <v>1</v>
      </c>
      <c r="AP1757">
        <v>0</v>
      </c>
      <c r="AQ1757">
        <v>16666.666666666668</v>
      </c>
      <c r="AR1757" t="s">
        <v>9</v>
      </c>
      <c r="AS1757" t="s">
        <v>75</v>
      </c>
      <c r="AX1757" t="s">
        <v>76</v>
      </c>
      <c r="AY1757" t="s">
        <v>176</v>
      </c>
      <c r="AZ1757">
        <v>0</v>
      </c>
      <c r="BA1757" t="s">
        <v>176</v>
      </c>
      <c r="BB1757">
        <v>0</v>
      </c>
    </row>
    <row r="1758" spans="1:56" x14ac:dyDescent="0.15">
      <c r="A1758" s="4" t="str">
        <f>HYPERLINK("https://ibp.a2mac1.com/costing(costing:projects/details/9760/part/8416221)","Hinges&gt;Hood&gt;Joint&gt;Part 01 (single/main)")</f>
        <v>Hinges&gt;Hood&gt;Joint&gt;Part 01 (single/main)</v>
      </c>
      <c r="B1758">
        <v>8416221</v>
      </c>
      <c r="C1758">
        <v>8415856</v>
      </c>
      <c r="D1758" t="s">
        <v>5528</v>
      </c>
      <c r="E1758">
        <v>0.49827062999999999</v>
      </c>
      <c r="F1758">
        <v>0</v>
      </c>
      <c r="G1758">
        <v>0</v>
      </c>
      <c r="H1758">
        <v>1.0951002857142858E-5</v>
      </c>
      <c r="I1758" t="s">
        <v>176</v>
      </c>
      <c r="J1758">
        <v>1.9164255000000002E-2</v>
      </c>
      <c r="K1758">
        <v>0.5174458360028571</v>
      </c>
      <c r="L1758">
        <v>1.2228940964449372E-2</v>
      </c>
      <c r="M1758">
        <v>7.3373645786696237E-2</v>
      </c>
      <c r="N1758">
        <v>0.59081948178955335</v>
      </c>
      <c r="O1758" t="s">
        <v>90</v>
      </c>
      <c r="P1758">
        <v>0</v>
      </c>
      <c r="Q1758" t="s">
        <v>90</v>
      </c>
      <c r="R1758">
        <v>0</v>
      </c>
      <c r="S1758" t="s">
        <v>90</v>
      </c>
      <c r="T1758">
        <v>0</v>
      </c>
      <c r="U1758" t="s">
        <v>90</v>
      </c>
      <c r="V1758">
        <v>0</v>
      </c>
      <c r="W1758" t="s">
        <v>90</v>
      </c>
      <c r="X1758">
        <v>0</v>
      </c>
      <c r="Y1758">
        <v>0.59081948178955335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K1758" t="s">
        <v>272</v>
      </c>
      <c r="AM1758">
        <v>200000</v>
      </c>
      <c r="AN1758" t="s">
        <v>73</v>
      </c>
      <c r="AO1758">
        <v>1</v>
      </c>
      <c r="AP1758">
        <v>0</v>
      </c>
      <c r="AQ1758">
        <v>16666.666666666668</v>
      </c>
      <c r="AR1758" t="s">
        <v>9</v>
      </c>
      <c r="AS1758" t="s">
        <v>75</v>
      </c>
      <c r="AX1758" t="s">
        <v>76</v>
      </c>
      <c r="AY1758" t="s">
        <v>176</v>
      </c>
      <c r="AZ1758">
        <v>0</v>
      </c>
      <c r="BA1758" t="s">
        <v>176</v>
      </c>
      <c r="BB1758">
        <v>0</v>
      </c>
    </row>
    <row r="1759" spans="1:56" x14ac:dyDescent="0.15">
      <c r="A1759" s="4" t="str">
        <f>HYPERLINK("https://ibp.a2mac1.com/costing(costing:projects/details/9760/part/8416222)","Cinch Cable Conduit ")</f>
        <v xml:space="preserve">Cinch Cable Conduit </v>
      </c>
      <c r="B1759">
        <v>8416222</v>
      </c>
      <c r="C1759">
        <v>8415858</v>
      </c>
      <c r="E1759">
        <v>2.6953499999999998E-2</v>
      </c>
      <c r="F1759">
        <v>0</v>
      </c>
      <c r="G1759">
        <v>0</v>
      </c>
      <c r="H1759">
        <v>2.8101894736842106E-5</v>
      </c>
      <c r="I1759" t="s">
        <v>176</v>
      </c>
      <c r="J1759">
        <v>9.4573684210526321E-4</v>
      </c>
      <c r="K1759">
        <v>2.7927338736842104E-2</v>
      </c>
      <c r="L1759">
        <v>2.7964645753409748E-2</v>
      </c>
      <c r="M1759">
        <v>0.16778787452045849</v>
      </c>
      <c r="N1759">
        <v>0.1957152132573006</v>
      </c>
      <c r="O1759" t="s">
        <v>177</v>
      </c>
      <c r="P1759">
        <v>1.6756403242105264E-3</v>
      </c>
      <c r="Q1759" t="s">
        <v>177</v>
      </c>
      <c r="R1759">
        <v>1.0067272471227509E-2</v>
      </c>
      <c r="S1759" t="s">
        <v>178</v>
      </c>
      <c r="T1759">
        <v>2.3485825590876072E-2</v>
      </c>
      <c r="U1759" t="s">
        <v>90</v>
      </c>
      <c r="V1759">
        <v>0</v>
      </c>
      <c r="W1759" t="s">
        <v>90</v>
      </c>
      <c r="X1759">
        <v>0</v>
      </c>
      <c r="Y1759">
        <v>0.2309439516436147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450</v>
      </c>
      <c r="AF1759">
        <v>10</v>
      </c>
      <c r="AG1759">
        <v>1</v>
      </c>
      <c r="AH1759">
        <v>1</v>
      </c>
      <c r="AI1759">
        <v>0.01</v>
      </c>
      <c r="AK1759" t="s">
        <v>272</v>
      </c>
      <c r="AM1759">
        <v>200000</v>
      </c>
      <c r="AN1759" t="s">
        <v>97</v>
      </c>
      <c r="AO1759">
        <v>1</v>
      </c>
      <c r="AP1759">
        <v>0</v>
      </c>
      <c r="AQ1759">
        <v>16666.666666666668</v>
      </c>
      <c r="AR1759" t="s">
        <v>9</v>
      </c>
      <c r="AS1759" t="s">
        <v>75</v>
      </c>
      <c r="AV1759">
        <v>0</v>
      </c>
      <c r="AW1759">
        <v>0</v>
      </c>
      <c r="AX1759" t="s">
        <v>76</v>
      </c>
      <c r="AY1759" t="s">
        <v>176</v>
      </c>
      <c r="AZ1759">
        <v>0</v>
      </c>
      <c r="BA1759" t="s">
        <v>176</v>
      </c>
      <c r="BB1759">
        <v>0</v>
      </c>
    </row>
    <row r="1760" spans="1:56" x14ac:dyDescent="0.15">
      <c r="A1760" s="4" t="str">
        <f>HYPERLINK("https://ibp.a2mac1.com/costing(costing:projects/details/9760/part/8416223)","Cable Abutment Actuator")</f>
        <v>Cable Abutment Actuator</v>
      </c>
      <c r="B1760">
        <v>8416223</v>
      </c>
      <c r="C1760">
        <v>8415858</v>
      </c>
      <c r="E1760">
        <v>2.3980660691489361E-3</v>
      </c>
      <c r="F1760">
        <v>0</v>
      </c>
      <c r="G1760">
        <v>0</v>
      </c>
      <c r="H1760">
        <v>2.5014931914893615E-6</v>
      </c>
      <c r="I1760" t="s">
        <v>176</v>
      </c>
      <c r="J1760">
        <v>8.4184867021276598E-5</v>
      </c>
      <c r="K1760">
        <v>2.4847524293617022E-3</v>
      </c>
      <c r="L1760">
        <v>1.0356117529097338E-3</v>
      </c>
      <c r="M1760">
        <v>6.2136705174584026E-3</v>
      </c>
      <c r="N1760">
        <v>8.698422946820104E-3</v>
      </c>
      <c r="O1760" t="s">
        <v>177</v>
      </c>
      <c r="P1760">
        <v>1.4908514576170213E-4</v>
      </c>
      <c r="Q1760" t="s">
        <v>177</v>
      </c>
      <c r="R1760">
        <v>3.7282023104750415E-4</v>
      </c>
      <c r="S1760" t="s">
        <v>178</v>
      </c>
      <c r="T1760">
        <v>1.0438107536184125E-3</v>
      </c>
      <c r="U1760" t="s">
        <v>90</v>
      </c>
      <c r="V1760">
        <v>0</v>
      </c>
      <c r="W1760" t="s">
        <v>90</v>
      </c>
      <c r="X1760">
        <v>0</v>
      </c>
      <c r="Y1760">
        <v>1.0264139077247724E-2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15</v>
      </c>
      <c r="AF1760">
        <v>15</v>
      </c>
      <c r="AG1760">
        <v>8</v>
      </c>
      <c r="AH1760">
        <v>1.5</v>
      </c>
      <c r="AI1760">
        <v>1.5E-3</v>
      </c>
      <c r="AK1760" t="s">
        <v>272</v>
      </c>
      <c r="AM1760">
        <v>200000</v>
      </c>
      <c r="AN1760" t="s">
        <v>97</v>
      </c>
      <c r="AO1760">
        <v>1</v>
      </c>
      <c r="AP1760">
        <v>0</v>
      </c>
      <c r="AQ1760">
        <v>16666.666666666668</v>
      </c>
      <c r="AR1760" t="s">
        <v>9</v>
      </c>
      <c r="AS1760" t="s">
        <v>75</v>
      </c>
      <c r="AV1760">
        <v>0</v>
      </c>
      <c r="AW1760">
        <v>0</v>
      </c>
      <c r="AX1760" t="s">
        <v>76</v>
      </c>
      <c r="AY1760" t="s">
        <v>176</v>
      </c>
      <c r="AZ1760">
        <v>0</v>
      </c>
      <c r="BA1760" t="s">
        <v>176</v>
      </c>
      <c r="BB1760">
        <v>0</v>
      </c>
    </row>
    <row r="1761" spans="1:56" x14ac:dyDescent="0.15">
      <c r="A1761" s="4" t="str">
        <f>HYPERLINK("https://ibp.a2mac1.com/costing(costing:projects/details/9760/part/8416224)","Foam")</f>
        <v>Foam</v>
      </c>
      <c r="B1761">
        <v>8416224</v>
      </c>
      <c r="C1761">
        <v>8415858</v>
      </c>
      <c r="E1761">
        <v>3.5454509999999998E-3</v>
      </c>
      <c r="F1761">
        <v>0</v>
      </c>
      <c r="G1761">
        <v>0</v>
      </c>
      <c r="H1761">
        <v>3.6965103157894736E-6</v>
      </c>
      <c r="I1761" t="s">
        <v>176</v>
      </c>
      <c r="J1761">
        <v>1.2440178947368421E-4</v>
      </c>
      <c r="K1761">
        <v>3.6735492997894735E-3</v>
      </c>
      <c r="L1761">
        <v>9.1011314431675965E-3</v>
      </c>
      <c r="M1761">
        <v>5.4606788659005583E-2</v>
      </c>
      <c r="N1761">
        <v>5.8280337958795052E-2</v>
      </c>
      <c r="O1761" t="s">
        <v>177</v>
      </c>
      <c r="P1761">
        <v>2.2041295798736843E-4</v>
      </c>
      <c r="Q1761" t="s">
        <v>177</v>
      </c>
      <c r="R1761">
        <v>3.276407319540335E-3</v>
      </c>
      <c r="S1761" t="s">
        <v>178</v>
      </c>
      <c r="T1761">
        <v>6.9936405550554068E-3</v>
      </c>
      <c r="U1761" t="s">
        <v>90</v>
      </c>
      <c r="V1761">
        <v>0</v>
      </c>
      <c r="W1761" t="s">
        <v>90</v>
      </c>
      <c r="X1761">
        <v>0</v>
      </c>
      <c r="Y1761">
        <v>6.8770798791378165E-2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K1761" t="s">
        <v>272</v>
      </c>
      <c r="AM1761">
        <v>200000</v>
      </c>
      <c r="AN1761" t="s">
        <v>97</v>
      </c>
      <c r="AO1761">
        <v>1</v>
      </c>
      <c r="AP1761">
        <v>0</v>
      </c>
      <c r="AQ1761">
        <v>16666.666666666668</v>
      </c>
      <c r="AR1761" t="s">
        <v>9</v>
      </c>
      <c r="AS1761" t="s">
        <v>75</v>
      </c>
      <c r="AV1761">
        <v>0</v>
      </c>
      <c r="AW1761">
        <v>0</v>
      </c>
      <c r="AX1761" t="s">
        <v>76</v>
      </c>
      <c r="AY1761" t="s">
        <v>176</v>
      </c>
      <c r="AZ1761">
        <v>0</v>
      </c>
      <c r="BA1761" t="s">
        <v>176</v>
      </c>
      <c r="BB1761">
        <v>0</v>
      </c>
    </row>
    <row r="1762" spans="1:56" x14ac:dyDescent="0.15">
      <c r="A1762" s="4" t="str">
        <f>HYPERLINK("https://ibp.a2mac1.com/costing(costing:projects/details/9760/part/8415857)","Hood Latch")</f>
        <v>Hood Latch</v>
      </c>
      <c r="B1762">
        <v>8415857</v>
      </c>
      <c r="C1762">
        <v>8415635</v>
      </c>
      <c r="D1762" t="s">
        <v>5563</v>
      </c>
      <c r="E1762">
        <v>7.5</v>
      </c>
      <c r="F1762">
        <v>0</v>
      </c>
      <c r="G1762">
        <v>0</v>
      </c>
      <c r="H1762">
        <v>0</v>
      </c>
      <c r="I1762" t="s">
        <v>71</v>
      </c>
      <c r="J1762">
        <v>0</v>
      </c>
      <c r="K1762">
        <v>7.5</v>
      </c>
      <c r="L1762">
        <v>0</v>
      </c>
      <c r="M1762">
        <v>0</v>
      </c>
      <c r="N1762">
        <v>7.5</v>
      </c>
      <c r="O1762" t="s">
        <v>71</v>
      </c>
      <c r="P1762">
        <v>0</v>
      </c>
      <c r="Q1762" t="s">
        <v>71</v>
      </c>
      <c r="R1762">
        <v>0</v>
      </c>
      <c r="S1762" t="s">
        <v>71</v>
      </c>
      <c r="T1762">
        <v>0</v>
      </c>
      <c r="U1762" t="s">
        <v>71</v>
      </c>
      <c r="V1762">
        <v>0</v>
      </c>
      <c r="W1762" t="s">
        <v>71</v>
      </c>
      <c r="X1762">
        <v>0</v>
      </c>
      <c r="Y1762">
        <v>7.5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39</v>
      </c>
      <c r="AF1762">
        <v>164</v>
      </c>
      <c r="AG1762">
        <v>93</v>
      </c>
      <c r="AI1762">
        <v>0.40600000000000003</v>
      </c>
      <c r="AK1762" t="s">
        <v>5281</v>
      </c>
      <c r="AL1762" t="s">
        <v>872</v>
      </c>
      <c r="AM1762">
        <v>200000</v>
      </c>
      <c r="AN1762" t="s">
        <v>97</v>
      </c>
      <c r="AO1762">
        <v>1</v>
      </c>
      <c r="AP1762">
        <v>0</v>
      </c>
      <c r="AQ1762">
        <v>16666.666666666668</v>
      </c>
      <c r="AR1762" t="s">
        <v>5564</v>
      </c>
      <c r="AS1762" t="s">
        <v>75</v>
      </c>
      <c r="AX1762" t="s">
        <v>76</v>
      </c>
      <c r="AY1762" t="s">
        <v>71</v>
      </c>
      <c r="AZ1762">
        <v>0</v>
      </c>
      <c r="BA1762" t="s">
        <v>71</v>
      </c>
      <c r="BB1762">
        <v>0</v>
      </c>
      <c r="BD1762">
        <v>7.5</v>
      </c>
    </row>
    <row r="1763" spans="1:56" x14ac:dyDescent="0.15">
      <c r="A1763" s="4" t="str">
        <f>HYPERLINK("https://ibp.a2mac1.com/costing(costing:projects/details/9760/part/8415859)","Hood Opening Sensor")</f>
        <v>Hood Opening Sensor</v>
      </c>
      <c r="B1763">
        <v>8415859</v>
      </c>
      <c r="C1763">
        <v>8415635</v>
      </c>
      <c r="E1763">
        <v>1.5</v>
      </c>
      <c r="F1763">
        <v>0</v>
      </c>
      <c r="G1763">
        <v>0</v>
      </c>
      <c r="H1763">
        <v>0</v>
      </c>
      <c r="I1763" t="s">
        <v>71</v>
      </c>
      <c r="J1763">
        <v>0</v>
      </c>
      <c r="K1763">
        <v>1.5</v>
      </c>
      <c r="L1763">
        <v>0</v>
      </c>
      <c r="M1763">
        <v>0</v>
      </c>
      <c r="N1763">
        <v>1.5</v>
      </c>
      <c r="O1763" t="s">
        <v>71</v>
      </c>
      <c r="P1763">
        <v>0</v>
      </c>
      <c r="Q1763" t="s">
        <v>71</v>
      </c>
      <c r="R1763">
        <v>0</v>
      </c>
      <c r="S1763" t="s">
        <v>71</v>
      </c>
      <c r="T1763">
        <v>0</v>
      </c>
      <c r="U1763" t="s">
        <v>71</v>
      </c>
      <c r="V1763">
        <v>0</v>
      </c>
      <c r="W1763" t="s">
        <v>71</v>
      </c>
      <c r="X1763">
        <v>0</v>
      </c>
      <c r="Y1763">
        <v>1.5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19</v>
      </c>
      <c r="AF1763">
        <v>30</v>
      </c>
      <c r="AG1763">
        <v>64</v>
      </c>
      <c r="AI1763">
        <v>1.4999999999999999E-2</v>
      </c>
      <c r="AK1763" t="s">
        <v>284</v>
      </c>
      <c r="AL1763" t="s">
        <v>830</v>
      </c>
      <c r="AM1763">
        <v>200000</v>
      </c>
      <c r="AN1763" t="s">
        <v>97</v>
      </c>
      <c r="AO1763">
        <v>1</v>
      </c>
      <c r="AP1763">
        <v>0</v>
      </c>
      <c r="AQ1763">
        <v>16666.666666666668</v>
      </c>
      <c r="AR1763" t="s">
        <v>5565</v>
      </c>
      <c r="AS1763" t="s">
        <v>75</v>
      </c>
      <c r="AX1763" t="s">
        <v>76</v>
      </c>
      <c r="AY1763" t="s">
        <v>71</v>
      </c>
      <c r="AZ1763">
        <v>0</v>
      </c>
      <c r="BA1763" t="s">
        <v>71</v>
      </c>
      <c r="BB1763">
        <v>0</v>
      </c>
      <c r="BD1763">
        <v>1.5</v>
      </c>
    </row>
    <row r="1764" spans="1:56" x14ac:dyDescent="0.15">
      <c r="A1764" s="4" t="str">
        <f>HYPERLINK("https://ibp.a2mac1.com/costing(costing:projects/details/9760/part/8415860)","Latch   Safety Hook Access Trim")</f>
        <v>Latch   Safety Hook Access Trim</v>
      </c>
      <c r="B1764">
        <v>8415860</v>
      </c>
      <c r="C1764">
        <v>8415635</v>
      </c>
      <c r="E1764">
        <v>2.3466808762886596E-2</v>
      </c>
      <c r="F1764">
        <v>0</v>
      </c>
      <c r="G1764">
        <v>0</v>
      </c>
      <c r="H1764">
        <v>4.8414247422680415E-5</v>
      </c>
      <c r="I1764" t="s">
        <v>176</v>
      </c>
      <c r="J1764">
        <v>8.2257216494845359E-4</v>
      </c>
      <c r="K1764">
        <v>2.4337795175257731E-2</v>
      </c>
      <c r="L1764">
        <v>2.9120101787985114E-2</v>
      </c>
      <c r="M1764">
        <v>0.17472061072791067</v>
      </c>
      <c r="N1764">
        <v>0.1990584059031684</v>
      </c>
      <c r="O1764" t="s">
        <v>177</v>
      </c>
      <c r="P1764">
        <v>1.4602677105154639E-3</v>
      </c>
      <c r="Q1764" t="s">
        <v>177</v>
      </c>
      <c r="R1764">
        <v>1.048323664367464E-2</v>
      </c>
      <c r="S1764" t="s">
        <v>178</v>
      </c>
      <c r="T1764">
        <v>2.388700870838021E-2</v>
      </c>
      <c r="U1764" t="s">
        <v>90</v>
      </c>
      <c r="V1764">
        <v>0</v>
      </c>
      <c r="W1764" t="s">
        <v>90</v>
      </c>
      <c r="X1764">
        <v>0</v>
      </c>
      <c r="Y1764">
        <v>0.23488891896573871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126</v>
      </c>
      <c r="AF1764">
        <v>260</v>
      </c>
      <c r="AG1764">
        <v>144</v>
      </c>
      <c r="AI1764">
        <v>1.7999999999999999E-2</v>
      </c>
      <c r="AK1764" t="s">
        <v>5305</v>
      </c>
      <c r="AL1764" t="s">
        <v>2282</v>
      </c>
      <c r="AM1764">
        <v>200000</v>
      </c>
      <c r="AN1764" t="s">
        <v>97</v>
      </c>
      <c r="AO1764">
        <v>1</v>
      </c>
      <c r="AP1764">
        <v>0</v>
      </c>
      <c r="AQ1764">
        <v>16666.666666666668</v>
      </c>
      <c r="AR1764" t="s">
        <v>5571</v>
      </c>
      <c r="AS1764" t="s">
        <v>75</v>
      </c>
      <c r="AX1764" t="s">
        <v>76</v>
      </c>
      <c r="AY1764" t="s">
        <v>176</v>
      </c>
      <c r="AZ1764">
        <v>0</v>
      </c>
      <c r="BA1764" t="s">
        <v>176</v>
      </c>
      <c r="BB1764">
        <v>0</v>
      </c>
    </row>
    <row r="1765" spans="1:56" x14ac:dyDescent="0.15">
      <c r="A1765" s="4" t="str">
        <f>HYPERLINK("https://ibp.a2mac1.com/costing(costing:projects/details/9760/part/8415861)","Opening Actuator")</f>
        <v>Opening Actuator</v>
      </c>
      <c r="B1765">
        <v>8415861</v>
      </c>
      <c r="C1765">
        <v>8415635</v>
      </c>
      <c r="E1765">
        <v>1.95</v>
      </c>
      <c r="F1765">
        <v>0</v>
      </c>
      <c r="G1765">
        <v>0</v>
      </c>
      <c r="H1765">
        <v>0</v>
      </c>
      <c r="I1765" t="s">
        <v>71</v>
      </c>
      <c r="J1765">
        <v>0</v>
      </c>
      <c r="K1765">
        <v>1.95</v>
      </c>
      <c r="L1765">
        <v>0</v>
      </c>
      <c r="M1765">
        <v>0</v>
      </c>
      <c r="N1765">
        <v>1.95</v>
      </c>
      <c r="O1765" t="s">
        <v>71</v>
      </c>
      <c r="P1765">
        <v>0</v>
      </c>
      <c r="Q1765" t="s">
        <v>71</v>
      </c>
      <c r="R1765">
        <v>0</v>
      </c>
      <c r="S1765" t="s">
        <v>71</v>
      </c>
      <c r="T1765">
        <v>0</v>
      </c>
      <c r="U1765" t="s">
        <v>71</v>
      </c>
      <c r="V1765">
        <v>0</v>
      </c>
      <c r="W1765" t="s">
        <v>71</v>
      </c>
      <c r="X1765">
        <v>0</v>
      </c>
      <c r="Y1765">
        <v>1.95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40</v>
      </c>
      <c r="AF1765">
        <v>155</v>
      </c>
      <c r="AG1765">
        <v>76</v>
      </c>
      <c r="AI1765">
        <v>0.114</v>
      </c>
      <c r="AK1765" t="s">
        <v>5305</v>
      </c>
      <c r="AL1765" t="s">
        <v>2209</v>
      </c>
      <c r="AM1765">
        <v>200000</v>
      </c>
      <c r="AN1765" t="s">
        <v>97</v>
      </c>
      <c r="AO1765">
        <v>1</v>
      </c>
      <c r="AP1765">
        <v>0</v>
      </c>
      <c r="AQ1765">
        <v>16666.666666666668</v>
      </c>
      <c r="AR1765" t="s">
        <v>5572</v>
      </c>
      <c r="AS1765" t="s">
        <v>75</v>
      </c>
      <c r="AX1765" t="s">
        <v>76</v>
      </c>
      <c r="AY1765" t="s">
        <v>71</v>
      </c>
      <c r="AZ1765">
        <v>0</v>
      </c>
      <c r="BA1765" t="s">
        <v>71</v>
      </c>
      <c r="BB1765">
        <v>0</v>
      </c>
      <c r="BD1765">
        <v>1.95</v>
      </c>
    </row>
    <row r="1766" spans="1:56" x14ac:dyDescent="0.15">
      <c r="A1766" s="4" t="str">
        <f>HYPERLINK("https://ibp.a2mac1.com/costing(costing:projects/details/9760/part/8415862)","Support Opening Actuator")</f>
        <v>Support Opening Actuator</v>
      </c>
      <c r="B1766">
        <v>8415862</v>
      </c>
      <c r="C1766">
        <v>8415635</v>
      </c>
      <c r="E1766">
        <v>0.16411143211855669</v>
      </c>
      <c r="F1766">
        <v>0</v>
      </c>
      <c r="G1766">
        <v>0</v>
      </c>
      <c r="H1766">
        <v>3.385774162886598E-4</v>
      </c>
      <c r="I1766" t="s">
        <v>176</v>
      </c>
      <c r="J1766">
        <v>5.752528917525773E-3</v>
      </c>
      <c r="K1766">
        <v>0.17020253845237113</v>
      </c>
      <c r="L1766">
        <v>1.7790511655047515E-2</v>
      </c>
      <c r="M1766">
        <v>0.10674306993028509</v>
      </c>
      <c r="N1766">
        <v>0.27694560838265625</v>
      </c>
      <c r="O1766" t="s">
        <v>177</v>
      </c>
      <c r="P1766">
        <v>1.0212152307142269E-2</v>
      </c>
      <c r="Q1766" t="s">
        <v>177</v>
      </c>
      <c r="R1766">
        <v>6.4045841958171052E-3</v>
      </c>
      <c r="S1766" t="s">
        <v>178</v>
      </c>
      <c r="T1766">
        <v>3.3233473005918744E-2</v>
      </c>
      <c r="U1766" t="s">
        <v>90</v>
      </c>
      <c r="V1766">
        <v>0</v>
      </c>
      <c r="W1766" t="s">
        <v>90</v>
      </c>
      <c r="X1766">
        <v>0</v>
      </c>
      <c r="Y1766">
        <v>0.32679581789153433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45</v>
      </c>
      <c r="AF1766">
        <v>174</v>
      </c>
      <c r="AG1766">
        <v>96</v>
      </c>
      <c r="AI1766">
        <v>8.3000000000000004E-2</v>
      </c>
      <c r="AK1766" t="s">
        <v>5305</v>
      </c>
      <c r="AL1766" t="s">
        <v>749</v>
      </c>
      <c r="AM1766">
        <v>200000</v>
      </c>
      <c r="AN1766" t="s">
        <v>97</v>
      </c>
      <c r="AO1766">
        <v>1</v>
      </c>
      <c r="AP1766">
        <v>0</v>
      </c>
      <c r="AQ1766">
        <v>16666.666666666668</v>
      </c>
      <c r="AR1766" t="s">
        <v>5578</v>
      </c>
      <c r="AS1766" t="s">
        <v>75</v>
      </c>
      <c r="AX1766" t="s">
        <v>76</v>
      </c>
      <c r="AY1766" t="s">
        <v>176</v>
      </c>
      <c r="AZ1766">
        <v>0</v>
      </c>
      <c r="BA1766" t="s">
        <v>176</v>
      </c>
      <c r="BB1766">
        <v>0</v>
      </c>
    </row>
    <row r="1767" spans="1:56" x14ac:dyDescent="0.15">
      <c r="A1767" s="4" t="str">
        <f>HYPERLINK("https://ibp.a2mac1.com/costing(costing:projects/details/9760/part/8415863)","Struts")</f>
        <v>Struts</v>
      </c>
      <c r="B1767">
        <v>8415863</v>
      </c>
      <c r="C1767">
        <v>8415636</v>
      </c>
      <c r="D1767" t="s">
        <v>5581</v>
      </c>
      <c r="E1767">
        <v>17.7</v>
      </c>
      <c r="F1767">
        <v>0</v>
      </c>
      <c r="G1767">
        <v>0</v>
      </c>
      <c r="H1767">
        <v>0</v>
      </c>
      <c r="I1767" t="s">
        <v>71</v>
      </c>
      <c r="J1767">
        <v>0</v>
      </c>
      <c r="K1767">
        <v>17.7</v>
      </c>
      <c r="L1767">
        <v>0</v>
      </c>
      <c r="M1767">
        <v>0</v>
      </c>
      <c r="N1767">
        <v>17.7</v>
      </c>
      <c r="O1767" t="s">
        <v>71</v>
      </c>
      <c r="P1767">
        <v>0</v>
      </c>
      <c r="Q1767" t="s">
        <v>71</v>
      </c>
      <c r="R1767">
        <v>0</v>
      </c>
      <c r="S1767" t="s">
        <v>71</v>
      </c>
      <c r="T1767">
        <v>0</v>
      </c>
      <c r="U1767" t="s">
        <v>71</v>
      </c>
      <c r="V1767">
        <v>0</v>
      </c>
      <c r="W1767" t="s">
        <v>71</v>
      </c>
      <c r="X1767">
        <v>0</v>
      </c>
      <c r="Y1767">
        <v>17.7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20</v>
      </c>
      <c r="AF1767">
        <v>20</v>
      </c>
      <c r="AG1767">
        <v>365</v>
      </c>
      <c r="AI1767">
        <v>0.35399999999999998</v>
      </c>
      <c r="AK1767" t="s">
        <v>5281</v>
      </c>
      <c r="AM1767">
        <v>400000</v>
      </c>
      <c r="AN1767" t="s">
        <v>97</v>
      </c>
      <c r="AO1767">
        <v>2</v>
      </c>
      <c r="AP1767">
        <v>0</v>
      </c>
      <c r="AQ1767">
        <v>33333.333333333336</v>
      </c>
      <c r="AR1767" t="s">
        <v>5582</v>
      </c>
      <c r="AS1767" t="s">
        <v>75</v>
      </c>
      <c r="AX1767" t="s">
        <v>76</v>
      </c>
      <c r="AY1767" t="s">
        <v>71</v>
      </c>
      <c r="AZ1767">
        <v>0</v>
      </c>
      <c r="BA1767" t="s">
        <v>71</v>
      </c>
      <c r="BB1767">
        <v>0</v>
      </c>
      <c r="BD1767">
        <v>8.85</v>
      </c>
    </row>
    <row r="1768" spans="1:56" x14ac:dyDescent="0.15">
      <c r="A1768" s="4" t="str">
        <f>HYPERLINK("https://ibp.a2mac1.com/costing(costing:projects/details/9760/part/8415864)","Fastener Hood Side")</f>
        <v>Fastener Hood Side</v>
      </c>
      <c r="B1768">
        <v>8415864</v>
      </c>
      <c r="C1768">
        <v>8415636</v>
      </c>
      <c r="D1768" t="s">
        <v>5583</v>
      </c>
      <c r="E1768">
        <v>1.6</v>
      </c>
      <c r="F1768">
        <v>0</v>
      </c>
      <c r="G1768">
        <v>0</v>
      </c>
      <c r="H1768">
        <v>0</v>
      </c>
      <c r="I1768" t="s">
        <v>71</v>
      </c>
      <c r="J1768">
        <v>0</v>
      </c>
      <c r="K1768">
        <v>1.6</v>
      </c>
      <c r="L1768">
        <v>0</v>
      </c>
      <c r="M1768">
        <v>0</v>
      </c>
      <c r="N1768">
        <v>1.6</v>
      </c>
      <c r="O1768" t="s">
        <v>71</v>
      </c>
      <c r="P1768">
        <v>0</v>
      </c>
      <c r="Q1768" t="s">
        <v>71</v>
      </c>
      <c r="R1768">
        <v>0</v>
      </c>
      <c r="S1768" t="s">
        <v>71</v>
      </c>
      <c r="T1768">
        <v>0</v>
      </c>
      <c r="U1768" t="s">
        <v>71</v>
      </c>
      <c r="V1768">
        <v>0</v>
      </c>
      <c r="W1768" t="s">
        <v>71</v>
      </c>
      <c r="X1768">
        <v>0</v>
      </c>
      <c r="Y1768">
        <v>1.6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19</v>
      </c>
      <c r="AF1768">
        <v>19</v>
      </c>
      <c r="AG1768">
        <v>39</v>
      </c>
      <c r="AI1768">
        <v>3.9E-2</v>
      </c>
      <c r="AK1768" t="s">
        <v>5305</v>
      </c>
      <c r="AL1768" t="s">
        <v>96</v>
      </c>
      <c r="AM1768">
        <v>400000</v>
      </c>
      <c r="AN1768" t="s">
        <v>97</v>
      </c>
      <c r="AO1768">
        <v>2</v>
      </c>
      <c r="AP1768">
        <v>0</v>
      </c>
      <c r="AQ1768">
        <v>33333.333333333336</v>
      </c>
      <c r="AR1768" t="s">
        <v>5584</v>
      </c>
      <c r="AS1768" t="s">
        <v>75</v>
      </c>
      <c r="AX1768" t="s">
        <v>76</v>
      </c>
      <c r="AY1768" t="s">
        <v>71</v>
      </c>
      <c r="AZ1768">
        <v>0</v>
      </c>
      <c r="BA1768" t="s">
        <v>71</v>
      </c>
      <c r="BB1768">
        <v>0</v>
      </c>
      <c r="BD1768">
        <v>0.8</v>
      </c>
    </row>
    <row r="1769" spans="1:56" x14ac:dyDescent="0.15">
      <c r="A1769" s="4" t="str">
        <f>HYPERLINK("https://ibp.a2mac1.com/costing(costing:projects/details/9760/part/8415865)","Side on Body")</f>
        <v>Side on Body</v>
      </c>
      <c r="B1769">
        <v>8415865</v>
      </c>
      <c r="C1769">
        <v>8415637</v>
      </c>
      <c r="E1769">
        <v>7.7999921999999999E-2</v>
      </c>
      <c r="F1769">
        <v>0</v>
      </c>
      <c r="G1769">
        <v>0</v>
      </c>
      <c r="H1769">
        <v>1.6108254568421052E-4</v>
      </c>
      <c r="I1769" t="s">
        <v>176</v>
      </c>
      <c r="J1769">
        <v>2.7368393684210528E-3</v>
      </c>
      <c r="K1769">
        <v>8.0897843914105261E-2</v>
      </c>
      <c r="L1769">
        <v>0.11378600258367556</v>
      </c>
      <c r="M1769">
        <v>0.68271601550205341</v>
      </c>
      <c r="N1769">
        <v>0.76361385941615867</v>
      </c>
      <c r="O1769" t="s">
        <v>177</v>
      </c>
      <c r="P1769">
        <v>4.8538706348463159E-3</v>
      </c>
      <c r="Q1769" t="s">
        <v>177</v>
      </c>
      <c r="R1769">
        <v>4.09629609301232E-2</v>
      </c>
      <c r="S1769" t="s">
        <v>178</v>
      </c>
      <c r="T1769">
        <v>9.1633663129939036E-2</v>
      </c>
      <c r="U1769" t="s">
        <v>90</v>
      </c>
      <c r="V1769">
        <v>0</v>
      </c>
      <c r="W1769" t="s">
        <v>90</v>
      </c>
      <c r="X1769">
        <v>0</v>
      </c>
      <c r="Y1769">
        <v>0.90106435411106722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160</v>
      </c>
      <c r="AF1769">
        <v>79</v>
      </c>
      <c r="AG1769">
        <v>56</v>
      </c>
      <c r="AI1769">
        <v>2.1999999999999999E-2</v>
      </c>
      <c r="AK1769" t="s">
        <v>5305</v>
      </c>
      <c r="AL1769" t="s">
        <v>1957</v>
      </c>
      <c r="AM1769">
        <v>200000</v>
      </c>
      <c r="AN1769" t="s">
        <v>97</v>
      </c>
      <c r="AO1769">
        <v>1</v>
      </c>
      <c r="AP1769">
        <v>0</v>
      </c>
      <c r="AQ1769">
        <v>16666.666666666668</v>
      </c>
      <c r="AR1769" t="s">
        <v>5590</v>
      </c>
      <c r="AS1769" t="s">
        <v>75</v>
      </c>
      <c r="AX1769" t="s">
        <v>76</v>
      </c>
      <c r="AY1769" t="s">
        <v>176</v>
      </c>
      <c r="AZ1769">
        <v>0</v>
      </c>
      <c r="BA1769" t="s">
        <v>176</v>
      </c>
      <c r="BB1769">
        <v>0</v>
      </c>
    </row>
    <row r="1770" spans="1:56" x14ac:dyDescent="0.15">
      <c r="A1770" s="4" t="str">
        <f>HYPERLINK("https://ibp.a2mac1.com/costing(costing:projects/details/9760/part/8415866)","2nd Side Seal on Body")</f>
        <v>2nd Side Seal on Body</v>
      </c>
      <c r="B1770">
        <v>8415866</v>
      </c>
      <c r="C1770">
        <v>8415637</v>
      </c>
      <c r="E1770">
        <v>7.0909020000000003E-2</v>
      </c>
      <c r="F1770">
        <v>0</v>
      </c>
      <c r="G1770">
        <v>0</v>
      </c>
      <c r="H1770">
        <v>1.4643867789473686E-4</v>
      </c>
      <c r="I1770" t="s">
        <v>176</v>
      </c>
      <c r="J1770">
        <v>2.4880357894736843E-3</v>
      </c>
      <c r="K1770">
        <v>7.3543494467368423E-2</v>
      </c>
      <c r="L1770">
        <v>0.11378600258367556</v>
      </c>
      <c r="M1770">
        <v>0.68271601550205341</v>
      </c>
      <c r="N1770">
        <v>0.75625950996942182</v>
      </c>
      <c r="O1770" t="s">
        <v>177</v>
      </c>
      <c r="P1770">
        <v>4.4126096680421056E-3</v>
      </c>
      <c r="Q1770" t="s">
        <v>177</v>
      </c>
      <c r="R1770">
        <v>4.09629609301232E-2</v>
      </c>
      <c r="S1770" t="s">
        <v>178</v>
      </c>
      <c r="T1770">
        <v>9.0751141196330612E-2</v>
      </c>
      <c r="U1770" t="s">
        <v>90</v>
      </c>
      <c r="V1770">
        <v>0</v>
      </c>
      <c r="W1770" t="s">
        <v>90</v>
      </c>
      <c r="X1770">
        <v>0</v>
      </c>
      <c r="Y1770">
        <v>0.89238622176391769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160</v>
      </c>
      <c r="AF1770">
        <v>79</v>
      </c>
      <c r="AG1770">
        <v>56</v>
      </c>
      <c r="AI1770">
        <v>0.02</v>
      </c>
      <c r="AK1770" t="s">
        <v>5305</v>
      </c>
      <c r="AL1770" t="s">
        <v>1957</v>
      </c>
      <c r="AM1770">
        <v>200000</v>
      </c>
      <c r="AN1770" t="s">
        <v>97</v>
      </c>
      <c r="AO1770">
        <v>1</v>
      </c>
      <c r="AP1770">
        <v>0</v>
      </c>
      <c r="AQ1770">
        <v>16666.666666666668</v>
      </c>
      <c r="AR1770" t="s">
        <v>5594</v>
      </c>
      <c r="AS1770" t="s">
        <v>75</v>
      </c>
      <c r="AX1770" t="s">
        <v>76</v>
      </c>
      <c r="AY1770" t="s">
        <v>176</v>
      </c>
      <c r="AZ1770">
        <v>0</v>
      </c>
      <c r="BA1770" t="s">
        <v>176</v>
      </c>
      <c r="BB1770">
        <v>0</v>
      </c>
    </row>
    <row r="1771" spans="1:56" x14ac:dyDescent="0.15">
      <c r="A1771" s="4" t="str">
        <f>HYPERLINK("https://ibp.a2mac1.com/costing(costing:projects/details/9760/part/8415867)","Adjustable Stoppers on Body")</f>
        <v>Adjustable Stoppers on Body</v>
      </c>
      <c r="B1771">
        <v>8415867</v>
      </c>
      <c r="C1771">
        <v>8415638</v>
      </c>
      <c r="E1771">
        <v>0.18143435099999999</v>
      </c>
      <c r="F1771">
        <v>0</v>
      </c>
      <c r="G1771">
        <v>0</v>
      </c>
      <c r="H1771">
        <v>9.1490204063157893E-4</v>
      </c>
      <c r="I1771" t="s">
        <v>176</v>
      </c>
      <c r="J1771">
        <v>6.3661175789473685E-3</v>
      </c>
      <c r="K1771">
        <v>0.18871537061957894</v>
      </c>
      <c r="L1771">
        <v>2.8708580498027947E-3</v>
      </c>
      <c r="M1771">
        <v>1.7225148298816769E-2</v>
      </c>
      <c r="N1771">
        <v>0.20594051891839571</v>
      </c>
      <c r="O1771" t="s">
        <v>177</v>
      </c>
      <c r="P1771">
        <v>1.1322922237174737E-2</v>
      </c>
      <c r="Q1771" t="s">
        <v>177</v>
      </c>
      <c r="R1771">
        <v>1.0335088979290061E-3</v>
      </c>
      <c r="S1771" t="s">
        <v>178</v>
      </c>
      <c r="T1771">
        <v>2.4712862270207487E-2</v>
      </c>
      <c r="U1771" t="s">
        <v>90</v>
      </c>
      <c r="V1771">
        <v>0</v>
      </c>
      <c r="W1771" t="s">
        <v>90</v>
      </c>
      <c r="X1771">
        <v>0</v>
      </c>
      <c r="Y1771">
        <v>0.24300981232370694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23</v>
      </c>
      <c r="AF1771">
        <v>23</v>
      </c>
      <c r="AG1771">
        <v>43</v>
      </c>
      <c r="AI1771">
        <v>3.1E-2</v>
      </c>
      <c r="AK1771" t="s">
        <v>5305</v>
      </c>
      <c r="AL1771" t="s">
        <v>289</v>
      </c>
      <c r="AM1771">
        <v>400000</v>
      </c>
      <c r="AN1771" t="s">
        <v>97</v>
      </c>
      <c r="AO1771">
        <v>2</v>
      </c>
      <c r="AP1771">
        <v>0</v>
      </c>
      <c r="AQ1771">
        <v>33333.333333333336</v>
      </c>
      <c r="AR1771" t="s">
        <v>5599</v>
      </c>
      <c r="AS1771" t="s">
        <v>75</v>
      </c>
      <c r="AX1771" t="s">
        <v>76</v>
      </c>
      <c r="AY1771" t="s">
        <v>176</v>
      </c>
      <c r="AZ1771">
        <v>0</v>
      </c>
      <c r="BA1771" t="s">
        <v>176</v>
      </c>
      <c r="BB1771">
        <v>0</v>
      </c>
    </row>
    <row r="1772" spans="1:56" x14ac:dyDescent="0.15">
      <c r="A1772" s="4" t="str">
        <f>HYPERLINK("https://ibp.a2mac1.com/costing(costing:projects/details/9760/part/8415868)","2nd Adjustable Stoppers on Body")</f>
        <v>2nd Adjustable Stoppers on Body</v>
      </c>
      <c r="B1772">
        <v>8415868</v>
      </c>
      <c r="C1772">
        <v>8415638</v>
      </c>
      <c r="E1772">
        <v>0.18143435099999999</v>
      </c>
      <c r="F1772">
        <v>0</v>
      </c>
      <c r="G1772">
        <v>0</v>
      </c>
      <c r="H1772">
        <v>9.1490204063157893E-4</v>
      </c>
      <c r="I1772" t="s">
        <v>176</v>
      </c>
      <c r="J1772">
        <v>6.3661175789473685E-3</v>
      </c>
      <c r="K1772">
        <v>0.18871537061957894</v>
      </c>
      <c r="L1772">
        <v>2.8708580498027947E-3</v>
      </c>
      <c r="M1772">
        <v>1.7225148298816769E-2</v>
      </c>
      <c r="N1772">
        <v>0.20594051891839571</v>
      </c>
      <c r="O1772" t="s">
        <v>177</v>
      </c>
      <c r="P1772">
        <v>1.1322922237174737E-2</v>
      </c>
      <c r="Q1772" t="s">
        <v>177</v>
      </c>
      <c r="R1772">
        <v>1.0335088979290061E-3</v>
      </c>
      <c r="S1772" t="s">
        <v>178</v>
      </c>
      <c r="T1772">
        <v>2.4712862270207487E-2</v>
      </c>
      <c r="U1772" t="s">
        <v>90</v>
      </c>
      <c r="V1772">
        <v>0</v>
      </c>
      <c r="W1772" t="s">
        <v>90</v>
      </c>
      <c r="X1772">
        <v>0</v>
      </c>
      <c r="Y1772">
        <v>0.24300981232370694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23</v>
      </c>
      <c r="AF1772">
        <v>23</v>
      </c>
      <c r="AG1772">
        <v>44</v>
      </c>
      <c r="AI1772">
        <v>3.1E-2</v>
      </c>
      <c r="AK1772" t="s">
        <v>5305</v>
      </c>
      <c r="AL1772" t="s">
        <v>289</v>
      </c>
      <c r="AM1772">
        <v>400000</v>
      </c>
      <c r="AN1772" t="s">
        <v>97</v>
      </c>
      <c r="AO1772">
        <v>2</v>
      </c>
      <c r="AP1772">
        <v>0</v>
      </c>
      <c r="AQ1772">
        <v>33333.333333333336</v>
      </c>
      <c r="AR1772" t="s">
        <v>5602</v>
      </c>
      <c r="AS1772" t="s">
        <v>75</v>
      </c>
      <c r="AX1772" t="s">
        <v>76</v>
      </c>
      <c r="AY1772" t="s">
        <v>176</v>
      </c>
      <c r="AZ1772">
        <v>0</v>
      </c>
      <c r="BA1772" t="s">
        <v>176</v>
      </c>
      <c r="BB1772">
        <v>0</v>
      </c>
    </row>
    <row r="1773" spans="1:56" x14ac:dyDescent="0.15">
      <c r="A1773" s="4" t="str">
        <f>HYPERLINK("https://ibp.a2mac1.com/costing(costing:projects/details/9760/part/8416533)","Part 01 (single/main)")</f>
        <v>Part 01 (single/main)</v>
      </c>
      <c r="B1773">
        <v>8416533</v>
      </c>
      <c r="C1773">
        <v>8416225</v>
      </c>
      <c r="D1773" t="s">
        <v>5612</v>
      </c>
      <c r="E1773">
        <v>35.519195655942433</v>
      </c>
      <c r="F1773">
        <v>0</v>
      </c>
      <c r="G1773">
        <v>0</v>
      </c>
      <c r="H1773">
        <v>4.5884562428257329E-2</v>
      </c>
      <c r="I1773" t="s">
        <v>176</v>
      </c>
      <c r="J1773">
        <v>1.5441920047971218</v>
      </c>
      <c r="K1773">
        <v>37.109272223167814</v>
      </c>
      <c r="L1773">
        <v>6.7211957125196189E-2</v>
      </c>
      <c r="M1773">
        <v>0.40327174275117711</v>
      </c>
      <c r="N1773">
        <v>37.512543965918994</v>
      </c>
      <c r="O1773" t="s">
        <v>90</v>
      </c>
      <c r="P1773">
        <v>0</v>
      </c>
      <c r="Q1773" t="s">
        <v>90</v>
      </c>
      <c r="R1773">
        <v>0</v>
      </c>
      <c r="S1773" t="s">
        <v>90</v>
      </c>
      <c r="T1773">
        <v>0</v>
      </c>
      <c r="U1773" t="s">
        <v>90</v>
      </c>
      <c r="V1773">
        <v>0</v>
      </c>
      <c r="W1773" t="s">
        <v>90</v>
      </c>
      <c r="X1773">
        <v>0</v>
      </c>
      <c r="Y1773">
        <v>37.512543965918994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K1773" t="s">
        <v>5035</v>
      </c>
      <c r="AM1773">
        <v>200000</v>
      </c>
      <c r="AN1773" t="s">
        <v>73</v>
      </c>
      <c r="AO1773">
        <v>1</v>
      </c>
      <c r="AP1773">
        <v>0</v>
      </c>
      <c r="AQ1773">
        <v>16666.666666666668</v>
      </c>
      <c r="AR1773" t="s">
        <v>9</v>
      </c>
      <c r="AS1773" t="s">
        <v>75</v>
      </c>
      <c r="AV1773">
        <v>0</v>
      </c>
      <c r="AW1773">
        <v>0</v>
      </c>
      <c r="AX1773" t="s">
        <v>76</v>
      </c>
      <c r="AY1773" t="s">
        <v>176</v>
      </c>
      <c r="AZ1773">
        <v>0</v>
      </c>
      <c r="BA1773" t="s">
        <v>176</v>
      </c>
      <c r="BB1773">
        <v>0</v>
      </c>
    </row>
    <row r="1774" spans="1:56" x14ac:dyDescent="0.15">
      <c r="A1774" s="4" t="str">
        <f>HYPERLINK("https://ibp.a2mac1.com/costing(costing:projects/details/9760/part/8416534)","Closures&gt;Hood&gt;Lining assy&gt;Spacers&gt;Part 01 (main/single)")</f>
        <v>Closures&gt;Hood&gt;Lining assy&gt;Spacers&gt;Part 01 (main/single)</v>
      </c>
      <c r="B1774">
        <v>8416534</v>
      </c>
      <c r="C1774">
        <v>8416226</v>
      </c>
      <c r="D1774" t="s">
        <v>5612</v>
      </c>
      <c r="E1774">
        <v>0.63677611733333328</v>
      </c>
      <c r="F1774">
        <v>0</v>
      </c>
      <c r="G1774">
        <v>0</v>
      </c>
      <c r="H1774">
        <v>1.3768132266666667E-5</v>
      </c>
      <c r="I1774" t="s">
        <v>176</v>
      </c>
      <c r="J1774">
        <v>2.4094231466666668E-2</v>
      </c>
      <c r="K1774">
        <v>0.66088411693226667</v>
      </c>
      <c r="L1774">
        <v>4.9079754834314279E-3</v>
      </c>
      <c r="M1774">
        <v>2.9447852900588566E-2</v>
      </c>
      <c r="N1774">
        <v>0.69033196983285527</v>
      </c>
      <c r="O1774" t="s">
        <v>177</v>
      </c>
      <c r="P1774">
        <v>3.9653047015935999E-2</v>
      </c>
      <c r="Q1774" t="s">
        <v>177</v>
      </c>
      <c r="R1774">
        <v>1.7668711740353141E-3</v>
      </c>
      <c r="S1774" t="s">
        <v>178</v>
      </c>
      <c r="T1774">
        <v>8.2839836379942633E-2</v>
      </c>
      <c r="U1774" t="s">
        <v>90</v>
      </c>
      <c r="V1774">
        <v>0</v>
      </c>
      <c r="W1774" t="s">
        <v>90</v>
      </c>
      <c r="X1774">
        <v>0</v>
      </c>
      <c r="Y1774">
        <v>0.81459172440276917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K1774" t="s">
        <v>5305</v>
      </c>
      <c r="AM1774">
        <v>200000</v>
      </c>
      <c r="AN1774" t="s">
        <v>97</v>
      </c>
      <c r="AO1774">
        <v>1</v>
      </c>
      <c r="AP1774">
        <v>0</v>
      </c>
      <c r="AQ1774">
        <v>16666.666666666668</v>
      </c>
      <c r="AR1774" t="s">
        <v>9</v>
      </c>
      <c r="AS1774" t="s">
        <v>75</v>
      </c>
      <c r="AX1774" t="s">
        <v>76</v>
      </c>
      <c r="AY1774" t="s">
        <v>176</v>
      </c>
      <c r="AZ1774">
        <v>0</v>
      </c>
      <c r="BA1774" t="s">
        <v>176</v>
      </c>
      <c r="BB1774">
        <v>0</v>
      </c>
    </row>
    <row r="1775" spans="1:56" x14ac:dyDescent="0.15">
      <c r="A1775" s="4" t="str">
        <f>HYPERLINK("https://ibp.a2mac1.com/costing(costing:projects/details/9760/part/8416535)","Closures&gt;Hood&gt;Lining assy&gt;Fixing parts&gt;Part 02")</f>
        <v>Closures&gt;Hood&gt;Lining assy&gt;Fixing parts&gt;Part 02</v>
      </c>
      <c r="B1775">
        <v>8416535</v>
      </c>
      <c r="C1775">
        <v>8416227</v>
      </c>
      <c r="D1775" t="s">
        <v>5528</v>
      </c>
      <c r="E1775">
        <v>1.7753677539999999</v>
      </c>
      <c r="F1775">
        <v>0</v>
      </c>
      <c r="G1775">
        <v>0</v>
      </c>
      <c r="H1775">
        <v>3.7773781999999998E-5</v>
      </c>
      <c r="I1775" t="s">
        <v>176</v>
      </c>
      <c r="J1775">
        <v>6.6104118500000003E-2</v>
      </c>
      <c r="K1775">
        <v>1.841509646282</v>
      </c>
      <c r="L1775">
        <v>2.6896095320464691E-2</v>
      </c>
      <c r="M1775">
        <v>0.16137657192278815</v>
      </c>
      <c r="N1775">
        <v>2.0028862182047882</v>
      </c>
      <c r="O1775" t="s">
        <v>177</v>
      </c>
      <c r="P1775">
        <v>0.11049057877692001</v>
      </c>
      <c r="Q1775" t="s">
        <v>177</v>
      </c>
      <c r="R1775">
        <v>9.6825943153672888E-3</v>
      </c>
      <c r="S1775" t="s">
        <v>178</v>
      </c>
      <c r="T1775">
        <v>0.24034634618457457</v>
      </c>
      <c r="U1775" t="s">
        <v>90</v>
      </c>
      <c r="V1775">
        <v>0</v>
      </c>
      <c r="W1775" t="s">
        <v>90</v>
      </c>
      <c r="X1775">
        <v>0</v>
      </c>
      <c r="Y1775">
        <v>2.3634057374816502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K1775" t="s">
        <v>5305</v>
      </c>
      <c r="AM1775">
        <v>400000</v>
      </c>
      <c r="AN1775" t="s">
        <v>97</v>
      </c>
      <c r="AO1775">
        <v>2</v>
      </c>
      <c r="AP1775">
        <v>0</v>
      </c>
      <c r="AQ1775">
        <v>33333.333333333336</v>
      </c>
      <c r="AR1775" t="s">
        <v>9</v>
      </c>
      <c r="AS1775" t="s">
        <v>75</v>
      </c>
      <c r="AX1775" t="s">
        <v>76</v>
      </c>
      <c r="AY1775" t="s">
        <v>176</v>
      </c>
      <c r="AZ1775">
        <v>0</v>
      </c>
      <c r="BA1775" t="s">
        <v>176</v>
      </c>
      <c r="BB1775">
        <v>0</v>
      </c>
    </row>
    <row r="1776" spans="1:56" x14ac:dyDescent="0.15">
      <c r="A1776" s="4" t="str">
        <f>HYPERLINK("https://ibp.a2mac1.com/costing(costing:projects/details/9760/part/8416536)","Closures&gt;Hood&gt;Lining assy&gt;Fixing parts&gt;Part 01 (main/single)")</f>
        <v>Closures&gt;Hood&gt;Lining assy&gt;Fixing parts&gt;Part 01 (main/single)</v>
      </c>
      <c r="B1776">
        <v>8416536</v>
      </c>
      <c r="C1776">
        <v>8416227</v>
      </c>
      <c r="D1776" t="s">
        <v>5612</v>
      </c>
      <c r="E1776">
        <v>0.30311310499999999</v>
      </c>
      <c r="F1776">
        <v>0</v>
      </c>
      <c r="G1776">
        <v>0</v>
      </c>
      <c r="H1776">
        <v>6.4492150000000002E-6</v>
      </c>
      <c r="I1776" t="s">
        <v>176</v>
      </c>
      <c r="J1776">
        <v>1.128612625E-2</v>
      </c>
      <c r="K1776">
        <v>0.314405680465</v>
      </c>
      <c r="L1776">
        <v>1.2228940964449372E-2</v>
      </c>
      <c r="M1776">
        <v>7.3373645786696237E-2</v>
      </c>
      <c r="N1776">
        <v>0.38777932625169625</v>
      </c>
      <c r="O1776" t="s">
        <v>177</v>
      </c>
      <c r="P1776">
        <v>1.8864340827899999E-2</v>
      </c>
      <c r="Q1776" t="s">
        <v>177</v>
      </c>
      <c r="R1776">
        <v>4.4024187472017735E-3</v>
      </c>
      <c r="S1776" t="s">
        <v>178</v>
      </c>
      <c r="T1776">
        <v>4.6533519150203546E-2</v>
      </c>
      <c r="U1776" t="s">
        <v>90</v>
      </c>
      <c r="V1776">
        <v>0</v>
      </c>
      <c r="W1776" t="s">
        <v>90</v>
      </c>
      <c r="X1776">
        <v>0</v>
      </c>
      <c r="Y1776">
        <v>0.45757960497700156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K1776" t="s">
        <v>5305</v>
      </c>
      <c r="AM1776">
        <v>200000</v>
      </c>
      <c r="AN1776" t="s">
        <v>97</v>
      </c>
      <c r="AO1776">
        <v>1</v>
      </c>
      <c r="AP1776">
        <v>0</v>
      </c>
      <c r="AQ1776">
        <v>16666.666666666668</v>
      </c>
      <c r="AR1776" t="s">
        <v>9</v>
      </c>
      <c r="AS1776" t="s">
        <v>75</v>
      </c>
      <c r="AX1776" t="s">
        <v>76</v>
      </c>
      <c r="AY1776" t="s">
        <v>176</v>
      </c>
      <c r="AZ1776">
        <v>0</v>
      </c>
      <c r="BA1776" t="s">
        <v>176</v>
      </c>
      <c r="BB1776">
        <v>0</v>
      </c>
    </row>
    <row r="1777" spans="1:56" x14ac:dyDescent="0.15">
      <c r="A1777" s="4" t="str">
        <f>HYPERLINK("https://ibp.a2mac1.com/costing(costing:projects/details/9760/part/8416537)","Closures&gt;Hood&gt;Lining assy&gt;Striker&gt;Part 01 (main/single)")</f>
        <v>Closures&gt;Hood&gt;Lining assy&gt;Striker&gt;Part 01 (main/single)</v>
      </c>
      <c r="B1777">
        <v>8416537</v>
      </c>
      <c r="C1777">
        <v>8416228</v>
      </c>
      <c r="D1777" t="s">
        <v>5635</v>
      </c>
      <c r="E1777">
        <v>3.4477319999999999E-2</v>
      </c>
      <c r="F1777">
        <v>0</v>
      </c>
      <c r="G1777">
        <v>0</v>
      </c>
      <c r="H1777">
        <v>7.3356000000000001E-7</v>
      </c>
      <c r="I1777" t="s">
        <v>176</v>
      </c>
      <c r="J1777">
        <v>1.2837300000000001E-3</v>
      </c>
      <c r="K1777">
        <v>3.5761783560000003E-2</v>
      </c>
      <c r="L1777">
        <v>4.187280951168211E-2</v>
      </c>
      <c r="M1777">
        <v>0.25123685707009269</v>
      </c>
      <c r="N1777">
        <v>0.28699864063009267</v>
      </c>
      <c r="O1777" t="s">
        <v>177</v>
      </c>
      <c r="P1777">
        <v>2.1457070136000002E-3</v>
      </c>
      <c r="Q1777" t="s">
        <v>177</v>
      </c>
      <c r="R1777">
        <v>1.507421142420556E-2</v>
      </c>
      <c r="S1777" t="s">
        <v>178</v>
      </c>
      <c r="T1777">
        <v>3.443983687561112E-2</v>
      </c>
      <c r="U1777" t="s">
        <v>90</v>
      </c>
      <c r="V1777">
        <v>0</v>
      </c>
      <c r="W1777" t="s">
        <v>90</v>
      </c>
      <c r="X1777">
        <v>0</v>
      </c>
      <c r="Y1777">
        <v>0.33865839594350933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K1777" t="s">
        <v>5305</v>
      </c>
      <c r="AM1777">
        <v>200000</v>
      </c>
      <c r="AN1777" t="s">
        <v>97</v>
      </c>
      <c r="AO1777">
        <v>1</v>
      </c>
      <c r="AP1777">
        <v>0</v>
      </c>
      <c r="AQ1777">
        <v>16666.666666666668</v>
      </c>
      <c r="AR1777" t="s">
        <v>9</v>
      </c>
      <c r="AS1777" t="s">
        <v>75</v>
      </c>
      <c r="AX1777" t="s">
        <v>76</v>
      </c>
      <c r="AY1777" t="s">
        <v>176</v>
      </c>
      <c r="AZ1777">
        <v>0</v>
      </c>
      <c r="BA1777" t="s">
        <v>176</v>
      </c>
      <c r="BB1777">
        <v>0</v>
      </c>
    </row>
    <row r="1778" spans="1:56" x14ac:dyDescent="0.15">
      <c r="A1778" s="4" t="str">
        <f>HYPERLINK("https://ibp.a2mac1.com/costing(costing:projects/details/9760/part/8416229)","Closures&gt;Hood&gt;Outer panel&gt;Part 01 (main/single)")</f>
        <v>Closures&gt;Hood&gt;Outer panel&gt;Part 01 (main/single)</v>
      </c>
      <c r="B1778">
        <v>8416229</v>
      </c>
      <c r="C1778">
        <v>8415870</v>
      </c>
      <c r="D1778" t="s">
        <v>5612</v>
      </c>
      <c r="E1778">
        <v>20.046489162</v>
      </c>
      <c r="F1778">
        <v>0</v>
      </c>
      <c r="G1778">
        <v>0</v>
      </c>
      <c r="H1778">
        <v>4.26521046E-4</v>
      </c>
      <c r="I1778" t="s">
        <v>176</v>
      </c>
      <c r="J1778">
        <v>0.74641183050000004</v>
      </c>
      <c r="K1778">
        <v>20.793327513546</v>
      </c>
      <c r="L1778">
        <v>0.24982862648184256</v>
      </c>
      <c r="M1778">
        <v>1.4989717588910554</v>
      </c>
      <c r="N1778">
        <v>22.292299272437056</v>
      </c>
      <c r="O1778" t="s">
        <v>90</v>
      </c>
      <c r="P1778">
        <v>0</v>
      </c>
      <c r="Q1778" t="s">
        <v>90</v>
      </c>
      <c r="R1778">
        <v>0</v>
      </c>
      <c r="S1778" t="s">
        <v>90</v>
      </c>
      <c r="T1778">
        <v>0</v>
      </c>
      <c r="U1778" t="s">
        <v>90</v>
      </c>
      <c r="V1778">
        <v>0</v>
      </c>
      <c r="W1778" t="s">
        <v>90</v>
      </c>
      <c r="X1778">
        <v>0</v>
      </c>
      <c r="Y1778">
        <v>22.292299272437056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K1778" t="s">
        <v>5035</v>
      </c>
      <c r="AM1778">
        <v>200000</v>
      </c>
      <c r="AN1778" t="s">
        <v>73</v>
      </c>
      <c r="AO1778">
        <v>1</v>
      </c>
      <c r="AP1778">
        <v>0</v>
      </c>
      <c r="AQ1778">
        <v>16666.666666666668</v>
      </c>
      <c r="AR1778" t="s">
        <v>9</v>
      </c>
      <c r="AS1778" t="s">
        <v>75</v>
      </c>
      <c r="AX1778" t="s">
        <v>76</v>
      </c>
      <c r="AY1778" t="s">
        <v>176</v>
      </c>
      <c r="AZ1778">
        <v>0</v>
      </c>
      <c r="BA1778" t="s">
        <v>176</v>
      </c>
      <c r="BB1778">
        <v>0</v>
      </c>
    </row>
    <row r="1779" spans="1:56" x14ac:dyDescent="0.15">
      <c r="A1779" s="4" t="str">
        <f>HYPERLINK("https://ibp.a2mac1.com/costing(costing:projects/details/9760/part/8415632)","Symbol")</f>
        <v>Symbol</v>
      </c>
      <c r="B1779">
        <v>8415632</v>
      </c>
      <c r="C1779">
        <v>8415583</v>
      </c>
      <c r="E1779">
        <v>1.0001195669424101</v>
      </c>
      <c r="F1779">
        <v>0</v>
      </c>
      <c r="G1779">
        <v>0</v>
      </c>
      <c r="H1779">
        <v>3.4759182615809056E-2</v>
      </c>
      <c r="I1779" t="s">
        <v>176</v>
      </c>
      <c r="J1779">
        <v>3.5008014829479198E-2</v>
      </c>
      <c r="K1779">
        <v>1.0698867643876984</v>
      </c>
      <c r="L1779">
        <v>0.10969283494735491</v>
      </c>
      <c r="M1779">
        <v>0.65815700968412938</v>
      </c>
      <c r="N1779">
        <v>1.7280437740718277</v>
      </c>
      <c r="O1779" t="s">
        <v>177</v>
      </c>
      <c r="P1779">
        <v>6.4193205863261896E-2</v>
      </c>
      <c r="Q1779" t="s">
        <v>177</v>
      </c>
      <c r="R1779">
        <v>3.9489420581047763E-2</v>
      </c>
      <c r="S1779" t="s">
        <v>178</v>
      </c>
      <c r="T1779">
        <v>0.20736525288861932</v>
      </c>
      <c r="U1779" t="s">
        <v>90</v>
      </c>
      <c r="V1779">
        <v>0</v>
      </c>
      <c r="W1779" t="s">
        <v>90</v>
      </c>
      <c r="X1779">
        <v>0</v>
      </c>
      <c r="Y1779">
        <v>2.0390916534047565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19</v>
      </c>
      <c r="AF1779">
        <v>79</v>
      </c>
      <c r="AG1779">
        <v>79</v>
      </c>
      <c r="AI1779">
        <v>2.8000000000000001E-2</v>
      </c>
      <c r="AK1779" t="s">
        <v>5305</v>
      </c>
      <c r="AL1779" t="s">
        <v>403</v>
      </c>
      <c r="AM1779">
        <v>200000</v>
      </c>
      <c r="AN1779" t="s">
        <v>97</v>
      </c>
      <c r="AO1779">
        <v>1</v>
      </c>
      <c r="AP1779">
        <v>0</v>
      </c>
      <c r="AQ1779">
        <v>16666.666666666668</v>
      </c>
      <c r="AR1779" t="s">
        <v>5654</v>
      </c>
      <c r="AS1779" t="s">
        <v>75</v>
      </c>
      <c r="AX1779" t="s">
        <v>76</v>
      </c>
      <c r="AY1779" t="s">
        <v>176</v>
      </c>
      <c r="AZ1779">
        <v>0</v>
      </c>
      <c r="BA1779" t="s">
        <v>176</v>
      </c>
      <c r="BB1779">
        <v>0</v>
      </c>
    </row>
    <row r="1780" spans="1:56" x14ac:dyDescent="0.15">
      <c r="A1780" s="4" t="str">
        <f>HYPERLINK("https://ibp.a2mac1.com/costing(costing:projects/details/9760/part/8415633)","Hole Plugs")</f>
        <v>Hole Plugs</v>
      </c>
      <c r="B1780">
        <v>8415633</v>
      </c>
      <c r="C1780">
        <v>8415583</v>
      </c>
      <c r="E1780">
        <v>0.6</v>
      </c>
      <c r="F1780">
        <v>0</v>
      </c>
      <c r="G1780">
        <v>0</v>
      </c>
      <c r="H1780">
        <v>0</v>
      </c>
      <c r="I1780" t="s">
        <v>71</v>
      </c>
      <c r="J1780">
        <v>0</v>
      </c>
      <c r="K1780">
        <v>0.6</v>
      </c>
      <c r="L1780">
        <v>0</v>
      </c>
      <c r="M1780">
        <v>0</v>
      </c>
      <c r="N1780">
        <v>0.6</v>
      </c>
      <c r="O1780" t="s">
        <v>71</v>
      </c>
      <c r="P1780">
        <v>0</v>
      </c>
      <c r="Q1780" t="s">
        <v>71</v>
      </c>
      <c r="R1780">
        <v>0</v>
      </c>
      <c r="S1780" t="s">
        <v>71</v>
      </c>
      <c r="T1780">
        <v>0</v>
      </c>
      <c r="U1780" t="s">
        <v>71</v>
      </c>
      <c r="V1780">
        <v>0</v>
      </c>
      <c r="W1780" t="s">
        <v>71</v>
      </c>
      <c r="X1780">
        <v>0</v>
      </c>
      <c r="Y1780">
        <v>0.6</v>
      </c>
      <c r="Z1780">
        <v>0</v>
      </c>
      <c r="AA1780">
        <v>0</v>
      </c>
      <c r="AB1780">
        <v>0</v>
      </c>
      <c r="AC1780">
        <v>0</v>
      </c>
      <c r="AD1780">
        <v>0</v>
      </c>
      <c r="AI1780">
        <v>1E-4</v>
      </c>
      <c r="AK1780" t="s">
        <v>5305</v>
      </c>
      <c r="AL1780" t="s">
        <v>403</v>
      </c>
      <c r="AM1780">
        <v>1200000</v>
      </c>
      <c r="AN1780" t="s">
        <v>97</v>
      </c>
      <c r="AO1780">
        <v>6</v>
      </c>
      <c r="AP1780">
        <v>0</v>
      </c>
      <c r="AQ1780">
        <v>100000</v>
      </c>
      <c r="AR1780" t="s">
        <v>5655</v>
      </c>
      <c r="AS1780" t="s">
        <v>75</v>
      </c>
      <c r="AX1780" t="s">
        <v>76</v>
      </c>
      <c r="AY1780" t="s">
        <v>71</v>
      </c>
      <c r="AZ1780">
        <v>0</v>
      </c>
      <c r="BA1780" t="s">
        <v>71</v>
      </c>
      <c r="BB1780">
        <v>0</v>
      </c>
      <c r="BD1780">
        <v>0.1</v>
      </c>
    </row>
    <row r="1781" spans="1:56" x14ac:dyDescent="0.15">
      <c r="A1781" s="4" t="str">
        <f>HYPERLINK("https://ibp.a2mac1.com/costing(costing:projects/details/9760/part/8416833)","Closures&gt;Tailgate or trunk&gt;Lining assy&gt;Lining&gt;Part 01 (single/upper)")</f>
        <v>Closures&gt;Tailgate or trunk&gt;Lining assy&gt;Lining&gt;Part 01 (single/upper)</v>
      </c>
      <c r="B1781">
        <v>8416833</v>
      </c>
      <c r="C1781">
        <v>8416538</v>
      </c>
      <c r="D1781" t="s">
        <v>5528</v>
      </c>
      <c r="E1781">
        <v>2.776860815</v>
      </c>
      <c r="F1781">
        <v>0</v>
      </c>
      <c r="G1781">
        <v>0</v>
      </c>
      <c r="H1781">
        <v>5.9082144999999998E-5</v>
      </c>
      <c r="I1781" t="s">
        <v>176</v>
      </c>
      <c r="J1781">
        <v>0.10339375375</v>
      </c>
      <c r="K1781">
        <v>2.8803136508949998</v>
      </c>
      <c r="L1781">
        <v>0.24982862648184256</v>
      </c>
      <c r="M1781">
        <v>1.4989717588910554</v>
      </c>
      <c r="N1781">
        <v>4.3792854097860552</v>
      </c>
      <c r="O1781" t="s">
        <v>90</v>
      </c>
      <c r="P1781">
        <v>0</v>
      </c>
      <c r="Q1781" t="s">
        <v>90</v>
      </c>
      <c r="R1781">
        <v>0</v>
      </c>
      <c r="S1781" t="s">
        <v>90</v>
      </c>
      <c r="T1781">
        <v>0</v>
      </c>
      <c r="U1781" t="s">
        <v>90</v>
      </c>
      <c r="V1781">
        <v>0</v>
      </c>
      <c r="W1781" t="s">
        <v>90</v>
      </c>
      <c r="X1781">
        <v>0</v>
      </c>
      <c r="Y1781">
        <v>4.3792854097860552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K1781" t="s">
        <v>5035</v>
      </c>
      <c r="AM1781">
        <v>200000</v>
      </c>
      <c r="AN1781" t="s">
        <v>73</v>
      </c>
      <c r="AO1781">
        <v>1</v>
      </c>
      <c r="AP1781">
        <v>0</v>
      </c>
      <c r="AQ1781">
        <v>16666.666666666668</v>
      </c>
      <c r="AR1781" t="s">
        <v>9</v>
      </c>
      <c r="AS1781" t="s">
        <v>75</v>
      </c>
      <c r="AX1781" t="s">
        <v>76</v>
      </c>
      <c r="AY1781" t="s">
        <v>176</v>
      </c>
      <c r="AZ1781">
        <v>0</v>
      </c>
      <c r="BA1781" t="s">
        <v>176</v>
      </c>
      <c r="BB1781">
        <v>0</v>
      </c>
    </row>
    <row r="1782" spans="1:56" x14ac:dyDescent="0.15">
      <c r="A1782" s="4" t="str">
        <f>HYPERLINK("https://ibp.a2mac1.com/costing(costing:projects/details/9760/part/8416834)","Closures&gt;Tailgate or trunk&gt;Lining assy&gt;Lining&gt;Part 02 (lower)")</f>
        <v>Closures&gt;Tailgate or trunk&gt;Lining assy&gt;Lining&gt;Part 02 (lower)</v>
      </c>
      <c r="B1782">
        <v>8416834</v>
      </c>
      <c r="C1782">
        <v>8416538</v>
      </c>
      <c r="D1782" t="s">
        <v>5528</v>
      </c>
      <c r="E1782">
        <v>7.6901540000000004E-2</v>
      </c>
      <c r="F1782">
        <v>0</v>
      </c>
      <c r="G1782">
        <v>0</v>
      </c>
      <c r="H1782">
        <v>1.6627359999999999E-6</v>
      </c>
      <c r="I1782" t="s">
        <v>176</v>
      </c>
      <c r="J1782">
        <v>2.909788E-3</v>
      </c>
      <c r="K1782">
        <v>7.9812990735999997E-2</v>
      </c>
      <c r="L1782">
        <v>8.0491354601504653E-3</v>
      </c>
      <c r="M1782">
        <v>4.8294812760902792E-2</v>
      </c>
      <c r="N1782">
        <v>0.12810780349690279</v>
      </c>
      <c r="O1782" t="s">
        <v>177</v>
      </c>
      <c r="P1782">
        <v>4.7887794441600004E-3</v>
      </c>
      <c r="Q1782" t="s">
        <v>177</v>
      </c>
      <c r="R1782">
        <v>2.8976887656541675E-3</v>
      </c>
      <c r="S1782" t="s">
        <v>178</v>
      </c>
      <c r="T1782">
        <v>1.5372936419628336E-2</v>
      </c>
      <c r="U1782" t="s">
        <v>90</v>
      </c>
      <c r="V1782">
        <v>0</v>
      </c>
      <c r="W1782" t="s">
        <v>90</v>
      </c>
      <c r="X1782">
        <v>0</v>
      </c>
      <c r="Y1782">
        <v>0.15116720812634529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K1782" t="s">
        <v>5305</v>
      </c>
      <c r="AM1782">
        <v>400000</v>
      </c>
      <c r="AN1782" t="s">
        <v>97</v>
      </c>
      <c r="AO1782">
        <v>2</v>
      </c>
      <c r="AP1782">
        <v>0</v>
      </c>
      <c r="AQ1782">
        <v>33333.333333333336</v>
      </c>
      <c r="AR1782" t="s">
        <v>9</v>
      </c>
      <c r="AS1782" t="s">
        <v>75</v>
      </c>
      <c r="AX1782" t="s">
        <v>76</v>
      </c>
      <c r="AY1782" t="s">
        <v>176</v>
      </c>
      <c r="AZ1782">
        <v>0</v>
      </c>
      <c r="BA1782" t="s">
        <v>176</v>
      </c>
      <c r="BB1782">
        <v>0</v>
      </c>
    </row>
    <row r="1783" spans="1:56" x14ac:dyDescent="0.15">
      <c r="A1783" s="4" t="str">
        <f>HYPERLINK("https://ibp.a2mac1.com/costing(costing:projects/details/9760/part/8416835)","Closures&gt;Tailgate or trunk&gt;Lining assy&gt;Spacers&gt;Part 01 (main/single)")</f>
        <v>Closures&gt;Tailgate or trunk&gt;Lining assy&gt;Spacers&gt;Part 01 (main/single)</v>
      </c>
      <c r="B1783">
        <v>8416835</v>
      </c>
      <c r="C1783">
        <v>8416539</v>
      </c>
      <c r="D1783" t="s">
        <v>5528</v>
      </c>
      <c r="E1783">
        <v>0.12641684</v>
      </c>
      <c r="F1783">
        <v>0</v>
      </c>
      <c r="G1783">
        <v>0</v>
      </c>
      <c r="H1783">
        <v>2.68972E-6</v>
      </c>
      <c r="I1783" t="s">
        <v>176</v>
      </c>
      <c r="J1783">
        <v>4.7070100000000002E-3</v>
      </c>
      <c r="K1783">
        <v>0.13112653971999999</v>
      </c>
      <c r="L1783">
        <v>8.0491354601504653E-3</v>
      </c>
      <c r="M1783">
        <v>4.8294812760902792E-2</v>
      </c>
      <c r="N1783">
        <v>0.1794213524809028</v>
      </c>
      <c r="O1783" t="s">
        <v>177</v>
      </c>
      <c r="P1783">
        <v>7.8675923831999992E-3</v>
      </c>
      <c r="Q1783" t="s">
        <v>177</v>
      </c>
      <c r="R1783">
        <v>2.8976887656541675E-3</v>
      </c>
      <c r="S1783" t="s">
        <v>178</v>
      </c>
      <c r="T1783">
        <v>2.1530562297708337E-2</v>
      </c>
      <c r="U1783" t="s">
        <v>90</v>
      </c>
      <c r="V1783">
        <v>0</v>
      </c>
      <c r="W1783" t="s">
        <v>90</v>
      </c>
      <c r="X1783">
        <v>0</v>
      </c>
      <c r="Y1783">
        <v>0.2117171959274653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K1783" t="s">
        <v>5305</v>
      </c>
      <c r="AM1783">
        <v>400000</v>
      </c>
      <c r="AN1783" t="s">
        <v>97</v>
      </c>
      <c r="AO1783">
        <v>2</v>
      </c>
      <c r="AP1783">
        <v>0</v>
      </c>
      <c r="AQ1783">
        <v>33333.333333333336</v>
      </c>
      <c r="AR1783" t="s">
        <v>9</v>
      </c>
      <c r="AS1783" t="s">
        <v>75</v>
      </c>
      <c r="AX1783" t="s">
        <v>76</v>
      </c>
      <c r="AY1783" t="s">
        <v>176</v>
      </c>
      <c r="AZ1783">
        <v>0</v>
      </c>
      <c r="BA1783" t="s">
        <v>176</v>
      </c>
      <c r="BB1783">
        <v>0</v>
      </c>
    </row>
    <row r="1784" spans="1:56" x14ac:dyDescent="0.15">
      <c r="A1784" s="4" t="str">
        <f>HYPERLINK("https://ibp.a2mac1.com/costing(costing:projects/details/9760/part/8416836)","Closures&gt;Tailgate or trunk&gt;Lining assy&gt;Fixing parts&gt;Part 01 (main/single)")</f>
        <v>Closures&gt;Tailgate or trunk&gt;Lining assy&gt;Fixing parts&gt;Part 01 (main/single)</v>
      </c>
      <c r="B1784">
        <v>8416836</v>
      </c>
      <c r="C1784">
        <v>8416540</v>
      </c>
      <c r="D1784" t="s">
        <v>5528</v>
      </c>
      <c r="E1784">
        <v>0.88964526666666666</v>
      </c>
      <c r="F1784">
        <v>0</v>
      </c>
      <c r="G1784">
        <v>0</v>
      </c>
      <c r="H1784">
        <v>1.9235573333333332E-5</v>
      </c>
      <c r="I1784" t="s">
        <v>176</v>
      </c>
      <c r="J1784">
        <v>3.3662253333333336E-2</v>
      </c>
      <c r="K1784">
        <v>0.92332675557333332</v>
      </c>
      <c r="L1784">
        <v>2.2691066422186355E-2</v>
      </c>
      <c r="M1784">
        <v>0.13614639853311811</v>
      </c>
      <c r="N1784">
        <v>1.0594731541064515</v>
      </c>
      <c r="O1784" t="s">
        <v>177</v>
      </c>
      <c r="P1784">
        <v>5.5399605334399998E-2</v>
      </c>
      <c r="Q1784" t="s">
        <v>177</v>
      </c>
      <c r="R1784">
        <v>8.1687839119870872E-3</v>
      </c>
      <c r="S1784" t="s">
        <v>178</v>
      </c>
      <c r="T1784">
        <v>0.12713677849277416</v>
      </c>
      <c r="U1784" t="s">
        <v>90</v>
      </c>
      <c r="V1784">
        <v>0</v>
      </c>
      <c r="W1784" t="s">
        <v>90</v>
      </c>
      <c r="X1784">
        <v>0</v>
      </c>
      <c r="Y1784">
        <v>1.2501783218456126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K1784" t="s">
        <v>5305</v>
      </c>
      <c r="AM1784">
        <v>400000</v>
      </c>
      <c r="AN1784" t="s">
        <v>97</v>
      </c>
      <c r="AO1784">
        <v>2</v>
      </c>
      <c r="AP1784">
        <v>0</v>
      </c>
      <c r="AQ1784">
        <v>33333.333333333336</v>
      </c>
      <c r="AR1784" t="s">
        <v>9</v>
      </c>
      <c r="AS1784" t="s">
        <v>75</v>
      </c>
      <c r="AX1784" t="s">
        <v>76</v>
      </c>
      <c r="AY1784" t="s">
        <v>176</v>
      </c>
      <c r="AZ1784">
        <v>0</v>
      </c>
      <c r="BA1784" t="s">
        <v>176</v>
      </c>
      <c r="BB1784">
        <v>0</v>
      </c>
    </row>
    <row r="1785" spans="1:56" x14ac:dyDescent="0.15">
      <c r="A1785" s="4" t="str">
        <f>HYPERLINK("https://ibp.a2mac1.com/costing(costing:projects/details/9760/part/8416837)","Closures&gt;Tailgate or trunk&gt;Lining assy&gt;Fixing parts&gt;Part 02")</f>
        <v>Closures&gt;Tailgate or trunk&gt;Lining assy&gt;Fixing parts&gt;Part 02</v>
      </c>
      <c r="B1785">
        <v>8416837</v>
      </c>
      <c r="C1785">
        <v>8416540</v>
      </c>
      <c r="D1785" t="s">
        <v>5528</v>
      </c>
      <c r="E1785">
        <v>0.343336645</v>
      </c>
      <c r="F1785">
        <v>0</v>
      </c>
      <c r="G1785">
        <v>0</v>
      </c>
      <c r="H1785">
        <v>7.3050350000000003E-6</v>
      </c>
      <c r="I1785" t="s">
        <v>176</v>
      </c>
      <c r="J1785">
        <v>1.2783811250000001E-2</v>
      </c>
      <c r="K1785">
        <v>0.35612776128500001</v>
      </c>
      <c r="L1785">
        <v>1.2228940964449372E-2</v>
      </c>
      <c r="M1785">
        <v>7.3373645786696237E-2</v>
      </c>
      <c r="N1785">
        <v>0.42950140707169621</v>
      </c>
      <c r="O1785" t="s">
        <v>177</v>
      </c>
      <c r="P1785">
        <v>2.1367665677099999E-2</v>
      </c>
      <c r="Q1785" t="s">
        <v>177</v>
      </c>
      <c r="R1785">
        <v>4.4024187472017735E-3</v>
      </c>
      <c r="S1785" t="s">
        <v>178</v>
      </c>
      <c r="T1785">
        <v>5.1540168848603546E-2</v>
      </c>
      <c r="U1785" t="s">
        <v>90</v>
      </c>
      <c r="V1785">
        <v>0</v>
      </c>
      <c r="W1785" t="s">
        <v>90</v>
      </c>
      <c r="X1785">
        <v>0</v>
      </c>
      <c r="Y1785">
        <v>0.50681166034460157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K1785" t="s">
        <v>5305</v>
      </c>
      <c r="AM1785">
        <v>200000</v>
      </c>
      <c r="AN1785" t="s">
        <v>97</v>
      </c>
      <c r="AO1785">
        <v>1</v>
      </c>
      <c r="AP1785">
        <v>0</v>
      </c>
      <c r="AQ1785">
        <v>16666.666666666668</v>
      </c>
      <c r="AR1785" t="s">
        <v>9</v>
      </c>
      <c r="AS1785" t="s">
        <v>75</v>
      </c>
      <c r="AX1785" t="s">
        <v>76</v>
      </c>
      <c r="AY1785" t="s">
        <v>176</v>
      </c>
      <c r="AZ1785">
        <v>0</v>
      </c>
      <c r="BA1785" t="s">
        <v>176</v>
      </c>
      <c r="BB1785">
        <v>0</v>
      </c>
    </row>
    <row r="1786" spans="1:56" x14ac:dyDescent="0.15">
      <c r="A1786" s="4" t="str">
        <f>HYPERLINK("https://ibp.a2mac1.com/costing(costing:projects/details/9760/part/8416838)","Closures&gt;Tailgate or trunk&gt;Outer panel assy&gt;Outer panel&gt;Part 01 (single/upper)")</f>
        <v>Closures&gt;Tailgate or trunk&gt;Outer panel assy&gt;Outer panel&gt;Part 01 (single/upper)</v>
      </c>
      <c r="B1786">
        <v>8416838</v>
      </c>
      <c r="C1786">
        <v>8416541</v>
      </c>
      <c r="D1786" t="s">
        <v>5528</v>
      </c>
      <c r="E1786">
        <v>2.5082250300000002</v>
      </c>
      <c r="F1786">
        <v>0</v>
      </c>
      <c r="G1786">
        <v>0</v>
      </c>
      <c r="H1786">
        <v>5.3366489999999997E-5</v>
      </c>
      <c r="I1786" t="s">
        <v>176</v>
      </c>
      <c r="J1786">
        <v>9.3391357499999994E-2</v>
      </c>
      <c r="K1786">
        <v>2.60166975399</v>
      </c>
      <c r="L1786">
        <v>0.24982862648184256</v>
      </c>
      <c r="M1786">
        <v>1.4989717588910554</v>
      </c>
      <c r="N1786">
        <v>4.1006415128810554</v>
      </c>
      <c r="O1786" t="s">
        <v>90</v>
      </c>
      <c r="P1786">
        <v>0</v>
      </c>
      <c r="Q1786" t="s">
        <v>90</v>
      </c>
      <c r="R1786">
        <v>0</v>
      </c>
      <c r="S1786" t="s">
        <v>90</v>
      </c>
      <c r="T1786">
        <v>0</v>
      </c>
      <c r="U1786" t="s">
        <v>90</v>
      </c>
      <c r="V1786">
        <v>0</v>
      </c>
      <c r="W1786" t="s">
        <v>90</v>
      </c>
      <c r="X1786">
        <v>0</v>
      </c>
      <c r="Y1786">
        <v>4.1006415128810554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K1786" t="s">
        <v>5035</v>
      </c>
      <c r="AM1786">
        <v>200000</v>
      </c>
      <c r="AN1786" t="s">
        <v>73</v>
      </c>
      <c r="AO1786">
        <v>1</v>
      </c>
      <c r="AP1786">
        <v>0</v>
      </c>
      <c r="AQ1786">
        <v>16666.666666666668</v>
      </c>
      <c r="AR1786" t="s">
        <v>9</v>
      </c>
      <c r="AS1786" t="s">
        <v>75</v>
      </c>
      <c r="AX1786" t="s">
        <v>76</v>
      </c>
      <c r="AY1786" t="s">
        <v>176</v>
      </c>
      <c r="AZ1786">
        <v>0</v>
      </c>
      <c r="BA1786" t="s">
        <v>176</v>
      </c>
      <c r="BB1786">
        <v>0</v>
      </c>
    </row>
    <row r="1787" spans="1:56" x14ac:dyDescent="0.15">
      <c r="A1787" s="4" t="str">
        <f>HYPERLINK("https://ibp.a2mac1.com/costing(costing:projects/details/9760/part/8416839)","Closures&gt;Tailgate or trunk&gt;Outer panel assy&gt;Outer panel&gt;Part 02 (lower)")</f>
        <v>Closures&gt;Tailgate or trunk&gt;Outer panel assy&gt;Outer panel&gt;Part 02 (lower)</v>
      </c>
      <c r="B1787">
        <v>8416839</v>
      </c>
      <c r="C1787">
        <v>8416541</v>
      </c>
      <c r="D1787" t="s">
        <v>5528</v>
      </c>
      <c r="E1787">
        <v>0.79872458000000002</v>
      </c>
      <c r="F1787">
        <v>0</v>
      </c>
      <c r="G1787">
        <v>0</v>
      </c>
      <c r="H1787">
        <v>1.699414E-5</v>
      </c>
      <c r="I1787" t="s">
        <v>176</v>
      </c>
      <c r="J1787">
        <v>2.9739745000000001E-2</v>
      </c>
      <c r="K1787">
        <v>0.82848131914000001</v>
      </c>
      <c r="L1787">
        <v>2.1317587816820249E-2</v>
      </c>
      <c r="M1787">
        <v>0.1279055269009215</v>
      </c>
      <c r="N1787">
        <v>0.9563868460409215</v>
      </c>
      <c r="O1787" t="s">
        <v>177</v>
      </c>
      <c r="P1787">
        <v>4.9708879148399998E-2</v>
      </c>
      <c r="Q1787" t="s">
        <v>177</v>
      </c>
      <c r="R1787">
        <v>7.6743316140552896E-3</v>
      </c>
      <c r="S1787" t="s">
        <v>178</v>
      </c>
      <c r="T1787">
        <v>0.11476642152491058</v>
      </c>
      <c r="U1787" t="s">
        <v>90</v>
      </c>
      <c r="V1787">
        <v>0</v>
      </c>
      <c r="W1787" t="s">
        <v>90</v>
      </c>
      <c r="X1787">
        <v>0</v>
      </c>
      <c r="Y1787">
        <v>1.1285364783282874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K1787" t="s">
        <v>5305</v>
      </c>
      <c r="AM1787">
        <v>200000</v>
      </c>
      <c r="AN1787" t="s">
        <v>97</v>
      </c>
      <c r="AO1787">
        <v>1</v>
      </c>
      <c r="AP1787">
        <v>0</v>
      </c>
      <c r="AQ1787">
        <v>16666.666666666668</v>
      </c>
      <c r="AR1787" t="s">
        <v>9</v>
      </c>
      <c r="AS1787" t="s">
        <v>75</v>
      </c>
      <c r="AX1787" t="s">
        <v>76</v>
      </c>
      <c r="AY1787" t="s">
        <v>176</v>
      </c>
      <c r="AZ1787">
        <v>0</v>
      </c>
      <c r="BA1787" t="s">
        <v>176</v>
      </c>
      <c r="BB1787">
        <v>0</v>
      </c>
    </row>
    <row r="1788" spans="1:56" x14ac:dyDescent="0.15">
      <c r="A1788" s="4" t="str">
        <f>HYPERLINK("https://ibp.a2mac1.com/costing(costing:projects/details/9760/part/8416840)","Closures&gt;Tailgate or trunk&gt;Outer panel assy&gt;Outer panel&gt;Part 03")</f>
        <v>Closures&gt;Tailgate or trunk&gt;Outer panel assy&gt;Outer panel&gt;Part 03</v>
      </c>
      <c r="B1788">
        <v>8416840</v>
      </c>
      <c r="C1788">
        <v>8416541</v>
      </c>
      <c r="D1788" t="s">
        <v>5528</v>
      </c>
      <c r="E1788">
        <v>1.0871766733333332</v>
      </c>
      <c r="F1788">
        <v>0</v>
      </c>
      <c r="G1788">
        <v>0</v>
      </c>
      <c r="H1788">
        <v>2.3506522666666666E-5</v>
      </c>
      <c r="I1788" t="s">
        <v>176</v>
      </c>
      <c r="J1788">
        <v>4.1136414666666669E-2</v>
      </c>
      <c r="K1788">
        <v>1.1283365945226667</v>
      </c>
      <c r="L1788">
        <v>2.1317587816820249E-2</v>
      </c>
      <c r="M1788">
        <v>0.1279055269009215</v>
      </c>
      <c r="N1788">
        <v>1.2562421214235882</v>
      </c>
      <c r="O1788" t="s">
        <v>177</v>
      </c>
      <c r="P1788">
        <v>6.770019567136E-2</v>
      </c>
      <c r="Q1788" t="s">
        <v>177</v>
      </c>
      <c r="R1788">
        <v>7.6743316140552896E-3</v>
      </c>
      <c r="S1788" t="s">
        <v>178</v>
      </c>
      <c r="T1788">
        <v>0.15074905457083057</v>
      </c>
      <c r="U1788" t="s">
        <v>90</v>
      </c>
      <c r="V1788">
        <v>0</v>
      </c>
      <c r="W1788" t="s">
        <v>90</v>
      </c>
      <c r="X1788">
        <v>0</v>
      </c>
      <c r="Y1788">
        <v>1.4823657032798341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K1788" t="s">
        <v>5305</v>
      </c>
      <c r="AM1788">
        <v>200000</v>
      </c>
      <c r="AN1788" t="s">
        <v>97</v>
      </c>
      <c r="AO1788">
        <v>1</v>
      </c>
      <c r="AP1788">
        <v>0</v>
      </c>
      <c r="AQ1788">
        <v>16666.666666666668</v>
      </c>
      <c r="AR1788" t="s">
        <v>9</v>
      </c>
      <c r="AS1788" t="s">
        <v>75</v>
      </c>
      <c r="AX1788" t="s">
        <v>76</v>
      </c>
      <c r="AY1788" t="s">
        <v>176</v>
      </c>
      <c r="AZ1788">
        <v>0</v>
      </c>
      <c r="BA1788" t="s">
        <v>176</v>
      </c>
      <c r="BB1788">
        <v>0</v>
      </c>
    </row>
    <row r="1789" spans="1:56" x14ac:dyDescent="0.15">
      <c r="A1789" s="4" t="str">
        <f>HYPERLINK("https://ibp.a2mac1.com/costing(costing:projects/details/9760/part/8415872)","X")</f>
        <v>X</v>
      </c>
      <c r="B1789">
        <v>8415872</v>
      </c>
      <c r="C1789">
        <v>8415643</v>
      </c>
      <c r="E1789">
        <v>1.8733125E-3</v>
      </c>
      <c r="F1789">
        <v>0</v>
      </c>
      <c r="G1789">
        <v>0</v>
      </c>
      <c r="H1789">
        <v>2.0084999999999999E-6</v>
      </c>
      <c r="I1789" t="s">
        <v>176</v>
      </c>
      <c r="J1789">
        <v>6.759375E-5</v>
      </c>
      <c r="K1789">
        <v>1.9429147500000001E-3</v>
      </c>
      <c r="L1789">
        <v>1.1484708742764049E-3</v>
      </c>
      <c r="M1789">
        <v>6.8908252456584291E-3</v>
      </c>
      <c r="N1789">
        <v>8.8337399956584291E-3</v>
      </c>
      <c r="O1789" t="s">
        <v>177</v>
      </c>
      <c r="P1789">
        <v>1.16574885E-4</v>
      </c>
      <c r="Q1789" t="s">
        <v>177</v>
      </c>
      <c r="R1789">
        <v>4.1344951473950577E-4</v>
      </c>
      <c r="S1789" t="s">
        <v>178</v>
      </c>
      <c r="T1789">
        <v>1.0600487994790115E-3</v>
      </c>
      <c r="U1789" t="s">
        <v>90</v>
      </c>
      <c r="V1789">
        <v>0</v>
      </c>
      <c r="W1789" t="s">
        <v>90</v>
      </c>
      <c r="X1789">
        <v>0</v>
      </c>
      <c r="Y1789">
        <v>1.0423813194876947E-2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K1789" t="s">
        <v>272</v>
      </c>
      <c r="AM1789">
        <v>200000</v>
      </c>
      <c r="AN1789" t="s">
        <v>97</v>
      </c>
      <c r="AO1789">
        <v>1</v>
      </c>
      <c r="AP1789">
        <v>0</v>
      </c>
      <c r="AQ1789">
        <v>16666.666666666668</v>
      </c>
      <c r="AR1789" t="s">
        <v>9</v>
      </c>
      <c r="AS1789" t="s">
        <v>75</v>
      </c>
      <c r="AV1789">
        <v>0</v>
      </c>
      <c r="AW1789">
        <v>0</v>
      </c>
      <c r="AX1789" t="s">
        <v>76</v>
      </c>
      <c r="AY1789" t="s">
        <v>176</v>
      </c>
      <c r="AZ1789">
        <v>0</v>
      </c>
      <c r="BA1789" t="s">
        <v>176</v>
      </c>
      <c r="BB1789">
        <v>0</v>
      </c>
    </row>
    <row r="1790" spans="1:56" x14ac:dyDescent="0.15">
      <c r="A1790" s="4" t="str">
        <f>HYPERLINK("https://ibp.a2mac1.com/costing(costing:projects/details/9760/part/8415873)","I")</f>
        <v>I</v>
      </c>
      <c r="B1790">
        <v>8415873</v>
      </c>
      <c r="C1790">
        <v>8415643</v>
      </c>
      <c r="E1790">
        <v>1.8733125E-3</v>
      </c>
      <c r="F1790">
        <v>0</v>
      </c>
      <c r="G1790">
        <v>0</v>
      </c>
      <c r="H1790">
        <v>2.0084999999999999E-6</v>
      </c>
      <c r="I1790" t="s">
        <v>176</v>
      </c>
      <c r="J1790">
        <v>6.759375E-5</v>
      </c>
      <c r="K1790">
        <v>1.9429147500000001E-3</v>
      </c>
      <c r="L1790">
        <v>1.1484708742764049E-3</v>
      </c>
      <c r="M1790">
        <v>6.8908252456584291E-3</v>
      </c>
      <c r="N1790">
        <v>8.8337399956584291E-3</v>
      </c>
      <c r="O1790" t="s">
        <v>177</v>
      </c>
      <c r="P1790">
        <v>1.16574885E-4</v>
      </c>
      <c r="Q1790" t="s">
        <v>177</v>
      </c>
      <c r="R1790">
        <v>4.1344951473950577E-4</v>
      </c>
      <c r="S1790" t="s">
        <v>178</v>
      </c>
      <c r="T1790">
        <v>1.0600487994790115E-3</v>
      </c>
      <c r="U1790" t="s">
        <v>90</v>
      </c>
      <c r="V1790">
        <v>0</v>
      </c>
      <c r="W1790" t="s">
        <v>90</v>
      </c>
      <c r="X1790">
        <v>0</v>
      </c>
      <c r="Y1790">
        <v>1.0423813194876947E-2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K1790" t="s">
        <v>272</v>
      </c>
      <c r="AM1790">
        <v>200000</v>
      </c>
      <c r="AN1790" t="s">
        <v>97</v>
      </c>
      <c r="AO1790">
        <v>1</v>
      </c>
      <c r="AP1790">
        <v>0</v>
      </c>
      <c r="AQ1790">
        <v>16666.666666666668</v>
      </c>
      <c r="AR1790" t="s">
        <v>9</v>
      </c>
      <c r="AS1790" t="s">
        <v>75</v>
      </c>
      <c r="AV1790">
        <v>0</v>
      </c>
      <c r="AW1790">
        <v>0</v>
      </c>
      <c r="AX1790" t="s">
        <v>76</v>
      </c>
      <c r="AY1790" t="s">
        <v>176</v>
      </c>
      <c r="AZ1790">
        <v>0</v>
      </c>
      <c r="BA1790" t="s">
        <v>176</v>
      </c>
      <c r="BB1790">
        <v>0</v>
      </c>
    </row>
    <row r="1791" spans="1:56" x14ac:dyDescent="0.15">
      <c r="A1791" s="4" t="str">
        <f>HYPERLINK("https://ibp.a2mac1.com/costing(costing:projects/details/9760/part/8415874)","A")</f>
        <v>A</v>
      </c>
      <c r="B1791">
        <v>8415874</v>
      </c>
      <c r="C1791">
        <v>8415643</v>
      </c>
      <c r="E1791">
        <v>1.8733125E-3</v>
      </c>
      <c r="F1791">
        <v>0</v>
      </c>
      <c r="G1791">
        <v>0</v>
      </c>
      <c r="H1791">
        <v>2.0084999999999999E-6</v>
      </c>
      <c r="I1791" t="s">
        <v>176</v>
      </c>
      <c r="J1791">
        <v>6.759375E-5</v>
      </c>
      <c r="K1791">
        <v>1.9429147500000001E-3</v>
      </c>
      <c r="L1791">
        <v>1.1484708742764049E-3</v>
      </c>
      <c r="M1791">
        <v>6.8908252456584291E-3</v>
      </c>
      <c r="N1791">
        <v>8.8337399956584291E-3</v>
      </c>
      <c r="O1791" t="s">
        <v>177</v>
      </c>
      <c r="P1791">
        <v>1.16574885E-4</v>
      </c>
      <c r="Q1791" t="s">
        <v>177</v>
      </c>
      <c r="R1791">
        <v>4.1344951473950577E-4</v>
      </c>
      <c r="S1791" t="s">
        <v>178</v>
      </c>
      <c r="T1791">
        <v>1.0600487994790115E-3</v>
      </c>
      <c r="U1791" t="s">
        <v>90</v>
      </c>
      <c r="V1791">
        <v>0</v>
      </c>
      <c r="W1791" t="s">
        <v>90</v>
      </c>
      <c r="X1791">
        <v>0</v>
      </c>
      <c r="Y1791">
        <v>1.0423813194876947E-2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K1791" t="s">
        <v>272</v>
      </c>
      <c r="AM1791">
        <v>200000</v>
      </c>
      <c r="AN1791" t="s">
        <v>97</v>
      </c>
      <c r="AO1791">
        <v>1</v>
      </c>
      <c r="AP1791">
        <v>0</v>
      </c>
      <c r="AQ1791">
        <v>16666.666666666668</v>
      </c>
      <c r="AR1791" t="s">
        <v>9</v>
      </c>
      <c r="AS1791" t="s">
        <v>75</v>
      </c>
      <c r="AV1791">
        <v>0</v>
      </c>
      <c r="AW1791">
        <v>0</v>
      </c>
      <c r="AX1791" t="s">
        <v>76</v>
      </c>
      <c r="AY1791" t="s">
        <v>176</v>
      </c>
      <c r="AZ1791">
        <v>0</v>
      </c>
      <c r="BA1791" t="s">
        <v>176</v>
      </c>
      <c r="BB1791">
        <v>0</v>
      </c>
    </row>
    <row r="1792" spans="1:56" x14ac:dyDescent="0.15">
      <c r="A1792" s="4" t="str">
        <f>HYPERLINK("https://ibp.a2mac1.com/costing(costing:projects/details/9760/part/8415875)","O")</f>
        <v>O</v>
      </c>
      <c r="B1792">
        <v>8415875</v>
      </c>
      <c r="C1792">
        <v>8415643</v>
      </c>
      <c r="E1792">
        <v>1.8733125E-3</v>
      </c>
      <c r="F1792">
        <v>0</v>
      </c>
      <c r="G1792">
        <v>0</v>
      </c>
      <c r="H1792">
        <v>2.0084999999999999E-6</v>
      </c>
      <c r="I1792" t="s">
        <v>176</v>
      </c>
      <c r="J1792">
        <v>6.759375E-5</v>
      </c>
      <c r="K1792">
        <v>1.9429147500000001E-3</v>
      </c>
      <c r="L1792">
        <v>1.1484708742764049E-3</v>
      </c>
      <c r="M1792">
        <v>6.8908252456584291E-3</v>
      </c>
      <c r="N1792">
        <v>8.8337399956584291E-3</v>
      </c>
      <c r="O1792" t="s">
        <v>177</v>
      </c>
      <c r="P1792">
        <v>1.16574885E-4</v>
      </c>
      <c r="Q1792" t="s">
        <v>177</v>
      </c>
      <c r="R1792">
        <v>4.1344951473950577E-4</v>
      </c>
      <c r="S1792" t="s">
        <v>178</v>
      </c>
      <c r="T1792">
        <v>1.0600487994790115E-3</v>
      </c>
      <c r="U1792" t="s">
        <v>90</v>
      </c>
      <c r="V1792">
        <v>0</v>
      </c>
      <c r="W1792" t="s">
        <v>90</v>
      </c>
      <c r="X1792">
        <v>0</v>
      </c>
      <c r="Y1792">
        <v>1.0423813194876947E-2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K1792" t="s">
        <v>272</v>
      </c>
      <c r="AM1792">
        <v>200000</v>
      </c>
      <c r="AN1792" t="s">
        <v>97</v>
      </c>
      <c r="AO1792">
        <v>1</v>
      </c>
      <c r="AP1792">
        <v>0</v>
      </c>
      <c r="AQ1792">
        <v>16666.666666666668</v>
      </c>
      <c r="AR1792" t="s">
        <v>9</v>
      </c>
      <c r="AS1792" t="s">
        <v>75</v>
      </c>
      <c r="AV1792">
        <v>0</v>
      </c>
      <c r="AW1792">
        <v>0</v>
      </c>
      <c r="AX1792" t="s">
        <v>76</v>
      </c>
      <c r="AY1792" t="s">
        <v>176</v>
      </c>
      <c r="AZ1792">
        <v>0</v>
      </c>
      <c r="BA1792" t="s">
        <v>176</v>
      </c>
      <c r="BB1792">
        <v>0</v>
      </c>
    </row>
    <row r="1793" spans="1:56" x14ac:dyDescent="0.15">
      <c r="A1793" s="4" t="str">
        <f>HYPERLINK("https://ibp.a2mac1.com/costing(costing:projects/details/9760/part/8415876)","M")</f>
        <v>M</v>
      </c>
      <c r="B1793">
        <v>8415876</v>
      </c>
      <c r="C1793">
        <v>8415643</v>
      </c>
      <c r="E1793">
        <v>1.8733125E-3</v>
      </c>
      <c r="F1793">
        <v>0</v>
      </c>
      <c r="G1793">
        <v>0</v>
      </c>
      <c r="H1793">
        <v>2.0084999999999999E-6</v>
      </c>
      <c r="I1793" t="s">
        <v>176</v>
      </c>
      <c r="J1793">
        <v>6.759375E-5</v>
      </c>
      <c r="K1793">
        <v>1.9429147500000001E-3</v>
      </c>
      <c r="L1793">
        <v>1.1484708742764049E-3</v>
      </c>
      <c r="M1793">
        <v>6.8908252456584291E-3</v>
      </c>
      <c r="N1793">
        <v>8.8337399956584291E-3</v>
      </c>
      <c r="O1793" t="s">
        <v>177</v>
      </c>
      <c r="P1793">
        <v>1.16574885E-4</v>
      </c>
      <c r="Q1793" t="s">
        <v>177</v>
      </c>
      <c r="R1793">
        <v>4.1344951473950577E-4</v>
      </c>
      <c r="S1793" t="s">
        <v>178</v>
      </c>
      <c r="T1793">
        <v>1.0600487994790115E-3</v>
      </c>
      <c r="U1793" t="s">
        <v>90</v>
      </c>
      <c r="V1793">
        <v>0</v>
      </c>
      <c r="W1793" t="s">
        <v>90</v>
      </c>
      <c r="X1793">
        <v>0</v>
      </c>
      <c r="Y1793">
        <v>1.0423813194876947E-2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K1793" t="s">
        <v>272</v>
      </c>
      <c r="AM1793">
        <v>200000</v>
      </c>
      <c r="AN1793" t="s">
        <v>97</v>
      </c>
      <c r="AO1793">
        <v>1</v>
      </c>
      <c r="AP1793">
        <v>0</v>
      </c>
      <c r="AQ1793">
        <v>16666.666666666668</v>
      </c>
      <c r="AR1793" t="s">
        <v>9</v>
      </c>
      <c r="AS1793" t="s">
        <v>75</v>
      </c>
      <c r="AV1793">
        <v>0</v>
      </c>
      <c r="AW1793">
        <v>0</v>
      </c>
      <c r="AX1793" t="s">
        <v>76</v>
      </c>
      <c r="AY1793" t="s">
        <v>176</v>
      </c>
      <c r="AZ1793">
        <v>0</v>
      </c>
      <c r="BA1793" t="s">
        <v>176</v>
      </c>
      <c r="BB1793">
        <v>0</v>
      </c>
    </row>
    <row r="1794" spans="1:56" x14ac:dyDescent="0.15">
      <c r="A1794" s="4" t="str">
        <f>HYPERLINK("https://ibp.a2mac1.com/costing(costing:projects/details/9760/part/8415877)","I")</f>
        <v>I</v>
      </c>
      <c r="B1794">
        <v>8415877</v>
      </c>
      <c r="C1794">
        <v>8415643</v>
      </c>
      <c r="E1794">
        <v>1.8733125E-3</v>
      </c>
      <c r="F1794">
        <v>0</v>
      </c>
      <c r="G1794">
        <v>0</v>
      </c>
      <c r="H1794">
        <v>2.0084999999999999E-6</v>
      </c>
      <c r="I1794" t="s">
        <v>176</v>
      </c>
      <c r="J1794">
        <v>6.759375E-5</v>
      </c>
      <c r="K1794">
        <v>1.9429147500000001E-3</v>
      </c>
      <c r="L1794">
        <v>1.1484708742764049E-3</v>
      </c>
      <c r="M1794">
        <v>6.8908252456584291E-3</v>
      </c>
      <c r="N1794">
        <v>8.8337399956584291E-3</v>
      </c>
      <c r="O1794" t="s">
        <v>177</v>
      </c>
      <c r="P1794">
        <v>1.16574885E-4</v>
      </c>
      <c r="Q1794" t="s">
        <v>177</v>
      </c>
      <c r="R1794">
        <v>4.1344951473950577E-4</v>
      </c>
      <c r="S1794" t="s">
        <v>178</v>
      </c>
      <c r="T1794">
        <v>1.0600487994790115E-3</v>
      </c>
      <c r="U1794" t="s">
        <v>90</v>
      </c>
      <c r="V1794">
        <v>0</v>
      </c>
      <c r="W1794" t="s">
        <v>90</v>
      </c>
      <c r="X1794">
        <v>0</v>
      </c>
      <c r="Y1794">
        <v>1.0423813194876947E-2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K1794" t="s">
        <v>272</v>
      </c>
      <c r="AM1794">
        <v>200000</v>
      </c>
      <c r="AN1794" t="s">
        <v>97</v>
      </c>
      <c r="AO1794">
        <v>1</v>
      </c>
      <c r="AP1794">
        <v>0</v>
      </c>
      <c r="AQ1794">
        <v>16666.666666666668</v>
      </c>
      <c r="AR1794" t="s">
        <v>9</v>
      </c>
      <c r="AS1794" t="s">
        <v>75</v>
      </c>
      <c r="AV1794">
        <v>0</v>
      </c>
      <c r="AW1794">
        <v>0</v>
      </c>
      <c r="AX1794" t="s">
        <v>76</v>
      </c>
      <c r="AY1794" t="s">
        <v>176</v>
      </c>
      <c r="AZ1794">
        <v>0</v>
      </c>
      <c r="BA1794" t="s">
        <v>176</v>
      </c>
      <c r="BB1794">
        <v>0</v>
      </c>
    </row>
    <row r="1795" spans="1:56" x14ac:dyDescent="0.15">
      <c r="A1795" s="4" t="str">
        <f>HYPERLINK("https://ibp.a2mac1.com/costing(costing:projects/details/9760/part/8416232)","Hinges&gt;Trunk or tailgate&gt;On BIW&gt;Part 01 (single/main)")</f>
        <v>Hinges&gt;Trunk or tailgate&gt;On BIW&gt;Part 01 (single/main)</v>
      </c>
      <c r="B1795">
        <v>8416232</v>
      </c>
      <c r="C1795">
        <v>8415878</v>
      </c>
      <c r="D1795" t="s">
        <v>5528</v>
      </c>
      <c r="E1795">
        <v>0.15802105</v>
      </c>
      <c r="F1795">
        <v>0</v>
      </c>
      <c r="G1795">
        <v>0</v>
      </c>
      <c r="H1795">
        <v>3.3621500000000001E-6</v>
      </c>
      <c r="I1795" t="s">
        <v>176</v>
      </c>
      <c r="J1795">
        <v>5.8837624999999996E-3</v>
      </c>
      <c r="K1795">
        <v>0.16390817464999999</v>
      </c>
      <c r="L1795">
        <v>4.9079754834314279E-3</v>
      </c>
      <c r="M1795">
        <v>2.9447852900588566E-2</v>
      </c>
      <c r="N1795">
        <v>0.19335602755058856</v>
      </c>
      <c r="O1795" t="s">
        <v>90</v>
      </c>
      <c r="P1795">
        <v>0</v>
      </c>
      <c r="Q1795" t="s">
        <v>90</v>
      </c>
      <c r="R1795">
        <v>0</v>
      </c>
      <c r="S1795" t="s">
        <v>90</v>
      </c>
      <c r="T1795">
        <v>0</v>
      </c>
      <c r="U1795" t="s">
        <v>90</v>
      </c>
      <c r="V1795">
        <v>0</v>
      </c>
      <c r="W1795" t="s">
        <v>90</v>
      </c>
      <c r="X1795">
        <v>0</v>
      </c>
      <c r="Y1795">
        <v>0.19335602755058856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K1795" t="s">
        <v>5035</v>
      </c>
      <c r="AM1795">
        <v>200000</v>
      </c>
      <c r="AN1795" t="s">
        <v>73</v>
      </c>
      <c r="AO1795">
        <v>1</v>
      </c>
      <c r="AP1795">
        <v>0</v>
      </c>
      <c r="AQ1795">
        <v>16666.666666666668</v>
      </c>
      <c r="AR1795" t="s">
        <v>9</v>
      </c>
      <c r="AS1795" t="s">
        <v>75</v>
      </c>
      <c r="AX1795" t="s">
        <v>76</v>
      </c>
      <c r="AY1795" t="s">
        <v>176</v>
      </c>
      <c r="AZ1795">
        <v>0</v>
      </c>
      <c r="BA1795" t="s">
        <v>176</v>
      </c>
      <c r="BB1795">
        <v>0</v>
      </c>
    </row>
    <row r="1796" spans="1:56" x14ac:dyDescent="0.15">
      <c r="A1796" s="4" t="str">
        <f>HYPERLINK("https://ibp.a2mac1.com/costing(costing:projects/details/9760/part/8416233)","Hinges&gt;Trunk or tailgate&gt;On trunk / tailgate&gt;Part 01 (single/main)")</f>
        <v>Hinges&gt;Trunk or tailgate&gt;On trunk / tailgate&gt;Part 01 (single/main)</v>
      </c>
      <c r="B1796">
        <v>8416233</v>
      </c>
      <c r="C1796">
        <v>8415878</v>
      </c>
      <c r="D1796" t="s">
        <v>5528</v>
      </c>
      <c r="E1796">
        <v>0.29233894249999998</v>
      </c>
      <c r="F1796">
        <v>0</v>
      </c>
      <c r="G1796">
        <v>0</v>
      </c>
      <c r="H1796">
        <v>6.2199774999999999E-6</v>
      </c>
      <c r="I1796" t="s">
        <v>176</v>
      </c>
      <c r="J1796">
        <v>1.0884960625E-2</v>
      </c>
      <c r="K1796">
        <v>0.30323012310250003</v>
      </c>
      <c r="L1796">
        <v>4.9079754834314279E-3</v>
      </c>
      <c r="M1796">
        <v>2.9447852900588566E-2</v>
      </c>
      <c r="N1796">
        <v>0.33267797600308857</v>
      </c>
      <c r="O1796" t="s">
        <v>90</v>
      </c>
      <c r="P1796">
        <v>0</v>
      </c>
      <c r="Q1796" t="s">
        <v>90</v>
      </c>
      <c r="R1796">
        <v>0</v>
      </c>
      <c r="S1796" t="s">
        <v>90</v>
      </c>
      <c r="T1796">
        <v>0</v>
      </c>
      <c r="U1796" t="s">
        <v>90</v>
      </c>
      <c r="V1796">
        <v>0</v>
      </c>
      <c r="W1796" t="s">
        <v>90</v>
      </c>
      <c r="X1796">
        <v>0</v>
      </c>
      <c r="Y1796">
        <v>0.33267797600308857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K1796" t="s">
        <v>5035</v>
      </c>
      <c r="AM1796">
        <v>200000</v>
      </c>
      <c r="AN1796" t="s">
        <v>73</v>
      </c>
      <c r="AO1796">
        <v>1</v>
      </c>
      <c r="AP1796">
        <v>0</v>
      </c>
      <c r="AQ1796">
        <v>16666.666666666668</v>
      </c>
      <c r="AR1796" t="s">
        <v>9</v>
      </c>
      <c r="AS1796" t="s">
        <v>75</v>
      </c>
      <c r="AX1796" t="s">
        <v>76</v>
      </c>
      <c r="AY1796" t="s">
        <v>176</v>
      </c>
      <c r="AZ1796">
        <v>0</v>
      </c>
      <c r="BA1796" t="s">
        <v>176</v>
      </c>
      <c r="BB1796">
        <v>0</v>
      </c>
    </row>
    <row r="1797" spans="1:56" x14ac:dyDescent="0.15">
      <c r="A1797" s="4" t="str">
        <f>HYPERLINK("https://ibp.a2mac1.com/costing(costing:projects/details/9760/part/8416234)","Hinges&gt;Trunk or tailgate&gt;Joint&gt;Part 01 (single/main)")</f>
        <v>Hinges&gt;Trunk or tailgate&gt;Joint&gt;Part 01 (single/main)</v>
      </c>
      <c r="B1797">
        <v>8416234</v>
      </c>
      <c r="C1797">
        <v>8415878</v>
      </c>
      <c r="D1797" t="s">
        <v>5738</v>
      </c>
      <c r="E1797">
        <v>0.81596323999999998</v>
      </c>
      <c r="F1797">
        <v>0</v>
      </c>
      <c r="G1797">
        <v>0</v>
      </c>
      <c r="H1797">
        <v>1.736092E-5</v>
      </c>
      <c r="I1797" t="s">
        <v>176</v>
      </c>
      <c r="J1797">
        <v>3.038161E-2</v>
      </c>
      <c r="K1797">
        <v>0.84636221091999997</v>
      </c>
      <c r="L1797">
        <v>4.187280951168211E-2</v>
      </c>
      <c r="M1797">
        <v>0.25123685707009269</v>
      </c>
      <c r="N1797">
        <v>1.0975990679900927</v>
      </c>
      <c r="O1797" t="s">
        <v>90</v>
      </c>
      <c r="P1797">
        <v>0</v>
      </c>
      <c r="Q1797" t="s">
        <v>90</v>
      </c>
      <c r="R1797">
        <v>0</v>
      </c>
      <c r="S1797" t="s">
        <v>90</v>
      </c>
      <c r="T1797">
        <v>0</v>
      </c>
      <c r="U1797" t="s">
        <v>90</v>
      </c>
      <c r="V1797">
        <v>0</v>
      </c>
      <c r="W1797" t="s">
        <v>90</v>
      </c>
      <c r="X1797">
        <v>0</v>
      </c>
      <c r="Y1797">
        <v>1.0975990679900927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K1797" t="s">
        <v>5035</v>
      </c>
      <c r="AM1797">
        <v>200000</v>
      </c>
      <c r="AN1797" t="s">
        <v>73</v>
      </c>
      <c r="AO1797">
        <v>1</v>
      </c>
      <c r="AP1797">
        <v>0</v>
      </c>
      <c r="AQ1797">
        <v>16666.666666666668</v>
      </c>
      <c r="AR1797" t="s">
        <v>9</v>
      </c>
      <c r="AS1797" t="s">
        <v>75</v>
      </c>
      <c r="AX1797" t="s">
        <v>76</v>
      </c>
      <c r="AY1797" t="s">
        <v>176</v>
      </c>
      <c r="AZ1797">
        <v>0</v>
      </c>
      <c r="BA1797" t="s">
        <v>176</v>
      </c>
      <c r="BB1797">
        <v>0</v>
      </c>
    </row>
    <row r="1798" spans="1:56" x14ac:dyDescent="0.15">
      <c r="A1798" s="4" t="str">
        <f>HYPERLINK("https://ibp.a2mac1.com/costing(costing:projects/details/9760/part/8416235)","Hinges&gt;Trunk or tailgate&gt;Joint&gt;Part 02")</f>
        <v>Hinges&gt;Trunk or tailgate&gt;Joint&gt;Part 02</v>
      </c>
      <c r="B1798">
        <v>8416235</v>
      </c>
      <c r="C1798">
        <v>8415878</v>
      </c>
      <c r="D1798" t="s">
        <v>5528</v>
      </c>
      <c r="E1798">
        <v>0.13668668</v>
      </c>
      <c r="F1798">
        <v>0</v>
      </c>
      <c r="G1798">
        <v>0</v>
      </c>
      <c r="H1798">
        <v>3.004102857142857E-6</v>
      </c>
      <c r="I1798" t="s">
        <v>176</v>
      </c>
      <c r="J1798">
        <v>5.2571800000000002E-3</v>
      </c>
      <c r="K1798">
        <v>0.14194686410285715</v>
      </c>
      <c r="L1798">
        <v>3.0616828624627588E-3</v>
      </c>
      <c r="M1798">
        <v>1.8370097174776553E-2</v>
      </c>
      <c r="N1798">
        <v>0.1603169612776337</v>
      </c>
      <c r="O1798" t="s">
        <v>90</v>
      </c>
      <c r="P1798">
        <v>0</v>
      </c>
      <c r="Q1798" t="s">
        <v>90</v>
      </c>
      <c r="R1798">
        <v>0</v>
      </c>
      <c r="S1798" t="s">
        <v>90</v>
      </c>
      <c r="T1798">
        <v>0</v>
      </c>
      <c r="U1798" t="s">
        <v>90</v>
      </c>
      <c r="V1798">
        <v>0</v>
      </c>
      <c r="W1798" t="s">
        <v>90</v>
      </c>
      <c r="X1798">
        <v>0</v>
      </c>
      <c r="Y1798">
        <v>0.1603169612776337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K1798" t="s">
        <v>5035</v>
      </c>
      <c r="AM1798">
        <v>200000</v>
      </c>
      <c r="AN1798" t="s">
        <v>73</v>
      </c>
      <c r="AO1798">
        <v>1</v>
      </c>
      <c r="AP1798">
        <v>0</v>
      </c>
      <c r="AQ1798">
        <v>16666.666666666668</v>
      </c>
      <c r="AR1798" t="s">
        <v>9</v>
      </c>
      <c r="AS1798" t="s">
        <v>75</v>
      </c>
      <c r="AX1798" t="s">
        <v>76</v>
      </c>
      <c r="AY1798" t="s">
        <v>176</v>
      </c>
      <c r="AZ1798">
        <v>0</v>
      </c>
      <c r="BA1798" t="s">
        <v>176</v>
      </c>
      <c r="BB1798">
        <v>0</v>
      </c>
    </row>
    <row r="1799" spans="1:56" x14ac:dyDescent="0.15">
      <c r="A1799" s="4" t="str">
        <f>HYPERLINK("https://ibp.a2mac1.com/costing(costing:projects/details/9760/part/8416236)","Hinges&gt;Trunk or tailgate&gt;On BIW&gt;Part 01 (single/main)")</f>
        <v>Hinges&gt;Trunk or tailgate&gt;On BIW&gt;Part 01 (single/main)</v>
      </c>
      <c r="B1799">
        <v>8416236</v>
      </c>
      <c r="C1799">
        <v>8415879</v>
      </c>
      <c r="D1799" t="s">
        <v>5528</v>
      </c>
      <c r="E1799">
        <v>0.15802105</v>
      </c>
      <c r="F1799">
        <v>0</v>
      </c>
      <c r="G1799">
        <v>0</v>
      </c>
      <c r="H1799">
        <v>3.3621500000000001E-6</v>
      </c>
      <c r="I1799" t="s">
        <v>176</v>
      </c>
      <c r="J1799">
        <v>5.8837624999999996E-3</v>
      </c>
      <c r="K1799">
        <v>0.16390817464999999</v>
      </c>
      <c r="L1799">
        <v>4.9079754834314279E-3</v>
      </c>
      <c r="M1799">
        <v>2.9447852900588566E-2</v>
      </c>
      <c r="N1799">
        <v>0.19335602755058856</v>
      </c>
      <c r="O1799" t="s">
        <v>90</v>
      </c>
      <c r="P1799">
        <v>0</v>
      </c>
      <c r="Q1799" t="s">
        <v>90</v>
      </c>
      <c r="R1799">
        <v>0</v>
      </c>
      <c r="S1799" t="s">
        <v>90</v>
      </c>
      <c r="T1799">
        <v>0</v>
      </c>
      <c r="U1799" t="s">
        <v>90</v>
      </c>
      <c r="V1799">
        <v>0</v>
      </c>
      <c r="W1799" t="s">
        <v>90</v>
      </c>
      <c r="X1799">
        <v>0</v>
      </c>
      <c r="Y1799">
        <v>0.19335602755058856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K1799" t="s">
        <v>5035</v>
      </c>
      <c r="AM1799">
        <v>200000</v>
      </c>
      <c r="AN1799" t="s">
        <v>73</v>
      </c>
      <c r="AO1799">
        <v>1</v>
      </c>
      <c r="AP1799">
        <v>0</v>
      </c>
      <c r="AQ1799">
        <v>16666.666666666668</v>
      </c>
      <c r="AR1799" t="s">
        <v>9</v>
      </c>
      <c r="AS1799" t="s">
        <v>75</v>
      </c>
      <c r="AX1799" t="s">
        <v>76</v>
      </c>
      <c r="AY1799" t="s">
        <v>176</v>
      </c>
      <c r="AZ1799">
        <v>0</v>
      </c>
      <c r="BA1799" t="s">
        <v>176</v>
      </c>
      <c r="BB1799">
        <v>0</v>
      </c>
    </row>
    <row r="1800" spans="1:56" x14ac:dyDescent="0.15">
      <c r="A1800" s="4" t="str">
        <f>HYPERLINK("https://ibp.a2mac1.com/costing(costing:projects/details/9760/part/8416237)","Hinges&gt;Trunk or tailgate&gt;On trunk / tailgate&gt;Part 01 (single/main)")</f>
        <v>Hinges&gt;Trunk or tailgate&gt;On trunk / tailgate&gt;Part 01 (single/main)</v>
      </c>
      <c r="B1800">
        <v>8416237</v>
      </c>
      <c r="C1800">
        <v>8415879</v>
      </c>
      <c r="D1800" t="s">
        <v>5528</v>
      </c>
      <c r="E1800">
        <v>0.29233894249999998</v>
      </c>
      <c r="F1800">
        <v>0</v>
      </c>
      <c r="G1800">
        <v>0</v>
      </c>
      <c r="H1800">
        <v>6.2199774999999999E-6</v>
      </c>
      <c r="I1800" t="s">
        <v>176</v>
      </c>
      <c r="J1800">
        <v>1.0884960625E-2</v>
      </c>
      <c r="K1800">
        <v>0.30323012310250003</v>
      </c>
      <c r="L1800">
        <v>4.9079754834314279E-3</v>
      </c>
      <c r="M1800">
        <v>2.9447852900588566E-2</v>
      </c>
      <c r="N1800">
        <v>0.33267797600308857</v>
      </c>
      <c r="O1800" t="s">
        <v>90</v>
      </c>
      <c r="P1800">
        <v>0</v>
      </c>
      <c r="Q1800" t="s">
        <v>90</v>
      </c>
      <c r="R1800">
        <v>0</v>
      </c>
      <c r="S1800" t="s">
        <v>90</v>
      </c>
      <c r="T1800">
        <v>0</v>
      </c>
      <c r="U1800" t="s">
        <v>90</v>
      </c>
      <c r="V1800">
        <v>0</v>
      </c>
      <c r="W1800" t="s">
        <v>90</v>
      </c>
      <c r="X1800">
        <v>0</v>
      </c>
      <c r="Y1800">
        <v>0.33267797600308857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K1800" t="s">
        <v>5035</v>
      </c>
      <c r="AM1800">
        <v>200000</v>
      </c>
      <c r="AN1800" t="s">
        <v>73</v>
      </c>
      <c r="AO1800">
        <v>1</v>
      </c>
      <c r="AP1800">
        <v>0</v>
      </c>
      <c r="AQ1800">
        <v>16666.666666666668</v>
      </c>
      <c r="AR1800" t="s">
        <v>9</v>
      </c>
      <c r="AS1800" t="s">
        <v>75</v>
      </c>
      <c r="AX1800" t="s">
        <v>76</v>
      </c>
      <c r="AY1800" t="s">
        <v>176</v>
      </c>
      <c r="AZ1800">
        <v>0</v>
      </c>
      <c r="BA1800" t="s">
        <v>176</v>
      </c>
      <c r="BB1800">
        <v>0</v>
      </c>
    </row>
    <row r="1801" spans="1:56" x14ac:dyDescent="0.15">
      <c r="A1801" s="4" t="str">
        <f>HYPERLINK("https://ibp.a2mac1.com/costing(costing:projects/details/9760/part/8416238)","Hinges&gt;Trunk or tailgate&gt;Joint&gt;Part 01 (single/main)")</f>
        <v>Hinges&gt;Trunk or tailgate&gt;Joint&gt;Part 01 (single/main)</v>
      </c>
      <c r="B1801">
        <v>8416238</v>
      </c>
      <c r="C1801">
        <v>8415879</v>
      </c>
      <c r="D1801" t="s">
        <v>5738</v>
      </c>
      <c r="E1801">
        <v>0.81596323999999998</v>
      </c>
      <c r="F1801">
        <v>0</v>
      </c>
      <c r="G1801">
        <v>0</v>
      </c>
      <c r="H1801">
        <v>1.736092E-5</v>
      </c>
      <c r="I1801" t="s">
        <v>176</v>
      </c>
      <c r="J1801">
        <v>3.038161E-2</v>
      </c>
      <c r="K1801">
        <v>0.84636221091999997</v>
      </c>
      <c r="L1801">
        <v>4.187280951168211E-2</v>
      </c>
      <c r="M1801">
        <v>0.25123685707009269</v>
      </c>
      <c r="N1801">
        <v>1.0975990679900927</v>
      </c>
      <c r="O1801" t="s">
        <v>90</v>
      </c>
      <c r="P1801">
        <v>0</v>
      </c>
      <c r="Q1801" t="s">
        <v>90</v>
      </c>
      <c r="R1801">
        <v>0</v>
      </c>
      <c r="S1801" t="s">
        <v>90</v>
      </c>
      <c r="T1801">
        <v>0</v>
      </c>
      <c r="U1801" t="s">
        <v>90</v>
      </c>
      <c r="V1801">
        <v>0</v>
      </c>
      <c r="W1801" t="s">
        <v>90</v>
      </c>
      <c r="X1801">
        <v>0</v>
      </c>
      <c r="Y1801">
        <v>1.0975990679900927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K1801" t="s">
        <v>5035</v>
      </c>
      <c r="AM1801">
        <v>200000</v>
      </c>
      <c r="AN1801" t="s">
        <v>73</v>
      </c>
      <c r="AO1801">
        <v>1</v>
      </c>
      <c r="AP1801">
        <v>0</v>
      </c>
      <c r="AQ1801">
        <v>16666.666666666668</v>
      </c>
      <c r="AR1801" t="s">
        <v>9</v>
      </c>
      <c r="AS1801" t="s">
        <v>75</v>
      </c>
      <c r="AX1801" t="s">
        <v>76</v>
      </c>
      <c r="AY1801" t="s">
        <v>176</v>
      </c>
      <c r="AZ1801">
        <v>0</v>
      </c>
      <c r="BA1801" t="s">
        <v>176</v>
      </c>
      <c r="BB1801">
        <v>0</v>
      </c>
    </row>
    <row r="1802" spans="1:56" x14ac:dyDescent="0.15">
      <c r="A1802" s="4" t="str">
        <f>HYPERLINK("https://ibp.a2mac1.com/costing(costing:projects/details/9760/part/8416239)","Hinges&gt;Trunk or tailgate&gt;Joint&gt;Part 02")</f>
        <v>Hinges&gt;Trunk or tailgate&gt;Joint&gt;Part 02</v>
      </c>
      <c r="B1802">
        <v>8416239</v>
      </c>
      <c r="C1802">
        <v>8415879</v>
      </c>
      <c r="D1802" t="s">
        <v>5528</v>
      </c>
      <c r="E1802">
        <v>0.13668668</v>
      </c>
      <c r="F1802">
        <v>0</v>
      </c>
      <c r="G1802">
        <v>0</v>
      </c>
      <c r="H1802">
        <v>3.004102857142857E-6</v>
      </c>
      <c r="I1802" t="s">
        <v>176</v>
      </c>
      <c r="J1802">
        <v>5.2571800000000002E-3</v>
      </c>
      <c r="K1802">
        <v>0.14194686410285715</v>
      </c>
      <c r="L1802">
        <v>3.0616828624627588E-3</v>
      </c>
      <c r="M1802">
        <v>1.8370097174776553E-2</v>
      </c>
      <c r="N1802">
        <v>0.1603169612776337</v>
      </c>
      <c r="O1802" t="s">
        <v>90</v>
      </c>
      <c r="P1802">
        <v>0</v>
      </c>
      <c r="Q1802" t="s">
        <v>90</v>
      </c>
      <c r="R1802">
        <v>0</v>
      </c>
      <c r="S1802" t="s">
        <v>90</v>
      </c>
      <c r="T1802">
        <v>0</v>
      </c>
      <c r="U1802" t="s">
        <v>90</v>
      </c>
      <c r="V1802">
        <v>0</v>
      </c>
      <c r="W1802" t="s">
        <v>90</v>
      </c>
      <c r="X1802">
        <v>0</v>
      </c>
      <c r="Y1802">
        <v>0.1603169612776337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K1802" t="s">
        <v>5035</v>
      </c>
      <c r="AM1802">
        <v>200000</v>
      </c>
      <c r="AN1802" t="s">
        <v>73</v>
      </c>
      <c r="AO1802">
        <v>1</v>
      </c>
      <c r="AP1802">
        <v>0</v>
      </c>
      <c r="AQ1802">
        <v>16666.666666666668</v>
      </c>
      <c r="AR1802" t="s">
        <v>9</v>
      </c>
      <c r="AS1802" t="s">
        <v>75</v>
      </c>
      <c r="AX1802" t="s">
        <v>76</v>
      </c>
      <c r="AY1802" t="s">
        <v>176</v>
      </c>
      <c r="AZ1802">
        <v>0</v>
      </c>
      <c r="BA1802" t="s">
        <v>176</v>
      </c>
      <c r="BB1802">
        <v>0</v>
      </c>
    </row>
    <row r="1803" spans="1:56" x14ac:dyDescent="0.15">
      <c r="A1803" s="4" t="str">
        <f>HYPERLINK("https://ibp.a2mac1.com/costing(costing:projects/details/9760/part/8415880)","Hinge cover")</f>
        <v>Hinge cover</v>
      </c>
      <c r="B1803">
        <v>8415880</v>
      </c>
      <c r="C1803">
        <v>8415645</v>
      </c>
      <c r="E1803">
        <v>0.20426652137113402</v>
      </c>
      <c r="F1803">
        <v>0</v>
      </c>
      <c r="G1803">
        <v>0</v>
      </c>
      <c r="H1803">
        <v>4.214211657731959E-4</v>
      </c>
      <c r="I1803" t="s">
        <v>176</v>
      </c>
      <c r="J1803">
        <v>7.1600683505154642E-3</v>
      </c>
      <c r="K1803">
        <v>0.21184801088742269</v>
      </c>
      <c r="L1803">
        <v>2.2876526682122832E-2</v>
      </c>
      <c r="M1803">
        <v>0.13725916009273698</v>
      </c>
      <c r="N1803">
        <v>0.34910717098015964</v>
      </c>
      <c r="O1803" t="s">
        <v>177</v>
      </c>
      <c r="P1803">
        <v>1.2710880653245361E-2</v>
      </c>
      <c r="Q1803" t="s">
        <v>177</v>
      </c>
      <c r="R1803">
        <v>8.2355496055642186E-3</v>
      </c>
      <c r="S1803" t="s">
        <v>178</v>
      </c>
      <c r="T1803">
        <v>4.189286051761916E-2</v>
      </c>
      <c r="U1803" t="s">
        <v>90</v>
      </c>
      <c r="V1803">
        <v>0</v>
      </c>
      <c r="W1803" t="s">
        <v>90</v>
      </c>
      <c r="X1803">
        <v>0</v>
      </c>
      <c r="Y1803">
        <v>0.41194646175658839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335</v>
      </c>
      <c r="AF1803">
        <v>100</v>
      </c>
      <c r="AG1803">
        <v>270</v>
      </c>
      <c r="AI1803">
        <v>0.17799999999999999</v>
      </c>
      <c r="AK1803" t="s">
        <v>5305</v>
      </c>
      <c r="AL1803" t="s">
        <v>399</v>
      </c>
      <c r="AM1803">
        <v>200000</v>
      </c>
      <c r="AN1803" t="s">
        <v>97</v>
      </c>
      <c r="AO1803">
        <v>1</v>
      </c>
      <c r="AP1803">
        <v>0</v>
      </c>
      <c r="AQ1803">
        <v>16666.666666666668</v>
      </c>
      <c r="AR1803" t="s">
        <v>5760</v>
      </c>
      <c r="AS1803" t="s">
        <v>75</v>
      </c>
      <c r="AX1803" t="s">
        <v>76</v>
      </c>
      <c r="AY1803" t="s">
        <v>176</v>
      </c>
      <c r="AZ1803">
        <v>0</v>
      </c>
      <c r="BA1803" t="s">
        <v>176</v>
      </c>
      <c r="BB1803">
        <v>0</v>
      </c>
    </row>
    <row r="1804" spans="1:56" x14ac:dyDescent="0.15">
      <c r="A1804" s="4" t="str">
        <f>HYPERLINK("https://ibp.a2mac1.com/costing(costing:projects/details/9760/part/8415881)","Hinge Cover Right if Different")</f>
        <v>Hinge Cover Right if Different</v>
      </c>
      <c r="B1804">
        <v>8415881</v>
      </c>
      <c r="C1804">
        <v>8415645</v>
      </c>
      <c r="E1804">
        <v>0.20426652137113402</v>
      </c>
      <c r="F1804">
        <v>0</v>
      </c>
      <c r="G1804">
        <v>0</v>
      </c>
      <c r="H1804">
        <v>4.214211657731959E-4</v>
      </c>
      <c r="I1804" t="s">
        <v>176</v>
      </c>
      <c r="J1804">
        <v>7.1600683505154642E-3</v>
      </c>
      <c r="K1804">
        <v>0.21184801088742269</v>
      </c>
      <c r="L1804">
        <v>2.2876526682122832E-2</v>
      </c>
      <c r="M1804">
        <v>0.13725916009273698</v>
      </c>
      <c r="N1804">
        <v>0.34910717098015964</v>
      </c>
      <c r="O1804" t="s">
        <v>177</v>
      </c>
      <c r="P1804">
        <v>1.2710880653245361E-2</v>
      </c>
      <c r="Q1804" t="s">
        <v>177</v>
      </c>
      <c r="R1804">
        <v>8.2355496055642186E-3</v>
      </c>
      <c r="S1804" t="s">
        <v>178</v>
      </c>
      <c r="T1804">
        <v>4.189286051761916E-2</v>
      </c>
      <c r="U1804" t="s">
        <v>90</v>
      </c>
      <c r="V1804">
        <v>0</v>
      </c>
      <c r="W1804" t="s">
        <v>90</v>
      </c>
      <c r="X1804">
        <v>0</v>
      </c>
      <c r="Y1804">
        <v>0.41194646175658839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335</v>
      </c>
      <c r="AF1804">
        <v>100</v>
      </c>
      <c r="AG1804">
        <v>270</v>
      </c>
      <c r="AI1804">
        <v>0.17899999999999999</v>
      </c>
      <c r="AK1804" t="s">
        <v>5305</v>
      </c>
      <c r="AL1804" t="s">
        <v>399</v>
      </c>
      <c r="AM1804">
        <v>200000</v>
      </c>
      <c r="AN1804" t="s">
        <v>97</v>
      </c>
      <c r="AO1804">
        <v>1</v>
      </c>
      <c r="AP1804">
        <v>0</v>
      </c>
      <c r="AQ1804">
        <v>16666.666666666668</v>
      </c>
      <c r="AR1804" t="s">
        <v>5764</v>
      </c>
      <c r="AS1804" t="s">
        <v>75</v>
      </c>
      <c r="AX1804" t="s">
        <v>76</v>
      </c>
      <c r="AY1804" t="s">
        <v>176</v>
      </c>
      <c r="AZ1804">
        <v>0</v>
      </c>
      <c r="BA1804" t="s">
        <v>176</v>
      </c>
      <c r="BB1804">
        <v>0</v>
      </c>
    </row>
    <row r="1805" spans="1:56" x14ac:dyDescent="0.15">
      <c r="A1805" s="4" t="str">
        <f>HYPERLINK("https://ibp.a2mac1.com/costing(costing:projects/details/9760/part/8415882)","Supports")</f>
        <v>Supports</v>
      </c>
      <c r="B1805">
        <v>8415882</v>
      </c>
      <c r="C1805">
        <v>8415645</v>
      </c>
      <c r="E1805">
        <v>0.32035176500000001</v>
      </c>
      <c r="F1805">
        <v>0</v>
      </c>
      <c r="G1805">
        <v>0</v>
      </c>
      <c r="H1805">
        <v>1.0394392375E-3</v>
      </c>
      <c r="I1805" t="s">
        <v>176</v>
      </c>
      <c r="J1805">
        <v>1.1927991250000001E-2</v>
      </c>
      <c r="K1805">
        <v>0.3333191954875</v>
      </c>
      <c r="L1805">
        <v>4.6092759059302997E-2</v>
      </c>
      <c r="M1805">
        <v>0.276556554355818</v>
      </c>
      <c r="N1805">
        <v>0.60987574984331794</v>
      </c>
      <c r="O1805" t="s">
        <v>177</v>
      </c>
      <c r="P1805">
        <v>1.999915172925E-2</v>
      </c>
      <c r="Q1805" t="s">
        <v>177</v>
      </c>
      <c r="R1805">
        <v>1.6593393261349079E-2</v>
      </c>
      <c r="S1805" t="s">
        <v>178</v>
      </c>
      <c r="T1805">
        <v>7.3185089981198159E-2</v>
      </c>
      <c r="U1805" t="s">
        <v>90</v>
      </c>
      <c r="V1805">
        <v>0</v>
      </c>
      <c r="W1805" t="s">
        <v>90</v>
      </c>
      <c r="X1805">
        <v>0</v>
      </c>
      <c r="Y1805">
        <v>0.7196533848151152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103</v>
      </c>
      <c r="AF1805">
        <v>112</v>
      </c>
      <c r="AG1805">
        <v>43</v>
      </c>
      <c r="AI1805">
        <v>0.44600000000000001</v>
      </c>
      <c r="AK1805" t="s">
        <v>5305</v>
      </c>
      <c r="AL1805" t="s">
        <v>96</v>
      </c>
      <c r="AM1805">
        <v>400000</v>
      </c>
      <c r="AN1805" t="s">
        <v>97</v>
      </c>
      <c r="AO1805">
        <v>2</v>
      </c>
      <c r="AP1805">
        <v>0</v>
      </c>
      <c r="AQ1805">
        <v>33333.333333333336</v>
      </c>
      <c r="AR1805" t="s">
        <v>5770</v>
      </c>
      <c r="AS1805" t="s">
        <v>75</v>
      </c>
      <c r="AX1805" t="s">
        <v>76</v>
      </c>
      <c r="AY1805" t="s">
        <v>176</v>
      </c>
      <c r="AZ1805">
        <v>0</v>
      </c>
      <c r="BA1805" t="s">
        <v>176</v>
      </c>
      <c r="BB1805">
        <v>0</v>
      </c>
    </row>
    <row r="1806" spans="1:56" x14ac:dyDescent="0.15">
      <c r="A1806" s="4" t="str">
        <f>HYPERLINK("https://ibp.a2mac1.com/costing(costing:projects/details/9760/part/8415883)","Seal on Body")</f>
        <v>Seal on Body</v>
      </c>
      <c r="B1806">
        <v>8415883</v>
      </c>
      <c r="C1806">
        <v>8415646</v>
      </c>
      <c r="E1806">
        <v>2.2117356377999999</v>
      </c>
      <c r="F1806">
        <v>0</v>
      </c>
      <c r="G1806">
        <v>0</v>
      </c>
      <c r="H1806">
        <v>4.5725178927999996E-3</v>
      </c>
      <c r="I1806" t="s">
        <v>176</v>
      </c>
      <c r="J1806">
        <v>7.7688410799999996E-2</v>
      </c>
      <c r="K1806">
        <v>2.2939965664928001</v>
      </c>
      <c r="L1806">
        <v>8.9393321556536579E-2</v>
      </c>
      <c r="M1806">
        <v>0.53635992933921939</v>
      </c>
      <c r="N1806">
        <v>2.8303564958320195</v>
      </c>
      <c r="O1806" t="s">
        <v>177</v>
      </c>
      <c r="P1806">
        <v>0.13763979398956799</v>
      </c>
      <c r="Q1806" t="s">
        <v>177</v>
      </c>
      <c r="R1806">
        <v>3.2181595760353163E-2</v>
      </c>
      <c r="S1806" t="s">
        <v>178</v>
      </c>
      <c r="T1806">
        <v>0.33964277949984234</v>
      </c>
      <c r="U1806" t="s">
        <v>90</v>
      </c>
      <c r="V1806">
        <v>0</v>
      </c>
      <c r="W1806" t="s">
        <v>90</v>
      </c>
      <c r="X1806">
        <v>0</v>
      </c>
      <c r="Y1806">
        <v>3.339820665081783</v>
      </c>
      <c r="Z1806">
        <v>0</v>
      </c>
      <c r="AA1806">
        <v>0</v>
      </c>
      <c r="AB1806">
        <v>0</v>
      </c>
      <c r="AC1806">
        <v>0</v>
      </c>
      <c r="AD1806">
        <v>0</v>
      </c>
      <c r="AF1806">
        <v>31</v>
      </c>
      <c r="AG1806">
        <v>37</v>
      </c>
      <c r="AI1806">
        <v>0.98799999999999999</v>
      </c>
      <c r="AK1806" t="s">
        <v>5305</v>
      </c>
      <c r="AL1806" t="s">
        <v>4828</v>
      </c>
      <c r="AM1806">
        <v>200000</v>
      </c>
      <c r="AN1806" t="s">
        <v>97</v>
      </c>
      <c r="AO1806">
        <v>1</v>
      </c>
      <c r="AP1806">
        <v>0</v>
      </c>
      <c r="AQ1806">
        <v>16666.666666666668</v>
      </c>
      <c r="AR1806" t="s">
        <v>5780</v>
      </c>
      <c r="AS1806" t="s">
        <v>75</v>
      </c>
      <c r="AX1806" t="s">
        <v>76</v>
      </c>
      <c r="AY1806" t="s">
        <v>176</v>
      </c>
      <c r="AZ1806">
        <v>0</v>
      </c>
      <c r="BA1806" t="s">
        <v>176</v>
      </c>
      <c r="BB1806">
        <v>0</v>
      </c>
    </row>
    <row r="1807" spans="1:56" x14ac:dyDescent="0.15">
      <c r="A1807" s="4" t="str">
        <f>HYPERLINK("https://ibp.a2mac1.com/costing(costing:projects/details/9760/part/8416240)","Closing Switch")</f>
        <v>Closing Switch</v>
      </c>
      <c r="B1807">
        <v>8416240</v>
      </c>
      <c r="C1807">
        <v>8415889</v>
      </c>
      <c r="E1807">
        <v>0.67</v>
      </c>
      <c r="F1807">
        <v>0</v>
      </c>
      <c r="G1807">
        <v>0</v>
      </c>
      <c r="H1807">
        <v>0</v>
      </c>
      <c r="I1807" t="s">
        <v>71</v>
      </c>
      <c r="J1807">
        <v>0</v>
      </c>
      <c r="K1807">
        <v>0.67</v>
      </c>
      <c r="L1807">
        <v>0</v>
      </c>
      <c r="M1807">
        <v>0</v>
      </c>
      <c r="N1807">
        <v>0.67</v>
      </c>
      <c r="O1807" t="s">
        <v>71</v>
      </c>
      <c r="P1807">
        <v>0</v>
      </c>
      <c r="Q1807" t="s">
        <v>71</v>
      </c>
      <c r="R1807">
        <v>0</v>
      </c>
      <c r="S1807" t="s">
        <v>71</v>
      </c>
      <c r="T1807">
        <v>0</v>
      </c>
      <c r="U1807" t="s">
        <v>71</v>
      </c>
      <c r="V1807">
        <v>0</v>
      </c>
      <c r="W1807" t="s">
        <v>71</v>
      </c>
      <c r="X1807">
        <v>0</v>
      </c>
      <c r="Y1807">
        <v>0.67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45</v>
      </c>
      <c r="AF1807">
        <v>38</v>
      </c>
      <c r="AG1807">
        <v>30</v>
      </c>
      <c r="AI1807">
        <v>1.4999999999999999E-2</v>
      </c>
      <c r="AK1807" t="s">
        <v>365</v>
      </c>
      <c r="AL1807" t="s">
        <v>466</v>
      </c>
      <c r="AM1807">
        <v>200000</v>
      </c>
      <c r="AN1807" t="s">
        <v>97</v>
      </c>
      <c r="AO1807">
        <v>1</v>
      </c>
      <c r="AP1807">
        <v>0</v>
      </c>
      <c r="AQ1807">
        <v>16666.666666666668</v>
      </c>
      <c r="AR1807" t="s">
        <v>5784</v>
      </c>
      <c r="AS1807" t="s">
        <v>75</v>
      </c>
      <c r="AX1807" t="s">
        <v>76</v>
      </c>
      <c r="AY1807" t="s">
        <v>71</v>
      </c>
      <c r="AZ1807">
        <v>0</v>
      </c>
      <c r="BA1807" t="s">
        <v>71</v>
      </c>
      <c r="BB1807">
        <v>0</v>
      </c>
      <c r="BD1807">
        <v>0.67</v>
      </c>
    </row>
    <row r="1808" spans="1:56" x14ac:dyDescent="0.15">
      <c r="A1808" s="4" t="str">
        <f>HYPERLINK("https://ibp.a2mac1.com/costing(costing:projects/details/9760/part/8416241)","Switch Support")</f>
        <v>Switch Support</v>
      </c>
      <c r="B1808">
        <v>8416241</v>
      </c>
      <c r="C1808">
        <v>8415889</v>
      </c>
      <c r="E1808">
        <v>5.7378236340206185E-3</v>
      </c>
      <c r="F1808">
        <v>0</v>
      </c>
      <c r="G1808">
        <v>0</v>
      </c>
      <c r="H1808">
        <v>1.1837673195876289E-5</v>
      </c>
      <c r="I1808" t="s">
        <v>176</v>
      </c>
      <c r="J1808">
        <v>2.0112551546391753E-4</v>
      </c>
      <c r="K1808">
        <v>5.9507868226804121E-3</v>
      </c>
      <c r="L1808">
        <v>4.5796206835752272E-3</v>
      </c>
      <c r="M1808">
        <v>2.7477724101451363E-2</v>
      </c>
      <c r="N1808">
        <v>3.3428510924131773E-2</v>
      </c>
      <c r="O1808" t="s">
        <v>177</v>
      </c>
      <c r="P1808">
        <v>3.5704720936082472E-4</v>
      </c>
      <c r="Q1808" t="s">
        <v>177</v>
      </c>
      <c r="R1808">
        <v>1.6486634460870816E-3</v>
      </c>
      <c r="S1808" t="s">
        <v>178</v>
      </c>
      <c r="T1808">
        <v>4.0114213108958128E-3</v>
      </c>
      <c r="U1808" t="s">
        <v>90</v>
      </c>
      <c r="V1808">
        <v>0</v>
      </c>
      <c r="W1808" t="s">
        <v>90</v>
      </c>
      <c r="X1808">
        <v>0</v>
      </c>
      <c r="Y1808">
        <v>3.9445642890475495E-2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8</v>
      </c>
      <c r="AF1808">
        <v>56</v>
      </c>
      <c r="AG1808">
        <v>46</v>
      </c>
      <c r="AI1808">
        <v>5.0000000000000001E-3</v>
      </c>
      <c r="AK1808" t="s">
        <v>5305</v>
      </c>
      <c r="AL1808" t="s">
        <v>399</v>
      </c>
      <c r="AM1808">
        <v>200000</v>
      </c>
      <c r="AN1808" t="s">
        <v>97</v>
      </c>
      <c r="AO1808">
        <v>1</v>
      </c>
      <c r="AP1808">
        <v>0</v>
      </c>
      <c r="AQ1808">
        <v>16666.666666666668</v>
      </c>
      <c r="AR1808" t="s">
        <v>5790</v>
      </c>
      <c r="AS1808" t="s">
        <v>75</v>
      </c>
      <c r="AX1808" t="s">
        <v>76</v>
      </c>
      <c r="AY1808" t="s">
        <v>176</v>
      </c>
      <c r="AZ1808">
        <v>0</v>
      </c>
      <c r="BA1808" t="s">
        <v>176</v>
      </c>
      <c r="BB1808">
        <v>0</v>
      </c>
    </row>
    <row r="1809" spans="1:56" x14ac:dyDescent="0.15">
      <c r="A1809" s="4" t="str">
        <f>HYPERLINK("https://ibp.a2mac1.com/costing(costing:projects/details/9760/part/8416242)","Safety Buzzer")</f>
        <v>Safety Buzzer</v>
      </c>
      <c r="B1809">
        <v>8416242</v>
      </c>
      <c r="C1809">
        <v>8415889</v>
      </c>
      <c r="E1809">
        <v>1.3</v>
      </c>
      <c r="F1809">
        <v>0</v>
      </c>
      <c r="G1809">
        <v>0</v>
      </c>
      <c r="H1809">
        <v>0</v>
      </c>
      <c r="I1809" t="s">
        <v>71</v>
      </c>
      <c r="J1809">
        <v>0</v>
      </c>
      <c r="K1809">
        <v>1.3</v>
      </c>
      <c r="L1809">
        <v>0</v>
      </c>
      <c r="M1809">
        <v>0</v>
      </c>
      <c r="N1809">
        <v>1.3</v>
      </c>
      <c r="O1809" t="s">
        <v>71</v>
      </c>
      <c r="P1809">
        <v>0</v>
      </c>
      <c r="Q1809" t="s">
        <v>71</v>
      </c>
      <c r="R1809">
        <v>0</v>
      </c>
      <c r="S1809" t="s">
        <v>71</v>
      </c>
      <c r="T1809">
        <v>0</v>
      </c>
      <c r="U1809" t="s">
        <v>71</v>
      </c>
      <c r="V1809">
        <v>0</v>
      </c>
      <c r="W1809" t="s">
        <v>71</v>
      </c>
      <c r="X1809">
        <v>0</v>
      </c>
      <c r="Y1809">
        <v>1.3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14</v>
      </c>
      <c r="AF1809">
        <v>70</v>
      </c>
      <c r="AG1809">
        <v>40</v>
      </c>
      <c r="AI1809">
        <v>1.4E-2</v>
      </c>
      <c r="AK1809" t="s">
        <v>365</v>
      </c>
      <c r="AL1809" t="s">
        <v>1433</v>
      </c>
      <c r="AM1809">
        <v>200000</v>
      </c>
      <c r="AN1809" t="s">
        <v>97</v>
      </c>
      <c r="AO1809">
        <v>1</v>
      </c>
      <c r="AP1809">
        <v>0</v>
      </c>
      <c r="AQ1809">
        <v>16666.666666666668</v>
      </c>
      <c r="AR1809" t="s">
        <v>5791</v>
      </c>
      <c r="AS1809" t="s">
        <v>75</v>
      </c>
      <c r="AX1809" t="s">
        <v>76</v>
      </c>
      <c r="AY1809" t="s">
        <v>71</v>
      </c>
      <c r="AZ1809">
        <v>0</v>
      </c>
      <c r="BA1809" t="s">
        <v>71</v>
      </c>
      <c r="BB1809">
        <v>0</v>
      </c>
      <c r="BD1809">
        <v>1.3</v>
      </c>
    </row>
    <row r="1810" spans="1:56" x14ac:dyDescent="0.15">
      <c r="A1810" s="4" t="str">
        <f>HYPERLINK("https://ibp.a2mac1.com/costing(costing:projects/details/9760/part/8415884)","Lock")</f>
        <v>Lock</v>
      </c>
      <c r="B1810">
        <v>8415884</v>
      </c>
      <c r="C1810">
        <v>8415647</v>
      </c>
      <c r="D1810" t="s">
        <v>5793</v>
      </c>
      <c r="E1810">
        <v>7.5</v>
      </c>
      <c r="F1810">
        <v>0</v>
      </c>
      <c r="G1810">
        <v>0</v>
      </c>
      <c r="H1810">
        <v>0</v>
      </c>
      <c r="I1810" t="s">
        <v>71</v>
      </c>
      <c r="J1810">
        <v>0</v>
      </c>
      <c r="K1810">
        <v>7.5</v>
      </c>
      <c r="L1810">
        <v>0</v>
      </c>
      <c r="M1810">
        <v>0</v>
      </c>
      <c r="N1810">
        <v>7.5</v>
      </c>
      <c r="O1810" t="s">
        <v>71</v>
      </c>
      <c r="P1810">
        <v>0</v>
      </c>
      <c r="Q1810" t="s">
        <v>71</v>
      </c>
      <c r="R1810">
        <v>0</v>
      </c>
      <c r="S1810" t="s">
        <v>71</v>
      </c>
      <c r="T1810">
        <v>0</v>
      </c>
      <c r="U1810" t="s">
        <v>71</v>
      </c>
      <c r="V1810">
        <v>0</v>
      </c>
      <c r="W1810" t="s">
        <v>71</v>
      </c>
      <c r="X1810">
        <v>0</v>
      </c>
      <c r="Y1810">
        <v>7.5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82</v>
      </c>
      <c r="AF1810">
        <v>172</v>
      </c>
      <c r="AG1810">
        <v>130</v>
      </c>
      <c r="AI1810">
        <v>0.61499999999999999</v>
      </c>
      <c r="AK1810" t="s">
        <v>5305</v>
      </c>
      <c r="AL1810" t="s">
        <v>5794</v>
      </c>
      <c r="AM1810">
        <v>200000</v>
      </c>
      <c r="AN1810" t="s">
        <v>97</v>
      </c>
      <c r="AO1810">
        <v>1</v>
      </c>
      <c r="AP1810">
        <v>0</v>
      </c>
      <c r="AQ1810">
        <v>16666.666666666668</v>
      </c>
      <c r="AR1810" t="s">
        <v>5795</v>
      </c>
      <c r="AS1810" t="s">
        <v>75</v>
      </c>
      <c r="AX1810" t="s">
        <v>76</v>
      </c>
      <c r="AY1810" t="s">
        <v>71</v>
      </c>
      <c r="AZ1810">
        <v>0</v>
      </c>
      <c r="BA1810" t="s">
        <v>71</v>
      </c>
      <c r="BB1810">
        <v>0</v>
      </c>
      <c r="BD1810">
        <v>7.5</v>
      </c>
    </row>
    <row r="1811" spans="1:56" x14ac:dyDescent="0.15">
      <c r="A1811" s="4" t="str">
        <f>HYPERLINK("https://ibp.a2mac1.com/costing(costing:projects/details/9760/part/8415885)","Lock Bezel")</f>
        <v>Lock Bezel</v>
      </c>
      <c r="B1811">
        <v>8415885</v>
      </c>
      <c r="C1811">
        <v>8415647</v>
      </c>
      <c r="E1811">
        <v>5.1577033690721648E-2</v>
      </c>
      <c r="F1811">
        <v>0</v>
      </c>
      <c r="G1811">
        <v>0</v>
      </c>
      <c r="H1811">
        <v>1.064083018556701E-4</v>
      </c>
      <c r="I1811" t="s">
        <v>176</v>
      </c>
      <c r="J1811">
        <v>1.8079080412371133E-3</v>
      </c>
      <c r="K1811">
        <v>5.349135003381443E-2</v>
      </c>
      <c r="L1811">
        <v>8.1249365586014439E-3</v>
      </c>
      <c r="M1811">
        <v>4.874961935160866E-2</v>
      </c>
      <c r="N1811">
        <v>0.1022409693854231</v>
      </c>
      <c r="O1811" t="s">
        <v>177</v>
      </c>
      <c r="P1811">
        <v>3.2094810020288659E-3</v>
      </c>
      <c r="Q1811" t="s">
        <v>177</v>
      </c>
      <c r="R1811">
        <v>2.9249771610965199E-3</v>
      </c>
      <c r="S1811" t="s">
        <v>178</v>
      </c>
      <c r="T1811">
        <v>1.2268916326250771E-2</v>
      </c>
      <c r="U1811" t="s">
        <v>90</v>
      </c>
      <c r="V1811">
        <v>0</v>
      </c>
      <c r="W1811" t="s">
        <v>90</v>
      </c>
      <c r="X1811">
        <v>0</v>
      </c>
      <c r="Y1811">
        <v>0.12064434387479925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55</v>
      </c>
      <c r="AF1811">
        <v>116</v>
      </c>
      <c r="AG1811">
        <v>76</v>
      </c>
      <c r="AI1811">
        <v>2.8000000000000001E-2</v>
      </c>
      <c r="AK1811" t="s">
        <v>5305</v>
      </c>
      <c r="AL1811" t="s">
        <v>951</v>
      </c>
      <c r="AM1811">
        <v>200000</v>
      </c>
      <c r="AN1811" t="s">
        <v>97</v>
      </c>
      <c r="AO1811">
        <v>1</v>
      </c>
      <c r="AP1811">
        <v>0</v>
      </c>
      <c r="AQ1811">
        <v>16666.666666666668</v>
      </c>
      <c r="AR1811" t="s">
        <v>5800</v>
      </c>
      <c r="AS1811" t="s">
        <v>75</v>
      </c>
      <c r="AX1811" t="s">
        <v>76</v>
      </c>
      <c r="AY1811" t="s">
        <v>176</v>
      </c>
      <c r="AZ1811">
        <v>0</v>
      </c>
      <c r="BA1811" t="s">
        <v>176</v>
      </c>
      <c r="BB1811">
        <v>0</v>
      </c>
    </row>
    <row r="1812" spans="1:56" x14ac:dyDescent="0.15">
      <c r="A1812" s="4" t="str">
        <f>HYPERLINK("https://ibp.a2mac1.com/costing(costing:projects/details/9760/part/8415886)","Exterior Handle")</f>
        <v>Exterior Handle</v>
      </c>
      <c r="B1812">
        <v>8415886</v>
      </c>
      <c r="C1812">
        <v>8415647</v>
      </c>
      <c r="E1812">
        <v>0.82</v>
      </c>
      <c r="F1812">
        <v>0</v>
      </c>
      <c r="G1812">
        <v>0</v>
      </c>
      <c r="H1812">
        <v>0</v>
      </c>
      <c r="I1812" t="s">
        <v>71</v>
      </c>
      <c r="J1812">
        <v>0</v>
      </c>
      <c r="K1812">
        <v>0.82</v>
      </c>
      <c r="L1812">
        <v>0</v>
      </c>
      <c r="M1812">
        <v>0</v>
      </c>
      <c r="N1812">
        <v>0.82</v>
      </c>
      <c r="O1812" t="s">
        <v>71</v>
      </c>
      <c r="P1812">
        <v>0</v>
      </c>
      <c r="Q1812" t="s">
        <v>71</v>
      </c>
      <c r="R1812">
        <v>0</v>
      </c>
      <c r="S1812" t="s">
        <v>71</v>
      </c>
      <c r="T1812">
        <v>0</v>
      </c>
      <c r="U1812" t="s">
        <v>71</v>
      </c>
      <c r="V1812">
        <v>0</v>
      </c>
      <c r="W1812" t="s">
        <v>71</v>
      </c>
      <c r="X1812">
        <v>0</v>
      </c>
      <c r="Y1812">
        <v>0.82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41</v>
      </c>
      <c r="AF1812">
        <v>46</v>
      </c>
      <c r="AG1812">
        <v>46</v>
      </c>
      <c r="AI1812">
        <v>2.4E-2</v>
      </c>
      <c r="AK1812" t="s">
        <v>288</v>
      </c>
      <c r="AL1812" t="s">
        <v>2209</v>
      </c>
      <c r="AM1812">
        <v>200000</v>
      </c>
      <c r="AN1812" t="s">
        <v>97</v>
      </c>
      <c r="AO1812">
        <v>1</v>
      </c>
      <c r="AP1812">
        <v>0</v>
      </c>
      <c r="AQ1812">
        <v>16666.666666666668</v>
      </c>
      <c r="AR1812" t="s">
        <v>5801</v>
      </c>
      <c r="AS1812" t="s">
        <v>75</v>
      </c>
      <c r="AX1812" t="s">
        <v>76</v>
      </c>
      <c r="AY1812" t="s">
        <v>71</v>
      </c>
      <c r="AZ1812">
        <v>0</v>
      </c>
      <c r="BA1812" t="s">
        <v>71</v>
      </c>
      <c r="BB1812">
        <v>0</v>
      </c>
      <c r="BD1812">
        <v>0.82</v>
      </c>
    </row>
    <row r="1813" spans="1:56" x14ac:dyDescent="0.15">
      <c r="A1813" s="4" t="str">
        <f>HYPERLINK("https://ibp.a2mac1.com/costing(costing:projects/details/9760/part/8415887)","Anchor")</f>
        <v>Anchor</v>
      </c>
      <c r="B1813">
        <v>8415887</v>
      </c>
      <c r="C1813">
        <v>8415647</v>
      </c>
      <c r="E1813">
        <v>8.9799970000000007E-2</v>
      </c>
      <c r="F1813">
        <v>0</v>
      </c>
      <c r="G1813">
        <v>0</v>
      </c>
      <c r="H1813">
        <v>7.0063712857142862E-4</v>
      </c>
      <c r="I1813" t="s">
        <v>176</v>
      </c>
      <c r="J1813">
        <v>3.4538450000000001E-3</v>
      </c>
      <c r="K1813">
        <v>9.3954452128571425E-2</v>
      </c>
      <c r="L1813">
        <v>1.012447902495087E-2</v>
      </c>
      <c r="M1813">
        <v>6.074687414970522E-2</v>
      </c>
      <c r="N1813">
        <v>0.15470132627827665</v>
      </c>
      <c r="O1813" t="s">
        <v>177</v>
      </c>
      <c r="P1813">
        <v>5.6372671277142858E-3</v>
      </c>
      <c r="Q1813" t="s">
        <v>177</v>
      </c>
      <c r="R1813">
        <v>3.644812448982313E-3</v>
      </c>
      <c r="S1813" t="s">
        <v>178</v>
      </c>
      <c r="T1813">
        <v>1.8564159153393198E-2</v>
      </c>
      <c r="U1813" t="s">
        <v>90</v>
      </c>
      <c r="V1813">
        <v>0</v>
      </c>
      <c r="W1813" t="s">
        <v>90</v>
      </c>
      <c r="X1813">
        <v>0</v>
      </c>
      <c r="Y1813">
        <v>0.18254756500836644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50</v>
      </c>
      <c r="AF1813">
        <v>58</v>
      </c>
      <c r="AG1813">
        <v>50</v>
      </c>
      <c r="AI1813">
        <v>0.113</v>
      </c>
      <c r="AK1813" t="s">
        <v>5305</v>
      </c>
      <c r="AL1813" t="s">
        <v>96</v>
      </c>
      <c r="AM1813">
        <v>200000</v>
      </c>
      <c r="AN1813" t="s">
        <v>97</v>
      </c>
      <c r="AO1813">
        <v>1</v>
      </c>
      <c r="AP1813">
        <v>0</v>
      </c>
      <c r="AQ1813">
        <v>16666.666666666668</v>
      </c>
      <c r="AR1813" t="s">
        <v>5807</v>
      </c>
      <c r="AS1813" t="s">
        <v>75</v>
      </c>
      <c r="AX1813" t="s">
        <v>76</v>
      </c>
      <c r="AY1813" t="s">
        <v>176</v>
      </c>
      <c r="AZ1813">
        <v>0</v>
      </c>
      <c r="BA1813" t="s">
        <v>176</v>
      </c>
      <c r="BB1813">
        <v>0</v>
      </c>
    </row>
    <row r="1814" spans="1:56" x14ac:dyDescent="0.15">
      <c r="A1814" s="4" t="str">
        <f>HYPERLINK("https://ibp.a2mac1.com/costing(costing:projects/details/9760/part/8415888)","Access Trap")</f>
        <v>Access Trap</v>
      </c>
      <c r="B1814">
        <v>8415888</v>
      </c>
      <c r="C1814">
        <v>8415647</v>
      </c>
      <c r="E1814">
        <v>5.9120509042553194E-3</v>
      </c>
      <c r="F1814">
        <v>0</v>
      </c>
      <c r="G1814">
        <v>0</v>
      </c>
      <c r="H1814">
        <v>6.1670340425531913E-6</v>
      </c>
      <c r="I1814" t="s">
        <v>176</v>
      </c>
      <c r="J1814">
        <v>2.0754441489361701E-4</v>
      </c>
      <c r="K1814">
        <v>6.125762353191489E-3</v>
      </c>
      <c r="L1814">
        <v>1.223231637308433E-3</v>
      </c>
      <c r="M1814">
        <v>7.339389823850598E-3</v>
      </c>
      <c r="N1814">
        <v>1.3465152177042087E-2</v>
      </c>
      <c r="O1814" t="s">
        <v>177</v>
      </c>
      <c r="P1814">
        <v>3.6754574119148936E-4</v>
      </c>
      <c r="Q1814" t="s">
        <v>177</v>
      </c>
      <c r="R1814">
        <v>4.4036338943103585E-4</v>
      </c>
      <c r="S1814" t="s">
        <v>178</v>
      </c>
      <c r="T1814">
        <v>1.6158182612450505E-3</v>
      </c>
      <c r="U1814" t="s">
        <v>90</v>
      </c>
      <c r="V1814">
        <v>0</v>
      </c>
      <c r="W1814" t="s">
        <v>90</v>
      </c>
      <c r="X1814">
        <v>0</v>
      </c>
      <c r="Y1814">
        <v>1.5888879568909664E-2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11</v>
      </c>
      <c r="AF1814">
        <v>44</v>
      </c>
      <c r="AG1814">
        <v>44</v>
      </c>
      <c r="AI1814">
        <v>5.0000000000000001E-3</v>
      </c>
      <c r="AK1814" t="s">
        <v>5305</v>
      </c>
      <c r="AL1814" t="s">
        <v>399</v>
      </c>
      <c r="AM1814">
        <v>200000</v>
      </c>
      <c r="AN1814" t="s">
        <v>97</v>
      </c>
      <c r="AO1814">
        <v>1</v>
      </c>
      <c r="AP1814">
        <v>0</v>
      </c>
      <c r="AQ1814">
        <v>16666.666666666668</v>
      </c>
      <c r="AR1814" t="s">
        <v>5812</v>
      </c>
      <c r="AS1814" t="s">
        <v>75</v>
      </c>
      <c r="AX1814" t="s">
        <v>76</v>
      </c>
      <c r="AY1814" t="s">
        <v>176</v>
      </c>
      <c r="AZ1814">
        <v>0</v>
      </c>
      <c r="BA1814" t="s">
        <v>176</v>
      </c>
      <c r="BB1814">
        <v>0</v>
      </c>
    </row>
    <row r="1815" spans="1:56" x14ac:dyDescent="0.15">
      <c r="A1815" s="4" t="str">
        <f>HYPERLINK("https://ibp.a2mac1.com/costing(costing:projects/details/9760/part/8415890)","Strut left and right if identical")</f>
        <v>Strut left and right if identical</v>
      </c>
      <c r="B1815">
        <v>8415890</v>
      </c>
      <c r="C1815">
        <v>8415648</v>
      </c>
      <c r="D1815" t="s">
        <v>5815</v>
      </c>
      <c r="E1815">
        <v>25</v>
      </c>
      <c r="F1815">
        <v>0</v>
      </c>
      <c r="G1815">
        <v>0</v>
      </c>
      <c r="H1815">
        <v>0</v>
      </c>
      <c r="I1815" t="s">
        <v>71</v>
      </c>
      <c r="J1815">
        <v>0</v>
      </c>
      <c r="K1815">
        <v>25</v>
      </c>
      <c r="L1815">
        <v>0</v>
      </c>
      <c r="M1815">
        <v>0</v>
      </c>
      <c r="N1815">
        <v>25</v>
      </c>
      <c r="O1815" t="s">
        <v>71</v>
      </c>
      <c r="P1815">
        <v>0</v>
      </c>
      <c r="Q1815" t="s">
        <v>71</v>
      </c>
      <c r="R1815">
        <v>0</v>
      </c>
      <c r="S1815" t="s">
        <v>71</v>
      </c>
      <c r="T1815">
        <v>0</v>
      </c>
      <c r="U1815" t="s">
        <v>71</v>
      </c>
      <c r="V1815">
        <v>0</v>
      </c>
      <c r="W1815" t="s">
        <v>71</v>
      </c>
      <c r="X1815">
        <v>0</v>
      </c>
      <c r="Y1815">
        <v>25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60</v>
      </c>
      <c r="AF1815">
        <v>151</v>
      </c>
      <c r="AG1815">
        <v>400</v>
      </c>
      <c r="AI1815">
        <v>1.353</v>
      </c>
      <c r="AK1815" t="s">
        <v>5281</v>
      </c>
      <c r="AL1815" t="s">
        <v>5816</v>
      </c>
      <c r="AM1815">
        <v>200000</v>
      </c>
      <c r="AN1815" t="s">
        <v>97</v>
      </c>
      <c r="AO1815">
        <v>1</v>
      </c>
      <c r="AP1815">
        <v>0</v>
      </c>
      <c r="AQ1815">
        <v>16666.666666666668</v>
      </c>
      <c r="AR1815" t="s">
        <v>5817</v>
      </c>
      <c r="AS1815" t="s">
        <v>75</v>
      </c>
      <c r="AX1815" t="s">
        <v>76</v>
      </c>
      <c r="AY1815" t="s">
        <v>71</v>
      </c>
      <c r="AZ1815">
        <v>0</v>
      </c>
      <c r="BA1815" t="s">
        <v>71</v>
      </c>
      <c r="BB1815">
        <v>0</v>
      </c>
      <c r="BD1815">
        <v>25</v>
      </c>
    </row>
    <row r="1816" spans="1:56" x14ac:dyDescent="0.15">
      <c r="A1816" s="4" t="str">
        <f>HYPERLINK("https://ibp.a2mac1.com/costing(costing:projects/details/9760/part/8415891)","Strut Right")</f>
        <v>Strut Right</v>
      </c>
      <c r="B1816">
        <v>8415891</v>
      </c>
      <c r="C1816">
        <v>8415648</v>
      </c>
      <c r="D1816" t="s">
        <v>5815</v>
      </c>
      <c r="E1816">
        <v>12.5</v>
      </c>
      <c r="F1816">
        <v>0</v>
      </c>
      <c r="G1816">
        <v>0</v>
      </c>
      <c r="H1816">
        <v>0</v>
      </c>
      <c r="I1816" t="s">
        <v>71</v>
      </c>
      <c r="J1816">
        <v>0</v>
      </c>
      <c r="K1816">
        <v>12.5</v>
      </c>
      <c r="L1816">
        <v>0</v>
      </c>
      <c r="M1816">
        <v>0</v>
      </c>
      <c r="N1816">
        <v>12.5</v>
      </c>
      <c r="O1816" t="s">
        <v>71</v>
      </c>
      <c r="P1816">
        <v>0</v>
      </c>
      <c r="Q1816" t="s">
        <v>71</v>
      </c>
      <c r="R1816">
        <v>0</v>
      </c>
      <c r="S1816" t="s">
        <v>71</v>
      </c>
      <c r="T1816">
        <v>0</v>
      </c>
      <c r="U1816" t="s">
        <v>71</v>
      </c>
      <c r="V1816">
        <v>0</v>
      </c>
      <c r="W1816" t="s">
        <v>71</v>
      </c>
      <c r="X1816">
        <v>0</v>
      </c>
      <c r="Y1816">
        <v>12.5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49</v>
      </c>
      <c r="AF1816">
        <v>49</v>
      </c>
      <c r="AG1816">
        <v>280</v>
      </c>
      <c r="AI1816">
        <v>0.60399999999999998</v>
      </c>
      <c r="AK1816" t="s">
        <v>5281</v>
      </c>
      <c r="AL1816" t="s">
        <v>96</v>
      </c>
      <c r="AM1816">
        <v>200000</v>
      </c>
      <c r="AN1816" t="s">
        <v>97</v>
      </c>
      <c r="AO1816">
        <v>1</v>
      </c>
      <c r="AP1816">
        <v>0</v>
      </c>
      <c r="AQ1816">
        <v>16666.666666666668</v>
      </c>
      <c r="AR1816" t="s">
        <v>5818</v>
      </c>
      <c r="AS1816" t="s">
        <v>75</v>
      </c>
      <c r="AX1816" t="s">
        <v>76</v>
      </c>
      <c r="AY1816" t="s">
        <v>71</v>
      </c>
      <c r="AZ1816">
        <v>0</v>
      </c>
      <c r="BA1816" t="s">
        <v>71</v>
      </c>
      <c r="BB1816">
        <v>0</v>
      </c>
      <c r="BD1816">
        <v>12.5</v>
      </c>
    </row>
    <row r="1817" spans="1:56" x14ac:dyDescent="0.15">
      <c r="A1817" s="4" t="str">
        <f>HYPERLINK("https://ibp.a2mac1.com/costing(costing:projects/details/9760/part/8415892)","Attachment on Body")</f>
        <v>Attachment on Body</v>
      </c>
      <c r="B1817">
        <v>8415892</v>
      </c>
      <c r="C1817">
        <v>8415648</v>
      </c>
      <c r="E1817">
        <v>0.5</v>
      </c>
      <c r="F1817">
        <v>0</v>
      </c>
      <c r="G1817">
        <v>0</v>
      </c>
      <c r="H1817">
        <v>0</v>
      </c>
      <c r="I1817" t="s">
        <v>71</v>
      </c>
      <c r="J1817">
        <v>0</v>
      </c>
      <c r="K1817">
        <v>0.5</v>
      </c>
      <c r="L1817">
        <v>0</v>
      </c>
      <c r="M1817">
        <v>0</v>
      </c>
      <c r="N1817">
        <v>0.5</v>
      </c>
      <c r="O1817" t="s">
        <v>71</v>
      </c>
      <c r="P1817">
        <v>0</v>
      </c>
      <c r="Q1817" t="s">
        <v>71</v>
      </c>
      <c r="R1817">
        <v>0</v>
      </c>
      <c r="S1817" t="s">
        <v>71</v>
      </c>
      <c r="T1817">
        <v>0</v>
      </c>
      <c r="U1817" t="s">
        <v>71</v>
      </c>
      <c r="V1817">
        <v>0</v>
      </c>
      <c r="W1817" t="s">
        <v>71</v>
      </c>
      <c r="X1817">
        <v>0</v>
      </c>
      <c r="Y1817">
        <v>0.5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24</v>
      </c>
      <c r="AF1817">
        <v>24</v>
      </c>
      <c r="AG1817">
        <v>48</v>
      </c>
      <c r="AI1817">
        <v>4.2000000000000003E-2</v>
      </c>
      <c r="AK1817" t="s">
        <v>5305</v>
      </c>
      <c r="AL1817" t="s">
        <v>96</v>
      </c>
      <c r="AM1817">
        <v>200000</v>
      </c>
      <c r="AN1817" t="s">
        <v>97</v>
      </c>
      <c r="AO1817">
        <v>1</v>
      </c>
      <c r="AP1817">
        <v>0</v>
      </c>
      <c r="AQ1817">
        <v>16666.666666666668</v>
      </c>
      <c r="AR1817" t="s">
        <v>5819</v>
      </c>
      <c r="AS1817" t="s">
        <v>75</v>
      </c>
      <c r="AX1817" t="s">
        <v>76</v>
      </c>
      <c r="AY1817" t="s">
        <v>71</v>
      </c>
      <c r="AZ1817">
        <v>0</v>
      </c>
      <c r="BA1817" t="s">
        <v>71</v>
      </c>
      <c r="BB1817">
        <v>0</v>
      </c>
      <c r="BD1817">
        <v>0.5</v>
      </c>
    </row>
    <row r="1818" spans="1:56" x14ac:dyDescent="0.15">
      <c r="A1818" s="4" t="str">
        <f>HYPERLINK("https://ibp.a2mac1.com/costing(costing:projects/details/9760/part/8415893)","Stoppers on Body")</f>
        <v>Stoppers on Body</v>
      </c>
      <c r="B1818">
        <v>8415893</v>
      </c>
      <c r="C1818">
        <v>8415649</v>
      </c>
      <c r="E1818">
        <v>6.6886470000000003E-2</v>
      </c>
      <c r="F1818">
        <v>0</v>
      </c>
      <c r="G1818">
        <v>0</v>
      </c>
      <c r="H1818">
        <v>3.3728214947368419E-4</v>
      </c>
      <c r="I1818" t="s">
        <v>176</v>
      </c>
      <c r="J1818">
        <v>2.3468936842105264E-3</v>
      </c>
      <c r="K1818">
        <v>6.9570645833684205E-2</v>
      </c>
      <c r="L1818">
        <v>3.4155634207817679E-4</v>
      </c>
      <c r="M1818">
        <v>2.0493380524690607E-3</v>
      </c>
      <c r="N1818">
        <v>7.1619983886153274E-2</v>
      </c>
      <c r="O1818" t="s">
        <v>177</v>
      </c>
      <c r="P1818">
        <v>4.1742387500210525E-3</v>
      </c>
      <c r="Q1818" t="s">
        <v>177</v>
      </c>
      <c r="R1818">
        <v>1.2296028314814366E-4</v>
      </c>
      <c r="S1818" t="s">
        <v>178</v>
      </c>
      <c r="T1818">
        <v>8.5943980663383927E-3</v>
      </c>
      <c r="U1818" t="s">
        <v>90</v>
      </c>
      <c r="V1818">
        <v>0</v>
      </c>
      <c r="W1818" t="s">
        <v>90</v>
      </c>
      <c r="X1818">
        <v>0</v>
      </c>
      <c r="Y1818">
        <v>8.4511580985660861E-2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30</v>
      </c>
      <c r="AF1818">
        <v>32</v>
      </c>
      <c r="AG1818">
        <v>39</v>
      </c>
      <c r="AI1818">
        <v>2.9000000000000001E-2</v>
      </c>
      <c r="AK1818" t="s">
        <v>5305</v>
      </c>
      <c r="AL1818" t="s">
        <v>403</v>
      </c>
      <c r="AM1818">
        <v>400000</v>
      </c>
      <c r="AN1818" t="s">
        <v>97</v>
      </c>
      <c r="AO1818">
        <v>2</v>
      </c>
      <c r="AP1818">
        <v>0</v>
      </c>
      <c r="AQ1818">
        <v>33333.333333333336</v>
      </c>
      <c r="AR1818" t="s">
        <v>5824</v>
      </c>
      <c r="AS1818" t="s">
        <v>75</v>
      </c>
      <c r="AX1818" t="s">
        <v>76</v>
      </c>
      <c r="AY1818" t="s">
        <v>176</v>
      </c>
      <c r="AZ1818">
        <v>0</v>
      </c>
      <c r="BA1818" t="s">
        <v>176</v>
      </c>
      <c r="BB1818">
        <v>0</v>
      </c>
    </row>
    <row r="1819" spans="1:56" x14ac:dyDescent="0.15">
      <c r="A1819" s="4" t="str">
        <f>HYPERLINK("https://ibp.a2mac1.com/costing(costing:projects/details/9760/part/8415894)","Stopper on Trunk")</f>
        <v>Stopper on Trunk</v>
      </c>
      <c r="B1819">
        <v>8415894</v>
      </c>
      <c r="C1819">
        <v>8415649</v>
      </c>
      <c r="E1819">
        <v>6.0141669000000002E-2</v>
      </c>
      <c r="F1819">
        <v>0</v>
      </c>
      <c r="G1819">
        <v>0</v>
      </c>
      <c r="H1819">
        <v>3.0327077200000002E-4</v>
      </c>
      <c r="I1819" t="s">
        <v>176</v>
      </c>
      <c r="J1819">
        <v>2.1102339999999999E-3</v>
      </c>
      <c r="K1819">
        <v>6.2555173771999997E-2</v>
      </c>
      <c r="L1819">
        <v>1.8058360315866087E-3</v>
      </c>
      <c r="M1819">
        <v>1.0835016189519651E-2</v>
      </c>
      <c r="N1819">
        <v>7.339018996151965E-2</v>
      </c>
      <c r="O1819" t="s">
        <v>177</v>
      </c>
      <c r="P1819">
        <v>3.7533104263199999E-3</v>
      </c>
      <c r="Q1819" t="s">
        <v>177</v>
      </c>
      <c r="R1819">
        <v>6.5010097137117905E-4</v>
      </c>
      <c r="S1819" t="s">
        <v>178</v>
      </c>
      <c r="T1819">
        <v>8.8068227953823578E-3</v>
      </c>
      <c r="U1819" t="s">
        <v>90</v>
      </c>
      <c r="V1819">
        <v>0</v>
      </c>
      <c r="W1819" t="s">
        <v>90</v>
      </c>
      <c r="X1819">
        <v>0</v>
      </c>
      <c r="Y1819">
        <v>8.6600424154593195E-2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16</v>
      </c>
      <c r="AF1819">
        <v>33</v>
      </c>
      <c r="AG1819">
        <v>33</v>
      </c>
      <c r="AI1819">
        <v>3.9E-2</v>
      </c>
      <c r="AK1819" t="s">
        <v>5305</v>
      </c>
      <c r="AL1819" t="s">
        <v>5827</v>
      </c>
      <c r="AM1819">
        <v>400000</v>
      </c>
      <c r="AN1819" t="s">
        <v>97</v>
      </c>
      <c r="AO1819">
        <v>2</v>
      </c>
      <c r="AP1819">
        <v>0</v>
      </c>
      <c r="AQ1819">
        <v>33333.333333333336</v>
      </c>
      <c r="AR1819" t="s">
        <v>5828</v>
      </c>
      <c r="AS1819" t="s">
        <v>75</v>
      </c>
      <c r="AX1819" t="s">
        <v>76</v>
      </c>
      <c r="AY1819" t="s">
        <v>176</v>
      </c>
      <c r="AZ1819">
        <v>0</v>
      </c>
      <c r="BA1819" t="s">
        <v>176</v>
      </c>
      <c r="BB1819">
        <v>0</v>
      </c>
    </row>
    <row r="1820" spans="1:56" x14ac:dyDescent="0.15">
      <c r="A1820" s="4" t="str">
        <f>HYPERLINK("https://ibp.a2mac1.com/costing(costing:projects/details/9760/part/8415895)","Adjustable Stopper on Trunk")</f>
        <v>Adjustable Stopper on Trunk</v>
      </c>
      <c r="B1820">
        <v>8415895</v>
      </c>
      <c r="C1820">
        <v>8415649</v>
      </c>
      <c r="E1820">
        <v>1.8992106000000002E-2</v>
      </c>
      <c r="F1820">
        <v>0</v>
      </c>
      <c r="G1820">
        <v>0</v>
      </c>
      <c r="H1820">
        <v>9.5769717473684208E-5</v>
      </c>
      <c r="I1820" t="s">
        <v>176</v>
      </c>
      <c r="J1820">
        <v>6.6638968421052632E-4</v>
      </c>
      <c r="K1820">
        <v>1.975426540168421E-2</v>
      </c>
      <c r="L1820">
        <v>2.7987594528983253E-4</v>
      </c>
      <c r="M1820">
        <v>1.6792556717389951E-3</v>
      </c>
      <c r="N1820">
        <v>2.1433521073423206E-2</v>
      </c>
      <c r="O1820" t="s">
        <v>177</v>
      </c>
      <c r="P1820">
        <v>1.1852559241010527E-3</v>
      </c>
      <c r="Q1820" t="s">
        <v>177</v>
      </c>
      <c r="R1820">
        <v>1.007553403043397E-4</v>
      </c>
      <c r="S1820" t="s">
        <v>178</v>
      </c>
      <c r="T1820">
        <v>2.5720225288107849E-3</v>
      </c>
      <c r="U1820" t="s">
        <v>90</v>
      </c>
      <c r="V1820">
        <v>0</v>
      </c>
      <c r="W1820" t="s">
        <v>90</v>
      </c>
      <c r="X1820">
        <v>0</v>
      </c>
      <c r="Y1820">
        <v>2.5291554866639383E-2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20</v>
      </c>
      <c r="AF1820">
        <v>20</v>
      </c>
      <c r="AG1820">
        <v>44</v>
      </c>
      <c r="AI1820">
        <v>1.2E-2</v>
      </c>
      <c r="AK1820" t="s">
        <v>5305</v>
      </c>
      <c r="AL1820" t="s">
        <v>2246</v>
      </c>
      <c r="AM1820">
        <v>400000</v>
      </c>
      <c r="AN1820" t="s">
        <v>97</v>
      </c>
      <c r="AO1820">
        <v>2</v>
      </c>
      <c r="AP1820">
        <v>0</v>
      </c>
      <c r="AQ1820">
        <v>33333.333333333336</v>
      </c>
      <c r="AR1820" t="s">
        <v>5831</v>
      </c>
      <c r="AS1820" t="s">
        <v>75</v>
      </c>
      <c r="AX1820" t="s">
        <v>76</v>
      </c>
      <c r="AY1820" t="s">
        <v>176</v>
      </c>
      <c r="AZ1820">
        <v>0</v>
      </c>
      <c r="BA1820" t="s">
        <v>176</v>
      </c>
      <c r="BB1820">
        <v>0</v>
      </c>
    </row>
    <row r="1821" spans="1:56" x14ac:dyDescent="0.15">
      <c r="A1821" s="4" t="str">
        <f>HYPERLINK("https://ibp.a2mac1.com/costing(costing:projects/details/9760/part/8415896)","Stopper Support On Trunk")</f>
        <v>Stopper Support On Trunk</v>
      </c>
      <c r="B1821">
        <v>8415896</v>
      </c>
      <c r="C1821">
        <v>8415649</v>
      </c>
      <c r="E1821">
        <v>2.1358680000000001E-2</v>
      </c>
      <c r="F1821">
        <v>0</v>
      </c>
      <c r="G1821">
        <v>0</v>
      </c>
      <c r="H1821">
        <v>1.0770341894736842E-4</v>
      </c>
      <c r="I1821" t="s">
        <v>176</v>
      </c>
      <c r="J1821">
        <v>7.4942736842105266E-4</v>
      </c>
      <c r="K1821">
        <v>2.2215810787368419E-2</v>
      </c>
      <c r="L1821">
        <v>1.2953264126037216E-4</v>
      </c>
      <c r="M1821">
        <v>7.7719584756223302E-4</v>
      </c>
      <c r="N1821">
        <v>2.2993006634930653E-2</v>
      </c>
      <c r="O1821" t="s">
        <v>177</v>
      </c>
      <c r="P1821">
        <v>1.3329486472421052E-3</v>
      </c>
      <c r="Q1821" t="s">
        <v>177</v>
      </c>
      <c r="R1821">
        <v>4.663175085373398E-5</v>
      </c>
      <c r="S1821" t="s">
        <v>178</v>
      </c>
      <c r="T1821">
        <v>2.7591607961916786E-3</v>
      </c>
      <c r="U1821" t="s">
        <v>90</v>
      </c>
      <c r="V1821">
        <v>0</v>
      </c>
      <c r="W1821" t="s">
        <v>90</v>
      </c>
      <c r="X1821">
        <v>0</v>
      </c>
      <c r="Y1821">
        <v>2.7131747829218171E-2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31</v>
      </c>
      <c r="AF1821">
        <v>31</v>
      </c>
      <c r="AG1821">
        <v>36</v>
      </c>
      <c r="AI1821">
        <v>1.0999999999999999E-2</v>
      </c>
      <c r="AK1821" t="s">
        <v>5305</v>
      </c>
      <c r="AL1821" t="s">
        <v>403</v>
      </c>
      <c r="AM1821">
        <v>400000</v>
      </c>
      <c r="AN1821" t="s">
        <v>97</v>
      </c>
      <c r="AO1821">
        <v>2</v>
      </c>
      <c r="AP1821">
        <v>0</v>
      </c>
      <c r="AQ1821">
        <v>33333.333333333336</v>
      </c>
      <c r="AR1821" t="s">
        <v>5835</v>
      </c>
      <c r="AS1821" t="s">
        <v>75</v>
      </c>
      <c r="AX1821" t="s">
        <v>76</v>
      </c>
      <c r="AY1821" t="s">
        <v>176</v>
      </c>
      <c r="AZ1821">
        <v>0</v>
      </c>
      <c r="BA1821" t="s">
        <v>176</v>
      </c>
      <c r="BB1821">
        <v>0</v>
      </c>
    </row>
    <row r="1822" spans="1:56" x14ac:dyDescent="0.15">
      <c r="A1822" s="4" t="str">
        <f>HYPERLINK("https://ibp.a2mac1.com/costing(costing:projects/details/9760/part/8416243)","Part 1")</f>
        <v>Part 1</v>
      </c>
      <c r="B1822">
        <v>8416243</v>
      </c>
      <c r="C1822">
        <v>8415901</v>
      </c>
      <c r="E1822">
        <v>7.1827749999999996E-2</v>
      </c>
      <c r="F1822">
        <v>0</v>
      </c>
      <c r="G1822">
        <v>0</v>
      </c>
      <c r="H1822">
        <v>7.9468999999999994E-5</v>
      </c>
      <c r="I1822" t="s">
        <v>176</v>
      </c>
      <c r="J1822">
        <v>2.6744375000000002E-3</v>
      </c>
      <c r="K1822">
        <v>7.4581656499999996E-2</v>
      </c>
      <c r="L1822">
        <v>1.9496073438883467E-2</v>
      </c>
      <c r="M1822">
        <v>0.1169764406333008</v>
      </c>
      <c r="N1822">
        <v>0.1915580971333008</v>
      </c>
      <c r="O1822" t="s">
        <v>177</v>
      </c>
      <c r="P1822">
        <v>4.4748993900000002E-3</v>
      </c>
      <c r="Q1822" t="s">
        <v>177</v>
      </c>
      <c r="R1822">
        <v>7.0185864379980478E-3</v>
      </c>
      <c r="S1822" t="s">
        <v>178</v>
      </c>
      <c r="T1822">
        <v>2.2986971655996096E-2</v>
      </c>
      <c r="U1822" t="s">
        <v>90</v>
      </c>
      <c r="V1822">
        <v>0</v>
      </c>
      <c r="W1822" t="s">
        <v>90</v>
      </c>
      <c r="X1822">
        <v>0</v>
      </c>
      <c r="Y1822">
        <v>0.22603855461729494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K1822" t="s">
        <v>272</v>
      </c>
      <c r="AM1822">
        <v>200000</v>
      </c>
      <c r="AN1822" t="s">
        <v>97</v>
      </c>
      <c r="AO1822">
        <v>1</v>
      </c>
      <c r="AP1822">
        <v>0</v>
      </c>
      <c r="AQ1822">
        <v>16666.666666666668</v>
      </c>
      <c r="AR1822" t="s">
        <v>9</v>
      </c>
      <c r="AS1822" t="s">
        <v>75</v>
      </c>
      <c r="AV1822">
        <v>0</v>
      </c>
      <c r="AW1822">
        <v>0</v>
      </c>
      <c r="AX1822" t="s">
        <v>76</v>
      </c>
      <c r="AY1822" t="s">
        <v>176</v>
      </c>
      <c r="AZ1822">
        <v>0</v>
      </c>
      <c r="BA1822" t="s">
        <v>176</v>
      </c>
      <c r="BB1822">
        <v>0</v>
      </c>
    </row>
    <row r="1823" spans="1:56" x14ac:dyDescent="0.15">
      <c r="A1823" s="4" t="str">
        <f>HYPERLINK("https://ibp.a2mac1.com/costing(costing:projects/details/9760/part/8416244)","Part 2")</f>
        <v>Part 2</v>
      </c>
      <c r="B1823">
        <v>8416244</v>
      </c>
      <c r="C1823">
        <v>8415901</v>
      </c>
      <c r="E1823">
        <v>6.4644974999999993E-2</v>
      </c>
      <c r="F1823">
        <v>0</v>
      </c>
      <c r="G1823">
        <v>0</v>
      </c>
      <c r="H1823">
        <v>7.1522100000000004E-5</v>
      </c>
      <c r="I1823" t="s">
        <v>176</v>
      </c>
      <c r="J1823">
        <v>2.4069937500000001E-3</v>
      </c>
      <c r="K1823">
        <v>6.7123490849999995E-2</v>
      </c>
      <c r="L1823">
        <v>1.9496073438883467E-2</v>
      </c>
      <c r="M1823">
        <v>0.1169764406333008</v>
      </c>
      <c r="N1823">
        <v>0.18409993148330081</v>
      </c>
      <c r="O1823" t="s">
        <v>177</v>
      </c>
      <c r="P1823">
        <v>4.0274094510000004E-3</v>
      </c>
      <c r="Q1823" t="s">
        <v>177</v>
      </c>
      <c r="R1823">
        <v>7.0185864379980478E-3</v>
      </c>
      <c r="S1823" t="s">
        <v>178</v>
      </c>
      <c r="T1823">
        <v>2.2091991777996096E-2</v>
      </c>
      <c r="U1823" t="s">
        <v>90</v>
      </c>
      <c r="V1823">
        <v>0</v>
      </c>
      <c r="W1823" t="s">
        <v>90</v>
      </c>
      <c r="X1823">
        <v>0</v>
      </c>
      <c r="Y1823">
        <v>0.21723791915029494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K1823" t="s">
        <v>272</v>
      </c>
      <c r="AM1823">
        <v>200000</v>
      </c>
      <c r="AN1823" t="s">
        <v>97</v>
      </c>
      <c r="AO1823">
        <v>1</v>
      </c>
      <c r="AP1823">
        <v>0</v>
      </c>
      <c r="AQ1823">
        <v>16666.666666666668</v>
      </c>
      <c r="AR1823" t="s">
        <v>9</v>
      </c>
      <c r="AS1823" t="s">
        <v>75</v>
      </c>
      <c r="AV1823">
        <v>0</v>
      </c>
      <c r="AW1823">
        <v>0</v>
      </c>
      <c r="AX1823" t="s">
        <v>76</v>
      </c>
      <c r="AY1823" t="s">
        <v>176</v>
      </c>
      <c r="AZ1823">
        <v>0</v>
      </c>
      <c r="BA1823" t="s">
        <v>176</v>
      </c>
      <c r="BB1823">
        <v>0</v>
      </c>
    </row>
    <row r="1824" spans="1:56" x14ac:dyDescent="0.15">
      <c r="A1824" s="4" t="str">
        <f>HYPERLINK("https://ibp.a2mac1.com/costing(costing:projects/details/9760/part/8416245)","Part 3")</f>
        <v>Part 3</v>
      </c>
      <c r="B1824">
        <v>8416245</v>
      </c>
      <c r="C1824">
        <v>8415901</v>
      </c>
      <c r="E1824">
        <v>5.0279425000000003E-2</v>
      </c>
      <c r="F1824">
        <v>0</v>
      </c>
      <c r="G1824">
        <v>0</v>
      </c>
      <c r="H1824">
        <v>5.5628299999999997E-5</v>
      </c>
      <c r="I1824" t="s">
        <v>176</v>
      </c>
      <c r="J1824">
        <v>1.87210625E-3</v>
      </c>
      <c r="K1824">
        <v>5.220715955E-2</v>
      </c>
      <c r="L1824">
        <v>1.9496073438883467E-2</v>
      </c>
      <c r="M1824">
        <v>0.1169764406333008</v>
      </c>
      <c r="N1824">
        <v>0.16918360018330081</v>
      </c>
      <c r="O1824" t="s">
        <v>177</v>
      </c>
      <c r="P1824">
        <v>3.1324295729999998E-3</v>
      </c>
      <c r="Q1824" t="s">
        <v>177</v>
      </c>
      <c r="R1824">
        <v>7.0185864379980478E-3</v>
      </c>
      <c r="S1824" t="s">
        <v>178</v>
      </c>
      <c r="T1824">
        <v>2.0302032021996097E-2</v>
      </c>
      <c r="U1824" t="s">
        <v>90</v>
      </c>
      <c r="V1824">
        <v>0</v>
      </c>
      <c r="W1824" t="s">
        <v>90</v>
      </c>
      <c r="X1824">
        <v>0</v>
      </c>
      <c r="Y1824">
        <v>0.19963664821629495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K1824" t="s">
        <v>272</v>
      </c>
      <c r="AM1824">
        <v>200000</v>
      </c>
      <c r="AN1824" t="s">
        <v>97</v>
      </c>
      <c r="AO1824">
        <v>1</v>
      </c>
      <c r="AP1824">
        <v>0</v>
      </c>
      <c r="AQ1824">
        <v>16666.666666666668</v>
      </c>
      <c r="AR1824" t="s">
        <v>9</v>
      </c>
      <c r="AS1824" t="s">
        <v>75</v>
      </c>
      <c r="AV1824">
        <v>0</v>
      </c>
      <c r="AW1824">
        <v>0</v>
      </c>
      <c r="AX1824" t="s">
        <v>76</v>
      </c>
      <c r="AY1824" t="s">
        <v>176</v>
      </c>
      <c r="AZ1824">
        <v>0</v>
      </c>
      <c r="BA1824" t="s">
        <v>176</v>
      </c>
      <c r="BB1824">
        <v>0</v>
      </c>
    </row>
    <row r="1825" spans="1:56" x14ac:dyDescent="0.15">
      <c r="A1825" s="4" t="str">
        <f>HYPERLINK("https://ibp.a2mac1.com/costing(costing:projects/details/9760/part/8416246)","Part 4")</f>
        <v>Part 4</v>
      </c>
      <c r="B1825">
        <v>8416246</v>
      </c>
      <c r="C1825">
        <v>8415901</v>
      </c>
      <c r="E1825">
        <v>5.0279425000000003E-2</v>
      </c>
      <c r="F1825">
        <v>0</v>
      </c>
      <c r="G1825">
        <v>0</v>
      </c>
      <c r="H1825">
        <v>5.5628299999999997E-5</v>
      </c>
      <c r="I1825" t="s">
        <v>176</v>
      </c>
      <c r="J1825">
        <v>1.87210625E-3</v>
      </c>
      <c r="K1825">
        <v>5.220715955E-2</v>
      </c>
      <c r="L1825">
        <v>1.9496073438883467E-2</v>
      </c>
      <c r="M1825">
        <v>0.1169764406333008</v>
      </c>
      <c r="N1825">
        <v>0.16918360018330081</v>
      </c>
      <c r="O1825" t="s">
        <v>177</v>
      </c>
      <c r="P1825">
        <v>3.1324295729999998E-3</v>
      </c>
      <c r="Q1825" t="s">
        <v>177</v>
      </c>
      <c r="R1825">
        <v>7.0185864379980478E-3</v>
      </c>
      <c r="S1825" t="s">
        <v>178</v>
      </c>
      <c r="T1825">
        <v>2.0302032021996097E-2</v>
      </c>
      <c r="U1825" t="s">
        <v>90</v>
      </c>
      <c r="V1825">
        <v>0</v>
      </c>
      <c r="W1825" t="s">
        <v>90</v>
      </c>
      <c r="X1825">
        <v>0</v>
      </c>
      <c r="Y1825">
        <v>0.19963664821629495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K1825" t="s">
        <v>272</v>
      </c>
      <c r="AM1825">
        <v>200000</v>
      </c>
      <c r="AN1825" t="s">
        <v>97</v>
      </c>
      <c r="AO1825">
        <v>1</v>
      </c>
      <c r="AP1825">
        <v>0</v>
      </c>
      <c r="AQ1825">
        <v>16666.666666666668</v>
      </c>
      <c r="AR1825" t="s">
        <v>9</v>
      </c>
      <c r="AS1825" t="s">
        <v>75</v>
      </c>
      <c r="AV1825">
        <v>0</v>
      </c>
      <c r="AW1825">
        <v>0</v>
      </c>
      <c r="AX1825" t="s">
        <v>76</v>
      </c>
      <c r="AY1825" t="s">
        <v>176</v>
      </c>
      <c r="AZ1825">
        <v>0</v>
      </c>
      <c r="BA1825" t="s">
        <v>176</v>
      </c>
      <c r="BB1825">
        <v>0</v>
      </c>
    </row>
    <row r="1826" spans="1:56" x14ac:dyDescent="0.15">
      <c r="A1826" s="4" t="str">
        <f>HYPERLINK("https://ibp.a2mac1.com/costing(costing:projects/details/9760/part/8416247)","Shaft")</f>
        <v>Shaft</v>
      </c>
      <c r="B1826">
        <v>8416247</v>
      </c>
      <c r="C1826">
        <v>8415901</v>
      </c>
      <c r="E1826">
        <v>5.5932139999999998E-2</v>
      </c>
      <c r="F1826">
        <v>0</v>
      </c>
      <c r="G1826">
        <v>0</v>
      </c>
      <c r="H1826">
        <v>5.8169425599999997E-5</v>
      </c>
      <c r="I1826" t="s">
        <v>176</v>
      </c>
      <c r="J1826">
        <v>1.9576249000000001E-3</v>
      </c>
      <c r="K1826">
        <v>5.7947934325599998E-2</v>
      </c>
      <c r="L1826">
        <v>7.58881820550103E-2</v>
      </c>
      <c r="M1826">
        <v>0.45532909233006186</v>
      </c>
      <c r="N1826">
        <v>0.51327702665566188</v>
      </c>
      <c r="O1826" t="s">
        <v>177</v>
      </c>
      <c r="P1826">
        <v>3.4768760595360001E-3</v>
      </c>
      <c r="Q1826" t="s">
        <v>177</v>
      </c>
      <c r="R1826">
        <v>2.7319745539803712E-2</v>
      </c>
      <c r="S1826" t="s">
        <v>178</v>
      </c>
      <c r="T1826">
        <v>6.1593243198679419E-2</v>
      </c>
      <c r="U1826" t="s">
        <v>90</v>
      </c>
      <c r="V1826">
        <v>0</v>
      </c>
      <c r="W1826" t="s">
        <v>90</v>
      </c>
      <c r="X1826">
        <v>0</v>
      </c>
      <c r="Y1826">
        <v>0.60566689145368102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K1826" t="s">
        <v>272</v>
      </c>
      <c r="AM1826">
        <v>200000</v>
      </c>
      <c r="AN1826" t="s">
        <v>97</v>
      </c>
      <c r="AO1826">
        <v>1</v>
      </c>
      <c r="AP1826">
        <v>0</v>
      </c>
      <c r="AQ1826">
        <v>16666.666666666668</v>
      </c>
      <c r="AR1826" t="s">
        <v>9</v>
      </c>
      <c r="AS1826" t="s">
        <v>75</v>
      </c>
      <c r="AV1826">
        <v>0</v>
      </c>
      <c r="AW1826">
        <v>0</v>
      </c>
      <c r="AX1826" t="s">
        <v>76</v>
      </c>
      <c r="AY1826" t="s">
        <v>176</v>
      </c>
      <c r="AZ1826">
        <v>0</v>
      </c>
      <c r="BA1826" t="s">
        <v>176</v>
      </c>
      <c r="BB1826">
        <v>0</v>
      </c>
    </row>
    <row r="1827" spans="1:56" x14ac:dyDescent="0.15">
      <c r="A1827" s="4" t="str">
        <f>HYPERLINK("https://ibp.a2mac1.com/costing(costing:projects/details/9760/part/8416248)","Part 1")</f>
        <v>Part 1</v>
      </c>
      <c r="B1827">
        <v>8416248</v>
      </c>
      <c r="C1827">
        <v>8415902</v>
      </c>
      <c r="E1827">
        <v>7.1827749999999996E-2</v>
      </c>
      <c r="F1827">
        <v>0</v>
      </c>
      <c r="G1827">
        <v>0</v>
      </c>
      <c r="H1827">
        <v>7.9468999999999994E-5</v>
      </c>
      <c r="I1827" t="s">
        <v>176</v>
      </c>
      <c r="J1827">
        <v>2.6744375000000002E-3</v>
      </c>
      <c r="K1827">
        <v>7.4581656499999996E-2</v>
      </c>
      <c r="L1827">
        <v>1.9496073438883467E-2</v>
      </c>
      <c r="M1827">
        <v>0.1169764406333008</v>
      </c>
      <c r="N1827">
        <v>0.1915580971333008</v>
      </c>
      <c r="O1827" t="s">
        <v>177</v>
      </c>
      <c r="P1827">
        <v>4.4748993900000002E-3</v>
      </c>
      <c r="Q1827" t="s">
        <v>177</v>
      </c>
      <c r="R1827">
        <v>7.0185864379980478E-3</v>
      </c>
      <c r="S1827" t="s">
        <v>178</v>
      </c>
      <c r="T1827">
        <v>2.2986971655996096E-2</v>
      </c>
      <c r="U1827" t="s">
        <v>90</v>
      </c>
      <c r="V1827">
        <v>0</v>
      </c>
      <c r="W1827" t="s">
        <v>90</v>
      </c>
      <c r="X1827">
        <v>0</v>
      </c>
      <c r="Y1827">
        <v>0.22603855461729494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K1827" t="s">
        <v>272</v>
      </c>
      <c r="AM1827">
        <v>200000</v>
      </c>
      <c r="AN1827" t="s">
        <v>97</v>
      </c>
      <c r="AO1827">
        <v>1</v>
      </c>
      <c r="AP1827">
        <v>0</v>
      </c>
      <c r="AQ1827">
        <v>16666.666666666668</v>
      </c>
      <c r="AR1827" t="s">
        <v>9</v>
      </c>
      <c r="AS1827" t="s">
        <v>75</v>
      </c>
      <c r="AV1827">
        <v>0</v>
      </c>
      <c r="AW1827">
        <v>0</v>
      </c>
      <c r="AX1827" t="s">
        <v>76</v>
      </c>
      <c r="AY1827" t="s">
        <v>176</v>
      </c>
      <c r="AZ1827">
        <v>0</v>
      </c>
      <c r="BA1827" t="s">
        <v>176</v>
      </c>
      <c r="BB1827">
        <v>0</v>
      </c>
    </row>
    <row r="1828" spans="1:56" x14ac:dyDescent="0.15">
      <c r="A1828" s="4" t="str">
        <f>HYPERLINK("https://ibp.a2mac1.com/costing(costing:projects/details/9760/part/8416249)","Part 2")</f>
        <v>Part 2</v>
      </c>
      <c r="B1828">
        <v>8416249</v>
      </c>
      <c r="C1828">
        <v>8415902</v>
      </c>
      <c r="E1828">
        <v>6.4644974999999993E-2</v>
      </c>
      <c r="F1828">
        <v>0</v>
      </c>
      <c r="G1828">
        <v>0</v>
      </c>
      <c r="H1828">
        <v>7.1522100000000004E-5</v>
      </c>
      <c r="I1828" t="s">
        <v>176</v>
      </c>
      <c r="J1828">
        <v>2.4069937500000001E-3</v>
      </c>
      <c r="K1828">
        <v>6.7123490849999995E-2</v>
      </c>
      <c r="L1828">
        <v>1.9496073438883467E-2</v>
      </c>
      <c r="M1828">
        <v>0.1169764406333008</v>
      </c>
      <c r="N1828">
        <v>0.18409993148330081</v>
      </c>
      <c r="O1828" t="s">
        <v>177</v>
      </c>
      <c r="P1828">
        <v>4.0274094510000004E-3</v>
      </c>
      <c r="Q1828" t="s">
        <v>177</v>
      </c>
      <c r="R1828">
        <v>7.0185864379980478E-3</v>
      </c>
      <c r="S1828" t="s">
        <v>178</v>
      </c>
      <c r="T1828">
        <v>2.2091991777996096E-2</v>
      </c>
      <c r="U1828" t="s">
        <v>90</v>
      </c>
      <c r="V1828">
        <v>0</v>
      </c>
      <c r="W1828" t="s">
        <v>90</v>
      </c>
      <c r="X1828">
        <v>0</v>
      </c>
      <c r="Y1828">
        <v>0.21723791915029494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K1828" t="s">
        <v>272</v>
      </c>
      <c r="AM1828">
        <v>200000</v>
      </c>
      <c r="AN1828" t="s">
        <v>97</v>
      </c>
      <c r="AO1828">
        <v>1</v>
      </c>
      <c r="AP1828">
        <v>0</v>
      </c>
      <c r="AQ1828">
        <v>16666.666666666668</v>
      </c>
      <c r="AR1828" t="s">
        <v>9</v>
      </c>
      <c r="AS1828" t="s">
        <v>75</v>
      </c>
      <c r="AV1828">
        <v>0</v>
      </c>
      <c r="AW1828">
        <v>0</v>
      </c>
      <c r="AX1828" t="s">
        <v>76</v>
      </c>
      <c r="AY1828" t="s">
        <v>176</v>
      </c>
      <c r="AZ1828">
        <v>0</v>
      </c>
      <c r="BA1828" t="s">
        <v>176</v>
      </c>
      <c r="BB1828">
        <v>0</v>
      </c>
    </row>
    <row r="1829" spans="1:56" x14ac:dyDescent="0.15">
      <c r="A1829" s="4" t="str">
        <f>HYPERLINK("https://ibp.a2mac1.com/costing(costing:projects/details/9760/part/8416250)","Part 3")</f>
        <v>Part 3</v>
      </c>
      <c r="B1829">
        <v>8416250</v>
      </c>
      <c r="C1829">
        <v>8415902</v>
      </c>
      <c r="E1829">
        <v>5.0279425000000003E-2</v>
      </c>
      <c r="F1829">
        <v>0</v>
      </c>
      <c r="G1829">
        <v>0</v>
      </c>
      <c r="H1829">
        <v>5.5628299999999997E-5</v>
      </c>
      <c r="I1829" t="s">
        <v>176</v>
      </c>
      <c r="J1829">
        <v>1.87210625E-3</v>
      </c>
      <c r="K1829">
        <v>5.220715955E-2</v>
      </c>
      <c r="L1829">
        <v>1.9496073438883467E-2</v>
      </c>
      <c r="M1829">
        <v>0.1169764406333008</v>
      </c>
      <c r="N1829">
        <v>0.16918360018330081</v>
      </c>
      <c r="O1829" t="s">
        <v>177</v>
      </c>
      <c r="P1829">
        <v>3.1324295729999998E-3</v>
      </c>
      <c r="Q1829" t="s">
        <v>177</v>
      </c>
      <c r="R1829">
        <v>7.0185864379980478E-3</v>
      </c>
      <c r="S1829" t="s">
        <v>178</v>
      </c>
      <c r="T1829">
        <v>2.0302032021996097E-2</v>
      </c>
      <c r="U1829" t="s">
        <v>90</v>
      </c>
      <c r="V1829">
        <v>0</v>
      </c>
      <c r="W1829" t="s">
        <v>90</v>
      </c>
      <c r="X1829">
        <v>0</v>
      </c>
      <c r="Y1829">
        <v>0.19963664821629495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K1829" t="s">
        <v>272</v>
      </c>
      <c r="AM1829">
        <v>200000</v>
      </c>
      <c r="AN1829" t="s">
        <v>97</v>
      </c>
      <c r="AO1829">
        <v>1</v>
      </c>
      <c r="AP1829">
        <v>0</v>
      </c>
      <c r="AQ1829">
        <v>16666.666666666668</v>
      </c>
      <c r="AR1829" t="s">
        <v>9</v>
      </c>
      <c r="AS1829" t="s">
        <v>75</v>
      </c>
      <c r="AV1829">
        <v>0</v>
      </c>
      <c r="AW1829">
        <v>0</v>
      </c>
      <c r="AX1829" t="s">
        <v>76</v>
      </c>
      <c r="AY1829" t="s">
        <v>176</v>
      </c>
      <c r="AZ1829">
        <v>0</v>
      </c>
      <c r="BA1829" t="s">
        <v>176</v>
      </c>
      <c r="BB1829">
        <v>0</v>
      </c>
    </row>
    <row r="1830" spans="1:56" x14ac:dyDescent="0.15">
      <c r="A1830" s="4" t="str">
        <f>HYPERLINK("https://ibp.a2mac1.com/costing(costing:projects/details/9760/part/8416251)","Part 4")</f>
        <v>Part 4</v>
      </c>
      <c r="B1830">
        <v>8416251</v>
      </c>
      <c r="C1830">
        <v>8415902</v>
      </c>
      <c r="E1830">
        <v>5.0279425000000003E-2</v>
      </c>
      <c r="F1830">
        <v>0</v>
      </c>
      <c r="G1830">
        <v>0</v>
      </c>
      <c r="H1830">
        <v>5.5628299999999997E-5</v>
      </c>
      <c r="I1830" t="s">
        <v>176</v>
      </c>
      <c r="J1830">
        <v>1.87210625E-3</v>
      </c>
      <c r="K1830">
        <v>5.220715955E-2</v>
      </c>
      <c r="L1830">
        <v>1.9496073438883467E-2</v>
      </c>
      <c r="M1830">
        <v>0.1169764406333008</v>
      </c>
      <c r="N1830">
        <v>0.16918360018330081</v>
      </c>
      <c r="O1830" t="s">
        <v>177</v>
      </c>
      <c r="P1830">
        <v>3.1324295729999998E-3</v>
      </c>
      <c r="Q1830" t="s">
        <v>177</v>
      </c>
      <c r="R1830">
        <v>7.0185864379980478E-3</v>
      </c>
      <c r="S1830" t="s">
        <v>178</v>
      </c>
      <c r="T1830">
        <v>2.0302032021996097E-2</v>
      </c>
      <c r="U1830" t="s">
        <v>90</v>
      </c>
      <c r="V1830">
        <v>0</v>
      </c>
      <c r="W1830" t="s">
        <v>90</v>
      </c>
      <c r="X1830">
        <v>0</v>
      </c>
      <c r="Y1830">
        <v>0.19963664821629495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K1830" t="s">
        <v>272</v>
      </c>
      <c r="AM1830">
        <v>200000</v>
      </c>
      <c r="AN1830" t="s">
        <v>97</v>
      </c>
      <c r="AO1830">
        <v>1</v>
      </c>
      <c r="AP1830">
        <v>0</v>
      </c>
      <c r="AQ1830">
        <v>16666.666666666668</v>
      </c>
      <c r="AR1830" t="s">
        <v>9</v>
      </c>
      <c r="AS1830" t="s">
        <v>75</v>
      </c>
      <c r="AV1830">
        <v>0</v>
      </c>
      <c r="AW1830">
        <v>0</v>
      </c>
      <c r="AX1830" t="s">
        <v>76</v>
      </c>
      <c r="AY1830" t="s">
        <v>176</v>
      </c>
      <c r="AZ1830">
        <v>0</v>
      </c>
      <c r="BA1830" t="s">
        <v>176</v>
      </c>
      <c r="BB1830">
        <v>0</v>
      </c>
    </row>
    <row r="1831" spans="1:56" x14ac:dyDescent="0.15">
      <c r="A1831" s="4" t="str">
        <f>HYPERLINK("https://ibp.a2mac1.com/costing(costing:projects/details/9760/part/8416252)","Shaft")</f>
        <v>Shaft</v>
      </c>
      <c r="B1831">
        <v>8416252</v>
      </c>
      <c r="C1831">
        <v>8415902</v>
      </c>
      <c r="E1831">
        <v>5.5932139999999998E-2</v>
      </c>
      <c r="F1831">
        <v>0</v>
      </c>
      <c r="G1831">
        <v>0</v>
      </c>
      <c r="H1831">
        <v>5.8169425599999997E-5</v>
      </c>
      <c r="I1831" t="s">
        <v>176</v>
      </c>
      <c r="J1831">
        <v>1.9576249000000001E-3</v>
      </c>
      <c r="K1831">
        <v>5.7947934325599998E-2</v>
      </c>
      <c r="L1831">
        <v>7.58881820550103E-2</v>
      </c>
      <c r="M1831">
        <v>0.45532909233006186</v>
      </c>
      <c r="N1831">
        <v>0.51327702665566188</v>
      </c>
      <c r="O1831" t="s">
        <v>177</v>
      </c>
      <c r="P1831">
        <v>3.4768760595360001E-3</v>
      </c>
      <c r="Q1831" t="s">
        <v>177</v>
      </c>
      <c r="R1831">
        <v>2.7319745539803712E-2</v>
      </c>
      <c r="S1831" t="s">
        <v>178</v>
      </c>
      <c r="T1831">
        <v>6.1593243198679419E-2</v>
      </c>
      <c r="U1831" t="s">
        <v>90</v>
      </c>
      <c r="V1831">
        <v>0</v>
      </c>
      <c r="W1831" t="s">
        <v>90</v>
      </c>
      <c r="X1831">
        <v>0</v>
      </c>
      <c r="Y1831">
        <v>0.60566689145368102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K1831" t="s">
        <v>272</v>
      </c>
      <c r="AM1831">
        <v>200000</v>
      </c>
      <c r="AN1831" t="s">
        <v>97</v>
      </c>
      <c r="AO1831">
        <v>1</v>
      </c>
      <c r="AP1831">
        <v>0</v>
      </c>
      <c r="AQ1831">
        <v>16666.666666666668</v>
      </c>
      <c r="AR1831" t="s">
        <v>9</v>
      </c>
      <c r="AS1831" t="s">
        <v>75</v>
      </c>
      <c r="AV1831">
        <v>0</v>
      </c>
      <c r="AW1831">
        <v>0</v>
      </c>
      <c r="AX1831" t="s">
        <v>76</v>
      </c>
      <c r="AY1831" t="s">
        <v>176</v>
      </c>
      <c r="AZ1831">
        <v>0</v>
      </c>
      <c r="BA1831" t="s">
        <v>176</v>
      </c>
      <c r="BB1831">
        <v>0</v>
      </c>
    </row>
    <row r="1832" spans="1:56" x14ac:dyDescent="0.15">
      <c r="A1832" s="4" t="str">
        <f>HYPERLINK("https://ibp.a2mac1.com/costing(costing:projects/details/9760/part/8415897)","Spoiler")</f>
        <v>Spoiler</v>
      </c>
      <c r="B1832">
        <v>8415897</v>
      </c>
      <c r="C1832">
        <v>8415650</v>
      </c>
      <c r="E1832">
        <v>9.7552229278021798</v>
      </c>
      <c r="F1832">
        <v>0</v>
      </c>
      <c r="G1832">
        <v>0</v>
      </c>
      <c r="H1832">
        <v>0.11653770891574518</v>
      </c>
      <c r="I1832" t="s">
        <v>176</v>
      </c>
      <c r="J1832">
        <v>0.34181128720990622</v>
      </c>
      <c r="K1832">
        <v>10.213571923927832</v>
      </c>
      <c r="L1832">
        <v>1.4464811330331251</v>
      </c>
      <c r="M1832">
        <v>8.6788867981987501</v>
      </c>
      <c r="N1832">
        <v>18.892458722126584</v>
      </c>
      <c r="O1832" t="s">
        <v>177</v>
      </c>
      <c r="P1832">
        <v>0.61281431543566989</v>
      </c>
      <c r="Q1832" t="s">
        <v>177</v>
      </c>
      <c r="R1832">
        <v>0.52073320789192501</v>
      </c>
      <c r="S1832" t="s">
        <v>178</v>
      </c>
      <c r="T1832">
        <v>2.2670950466551898</v>
      </c>
      <c r="U1832" t="s">
        <v>90</v>
      </c>
      <c r="V1832">
        <v>0</v>
      </c>
      <c r="W1832" t="s">
        <v>90</v>
      </c>
      <c r="X1832">
        <v>0</v>
      </c>
      <c r="Y1832">
        <v>22.293101292109366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337</v>
      </c>
      <c r="AF1832">
        <v>1278</v>
      </c>
      <c r="AG1832">
        <v>85</v>
      </c>
      <c r="AI1832">
        <v>2.7669999999999999</v>
      </c>
      <c r="AK1832" t="s">
        <v>5305</v>
      </c>
      <c r="AL1832" t="s">
        <v>2577</v>
      </c>
      <c r="AM1832">
        <v>200000</v>
      </c>
      <c r="AN1832" t="s">
        <v>97</v>
      </c>
      <c r="AO1832">
        <v>1</v>
      </c>
      <c r="AP1832">
        <v>0</v>
      </c>
      <c r="AQ1832">
        <v>16666.666666666668</v>
      </c>
      <c r="AR1832" t="s">
        <v>5890</v>
      </c>
      <c r="AS1832" t="s">
        <v>75</v>
      </c>
      <c r="AX1832" t="s">
        <v>76</v>
      </c>
      <c r="AY1832" t="s">
        <v>176</v>
      </c>
      <c r="AZ1832">
        <v>0</v>
      </c>
      <c r="BA1832" t="s">
        <v>176</v>
      </c>
      <c r="BB1832">
        <v>0</v>
      </c>
    </row>
    <row r="1833" spans="1:56" x14ac:dyDescent="0.15">
      <c r="A1833" s="4" t="str">
        <f>HYPERLINK("https://ibp.a2mac1.com/costing(costing:projects/details/9760/part/8415898)","Spoiler Support Left and Right if Similar")</f>
        <v>Spoiler Support Left and Right if Similar</v>
      </c>
      <c r="B1833">
        <v>8415898</v>
      </c>
      <c r="C1833">
        <v>8415650</v>
      </c>
      <c r="E1833">
        <v>0.19393492500000001</v>
      </c>
      <c r="F1833">
        <v>0</v>
      </c>
      <c r="G1833">
        <v>0</v>
      </c>
      <c r="H1833">
        <v>6.2925693749999996E-4</v>
      </c>
      <c r="I1833" t="s">
        <v>176</v>
      </c>
      <c r="J1833">
        <v>7.2209812500000003E-3</v>
      </c>
      <c r="K1833">
        <v>0.20178516318750001</v>
      </c>
      <c r="L1833">
        <v>4.6721175185940683E-2</v>
      </c>
      <c r="M1833">
        <v>0.2803270511156441</v>
      </c>
      <c r="N1833">
        <v>0.4821122143031441</v>
      </c>
      <c r="O1833" t="s">
        <v>177</v>
      </c>
      <c r="P1833">
        <v>1.2107109791250001E-2</v>
      </c>
      <c r="Q1833" t="s">
        <v>177</v>
      </c>
      <c r="R1833">
        <v>1.6819623066938644E-2</v>
      </c>
      <c r="S1833" t="s">
        <v>178</v>
      </c>
      <c r="T1833">
        <v>5.7853465716377291E-2</v>
      </c>
      <c r="U1833" t="s">
        <v>90</v>
      </c>
      <c r="V1833">
        <v>0</v>
      </c>
      <c r="W1833" t="s">
        <v>90</v>
      </c>
      <c r="X1833">
        <v>0</v>
      </c>
      <c r="Y1833">
        <v>0.56889241287771009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24</v>
      </c>
      <c r="AF1833">
        <v>58</v>
      </c>
      <c r="AG1833">
        <v>91</v>
      </c>
      <c r="AI1833">
        <v>0.27</v>
      </c>
      <c r="AK1833" t="s">
        <v>5305</v>
      </c>
      <c r="AL1833" t="s">
        <v>96</v>
      </c>
      <c r="AM1833">
        <v>400000</v>
      </c>
      <c r="AN1833" t="s">
        <v>97</v>
      </c>
      <c r="AO1833">
        <v>2</v>
      </c>
      <c r="AP1833">
        <v>0</v>
      </c>
      <c r="AQ1833">
        <v>33333.333333333336</v>
      </c>
      <c r="AR1833" t="s">
        <v>5896</v>
      </c>
      <c r="AS1833" t="s">
        <v>75</v>
      </c>
      <c r="AX1833" t="s">
        <v>76</v>
      </c>
      <c r="AY1833" t="s">
        <v>176</v>
      </c>
      <c r="AZ1833">
        <v>0</v>
      </c>
      <c r="BA1833" t="s">
        <v>176</v>
      </c>
      <c r="BB1833">
        <v>0</v>
      </c>
    </row>
    <row r="1834" spans="1:56" x14ac:dyDescent="0.15">
      <c r="A1834" s="4" t="str">
        <f>HYPERLINK("https://ibp.a2mac1.com/costing(costing:projects/details/9760/part/8415899)","Access Trap Fasteners Cover")</f>
        <v>Access Trap Fasteners Cover</v>
      </c>
      <c r="B1834">
        <v>8415899</v>
      </c>
      <c r="C1834">
        <v>8415650</v>
      </c>
      <c r="E1834">
        <v>0.12761212799999999</v>
      </c>
      <c r="F1834">
        <v>0</v>
      </c>
      <c r="G1834">
        <v>0</v>
      </c>
      <c r="H1834">
        <v>6.4349774821052634E-4</v>
      </c>
      <c r="I1834" t="s">
        <v>176</v>
      </c>
      <c r="J1834">
        <v>4.4776185263157896E-3</v>
      </c>
      <c r="K1834">
        <v>0.13273324427452632</v>
      </c>
      <c r="L1834">
        <v>2.4603749669297277E-3</v>
      </c>
      <c r="M1834">
        <v>1.4762249801578368E-2</v>
      </c>
      <c r="N1834">
        <v>0.14749549407610468</v>
      </c>
      <c r="O1834" t="s">
        <v>177</v>
      </c>
      <c r="P1834">
        <v>7.9639946564715788E-3</v>
      </c>
      <c r="Q1834" t="s">
        <v>177</v>
      </c>
      <c r="R1834">
        <v>8.8573498809470198E-4</v>
      </c>
      <c r="S1834" t="s">
        <v>178</v>
      </c>
      <c r="T1834">
        <v>1.7699459289132562E-2</v>
      </c>
      <c r="U1834" t="s">
        <v>90</v>
      </c>
      <c r="V1834">
        <v>0</v>
      </c>
      <c r="W1834" t="s">
        <v>90</v>
      </c>
      <c r="X1834">
        <v>0</v>
      </c>
      <c r="Y1834">
        <v>0.17404468300980352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27</v>
      </c>
      <c r="AF1834">
        <v>57</v>
      </c>
      <c r="AG1834">
        <v>140</v>
      </c>
      <c r="AI1834">
        <v>5.2999999999999999E-2</v>
      </c>
      <c r="AK1834" t="s">
        <v>5305</v>
      </c>
      <c r="AL1834" t="s">
        <v>412</v>
      </c>
      <c r="AM1834">
        <v>400000</v>
      </c>
      <c r="AN1834" t="s">
        <v>97</v>
      </c>
      <c r="AO1834">
        <v>2</v>
      </c>
      <c r="AP1834">
        <v>0</v>
      </c>
      <c r="AQ1834">
        <v>33333.333333333336</v>
      </c>
      <c r="AR1834" t="s">
        <v>5901</v>
      </c>
      <c r="AS1834" t="s">
        <v>75</v>
      </c>
      <c r="AX1834" t="s">
        <v>76</v>
      </c>
      <c r="AY1834" t="s">
        <v>176</v>
      </c>
      <c r="AZ1834">
        <v>0</v>
      </c>
      <c r="BA1834" t="s">
        <v>176</v>
      </c>
      <c r="BB1834">
        <v>0</v>
      </c>
    </row>
    <row r="1835" spans="1:56" x14ac:dyDescent="0.15">
      <c r="A1835" s="4" t="str">
        <f>HYPERLINK("https://ibp.a2mac1.com/costing(costing:projects/details/9760/part/8415900)","Fixed Stopper on Spoiler")</f>
        <v>Fixed Stopper on Spoiler</v>
      </c>
      <c r="B1835">
        <v>8415900</v>
      </c>
      <c r="C1835">
        <v>8415650</v>
      </c>
      <c r="E1835">
        <v>0.3</v>
      </c>
      <c r="F1835">
        <v>0</v>
      </c>
      <c r="G1835">
        <v>0</v>
      </c>
      <c r="H1835">
        <v>0</v>
      </c>
      <c r="I1835" t="s">
        <v>71</v>
      </c>
      <c r="J1835">
        <v>0</v>
      </c>
      <c r="K1835">
        <v>0.3</v>
      </c>
      <c r="L1835">
        <v>0</v>
      </c>
      <c r="M1835">
        <v>0</v>
      </c>
      <c r="N1835">
        <v>0.3</v>
      </c>
      <c r="O1835" t="s">
        <v>71</v>
      </c>
      <c r="P1835">
        <v>0</v>
      </c>
      <c r="Q1835" t="s">
        <v>71</v>
      </c>
      <c r="R1835">
        <v>0</v>
      </c>
      <c r="S1835" t="s">
        <v>71</v>
      </c>
      <c r="T1835">
        <v>0</v>
      </c>
      <c r="U1835" t="s">
        <v>71</v>
      </c>
      <c r="V1835">
        <v>0</v>
      </c>
      <c r="W1835" t="s">
        <v>71</v>
      </c>
      <c r="X1835">
        <v>0</v>
      </c>
      <c r="Y1835">
        <v>0.3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12</v>
      </c>
      <c r="AF1835">
        <v>11</v>
      </c>
      <c r="AG1835">
        <v>11</v>
      </c>
      <c r="AI1835">
        <v>1E-3</v>
      </c>
      <c r="AK1835" t="s">
        <v>5305</v>
      </c>
      <c r="AL1835" t="s">
        <v>289</v>
      </c>
      <c r="AM1835">
        <v>600000</v>
      </c>
      <c r="AN1835" t="s">
        <v>97</v>
      </c>
      <c r="AO1835">
        <v>3</v>
      </c>
      <c r="AP1835">
        <v>0</v>
      </c>
      <c r="AQ1835">
        <v>50000</v>
      </c>
      <c r="AR1835" t="s">
        <v>5902</v>
      </c>
      <c r="AS1835" t="s">
        <v>75</v>
      </c>
      <c r="AX1835" t="s">
        <v>76</v>
      </c>
      <c r="AY1835" t="s">
        <v>71</v>
      </c>
      <c r="AZ1835">
        <v>0</v>
      </c>
      <c r="BA1835" t="s">
        <v>71</v>
      </c>
      <c r="BB1835">
        <v>0</v>
      </c>
      <c r="BD1835">
        <v>0.1</v>
      </c>
    </row>
    <row r="1836" spans="1:56" x14ac:dyDescent="0.15">
      <c r="A1836" s="4" t="str">
        <f>HYPERLINK("https://ibp.a2mac1.com/costing(costing:projects/details/9760/part/8415903)","Hinge Support")</f>
        <v>Hinge Support</v>
      </c>
      <c r="B1836">
        <v>8415903</v>
      </c>
      <c r="C1836">
        <v>8415650</v>
      </c>
      <c r="E1836">
        <v>2.3997293961925954</v>
      </c>
      <c r="F1836">
        <v>0</v>
      </c>
      <c r="G1836">
        <v>0</v>
      </c>
      <c r="H1836">
        <v>1.212854816912806E-2</v>
      </c>
      <c r="I1836" t="s">
        <v>176</v>
      </c>
      <c r="J1836">
        <v>0.10353638680962977</v>
      </c>
      <c r="K1836">
        <v>2.5153943311713536</v>
      </c>
      <c r="L1836">
        <v>9.4150498385900547E-2</v>
      </c>
      <c r="M1836">
        <v>0.56490299031540325</v>
      </c>
      <c r="N1836">
        <v>3.0802973214867566</v>
      </c>
      <c r="O1836" t="s">
        <v>177</v>
      </c>
      <c r="P1836">
        <v>0.1509236598702812</v>
      </c>
      <c r="Q1836" t="s">
        <v>177</v>
      </c>
      <c r="R1836">
        <v>3.3894179418924197E-2</v>
      </c>
      <c r="S1836" t="s">
        <v>178</v>
      </c>
      <c r="T1836">
        <v>0.36963567857841079</v>
      </c>
      <c r="U1836" t="s">
        <v>90</v>
      </c>
      <c r="V1836">
        <v>0</v>
      </c>
      <c r="W1836" t="s">
        <v>90</v>
      </c>
      <c r="X1836">
        <v>0</v>
      </c>
      <c r="Y1836">
        <v>3.634750839354373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190</v>
      </c>
      <c r="AF1836">
        <v>920</v>
      </c>
      <c r="AG1836">
        <v>81</v>
      </c>
      <c r="AI1836">
        <v>1.794</v>
      </c>
      <c r="AK1836" t="s">
        <v>5305</v>
      </c>
      <c r="AL1836" t="s">
        <v>96</v>
      </c>
      <c r="AM1836">
        <v>200000</v>
      </c>
      <c r="AN1836" t="s">
        <v>97</v>
      </c>
      <c r="AO1836">
        <v>1</v>
      </c>
      <c r="AP1836">
        <v>0</v>
      </c>
      <c r="AQ1836">
        <v>16666.666666666668</v>
      </c>
      <c r="AR1836" t="s">
        <v>5910</v>
      </c>
      <c r="AS1836" t="s">
        <v>75</v>
      </c>
      <c r="AX1836" t="s">
        <v>76</v>
      </c>
      <c r="AY1836" t="s">
        <v>176</v>
      </c>
      <c r="AZ1836">
        <v>0</v>
      </c>
      <c r="BA1836" t="s">
        <v>176</v>
      </c>
      <c r="BB1836">
        <v>0</v>
      </c>
    </row>
    <row r="1837" spans="1:56" x14ac:dyDescent="0.15">
      <c r="A1837" s="4" t="str">
        <f>HYPERLINK("https://ibp.a2mac1.com/costing(costing:projects/details/9760/part/8415904)","Stopper On Hinge")</f>
        <v>Stopper On Hinge</v>
      </c>
      <c r="B1837">
        <v>8415904</v>
      </c>
      <c r="C1837">
        <v>8415650</v>
      </c>
      <c r="E1837">
        <v>0.2</v>
      </c>
      <c r="F1837">
        <v>0</v>
      </c>
      <c r="G1837">
        <v>0</v>
      </c>
      <c r="H1837">
        <v>0</v>
      </c>
      <c r="I1837" t="s">
        <v>71</v>
      </c>
      <c r="J1837">
        <v>0</v>
      </c>
      <c r="K1837">
        <v>0.2</v>
      </c>
      <c r="L1837">
        <v>0</v>
      </c>
      <c r="M1837">
        <v>0</v>
      </c>
      <c r="N1837">
        <v>0.2</v>
      </c>
      <c r="O1837" t="s">
        <v>71</v>
      </c>
      <c r="P1837">
        <v>0</v>
      </c>
      <c r="Q1837" t="s">
        <v>71</v>
      </c>
      <c r="R1837">
        <v>0</v>
      </c>
      <c r="S1837" t="s">
        <v>71</v>
      </c>
      <c r="T1837">
        <v>0</v>
      </c>
      <c r="U1837" t="s">
        <v>71</v>
      </c>
      <c r="V1837">
        <v>0</v>
      </c>
      <c r="W1837" t="s">
        <v>71</v>
      </c>
      <c r="X1837">
        <v>0</v>
      </c>
      <c r="Y1837">
        <v>0.2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10</v>
      </c>
      <c r="AF1837">
        <v>16</v>
      </c>
      <c r="AG1837">
        <v>7</v>
      </c>
      <c r="AI1837">
        <v>2E-3</v>
      </c>
      <c r="AK1837" t="s">
        <v>5305</v>
      </c>
      <c r="AL1837" t="s">
        <v>289</v>
      </c>
      <c r="AM1837">
        <v>400000</v>
      </c>
      <c r="AN1837" t="s">
        <v>97</v>
      </c>
      <c r="AO1837">
        <v>2</v>
      </c>
      <c r="AP1837">
        <v>0</v>
      </c>
      <c r="AQ1837">
        <v>33333.333333333336</v>
      </c>
      <c r="AR1837" t="s">
        <v>5911</v>
      </c>
      <c r="AS1837" t="s">
        <v>75</v>
      </c>
      <c r="AX1837" t="s">
        <v>76</v>
      </c>
      <c r="AY1837" t="s">
        <v>71</v>
      </c>
      <c r="AZ1837">
        <v>0</v>
      </c>
      <c r="BA1837" t="s">
        <v>71</v>
      </c>
      <c r="BB1837">
        <v>0</v>
      </c>
      <c r="BD1837">
        <v>0.1</v>
      </c>
    </row>
    <row r="1838" spans="1:56" x14ac:dyDescent="0.15">
      <c r="A1838" s="4" t="str">
        <f>HYPERLINK("https://ibp.a2mac1.com/costing(costing:projects/details/9760/part/8415905)","Stopper On Hinge 2")</f>
        <v>Stopper On Hinge 2</v>
      </c>
      <c r="B1838">
        <v>8415905</v>
      </c>
      <c r="C1838">
        <v>8415650</v>
      </c>
      <c r="E1838">
        <v>0.2</v>
      </c>
      <c r="F1838">
        <v>0</v>
      </c>
      <c r="G1838">
        <v>0</v>
      </c>
      <c r="H1838">
        <v>0</v>
      </c>
      <c r="I1838" t="s">
        <v>71</v>
      </c>
      <c r="J1838">
        <v>0</v>
      </c>
      <c r="K1838">
        <v>0.2</v>
      </c>
      <c r="L1838">
        <v>0</v>
      </c>
      <c r="M1838">
        <v>0</v>
      </c>
      <c r="N1838">
        <v>0.2</v>
      </c>
      <c r="O1838" t="s">
        <v>71</v>
      </c>
      <c r="P1838">
        <v>0</v>
      </c>
      <c r="Q1838" t="s">
        <v>71</v>
      </c>
      <c r="R1838">
        <v>0</v>
      </c>
      <c r="S1838" t="s">
        <v>71</v>
      </c>
      <c r="T1838">
        <v>0</v>
      </c>
      <c r="U1838" t="s">
        <v>71</v>
      </c>
      <c r="V1838">
        <v>0</v>
      </c>
      <c r="W1838" t="s">
        <v>71</v>
      </c>
      <c r="X1838">
        <v>0</v>
      </c>
      <c r="Y1838">
        <v>0.2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18</v>
      </c>
      <c r="AF1838">
        <v>10</v>
      </c>
      <c r="AG1838">
        <v>8</v>
      </c>
      <c r="AI1838">
        <v>1E-3</v>
      </c>
      <c r="AK1838" t="s">
        <v>5305</v>
      </c>
      <c r="AL1838" t="s">
        <v>2582</v>
      </c>
      <c r="AM1838">
        <v>400000</v>
      </c>
      <c r="AN1838" t="s">
        <v>97</v>
      </c>
      <c r="AO1838">
        <v>2</v>
      </c>
      <c r="AP1838">
        <v>0</v>
      </c>
      <c r="AQ1838">
        <v>33333.333333333336</v>
      </c>
      <c r="AR1838" t="s">
        <v>5912</v>
      </c>
      <c r="AS1838" t="s">
        <v>75</v>
      </c>
      <c r="AX1838" t="s">
        <v>76</v>
      </c>
      <c r="AY1838" t="s">
        <v>71</v>
      </c>
      <c r="AZ1838">
        <v>0</v>
      </c>
      <c r="BA1838" t="s">
        <v>71</v>
      </c>
      <c r="BB1838">
        <v>0</v>
      </c>
      <c r="BD1838">
        <v>0.1</v>
      </c>
    </row>
    <row r="1839" spans="1:56" x14ac:dyDescent="0.15">
      <c r="A1839" s="4" t="str">
        <f>HYPERLINK("https://ibp.a2mac1.com/costing(costing:projects/details/9760/part/8415906)","Adjustable Stopper")</f>
        <v>Adjustable Stopper</v>
      </c>
      <c r="B1839">
        <v>8415906</v>
      </c>
      <c r="C1839">
        <v>8415650</v>
      </c>
      <c r="E1839">
        <v>0.6</v>
      </c>
      <c r="F1839">
        <v>0</v>
      </c>
      <c r="G1839">
        <v>0</v>
      </c>
      <c r="H1839">
        <v>0</v>
      </c>
      <c r="I1839" t="s">
        <v>71</v>
      </c>
      <c r="J1839">
        <v>0</v>
      </c>
      <c r="K1839">
        <v>0.6</v>
      </c>
      <c r="L1839">
        <v>0</v>
      </c>
      <c r="M1839">
        <v>0</v>
      </c>
      <c r="N1839">
        <v>0.6</v>
      </c>
      <c r="O1839" t="s">
        <v>71</v>
      </c>
      <c r="P1839">
        <v>0</v>
      </c>
      <c r="Q1839" t="s">
        <v>71</v>
      </c>
      <c r="R1839">
        <v>0</v>
      </c>
      <c r="S1839" t="s">
        <v>71</v>
      </c>
      <c r="T1839">
        <v>0</v>
      </c>
      <c r="U1839" t="s">
        <v>71</v>
      </c>
      <c r="V1839">
        <v>0</v>
      </c>
      <c r="W1839" t="s">
        <v>71</v>
      </c>
      <c r="X1839">
        <v>0</v>
      </c>
      <c r="Y1839">
        <v>0.6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15</v>
      </c>
      <c r="AF1839">
        <v>15</v>
      </c>
      <c r="AG1839">
        <v>15</v>
      </c>
      <c r="AI1839">
        <v>8.9999999999999993E-3</v>
      </c>
      <c r="AK1839" t="s">
        <v>5305</v>
      </c>
      <c r="AL1839" t="s">
        <v>112</v>
      </c>
      <c r="AM1839">
        <v>1200000</v>
      </c>
      <c r="AN1839" t="s">
        <v>97</v>
      </c>
      <c r="AO1839">
        <v>6</v>
      </c>
      <c r="AP1839">
        <v>0</v>
      </c>
      <c r="AQ1839">
        <v>100000</v>
      </c>
      <c r="AR1839" t="s">
        <v>5913</v>
      </c>
      <c r="AS1839" t="s">
        <v>75</v>
      </c>
      <c r="AX1839" t="s">
        <v>76</v>
      </c>
      <c r="AY1839" t="s">
        <v>71</v>
      </c>
      <c r="AZ1839">
        <v>0</v>
      </c>
      <c r="BA1839" t="s">
        <v>71</v>
      </c>
      <c r="BB1839">
        <v>0</v>
      </c>
      <c r="BD1839">
        <v>0.1</v>
      </c>
    </row>
    <row r="1840" spans="1:56" x14ac:dyDescent="0.15">
      <c r="A1840" s="4" t="str">
        <f>HYPERLINK("https://ibp.a2mac1.com/costing(costing:projects/details/9760/part/8415907)","Connection Bar")</f>
        <v>Connection Bar</v>
      </c>
      <c r="B1840">
        <v>8415907</v>
      </c>
      <c r="C1840">
        <v>8415650</v>
      </c>
      <c r="E1840">
        <v>3.0370879999999999E-2</v>
      </c>
      <c r="F1840">
        <v>0</v>
      </c>
      <c r="G1840">
        <v>0</v>
      </c>
      <c r="H1840">
        <v>6.2564012799999998E-5</v>
      </c>
      <c r="I1840" t="s">
        <v>176</v>
      </c>
      <c r="J1840">
        <v>1.0629808000000001E-3</v>
      </c>
      <c r="K1840">
        <v>3.1496424812800003E-2</v>
      </c>
      <c r="L1840">
        <v>5.6293759219768577E-2</v>
      </c>
      <c r="M1840">
        <v>0.33776255531861143</v>
      </c>
      <c r="N1840">
        <v>0.36925898013141145</v>
      </c>
      <c r="O1840" t="s">
        <v>177</v>
      </c>
      <c r="P1840">
        <v>1.889785488768E-3</v>
      </c>
      <c r="Q1840" t="s">
        <v>177</v>
      </c>
      <c r="R1840">
        <v>2.0265753319116685E-2</v>
      </c>
      <c r="S1840" t="s">
        <v>178</v>
      </c>
      <c r="T1840">
        <v>4.431107761576937E-2</v>
      </c>
      <c r="U1840" t="s">
        <v>90</v>
      </c>
      <c r="V1840">
        <v>0</v>
      </c>
      <c r="W1840" t="s">
        <v>90</v>
      </c>
      <c r="X1840">
        <v>0</v>
      </c>
      <c r="Y1840">
        <v>0.43572559655506549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15</v>
      </c>
      <c r="AF1840">
        <v>41</v>
      </c>
      <c r="AG1840">
        <v>14</v>
      </c>
      <c r="AI1840">
        <v>8.0000000000000002E-3</v>
      </c>
      <c r="AK1840" t="s">
        <v>5305</v>
      </c>
      <c r="AL1840" t="s">
        <v>104</v>
      </c>
      <c r="AM1840">
        <v>200000</v>
      </c>
      <c r="AN1840" t="s">
        <v>97</v>
      </c>
      <c r="AO1840">
        <v>1</v>
      </c>
      <c r="AP1840">
        <v>0</v>
      </c>
      <c r="AQ1840">
        <v>16666.666666666668</v>
      </c>
      <c r="AR1840" t="s">
        <v>5921</v>
      </c>
      <c r="AS1840" t="s">
        <v>75</v>
      </c>
      <c r="AX1840" t="s">
        <v>76</v>
      </c>
      <c r="AY1840" t="s">
        <v>176</v>
      </c>
      <c r="AZ1840">
        <v>0</v>
      </c>
      <c r="BA1840" t="s">
        <v>176</v>
      </c>
      <c r="BB1840">
        <v>0</v>
      </c>
    </row>
    <row r="1841" spans="1:54" x14ac:dyDescent="0.15">
      <c r="A1841" s="4" t="str">
        <f>HYPERLINK("https://ibp.a2mac1.com/costing(costing:projects/details/9760/part/8415909)","Draining Hose")</f>
        <v>Draining Hose</v>
      </c>
      <c r="B1841">
        <v>8415909</v>
      </c>
      <c r="C1841">
        <v>8415650</v>
      </c>
      <c r="E1841">
        <v>0.13935049999999999</v>
      </c>
      <c r="F1841">
        <v>0</v>
      </c>
      <c r="G1841">
        <v>0</v>
      </c>
      <c r="H1841">
        <v>2.8288151500000002E-4</v>
      </c>
      <c r="I1841" t="s">
        <v>176</v>
      </c>
      <c r="J1841">
        <v>4.8772675E-3</v>
      </c>
      <c r="K1841">
        <v>0.14451064901499999</v>
      </c>
      <c r="L1841">
        <v>3.3740924705079195E-2</v>
      </c>
      <c r="M1841">
        <v>0.20244554823047517</v>
      </c>
      <c r="N1841">
        <v>0.34695619724547516</v>
      </c>
      <c r="O1841" t="s">
        <v>177</v>
      </c>
      <c r="P1841">
        <v>8.6706389408999999E-3</v>
      </c>
      <c r="Q1841" t="s">
        <v>177</v>
      </c>
      <c r="R1841">
        <v>1.2146732893828512E-2</v>
      </c>
      <c r="S1841" t="s">
        <v>178</v>
      </c>
      <c r="T1841">
        <v>4.1634743669457019E-2</v>
      </c>
      <c r="U1841" t="s">
        <v>90</v>
      </c>
      <c r="V1841">
        <v>0</v>
      </c>
      <c r="W1841" t="s">
        <v>90</v>
      </c>
      <c r="X1841">
        <v>0</v>
      </c>
      <c r="Y1841">
        <v>0.40940831274966072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24</v>
      </c>
      <c r="AF1841">
        <v>32</v>
      </c>
      <c r="AG1841">
        <v>175</v>
      </c>
      <c r="AI1841">
        <v>0.05</v>
      </c>
      <c r="AK1841" t="s">
        <v>5305</v>
      </c>
      <c r="AL1841" t="s">
        <v>289</v>
      </c>
      <c r="AM1841">
        <v>400000</v>
      </c>
      <c r="AN1841" t="s">
        <v>97</v>
      </c>
      <c r="AO1841">
        <v>2</v>
      </c>
      <c r="AP1841">
        <v>0</v>
      </c>
      <c r="AQ1841">
        <v>33333.333333333336</v>
      </c>
      <c r="AR1841" t="s">
        <v>5926</v>
      </c>
      <c r="AS1841" t="s">
        <v>75</v>
      </c>
      <c r="AX1841" t="s">
        <v>76</v>
      </c>
      <c r="AY1841" t="s">
        <v>176</v>
      </c>
      <c r="AZ1841">
        <v>0</v>
      </c>
      <c r="BA1841" t="s">
        <v>176</v>
      </c>
      <c r="BB1841">
        <v>0</v>
      </c>
    </row>
    <row r="1842" spans="1:54" x14ac:dyDescent="0.15">
      <c r="A1842" s="4" t="str">
        <f>HYPERLINK("https://ibp.a2mac1.com/costing(costing:projects/details/9760/part/8415910)","Draining Hose Support")</f>
        <v>Draining Hose Support</v>
      </c>
      <c r="B1842">
        <v>8415910</v>
      </c>
      <c r="C1842">
        <v>8415650</v>
      </c>
      <c r="E1842">
        <v>3.0277808453608248E-2</v>
      </c>
      <c r="F1842">
        <v>0</v>
      </c>
      <c r="G1842">
        <v>0</v>
      </c>
      <c r="H1842">
        <v>6.2022150515463913E-5</v>
      </c>
      <c r="I1842" t="s">
        <v>176</v>
      </c>
      <c r="J1842">
        <v>1.0693474226804124E-3</v>
      </c>
      <c r="K1842">
        <v>3.1409178026804124E-2</v>
      </c>
      <c r="L1842">
        <v>8.5284963392875252E-3</v>
      </c>
      <c r="M1842">
        <v>5.1170978035725151E-2</v>
      </c>
      <c r="N1842">
        <v>8.2580156062529275E-2</v>
      </c>
      <c r="O1842" t="s">
        <v>177</v>
      </c>
      <c r="P1842">
        <v>1.8845506816082475E-3</v>
      </c>
      <c r="Q1842" t="s">
        <v>177</v>
      </c>
      <c r="R1842">
        <v>3.070258682143509E-3</v>
      </c>
      <c r="S1842" t="s">
        <v>178</v>
      </c>
      <c r="T1842">
        <v>9.9096187275035125E-3</v>
      </c>
      <c r="U1842" t="s">
        <v>90</v>
      </c>
      <c r="V1842">
        <v>0</v>
      </c>
      <c r="W1842" t="s">
        <v>90</v>
      </c>
      <c r="X1842">
        <v>0</v>
      </c>
      <c r="Y1842">
        <v>9.7444584153784541E-2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41</v>
      </c>
      <c r="AF1842">
        <v>32</v>
      </c>
      <c r="AG1842">
        <v>73</v>
      </c>
      <c r="AI1842">
        <v>2.3E-2</v>
      </c>
      <c r="AK1842" t="s">
        <v>5305</v>
      </c>
      <c r="AL1842" t="s">
        <v>399</v>
      </c>
      <c r="AM1842">
        <v>400000</v>
      </c>
      <c r="AN1842" t="s">
        <v>97</v>
      </c>
      <c r="AO1842">
        <v>2</v>
      </c>
      <c r="AP1842">
        <v>0</v>
      </c>
      <c r="AQ1842">
        <v>33333.333333333336</v>
      </c>
      <c r="AR1842" t="s">
        <v>5932</v>
      </c>
      <c r="AS1842" t="s">
        <v>75</v>
      </c>
      <c r="AX1842" t="s">
        <v>76</v>
      </c>
      <c r="AY1842" t="s">
        <v>176</v>
      </c>
      <c r="AZ1842">
        <v>0</v>
      </c>
      <c r="BA1842" t="s">
        <v>176</v>
      </c>
      <c r="BB1842">
        <v>0</v>
      </c>
    </row>
    <row r="1843" spans="1:54" x14ac:dyDescent="0.15">
      <c r="A1843" s="4" t="str">
        <f>HYPERLINK("https://ibp.a2mac1.com/costing(costing:projects/details/9760/part/8415911)","Connection Bar 2")</f>
        <v>Connection Bar 2</v>
      </c>
      <c r="B1843">
        <v>8415911</v>
      </c>
      <c r="C1843">
        <v>8415650</v>
      </c>
      <c r="E1843">
        <v>3.0370879999999999E-2</v>
      </c>
      <c r="F1843">
        <v>0</v>
      </c>
      <c r="G1843">
        <v>0</v>
      </c>
      <c r="H1843">
        <v>6.2564012799999998E-5</v>
      </c>
      <c r="I1843" t="s">
        <v>176</v>
      </c>
      <c r="J1843">
        <v>1.0629808000000001E-3</v>
      </c>
      <c r="K1843">
        <v>3.1496424812800003E-2</v>
      </c>
      <c r="L1843">
        <v>5.6293759219768577E-2</v>
      </c>
      <c r="M1843">
        <v>0.33776255531861143</v>
      </c>
      <c r="N1843">
        <v>0.36925898013141145</v>
      </c>
      <c r="O1843" t="s">
        <v>177</v>
      </c>
      <c r="P1843">
        <v>1.889785488768E-3</v>
      </c>
      <c r="Q1843" t="s">
        <v>177</v>
      </c>
      <c r="R1843">
        <v>2.0265753319116685E-2</v>
      </c>
      <c r="S1843" t="s">
        <v>178</v>
      </c>
      <c r="T1843">
        <v>4.431107761576937E-2</v>
      </c>
      <c r="U1843" t="s">
        <v>90</v>
      </c>
      <c r="V1843">
        <v>0</v>
      </c>
      <c r="W1843" t="s">
        <v>90</v>
      </c>
      <c r="X1843">
        <v>0</v>
      </c>
      <c r="Y1843">
        <v>0.43572559655506549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14</v>
      </c>
      <c r="AF1843">
        <v>41</v>
      </c>
      <c r="AG1843">
        <v>14</v>
      </c>
      <c r="AI1843">
        <v>8.0000000000000002E-3</v>
      </c>
      <c r="AK1843" t="s">
        <v>5305</v>
      </c>
      <c r="AL1843" t="s">
        <v>104</v>
      </c>
      <c r="AM1843">
        <v>200000</v>
      </c>
      <c r="AN1843" t="s">
        <v>97</v>
      </c>
      <c r="AO1843">
        <v>1</v>
      </c>
      <c r="AP1843">
        <v>0</v>
      </c>
      <c r="AQ1843">
        <v>16666.666666666668</v>
      </c>
      <c r="AR1843" t="s">
        <v>5936</v>
      </c>
      <c r="AS1843" t="s">
        <v>75</v>
      </c>
      <c r="AX1843" t="s">
        <v>76</v>
      </c>
      <c r="AY1843" t="s">
        <v>176</v>
      </c>
      <c r="AZ1843">
        <v>0</v>
      </c>
      <c r="BA1843" t="s">
        <v>176</v>
      </c>
      <c r="BB1843">
        <v>0</v>
      </c>
    </row>
    <row r="1844" spans="1:54" x14ac:dyDescent="0.15">
      <c r="A1844" s="4" t="str">
        <f>HYPERLINK("https://ibp.a2mac1.com/costing(costing:projects/details/9760/part/8415912)","Limiter")</f>
        <v>Limiter</v>
      </c>
      <c r="B1844">
        <v>8415912</v>
      </c>
      <c r="C1844">
        <v>8415650</v>
      </c>
      <c r="E1844">
        <v>4.4116406391752575E-3</v>
      </c>
      <c r="F1844">
        <v>0</v>
      </c>
      <c r="G1844">
        <v>0</v>
      </c>
      <c r="H1844">
        <v>8.9690841237113403E-6</v>
      </c>
      <c r="I1844" t="s">
        <v>176</v>
      </c>
      <c r="J1844">
        <v>1.5463938144329897E-4</v>
      </c>
      <c r="K1844">
        <v>4.5752491047422678E-3</v>
      </c>
      <c r="L1844">
        <v>6.9501149584858491E-3</v>
      </c>
      <c r="M1844">
        <v>4.1700689750915093E-2</v>
      </c>
      <c r="N1844">
        <v>4.6275938855657367E-2</v>
      </c>
      <c r="O1844" t="s">
        <v>177</v>
      </c>
      <c r="P1844">
        <v>2.7451494628453609E-4</v>
      </c>
      <c r="Q1844" t="s">
        <v>177</v>
      </c>
      <c r="R1844">
        <v>2.5020413850549059E-3</v>
      </c>
      <c r="S1844" t="s">
        <v>178</v>
      </c>
      <c r="T1844">
        <v>5.5531126626788838E-3</v>
      </c>
      <c r="U1844" t="s">
        <v>90</v>
      </c>
      <c r="V1844">
        <v>0</v>
      </c>
      <c r="W1844" t="s">
        <v>90</v>
      </c>
      <c r="X1844">
        <v>0</v>
      </c>
      <c r="Y1844">
        <v>5.4605607849675691E-2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12</v>
      </c>
      <c r="AF1844">
        <v>12</v>
      </c>
      <c r="AG1844">
        <v>20</v>
      </c>
      <c r="AI1844">
        <v>2E-3</v>
      </c>
      <c r="AK1844" t="s">
        <v>5305</v>
      </c>
      <c r="AL1844" t="s">
        <v>112</v>
      </c>
      <c r="AM1844">
        <v>400000</v>
      </c>
      <c r="AN1844" t="s">
        <v>97</v>
      </c>
      <c r="AO1844">
        <v>2</v>
      </c>
      <c r="AP1844">
        <v>0</v>
      </c>
      <c r="AQ1844">
        <v>33333.333333333336</v>
      </c>
      <c r="AR1844" t="s">
        <v>5941</v>
      </c>
      <c r="AS1844" t="s">
        <v>75</v>
      </c>
      <c r="AX1844" t="s">
        <v>76</v>
      </c>
      <c r="AY1844" t="s">
        <v>176</v>
      </c>
      <c r="AZ1844">
        <v>0</v>
      </c>
      <c r="BA1844" t="s">
        <v>176</v>
      </c>
      <c r="BB1844">
        <v>0</v>
      </c>
    </row>
    <row r="1845" spans="1:54" x14ac:dyDescent="0.15">
      <c r="A1845" s="4" t="str">
        <f>HYPERLINK("https://ibp.a2mac1.com/costing(costing:projects/details/9760/part/8415641)","Inner Panel")</f>
        <v>Inner Panel</v>
      </c>
      <c r="B1845">
        <v>8415641</v>
      </c>
      <c r="C1845">
        <v>8415584</v>
      </c>
      <c r="E1845">
        <v>4.1052215399999996</v>
      </c>
      <c r="F1845">
        <v>0</v>
      </c>
      <c r="G1845">
        <v>0</v>
      </c>
      <c r="H1845">
        <v>8.6117681999999997E-3</v>
      </c>
      <c r="I1845" t="s">
        <v>176</v>
      </c>
      <c r="J1845">
        <v>0.14631644999999999</v>
      </c>
      <c r="K1845">
        <v>4.2601497581999999</v>
      </c>
      <c r="L1845">
        <v>2.6849282026233646E-2</v>
      </c>
      <c r="M1845">
        <v>0.16109569215740185</v>
      </c>
      <c r="N1845">
        <v>4.4212454503574019</v>
      </c>
      <c r="O1845" t="s">
        <v>177</v>
      </c>
      <c r="P1845">
        <v>0.25560898549200001</v>
      </c>
      <c r="Q1845" t="s">
        <v>177</v>
      </c>
      <c r="R1845">
        <v>9.6657415294441121E-3</v>
      </c>
      <c r="S1845" t="s">
        <v>178</v>
      </c>
      <c r="T1845">
        <v>0.53054945404288822</v>
      </c>
      <c r="U1845" t="s">
        <v>90</v>
      </c>
      <c r="V1845">
        <v>0</v>
      </c>
      <c r="W1845" t="s">
        <v>90</v>
      </c>
      <c r="X1845">
        <v>0</v>
      </c>
      <c r="Y1845">
        <v>5.217069631421734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120</v>
      </c>
      <c r="AF1845">
        <v>1150</v>
      </c>
      <c r="AG1845">
        <v>570</v>
      </c>
      <c r="AI1845">
        <v>1.171</v>
      </c>
      <c r="AK1845" t="s">
        <v>5305</v>
      </c>
      <c r="AL1845" t="s">
        <v>403</v>
      </c>
      <c r="AM1845">
        <v>200000</v>
      </c>
      <c r="AN1845" t="s">
        <v>97</v>
      </c>
      <c r="AO1845">
        <v>1</v>
      </c>
      <c r="AP1845">
        <v>0</v>
      </c>
      <c r="AQ1845">
        <v>16666.666666666668</v>
      </c>
      <c r="AR1845" t="s">
        <v>5949</v>
      </c>
      <c r="AS1845" t="s">
        <v>75</v>
      </c>
      <c r="AX1845" t="s">
        <v>76</v>
      </c>
      <c r="AY1845" t="s">
        <v>176</v>
      </c>
      <c r="AZ1845">
        <v>0</v>
      </c>
      <c r="BA1845" t="s">
        <v>176</v>
      </c>
      <c r="BB1845">
        <v>0</v>
      </c>
    </row>
    <row r="1846" spans="1:54" x14ac:dyDescent="0.15">
      <c r="A1846" s="4" t="str">
        <f>HYPERLINK("https://ibp.a2mac1.com/costing(costing:projects/details/9760/part/8415642)","Exterior Bezel")</f>
        <v>Exterior Bezel</v>
      </c>
      <c r="B1846">
        <v>8415642</v>
      </c>
      <c r="C1846">
        <v>8415584</v>
      </c>
      <c r="E1846">
        <v>1.0155300865979382</v>
      </c>
      <c r="F1846">
        <v>0</v>
      </c>
      <c r="G1846">
        <v>0</v>
      </c>
      <c r="H1846">
        <v>2.0951346804123712E-3</v>
      </c>
      <c r="I1846" t="s">
        <v>176</v>
      </c>
      <c r="J1846">
        <v>3.5596948453608245E-2</v>
      </c>
      <c r="K1846">
        <v>1.0532221697319588</v>
      </c>
      <c r="L1846">
        <v>8.0203359843603897E-2</v>
      </c>
      <c r="M1846">
        <v>0.48122015906162341</v>
      </c>
      <c r="N1846">
        <v>1.5344423287935822</v>
      </c>
      <c r="O1846" t="s">
        <v>177</v>
      </c>
      <c r="P1846">
        <v>6.3193330183917526E-2</v>
      </c>
      <c r="Q1846" t="s">
        <v>177</v>
      </c>
      <c r="R1846">
        <v>2.8873209543697403E-2</v>
      </c>
      <c r="S1846" t="s">
        <v>178</v>
      </c>
      <c r="T1846">
        <v>0.18413307945522986</v>
      </c>
      <c r="U1846" t="s">
        <v>90</v>
      </c>
      <c r="V1846">
        <v>0</v>
      </c>
      <c r="W1846" t="s">
        <v>90</v>
      </c>
      <c r="X1846">
        <v>0</v>
      </c>
      <c r="Y1846">
        <v>1.8106419479764269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23</v>
      </c>
      <c r="AF1846">
        <v>1090</v>
      </c>
      <c r="AG1846">
        <v>205</v>
      </c>
      <c r="AI1846">
        <v>0.74399999999999999</v>
      </c>
      <c r="AK1846" t="s">
        <v>5305</v>
      </c>
      <c r="AL1846" t="s">
        <v>1565</v>
      </c>
      <c r="AM1846">
        <v>200000</v>
      </c>
      <c r="AN1846" t="s">
        <v>97</v>
      </c>
      <c r="AO1846">
        <v>1</v>
      </c>
      <c r="AP1846">
        <v>0</v>
      </c>
      <c r="AQ1846">
        <v>16666.666666666668</v>
      </c>
      <c r="AR1846" t="s">
        <v>5956</v>
      </c>
      <c r="AS1846" t="s">
        <v>75</v>
      </c>
      <c r="AX1846" t="s">
        <v>76</v>
      </c>
      <c r="AY1846" t="s">
        <v>176</v>
      </c>
      <c r="AZ1846">
        <v>0</v>
      </c>
      <c r="BA1846" t="s">
        <v>176</v>
      </c>
      <c r="BB1846">
        <v>0</v>
      </c>
    </row>
    <row r="1847" spans="1:54" x14ac:dyDescent="0.15">
      <c r="A1847" s="4" t="str">
        <f>HYPERLINK("https://ibp.a2mac1.com/costing(costing:projects/details/9760/part/8415644)","Water Drain")</f>
        <v>Water Drain</v>
      </c>
      <c r="B1847">
        <v>8415644</v>
      </c>
      <c r="C1847">
        <v>8415584</v>
      </c>
      <c r="E1847">
        <v>4.7961321382978721E-3</v>
      </c>
      <c r="F1847">
        <v>0</v>
      </c>
      <c r="G1847">
        <v>0</v>
      </c>
      <c r="H1847">
        <v>9.8135502127659573E-6</v>
      </c>
      <c r="I1847" t="s">
        <v>176</v>
      </c>
      <c r="J1847">
        <v>1.683697340425532E-4</v>
      </c>
      <c r="K1847">
        <v>4.9743154225531912E-3</v>
      </c>
      <c r="L1847">
        <v>1.0298692084158761E-2</v>
      </c>
      <c r="M1847">
        <v>6.1792152504952569E-2</v>
      </c>
      <c r="N1847">
        <v>6.6766467927505763E-2</v>
      </c>
      <c r="O1847" t="s">
        <v>177</v>
      </c>
      <c r="P1847">
        <v>2.9845892535319151E-4</v>
      </c>
      <c r="Q1847" t="s">
        <v>177</v>
      </c>
      <c r="R1847">
        <v>3.7075291502971543E-3</v>
      </c>
      <c r="S1847" t="s">
        <v>178</v>
      </c>
      <c r="T1847">
        <v>8.0119761513006912E-3</v>
      </c>
      <c r="U1847" t="s">
        <v>90</v>
      </c>
      <c r="V1847">
        <v>0</v>
      </c>
      <c r="W1847" t="s">
        <v>90</v>
      </c>
      <c r="X1847">
        <v>0</v>
      </c>
      <c r="Y1847">
        <v>7.8784432154456796E-2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6</v>
      </c>
      <c r="AF1847">
        <v>20</v>
      </c>
      <c r="AG1847">
        <v>12</v>
      </c>
      <c r="AI1847">
        <v>1E-3</v>
      </c>
      <c r="AK1847" t="s">
        <v>5305</v>
      </c>
      <c r="AL1847" t="s">
        <v>2246</v>
      </c>
      <c r="AM1847">
        <v>600000</v>
      </c>
      <c r="AN1847" t="s">
        <v>97</v>
      </c>
      <c r="AO1847">
        <v>3</v>
      </c>
      <c r="AP1847">
        <v>0</v>
      </c>
      <c r="AQ1847">
        <v>50000</v>
      </c>
      <c r="AR1847" t="s">
        <v>5962</v>
      </c>
      <c r="AS1847" t="s">
        <v>75</v>
      </c>
      <c r="AX1847" t="s">
        <v>76</v>
      </c>
      <c r="AY1847" t="s">
        <v>176</v>
      </c>
      <c r="AZ1847">
        <v>0</v>
      </c>
      <c r="BA1847" t="s">
        <v>176</v>
      </c>
      <c r="BB1847">
        <v>0</v>
      </c>
    </row>
    <row r="1848" spans="1:54" x14ac:dyDescent="0.15">
      <c r="A1848" s="4" t="str">
        <f>HYPERLINK("https://ibp.a2mac1.com/costing(costing:projects/details/9760/part/8416542)","Closures&gt;Rear door&gt;Housing assy&gt;Housing&gt;Part 01 (single/front)")</f>
        <v>Closures&gt;Rear door&gt;Housing assy&gt;Housing&gt;Part 01 (single/front)</v>
      </c>
      <c r="B1848">
        <v>8416542</v>
      </c>
      <c r="C1848">
        <v>8416253</v>
      </c>
      <c r="D1848" t="s">
        <v>5528</v>
      </c>
      <c r="E1848">
        <v>2.7187332384615384</v>
      </c>
      <c r="F1848">
        <v>0</v>
      </c>
      <c r="G1848">
        <v>0</v>
      </c>
      <c r="H1848">
        <v>6.0753815384615383E-5</v>
      </c>
      <c r="I1848" t="s">
        <v>176</v>
      </c>
      <c r="J1848">
        <v>0.10631917692307692</v>
      </c>
      <c r="K1848">
        <v>2.8251131692000002</v>
      </c>
      <c r="L1848">
        <v>0.24982862648184256</v>
      </c>
      <c r="M1848">
        <v>1.4989717588910554</v>
      </c>
      <c r="N1848">
        <v>4.3240849280910556</v>
      </c>
      <c r="O1848" t="s">
        <v>90</v>
      </c>
      <c r="P1848">
        <v>0</v>
      </c>
      <c r="Q1848" t="s">
        <v>90</v>
      </c>
      <c r="R1848">
        <v>0</v>
      </c>
      <c r="S1848" t="s">
        <v>90</v>
      </c>
      <c r="T1848">
        <v>0</v>
      </c>
      <c r="U1848" t="s">
        <v>90</v>
      </c>
      <c r="V1848">
        <v>0</v>
      </c>
      <c r="W1848" t="s">
        <v>90</v>
      </c>
      <c r="X1848">
        <v>0</v>
      </c>
      <c r="Y1848">
        <v>4.3240849280910556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K1848" t="s">
        <v>272</v>
      </c>
      <c r="AM1848">
        <v>200000</v>
      </c>
      <c r="AN1848" t="s">
        <v>73</v>
      </c>
      <c r="AO1848">
        <v>1</v>
      </c>
      <c r="AP1848">
        <v>0</v>
      </c>
      <c r="AQ1848">
        <v>16666.666666666668</v>
      </c>
      <c r="AR1848" t="s">
        <v>9</v>
      </c>
      <c r="AS1848" t="s">
        <v>75</v>
      </c>
      <c r="AX1848" t="s">
        <v>76</v>
      </c>
      <c r="AY1848" t="s">
        <v>176</v>
      </c>
      <c r="AZ1848">
        <v>0</v>
      </c>
      <c r="BA1848" t="s">
        <v>176</v>
      </c>
      <c r="BB1848">
        <v>0</v>
      </c>
    </row>
    <row r="1849" spans="1:54" x14ac:dyDescent="0.15">
      <c r="A1849" s="4" t="str">
        <f>HYPERLINK("https://ibp.a2mac1.com/costing(costing:projects/details/9760/part/8416543)","Closures&gt;Rear door&gt;Housing assy&gt;Reinforcements&gt;Part 01 (single/main)")</f>
        <v>Closures&gt;Rear door&gt;Housing assy&gt;Reinforcements&gt;Part 01 (single/main)</v>
      </c>
      <c r="B1849">
        <v>8416543</v>
      </c>
      <c r="C1849">
        <v>8416254</v>
      </c>
      <c r="E1849">
        <v>0.23062938307692307</v>
      </c>
      <c r="F1849">
        <v>0</v>
      </c>
      <c r="G1849">
        <v>0</v>
      </c>
      <c r="H1849">
        <v>5.1537292307692311E-6</v>
      </c>
      <c r="I1849" t="s">
        <v>176</v>
      </c>
      <c r="J1849">
        <v>9.019026153846154E-3</v>
      </c>
      <c r="K1849">
        <v>0.23965356296000001</v>
      </c>
      <c r="L1849">
        <v>1.2228940964449372E-2</v>
      </c>
      <c r="M1849">
        <v>7.3373645786696237E-2</v>
      </c>
      <c r="N1849">
        <v>0.31302720874669621</v>
      </c>
      <c r="O1849" t="s">
        <v>177</v>
      </c>
      <c r="P1849">
        <v>1.43792137776E-2</v>
      </c>
      <c r="Q1849" t="s">
        <v>177</v>
      </c>
      <c r="R1849">
        <v>4.4024187472017735E-3</v>
      </c>
      <c r="S1849" t="s">
        <v>178</v>
      </c>
      <c r="T1849">
        <v>3.7563265049603549E-2</v>
      </c>
      <c r="U1849" t="s">
        <v>90</v>
      </c>
      <c r="V1849">
        <v>0</v>
      </c>
      <c r="W1849" t="s">
        <v>90</v>
      </c>
      <c r="X1849">
        <v>0</v>
      </c>
      <c r="Y1849">
        <v>0.36937210632110157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K1849" t="s">
        <v>272</v>
      </c>
      <c r="AM1849">
        <v>200000</v>
      </c>
      <c r="AN1849" t="s">
        <v>97</v>
      </c>
      <c r="AO1849">
        <v>1</v>
      </c>
      <c r="AP1849">
        <v>0</v>
      </c>
      <c r="AQ1849">
        <v>16666.666666666668</v>
      </c>
      <c r="AR1849" t="s">
        <v>9</v>
      </c>
      <c r="AS1849" t="s">
        <v>75</v>
      </c>
      <c r="AX1849" t="s">
        <v>76</v>
      </c>
      <c r="AY1849" t="s">
        <v>176</v>
      </c>
      <c r="AZ1849">
        <v>0</v>
      </c>
      <c r="BA1849" t="s">
        <v>176</v>
      </c>
      <c r="BB1849">
        <v>0</v>
      </c>
    </row>
    <row r="1850" spans="1:54" x14ac:dyDescent="0.15">
      <c r="A1850" s="4" t="str">
        <f>HYPERLINK("https://ibp.a2mac1.com/costing(costing:projects/details/9760/part/8416544)","Closures&gt;Rear door&gt;Housing assy&gt;Reinforcements&gt;Part 02")</f>
        <v>Closures&gt;Rear door&gt;Housing assy&gt;Reinforcements&gt;Part 02</v>
      </c>
      <c r="B1850">
        <v>8416544</v>
      </c>
      <c r="C1850">
        <v>8416254</v>
      </c>
      <c r="D1850" t="s">
        <v>5528</v>
      </c>
      <c r="E1850">
        <v>0.34907267666666669</v>
      </c>
      <c r="F1850">
        <v>0</v>
      </c>
      <c r="G1850">
        <v>0</v>
      </c>
      <c r="H1850">
        <v>7.5475173333333331E-6</v>
      </c>
      <c r="I1850" t="s">
        <v>176</v>
      </c>
      <c r="J1850">
        <v>1.3208155333333334E-2</v>
      </c>
      <c r="K1850">
        <v>0.36228837951733334</v>
      </c>
      <c r="L1850">
        <v>1.2228940964449372E-2</v>
      </c>
      <c r="M1850">
        <v>7.3373645786696237E-2</v>
      </c>
      <c r="N1850">
        <v>0.43566202530402959</v>
      </c>
      <c r="O1850" t="s">
        <v>177</v>
      </c>
      <c r="P1850">
        <v>2.1737302771039999E-2</v>
      </c>
      <c r="Q1850" t="s">
        <v>177</v>
      </c>
      <c r="R1850">
        <v>4.4024187472017735E-3</v>
      </c>
      <c r="S1850" t="s">
        <v>178</v>
      </c>
      <c r="T1850">
        <v>5.2279443036483547E-2</v>
      </c>
      <c r="U1850" t="s">
        <v>90</v>
      </c>
      <c r="V1850">
        <v>0</v>
      </c>
      <c r="W1850" t="s">
        <v>90</v>
      </c>
      <c r="X1850">
        <v>0</v>
      </c>
      <c r="Y1850">
        <v>0.51408118985875484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K1850" t="s">
        <v>272</v>
      </c>
      <c r="AM1850">
        <v>200000</v>
      </c>
      <c r="AN1850" t="s">
        <v>97</v>
      </c>
      <c r="AO1850">
        <v>1</v>
      </c>
      <c r="AP1850">
        <v>0</v>
      </c>
      <c r="AQ1850">
        <v>16666.666666666668</v>
      </c>
      <c r="AR1850" t="s">
        <v>9</v>
      </c>
      <c r="AS1850" t="s">
        <v>75</v>
      </c>
      <c r="AX1850" t="s">
        <v>76</v>
      </c>
      <c r="AY1850" t="s">
        <v>176</v>
      </c>
      <c r="AZ1850">
        <v>0</v>
      </c>
      <c r="BA1850" t="s">
        <v>176</v>
      </c>
      <c r="BB1850">
        <v>0</v>
      </c>
    </row>
    <row r="1851" spans="1:54" x14ac:dyDescent="0.15">
      <c r="A1851" s="4" t="str">
        <f>HYPERLINK("https://ibp.a2mac1.com/costing(costing:projects/details/9760/part/8416545)","Closures&gt;Rear door&gt;Housing assy&gt;Reinforcements&gt;Part 03")</f>
        <v>Closures&gt;Rear door&gt;Housing assy&gt;Reinforcements&gt;Part 03</v>
      </c>
      <c r="B1851">
        <v>8416545</v>
      </c>
      <c r="C1851">
        <v>8416254</v>
      </c>
      <c r="D1851" t="s">
        <v>5528</v>
      </c>
      <c r="E1851">
        <v>0.16134244666666667</v>
      </c>
      <c r="F1851">
        <v>0</v>
      </c>
      <c r="G1851">
        <v>0</v>
      </c>
      <c r="H1851">
        <v>3.4884853333333335E-6</v>
      </c>
      <c r="I1851" t="s">
        <v>176</v>
      </c>
      <c r="J1851">
        <v>6.104849333333333E-3</v>
      </c>
      <c r="K1851">
        <v>0.16745078448533332</v>
      </c>
      <c r="L1851">
        <v>1.2228940964449372E-2</v>
      </c>
      <c r="M1851">
        <v>7.3373645786696237E-2</v>
      </c>
      <c r="N1851">
        <v>0.24082443027202957</v>
      </c>
      <c r="O1851" t="s">
        <v>177</v>
      </c>
      <c r="P1851">
        <v>1.004704706912E-2</v>
      </c>
      <c r="Q1851" t="s">
        <v>177</v>
      </c>
      <c r="R1851">
        <v>4.4024187472017735E-3</v>
      </c>
      <c r="S1851" t="s">
        <v>178</v>
      </c>
      <c r="T1851">
        <v>2.8898931632643548E-2</v>
      </c>
      <c r="U1851" t="s">
        <v>90</v>
      </c>
      <c r="V1851">
        <v>0</v>
      </c>
      <c r="W1851" t="s">
        <v>90</v>
      </c>
      <c r="X1851">
        <v>0</v>
      </c>
      <c r="Y1851">
        <v>0.28417282772099489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K1851" t="s">
        <v>272</v>
      </c>
      <c r="AM1851">
        <v>200000</v>
      </c>
      <c r="AN1851" t="s">
        <v>97</v>
      </c>
      <c r="AO1851">
        <v>1</v>
      </c>
      <c r="AP1851">
        <v>0</v>
      </c>
      <c r="AQ1851">
        <v>16666.666666666668</v>
      </c>
      <c r="AR1851" t="s">
        <v>9</v>
      </c>
      <c r="AS1851" t="s">
        <v>75</v>
      </c>
      <c r="AX1851" t="s">
        <v>76</v>
      </c>
      <c r="AY1851" t="s">
        <v>176</v>
      </c>
      <c r="AZ1851">
        <v>0</v>
      </c>
      <c r="BA1851" t="s">
        <v>176</v>
      </c>
      <c r="BB1851">
        <v>0</v>
      </c>
    </row>
    <row r="1852" spans="1:54" x14ac:dyDescent="0.15">
      <c r="A1852" s="4" t="str">
        <f>HYPERLINK("https://ibp.a2mac1.com/costing(costing:projects/details/9760/part/8416546)","Closures&gt;Rear door&gt;Housing assy&gt;Reinforcements&gt;Part 04")</f>
        <v>Closures&gt;Rear door&gt;Housing assy&gt;Reinforcements&gt;Part 04</v>
      </c>
      <c r="B1852">
        <v>8416546</v>
      </c>
      <c r="C1852">
        <v>8416254</v>
      </c>
      <c r="D1852" t="s">
        <v>5528</v>
      </c>
      <c r="E1852">
        <v>0.45538793500000002</v>
      </c>
      <c r="F1852">
        <v>0</v>
      </c>
      <c r="G1852">
        <v>0</v>
      </c>
      <c r="H1852">
        <v>9.6891050000000005E-6</v>
      </c>
      <c r="I1852" t="s">
        <v>176</v>
      </c>
      <c r="J1852">
        <v>1.6955933749999999E-2</v>
      </c>
      <c r="K1852">
        <v>0.47235355785499999</v>
      </c>
      <c r="L1852">
        <v>1.2228940964449372E-2</v>
      </c>
      <c r="M1852">
        <v>7.3373645786696237E-2</v>
      </c>
      <c r="N1852">
        <v>0.54572720364169625</v>
      </c>
      <c r="O1852" t="s">
        <v>177</v>
      </c>
      <c r="P1852">
        <v>2.83412134713E-2</v>
      </c>
      <c r="Q1852" t="s">
        <v>177</v>
      </c>
      <c r="R1852">
        <v>4.4024187472017735E-3</v>
      </c>
      <c r="S1852" t="s">
        <v>178</v>
      </c>
      <c r="T1852">
        <v>6.5487264437003548E-2</v>
      </c>
      <c r="U1852" t="s">
        <v>90</v>
      </c>
      <c r="V1852">
        <v>0</v>
      </c>
      <c r="W1852" t="s">
        <v>90</v>
      </c>
      <c r="X1852">
        <v>0</v>
      </c>
      <c r="Y1852">
        <v>0.64395810029720157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K1852" t="s">
        <v>272</v>
      </c>
      <c r="AM1852">
        <v>200000</v>
      </c>
      <c r="AN1852" t="s">
        <v>97</v>
      </c>
      <c r="AO1852">
        <v>1</v>
      </c>
      <c r="AP1852">
        <v>0</v>
      </c>
      <c r="AQ1852">
        <v>16666.666666666668</v>
      </c>
      <c r="AR1852" t="s">
        <v>9</v>
      </c>
      <c r="AS1852" t="s">
        <v>75</v>
      </c>
      <c r="AX1852" t="s">
        <v>76</v>
      </c>
      <c r="AY1852" t="s">
        <v>176</v>
      </c>
      <c r="AZ1852">
        <v>0</v>
      </c>
      <c r="BA1852" t="s">
        <v>176</v>
      </c>
      <c r="BB1852">
        <v>0</v>
      </c>
    </row>
    <row r="1853" spans="1:54" x14ac:dyDescent="0.15">
      <c r="A1853" s="4" t="str">
        <f>HYPERLINK("https://ibp.a2mac1.com/costing(costing:projects/details/9760/part/8416841)","Closures&gt;Rear door&gt;Housing assy&gt;Fixing parts&gt;Front&gt;Part 01 (single/main)")</f>
        <v>Closures&gt;Rear door&gt;Housing assy&gt;Fixing parts&gt;Front&gt;Part 01 (single/main)</v>
      </c>
      <c r="B1853">
        <v>8416841</v>
      </c>
      <c r="C1853">
        <v>8416547</v>
      </c>
      <c r="D1853" t="s">
        <v>5528</v>
      </c>
      <c r="E1853">
        <v>3.2322487499999997E-2</v>
      </c>
      <c r="F1853">
        <v>0</v>
      </c>
      <c r="G1853">
        <v>0</v>
      </c>
      <c r="H1853">
        <v>6.8771250000000002E-7</v>
      </c>
      <c r="I1853" t="s">
        <v>176</v>
      </c>
      <c r="J1853">
        <v>1.2034968750000001E-3</v>
      </c>
      <c r="K1853">
        <v>3.3526672087500001E-2</v>
      </c>
      <c r="L1853">
        <v>2.3884525316540659E-3</v>
      </c>
      <c r="M1853">
        <v>1.4330715189924396E-2</v>
      </c>
      <c r="N1853">
        <v>4.7857387277424397E-2</v>
      </c>
      <c r="O1853" t="s">
        <v>177</v>
      </c>
      <c r="P1853">
        <v>2.0116003252500002E-3</v>
      </c>
      <c r="Q1853" t="s">
        <v>177</v>
      </c>
      <c r="R1853">
        <v>8.5984291139546386E-4</v>
      </c>
      <c r="S1853" t="s">
        <v>178</v>
      </c>
      <c r="T1853">
        <v>5.7428864732909273E-3</v>
      </c>
      <c r="U1853" t="s">
        <v>90</v>
      </c>
      <c r="V1853">
        <v>0</v>
      </c>
      <c r="W1853" t="s">
        <v>90</v>
      </c>
      <c r="X1853">
        <v>0</v>
      </c>
      <c r="Y1853">
        <v>5.6471716987360789E-2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K1853" t="s">
        <v>272</v>
      </c>
      <c r="AM1853">
        <v>200000</v>
      </c>
      <c r="AN1853" t="s">
        <v>97</v>
      </c>
      <c r="AO1853">
        <v>1</v>
      </c>
      <c r="AP1853">
        <v>0</v>
      </c>
      <c r="AQ1853">
        <v>16666.666666666668</v>
      </c>
      <c r="AR1853" t="s">
        <v>9</v>
      </c>
      <c r="AS1853" t="s">
        <v>75</v>
      </c>
      <c r="AX1853" t="s">
        <v>76</v>
      </c>
      <c r="AY1853" t="s">
        <v>176</v>
      </c>
      <c r="AZ1853">
        <v>0</v>
      </c>
      <c r="BA1853" t="s">
        <v>176</v>
      </c>
      <c r="BB1853">
        <v>0</v>
      </c>
    </row>
    <row r="1854" spans="1:54" x14ac:dyDescent="0.15">
      <c r="A1854" s="4" t="str">
        <f>HYPERLINK("https://ibp.a2mac1.com/costing(costing:projects/details/9760/part/8416842)","Closures&gt;Rear door&gt;Housing assy&gt;Fixing parts&gt;Front&gt;Part 02")</f>
        <v>Closures&gt;Rear door&gt;Housing assy&gt;Fixing parts&gt;Front&gt;Part 02</v>
      </c>
      <c r="B1854">
        <v>8416842</v>
      </c>
      <c r="C1854">
        <v>8416547</v>
      </c>
      <c r="D1854" t="s">
        <v>5528</v>
      </c>
      <c r="E1854">
        <v>3.2322487499999997E-2</v>
      </c>
      <c r="F1854">
        <v>0</v>
      </c>
      <c r="G1854">
        <v>0</v>
      </c>
      <c r="H1854">
        <v>6.8771250000000002E-7</v>
      </c>
      <c r="I1854" t="s">
        <v>176</v>
      </c>
      <c r="J1854">
        <v>1.2034968750000001E-3</v>
      </c>
      <c r="K1854">
        <v>3.3526672087500001E-2</v>
      </c>
      <c r="L1854">
        <v>2.3884525316540659E-3</v>
      </c>
      <c r="M1854">
        <v>1.4330715189924396E-2</v>
      </c>
      <c r="N1854">
        <v>4.7857387277424397E-2</v>
      </c>
      <c r="O1854" t="s">
        <v>177</v>
      </c>
      <c r="P1854">
        <v>2.0116003252500002E-3</v>
      </c>
      <c r="Q1854" t="s">
        <v>177</v>
      </c>
      <c r="R1854">
        <v>8.5984291139546386E-4</v>
      </c>
      <c r="S1854" t="s">
        <v>178</v>
      </c>
      <c r="T1854">
        <v>5.7428864732909273E-3</v>
      </c>
      <c r="U1854" t="s">
        <v>90</v>
      </c>
      <c r="V1854">
        <v>0</v>
      </c>
      <c r="W1854" t="s">
        <v>90</v>
      </c>
      <c r="X1854">
        <v>0</v>
      </c>
      <c r="Y1854">
        <v>5.6471716987360789E-2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K1854" t="s">
        <v>272</v>
      </c>
      <c r="AM1854">
        <v>200000</v>
      </c>
      <c r="AN1854" t="s">
        <v>97</v>
      </c>
      <c r="AO1854">
        <v>1</v>
      </c>
      <c r="AP1854">
        <v>0</v>
      </c>
      <c r="AQ1854">
        <v>16666.666666666668</v>
      </c>
      <c r="AR1854" t="s">
        <v>9</v>
      </c>
      <c r="AS1854" t="s">
        <v>75</v>
      </c>
      <c r="AX1854" t="s">
        <v>76</v>
      </c>
      <c r="AY1854" t="s">
        <v>176</v>
      </c>
      <c r="AZ1854">
        <v>0</v>
      </c>
      <c r="BA1854" t="s">
        <v>176</v>
      </c>
      <c r="BB1854">
        <v>0</v>
      </c>
    </row>
    <row r="1855" spans="1:54" x14ac:dyDescent="0.15">
      <c r="A1855" s="4" t="str">
        <f>HYPERLINK("https://ibp.a2mac1.com/costing(costing:projects/details/9760/part/8416843)","Closures&gt;Rear door&gt;Anti-intrusion beams&gt;Beam 01 (single/upper)&gt;Beam&gt;Part 01 (single/main)")</f>
        <v>Closures&gt;Rear door&gt;Anti-intrusion beams&gt;Beam 01 (single/upper)&gt;Beam&gt;Part 01 (single/main)</v>
      </c>
      <c r="B1855">
        <v>8416843</v>
      </c>
      <c r="C1855">
        <v>8416548</v>
      </c>
      <c r="D1855" t="s">
        <v>5528</v>
      </c>
      <c r="E1855">
        <v>1.0142078299999999</v>
      </c>
      <c r="F1855">
        <v>0</v>
      </c>
      <c r="G1855">
        <v>0</v>
      </c>
      <c r="H1855">
        <v>2.157889E-5</v>
      </c>
      <c r="I1855" t="s">
        <v>176</v>
      </c>
      <c r="J1855">
        <v>3.7763057500000002E-2</v>
      </c>
      <c r="K1855">
        <v>1.05199246639</v>
      </c>
      <c r="L1855">
        <v>1.3850815167047692E-2</v>
      </c>
      <c r="M1855">
        <v>8.3104891002286158E-2</v>
      </c>
      <c r="N1855">
        <v>1.1350973573922862</v>
      </c>
      <c r="O1855" t="s">
        <v>177</v>
      </c>
      <c r="P1855">
        <v>6.3119547983399998E-2</v>
      </c>
      <c r="Q1855" t="s">
        <v>177</v>
      </c>
      <c r="R1855">
        <v>4.9862934601371698E-3</v>
      </c>
      <c r="S1855" t="s">
        <v>178</v>
      </c>
      <c r="T1855">
        <v>0.13621168288707433</v>
      </c>
      <c r="U1855" t="s">
        <v>90</v>
      </c>
      <c r="V1855">
        <v>0</v>
      </c>
      <c r="W1855" t="s">
        <v>90</v>
      </c>
      <c r="X1855">
        <v>0</v>
      </c>
      <c r="Y1855">
        <v>1.3394148817228977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K1855" t="s">
        <v>272</v>
      </c>
      <c r="AM1855">
        <v>200000</v>
      </c>
      <c r="AN1855" t="s">
        <v>97</v>
      </c>
      <c r="AO1855">
        <v>1</v>
      </c>
      <c r="AP1855">
        <v>0</v>
      </c>
      <c r="AQ1855">
        <v>16666.666666666668</v>
      </c>
      <c r="AR1855" t="s">
        <v>9</v>
      </c>
      <c r="AS1855" t="s">
        <v>75</v>
      </c>
      <c r="AX1855" t="s">
        <v>76</v>
      </c>
      <c r="AY1855" t="s">
        <v>176</v>
      </c>
      <c r="AZ1855">
        <v>0</v>
      </c>
      <c r="BA1855" t="s">
        <v>176</v>
      </c>
      <c r="BB1855">
        <v>0</v>
      </c>
    </row>
    <row r="1856" spans="1:54" x14ac:dyDescent="0.15">
      <c r="A1856" s="4" t="str">
        <f>HYPERLINK("https://ibp.a2mac1.com/costing(costing:projects/details/9760/part/8416844)","Closures&gt;Rear door&gt;Top roll assy&gt;Cross member 01 (outer)&gt;Cross member&gt;Part 01 (single/main)")</f>
        <v>Closures&gt;Rear door&gt;Top roll assy&gt;Cross member 01 (outer)&gt;Cross member&gt;Part 01 (single/main)</v>
      </c>
      <c r="B1856">
        <v>8416844</v>
      </c>
      <c r="C1856">
        <v>8416549</v>
      </c>
      <c r="D1856" t="s">
        <v>5528</v>
      </c>
      <c r="E1856">
        <v>1.4503092500000001</v>
      </c>
      <c r="F1856">
        <v>0</v>
      </c>
      <c r="G1856">
        <v>0</v>
      </c>
      <c r="H1856">
        <v>3.1874928571428571E-5</v>
      </c>
      <c r="I1856" t="s">
        <v>176</v>
      </c>
      <c r="J1856">
        <v>5.5781125000000001E-2</v>
      </c>
      <c r="K1856">
        <v>1.5061222499285714</v>
      </c>
      <c r="L1856">
        <v>1.3850815167047692E-2</v>
      </c>
      <c r="M1856">
        <v>8.3104891002286158E-2</v>
      </c>
      <c r="N1856">
        <v>1.5892271409308576</v>
      </c>
      <c r="O1856" t="s">
        <v>177</v>
      </c>
      <c r="P1856">
        <v>9.0367334995714282E-2</v>
      </c>
      <c r="Q1856" t="s">
        <v>177</v>
      </c>
      <c r="R1856">
        <v>4.9862934601371698E-3</v>
      </c>
      <c r="S1856" t="s">
        <v>178</v>
      </c>
      <c r="T1856">
        <v>0.1907072569117029</v>
      </c>
      <c r="U1856" t="s">
        <v>90</v>
      </c>
      <c r="V1856">
        <v>0</v>
      </c>
      <c r="W1856" t="s">
        <v>90</v>
      </c>
      <c r="X1856">
        <v>0</v>
      </c>
      <c r="Y1856">
        <v>1.875288026298412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K1856" t="s">
        <v>272</v>
      </c>
      <c r="AM1856">
        <v>200000</v>
      </c>
      <c r="AN1856" t="s">
        <v>97</v>
      </c>
      <c r="AO1856">
        <v>1</v>
      </c>
      <c r="AP1856">
        <v>0</v>
      </c>
      <c r="AQ1856">
        <v>16666.666666666668</v>
      </c>
      <c r="AR1856" t="s">
        <v>9</v>
      </c>
      <c r="AS1856" t="s">
        <v>75</v>
      </c>
      <c r="AX1856" t="s">
        <v>76</v>
      </c>
      <c r="AY1856" t="s">
        <v>176</v>
      </c>
      <c r="AZ1856">
        <v>0</v>
      </c>
      <c r="BA1856" t="s">
        <v>176</v>
      </c>
      <c r="BB1856">
        <v>0</v>
      </c>
    </row>
    <row r="1857" spans="1:54" x14ac:dyDescent="0.15">
      <c r="A1857" s="4" t="str">
        <f>HYPERLINK("https://ibp.a2mac1.com/costing(costing:projects/details/9760/part/8416845)","Closures&gt;Rear door&gt;Top roll assy&gt;Cross member 02 (inner)&gt;Cross member&gt;Part 01 (single/main)")</f>
        <v>Closures&gt;Rear door&gt;Top roll assy&gt;Cross member 02 (inner)&gt;Cross member&gt;Part 01 (single/main)</v>
      </c>
      <c r="B1857">
        <v>8416845</v>
      </c>
      <c r="C1857">
        <v>8416550</v>
      </c>
      <c r="D1857" t="s">
        <v>5528</v>
      </c>
      <c r="E1857">
        <v>0.65004113750000003</v>
      </c>
      <c r="F1857">
        <v>0</v>
      </c>
      <c r="G1857">
        <v>0</v>
      </c>
      <c r="H1857">
        <v>1.38306625E-5</v>
      </c>
      <c r="I1857" t="s">
        <v>176</v>
      </c>
      <c r="J1857">
        <v>2.4203659374999999E-2</v>
      </c>
      <c r="K1857">
        <v>0.67425862753749999</v>
      </c>
      <c r="L1857">
        <v>1.3850815167047692E-2</v>
      </c>
      <c r="M1857">
        <v>8.3104891002286158E-2</v>
      </c>
      <c r="N1857">
        <v>0.75736351853978612</v>
      </c>
      <c r="O1857" t="s">
        <v>177</v>
      </c>
      <c r="P1857">
        <v>4.045551765225E-2</v>
      </c>
      <c r="Q1857" t="s">
        <v>177</v>
      </c>
      <c r="R1857">
        <v>4.9862934601371698E-3</v>
      </c>
      <c r="S1857" t="s">
        <v>178</v>
      </c>
      <c r="T1857">
        <v>9.0883622224774335E-2</v>
      </c>
      <c r="U1857" t="s">
        <v>90</v>
      </c>
      <c r="V1857">
        <v>0</v>
      </c>
      <c r="W1857" t="s">
        <v>90</v>
      </c>
      <c r="X1857">
        <v>0</v>
      </c>
      <c r="Y1857">
        <v>0.89368895187694763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K1857" t="s">
        <v>272</v>
      </c>
      <c r="AM1857">
        <v>200000</v>
      </c>
      <c r="AN1857" t="s">
        <v>97</v>
      </c>
      <c r="AO1857">
        <v>1</v>
      </c>
      <c r="AP1857">
        <v>0</v>
      </c>
      <c r="AQ1857">
        <v>16666.666666666668</v>
      </c>
      <c r="AR1857" t="s">
        <v>9</v>
      </c>
      <c r="AS1857" t="s">
        <v>75</v>
      </c>
      <c r="AX1857" t="s">
        <v>76</v>
      </c>
      <c r="AY1857" t="s">
        <v>176</v>
      </c>
      <c r="AZ1857">
        <v>0</v>
      </c>
      <c r="BA1857" t="s">
        <v>176</v>
      </c>
      <c r="BB1857">
        <v>0</v>
      </c>
    </row>
    <row r="1858" spans="1:54" x14ac:dyDescent="0.15">
      <c r="A1858" s="4" t="str">
        <f>HYPERLINK("https://ibp.a2mac1.com/costing(costing:projects/details/9760/part/8416551)","Closures&gt;Rear door&gt;Outer panel&gt;Panel&gt;Part 01 (single/main)")</f>
        <v>Closures&gt;Rear door&gt;Outer panel&gt;Panel&gt;Part 01 (single/main)</v>
      </c>
      <c r="B1858">
        <v>8416551</v>
      </c>
      <c r="C1858">
        <v>8416259</v>
      </c>
      <c r="D1858" t="s">
        <v>5528</v>
      </c>
      <c r="E1858">
        <v>2.6640912475</v>
      </c>
      <c r="F1858">
        <v>0</v>
      </c>
      <c r="G1858">
        <v>0</v>
      </c>
      <c r="H1858">
        <v>5.6682792500000002E-5</v>
      </c>
      <c r="I1858" t="s">
        <v>176</v>
      </c>
      <c r="J1858">
        <v>9.9194886874999999E-2</v>
      </c>
      <c r="K1858">
        <v>2.7633428171675001</v>
      </c>
      <c r="L1858">
        <v>0.24982862648184256</v>
      </c>
      <c r="M1858">
        <v>1.4989717588910554</v>
      </c>
      <c r="N1858">
        <v>4.2623145760585555</v>
      </c>
      <c r="O1858" t="s">
        <v>90</v>
      </c>
      <c r="P1858">
        <v>0</v>
      </c>
      <c r="Q1858" t="s">
        <v>90</v>
      </c>
      <c r="R1858">
        <v>0</v>
      </c>
      <c r="S1858" t="s">
        <v>90</v>
      </c>
      <c r="T1858">
        <v>0</v>
      </c>
      <c r="U1858" t="s">
        <v>90</v>
      </c>
      <c r="V1858">
        <v>0</v>
      </c>
      <c r="W1858" t="s">
        <v>90</v>
      </c>
      <c r="X1858">
        <v>0</v>
      </c>
      <c r="Y1858">
        <v>4.2623145760585555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K1858" t="s">
        <v>272</v>
      </c>
      <c r="AM1858">
        <v>200000</v>
      </c>
      <c r="AN1858" t="s">
        <v>73</v>
      </c>
      <c r="AO1858">
        <v>1</v>
      </c>
      <c r="AP1858">
        <v>0</v>
      </c>
      <c r="AQ1858">
        <v>16666.666666666668</v>
      </c>
      <c r="AR1858" t="s">
        <v>9</v>
      </c>
      <c r="AS1858" t="s">
        <v>75</v>
      </c>
      <c r="AX1858" t="s">
        <v>76</v>
      </c>
      <c r="AY1858" t="s">
        <v>176</v>
      </c>
      <c r="AZ1858">
        <v>0</v>
      </c>
      <c r="BA1858" t="s">
        <v>176</v>
      </c>
      <c r="BB1858">
        <v>0</v>
      </c>
    </row>
    <row r="1859" spans="1:54" x14ac:dyDescent="0.15">
      <c r="A1859" s="4" t="str">
        <f>HYPERLINK("https://ibp.a2mac1.com/costing(costing:projects/details/9760/part/8416260)","Opening Control")</f>
        <v>Opening Control</v>
      </c>
      <c r="B1859">
        <v>8416260</v>
      </c>
      <c r="C1859">
        <v>8415926</v>
      </c>
      <c r="E1859">
        <v>0.27930201599999999</v>
      </c>
      <c r="F1859">
        <v>0</v>
      </c>
      <c r="G1859">
        <v>0</v>
      </c>
      <c r="H1859">
        <v>1.4168102265263158E-3</v>
      </c>
      <c r="I1859" t="s">
        <v>176</v>
      </c>
      <c r="J1859">
        <v>9.8000707368421057E-3</v>
      </c>
      <c r="K1859">
        <v>0.29051889696336841</v>
      </c>
      <c r="L1859">
        <v>8.3598157882734656E-2</v>
      </c>
      <c r="M1859">
        <v>0.50158894729640791</v>
      </c>
      <c r="N1859">
        <v>0.79210784425977632</v>
      </c>
      <c r="O1859" t="s">
        <v>177</v>
      </c>
      <c r="P1859">
        <v>1.7431133817802105E-2</v>
      </c>
      <c r="Q1859" t="s">
        <v>177</v>
      </c>
      <c r="R1859">
        <v>3.0095336837784474E-2</v>
      </c>
      <c r="S1859" t="s">
        <v>178</v>
      </c>
      <c r="T1859">
        <v>9.5052941311173159E-2</v>
      </c>
      <c r="U1859" t="s">
        <v>90</v>
      </c>
      <c r="V1859">
        <v>0</v>
      </c>
      <c r="W1859" t="s">
        <v>90</v>
      </c>
      <c r="X1859">
        <v>0</v>
      </c>
      <c r="Y1859">
        <v>0.93468725622653603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75</v>
      </c>
      <c r="AF1859">
        <v>333</v>
      </c>
      <c r="AG1859">
        <v>120</v>
      </c>
      <c r="AI1859">
        <v>0.11600000000000001</v>
      </c>
      <c r="AK1859" t="s">
        <v>1464</v>
      </c>
      <c r="AL1859" t="s">
        <v>412</v>
      </c>
      <c r="AM1859">
        <v>200000</v>
      </c>
      <c r="AN1859" t="s">
        <v>97</v>
      </c>
      <c r="AO1859">
        <v>1</v>
      </c>
      <c r="AP1859">
        <v>0</v>
      </c>
      <c r="AQ1859">
        <v>16666.666666666668</v>
      </c>
      <c r="AR1859" t="s">
        <v>9</v>
      </c>
      <c r="AS1859" t="s">
        <v>75</v>
      </c>
      <c r="AX1859" t="s">
        <v>76</v>
      </c>
      <c r="AY1859" t="s">
        <v>176</v>
      </c>
      <c r="AZ1859">
        <v>0</v>
      </c>
      <c r="BA1859" t="s">
        <v>176</v>
      </c>
      <c r="BB1859">
        <v>0</v>
      </c>
    </row>
    <row r="1860" spans="1:54" x14ac:dyDescent="0.15">
      <c r="A1860" s="4" t="str">
        <f>HYPERLINK("https://ibp.a2mac1.com/costing(costing:projects/details/9760/part/8416261)","Bezel")</f>
        <v>Bezel</v>
      </c>
      <c r="B1860">
        <v>8416261</v>
      </c>
      <c r="C1860">
        <v>8415926</v>
      </c>
      <c r="E1860">
        <v>0.70114850570212761</v>
      </c>
      <c r="F1860">
        <v>0</v>
      </c>
      <c r="G1860">
        <v>0</v>
      </c>
      <c r="H1860">
        <v>3.5529718036864501E-3</v>
      </c>
      <c r="I1860" t="s">
        <v>176</v>
      </c>
      <c r="J1860">
        <v>2.4575891922732362E-2</v>
      </c>
      <c r="K1860">
        <v>0.72927736942854648</v>
      </c>
      <c r="L1860">
        <v>0.1012589951990561</v>
      </c>
      <c r="M1860">
        <v>0.60755397119433652</v>
      </c>
      <c r="N1860">
        <v>1.3368313406228831</v>
      </c>
      <c r="O1860" t="s">
        <v>177</v>
      </c>
      <c r="P1860">
        <v>4.3756642165712789E-2</v>
      </c>
      <c r="Q1860" t="s">
        <v>177</v>
      </c>
      <c r="R1860">
        <v>3.6453238271660193E-2</v>
      </c>
      <c r="S1860" t="s">
        <v>178</v>
      </c>
      <c r="T1860">
        <v>0.16041976087474596</v>
      </c>
      <c r="U1860" t="s">
        <v>90</v>
      </c>
      <c r="V1860">
        <v>0</v>
      </c>
      <c r="W1860" t="s">
        <v>90</v>
      </c>
      <c r="X1860">
        <v>0</v>
      </c>
      <c r="Y1860">
        <v>1.5774609819350021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92</v>
      </c>
      <c r="AF1860">
        <v>400</v>
      </c>
      <c r="AG1860">
        <v>125</v>
      </c>
      <c r="AI1860">
        <v>0.16900000000000001</v>
      </c>
      <c r="AK1860" t="s">
        <v>1464</v>
      </c>
      <c r="AL1860" t="s">
        <v>5084</v>
      </c>
      <c r="AM1860">
        <v>200000</v>
      </c>
      <c r="AN1860" t="s">
        <v>97</v>
      </c>
      <c r="AO1860">
        <v>1</v>
      </c>
      <c r="AP1860">
        <v>0</v>
      </c>
      <c r="AQ1860">
        <v>16666.666666666668</v>
      </c>
      <c r="AR1860" t="s">
        <v>9</v>
      </c>
      <c r="AS1860" t="s">
        <v>75</v>
      </c>
      <c r="AX1860" t="s">
        <v>76</v>
      </c>
      <c r="AY1860" t="s">
        <v>176</v>
      </c>
      <c r="AZ1860">
        <v>0</v>
      </c>
      <c r="BA1860" t="s">
        <v>176</v>
      </c>
      <c r="BB1860">
        <v>0</v>
      </c>
    </row>
    <row r="1861" spans="1:54" x14ac:dyDescent="0.15">
      <c r="A1861" s="4" t="str">
        <f>HYPERLINK("https://ibp.a2mac1.com/costing(costing:projects/details/9760/part/8416262)","Speaker Grille")</f>
        <v>Speaker Grille</v>
      </c>
      <c r="B1861">
        <v>8416262</v>
      </c>
      <c r="C1861">
        <v>8415927</v>
      </c>
      <c r="E1861">
        <v>0.161588238</v>
      </c>
      <c r="F1861">
        <v>0</v>
      </c>
      <c r="G1861">
        <v>0</v>
      </c>
      <c r="H1861">
        <v>8.1968569852631579E-4</v>
      </c>
      <c r="I1861" t="s">
        <v>176</v>
      </c>
      <c r="J1861">
        <v>5.6697627368421056E-3</v>
      </c>
      <c r="K1861">
        <v>0.16807768643536841</v>
      </c>
      <c r="L1861">
        <v>1.4720892349081038E-2</v>
      </c>
      <c r="M1861">
        <v>8.8325354094486219E-2</v>
      </c>
      <c r="N1861">
        <v>0.25640304052985463</v>
      </c>
      <c r="O1861" t="s">
        <v>177</v>
      </c>
      <c r="P1861">
        <v>1.0084661186122106E-2</v>
      </c>
      <c r="Q1861" t="s">
        <v>177</v>
      </c>
      <c r="R1861">
        <v>5.2995212456691731E-3</v>
      </c>
      <c r="S1861" t="s">
        <v>178</v>
      </c>
      <c r="T1861">
        <v>3.0768364863582559E-2</v>
      </c>
      <c r="U1861" t="s">
        <v>90</v>
      </c>
      <c r="V1861">
        <v>0</v>
      </c>
      <c r="W1861" t="s">
        <v>90</v>
      </c>
      <c r="X1861">
        <v>0</v>
      </c>
      <c r="Y1861">
        <v>0.30255558782522846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15</v>
      </c>
      <c r="AF1861">
        <v>245</v>
      </c>
      <c r="AG1861">
        <v>170</v>
      </c>
      <c r="AI1861">
        <v>8.5999999999999993E-2</v>
      </c>
      <c r="AK1861" t="s">
        <v>740</v>
      </c>
      <c r="AL1861" t="s">
        <v>951</v>
      </c>
      <c r="AM1861">
        <v>200000</v>
      </c>
      <c r="AN1861" t="s">
        <v>97</v>
      </c>
      <c r="AO1861">
        <v>1</v>
      </c>
      <c r="AP1861">
        <v>0</v>
      </c>
      <c r="AQ1861">
        <v>16666.666666666668</v>
      </c>
      <c r="AR1861" t="s">
        <v>6041</v>
      </c>
      <c r="AS1861" t="s">
        <v>75</v>
      </c>
      <c r="AX1861" t="s">
        <v>76</v>
      </c>
      <c r="AY1861" t="s">
        <v>176</v>
      </c>
      <c r="AZ1861">
        <v>0</v>
      </c>
      <c r="BA1861" t="s">
        <v>176</v>
      </c>
      <c r="BB1861">
        <v>0</v>
      </c>
    </row>
    <row r="1862" spans="1:54" x14ac:dyDescent="0.15">
      <c r="A1862" s="4" t="str">
        <f>HYPERLINK("https://ibp.a2mac1.com/costing(costing:projects/details/9760/part/8416263)","Medium Grille")</f>
        <v>Medium Grille</v>
      </c>
      <c r="B1862">
        <v>8416263</v>
      </c>
      <c r="C1862">
        <v>8415927</v>
      </c>
      <c r="E1862">
        <v>8.0293013999999996E-2</v>
      </c>
      <c r="F1862">
        <v>0</v>
      </c>
      <c r="G1862">
        <v>0</v>
      </c>
      <c r="H1862">
        <v>4.32215586E-4</v>
      </c>
      <c r="I1862" t="s">
        <v>176</v>
      </c>
      <c r="J1862">
        <v>2.9896335E-3</v>
      </c>
      <c r="K1862">
        <v>8.3714863085999999E-2</v>
      </c>
      <c r="L1862">
        <v>0.10832333012558466</v>
      </c>
      <c r="M1862">
        <v>0.64993998075350801</v>
      </c>
      <c r="N1862">
        <v>0.73365484383950796</v>
      </c>
      <c r="O1862" t="s">
        <v>177</v>
      </c>
      <c r="P1862">
        <v>5.0228917851600002E-3</v>
      </c>
      <c r="Q1862" t="s">
        <v>177</v>
      </c>
      <c r="R1862">
        <v>3.899639884521048E-2</v>
      </c>
      <c r="S1862" t="s">
        <v>178</v>
      </c>
      <c r="T1862">
        <v>8.8038581260740961E-2</v>
      </c>
      <c r="U1862" t="s">
        <v>90</v>
      </c>
      <c r="V1862">
        <v>0</v>
      </c>
      <c r="W1862" t="s">
        <v>90</v>
      </c>
      <c r="X1862">
        <v>0</v>
      </c>
      <c r="Y1862">
        <v>0.86571271573061948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14</v>
      </c>
      <c r="AF1862">
        <v>262</v>
      </c>
      <c r="AG1862">
        <v>102</v>
      </c>
      <c r="AI1862">
        <v>1.7999999999999999E-2</v>
      </c>
      <c r="AK1862" t="s">
        <v>1464</v>
      </c>
      <c r="AL1862" t="s">
        <v>104</v>
      </c>
      <c r="AM1862">
        <v>200000</v>
      </c>
      <c r="AN1862" t="s">
        <v>97</v>
      </c>
      <c r="AO1862">
        <v>1</v>
      </c>
      <c r="AP1862">
        <v>0</v>
      </c>
      <c r="AQ1862">
        <v>16666.666666666668</v>
      </c>
      <c r="AR1862" t="s">
        <v>6045</v>
      </c>
      <c r="AS1862" t="s">
        <v>75</v>
      </c>
      <c r="AX1862" t="s">
        <v>76</v>
      </c>
      <c r="AY1862" t="s">
        <v>176</v>
      </c>
      <c r="AZ1862">
        <v>0</v>
      </c>
      <c r="BA1862" t="s">
        <v>176</v>
      </c>
      <c r="BB1862">
        <v>0</v>
      </c>
    </row>
    <row r="1863" spans="1:54" x14ac:dyDescent="0.15">
      <c r="A1863" s="4" t="str">
        <f>HYPERLINK("https://ibp.a2mac1.com/costing(costing:projects/details/9760/part/8416264)","Medium Grille Support")</f>
        <v>Medium Grille Support</v>
      </c>
      <c r="B1863">
        <v>8416264</v>
      </c>
      <c r="C1863">
        <v>8415927</v>
      </c>
      <c r="E1863">
        <v>6.9825503999999997E-2</v>
      </c>
      <c r="F1863">
        <v>0</v>
      </c>
      <c r="G1863">
        <v>0</v>
      </c>
      <c r="H1863">
        <v>3.5420255663157896E-4</v>
      </c>
      <c r="I1863" t="s">
        <v>176</v>
      </c>
      <c r="J1863">
        <v>2.4500176842105264E-3</v>
      </c>
      <c r="K1863">
        <v>7.2629724240842103E-2</v>
      </c>
      <c r="L1863">
        <v>5.8904736909203177E-3</v>
      </c>
      <c r="M1863">
        <v>3.5342842145521906E-2</v>
      </c>
      <c r="N1863">
        <v>0.10797256638636402</v>
      </c>
      <c r="O1863" t="s">
        <v>177</v>
      </c>
      <c r="P1863">
        <v>4.3577834544505263E-3</v>
      </c>
      <c r="Q1863" t="s">
        <v>177</v>
      </c>
      <c r="R1863">
        <v>2.1205705287313144E-3</v>
      </c>
      <c r="S1863" t="s">
        <v>178</v>
      </c>
      <c r="T1863">
        <v>1.2956707966363681E-2</v>
      </c>
      <c r="U1863" t="s">
        <v>90</v>
      </c>
      <c r="V1863">
        <v>0</v>
      </c>
      <c r="W1863" t="s">
        <v>90</v>
      </c>
      <c r="X1863">
        <v>0</v>
      </c>
      <c r="Y1863">
        <v>0.12740762833590952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13</v>
      </c>
      <c r="AF1863">
        <v>260</v>
      </c>
      <c r="AG1863">
        <v>100</v>
      </c>
      <c r="AI1863">
        <v>2.9000000000000001E-2</v>
      </c>
      <c r="AK1863" t="s">
        <v>1464</v>
      </c>
      <c r="AL1863" t="s">
        <v>412</v>
      </c>
      <c r="AM1863">
        <v>200000</v>
      </c>
      <c r="AN1863" t="s">
        <v>97</v>
      </c>
      <c r="AO1863">
        <v>1</v>
      </c>
      <c r="AP1863">
        <v>0</v>
      </c>
      <c r="AQ1863">
        <v>16666.666666666668</v>
      </c>
      <c r="AR1863" t="s">
        <v>6050</v>
      </c>
      <c r="AS1863" t="s">
        <v>75</v>
      </c>
      <c r="AX1863" t="s">
        <v>76</v>
      </c>
      <c r="AY1863" t="s">
        <v>176</v>
      </c>
      <c r="AZ1863">
        <v>0</v>
      </c>
      <c r="BA1863" t="s">
        <v>176</v>
      </c>
      <c r="BB1863">
        <v>0</v>
      </c>
    </row>
    <row r="1864" spans="1:54" x14ac:dyDescent="0.15">
      <c r="A1864" s="4" t="str">
        <f>HYPERLINK("https://ibp.a2mac1.com/costing(costing:projects/details/9760/part/8416265)","Speaker Bezel")</f>
        <v>Speaker Bezel</v>
      </c>
      <c r="B1864">
        <v>8416265</v>
      </c>
      <c r="C1864">
        <v>8415927</v>
      </c>
      <c r="E1864">
        <v>4.3539909000000002E-2</v>
      </c>
      <c r="F1864">
        <v>0</v>
      </c>
      <c r="G1864">
        <v>0</v>
      </c>
      <c r="H1864">
        <v>2.2086409978947367E-4</v>
      </c>
      <c r="I1864" t="s">
        <v>176</v>
      </c>
      <c r="J1864">
        <v>1.5277161052631579E-3</v>
      </c>
      <c r="K1864">
        <v>4.5288489205052629E-2</v>
      </c>
      <c r="L1864">
        <v>7.6565574225524614E-3</v>
      </c>
      <c r="M1864">
        <v>4.5939344535314765E-2</v>
      </c>
      <c r="N1864">
        <v>9.1227833740367401E-2</v>
      </c>
      <c r="O1864" t="s">
        <v>177</v>
      </c>
      <c r="P1864">
        <v>2.7173093523031578E-3</v>
      </c>
      <c r="Q1864" t="s">
        <v>177</v>
      </c>
      <c r="R1864">
        <v>2.756360672118886E-3</v>
      </c>
      <c r="S1864" t="s">
        <v>178</v>
      </c>
      <c r="T1864">
        <v>1.0947340048844088E-2</v>
      </c>
      <c r="U1864" t="s">
        <v>90</v>
      </c>
      <c r="V1864">
        <v>0</v>
      </c>
      <c r="W1864" t="s">
        <v>90</v>
      </c>
      <c r="X1864">
        <v>0</v>
      </c>
      <c r="Y1864">
        <v>0.10764884381363353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32</v>
      </c>
      <c r="AF1864">
        <v>265</v>
      </c>
      <c r="AG1864">
        <v>180</v>
      </c>
      <c r="AI1864">
        <v>4.1000000000000002E-2</v>
      </c>
      <c r="AK1864" t="s">
        <v>1464</v>
      </c>
      <c r="AL1864" t="s">
        <v>399</v>
      </c>
      <c r="AM1864">
        <v>200000</v>
      </c>
      <c r="AN1864" t="s">
        <v>97</v>
      </c>
      <c r="AO1864">
        <v>1</v>
      </c>
      <c r="AP1864">
        <v>0</v>
      </c>
      <c r="AQ1864">
        <v>16666.666666666668</v>
      </c>
      <c r="AR1864" t="s">
        <v>6055</v>
      </c>
      <c r="AS1864" t="s">
        <v>75</v>
      </c>
      <c r="AX1864" t="s">
        <v>76</v>
      </c>
      <c r="AY1864" t="s">
        <v>176</v>
      </c>
      <c r="AZ1864">
        <v>0</v>
      </c>
      <c r="BA1864" t="s">
        <v>176</v>
      </c>
      <c r="BB1864">
        <v>0</v>
      </c>
    </row>
    <row r="1865" spans="1:54" x14ac:dyDescent="0.15">
      <c r="A1865" s="4" t="str">
        <f>HYPERLINK("https://ibp.a2mac1.com/costing(costing:projects/details/9760/part/8416266)","Speaker Badge")</f>
        <v>Speaker Badge</v>
      </c>
      <c r="B1865">
        <v>8416266</v>
      </c>
      <c r="C1865">
        <v>8415927</v>
      </c>
      <c r="E1865">
        <v>1.3382168999999999E-2</v>
      </c>
      <c r="F1865">
        <v>0</v>
      </c>
      <c r="G1865">
        <v>0</v>
      </c>
      <c r="H1865">
        <v>7.2035931000000004E-5</v>
      </c>
      <c r="I1865" t="s">
        <v>176</v>
      </c>
      <c r="J1865">
        <v>4.9827224999999999E-4</v>
      </c>
      <c r="K1865">
        <v>1.3952477180999999E-2</v>
      </c>
      <c r="L1865">
        <v>4.1243899592881732E-3</v>
      </c>
      <c r="M1865">
        <v>2.4746339755729041E-2</v>
      </c>
      <c r="N1865">
        <v>3.8698816936729039E-2</v>
      </c>
      <c r="O1865" t="s">
        <v>177</v>
      </c>
      <c r="P1865">
        <v>8.3714863086E-4</v>
      </c>
      <c r="Q1865" t="s">
        <v>177</v>
      </c>
      <c r="R1865">
        <v>1.4847803853437424E-3</v>
      </c>
      <c r="S1865" t="s">
        <v>178</v>
      </c>
      <c r="T1865">
        <v>4.6438580324074845E-3</v>
      </c>
      <c r="U1865" t="s">
        <v>90</v>
      </c>
      <c r="V1865">
        <v>0</v>
      </c>
      <c r="W1865" t="s">
        <v>90</v>
      </c>
      <c r="X1865">
        <v>0</v>
      </c>
      <c r="Y1865">
        <v>4.5664603985340266E-2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11</v>
      </c>
      <c r="AF1865">
        <v>61</v>
      </c>
      <c r="AG1865">
        <v>11</v>
      </c>
      <c r="AI1865">
        <v>3.0000000000000001E-3</v>
      </c>
      <c r="AK1865" t="s">
        <v>740</v>
      </c>
      <c r="AL1865" t="s">
        <v>104</v>
      </c>
      <c r="AM1865">
        <v>200000</v>
      </c>
      <c r="AN1865" t="s">
        <v>97</v>
      </c>
      <c r="AO1865">
        <v>1</v>
      </c>
      <c r="AP1865">
        <v>0</v>
      </c>
      <c r="AQ1865">
        <v>16666.666666666668</v>
      </c>
      <c r="AR1865" t="s">
        <v>6058</v>
      </c>
      <c r="AS1865" t="s">
        <v>75</v>
      </c>
      <c r="AX1865" t="s">
        <v>76</v>
      </c>
      <c r="AY1865" t="s">
        <v>176</v>
      </c>
      <c r="AZ1865">
        <v>0</v>
      </c>
      <c r="BA1865" t="s">
        <v>176</v>
      </c>
      <c r="BB1865">
        <v>0</v>
      </c>
    </row>
    <row r="1866" spans="1:54" x14ac:dyDescent="0.15">
      <c r="A1866" s="4" t="str">
        <f>HYPERLINK("https://ibp.a2mac1.com/costing(costing:projects/details/9760/part/8415917)","Panel Carrier")</f>
        <v>Panel Carrier</v>
      </c>
      <c r="B1866">
        <v>8415917</v>
      </c>
      <c r="C1866">
        <v>8415652</v>
      </c>
      <c r="E1866">
        <v>2.138225754</v>
      </c>
      <c r="F1866">
        <v>0</v>
      </c>
      <c r="G1866">
        <v>0</v>
      </c>
      <c r="H1866">
        <v>1.0846538661894736E-2</v>
      </c>
      <c r="I1866" t="s">
        <v>176</v>
      </c>
      <c r="J1866">
        <v>7.5025465052631579E-2</v>
      </c>
      <c r="K1866">
        <v>2.2240977577145262</v>
      </c>
      <c r="L1866">
        <v>0.173668428195974</v>
      </c>
      <c r="M1866">
        <v>1.0420105691758439</v>
      </c>
      <c r="N1866">
        <v>3.2661083268903703</v>
      </c>
      <c r="O1866" t="s">
        <v>90</v>
      </c>
      <c r="P1866">
        <v>0</v>
      </c>
      <c r="Q1866" t="s">
        <v>90</v>
      </c>
      <c r="R1866">
        <v>0</v>
      </c>
      <c r="S1866" t="s">
        <v>90</v>
      </c>
      <c r="T1866">
        <v>0</v>
      </c>
      <c r="U1866" t="s">
        <v>90</v>
      </c>
      <c r="V1866">
        <v>0</v>
      </c>
      <c r="W1866" t="s">
        <v>90</v>
      </c>
      <c r="X1866">
        <v>0</v>
      </c>
      <c r="Y1866">
        <v>3.2661083268903703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120</v>
      </c>
      <c r="AF1866">
        <v>770</v>
      </c>
      <c r="AG1866">
        <v>615</v>
      </c>
      <c r="AI1866">
        <v>1.1379999999999999</v>
      </c>
      <c r="AK1866" t="s">
        <v>740</v>
      </c>
      <c r="AL1866" t="s">
        <v>951</v>
      </c>
      <c r="AM1866">
        <v>200000</v>
      </c>
      <c r="AN1866" t="s">
        <v>73</v>
      </c>
      <c r="AO1866">
        <v>1</v>
      </c>
      <c r="AP1866">
        <v>0</v>
      </c>
      <c r="AQ1866">
        <v>16666.666666666668</v>
      </c>
      <c r="AR1866" t="s">
        <v>6064</v>
      </c>
      <c r="AS1866" t="s">
        <v>75</v>
      </c>
      <c r="AX1866" t="s">
        <v>76</v>
      </c>
      <c r="AY1866" t="s">
        <v>176</v>
      </c>
      <c r="AZ1866">
        <v>0</v>
      </c>
      <c r="BA1866" t="s">
        <v>176</v>
      </c>
      <c r="BB1866">
        <v>0</v>
      </c>
    </row>
    <row r="1867" spans="1:54" x14ac:dyDescent="0.15">
      <c r="A1867" s="4" t="str">
        <f>HYPERLINK("https://ibp.a2mac1.com/costing(costing:projects/details/9760/part/8415918)","Insert")</f>
        <v>Insert</v>
      </c>
      <c r="B1867">
        <v>8415918</v>
      </c>
      <c r="C1867">
        <v>8415652</v>
      </c>
      <c r="E1867">
        <v>0.83825284731914895</v>
      </c>
      <c r="F1867">
        <v>0</v>
      </c>
      <c r="G1867">
        <v>0</v>
      </c>
      <c r="H1867">
        <v>4.2466587028622618E-3</v>
      </c>
      <c r="I1867" t="s">
        <v>176</v>
      </c>
      <c r="J1867">
        <v>2.9374121462486004E-2</v>
      </c>
      <c r="K1867">
        <v>0.87187362748449715</v>
      </c>
      <c r="L1867">
        <v>9.949291146742395E-2</v>
      </c>
      <c r="M1867">
        <v>0.5969574688045437</v>
      </c>
      <c r="N1867">
        <v>1.468831096289041</v>
      </c>
      <c r="O1867" t="s">
        <v>90</v>
      </c>
      <c r="P1867">
        <v>0</v>
      </c>
      <c r="Q1867" t="s">
        <v>90</v>
      </c>
      <c r="R1867">
        <v>0</v>
      </c>
      <c r="S1867" t="s">
        <v>90</v>
      </c>
      <c r="T1867">
        <v>0</v>
      </c>
      <c r="U1867" t="s">
        <v>90</v>
      </c>
      <c r="V1867">
        <v>0</v>
      </c>
      <c r="W1867" t="s">
        <v>90</v>
      </c>
      <c r="X1867">
        <v>0</v>
      </c>
      <c r="Y1867">
        <v>1.468831096289041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100</v>
      </c>
      <c r="AF1867">
        <v>425</v>
      </c>
      <c r="AG1867">
        <v>158</v>
      </c>
      <c r="AI1867">
        <v>0.16700000000000001</v>
      </c>
      <c r="AK1867" t="s">
        <v>740</v>
      </c>
      <c r="AL1867" t="s">
        <v>3968</v>
      </c>
      <c r="AM1867">
        <v>200000</v>
      </c>
      <c r="AN1867" t="s">
        <v>73</v>
      </c>
      <c r="AO1867">
        <v>1</v>
      </c>
      <c r="AP1867">
        <v>0</v>
      </c>
      <c r="AQ1867">
        <v>16666.666666666668</v>
      </c>
      <c r="AR1867" t="s">
        <v>6071</v>
      </c>
      <c r="AS1867" t="s">
        <v>75</v>
      </c>
      <c r="AX1867" t="s">
        <v>76</v>
      </c>
      <c r="AY1867" t="s">
        <v>176</v>
      </c>
      <c r="AZ1867">
        <v>0</v>
      </c>
      <c r="BA1867" t="s">
        <v>176</v>
      </c>
      <c r="BB1867">
        <v>0</v>
      </c>
    </row>
    <row r="1868" spans="1:54" x14ac:dyDescent="0.15">
      <c r="A1868" s="4" t="str">
        <f>HYPERLINK("https://ibp.a2mac1.com/costing(costing:projects/details/9760/part/8415919)","Armrest")</f>
        <v>Armrest</v>
      </c>
      <c r="B1868">
        <v>8415919</v>
      </c>
      <c r="C1868">
        <v>8415652</v>
      </c>
      <c r="E1868">
        <v>2.6559010005106383</v>
      </c>
      <c r="F1868">
        <v>0</v>
      </c>
      <c r="G1868">
        <v>0</v>
      </c>
      <c r="H1868">
        <v>1.3453727779905935E-2</v>
      </c>
      <c r="I1868" t="s">
        <v>176</v>
      </c>
      <c r="J1868">
        <v>9.3059381876819711E-2</v>
      </c>
      <c r="K1868">
        <v>2.7624141101673638</v>
      </c>
      <c r="L1868">
        <v>0.36617155494387771</v>
      </c>
      <c r="M1868">
        <v>2.1970293296632661</v>
      </c>
      <c r="N1868">
        <v>4.95944343983063</v>
      </c>
      <c r="O1868" t="s">
        <v>90</v>
      </c>
      <c r="P1868">
        <v>0</v>
      </c>
      <c r="Q1868" t="s">
        <v>90</v>
      </c>
      <c r="R1868">
        <v>0</v>
      </c>
      <c r="S1868" t="s">
        <v>90</v>
      </c>
      <c r="T1868">
        <v>0</v>
      </c>
      <c r="U1868" t="s">
        <v>90</v>
      </c>
      <c r="V1868">
        <v>0</v>
      </c>
      <c r="W1868" t="s">
        <v>90</v>
      </c>
      <c r="X1868">
        <v>0</v>
      </c>
      <c r="Y1868">
        <v>4.95944343983063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122</v>
      </c>
      <c r="AF1868">
        <v>756</v>
      </c>
      <c r="AG1868">
        <v>313</v>
      </c>
      <c r="AI1868">
        <v>0.624</v>
      </c>
      <c r="AK1868" t="s">
        <v>740</v>
      </c>
      <c r="AL1868" t="s">
        <v>951</v>
      </c>
      <c r="AM1868">
        <v>200000</v>
      </c>
      <c r="AN1868" t="s">
        <v>73</v>
      </c>
      <c r="AO1868">
        <v>1</v>
      </c>
      <c r="AP1868">
        <v>0</v>
      </c>
      <c r="AQ1868">
        <v>16666.666666666668</v>
      </c>
      <c r="AR1868" t="s">
        <v>6078</v>
      </c>
      <c r="AS1868" t="s">
        <v>75</v>
      </c>
      <c r="AX1868" t="s">
        <v>76</v>
      </c>
      <c r="AY1868" t="s">
        <v>176</v>
      </c>
      <c r="AZ1868">
        <v>0</v>
      </c>
      <c r="BA1868" t="s">
        <v>176</v>
      </c>
      <c r="BB1868">
        <v>0</v>
      </c>
    </row>
    <row r="1869" spans="1:54" x14ac:dyDescent="0.15">
      <c r="A1869" s="4" t="str">
        <f>HYPERLINK("https://ibp.a2mac1.com/costing(costing:projects/details/9760/part/8415920)","Trim")</f>
        <v>Trim</v>
      </c>
      <c r="B1869">
        <v>8415920</v>
      </c>
      <c r="C1869">
        <v>8415652</v>
      </c>
      <c r="E1869">
        <v>0.21669984</v>
      </c>
      <c r="F1869">
        <v>0</v>
      </c>
      <c r="G1869">
        <v>0</v>
      </c>
      <c r="H1869">
        <v>1.0992493136842106E-3</v>
      </c>
      <c r="I1869" t="s">
        <v>176</v>
      </c>
      <c r="J1869">
        <v>7.6035031578947365E-3</v>
      </c>
      <c r="K1869">
        <v>0.22540259247157896</v>
      </c>
      <c r="L1869">
        <v>9.949291146742395E-2</v>
      </c>
      <c r="M1869">
        <v>0.5969574688045437</v>
      </c>
      <c r="N1869">
        <v>0.8223600612761226</v>
      </c>
      <c r="O1869" t="s">
        <v>90</v>
      </c>
      <c r="P1869">
        <v>0</v>
      </c>
      <c r="Q1869" t="s">
        <v>90</v>
      </c>
      <c r="R1869">
        <v>0</v>
      </c>
      <c r="S1869" t="s">
        <v>90</v>
      </c>
      <c r="T1869">
        <v>0</v>
      </c>
      <c r="U1869" t="s">
        <v>90</v>
      </c>
      <c r="V1869">
        <v>0</v>
      </c>
      <c r="W1869" t="s">
        <v>90</v>
      </c>
      <c r="X1869">
        <v>0</v>
      </c>
      <c r="Y1869">
        <v>0.8223600612761226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31</v>
      </c>
      <c r="AF1869">
        <v>475</v>
      </c>
      <c r="AG1869">
        <v>47</v>
      </c>
      <c r="AI1869">
        <v>0.09</v>
      </c>
      <c r="AK1869" t="s">
        <v>740</v>
      </c>
      <c r="AL1869" t="s">
        <v>2495</v>
      </c>
      <c r="AM1869">
        <v>200000</v>
      </c>
      <c r="AN1869" t="s">
        <v>73</v>
      </c>
      <c r="AO1869">
        <v>1</v>
      </c>
      <c r="AP1869">
        <v>0</v>
      </c>
      <c r="AQ1869">
        <v>16666.666666666668</v>
      </c>
      <c r="AR1869" t="s">
        <v>6082</v>
      </c>
      <c r="AS1869" t="s">
        <v>75</v>
      </c>
      <c r="AX1869" t="s">
        <v>76</v>
      </c>
      <c r="AY1869" t="s">
        <v>176</v>
      </c>
      <c r="AZ1869">
        <v>0</v>
      </c>
      <c r="BA1869" t="s">
        <v>176</v>
      </c>
      <c r="BB1869">
        <v>0</v>
      </c>
    </row>
    <row r="1870" spans="1:54" x14ac:dyDescent="0.15">
      <c r="A1870" s="4" t="str">
        <f>HYPERLINK("https://ibp.a2mac1.com/costing(costing:projects/details/9760/part/8415921)","2nd Trim")</f>
        <v>2nd Trim</v>
      </c>
      <c r="B1870">
        <v>8415921</v>
      </c>
      <c r="C1870">
        <v>8415652</v>
      </c>
      <c r="E1870">
        <v>8.1864383999999998E-2</v>
      </c>
      <c r="F1870">
        <v>0</v>
      </c>
      <c r="G1870">
        <v>0</v>
      </c>
      <c r="H1870">
        <v>4.1527196294736843E-4</v>
      </c>
      <c r="I1870" t="s">
        <v>176</v>
      </c>
      <c r="J1870">
        <v>2.8724345263157897E-3</v>
      </c>
      <c r="K1870">
        <v>8.5152090489263157E-2</v>
      </c>
      <c r="L1870">
        <v>3.9446064591931056E-2</v>
      </c>
      <c r="M1870">
        <v>0.23667638755158632</v>
      </c>
      <c r="N1870">
        <v>0.32182847804084946</v>
      </c>
      <c r="O1870" t="s">
        <v>90</v>
      </c>
      <c r="P1870">
        <v>0</v>
      </c>
      <c r="Q1870" t="s">
        <v>90</v>
      </c>
      <c r="R1870">
        <v>0</v>
      </c>
      <c r="S1870" t="s">
        <v>90</v>
      </c>
      <c r="T1870">
        <v>0</v>
      </c>
      <c r="U1870" t="s">
        <v>90</v>
      </c>
      <c r="V1870">
        <v>0</v>
      </c>
      <c r="W1870" t="s">
        <v>90</v>
      </c>
      <c r="X1870">
        <v>0</v>
      </c>
      <c r="Y1870">
        <v>0.32182847804084946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93</v>
      </c>
      <c r="AF1870">
        <v>475</v>
      </c>
      <c r="AG1870">
        <v>33</v>
      </c>
      <c r="AI1870">
        <v>3.4000000000000002E-2</v>
      </c>
      <c r="AK1870" t="s">
        <v>740</v>
      </c>
      <c r="AL1870" t="s">
        <v>2495</v>
      </c>
      <c r="AM1870">
        <v>200000</v>
      </c>
      <c r="AN1870" t="s">
        <v>73</v>
      </c>
      <c r="AO1870">
        <v>1</v>
      </c>
      <c r="AP1870">
        <v>0</v>
      </c>
      <c r="AQ1870">
        <v>16666.666666666668</v>
      </c>
      <c r="AR1870" t="s">
        <v>6085</v>
      </c>
      <c r="AS1870" t="s">
        <v>75</v>
      </c>
      <c r="AX1870" t="s">
        <v>76</v>
      </c>
      <c r="AY1870" t="s">
        <v>176</v>
      </c>
      <c r="AZ1870">
        <v>0</v>
      </c>
      <c r="BA1870" t="s">
        <v>176</v>
      </c>
      <c r="BB1870">
        <v>0</v>
      </c>
    </row>
    <row r="1871" spans="1:54" x14ac:dyDescent="0.15">
      <c r="A1871" s="4" t="str">
        <f>HYPERLINK("https://ibp.a2mac1.com/costing(costing:projects/details/9760/part/8415922)","Upper Band")</f>
        <v>Upper Band</v>
      </c>
      <c r="B1871">
        <v>8415922</v>
      </c>
      <c r="C1871">
        <v>8415652</v>
      </c>
      <c r="E1871">
        <v>1.0093601539787234</v>
      </c>
      <c r="F1871">
        <v>0</v>
      </c>
      <c r="G1871">
        <v>0</v>
      </c>
      <c r="H1871">
        <v>5.1142010359776034E-3</v>
      </c>
      <c r="I1871" t="s">
        <v>176</v>
      </c>
      <c r="J1871">
        <v>3.5374908351623741E-2</v>
      </c>
      <c r="K1871">
        <v>1.0498492633663248</v>
      </c>
      <c r="L1871">
        <v>0.17013626073270971</v>
      </c>
      <c r="M1871">
        <v>1.0208175643962583</v>
      </c>
      <c r="N1871">
        <v>2.070666827762583</v>
      </c>
      <c r="O1871" t="s">
        <v>90</v>
      </c>
      <c r="P1871">
        <v>0</v>
      </c>
      <c r="Q1871" t="s">
        <v>90</v>
      </c>
      <c r="R1871">
        <v>0</v>
      </c>
      <c r="S1871" t="s">
        <v>90</v>
      </c>
      <c r="T1871">
        <v>0</v>
      </c>
      <c r="U1871" t="s">
        <v>90</v>
      </c>
      <c r="V1871">
        <v>0</v>
      </c>
      <c r="W1871" t="s">
        <v>90</v>
      </c>
      <c r="X1871">
        <v>0</v>
      </c>
      <c r="Y1871">
        <v>2.070666827762583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55</v>
      </c>
      <c r="AF1871">
        <v>720</v>
      </c>
      <c r="AG1871">
        <v>105</v>
      </c>
      <c r="AI1871">
        <v>0.28699999999999998</v>
      </c>
      <c r="AK1871" t="s">
        <v>740</v>
      </c>
      <c r="AL1871" t="s">
        <v>5136</v>
      </c>
      <c r="AM1871">
        <v>200000</v>
      </c>
      <c r="AN1871" t="s">
        <v>73</v>
      </c>
      <c r="AO1871">
        <v>1</v>
      </c>
      <c r="AP1871">
        <v>0</v>
      </c>
      <c r="AQ1871">
        <v>16666.666666666668</v>
      </c>
      <c r="AR1871" t="s">
        <v>6091</v>
      </c>
      <c r="AS1871" t="s">
        <v>75</v>
      </c>
      <c r="AX1871" t="s">
        <v>76</v>
      </c>
      <c r="AY1871" t="s">
        <v>176</v>
      </c>
      <c r="AZ1871">
        <v>0</v>
      </c>
      <c r="BA1871" t="s">
        <v>176</v>
      </c>
      <c r="BB1871">
        <v>0</v>
      </c>
    </row>
    <row r="1872" spans="1:54" x14ac:dyDescent="0.15">
      <c r="A1872" s="4" t="str">
        <f>HYPERLINK("https://ibp.a2mac1.com/costing(costing:projects/details/9760/part/8415923)","Door Map Pocket Panel")</f>
        <v>Door Map Pocket Panel</v>
      </c>
      <c r="B1872">
        <v>8415923</v>
      </c>
      <c r="C1872">
        <v>8415652</v>
      </c>
      <c r="E1872">
        <v>0.53925377100000005</v>
      </c>
      <c r="F1872">
        <v>0</v>
      </c>
      <c r="G1872">
        <v>0</v>
      </c>
      <c r="H1872">
        <v>2.7354627381052632E-3</v>
      </c>
      <c r="I1872" t="s">
        <v>176</v>
      </c>
      <c r="J1872">
        <v>1.892118494736842E-2</v>
      </c>
      <c r="K1872">
        <v>0.56091041868547364</v>
      </c>
      <c r="L1872">
        <v>4.4744315786827485E-2</v>
      </c>
      <c r="M1872">
        <v>0.26846589472096494</v>
      </c>
      <c r="N1872">
        <v>0.82937631340643858</v>
      </c>
      <c r="O1872" t="s">
        <v>90</v>
      </c>
      <c r="P1872">
        <v>0</v>
      </c>
      <c r="Q1872" t="s">
        <v>90</v>
      </c>
      <c r="R1872">
        <v>0</v>
      </c>
      <c r="S1872" t="s">
        <v>90</v>
      </c>
      <c r="T1872">
        <v>0</v>
      </c>
      <c r="U1872" t="s">
        <v>90</v>
      </c>
      <c r="V1872">
        <v>0</v>
      </c>
      <c r="W1872" t="s">
        <v>90</v>
      </c>
      <c r="X1872">
        <v>0</v>
      </c>
      <c r="Y1872">
        <v>0.82937631340643858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52</v>
      </c>
      <c r="AF1872">
        <v>835</v>
      </c>
      <c r="AG1872">
        <v>280</v>
      </c>
      <c r="AI1872">
        <v>0.28699999999999998</v>
      </c>
      <c r="AK1872" t="s">
        <v>740</v>
      </c>
      <c r="AL1872" t="s">
        <v>951</v>
      </c>
      <c r="AM1872">
        <v>200000</v>
      </c>
      <c r="AN1872" t="s">
        <v>73</v>
      </c>
      <c r="AO1872">
        <v>1</v>
      </c>
      <c r="AP1872">
        <v>0</v>
      </c>
      <c r="AQ1872">
        <v>16666.666666666668</v>
      </c>
      <c r="AR1872" t="s">
        <v>6094</v>
      </c>
      <c r="AS1872" t="s">
        <v>75</v>
      </c>
      <c r="AX1872" t="s">
        <v>76</v>
      </c>
      <c r="AY1872" t="s">
        <v>176</v>
      </c>
      <c r="AZ1872">
        <v>0</v>
      </c>
      <c r="BA1872" t="s">
        <v>176</v>
      </c>
      <c r="BB1872">
        <v>0</v>
      </c>
    </row>
    <row r="1873" spans="1:56" x14ac:dyDescent="0.15">
      <c r="A1873" s="4" t="str">
        <f>HYPERLINK("https://ibp.a2mac1.com/costing(costing:projects/details/9760/part/8415924)","Soundproofing")</f>
        <v>Soundproofing</v>
      </c>
      <c r="B1873">
        <v>8415924</v>
      </c>
      <c r="C1873">
        <v>8415652</v>
      </c>
      <c r="E1873">
        <v>2.874421052631579</v>
      </c>
      <c r="F1873">
        <v>0</v>
      </c>
      <c r="G1873">
        <v>0</v>
      </c>
      <c r="H1873">
        <v>1.4544570526315789E-2</v>
      </c>
      <c r="I1873" t="s">
        <v>176</v>
      </c>
      <c r="J1873">
        <v>0.10060473684210526</v>
      </c>
      <c r="K1873">
        <v>2.9895703600000001</v>
      </c>
      <c r="L1873">
        <v>2.7083478470506045E-2</v>
      </c>
      <c r="M1873">
        <v>0.16250087082303627</v>
      </c>
      <c r="N1873">
        <v>3.1520712308230361</v>
      </c>
      <c r="O1873" t="s">
        <v>177</v>
      </c>
      <c r="P1873">
        <v>0.17937422159999999</v>
      </c>
      <c r="Q1873" t="s">
        <v>177</v>
      </c>
      <c r="R1873">
        <v>9.7500522493821767E-3</v>
      </c>
      <c r="S1873" t="s">
        <v>178</v>
      </c>
      <c r="T1873">
        <v>0.37824854769876437</v>
      </c>
      <c r="U1873" t="s">
        <v>90</v>
      </c>
      <c r="V1873">
        <v>0</v>
      </c>
      <c r="W1873" t="s">
        <v>90</v>
      </c>
      <c r="X1873">
        <v>0</v>
      </c>
      <c r="Y1873">
        <v>3.7194440523711827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15</v>
      </c>
      <c r="AF1873">
        <v>625</v>
      </c>
      <c r="AG1873">
        <v>525</v>
      </c>
      <c r="AI1873">
        <v>6.4000000000000001E-2</v>
      </c>
      <c r="AK1873" t="s">
        <v>740</v>
      </c>
      <c r="AL1873" t="s">
        <v>403</v>
      </c>
      <c r="AM1873">
        <v>200000</v>
      </c>
      <c r="AN1873" t="s">
        <v>97</v>
      </c>
      <c r="AO1873">
        <v>1</v>
      </c>
      <c r="AP1873">
        <v>0</v>
      </c>
      <c r="AQ1873">
        <v>16666.666666666668</v>
      </c>
      <c r="AR1873" t="s">
        <v>6099</v>
      </c>
      <c r="AS1873" t="s">
        <v>75</v>
      </c>
      <c r="AX1873" t="s">
        <v>76</v>
      </c>
      <c r="AY1873" t="s">
        <v>176</v>
      </c>
      <c r="AZ1873">
        <v>0</v>
      </c>
      <c r="BA1873" t="s">
        <v>176</v>
      </c>
      <c r="BB1873">
        <v>0</v>
      </c>
    </row>
    <row r="1874" spans="1:56" x14ac:dyDescent="0.15">
      <c r="A1874" s="4" t="str">
        <f>HYPERLINK("https://ibp.a2mac1.com/costing(costing:projects/details/9760/part/8415925)","Reinforcement")</f>
        <v>Reinforcement</v>
      </c>
      <c r="B1874">
        <v>8415925</v>
      </c>
      <c r="C1874">
        <v>8415652</v>
      </c>
      <c r="E1874">
        <v>0.17849863499999999</v>
      </c>
      <c r="F1874">
        <v>0</v>
      </c>
      <c r="G1874">
        <v>0</v>
      </c>
      <c r="H1874">
        <v>9.0546675999999995E-4</v>
      </c>
      <c r="I1874" t="s">
        <v>176</v>
      </c>
      <c r="J1874">
        <v>6.2631099999999997E-3</v>
      </c>
      <c r="K1874">
        <v>0.18566721176000001</v>
      </c>
      <c r="L1874">
        <v>1.6486976080713183E-2</v>
      </c>
      <c r="M1874">
        <v>9.8921856484279092E-2</v>
      </c>
      <c r="N1874">
        <v>0.2845890682442791</v>
      </c>
      <c r="O1874" t="s">
        <v>177</v>
      </c>
      <c r="P1874">
        <v>1.11400327056E-2</v>
      </c>
      <c r="Q1874" t="s">
        <v>177</v>
      </c>
      <c r="R1874">
        <v>5.9353113890567456E-3</v>
      </c>
      <c r="S1874" t="s">
        <v>178</v>
      </c>
      <c r="T1874">
        <v>3.4150688189313494E-2</v>
      </c>
      <c r="U1874" t="s">
        <v>90</v>
      </c>
      <c r="V1874">
        <v>0</v>
      </c>
      <c r="W1874" t="s">
        <v>90</v>
      </c>
      <c r="X1874">
        <v>0</v>
      </c>
      <c r="Y1874">
        <v>0.33581510052824931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61</v>
      </c>
      <c r="AF1874">
        <v>720</v>
      </c>
      <c r="AG1874">
        <v>47</v>
      </c>
      <c r="AI1874">
        <v>9.5000000000000001E-2</v>
      </c>
      <c r="AK1874" t="s">
        <v>1464</v>
      </c>
      <c r="AL1874" t="s">
        <v>951</v>
      </c>
      <c r="AM1874">
        <v>200000</v>
      </c>
      <c r="AN1874" t="s">
        <v>97</v>
      </c>
      <c r="AO1874">
        <v>1</v>
      </c>
      <c r="AP1874">
        <v>0</v>
      </c>
      <c r="AQ1874">
        <v>16666.666666666668</v>
      </c>
      <c r="AR1874" t="s">
        <v>6104</v>
      </c>
      <c r="AS1874" t="s">
        <v>75</v>
      </c>
      <c r="AX1874" t="s">
        <v>76</v>
      </c>
      <c r="AY1874" t="s">
        <v>176</v>
      </c>
      <c r="AZ1874">
        <v>0</v>
      </c>
      <c r="BA1874" t="s">
        <v>176</v>
      </c>
      <c r="BB1874">
        <v>0</v>
      </c>
    </row>
    <row r="1875" spans="1:56" x14ac:dyDescent="0.15">
      <c r="A1875" s="4" t="str">
        <f>HYPERLINK("https://ibp.a2mac1.com/costing(costing:projects/details/9760/part/8416267)","Opening Control")</f>
        <v>Opening Control</v>
      </c>
      <c r="B1875">
        <v>8416267</v>
      </c>
      <c r="C1875">
        <v>8415930</v>
      </c>
      <c r="E1875">
        <v>3.1301087999999998E-2</v>
      </c>
      <c r="F1875">
        <v>0</v>
      </c>
      <c r="G1875">
        <v>0</v>
      </c>
      <c r="H1875">
        <v>1.5878045642105264E-4</v>
      </c>
      <c r="I1875" t="s">
        <v>176</v>
      </c>
      <c r="J1875">
        <v>1.0982837894736842E-3</v>
      </c>
      <c r="K1875">
        <v>3.2558152245894735E-2</v>
      </c>
      <c r="L1875">
        <v>3.0171767124431421E-4</v>
      </c>
      <c r="M1875">
        <v>1.8103060274658853E-3</v>
      </c>
      <c r="N1875">
        <v>3.4368458273360623E-2</v>
      </c>
      <c r="O1875" t="s">
        <v>177</v>
      </c>
      <c r="P1875">
        <v>1.953489134753684E-3</v>
      </c>
      <c r="Q1875" t="s">
        <v>177</v>
      </c>
      <c r="R1875">
        <v>1.0861836164795312E-4</v>
      </c>
      <c r="S1875" t="s">
        <v>178</v>
      </c>
      <c r="T1875">
        <v>4.1242149928032747E-3</v>
      </c>
      <c r="U1875" t="s">
        <v>90</v>
      </c>
      <c r="V1875">
        <v>0</v>
      </c>
      <c r="W1875" t="s">
        <v>90</v>
      </c>
      <c r="X1875">
        <v>0</v>
      </c>
      <c r="Y1875">
        <v>4.0554780762565537E-2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39</v>
      </c>
      <c r="AF1875">
        <v>29</v>
      </c>
      <c r="AG1875">
        <v>62</v>
      </c>
      <c r="AI1875">
        <v>1.2999999999999999E-2</v>
      </c>
      <c r="AK1875" t="s">
        <v>5305</v>
      </c>
      <c r="AL1875" t="s">
        <v>2495</v>
      </c>
      <c r="AM1875">
        <v>200000</v>
      </c>
      <c r="AN1875" t="s">
        <v>97</v>
      </c>
      <c r="AO1875">
        <v>1</v>
      </c>
      <c r="AP1875">
        <v>0</v>
      </c>
      <c r="AQ1875">
        <v>16666.666666666668</v>
      </c>
      <c r="AR1875" t="s">
        <v>6110</v>
      </c>
      <c r="AS1875" t="s">
        <v>75</v>
      </c>
      <c r="AX1875" t="s">
        <v>76</v>
      </c>
      <c r="AY1875" t="s">
        <v>176</v>
      </c>
      <c r="AZ1875">
        <v>0</v>
      </c>
      <c r="BA1875" t="s">
        <v>176</v>
      </c>
      <c r="BB1875">
        <v>0</v>
      </c>
    </row>
    <row r="1876" spans="1:56" x14ac:dyDescent="0.15">
      <c r="A1876" s="4" t="str">
        <f>HYPERLINK("https://ibp.a2mac1.com/costing(costing:projects/details/9760/part/8416268)","Opening Control Support")</f>
        <v>Opening Control Support</v>
      </c>
      <c r="B1876">
        <v>8416268</v>
      </c>
      <c r="C1876">
        <v>8415930</v>
      </c>
      <c r="E1876">
        <v>0.14999578173195877</v>
      </c>
      <c r="F1876">
        <v>0</v>
      </c>
      <c r="G1876">
        <v>0</v>
      </c>
      <c r="H1876">
        <v>1.5622995793814433E-4</v>
      </c>
      <c r="I1876" t="s">
        <v>176</v>
      </c>
      <c r="J1876">
        <v>5.257738969072165E-3</v>
      </c>
      <c r="K1876">
        <v>0.15540975065896906</v>
      </c>
      <c r="L1876">
        <v>5.5561688591553356E-3</v>
      </c>
      <c r="M1876">
        <v>3.333701315493201E-2</v>
      </c>
      <c r="N1876">
        <v>0.1887467638139011</v>
      </c>
      <c r="O1876" t="s">
        <v>177</v>
      </c>
      <c r="P1876">
        <v>9.3245850395381451E-3</v>
      </c>
      <c r="Q1876" t="s">
        <v>177</v>
      </c>
      <c r="R1876">
        <v>2.0002207892959208E-3</v>
      </c>
      <c r="S1876" t="s">
        <v>178</v>
      </c>
      <c r="T1876">
        <v>2.2649611657668132E-2</v>
      </c>
      <c r="U1876" t="s">
        <v>90</v>
      </c>
      <c r="V1876">
        <v>0</v>
      </c>
      <c r="W1876" t="s">
        <v>90</v>
      </c>
      <c r="X1876">
        <v>0</v>
      </c>
      <c r="Y1876">
        <v>0.22272118130040328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72</v>
      </c>
      <c r="AF1876">
        <v>83</v>
      </c>
      <c r="AG1876">
        <v>125</v>
      </c>
      <c r="AI1876">
        <v>6.7000000000000004E-2</v>
      </c>
      <c r="AK1876" t="s">
        <v>5305</v>
      </c>
      <c r="AL1876" t="s">
        <v>446</v>
      </c>
      <c r="AM1876">
        <v>200000</v>
      </c>
      <c r="AN1876" t="s">
        <v>97</v>
      </c>
      <c r="AO1876">
        <v>1</v>
      </c>
      <c r="AP1876">
        <v>0</v>
      </c>
      <c r="AQ1876">
        <v>16666.666666666668</v>
      </c>
      <c r="AR1876" t="s">
        <v>6113</v>
      </c>
      <c r="AS1876" t="s">
        <v>75</v>
      </c>
      <c r="AX1876" t="s">
        <v>76</v>
      </c>
      <c r="AY1876" t="s">
        <v>176</v>
      </c>
      <c r="AZ1876">
        <v>0</v>
      </c>
      <c r="BA1876" t="s">
        <v>176</v>
      </c>
      <c r="BB1876">
        <v>0</v>
      </c>
    </row>
    <row r="1877" spans="1:56" x14ac:dyDescent="0.15">
      <c r="A1877" s="4" t="str">
        <f>HYPERLINK("https://ibp.a2mac1.com/costing(costing:projects/details/9760/part/8416269)","Spring")</f>
        <v>Spring</v>
      </c>
      <c r="B1877">
        <v>8416269</v>
      </c>
      <c r="C1877">
        <v>8415930</v>
      </c>
      <c r="E1877">
        <v>1.2225999999999999E-3</v>
      </c>
      <c r="F1877">
        <v>0</v>
      </c>
      <c r="G1877">
        <v>0</v>
      </c>
      <c r="H1877">
        <v>2.518556E-6</v>
      </c>
      <c r="I1877" t="s">
        <v>176</v>
      </c>
      <c r="J1877">
        <v>4.2790999999999997E-5</v>
      </c>
      <c r="K1877">
        <v>1.267909556E-3</v>
      </c>
      <c r="L1877">
        <v>4.1124777371057047E-2</v>
      </c>
      <c r="M1877">
        <v>0.24674866422634228</v>
      </c>
      <c r="N1877">
        <v>0.24801657378234229</v>
      </c>
      <c r="O1877" t="s">
        <v>177</v>
      </c>
      <c r="P1877">
        <v>7.6074573359999998E-5</v>
      </c>
      <c r="Q1877" t="s">
        <v>177</v>
      </c>
      <c r="R1877">
        <v>1.4804919853580538E-2</v>
      </c>
      <c r="S1877" t="s">
        <v>178</v>
      </c>
      <c r="T1877">
        <v>2.9761988853881073E-2</v>
      </c>
      <c r="U1877" t="s">
        <v>90</v>
      </c>
      <c r="V1877">
        <v>0</v>
      </c>
      <c r="W1877" t="s">
        <v>90</v>
      </c>
      <c r="X1877">
        <v>0</v>
      </c>
      <c r="Y1877">
        <v>0.29265955706316388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8</v>
      </c>
      <c r="AF1877">
        <v>29</v>
      </c>
      <c r="AG1877">
        <v>16</v>
      </c>
      <c r="AI1877">
        <v>2E-3</v>
      </c>
      <c r="AK1877" t="s">
        <v>5305</v>
      </c>
      <c r="AL1877" t="s">
        <v>96</v>
      </c>
      <c r="AM1877">
        <v>200000</v>
      </c>
      <c r="AN1877" t="s">
        <v>97</v>
      </c>
      <c r="AO1877">
        <v>1</v>
      </c>
      <c r="AP1877">
        <v>0</v>
      </c>
      <c r="AQ1877">
        <v>16666.666666666668</v>
      </c>
      <c r="AR1877" t="s">
        <v>6117</v>
      </c>
      <c r="AS1877" t="s">
        <v>75</v>
      </c>
      <c r="AX1877" t="s">
        <v>76</v>
      </c>
      <c r="AY1877" t="s">
        <v>176</v>
      </c>
      <c r="AZ1877">
        <v>0</v>
      </c>
      <c r="BA1877" t="s">
        <v>176</v>
      </c>
      <c r="BB1877">
        <v>0</v>
      </c>
    </row>
    <row r="1878" spans="1:56" x14ac:dyDescent="0.15">
      <c r="A1878" s="4" t="str">
        <f>HYPERLINK("https://ibp.a2mac1.com/costing(costing:projects/details/9760/part/8416270)","Stopper")</f>
        <v>Stopper</v>
      </c>
      <c r="B1878">
        <v>8416270</v>
      </c>
      <c r="C1878">
        <v>8415930</v>
      </c>
      <c r="E1878">
        <v>0.1</v>
      </c>
      <c r="F1878">
        <v>0</v>
      </c>
      <c r="G1878">
        <v>0</v>
      </c>
      <c r="H1878">
        <v>0</v>
      </c>
      <c r="I1878" t="s">
        <v>71</v>
      </c>
      <c r="J1878">
        <v>0</v>
      </c>
      <c r="K1878">
        <v>0.1</v>
      </c>
      <c r="L1878">
        <v>0</v>
      </c>
      <c r="M1878">
        <v>0</v>
      </c>
      <c r="N1878">
        <v>0.1</v>
      </c>
      <c r="O1878" t="s">
        <v>71</v>
      </c>
      <c r="P1878">
        <v>0</v>
      </c>
      <c r="Q1878" t="s">
        <v>71</v>
      </c>
      <c r="R1878">
        <v>0</v>
      </c>
      <c r="S1878" t="s">
        <v>71</v>
      </c>
      <c r="T1878">
        <v>0</v>
      </c>
      <c r="U1878" t="s">
        <v>71</v>
      </c>
      <c r="V1878">
        <v>0</v>
      </c>
      <c r="W1878" t="s">
        <v>71</v>
      </c>
      <c r="X1878">
        <v>0</v>
      </c>
      <c r="Y1878">
        <v>0.1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6</v>
      </c>
      <c r="AF1878">
        <v>7</v>
      </c>
      <c r="AG1878">
        <v>7</v>
      </c>
      <c r="AI1878">
        <v>1E-3</v>
      </c>
      <c r="AK1878" t="s">
        <v>5305</v>
      </c>
      <c r="AL1878" t="s">
        <v>4527</v>
      </c>
      <c r="AM1878">
        <v>200000</v>
      </c>
      <c r="AN1878" t="s">
        <v>97</v>
      </c>
      <c r="AO1878">
        <v>1</v>
      </c>
      <c r="AP1878">
        <v>0</v>
      </c>
      <c r="AQ1878">
        <v>16666.666666666668</v>
      </c>
      <c r="AR1878" t="s">
        <v>6118</v>
      </c>
      <c r="AS1878" t="s">
        <v>75</v>
      </c>
      <c r="AX1878" t="s">
        <v>76</v>
      </c>
      <c r="AY1878" t="s">
        <v>71</v>
      </c>
      <c r="AZ1878">
        <v>0</v>
      </c>
      <c r="BA1878" t="s">
        <v>71</v>
      </c>
      <c r="BB1878">
        <v>0</v>
      </c>
      <c r="BD1878">
        <v>0.1</v>
      </c>
    </row>
    <row r="1879" spans="1:56" x14ac:dyDescent="0.15">
      <c r="A1879" s="4" t="str">
        <f>HYPERLINK("https://ibp.a2mac1.com/costing(costing:projects/details/9760/part/8416271)","Switch Opening")</f>
        <v>Switch Opening</v>
      </c>
      <c r="B1879">
        <v>8416271</v>
      </c>
      <c r="C1879">
        <v>8415930</v>
      </c>
      <c r="E1879">
        <v>1.05</v>
      </c>
      <c r="F1879">
        <v>0</v>
      </c>
      <c r="G1879">
        <v>0</v>
      </c>
      <c r="H1879">
        <v>0</v>
      </c>
      <c r="I1879" t="s">
        <v>71</v>
      </c>
      <c r="J1879">
        <v>0</v>
      </c>
      <c r="K1879">
        <v>1.05</v>
      </c>
      <c r="L1879">
        <v>0</v>
      </c>
      <c r="M1879">
        <v>0</v>
      </c>
      <c r="N1879">
        <v>1.05</v>
      </c>
      <c r="O1879" t="s">
        <v>71</v>
      </c>
      <c r="P1879">
        <v>0</v>
      </c>
      <c r="Q1879" t="s">
        <v>71</v>
      </c>
      <c r="R1879">
        <v>0</v>
      </c>
      <c r="S1879" t="s">
        <v>71</v>
      </c>
      <c r="T1879">
        <v>0</v>
      </c>
      <c r="U1879" t="s">
        <v>71</v>
      </c>
      <c r="V1879">
        <v>0</v>
      </c>
      <c r="W1879" t="s">
        <v>71</v>
      </c>
      <c r="X1879">
        <v>0</v>
      </c>
      <c r="Y1879">
        <v>1.05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38</v>
      </c>
      <c r="AF1879">
        <v>47</v>
      </c>
      <c r="AG1879">
        <v>26</v>
      </c>
      <c r="AI1879">
        <v>2.1999999999999999E-2</v>
      </c>
      <c r="AK1879" t="s">
        <v>272</v>
      </c>
      <c r="AL1879" t="s">
        <v>1588</v>
      </c>
      <c r="AM1879">
        <v>200000</v>
      </c>
      <c r="AN1879" t="s">
        <v>97</v>
      </c>
      <c r="AO1879">
        <v>1</v>
      </c>
      <c r="AP1879">
        <v>0</v>
      </c>
      <c r="AQ1879">
        <v>16666.666666666668</v>
      </c>
      <c r="AR1879" t="s">
        <v>6119</v>
      </c>
      <c r="AS1879" t="s">
        <v>75</v>
      </c>
      <c r="AX1879" t="s">
        <v>76</v>
      </c>
      <c r="AY1879" t="s">
        <v>71</v>
      </c>
      <c r="AZ1879">
        <v>0</v>
      </c>
      <c r="BA1879" t="s">
        <v>71</v>
      </c>
      <c r="BB1879">
        <v>0</v>
      </c>
      <c r="BD1879">
        <v>1.05</v>
      </c>
    </row>
    <row r="1880" spans="1:56" x14ac:dyDescent="0.15">
      <c r="A1880" s="4" t="str">
        <f>HYPERLINK("https://ibp.a2mac1.com/costing(costing:projects/details/9760/part/8416272)","Opening Control")</f>
        <v>Opening Control</v>
      </c>
      <c r="B1880">
        <v>8416272</v>
      </c>
      <c r="C1880">
        <v>8415931</v>
      </c>
      <c r="D1880" t="s">
        <v>6124</v>
      </c>
      <c r="E1880">
        <v>0.14999578173195877</v>
      </c>
      <c r="F1880">
        <v>0</v>
      </c>
      <c r="G1880">
        <v>0</v>
      </c>
      <c r="H1880">
        <v>1.5622995793814433E-4</v>
      </c>
      <c r="I1880" t="s">
        <v>176</v>
      </c>
      <c r="J1880">
        <v>5.257738969072165E-3</v>
      </c>
      <c r="K1880">
        <v>0.15540975065896906</v>
      </c>
      <c r="L1880">
        <v>4.4634349952700726E-3</v>
      </c>
      <c r="M1880">
        <v>2.6780609971620437E-2</v>
      </c>
      <c r="N1880">
        <v>0.18219036063058952</v>
      </c>
      <c r="O1880" t="s">
        <v>177</v>
      </c>
      <c r="P1880">
        <v>9.3245850395381451E-3</v>
      </c>
      <c r="Q1880" t="s">
        <v>177</v>
      </c>
      <c r="R1880">
        <v>1.6068365982972262E-3</v>
      </c>
      <c r="S1880" t="s">
        <v>178</v>
      </c>
      <c r="T1880">
        <v>2.186284327567074E-2</v>
      </c>
      <c r="U1880" t="s">
        <v>90</v>
      </c>
      <c r="V1880">
        <v>0</v>
      </c>
      <c r="W1880" t="s">
        <v>90</v>
      </c>
      <c r="X1880">
        <v>0</v>
      </c>
      <c r="Y1880">
        <v>0.21498462554409561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58</v>
      </c>
      <c r="AF1880">
        <v>206</v>
      </c>
      <c r="AG1880">
        <v>56</v>
      </c>
      <c r="AI1880">
        <v>6.8000000000000005E-2</v>
      </c>
      <c r="AK1880" t="s">
        <v>5305</v>
      </c>
      <c r="AL1880" t="s">
        <v>5457</v>
      </c>
      <c r="AM1880">
        <v>200000</v>
      </c>
      <c r="AN1880" t="s">
        <v>97</v>
      </c>
      <c r="AO1880">
        <v>1</v>
      </c>
      <c r="AP1880">
        <v>0</v>
      </c>
      <c r="AQ1880">
        <v>16666.666666666668</v>
      </c>
      <c r="AR1880" t="s">
        <v>6125</v>
      </c>
      <c r="AS1880" t="s">
        <v>75</v>
      </c>
      <c r="AX1880" t="s">
        <v>76</v>
      </c>
      <c r="AY1880" t="s">
        <v>176</v>
      </c>
      <c r="AZ1880">
        <v>0</v>
      </c>
      <c r="BA1880" t="s">
        <v>176</v>
      </c>
      <c r="BB1880">
        <v>0</v>
      </c>
    </row>
    <row r="1881" spans="1:56" x14ac:dyDescent="0.15">
      <c r="A1881" s="4" t="str">
        <f>HYPERLINK("https://ibp.a2mac1.com/costing(costing:projects/details/9760/part/8416273)","Opening Control Support")</f>
        <v>Opening Control Support</v>
      </c>
      <c r="B1881">
        <v>8416273</v>
      </c>
      <c r="C1881">
        <v>8415931</v>
      </c>
      <c r="D1881" t="s">
        <v>6124</v>
      </c>
      <c r="E1881">
        <v>0.61762968948453612</v>
      </c>
      <c r="F1881">
        <v>0</v>
      </c>
      <c r="G1881">
        <v>0</v>
      </c>
      <c r="H1881">
        <v>6.4329982680412371E-4</v>
      </c>
      <c r="I1881" t="s">
        <v>176</v>
      </c>
      <c r="J1881">
        <v>2.1649513402061855E-2</v>
      </c>
      <c r="K1881">
        <v>0.63992250271340201</v>
      </c>
      <c r="L1881">
        <v>2.9674841040629066E-2</v>
      </c>
      <c r="M1881">
        <v>0.17804904624377441</v>
      </c>
      <c r="N1881">
        <v>0.8179715489571765</v>
      </c>
      <c r="O1881" t="s">
        <v>177</v>
      </c>
      <c r="P1881">
        <v>3.8395350162804126E-2</v>
      </c>
      <c r="Q1881" t="s">
        <v>177</v>
      </c>
      <c r="R1881">
        <v>1.0682942774626464E-2</v>
      </c>
      <c r="S1881" t="s">
        <v>178</v>
      </c>
      <c r="T1881">
        <v>9.8156585874861174E-2</v>
      </c>
      <c r="U1881" t="s">
        <v>90</v>
      </c>
      <c r="V1881">
        <v>0</v>
      </c>
      <c r="W1881" t="s">
        <v>90</v>
      </c>
      <c r="X1881">
        <v>0</v>
      </c>
      <c r="Y1881">
        <v>0.96520642776946819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63</v>
      </c>
      <c r="AF1881">
        <v>285</v>
      </c>
      <c r="AG1881">
        <v>168</v>
      </c>
      <c r="AI1881">
        <v>0.28599999999999998</v>
      </c>
      <c r="AK1881" t="s">
        <v>5305</v>
      </c>
      <c r="AL1881" t="s">
        <v>5457</v>
      </c>
      <c r="AM1881">
        <v>200000</v>
      </c>
      <c r="AN1881" t="s">
        <v>97</v>
      </c>
      <c r="AO1881">
        <v>1</v>
      </c>
      <c r="AP1881">
        <v>0</v>
      </c>
      <c r="AQ1881">
        <v>16666.666666666668</v>
      </c>
      <c r="AR1881" t="s">
        <v>6128</v>
      </c>
      <c r="AS1881" t="s">
        <v>75</v>
      </c>
      <c r="AX1881" t="s">
        <v>76</v>
      </c>
      <c r="AY1881" t="s">
        <v>176</v>
      </c>
      <c r="AZ1881">
        <v>0</v>
      </c>
      <c r="BA1881" t="s">
        <v>176</v>
      </c>
      <c r="BB1881">
        <v>0</v>
      </c>
    </row>
    <row r="1882" spans="1:56" x14ac:dyDescent="0.15">
      <c r="A1882" s="4" t="str">
        <f>HYPERLINK("https://ibp.a2mac1.com/costing(costing:projects/details/9760/part/8416274)","Bezel")</f>
        <v>Bezel</v>
      </c>
      <c r="B1882">
        <v>8416274</v>
      </c>
      <c r="C1882">
        <v>8415931</v>
      </c>
      <c r="D1882" t="s">
        <v>6124</v>
      </c>
      <c r="E1882">
        <v>0.20781748451988771</v>
      </c>
      <c r="F1882">
        <v>0</v>
      </c>
      <c r="G1882">
        <v>0</v>
      </c>
      <c r="H1882">
        <v>2.1813174166292757E-3</v>
      </c>
      <c r="I1882" t="s">
        <v>176</v>
      </c>
      <c r="J1882">
        <v>7.2771563712115336E-3</v>
      </c>
      <c r="K1882">
        <v>0.21727595830772853</v>
      </c>
      <c r="L1882">
        <v>0.10803578061978145</v>
      </c>
      <c r="M1882">
        <v>0.64821468371868862</v>
      </c>
      <c r="N1882">
        <v>0.86549064202641712</v>
      </c>
      <c r="O1882" t="s">
        <v>177</v>
      </c>
      <c r="P1882">
        <v>1.3036557498463712E-2</v>
      </c>
      <c r="Q1882" t="s">
        <v>177</v>
      </c>
      <c r="R1882">
        <v>3.8892881023121322E-2</v>
      </c>
      <c r="S1882" t="s">
        <v>178</v>
      </c>
      <c r="T1882">
        <v>0.10385887704317007</v>
      </c>
      <c r="U1882" t="s">
        <v>90</v>
      </c>
      <c r="V1882">
        <v>0</v>
      </c>
      <c r="W1882" t="s">
        <v>90</v>
      </c>
      <c r="X1882">
        <v>0</v>
      </c>
      <c r="Y1882">
        <v>1.0212789575911723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42</v>
      </c>
      <c r="AF1882">
        <v>215</v>
      </c>
      <c r="AG1882">
        <v>27</v>
      </c>
      <c r="AI1882">
        <v>2.5000000000000001E-2</v>
      </c>
      <c r="AK1882" t="s">
        <v>5305</v>
      </c>
      <c r="AL1882" t="s">
        <v>5471</v>
      </c>
      <c r="AM1882">
        <v>200000</v>
      </c>
      <c r="AN1882" t="s">
        <v>97</v>
      </c>
      <c r="AO1882">
        <v>1</v>
      </c>
      <c r="AP1882">
        <v>0</v>
      </c>
      <c r="AQ1882">
        <v>16666.666666666668</v>
      </c>
      <c r="AR1882" t="s">
        <v>6132</v>
      </c>
      <c r="AS1882" t="s">
        <v>75</v>
      </c>
      <c r="AX1882" t="s">
        <v>76</v>
      </c>
      <c r="AY1882" t="s">
        <v>176</v>
      </c>
      <c r="AZ1882">
        <v>0</v>
      </c>
      <c r="BA1882" t="s">
        <v>176</v>
      </c>
      <c r="BB1882">
        <v>0</v>
      </c>
    </row>
    <row r="1883" spans="1:56" x14ac:dyDescent="0.15">
      <c r="A1883" s="4" t="str">
        <f>HYPERLINK("https://ibp.a2mac1.com/costing(costing:projects/details/9760/part/8416275)","2nd Bezel")</f>
        <v>2nd Bezel</v>
      </c>
      <c r="B1883">
        <v>8416275</v>
      </c>
      <c r="C1883">
        <v>8415931</v>
      </c>
      <c r="D1883" t="s">
        <v>6124</v>
      </c>
      <c r="E1883">
        <v>0.26417702709720731</v>
      </c>
      <c r="F1883">
        <v>0</v>
      </c>
      <c r="G1883">
        <v>0</v>
      </c>
      <c r="H1883">
        <v>3.3200038922234156E-3</v>
      </c>
      <c r="I1883" t="s">
        <v>176</v>
      </c>
      <c r="J1883">
        <v>9.2570530451127828E-3</v>
      </c>
      <c r="K1883">
        <v>0.27675408403454349</v>
      </c>
      <c r="L1883">
        <v>0.10190887658593149</v>
      </c>
      <c r="M1883">
        <v>0.61145325951558904</v>
      </c>
      <c r="N1883">
        <v>0.88820734355013253</v>
      </c>
      <c r="O1883" t="s">
        <v>177</v>
      </c>
      <c r="P1883">
        <v>1.660524504207261E-2</v>
      </c>
      <c r="Q1883" t="s">
        <v>177</v>
      </c>
      <c r="R1883">
        <v>3.668719557093534E-2</v>
      </c>
      <c r="S1883" t="s">
        <v>178</v>
      </c>
      <c r="T1883">
        <v>0.10658488122601589</v>
      </c>
      <c r="U1883" t="s">
        <v>90</v>
      </c>
      <c r="V1883">
        <v>0</v>
      </c>
      <c r="W1883" t="s">
        <v>90</v>
      </c>
      <c r="X1883">
        <v>0</v>
      </c>
      <c r="Y1883">
        <v>1.0480846653891562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62</v>
      </c>
      <c r="AF1883">
        <v>225</v>
      </c>
      <c r="AG1883">
        <v>33</v>
      </c>
      <c r="AI1883">
        <v>4.5999999999999999E-2</v>
      </c>
      <c r="AK1883" t="s">
        <v>5305</v>
      </c>
      <c r="AL1883" t="s">
        <v>5471</v>
      </c>
      <c r="AM1883">
        <v>200000</v>
      </c>
      <c r="AN1883" t="s">
        <v>97</v>
      </c>
      <c r="AO1883">
        <v>1</v>
      </c>
      <c r="AP1883">
        <v>0</v>
      </c>
      <c r="AQ1883">
        <v>16666.666666666668</v>
      </c>
      <c r="AR1883" t="s">
        <v>6136</v>
      </c>
      <c r="AS1883" t="s">
        <v>75</v>
      </c>
      <c r="AX1883" t="s">
        <v>76</v>
      </c>
      <c r="AY1883" t="s">
        <v>176</v>
      </c>
      <c r="AZ1883">
        <v>0</v>
      </c>
      <c r="BA1883" t="s">
        <v>176</v>
      </c>
      <c r="BB1883">
        <v>0</v>
      </c>
    </row>
    <row r="1884" spans="1:56" x14ac:dyDescent="0.15">
      <c r="A1884" s="4" t="str">
        <f>HYPERLINK("https://ibp.a2mac1.com/costing(costing:projects/details/9760/part/8416276)","Welcome light")</f>
        <v>Welcome light</v>
      </c>
      <c r="B1884">
        <v>8416276</v>
      </c>
      <c r="C1884">
        <v>8415931</v>
      </c>
      <c r="D1884" t="s">
        <v>6137</v>
      </c>
      <c r="E1884">
        <v>1.25</v>
      </c>
      <c r="F1884">
        <v>0</v>
      </c>
      <c r="G1884">
        <v>0</v>
      </c>
      <c r="H1884">
        <v>0</v>
      </c>
      <c r="I1884" t="s">
        <v>71</v>
      </c>
      <c r="J1884">
        <v>0</v>
      </c>
      <c r="K1884">
        <v>1.25</v>
      </c>
      <c r="L1884">
        <v>0</v>
      </c>
      <c r="M1884">
        <v>0</v>
      </c>
      <c r="N1884">
        <v>1.25</v>
      </c>
      <c r="O1884" t="s">
        <v>71</v>
      </c>
      <c r="P1884">
        <v>0</v>
      </c>
      <c r="Q1884" t="s">
        <v>71</v>
      </c>
      <c r="R1884">
        <v>0</v>
      </c>
      <c r="S1884" t="s">
        <v>71</v>
      </c>
      <c r="T1884">
        <v>0</v>
      </c>
      <c r="U1884" t="s">
        <v>71</v>
      </c>
      <c r="V1884">
        <v>0</v>
      </c>
      <c r="W1884" t="s">
        <v>71</v>
      </c>
      <c r="X1884">
        <v>0</v>
      </c>
      <c r="Y1884">
        <v>1.25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18</v>
      </c>
      <c r="AF1884">
        <v>76</v>
      </c>
      <c r="AG1884">
        <v>10</v>
      </c>
      <c r="AI1884">
        <v>4.8000000000000001E-2</v>
      </c>
      <c r="AK1884" t="s">
        <v>272</v>
      </c>
      <c r="AL1884" t="s">
        <v>6138</v>
      </c>
      <c r="AM1884">
        <v>200000</v>
      </c>
      <c r="AN1884" t="s">
        <v>97</v>
      </c>
      <c r="AO1884">
        <v>1</v>
      </c>
      <c r="AP1884">
        <v>0</v>
      </c>
      <c r="AQ1884">
        <v>16666.666666666668</v>
      </c>
      <c r="AR1884" t="s">
        <v>6139</v>
      </c>
      <c r="AS1884" t="s">
        <v>75</v>
      </c>
      <c r="AX1884" t="s">
        <v>76</v>
      </c>
      <c r="AY1884" t="s">
        <v>71</v>
      </c>
      <c r="AZ1884">
        <v>0</v>
      </c>
      <c r="BA1884" t="s">
        <v>71</v>
      </c>
      <c r="BB1884">
        <v>0</v>
      </c>
      <c r="BD1884">
        <v>1.25</v>
      </c>
    </row>
    <row r="1885" spans="1:56" x14ac:dyDescent="0.15">
      <c r="A1885" s="4" t="str">
        <f>HYPERLINK("https://ibp.a2mac1.com/costing(costing:projects/details/9760/part/8416277)","Unlocking Contactor")</f>
        <v>Unlocking Contactor</v>
      </c>
      <c r="B1885">
        <v>8416277</v>
      </c>
      <c r="C1885">
        <v>8415931</v>
      </c>
      <c r="D1885" t="s">
        <v>6140</v>
      </c>
      <c r="E1885">
        <v>0.61</v>
      </c>
      <c r="F1885">
        <v>0</v>
      </c>
      <c r="G1885">
        <v>0</v>
      </c>
      <c r="H1885">
        <v>0</v>
      </c>
      <c r="I1885" t="s">
        <v>71</v>
      </c>
      <c r="J1885">
        <v>0</v>
      </c>
      <c r="K1885">
        <v>0.61</v>
      </c>
      <c r="L1885">
        <v>0</v>
      </c>
      <c r="M1885">
        <v>0</v>
      </c>
      <c r="N1885">
        <v>0.61</v>
      </c>
      <c r="O1885" t="s">
        <v>71</v>
      </c>
      <c r="P1885">
        <v>0</v>
      </c>
      <c r="Q1885" t="s">
        <v>71</v>
      </c>
      <c r="R1885">
        <v>0</v>
      </c>
      <c r="S1885" t="s">
        <v>71</v>
      </c>
      <c r="T1885">
        <v>0</v>
      </c>
      <c r="U1885" t="s">
        <v>71</v>
      </c>
      <c r="V1885">
        <v>0</v>
      </c>
      <c r="W1885" t="s">
        <v>71</v>
      </c>
      <c r="X1885">
        <v>0</v>
      </c>
      <c r="Y1885">
        <v>0.61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9</v>
      </c>
      <c r="AF1885">
        <v>125</v>
      </c>
      <c r="AG1885">
        <v>51</v>
      </c>
      <c r="AI1885">
        <v>1E-3</v>
      </c>
      <c r="AK1885" t="s">
        <v>272</v>
      </c>
      <c r="AL1885" t="s">
        <v>6141</v>
      </c>
      <c r="AM1885">
        <v>200000</v>
      </c>
      <c r="AN1885" t="s">
        <v>97</v>
      </c>
      <c r="AO1885">
        <v>1</v>
      </c>
      <c r="AP1885">
        <v>0</v>
      </c>
      <c r="AQ1885">
        <v>16666.666666666668</v>
      </c>
      <c r="AR1885" t="s">
        <v>6142</v>
      </c>
      <c r="AS1885" t="s">
        <v>75</v>
      </c>
      <c r="AX1885" t="s">
        <v>76</v>
      </c>
      <c r="AY1885" t="s">
        <v>71</v>
      </c>
      <c r="AZ1885">
        <v>0</v>
      </c>
      <c r="BA1885" t="s">
        <v>71</v>
      </c>
      <c r="BB1885">
        <v>0</v>
      </c>
      <c r="BD1885">
        <v>0.61</v>
      </c>
    </row>
    <row r="1886" spans="1:56" x14ac:dyDescent="0.15">
      <c r="A1886" s="4" t="str">
        <f>HYPERLINK("https://ibp.a2mac1.com/costing(costing:projects/details/9760/part/8416278)","Mechanism")</f>
        <v>Mechanism</v>
      </c>
      <c r="B1886">
        <v>8416278</v>
      </c>
      <c r="C1886">
        <v>8415931</v>
      </c>
      <c r="D1886" t="s">
        <v>6124</v>
      </c>
      <c r="E1886">
        <v>5.6251825402061854E-2</v>
      </c>
      <c r="F1886">
        <v>0</v>
      </c>
      <c r="G1886">
        <v>0</v>
      </c>
      <c r="H1886">
        <v>5.8589783092783507E-5</v>
      </c>
      <c r="I1886" t="s">
        <v>176</v>
      </c>
      <c r="J1886">
        <v>1.9717715463917528E-3</v>
      </c>
      <c r="K1886">
        <v>5.8282186731546393E-2</v>
      </c>
      <c r="L1886">
        <v>8.4544306208829603E-3</v>
      </c>
      <c r="M1886">
        <v>5.0726583725297758E-2</v>
      </c>
      <c r="N1886">
        <v>0.10900877045684415</v>
      </c>
      <c r="O1886" t="s">
        <v>177</v>
      </c>
      <c r="P1886">
        <v>3.4969312038927833E-3</v>
      </c>
      <c r="Q1886" t="s">
        <v>177</v>
      </c>
      <c r="R1886">
        <v>3.0435950235178652E-3</v>
      </c>
      <c r="S1886" t="s">
        <v>178</v>
      </c>
      <c r="T1886">
        <v>1.3081052454821298E-2</v>
      </c>
      <c r="U1886" t="s">
        <v>90</v>
      </c>
      <c r="V1886">
        <v>0</v>
      </c>
      <c r="W1886" t="s">
        <v>90</v>
      </c>
      <c r="X1886">
        <v>0</v>
      </c>
      <c r="Y1886">
        <v>0.12863034913907609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13</v>
      </c>
      <c r="AF1886">
        <v>111</v>
      </c>
      <c r="AG1886">
        <v>45</v>
      </c>
      <c r="AI1886">
        <v>2.1999999999999999E-2</v>
      </c>
      <c r="AK1886" t="s">
        <v>5305</v>
      </c>
      <c r="AL1886" t="s">
        <v>2086</v>
      </c>
      <c r="AM1886">
        <v>200000</v>
      </c>
      <c r="AN1886" t="s">
        <v>97</v>
      </c>
      <c r="AO1886">
        <v>1</v>
      </c>
      <c r="AP1886">
        <v>0</v>
      </c>
      <c r="AQ1886">
        <v>16666.666666666668</v>
      </c>
      <c r="AR1886" t="s">
        <v>6145</v>
      </c>
      <c r="AS1886" t="s">
        <v>75</v>
      </c>
      <c r="AX1886" t="s">
        <v>76</v>
      </c>
      <c r="AY1886" t="s">
        <v>176</v>
      </c>
      <c r="AZ1886">
        <v>0</v>
      </c>
      <c r="BA1886" t="s">
        <v>176</v>
      </c>
      <c r="BB1886">
        <v>0</v>
      </c>
    </row>
    <row r="1887" spans="1:56" x14ac:dyDescent="0.15">
      <c r="A1887" s="4" t="str">
        <f>HYPERLINK("https://ibp.a2mac1.com/costing(costing:projects/details/9760/part/8416279)","Actuator")</f>
        <v>Actuator</v>
      </c>
      <c r="B1887">
        <v>8416279</v>
      </c>
      <c r="C1887">
        <v>8415932</v>
      </c>
      <c r="D1887" t="s">
        <v>5503</v>
      </c>
      <c r="E1887">
        <v>3.5</v>
      </c>
      <c r="F1887">
        <v>0</v>
      </c>
      <c r="G1887">
        <v>0</v>
      </c>
      <c r="H1887">
        <v>0</v>
      </c>
      <c r="I1887" t="s">
        <v>71</v>
      </c>
      <c r="J1887">
        <v>0</v>
      </c>
      <c r="K1887">
        <v>3.5</v>
      </c>
      <c r="L1887">
        <v>0</v>
      </c>
      <c r="M1887">
        <v>0</v>
      </c>
      <c r="N1887">
        <v>3.5</v>
      </c>
      <c r="O1887" t="s">
        <v>71</v>
      </c>
      <c r="P1887">
        <v>0</v>
      </c>
      <c r="Q1887" t="s">
        <v>71</v>
      </c>
      <c r="R1887">
        <v>0</v>
      </c>
      <c r="S1887" t="s">
        <v>71</v>
      </c>
      <c r="T1887">
        <v>0</v>
      </c>
      <c r="U1887" t="s">
        <v>71</v>
      </c>
      <c r="V1887">
        <v>0</v>
      </c>
      <c r="W1887" t="s">
        <v>71</v>
      </c>
      <c r="X1887">
        <v>0</v>
      </c>
      <c r="Y1887">
        <v>3.5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38</v>
      </c>
      <c r="AF1887">
        <v>144</v>
      </c>
      <c r="AG1887">
        <v>114</v>
      </c>
      <c r="AI1887">
        <v>0.84799999999999998</v>
      </c>
      <c r="AK1887" t="s">
        <v>272</v>
      </c>
      <c r="AL1887" t="s">
        <v>856</v>
      </c>
      <c r="AM1887">
        <v>200000</v>
      </c>
      <c r="AN1887" t="s">
        <v>73</v>
      </c>
      <c r="AO1887">
        <v>1</v>
      </c>
      <c r="AP1887">
        <v>0</v>
      </c>
      <c r="AQ1887">
        <v>16666.666666666668</v>
      </c>
      <c r="AR1887" t="s">
        <v>6148</v>
      </c>
      <c r="AS1887" t="s">
        <v>75</v>
      </c>
      <c r="AX1887" t="s">
        <v>76</v>
      </c>
      <c r="AY1887" t="s">
        <v>71</v>
      </c>
      <c r="AZ1887">
        <v>0</v>
      </c>
      <c r="BA1887" t="s">
        <v>71</v>
      </c>
      <c r="BB1887">
        <v>0</v>
      </c>
      <c r="BD1887">
        <v>3.5</v>
      </c>
    </row>
    <row r="1888" spans="1:56" x14ac:dyDescent="0.15">
      <c r="A1888" s="4" t="str">
        <f>HYPERLINK("https://ibp.a2mac1.com/costing(costing:projects/details/9760/part/8415928)","Door Latch")</f>
        <v>Door Latch</v>
      </c>
      <c r="B1888">
        <v>8415928</v>
      </c>
      <c r="C1888">
        <v>8415653</v>
      </c>
      <c r="D1888" t="s">
        <v>6149</v>
      </c>
      <c r="E1888">
        <v>9.5</v>
      </c>
      <c r="F1888">
        <v>0</v>
      </c>
      <c r="G1888">
        <v>0</v>
      </c>
      <c r="H1888">
        <v>0</v>
      </c>
      <c r="I1888" t="s">
        <v>71</v>
      </c>
      <c r="J1888">
        <v>0</v>
      </c>
      <c r="K1888">
        <v>9.5</v>
      </c>
      <c r="L1888">
        <v>0</v>
      </c>
      <c r="M1888">
        <v>0</v>
      </c>
      <c r="N1888">
        <v>9.5</v>
      </c>
      <c r="O1888" t="s">
        <v>71</v>
      </c>
      <c r="P1888">
        <v>0</v>
      </c>
      <c r="Q1888" t="s">
        <v>71</v>
      </c>
      <c r="R1888">
        <v>0</v>
      </c>
      <c r="S1888" t="s">
        <v>71</v>
      </c>
      <c r="T1888">
        <v>0</v>
      </c>
      <c r="U1888" t="s">
        <v>71</v>
      </c>
      <c r="V1888">
        <v>0</v>
      </c>
      <c r="W1888" t="s">
        <v>71</v>
      </c>
      <c r="X1888">
        <v>0</v>
      </c>
      <c r="Y1888">
        <v>9.5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110</v>
      </c>
      <c r="AF1888">
        <v>92</v>
      </c>
      <c r="AG1888">
        <v>178</v>
      </c>
      <c r="AI1888">
        <v>1E-3</v>
      </c>
      <c r="AK1888" t="s">
        <v>5281</v>
      </c>
      <c r="AL1888" t="s">
        <v>6150</v>
      </c>
      <c r="AM1888">
        <v>200000</v>
      </c>
      <c r="AN1888" t="s">
        <v>97</v>
      </c>
      <c r="AO1888">
        <v>1</v>
      </c>
      <c r="AP1888">
        <v>0</v>
      </c>
      <c r="AQ1888">
        <v>16666.666666666668</v>
      </c>
      <c r="AR1888" t="s">
        <v>6151</v>
      </c>
      <c r="AS1888" t="s">
        <v>75</v>
      </c>
      <c r="AX1888" t="s">
        <v>76</v>
      </c>
      <c r="AY1888" t="s">
        <v>71</v>
      </c>
      <c r="AZ1888">
        <v>0</v>
      </c>
      <c r="BA1888" t="s">
        <v>71</v>
      </c>
      <c r="BB1888">
        <v>0</v>
      </c>
      <c r="BD1888">
        <v>9.5</v>
      </c>
    </row>
    <row r="1889" spans="1:56" x14ac:dyDescent="0.15">
      <c r="A1889" s="4" t="str">
        <f>HYPERLINK("https://ibp.a2mac1.com/costing(costing:projects/details/9760/part/8415929)","Door Striker")</f>
        <v>Door Striker</v>
      </c>
      <c r="B1889">
        <v>8415929</v>
      </c>
      <c r="C1889">
        <v>8415653</v>
      </c>
      <c r="D1889" t="s">
        <v>6124</v>
      </c>
      <c r="E1889">
        <v>7.4700859999999994E-2</v>
      </c>
      <c r="F1889">
        <v>0</v>
      </c>
      <c r="G1889">
        <v>0</v>
      </c>
      <c r="H1889">
        <v>5.8283088571428566E-4</v>
      </c>
      <c r="I1889" t="s">
        <v>176</v>
      </c>
      <c r="J1889">
        <v>2.8731099999999999E-3</v>
      </c>
      <c r="K1889">
        <v>7.8156800885714292E-2</v>
      </c>
      <c r="L1889">
        <v>1.0041604516457341E-2</v>
      </c>
      <c r="M1889">
        <v>6.0249627098744048E-2</v>
      </c>
      <c r="N1889">
        <v>0.13840642798445832</v>
      </c>
      <c r="O1889" t="s">
        <v>177</v>
      </c>
      <c r="P1889">
        <v>4.6894080531428572E-3</v>
      </c>
      <c r="Q1889" t="s">
        <v>177</v>
      </c>
      <c r="R1889">
        <v>3.6149776259246425E-3</v>
      </c>
      <c r="S1889" t="s">
        <v>178</v>
      </c>
      <c r="T1889">
        <v>1.6608771358134999E-2</v>
      </c>
      <c r="U1889" t="s">
        <v>90</v>
      </c>
      <c r="V1889">
        <v>0</v>
      </c>
      <c r="W1889" t="s">
        <v>90</v>
      </c>
      <c r="X1889">
        <v>0</v>
      </c>
      <c r="Y1889">
        <v>0.16331958502166083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33</v>
      </c>
      <c r="AF1889">
        <v>50</v>
      </c>
      <c r="AG1889">
        <v>68</v>
      </c>
      <c r="AI1889">
        <v>9.4E-2</v>
      </c>
      <c r="AK1889" t="s">
        <v>5305</v>
      </c>
      <c r="AL1889" t="s">
        <v>96</v>
      </c>
      <c r="AM1889">
        <v>200000</v>
      </c>
      <c r="AN1889" t="s">
        <v>97</v>
      </c>
      <c r="AO1889">
        <v>1</v>
      </c>
      <c r="AP1889">
        <v>0</v>
      </c>
      <c r="AQ1889">
        <v>16666.666666666668</v>
      </c>
      <c r="AR1889" t="s">
        <v>6156</v>
      </c>
      <c r="AS1889" t="s">
        <v>75</v>
      </c>
      <c r="AX1889" t="s">
        <v>76</v>
      </c>
      <c r="AY1889" t="s">
        <v>176</v>
      </c>
      <c r="AZ1889">
        <v>0</v>
      </c>
      <c r="BA1889" t="s">
        <v>176</v>
      </c>
      <c r="BB1889">
        <v>0</v>
      </c>
    </row>
    <row r="1890" spans="1:56" x14ac:dyDescent="0.15">
      <c r="A1890" s="4" t="str">
        <f>HYPERLINK("https://ibp.a2mac1.com/costing(costing:projects/details/9760/part/8416280)","Glas Panel")</f>
        <v>Glas Panel</v>
      </c>
      <c r="B1890">
        <v>8416280</v>
      </c>
      <c r="C1890">
        <v>8415935</v>
      </c>
      <c r="E1890">
        <v>10.904400000000001</v>
      </c>
      <c r="F1890">
        <v>0</v>
      </c>
      <c r="G1890">
        <v>0</v>
      </c>
      <c r="H1890">
        <v>5.5176264000000003E-2</v>
      </c>
      <c r="I1890" t="s">
        <v>176</v>
      </c>
      <c r="J1890">
        <v>0.38165399999999999</v>
      </c>
      <c r="K1890">
        <v>11.341230264</v>
      </c>
      <c r="L1890">
        <v>1.325155021220132</v>
      </c>
      <c r="M1890">
        <v>7.9509301273207917</v>
      </c>
      <c r="N1890">
        <v>19.292160391320792</v>
      </c>
      <c r="O1890" t="s">
        <v>90</v>
      </c>
      <c r="P1890">
        <v>0</v>
      </c>
      <c r="Q1890" t="s">
        <v>90</v>
      </c>
      <c r="R1890">
        <v>0</v>
      </c>
      <c r="S1890" t="s">
        <v>90</v>
      </c>
      <c r="T1890">
        <v>0</v>
      </c>
      <c r="U1890" t="s">
        <v>90</v>
      </c>
      <c r="V1890">
        <v>0</v>
      </c>
      <c r="W1890" t="s">
        <v>90</v>
      </c>
      <c r="X1890">
        <v>0</v>
      </c>
      <c r="Y1890">
        <v>19.292160391320792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K1890" t="s">
        <v>272</v>
      </c>
      <c r="AM1890">
        <v>200000</v>
      </c>
      <c r="AN1890" t="s">
        <v>73</v>
      </c>
      <c r="AO1890">
        <v>1</v>
      </c>
      <c r="AP1890">
        <v>0</v>
      </c>
      <c r="AQ1890">
        <v>16666.666666666668</v>
      </c>
      <c r="AR1890" t="s">
        <v>9</v>
      </c>
      <c r="AS1890" t="s">
        <v>75</v>
      </c>
      <c r="AX1890" t="s">
        <v>76</v>
      </c>
      <c r="AY1890" t="s">
        <v>176</v>
      </c>
      <c r="AZ1890">
        <v>0</v>
      </c>
      <c r="BA1890" t="s">
        <v>176</v>
      </c>
      <c r="BB1890">
        <v>0</v>
      </c>
    </row>
    <row r="1891" spans="1:56" x14ac:dyDescent="0.15">
      <c r="A1891" s="4" t="str">
        <f>HYPERLINK("https://ibp.a2mac1.com/costing(costing:projects/details/9760/part/8415933)","Window Regulator")</f>
        <v>Window Regulator</v>
      </c>
      <c r="B1891">
        <v>8415933</v>
      </c>
      <c r="C1891">
        <v>8415654</v>
      </c>
      <c r="D1891" t="s">
        <v>6167</v>
      </c>
      <c r="E1891">
        <v>7.25</v>
      </c>
      <c r="F1891">
        <v>0</v>
      </c>
      <c r="G1891">
        <v>0</v>
      </c>
      <c r="H1891">
        <v>0</v>
      </c>
      <c r="I1891" t="s">
        <v>71</v>
      </c>
      <c r="J1891">
        <v>0</v>
      </c>
      <c r="K1891">
        <v>7.25</v>
      </c>
      <c r="L1891">
        <v>0</v>
      </c>
      <c r="M1891">
        <v>0</v>
      </c>
      <c r="N1891">
        <v>7.25</v>
      </c>
      <c r="O1891" t="s">
        <v>71</v>
      </c>
      <c r="P1891">
        <v>0</v>
      </c>
      <c r="Q1891" t="s">
        <v>71</v>
      </c>
      <c r="R1891">
        <v>0</v>
      </c>
      <c r="S1891" t="s">
        <v>71</v>
      </c>
      <c r="T1891">
        <v>0</v>
      </c>
      <c r="U1891" t="s">
        <v>71</v>
      </c>
      <c r="V1891">
        <v>0</v>
      </c>
      <c r="W1891" t="s">
        <v>71</v>
      </c>
      <c r="X1891">
        <v>0</v>
      </c>
      <c r="Y1891">
        <v>7.25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53</v>
      </c>
      <c r="AF1891">
        <v>415</v>
      </c>
      <c r="AG1891">
        <v>526</v>
      </c>
      <c r="AI1891">
        <v>0.99399999999999999</v>
      </c>
      <c r="AK1891" t="s">
        <v>5281</v>
      </c>
      <c r="AL1891" t="s">
        <v>6168</v>
      </c>
      <c r="AM1891">
        <v>200000</v>
      </c>
      <c r="AN1891" t="s">
        <v>97</v>
      </c>
      <c r="AO1891">
        <v>1</v>
      </c>
      <c r="AP1891">
        <v>0</v>
      </c>
      <c r="AQ1891">
        <v>16666.666666666668</v>
      </c>
      <c r="AR1891" t="s">
        <v>6169</v>
      </c>
      <c r="AS1891" t="s">
        <v>75</v>
      </c>
      <c r="AX1891" t="s">
        <v>76</v>
      </c>
      <c r="AY1891" t="s">
        <v>71</v>
      </c>
      <c r="AZ1891">
        <v>0</v>
      </c>
      <c r="BA1891" t="s">
        <v>71</v>
      </c>
      <c r="BB1891">
        <v>0</v>
      </c>
      <c r="BD1891">
        <v>7.25</v>
      </c>
    </row>
    <row r="1892" spans="1:56" x14ac:dyDescent="0.15">
      <c r="A1892" s="4" t="str">
        <f>HYPERLINK("https://ibp.a2mac1.com/costing(costing:projects/details/9760/part/8416281)","On Body")</f>
        <v>On Body</v>
      </c>
      <c r="B1892">
        <v>8416281</v>
      </c>
      <c r="C1892">
        <v>8415939</v>
      </c>
      <c r="E1892">
        <v>3.9120183184210524</v>
      </c>
      <c r="F1892">
        <v>0</v>
      </c>
      <c r="G1892">
        <v>0</v>
      </c>
      <c r="H1892">
        <v>8.0817789894736848E-3</v>
      </c>
      <c r="I1892" t="s">
        <v>176</v>
      </c>
      <c r="J1892">
        <v>0.13731177894736843</v>
      </c>
      <c r="K1892">
        <v>4.0574118763578948</v>
      </c>
      <c r="L1892">
        <v>0.12610470940868315</v>
      </c>
      <c r="M1892">
        <v>0.75662825645209886</v>
      </c>
      <c r="N1892">
        <v>4.8140401328099935</v>
      </c>
      <c r="O1892" t="s">
        <v>177</v>
      </c>
      <c r="P1892">
        <v>0.24344471258147368</v>
      </c>
      <c r="Q1892" t="s">
        <v>177</v>
      </c>
      <c r="R1892">
        <v>4.539769538712593E-2</v>
      </c>
      <c r="S1892" t="s">
        <v>178</v>
      </c>
      <c r="T1892">
        <v>0.57768481593719923</v>
      </c>
      <c r="U1892" t="s">
        <v>90</v>
      </c>
      <c r="V1892">
        <v>0</v>
      </c>
      <c r="W1892" t="s">
        <v>90</v>
      </c>
      <c r="X1892">
        <v>0</v>
      </c>
      <c r="Y1892">
        <v>5.6805673567157928</v>
      </c>
      <c r="Z1892">
        <v>0</v>
      </c>
      <c r="AA1892">
        <v>0</v>
      </c>
      <c r="AB1892">
        <v>0</v>
      </c>
      <c r="AC1892">
        <v>0</v>
      </c>
      <c r="AD1892">
        <v>0</v>
      </c>
      <c r="AF1892">
        <v>33</v>
      </c>
      <c r="AG1892">
        <v>32</v>
      </c>
      <c r="AI1892">
        <v>1.47</v>
      </c>
      <c r="AK1892" t="s">
        <v>5305</v>
      </c>
      <c r="AL1892" t="s">
        <v>4828</v>
      </c>
      <c r="AM1892">
        <v>200000</v>
      </c>
      <c r="AN1892" t="s">
        <v>97</v>
      </c>
      <c r="AO1892">
        <v>1</v>
      </c>
      <c r="AP1892">
        <v>0</v>
      </c>
      <c r="AQ1892">
        <v>16666.666666666668</v>
      </c>
      <c r="AR1892" t="s">
        <v>6180</v>
      </c>
      <c r="AS1892" t="s">
        <v>75</v>
      </c>
      <c r="AX1892" t="s">
        <v>76</v>
      </c>
      <c r="AY1892" t="s">
        <v>176</v>
      </c>
      <c r="AZ1892">
        <v>0</v>
      </c>
      <c r="BA1892" t="s">
        <v>176</v>
      </c>
      <c r="BB1892">
        <v>0</v>
      </c>
    </row>
    <row r="1893" spans="1:56" x14ac:dyDescent="0.15">
      <c r="A1893" s="4" t="str">
        <f>HYPERLINK("https://ibp.a2mac1.com/costing(costing:projects/details/9760/part/8416282)","On Door")</f>
        <v>On Door</v>
      </c>
      <c r="B1893">
        <v>8416282</v>
      </c>
      <c r="C1893">
        <v>8415939</v>
      </c>
      <c r="E1893">
        <v>0.63794658900000001</v>
      </c>
      <c r="F1893">
        <v>0</v>
      </c>
      <c r="G1893">
        <v>0</v>
      </c>
      <c r="H1893">
        <v>6.6512727073684207E-4</v>
      </c>
      <c r="I1893" t="s">
        <v>176</v>
      </c>
      <c r="J1893">
        <v>2.2384090842105263E-2</v>
      </c>
      <c r="K1893">
        <v>0.66099580711284212</v>
      </c>
      <c r="L1893">
        <v>0.11031192108116587</v>
      </c>
      <c r="M1893">
        <v>0.66187152648699521</v>
      </c>
      <c r="N1893">
        <v>1.3228673335998373</v>
      </c>
      <c r="O1893" t="s">
        <v>177</v>
      </c>
      <c r="P1893">
        <v>3.9659748426770523E-2</v>
      </c>
      <c r="Q1893" t="s">
        <v>177</v>
      </c>
      <c r="R1893">
        <v>3.9712291589219711E-2</v>
      </c>
      <c r="S1893" t="s">
        <v>178</v>
      </c>
      <c r="T1893">
        <v>0.15874408003198048</v>
      </c>
      <c r="U1893" t="s">
        <v>90</v>
      </c>
      <c r="V1893">
        <v>0</v>
      </c>
      <c r="W1893" t="s">
        <v>90</v>
      </c>
      <c r="X1893">
        <v>0</v>
      </c>
      <c r="Y1893">
        <v>1.560983453647808</v>
      </c>
      <c r="Z1893">
        <v>0</v>
      </c>
      <c r="AA1893">
        <v>0</v>
      </c>
      <c r="AB1893">
        <v>0</v>
      </c>
      <c r="AC1893">
        <v>0</v>
      </c>
      <c r="AD1893">
        <v>0</v>
      </c>
      <c r="AI1893">
        <v>0.218</v>
      </c>
      <c r="AK1893" t="s">
        <v>5305</v>
      </c>
      <c r="AL1893" t="s">
        <v>289</v>
      </c>
      <c r="AM1893">
        <v>200000</v>
      </c>
      <c r="AN1893" t="s">
        <v>97</v>
      </c>
      <c r="AO1893">
        <v>1</v>
      </c>
      <c r="AP1893">
        <v>0</v>
      </c>
      <c r="AQ1893">
        <v>16666.666666666668</v>
      </c>
      <c r="AR1893" t="s">
        <v>6185</v>
      </c>
      <c r="AS1893" t="s">
        <v>75</v>
      </c>
      <c r="AX1893" t="s">
        <v>76</v>
      </c>
      <c r="AY1893" t="s">
        <v>176</v>
      </c>
      <c r="AZ1893">
        <v>0</v>
      </c>
      <c r="BA1893" t="s">
        <v>176</v>
      </c>
      <c r="BB1893">
        <v>0</v>
      </c>
    </row>
    <row r="1894" spans="1:56" x14ac:dyDescent="0.15">
      <c r="A1894" s="4" t="str">
        <f>HYPERLINK("https://ibp.a2mac1.com/costing(costing:projects/details/9760/part/8416283)","On Door Front")</f>
        <v>On Door Front</v>
      </c>
      <c r="B1894">
        <v>8416283</v>
      </c>
      <c r="C1894">
        <v>8415939</v>
      </c>
      <c r="E1894">
        <v>0.30273557184210526</v>
      </c>
      <c r="F1894">
        <v>0</v>
      </c>
      <c r="G1894">
        <v>0</v>
      </c>
      <c r="H1894">
        <v>3.1692927157894735E-4</v>
      </c>
      <c r="I1894" t="s">
        <v>176</v>
      </c>
      <c r="J1894">
        <v>1.0665888947368422E-2</v>
      </c>
      <c r="K1894">
        <v>0.31371839006105262</v>
      </c>
      <c r="L1894">
        <v>0.11031192108116587</v>
      </c>
      <c r="M1894">
        <v>0.66187152648699521</v>
      </c>
      <c r="N1894">
        <v>0.97558991654804783</v>
      </c>
      <c r="O1894" t="s">
        <v>177</v>
      </c>
      <c r="P1894">
        <v>1.8823103403663159E-2</v>
      </c>
      <c r="Q1894" t="s">
        <v>177</v>
      </c>
      <c r="R1894">
        <v>3.9712291589219711E-2</v>
      </c>
      <c r="S1894" t="s">
        <v>178</v>
      </c>
      <c r="T1894">
        <v>0.11707078998576574</v>
      </c>
      <c r="U1894" t="s">
        <v>90</v>
      </c>
      <c r="V1894">
        <v>0</v>
      </c>
      <c r="W1894" t="s">
        <v>90</v>
      </c>
      <c r="X1894">
        <v>0</v>
      </c>
      <c r="Y1894">
        <v>1.1511961015266965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17</v>
      </c>
      <c r="AF1894">
        <v>26</v>
      </c>
      <c r="AG1894">
        <v>740</v>
      </c>
      <c r="AI1894">
        <v>0.113</v>
      </c>
      <c r="AK1894" t="s">
        <v>5305</v>
      </c>
      <c r="AL1894" t="s">
        <v>5400</v>
      </c>
      <c r="AM1894">
        <v>200000</v>
      </c>
      <c r="AN1894" t="s">
        <v>97</v>
      </c>
      <c r="AO1894">
        <v>1</v>
      </c>
      <c r="AP1894">
        <v>0</v>
      </c>
      <c r="AQ1894">
        <v>16666.666666666668</v>
      </c>
      <c r="AR1894" t="s">
        <v>6191</v>
      </c>
      <c r="AS1894" t="s">
        <v>75</v>
      </c>
      <c r="AX1894" t="s">
        <v>76</v>
      </c>
      <c r="AY1894" t="s">
        <v>176</v>
      </c>
      <c r="AZ1894">
        <v>0</v>
      </c>
      <c r="BA1894" t="s">
        <v>176</v>
      </c>
      <c r="BB1894">
        <v>0</v>
      </c>
    </row>
    <row r="1895" spans="1:56" x14ac:dyDescent="0.15">
      <c r="A1895" s="4" t="str">
        <f>HYPERLINK("https://ibp.a2mac1.com/costing(costing:projects/details/9760/part/8415936)","Interior Weatherstrip")</f>
        <v>Interior Weatherstrip</v>
      </c>
      <c r="B1895">
        <v>8415936</v>
      </c>
      <c r="C1895">
        <v>8415655</v>
      </c>
      <c r="E1895">
        <v>1.1226339921052633</v>
      </c>
      <c r="F1895">
        <v>0</v>
      </c>
      <c r="G1895">
        <v>0</v>
      </c>
      <c r="H1895">
        <v>1.1737034947368421E-3</v>
      </c>
      <c r="I1895" t="s">
        <v>176</v>
      </c>
      <c r="J1895">
        <v>3.9499636842105265E-2</v>
      </c>
      <c r="K1895">
        <v>1.1633073324421053</v>
      </c>
      <c r="L1895">
        <v>4.918855572128588E-2</v>
      </c>
      <c r="M1895">
        <v>0.29513133432771527</v>
      </c>
      <c r="N1895">
        <v>1.4584386667698206</v>
      </c>
      <c r="O1895" t="s">
        <v>177</v>
      </c>
      <c r="P1895">
        <v>6.9798439946526319E-2</v>
      </c>
      <c r="Q1895" t="s">
        <v>177</v>
      </c>
      <c r="R1895">
        <v>1.7707880059662916E-2</v>
      </c>
      <c r="S1895" t="s">
        <v>178</v>
      </c>
      <c r="T1895">
        <v>0.17501264001237846</v>
      </c>
      <c r="U1895" t="s">
        <v>90</v>
      </c>
      <c r="V1895">
        <v>0</v>
      </c>
      <c r="W1895" t="s">
        <v>90</v>
      </c>
      <c r="X1895">
        <v>0</v>
      </c>
      <c r="Y1895">
        <v>1.7209576267883882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28</v>
      </c>
      <c r="AF1895">
        <v>975</v>
      </c>
      <c r="AG1895">
        <v>135</v>
      </c>
      <c r="AI1895">
        <v>0.40500000000000003</v>
      </c>
      <c r="AK1895" t="s">
        <v>5305</v>
      </c>
      <c r="AL1895" t="s">
        <v>5400</v>
      </c>
      <c r="AM1895">
        <v>200000</v>
      </c>
      <c r="AN1895" t="s">
        <v>97</v>
      </c>
      <c r="AO1895">
        <v>1</v>
      </c>
      <c r="AP1895">
        <v>0</v>
      </c>
      <c r="AQ1895">
        <v>16666.666666666668</v>
      </c>
      <c r="AR1895" t="s">
        <v>6197</v>
      </c>
      <c r="AS1895" t="s">
        <v>75</v>
      </c>
      <c r="AX1895" t="s">
        <v>76</v>
      </c>
      <c r="AY1895" t="s">
        <v>176</v>
      </c>
      <c r="AZ1895">
        <v>0</v>
      </c>
      <c r="BA1895" t="s">
        <v>176</v>
      </c>
      <c r="BB1895">
        <v>0</v>
      </c>
    </row>
    <row r="1896" spans="1:56" x14ac:dyDescent="0.15">
      <c r="A1896" s="4" t="str">
        <f>HYPERLINK("https://ibp.a2mac1.com/costing(costing:projects/details/9760/part/8415937)","Exterior Weatherstrip")</f>
        <v>Exterior Weatherstrip</v>
      </c>
      <c r="B1896">
        <v>8415937</v>
      </c>
      <c r="C1896">
        <v>8415655</v>
      </c>
      <c r="E1896">
        <v>0.71533903249999997</v>
      </c>
      <c r="F1896">
        <v>0</v>
      </c>
      <c r="G1896">
        <v>0</v>
      </c>
      <c r="H1896">
        <v>7.4889321684210529E-4</v>
      </c>
      <c r="I1896" t="s">
        <v>176</v>
      </c>
      <c r="J1896">
        <v>2.5203137105263156E-2</v>
      </c>
      <c r="K1896">
        <v>0.74129106282210522</v>
      </c>
      <c r="L1896">
        <v>3.696388264930988E-2</v>
      </c>
      <c r="M1896">
        <v>0.22178329589585927</v>
      </c>
      <c r="N1896">
        <v>0.96307435871796454</v>
      </c>
      <c r="O1896" t="s">
        <v>177</v>
      </c>
      <c r="P1896">
        <v>4.4477463769326313E-2</v>
      </c>
      <c r="Q1896" t="s">
        <v>177</v>
      </c>
      <c r="R1896">
        <v>1.3306997753751557E-2</v>
      </c>
      <c r="S1896" t="s">
        <v>178</v>
      </c>
      <c r="T1896">
        <v>0.11556892304615575</v>
      </c>
      <c r="U1896" t="s">
        <v>90</v>
      </c>
      <c r="V1896">
        <v>0</v>
      </c>
      <c r="W1896" t="s">
        <v>90</v>
      </c>
      <c r="X1896">
        <v>0</v>
      </c>
      <c r="Y1896">
        <v>1.1364277432871981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23</v>
      </c>
      <c r="AF1896">
        <v>975</v>
      </c>
      <c r="AG1896">
        <v>52</v>
      </c>
      <c r="AI1896">
        <v>0.26100000000000001</v>
      </c>
      <c r="AK1896" t="s">
        <v>5305</v>
      </c>
      <c r="AL1896" t="s">
        <v>5400</v>
      </c>
      <c r="AM1896">
        <v>200000</v>
      </c>
      <c r="AN1896" t="s">
        <v>97</v>
      </c>
      <c r="AO1896">
        <v>1</v>
      </c>
      <c r="AP1896">
        <v>0</v>
      </c>
      <c r="AQ1896">
        <v>16666.666666666668</v>
      </c>
      <c r="AR1896" t="s">
        <v>6202</v>
      </c>
      <c r="AS1896" t="s">
        <v>75</v>
      </c>
      <c r="AX1896" t="s">
        <v>76</v>
      </c>
      <c r="AY1896" t="s">
        <v>176</v>
      </c>
      <c r="AZ1896">
        <v>0</v>
      </c>
      <c r="BA1896" t="s">
        <v>176</v>
      </c>
      <c r="BB1896">
        <v>0</v>
      </c>
    </row>
    <row r="1897" spans="1:56" x14ac:dyDescent="0.15">
      <c r="A1897" s="4" t="str">
        <f>HYPERLINK("https://ibp.a2mac1.com/costing(costing:projects/details/9760/part/8415938)","2nd Exterior Weatherstrip")</f>
        <v>2nd Exterior Weatherstrip</v>
      </c>
      <c r="B1897">
        <v>8415938</v>
      </c>
      <c r="C1897">
        <v>8415655</v>
      </c>
      <c r="E1897">
        <v>0.17690338931319882</v>
      </c>
      <c r="F1897">
        <v>0</v>
      </c>
      <c r="G1897">
        <v>0</v>
      </c>
      <c r="H1897">
        <v>1.8708249383675253E-4</v>
      </c>
      <c r="I1897" t="s">
        <v>176</v>
      </c>
      <c r="J1897">
        <v>6.2960454656599413E-3</v>
      </c>
      <c r="K1897">
        <v>0.1833865172726955</v>
      </c>
      <c r="L1897">
        <v>3.4581168742771451E-2</v>
      </c>
      <c r="M1897">
        <v>0.20748701245662871</v>
      </c>
      <c r="N1897">
        <v>0.39087352972932421</v>
      </c>
      <c r="O1897" t="s">
        <v>90</v>
      </c>
      <c r="P1897">
        <v>0</v>
      </c>
      <c r="Q1897" t="s">
        <v>90</v>
      </c>
      <c r="R1897">
        <v>0</v>
      </c>
      <c r="S1897" t="s">
        <v>90</v>
      </c>
      <c r="T1897">
        <v>0</v>
      </c>
      <c r="U1897" t="s">
        <v>90</v>
      </c>
      <c r="V1897">
        <v>0</v>
      </c>
      <c r="W1897" t="s">
        <v>90</v>
      </c>
      <c r="X1897">
        <v>0</v>
      </c>
      <c r="Y1897">
        <v>0.39087352972932421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6</v>
      </c>
      <c r="AF1897">
        <v>975</v>
      </c>
      <c r="AG1897">
        <v>42</v>
      </c>
      <c r="AI1897">
        <v>7.1999999999999995E-2</v>
      </c>
      <c r="AK1897" t="s">
        <v>6206</v>
      </c>
      <c r="AL1897" t="s">
        <v>104</v>
      </c>
      <c r="AM1897">
        <v>200000</v>
      </c>
      <c r="AN1897" t="s">
        <v>73</v>
      </c>
      <c r="AO1897">
        <v>1</v>
      </c>
      <c r="AP1897">
        <v>0</v>
      </c>
      <c r="AQ1897">
        <v>16666.666666666668</v>
      </c>
      <c r="AR1897" t="s">
        <v>6207</v>
      </c>
      <c r="AS1897" t="s">
        <v>75</v>
      </c>
      <c r="AX1897" t="s">
        <v>76</v>
      </c>
      <c r="AY1897" t="s">
        <v>176</v>
      </c>
      <c r="AZ1897">
        <v>0</v>
      </c>
      <c r="BA1897" t="s">
        <v>176</v>
      </c>
      <c r="BB1897">
        <v>0</v>
      </c>
    </row>
    <row r="1898" spans="1:56" x14ac:dyDescent="0.15">
      <c r="A1898" s="4" t="str">
        <f>HYPERLINK("https://ibp.a2mac1.com/costing(costing:projects/details/9760/part/8416284)","Light")</f>
        <v>Light</v>
      </c>
      <c r="B1898">
        <v>8416284</v>
      </c>
      <c r="C1898">
        <v>8415942</v>
      </c>
      <c r="E1898">
        <v>1.88</v>
      </c>
      <c r="F1898">
        <v>0</v>
      </c>
      <c r="G1898">
        <v>0</v>
      </c>
      <c r="H1898">
        <v>0</v>
      </c>
      <c r="I1898" t="s">
        <v>71</v>
      </c>
      <c r="J1898">
        <v>0</v>
      </c>
      <c r="K1898">
        <v>1.88</v>
      </c>
      <c r="L1898">
        <v>0</v>
      </c>
      <c r="M1898">
        <v>0</v>
      </c>
      <c r="N1898">
        <v>1.88</v>
      </c>
      <c r="O1898" t="s">
        <v>71</v>
      </c>
      <c r="P1898">
        <v>0</v>
      </c>
      <c r="Q1898" t="s">
        <v>71</v>
      </c>
      <c r="R1898">
        <v>0</v>
      </c>
      <c r="S1898" t="s">
        <v>71</v>
      </c>
      <c r="T1898">
        <v>0</v>
      </c>
      <c r="U1898" t="s">
        <v>71</v>
      </c>
      <c r="V1898">
        <v>0</v>
      </c>
      <c r="W1898" t="s">
        <v>71</v>
      </c>
      <c r="X1898">
        <v>0</v>
      </c>
      <c r="Y1898">
        <v>1.88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20</v>
      </c>
      <c r="AF1898">
        <v>19</v>
      </c>
      <c r="AG1898">
        <v>25</v>
      </c>
      <c r="AI1898">
        <v>8.9999999999999993E-3</v>
      </c>
      <c r="AK1898" t="s">
        <v>288</v>
      </c>
      <c r="AL1898" t="s">
        <v>466</v>
      </c>
      <c r="AM1898">
        <v>200000</v>
      </c>
      <c r="AN1898" t="s">
        <v>97</v>
      </c>
      <c r="AO1898">
        <v>1</v>
      </c>
      <c r="AP1898">
        <v>0</v>
      </c>
      <c r="AQ1898">
        <v>16666.666666666668</v>
      </c>
      <c r="AR1898" t="s">
        <v>6211</v>
      </c>
      <c r="AS1898" t="s">
        <v>75</v>
      </c>
      <c r="AX1898" t="s">
        <v>76</v>
      </c>
      <c r="AY1898" t="s">
        <v>71</v>
      </c>
      <c r="AZ1898">
        <v>0</v>
      </c>
      <c r="BA1898" t="s">
        <v>71</v>
      </c>
      <c r="BB1898">
        <v>0</v>
      </c>
      <c r="BD1898">
        <v>1.88</v>
      </c>
    </row>
    <row r="1899" spans="1:56" x14ac:dyDescent="0.15">
      <c r="A1899" s="4" t="str">
        <f>HYPERLINK("https://ibp.a2mac1.com/costing(costing:projects/details/9760/part/8416285)","Light Diffuser/Band")</f>
        <v>Light Diffuser/Band</v>
      </c>
      <c r="B1899">
        <v>8416285</v>
      </c>
      <c r="C1899">
        <v>8415942</v>
      </c>
      <c r="E1899">
        <v>2.3778711340206187E-2</v>
      </c>
      <c r="F1899">
        <v>0</v>
      </c>
      <c r="G1899">
        <v>0</v>
      </c>
      <c r="H1899">
        <v>4.9057731958762889E-5</v>
      </c>
      <c r="I1899" t="s">
        <v>176</v>
      </c>
      <c r="J1899">
        <v>8.3350515463917528E-4</v>
      </c>
      <c r="K1899">
        <v>2.4661274226804124E-2</v>
      </c>
      <c r="L1899">
        <v>1.1731817162595764E-2</v>
      </c>
      <c r="M1899">
        <v>7.0390902975574585E-2</v>
      </c>
      <c r="N1899">
        <v>9.5052177202378699E-2</v>
      </c>
      <c r="O1899" t="s">
        <v>177</v>
      </c>
      <c r="P1899">
        <v>1.4796764536082474E-3</v>
      </c>
      <c r="Q1899" t="s">
        <v>177</v>
      </c>
      <c r="R1899">
        <v>4.2234541785344751E-3</v>
      </c>
      <c r="S1899" t="s">
        <v>178</v>
      </c>
      <c r="T1899">
        <v>1.1406261264285445E-2</v>
      </c>
      <c r="U1899" t="s">
        <v>90</v>
      </c>
      <c r="V1899">
        <v>0</v>
      </c>
      <c r="W1899" t="s">
        <v>90</v>
      </c>
      <c r="X1899">
        <v>0</v>
      </c>
      <c r="Y1899">
        <v>0.11216156909880687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5</v>
      </c>
      <c r="AF1899">
        <v>540</v>
      </c>
      <c r="AG1899">
        <v>40</v>
      </c>
      <c r="AI1899">
        <v>1.0999999999999999E-2</v>
      </c>
      <c r="AK1899" t="s">
        <v>288</v>
      </c>
      <c r="AL1899" t="s">
        <v>5324</v>
      </c>
      <c r="AM1899">
        <v>200000</v>
      </c>
      <c r="AN1899" t="s">
        <v>97</v>
      </c>
      <c r="AO1899">
        <v>1</v>
      </c>
      <c r="AP1899">
        <v>0</v>
      </c>
      <c r="AQ1899">
        <v>16666.666666666668</v>
      </c>
      <c r="AR1899" t="s">
        <v>6215</v>
      </c>
      <c r="AS1899" t="s">
        <v>75</v>
      </c>
      <c r="AX1899" t="s">
        <v>76</v>
      </c>
      <c r="AY1899" t="s">
        <v>176</v>
      </c>
      <c r="AZ1899">
        <v>0</v>
      </c>
      <c r="BA1899" t="s">
        <v>176</v>
      </c>
      <c r="BB1899">
        <v>0</v>
      </c>
    </row>
    <row r="1900" spans="1:56" x14ac:dyDescent="0.15">
      <c r="A1900" s="4" t="str">
        <f>HYPERLINK("https://ibp.a2mac1.com/costing(costing:projects/details/9760/part/8416286)","Mood Light Diffuser Support")</f>
        <v>Mood Light Diffuser Support</v>
      </c>
      <c r="B1900">
        <v>8416286</v>
      </c>
      <c r="C1900">
        <v>8415942</v>
      </c>
      <c r="E1900">
        <v>2.6393988716494846E-2</v>
      </c>
      <c r="F1900">
        <v>0</v>
      </c>
      <c r="G1900">
        <v>0</v>
      </c>
      <c r="H1900">
        <v>5.4453296701030927E-5</v>
      </c>
      <c r="I1900" t="s">
        <v>176</v>
      </c>
      <c r="J1900">
        <v>9.2517737113402066E-4</v>
      </c>
      <c r="K1900">
        <v>2.7373619384329896E-2</v>
      </c>
      <c r="L1900">
        <v>1.1435973137028465E-2</v>
      </c>
      <c r="M1900">
        <v>6.8615838822170788E-2</v>
      </c>
      <c r="N1900">
        <v>9.5989458206500691E-2</v>
      </c>
      <c r="O1900" t="s">
        <v>177</v>
      </c>
      <c r="P1900">
        <v>1.6424171630597937E-3</v>
      </c>
      <c r="Q1900" t="s">
        <v>177</v>
      </c>
      <c r="R1900">
        <v>4.1169503293302474E-3</v>
      </c>
      <c r="S1900" t="s">
        <v>178</v>
      </c>
      <c r="T1900">
        <v>1.1518734984780083E-2</v>
      </c>
      <c r="U1900" t="s">
        <v>90</v>
      </c>
      <c r="V1900">
        <v>0</v>
      </c>
      <c r="W1900" t="s">
        <v>90</v>
      </c>
      <c r="X1900">
        <v>0</v>
      </c>
      <c r="Y1900">
        <v>0.11326756068367082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25</v>
      </c>
      <c r="AF1900">
        <v>553</v>
      </c>
      <c r="AG1900">
        <v>45</v>
      </c>
      <c r="AI1900">
        <v>2.3E-2</v>
      </c>
      <c r="AK1900" t="s">
        <v>288</v>
      </c>
      <c r="AL1900" t="s">
        <v>6221</v>
      </c>
      <c r="AM1900">
        <v>200000</v>
      </c>
      <c r="AN1900" t="s">
        <v>97</v>
      </c>
      <c r="AO1900">
        <v>1</v>
      </c>
      <c r="AP1900">
        <v>0</v>
      </c>
      <c r="AQ1900">
        <v>16666.666666666668</v>
      </c>
      <c r="AR1900" t="s">
        <v>6222</v>
      </c>
      <c r="AS1900" t="s">
        <v>75</v>
      </c>
      <c r="AX1900" t="s">
        <v>76</v>
      </c>
      <c r="AY1900" t="s">
        <v>176</v>
      </c>
      <c r="AZ1900">
        <v>0</v>
      </c>
      <c r="BA1900" t="s">
        <v>176</v>
      </c>
      <c r="BB1900">
        <v>0</v>
      </c>
    </row>
    <row r="1901" spans="1:56" x14ac:dyDescent="0.15">
      <c r="A1901" s="4" t="str">
        <f>HYPERLINK("https://ibp.a2mac1.com/costing(costing:projects/details/9760/part/8415940)","Harness")</f>
        <v>Harness</v>
      </c>
      <c r="B1901">
        <v>8415940</v>
      </c>
      <c r="C1901">
        <v>8415656</v>
      </c>
      <c r="E1901">
        <v>9.73</v>
      </c>
      <c r="F1901">
        <v>0</v>
      </c>
      <c r="G1901">
        <v>0</v>
      </c>
      <c r="H1901">
        <v>0</v>
      </c>
      <c r="I1901" t="s">
        <v>71</v>
      </c>
      <c r="J1901">
        <v>0</v>
      </c>
      <c r="K1901">
        <v>9.73</v>
      </c>
      <c r="L1901">
        <v>0</v>
      </c>
      <c r="M1901">
        <v>0</v>
      </c>
      <c r="N1901">
        <v>9.73</v>
      </c>
      <c r="O1901" t="s">
        <v>71</v>
      </c>
      <c r="P1901">
        <v>0</v>
      </c>
      <c r="Q1901" t="s">
        <v>71</v>
      </c>
      <c r="R1901">
        <v>0</v>
      </c>
      <c r="S1901" t="s">
        <v>71</v>
      </c>
      <c r="T1901">
        <v>0</v>
      </c>
      <c r="U1901" t="s">
        <v>71</v>
      </c>
      <c r="V1901">
        <v>0</v>
      </c>
      <c r="W1901" t="s">
        <v>71</v>
      </c>
      <c r="X1901">
        <v>0</v>
      </c>
      <c r="Y1901">
        <v>9.73</v>
      </c>
      <c r="Z1901">
        <v>0</v>
      </c>
      <c r="AA1901">
        <v>0</v>
      </c>
      <c r="AB1901">
        <v>0</v>
      </c>
      <c r="AC1901">
        <v>0</v>
      </c>
      <c r="AD1901">
        <v>0</v>
      </c>
      <c r="AI1901">
        <v>0.42499999999999999</v>
      </c>
      <c r="AK1901" t="s">
        <v>323</v>
      </c>
      <c r="AL1901" t="s">
        <v>3168</v>
      </c>
      <c r="AM1901">
        <v>200000</v>
      </c>
      <c r="AN1901" t="s">
        <v>97</v>
      </c>
      <c r="AO1901">
        <v>1</v>
      </c>
      <c r="AP1901">
        <v>0</v>
      </c>
      <c r="AQ1901">
        <v>16666.666666666668</v>
      </c>
      <c r="AR1901" t="s">
        <v>6224</v>
      </c>
      <c r="AS1901" t="s">
        <v>75</v>
      </c>
      <c r="AX1901" t="s">
        <v>76</v>
      </c>
      <c r="AY1901" t="s">
        <v>71</v>
      </c>
      <c r="AZ1901">
        <v>0</v>
      </c>
      <c r="BA1901" t="s">
        <v>71</v>
      </c>
      <c r="BB1901">
        <v>0</v>
      </c>
      <c r="BD1901">
        <v>9.73</v>
      </c>
    </row>
    <row r="1902" spans="1:56" x14ac:dyDescent="0.15">
      <c r="A1902" s="4" t="str">
        <f>HYPERLINK("https://ibp.a2mac1.com/costing(costing:projects/details/9760/part/8415941)","Harness Grommet")</f>
        <v>Harness Grommet</v>
      </c>
      <c r="B1902">
        <v>8415941</v>
      </c>
      <c r="C1902">
        <v>8415656</v>
      </c>
      <c r="D1902" t="s">
        <v>5338</v>
      </c>
      <c r="E1902">
        <v>0</v>
      </c>
      <c r="F1902">
        <v>0</v>
      </c>
      <c r="G1902">
        <v>0</v>
      </c>
      <c r="H1902">
        <v>0</v>
      </c>
      <c r="I1902" t="s">
        <v>176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177</v>
      </c>
      <c r="P1902">
        <v>0</v>
      </c>
      <c r="Q1902" t="s">
        <v>177</v>
      </c>
      <c r="R1902">
        <v>0</v>
      </c>
      <c r="S1902" t="s">
        <v>322</v>
      </c>
      <c r="T1902">
        <v>0</v>
      </c>
      <c r="U1902" t="s">
        <v>90</v>
      </c>
      <c r="V1902">
        <v>0</v>
      </c>
      <c r="W1902" t="s">
        <v>90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36</v>
      </c>
      <c r="AF1902">
        <v>90</v>
      </c>
      <c r="AG1902">
        <v>65</v>
      </c>
      <c r="AI1902">
        <v>1E-3</v>
      </c>
      <c r="AK1902" t="s">
        <v>323</v>
      </c>
      <c r="AL1902" t="s">
        <v>289</v>
      </c>
      <c r="AM1902">
        <v>200000</v>
      </c>
      <c r="AN1902" t="s">
        <v>97</v>
      </c>
      <c r="AO1902">
        <v>1</v>
      </c>
      <c r="AP1902">
        <v>0</v>
      </c>
      <c r="AQ1902">
        <v>16666.666666666668</v>
      </c>
      <c r="AR1902" t="s">
        <v>6225</v>
      </c>
      <c r="AS1902" t="s">
        <v>75</v>
      </c>
      <c r="AX1902" t="s">
        <v>76</v>
      </c>
      <c r="AY1902" t="s">
        <v>176</v>
      </c>
      <c r="AZ1902">
        <v>0</v>
      </c>
      <c r="BA1902" t="s">
        <v>176</v>
      </c>
      <c r="BB1902">
        <v>0</v>
      </c>
    </row>
    <row r="1903" spans="1:56" x14ac:dyDescent="0.15">
      <c r="A1903" s="4" t="str">
        <f>HYPERLINK("https://ibp.a2mac1.com/costing(costing:projects/details/9760/part/8416287)","Electric window lift control")</f>
        <v>Electric window lift control</v>
      </c>
      <c r="B1903">
        <v>8416287</v>
      </c>
      <c r="C1903">
        <v>8415943</v>
      </c>
      <c r="E1903">
        <v>1.64</v>
      </c>
      <c r="F1903">
        <v>0</v>
      </c>
      <c r="G1903">
        <v>0</v>
      </c>
      <c r="H1903">
        <v>0</v>
      </c>
      <c r="I1903" t="s">
        <v>71</v>
      </c>
      <c r="J1903">
        <v>0</v>
      </c>
      <c r="K1903">
        <v>1.64</v>
      </c>
      <c r="L1903">
        <v>0</v>
      </c>
      <c r="M1903">
        <v>0</v>
      </c>
      <c r="N1903">
        <v>1.64</v>
      </c>
      <c r="O1903" t="s">
        <v>71</v>
      </c>
      <c r="P1903">
        <v>0</v>
      </c>
      <c r="Q1903" t="s">
        <v>71</v>
      </c>
      <c r="R1903">
        <v>0</v>
      </c>
      <c r="S1903" t="s">
        <v>71</v>
      </c>
      <c r="T1903">
        <v>0</v>
      </c>
      <c r="U1903" t="s">
        <v>71</v>
      </c>
      <c r="V1903">
        <v>0</v>
      </c>
      <c r="W1903" t="s">
        <v>71</v>
      </c>
      <c r="X1903">
        <v>0</v>
      </c>
      <c r="Y1903">
        <v>1.64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47</v>
      </c>
      <c r="AF1903">
        <v>37</v>
      </c>
      <c r="AG1903">
        <v>56</v>
      </c>
      <c r="AI1903">
        <v>2.5000000000000001E-2</v>
      </c>
      <c r="AK1903" t="s">
        <v>5305</v>
      </c>
      <c r="AL1903" t="s">
        <v>466</v>
      </c>
      <c r="AM1903">
        <v>200000</v>
      </c>
      <c r="AN1903" t="s">
        <v>97</v>
      </c>
      <c r="AO1903">
        <v>1</v>
      </c>
      <c r="AP1903">
        <v>0</v>
      </c>
      <c r="AQ1903">
        <v>16666.666666666668</v>
      </c>
      <c r="AR1903" t="s">
        <v>6229</v>
      </c>
      <c r="AS1903" t="s">
        <v>75</v>
      </c>
      <c r="AX1903" t="s">
        <v>76</v>
      </c>
      <c r="AY1903" t="s">
        <v>71</v>
      </c>
      <c r="AZ1903">
        <v>0</v>
      </c>
      <c r="BA1903" t="s">
        <v>71</v>
      </c>
      <c r="BB1903">
        <v>0</v>
      </c>
      <c r="BD1903">
        <v>1.64</v>
      </c>
    </row>
    <row r="1904" spans="1:56" x14ac:dyDescent="0.15">
      <c r="A1904" s="4" t="str">
        <f>HYPERLINK("https://ibp.a2mac1.com/costing(costing:projects/details/9760/part/8416288)","Switch Support")</f>
        <v>Switch Support</v>
      </c>
      <c r="B1904">
        <v>8416288</v>
      </c>
      <c r="C1904">
        <v>8415943</v>
      </c>
      <c r="E1904">
        <v>2.1229068E-2</v>
      </c>
      <c r="F1904">
        <v>0</v>
      </c>
      <c r="G1904">
        <v>0</v>
      </c>
      <c r="H1904">
        <v>1.0768830484210526E-4</v>
      </c>
      <c r="I1904" t="s">
        <v>176</v>
      </c>
      <c r="J1904">
        <v>7.4487957894736839E-4</v>
      </c>
      <c r="K1904">
        <v>2.2081635883789474E-2</v>
      </c>
      <c r="L1904">
        <v>9.42055555662452E-5</v>
      </c>
      <c r="M1904">
        <v>5.6523333339747125E-4</v>
      </c>
      <c r="N1904">
        <v>2.2646869217186946E-2</v>
      </c>
      <c r="O1904" t="s">
        <v>177</v>
      </c>
      <c r="P1904">
        <v>1.3248981530273685E-3</v>
      </c>
      <c r="Q1904" t="s">
        <v>177</v>
      </c>
      <c r="R1904">
        <v>3.3914000003848275E-5</v>
      </c>
      <c r="S1904" t="s">
        <v>178</v>
      </c>
      <c r="T1904">
        <v>2.7176243060624333E-3</v>
      </c>
      <c r="U1904" t="s">
        <v>90</v>
      </c>
      <c r="V1904">
        <v>0</v>
      </c>
      <c r="W1904" t="s">
        <v>90</v>
      </c>
      <c r="X1904">
        <v>0</v>
      </c>
      <c r="Y1904">
        <v>2.6723305676280593E-2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26</v>
      </c>
      <c r="AF1904">
        <v>30</v>
      </c>
      <c r="AG1904">
        <v>50</v>
      </c>
      <c r="AI1904">
        <v>8.0000000000000002E-3</v>
      </c>
      <c r="AK1904" t="s">
        <v>5305</v>
      </c>
      <c r="AL1904" t="s">
        <v>403</v>
      </c>
      <c r="AM1904">
        <v>200000</v>
      </c>
      <c r="AN1904" t="s">
        <v>97</v>
      </c>
      <c r="AO1904">
        <v>1</v>
      </c>
      <c r="AP1904">
        <v>0</v>
      </c>
      <c r="AQ1904">
        <v>16666.666666666668</v>
      </c>
      <c r="AR1904" t="s">
        <v>6232</v>
      </c>
      <c r="AS1904" t="s">
        <v>75</v>
      </c>
      <c r="AX1904" t="s">
        <v>76</v>
      </c>
      <c r="AY1904" t="s">
        <v>176</v>
      </c>
      <c r="AZ1904">
        <v>0</v>
      </c>
      <c r="BA1904" t="s">
        <v>176</v>
      </c>
      <c r="BB1904">
        <v>0</v>
      </c>
    </row>
    <row r="1905" spans="1:56" x14ac:dyDescent="0.15">
      <c r="A1905" s="4" t="str">
        <f>HYPERLINK("https://ibp.a2mac1.com/costing(costing:projects/details/9760/part/8415944)","Speaker")</f>
        <v>Speaker</v>
      </c>
      <c r="B1905">
        <v>8415944</v>
      </c>
      <c r="C1905">
        <v>8415658</v>
      </c>
      <c r="E1905">
        <v>5.86</v>
      </c>
      <c r="F1905">
        <v>0</v>
      </c>
      <c r="G1905">
        <v>0</v>
      </c>
      <c r="H1905">
        <v>0</v>
      </c>
      <c r="I1905" t="s">
        <v>71</v>
      </c>
      <c r="J1905">
        <v>0</v>
      </c>
      <c r="K1905">
        <v>5.86</v>
      </c>
      <c r="L1905">
        <v>0</v>
      </c>
      <c r="M1905">
        <v>0</v>
      </c>
      <c r="N1905">
        <v>5.86</v>
      </c>
      <c r="O1905" t="s">
        <v>71</v>
      </c>
      <c r="P1905">
        <v>0</v>
      </c>
      <c r="Q1905" t="s">
        <v>71</v>
      </c>
      <c r="R1905">
        <v>0</v>
      </c>
      <c r="S1905" t="s">
        <v>71</v>
      </c>
      <c r="T1905">
        <v>0</v>
      </c>
      <c r="U1905" t="s">
        <v>71</v>
      </c>
      <c r="V1905">
        <v>0</v>
      </c>
      <c r="W1905" t="s">
        <v>71</v>
      </c>
      <c r="X1905">
        <v>0</v>
      </c>
      <c r="Y1905">
        <v>5.86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75</v>
      </c>
      <c r="AF1905">
        <v>192</v>
      </c>
      <c r="AG1905">
        <v>196</v>
      </c>
      <c r="AI1905">
        <v>0.83199999999999996</v>
      </c>
      <c r="AK1905" t="s">
        <v>284</v>
      </c>
      <c r="AL1905" t="s">
        <v>6236</v>
      </c>
      <c r="AM1905">
        <v>200000</v>
      </c>
      <c r="AN1905" t="s">
        <v>97</v>
      </c>
      <c r="AO1905">
        <v>1</v>
      </c>
      <c r="AP1905">
        <v>0</v>
      </c>
      <c r="AQ1905">
        <v>16666.666666666668</v>
      </c>
      <c r="AR1905" t="s">
        <v>6237</v>
      </c>
      <c r="AS1905" t="s">
        <v>75</v>
      </c>
      <c r="AX1905" t="s">
        <v>76</v>
      </c>
      <c r="AY1905" t="s">
        <v>71</v>
      </c>
      <c r="AZ1905">
        <v>0</v>
      </c>
      <c r="BA1905" t="s">
        <v>71</v>
      </c>
      <c r="BB1905">
        <v>0</v>
      </c>
      <c r="BD1905">
        <v>5.86</v>
      </c>
    </row>
    <row r="1906" spans="1:56" x14ac:dyDescent="0.15">
      <c r="A1906" s="4" t="str">
        <f>HYPERLINK("https://ibp.a2mac1.com/costing(costing:projects/details/9760/part/8415945)","Medium")</f>
        <v>Medium</v>
      </c>
      <c r="B1906">
        <v>8415945</v>
      </c>
      <c r="C1906">
        <v>8415658</v>
      </c>
      <c r="E1906">
        <v>3.68</v>
      </c>
      <c r="F1906">
        <v>0</v>
      </c>
      <c r="G1906">
        <v>0</v>
      </c>
      <c r="H1906">
        <v>0</v>
      </c>
      <c r="I1906" t="s">
        <v>71</v>
      </c>
      <c r="J1906">
        <v>0</v>
      </c>
      <c r="K1906">
        <v>3.68</v>
      </c>
      <c r="L1906">
        <v>0</v>
      </c>
      <c r="M1906">
        <v>0</v>
      </c>
      <c r="N1906">
        <v>3.68</v>
      </c>
      <c r="O1906" t="s">
        <v>71</v>
      </c>
      <c r="P1906">
        <v>0</v>
      </c>
      <c r="Q1906" t="s">
        <v>71</v>
      </c>
      <c r="R1906">
        <v>0</v>
      </c>
      <c r="S1906" t="s">
        <v>71</v>
      </c>
      <c r="T1906">
        <v>0</v>
      </c>
      <c r="U1906" t="s">
        <v>71</v>
      </c>
      <c r="V1906">
        <v>0</v>
      </c>
      <c r="W1906" t="s">
        <v>71</v>
      </c>
      <c r="X1906">
        <v>0</v>
      </c>
      <c r="Y1906">
        <v>3.68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38</v>
      </c>
      <c r="AF1906">
        <v>86</v>
      </c>
      <c r="AG1906">
        <v>124</v>
      </c>
      <c r="AI1906">
        <v>9.9000000000000005E-2</v>
      </c>
      <c r="AK1906" t="s">
        <v>272</v>
      </c>
      <c r="AL1906" t="s">
        <v>5187</v>
      </c>
      <c r="AM1906">
        <v>200000</v>
      </c>
      <c r="AN1906" t="s">
        <v>97</v>
      </c>
      <c r="AO1906">
        <v>1</v>
      </c>
      <c r="AP1906">
        <v>0</v>
      </c>
      <c r="AQ1906">
        <v>16666.666666666668</v>
      </c>
      <c r="AR1906" t="s">
        <v>6238</v>
      </c>
      <c r="AS1906" t="s">
        <v>75</v>
      </c>
      <c r="AX1906" t="s">
        <v>76</v>
      </c>
      <c r="AY1906" t="s">
        <v>71</v>
      </c>
      <c r="AZ1906">
        <v>0</v>
      </c>
      <c r="BA1906" t="s">
        <v>71</v>
      </c>
      <c r="BB1906">
        <v>0</v>
      </c>
      <c r="BD1906">
        <v>3.68</v>
      </c>
    </row>
    <row r="1907" spans="1:56" x14ac:dyDescent="0.15">
      <c r="A1907" s="4" t="str">
        <f>HYPERLINK("https://ibp.a2mac1.com/costing(costing:projects/details/9760/part/8415946)","Effort Guide")</f>
        <v>Effort Guide</v>
      </c>
      <c r="B1907">
        <v>8415946</v>
      </c>
      <c r="C1907">
        <v>8415659</v>
      </c>
      <c r="D1907" t="s">
        <v>6241</v>
      </c>
      <c r="E1907">
        <v>0.06</v>
      </c>
      <c r="F1907">
        <v>0</v>
      </c>
      <c r="G1907">
        <v>0</v>
      </c>
      <c r="H1907">
        <v>0</v>
      </c>
      <c r="I1907" t="s">
        <v>71</v>
      </c>
      <c r="J1907">
        <v>0</v>
      </c>
      <c r="K1907">
        <v>0.06</v>
      </c>
      <c r="L1907">
        <v>0</v>
      </c>
      <c r="M1907">
        <v>0</v>
      </c>
      <c r="N1907">
        <v>0.06</v>
      </c>
      <c r="O1907" t="s">
        <v>71</v>
      </c>
      <c r="P1907">
        <v>0</v>
      </c>
      <c r="Q1907" t="s">
        <v>71</v>
      </c>
      <c r="R1907">
        <v>0</v>
      </c>
      <c r="S1907" t="s">
        <v>71</v>
      </c>
      <c r="T1907">
        <v>0</v>
      </c>
      <c r="U1907" t="s">
        <v>71</v>
      </c>
      <c r="V1907">
        <v>0</v>
      </c>
      <c r="W1907" t="s">
        <v>71</v>
      </c>
      <c r="X1907">
        <v>0</v>
      </c>
      <c r="Y1907">
        <v>0.06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37</v>
      </c>
      <c r="AF1907">
        <v>24</v>
      </c>
      <c r="AG1907">
        <v>24</v>
      </c>
      <c r="AI1907">
        <v>3.3000000000000002E-2</v>
      </c>
      <c r="AK1907" t="s">
        <v>272</v>
      </c>
      <c r="AL1907" t="s">
        <v>96</v>
      </c>
      <c r="AM1907">
        <v>200000</v>
      </c>
      <c r="AN1907" t="s">
        <v>73</v>
      </c>
      <c r="AO1907">
        <v>1</v>
      </c>
      <c r="AP1907">
        <v>0</v>
      </c>
      <c r="AQ1907">
        <v>16666.666666666668</v>
      </c>
      <c r="AR1907" t="s">
        <v>6242</v>
      </c>
      <c r="AS1907" t="s">
        <v>75</v>
      </c>
      <c r="AX1907" t="s">
        <v>76</v>
      </c>
      <c r="AY1907" t="s">
        <v>71</v>
      </c>
      <c r="AZ1907">
        <v>0</v>
      </c>
      <c r="BA1907" t="s">
        <v>71</v>
      </c>
      <c r="BB1907">
        <v>0</v>
      </c>
      <c r="BD1907">
        <v>0.06</v>
      </c>
    </row>
    <row r="1908" spans="1:56" x14ac:dyDescent="0.15">
      <c r="A1908" s="4" t="str">
        <f>HYPERLINK("https://ibp.a2mac1.com/costing(costing:projects/details/9760/part/8415947)","Cover Shock Guide")</f>
        <v>Cover Shock Guide</v>
      </c>
      <c r="B1908">
        <v>8415947</v>
      </c>
      <c r="C1908">
        <v>8415659</v>
      </c>
      <c r="E1908">
        <v>0.1</v>
      </c>
      <c r="F1908">
        <v>0</v>
      </c>
      <c r="G1908">
        <v>0</v>
      </c>
      <c r="H1908">
        <v>0</v>
      </c>
      <c r="I1908" t="s">
        <v>71</v>
      </c>
      <c r="J1908">
        <v>0</v>
      </c>
      <c r="K1908">
        <v>0.1</v>
      </c>
      <c r="L1908">
        <v>0</v>
      </c>
      <c r="M1908">
        <v>0</v>
      </c>
      <c r="N1908">
        <v>0.1</v>
      </c>
      <c r="O1908" t="s">
        <v>71</v>
      </c>
      <c r="P1908">
        <v>0</v>
      </c>
      <c r="Q1908" t="s">
        <v>71</v>
      </c>
      <c r="R1908">
        <v>0</v>
      </c>
      <c r="S1908" t="s">
        <v>71</v>
      </c>
      <c r="T1908">
        <v>0</v>
      </c>
      <c r="U1908" t="s">
        <v>71</v>
      </c>
      <c r="V1908">
        <v>0</v>
      </c>
      <c r="W1908" t="s">
        <v>71</v>
      </c>
      <c r="X1908">
        <v>0</v>
      </c>
      <c r="Y1908">
        <v>0.1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37</v>
      </c>
      <c r="AF1908">
        <v>45</v>
      </c>
      <c r="AG1908">
        <v>45</v>
      </c>
      <c r="AI1908">
        <v>5.0000000000000001E-3</v>
      </c>
      <c r="AK1908" t="s">
        <v>272</v>
      </c>
      <c r="AL1908" t="s">
        <v>6243</v>
      </c>
      <c r="AM1908">
        <v>200000</v>
      </c>
      <c r="AN1908" t="s">
        <v>73</v>
      </c>
      <c r="AO1908">
        <v>1</v>
      </c>
      <c r="AP1908">
        <v>0</v>
      </c>
      <c r="AQ1908">
        <v>16666.666666666668</v>
      </c>
      <c r="AR1908" t="s">
        <v>6244</v>
      </c>
      <c r="AS1908" t="s">
        <v>75</v>
      </c>
      <c r="AX1908" t="s">
        <v>76</v>
      </c>
      <c r="AY1908" t="s">
        <v>71</v>
      </c>
      <c r="AZ1908">
        <v>0</v>
      </c>
      <c r="BA1908" t="s">
        <v>71</v>
      </c>
      <c r="BB1908">
        <v>0</v>
      </c>
      <c r="BD1908">
        <v>0.1</v>
      </c>
    </row>
    <row r="1909" spans="1:56" x14ac:dyDescent="0.15">
      <c r="A1909" s="4" t="str">
        <f>HYPERLINK("https://ibp.a2mac1.com/costing(costing:projects/details/9760/part/8416289)","On Body")</f>
        <v>On Body</v>
      </c>
      <c r="B1909">
        <v>8416289</v>
      </c>
      <c r="C1909">
        <v>8415950</v>
      </c>
      <c r="D1909" t="s">
        <v>5348</v>
      </c>
      <c r="E1909">
        <v>0.14652861</v>
      </c>
      <c r="F1909">
        <v>0</v>
      </c>
      <c r="G1909">
        <v>0</v>
      </c>
      <c r="H1909">
        <v>3.11763E-6</v>
      </c>
      <c r="I1909" t="s">
        <v>176</v>
      </c>
      <c r="J1909">
        <v>5.4558525000000004E-3</v>
      </c>
      <c r="K1909">
        <v>0.15198758012999999</v>
      </c>
      <c r="L1909">
        <v>0.18397179041108594</v>
      </c>
      <c r="M1909">
        <v>1.1038307424665155</v>
      </c>
      <c r="N1909">
        <v>1.2558183225965156</v>
      </c>
      <c r="O1909" t="s">
        <v>90</v>
      </c>
      <c r="P1909">
        <v>0</v>
      </c>
      <c r="Q1909" t="s">
        <v>90</v>
      </c>
      <c r="R1909">
        <v>0</v>
      </c>
      <c r="S1909" t="s">
        <v>90</v>
      </c>
      <c r="T1909">
        <v>0</v>
      </c>
      <c r="U1909" t="s">
        <v>90</v>
      </c>
      <c r="V1909">
        <v>0</v>
      </c>
      <c r="W1909" t="s">
        <v>90</v>
      </c>
      <c r="X1909">
        <v>0</v>
      </c>
      <c r="Y1909">
        <v>1.2558183225965156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69</v>
      </c>
      <c r="AF1909">
        <v>55</v>
      </c>
      <c r="AG1909">
        <v>25</v>
      </c>
      <c r="AI1909">
        <v>0.20399999999999999</v>
      </c>
      <c r="AK1909" t="s">
        <v>5035</v>
      </c>
      <c r="AL1909" t="s">
        <v>96</v>
      </c>
      <c r="AM1909">
        <v>200000</v>
      </c>
      <c r="AN1909" t="s">
        <v>97</v>
      </c>
      <c r="AO1909">
        <v>1</v>
      </c>
      <c r="AP1909">
        <v>0</v>
      </c>
      <c r="AQ1909">
        <v>16666.666666666668</v>
      </c>
      <c r="AR1909" t="s">
        <v>6250</v>
      </c>
      <c r="AS1909" t="s">
        <v>75</v>
      </c>
      <c r="AX1909" t="s">
        <v>76</v>
      </c>
      <c r="AY1909" t="s">
        <v>176</v>
      </c>
      <c r="AZ1909">
        <v>0</v>
      </c>
      <c r="BA1909" t="s">
        <v>176</v>
      </c>
      <c r="BB1909">
        <v>0</v>
      </c>
    </row>
    <row r="1910" spans="1:56" x14ac:dyDescent="0.15">
      <c r="A1910" s="4" t="str">
        <f>HYPERLINK("https://ibp.a2mac1.com/costing(costing:projects/details/9760/part/8416290)","On Door")</f>
        <v>On Door</v>
      </c>
      <c r="B1910">
        <v>8416290</v>
      </c>
      <c r="C1910">
        <v>8415950</v>
      </c>
      <c r="D1910" t="s">
        <v>5348</v>
      </c>
      <c r="E1910">
        <v>7.0391195000000004E-2</v>
      </c>
      <c r="F1910">
        <v>0</v>
      </c>
      <c r="G1910">
        <v>0</v>
      </c>
      <c r="H1910">
        <v>1.4976850000000001E-6</v>
      </c>
      <c r="I1910" t="s">
        <v>176</v>
      </c>
      <c r="J1910">
        <v>2.6209487500000002E-3</v>
      </c>
      <c r="K1910">
        <v>7.3013641434999998E-2</v>
      </c>
      <c r="L1910">
        <v>0.22608553666765549</v>
      </c>
      <c r="M1910">
        <v>1.3565132200059329</v>
      </c>
      <c r="N1910">
        <v>1.4295268614409329</v>
      </c>
      <c r="O1910" t="s">
        <v>90</v>
      </c>
      <c r="P1910">
        <v>0</v>
      </c>
      <c r="Q1910" t="s">
        <v>90</v>
      </c>
      <c r="R1910">
        <v>0</v>
      </c>
      <c r="S1910" t="s">
        <v>90</v>
      </c>
      <c r="T1910">
        <v>0</v>
      </c>
      <c r="U1910" t="s">
        <v>90</v>
      </c>
      <c r="V1910">
        <v>0</v>
      </c>
      <c r="W1910" t="s">
        <v>90</v>
      </c>
      <c r="X1910">
        <v>0</v>
      </c>
      <c r="Y1910">
        <v>1.4295268614409329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41</v>
      </c>
      <c r="AF1910">
        <v>50</v>
      </c>
      <c r="AG1910">
        <v>51</v>
      </c>
      <c r="AI1910">
        <v>0.122</v>
      </c>
      <c r="AK1910" t="s">
        <v>5035</v>
      </c>
      <c r="AL1910" t="s">
        <v>96</v>
      </c>
      <c r="AM1910">
        <v>200000</v>
      </c>
      <c r="AN1910" t="s">
        <v>97</v>
      </c>
      <c r="AO1910">
        <v>1</v>
      </c>
      <c r="AP1910">
        <v>0</v>
      </c>
      <c r="AQ1910">
        <v>16666.666666666668</v>
      </c>
      <c r="AR1910" t="s">
        <v>6253</v>
      </c>
      <c r="AS1910" t="s">
        <v>75</v>
      </c>
      <c r="AX1910" t="s">
        <v>76</v>
      </c>
      <c r="AY1910" t="s">
        <v>176</v>
      </c>
      <c r="AZ1910">
        <v>0</v>
      </c>
      <c r="BA1910" t="s">
        <v>176</v>
      </c>
      <c r="BB1910">
        <v>0</v>
      </c>
    </row>
    <row r="1911" spans="1:56" x14ac:dyDescent="0.15">
      <c r="A1911" s="4" t="str">
        <f>HYPERLINK("https://ibp.a2mac1.com/costing(costing:projects/details/9760/part/8416291)","On Body")</f>
        <v>On Body</v>
      </c>
      <c r="B1911">
        <v>8416291</v>
      </c>
      <c r="C1911">
        <v>8415951</v>
      </c>
      <c r="D1911" t="s">
        <v>5348</v>
      </c>
      <c r="E1911">
        <v>0.14652861</v>
      </c>
      <c r="F1911">
        <v>0</v>
      </c>
      <c r="G1911">
        <v>0</v>
      </c>
      <c r="H1911">
        <v>3.11763E-6</v>
      </c>
      <c r="I1911" t="s">
        <v>176</v>
      </c>
      <c r="J1911">
        <v>5.4558525000000004E-3</v>
      </c>
      <c r="K1911">
        <v>0.15198758012999999</v>
      </c>
      <c r="L1911">
        <v>0.22608553666765549</v>
      </c>
      <c r="M1911">
        <v>1.3565132200059329</v>
      </c>
      <c r="N1911">
        <v>1.508500800135933</v>
      </c>
      <c r="O1911" t="s">
        <v>90</v>
      </c>
      <c r="P1911">
        <v>0</v>
      </c>
      <c r="Q1911" t="s">
        <v>90</v>
      </c>
      <c r="R1911">
        <v>0</v>
      </c>
      <c r="S1911" t="s">
        <v>90</v>
      </c>
      <c r="T1911">
        <v>0</v>
      </c>
      <c r="U1911" t="s">
        <v>90</v>
      </c>
      <c r="V1911">
        <v>0</v>
      </c>
      <c r="W1911" t="s">
        <v>90</v>
      </c>
      <c r="X1911">
        <v>0</v>
      </c>
      <c r="Y1911">
        <v>1.508500800135933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69</v>
      </c>
      <c r="AF1911">
        <v>55</v>
      </c>
      <c r="AG1911">
        <v>25</v>
      </c>
      <c r="AI1911">
        <v>0.20499999999999999</v>
      </c>
      <c r="AK1911" t="s">
        <v>5035</v>
      </c>
      <c r="AL1911" t="s">
        <v>96</v>
      </c>
      <c r="AM1911">
        <v>200000</v>
      </c>
      <c r="AN1911" t="s">
        <v>97</v>
      </c>
      <c r="AO1911">
        <v>1</v>
      </c>
      <c r="AP1911">
        <v>0</v>
      </c>
      <c r="AQ1911">
        <v>16666.666666666668</v>
      </c>
      <c r="AR1911" t="s">
        <v>6258</v>
      </c>
      <c r="AS1911" t="s">
        <v>75</v>
      </c>
      <c r="AX1911" t="s">
        <v>76</v>
      </c>
      <c r="AY1911" t="s">
        <v>176</v>
      </c>
      <c r="AZ1911">
        <v>0</v>
      </c>
      <c r="BA1911" t="s">
        <v>176</v>
      </c>
      <c r="BB1911">
        <v>0</v>
      </c>
    </row>
    <row r="1912" spans="1:56" x14ac:dyDescent="0.15">
      <c r="A1912" s="4" t="str">
        <f>HYPERLINK("https://ibp.a2mac1.com/costing(costing:projects/details/9760/part/8416292)","On Door")</f>
        <v>On Door</v>
      </c>
      <c r="B1912">
        <v>8416292</v>
      </c>
      <c r="C1912">
        <v>8415951</v>
      </c>
      <c r="D1912" t="s">
        <v>5348</v>
      </c>
      <c r="E1912">
        <v>7.0391195000000004E-2</v>
      </c>
      <c r="F1912">
        <v>0</v>
      </c>
      <c r="G1912">
        <v>0</v>
      </c>
      <c r="H1912">
        <v>1.4976850000000001E-6</v>
      </c>
      <c r="I1912" t="s">
        <v>176</v>
      </c>
      <c r="J1912">
        <v>2.6209487500000002E-3</v>
      </c>
      <c r="K1912">
        <v>7.3013641434999998E-2</v>
      </c>
      <c r="L1912">
        <v>0.22608553666765549</v>
      </c>
      <c r="M1912">
        <v>1.3565132200059329</v>
      </c>
      <c r="N1912">
        <v>1.4295268614409329</v>
      </c>
      <c r="O1912" t="s">
        <v>90</v>
      </c>
      <c r="P1912">
        <v>0</v>
      </c>
      <c r="Q1912" t="s">
        <v>90</v>
      </c>
      <c r="R1912">
        <v>0</v>
      </c>
      <c r="S1912" t="s">
        <v>90</v>
      </c>
      <c r="T1912">
        <v>0</v>
      </c>
      <c r="U1912" t="s">
        <v>90</v>
      </c>
      <c r="V1912">
        <v>0</v>
      </c>
      <c r="W1912" t="s">
        <v>90</v>
      </c>
      <c r="X1912">
        <v>0</v>
      </c>
      <c r="Y1912">
        <v>1.4295268614409329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41</v>
      </c>
      <c r="AF1912">
        <v>51</v>
      </c>
      <c r="AG1912">
        <v>50</v>
      </c>
      <c r="AI1912">
        <v>0.122</v>
      </c>
      <c r="AK1912" t="s">
        <v>5035</v>
      </c>
      <c r="AL1912" t="s">
        <v>96</v>
      </c>
      <c r="AM1912">
        <v>200000</v>
      </c>
      <c r="AN1912" t="s">
        <v>97</v>
      </c>
      <c r="AO1912">
        <v>1</v>
      </c>
      <c r="AP1912">
        <v>0</v>
      </c>
      <c r="AQ1912">
        <v>16666.666666666668</v>
      </c>
      <c r="AR1912" t="s">
        <v>6261</v>
      </c>
      <c r="AS1912" t="s">
        <v>75</v>
      </c>
      <c r="AX1912" t="s">
        <v>76</v>
      </c>
      <c r="AY1912" t="s">
        <v>176</v>
      </c>
      <c r="AZ1912">
        <v>0</v>
      </c>
      <c r="BA1912" t="s">
        <v>176</v>
      </c>
      <c r="BB1912">
        <v>0</v>
      </c>
    </row>
    <row r="1913" spans="1:56" x14ac:dyDescent="0.15">
      <c r="A1913" s="4" t="str">
        <f>HYPERLINK("https://ibp.a2mac1.com/costing(costing:projects/details/9760/part/8415948)","Door Stopper")</f>
        <v>Door Stopper</v>
      </c>
      <c r="B1913">
        <v>8415948</v>
      </c>
      <c r="C1913">
        <v>8415663</v>
      </c>
      <c r="D1913" t="s">
        <v>6263</v>
      </c>
      <c r="E1913">
        <v>2.1</v>
      </c>
      <c r="F1913">
        <v>0</v>
      </c>
      <c r="G1913">
        <v>0</v>
      </c>
      <c r="H1913">
        <v>0</v>
      </c>
      <c r="I1913" t="s">
        <v>71</v>
      </c>
      <c r="J1913">
        <v>0</v>
      </c>
      <c r="K1913">
        <v>2.1</v>
      </c>
      <c r="L1913">
        <v>0</v>
      </c>
      <c r="M1913">
        <v>0</v>
      </c>
      <c r="N1913">
        <v>2.1</v>
      </c>
      <c r="O1913" t="s">
        <v>71</v>
      </c>
      <c r="P1913">
        <v>0</v>
      </c>
      <c r="Q1913" t="s">
        <v>71</v>
      </c>
      <c r="R1913">
        <v>0</v>
      </c>
      <c r="S1913" t="s">
        <v>71</v>
      </c>
      <c r="T1913">
        <v>0</v>
      </c>
      <c r="U1913" t="s">
        <v>71</v>
      </c>
      <c r="V1913">
        <v>0</v>
      </c>
      <c r="W1913" t="s">
        <v>71</v>
      </c>
      <c r="X1913">
        <v>0</v>
      </c>
      <c r="Y1913">
        <v>2.1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37</v>
      </c>
      <c r="AF1913">
        <v>197</v>
      </c>
      <c r="AG1913">
        <v>88</v>
      </c>
      <c r="AI1913">
        <v>0.16800000000000001</v>
      </c>
      <c r="AK1913" t="s">
        <v>5305</v>
      </c>
      <c r="AL1913" t="s">
        <v>5364</v>
      </c>
      <c r="AM1913">
        <v>200000</v>
      </c>
      <c r="AN1913" t="s">
        <v>97</v>
      </c>
      <c r="AO1913">
        <v>1</v>
      </c>
      <c r="AP1913">
        <v>0</v>
      </c>
      <c r="AQ1913">
        <v>16666.666666666668</v>
      </c>
      <c r="AR1913" t="s">
        <v>6264</v>
      </c>
      <c r="AS1913" t="s">
        <v>75</v>
      </c>
      <c r="AX1913" t="s">
        <v>76</v>
      </c>
      <c r="AY1913" t="s">
        <v>71</v>
      </c>
      <c r="AZ1913">
        <v>0</v>
      </c>
      <c r="BA1913" t="s">
        <v>71</v>
      </c>
      <c r="BB1913">
        <v>0</v>
      </c>
      <c r="BD1913">
        <v>2.1</v>
      </c>
    </row>
    <row r="1914" spans="1:56" x14ac:dyDescent="0.15">
      <c r="A1914" s="4" t="str">
        <f>HYPERLINK("https://ibp.a2mac1.com/costing(costing:projects/details/9760/part/8415949)","Door Stopper Protection")</f>
        <v>Door Stopper Protection</v>
      </c>
      <c r="B1914">
        <v>8415949</v>
      </c>
      <c r="C1914">
        <v>8415663</v>
      </c>
      <c r="E1914">
        <v>4.5214049999999999E-2</v>
      </c>
      <c r="F1914">
        <v>0</v>
      </c>
      <c r="G1914">
        <v>0</v>
      </c>
      <c r="H1914">
        <v>2.2935648421052631E-4</v>
      </c>
      <c r="I1914" t="s">
        <v>176</v>
      </c>
      <c r="J1914">
        <v>1.586457894736842E-3</v>
      </c>
      <c r="K1914">
        <v>4.7029864378947371E-2</v>
      </c>
      <c r="L1914">
        <v>1.5783251295997008E-3</v>
      </c>
      <c r="M1914">
        <v>9.4699507775982041E-3</v>
      </c>
      <c r="N1914">
        <v>5.649981515654557E-2</v>
      </c>
      <c r="O1914" t="s">
        <v>177</v>
      </c>
      <c r="P1914">
        <v>2.8217918627368422E-3</v>
      </c>
      <c r="Q1914" t="s">
        <v>177</v>
      </c>
      <c r="R1914">
        <v>5.6819704665589225E-4</v>
      </c>
      <c r="S1914" t="s">
        <v>178</v>
      </c>
      <c r="T1914">
        <v>6.7799778187854686E-3</v>
      </c>
      <c r="U1914" t="s">
        <v>90</v>
      </c>
      <c r="V1914">
        <v>0</v>
      </c>
      <c r="W1914" t="s">
        <v>90</v>
      </c>
      <c r="X1914">
        <v>0</v>
      </c>
      <c r="Y1914">
        <v>6.6669781884723778E-2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57</v>
      </c>
      <c r="AF1914">
        <v>160</v>
      </c>
      <c r="AG1914">
        <v>87</v>
      </c>
      <c r="AI1914">
        <v>3.4000000000000002E-2</v>
      </c>
      <c r="AK1914" t="s">
        <v>272</v>
      </c>
      <c r="AL1914" t="s">
        <v>2282</v>
      </c>
      <c r="AM1914">
        <v>200000</v>
      </c>
      <c r="AN1914" t="s">
        <v>97</v>
      </c>
      <c r="AO1914">
        <v>1</v>
      </c>
      <c r="AP1914">
        <v>0</v>
      </c>
      <c r="AQ1914">
        <v>16666.666666666668</v>
      </c>
      <c r="AR1914" t="s">
        <v>6267</v>
      </c>
      <c r="AS1914" t="s">
        <v>75</v>
      </c>
      <c r="AX1914" t="s">
        <v>76</v>
      </c>
      <c r="AY1914" t="s">
        <v>176</v>
      </c>
      <c r="AZ1914">
        <v>0</v>
      </c>
      <c r="BA1914" t="s">
        <v>176</v>
      </c>
      <c r="BB1914">
        <v>0</v>
      </c>
    </row>
    <row r="1915" spans="1:56" x14ac:dyDescent="0.15">
      <c r="A1915" s="4" t="str">
        <f>HYPERLINK("https://ibp.a2mac1.com/costing(costing:projects/details/9760/part/8415660)","Function Carrier")</f>
        <v>Function Carrier</v>
      </c>
      <c r="B1915">
        <v>8415660</v>
      </c>
      <c r="C1915">
        <v>8415585</v>
      </c>
      <c r="E1915">
        <v>0.92459466334020624</v>
      </c>
      <c r="F1915">
        <v>0.25</v>
      </c>
      <c r="G1915">
        <v>0</v>
      </c>
      <c r="H1915">
        <v>9.7031125113402066E-4</v>
      </c>
      <c r="I1915" t="s">
        <v>176</v>
      </c>
      <c r="J1915">
        <v>3.2654705567010306E-2</v>
      </c>
      <c r="K1915">
        <v>1.2169696801583505</v>
      </c>
      <c r="L1915">
        <v>4.0958812950510494E-2</v>
      </c>
      <c r="M1915">
        <v>0.24575287770306295</v>
      </c>
      <c r="N1915">
        <v>1.4627225578614134</v>
      </c>
      <c r="O1915" t="s">
        <v>177</v>
      </c>
      <c r="P1915">
        <v>7.3018180809501038E-2</v>
      </c>
      <c r="Q1915" t="s">
        <v>177</v>
      </c>
      <c r="R1915">
        <v>1.4745172662183777E-2</v>
      </c>
      <c r="S1915" t="s">
        <v>178</v>
      </c>
      <c r="T1915">
        <v>0.17552670694336961</v>
      </c>
      <c r="U1915" t="s">
        <v>90</v>
      </c>
      <c r="V1915">
        <v>0</v>
      </c>
      <c r="W1915" t="s">
        <v>90</v>
      </c>
      <c r="X1915">
        <v>0</v>
      </c>
      <c r="Y1915">
        <v>1.7260126182764679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75</v>
      </c>
      <c r="AF1915">
        <v>695</v>
      </c>
      <c r="AG1915">
        <v>480</v>
      </c>
      <c r="AI1915">
        <v>0.71199999999999997</v>
      </c>
      <c r="AK1915" t="s">
        <v>5281</v>
      </c>
      <c r="AL1915" t="s">
        <v>399</v>
      </c>
      <c r="AM1915">
        <v>200000</v>
      </c>
      <c r="AN1915" t="s">
        <v>97</v>
      </c>
      <c r="AO1915">
        <v>1</v>
      </c>
      <c r="AP1915">
        <v>0</v>
      </c>
      <c r="AQ1915">
        <v>16666.666666666668</v>
      </c>
      <c r="AR1915" t="s">
        <v>6274</v>
      </c>
      <c r="AS1915" t="s">
        <v>75</v>
      </c>
      <c r="AX1915" t="s">
        <v>76</v>
      </c>
      <c r="AY1915" t="s">
        <v>176</v>
      </c>
      <c r="AZ1915">
        <v>8.7500000000000008E-3</v>
      </c>
      <c r="BA1915" t="s">
        <v>176</v>
      </c>
      <c r="BB1915">
        <v>0</v>
      </c>
    </row>
    <row r="1916" spans="1:56" x14ac:dyDescent="0.15">
      <c r="A1916" s="4" t="str">
        <f>HYPERLINK("https://ibp.a2mac1.com/costing(costing:projects/details/9760/part/8415661)","Hole Plugs")</f>
        <v>Hole Plugs</v>
      </c>
      <c r="B1916">
        <v>8415661</v>
      </c>
      <c r="C1916">
        <v>8415585</v>
      </c>
      <c r="E1916">
        <v>0.6</v>
      </c>
      <c r="F1916">
        <v>0</v>
      </c>
      <c r="G1916">
        <v>0</v>
      </c>
      <c r="H1916">
        <v>0</v>
      </c>
      <c r="I1916" t="s">
        <v>71</v>
      </c>
      <c r="J1916">
        <v>0</v>
      </c>
      <c r="K1916">
        <v>0.6</v>
      </c>
      <c r="L1916">
        <v>0</v>
      </c>
      <c r="M1916">
        <v>0</v>
      </c>
      <c r="N1916">
        <v>0.6</v>
      </c>
      <c r="O1916" t="s">
        <v>71</v>
      </c>
      <c r="P1916">
        <v>0</v>
      </c>
      <c r="Q1916" t="s">
        <v>71</v>
      </c>
      <c r="R1916">
        <v>0</v>
      </c>
      <c r="S1916" t="s">
        <v>71</v>
      </c>
      <c r="T1916">
        <v>0</v>
      </c>
      <c r="U1916" t="s">
        <v>71</v>
      </c>
      <c r="V1916">
        <v>0</v>
      </c>
      <c r="W1916" t="s">
        <v>71</v>
      </c>
      <c r="X1916">
        <v>0</v>
      </c>
      <c r="Y1916">
        <v>0.6</v>
      </c>
      <c r="Z1916">
        <v>0</v>
      </c>
      <c r="AA1916">
        <v>0</v>
      </c>
      <c r="AB1916">
        <v>0</v>
      </c>
      <c r="AC1916">
        <v>0</v>
      </c>
      <c r="AD1916">
        <v>0</v>
      </c>
      <c r="AI1916">
        <v>1E-4</v>
      </c>
      <c r="AK1916" t="s">
        <v>5305</v>
      </c>
      <c r="AL1916" t="s">
        <v>2246</v>
      </c>
      <c r="AM1916">
        <v>1200000</v>
      </c>
      <c r="AN1916" t="s">
        <v>97</v>
      </c>
      <c r="AO1916">
        <v>6</v>
      </c>
      <c r="AP1916">
        <v>0</v>
      </c>
      <c r="AQ1916">
        <v>100000</v>
      </c>
      <c r="AR1916" t="s">
        <v>6275</v>
      </c>
      <c r="AS1916" t="s">
        <v>75</v>
      </c>
      <c r="AX1916" t="s">
        <v>76</v>
      </c>
      <c r="AY1916" t="s">
        <v>71</v>
      </c>
      <c r="AZ1916">
        <v>0</v>
      </c>
      <c r="BA1916" t="s">
        <v>71</v>
      </c>
      <c r="BB1916">
        <v>0</v>
      </c>
      <c r="BD1916">
        <v>0.1</v>
      </c>
    </row>
    <row r="1917" spans="1:56" x14ac:dyDescent="0.15">
      <c r="A1917" s="4" t="str">
        <f>HYPERLINK("https://ibp.a2mac1.com/costing(costing:projects/details/9760/part/8415662)","Water Draining Plug")</f>
        <v>Water Draining Plug</v>
      </c>
      <c r="B1917">
        <v>8415662</v>
      </c>
      <c r="C1917">
        <v>8415585</v>
      </c>
      <c r="E1917">
        <v>0.2</v>
      </c>
      <c r="F1917">
        <v>0</v>
      </c>
      <c r="G1917">
        <v>0</v>
      </c>
      <c r="H1917">
        <v>0</v>
      </c>
      <c r="I1917" t="s">
        <v>71</v>
      </c>
      <c r="J1917">
        <v>0</v>
      </c>
      <c r="K1917">
        <v>0.2</v>
      </c>
      <c r="L1917">
        <v>0</v>
      </c>
      <c r="M1917">
        <v>0</v>
      </c>
      <c r="N1917">
        <v>0.2</v>
      </c>
      <c r="O1917" t="s">
        <v>71</v>
      </c>
      <c r="P1917">
        <v>0</v>
      </c>
      <c r="Q1917" t="s">
        <v>71</v>
      </c>
      <c r="R1917">
        <v>0</v>
      </c>
      <c r="S1917" t="s">
        <v>71</v>
      </c>
      <c r="T1917">
        <v>0</v>
      </c>
      <c r="U1917" t="s">
        <v>71</v>
      </c>
      <c r="V1917">
        <v>0</v>
      </c>
      <c r="W1917" t="s">
        <v>71</v>
      </c>
      <c r="X1917">
        <v>0</v>
      </c>
      <c r="Y1917">
        <v>0.2</v>
      </c>
      <c r="Z1917">
        <v>0</v>
      </c>
      <c r="AA1917">
        <v>0</v>
      </c>
      <c r="AB1917">
        <v>0</v>
      </c>
      <c r="AC1917">
        <v>0</v>
      </c>
      <c r="AD1917">
        <v>0</v>
      </c>
      <c r="AI1917">
        <v>1E-4</v>
      </c>
      <c r="AK1917" t="s">
        <v>272</v>
      </c>
      <c r="AL1917" t="s">
        <v>2246</v>
      </c>
      <c r="AM1917">
        <v>400000</v>
      </c>
      <c r="AN1917" t="s">
        <v>73</v>
      </c>
      <c r="AO1917">
        <v>2</v>
      </c>
      <c r="AP1917">
        <v>0</v>
      </c>
      <c r="AQ1917">
        <v>33333.333333333336</v>
      </c>
      <c r="AR1917" t="s">
        <v>6276</v>
      </c>
      <c r="AS1917" t="s">
        <v>75</v>
      </c>
      <c r="AX1917" t="s">
        <v>76</v>
      </c>
      <c r="AY1917" t="s">
        <v>71</v>
      </c>
      <c r="AZ1917">
        <v>0</v>
      </c>
      <c r="BA1917" t="s">
        <v>71</v>
      </c>
      <c r="BB1917">
        <v>0</v>
      </c>
      <c r="BD1917">
        <v>0.1</v>
      </c>
    </row>
    <row r="1918" spans="1:56" x14ac:dyDescent="0.15">
      <c r="A1918" s="4" t="str">
        <f>HYPERLINK("https://ibp.a2mac1.com/costing(costing:projects/details/9760/part/8415952)","Speaker")</f>
        <v>Speaker</v>
      </c>
      <c r="B1918">
        <v>8415952</v>
      </c>
      <c r="C1918">
        <v>8415664</v>
      </c>
      <c r="E1918">
        <v>5.86</v>
      </c>
      <c r="F1918">
        <v>0</v>
      </c>
      <c r="G1918">
        <v>0</v>
      </c>
      <c r="H1918">
        <v>0</v>
      </c>
      <c r="I1918" t="s">
        <v>71</v>
      </c>
      <c r="J1918">
        <v>0</v>
      </c>
      <c r="K1918">
        <v>5.86</v>
      </c>
      <c r="L1918">
        <v>0</v>
      </c>
      <c r="M1918">
        <v>0</v>
      </c>
      <c r="N1918">
        <v>5.86</v>
      </c>
      <c r="O1918" t="s">
        <v>71</v>
      </c>
      <c r="P1918">
        <v>0</v>
      </c>
      <c r="Q1918" t="s">
        <v>71</v>
      </c>
      <c r="R1918">
        <v>0</v>
      </c>
      <c r="S1918" t="s">
        <v>71</v>
      </c>
      <c r="T1918">
        <v>0</v>
      </c>
      <c r="U1918" t="s">
        <v>71</v>
      </c>
      <c r="V1918">
        <v>0</v>
      </c>
      <c r="W1918" t="s">
        <v>71</v>
      </c>
      <c r="X1918">
        <v>0</v>
      </c>
      <c r="Y1918">
        <v>5.86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75</v>
      </c>
      <c r="AF1918">
        <v>192</v>
      </c>
      <c r="AG1918">
        <v>196</v>
      </c>
      <c r="AI1918">
        <v>0.83199999999999996</v>
      </c>
      <c r="AK1918" t="s">
        <v>284</v>
      </c>
      <c r="AL1918" t="s">
        <v>6236</v>
      </c>
      <c r="AM1918">
        <v>200000</v>
      </c>
      <c r="AN1918" t="s">
        <v>97</v>
      </c>
      <c r="AO1918">
        <v>1</v>
      </c>
      <c r="AP1918">
        <v>0</v>
      </c>
      <c r="AQ1918">
        <v>16666.666666666668</v>
      </c>
      <c r="AR1918" t="s">
        <v>6281</v>
      </c>
      <c r="AS1918" t="s">
        <v>75</v>
      </c>
      <c r="AX1918" t="s">
        <v>76</v>
      </c>
      <c r="AY1918" t="s">
        <v>71</v>
      </c>
      <c r="AZ1918">
        <v>0</v>
      </c>
      <c r="BA1918" t="s">
        <v>71</v>
      </c>
      <c r="BB1918">
        <v>0</v>
      </c>
      <c r="BD1918">
        <v>5.86</v>
      </c>
    </row>
    <row r="1919" spans="1:56" x14ac:dyDescent="0.15">
      <c r="A1919" s="4" t="str">
        <f>HYPERLINK("https://ibp.a2mac1.com/costing(costing:projects/details/9760/part/8415953)","Medium")</f>
        <v>Medium</v>
      </c>
      <c r="B1919">
        <v>8415953</v>
      </c>
      <c r="C1919">
        <v>8415664</v>
      </c>
      <c r="E1919">
        <v>3.68</v>
      </c>
      <c r="F1919">
        <v>0</v>
      </c>
      <c r="G1919">
        <v>0</v>
      </c>
      <c r="H1919">
        <v>0</v>
      </c>
      <c r="I1919" t="s">
        <v>71</v>
      </c>
      <c r="J1919">
        <v>0</v>
      </c>
      <c r="K1919">
        <v>3.68</v>
      </c>
      <c r="L1919">
        <v>0</v>
      </c>
      <c r="M1919">
        <v>0</v>
      </c>
      <c r="N1919">
        <v>3.68</v>
      </c>
      <c r="O1919" t="s">
        <v>71</v>
      </c>
      <c r="P1919">
        <v>0</v>
      </c>
      <c r="Q1919" t="s">
        <v>71</v>
      </c>
      <c r="R1919">
        <v>0</v>
      </c>
      <c r="S1919" t="s">
        <v>71</v>
      </c>
      <c r="T1919">
        <v>0</v>
      </c>
      <c r="U1919" t="s">
        <v>71</v>
      </c>
      <c r="V1919">
        <v>0</v>
      </c>
      <c r="W1919" t="s">
        <v>71</v>
      </c>
      <c r="X1919">
        <v>0</v>
      </c>
      <c r="Y1919">
        <v>3.68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38</v>
      </c>
      <c r="AF1919">
        <v>86</v>
      </c>
      <c r="AG1919">
        <v>124</v>
      </c>
      <c r="AI1919">
        <v>9.9000000000000005E-2</v>
      </c>
      <c r="AK1919" t="s">
        <v>284</v>
      </c>
      <c r="AL1919" t="s">
        <v>5187</v>
      </c>
      <c r="AM1919">
        <v>200000</v>
      </c>
      <c r="AN1919" t="s">
        <v>97</v>
      </c>
      <c r="AO1919">
        <v>1</v>
      </c>
      <c r="AP1919">
        <v>0</v>
      </c>
      <c r="AQ1919">
        <v>16666.666666666668</v>
      </c>
      <c r="AR1919" t="s">
        <v>6282</v>
      </c>
      <c r="AS1919" t="s">
        <v>75</v>
      </c>
      <c r="AX1919" t="s">
        <v>76</v>
      </c>
      <c r="AY1919" t="s">
        <v>71</v>
      </c>
      <c r="AZ1919">
        <v>0</v>
      </c>
      <c r="BA1919" t="s">
        <v>71</v>
      </c>
      <c r="BB1919">
        <v>0</v>
      </c>
      <c r="BD1919">
        <v>3.68</v>
      </c>
    </row>
    <row r="1920" spans="1:56" x14ac:dyDescent="0.15">
      <c r="A1920" s="4" t="str">
        <f>HYPERLINK("https://ibp.a2mac1.com/costing(costing:projects/details/9760/part/8415954)","Effort Guide")</f>
        <v>Effort Guide</v>
      </c>
      <c r="B1920">
        <v>8415954</v>
      </c>
      <c r="C1920">
        <v>8415665</v>
      </c>
      <c r="D1920" t="s">
        <v>6241</v>
      </c>
      <c r="E1920">
        <v>0.06</v>
      </c>
      <c r="F1920">
        <v>0</v>
      </c>
      <c r="G1920">
        <v>0</v>
      </c>
      <c r="H1920">
        <v>0</v>
      </c>
      <c r="I1920" t="s">
        <v>71</v>
      </c>
      <c r="J1920">
        <v>0</v>
      </c>
      <c r="K1920">
        <v>0.06</v>
      </c>
      <c r="L1920">
        <v>0</v>
      </c>
      <c r="M1920">
        <v>0</v>
      </c>
      <c r="N1920">
        <v>0.06</v>
      </c>
      <c r="O1920" t="s">
        <v>71</v>
      </c>
      <c r="P1920">
        <v>0</v>
      </c>
      <c r="Q1920" t="s">
        <v>71</v>
      </c>
      <c r="R1920">
        <v>0</v>
      </c>
      <c r="S1920" t="s">
        <v>71</v>
      </c>
      <c r="T1920">
        <v>0</v>
      </c>
      <c r="U1920" t="s">
        <v>71</v>
      </c>
      <c r="V1920">
        <v>0</v>
      </c>
      <c r="W1920" t="s">
        <v>71</v>
      </c>
      <c r="X1920">
        <v>0</v>
      </c>
      <c r="Y1920">
        <v>0.06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37</v>
      </c>
      <c r="AF1920">
        <v>24</v>
      </c>
      <c r="AG1920">
        <v>24</v>
      </c>
      <c r="AI1920">
        <v>3.3000000000000002E-2</v>
      </c>
      <c r="AK1920" t="s">
        <v>5305</v>
      </c>
      <c r="AL1920" t="s">
        <v>96</v>
      </c>
      <c r="AM1920">
        <v>200000</v>
      </c>
      <c r="AN1920" t="s">
        <v>97</v>
      </c>
      <c r="AO1920">
        <v>1</v>
      </c>
      <c r="AP1920">
        <v>0</v>
      </c>
      <c r="AQ1920">
        <v>16666.666666666668</v>
      </c>
      <c r="AR1920" t="s">
        <v>6285</v>
      </c>
      <c r="AS1920" t="s">
        <v>75</v>
      </c>
      <c r="AX1920" t="s">
        <v>76</v>
      </c>
      <c r="AY1920" t="s">
        <v>71</v>
      </c>
      <c r="AZ1920">
        <v>0</v>
      </c>
      <c r="BA1920" t="s">
        <v>71</v>
      </c>
      <c r="BB1920">
        <v>0</v>
      </c>
      <c r="BD1920">
        <v>0.06</v>
      </c>
    </row>
    <row r="1921" spans="1:56" x14ac:dyDescent="0.15">
      <c r="A1921" s="4" t="str">
        <f>HYPERLINK("https://ibp.a2mac1.com/costing(costing:projects/details/9760/part/8415955)","Cover Shock Guide")</f>
        <v>Cover Shock Guide</v>
      </c>
      <c r="B1921">
        <v>8415955</v>
      </c>
      <c r="C1921">
        <v>8415665</v>
      </c>
      <c r="E1921">
        <v>0.1</v>
      </c>
      <c r="F1921">
        <v>0</v>
      </c>
      <c r="G1921">
        <v>0</v>
      </c>
      <c r="H1921">
        <v>0</v>
      </c>
      <c r="I1921" t="s">
        <v>71</v>
      </c>
      <c r="J1921">
        <v>0</v>
      </c>
      <c r="K1921">
        <v>0.1</v>
      </c>
      <c r="L1921">
        <v>0</v>
      </c>
      <c r="M1921">
        <v>0</v>
      </c>
      <c r="N1921">
        <v>0.1</v>
      </c>
      <c r="O1921" t="s">
        <v>71</v>
      </c>
      <c r="P1921">
        <v>0</v>
      </c>
      <c r="Q1921" t="s">
        <v>71</v>
      </c>
      <c r="R1921">
        <v>0</v>
      </c>
      <c r="S1921" t="s">
        <v>71</v>
      </c>
      <c r="T1921">
        <v>0</v>
      </c>
      <c r="U1921" t="s">
        <v>71</v>
      </c>
      <c r="V1921">
        <v>0</v>
      </c>
      <c r="W1921" t="s">
        <v>71</v>
      </c>
      <c r="X1921">
        <v>0</v>
      </c>
      <c r="Y1921">
        <v>0.1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37</v>
      </c>
      <c r="AF1921">
        <v>45</v>
      </c>
      <c r="AG1921">
        <v>45</v>
      </c>
      <c r="AI1921">
        <v>5.0000000000000001E-3</v>
      </c>
      <c r="AK1921" t="s">
        <v>5305</v>
      </c>
      <c r="AL1921" t="s">
        <v>6243</v>
      </c>
      <c r="AM1921">
        <v>200000</v>
      </c>
      <c r="AN1921" t="s">
        <v>97</v>
      </c>
      <c r="AO1921">
        <v>1</v>
      </c>
      <c r="AP1921">
        <v>0</v>
      </c>
      <c r="AQ1921">
        <v>16666.666666666668</v>
      </c>
      <c r="AR1921" t="s">
        <v>6286</v>
      </c>
      <c r="AS1921" t="s">
        <v>75</v>
      </c>
      <c r="AX1921" t="s">
        <v>76</v>
      </c>
      <c r="AY1921" t="s">
        <v>71</v>
      </c>
      <c r="AZ1921">
        <v>0</v>
      </c>
      <c r="BA1921" t="s">
        <v>71</v>
      </c>
      <c r="BB1921">
        <v>0</v>
      </c>
      <c r="BD1921">
        <v>0.1</v>
      </c>
    </row>
    <row r="1922" spans="1:56" x14ac:dyDescent="0.15">
      <c r="A1922" s="4" t="str">
        <f>HYPERLINK("https://ibp.a2mac1.com/costing(costing:projects/details/9760/part/8416293)","On Body")</f>
        <v>On Body</v>
      </c>
      <c r="B1922">
        <v>8416293</v>
      </c>
      <c r="C1922">
        <v>8415958</v>
      </c>
      <c r="D1922" t="s">
        <v>5348</v>
      </c>
      <c r="E1922">
        <v>0.14652861</v>
      </c>
      <c r="F1922">
        <v>0</v>
      </c>
      <c r="G1922">
        <v>0</v>
      </c>
      <c r="H1922">
        <v>3.11763E-6</v>
      </c>
      <c r="I1922" t="s">
        <v>176</v>
      </c>
      <c r="J1922">
        <v>5.4558525000000004E-3</v>
      </c>
      <c r="K1922">
        <v>0.15198758012999999</v>
      </c>
      <c r="L1922">
        <v>0.18397179041108594</v>
      </c>
      <c r="M1922">
        <v>1.1038307424665155</v>
      </c>
      <c r="N1922">
        <v>1.2558183225965156</v>
      </c>
      <c r="O1922" t="s">
        <v>90</v>
      </c>
      <c r="P1922">
        <v>0</v>
      </c>
      <c r="Q1922" t="s">
        <v>90</v>
      </c>
      <c r="R1922">
        <v>0</v>
      </c>
      <c r="S1922" t="s">
        <v>90</v>
      </c>
      <c r="T1922">
        <v>0</v>
      </c>
      <c r="U1922" t="s">
        <v>90</v>
      </c>
      <c r="V1922">
        <v>0</v>
      </c>
      <c r="W1922" t="s">
        <v>90</v>
      </c>
      <c r="X1922">
        <v>0</v>
      </c>
      <c r="Y1922">
        <v>1.2558183225965156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69</v>
      </c>
      <c r="AF1922">
        <v>55</v>
      </c>
      <c r="AG1922">
        <v>25</v>
      </c>
      <c r="AI1922">
        <v>0.20399999999999999</v>
      </c>
      <c r="AK1922" t="s">
        <v>5035</v>
      </c>
      <c r="AL1922" t="s">
        <v>96</v>
      </c>
      <c r="AM1922">
        <v>200000</v>
      </c>
      <c r="AN1922" t="s">
        <v>97</v>
      </c>
      <c r="AO1922">
        <v>1</v>
      </c>
      <c r="AP1922">
        <v>0</v>
      </c>
      <c r="AQ1922">
        <v>16666.666666666668</v>
      </c>
      <c r="AR1922" t="s">
        <v>6292</v>
      </c>
      <c r="AS1922" t="s">
        <v>75</v>
      </c>
      <c r="AX1922" t="s">
        <v>76</v>
      </c>
      <c r="AY1922" t="s">
        <v>176</v>
      </c>
      <c r="AZ1922">
        <v>0</v>
      </c>
      <c r="BA1922" t="s">
        <v>176</v>
      </c>
      <c r="BB1922">
        <v>0</v>
      </c>
    </row>
    <row r="1923" spans="1:56" x14ac:dyDescent="0.15">
      <c r="A1923" s="4" t="str">
        <f>HYPERLINK("https://ibp.a2mac1.com/costing(costing:projects/details/9760/part/8416294)","On Door")</f>
        <v>On Door</v>
      </c>
      <c r="B1923">
        <v>8416294</v>
      </c>
      <c r="C1923">
        <v>8415958</v>
      </c>
      <c r="D1923" t="s">
        <v>5348</v>
      </c>
      <c r="E1923">
        <v>7.0391195000000004E-2</v>
      </c>
      <c r="F1923">
        <v>0</v>
      </c>
      <c r="G1923">
        <v>0</v>
      </c>
      <c r="H1923">
        <v>1.4976850000000001E-6</v>
      </c>
      <c r="I1923" t="s">
        <v>176</v>
      </c>
      <c r="J1923">
        <v>2.6209487500000002E-3</v>
      </c>
      <c r="K1923">
        <v>7.3013641434999998E-2</v>
      </c>
      <c r="L1923">
        <v>0.22608553666765549</v>
      </c>
      <c r="M1923">
        <v>1.3565132200059329</v>
      </c>
      <c r="N1923">
        <v>1.4295268614409329</v>
      </c>
      <c r="O1923" t="s">
        <v>90</v>
      </c>
      <c r="P1923">
        <v>0</v>
      </c>
      <c r="Q1923" t="s">
        <v>90</v>
      </c>
      <c r="R1923">
        <v>0</v>
      </c>
      <c r="S1923" t="s">
        <v>90</v>
      </c>
      <c r="T1923">
        <v>0</v>
      </c>
      <c r="U1923" t="s">
        <v>90</v>
      </c>
      <c r="V1923">
        <v>0</v>
      </c>
      <c r="W1923" t="s">
        <v>90</v>
      </c>
      <c r="X1923">
        <v>0</v>
      </c>
      <c r="Y1923">
        <v>1.4295268614409329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41</v>
      </c>
      <c r="AF1923">
        <v>50</v>
      </c>
      <c r="AG1923">
        <v>51</v>
      </c>
      <c r="AI1923">
        <v>0.122</v>
      </c>
      <c r="AK1923" t="s">
        <v>5035</v>
      </c>
      <c r="AL1923" t="s">
        <v>96</v>
      </c>
      <c r="AM1923">
        <v>200000</v>
      </c>
      <c r="AN1923" t="s">
        <v>97</v>
      </c>
      <c r="AO1923">
        <v>1</v>
      </c>
      <c r="AP1923">
        <v>0</v>
      </c>
      <c r="AQ1923">
        <v>16666.666666666668</v>
      </c>
      <c r="AR1923" t="s">
        <v>6295</v>
      </c>
      <c r="AS1923" t="s">
        <v>75</v>
      </c>
      <c r="AX1923" t="s">
        <v>76</v>
      </c>
      <c r="AY1923" t="s">
        <v>176</v>
      </c>
      <c r="AZ1923">
        <v>0</v>
      </c>
      <c r="BA1923" t="s">
        <v>176</v>
      </c>
      <c r="BB1923">
        <v>0</v>
      </c>
    </row>
    <row r="1924" spans="1:56" x14ac:dyDescent="0.15">
      <c r="A1924" s="4" t="str">
        <f>HYPERLINK("https://ibp.a2mac1.com/costing(costing:projects/details/9760/part/8416295)","On Body")</f>
        <v>On Body</v>
      </c>
      <c r="B1924">
        <v>8416295</v>
      </c>
      <c r="C1924">
        <v>8415959</v>
      </c>
      <c r="D1924" t="s">
        <v>5348</v>
      </c>
      <c r="E1924">
        <v>0.14652861</v>
      </c>
      <c r="F1924">
        <v>0</v>
      </c>
      <c r="G1924">
        <v>0</v>
      </c>
      <c r="H1924">
        <v>3.11763E-6</v>
      </c>
      <c r="I1924" t="s">
        <v>176</v>
      </c>
      <c r="J1924">
        <v>5.4558525000000004E-3</v>
      </c>
      <c r="K1924">
        <v>0.15198758012999999</v>
      </c>
      <c r="L1924">
        <v>0.22608553666765549</v>
      </c>
      <c r="M1924">
        <v>1.3565132200059329</v>
      </c>
      <c r="N1924">
        <v>1.508500800135933</v>
      </c>
      <c r="O1924" t="s">
        <v>90</v>
      </c>
      <c r="P1924">
        <v>0</v>
      </c>
      <c r="Q1924" t="s">
        <v>90</v>
      </c>
      <c r="R1924">
        <v>0</v>
      </c>
      <c r="S1924" t="s">
        <v>90</v>
      </c>
      <c r="T1924">
        <v>0</v>
      </c>
      <c r="U1924" t="s">
        <v>90</v>
      </c>
      <c r="V1924">
        <v>0</v>
      </c>
      <c r="W1924" t="s">
        <v>90</v>
      </c>
      <c r="X1924">
        <v>0</v>
      </c>
      <c r="Y1924">
        <v>1.508500800135933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69</v>
      </c>
      <c r="AF1924">
        <v>55</v>
      </c>
      <c r="AG1924">
        <v>25</v>
      </c>
      <c r="AI1924">
        <v>0.20499999999999999</v>
      </c>
      <c r="AK1924" t="s">
        <v>5035</v>
      </c>
      <c r="AL1924" t="s">
        <v>96</v>
      </c>
      <c r="AM1924">
        <v>200000</v>
      </c>
      <c r="AN1924" t="s">
        <v>97</v>
      </c>
      <c r="AO1924">
        <v>1</v>
      </c>
      <c r="AP1924">
        <v>0</v>
      </c>
      <c r="AQ1924">
        <v>16666.666666666668</v>
      </c>
      <c r="AR1924" t="s">
        <v>6300</v>
      </c>
      <c r="AS1924" t="s">
        <v>75</v>
      </c>
      <c r="AX1924" t="s">
        <v>76</v>
      </c>
      <c r="AY1924" t="s">
        <v>176</v>
      </c>
      <c r="AZ1924">
        <v>0</v>
      </c>
      <c r="BA1924" t="s">
        <v>176</v>
      </c>
      <c r="BB1924">
        <v>0</v>
      </c>
    </row>
    <row r="1925" spans="1:56" x14ac:dyDescent="0.15">
      <c r="A1925" s="4" t="str">
        <f>HYPERLINK("https://ibp.a2mac1.com/costing(costing:projects/details/9760/part/8416296)","On Door")</f>
        <v>On Door</v>
      </c>
      <c r="B1925">
        <v>8416296</v>
      </c>
      <c r="C1925">
        <v>8415959</v>
      </c>
      <c r="D1925" t="s">
        <v>5348</v>
      </c>
      <c r="E1925">
        <v>7.0391195000000004E-2</v>
      </c>
      <c r="F1925">
        <v>0</v>
      </c>
      <c r="G1925">
        <v>0</v>
      </c>
      <c r="H1925">
        <v>1.4976850000000001E-6</v>
      </c>
      <c r="I1925" t="s">
        <v>176</v>
      </c>
      <c r="J1925">
        <v>2.6209487500000002E-3</v>
      </c>
      <c r="K1925">
        <v>7.3013641434999998E-2</v>
      </c>
      <c r="L1925">
        <v>0.22608553666765549</v>
      </c>
      <c r="M1925">
        <v>1.3565132200059329</v>
      </c>
      <c r="N1925">
        <v>1.4295268614409329</v>
      </c>
      <c r="O1925" t="s">
        <v>90</v>
      </c>
      <c r="P1925">
        <v>0</v>
      </c>
      <c r="Q1925" t="s">
        <v>90</v>
      </c>
      <c r="R1925">
        <v>0</v>
      </c>
      <c r="S1925" t="s">
        <v>90</v>
      </c>
      <c r="T1925">
        <v>0</v>
      </c>
      <c r="U1925" t="s">
        <v>90</v>
      </c>
      <c r="V1925">
        <v>0</v>
      </c>
      <c r="W1925" t="s">
        <v>90</v>
      </c>
      <c r="X1925">
        <v>0</v>
      </c>
      <c r="Y1925">
        <v>1.4295268614409329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41</v>
      </c>
      <c r="AF1925">
        <v>51</v>
      </c>
      <c r="AG1925">
        <v>50</v>
      </c>
      <c r="AI1925">
        <v>0.122</v>
      </c>
      <c r="AK1925" t="s">
        <v>5035</v>
      </c>
      <c r="AL1925" t="s">
        <v>96</v>
      </c>
      <c r="AM1925">
        <v>200000</v>
      </c>
      <c r="AN1925" t="s">
        <v>97</v>
      </c>
      <c r="AO1925">
        <v>1</v>
      </c>
      <c r="AP1925">
        <v>0</v>
      </c>
      <c r="AQ1925">
        <v>16666.666666666668</v>
      </c>
      <c r="AR1925" t="s">
        <v>6303</v>
      </c>
      <c r="AS1925" t="s">
        <v>75</v>
      </c>
      <c r="AX1925" t="s">
        <v>76</v>
      </c>
      <c r="AY1925" t="s">
        <v>176</v>
      </c>
      <c r="AZ1925">
        <v>0</v>
      </c>
      <c r="BA1925" t="s">
        <v>176</v>
      </c>
      <c r="BB1925">
        <v>0</v>
      </c>
    </row>
    <row r="1926" spans="1:56" x14ac:dyDescent="0.15">
      <c r="A1926" s="4" t="str">
        <f>HYPERLINK("https://ibp.a2mac1.com/costing(costing:projects/details/9760/part/8415956)","Door Stopper")</f>
        <v>Door Stopper</v>
      </c>
      <c r="B1926">
        <v>8415956</v>
      </c>
      <c r="C1926">
        <v>8415666</v>
      </c>
      <c r="D1926" t="s">
        <v>6263</v>
      </c>
      <c r="E1926">
        <v>2.1</v>
      </c>
      <c r="F1926">
        <v>0</v>
      </c>
      <c r="G1926">
        <v>0</v>
      </c>
      <c r="H1926">
        <v>0</v>
      </c>
      <c r="I1926" t="s">
        <v>71</v>
      </c>
      <c r="J1926">
        <v>0</v>
      </c>
      <c r="K1926">
        <v>2.1</v>
      </c>
      <c r="L1926">
        <v>0</v>
      </c>
      <c r="M1926">
        <v>0</v>
      </c>
      <c r="N1926">
        <v>2.1</v>
      </c>
      <c r="O1926" t="s">
        <v>71</v>
      </c>
      <c r="P1926">
        <v>0</v>
      </c>
      <c r="Q1926" t="s">
        <v>71</v>
      </c>
      <c r="R1926">
        <v>0</v>
      </c>
      <c r="S1926" t="s">
        <v>71</v>
      </c>
      <c r="T1926">
        <v>0</v>
      </c>
      <c r="U1926" t="s">
        <v>71</v>
      </c>
      <c r="V1926">
        <v>0</v>
      </c>
      <c r="W1926" t="s">
        <v>71</v>
      </c>
      <c r="X1926">
        <v>0</v>
      </c>
      <c r="Y1926">
        <v>2.1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37</v>
      </c>
      <c r="AF1926">
        <v>197</v>
      </c>
      <c r="AG1926">
        <v>88</v>
      </c>
      <c r="AI1926">
        <v>0.16800000000000001</v>
      </c>
      <c r="AK1926" t="s">
        <v>5281</v>
      </c>
      <c r="AL1926" t="s">
        <v>5364</v>
      </c>
      <c r="AM1926">
        <v>200000</v>
      </c>
      <c r="AN1926" t="s">
        <v>97</v>
      </c>
      <c r="AO1926">
        <v>1</v>
      </c>
      <c r="AP1926">
        <v>0</v>
      </c>
      <c r="AQ1926">
        <v>16666.666666666668</v>
      </c>
      <c r="AR1926" t="s">
        <v>6305</v>
      </c>
      <c r="AS1926" t="s">
        <v>75</v>
      </c>
      <c r="AX1926" t="s">
        <v>76</v>
      </c>
      <c r="AY1926" t="s">
        <v>71</v>
      </c>
      <c r="AZ1926">
        <v>0</v>
      </c>
      <c r="BA1926" t="s">
        <v>71</v>
      </c>
      <c r="BB1926">
        <v>0</v>
      </c>
      <c r="BD1926">
        <v>2.1</v>
      </c>
    </row>
    <row r="1927" spans="1:56" x14ac:dyDescent="0.15">
      <c r="A1927" s="4" t="str">
        <f>HYPERLINK("https://ibp.a2mac1.com/costing(costing:projects/details/9760/part/8415957)","Door Stopper Protection")</f>
        <v>Door Stopper Protection</v>
      </c>
      <c r="B1927">
        <v>8415957</v>
      </c>
      <c r="C1927">
        <v>8415666</v>
      </c>
      <c r="D1927" t="s">
        <v>6308</v>
      </c>
      <c r="E1927">
        <v>4.5214049999999999E-2</v>
      </c>
      <c r="F1927">
        <v>0</v>
      </c>
      <c r="G1927">
        <v>0</v>
      </c>
      <c r="H1927">
        <v>2.2935648421052631E-4</v>
      </c>
      <c r="I1927" t="s">
        <v>176</v>
      </c>
      <c r="J1927">
        <v>1.586457894736842E-3</v>
      </c>
      <c r="K1927">
        <v>4.7029864378947371E-2</v>
      </c>
      <c r="L1927">
        <v>1.5783251295997008E-3</v>
      </c>
      <c r="M1927">
        <v>9.4699507775982041E-3</v>
      </c>
      <c r="N1927">
        <v>5.649981515654557E-2</v>
      </c>
      <c r="O1927" t="s">
        <v>177</v>
      </c>
      <c r="P1927">
        <v>2.8217918627368422E-3</v>
      </c>
      <c r="Q1927" t="s">
        <v>177</v>
      </c>
      <c r="R1927">
        <v>5.6819704665589225E-4</v>
      </c>
      <c r="S1927" t="s">
        <v>178</v>
      </c>
      <c r="T1927">
        <v>6.7799778187854686E-3</v>
      </c>
      <c r="U1927" t="s">
        <v>90</v>
      </c>
      <c r="V1927">
        <v>0</v>
      </c>
      <c r="W1927" t="s">
        <v>90</v>
      </c>
      <c r="X1927">
        <v>0</v>
      </c>
      <c r="Y1927">
        <v>6.6669781884723778E-2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57</v>
      </c>
      <c r="AF1927">
        <v>160</v>
      </c>
      <c r="AG1927">
        <v>87</v>
      </c>
      <c r="AI1927">
        <v>3.4000000000000002E-2</v>
      </c>
      <c r="AK1927" t="s">
        <v>5305</v>
      </c>
      <c r="AL1927" t="s">
        <v>2282</v>
      </c>
      <c r="AM1927">
        <v>200000</v>
      </c>
      <c r="AN1927" t="s">
        <v>97</v>
      </c>
      <c r="AO1927">
        <v>1</v>
      </c>
      <c r="AP1927">
        <v>0</v>
      </c>
      <c r="AQ1927">
        <v>16666.666666666668</v>
      </c>
      <c r="AR1927" t="s">
        <v>6309</v>
      </c>
      <c r="AS1927" t="s">
        <v>75</v>
      </c>
      <c r="AX1927" t="s">
        <v>76</v>
      </c>
      <c r="AY1927" t="s">
        <v>176</v>
      </c>
      <c r="AZ1927">
        <v>0</v>
      </c>
      <c r="BA1927" t="s">
        <v>176</v>
      </c>
      <c r="BB1927">
        <v>0</v>
      </c>
    </row>
    <row r="1928" spans="1:56" x14ac:dyDescent="0.15">
      <c r="A1928" s="4" t="str">
        <f>HYPERLINK("https://ibp.a2mac1.com/costing(costing:projects/details/9760/part/8415960)","Electric window lift control")</f>
        <v>Electric window lift control</v>
      </c>
      <c r="B1928">
        <v>8415960</v>
      </c>
      <c r="C1928">
        <v>8415667</v>
      </c>
      <c r="E1928">
        <v>1.64</v>
      </c>
      <c r="F1928">
        <v>0</v>
      </c>
      <c r="G1928">
        <v>0</v>
      </c>
      <c r="H1928">
        <v>0</v>
      </c>
      <c r="I1928" t="s">
        <v>71</v>
      </c>
      <c r="J1928">
        <v>0</v>
      </c>
      <c r="K1928">
        <v>1.64</v>
      </c>
      <c r="L1928">
        <v>0</v>
      </c>
      <c r="M1928">
        <v>0</v>
      </c>
      <c r="N1928">
        <v>1.64</v>
      </c>
      <c r="O1928" t="s">
        <v>71</v>
      </c>
      <c r="P1928">
        <v>0</v>
      </c>
      <c r="Q1928" t="s">
        <v>71</v>
      </c>
      <c r="R1928">
        <v>0</v>
      </c>
      <c r="S1928" t="s">
        <v>71</v>
      </c>
      <c r="T1928">
        <v>0</v>
      </c>
      <c r="U1928" t="s">
        <v>71</v>
      </c>
      <c r="V1928">
        <v>0</v>
      </c>
      <c r="W1928" t="s">
        <v>71</v>
      </c>
      <c r="X1928">
        <v>0</v>
      </c>
      <c r="Y1928">
        <v>1.64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47</v>
      </c>
      <c r="AF1928">
        <v>37</v>
      </c>
      <c r="AG1928">
        <v>56</v>
      </c>
      <c r="AI1928">
        <v>2.5000000000000001E-2</v>
      </c>
      <c r="AK1928" t="s">
        <v>365</v>
      </c>
      <c r="AL1928" t="s">
        <v>466</v>
      </c>
      <c r="AM1928">
        <v>200000</v>
      </c>
      <c r="AN1928" t="s">
        <v>97</v>
      </c>
      <c r="AO1928">
        <v>1</v>
      </c>
      <c r="AP1928">
        <v>0</v>
      </c>
      <c r="AQ1928">
        <v>16666.666666666668</v>
      </c>
      <c r="AR1928" t="s">
        <v>6312</v>
      </c>
      <c r="AS1928" t="s">
        <v>75</v>
      </c>
      <c r="AX1928" t="s">
        <v>76</v>
      </c>
      <c r="AY1928" t="s">
        <v>71</v>
      </c>
      <c r="AZ1928">
        <v>0</v>
      </c>
      <c r="BA1928" t="s">
        <v>71</v>
      </c>
      <c r="BB1928">
        <v>0</v>
      </c>
      <c r="BD1928">
        <v>1.64</v>
      </c>
    </row>
    <row r="1929" spans="1:56" x14ac:dyDescent="0.15">
      <c r="A1929" s="4" t="str">
        <f>HYPERLINK("https://ibp.a2mac1.com/costing(costing:projects/details/9760/part/8415961)","Switch Support")</f>
        <v>Switch Support</v>
      </c>
      <c r="B1929">
        <v>8415961</v>
      </c>
      <c r="C1929">
        <v>8415667</v>
      </c>
      <c r="D1929" t="s">
        <v>5229</v>
      </c>
      <c r="E1929">
        <v>2.1229068E-2</v>
      </c>
      <c r="F1929">
        <v>0</v>
      </c>
      <c r="G1929">
        <v>0</v>
      </c>
      <c r="H1929">
        <v>1.0768830484210526E-4</v>
      </c>
      <c r="I1929" t="s">
        <v>176</v>
      </c>
      <c r="J1929">
        <v>7.4487957894736839E-4</v>
      </c>
      <c r="K1929">
        <v>2.2081635883789474E-2</v>
      </c>
      <c r="L1929">
        <v>9.42055555662452E-5</v>
      </c>
      <c r="M1929">
        <v>5.6523333339747125E-4</v>
      </c>
      <c r="N1929">
        <v>2.2646869217186946E-2</v>
      </c>
      <c r="O1929" t="s">
        <v>177</v>
      </c>
      <c r="P1929">
        <v>1.3248981530273685E-3</v>
      </c>
      <c r="Q1929" t="s">
        <v>177</v>
      </c>
      <c r="R1929">
        <v>3.3914000003848275E-5</v>
      </c>
      <c r="S1929" t="s">
        <v>178</v>
      </c>
      <c r="T1929">
        <v>2.7176243060624333E-3</v>
      </c>
      <c r="U1929" t="s">
        <v>90</v>
      </c>
      <c r="V1929">
        <v>0</v>
      </c>
      <c r="W1929" t="s">
        <v>90</v>
      </c>
      <c r="X1929">
        <v>0</v>
      </c>
      <c r="Y1929">
        <v>2.6723305676280593E-2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26</v>
      </c>
      <c r="AF1929">
        <v>30</v>
      </c>
      <c r="AG1929">
        <v>50</v>
      </c>
      <c r="AI1929">
        <v>8.0000000000000002E-3</v>
      </c>
      <c r="AK1929" t="s">
        <v>5305</v>
      </c>
      <c r="AL1929" t="s">
        <v>403</v>
      </c>
      <c r="AM1929">
        <v>200000</v>
      </c>
      <c r="AN1929" t="s">
        <v>97</v>
      </c>
      <c r="AO1929">
        <v>1</v>
      </c>
      <c r="AP1929">
        <v>0</v>
      </c>
      <c r="AQ1929">
        <v>16666.666666666668</v>
      </c>
      <c r="AR1929" t="s">
        <v>6315</v>
      </c>
      <c r="AS1929" t="s">
        <v>75</v>
      </c>
      <c r="AX1929" t="s">
        <v>76</v>
      </c>
      <c r="AY1929" t="s">
        <v>176</v>
      </c>
      <c r="AZ1929">
        <v>0</v>
      </c>
      <c r="BA1929" t="s">
        <v>176</v>
      </c>
      <c r="BB1929">
        <v>0</v>
      </c>
    </row>
    <row r="1930" spans="1:56" x14ac:dyDescent="0.15">
      <c r="A1930" s="4" t="str">
        <f>HYPERLINK("https://ibp.a2mac1.com/costing(costing:projects/details/9760/part/8416297)","Light")</f>
        <v>Light</v>
      </c>
      <c r="B1930">
        <v>8416297</v>
      </c>
      <c r="C1930">
        <v>8415964</v>
      </c>
      <c r="E1930">
        <v>1.88</v>
      </c>
      <c r="F1930">
        <v>0</v>
      </c>
      <c r="G1930">
        <v>0</v>
      </c>
      <c r="H1930">
        <v>0</v>
      </c>
      <c r="I1930" t="s">
        <v>71</v>
      </c>
      <c r="J1930">
        <v>0</v>
      </c>
      <c r="K1930">
        <v>1.88</v>
      </c>
      <c r="L1930">
        <v>0</v>
      </c>
      <c r="M1930">
        <v>0</v>
      </c>
      <c r="N1930">
        <v>1.88</v>
      </c>
      <c r="O1930" t="s">
        <v>71</v>
      </c>
      <c r="P1930">
        <v>0</v>
      </c>
      <c r="Q1930" t="s">
        <v>71</v>
      </c>
      <c r="R1930">
        <v>0</v>
      </c>
      <c r="S1930" t="s">
        <v>71</v>
      </c>
      <c r="T1930">
        <v>0</v>
      </c>
      <c r="U1930" t="s">
        <v>71</v>
      </c>
      <c r="V1930">
        <v>0</v>
      </c>
      <c r="W1930" t="s">
        <v>71</v>
      </c>
      <c r="X1930">
        <v>0</v>
      </c>
      <c r="Y1930">
        <v>1.88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20</v>
      </c>
      <c r="AF1930">
        <v>19</v>
      </c>
      <c r="AG1930">
        <v>25</v>
      </c>
      <c r="AI1930">
        <v>8.9999999999999993E-3</v>
      </c>
      <c r="AK1930" t="s">
        <v>365</v>
      </c>
      <c r="AL1930" t="s">
        <v>466</v>
      </c>
      <c r="AM1930">
        <v>200000</v>
      </c>
      <c r="AN1930" t="s">
        <v>97</v>
      </c>
      <c r="AO1930">
        <v>1</v>
      </c>
      <c r="AP1930">
        <v>0</v>
      </c>
      <c r="AQ1930">
        <v>16666.666666666668</v>
      </c>
      <c r="AR1930" t="s">
        <v>6319</v>
      </c>
      <c r="AS1930" t="s">
        <v>75</v>
      </c>
      <c r="AX1930" t="s">
        <v>76</v>
      </c>
      <c r="AY1930" t="s">
        <v>71</v>
      </c>
      <c r="AZ1930">
        <v>0</v>
      </c>
      <c r="BA1930" t="s">
        <v>71</v>
      </c>
      <c r="BB1930">
        <v>0</v>
      </c>
      <c r="BD1930">
        <v>1.88</v>
      </c>
    </row>
    <row r="1931" spans="1:56" x14ac:dyDescent="0.15">
      <c r="A1931" s="4" t="str">
        <f>HYPERLINK("https://ibp.a2mac1.com/costing(costing:projects/details/9760/part/8416298)","Light Diffuser")</f>
        <v>Light Diffuser</v>
      </c>
      <c r="B1931">
        <v>8416298</v>
      </c>
      <c r="C1931">
        <v>8415964</v>
      </c>
      <c r="E1931">
        <v>4.9719123711340206E-2</v>
      </c>
      <c r="F1931">
        <v>0</v>
      </c>
      <c r="G1931">
        <v>0</v>
      </c>
      <c r="H1931">
        <v>1.0257525773195877E-4</v>
      </c>
      <c r="I1931" t="s">
        <v>176</v>
      </c>
      <c r="J1931">
        <v>1.7427835051546392E-3</v>
      </c>
      <c r="K1931">
        <v>5.1564482474226805E-2</v>
      </c>
      <c r="L1931">
        <v>1.3168239404979173E-2</v>
      </c>
      <c r="M1931">
        <v>7.9009436429875041E-2</v>
      </c>
      <c r="N1931">
        <v>0.13057391890410183</v>
      </c>
      <c r="O1931" t="s">
        <v>1326</v>
      </c>
      <c r="P1931">
        <v>2.0625792989690723E-3</v>
      </c>
      <c r="Q1931" t="s">
        <v>1326</v>
      </c>
      <c r="R1931">
        <v>3.1603774571950017E-3</v>
      </c>
      <c r="S1931" t="s">
        <v>177</v>
      </c>
      <c r="T1931">
        <v>7.8344351342461115E-3</v>
      </c>
      <c r="U1931" t="s">
        <v>90</v>
      </c>
      <c r="V1931">
        <v>0</v>
      </c>
      <c r="W1931" t="s">
        <v>90</v>
      </c>
      <c r="X1931">
        <v>0</v>
      </c>
      <c r="Y1931">
        <v>0.14363131079451202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5</v>
      </c>
      <c r="AF1931">
        <v>540</v>
      </c>
      <c r="AG1931">
        <v>40</v>
      </c>
      <c r="AI1931">
        <v>2.3E-2</v>
      </c>
      <c r="AK1931" t="s">
        <v>284</v>
      </c>
      <c r="AL1931" t="s">
        <v>5324</v>
      </c>
      <c r="AM1931">
        <v>200000</v>
      </c>
      <c r="AN1931" t="s">
        <v>97</v>
      </c>
      <c r="AO1931">
        <v>1</v>
      </c>
      <c r="AP1931">
        <v>0</v>
      </c>
      <c r="AQ1931">
        <v>16666.666666666668</v>
      </c>
      <c r="AR1931" t="s">
        <v>6323</v>
      </c>
      <c r="AS1931" t="s">
        <v>75</v>
      </c>
      <c r="AX1931" t="s">
        <v>76</v>
      </c>
      <c r="AY1931" t="s">
        <v>176</v>
      </c>
      <c r="AZ1931">
        <v>0</v>
      </c>
      <c r="BA1931" t="s">
        <v>176</v>
      </c>
      <c r="BB1931">
        <v>0</v>
      </c>
    </row>
    <row r="1932" spans="1:56" x14ac:dyDescent="0.15">
      <c r="A1932" s="4" t="str">
        <f>HYPERLINK("https://ibp.a2mac1.com/costing(costing:projects/details/9760/part/8416299)","Mood Light Diffuser Support")</f>
        <v>Mood Light Diffuser Support</v>
      </c>
      <c r="B1932">
        <v>8416299</v>
      </c>
      <c r="C1932">
        <v>8415964</v>
      </c>
      <c r="E1932">
        <v>2.6393988716494846E-2</v>
      </c>
      <c r="F1932">
        <v>0</v>
      </c>
      <c r="G1932">
        <v>0</v>
      </c>
      <c r="H1932">
        <v>5.4453296701030927E-5</v>
      </c>
      <c r="I1932" t="s">
        <v>176</v>
      </c>
      <c r="J1932">
        <v>9.2517737113402066E-4</v>
      </c>
      <c r="K1932">
        <v>2.7373619384329896E-2</v>
      </c>
      <c r="L1932">
        <v>1.1435973137028465E-2</v>
      </c>
      <c r="M1932">
        <v>6.8615838822170788E-2</v>
      </c>
      <c r="N1932">
        <v>9.5989458206500691E-2</v>
      </c>
      <c r="O1932" t="s">
        <v>177</v>
      </c>
      <c r="P1932">
        <v>1.6424171630597937E-3</v>
      </c>
      <c r="Q1932" t="s">
        <v>177</v>
      </c>
      <c r="R1932">
        <v>4.1169503293302474E-3</v>
      </c>
      <c r="S1932" t="s">
        <v>178</v>
      </c>
      <c r="T1932">
        <v>1.1518734984780083E-2</v>
      </c>
      <c r="U1932" t="s">
        <v>90</v>
      </c>
      <c r="V1932">
        <v>0</v>
      </c>
      <c r="W1932" t="s">
        <v>90</v>
      </c>
      <c r="X1932">
        <v>0</v>
      </c>
      <c r="Y1932">
        <v>0.11326756068367082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25</v>
      </c>
      <c r="AF1932">
        <v>553</v>
      </c>
      <c r="AG1932">
        <v>45</v>
      </c>
      <c r="AI1932">
        <v>2.3E-2</v>
      </c>
      <c r="AK1932" t="s">
        <v>288</v>
      </c>
      <c r="AL1932" t="s">
        <v>6221</v>
      </c>
      <c r="AM1932">
        <v>200000</v>
      </c>
      <c r="AN1932" t="s">
        <v>97</v>
      </c>
      <c r="AO1932">
        <v>1</v>
      </c>
      <c r="AP1932">
        <v>0</v>
      </c>
      <c r="AQ1932">
        <v>16666.666666666668</v>
      </c>
      <c r="AR1932" t="s">
        <v>6327</v>
      </c>
      <c r="AS1932" t="s">
        <v>75</v>
      </c>
      <c r="AX1932" t="s">
        <v>76</v>
      </c>
      <c r="AY1932" t="s">
        <v>176</v>
      </c>
      <c r="AZ1932">
        <v>0</v>
      </c>
      <c r="BA1932" t="s">
        <v>176</v>
      </c>
      <c r="BB1932">
        <v>0</v>
      </c>
    </row>
    <row r="1933" spans="1:56" x14ac:dyDescent="0.15">
      <c r="A1933" s="4" t="str">
        <f>HYPERLINK("https://ibp.a2mac1.com/costing(costing:projects/details/9760/part/8415962)","Harness")</f>
        <v>Harness</v>
      </c>
      <c r="B1933">
        <v>8415962</v>
      </c>
      <c r="C1933">
        <v>8415668</v>
      </c>
      <c r="E1933">
        <v>9.73</v>
      </c>
      <c r="F1933">
        <v>0</v>
      </c>
      <c r="G1933">
        <v>0</v>
      </c>
      <c r="H1933">
        <v>0</v>
      </c>
      <c r="I1933" t="s">
        <v>71</v>
      </c>
      <c r="J1933">
        <v>0</v>
      </c>
      <c r="K1933">
        <v>9.73</v>
      </c>
      <c r="L1933">
        <v>0</v>
      </c>
      <c r="M1933">
        <v>0</v>
      </c>
      <c r="N1933">
        <v>9.73</v>
      </c>
      <c r="O1933" t="s">
        <v>71</v>
      </c>
      <c r="P1933">
        <v>0</v>
      </c>
      <c r="Q1933" t="s">
        <v>71</v>
      </c>
      <c r="R1933">
        <v>0</v>
      </c>
      <c r="S1933" t="s">
        <v>71</v>
      </c>
      <c r="T1933">
        <v>0</v>
      </c>
      <c r="U1933" t="s">
        <v>71</v>
      </c>
      <c r="V1933">
        <v>0</v>
      </c>
      <c r="W1933" t="s">
        <v>71</v>
      </c>
      <c r="X1933">
        <v>0</v>
      </c>
      <c r="Y1933">
        <v>9.73</v>
      </c>
      <c r="Z1933">
        <v>0</v>
      </c>
      <c r="AA1933">
        <v>0</v>
      </c>
      <c r="AB1933">
        <v>0</v>
      </c>
      <c r="AC1933">
        <v>0</v>
      </c>
      <c r="AD1933">
        <v>0</v>
      </c>
      <c r="AI1933">
        <v>0.42499999999999999</v>
      </c>
      <c r="AK1933" t="s">
        <v>323</v>
      </c>
      <c r="AL1933" t="s">
        <v>3168</v>
      </c>
      <c r="AM1933">
        <v>200000</v>
      </c>
      <c r="AN1933" t="s">
        <v>97</v>
      </c>
      <c r="AO1933">
        <v>1</v>
      </c>
      <c r="AP1933">
        <v>0</v>
      </c>
      <c r="AQ1933">
        <v>16666.666666666668</v>
      </c>
      <c r="AR1933" t="s">
        <v>6329</v>
      </c>
      <c r="AS1933" t="s">
        <v>75</v>
      </c>
      <c r="AX1933" t="s">
        <v>76</v>
      </c>
      <c r="AY1933" t="s">
        <v>71</v>
      </c>
      <c r="AZ1933">
        <v>0</v>
      </c>
      <c r="BA1933" t="s">
        <v>71</v>
      </c>
      <c r="BB1933">
        <v>0</v>
      </c>
      <c r="BD1933">
        <v>9.73</v>
      </c>
    </row>
    <row r="1934" spans="1:56" x14ac:dyDescent="0.15">
      <c r="A1934" s="4" t="str">
        <f>HYPERLINK("https://ibp.a2mac1.com/costing(costing:projects/details/9760/part/8415963)","Harness Grommet")</f>
        <v>Harness Grommet</v>
      </c>
      <c r="B1934">
        <v>8415963</v>
      </c>
      <c r="C1934">
        <v>8415668</v>
      </c>
      <c r="D1934" t="s">
        <v>5338</v>
      </c>
      <c r="E1934">
        <v>0</v>
      </c>
      <c r="F1934">
        <v>0</v>
      </c>
      <c r="G1934">
        <v>0</v>
      </c>
      <c r="H1934">
        <v>0</v>
      </c>
      <c r="I1934" t="s">
        <v>176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1326</v>
      </c>
      <c r="P1934">
        <v>0</v>
      </c>
      <c r="Q1934" t="s">
        <v>1326</v>
      </c>
      <c r="R1934">
        <v>0</v>
      </c>
      <c r="S1934" t="s">
        <v>177</v>
      </c>
      <c r="T1934">
        <v>0</v>
      </c>
      <c r="U1934" t="s">
        <v>90</v>
      </c>
      <c r="V1934">
        <v>0</v>
      </c>
      <c r="W1934" t="s">
        <v>90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36</v>
      </c>
      <c r="AF1934">
        <v>90</v>
      </c>
      <c r="AG1934">
        <v>65</v>
      </c>
      <c r="AI1934">
        <v>1E-3</v>
      </c>
      <c r="AK1934" t="s">
        <v>284</v>
      </c>
      <c r="AL1934" t="s">
        <v>289</v>
      </c>
      <c r="AM1934">
        <v>200000</v>
      </c>
      <c r="AN1934" t="s">
        <v>97</v>
      </c>
      <c r="AO1934">
        <v>1</v>
      </c>
      <c r="AP1934">
        <v>0</v>
      </c>
      <c r="AQ1934">
        <v>16666.666666666668</v>
      </c>
      <c r="AR1934" t="s">
        <v>6330</v>
      </c>
      <c r="AS1934" t="s">
        <v>75</v>
      </c>
      <c r="AX1934" t="s">
        <v>76</v>
      </c>
      <c r="AY1934" t="s">
        <v>176</v>
      </c>
      <c r="AZ1934">
        <v>0</v>
      </c>
      <c r="BA1934" t="s">
        <v>176</v>
      </c>
      <c r="BB1934">
        <v>0</v>
      </c>
    </row>
    <row r="1935" spans="1:56" x14ac:dyDescent="0.15">
      <c r="A1935" s="4" t="str">
        <f>HYPERLINK("https://ibp.a2mac1.com/costing(costing:projects/details/9760/part/8416300)","On Body")</f>
        <v>On Body</v>
      </c>
      <c r="B1935">
        <v>8416300</v>
      </c>
      <c r="C1935">
        <v>8415968</v>
      </c>
      <c r="D1935" t="s">
        <v>6337</v>
      </c>
      <c r="E1935">
        <v>3.9120183184210524</v>
      </c>
      <c r="F1935">
        <v>0</v>
      </c>
      <c r="G1935">
        <v>0</v>
      </c>
      <c r="H1935">
        <v>8.0817789894736848E-3</v>
      </c>
      <c r="I1935" t="s">
        <v>176</v>
      </c>
      <c r="J1935">
        <v>0.13731177894736843</v>
      </c>
      <c r="K1935">
        <v>4.0574118763578948</v>
      </c>
      <c r="L1935">
        <v>0.12610470940868315</v>
      </c>
      <c r="M1935">
        <v>0.75662825645209886</v>
      </c>
      <c r="N1935">
        <v>4.8140401328099935</v>
      </c>
      <c r="O1935" t="s">
        <v>177</v>
      </c>
      <c r="P1935">
        <v>0.24344471258147368</v>
      </c>
      <c r="Q1935" t="s">
        <v>177</v>
      </c>
      <c r="R1935">
        <v>4.539769538712593E-2</v>
      </c>
      <c r="S1935" t="s">
        <v>178</v>
      </c>
      <c r="T1935">
        <v>0.57768481593719923</v>
      </c>
      <c r="U1935" t="s">
        <v>90</v>
      </c>
      <c r="V1935">
        <v>0</v>
      </c>
      <c r="W1935" t="s">
        <v>90</v>
      </c>
      <c r="X1935">
        <v>0</v>
      </c>
      <c r="Y1935">
        <v>5.6805673567157928</v>
      </c>
      <c r="Z1935">
        <v>0</v>
      </c>
      <c r="AA1935">
        <v>0</v>
      </c>
      <c r="AB1935">
        <v>0</v>
      </c>
      <c r="AC1935">
        <v>0</v>
      </c>
      <c r="AD1935">
        <v>0</v>
      </c>
      <c r="AF1935">
        <v>33</v>
      </c>
      <c r="AG1935">
        <v>32</v>
      </c>
      <c r="AI1935">
        <v>1.47</v>
      </c>
      <c r="AK1935" t="s">
        <v>5305</v>
      </c>
      <c r="AL1935" t="s">
        <v>4828</v>
      </c>
      <c r="AM1935">
        <v>200000</v>
      </c>
      <c r="AN1935" t="s">
        <v>97</v>
      </c>
      <c r="AO1935">
        <v>1</v>
      </c>
      <c r="AP1935">
        <v>0</v>
      </c>
      <c r="AQ1935">
        <v>16666.666666666668</v>
      </c>
      <c r="AR1935" t="s">
        <v>6338</v>
      </c>
      <c r="AS1935" t="s">
        <v>75</v>
      </c>
      <c r="AX1935" t="s">
        <v>76</v>
      </c>
      <c r="AY1935" t="s">
        <v>176</v>
      </c>
      <c r="AZ1935">
        <v>0</v>
      </c>
      <c r="BA1935" t="s">
        <v>176</v>
      </c>
      <c r="BB1935">
        <v>0</v>
      </c>
    </row>
    <row r="1936" spans="1:56" x14ac:dyDescent="0.15">
      <c r="A1936" s="4" t="str">
        <f>HYPERLINK("https://ibp.a2mac1.com/costing(costing:projects/details/9760/part/8416301)","On Door")</f>
        <v>On Door</v>
      </c>
      <c r="B1936">
        <v>8416301</v>
      </c>
      <c r="C1936">
        <v>8415968</v>
      </c>
      <c r="D1936" t="s">
        <v>6341</v>
      </c>
      <c r="E1936">
        <v>0.63794658900000001</v>
      </c>
      <c r="F1936">
        <v>0</v>
      </c>
      <c r="G1936">
        <v>0</v>
      </c>
      <c r="H1936">
        <v>6.6512727073684207E-4</v>
      </c>
      <c r="I1936" t="s">
        <v>176</v>
      </c>
      <c r="J1936">
        <v>2.2384090842105263E-2</v>
      </c>
      <c r="K1936">
        <v>0.66099580711284212</v>
      </c>
      <c r="L1936">
        <v>0.11031192108116587</v>
      </c>
      <c r="M1936">
        <v>0.66187152648699521</v>
      </c>
      <c r="N1936">
        <v>1.3228673335998373</v>
      </c>
      <c r="O1936" t="s">
        <v>177</v>
      </c>
      <c r="P1936">
        <v>3.9659748426770523E-2</v>
      </c>
      <c r="Q1936" t="s">
        <v>177</v>
      </c>
      <c r="R1936">
        <v>3.9712291589219711E-2</v>
      </c>
      <c r="S1936" t="s">
        <v>178</v>
      </c>
      <c r="T1936">
        <v>0.15874408003198048</v>
      </c>
      <c r="U1936" t="s">
        <v>90</v>
      </c>
      <c r="V1936">
        <v>0</v>
      </c>
      <c r="W1936" t="s">
        <v>90</v>
      </c>
      <c r="X1936">
        <v>0</v>
      </c>
      <c r="Y1936">
        <v>1.560983453647808</v>
      </c>
      <c r="Z1936">
        <v>0</v>
      </c>
      <c r="AA1936">
        <v>0</v>
      </c>
      <c r="AB1936">
        <v>0</v>
      </c>
      <c r="AC1936">
        <v>0</v>
      </c>
      <c r="AD1936">
        <v>0</v>
      </c>
      <c r="AI1936">
        <v>0.218</v>
      </c>
      <c r="AK1936" t="s">
        <v>5305</v>
      </c>
      <c r="AL1936" t="s">
        <v>289</v>
      </c>
      <c r="AM1936">
        <v>200000</v>
      </c>
      <c r="AN1936" t="s">
        <v>97</v>
      </c>
      <c r="AO1936">
        <v>1</v>
      </c>
      <c r="AP1936">
        <v>0</v>
      </c>
      <c r="AQ1936">
        <v>16666.666666666668</v>
      </c>
      <c r="AR1936" t="s">
        <v>6342</v>
      </c>
      <c r="AS1936" t="s">
        <v>75</v>
      </c>
      <c r="AX1936" t="s">
        <v>76</v>
      </c>
      <c r="AY1936" t="s">
        <v>176</v>
      </c>
      <c r="AZ1936">
        <v>0</v>
      </c>
      <c r="BA1936" t="s">
        <v>176</v>
      </c>
      <c r="BB1936">
        <v>0</v>
      </c>
    </row>
    <row r="1937" spans="1:56" x14ac:dyDescent="0.15">
      <c r="A1937" s="4" t="str">
        <f>HYPERLINK("https://ibp.a2mac1.com/costing(costing:projects/details/9760/part/8416302)","On Door Front")</f>
        <v>On Door Front</v>
      </c>
      <c r="B1937">
        <v>8416302</v>
      </c>
      <c r="C1937">
        <v>8415968</v>
      </c>
      <c r="D1937" t="s">
        <v>6345</v>
      </c>
      <c r="E1937">
        <v>0.30273557184210526</v>
      </c>
      <c r="F1937">
        <v>0</v>
      </c>
      <c r="G1937">
        <v>0</v>
      </c>
      <c r="H1937">
        <v>3.1692927157894735E-4</v>
      </c>
      <c r="I1937" t="s">
        <v>176</v>
      </c>
      <c r="J1937">
        <v>1.0665888947368422E-2</v>
      </c>
      <c r="K1937">
        <v>0.31371839006105262</v>
      </c>
      <c r="L1937">
        <v>0.11031192108116587</v>
      </c>
      <c r="M1937">
        <v>0.66187152648699521</v>
      </c>
      <c r="N1937">
        <v>0.97558991654804783</v>
      </c>
      <c r="O1937" t="s">
        <v>177</v>
      </c>
      <c r="P1937">
        <v>1.8823103403663159E-2</v>
      </c>
      <c r="Q1937" t="s">
        <v>177</v>
      </c>
      <c r="R1937">
        <v>3.9712291589219711E-2</v>
      </c>
      <c r="S1937" t="s">
        <v>178</v>
      </c>
      <c r="T1937">
        <v>0.11707078998576574</v>
      </c>
      <c r="U1937" t="s">
        <v>90</v>
      </c>
      <c r="V1937">
        <v>0</v>
      </c>
      <c r="W1937" t="s">
        <v>90</v>
      </c>
      <c r="X1937">
        <v>0</v>
      </c>
      <c r="Y1937">
        <v>1.1511961015266965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17</v>
      </c>
      <c r="AF1937">
        <v>26</v>
      </c>
      <c r="AG1937">
        <v>740</v>
      </c>
      <c r="AI1937">
        <v>0.113</v>
      </c>
      <c r="AK1937" t="s">
        <v>5305</v>
      </c>
      <c r="AL1937" t="s">
        <v>5400</v>
      </c>
      <c r="AM1937">
        <v>200000</v>
      </c>
      <c r="AN1937" t="s">
        <v>97</v>
      </c>
      <c r="AO1937">
        <v>1</v>
      </c>
      <c r="AP1937">
        <v>0</v>
      </c>
      <c r="AQ1937">
        <v>16666.666666666668</v>
      </c>
      <c r="AR1937" t="s">
        <v>6346</v>
      </c>
      <c r="AS1937" t="s">
        <v>75</v>
      </c>
      <c r="AX1937" t="s">
        <v>76</v>
      </c>
      <c r="AY1937" t="s">
        <v>176</v>
      </c>
      <c r="AZ1937">
        <v>0</v>
      </c>
      <c r="BA1937" t="s">
        <v>176</v>
      </c>
      <c r="BB1937">
        <v>0</v>
      </c>
    </row>
    <row r="1938" spans="1:56" x14ac:dyDescent="0.15">
      <c r="A1938" s="4" t="str">
        <f>HYPERLINK("https://ibp.a2mac1.com/costing(costing:projects/details/9760/part/8415965)","Interior Weatherstrip")</f>
        <v>Interior Weatherstrip</v>
      </c>
      <c r="B1938">
        <v>8415965</v>
      </c>
      <c r="C1938">
        <v>8415669</v>
      </c>
      <c r="D1938" t="s">
        <v>5408</v>
      </c>
      <c r="E1938">
        <v>1.1226339921052633</v>
      </c>
      <c r="F1938">
        <v>0</v>
      </c>
      <c r="G1938">
        <v>0</v>
      </c>
      <c r="H1938">
        <v>1.1737034947368421E-3</v>
      </c>
      <c r="I1938" t="s">
        <v>176</v>
      </c>
      <c r="J1938">
        <v>3.9499636842105265E-2</v>
      </c>
      <c r="K1938">
        <v>1.1633073324421053</v>
      </c>
      <c r="L1938">
        <v>4.918855572128588E-2</v>
      </c>
      <c r="M1938">
        <v>0.29513133432771527</v>
      </c>
      <c r="N1938">
        <v>1.4584386667698206</v>
      </c>
      <c r="O1938" t="s">
        <v>177</v>
      </c>
      <c r="P1938">
        <v>6.9798439946526319E-2</v>
      </c>
      <c r="Q1938" t="s">
        <v>177</v>
      </c>
      <c r="R1938">
        <v>1.7707880059662916E-2</v>
      </c>
      <c r="S1938" t="s">
        <v>178</v>
      </c>
      <c r="T1938">
        <v>0.17501264001237846</v>
      </c>
      <c r="U1938" t="s">
        <v>90</v>
      </c>
      <c r="V1938">
        <v>0</v>
      </c>
      <c r="W1938" t="s">
        <v>90</v>
      </c>
      <c r="X1938">
        <v>0</v>
      </c>
      <c r="Y1938">
        <v>1.7209576267883882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28</v>
      </c>
      <c r="AF1938">
        <v>975</v>
      </c>
      <c r="AG1938">
        <v>135</v>
      </c>
      <c r="AI1938">
        <v>0.40500000000000003</v>
      </c>
      <c r="AK1938" t="s">
        <v>5305</v>
      </c>
      <c r="AL1938" t="s">
        <v>5400</v>
      </c>
      <c r="AM1938">
        <v>200000</v>
      </c>
      <c r="AN1938" t="s">
        <v>97</v>
      </c>
      <c r="AO1938">
        <v>1</v>
      </c>
      <c r="AP1938">
        <v>0</v>
      </c>
      <c r="AQ1938">
        <v>16666.666666666668</v>
      </c>
      <c r="AR1938" t="s">
        <v>6350</v>
      </c>
      <c r="AS1938" t="s">
        <v>75</v>
      </c>
      <c r="AX1938" t="s">
        <v>76</v>
      </c>
      <c r="AY1938" t="s">
        <v>176</v>
      </c>
      <c r="AZ1938">
        <v>0</v>
      </c>
      <c r="BA1938" t="s">
        <v>176</v>
      </c>
      <c r="BB1938">
        <v>0</v>
      </c>
    </row>
    <row r="1939" spans="1:56" x14ac:dyDescent="0.15">
      <c r="A1939" s="4" t="str">
        <f>HYPERLINK("https://ibp.a2mac1.com/costing(costing:projects/details/9760/part/8415966)","Exterior Weatherstrip")</f>
        <v>Exterior Weatherstrip</v>
      </c>
      <c r="B1939">
        <v>8415966</v>
      </c>
      <c r="C1939">
        <v>8415669</v>
      </c>
      <c r="D1939" t="s">
        <v>5408</v>
      </c>
      <c r="E1939">
        <v>0.71533903249999997</v>
      </c>
      <c r="F1939">
        <v>0</v>
      </c>
      <c r="G1939">
        <v>0</v>
      </c>
      <c r="H1939">
        <v>7.4889321684210529E-4</v>
      </c>
      <c r="I1939" t="s">
        <v>176</v>
      </c>
      <c r="J1939">
        <v>2.5203137105263156E-2</v>
      </c>
      <c r="K1939">
        <v>0.74129106282210522</v>
      </c>
      <c r="L1939">
        <v>3.696388264930988E-2</v>
      </c>
      <c r="M1939">
        <v>0.22178329589585927</v>
      </c>
      <c r="N1939">
        <v>0.96307435871796454</v>
      </c>
      <c r="O1939" t="s">
        <v>177</v>
      </c>
      <c r="P1939">
        <v>4.4477463769326313E-2</v>
      </c>
      <c r="Q1939" t="s">
        <v>177</v>
      </c>
      <c r="R1939">
        <v>1.3306997753751557E-2</v>
      </c>
      <c r="S1939" t="s">
        <v>178</v>
      </c>
      <c r="T1939">
        <v>0.11556892304615575</v>
      </c>
      <c r="U1939" t="s">
        <v>90</v>
      </c>
      <c r="V1939">
        <v>0</v>
      </c>
      <c r="W1939" t="s">
        <v>90</v>
      </c>
      <c r="X1939">
        <v>0</v>
      </c>
      <c r="Y1939">
        <v>1.1364277432871981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23</v>
      </c>
      <c r="AF1939">
        <v>975</v>
      </c>
      <c r="AG1939">
        <v>52</v>
      </c>
      <c r="AI1939">
        <v>0.26100000000000001</v>
      </c>
      <c r="AK1939" t="s">
        <v>5305</v>
      </c>
      <c r="AL1939" t="s">
        <v>5400</v>
      </c>
      <c r="AM1939">
        <v>200000</v>
      </c>
      <c r="AN1939" t="s">
        <v>97</v>
      </c>
      <c r="AO1939">
        <v>1</v>
      </c>
      <c r="AP1939">
        <v>0</v>
      </c>
      <c r="AQ1939">
        <v>16666.666666666668</v>
      </c>
      <c r="AR1939" t="s">
        <v>6353</v>
      </c>
      <c r="AS1939" t="s">
        <v>75</v>
      </c>
      <c r="AX1939" t="s">
        <v>76</v>
      </c>
      <c r="AY1939" t="s">
        <v>176</v>
      </c>
      <c r="AZ1939">
        <v>0</v>
      </c>
      <c r="BA1939" t="s">
        <v>176</v>
      </c>
      <c r="BB1939">
        <v>0</v>
      </c>
    </row>
    <row r="1940" spans="1:56" x14ac:dyDescent="0.15">
      <c r="A1940" s="4" t="str">
        <f>HYPERLINK("https://ibp.a2mac1.com/costing(costing:projects/details/9760/part/8415967)","2nd Exterior Weatherstrip")</f>
        <v>2nd Exterior Weatherstrip</v>
      </c>
      <c r="B1940">
        <v>8415967</v>
      </c>
      <c r="C1940">
        <v>8415669</v>
      </c>
      <c r="D1940" t="s">
        <v>6356</v>
      </c>
      <c r="E1940">
        <v>0.17690338931319882</v>
      </c>
      <c r="F1940">
        <v>0</v>
      </c>
      <c r="G1940">
        <v>0</v>
      </c>
      <c r="H1940">
        <v>1.8708249383675253E-4</v>
      </c>
      <c r="I1940" t="s">
        <v>176</v>
      </c>
      <c r="J1940">
        <v>6.2960454656599413E-3</v>
      </c>
      <c r="K1940">
        <v>0.1833865172726955</v>
      </c>
      <c r="L1940">
        <v>3.4581168742771451E-2</v>
      </c>
      <c r="M1940">
        <v>0.20748701245662871</v>
      </c>
      <c r="N1940">
        <v>0.39087352972932421</v>
      </c>
      <c r="O1940" t="s">
        <v>177</v>
      </c>
      <c r="P1940">
        <v>1.100319103636173E-2</v>
      </c>
      <c r="Q1940" t="s">
        <v>177</v>
      </c>
      <c r="R1940">
        <v>1.2449220747397722E-2</v>
      </c>
      <c r="S1940" t="s">
        <v>178</v>
      </c>
      <c r="T1940">
        <v>4.6904823567518905E-2</v>
      </c>
      <c r="U1940" t="s">
        <v>90</v>
      </c>
      <c r="V1940">
        <v>0</v>
      </c>
      <c r="W1940" t="s">
        <v>90</v>
      </c>
      <c r="X1940">
        <v>0</v>
      </c>
      <c r="Y1940">
        <v>0.46123076508060257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6</v>
      </c>
      <c r="AF1940">
        <v>975</v>
      </c>
      <c r="AG1940">
        <v>42</v>
      </c>
      <c r="AI1940">
        <v>7.1999999999999995E-2</v>
      </c>
      <c r="AK1940" t="s">
        <v>5305</v>
      </c>
      <c r="AL1940" t="s">
        <v>104</v>
      </c>
      <c r="AM1940">
        <v>200000</v>
      </c>
      <c r="AN1940" t="s">
        <v>97</v>
      </c>
      <c r="AO1940">
        <v>1</v>
      </c>
      <c r="AP1940">
        <v>0</v>
      </c>
      <c r="AQ1940">
        <v>16666.666666666668</v>
      </c>
      <c r="AR1940" t="s">
        <v>6357</v>
      </c>
      <c r="AS1940" t="s">
        <v>75</v>
      </c>
      <c r="AX1940" t="s">
        <v>76</v>
      </c>
      <c r="AY1940" t="s">
        <v>176</v>
      </c>
      <c r="AZ1940">
        <v>0</v>
      </c>
      <c r="BA1940" t="s">
        <v>176</v>
      </c>
      <c r="BB1940">
        <v>0</v>
      </c>
    </row>
    <row r="1941" spans="1:56" x14ac:dyDescent="0.15">
      <c r="A1941" s="4" t="str">
        <f>HYPERLINK("https://ibp.a2mac1.com/costing(costing:projects/details/9760/part/8416303)","Glas Panel")</f>
        <v>Glas Panel</v>
      </c>
      <c r="B1941">
        <v>8416303</v>
      </c>
      <c r="C1941">
        <v>8415971</v>
      </c>
      <c r="E1941">
        <v>10.904400000000001</v>
      </c>
      <c r="F1941">
        <v>0</v>
      </c>
      <c r="G1941">
        <v>0</v>
      </c>
      <c r="H1941">
        <v>5.5176264000000003E-2</v>
      </c>
      <c r="I1941" t="s">
        <v>176</v>
      </c>
      <c r="J1941">
        <v>0.38165399999999999</v>
      </c>
      <c r="K1941">
        <v>11.341230264</v>
      </c>
      <c r="L1941">
        <v>1.325155021220132</v>
      </c>
      <c r="M1941">
        <v>7.9509301273207917</v>
      </c>
      <c r="N1941">
        <v>19.292160391320792</v>
      </c>
      <c r="O1941" t="s">
        <v>90</v>
      </c>
      <c r="P1941">
        <v>0</v>
      </c>
      <c r="Q1941" t="s">
        <v>90</v>
      </c>
      <c r="R1941">
        <v>0</v>
      </c>
      <c r="S1941" t="s">
        <v>90</v>
      </c>
      <c r="T1941">
        <v>0</v>
      </c>
      <c r="U1941" t="s">
        <v>90</v>
      </c>
      <c r="V1941">
        <v>0</v>
      </c>
      <c r="W1941" t="s">
        <v>90</v>
      </c>
      <c r="X1941">
        <v>0</v>
      </c>
      <c r="Y1941">
        <v>19.292160391320792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K1941" t="s">
        <v>272</v>
      </c>
      <c r="AM1941">
        <v>200000</v>
      </c>
      <c r="AN1941" t="s">
        <v>73</v>
      </c>
      <c r="AO1941">
        <v>1</v>
      </c>
      <c r="AP1941">
        <v>0</v>
      </c>
      <c r="AQ1941">
        <v>16666.666666666668</v>
      </c>
      <c r="AR1941" t="s">
        <v>9</v>
      </c>
      <c r="AS1941" t="s">
        <v>75</v>
      </c>
      <c r="AX1941" t="s">
        <v>76</v>
      </c>
      <c r="AY1941" t="s">
        <v>176</v>
      </c>
      <c r="AZ1941">
        <v>0</v>
      </c>
      <c r="BA1941" t="s">
        <v>176</v>
      </c>
      <c r="BB1941">
        <v>0</v>
      </c>
    </row>
    <row r="1942" spans="1:56" x14ac:dyDescent="0.15">
      <c r="A1942" s="4" t="str">
        <f>HYPERLINK("https://ibp.a2mac1.com/costing(costing:projects/details/9760/part/8415969)","Window Regulator")</f>
        <v>Window Regulator</v>
      </c>
      <c r="B1942">
        <v>8415969</v>
      </c>
      <c r="C1942">
        <v>8415670</v>
      </c>
      <c r="D1942" t="s">
        <v>6167</v>
      </c>
      <c r="E1942">
        <v>7.25</v>
      </c>
      <c r="F1942">
        <v>0</v>
      </c>
      <c r="G1942">
        <v>0</v>
      </c>
      <c r="H1942">
        <v>0</v>
      </c>
      <c r="I1942" t="s">
        <v>71</v>
      </c>
      <c r="J1942">
        <v>0</v>
      </c>
      <c r="K1942">
        <v>7.25</v>
      </c>
      <c r="L1942">
        <v>0</v>
      </c>
      <c r="M1942">
        <v>0</v>
      </c>
      <c r="N1942">
        <v>7.25</v>
      </c>
      <c r="O1942" t="s">
        <v>71</v>
      </c>
      <c r="P1942">
        <v>0</v>
      </c>
      <c r="Q1942" t="s">
        <v>71</v>
      </c>
      <c r="R1942">
        <v>0</v>
      </c>
      <c r="S1942" t="s">
        <v>71</v>
      </c>
      <c r="T1942">
        <v>0</v>
      </c>
      <c r="U1942" t="s">
        <v>71</v>
      </c>
      <c r="V1942">
        <v>0</v>
      </c>
      <c r="W1942" t="s">
        <v>71</v>
      </c>
      <c r="X1942">
        <v>0</v>
      </c>
      <c r="Y1942">
        <v>7.25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53</v>
      </c>
      <c r="AF1942">
        <v>415</v>
      </c>
      <c r="AG1942">
        <v>526</v>
      </c>
      <c r="AI1942">
        <v>0.99399999999999999</v>
      </c>
      <c r="AK1942" t="s">
        <v>5281</v>
      </c>
      <c r="AL1942" t="s">
        <v>6168</v>
      </c>
      <c r="AM1942">
        <v>200000</v>
      </c>
      <c r="AN1942" t="s">
        <v>97</v>
      </c>
      <c r="AO1942">
        <v>1</v>
      </c>
      <c r="AP1942">
        <v>0</v>
      </c>
      <c r="AQ1942">
        <v>16666.666666666668</v>
      </c>
      <c r="AR1942" t="s">
        <v>6367</v>
      </c>
      <c r="AS1942" t="s">
        <v>75</v>
      </c>
      <c r="AX1942" t="s">
        <v>76</v>
      </c>
      <c r="AY1942" t="s">
        <v>71</v>
      </c>
      <c r="AZ1942">
        <v>0</v>
      </c>
      <c r="BA1942" t="s">
        <v>71</v>
      </c>
      <c r="BB1942">
        <v>0</v>
      </c>
      <c r="BD1942">
        <v>7.25</v>
      </c>
    </row>
    <row r="1943" spans="1:56" x14ac:dyDescent="0.15">
      <c r="A1943" s="4" t="str">
        <f>HYPERLINK("https://ibp.a2mac1.com/costing(costing:projects/details/9760/part/8416304)","Opening Control")</f>
        <v>Opening Control</v>
      </c>
      <c r="B1943">
        <v>8416304</v>
      </c>
      <c r="C1943">
        <v>8415974</v>
      </c>
      <c r="D1943" t="s">
        <v>5433</v>
      </c>
      <c r="E1943">
        <v>3.1301087999999998E-2</v>
      </c>
      <c r="F1943">
        <v>0</v>
      </c>
      <c r="G1943">
        <v>0</v>
      </c>
      <c r="H1943">
        <v>1.5878045642105264E-4</v>
      </c>
      <c r="I1943" t="s">
        <v>176</v>
      </c>
      <c r="J1943">
        <v>1.0982837894736842E-3</v>
      </c>
      <c r="K1943">
        <v>3.2558152245894735E-2</v>
      </c>
      <c r="L1943">
        <v>3.0171767124431421E-4</v>
      </c>
      <c r="M1943">
        <v>1.8103060274658853E-3</v>
      </c>
      <c r="N1943">
        <v>3.4368458273360623E-2</v>
      </c>
      <c r="O1943" t="s">
        <v>177</v>
      </c>
      <c r="P1943">
        <v>1.953489134753684E-3</v>
      </c>
      <c r="Q1943" t="s">
        <v>177</v>
      </c>
      <c r="R1943">
        <v>1.0861836164795312E-4</v>
      </c>
      <c r="S1943" t="s">
        <v>178</v>
      </c>
      <c r="T1943">
        <v>4.1242149928032747E-3</v>
      </c>
      <c r="U1943" t="s">
        <v>90</v>
      </c>
      <c r="V1943">
        <v>0</v>
      </c>
      <c r="W1943" t="s">
        <v>90</v>
      </c>
      <c r="X1943">
        <v>0</v>
      </c>
      <c r="Y1943">
        <v>4.0554780762565537E-2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39</v>
      </c>
      <c r="AF1943">
        <v>29</v>
      </c>
      <c r="AG1943">
        <v>62</v>
      </c>
      <c r="AI1943">
        <v>1.2999999999999999E-2</v>
      </c>
      <c r="AK1943" t="s">
        <v>5305</v>
      </c>
      <c r="AL1943" t="s">
        <v>2495</v>
      </c>
      <c r="AM1943">
        <v>200000</v>
      </c>
      <c r="AN1943" t="s">
        <v>97</v>
      </c>
      <c r="AO1943">
        <v>1</v>
      </c>
      <c r="AP1943">
        <v>0</v>
      </c>
      <c r="AQ1943">
        <v>16666.666666666668</v>
      </c>
      <c r="AR1943" t="s">
        <v>6373</v>
      </c>
      <c r="AS1943" t="s">
        <v>75</v>
      </c>
      <c r="AX1943" t="s">
        <v>76</v>
      </c>
      <c r="AY1943" t="s">
        <v>176</v>
      </c>
      <c r="AZ1943">
        <v>0</v>
      </c>
      <c r="BA1943" t="s">
        <v>176</v>
      </c>
      <c r="BB1943">
        <v>0</v>
      </c>
    </row>
    <row r="1944" spans="1:56" x14ac:dyDescent="0.15">
      <c r="A1944" s="4" t="str">
        <f>HYPERLINK("https://ibp.a2mac1.com/costing(costing:projects/details/9760/part/8416305)","Opening Control Support")</f>
        <v>Opening Control Support</v>
      </c>
      <c r="B1944">
        <v>8416305</v>
      </c>
      <c r="C1944">
        <v>8415974</v>
      </c>
      <c r="D1944" t="s">
        <v>5217</v>
      </c>
      <c r="E1944">
        <v>0.14999578173195877</v>
      </c>
      <c r="F1944">
        <v>0</v>
      </c>
      <c r="G1944">
        <v>0</v>
      </c>
      <c r="H1944">
        <v>1.5622995793814433E-4</v>
      </c>
      <c r="I1944" t="s">
        <v>176</v>
      </c>
      <c r="J1944">
        <v>5.257738969072165E-3</v>
      </c>
      <c r="K1944">
        <v>0.15540975065896906</v>
      </c>
      <c r="L1944">
        <v>5.5561688591553356E-3</v>
      </c>
      <c r="M1944">
        <v>3.333701315493201E-2</v>
      </c>
      <c r="N1944">
        <v>0.1887467638139011</v>
      </c>
      <c r="O1944" t="s">
        <v>177</v>
      </c>
      <c r="P1944">
        <v>9.3245850395381451E-3</v>
      </c>
      <c r="Q1944" t="s">
        <v>177</v>
      </c>
      <c r="R1944">
        <v>2.0002207892959208E-3</v>
      </c>
      <c r="S1944" t="s">
        <v>178</v>
      </c>
      <c r="T1944">
        <v>2.2649611657668132E-2</v>
      </c>
      <c r="U1944" t="s">
        <v>90</v>
      </c>
      <c r="V1944">
        <v>0</v>
      </c>
      <c r="W1944" t="s">
        <v>90</v>
      </c>
      <c r="X1944">
        <v>0</v>
      </c>
      <c r="Y1944">
        <v>0.22272118130040328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72</v>
      </c>
      <c r="AF1944">
        <v>83</v>
      </c>
      <c r="AG1944">
        <v>125</v>
      </c>
      <c r="AI1944">
        <v>6.7000000000000004E-2</v>
      </c>
      <c r="AK1944" t="s">
        <v>5305</v>
      </c>
      <c r="AL1944" t="s">
        <v>446</v>
      </c>
      <c r="AM1944">
        <v>200000</v>
      </c>
      <c r="AN1944" t="s">
        <v>97</v>
      </c>
      <c r="AO1944">
        <v>1</v>
      </c>
      <c r="AP1944">
        <v>0</v>
      </c>
      <c r="AQ1944">
        <v>16666.666666666668</v>
      </c>
      <c r="AR1944" t="s">
        <v>6376</v>
      </c>
      <c r="AS1944" t="s">
        <v>75</v>
      </c>
      <c r="AX1944" t="s">
        <v>76</v>
      </c>
      <c r="AY1944" t="s">
        <v>176</v>
      </c>
      <c r="AZ1944">
        <v>0</v>
      </c>
      <c r="BA1944" t="s">
        <v>176</v>
      </c>
      <c r="BB1944">
        <v>0</v>
      </c>
    </row>
    <row r="1945" spans="1:56" x14ac:dyDescent="0.15">
      <c r="A1945" s="4" t="str">
        <f>HYPERLINK("https://ibp.a2mac1.com/costing(costing:projects/details/9760/part/8416306)","Spring")</f>
        <v>Spring</v>
      </c>
      <c r="B1945">
        <v>8416306</v>
      </c>
      <c r="C1945">
        <v>8415974</v>
      </c>
      <c r="D1945" t="s">
        <v>6380</v>
      </c>
      <c r="E1945">
        <v>1.2225999999999999E-3</v>
      </c>
      <c r="F1945">
        <v>0</v>
      </c>
      <c r="G1945">
        <v>0</v>
      </c>
      <c r="H1945">
        <v>2.518556E-6</v>
      </c>
      <c r="I1945" t="s">
        <v>176</v>
      </c>
      <c r="J1945">
        <v>4.2790999999999997E-5</v>
      </c>
      <c r="K1945">
        <v>1.267909556E-3</v>
      </c>
      <c r="L1945">
        <v>4.1124777371057047E-2</v>
      </c>
      <c r="M1945">
        <v>0.24674866422634228</v>
      </c>
      <c r="N1945">
        <v>0.24801657378234229</v>
      </c>
      <c r="O1945" t="s">
        <v>177</v>
      </c>
      <c r="P1945">
        <v>7.6074573359999998E-5</v>
      </c>
      <c r="Q1945" t="s">
        <v>177</v>
      </c>
      <c r="R1945">
        <v>1.4804919853580538E-2</v>
      </c>
      <c r="S1945" t="s">
        <v>178</v>
      </c>
      <c r="T1945">
        <v>2.9761988853881073E-2</v>
      </c>
      <c r="U1945" t="s">
        <v>90</v>
      </c>
      <c r="V1945">
        <v>0</v>
      </c>
      <c r="W1945" t="s">
        <v>90</v>
      </c>
      <c r="X1945">
        <v>0</v>
      </c>
      <c r="Y1945">
        <v>0.29265955706316388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8</v>
      </c>
      <c r="AF1945">
        <v>29</v>
      </c>
      <c r="AG1945">
        <v>16</v>
      </c>
      <c r="AI1945">
        <v>2E-3</v>
      </c>
      <c r="AK1945" t="s">
        <v>5305</v>
      </c>
      <c r="AL1945" t="s">
        <v>96</v>
      </c>
      <c r="AM1945">
        <v>200000</v>
      </c>
      <c r="AN1945" t="s">
        <v>97</v>
      </c>
      <c r="AO1945">
        <v>1</v>
      </c>
      <c r="AP1945">
        <v>0</v>
      </c>
      <c r="AQ1945">
        <v>16666.666666666668</v>
      </c>
      <c r="AR1945" t="s">
        <v>6381</v>
      </c>
      <c r="AS1945" t="s">
        <v>75</v>
      </c>
      <c r="AX1945" t="s">
        <v>76</v>
      </c>
      <c r="AY1945" t="s">
        <v>176</v>
      </c>
      <c r="AZ1945">
        <v>0</v>
      </c>
      <c r="BA1945" t="s">
        <v>176</v>
      </c>
      <c r="BB1945">
        <v>0</v>
      </c>
    </row>
    <row r="1946" spans="1:56" x14ac:dyDescent="0.15">
      <c r="A1946" s="4" t="str">
        <f>HYPERLINK("https://ibp.a2mac1.com/costing(costing:projects/details/9760/part/8416307)","Stopper")</f>
        <v>Stopper</v>
      </c>
      <c r="B1946">
        <v>8416307</v>
      </c>
      <c r="C1946">
        <v>8415974</v>
      </c>
      <c r="D1946" t="s">
        <v>6382</v>
      </c>
      <c r="E1946">
        <v>0.1</v>
      </c>
      <c r="F1946">
        <v>0</v>
      </c>
      <c r="G1946">
        <v>0</v>
      </c>
      <c r="H1946">
        <v>0</v>
      </c>
      <c r="I1946" t="s">
        <v>71</v>
      </c>
      <c r="J1946">
        <v>0</v>
      </c>
      <c r="K1946">
        <v>0.1</v>
      </c>
      <c r="L1946">
        <v>0</v>
      </c>
      <c r="M1946">
        <v>0</v>
      </c>
      <c r="N1946">
        <v>0.1</v>
      </c>
      <c r="O1946" t="s">
        <v>71</v>
      </c>
      <c r="P1946">
        <v>0</v>
      </c>
      <c r="Q1946" t="s">
        <v>71</v>
      </c>
      <c r="R1946">
        <v>0</v>
      </c>
      <c r="S1946" t="s">
        <v>71</v>
      </c>
      <c r="T1946">
        <v>0</v>
      </c>
      <c r="U1946" t="s">
        <v>71</v>
      </c>
      <c r="V1946">
        <v>0</v>
      </c>
      <c r="W1946" t="s">
        <v>71</v>
      </c>
      <c r="X1946">
        <v>0</v>
      </c>
      <c r="Y1946">
        <v>0.1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6</v>
      </c>
      <c r="AF1946">
        <v>7</v>
      </c>
      <c r="AG1946">
        <v>7</v>
      </c>
      <c r="AI1946">
        <v>1E-3</v>
      </c>
      <c r="AK1946" t="s">
        <v>5305</v>
      </c>
      <c r="AL1946" t="s">
        <v>4527</v>
      </c>
      <c r="AM1946">
        <v>200000</v>
      </c>
      <c r="AN1946" t="s">
        <v>97</v>
      </c>
      <c r="AO1946">
        <v>1</v>
      </c>
      <c r="AP1946">
        <v>0</v>
      </c>
      <c r="AQ1946">
        <v>16666.666666666668</v>
      </c>
      <c r="AR1946" t="s">
        <v>6383</v>
      </c>
      <c r="AS1946" t="s">
        <v>75</v>
      </c>
      <c r="AX1946" t="s">
        <v>76</v>
      </c>
      <c r="AY1946" t="s">
        <v>71</v>
      </c>
      <c r="AZ1946">
        <v>0</v>
      </c>
      <c r="BA1946" t="s">
        <v>71</v>
      </c>
      <c r="BB1946">
        <v>0</v>
      </c>
      <c r="BD1946">
        <v>0.1</v>
      </c>
    </row>
    <row r="1947" spans="1:56" x14ac:dyDescent="0.15">
      <c r="A1947" s="4" t="str">
        <f>HYPERLINK("https://ibp.a2mac1.com/costing(costing:projects/details/9760/part/8416308)","Switch Opening")</f>
        <v>Switch Opening</v>
      </c>
      <c r="B1947">
        <v>8416308</v>
      </c>
      <c r="C1947">
        <v>8415974</v>
      </c>
      <c r="E1947">
        <v>1.05</v>
      </c>
      <c r="F1947">
        <v>0</v>
      </c>
      <c r="G1947">
        <v>0</v>
      </c>
      <c r="H1947">
        <v>0</v>
      </c>
      <c r="I1947" t="s">
        <v>71</v>
      </c>
      <c r="J1947">
        <v>0</v>
      </c>
      <c r="K1947">
        <v>1.05</v>
      </c>
      <c r="L1947">
        <v>0</v>
      </c>
      <c r="M1947">
        <v>0</v>
      </c>
      <c r="N1947">
        <v>1.05</v>
      </c>
      <c r="O1947" t="s">
        <v>71</v>
      </c>
      <c r="P1947">
        <v>0</v>
      </c>
      <c r="Q1947" t="s">
        <v>71</v>
      </c>
      <c r="R1947">
        <v>0</v>
      </c>
      <c r="S1947" t="s">
        <v>71</v>
      </c>
      <c r="T1947">
        <v>0</v>
      </c>
      <c r="U1947" t="s">
        <v>71</v>
      </c>
      <c r="V1947">
        <v>0</v>
      </c>
      <c r="W1947" t="s">
        <v>71</v>
      </c>
      <c r="X1947">
        <v>0</v>
      </c>
      <c r="Y1947">
        <v>1.05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38</v>
      </c>
      <c r="AF1947">
        <v>47</v>
      </c>
      <c r="AG1947">
        <v>26</v>
      </c>
      <c r="AI1947">
        <v>2.1999999999999999E-2</v>
      </c>
      <c r="AK1947" t="s">
        <v>288</v>
      </c>
      <c r="AL1947" t="s">
        <v>1588</v>
      </c>
      <c r="AM1947">
        <v>200000</v>
      </c>
      <c r="AN1947" t="s">
        <v>97</v>
      </c>
      <c r="AO1947">
        <v>1</v>
      </c>
      <c r="AP1947">
        <v>0</v>
      </c>
      <c r="AQ1947">
        <v>16666.666666666668</v>
      </c>
      <c r="AR1947" t="s">
        <v>6384</v>
      </c>
      <c r="AS1947" t="s">
        <v>75</v>
      </c>
      <c r="AX1947" t="s">
        <v>76</v>
      </c>
      <c r="AY1947" t="s">
        <v>71</v>
      </c>
      <c r="AZ1947">
        <v>0</v>
      </c>
      <c r="BA1947" t="s">
        <v>71</v>
      </c>
      <c r="BB1947">
        <v>0</v>
      </c>
      <c r="BD1947">
        <v>1.05</v>
      </c>
    </row>
    <row r="1948" spans="1:56" x14ac:dyDescent="0.15">
      <c r="A1948" s="4" t="str">
        <f>HYPERLINK("https://ibp.a2mac1.com/costing(costing:projects/details/9760/part/8416309)","Opening Control")</f>
        <v>Opening Control</v>
      </c>
      <c r="B1948">
        <v>8416309</v>
      </c>
      <c r="C1948">
        <v>8415975</v>
      </c>
      <c r="D1948" t="s">
        <v>6389</v>
      </c>
      <c r="E1948">
        <v>0.14999578173195877</v>
      </c>
      <c r="F1948">
        <v>0</v>
      </c>
      <c r="G1948">
        <v>0</v>
      </c>
      <c r="H1948">
        <v>1.5622995793814433E-4</v>
      </c>
      <c r="I1948" t="s">
        <v>176</v>
      </c>
      <c r="J1948">
        <v>5.257738969072165E-3</v>
      </c>
      <c r="K1948">
        <v>0.15540975065896906</v>
      </c>
      <c r="L1948">
        <v>4.4634349952700726E-3</v>
      </c>
      <c r="M1948">
        <v>2.6780609971620437E-2</v>
      </c>
      <c r="N1948">
        <v>0.18219036063058952</v>
      </c>
      <c r="O1948" t="s">
        <v>177</v>
      </c>
      <c r="P1948">
        <v>9.3245850395381451E-3</v>
      </c>
      <c r="Q1948" t="s">
        <v>177</v>
      </c>
      <c r="R1948">
        <v>1.6068365982972262E-3</v>
      </c>
      <c r="S1948" t="s">
        <v>178</v>
      </c>
      <c r="T1948">
        <v>2.186284327567074E-2</v>
      </c>
      <c r="U1948" t="s">
        <v>90</v>
      </c>
      <c r="V1948">
        <v>0</v>
      </c>
      <c r="W1948" t="s">
        <v>90</v>
      </c>
      <c r="X1948">
        <v>0</v>
      </c>
      <c r="Y1948">
        <v>0.21498462554409561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58</v>
      </c>
      <c r="AF1948">
        <v>206</v>
      </c>
      <c r="AG1948">
        <v>56</v>
      </c>
      <c r="AI1948">
        <v>6.8000000000000005E-2</v>
      </c>
      <c r="AK1948" t="s">
        <v>5305</v>
      </c>
      <c r="AL1948" t="s">
        <v>5457</v>
      </c>
      <c r="AM1948">
        <v>200000</v>
      </c>
      <c r="AN1948" t="s">
        <v>97</v>
      </c>
      <c r="AO1948">
        <v>1</v>
      </c>
      <c r="AP1948">
        <v>0</v>
      </c>
      <c r="AQ1948">
        <v>16666.666666666668</v>
      </c>
      <c r="AR1948" t="s">
        <v>6390</v>
      </c>
      <c r="AS1948" t="s">
        <v>75</v>
      </c>
      <c r="AX1948" t="s">
        <v>76</v>
      </c>
      <c r="AY1948" t="s">
        <v>176</v>
      </c>
      <c r="AZ1948">
        <v>0</v>
      </c>
      <c r="BA1948" t="s">
        <v>176</v>
      </c>
      <c r="BB1948">
        <v>0</v>
      </c>
    </row>
    <row r="1949" spans="1:56" x14ac:dyDescent="0.15">
      <c r="A1949" s="4" t="str">
        <f>HYPERLINK("https://ibp.a2mac1.com/costing(costing:projects/details/9760/part/8416310)","Opening Control Support")</f>
        <v>Opening Control Support</v>
      </c>
      <c r="B1949">
        <v>8416310</v>
      </c>
      <c r="C1949">
        <v>8415975</v>
      </c>
      <c r="D1949" t="s">
        <v>6389</v>
      </c>
      <c r="E1949">
        <v>0.61762968948453612</v>
      </c>
      <c r="F1949">
        <v>0</v>
      </c>
      <c r="G1949">
        <v>0</v>
      </c>
      <c r="H1949">
        <v>6.4329982680412371E-4</v>
      </c>
      <c r="I1949" t="s">
        <v>176</v>
      </c>
      <c r="J1949">
        <v>2.1649513402061855E-2</v>
      </c>
      <c r="K1949">
        <v>0.63992250271340201</v>
      </c>
      <c r="L1949">
        <v>2.9674841040629066E-2</v>
      </c>
      <c r="M1949">
        <v>0.17804904624377441</v>
      </c>
      <c r="N1949">
        <v>0.8179715489571765</v>
      </c>
      <c r="O1949" t="s">
        <v>177</v>
      </c>
      <c r="P1949">
        <v>3.8395350162804126E-2</v>
      </c>
      <c r="Q1949" t="s">
        <v>177</v>
      </c>
      <c r="R1949">
        <v>1.0682942774626464E-2</v>
      </c>
      <c r="S1949" t="s">
        <v>178</v>
      </c>
      <c r="T1949">
        <v>9.8156585874861174E-2</v>
      </c>
      <c r="U1949" t="s">
        <v>90</v>
      </c>
      <c r="V1949">
        <v>0</v>
      </c>
      <c r="W1949" t="s">
        <v>90</v>
      </c>
      <c r="X1949">
        <v>0</v>
      </c>
      <c r="Y1949">
        <v>0.96520642776946819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63</v>
      </c>
      <c r="AF1949">
        <v>285</v>
      </c>
      <c r="AG1949">
        <v>168</v>
      </c>
      <c r="AI1949">
        <v>0.28599999999999998</v>
      </c>
      <c r="AK1949" t="s">
        <v>5305</v>
      </c>
      <c r="AL1949" t="s">
        <v>5457</v>
      </c>
      <c r="AM1949">
        <v>200000</v>
      </c>
      <c r="AN1949" t="s">
        <v>97</v>
      </c>
      <c r="AO1949">
        <v>1</v>
      </c>
      <c r="AP1949">
        <v>0</v>
      </c>
      <c r="AQ1949">
        <v>16666.666666666668</v>
      </c>
      <c r="AR1949" t="s">
        <v>6393</v>
      </c>
      <c r="AS1949" t="s">
        <v>75</v>
      </c>
      <c r="AX1949" t="s">
        <v>76</v>
      </c>
      <c r="AY1949" t="s">
        <v>176</v>
      </c>
      <c r="AZ1949">
        <v>0</v>
      </c>
      <c r="BA1949" t="s">
        <v>176</v>
      </c>
      <c r="BB1949">
        <v>0</v>
      </c>
    </row>
    <row r="1950" spans="1:56" x14ac:dyDescent="0.15">
      <c r="A1950" s="4" t="str">
        <f>HYPERLINK("https://ibp.a2mac1.com/costing(costing:projects/details/9760/part/8416311)","Bezel")</f>
        <v>Bezel</v>
      </c>
      <c r="B1950">
        <v>8416311</v>
      </c>
      <c r="C1950">
        <v>8415975</v>
      </c>
      <c r="D1950" t="s">
        <v>6397</v>
      </c>
      <c r="E1950">
        <v>0.20781748451988771</v>
      </c>
      <c r="F1950">
        <v>0</v>
      </c>
      <c r="G1950">
        <v>0</v>
      </c>
      <c r="H1950">
        <v>2.1813174166292757E-3</v>
      </c>
      <c r="I1950" t="s">
        <v>176</v>
      </c>
      <c r="J1950">
        <v>7.2771563712115336E-3</v>
      </c>
      <c r="K1950">
        <v>0.21727595830772853</v>
      </c>
      <c r="L1950">
        <v>0.10803578061978145</v>
      </c>
      <c r="M1950">
        <v>0.64821468371868862</v>
      </c>
      <c r="N1950">
        <v>0.86549064202641712</v>
      </c>
      <c r="O1950" t="s">
        <v>177</v>
      </c>
      <c r="P1950">
        <v>1.3036557498463712E-2</v>
      </c>
      <c r="Q1950" t="s">
        <v>177</v>
      </c>
      <c r="R1950">
        <v>3.8892881023121322E-2</v>
      </c>
      <c r="S1950" t="s">
        <v>178</v>
      </c>
      <c r="T1950">
        <v>0.10385887704317007</v>
      </c>
      <c r="U1950" t="s">
        <v>90</v>
      </c>
      <c r="V1950">
        <v>0</v>
      </c>
      <c r="W1950" t="s">
        <v>90</v>
      </c>
      <c r="X1950">
        <v>0</v>
      </c>
      <c r="Y1950">
        <v>1.0212789575911723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42</v>
      </c>
      <c r="AF1950">
        <v>215</v>
      </c>
      <c r="AG1950">
        <v>27</v>
      </c>
      <c r="AI1950">
        <v>2.5000000000000001E-2</v>
      </c>
      <c r="AK1950" t="s">
        <v>5305</v>
      </c>
      <c r="AL1950" t="s">
        <v>5471</v>
      </c>
      <c r="AM1950">
        <v>200000</v>
      </c>
      <c r="AN1950" t="s">
        <v>97</v>
      </c>
      <c r="AO1950">
        <v>1</v>
      </c>
      <c r="AP1950">
        <v>0</v>
      </c>
      <c r="AQ1950">
        <v>16666.666666666668</v>
      </c>
      <c r="AR1950" t="s">
        <v>6398</v>
      </c>
      <c r="AS1950" t="s">
        <v>75</v>
      </c>
      <c r="AX1950" t="s">
        <v>76</v>
      </c>
      <c r="AY1950" t="s">
        <v>176</v>
      </c>
      <c r="AZ1950">
        <v>0</v>
      </c>
      <c r="BA1950" t="s">
        <v>176</v>
      </c>
      <c r="BB1950">
        <v>0</v>
      </c>
    </row>
    <row r="1951" spans="1:56" x14ac:dyDescent="0.15">
      <c r="A1951" s="4" t="str">
        <f>HYPERLINK("https://ibp.a2mac1.com/costing(costing:projects/details/9760/part/8416312)","2nd Bezel")</f>
        <v>2nd Bezel</v>
      </c>
      <c r="B1951">
        <v>8416312</v>
      </c>
      <c r="C1951">
        <v>8415975</v>
      </c>
      <c r="D1951" t="s">
        <v>6402</v>
      </c>
      <c r="E1951">
        <v>0.26417702709720731</v>
      </c>
      <c r="F1951">
        <v>0</v>
      </c>
      <c r="G1951">
        <v>0</v>
      </c>
      <c r="H1951">
        <v>3.3200038922234156E-3</v>
      </c>
      <c r="I1951" t="s">
        <v>176</v>
      </c>
      <c r="J1951">
        <v>9.2570530451127828E-3</v>
      </c>
      <c r="K1951">
        <v>0.27675408403454349</v>
      </c>
      <c r="L1951">
        <v>0.10190887658593149</v>
      </c>
      <c r="M1951">
        <v>0.61145325951558904</v>
      </c>
      <c r="N1951">
        <v>0.88820734355013253</v>
      </c>
      <c r="O1951" t="s">
        <v>177</v>
      </c>
      <c r="P1951">
        <v>1.660524504207261E-2</v>
      </c>
      <c r="Q1951" t="s">
        <v>177</v>
      </c>
      <c r="R1951">
        <v>3.668719557093534E-2</v>
      </c>
      <c r="S1951" t="s">
        <v>178</v>
      </c>
      <c r="T1951">
        <v>0.10658488122601589</v>
      </c>
      <c r="U1951" t="s">
        <v>90</v>
      </c>
      <c r="V1951">
        <v>0</v>
      </c>
      <c r="W1951" t="s">
        <v>90</v>
      </c>
      <c r="X1951">
        <v>0</v>
      </c>
      <c r="Y1951">
        <v>1.0480846653891562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62</v>
      </c>
      <c r="AF1951">
        <v>225</v>
      </c>
      <c r="AG1951">
        <v>33</v>
      </c>
      <c r="AI1951">
        <v>4.5999999999999999E-2</v>
      </c>
      <c r="AK1951" t="s">
        <v>5305</v>
      </c>
      <c r="AL1951" t="s">
        <v>5471</v>
      </c>
      <c r="AM1951">
        <v>200000</v>
      </c>
      <c r="AN1951" t="s">
        <v>97</v>
      </c>
      <c r="AO1951">
        <v>1</v>
      </c>
      <c r="AP1951">
        <v>0</v>
      </c>
      <c r="AQ1951">
        <v>16666.666666666668</v>
      </c>
      <c r="AR1951" t="s">
        <v>6403</v>
      </c>
      <c r="AS1951" t="s">
        <v>75</v>
      </c>
      <c r="AX1951" t="s">
        <v>76</v>
      </c>
      <c r="AY1951" t="s">
        <v>176</v>
      </c>
      <c r="AZ1951">
        <v>0</v>
      </c>
      <c r="BA1951" t="s">
        <v>176</v>
      </c>
      <c r="BB1951">
        <v>0</v>
      </c>
    </row>
    <row r="1952" spans="1:56" x14ac:dyDescent="0.15">
      <c r="A1952" s="4" t="str">
        <f>HYPERLINK("https://ibp.a2mac1.com/costing(costing:projects/details/9760/part/8416313)","Welcome light")</f>
        <v>Welcome light</v>
      </c>
      <c r="B1952">
        <v>8416313</v>
      </c>
      <c r="C1952">
        <v>8415975</v>
      </c>
      <c r="D1952" t="s">
        <v>6137</v>
      </c>
      <c r="E1952">
        <v>1.25</v>
      </c>
      <c r="F1952">
        <v>0</v>
      </c>
      <c r="G1952">
        <v>0</v>
      </c>
      <c r="H1952">
        <v>0</v>
      </c>
      <c r="I1952" t="s">
        <v>71</v>
      </c>
      <c r="J1952">
        <v>0</v>
      </c>
      <c r="K1952">
        <v>1.25</v>
      </c>
      <c r="L1952">
        <v>0</v>
      </c>
      <c r="M1952">
        <v>0</v>
      </c>
      <c r="N1952">
        <v>1.25</v>
      </c>
      <c r="O1952" t="s">
        <v>71</v>
      </c>
      <c r="P1952">
        <v>0</v>
      </c>
      <c r="Q1952" t="s">
        <v>71</v>
      </c>
      <c r="R1952">
        <v>0</v>
      </c>
      <c r="S1952" t="s">
        <v>71</v>
      </c>
      <c r="T1952">
        <v>0</v>
      </c>
      <c r="U1952" t="s">
        <v>71</v>
      </c>
      <c r="V1952">
        <v>0</v>
      </c>
      <c r="W1952" t="s">
        <v>71</v>
      </c>
      <c r="X1952">
        <v>0</v>
      </c>
      <c r="Y1952">
        <v>1.25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18</v>
      </c>
      <c r="AF1952">
        <v>76</v>
      </c>
      <c r="AG1952">
        <v>10</v>
      </c>
      <c r="AI1952">
        <v>4.8000000000000001E-2</v>
      </c>
      <c r="AK1952" t="s">
        <v>288</v>
      </c>
      <c r="AL1952" t="s">
        <v>6138</v>
      </c>
      <c r="AM1952">
        <v>200000</v>
      </c>
      <c r="AN1952" t="s">
        <v>97</v>
      </c>
      <c r="AO1952">
        <v>1</v>
      </c>
      <c r="AP1952">
        <v>0</v>
      </c>
      <c r="AQ1952">
        <v>16666.666666666668</v>
      </c>
      <c r="AR1952" t="s">
        <v>6404</v>
      </c>
      <c r="AS1952" t="s">
        <v>75</v>
      </c>
      <c r="AX1952" t="s">
        <v>76</v>
      </c>
      <c r="AY1952" t="s">
        <v>71</v>
      </c>
      <c r="AZ1952">
        <v>0</v>
      </c>
      <c r="BA1952" t="s">
        <v>71</v>
      </c>
      <c r="BB1952">
        <v>0</v>
      </c>
      <c r="BD1952">
        <v>1.25</v>
      </c>
    </row>
    <row r="1953" spans="1:56" x14ac:dyDescent="0.15">
      <c r="A1953" s="4" t="str">
        <f>HYPERLINK("https://ibp.a2mac1.com/costing(costing:projects/details/9760/part/8416314)","Unlocking Contactor")</f>
        <v>Unlocking Contactor</v>
      </c>
      <c r="B1953">
        <v>8416314</v>
      </c>
      <c r="C1953">
        <v>8415975</v>
      </c>
      <c r="D1953" t="s">
        <v>6140</v>
      </c>
      <c r="E1953">
        <v>0.61</v>
      </c>
      <c r="F1953">
        <v>0</v>
      </c>
      <c r="G1953">
        <v>0</v>
      </c>
      <c r="H1953">
        <v>0</v>
      </c>
      <c r="I1953" t="s">
        <v>71</v>
      </c>
      <c r="J1953">
        <v>0</v>
      </c>
      <c r="K1953">
        <v>0.61</v>
      </c>
      <c r="L1953">
        <v>0</v>
      </c>
      <c r="M1953">
        <v>0</v>
      </c>
      <c r="N1953">
        <v>0.61</v>
      </c>
      <c r="O1953" t="s">
        <v>71</v>
      </c>
      <c r="P1953">
        <v>0</v>
      </c>
      <c r="Q1953" t="s">
        <v>71</v>
      </c>
      <c r="R1953">
        <v>0</v>
      </c>
      <c r="S1953" t="s">
        <v>71</v>
      </c>
      <c r="T1953">
        <v>0</v>
      </c>
      <c r="U1953" t="s">
        <v>71</v>
      </c>
      <c r="V1953">
        <v>0</v>
      </c>
      <c r="W1953" t="s">
        <v>71</v>
      </c>
      <c r="X1953">
        <v>0</v>
      </c>
      <c r="Y1953">
        <v>0.61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9</v>
      </c>
      <c r="AF1953">
        <v>125</v>
      </c>
      <c r="AG1953">
        <v>51</v>
      </c>
      <c r="AI1953">
        <v>1E-3</v>
      </c>
      <c r="AK1953" t="s">
        <v>5305</v>
      </c>
      <c r="AL1953" t="s">
        <v>6141</v>
      </c>
      <c r="AM1953">
        <v>200000</v>
      </c>
      <c r="AN1953" t="s">
        <v>97</v>
      </c>
      <c r="AO1953">
        <v>1</v>
      </c>
      <c r="AP1953">
        <v>0</v>
      </c>
      <c r="AQ1953">
        <v>16666.666666666668</v>
      </c>
      <c r="AR1953" t="s">
        <v>6405</v>
      </c>
      <c r="AS1953" t="s">
        <v>75</v>
      </c>
      <c r="AX1953" t="s">
        <v>76</v>
      </c>
      <c r="AY1953" t="s">
        <v>71</v>
      </c>
      <c r="AZ1953">
        <v>0</v>
      </c>
      <c r="BA1953" t="s">
        <v>71</v>
      </c>
      <c r="BB1953">
        <v>0</v>
      </c>
      <c r="BD1953">
        <v>0.61</v>
      </c>
    </row>
    <row r="1954" spans="1:56" x14ac:dyDescent="0.15">
      <c r="A1954" s="4" t="str">
        <f>HYPERLINK("https://ibp.a2mac1.com/costing(costing:projects/details/9760/part/8416315)","Mechanism")</f>
        <v>Mechanism</v>
      </c>
      <c r="B1954">
        <v>8416315</v>
      </c>
      <c r="C1954">
        <v>8415975</v>
      </c>
      <c r="D1954" t="s">
        <v>6408</v>
      </c>
      <c r="E1954">
        <v>5.6251825402061854E-2</v>
      </c>
      <c r="F1954">
        <v>0</v>
      </c>
      <c r="G1954">
        <v>0</v>
      </c>
      <c r="H1954">
        <v>5.8589783092783507E-5</v>
      </c>
      <c r="I1954" t="s">
        <v>176</v>
      </c>
      <c r="J1954">
        <v>1.9717715463917528E-3</v>
      </c>
      <c r="K1954">
        <v>5.8282186731546393E-2</v>
      </c>
      <c r="L1954">
        <v>8.4544306208829603E-3</v>
      </c>
      <c r="M1954">
        <v>5.0726583725297758E-2</v>
      </c>
      <c r="N1954">
        <v>0.10900877045684415</v>
      </c>
      <c r="O1954" t="s">
        <v>177</v>
      </c>
      <c r="P1954">
        <v>3.4969312038927833E-3</v>
      </c>
      <c r="Q1954" t="s">
        <v>177</v>
      </c>
      <c r="R1954">
        <v>3.0435950235178652E-3</v>
      </c>
      <c r="S1954" t="s">
        <v>178</v>
      </c>
      <c r="T1954">
        <v>1.3081052454821298E-2</v>
      </c>
      <c r="U1954" t="s">
        <v>90</v>
      </c>
      <c r="V1954">
        <v>0</v>
      </c>
      <c r="W1954" t="s">
        <v>90</v>
      </c>
      <c r="X1954">
        <v>0</v>
      </c>
      <c r="Y1954">
        <v>0.12863034913907609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13</v>
      </c>
      <c r="AF1954">
        <v>111</v>
      </c>
      <c r="AG1954">
        <v>45</v>
      </c>
      <c r="AI1954">
        <v>2.1999999999999999E-2</v>
      </c>
      <c r="AK1954" t="s">
        <v>5305</v>
      </c>
      <c r="AL1954" t="s">
        <v>2086</v>
      </c>
      <c r="AM1954">
        <v>200000</v>
      </c>
      <c r="AN1954" t="s">
        <v>97</v>
      </c>
      <c r="AO1954">
        <v>1</v>
      </c>
      <c r="AP1954">
        <v>0</v>
      </c>
      <c r="AQ1954">
        <v>16666.666666666668</v>
      </c>
      <c r="AR1954" t="s">
        <v>6409</v>
      </c>
      <c r="AS1954" t="s">
        <v>75</v>
      </c>
      <c r="AX1954" t="s">
        <v>76</v>
      </c>
      <c r="AY1954" t="s">
        <v>176</v>
      </c>
      <c r="AZ1954">
        <v>0</v>
      </c>
      <c r="BA1954" t="s">
        <v>176</v>
      </c>
      <c r="BB1954">
        <v>0</v>
      </c>
    </row>
    <row r="1955" spans="1:56" x14ac:dyDescent="0.15">
      <c r="A1955" s="4" t="str">
        <f>HYPERLINK("https://ibp.a2mac1.com/costing(costing:projects/details/9760/part/8416316)","Actuator")</f>
        <v>Actuator</v>
      </c>
      <c r="B1955">
        <v>8416316</v>
      </c>
      <c r="C1955">
        <v>8415976</v>
      </c>
      <c r="D1955" t="s">
        <v>5503</v>
      </c>
      <c r="E1955">
        <v>3.5</v>
      </c>
      <c r="F1955">
        <v>0</v>
      </c>
      <c r="G1955">
        <v>0</v>
      </c>
      <c r="H1955">
        <v>0</v>
      </c>
      <c r="I1955" t="s">
        <v>71</v>
      </c>
      <c r="J1955">
        <v>0</v>
      </c>
      <c r="K1955">
        <v>3.5</v>
      </c>
      <c r="L1955">
        <v>0</v>
      </c>
      <c r="M1955">
        <v>0</v>
      </c>
      <c r="N1955">
        <v>3.5</v>
      </c>
      <c r="O1955" t="s">
        <v>71</v>
      </c>
      <c r="P1955">
        <v>0</v>
      </c>
      <c r="Q1955" t="s">
        <v>71</v>
      </c>
      <c r="R1955">
        <v>0</v>
      </c>
      <c r="S1955" t="s">
        <v>71</v>
      </c>
      <c r="T1955">
        <v>0</v>
      </c>
      <c r="U1955" t="s">
        <v>71</v>
      </c>
      <c r="V1955">
        <v>0</v>
      </c>
      <c r="W1955" t="s">
        <v>71</v>
      </c>
      <c r="X1955">
        <v>0</v>
      </c>
      <c r="Y1955">
        <v>3.5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38</v>
      </c>
      <c r="AF1955">
        <v>144</v>
      </c>
      <c r="AG1955">
        <v>114</v>
      </c>
      <c r="AI1955">
        <v>0.84799999999999998</v>
      </c>
      <c r="AK1955" t="s">
        <v>5305</v>
      </c>
      <c r="AL1955" t="s">
        <v>856</v>
      </c>
      <c r="AM1955">
        <v>200000</v>
      </c>
      <c r="AN1955" t="s">
        <v>97</v>
      </c>
      <c r="AO1955">
        <v>1</v>
      </c>
      <c r="AP1955">
        <v>0</v>
      </c>
      <c r="AQ1955">
        <v>16666.666666666668</v>
      </c>
      <c r="AR1955" t="s">
        <v>6412</v>
      </c>
      <c r="AS1955" t="s">
        <v>75</v>
      </c>
      <c r="AX1955" t="s">
        <v>76</v>
      </c>
      <c r="AY1955" t="s">
        <v>71</v>
      </c>
      <c r="AZ1955">
        <v>0</v>
      </c>
      <c r="BA1955" t="s">
        <v>71</v>
      </c>
      <c r="BB1955">
        <v>0</v>
      </c>
      <c r="BD1955">
        <v>3.5</v>
      </c>
    </row>
    <row r="1956" spans="1:56" x14ac:dyDescent="0.15">
      <c r="A1956" s="4" t="str">
        <f>HYPERLINK("https://ibp.a2mac1.com/costing(costing:projects/details/9760/part/8415972)","Door Latch")</f>
        <v>Door Latch</v>
      </c>
      <c r="B1956">
        <v>8415972</v>
      </c>
      <c r="C1956">
        <v>8415671</v>
      </c>
      <c r="D1956" t="s">
        <v>6149</v>
      </c>
      <c r="E1956">
        <v>9.5</v>
      </c>
      <c r="F1956">
        <v>0</v>
      </c>
      <c r="G1956">
        <v>0</v>
      </c>
      <c r="H1956">
        <v>0</v>
      </c>
      <c r="I1956" t="s">
        <v>71</v>
      </c>
      <c r="J1956">
        <v>0</v>
      </c>
      <c r="K1956">
        <v>9.5</v>
      </c>
      <c r="L1956">
        <v>0</v>
      </c>
      <c r="M1956">
        <v>0</v>
      </c>
      <c r="N1956">
        <v>9.5</v>
      </c>
      <c r="O1956" t="s">
        <v>71</v>
      </c>
      <c r="P1956">
        <v>0</v>
      </c>
      <c r="Q1956" t="s">
        <v>71</v>
      </c>
      <c r="R1956">
        <v>0</v>
      </c>
      <c r="S1956" t="s">
        <v>71</v>
      </c>
      <c r="T1956">
        <v>0</v>
      </c>
      <c r="U1956" t="s">
        <v>71</v>
      </c>
      <c r="V1956">
        <v>0</v>
      </c>
      <c r="W1956" t="s">
        <v>71</v>
      </c>
      <c r="X1956">
        <v>0</v>
      </c>
      <c r="Y1956">
        <v>9.5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110</v>
      </c>
      <c r="AF1956">
        <v>92</v>
      </c>
      <c r="AG1956">
        <v>178</v>
      </c>
      <c r="AI1956">
        <v>1E-3</v>
      </c>
      <c r="AK1956" t="s">
        <v>5281</v>
      </c>
      <c r="AL1956" t="s">
        <v>6150</v>
      </c>
      <c r="AM1956">
        <v>200000</v>
      </c>
      <c r="AN1956" t="s">
        <v>97</v>
      </c>
      <c r="AO1956">
        <v>1</v>
      </c>
      <c r="AP1956">
        <v>0</v>
      </c>
      <c r="AQ1956">
        <v>16666.666666666668</v>
      </c>
      <c r="AR1956" t="s">
        <v>6414</v>
      </c>
      <c r="AS1956" t="s">
        <v>75</v>
      </c>
      <c r="AX1956" t="s">
        <v>76</v>
      </c>
      <c r="AY1956" t="s">
        <v>71</v>
      </c>
      <c r="AZ1956">
        <v>0</v>
      </c>
      <c r="BA1956" t="s">
        <v>71</v>
      </c>
      <c r="BB1956">
        <v>0</v>
      </c>
      <c r="BD1956">
        <v>9.5</v>
      </c>
    </row>
    <row r="1957" spans="1:56" x14ac:dyDescent="0.15">
      <c r="A1957" s="4" t="str">
        <f>HYPERLINK("https://ibp.a2mac1.com/costing(costing:projects/details/9760/part/8415973)","Door Striker")</f>
        <v>Door Striker</v>
      </c>
      <c r="B1957">
        <v>8415973</v>
      </c>
      <c r="C1957">
        <v>8415671</v>
      </c>
      <c r="D1957" t="s">
        <v>6419</v>
      </c>
      <c r="E1957">
        <v>7.4700859999999994E-2</v>
      </c>
      <c r="F1957">
        <v>0</v>
      </c>
      <c r="G1957">
        <v>0</v>
      </c>
      <c r="H1957">
        <v>5.8283088571428566E-4</v>
      </c>
      <c r="I1957" t="s">
        <v>176</v>
      </c>
      <c r="J1957">
        <v>2.8731099999999999E-3</v>
      </c>
      <c r="K1957">
        <v>7.8156800885714292E-2</v>
      </c>
      <c r="L1957">
        <v>1.0041604516457341E-2</v>
      </c>
      <c r="M1957">
        <v>6.0249627098744048E-2</v>
      </c>
      <c r="N1957">
        <v>0.13840642798445832</v>
      </c>
      <c r="O1957" t="s">
        <v>177</v>
      </c>
      <c r="P1957">
        <v>4.6894080531428572E-3</v>
      </c>
      <c r="Q1957" t="s">
        <v>177</v>
      </c>
      <c r="R1957">
        <v>3.6149776259246425E-3</v>
      </c>
      <c r="S1957" t="s">
        <v>178</v>
      </c>
      <c r="T1957">
        <v>1.6608771358134999E-2</v>
      </c>
      <c r="U1957" t="s">
        <v>90</v>
      </c>
      <c r="V1957">
        <v>0</v>
      </c>
      <c r="W1957" t="s">
        <v>90</v>
      </c>
      <c r="X1957">
        <v>0</v>
      </c>
      <c r="Y1957">
        <v>0.16331958502166083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33</v>
      </c>
      <c r="AF1957">
        <v>50</v>
      </c>
      <c r="AG1957">
        <v>68</v>
      </c>
      <c r="AI1957">
        <v>9.4E-2</v>
      </c>
      <c r="AK1957" t="s">
        <v>5305</v>
      </c>
      <c r="AL1957" t="s">
        <v>96</v>
      </c>
      <c r="AM1957">
        <v>200000</v>
      </c>
      <c r="AN1957" t="s">
        <v>97</v>
      </c>
      <c r="AO1957">
        <v>1</v>
      </c>
      <c r="AP1957">
        <v>0</v>
      </c>
      <c r="AQ1957">
        <v>16666.666666666668</v>
      </c>
      <c r="AR1957" t="s">
        <v>6420</v>
      </c>
      <c r="AS1957" t="s">
        <v>75</v>
      </c>
      <c r="AX1957" t="s">
        <v>76</v>
      </c>
      <c r="AY1957" t="s">
        <v>176</v>
      </c>
      <c r="AZ1957">
        <v>0</v>
      </c>
      <c r="BA1957" t="s">
        <v>176</v>
      </c>
      <c r="BB1957">
        <v>0</v>
      </c>
    </row>
    <row r="1958" spans="1:56" x14ac:dyDescent="0.15">
      <c r="A1958" s="4" t="str">
        <f>HYPERLINK("https://ibp.a2mac1.com/costing(costing:projects/details/9760/part/8416317)","Opening Control")</f>
        <v>Opening Control</v>
      </c>
      <c r="B1958">
        <v>8416317</v>
      </c>
      <c r="C1958">
        <v>8415986</v>
      </c>
      <c r="E1958">
        <v>0.27930201599999999</v>
      </c>
      <c r="F1958">
        <v>0</v>
      </c>
      <c r="G1958">
        <v>0</v>
      </c>
      <c r="H1958">
        <v>1.4168102265263158E-3</v>
      </c>
      <c r="I1958" t="s">
        <v>176</v>
      </c>
      <c r="J1958">
        <v>9.8000707368421057E-3</v>
      </c>
      <c r="K1958">
        <v>0.29051889696336841</v>
      </c>
      <c r="L1958">
        <v>8.3598157882734656E-2</v>
      </c>
      <c r="M1958">
        <v>0.50158894729640791</v>
      </c>
      <c r="N1958">
        <v>0.79210784425977632</v>
      </c>
      <c r="O1958" t="s">
        <v>90</v>
      </c>
      <c r="P1958">
        <v>0</v>
      </c>
      <c r="Q1958" t="s">
        <v>90</v>
      </c>
      <c r="R1958">
        <v>0</v>
      </c>
      <c r="S1958" t="s">
        <v>90</v>
      </c>
      <c r="T1958">
        <v>0</v>
      </c>
      <c r="U1958" t="s">
        <v>90</v>
      </c>
      <c r="V1958">
        <v>0</v>
      </c>
      <c r="W1958" t="s">
        <v>90</v>
      </c>
      <c r="X1958">
        <v>0</v>
      </c>
      <c r="Y1958">
        <v>0.79210784425977632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75</v>
      </c>
      <c r="AF1958">
        <v>333</v>
      </c>
      <c r="AG1958">
        <v>120</v>
      </c>
      <c r="AI1958">
        <v>0.11600000000000001</v>
      </c>
      <c r="AK1958" t="s">
        <v>740</v>
      </c>
      <c r="AL1958" t="s">
        <v>412</v>
      </c>
      <c r="AM1958">
        <v>200000</v>
      </c>
      <c r="AN1958" t="s">
        <v>73</v>
      </c>
      <c r="AO1958">
        <v>1</v>
      </c>
      <c r="AP1958">
        <v>0</v>
      </c>
      <c r="AQ1958">
        <v>16666.666666666668</v>
      </c>
      <c r="AR1958" t="s">
        <v>6427</v>
      </c>
      <c r="AS1958" t="s">
        <v>75</v>
      </c>
      <c r="AX1958" t="s">
        <v>76</v>
      </c>
      <c r="AY1958" t="s">
        <v>176</v>
      </c>
      <c r="AZ1958">
        <v>0</v>
      </c>
      <c r="BA1958" t="s">
        <v>176</v>
      </c>
      <c r="BB1958">
        <v>0</v>
      </c>
    </row>
    <row r="1959" spans="1:56" x14ac:dyDescent="0.15">
      <c r="A1959" s="4" t="str">
        <f>HYPERLINK("https://ibp.a2mac1.com/costing(costing:projects/details/9760/part/8416318)","Bezel")</f>
        <v>Bezel</v>
      </c>
      <c r="B1959">
        <v>8416318</v>
      </c>
      <c r="C1959">
        <v>8415986</v>
      </c>
      <c r="E1959">
        <v>0.70114850570212761</v>
      </c>
      <c r="F1959">
        <v>0</v>
      </c>
      <c r="G1959">
        <v>0</v>
      </c>
      <c r="H1959">
        <v>3.5529718036864501E-3</v>
      </c>
      <c r="I1959" t="s">
        <v>176</v>
      </c>
      <c r="J1959">
        <v>2.4575891922732362E-2</v>
      </c>
      <c r="K1959">
        <v>0.72927736942854648</v>
      </c>
      <c r="L1959">
        <v>0.1012589951990561</v>
      </c>
      <c r="M1959">
        <v>0.60755397119433652</v>
      </c>
      <c r="N1959">
        <v>1.3368313406228831</v>
      </c>
      <c r="O1959" t="s">
        <v>177</v>
      </c>
      <c r="P1959">
        <v>4.3756642165712789E-2</v>
      </c>
      <c r="Q1959" t="s">
        <v>177</v>
      </c>
      <c r="R1959">
        <v>3.6453238271660193E-2</v>
      </c>
      <c r="S1959" t="s">
        <v>178</v>
      </c>
      <c r="T1959">
        <v>0.16041976087474596</v>
      </c>
      <c r="U1959" t="s">
        <v>90</v>
      </c>
      <c r="V1959">
        <v>0</v>
      </c>
      <c r="W1959" t="s">
        <v>90</v>
      </c>
      <c r="X1959">
        <v>0</v>
      </c>
      <c r="Y1959">
        <v>1.5774609819350021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92</v>
      </c>
      <c r="AF1959">
        <v>400</v>
      </c>
      <c r="AG1959">
        <v>125</v>
      </c>
      <c r="AI1959">
        <v>0.16900000000000001</v>
      </c>
      <c r="AK1959" t="s">
        <v>740</v>
      </c>
      <c r="AL1959" t="s">
        <v>5084</v>
      </c>
      <c r="AM1959">
        <v>200000</v>
      </c>
      <c r="AN1959" t="s">
        <v>97</v>
      </c>
      <c r="AO1959">
        <v>1</v>
      </c>
      <c r="AP1959">
        <v>0</v>
      </c>
      <c r="AQ1959">
        <v>16666.666666666668</v>
      </c>
      <c r="AR1959" t="s">
        <v>6430</v>
      </c>
      <c r="AS1959" t="s">
        <v>75</v>
      </c>
      <c r="AX1959" t="s">
        <v>76</v>
      </c>
      <c r="AY1959" t="s">
        <v>176</v>
      </c>
      <c r="AZ1959">
        <v>0</v>
      </c>
      <c r="BA1959" t="s">
        <v>176</v>
      </c>
      <c r="BB1959">
        <v>0</v>
      </c>
    </row>
    <row r="1960" spans="1:56" x14ac:dyDescent="0.15">
      <c r="A1960" s="4" t="str">
        <f>HYPERLINK("https://ibp.a2mac1.com/costing(costing:projects/details/9760/part/8416319)","Speaker Grille")</f>
        <v>Speaker Grille</v>
      </c>
      <c r="B1960">
        <v>8416319</v>
      </c>
      <c r="C1960">
        <v>8415987</v>
      </c>
      <c r="E1960">
        <v>0.161588238</v>
      </c>
      <c r="F1960">
        <v>0</v>
      </c>
      <c r="G1960">
        <v>0</v>
      </c>
      <c r="H1960">
        <v>8.1968569852631579E-4</v>
      </c>
      <c r="I1960" t="s">
        <v>176</v>
      </c>
      <c r="J1960">
        <v>5.6697627368421056E-3</v>
      </c>
      <c r="K1960">
        <v>0.16807768643536841</v>
      </c>
      <c r="L1960">
        <v>1.4720892349081038E-2</v>
      </c>
      <c r="M1960">
        <v>8.8325354094486219E-2</v>
      </c>
      <c r="N1960">
        <v>0.25640304052985463</v>
      </c>
      <c r="O1960" t="s">
        <v>177</v>
      </c>
      <c r="P1960">
        <v>1.0084661186122106E-2</v>
      </c>
      <c r="Q1960" t="s">
        <v>177</v>
      </c>
      <c r="R1960">
        <v>5.2995212456691731E-3</v>
      </c>
      <c r="S1960" t="s">
        <v>178</v>
      </c>
      <c r="T1960">
        <v>3.0768364863582559E-2</v>
      </c>
      <c r="U1960" t="s">
        <v>90</v>
      </c>
      <c r="V1960">
        <v>0</v>
      </c>
      <c r="W1960" t="s">
        <v>90</v>
      </c>
      <c r="X1960">
        <v>0</v>
      </c>
      <c r="Y1960">
        <v>0.30255558782522846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15</v>
      </c>
      <c r="AF1960">
        <v>245</v>
      </c>
      <c r="AG1960">
        <v>170</v>
      </c>
      <c r="AI1960">
        <v>8.5999999999999993E-2</v>
      </c>
      <c r="AK1960" t="s">
        <v>740</v>
      </c>
      <c r="AL1960" t="s">
        <v>951</v>
      </c>
      <c r="AM1960">
        <v>200000</v>
      </c>
      <c r="AN1960" t="s">
        <v>97</v>
      </c>
      <c r="AO1960">
        <v>1</v>
      </c>
      <c r="AP1960">
        <v>0</v>
      </c>
      <c r="AQ1960">
        <v>16666.666666666668</v>
      </c>
      <c r="AR1960" t="s">
        <v>6435</v>
      </c>
      <c r="AS1960" t="s">
        <v>75</v>
      </c>
      <c r="AX1960" t="s">
        <v>76</v>
      </c>
      <c r="AY1960" t="s">
        <v>176</v>
      </c>
      <c r="AZ1960">
        <v>0</v>
      </c>
      <c r="BA1960" t="s">
        <v>176</v>
      </c>
      <c r="BB1960">
        <v>0</v>
      </c>
    </row>
    <row r="1961" spans="1:56" x14ac:dyDescent="0.15">
      <c r="A1961" s="4" t="str">
        <f>HYPERLINK("https://ibp.a2mac1.com/costing(costing:projects/details/9760/part/8416320)","Medium Grille")</f>
        <v>Medium Grille</v>
      </c>
      <c r="B1961">
        <v>8416320</v>
      </c>
      <c r="C1961">
        <v>8415987</v>
      </c>
      <c r="E1961">
        <v>8.0293013999999996E-2</v>
      </c>
      <c r="F1961">
        <v>0</v>
      </c>
      <c r="G1961">
        <v>0</v>
      </c>
      <c r="H1961">
        <v>4.32215586E-4</v>
      </c>
      <c r="I1961" t="s">
        <v>176</v>
      </c>
      <c r="J1961">
        <v>2.9896335E-3</v>
      </c>
      <c r="K1961">
        <v>8.3714863085999999E-2</v>
      </c>
      <c r="L1961">
        <v>0.10832333012558466</v>
      </c>
      <c r="M1961">
        <v>0.64993998075350801</v>
      </c>
      <c r="N1961">
        <v>0.73365484383950796</v>
      </c>
      <c r="O1961" t="s">
        <v>177</v>
      </c>
      <c r="P1961">
        <v>5.0228917851600002E-3</v>
      </c>
      <c r="Q1961" t="s">
        <v>177</v>
      </c>
      <c r="R1961">
        <v>3.899639884521048E-2</v>
      </c>
      <c r="S1961" t="s">
        <v>178</v>
      </c>
      <c r="T1961">
        <v>8.8038581260740961E-2</v>
      </c>
      <c r="U1961" t="s">
        <v>90</v>
      </c>
      <c r="V1961">
        <v>0</v>
      </c>
      <c r="W1961" t="s">
        <v>90</v>
      </c>
      <c r="X1961">
        <v>0</v>
      </c>
      <c r="Y1961">
        <v>0.86571271573061948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14</v>
      </c>
      <c r="AF1961">
        <v>262</v>
      </c>
      <c r="AG1961">
        <v>102</v>
      </c>
      <c r="AI1961">
        <v>1.7999999999999999E-2</v>
      </c>
      <c r="AK1961" t="s">
        <v>740</v>
      </c>
      <c r="AL1961" t="s">
        <v>104</v>
      </c>
      <c r="AM1961">
        <v>200000</v>
      </c>
      <c r="AN1961" t="s">
        <v>97</v>
      </c>
      <c r="AO1961">
        <v>1</v>
      </c>
      <c r="AP1961">
        <v>0</v>
      </c>
      <c r="AQ1961">
        <v>16666.666666666668</v>
      </c>
      <c r="AR1961" t="s">
        <v>6438</v>
      </c>
      <c r="AS1961" t="s">
        <v>75</v>
      </c>
      <c r="AX1961" t="s">
        <v>76</v>
      </c>
      <c r="AY1961" t="s">
        <v>176</v>
      </c>
      <c r="AZ1961">
        <v>0</v>
      </c>
      <c r="BA1961" t="s">
        <v>176</v>
      </c>
      <c r="BB1961">
        <v>0</v>
      </c>
    </row>
    <row r="1962" spans="1:56" x14ac:dyDescent="0.15">
      <c r="A1962" s="4" t="str">
        <f>HYPERLINK("https://ibp.a2mac1.com/costing(costing:projects/details/9760/part/8416321)","Medium Grille Support")</f>
        <v>Medium Grille Support</v>
      </c>
      <c r="B1962">
        <v>8416321</v>
      </c>
      <c r="C1962">
        <v>8415987</v>
      </c>
      <c r="E1962">
        <v>6.9825503999999997E-2</v>
      </c>
      <c r="F1962">
        <v>0</v>
      </c>
      <c r="G1962">
        <v>0</v>
      </c>
      <c r="H1962">
        <v>3.5420255663157896E-4</v>
      </c>
      <c r="I1962" t="s">
        <v>176</v>
      </c>
      <c r="J1962">
        <v>2.4500176842105264E-3</v>
      </c>
      <c r="K1962">
        <v>7.2629724240842103E-2</v>
      </c>
      <c r="L1962">
        <v>5.8904736909203177E-3</v>
      </c>
      <c r="M1962">
        <v>3.5342842145521906E-2</v>
      </c>
      <c r="N1962">
        <v>0.10797256638636402</v>
      </c>
      <c r="O1962" t="s">
        <v>90</v>
      </c>
      <c r="P1962">
        <v>0</v>
      </c>
      <c r="Q1962" t="s">
        <v>90</v>
      </c>
      <c r="R1962">
        <v>0</v>
      </c>
      <c r="S1962" t="s">
        <v>90</v>
      </c>
      <c r="T1962">
        <v>0</v>
      </c>
      <c r="U1962" t="s">
        <v>90</v>
      </c>
      <c r="V1962">
        <v>0</v>
      </c>
      <c r="W1962" t="s">
        <v>90</v>
      </c>
      <c r="X1962">
        <v>0</v>
      </c>
      <c r="Y1962">
        <v>0.10797256638636402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13</v>
      </c>
      <c r="AF1962">
        <v>260</v>
      </c>
      <c r="AG1962">
        <v>100</v>
      </c>
      <c r="AI1962">
        <v>2.9000000000000001E-2</v>
      </c>
      <c r="AK1962" t="s">
        <v>740</v>
      </c>
      <c r="AL1962" t="s">
        <v>412</v>
      </c>
      <c r="AM1962">
        <v>200000</v>
      </c>
      <c r="AN1962" t="s">
        <v>73</v>
      </c>
      <c r="AO1962">
        <v>1</v>
      </c>
      <c r="AP1962">
        <v>0</v>
      </c>
      <c r="AQ1962">
        <v>16666.666666666668</v>
      </c>
      <c r="AR1962" t="s">
        <v>6441</v>
      </c>
      <c r="AS1962" t="s">
        <v>75</v>
      </c>
      <c r="AX1962" t="s">
        <v>76</v>
      </c>
      <c r="AY1962" t="s">
        <v>176</v>
      </c>
      <c r="AZ1962">
        <v>0</v>
      </c>
      <c r="BA1962" t="s">
        <v>176</v>
      </c>
      <c r="BB1962">
        <v>0</v>
      </c>
    </row>
    <row r="1963" spans="1:56" x14ac:dyDescent="0.15">
      <c r="A1963" s="4" t="str">
        <f>HYPERLINK("https://ibp.a2mac1.com/costing(costing:projects/details/9760/part/8416322)","Speaker Bezel")</f>
        <v>Speaker Bezel</v>
      </c>
      <c r="B1963">
        <v>8416322</v>
      </c>
      <c r="C1963">
        <v>8415987</v>
      </c>
      <c r="E1963">
        <v>4.3539909000000002E-2</v>
      </c>
      <c r="F1963">
        <v>0</v>
      </c>
      <c r="G1963">
        <v>0</v>
      </c>
      <c r="H1963">
        <v>2.2086409978947367E-4</v>
      </c>
      <c r="I1963" t="s">
        <v>176</v>
      </c>
      <c r="J1963">
        <v>1.5277161052631579E-3</v>
      </c>
      <c r="K1963">
        <v>4.5288489205052629E-2</v>
      </c>
      <c r="L1963">
        <v>7.6565574225524614E-3</v>
      </c>
      <c r="M1963">
        <v>4.5939344535314765E-2</v>
      </c>
      <c r="N1963">
        <v>9.1227833740367401E-2</v>
      </c>
      <c r="O1963" t="s">
        <v>177</v>
      </c>
      <c r="P1963">
        <v>2.7173093523031578E-3</v>
      </c>
      <c r="Q1963" t="s">
        <v>177</v>
      </c>
      <c r="R1963">
        <v>2.756360672118886E-3</v>
      </c>
      <c r="S1963" t="s">
        <v>178</v>
      </c>
      <c r="T1963">
        <v>1.0947340048844088E-2</v>
      </c>
      <c r="U1963" t="s">
        <v>90</v>
      </c>
      <c r="V1963">
        <v>0</v>
      </c>
      <c r="W1963" t="s">
        <v>90</v>
      </c>
      <c r="X1963">
        <v>0</v>
      </c>
      <c r="Y1963">
        <v>0.10764884381363353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32</v>
      </c>
      <c r="AF1963">
        <v>265</v>
      </c>
      <c r="AG1963">
        <v>180</v>
      </c>
      <c r="AI1963">
        <v>4.1000000000000002E-2</v>
      </c>
      <c r="AK1963" t="s">
        <v>740</v>
      </c>
      <c r="AL1963" t="s">
        <v>399</v>
      </c>
      <c r="AM1963">
        <v>200000</v>
      </c>
      <c r="AN1963" t="s">
        <v>97</v>
      </c>
      <c r="AO1963">
        <v>1</v>
      </c>
      <c r="AP1963">
        <v>0</v>
      </c>
      <c r="AQ1963">
        <v>16666.666666666668</v>
      </c>
      <c r="AR1963" t="s">
        <v>6444</v>
      </c>
      <c r="AS1963" t="s">
        <v>75</v>
      </c>
      <c r="AX1963" t="s">
        <v>76</v>
      </c>
      <c r="AY1963" t="s">
        <v>176</v>
      </c>
      <c r="AZ1963">
        <v>0</v>
      </c>
      <c r="BA1963" t="s">
        <v>176</v>
      </c>
      <c r="BB1963">
        <v>0</v>
      </c>
    </row>
    <row r="1964" spans="1:56" x14ac:dyDescent="0.15">
      <c r="A1964" s="4" t="str">
        <f>HYPERLINK("https://ibp.a2mac1.com/costing(costing:projects/details/9760/part/8416323)","Speaker Badge")</f>
        <v>Speaker Badge</v>
      </c>
      <c r="B1964">
        <v>8416323</v>
      </c>
      <c r="C1964">
        <v>8415987</v>
      </c>
      <c r="E1964">
        <v>1.3382168999999999E-2</v>
      </c>
      <c r="F1964">
        <v>0</v>
      </c>
      <c r="G1964">
        <v>0</v>
      </c>
      <c r="H1964">
        <v>7.2035931000000004E-5</v>
      </c>
      <c r="I1964" t="s">
        <v>176</v>
      </c>
      <c r="J1964">
        <v>4.9827224999999999E-4</v>
      </c>
      <c r="K1964">
        <v>1.3952477180999999E-2</v>
      </c>
      <c r="L1964">
        <v>4.1243899592881732E-3</v>
      </c>
      <c r="M1964">
        <v>2.4746339755729041E-2</v>
      </c>
      <c r="N1964">
        <v>3.8698816936729039E-2</v>
      </c>
      <c r="O1964" t="s">
        <v>177</v>
      </c>
      <c r="P1964">
        <v>8.3714863086E-4</v>
      </c>
      <c r="Q1964" t="s">
        <v>177</v>
      </c>
      <c r="R1964">
        <v>1.4847803853437424E-3</v>
      </c>
      <c r="S1964" t="s">
        <v>178</v>
      </c>
      <c r="T1964">
        <v>4.6438580324074845E-3</v>
      </c>
      <c r="U1964" t="s">
        <v>90</v>
      </c>
      <c r="V1964">
        <v>0</v>
      </c>
      <c r="W1964" t="s">
        <v>90</v>
      </c>
      <c r="X1964">
        <v>0</v>
      </c>
      <c r="Y1964">
        <v>4.5664603985340266E-2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11</v>
      </c>
      <c r="AF1964">
        <v>61</v>
      </c>
      <c r="AG1964">
        <v>11</v>
      </c>
      <c r="AI1964">
        <v>3.0000000000000001E-3</v>
      </c>
      <c r="AK1964" t="s">
        <v>740</v>
      </c>
      <c r="AL1964" t="s">
        <v>104</v>
      </c>
      <c r="AM1964">
        <v>200000</v>
      </c>
      <c r="AN1964" t="s">
        <v>97</v>
      </c>
      <c r="AO1964">
        <v>1</v>
      </c>
      <c r="AP1964">
        <v>0</v>
      </c>
      <c r="AQ1964">
        <v>16666.666666666668</v>
      </c>
      <c r="AR1964" t="s">
        <v>6447</v>
      </c>
      <c r="AS1964" t="s">
        <v>75</v>
      </c>
      <c r="AX1964" t="s">
        <v>76</v>
      </c>
      <c r="AY1964" t="s">
        <v>176</v>
      </c>
      <c r="AZ1964">
        <v>0</v>
      </c>
      <c r="BA1964" t="s">
        <v>176</v>
      </c>
      <c r="BB1964">
        <v>0</v>
      </c>
    </row>
    <row r="1965" spans="1:56" x14ac:dyDescent="0.15">
      <c r="A1965" s="4" t="str">
        <f>HYPERLINK("https://ibp.a2mac1.com/costing(costing:projects/details/9760/part/8415977)","Panel Carrier")</f>
        <v>Panel Carrier</v>
      </c>
      <c r="B1965">
        <v>8415977</v>
      </c>
      <c r="C1965">
        <v>8415672</v>
      </c>
      <c r="E1965">
        <v>2.138225754</v>
      </c>
      <c r="F1965">
        <v>0</v>
      </c>
      <c r="G1965">
        <v>0</v>
      </c>
      <c r="H1965">
        <v>1.0846538661894736E-2</v>
      </c>
      <c r="I1965" t="s">
        <v>176</v>
      </c>
      <c r="J1965">
        <v>7.5025465052631579E-2</v>
      </c>
      <c r="K1965">
        <v>2.2240977577145262</v>
      </c>
      <c r="L1965">
        <v>0.173668428195974</v>
      </c>
      <c r="M1965">
        <v>1.0420105691758439</v>
      </c>
      <c r="N1965">
        <v>3.2661083268903703</v>
      </c>
      <c r="O1965" t="s">
        <v>177</v>
      </c>
      <c r="P1965">
        <v>0.13344586546287157</v>
      </c>
      <c r="Q1965" t="s">
        <v>177</v>
      </c>
      <c r="R1965">
        <v>6.2520634150550633E-2</v>
      </c>
      <c r="S1965" t="s">
        <v>178</v>
      </c>
      <c r="T1965">
        <v>0.39193299922684444</v>
      </c>
      <c r="U1965" t="s">
        <v>90</v>
      </c>
      <c r="V1965">
        <v>0</v>
      </c>
      <c r="W1965" t="s">
        <v>90</v>
      </c>
      <c r="X1965">
        <v>0</v>
      </c>
      <c r="Y1965">
        <v>3.8540078257306369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120</v>
      </c>
      <c r="AF1965">
        <v>770</v>
      </c>
      <c r="AG1965">
        <v>615</v>
      </c>
      <c r="AI1965">
        <v>1.1379999999999999</v>
      </c>
      <c r="AK1965" t="s">
        <v>740</v>
      </c>
      <c r="AL1965" t="s">
        <v>951</v>
      </c>
      <c r="AM1965">
        <v>200000</v>
      </c>
      <c r="AN1965" t="s">
        <v>97</v>
      </c>
      <c r="AO1965">
        <v>1</v>
      </c>
      <c r="AP1965">
        <v>0</v>
      </c>
      <c r="AQ1965">
        <v>16666.666666666668</v>
      </c>
      <c r="AR1965" t="s">
        <v>6451</v>
      </c>
      <c r="AS1965" t="s">
        <v>75</v>
      </c>
      <c r="AX1965" t="s">
        <v>76</v>
      </c>
      <c r="AY1965" t="s">
        <v>176</v>
      </c>
      <c r="AZ1965">
        <v>0</v>
      </c>
      <c r="BA1965" t="s">
        <v>176</v>
      </c>
      <c r="BB1965">
        <v>0</v>
      </c>
    </row>
    <row r="1966" spans="1:56" x14ac:dyDescent="0.15">
      <c r="A1966" s="4" t="str">
        <f>HYPERLINK("https://ibp.a2mac1.com/costing(costing:projects/details/9760/part/8415978)","Insert")</f>
        <v>Insert</v>
      </c>
      <c r="B1966">
        <v>8415978</v>
      </c>
      <c r="C1966">
        <v>8415672</v>
      </c>
      <c r="E1966">
        <v>0.83825284731914895</v>
      </c>
      <c r="F1966">
        <v>0</v>
      </c>
      <c r="G1966">
        <v>0</v>
      </c>
      <c r="H1966">
        <v>4.2466587028622618E-3</v>
      </c>
      <c r="I1966" t="s">
        <v>176</v>
      </c>
      <c r="J1966">
        <v>2.9374121462486004E-2</v>
      </c>
      <c r="K1966">
        <v>0.87187362748449715</v>
      </c>
      <c r="L1966">
        <v>9.949291146742395E-2</v>
      </c>
      <c r="M1966">
        <v>0.5969574688045437</v>
      </c>
      <c r="N1966">
        <v>1.468831096289041</v>
      </c>
      <c r="O1966" t="s">
        <v>90</v>
      </c>
      <c r="P1966">
        <v>0</v>
      </c>
      <c r="Q1966" t="s">
        <v>90</v>
      </c>
      <c r="R1966">
        <v>0</v>
      </c>
      <c r="S1966" t="s">
        <v>90</v>
      </c>
      <c r="T1966">
        <v>0</v>
      </c>
      <c r="U1966" t="s">
        <v>90</v>
      </c>
      <c r="V1966">
        <v>0</v>
      </c>
      <c r="W1966" t="s">
        <v>90</v>
      </c>
      <c r="X1966">
        <v>0</v>
      </c>
      <c r="Y1966">
        <v>1.468831096289041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100</v>
      </c>
      <c r="AF1966">
        <v>425</v>
      </c>
      <c r="AG1966">
        <v>158</v>
      </c>
      <c r="AI1966">
        <v>0.16700000000000001</v>
      </c>
      <c r="AK1966" t="s">
        <v>740</v>
      </c>
      <c r="AL1966" t="s">
        <v>3968</v>
      </c>
      <c r="AM1966">
        <v>200000</v>
      </c>
      <c r="AN1966" t="s">
        <v>73</v>
      </c>
      <c r="AO1966">
        <v>1</v>
      </c>
      <c r="AP1966">
        <v>0</v>
      </c>
      <c r="AQ1966">
        <v>16666.666666666668</v>
      </c>
      <c r="AR1966" t="s">
        <v>6454</v>
      </c>
      <c r="AS1966" t="s">
        <v>75</v>
      </c>
      <c r="AX1966" t="s">
        <v>76</v>
      </c>
      <c r="AY1966" t="s">
        <v>176</v>
      </c>
      <c r="AZ1966">
        <v>0</v>
      </c>
      <c r="BA1966" t="s">
        <v>176</v>
      </c>
      <c r="BB1966">
        <v>0</v>
      </c>
    </row>
    <row r="1967" spans="1:56" x14ac:dyDescent="0.15">
      <c r="A1967" s="4" t="str">
        <f>HYPERLINK("https://ibp.a2mac1.com/costing(costing:projects/details/9760/part/8415979)","Armrest")</f>
        <v>Armrest</v>
      </c>
      <c r="B1967">
        <v>8415979</v>
      </c>
      <c r="C1967">
        <v>8415672</v>
      </c>
      <c r="E1967">
        <v>2.6559010005106383</v>
      </c>
      <c r="F1967">
        <v>0</v>
      </c>
      <c r="G1967">
        <v>0</v>
      </c>
      <c r="H1967">
        <v>1.3453727779905935E-2</v>
      </c>
      <c r="I1967" t="s">
        <v>176</v>
      </c>
      <c r="J1967">
        <v>9.3059381876819711E-2</v>
      </c>
      <c r="K1967">
        <v>2.7624141101673638</v>
      </c>
      <c r="L1967">
        <v>0.36617155494387771</v>
      </c>
      <c r="M1967">
        <v>2.1970293296632661</v>
      </c>
      <c r="N1967">
        <v>4.95944343983063</v>
      </c>
      <c r="O1967" t="s">
        <v>90</v>
      </c>
      <c r="P1967">
        <v>0</v>
      </c>
      <c r="Q1967" t="s">
        <v>90</v>
      </c>
      <c r="R1967">
        <v>0</v>
      </c>
      <c r="S1967" t="s">
        <v>90</v>
      </c>
      <c r="T1967">
        <v>0</v>
      </c>
      <c r="U1967" t="s">
        <v>90</v>
      </c>
      <c r="V1967">
        <v>0</v>
      </c>
      <c r="W1967" t="s">
        <v>90</v>
      </c>
      <c r="X1967">
        <v>0</v>
      </c>
      <c r="Y1967">
        <v>4.95944343983063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122</v>
      </c>
      <c r="AF1967">
        <v>756</v>
      </c>
      <c r="AG1967">
        <v>313</v>
      </c>
      <c r="AI1967">
        <v>0.624</v>
      </c>
      <c r="AK1967" t="s">
        <v>740</v>
      </c>
      <c r="AL1967" t="s">
        <v>951</v>
      </c>
      <c r="AM1967">
        <v>200000</v>
      </c>
      <c r="AN1967" t="s">
        <v>73</v>
      </c>
      <c r="AO1967">
        <v>1</v>
      </c>
      <c r="AP1967">
        <v>0</v>
      </c>
      <c r="AQ1967">
        <v>16666.666666666668</v>
      </c>
      <c r="AR1967" t="s">
        <v>6457</v>
      </c>
      <c r="AS1967" t="s">
        <v>75</v>
      </c>
      <c r="AX1967" t="s">
        <v>76</v>
      </c>
      <c r="AY1967" t="s">
        <v>176</v>
      </c>
      <c r="AZ1967">
        <v>0</v>
      </c>
      <c r="BA1967" t="s">
        <v>176</v>
      </c>
      <c r="BB1967">
        <v>0</v>
      </c>
    </row>
    <row r="1968" spans="1:56" x14ac:dyDescent="0.15">
      <c r="A1968" s="4" t="str">
        <f>HYPERLINK("https://ibp.a2mac1.com/costing(costing:projects/details/9760/part/8415980)","Trim")</f>
        <v>Trim</v>
      </c>
      <c r="B1968">
        <v>8415980</v>
      </c>
      <c r="C1968">
        <v>8415672</v>
      </c>
      <c r="E1968">
        <v>0.21669984</v>
      </c>
      <c r="F1968">
        <v>0</v>
      </c>
      <c r="G1968">
        <v>0</v>
      </c>
      <c r="H1968">
        <v>1.0992493136842106E-3</v>
      </c>
      <c r="I1968" t="s">
        <v>176</v>
      </c>
      <c r="J1968">
        <v>7.6035031578947365E-3</v>
      </c>
      <c r="K1968">
        <v>0.22540259247157896</v>
      </c>
      <c r="L1968">
        <v>9.949291146742395E-2</v>
      </c>
      <c r="M1968">
        <v>0.5969574688045437</v>
      </c>
      <c r="N1968">
        <v>0.8223600612761226</v>
      </c>
      <c r="O1968" t="s">
        <v>90</v>
      </c>
      <c r="P1968">
        <v>0</v>
      </c>
      <c r="Q1968" t="s">
        <v>90</v>
      </c>
      <c r="R1968">
        <v>0</v>
      </c>
      <c r="S1968" t="s">
        <v>90</v>
      </c>
      <c r="T1968">
        <v>0</v>
      </c>
      <c r="U1968" t="s">
        <v>90</v>
      </c>
      <c r="V1968">
        <v>0</v>
      </c>
      <c r="W1968" t="s">
        <v>90</v>
      </c>
      <c r="X1968">
        <v>0</v>
      </c>
      <c r="Y1968">
        <v>0.8223600612761226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31</v>
      </c>
      <c r="AF1968">
        <v>475</v>
      </c>
      <c r="AG1968">
        <v>47</v>
      </c>
      <c r="AI1968">
        <v>0.09</v>
      </c>
      <c r="AK1968" t="s">
        <v>740</v>
      </c>
      <c r="AL1968" t="s">
        <v>2495</v>
      </c>
      <c r="AM1968">
        <v>200000</v>
      </c>
      <c r="AN1968" t="s">
        <v>73</v>
      </c>
      <c r="AO1968">
        <v>1</v>
      </c>
      <c r="AP1968">
        <v>0</v>
      </c>
      <c r="AQ1968">
        <v>16666.666666666668</v>
      </c>
      <c r="AR1968" t="s">
        <v>6460</v>
      </c>
      <c r="AS1968" t="s">
        <v>75</v>
      </c>
      <c r="AX1968" t="s">
        <v>76</v>
      </c>
      <c r="AY1968" t="s">
        <v>176</v>
      </c>
      <c r="AZ1968">
        <v>0</v>
      </c>
      <c r="BA1968" t="s">
        <v>176</v>
      </c>
      <c r="BB1968">
        <v>0</v>
      </c>
    </row>
    <row r="1969" spans="1:54" x14ac:dyDescent="0.15">
      <c r="A1969" s="4" t="str">
        <f>HYPERLINK("https://ibp.a2mac1.com/costing(costing:projects/details/9760/part/8415981)","2nd Trim")</f>
        <v>2nd Trim</v>
      </c>
      <c r="B1969">
        <v>8415981</v>
      </c>
      <c r="C1969">
        <v>8415672</v>
      </c>
      <c r="E1969">
        <v>8.1864383999999998E-2</v>
      </c>
      <c r="F1969">
        <v>0</v>
      </c>
      <c r="G1969">
        <v>0</v>
      </c>
      <c r="H1969">
        <v>4.1527196294736843E-4</v>
      </c>
      <c r="I1969" t="s">
        <v>176</v>
      </c>
      <c r="J1969">
        <v>2.8724345263157897E-3</v>
      </c>
      <c r="K1969">
        <v>8.5152090489263157E-2</v>
      </c>
      <c r="L1969">
        <v>3.9446064591931056E-2</v>
      </c>
      <c r="M1969">
        <v>0.23667638755158632</v>
      </c>
      <c r="N1969">
        <v>0.32182847804084946</v>
      </c>
      <c r="O1969" t="s">
        <v>90</v>
      </c>
      <c r="P1969">
        <v>0</v>
      </c>
      <c r="Q1969" t="s">
        <v>90</v>
      </c>
      <c r="R1969">
        <v>0</v>
      </c>
      <c r="S1969" t="s">
        <v>90</v>
      </c>
      <c r="T1969">
        <v>0</v>
      </c>
      <c r="U1969" t="s">
        <v>90</v>
      </c>
      <c r="V1969">
        <v>0</v>
      </c>
      <c r="W1969" t="s">
        <v>90</v>
      </c>
      <c r="X1969">
        <v>0</v>
      </c>
      <c r="Y1969">
        <v>0.32182847804084946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93</v>
      </c>
      <c r="AF1969">
        <v>475</v>
      </c>
      <c r="AG1969">
        <v>33</v>
      </c>
      <c r="AI1969">
        <v>3.4000000000000002E-2</v>
      </c>
      <c r="AK1969" t="s">
        <v>740</v>
      </c>
      <c r="AL1969" t="s">
        <v>2495</v>
      </c>
      <c r="AM1969">
        <v>200000</v>
      </c>
      <c r="AN1969" t="s">
        <v>73</v>
      </c>
      <c r="AO1969">
        <v>1</v>
      </c>
      <c r="AP1969">
        <v>0</v>
      </c>
      <c r="AQ1969">
        <v>16666.666666666668</v>
      </c>
      <c r="AR1969" t="s">
        <v>6463</v>
      </c>
      <c r="AS1969" t="s">
        <v>75</v>
      </c>
      <c r="AX1969" t="s">
        <v>76</v>
      </c>
      <c r="AY1969" t="s">
        <v>176</v>
      </c>
      <c r="AZ1969">
        <v>0</v>
      </c>
      <c r="BA1969" t="s">
        <v>176</v>
      </c>
      <c r="BB1969">
        <v>0</v>
      </c>
    </row>
    <row r="1970" spans="1:54" x14ac:dyDescent="0.15">
      <c r="A1970" s="4" t="str">
        <f>HYPERLINK("https://ibp.a2mac1.com/costing(costing:projects/details/9760/part/8415982)","Upper Band")</f>
        <v>Upper Band</v>
      </c>
      <c r="B1970">
        <v>8415982</v>
      </c>
      <c r="C1970">
        <v>8415672</v>
      </c>
      <c r="E1970">
        <v>1.0093601539787234</v>
      </c>
      <c r="F1970">
        <v>0</v>
      </c>
      <c r="G1970">
        <v>0</v>
      </c>
      <c r="H1970">
        <v>5.1142010359776034E-3</v>
      </c>
      <c r="I1970" t="s">
        <v>176</v>
      </c>
      <c r="J1970">
        <v>3.5374908351623741E-2</v>
      </c>
      <c r="K1970">
        <v>1.0498492633663248</v>
      </c>
      <c r="L1970">
        <v>0.17013626073270971</v>
      </c>
      <c r="M1970">
        <v>1.0208175643962583</v>
      </c>
      <c r="N1970">
        <v>2.070666827762583</v>
      </c>
      <c r="O1970" t="s">
        <v>90</v>
      </c>
      <c r="P1970">
        <v>0</v>
      </c>
      <c r="Q1970" t="s">
        <v>90</v>
      </c>
      <c r="R1970">
        <v>0</v>
      </c>
      <c r="S1970" t="s">
        <v>90</v>
      </c>
      <c r="T1970">
        <v>0</v>
      </c>
      <c r="U1970" t="s">
        <v>90</v>
      </c>
      <c r="V1970">
        <v>0</v>
      </c>
      <c r="W1970" t="s">
        <v>90</v>
      </c>
      <c r="X1970">
        <v>0</v>
      </c>
      <c r="Y1970">
        <v>2.070666827762583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55</v>
      </c>
      <c r="AF1970">
        <v>720</v>
      </c>
      <c r="AG1970">
        <v>105</v>
      </c>
      <c r="AI1970">
        <v>0.28699999999999998</v>
      </c>
      <c r="AK1970" t="s">
        <v>740</v>
      </c>
      <c r="AL1970" t="s">
        <v>5136</v>
      </c>
      <c r="AM1970">
        <v>200000</v>
      </c>
      <c r="AN1970" t="s">
        <v>73</v>
      </c>
      <c r="AO1970">
        <v>1</v>
      </c>
      <c r="AP1970">
        <v>0</v>
      </c>
      <c r="AQ1970">
        <v>16666.666666666668</v>
      </c>
      <c r="AR1970" t="s">
        <v>6466</v>
      </c>
      <c r="AS1970" t="s">
        <v>75</v>
      </c>
      <c r="AX1970" t="s">
        <v>76</v>
      </c>
      <c r="AY1970" t="s">
        <v>176</v>
      </c>
      <c r="AZ1970">
        <v>0</v>
      </c>
      <c r="BA1970" t="s">
        <v>176</v>
      </c>
      <c r="BB1970">
        <v>0</v>
      </c>
    </row>
    <row r="1971" spans="1:54" x14ac:dyDescent="0.15">
      <c r="A1971" s="4" t="str">
        <f>HYPERLINK("https://ibp.a2mac1.com/costing(costing:projects/details/9760/part/8415983)","Door Map Pocket Panel")</f>
        <v>Door Map Pocket Panel</v>
      </c>
      <c r="B1971">
        <v>8415983</v>
      </c>
      <c r="C1971">
        <v>8415672</v>
      </c>
      <c r="E1971">
        <v>0.53925377100000005</v>
      </c>
      <c r="F1971">
        <v>0</v>
      </c>
      <c r="G1971">
        <v>0</v>
      </c>
      <c r="H1971">
        <v>2.7354627381052632E-3</v>
      </c>
      <c r="I1971" t="s">
        <v>176</v>
      </c>
      <c r="J1971">
        <v>1.892118494736842E-2</v>
      </c>
      <c r="K1971">
        <v>0.56091041868547364</v>
      </c>
      <c r="L1971">
        <v>4.4744315786827485E-2</v>
      </c>
      <c r="M1971">
        <v>0.26846589472096494</v>
      </c>
      <c r="N1971">
        <v>0.82937631340643858</v>
      </c>
      <c r="O1971" t="s">
        <v>90</v>
      </c>
      <c r="P1971">
        <v>0</v>
      </c>
      <c r="Q1971" t="s">
        <v>90</v>
      </c>
      <c r="R1971">
        <v>0</v>
      </c>
      <c r="S1971" t="s">
        <v>90</v>
      </c>
      <c r="T1971">
        <v>0</v>
      </c>
      <c r="U1971" t="s">
        <v>90</v>
      </c>
      <c r="V1971">
        <v>0</v>
      </c>
      <c r="W1971" t="s">
        <v>90</v>
      </c>
      <c r="X1971">
        <v>0</v>
      </c>
      <c r="Y1971">
        <v>0.82937631340643858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52</v>
      </c>
      <c r="AF1971">
        <v>835</v>
      </c>
      <c r="AG1971">
        <v>280</v>
      </c>
      <c r="AI1971">
        <v>0.28699999999999998</v>
      </c>
      <c r="AK1971" t="s">
        <v>740</v>
      </c>
      <c r="AL1971" t="s">
        <v>951</v>
      </c>
      <c r="AM1971">
        <v>200000</v>
      </c>
      <c r="AN1971" t="s">
        <v>73</v>
      </c>
      <c r="AO1971">
        <v>1</v>
      </c>
      <c r="AP1971">
        <v>0</v>
      </c>
      <c r="AQ1971">
        <v>16666.666666666668</v>
      </c>
      <c r="AR1971" t="s">
        <v>6469</v>
      </c>
      <c r="AS1971" t="s">
        <v>75</v>
      </c>
      <c r="AX1971" t="s">
        <v>76</v>
      </c>
      <c r="AY1971" t="s">
        <v>176</v>
      </c>
      <c r="AZ1971">
        <v>0</v>
      </c>
      <c r="BA1971" t="s">
        <v>176</v>
      </c>
      <c r="BB1971">
        <v>0</v>
      </c>
    </row>
    <row r="1972" spans="1:54" x14ac:dyDescent="0.15">
      <c r="A1972" s="4" t="str">
        <f>HYPERLINK("https://ibp.a2mac1.com/costing(costing:projects/details/9760/part/8415984)","Soundproofing")</f>
        <v>Soundproofing</v>
      </c>
      <c r="B1972">
        <v>8415984</v>
      </c>
      <c r="C1972">
        <v>8415672</v>
      </c>
      <c r="E1972">
        <v>2.874421052631579</v>
      </c>
      <c r="F1972">
        <v>0</v>
      </c>
      <c r="G1972">
        <v>0</v>
      </c>
      <c r="H1972">
        <v>1.4544570526315789E-2</v>
      </c>
      <c r="I1972" t="s">
        <v>176</v>
      </c>
      <c r="J1972">
        <v>0.10060473684210526</v>
      </c>
      <c r="K1972">
        <v>2.9895703600000001</v>
      </c>
      <c r="L1972">
        <v>2.7083478470506045E-2</v>
      </c>
      <c r="M1972">
        <v>0.16250087082303627</v>
      </c>
      <c r="N1972">
        <v>3.1520712308230361</v>
      </c>
      <c r="O1972" t="s">
        <v>177</v>
      </c>
      <c r="P1972">
        <v>0.17937422159999999</v>
      </c>
      <c r="Q1972" t="s">
        <v>177</v>
      </c>
      <c r="R1972">
        <v>9.7500522493821767E-3</v>
      </c>
      <c r="S1972" t="s">
        <v>178</v>
      </c>
      <c r="T1972">
        <v>0.37824854769876437</v>
      </c>
      <c r="U1972" t="s">
        <v>90</v>
      </c>
      <c r="V1972">
        <v>0</v>
      </c>
      <c r="W1972" t="s">
        <v>90</v>
      </c>
      <c r="X1972">
        <v>0</v>
      </c>
      <c r="Y1972">
        <v>3.7194440523711827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15</v>
      </c>
      <c r="AF1972">
        <v>625</v>
      </c>
      <c r="AG1972">
        <v>525</v>
      </c>
      <c r="AI1972">
        <v>6.4000000000000001E-2</v>
      </c>
      <c r="AK1972" t="s">
        <v>740</v>
      </c>
      <c r="AL1972" t="s">
        <v>403</v>
      </c>
      <c r="AM1972">
        <v>200000</v>
      </c>
      <c r="AN1972" t="s">
        <v>97</v>
      </c>
      <c r="AO1972">
        <v>1</v>
      </c>
      <c r="AP1972">
        <v>0</v>
      </c>
      <c r="AQ1972">
        <v>16666.666666666668</v>
      </c>
      <c r="AR1972" t="s">
        <v>6472</v>
      </c>
      <c r="AS1972" t="s">
        <v>75</v>
      </c>
      <c r="AX1972" t="s">
        <v>76</v>
      </c>
      <c r="AY1972" t="s">
        <v>176</v>
      </c>
      <c r="AZ1972">
        <v>0</v>
      </c>
      <c r="BA1972" t="s">
        <v>176</v>
      </c>
      <c r="BB1972">
        <v>0</v>
      </c>
    </row>
    <row r="1973" spans="1:54" x14ac:dyDescent="0.15">
      <c r="A1973" s="4" t="str">
        <f>HYPERLINK("https://ibp.a2mac1.com/costing(costing:projects/details/9760/part/8415985)","Reinforcement")</f>
        <v>Reinforcement</v>
      </c>
      <c r="B1973">
        <v>8415985</v>
      </c>
      <c r="C1973">
        <v>8415672</v>
      </c>
      <c r="E1973">
        <v>0.17849863499999999</v>
      </c>
      <c r="F1973">
        <v>0</v>
      </c>
      <c r="G1973">
        <v>0</v>
      </c>
      <c r="H1973">
        <v>9.0546675999999995E-4</v>
      </c>
      <c r="I1973" t="s">
        <v>176</v>
      </c>
      <c r="J1973">
        <v>6.2631099999999997E-3</v>
      </c>
      <c r="K1973">
        <v>0.18566721176000001</v>
      </c>
      <c r="L1973">
        <v>1.6486976080713183E-2</v>
      </c>
      <c r="M1973">
        <v>9.8921856484279092E-2</v>
      </c>
      <c r="N1973">
        <v>0.2845890682442791</v>
      </c>
      <c r="O1973" t="s">
        <v>90</v>
      </c>
      <c r="P1973">
        <v>0</v>
      </c>
      <c r="Q1973" t="s">
        <v>90</v>
      </c>
      <c r="R1973">
        <v>0</v>
      </c>
      <c r="S1973" t="s">
        <v>90</v>
      </c>
      <c r="T1973">
        <v>0</v>
      </c>
      <c r="U1973" t="s">
        <v>90</v>
      </c>
      <c r="V1973">
        <v>0</v>
      </c>
      <c r="W1973" t="s">
        <v>90</v>
      </c>
      <c r="X1973">
        <v>0</v>
      </c>
      <c r="Y1973">
        <v>0.2845890682442791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61</v>
      </c>
      <c r="AF1973">
        <v>720</v>
      </c>
      <c r="AG1973">
        <v>47</v>
      </c>
      <c r="AI1973">
        <v>9.5000000000000001E-2</v>
      </c>
      <c r="AK1973" t="s">
        <v>740</v>
      </c>
      <c r="AL1973" t="s">
        <v>951</v>
      </c>
      <c r="AM1973">
        <v>200000</v>
      </c>
      <c r="AN1973" t="s">
        <v>73</v>
      </c>
      <c r="AO1973">
        <v>1</v>
      </c>
      <c r="AP1973">
        <v>0</v>
      </c>
      <c r="AQ1973">
        <v>16666.666666666668</v>
      </c>
      <c r="AR1973" t="s">
        <v>6475</v>
      </c>
      <c r="AS1973" t="s">
        <v>75</v>
      </c>
      <c r="AX1973" t="s">
        <v>76</v>
      </c>
      <c r="AY1973" t="s">
        <v>176</v>
      </c>
      <c r="AZ1973">
        <v>0</v>
      </c>
      <c r="BA1973" t="s">
        <v>176</v>
      </c>
      <c r="BB1973">
        <v>0</v>
      </c>
    </row>
    <row r="1974" spans="1:54" x14ac:dyDescent="0.15">
      <c r="A1974" s="4" t="str">
        <f>HYPERLINK("https://ibp.a2mac1.com/costing(costing:projects/details/9760/part/8416552)","Closures&gt;Rear door&gt;Housing assy&gt;Housing&gt;Part 01 (single/front)")</f>
        <v>Closures&gt;Rear door&gt;Housing assy&gt;Housing&gt;Part 01 (single/front)</v>
      </c>
      <c r="B1974">
        <v>8416552</v>
      </c>
      <c r="C1974">
        <v>8416324</v>
      </c>
      <c r="D1974" t="s">
        <v>4963</v>
      </c>
      <c r="E1974">
        <v>2.7187332384615384</v>
      </c>
      <c r="F1974">
        <v>0</v>
      </c>
      <c r="G1974">
        <v>0</v>
      </c>
      <c r="H1974">
        <v>6.0753815384615383E-5</v>
      </c>
      <c r="I1974" t="s">
        <v>176</v>
      </c>
      <c r="J1974">
        <v>0.10631917692307692</v>
      </c>
      <c r="K1974">
        <v>2.8251131692000002</v>
      </c>
      <c r="L1974">
        <v>0.24982862648184256</v>
      </c>
      <c r="M1974">
        <v>1.4989717588910554</v>
      </c>
      <c r="N1974">
        <v>4.3240849280910556</v>
      </c>
      <c r="O1974" t="s">
        <v>90</v>
      </c>
      <c r="P1974">
        <v>0</v>
      </c>
      <c r="Q1974" t="s">
        <v>90</v>
      </c>
      <c r="R1974">
        <v>0</v>
      </c>
      <c r="S1974" t="s">
        <v>90</v>
      </c>
      <c r="T1974">
        <v>0</v>
      </c>
      <c r="U1974" t="s">
        <v>90</v>
      </c>
      <c r="V1974">
        <v>0</v>
      </c>
      <c r="W1974" t="s">
        <v>90</v>
      </c>
      <c r="X1974">
        <v>0</v>
      </c>
      <c r="Y1974">
        <v>4.3240849280910556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K1974" t="s">
        <v>5035</v>
      </c>
      <c r="AM1974">
        <v>200000</v>
      </c>
      <c r="AN1974" t="s">
        <v>73</v>
      </c>
      <c r="AO1974">
        <v>1</v>
      </c>
      <c r="AP1974">
        <v>0</v>
      </c>
      <c r="AQ1974">
        <v>16666.666666666668</v>
      </c>
      <c r="AR1974" t="s">
        <v>9</v>
      </c>
      <c r="AS1974" t="s">
        <v>75</v>
      </c>
      <c r="AX1974" t="s">
        <v>76</v>
      </c>
      <c r="AY1974" t="s">
        <v>176</v>
      </c>
      <c r="AZ1974">
        <v>0</v>
      </c>
      <c r="BA1974" t="s">
        <v>176</v>
      </c>
      <c r="BB1974">
        <v>0</v>
      </c>
    </row>
    <row r="1975" spans="1:54" x14ac:dyDescent="0.15">
      <c r="A1975" s="4" t="str">
        <f>HYPERLINK("https://ibp.a2mac1.com/costing(costing:projects/details/9760/part/8416553)","Closures&gt;Rear door&gt;Housing assy&gt;Reinforcements&gt;Part 01 (single/main)")</f>
        <v>Closures&gt;Rear door&gt;Housing assy&gt;Reinforcements&gt;Part 01 (single/main)</v>
      </c>
      <c r="B1975">
        <v>8416553</v>
      </c>
      <c r="C1975">
        <v>8416325</v>
      </c>
      <c r="D1975" t="s">
        <v>4963</v>
      </c>
      <c r="E1975">
        <v>0.23062938307692307</v>
      </c>
      <c r="F1975">
        <v>0</v>
      </c>
      <c r="G1975">
        <v>0</v>
      </c>
      <c r="H1975">
        <v>5.1537292307692311E-6</v>
      </c>
      <c r="I1975" t="s">
        <v>176</v>
      </c>
      <c r="J1975">
        <v>9.019026153846154E-3</v>
      </c>
      <c r="K1975">
        <v>0.23965356296000001</v>
      </c>
      <c r="L1975">
        <v>1.2228940964449372E-2</v>
      </c>
      <c r="M1975">
        <v>7.3373645786696237E-2</v>
      </c>
      <c r="N1975">
        <v>0.31302720874669621</v>
      </c>
      <c r="O1975" t="s">
        <v>177</v>
      </c>
      <c r="P1975">
        <v>1.43792137776E-2</v>
      </c>
      <c r="Q1975" t="s">
        <v>177</v>
      </c>
      <c r="R1975">
        <v>4.4024187472017735E-3</v>
      </c>
      <c r="S1975" t="s">
        <v>178</v>
      </c>
      <c r="T1975">
        <v>3.7563265049603549E-2</v>
      </c>
      <c r="U1975" t="s">
        <v>90</v>
      </c>
      <c r="V1975">
        <v>0</v>
      </c>
      <c r="W1975" t="s">
        <v>90</v>
      </c>
      <c r="X1975">
        <v>0</v>
      </c>
      <c r="Y1975">
        <v>0.36937210632110157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K1975" t="s">
        <v>5305</v>
      </c>
      <c r="AM1975">
        <v>200000</v>
      </c>
      <c r="AN1975" t="s">
        <v>97</v>
      </c>
      <c r="AO1975">
        <v>1</v>
      </c>
      <c r="AP1975">
        <v>0</v>
      </c>
      <c r="AQ1975">
        <v>16666.666666666668</v>
      </c>
      <c r="AR1975" t="s">
        <v>9</v>
      </c>
      <c r="AS1975" t="s">
        <v>75</v>
      </c>
      <c r="AX1975" t="s">
        <v>76</v>
      </c>
      <c r="AY1975" t="s">
        <v>176</v>
      </c>
      <c r="AZ1975">
        <v>0</v>
      </c>
      <c r="BA1975" t="s">
        <v>176</v>
      </c>
      <c r="BB1975">
        <v>0</v>
      </c>
    </row>
    <row r="1976" spans="1:54" x14ac:dyDescent="0.15">
      <c r="A1976" s="4" t="str">
        <f>HYPERLINK("https://ibp.a2mac1.com/costing(costing:projects/details/9760/part/8416554)","Closures&gt;Rear door&gt;Housing assy&gt;Reinforcements&gt;Part 02")</f>
        <v>Closures&gt;Rear door&gt;Housing assy&gt;Reinforcements&gt;Part 02</v>
      </c>
      <c r="B1976">
        <v>8416554</v>
      </c>
      <c r="C1976">
        <v>8416325</v>
      </c>
      <c r="D1976" t="s">
        <v>4963</v>
      </c>
      <c r="E1976">
        <v>0.34907267666666669</v>
      </c>
      <c r="F1976">
        <v>0</v>
      </c>
      <c r="G1976">
        <v>0</v>
      </c>
      <c r="H1976">
        <v>7.5475173333333331E-6</v>
      </c>
      <c r="I1976" t="s">
        <v>176</v>
      </c>
      <c r="J1976">
        <v>1.3208155333333334E-2</v>
      </c>
      <c r="K1976">
        <v>0.36228837951733334</v>
      </c>
      <c r="L1976">
        <v>1.2228940964449372E-2</v>
      </c>
      <c r="M1976">
        <v>7.3373645786696237E-2</v>
      </c>
      <c r="N1976">
        <v>0.43566202530402959</v>
      </c>
      <c r="O1976" t="s">
        <v>177</v>
      </c>
      <c r="P1976">
        <v>2.1737302771039999E-2</v>
      </c>
      <c r="Q1976" t="s">
        <v>177</v>
      </c>
      <c r="R1976">
        <v>4.4024187472017735E-3</v>
      </c>
      <c r="S1976" t="s">
        <v>178</v>
      </c>
      <c r="T1976">
        <v>5.2279443036483547E-2</v>
      </c>
      <c r="U1976" t="s">
        <v>90</v>
      </c>
      <c r="V1976">
        <v>0</v>
      </c>
      <c r="W1976" t="s">
        <v>90</v>
      </c>
      <c r="X1976">
        <v>0</v>
      </c>
      <c r="Y1976">
        <v>0.51408118985875484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K1976" t="s">
        <v>5305</v>
      </c>
      <c r="AM1976">
        <v>200000</v>
      </c>
      <c r="AN1976" t="s">
        <v>97</v>
      </c>
      <c r="AO1976">
        <v>1</v>
      </c>
      <c r="AP1976">
        <v>0</v>
      </c>
      <c r="AQ1976">
        <v>16666.666666666668</v>
      </c>
      <c r="AR1976" t="s">
        <v>9</v>
      </c>
      <c r="AS1976" t="s">
        <v>75</v>
      </c>
      <c r="AX1976" t="s">
        <v>76</v>
      </c>
      <c r="AY1976" t="s">
        <v>176</v>
      </c>
      <c r="AZ1976">
        <v>0</v>
      </c>
      <c r="BA1976" t="s">
        <v>176</v>
      </c>
      <c r="BB1976">
        <v>0</v>
      </c>
    </row>
    <row r="1977" spans="1:54" x14ac:dyDescent="0.15">
      <c r="A1977" s="4" t="str">
        <f>HYPERLINK("https://ibp.a2mac1.com/costing(costing:projects/details/9760/part/8416555)","Closures&gt;Rear door&gt;Housing assy&gt;Reinforcements&gt;Part 03")</f>
        <v>Closures&gt;Rear door&gt;Housing assy&gt;Reinforcements&gt;Part 03</v>
      </c>
      <c r="B1977">
        <v>8416555</v>
      </c>
      <c r="C1977">
        <v>8416325</v>
      </c>
      <c r="D1977" t="s">
        <v>4963</v>
      </c>
      <c r="E1977">
        <v>0.16134244666666667</v>
      </c>
      <c r="F1977">
        <v>0</v>
      </c>
      <c r="G1977">
        <v>0</v>
      </c>
      <c r="H1977">
        <v>3.4884853333333335E-6</v>
      </c>
      <c r="I1977" t="s">
        <v>176</v>
      </c>
      <c r="J1977">
        <v>6.104849333333333E-3</v>
      </c>
      <c r="K1977">
        <v>0.16745078448533332</v>
      </c>
      <c r="L1977">
        <v>1.2228940964449372E-2</v>
      </c>
      <c r="M1977">
        <v>7.3373645786696237E-2</v>
      </c>
      <c r="N1977">
        <v>0.24082443027202957</v>
      </c>
      <c r="O1977" t="s">
        <v>177</v>
      </c>
      <c r="P1977">
        <v>1.004704706912E-2</v>
      </c>
      <c r="Q1977" t="s">
        <v>177</v>
      </c>
      <c r="R1977">
        <v>4.4024187472017735E-3</v>
      </c>
      <c r="S1977" t="s">
        <v>178</v>
      </c>
      <c r="T1977">
        <v>2.8898931632643548E-2</v>
      </c>
      <c r="U1977" t="s">
        <v>90</v>
      </c>
      <c r="V1977">
        <v>0</v>
      </c>
      <c r="W1977" t="s">
        <v>90</v>
      </c>
      <c r="X1977">
        <v>0</v>
      </c>
      <c r="Y1977">
        <v>0.28417282772099489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K1977" t="s">
        <v>5305</v>
      </c>
      <c r="AM1977">
        <v>200000</v>
      </c>
      <c r="AN1977" t="s">
        <v>97</v>
      </c>
      <c r="AO1977">
        <v>1</v>
      </c>
      <c r="AP1977">
        <v>0</v>
      </c>
      <c r="AQ1977">
        <v>16666.666666666668</v>
      </c>
      <c r="AR1977" t="s">
        <v>9</v>
      </c>
      <c r="AS1977" t="s">
        <v>75</v>
      </c>
      <c r="AX1977" t="s">
        <v>76</v>
      </c>
      <c r="AY1977" t="s">
        <v>176</v>
      </c>
      <c r="AZ1977">
        <v>0</v>
      </c>
      <c r="BA1977" t="s">
        <v>176</v>
      </c>
      <c r="BB1977">
        <v>0</v>
      </c>
    </row>
    <row r="1978" spans="1:54" x14ac:dyDescent="0.15">
      <c r="A1978" s="4" t="str">
        <f>HYPERLINK("https://ibp.a2mac1.com/costing(costing:projects/details/9760/part/8416556)","Closures&gt;Rear door&gt;Housing assy&gt;Reinforcements&gt;Part 04")</f>
        <v>Closures&gt;Rear door&gt;Housing assy&gt;Reinforcements&gt;Part 04</v>
      </c>
      <c r="B1978">
        <v>8416556</v>
      </c>
      <c r="C1978">
        <v>8416325</v>
      </c>
      <c r="D1978" t="s">
        <v>4963</v>
      </c>
      <c r="E1978">
        <v>0.45538793500000002</v>
      </c>
      <c r="F1978">
        <v>0</v>
      </c>
      <c r="G1978">
        <v>0</v>
      </c>
      <c r="H1978">
        <v>9.6891050000000005E-6</v>
      </c>
      <c r="I1978" t="s">
        <v>176</v>
      </c>
      <c r="J1978">
        <v>1.6955933749999999E-2</v>
      </c>
      <c r="K1978">
        <v>0.47235355785499999</v>
      </c>
      <c r="L1978">
        <v>1.2228940964449372E-2</v>
      </c>
      <c r="M1978">
        <v>7.3373645786696237E-2</v>
      </c>
      <c r="N1978">
        <v>0.54572720364169625</v>
      </c>
      <c r="O1978" t="s">
        <v>177</v>
      </c>
      <c r="P1978">
        <v>2.83412134713E-2</v>
      </c>
      <c r="Q1978" t="s">
        <v>177</v>
      </c>
      <c r="R1978">
        <v>4.4024187472017735E-3</v>
      </c>
      <c r="S1978" t="s">
        <v>178</v>
      </c>
      <c r="T1978">
        <v>6.5487264437003548E-2</v>
      </c>
      <c r="U1978" t="s">
        <v>90</v>
      </c>
      <c r="V1978">
        <v>0</v>
      </c>
      <c r="W1978" t="s">
        <v>90</v>
      </c>
      <c r="X1978">
        <v>0</v>
      </c>
      <c r="Y1978">
        <v>0.64395810029720157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K1978" t="s">
        <v>5305</v>
      </c>
      <c r="AM1978">
        <v>200000</v>
      </c>
      <c r="AN1978" t="s">
        <v>97</v>
      </c>
      <c r="AO1978">
        <v>1</v>
      </c>
      <c r="AP1978">
        <v>0</v>
      </c>
      <c r="AQ1978">
        <v>16666.666666666668</v>
      </c>
      <c r="AR1978" t="s">
        <v>9</v>
      </c>
      <c r="AS1978" t="s">
        <v>75</v>
      </c>
      <c r="AX1978" t="s">
        <v>76</v>
      </c>
      <c r="AY1978" t="s">
        <v>176</v>
      </c>
      <c r="AZ1978">
        <v>0</v>
      </c>
      <c r="BA1978" t="s">
        <v>176</v>
      </c>
      <c r="BB1978">
        <v>0</v>
      </c>
    </row>
    <row r="1979" spans="1:54" x14ac:dyDescent="0.15">
      <c r="A1979" s="4" t="str">
        <f>HYPERLINK("https://ibp.a2mac1.com/costing(costing:projects/details/9760/part/8416846)","Closures&gt;Rear door&gt;Housing assy&gt;Fixing parts&gt;Front&gt;Part 01 (single/main)")</f>
        <v>Closures&gt;Rear door&gt;Housing assy&gt;Fixing parts&gt;Front&gt;Part 01 (single/main)</v>
      </c>
      <c r="B1979">
        <v>8416846</v>
      </c>
      <c r="C1979">
        <v>8416557</v>
      </c>
      <c r="D1979" t="s">
        <v>4963</v>
      </c>
      <c r="E1979">
        <v>3.2322487499999997E-2</v>
      </c>
      <c r="F1979">
        <v>0</v>
      </c>
      <c r="G1979">
        <v>0</v>
      </c>
      <c r="H1979">
        <v>6.8771250000000002E-7</v>
      </c>
      <c r="I1979" t="s">
        <v>176</v>
      </c>
      <c r="J1979">
        <v>1.2034968750000001E-3</v>
      </c>
      <c r="K1979">
        <v>3.3526672087500001E-2</v>
      </c>
      <c r="L1979">
        <v>2.3884525316540659E-3</v>
      </c>
      <c r="M1979">
        <v>1.4330715189924396E-2</v>
      </c>
      <c r="N1979">
        <v>4.7857387277424397E-2</v>
      </c>
      <c r="O1979" t="s">
        <v>177</v>
      </c>
      <c r="P1979">
        <v>2.0116003252500002E-3</v>
      </c>
      <c r="Q1979" t="s">
        <v>177</v>
      </c>
      <c r="R1979">
        <v>8.5984291139546386E-4</v>
      </c>
      <c r="S1979" t="s">
        <v>178</v>
      </c>
      <c r="T1979">
        <v>5.7428864732909273E-3</v>
      </c>
      <c r="U1979" t="s">
        <v>90</v>
      </c>
      <c r="V1979">
        <v>0</v>
      </c>
      <c r="W1979" t="s">
        <v>90</v>
      </c>
      <c r="X1979">
        <v>0</v>
      </c>
      <c r="Y1979">
        <v>5.6471716987360789E-2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K1979" t="s">
        <v>5305</v>
      </c>
      <c r="AM1979">
        <v>200000</v>
      </c>
      <c r="AN1979" t="s">
        <v>97</v>
      </c>
      <c r="AO1979">
        <v>1</v>
      </c>
      <c r="AP1979">
        <v>0</v>
      </c>
      <c r="AQ1979">
        <v>16666.666666666668</v>
      </c>
      <c r="AR1979" t="s">
        <v>9</v>
      </c>
      <c r="AS1979" t="s">
        <v>75</v>
      </c>
      <c r="AX1979" t="s">
        <v>76</v>
      </c>
      <c r="AY1979" t="s">
        <v>176</v>
      </c>
      <c r="AZ1979">
        <v>0</v>
      </c>
      <c r="BA1979" t="s">
        <v>176</v>
      </c>
      <c r="BB1979">
        <v>0</v>
      </c>
    </row>
    <row r="1980" spans="1:54" x14ac:dyDescent="0.15">
      <c r="A1980" s="4" t="str">
        <f>HYPERLINK("https://ibp.a2mac1.com/costing(costing:projects/details/9760/part/8416847)","Closures&gt;Rear door&gt;Housing assy&gt;Fixing parts&gt;Front&gt;Part 02")</f>
        <v>Closures&gt;Rear door&gt;Housing assy&gt;Fixing parts&gt;Front&gt;Part 02</v>
      </c>
      <c r="B1980">
        <v>8416847</v>
      </c>
      <c r="C1980">
        <v>8416557</v>
      </c>
      <c r="D1980" t="s">
        <v>4963</v>
      </c>
      <c r="E1980">
        <v>3.2322487499999997E-2</v>
      </c>
      <c r="F1980">
        <v>0</v>
      </c>
      <c r="G1980">
        <v>0</v>
      </c>
      <c r="H1980">
        <v>6.8771250000000002E-7</v>
      </c>
      <c r="I1980" t="s">
        <v>176</v>
      </c>
      <c r="J1980">
        <v>1.2034968750000001E-3</v>
      </c>
      <c r="K1980">
        <v>3.3526672087500001E-2</v>
      </c>
      <c r="L1980">
        <v>2.3884525316540659E-3</v>
      </c>
      <c r="M1980">
        <v>1.4330715189924396E-2</v>
      </c>
      <c r="N1980">
        <v>4.7857387277424397E-2</v>
      </c>
      <c r="O1980" t="s">
        <v>177</v>
      </c>
      <c r="P1980">
        <v>2.0116003252500002E-3</v>
      </c>
      <c r="Q1980" t="s">
        <v>177</v>
      </c>
      <c r="R1980">
        <v>8.5984291139546386E-4</v>
      </c>
      <c r="S1980" t="s">
        <v>178</v>
      </c>
      <c r="T1980">
        <v>5.7428864732909273E-3</v>
      </c>
      <c r="U1980" t="s">
        <v>90</v>
      </c>
      <c r="V1980">
        <v>0</v>
      </c>
      <c r="W1980" t="s">
        <v>90</v>
      </c>
      <c r="X1980">
        <v>0</v>
      </c>
      <c r="Y1980">
        <v>5.6471716987360789E-2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K1980" t="s">
        <v>5305</v>
      </c>
      <c r="AM1980">
        <v>200000</v>
      </c>
      <c r="AN1980" t="s">
        <v>97</v>
      </c>
      <c r="AO1980">
        <v>1</v>
      </c>
      <c r="AP1980">
        <v>0</v>
      </c>
      <c r="AQ1980">
        <v>16666.666666666668</v>
      </c>
      <c r="AR1980" t="s">
        <v>9</v>
      </c>
      <c r="AS1980" t="s">
        <v>75</v>
      </c>
      <c r="AX1980" t="s">
        <v>76</v>
      </c>
      <c r="AY1980" t="s">
        <v>176</v>
      </c>
      <c r="AZ1980">
        <v>0</v>
      </c>
      <c r="BA1980" t="s">
        <v>176</v>
      </c>
      <c r="BB1980">
        <v>0</v>
      </c>
    </row>
    <row r="1981" spans="1:54" x14ac:dyDescent="0.15">
      <c r="A1981" s="4" t="str">
        <f>HYPERLINK("https://ibp.a2mac1.com/costing(costing:projects/details/9760/part/8416848)","Closures&gt;Rear door&gt;Anti-intrusion beams&gt;Beam 01 (single/upper)&gt;Beam&gt;Part 01 (single/main)")</f>
        <v>Closures&gt;Rear door&gt;Anti-intrusion beams&gt;Beam 01 (single/upper)&gt;Beam&gt;Part 01 (single/main)</v>
      </c>
      <c r="B1981">
        <v>8416848</v>
      </c>
      <c r="C1981">
        <v>8416558</v>
      </c>
      <c r="D1981" t="s">
        <v>4963</v>
      </c>
      <c r="E1981">
        <v>1.0142078299999999</v>
      </c>
      <c r="F1981">
        <v>0</v>
      </c>
      <c r="G1981">
        <v>0</v>
      </c>
      <c r="H1981">
        <v>2.157889E-5</v>
      </c>
      <c r="I1981" t="s">
        <v>176</v>
      </c>
      <c r="J1981">
        <v>3.7763057500000002E-2</v>
      </c>
      <c r="K1981">
        <v>1.05199246639</v>
      </c>
      <c r="L1981">
        <v>1.3850815167047692E-2</v>
      </c>
      <c r="M1981">
        <v>8.3104891002286158E-2</v>
      </c>
      <c r="N1981">
        <v>1.1350973573922862</v>
      </c>
      <c r="O1981" t="s">
        <v>177</v>
      </c>
      <c r="P1981">
        <v>6.3119547983399998E-2</v>
      </c>
      <c r="Q1981" t="s">
        <v>177</v>
      </c>
      <c r="R1981">
        <v>4.9862934601371698E-3</v>
      </c>
      <c r="S1981" t="s">
        <v>178</v>
      </c>
      <c r="T1981">
        <v>0.13621168288707433</v>
      </c>
      <c r="U1981" t="s">
        <v>90</v>
      </c>
      <c r="V1981">
        <v>0</v>
      </c>
      <c r="W1981" t="s">
        <v>90</v>
      </c>
      <c r="X1981">
        <v>0</v>
      </c>
      <c r="Y1981">
        <v>1.3394148817228977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K1981" t="s">
        <v>5305</v>
      </c>
      <c r="AM1981">
        <v>200000</v>
      </c>
      <c r="AN1981" t="s">
        <v>97</v>
      </c>
      <c r="AO1981">
        <v>1</v>
      </c>
      <c r="AP1981">
        <v>0</v>
      </c>
      <c r="AQ1981">
        <v>16666.666666666668</v>
      </c>
      <c r="AR1981" t="s">
        <v>9</v>
      </c>
      <c r="AS1981" t="s">
        <v>75</v>
      </c>
      <c r="AX1981" t="s">
        <v>76</v>
      </c>
      <c r="AY1981" t="s">
        <v>176</v>
      </c>
      <c r="AZ1981">
        <v>0</v>
      </c>
      <c r="BA1981" t="s">
        <v>176</v>
      </c>
      <c r="BB1981">
        <v>0</v>
      </c>
    </row>
    <row r="1982" spans="1:54" x14ac:dyDescent="0.15">
      <c r="A1982" s="4" t="str">
        <f>HYPERLINK("https://ibp.a2mac1.com/costing(costing:projects/details/9760/part/8416849)","Closures&gt;Rear door&gt;Top roll assy&gt;Cross member 01 (outer)&gt;Cross member&gt;Part 01 (single/main)")</f>
        <v>Closures&gt;Rear door&gt;Top roll assy&gt;Cross member 01 (outer)&gt;Cross member&gt;Part 01 (single/main)</v>
      </c>
      <c r="B1982">
        <v>8416849</v>
      </c>
      <c r="C1982">
        <v>8416559</v>
      </c>
      <c r="D1982" t="s">
        <v>4963</v>
      </c>
      <c r="E1982">
        <v>1.4503092500000001</v>
      </c>
      <c r="F1982">
        <v>0</v>
      </c>
      <c r="G1982">
        <v>0</v>
      </c>
      <c r="H1982">
        <v>3.1874928571428571E-5</v>
      </c>
      <c r="I1982" t="s">
        <v>176</v>
      </c>
      <c r="J1982">
        <v>5.5781125000000001E-2</v>
      </c>
      <c r="K1982">
        <v>1.5061222499285714</v>
      </c>
      <c r="L1982">
        <v>1.3850815167047692E-2</v>
      </c>
      <c r="M1982">
        <v>8.3104891002286158E-2</v>
      </c>
      <c r="N1982">
        <v>1.5892271409308576</v>
      </c>
      <c r="O1982" t="s">
        <v>177</v>
      </c>
      <c r="P1982">
        <v>9.0367334995714282E-2</v>
      </c>
      <c r="Q1982" t="s">
        <v>177</v>
      </c>
      <c r="R1982">
        <v>4.9862934601371698E-3</v>
      </c>
      <c r="S1982" t="s">
        <v>178</v>
      </c>
      <c r="T1982">
        <v>0.1907072569117029</v>
      </c>
      <c r="U1982" t="s">
        <v>90</v>
      </c>
      <c r="V1982">
        <v>0</v>
      </c>
      <c r="W1982" t="s">
        <v>90</v>
      </c>
      <c r="X1982">
        <v>0</v>
      </c>
      <c r="Y1982">
        <v>1.875288026298412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K1982" t="s">
        <v>5305</v>
      </c>
      <c r="AM1982">
        <v>200000</v>
      </c>
      <c r="AN1982" t="s">
        <v>97</v>
      </c>
      <c r="AO1982">
        <v>1</v>
      </c>
      <c r="AP1982">
        <v>0</v>
      </c>
      <c r="AQ1982">
        <v>16666.666666666668</v>
      </c>
      <c r="AR1982" t="s">
        <v>9</v>
      </c>
      <c r="AS1982" t="s">
        <v>75</v>
      </c>
      <c r="AX1982" t="s">
        <v>76</v>
      </c>
      <c r="AY1982" t="s">
        <v>176</v>
      </c>
      <c r="AZ1982">
        <v>0</v>
      </c>
      <c r="BA1982" t="s">
        <v>176</v>
      </c>
      <c r="BB1982">
        <v>0</v>
      </c>
    </row>
    <row r="1983" spans="1:54" x14ac:dyDescent="0.15">
      <c r="A1983" s="4" t="str">
        <f>HYPERLINK("https://ibp.a2mac1.com/costing(costing:projects/details/9760/part/8416850)","Closures&gt;Rear door&gt;Top roll assy&gt;Cross member 02 (inner)&gt;Cross member&gt;Part 01 (single/main)")</f>
        <v>Closures&gt;Rear door&gt;Top roll assy&gt;Cross member 02 (inner)&gt;Cross member&gt;Part 01 (single/main)</v>
      </c>
      <c r="B1983">
        <v>8416850</v>
      </c>
      <c r="C1983">
        <v>8416560</v>
      </c>
      <c r="D1983" t="s">
        <v>4963</v>
      </c>
      <c r="E1983">
        <v>0.65004113750000003</v>
      </c>
      <c r="F1983">
        <v>0</v>
      </c>
      <c r="G1983">
        <v>0</v>
      </c>
      <c r="H1983">
        <v>1.38306625E-5</v>
      </c>
      <c r="I1983" t="s">
        <v>176</v>
      </c>
      <c r="J1983">
        <v>2.4203659374999999E-2</v>
      </c>
      <c r="K1983">
        <v>0.67425862753749999</v>
      </c>
      <c r="L1983">
        <v>1.3850815167047692E-2</v>
      </c>
      <c r="M1983">
        <v>8.3104891002286158E-2</v>
      </c>
      <c r="N1983">
        <v>0.75736351853978612</v>
      </c>
      <c r="O1983" t="s">
        <v>177</v>
      </c>
      <c r="P1983">
        <v>4.045551765225E-2</v>
      </c>
      <c r="Q1983" t="s">
        <v>177</v>
      </c>
      <c r="R1983">
        <v>4.9862934601371698E-3</v>
      </c>
      <c r="S1983" t="s">
        <v>178</v>
      </c>
      <c r="T1983">
        <v>9.0883622224774335E-2</v>
      </c>
      <c r="U1983" t="s">
        <v>90</v>
      </c>
      <c r="V1983">
        <v>0</v>
      </c>
      <c r="W1983" t="s">
        <v>90</v>
      </c>
      <c r="X1983">
        <v>0</v>
      </c>
      <c r="Y1983">
        <v>0.89368895187694763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K1983" t="s">
        <v>5305</v>
      </c>
      <c r="AM1983">
        <v>200000</v>
      </c>
      <c r="AN1983" t="s">
        <v>97</v>
      </c>
      <c r="AO1983">
        <v>1</v>
      </c>
      <c r="AP1983">
        <v>0</v>
      </c>
      <c r="AQ1983">
        <v>16666.666666666668</v>
      </c>
      <c r="AR1983" t="s">
        <v>9</v>
      </c>
      <c r="AS1983" t="s">
        <v>75</v>
      </c>
      <c r="AX1983" t="s">
        <v>76</v>
      </c>
      <c r="AY1983" t="s">
        <v>176</v>
      </c>
      <c r="AZ1983">
        <v>0</v>
      </c>
      <c r="BA1983" t="s">
        <v>176</v>
      </c>
      <c r="BB1983">
        <v>0</v>
      </c>
    </row>
    <row r="1984" spans="1:54" x14ac:dyDescent="0.15">
      <c r="A1984" s="4" t="str">
        <f>HYPERLINK("https://ibp.a2mac1.com/costing(costing:projects/details/9760/part/8416561)","Closures&gt;Rear door&gt;Outer panel&gt;Panel&gt;Part 01 (single/main)")</f>
        <v>Closures&gt;Rear door&gt;Outer panel&gt;Panel&gt;Part 01 (single/main)</v>
      </c>
      <c r="B1984">
        <v>8416561</v>
      </c>
      <c r="C1984">
        <v>8416330</v>
      </c>
      <c r="D1984" t="s">
        <v>4963</v>
      </c>
      <c r="E1984">
        <v>2.6640912475</v>
      </c>
      <c r="F1984">
        <v>0</v>
      </c>
      <c r="G1984">
        <v>0</v>
      </c>
      <c r="H1984">
        <v>5.6682792500000002E-5</v>
      </c>
      <c r="I1984" t="s">
        <v>176</v>
      </c>
      <c r="J1984">
        <v>9.9194886874999999E-2</v>
      </c>
      <c r="K1984">
        <v>2.7633428171675001</v>
      </c>
      <c r="L1984">
        <v>0.24982862648184256</v>
      </c>
      <c r="M1984">
        <v>1.4989717588910554</v>
      </c>
      <c r="N1984">
        <v>4.2623145760585555</v>
      </c>
      <c r="O1984" t="s">
        <v>90</v>
      </c>
      <c r="P1984">
        <v>0</v>
      </c>
      <c r="Q1984" t="s">
        <v>90</v>
      </c>
      <c r="R1984">
        <v>0</v>
      </c>
      <c r="S1984" t="s">
        <v>90</v>
      </c>
      <c r="T1984">
        <v>0</v>
      </c>
      <c r="U1984" t="s">
        <v>90</v>
      </c>
      <c r="V1984">
        <v>0</v>
      </c>
      <c r="W1984" t="s">
        <v>90</v>
      </c>
      <c r="X1984">
        <v>0</v>
      </c>
      <c r="Y1984">
        <v>4.2623145760585555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K1984" t="s">
        <v>5035</v>
      </c>
      <c r="AM1984">
        <v>200000</v>
      </c>
      <c r="AN1984" t="s">
        <v>73</v>
      </c>
      <c r="AO1984">
        <v>1</v>
      </c>
      <c r="AP1984">
        <v>0</v>
      </c>
      <c r="AQ1984">
        <v>16666.666666666668</v>
      </c>
      <c r="AR1984" t="s">
        <v>9</v>
      </c>
      <c r="AS1984" t="s">
        <v>75</v>
      </c>
      <c r="AX1984" t="s">
        <v>76</v>
      </c>
      <c r="AY1984" t="s">
        <v>176</v>
      </c>
      <c r="AZ1984">
        <v>0</v>
      </c>
      <c r="BA1984" t="s">
        <v>176</v>
      </c>
      <c r="BB1984">
        <v>0</v>
      </c>
    </row>
    <row r="1985" spans="1:56" x14ac:dyDescent="0.15">
      <c r="A1985" s="4" t="str">
        <f>HYPERLINK("https://ibp.a2mac1.com/costing(costing:projects/details/9760/part/8415673)","Hole Plug 2")</f>
        <v>Hole Plug 2</v>
      </c>
      <c r="B1985">
        <v>8415673</v>
      </c>
      <c r="C1985">
        <v>8415586</v>
      </c>
      <c r="D1985" t="s">
        <v>5312</v>
      </c>
      <c r="E1985">
        <v>0.6</v>
      </c>
      <c r="F1985">
        <v>0</v>
      </c>
      <c r="G1985">
        <v>0</v>
      </c>
      <c r="H1985">
        <v>0</v>
      </c>
      <c r="I1985" t="s">
        <v>71</v>
      </c>
      <c r="J1985">
        <v>0</v>
      </c>
      <c r="K1985">
        <v>0.6</v>
      </c>
      <c r="L1985">
        <v>0</v>
      </c>
      <c r="M1985">
        <v>0</v>
      </c>
      <c r="N1985">
        <v>0.6</v>
      </c>
      <c r="O1985" t="s">
        <v>71</v>
      </c>
      <c r="P1985">
        <v>0</v>
      </c>
      <c r="Q1985" t="s">
        <v>71</v>
      </c>
      <c r="R1985">
        <v>0</v>
      </c>
      <c r="S1985" t="s">
        <v>71</v>
      </c>
      <c r="T1985">
        <v>0</v>
      </c>
      <c r="U1985" t="s">
        <v>71</v>
      </c>
      <c r="V1985">
        <v>0</v>
      </c>
      <c r="W1985" t="s">
        <v>71</v>
      </c>
      <c r="X1985">
        <v>0</v>
      </c>
      <c r="Y1985">
        <v>0.6</v>
      </c>
      <c r="Z1985">
        <v>0</v>
      </c>
      <c r="AA1985">
        <v>0</v>
      </c>
      <c r="AB1985">
        <v>0</v>
      </c>
      <c r="AC1985">
        <v>0</v>
      </c>
      <c r="AD1985">
        <v>0</v>
      </c>
      <c r="AI1985">
        <v>1E-4</v>
      </c>
      <c r="AK1985" t="s">
        <v>5305</v>
      </c>
      <c r="AL1985" t="s">
        <v>2246</v>
      </c>
      <c r="AM1985">
        <v>1200000</v>
      </c>
      <c r="AN1985" t="s">
        <v>97</v>
      </c>
      <c r="AO1985">
        <v>6</v>
      </c>
      <c r="AP1985">
        <v>0</v>
      </c>
      <c r="AQ1985">
        <v>100000</v>
      </c>
      <c r="AR1985" t="s">
        <v>6532</v>
      </c>
      <c r="AS1985" t="s">
        <v>75</v>
      </c>
      <c r="AX1985" t="s">
        <v>76</v>
      </c>
      <c r="AY1985" t="s">
        <v>71</v>
      </c>
      <c r="AZ1985">
        <v>0</v>
      </c>
      <c r="BA1985" t="s">
        <v>71</v>
      </c>
      <c r="BB1985">
        <v>0</v>
      </c>
      <c r="BD1985">
        <v>0.1</v>
      </c>
    </row>
    <row r="1986" spans="1:56" x14ac:dyDescent="0.15">
      <c r="A1986" s="4" t="str">
        <f>HYPERLINK("https://ibp.a2mac1.com/costing(costing:projects/details/9760/part/8415674)","Hole Plugs")</f>
        <v>Hole Plugs</v>
      </c>
      <c r="B1986">
        <v>8415674</v>
      </c>
      <c r="C1986">
        <v>8415586</v>
      </c>
      <c r="D1986" t="s">
        <v>6533</v>
      </c>
      <c r="E1986">
        <v>0.2</v>
      </c>
      <c r="F1986">
        <v>0</v>
      </c>
      <c r="G1986">
        <v>0</v>
      </c>
      <c r="H1986">
        <v>0</v>
      </c>
      <c r="I1986" t="s">
        <v>71</v>
      </c>
      <c r="J1986">
        <v>0</v>
      </c>
      <c r="K1986">
        <v>0.2</v>
      </c>
      <c r="L1986">
        <v>0</v>
      </c>
      <c r="M1986">
        <v>0</v>
      </c>
      <c r="N1986">
        <v>0.2</v>
      </c>
      <c r="O1986" t="s">
        <v>71</v>
      </c>
      <c r="P1986">
        <v>0</v>
      </c>
      <c r="Q1986" t="s">
        <v>71</v>
      </c>
      <c r="R1986">
        <v>0</v>
      </c>
      <c r="S1986" t="s">
        <v>71</v>
      </c>
      <c r="T1986">
        <v>0</v>
      </c>
      <c r="U1986" t="s">
        <v>71</v>
      </c>
      <c r="V1986">
        <v>0</v>
      </c>
      <c r="W1986" t="s">
        <v>71</v>
      </c>
      <c r="X1986">
        <v>0</v>
      </c>
      <c r="Y1986">
        <v>0.2</v>
      </c>
      <c r="Z1986">
        <v>0</v>
      </c>
      <c r="AA1986">
        <v>0</v>
      </c>
      <c r="AB1986">
        <v>0</v>
      </c>
      <c r="AC1986">
        <v>0</v>
      </c>
      <c r="AD1986">
        <v>0</v>
      </c>
      <c r="AI1986">
        <v>1E-4</v>
      </c>
      <c r="AK1986" t="s">
        <v>5305</v>
      </c>
      <c r="AL1986" t="s">
        <v>2246</v>
      </c>
      <c r="AM1986">
        <v>400000</v>
      </c>
      <c r="AN1986" t="s">
        <v>97</v>
      </c>
      <c r="AO1986">
        <v>2</v>
      </c>
      <c r="AP1986">
        <v>0</v>
      </c>
      <c r="AQ1986">
        <v>33333.333333333336</v>
      </c>
      <c r="AR1986" t="s">
        <v>6534</v>
      </c>
      <c r="AS1986" t="s">
        <v>75</v>
      </c>
      <c r="AX1986" t="s">
        <v>76</v>
      </c>
      <c r="AY1986" t="s">
        <v>71</v>
      </c>
      <c r="AZ1986">
        <v>0</v>
      </c>
      <c r="BA1986" t="s">
        <v>71</v>
      </c>
      <c r="BB1986">
        <v>0</v>
      </c>
      <c r="BD1986">
        <v>0.1</v>
      </c>
    </row>
    <row r="1987" spans="1:56" x14ac:dyDescent="0.15">
      <c r="A1987" s="4" t="str">
        <f>HYPERLINK("https://ibp.a2mac1.com/costing(costing:projects/details/9760/part/8415675)","Function Carrier")</f>
        <v>Function Carrier</v>
      </c>
      <c r="B1987">
        <v>8415675</v>
      </c>
      <c r="C1987">
        <v>8415586</v>
      </c>
      <c r="D1987" t="s">
        <v>6537</v>
      </c>
      <c r="E1987">
        <v>0.92459466334020624</v>
      </c>
      <c r="F1987">
        <v>0.25</v>
      </c>
      <c r="G1987">
        <v>0</v>
      </c>
      <c r="H1987">
        <v>9.7031125113402066E-4</v>
      </c>
      <c r="I1987" t="s">
        <v>176</v>
      </c>
      <c r="J1987">
        <v>3.2654705567010306E-2</v>
      </c>
      <c r="K1987">
        <v>1.2169696801583505</v>
      </c>
      <c r="L1987">
        <v>4.0958812950510494E-2</v>
      </c>
      <c r="M1987">
        <v>0.24575287770306295</v>
      </c>
      <c r="N1987">
        <v>1.4627225578614134</v>
      </c>
      <c r="O1987" t="s">
        <v>177</v>
      </c>
      <c r="P1987">
        <v>7.3018180809501038E-2</v>
      </c>
      <c r="Q1987" t="s">
        <v>177</v>
      </c>
      <c r="R1987">
        <v>1.4745172662183777E-2</v>
      </c>
      <c r="S1987" t="s">
        <v>178</v>
      </c>
      <c r="T1987">
        <v>0.17552670694336961</v>
      </c>
      <c r="U1987" t="s">
        <v>90</v>
      </c>
      <c r="V1987">
        <v>0</v>
      </c>
      <c r="W1987" t="s">
        <v>90</v>
      </c>
      <c r="X1987">
        <v>0</v>
      </c>
      <c r="Y1987">
        <v>1.7260126182764679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75</v>
      </c>
      <c r="AF1987">
        <v>695</v>
      </c>
      <c r="AG1987">
        <v>480</v>
      </c>
      <c r="AI1987">
        <v>0.71199999999999997</v>
      </c>
      <c r="AK1987" t="s">
        <v>5305</v>
      </c>
      <c r="AL1987" t="s">
        <v>399</v>
      </c>
      <c r="AM1987">
        <v>200000</v>
      </c>
      <c r="AN1987" t="s">
        <v>97</v>
      </c>
      <c r="AO1987">
        <v>1</v>
      </c>
      <c r="AP1987">
        <v>0</v>
      </c>
      <c r="AQ1987">
        <v>16666.666666666668</v>
      </c>
      <c r="AR1987" t="s">
        <v>6538</v>
      </c>
      <c r="AS1987" t="s">
        <v>75</v>
      </c>
      <c r="AX1987" t="s">
        <v>76</v>
      </c>
      <c r="AY1987" t="s">
        <v>176</v>
      </c>
      <c r="AZ1987">
        <v>8.7500000000000008E-3</v>
      </c>
      <c r="BA1987" t="s">
        <v>176</v>
      </c>
      <c r="BB1987">
        <v>0</v>
      </c>
    </row>
    <row r="1988" spans="1:56" x14ac:dyDescent="0.15">
      <c r="A1988" s="4" t="str">
        <f>HYPERLINK("https://ibp.a2mac1.com/costing(costing:projects/details/9760/part/8416562)","Closures&gt;Front door&gt;Housing assy&gt;Housing&gt;Part 01 (single/front)")</f>
        <v>Closures&gt;Front door&gt;Housing assy&gt;Housing&gt;Part 01 (single/front)</v>
      </c>
      <c r="B1988">
        <v>8416562</v>
      </c>
      <c r="C1988">
        <v>8416331</v>
      </c>
      <c r="D1988" t="s">
        <v>5528</v>
      </c>
      <c r="E1988">
        <v>3.1934617649999999</v>
      </c>
      <c r="F1988">
        <v>0</v>
      </c>
      <c r="G1988">
        <v>0</v>
      </c>
      <c r="H1988">
        <v>6.7945994999999996E-5</v>
      </c>
      <c r="I1988" t="s">
        <v>176</v>
      </c>
      <c r="J1988">
        <v>0.11890549124999999</v>
      </c>
      <c r="K1988">
        <v>3.3124352022450001</v>
      </c>
      <c r="L1988">
        <v>0.24982862648184256</v>
      </c>
      <c r="M1988">
        <v>1.4989717588910554</v>
      </c>
      <c r="N1988">
        <v>4.811406961136055</v>
      </c>
      <c r="O1988" t="s">
        <v>90</v>
      </c>
      <c r="P1988">
        <v>0</v>
      </c>
      <c r="Q1988" t="s">
        <v>90</v>
      </c>
      <c r="R1988">
        <v>0</v>
      </c>
      <c r="S1988" t="s">
        <v>90</v>
      </c>
      <c r="T1988">
        <v>0</v>
      </c>
      <c r="U1988" t="s">
        <v>90</v>
      </c>
      <c r="V1988">
        <v>0</v>
      </c>
      <c r="W1988" t="s">
        <v>90</v>
      </c>
      <c r="X1988">
        <v>0</v>
      </c>
      <c r="Y1988">
        <v>4.811406961136055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K1988" t="s">
        <v>272</v>
      </c>
      <c r="AM1988">
        <v>200000</v>
      </c>
      <c r="AN1988" t="s">
        <v>73</v>
      </c>
      <c r="AO1988">
        <v>1</v>
      </c>
      <c r="AP1988">
        <v>0</v>
      </c>
      <c r="AQ1988">
        <v>16666.666666666668</v>
      </c>
      <c r="AR1988" t="s">
        <v>9</v>
      </c>
      <c r="AS1988" t="s">
        <v>75</v>
      </c>
      <c r="AX1988" t="s">
        <v>76</v>
      </c>
      <c r="AY1988" t="s">
        <v>176</v>
      </c>
      <c r="AZ1988">
        <v>0</v>
      </c>
      <c r="BA1988" t="s">
        <v>176</v>
      </c>
      <c r="BB1988">
        <v>0</v>
      </c>
    </row>
    <row r="1989" spans="1:56" x14ac:dyDescent="0.15">
      <c r="A1989" s="4" t="str">
        <f>HYPERLINK("https://ibp.a2mac1.com/costing(costing:projects/details/9760/part/8416563)","Closures&gt;Front door&gt;Housing assy&gt;Reinforcements&gt;Part 01 (single/main)")</f>
        <v>Closures&gt;Front door&gt;Housing assy&gt;Reinforcements&gt;Part 01 (single/main)</v>
      </c>
      <c r="B1989">
        <v>8416563</v>
      </c>
      <c r="C1989">
        <v>8416332</v>
      </c>
      <c r="D1989" t="s">
        <v>5528</v>
      </c>
      <c r="E1989">
        <v>0.35435023333333332</v>
      </c>
      <c r="F1989">
        <v>0</v>
      </c>
      <c r="G1989">
        <v>0</v>
      </c>
      <c r="H1989">
        <v>7.661626666666667E-6</v>
      </c>
      <c r="I1989" t="s">
        <v>176</v>
      </c>
      <c r="J1989">
        <v>1.3407846666666667E-2</v>
      </c>
      <c r="K1989">
        <v>0.36776574162666664</v>
      </c>
      <c r="L1989">
        <v>1.2228940964449372E-2</v>
      </c>
      <c r="M1989">
        <v>7.3373645786696237E-2</v>
      </c>
      <c r="N1989">
        <v>0.44113938741336289</v>
      </c>
      <c r="O1989" t="s">
        <v>177</v>
      </c>
      <c r="P1989">
        <v>2.20659444976E-2</v>
      </c>
      <c r="Q1989" t="s">
        <v>177</v>
      </c>
      <c r="R1989">
        <v>4.4024187472017735E-3</v>
      </c>
      <c r="S1989" t="s">
        <v>178</v>
      </c>
      <c r="T1989">
        <v>5.2936726489603549E-2</v>
      </c>
      <c r="U1989" t="s">
        <v>90</v>
      </c>
      <c r="V1989">
        <v>0</v>
      </c>
      <c r="W1989" t="s">
        <v>90</v>
      </c>
      <c r="X1989">
        <v>0</v>
      </c>
      <c r="Y1989">
        <v>0.52054447714776819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K1989" t="s">
        <v>272</v>
      </c>
      <c r="AM1989">
        <v>200000</v>
      </c>
      <c r="AN1989" t="s">
        <v>97</v>
      </c>
      <c r="AO1989">
        <v>1</v>
      </c>
      <c r="AP1989">
        <v>0</v>
      </c>
      <c r="AQ1989">
        <v>16666.666666666668</v>
      </c>
      <c r="AR1989" t="s">
        <v>9</v>
      </c>
      <c r="AS1989" t="s">
        <v>75</v>
      </c>
      <c r="AX1989" t="s">
        <v>76</v>
      </c>
      <c r="AY1989" t="s">
        <v>176</v>
      </c>
      <c r="AZ1989">
        <v>0</v>
      </c>
      <c r="BA1989" t="s">
        <v>176</v>
      </c>
      <c r="BB1989">
        <v>0</v>
      </c>
    </row>
    <row r="1990" spans="1:56" x14ac:dyDescent="0.15">
      <c r="A1990" s="4" t="str">
        <f>HYPERLINK("https://ibp.a2mac1.com/costing(costing:projects/details/9760/part/8416564)","Closures&gt;Front door&gt;Housing assy&gt;Reinforcements&gt;Part 02")</f>
        <v>Closures&gt;Front door&gt;Housing assy&gt;Reinforcements&gt;Part 02</v>
      </c>
      <c r="B1990">
        <v>8416564</v>
      </c>
      <c r="C1990">
        <v>8416332</v>
      </c>
      <c r="D1990" t="s">
        <v>5528</v>
      </c>
      <c r="E1990">
        <v>0.21487195000000001</v>
      </c>
      <c r="F1990">
        <v>0</v>
      </c>
      <c r="G1990">
        <v>0</v>
      </c>
      <c r="H1990">
        <v>4.6458800000000001E-6</v>
      </c>
      <c r="I1990" t="s">
        <v>176</v>
      </c>
      <c r="J1990">
        <v>8.1302900000000001E-3</v>
      </c>
      <c r="K1990">
        <v>0.22300688588000001</v>
      </c>
      <c r="L1990">
        <v>1.2228940964449372E-2</v>
      </c>
      <c r="M1990">
        <v>7.3373645786696237E-2</v>
      </c>
      <c r="N1990">
        <v>0.29638053166669626</v>
      </c>
      <c r="O1990" t="s">
        <v>177</v>
      </c>
      <c r="P1990">
        <v>1.3380413152800001E-2</v>
      </c>
      <c r="Q1990" t="s">
        <v>177</v>
      </c>
      <c r="R1990">
        <v>4.4024187472017735E-3</v>
      </c>
      <c r="S1990" t="s">
        <v>178</v>
      </c>
      <c r="T1990">
        <v>3.5565663800003547E-2</v>
      </c>
      <c r="U1990" t="s">
        <v>90</v>
      </c>
      <c r="V1990">
        <v>0</v>
      </c>
      <c r="W1990" t="s">
        <v>90</v>
      </c>
      <c r="X1990">
        <v>0</v>
      </c>
      <c r="Y1990">
        <v>0.34972902736670153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K1990" t="s">
        <v>272</v>
      </c>
      <c r="AM1990">
        <v>200000</v>
      </c>
      <c r="AN1990" t="s">
        <v>97</v>
      </c>
      <c r="AO1990">
        <v>1</v>
      </c>
      <c r="AP1990">
        <v>0</v>
      </c>
      <c r="AQ1990">
        <v>16666.666666666668</v>
      </c>
      <c r="AR1990" t="s">
        <v>9</v>
      </c>
      <c r="AS1990" t="s">
        <v>75</v>
      </c>
      <c r="AX1990" t="s">
        <v>76</v>
      </c>
      <c r="AY1990" t="s">
        <v>176</v>
      </c>
      <c r="AZ1990">
        <v>0</v>
      </c>
      <c r="BA1990" t="s">
        <v>176</v>
      </c>
      <c r="BB1990">
        <v>0</v>
      </c>
    </row>
    <row r="1991" spans="1:56" x14ac:dyDescent="0.15">
      <c r="A1991" s="4" t="str">
        <f>HYPERLINK("https://ibp.a2mac1.com/costing(costing:projects/details/9760/part/8416565)","Closures&gt;Front door&gt;Housing assy&gt;Reinforcements&gt;Part 03")</f>
        <v>Closures&gt;Front door&gt;Housing assy&gt;Reinforcements&gt;Part 03</v>
      </c>
      <c r="B1991">
        <v>8416565</v>
      </c>
      <c r="C1991">
        <v>8416332</v>
      </c>
      <c r="D1991" t="s">
        <v>5528</v>
      </c>
      <c r="E1991">
        <v>0.10127712749999999</v>
      </c>
      <c r="F1991">
        <v>0</v>
      </c>
      <c r="G1991">
        <v>0</v>
      </c>
      <c r="H1991">
        <v>2.1548324999999998E-6</v>
      </c>
      <c r="I1991" t="s">
        <v>176</v>
      </c>
      <c r="J1991">
        <v>3.7709568750000002E-3</v>
      </c>
      <c r="K1991">
        <v>0.10505023920750001</v>
      </c>
      <c r="L1991">
        <v>1.2228940964449372E-2</v>
      </c>
      <c r="M1991">
        <v>7.3373645786696237E-2</v>
      </c>
      <c r="N1991">
        <v>0.17842388499419623</v>
      </c>
      <c r="O1991" t="s">
        <v>177</v>
      </c>
      <c r="P1991">
        <v>6.3030143524499998E-3</v>
      </c>
      <c r="Q1991" t="s">
        <v>177</v>
      </c>
      <c r="R1991">
        <v>4.4024187472017735E-3</v>
      </c>
      <c r="S1991" t="s">
        <v>178</v>
      </c>
      <c r="T1991">
        <v>2.1410866199303547E-2</v>
      </c>
      <c r="U1991" t="s">
        <v>90</v>
      </c>
      <c r="V1991">
        <v>0</v>
      </c>
      <c r="W1991" t="s">
        <v>90</v>
      </c>
      <c r="X1991">
        <v>0</v>
      </c>
      <c r="Y1991">
        <v>0.21054018429315155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K1991" t="s">
        <v>272</v>
      </c>
      <c r="AM1991">
        <v>200000</v>
      </c>
      <c r="AN1991" t="s">
        <v>97</v>
      </c>
      <c r="AO1991">
        <v>1</v>
      </c>
      <c r="AP1991">
        <v>0</v>
      </c>
      <c r="AQ1991">
        <v>16666.666666666668</v>
      </c>
      <c r="AR1991" t="s">
        <v>9</v>
      </c>
      <c r="AS1991" t="s">
        <v>75</v>
      </c>
      <c r="AX1991" t="s">
        <v>76</v>
      </c>
      <c r="AY1991" t="s">
        <v>176</v>
      </c>
      <c r="AZ1991">
        <v>0</v>
      </c>
      <c r="BA1991" t="s">
        <v>176</v>
      </c>
      <c r="BB1991">
        <v>0</v>
      </c>
    </row>
    <row r="1992" spans="1:56" x14ac:dyDescent="0.15">
      <c r="A1992" s="4" t="str">
        <f>HYPERLINK("https://ibp.a2mac1.com/costing(costing:projects/details/9760/part/8416566)","Closures&gt;Front door&gt;Housing assy&gt;Reinforcements&gt;Part 04")</f>
        <v>Closures&gt;Front door&gt;Housing assy&gt;Reinforcements&gt;Part 04</v>
      </c>
      <c r="B1992">
        <v>8416566</v>
      </c>
      <c r="C1992">
        <v>8416332</v>
      </c>
      <c r="D1992" t="s">
        <v>5528</v>
      </c>
      <c r="E1992">
        <v>0.116360955</v>
      </c>
      <c r="F1992">
        <v>0</v>
      </c>
      <c r="G1992">
        <v>0</v>
      </c>
      <c r="H1992">
        <v>2.4757650000000002E-6</v>
      </c>
      <c r="I1992" t="s">
        <v>176</v>
      </c>
      <c r="J1992">
        <v>4.3325887499999997E-3</v>
      </c>
      <c r="K1992">
        <v>0.120696019515</v>
      </c>
      <c r="L1992">
        <v>1.2228940964449372E-2</v>
      </c>
      <c r="M1992">
        <v>7.3373645786696237E-2</v>
      </c>
      <c r="N1992">
        <v>0.19406966530169623</v>
      </c>
      <c r="O1992" t="s">
        <v>177</v>
      </c>
      <c r="P1992">
        <v>7.2417611709000001E-3</v>
      </c>
      <c r="Q1992" t="s">
        <v>177</v>
      </c>
      <c r="R1992">
        <v>4.4024187472017735E-3</v>
      </c>
      <c r="S1992" t="s">
        <v>178</v>
      </c>
      <c r="T1992">
        <v>2.3288359836203549E-2</v>
      </c>
      <c r="U1992" t="s">
        <v>90</v>
      </c>
      <c r="V1992">
        <v>0</v>
      </c>
      <c r="W1992" t="s">
        <v>90</v>
      </c>
      <c r="X1992">
        <v>0</v>
      </c>
      <c r="Y1992">
        <v>0.22900220505600155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K1992" t="s">
        <v>272</v>
      </c>
      <c r="AM1992">
        <v>200000</v>
      </c>
      <c r="AN1992" t="s">
        <v>97</v>
      </c>
      <c r="AO1992">
        <v>1</v>
      </c>
      <c r="AP1992">
        <v>0</v>
      </c>
      <c r="AQ1992">
        <v>16666.666666666668</v>
      </c>
      <c r="AR1992" t="s">
        <v>9</v>
      </c>
      <c r="AS1992" t="s">
        <v>75</v>
      </c>
      <c r="AX1992" t="s">
        <v>76</v>
      </c>
      <c r="AY1992" t="s">
        <v>176</v>
      </c>
      <c r="AZ1992">
        <v>0</v>
      </c>
      <c r="BA1992" t="s">
        <v>176</v>
      </c>
      <c r="BB1992">
        <v>0</v>
      </c>
    </row>
    <row r="1993" spans="1:56" x14ac:dyDescent="0.15">
      <c r="A1993" s="4" t="str">
        <f>HYPERLINK("https://ibp.a2mac1.com/costing(costing:projects/details/9760/part/8416567)","Closures&gt;Front door&gt;Housing assy&gt;Reinforcements&gt;Part 05")</f>
        <v>Closures&gt;Front door&gt;Housing assy&gt;Reinforcements&gt;Part 05</v>
      </c>
      <c r="B1993">
        <v>8416567</v>
      </c>
      <c r="C1993">
        <v>8416332</v>
      </c>
      <c r="D1993" t="s">
        <v>5528</v>
      </c>
      <c r="E1993">
        <v>0.45058923000000001</v>
      </c>
      <c r="F1993">
        <v>0</v>
      </c>
      <c r="G1993">
        <v>0</v>
      </c>
      <c r="H1993">
        <v>9.9030600000000007E-6</v>
      </c>
      <c r="I1993" t="s">
        <v>176</v>
      </c>
      <c r="J1993">
        <v>1.7330354999999999E-2</v>
      </c>
      <c r="K1993">
        <v>0.46792948806000001</v>
      </c>
      <c r="L1993">
        <v>1.2228940964449372E-2</v>
      </c>
      <c r="M1993">
        <v>7.3373645786696237E-2</v>
      </c>
      <c r="N1993">
        <v>0.54130313384669626</v>
      </c>
      <c r="O1993" t="s">
        <v>177</v>
      </c>
      <c r="P1993">
        <v>2.8075769283600002E-2</v>
      </c>
      <c r="Q1993" t="s">
        <v>177</v>
      </c>
      <c r="R1993">
        <v>4.4024187472017735E-3</v>
      </c>
      <c r="S1993" t="s">
        <v>178</v>
      </c>
      <c r="T1993">
        <v>6.4956376061603552E-2</v>
      </c>
      <c r="U1993" t="s">
        <v>90</v>
      </c>
      <c r="V1993">
        <v>0</v>
      </c>
      <c r="W1993" t="s">
        <v>90</v>
      </c>
      <c r="X1993">
        <v>0</v>
      </c>
      <c r="Y1993">
        <v>0.63873769793910151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K1993" t="s">
        <v>272</v>
      </c>
      <c r="AM1993">
        <v>200000</v>
      </c>
      <c r="AN1993" t="s">
        <v>97</v>
      </c>
      <c r="AO1993">
        <v>1</v>
      </c>
      <c r="AP1993">
        <v>0</v>
      </c>
      <c r="AQ1993">
        <v>16666.666666666668</v>
      </c>
      <c r="AR1993" t="s">
        <v>9</v>
      </c>
      <c r="AS1993" t="s">
        <v>75</v>
      </c>
      <c r="AX1993" t="s">
        <v>76</v>
      </c>
      <c r="AY1993" t="s">
        <v>176</v>
      </c>
      <c r="AZ1993">
        <v>0</v>
      </c>
      <c r="BA1993" t="s">
        <v>176</v>
      </c>
      <c r="BB1993">
        <v>0</v>
      </c>
    </row>
    <row r="1994" spans="1:56" x14ac:dyDescent="0.15">
      <c r="A1994" s="4" t="str">
        <f>HYPERLINK("https://ibp.a2mac1.com/costing(costing:projects/details/9760/part/8416851)","Closures&gt;Front door&gt;Housing assy&gt;Fixing parts&gt;Front&gt;Part 01 (single/main)")</f>
        <v>Closures&gt;Front door&gt;Housing assy&gt;Fixing parts&gt;Front&gt;Part 01 (single/main)</v>
      </c>
      <c r="B1994">
        <v>8416851</v>
      </c>
      <c r="C1994">
        <v>8416568</v>
      </c>
      <c r="D1994" t="s">
        <v>5528</v>
      </c>
      <c r="E1994">
        <v>3.2322487499999997E-2</v>
      </c>
      <c r="F1994">
        <v>0</v>
      </c>
      <c r="G1994">
        <v>0</v>
      </c>
      <c r="H1994">
        <v>6.8771250000000002E-7</v>
      </c>
      <c r="I1994" t="s">
        <v>176</v>
      </c>
      <c r="J1994">
        <v>1.2034968750000001E-3</v>
      </c>
      <c r="K1994">
        <v>3.3526672087500001E-2</v>
      </c>
      <c r="L1994">
        <v>2.3884525316540659E-3</v>
      </c>
      <c r="M1994">
        <v>1.4330715189924396E-2</v>
      </c>
      <c r="N1994">
        <v>4.7857387277424397E-2</v>
      </c>
      <c r="O1994" t="s">
        <v>177</v>
      </c>
      <c r="P1994">
        <v>2.0116003252500002E-3</v>
      </c>
      <c r="Q1994" t="s">
        <v>177</v>
      </c>
      <c r="R1994">
        <v>8.5984291139546386E-4</v>
      </c>
      <c r="S1994" t="s">
        <v>178</v>
      </c>
      <c r="T1994">
        <v>5.7428864732909273E-3</v>
      </c>
      <c r="U1994" t="s">
        <v>90</v>
      </c>
      <c r="V1994">
        <v>0</v>
      </c>
      <c r="W1994" t="s">
        <v>90</v>
      </c>
      <c r="X1994">
        <v>0</v>
      </c>
      <c r="Y1994">
        <v>5.6471716987360789E-2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K1994" t="s">
        <v>272</v>
      </c>
      <c r="AM1994">
        <v>200000</v>
      </c>
      <c r="AN1994" t="s">
        <v>97</v>
      </c>
      <c r="AO1994">
        <v>1</v>
      </c>
      <c r="AP1994">
        <v>0</v>
      </c>
      <c r="AQ1994">
        <v>16666.666666666668</v>
      </c>
      <c r="AR1994" t="s">
        <v>9</v>
      </c>
      <c r="AS1994" t="s">
        <v>75</v>
      </c>
      <c r="AX1994" t="s">
        <v>76</v>
      </c>
      <c r="AY1994" t="s">
        <v>176</v>
      </c>
      <c r="AZ1994">
        <v>0</v>
      </c>
      <c r="BA1994" t="s">
        <v>176</v>
      </c>
      <c r="BB1994">
        <v>0</v>
      </c>
    </row>
    <row r="1995" spans="1:56" x14ac:dyDescent="0.15">
      <c r="A1995" s="4" t="str">
        <f>HYPERLINK("https://ibp.a2mac1.com/costing(costing:projects/details/9760/part/8416852)","Closures&gt;Front door&gt;Housing assy&gt;Fixing parts&gt;Front&gt;Part 02")</f>
        <v>Closures&gt;Front door&gt;Housing assy&gt;Fixing parts&gt;Front&gt;Part 02</v>
      </c>
      <c r="B1995">
        <v>8416852</v>
      </c>
      <c r="C1995">
        <v>8416568</v>
      </c>
      <c r="E1995">
        <v>3.2322487499999997E-2</v>
      </c>
      <c r="F1995">
        <v>0</v>
      </c>
      <c r="G1995">
        <v>0</v>
      </c>
      <c r="H1995">
        <v>6.8771250000000002E-7</v>
      </c>
      <c r="I1995" t="s">
        <v>176</v>
      </c>
      <c r="J1995">
        <v>1.2034968750000001E-3</v>
      </c>
      <c r="K1995">
        <v>3.3526672087500001E-2</v>
      </c>
      <c r="L1995">
        <v>2.3884525316540659E-3</v>
      </c>
      <c r="M1995">
        <v>1.4330715189924396E-2</v>
      </c>
      <c r="N1995">
        <v>4.7857387277424397E-2</v>
      </c>
      <c r="O1995" t="s">
        <v>177</v>
      </c>
      <c r="P1995">
        <v>2.0116003252500002E-3</v>
      </c>
      <c r="Q1995" t="s">
        <v>177</v>
      </c>
      <c r="R1995">
        <v>8.5984291139546386E-4</v>
      </c>
      <c r="S1995" t="s">
        <v>178</v>
      </c>
      <c r="T1995">
        <v>5.7428864732909273E-3</v>
      </c>
      <c r="U1995" t="s">
        <v>90</v>
      </c>
      <c r="V1995">
        <v>0</v>
      </c>
      <c r="W1995" t="s">
        <v>90</v>
      </c>
      <c r="X1995">
        <v>0</v>
      </c>
      <c r="Y1995">
        <v>5.6471716987360789E-2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K1995" t="s">
        <v>272</v>
      </c>
      <c r="AM1995">
        <v>200000</v>
      </c>
      <c r="AN1995" t="s">
        <v>97</v>
      </c>
      <c r="AO1995">
        <v>1</v>
      </c>
      <c r="AP1995">
        <v>0</v>
      </c>
      <c r="AQ1995">
        <v>16666.666666666668</v>
      </c>
      <c r="AR1995" t="s">
        <v>9</v>
      </c>
      <c r="AS1995" t="s">
        <v>75</v>
      </c>
      <c r="AX1995" t="s">
        <v>76</v>
      </c>
      <c r="AY1995" t="s">
        <v>176</v>
      </c>
      <c r="AZ1995">
        <v>0</v>
      </c>
      <c r="BA1995" t="s">
        <v>176</v>
      </c>
      <c r="BB1995">
        <v>0</v>
      </c>
    </row>
    <row r="1996" spans="1:56" x14ac:dyDescent="0.15">
      <c r="A1996" s="4" t="str">
        <f>HYPERLINK("https://ibp.a2mac1.com/costing(costing:projects/details/9760/part/8416853)","Closures&gt;Front door&gt;Anti-intrusion beam&gt;Beam 01 (single/upper)&gt;Beam&gt;Part 01 (single/main)")</f>
        <v>Closures&gt;Front door&gt;Anti-intrusion beam&gt;Beam 01 (single/upper)&gt;Beam&gt;Part 01 (single/main)</v>
      </c>
      <c r="B1996">
        <v>8416853</v>
      </c>
      <c r="C1996">
        <v>8416569</v>
      </c>
      <c r="D1996" t="s">
        <v>5528</v>
      </c>
      <c r="E1996">
        <v>1.2332824675</v>
      </c>
      <c r="F1996">
        <v>0</v>
      </c>
      <c r="G1996">
        <v>0</v>
      </c>
      <c r="H1996">
        <v>2.62400525E-5</v>
      </c>
      <c r="I1996" t="s">
        <v>176</v>
      </c>
      <c r="J1996">
        <v>4.5920091874999999E-2</v>
      </c>
      <c r="K1996">
        <v>1.2792287994275</v>
      </c>
      <c r="L1996">
        <v>2.1317587816820249E-2</v>
      </c>
      <c r="M1996">
        <v>0.1279055269009215</v>
      </c>
      <c r="N1996">
        <v>1.4071343263284215</v>
      </c>
      <c r="O1996" t="s">
        <v>177</v>
      </c>
      <c r="P1996">
        <v>7.6753727965649998E-2</v>
      </c>
      <c r="Q1996" t="s">
        <v>177</v>
      </c>
      <c r="R1996">
        <v>7.6743316140552896E-3</v>
      </c>
      <c r="S1996" t="s">
        <v>178</v>
      </c>
      <c r="T1996">
        <v>0.16885611915941057</v>
      </c>
      <c r="U1996" t="s">
        <v>90</v>
      </c>
      <c r="V1996">
        <v>0</v>
      </c>
      <c r="W1996" t="s">
        <v>90</v>
      </c>
      <c r="X1996">
        <v>0</v>
      </c>
      <c r="Y1996">
        <v>1.6604185050675373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K1996" t="s">
        <v>272</v>
      </c>
      <c r="AM1996">
        <v>200000</v>
      </c>
      <c r="AN1996" t="s">
        <v>97</v>
      </c>
      <c r="AO1996">
        <v>1</v>
      </c>
      <c r="AP1996">
        <v>0</v>
      </c>
      <c r="AQ1996">
        <v>16666.666666666668</v>
      </c>
      <c r="AR1996" t="s">
        <v>9</v>
      </c>
      <c r="AS1996" t="s">
        <v>75</v>
      </c>
      <c r="AX1996" t="s">
        <v>76</v>
      </c>
      <c r="AY1996" t="s">
        <v>176</v>
      </c>
      <c r="AZ1996">
        <v>0</v>
      </c>
      <c r="BA1996" t="s">
        <v>176</v>
      </c>
      <c r="BB1996">
        <v>0</v>
      </c>
    </row>
    <row r="1997" spans="1:56" x14ac:dyDescent="0.15">
      <c r="A1997" s="4" t="str">
        <f>HYPERLINK("https://ibp.a2mac1.com/costing(costing:projects/details/9760/part/8416570)","Closures&gt;Front door&gt;Window frame assy&gt;Reinforcements&gt;Part 01 (single/main)")</f>
        <v>Closures&gt;Front door&gt;Window frame assy&gt;Reinforcements&gt;Part 01 (single/main)</v>
      </c>
      <c r="B1997">
        <v>8416570</v>
      </c>
      <c r="C1997">
        <v>8416335</v>
      </c>
      <c r="D1997" t="s">
        <v>5528</v>
      </c>
      <c r="E1997">
        <v>6.9138030000000003E-2</v>
      </c>
      <c r="F1997">
        <v>0</v>
      </c>
      <c r="G1997">
        <v>0</v>
      </c>
      <c r="H1997">
        <v>1.5195171428571429E-6</v>
      </c>
      <c r="I1997" t="s">
        <v>176</v>
      </c>
      <c r="J1997">
        <v>2.6591549999999999E-3</v>
      </c>
      <c r="K1997">
        <v>7.1798704517142861E-2</v>
      </c>
      <c r="L1997">
        <v>4.9079754834314279E-3</v>
      </c>
      <c r="M1997">
        <v>2.9447852900588566E-2</v>
      </c>
      <c r="N1997">
        <v>0.10124655741773142</v>
      </c>
      <c r="O1997" t="s">
        <v>177</v>
      </c>
      <c r="P1997">
        <v>4.3079222710285716E-3</v>
      </c>
      <c r="Q1997" t="s">
        <v>177</v>
      </c>
      <c r="R1997">
        <v>1.7668711740353141E-3</v>
      </c>
      <c r="S1997" t="s">
        <v>178</v>
      </c>
      <c r="T1997">
        <v>1.2149586890127771E-2</v>
      </c>
      <c r="U1997" t="s">
        <v>90</v>
      </c>
      <c r="V1997">
        <v>0</v>
      </c>
      <c r="W1997" t="s">
        <v>90</v>
      </c>
      <c r="X1997">
        <v>0</v>
      </c>
      <c r="Y1997">
        <v>0.11947093775292308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K1997" t="s">
        <v>272</v>
      </c>
      <c r="AM1997">
        <v>200000</v>
      </c>
      <c r="AN1997" t="s">
        <v>97</v>
      </c>
      <c r="AO1997">
        <v>1</v>
      </c>
      <c r="AP1997">
        <v>0</v>
      </c>
      <c r="AQ1997">
        <v>16666.666666666668</v>
      </c>
      <c r="AR1997" t="s">
        <v>9</v>
      </c>
      <c r="AS1997" t="s">
        <v>75</v>
      </c>
      <c r="AX1997" t="s">
        <v>76</v>
      </c>
      <c r="AY1997" t="s">
        <v>176</v>
      </c>
      <c r="AZ1997">
        <v>0</v>
      </c>
      <c r="BA1997" t="s">
        <v>176</v>
      </c>
      <c r="BB1997">
        <v>0</v>
      </c>
    </row>
    <row r="1998" spans="1:56" x14ac:dyDescent="0.15">
      <c r="A1998" s="4" t="str">
        <f>HYPERLINK("https://ibp.a2mac1.com/costing(costing:projects/details/9760/part/8417264)","Closures&gt;Front door&gt;Window frame assy&gt;Glass slides&gt;Front&gt;slide&gt;Part 01 (single/main)")</f>
        <v>Closures&gt;Front door&gt;Window frame assy&gt;Glass slides&gt;Front&gt;slide&gt;Part 01 (single/main)</v>
      </c>
      <c r="B1998">
        <v>8417264</v>
      </c>
      <c r="C1998">
        <v>8416854</v>
      </c>
      <c r="D1998" t="s">
        <v>5008</v>
      </c>
      <c r="E1998">
        <v>0.13431789250000001</v>
      </c>
      <c r="F1998">
        <v>0</v>
      </c>
      <c r="G1998">
        <v>0</v>
      </c>
      <c r="H1998">
        <v>2.8578275000000002E-6</v>
      </c>
      <c r="I1998" t="s">
        <v>176</v>
      </c>
      <c r="J1998">
        <v>5.001198125E-3</v>
      </c>
      <c r="K1998">
        <v>0.13932194845250001</v>
      </c>
      <c r="L1998">
        <v>4.0900761719984691E-2</v>
      </c>
      <c r="M1998">
        <v>0.24540457031990814</v>
      </c>
      <c r="N1998">
        <v>0.38472651877240815</v>
      </c>
      <c r="O1998" t="s">
        <v>177</v>
      </c>
      <c r="P1998">
        <v>8.3593169071499995E-3</v>
      </c>
      <c r="Q1998" t="s">
        <v>177</v>
      </c>
      <c r="R1998">
        <v>1.4724274219194488E-2</v>
      </c>
      <c r="S1998" t="s">
        <v>178</v>
      </c>
      <c r="T1998">
        <v>4.6167182252688975E-2</v>
      </c>
      <c r="U1998" t="s">
        <v>90</v>
      </c>
      <c r="V1998">
        <v>0</v>
      </c>
      <c r="W1998" t="s">
        <v>90</v>
      </c>
      <c r="X1998">
        <v>0</v>
      </c>
      <c r="Y1998">
        <v>0.45397729215144161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K1998" t="s">
        <v>272</v>
      </c>
      <c r="AM1998">
        <v>200000</v>
      </c>
      <c r="AN1998" t="s">
        <v>97</v>
      </c>
      <c r="AO1998">
        <v>1</v>
      </c>
      <c r="AP1998">
        <v>0</v>
      </c>
      <c r="AQ1998">
        <v>16666.666666666668</v>
      </c>
      <c r="AR1998" t="s">
        <v>9</v>
      </c>
      <c r="AS1998" t="s">
        <v>75</v>
      </c>
      <c r="AX1998" t="s">
        <v>76</v>
      </c>
      <c r="AY1998" t="s">
        <v>176</v>
      </c>
      <c r="AZ1998">
        <v>0</v>
      </c>
      <c r="BA1998" t="s">
        <v>176</v>
      </c>
      <c r="BB1998">
        <v>0</v>
      </c>
    </row>
    <row r="1999" spans="1:56" x14ac:dyDescent="0.15">
      <c r="A1999" s="4" t="str">
        <f>HYPERLINK("https://ibp.a2mac1.com/costing(costing:projects/details/9760/part/8417265)","Closures&gt;Front door&gt;Window frame assy&gt;Glass slides&gt;Front&gt;Fixing parts&gt;Part 01 (single/main)")</f>
        <v>Closures&gt;Front door&gt;Window frame assy&gt;Glass slides&gt;Front&gt;Fixing parts&gt;Part 01 (single/main)</v>
      </c>
      <c r="B1999">
        <v>8417265</v>
      </c>
      <c r="C1999">
        <v>8416855</v>
      </c>
      <c r="D1999" t="s">
        <v>5528</v>
      </c>
      <c r="E1999">
        <v>6.8178759230769229E-2</v>
      </c>
      <c r="F1999">
        <v>0</v>
      </c>
      <c r="G1999">
        <v>0</v>
      </c>
      <c r="H1999">
        <v>1.5235476923076922E-6</v>
      </c>
      <c r="I1999" t="s">
        <v>176</v>
      </c>
      <c r="J1999">
        <v>2.6662084615384617E-3</v>
      </c>
      <c r="K1999">
        <v>7.0846491240000004E-2</v>
      </c>
      <c r="L1999">
        <v>3.0616828624627588E-3</v>
      </c>
      <c r="M1999">
        <v>1.8370097174776553E-2</v>
      </c>
      <c r="N1999">
        <v>8.921658841477656E-2</v>
      </c>
      <c r="O1999" t="s">
        <v>177</v>
      </c>
      <c r="P1999">
        <v>4.2507894743999998E-3</v>
      </c>
      <c r="Q1999" t="s">
        <v>177</v>
      </c>
      <c r="R1999">
        <v>1.1022058304865931E-3</v>
      </c>
      <c r="S1999" t="s">
        <v>178</v>
      </c>
      <c r="T1999">
        <v>1.0705990609773187E-2</v>
      </c>
      <c r="U1999" t="s">
        <v>90</v>
      </c>
      <c r="V1999">
        <v>0</v>
      </c>
      <c r="W1999" t="s">
        <v>90</v>
      </c>
      <c r="X1999">
        <v>0</v>
      </c>
      <c r="Y1999">
        <v>0.10527557432943634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K1999" t="s">
        <v>272</v>
      </c>
      <c r="AM1999">
        <v>200000</v>
      </c>
      <c r="AN1999" t="s">
        <v>97</v>
      </c>
      <c r="AO1999">
        <v>1</v>
      </c>
      <c r="AP1999">
        <v>0</v>
      </c>
      <c r="AQ1999">
        <v>16666.666666666668</v>
      </c>
      <c r="AR1999" t="s">
        <v>9</v>
      </c>
      <c r="AS1999" t="s">
        <v>75</v>
      </c>
      <c r="AX1999" t="s">
        <v>76</v>
      </c>
      <c r="AY1999" t="s">
        <v>176</v>
      </c>
      <c r="AZ1999">
        <v>0</v>
      </c>
      <c r="BA1999" t="s">
        <v>176</v>
      </c>
      <c r="BB1999">
        <v>0</v>
      </c>
    </row>
    <row r="2000" spans="1:56" x14ac:dyDescent="0.15">
      <c r="A2000" s="4" t="str">
        <f>HYPERLINK("https://ibp.a2mac1.com/costing(costing:projects/details/9760/part/8416856)","Closures&gt;Front door&gt;Top roll assy&gt;Cross member 01 (outer)&gt;Cross member&gt;Part 01 (single/main)")</f>
        <v>Closures&gt;Front door&gt;Top roll assy&gt;Cross member 01 (outer)&gt;Cross member&gt;Part 01 (single/main)</v>
      </c>
      <c r="B2000">
        <v>8416856</v>
      </c>
      <c r="C2000">
        <v>8416572</v>
      </c>
      <c r="D2000" t="s">
        <v>5528</v>
      </c>
      <c r="E2000">
        <v>1.3986544000000001</v>
      </c>
      <c r="F2000">
        <v>0</v>
      </c>
      <c r="G2000">
        <v>0</v>
      </c>
      <c r="H2000">
        <v>3.0739657142857144E-5</v>
      </c>
      <c r="I2000" t="s">
        <v>176</v>
      </c>
      <c r="J2000">
        <v>5.3794399999999999E-2</v>
      </c>
      <c r="K2000">
        <v>1.4524795396571428</v>
      </c>
      <c r="L2000">
        <v>1.3850815167047692E-2</v>
      </c>
      <c r="M2000">
        <v>8.3104891002286158E-2</v>
      </c>
      <c r="N2000">
        <v>1.5355844306594291</v>
      </c>
      <c r="O2000" t="s">
        <v>177</v>
      </c>
      <c r="P2000">
        <v>8.7148772379428571E-2</v>
      </c>
      <c r="Q2000" t="s">
        <v>177</v>
      </c>
      <c r="R2000">
        <v>4.9862934601371698E-3</v>
      </c>
      <c r="S2000" t="s">
        <v>178</v>
      </c>
      <c r="T2000">
        <v>0.18427013167913148</v>
      </c>
      <c r="U2000" t="s">
        <v>90</v>
      </c>
      <c r="V2000">
        <v>0</v>
      </c>
      <c r="W2000" t="s">
        <v>90</v>
      </c>
      <c r="X2000">
        <v>0</v>
      </c>
      <c r="Y2000">
        <v>1.8119896281781263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K2000" t="s">
        <v>272</v>
      </c>
      <c r="AM2000">
        <v>200000</v>
      </c>
      <c r="AN2000" t="s">
        <v>97</v>
      </c>
      <c r="AO2000">
        <v>1</v>
      </c>
      <c r="AP2000">
        <v>0</v>
      </c>
      <c r="AQ2000">
        <v>16666.666666666668</v>
      </c>
      <c r="AR2000" t="s">
        <v>9</v>
      </c>
      <c r="AS2000" t="s">
        <v>75</v>
      </c>
      <c r="AX2000" t="s">
        <v>76</v>
      </c>
      <c r="AY2000" t="s">
        <v>176</v>
      </c>
      <c r="AZ2000">
        <v>0</v>
      </c>
      <c r="BA2000" t="s">
        <v>176</v>
      </c>
      <c r="BB2000">
        <v>0</v>
      </c>
    </row>
    <row r="2001" spans="1:54" x14ac:dyDescent="0.15">
      <c r="A2001" s="4" t="str">
        <f>HYPERLINK("https://ibp.a2mac1.com/costing(costing:projects/details/9760/part/8416857)","Closures&gt;Front door&gt;Top roll assy&gt;Cross member 01 (outer)&gt;Fixing parts&gt;Part 01 (single/main)")</f>
        <v>Closures&gt;Front door&gt;Top roll assy&gt;Cross member 01 (outer)&gt;Fixing parts&gt;Part 01 (single/main)</v>
      </c>
      <c r="B2001">
        <v>8416857</v>
      </c>
      <c r="C2001">
        <v>8416573</v>
      </c>
      <c r="D2001" t="s">
        <v>5528</v>
      </c>
      <c r="E2001">
        <v>5.3152535000000001E-2</v>
      </c>
      <c r="F2001">
        <v>0</v>
      </c>
      <c r="G2001">
        <v>0</v>
      </c>
      <c r="H2001">
        <v>1.130905E-6</v>
      </c>
      <c r="I2001" t="s">
        <v>176</v>
      </c>
      <c r="J2001">
        <v>1.97908375E-3</v>
      </c>
      <c r="K2001">
        <v>5.5132749655E-2</v>
      </c>
      <c r="L2001">
        <v>4.3658469829901307E-3</v>
      </c>
      <c r="M2001">
        <v>2.6195081897940786E-2</v>
      </c>
      <c r="N2001">
        <v>8.132783155294078E-2</v>
      </c>
      <c r="O2001" t="s">
        <v>177</v>
      </c>
      <c r="P2001">
        <v>3.3079649793000001E-3</v>
      </c>
      <c r="Q2001" t="s">
        <v>177</v>
      </c>
      <c r="R2001">
        <v>1.5717049138764471E-3</v>
      </c>
      <c r="S2001" t="s">
        <v>178</v>
      </c>
      <c r="T2001">
        <v>9.7593397863528948E-3</v>
      </c>
      <c r="U2001" t="s">
        <v>90</v>
      </c>
      <c r="V2001">
        <v>0</v>
      </c>
      <c r="W2001" t="s">
        <v>90</v>
      </c>
      <c r="X2001">
        <v>0</v>
      </c>
      <c r="Y2001">
        <v>9.5966841232470124E-2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K2001" t="s">
        <v>272</v>
      </c>
      <c r="AM2001">
        <v>200000</v>
      </c>
      <c r="AN2001" t="s">
        <v>97</v>
      </c>
      <c r="AO2001">
        <v>1</v>
      </c>
      <c r="AP2001">
        <v>0</v>
      </c>
      <c r="AQ2001">
        <v>16666.666666666668</v>
      </c>
      <c r="AR2001" t="s">
        <v>9</v>
      </c>
      <c r="AS2001" t="s">
        <v>75</v>
      </c>
      <c r="AX2001" t="s">
        <v>76</v>
      </c>
      <c r="AY2001" t="s">
        <v>176</v>
      </c>
      <c r="AZ2001">
        <v>0</v>
      </c>
      <c r="BA2001" t="s">
        <v>176</v>
      </c>
      <c r="BB2001">
        <v>0</v>
      </c>
    </row>
    <row r="2002" spans="1:54" x14ac:dyDescent="0.15">
      <c r="A2002" s="4" t="str">
        <f>HYPERLINK("https://ibp.a2mac1.com/costing(costing:projects/details/9760/part/8416858)","Closures&gt;Front door&gt;Top roll assy&gt;Cross member 02 (inner)&gt;Cross member&gt;Part 01 (single/main)")</f>
        <v>Closures&gt;Front door&gt;Top roll assy&gt;Cross member 02 (inner)&gt;Cross member&gt;Part 01 (single/main)</v>
      </c>
      <c r="B2002">
        <v>8416858</v>
      </c>
      <c r="C2002">
        <v>8416574</v>
      </c>
      <c r="D2002" t="s">
        <v>5528</v>
      </c>
      <c r="E2002">
        <v>0.82386429250000004</v>
      </c>
      <c r="F2002">
        <v>0</v>
      </c>
      <c r="G2002">
        <v>0</v>
      </c>
      <c r="H2002">
        <v>1.75290275E-5</v>
      </c>
      <c r="I2002" t="s">
        <v>176</v>
      </c>
      <c r="J2002">
        <v>3.0675798125000001E-2</v>
      </c>
      <c r="K2002">
        <v>0.85455761965249999</v>
      </c>
      <c r="L2002">
        <v>1.3850815167047692E-2</v>
      </c>
      <c r="M2002">
        <v>8.3104891002286158E-2</v>
      </c>
      <c r="N2002">
        <v>0.93766251065478612</v>
      </c>
      <c r="O2002" t="s">
        <v>177</v>
      </c>
      <c r="P2002">
        <v>5.1273457179150002E-2</v>
      </c>
      <c r="Q2002" t="s">
        <v>177</v>
      </c>
      <c r="R2002">
        <v>4.9862934601371698E-3</v>
      </c>
      <c r="S2002" t="s">
        <v>178</v>
      </c>
      <c r="T2002">
        <v>0.11251950127857434</v>
      </c>
      <c r="U2002" t="s">
        <v>90</v>
      </c>
      <c r="V2002">
        <v>0</v>
      </c>
      <c r="W2002" t="s">
        <v>90</v>
      </c>
      <c r="X2002">
        <v>0</v>
      </c>
      <c r="Y2002">
        <v>1.1064417625726477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K2002" t="s">
        <v>272</v>
      </c>
      <c r="AM2002">
        <v>200000</v>
      </c>
      <c r="AN2002" t="s">
        <v>97</v>
      </c>
      <c r="AO2002">
        <v>1</v>
      </c>
      <c r="AP2002">
        <v>0</v>
      </c>
      <c r="AQ2002">
        <v>16666.666666666668</v>
      </c>
      <c r="AR2002" t="s">
        <v>9</v>
      </c>
      <c r="AS2002" t="s">
        <v>75</v>
      </c>
      <c r="AX2002" t="s">
        <v>76</v>
      </c>
      <c r="AY2002" t="s">
        <v>176</v>
      </c>
      <c r="AZ2002">
        <v>0</v>
      </c>
      <c r="BA2002" t="s">
        <v>176</v>
      </c>
      <c r="BB2002">
        <v>0</v>
      </c>
    </row>
    <row r="2003" spans="1:54" x14ac:dyDescent="0.15">
      <c r="A2003" s="4" t="str">
        <f>HYPERLINK("https://ibp.a2mac1.com/costing(costing:projects/details/9760/part/8416859)","Closures&gt;Front door&gt;Top roll assy&gt;Cross member 02 (inner)&gt;Brackets&gt;Part 01 (single/main)")</f>
        <v>Closures&gt;Front door&gt;Top roll assy&gt;Cross member 02 (inner)&gt;Brackets&gt;Part 01 (single/main)</v>
      </c>
      <c r="B2003">
        <v>8416859</v>
      </c>
      <c r="C2003">
        <v>8416575</v>
      </c>
      <c r="D2003" t="s">
        <v>5528</v>
      </c>
      <c r="E2003">
        <v>0.27518688333333335</v>
      </c>
      <c r="F2003">
        <v>0</v>
      </c>
      <c r="G2003">
        <v>0</v>
      </c>
      <c r="H2003">
        <v>5.9499866666666669E-6</v>
      </c>
      <c r="I2003" t="s">
        <v>176</v>
      </c>
      <c r="J2003">
        <v>1.0412476666666667E-2</v>
      </c>
      <c r="K2003">
        <v>0.28560530998666667</v>
      </c>
      <c r="L2003">
        <v>1.433145541358854E-2</v>
      </c>
      <c r="M2003">
        <v>8.5988732481531244E-2</v>
      </c>
      <c r="N2003">
        <v>0.37159404246819788</v>
      </c>
      <c r="O2003" t="s">
        <v>177</v>
      </c>
      <c r="P2003">
        <v>1.71363185992E-2</v>
      </c>
      <c r="Q2003" t="s">
        <v>177</v>
      </c>
      <c r="R2003">
        <v>5.1593239488918743E-3</v>
      </c>
      <c r="S2003" t="s">
        <v>178</v>
      </c>
      <c r="T2003">
        <v>4.459128509618375E-2</v>
      </c>
      <c r="U2003" t="s">
        <v>90</v>
      </c>
      <c r="V2003">
        <v>0</v>
      </c>
      <c r="W2003" t="s">
        <v>90</v>
      </c>
      <c r="X2003">
        <v>0</v>
      </c>
      <c r="Y2003">
        <v>0.43848097011247356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K2003" t="s">
        <v>272</v>
      </c>
      <c r="AM2003">
        <v>200000</v>
      </c>
      <c r="AN2003" t="s">
        <v>97</v>
      </c>
      <c r="AO2003">
        <v>1</v>
      </c>
      <c r="AP2003">
        <v>0</v>
      </c>
      <c r="AQ2003">
        <v>16666.666666666668</v>
      </c>
      <c r="AR2003" t="s">
        <v>9</v>
      </c>
      <c r="AS2003" t="s">
        <v>75</v>
      </c>
      <c r="AX2003" t="s">
        <v>76</v>
      </c>
      <c r="AY2003" t="s">
        <v>176</v>
      </c>
      <c r="AZ2003">
        <v>0</v>
      </c>
      <c r="BA2003" t="s">
        <v>176</v>
      </c>
      <c r="BB2003">
        <v>0</v>
      </c>
    </row>
    <row r="2004" spans="1:54" x14ac:dyDescent="0.15">
      <c r="A2004" s="4" t="str">
        <f>HYPERLINK("https://ibp.a2mac1.com/costing(costing:projects/details/9760/part/8416576)","Closures&gt;Front door&gt;Outer panel&gt;Panel&gt;Part 01 (single/main)")</f>
        <v>Closures&gt;Front door&gt;Outer panel&gt;Panel&gt;Part 01 (single/main)</v>
      </c>
      <c r="B2004">
        <v>8416576</v>
      </c>
      <c r="C2004">
        <v>8416339</v>
      </c>
      <c r="D2004" t="s">
        <v>5528</v>
      </c>
      <c r="E2004">
        <v>3.0591438725</v>
      </c>
      <c r="F2004">
        <v>0</v>
      </c>
      <c r="G2004">
        <v>0</v>
      </c>
      <c r="H2004">
        <v>6.5088167500000006E-5</v>
      </c>
      <c r="I2004" t="s">
        <v>176</v>
      </c>
      <c r="J2004">
        <v>0.113904293125</v>
      </c>
      <c r="K2004">
        <v>3.1731132537925002</v>
      </c>
      <c r="L2004">
        <v>0.24982862648184256</v>
      </c>
      <c r="M2004">
        <v>1.4989717588910554</v>
      </c>
      <c r="N2004">
        <v>4.6720850126835556</v>
      </c>
      <c r="O2004" t="s">
        <v>90</v>
      </c>
      <c r="P2004">
        <v>0</v>
      </c>
      <c r="Q2004" t="s">
        <v>90</v>
      </c>
      <c r="R2004">
        <v>0</v>
      </c>
      <c r="S2004" t="s">
        <v>90</v>
      </c>
      <c r="T2004">
        <v>0</v>
      </c>
      <c r="U2004" t="s">
        <v>90</v>
      </c>
      <c r="V2004">
        <v>0</v>
      </c>
      <c r="W2004" t="s">
        <v>90</v>
      </c>
      <c r="X2004">
        <v>0</v>
      </c>
      <c r="Y2004">
        <v>4.6720850126835556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K2004" t="s">
        <v>272</v>
      </c>
      <c r="AM2004">
        <v>200000</v>
      </c>
      <c r="AN2004" t="s">
        <v>73</v>
      </c>
      <c r="AO2004">
        <v>1</v>
      </c>
      <c r="AP2004">
        <v>0</v>
      </c>
      <c r="AQ2004">
        <v>16666.666666666668</v>
      </c>
      <c r="AR2004" t="s">
        <v>9</v>
      </c>
      <c r="AS2004" t="s">
        <v>75</v>
      </c>
      <c r="AX2004" t="s">
        <v>76</v>
      </c>
      <c r="AY2004" t="s">
        <v>176</v>
      </c>
      <c r="AZ2004">
        <v>0</v>
      </c>
      <c r="BA2004" t="s">
        <v>176</v>
      </c>
      <c r="BB2004">
        <v>0</v>
      </c>
    </row>
    <row r="2005" spans="1:54" x14ac:dyDescent="0.15">
      <c r="A2005" s="4" t="str">
        <f>HYPERLINK("https://ibp.a2mac1.com/costing(costing:projects/details/9760/part/8416340)","Handle")</f>
        <v>Handle</v>
      </c>
      <c r="B2005">
        <v>8416340</v>
      </c>
      <c r="C2005">
        <v>8416009</v>
      </c>
      <c r="E2005">
        <v>0.27207868800000001</v>
      </c>
      <c r="F2005">
        <v>0</v>
      </c>
      <c r="G2005">
        <v>0</v>
      </c>
      <c r="H2005">
        <v>1.380168582736842E-3</v>
      </c>
      <c r="I2005" t="s">
        <v>176</v>
      </c>
      <c r="J2005">
        <v>9.5466206315789476E-3</v>
      </c>
      <c r="K2005">
        <v>0.28300547721431579</v>
      </c>
      <c r="L2005">
        <v>8.183207415110251E-2</v>
      </c>
      <c r="M2005">
        <v>0.49099244490661503</v>
      </c>
      <c r="N2005">
        <v>0.77399792212093088</v>
      </c>
      <c r="O2005" t="s">
        <v>90</v>
      </c>
      <c r="P2005">
        <v>0</v>
      </c>
      <c r="Q2005" t="s">
        <v>90</v>
      </c>
      <c r="R2005">
        <v>0</v>
      </c>
      <c r="S2005" t="s">
        <v>90</v>
      </c>
      <c r="T2005">
        <v>0</v>
      </c>
      <c r="U2005" t="s">
        <v>90</v>
      </c>
      <c r="V2005">
        <v>0</v>
      </c>
      <c r="W2005" t="s">
        <v>90</v>
      </c>
      <c r="X2005">
        <v>0</v>
      </c>
      <c r="Y2005">
        <v>0.77399792212093088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115</v>
      </c>
      <c r="AF2005">
        <v>400</v>
      </c>
      <c r="AG2005">
        <v>120</v>
      </c>
      <c r="AI2005">
        <v>0.113</v>
      </c>
      <c r="AK2005" t="s">
        <v>740</v>
      </c>
      <c r="AL2005" t="s">
        <v>412</v>
      </c>
      <c r="AM2005">
        <v>200000</v>
      </c>
      <c r="AN2005" t="s">
        <v>73</v>
      </c>
      <c r="AO2005">
        <v>1</v>
      </c>
      <c r="AP2005">
        <v>0</v>
      </c>
      <c r="AQ2005">
        <v>16666.666666666668</v>
      </c>
      <c r="AR2005" t="s">
        <v>6606</v>
      </c>
      <c r="AS2005" t="s">
        <v>75</v>
      </c>
      <c r="AX2005" t="s">
        <v>76</v>
      </c>
      <c r="AY2005" t="s">
        <v>176</v>
      </c>
      <c r="AZ2005">
        <v>0</v>
      </c>
      <c r="BA2005" t="s">
        <v>176</v>
      </c>
      <c r="BB2005">
        <v>0</v>
      </c>
    </row>
    <row r="2006" spans="1:54" x14ac:dyDescent="0.15">
      <c r="A2006" s="4" t="str">
        <f>HYPERLINK("https://ibp.a2mac1.com/costing(costing:projects/details/9760/part/8416341)","Trim")</f>
        <v>Trim</v>
      </c>
      <c r="B2006">
        <v>8416341</v>
      </c>
      <c r="C2006">
        <v>8416009</v>
      </c>
      <c r="E2006">
        <v>0.75925066757446813</v>
      </c>
      <c r="F2006">
        <v>0</v>
      </c>
      <c r="G2006">
        <v>0</v>
      </c>
      <c r="H2006">
        <v>3.8473962286047032E-3</v>
      </c>
      <c r="I2006" t="s">
        <v>176</v>
      </c>
      <c r="J2006">
        <v>2.6612424506159013E-2</v>
      </c>
      <c r="K2006">
        <v>0.78971048830923185</v>
      </c>
      <c r="L2006">
        <v>0.10832333012558466</v>
      </c>
      <c r="M2006">
        <v>0.64993998075350801</v>
      </c>
      <c r="N2006">
        <v>1.4396504690627399</v>
      </c>
      <c r="O2006" t="s">
        <v>90</v>
      </c>
      <c r="P2006">
        <v>0</v>
      </c>
      <c r="Q2006" t="s">
        <v>90</v>
      </c>
      <c r="R2006">
        <v>0</v>
      </c>
      <c r="S2006" t="s">
        <v>90</v>
      </c>
      <c r="T2006">
        <v>0</v>
      </c>
      <c r="U2006" t="s">
        <v>90</v>
      </c>
      <c r="V2006">
        <v>0</v>
      </c>
      <c r="W2006" t="s">
        <v>90</v>
      </c>
      <c r="X2006">
        <v>0</v>
      </c>
      <c r="Y2006">
        <v>1.4396504690627399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72</v>
      </c>
      <c r="AF2006">
        <v>435</v>
      </c>
      <c r="AG2006">
        <v>125</v>
      </c>
      <c r="AI2006">
        <v>0.183</v>
      </c>
      <c r="AK2006" t="s">
        <v>740</v>
      </c>
      <c r="AL2006" t="s">
        <v>5084</v>
      </c>
      <c r="AM2006">
        <v>200000</v>
      </c>
      <c r="AN2006" t="s">
        <v>73</v>
      </c>
      <c r="AO2006">
        <v>1</v>
      </c>
      <c r="AP2006">
        <v>0</v>
      </c>
      <c r="AQ2006">
        <v>16666.666666666668</v>
      </c>
      <c r="AR2006" t="s">
        <v>6609</v>
      </c>
      <c r="AS2006" t="s">
        <v>75</v>
      </c>
      <c r="AX2006" t="s">
        <v>76</v>
      </c>
      <c r="AY2006" t="s">
        <v>176</v>
      </c>
      <c r="AZ2006">
        <v>0</v>
      </c>
      <c r="BA2006" t="s">
        <v>176</v>
      </c>
      <c r="BB2006">
        <v>0</v>
      </c>
    </row>
    <row r="2007" spans="1:54" x14ac:dyDescent="0.15">
      <c r="A2007" s="4" t="str">
        <f>HYPERLINK("https://ibp.a2mac1.com/costing(costing:projects/details/9760/part/8416342)","Handle Support")</f>
        <v>Handle Support</v>
      </c>
      <c r="B2007">
        <v>8416342</v>
      </c>
      <c r="C2007">
        <v>8416009</v>
      </c>
      <c r="E2007">
        <v>7.2619511999999997E-2</v>
      </c>
      <c r="F2007">
        <v>0</v>
      </c>
      <c r="G2007">
        <v>0</v>
      </c>
      <c r="H2007">
        <v>3.6837566989473685E-4</v>
      </c>
      <c r="I2007" t="s">
        <v>176</v>
      </c>
      <c r="J2007">
        <v>2.548053052631579E-3</v>
      </c>
      <c r="K2007">
        <v>7.5535940722526312E-2</v>
      </c>
      <c r="L2007">
        <v>7.6565574225524614E-3</v>
      </c>
      <c r="M2007">
        <v>4.5939344535314765E-2</v>
      </c>
      <c r="N2007">
        <v>0.12147528525784108</v>
      </c>
      <c r="O2007" t="s">
        <v>177</v>
      </c>
      <c r="P2007">
        <v>4.5321564433515793E-3</v>
      </c>
      <c r="Q2007" t="s">
        <v>177</v>
      </c>
      <c r="R2007">
        <v>2.756360672118886E-3</v>
      </c>
      <c r="S2007" t="s">
        <v>178</v>
      </c>
      <c r="T2007">
        <v>1.457703423094093E-2</v>
      </c>
      <c r="U2007" t="s">
        <v>90</v>
      </c>
      <c r="V2007">
        <v>0</v>
      </c>
      <c r="W2007" t="s">
        <v>90</v>
      </c>
      <c r="X2007">
        <v>0</v>
      </c>
      <c r="Y2007">
        <v>0.14334083660425248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40</v>
      </c>
      <c r="AF2007">
        <v>152</v>
      </c>
      <c r="AG2007">
        <v>55</v>
      </c>
      <c r="AI2007">
        <v>3.4000000000000002E-2</v>
      </c>
      <c r="AK2007" t="s">
        <v>1464</v>
      </c>
      <c r="AL2007" t="s">
        <v>112</v>
      </c>
      <c r="AM2007">
        <v>200000</v>
      </c>
      <c r="AN2007" t="s">
        <v>97</v>
      </c>
      <c r="AO2007">
        <v>1</v>
      </c>
      <c r="AP2007">
        <v>0</v>
      </c>
      <c r="AQ2007">
        <v>16666.666666666668</v>
      </c>
      <c r="AR2007" t="s">
        <v>6612</v>
      </c>
      <c r="AS2007" t="s">
        <v>75</v>
      </c>
      <c r="AX2007" t="s">
        <v>76</v>
      </c>
      <c r="AY2007" t="s">
        <v>176</v>
      </c>
      <c r="AZ2007">
        <v>0</v>
      </c>
      <c r="BA2007" t="s">
        <v>176</v>
      </c>
      <c r="BB2007">
        <v>0</v>
      </c>
    </row>
    <row r="2008" spans="1:54" x14ac:dyDescent="0.15">
      <c r="A2008" s="4" t="str">
        <f>HYPERLINK("https://ibp.a2mac1.com/costing(costing:projects/details/9760/part/8416343)","Speaker Grille")</f>
        <v>Speaker Grille</v>
      </c>
      <c r="B2008">
        <v>8416343</v>
      </c>
      <c r="C2008">
        <v>8416010</v>
      </c>
      <c r="E2008">
        <v>0.17474076899999999</v>
      </c>
      <c r="F2008">
        <v>0</v>
      </c>
      <c r="G2008">
        <v>0</v>
      </c>
      <c r="H2008">
        <v>8.8640430189473689E-4</v>
      </c>
      <c r="I2008" t="s">
        <v>176</v>
      </c>
      <c r="J2008">
        <v>6.1312550526315792E-3</v>
      </c>
      <c r="K2008">
        <v>0.18175842835452632</v>
      </c>
      <c r="L2008">
        <v>1.6486976080713183E-2</v>
      </c>
      <c r="M2008">
        <v>9.8921856484279092E-2</v>
      </c>
      <c r="N2008">
        <v>0.28068028483880542</v>
      </c>
      <c r="O2008" t="s">
        <v>177</v>
      </c>
      <c r="P2008">
        <v>1.0905505701271578E-2</v>
      </c>
      <c r="Q2008" t="s">
        <v>177</v>
      </c>
      <c r="R2008">
        <v>5.9353113890567456E-3</v>
      </c>
      <c r="S2008" t="s">
        <v>178</v>
      </c>
      <c r="T2008">
        <v>3.3681634180656651E-2</v>
      </c>
      <c r="U2008" t="s">
        <v>90</v>
      </c>
      <c r="V2008">
        <v>0</v>
      </c>
      <c r="W2008" t="s">
        <v>90</v>
      </c>
      <c r="X2008">
        <v>0</v>
      </c>
      <c r="Y2008">
        <v>0.3312027361097904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15</v>
      </c>
      <c r="AF2008">
        <v>245</v>
      </c>
      <c r="AG2008">
        <v>170</v>
      </c>
      <c r="AI2008">
        <v>9.2999999999999999E-2</v>
      </c>
      <c r="AK2008" t="s">
        <v>740</v>
      </c>
      <c r="AL2008" t="s">
        <v>951</v>
      </c>
      <c r="AM2008">
        <v>200000</v>
      </c>
      <c r="AN2008" t="s">
        <v>97</v>
      </c>
      <c r="AO2008">
        <v>1</v>
      </c>
      <c r="AP2008">
        <v>0</v>
      </c>
      <c r="AQ2008">
        <v>16666.666666666668</v>
      </c>
      <c r="AR2008" t="s">
        <v>6617</v>
      </c>
      <c r="AS2008" t="s">
        <v>75</v>
      </c>
      <c r="AX2008" t="s">
        <v>76</v>
      </c>
      <c r="AY2008" t="s">
        <v>176</v>
      </c>
      <c r="AZ2008">
        <v>0</v>
      </c>
      <c r="BA2008" t="s">
        <v>176</v>
      </c>
      <c r="BB2008">
        <v>0</v>
      </c>
    </row>
    <row r="2009" spans="1:54" x14ac:dyDescent="0.15">
      <c r="A2009" s="4" t="str">
        <f>HYPERLINK("https://ibp.a2mac1.com/costing(costing:projects/details/9760/part/8416344)","Speaker Bezel")</f>
        <v>Speaker Bezel</v>
      </c>
      <c r="B2009">
        <v>8416344</v>
      </c>
      <c r="C2009">
        <v>8416010</v>
      </c>
      <c r="E2009">
        <v>3.9292112999999997E-2</v>
      </c>
      <c r="F2009">
        <v>0</v>
      </c>
      <c r="G2009">
        <v>0</v>
      </c>
      <c r="H2009">
        <v>1.9931638273684211E-4</v>
      </c>
      <c r="I2009" t="s">
        <v>176</v>
      </c>
      <c r="J2009">
        <v>1.3786706315789474E-3</v>
      </c>
      <c r="K2009">
        <v>4.0870100014315791E-2</v>
      </c>
      <c r="L2009">
        <v>7.6565574225524614E-3</v>
      </c>
      <c r="M2009">
        <v>4.5939344535314765E-2</v>
      </c>
      <c r="N2009">
        <v>8.6809444549630563E-2</v>
      </c>
      <c r="O2009" t="s">
        <v>177</v>
      </c>
      <c r="P2009">
        <v>2.4522060008589472E-3</v>
      </c>
      <c r="Q2009" t="s">
        <v>177</v>
      </c>
      <c r="R2009">
        <v>2.756360672118886E-3</v>
      </c>
      <c r="S2009" t="s">
        <v>178</v>
      </c>
      <c r="T2009">
        <v>1.0417133345955667E-2</v>
      </c>
      <c r="U2009" t="s">
        <v>90</v>
      </c>
      <c r="V2009">
        <v>0</v>
      </c>
      <c r="W2009" t="s">
        <v>90</v>
      </c>
      <c r="X2009">
        <v>0</v>
      </c>
      <c r="Y2009">
        <v>0.10243514456856406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32</v>
      </c>
      <c r="AF2009">
        <v>265</v>
      </c>
      <c r="AG2009">
        <v>180</v>
      </c>
      <c r="AI2009">
        <v>3.6999999999999998E-2</v>
      </c>
      <c r="AK2009" t="s">
        <v>1464</v>
      </c>
      <c r="AL2009" t="s">
        <v>399</v>
      </c>
      <c r="AM2009">
        <v>200000</v>
      </c>
      <c r="AN2009" t="s">
        <v>97</v>
      </c>
      <c r="AO2009">
        <v>1</v>
      </c>
      <c r="AP2009">
        <v>0</v>
      </c>
      <c r="AQ2009">
        <v>16666.666666666668</v>
      </c>
      <c r="AR2009" t="s">
        <v>6620</v>
      </c>
      <c r="AS2009" t="s">
        <v>75</v>
      </c>
      <c r="AX2009" t="s">
        <v>76</v>
      </c>
      <c r="AY2009" t="s">
        <v>176</v>
      </c>
      <c r="AZ2009">
        <v>0</v>
      </c>
      <c r="BA2009" t="s">
        <v>176</v>
      </c>
      <c r="BB2009">
        <v>0</v>
      </c>
    </row>
    <row r="2010" spans="1:54" x14ac:dyDescent="0.15">
      <c r="A2010" s="4" t="str">
        <f>HYPERLINK("https://ibp.a2mac1.com/costing(costing:projects/details/9760/part/8416345)","Speaker Badge")</f>
        <v>Speaker Badge</v>
      </c>
      <c r="B2010">
        <v>8416345</v>
      </c>
      <c r="C2010">
        <v>8416010</v>
      </c>
      <c r="E2010">
        <v>1.3382168999999999E-2</v>
      </c>
      <c r="F2010">
        <v>0</v>
      </c>
      <c r="G2010">
        <v>0</v>
      </c>
      <c r="H2010">
        <v>7.2035931000000004E-5</v>
      </c>
      <c r="I2010" t="s">
        <v>176</v>
      </c>
      <c r="J2010">
        <v>4.9827224999999999E-4</v>
      </c>
      <c r="K2010">
        <v>1.3952477180999999E-2</v>
      </c>
      <c r="L2010">
        <v>4.1243899592881732E-3</v>
      </c>
      <c r="M2010">
        <v>2.4746339755729041E-2</v>
      </c>
      <c r="N2010">
        <v>3.8698816936729039E-2</v>
      </c>
      <c r="O2010" t="s">
        <v>177</v>
      </c>
      <c r="P2010">
        <v>8.3714863086E-4</v>
      </c>
      <c r="Q2010" t="s">
        <v>177</v>
      </c>
      <c r="R2010">
        <v>1.4847803853437424E-3</v>
      </c>
      <c r="S2010" t="s">
        <v>178</v>
      </c>
      <c r="T2010">
        <v>4.6438580324074845E-3</v>
      </c>
      <c r="U2010" t="s">
        <v>90</v>
      </c>
      <c r="V2010">
        <v>0</v>
      </c>
      <c r="W2010" t="s">
        <v>90</v>
      </c>
      <c r="X2010">
        <v>0</v>
      </c>
      <c r="Y2010">
        <v>4.5664603985340266E-2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11</v>
      </c>
      <c r="AF2010">
        <v>61</v>
      </c>
      <c r="AG2010">
        <v>10</v>
      </c>
      <c r="AI2010">
        <v>3.0000000000000001E-3</v>
      </c>
      <c r="AK2010" t="s">
        <v>740</v>
      </c>
      <c r="AL2010" t="s">
        <v>104</v>
      </c>
      <c r="AM2010">
        <v>200000</v>
      </c>
      <c r="AN2010" t="s">
        <v>97</v>
      </c>
      <c r="AO2010">
        <v>1</v>
      </c>
      <c r="AP2010">
        <v>0</v>
      </c>
      <c r="AQ2010">
        <v>16666.666666666668</v>
      </c>
      <c r="AR2010" t="s">
        <v>6623</v>
      </c>
      <c r="AS2010" t="s">
        <v>75</v>
      </c>
      <c r="AX2010" t="s">
        <v>76</v>
      </c>
      <c r="AY2010" t="s">
        <v>176</v>
      </c>
      <c r="AZ2010">
        <v>0</v>
      </c>
      <c r="BA2010" t="s">
        <v>176</v>
      </c>
      <c r="BB2010">
        <v>0</v>
      </c>
    </row>
    <row r="2011" spans="1:54" x14ac:dyDescent="0.15">
      <c r="A2011" s="4" t="str">
        <f>HYPERLINK("https://ibp.a2mac1.com/costing(costing:projects/details/9760/part/8416346)","Medium Grilles")</f>
        <v>Medium Grilles</v>
      </c>
      <c r="B2011">
        <v>8416346</v>
      </c>
      <c r="C2011">
        <v>8416010</v>
      </c>
      <c r="E2011">
        <v>9.3675182999999995E-2</v>
      </c>
      <c r="F2011">
        <v>0</v>
      </c>
      <c r="G2011">
        <v>0</v>
      </c>
      <c r="H2011">
        <v>5.0425151700000004E-4</v>
      </c>
      <c r="I2011" t="s">
        <v>176</v>
      </c>
      <c r="J2011">
        <v>3.48790575E-3</v>
      </c>
      <c r="K2011">
        <v>9.7667340266999997E-2</v>
      </c>
      <c r="L2011">
        <v>0.10832333012558466</v>
      </c>
      <c r="M2011">
        <v>0.64993998075350801</v>
      </c>
      <c r="N2011">
        <v>0.74760732102050798</v>
      </c>
      <c r="O2011" t="s">
        <v>177</v>
      </c>
      <c r="P2011">
        <v>5.8600404160200001E-3</v>
      </c>
      <c r="Q2011" t="s">
        <v>177</v>
      </c>
      <c r="R2011">
        <v>3.899639884521048E-2</v>
      </c>
      <c r="S2011" t="s">
        <v>178</v>
      </c>
      <c r="T2011">
        <v>8.9712878522460959E-2</v>
      </c>
      <c r="U2011" t="s">
        <v>90</v>
      </c>
      <c r="V2011">
        <v>0</v>
      </c>
      <c r="W2011" t="s">
        <v>90</v>
      </c>
      <c r="X2011">
        <v>0</v>
      </c>
      <c r="Y2011">
        <v>0.8821766388041995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14</v>
      </c>
      <c r="AF2011">
        <v>262</v>
      </c>
      <c r="AG2011">
        <v>102</v>
      </c>
      <c r="AI2011">
        <v>2.1000000000000001E-2</v>
      </c>
      <c r="AK2011" t="s">
        <v>107</v>
      </c>
      <c r="AL2011" t="s">
        <v>104</v>
      </c>
      <c r="AM2011">
        <v>200000</v>
      </c>
      <c r="AN2011" t="s">
        <v>97</v>
      </c>
      <c r="AO2011">
        <v>1</v>
      </c>
      <c r="AP2011">
        <v>0</v>
      </c>
      <c r="AQ2011">
        <v>16666.666666666668</v>
      </c>
      <c r="AR2011" t="s">
        <v>6626</v>
      </c>
      <c r="AS2011" t="s">
        <v>75</v>
      </c>
      <c r="AX2011" t="s">
        <v>76</v>
      </c>
      <c r="AY2011" t="s">
        <v>176</v>
      </c>
      <c r="AZ2011">
        <v>0</v>
      </c>
      <c r="BA2011" t="s">
        <v>176</v>
      </c>
      <c r="BB2011">
        <v>0</v>
      </c>
    </row>
    <row r="2012" spans="1:54" x14ac:dyDescent="0.15">
      <c r="A2012" s="4" t="str">
        <f>HYPERLINK("https://ibp.a2mac1.com/costing(costing:projects/details/9760/part/8416347)","Medium Grilles Support")</f>
        <v>Medium Grilles Support</v>
      </c>
      <c r="B2012">
        <v>8416347</v>
      </c>
      <c r="C2012">
        <v>8416010</v>
      </c>
      <c r="E2012">
        <v>0.113165472</v>
      </c>
      <c r="F2012">
        <v>0</v>
      </c>
      <c r="G2012">
        <v>0</v>
      </c>
      <c r="H2012">
        <v>5.7405241936842109E-4</v>
      </c>
      <c r="I2012" t="s">
        <v>176</v>
      </c>
      <c r="J2012">
        <v>3.9707183157894734E-3</v>
      </c>
      <c r="K2012">
        <v>0.1177102427351579</v>
      </c>
      <c r="L2012">
        <v>3.0647397203088871E-3</v>
      </c>
      <c r="M2012">
        <v>1.8388438321853322E-2</v>
      </c>
      <c r="N2012">
        <v>0.13609868105701123</v>
      </c>
      <c r="O2012" t="s">
        <v>177</v>
      </c>
      <c r="P2012">
        <v>7.0626145641094736E-3</v>
      </c>
      <c r="Q2012" t="s">
        <v>177</v>
      </c>
      <c r="R2012">
        <v>1.1033062993111994E-3</v>
      </c>
      <c r="S2012" t="s">
        <v>178</v>
      </c>
      <c r="T2012">
        <v>1.6331841726841347E-2</v>
      </c>
      <c r="U2012" t="s">
        <v>90</v>
      </c>
      <c r="V2012">
        <v>0</v>
      </c>
      <c r="W2012" t="s">
        <v>90</v>
      </c>
      <c r="X2012">
        <v>0</v>
      </c>
      <c r="Y2012">
        <v>0.16059644364727324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35</v>
      </c>
      <c r="AF2012">
        <v>260</v>
      </c>
      <c r="AG2012">
        <v>100</v>
      </c>
      <c r="AI2012">
        <v>4.7E-2</v>
      </c>
      <c r="AK2012" t="s">
        <v>1464</v>
      </c>
      <c r="AL2012" t="s">
        <v>412</v>
      </c>
      <c r="AM2012">
        <v>200000</v>
      </c>
      <c r="AN2012" t="s">
        <v>97</v>
      </c>
      <c r="AO2012">
        <v>1</v>
      </c>
      <c r="AP2012">
        <v>0</v>
      </c>
      <c r="AQ2012">
        <v>16666.666666666668</v>
      </c>
      <c r="AR2012" t="s">
        <v>6629</v>
      </c>
      <c r="AS2012" t="s">
        <v>75</v>
      </c>
      <c r="AX2012" t="s">
        <v>76</v>
      </c>
      <c r="AY2012" t="s">
        <v>176</v>
      </c>
      <c r="AZ2012">
        <v>0</v>
      </c>
      <c r="BA2012" t="s">
        <v>176</v>
      </c>
      <c r="BB2012">
        <v>0</v>
      </c>
    </row>
    <row r="2013" spans="1:54" x14ac:dyDescent="0.15">
      <c r="A2013" s="4" t="str">
        <f>HYPERLINK("https://ibp.a2mac1.com/costing(costing:projects/details/9760/part/8415997)","Panel carrier")</f>
        <v>Panel carrier</v>
      </c>
      <c r="B2013">
        <v>8415997</v>
      </c>
      <c r="C2013">
        <v>8415678</v>
      </c>
      <c r="E2013">
        <v>2.7131792520000002</v>
      </c>
      <c r="F2013">
        <v>0</v>
      </c>
      <c r="G2013">
        <v>0</v>
      </c>
      <c r="H2013">
        <v>1.3763094752E-2</v>
      </c>
      <c r="I2013" t="s">
        <v>176</v>
      </c>
      <c r="J2013">
        <v>9.5199272000000001E-2</v>
      </c>
      <c r="K2013">
        <v>2.8221416187520001</v>
      </c>
      <c r="L2013">
        <v>0.21252227029188117</v>
      </c>
      <c r="M2013">
        <v>1.275133621751287</v>
      </c>
      <c r="N2013">
        <v>4.0972752405032873</v>
      </c>
      <c r="O2013" t="s">
        <v>90</v>
      </c>
      <c r="P2013">
        <v>0</v>
      </c>
      <c r="Q2013" t="s">
        <v>90</v>
      </c>
      <c r="R2013">
        <v>0</v>
      </c>
      <c r="S2013" t="s">
        <v>90</v>
      </c>
      <c r="T2013">
        <v>0</v>
      </c>
      <c r="U2013" t="s">
        <v>90</v>
      </c>
      <c r="V2013">
        <v>0</v>
      </c>
      <c r="W2013" t="s">
        <v>90</v>
      </c>
      <c r="X2013">
        <v>0</v>
      </c>
      <c r="Y2013">
        <v>4.0972752405032873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160</v>
      </c>
      <c r="AF2013">
        <v>943</v>
      </c>
      <c r="AG2013">
        <v>600</v>
      </c>
      <c r="AI2013">
        <v>1.444</v>
      </c>
      <c r="AK2013" t="s">
        <v>740</v>
      </c>
      <c r="AL2013" t="s">
        <v>951</v>
      </c>
      <c r="AM2013">
        <v>200000</v>
      </c>
      <c r="AN2013" t="s">
        <v>73</v>
      </c>
      <c r="AO2013">
        <v>1</v>
      </c>
      <c r="AP2013">
        <v>0</v>
      </c>
      <c r="AQ2013">
        <v>16666.666666666668</v>
      </c>
      <c r="AR2013" t="s">
        <v>6633</v>
      </c>
      <c r="AS2013" t="s">
        <v>75</v>
      </c>
      <c r="AX2013" t="s">
        <v>76</v>
      </c>
      <c r="AY2013" t="s">
        <v>176</v>
      </c>
      <c r="AZ2013">
        <v>0</v>
      </c>
      <c r="BA2013" t="s">
        <v>176</v>
      </c>
      <c r="BB2013">
        <v>0</v>
      </c>
    </row>
    <row r="2014" spans="1:54" x14ac:dyDescent="0.15">
      <c r="A2014" s="4" t="str">
        <f>HYPERLINK("https://ibp.a2mac1.com/costing(costing:projects/details/9760/part/8415998)","Insert")</f>
        <v>Insert</v>
      </c>
      <c r="B2014">
        <v>8415998</v>
      </c>
      <c r="C2014">
        <v>8415678</v>
      </c>
      <c r="E2014">
        <v>1.1193436224680851</v>
      </c>
      <c r="F2014">
        <v>0</v>
      </c>
      <c r="G2014">
        <v>0</v>
      </c>
      <c r="H2014">
        <v>5.6706879684927216E-3</v>
      </c>
      <c r="I2014" t="s">
        <v>176</v>
      </c>
      <c r="J2014">
        <v>3.9224126264277716E-2</v>
      </c>
      <c r="K2014">
        <v>1.1642384367008556</v>
      </c>
      <c r="L2014">
        <v>0.13304850236843468</v>
      </c>
      <c r="M2014">
        <v>0.79829101421060811</v>
      </c>
      <c r="N2014">
        <v>1.9625294509114637</v>
      </c>
      <c r="O2014" t="s">
        <v>90</v>
      </c>
      <c r="P2014">
        <v>0</v>
      </c>
      <c r="Q2014" t="s">
        <v>90</v>
      </c>
      <c r="R2014">
        <v>0</v>
      </c>
      <c r="S2014" t="s">
        <v>90</v>
      </c>
      <c r="T2014">
        <v>0</v>
      </c>
      <c r="U2014" t="s">
        <v>90</v>
      </c>
      <c r="V2014">
        <v>0</v>
      </c>
      <c r="W2014" t="s">
        <v>90</v>
      </c>
      <c r="X2014">
        <v>0</v>
      </c>
      <c r="Y2014">
        <v>1.9625294509114637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130</v>
      </c>
      <c r="AF2014">
        <v>610</v>
      </c>
      <c r="AG2014">
        <v>172</v>
      </c>
      <c r="AI2014">
        <v>0.223</v>
      </c>
      <c r="AK2014" t="s">
        <v>740</v>
      </c>
      <c r="AL2014" t="s">
        <v>3968</v>
      </c>
      <c r="AM2014">
        <v>200000</v>
      </c>
      <c r="AN2014" t="s">
        <v>73</v>
      </c>
      <c r="AO2014">
        <v>1</v>
      </c>
      <c r="AP2014">
        <v>0</v>
      </c>
      <c r="AQ2014">
        <v>16666.666666666668</v>
      </c>
      <c r="AR2014" t="s">
        <v>6636</v>
      </c>
      <c r="AS2014" t="s">
        <v>75</v>
      </c>
      <c r="AX2014" t="s">
        <v>76</v>
      </c>
      <c r="AY2014" t="s">
        <v>176</v>
      </c>
      <c r="AZ2014">
        <v>0</v>
      </c>
      <c r="BA2014" t="s">
        <v>176</v>
      </c>
      <c r="BB2014">
        <v>0</v>
      </c>
    </row>
    <row r="2015" spans="1:54" x14ac:dyDescent="0.15">
      <c r="A2015" s="4" t="str">
        <f>HYPERLINK("https://ibp.a2mac1.com/costing(costing:projects/details/9760/part/8415999)","Armrest")</f>
        <v>Armrest</v>
      </c>
      <c r="B2015">
        <v>8415999</v>
      </c>
      <c r="C2015">
        <v>8415678</v>
      </c>
      <c r="E2015">
        <v>2.9817817247659573</v>
      </c>
      <c r="F2015">
        <v>0</v>
      </c>
      <c r="G2015">
        <v>0</v>
      </c>
      <c r="H2015">
        <v>1.5103637367543114E-2</v>
      </c>
      <c r="I2015" t="s">
        <v>176</v>
      </c>
      <c r="J2015">
        <v>0.10447179997312429</v>
      </c>
      <c r="K2015">
        <v>3.1013571621066247</v>
      </c>
      <c r="L2015">
        <v>0.38913064345509557</v>
      </c>
      <c r="M2015">
        <v>2.3347838607305733</v>
      </c>
      <c r="N2015">
        <v>5.436141022837198</v>
      </c>
      <c r="O2015" t="s">
        <v>90</v>
      </c>
      <c r="P2015">
        <v>0</v>
      </c>
      <c r="Q2015" t="s">
        <v>90</v>
      </c>
      <c r="R2015">
        <v>0</v>
      </c>
      <c r="S2015" t="s">
        <v>90</v>
      </c>
      <c r="T2015">
        <v>0</v>
      </c>
      <c r="U2015" t="s">
        <v>90</v>
      </c>
      <c r="V2015">
        <v>0</v>
      </c>
      <c r="W2015" t="s">
        <v>90</v>
      </c>
      <c r="X2015">
        <v>0</v>
      </c>
      <c r="Y2015">
        <v>5.436141022837198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140</v>
      </c>
      <c r="AF2015">
        <v>840</v>
      </c>
      <c r="AG2015">
        <v>290</v>
      </c>
      <c r="AI2015">
        <v>0.66400000000000003</v>
      </c>
      <c r="AK2015" t="s">
        <v>740</v>
      </c>
      <c r="AL2015" t="s">
        <v>5136</v>
      </c>
      <c r="AM2015">
        <v>200000</v>
      </c>
      <c r="AN2015" t="s">
        <v>73</v>
      </c>
      <c r="AO2015">
        <v>1</v>
      </c>
      <c r="AP2015">
        <v>0</v>
      </c>
      <c r="AQ2015">
        <v>16666.666666666668</v>
      </c>
      <c r="AR2015" t="s">
        <v>6639</v>
      </c>
      <c r="AS2015" t="s">
        <v>75</v>
      </c>
      <c r="AX2015" t="s">
        <v>76</v>
      </c>
      <c r="AY2015" t="s">
        <v>176</v>
      </c>
      <c r="AZ2015">
        <v>0</v>
      </c>
      <c r="BA2015" t="s">
        <v>176</v>
      </c>
      <c r="BB2015">
        <v>0</v>
      </c>
    </row>
    <row r="2016" spans="1:54" x14ac:dyDescent="0.15">
      <c r="A2016" s="4" t="str">
        <f>HYPERLINK("https://ibp.a2mac1.com/costing(costing:projects/details/9760/part/8416000)","Trim")</f>
        <v>Trim</v>
      </c>
      <c r="B2016">
        <v>8416000</v>
      </c>
      <c r="C2016">
        <v>8415678</v>
      </c>
      <c r="E2016">
        <v>0.25040870399999998</v>
      </c>
      <c r="F2016">
        <v>0</v>
      </c>
      <c r="G2016">
        <v>0</v>
      </c>
      <c r="H2016">
        <v>1.2702436513684211E-3</v>
      </c>
      <c r="I2016" t="s">
        <v>176</v>
      </c>
      <c r="J2016">
        <v>8.7862703157894732E-3</v>
      </c>
      <c r="K2016">
        <v>0.26046521796715788</v>
      </c>
      <c r="L2016">
        <v>7.4767739224573929E-2</v>
      </c>
      <c r="M2016">
        <v>0.4486064353474436</v>
      </c>
      <c r="N2016">
        <v>0.70907165331460154</v>
      </c>
      <c r="O2016" t="s">
        <v>90</v>
      </c>
      <c r="P2016">
        <v>0</v>
      </c>
      <c r="Q2016" t="s">
        <v>90</v>
      </c>
      <c r="R2016">
        <v>0</v>
      </c>
      <c r="S2016" t="s">
        <v>90</v>
      </c>
      <c r="T2016">
        <v>0</v>
      </c>
      <c r="U2016" t="s">
        <v>90</v>
      </c>
      <c r="V2016">
        <v>0</v>
      </c>
      <c r="W2016" t="s">
        <v>90</v>
      </c>
      <c r="X2016">
        <v>0</v>
      </c>
      <c r="Y2016">
        <v>0.70907165331460154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40</v>
      </c>
      <c r="AF2016">
        <v>575</v>
      </c>
      <c r="AG2016">
        <v>48</v>
      </c>
      <c r="AI2016">
        <v>0.104</v>
      </c>
      <c r="AK2016" t="s">
        <v>740</v>
      </c>
      <c r="AL2016" t="s">
        <v>2495</v>
      </c>
      <c r="AM2016">
        <v>200000</v>
      </c>
      <c r="AN2016" t="s">
        <v>73</v>
      </c>
      <c r="AO2016">
        <v>1</v>
      </c>
      <c r="AP2016">
        <v>0</v>
      </c>
      <c r="AQ2016">
        <v>16666.666666666668</v>
      </c>
      <c r="AR2016" t="s">
        <v>6642</v>
      </c>
      <c r="AS2016" t="s">
        <v>75</v>
      </c>
      <c r="AX2016" t="s">
        <v>76</v>
      </c>
      <c r="AY2016" t="s">
        <v>176</v>
      </c>
      <c r="AZ2016">
        <v>0</v>
      </c>
      <c r="BA2016" t="s">
        <v>176</v>
      </c>
      <c r="BB2016">
        <v>0</v>
      </c>
    </row>
    <row r="2017" spans="1:56" x14ac:dyDescent="0.15">
      <c r="A2017" s="4" t="str">
        <f>HYPERLINK("https://ibp.a2mac1.com/costing(costing:projects/details/9760/part/8416001)","Upper Band")</f>
        <v>Upper Band</v>
      </c>
      <c r="B2017">
        <v>8416001</v>
      </c>
      <c r="C2017">
        <v>8415678</v>
      </c>
      <c r="E2017">
        <v>1.2663591059999999</v>
      </c>
      <c r="F2017">
        <v>0</v>
      </c>
      <c r="G2017">
        <v>0</v>
      </c>
      <c r="H2017">
        <v>6.4144965928421048E-3</v>
      </c>
      <c r="I2017" t="s">
        <v>176</v>
      </c>
      <c r="J2017">
        <v>4.4369047578947371E-2</v>
      </c>
      <c r="K2017">
        <v>1.3171426501717896</v>
      </c>
      <c r="L2017">
        <v>0.16660409326944542</v>
      </c>
      <c r="M2017">
        <v>0.99962455961667251</v>
      </c>
      <c r="N2017">
        <v>2.3167672097884622</v>
      </c>
      <c r="O2017" t="s">
        <v>90</v>
      </c>
      <c r="P2017">
        <v>0</v>
      </c>
      <c r="Q2017" t="s">
        <v>90</v>
      </c>
      <c r="R2017">
        <v>0</v>
      </c>
      <c r="S2017" t="s">
        <v>90</v>
      </c>
      <c r="T2017">
        <v>0</v>
      </c>
      <c r="U2017" t="s">
        <v>90</v>
      </c>
      <c r="V2017">
        <v>0</v>
      </c>
      <c r="W2017" t="s">
        <v>90</v>
      </c>
      <c r="X2017">
        <v>0</v>
      </c>
      <c r="Y2017">
        <v>2.3167672097884622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93</v>
      </c>
      <c r="AF2017">
        <v>895</v>
      </c>
      <c r="AG2017">
        <v>47</v>
      </c>
      <c r="AI2017">
        <v>0.28199999999999997</v>
      </c>
      <c r="AK2017" t="s">
        <v>740</v>
      </c>
      <c r="AL2017" t="s">
        <v>5136</v>
      </c>
      <c r="AM2017">
        <v>200000</v>
      </c>
      <c r="AN2017" t="s">
        <v>73</v>
      </c>
      <c r="AO2017">
        <v>1</v>
      </c>
      <c r="AP2017">
        <v>0</v>
      </c>
      <c r="AQ2017">
        <v>16666.666666666668</v>
      </c>
      <c r="AR2017" t="s">
        <v>6645</v>
      </c>
      <c r="AS2017" t="s">
        <v>75</v>
      </c>
      <c r="AX2017" t="s">
        <v>76</v>
      </c>
      <c r="AY2017" t="s">
        <v>176</v>
      </c>
      <c r="AZ2017">
        <v>0</v>
      </c>
      <c r="BA2017" t="s">
        <v>176</v>
      </c>
      <c r="BB2017">
        <v>0</v>
      </c>
    </row>
    <row r="2018" spans="1:56" x14ac:dyDescent="0.15">
      <c r="A2018" s="4" t="str">
        <f>HYPERLINK("https://ibp.a2mac1.com/costing(costing:projects/details/9760/part/8416002)","Door Map Pocket Panel")</f>
        <v>Door Map Pocket Panel</v>
      </c>
      <c r="B2018">
        <v>8416002</v>
      </c>
      <c r="C2018">
        <v>8415678</v>
      </c>
      <c r="E2018">
        <v>0.80230439099999995</v>
      </c>
      <c r="F2018">
        <v>0</v>
      </c>
      <c r="G2018">
        <v>0</v>
      </c>
      <c r="H2018">
        <v>4.0698348054736839E-3</v>
      </c>
      <c r="I2018" t="s">
        <v>176</v>
      </c>
      <c r="J2018">
        <v>2.8151031263157895E-2</v>
      </c>
      <c r="K2018">
        <v>0.83452525706863157</v>
      </c>
      <c r="L2018">
        <v>6.417123683478107E-2</v>
      </c>
      <c r="M2018">
        <v>0.38502742100868642</v>
      </c>
      <c r="N2018">
        <v>1.219552678077318</v>
      </c>
      <c r="O2018" t="s">
        <v>177</v>
      </c>
      <c r="P2018">
        <v>5.0071515424117898E-2</v>
      </c>
      <c r="Q2018" t="s">
        <v>177</v>
      </c>
      <c r="R2018">
        <v>2.3101645260521185E-2</v>
      </c>
      <c r="S2018" t="s">
        <v>178</v>
      </c>
      <c r="T2018">
        <v>0.14634632136927817</v>
      </c>
      <c r="U2018" t="s">
        <v>90</v>
      </c>
      <c r="V2018">
        <v>0</v>
      </c>
      <c r="W2018" t="s">
        <v>90</v>
      </c>
      <c r="X2018">
        <v>0</v>
      </c>
      <c r="Y2018">
        <v>1.4390721601312353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52</v>
      </c>
      <c r="AF2018">
        <v>835</v>
      </c>
      <c r="AG2018">
        <v>280</v>
      </c>
      <c r="AI2018">
        <v>0.42699999999999999</v>
      </c>
      <c r="AK2018" t="s">
        <v>107</v>
      </c>
      <c r="AL2018" t="s">
        <v>951</v>
      </c>
      <c r="AM2018">
        <v>200000</v>
      </c>
      <c r="AN2018" t="s">
        <v>97</v>
      </c>
      <c r="AO2018">
        <v>1</v>
      </c>
      <c r="AP2018">
        <v>0</v>
      </c>
      <c r="AQ2018">
        <v>16666.666666666668</v>
      </c>
      <c r="AR2018" t="s">
        <v>6648</v>
      </c>
      <c r="AS2018" t="s">
        <v>75</v>
      </c>
      <c r="AX2018" t="s">
        <v>76</v>
      </c>
      <c r="AY2018" t="s">
        <v>176</v>
      </c>
      <c r="AZ2018">
        <v>0</v>
      </c>
      <c r="BA2018" t="s">
        <v>176</v>
      </c>
      <c r="BB2018">
        <v>0</v>
      </c>
    </row>
    <row r="2019" spans="1:56" x14ac:dyDescent="0.15">
      <c r="A2019" s="4" t="str">
        <f>HYPERLINK("https://ibp.a2mac1.com/costing(costing:projects/details/9760/part/8416003)","Soundproofing")</f>
        <v>Soundproofing</v>
      </c>
      <c r="B2019">
        <v>8416003</v>
      </c>
      <c r="C2019">
        <v>8415678</v>
      </c>
      <c r="E2019">
        <v>3.5821052631578949</v>
      </c>
      <c r="F2019">
        <v>0</v>
      </c>
      <c r="G2019">
        <v>0</v>
      </c>
      <c r="H2019">
        <v>1.8125452631578949E-2</v>
      </c>
      <c r="I2019" t="s">
        <v>176</v>
      </c>
      <c r="J2019">
        <v>0.1253736842105263</v>
      </c>
      <c r="K2019">
        <v>3.7256043999999999</v>
      </c>
      <c r="L2019">
        <v>2.7083478470506045E-2</v>
      </c>
      <c r="M2019">
        <v>0.16250087082303627</v>
      </c>
      <c r="N2019">
        <v>3.8881052708230364</v>
      </c>
      <c r="O2019" t="s">
        <v>177</v>
      </c>
      <c r="P2019">
        <v>0.22353626400000001</v>
      </c>
      <c r="Q2019" t="s">
        <v>177</v>
      </c>
      <c r="R2019">
        <v>9.7500522493821767E-3</v>
      </c>
      <c r="S2019" t="s">
        <v>178</v>
      </c>
      <c r="T2019">
        <v>0.46657263249876435</v>
      </c>
      <c r="U2019" t="s">
        <v>90</v>
      </c>
      <c r="V2019">
        <v>0</v>
      </c>
      <c r="W2019" t="s">
        <v>90</v>
      </c>
      <c r="X2019">
        <v>0</v>
      </c>
      <c r="Y2019">
        <v>4.5879642195711829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15</v>
      </c>
      <c r="AF2019">
        <v>800</v>
      </c>
      <c r="AG2019">
        <v>510</v>
      </c>
      <c r="AI2019">
        <v>8.5999999999999993E-2</v>
      </c>
      <c r="AK2019" t="s">
        <v>740</v>
      </c>
      <c r="AL2019" t="s">
        <v>4050</v>
      </c>
      <c r="AM2019">
        <v>200000</v>
      </c>
      <c r="AN2019" t="s">
        <v>97</v>
      </c>
      <c r="AO2019">
        <v>1</v>
      </c>
      <c r="AP2019">
        <v>0</v>
      </c>
      <c r="AQ2019">
        <v>16666.666666666668</v>
      </c>
      <c r="AR2019" t="s">
        <v>6651</v>
      </c>
      <c r="AS2019" t="s">
        <v>75</v>
      </c>
      <c r="AX2019" t="s">
        <v>76</v>
      </c>
      <c r="AY2019" t="s">
        <v>176</v>
      </c>
      <c r="AZ2019">
        <v>0</v>
      </c>
      <c r="BA2019" t="s">
        <v>176</v>
      </c>
      <c r="BB2019">
        <v>0</v>
      </c>
    </row>
    <row r="2020" spans="1:56" x14ac:dyDescent="0.15">
      <c r="A2020" s="4" t="str">
        <f>HYPERLINK("https://ibp.a2mac1.com/costing(costing:projects/details/9760/part/8416004)","Reinforcement")</f>
        <v>Reinforcement</v>
      </c>
      <c r="B2020">
        <v>8416004</v>
      </c>
      <c r="C2020">
        <v>8415678</v>
      </c>
      <c r="E2020">
        <v>0.18413543399999999</v>
      </c>
      <c r="F2020">
        <v>0</v>
      </c>
      <c r="G2020">
        <v>0</v>
      </c>
      <c r="H2020">
        <v>9.3406044715789471E-4</v>
      </c>
      <c r="I2020" t="s">
        <v>176</v>
      </c>
      <c r="J2020">
        <v>6.4608924210526313E-3</v>
      </c>
      <c r="K2020">
        <v>0.19153038686821053</v>
      </c>
      <c r="L2020">
        <v>1.6486976080713183E-2</v>
      </c>
      <c r="M2020">
        <v>9.8921856484279092E-2</v>
      </c>
      <c r="N2020">
        <v>0.29045224335248959</v>
      </c>
      <c r="O2020" t="s">
        <v>90</v>
      </c>
      <c r="P2020">
        <v>0</v>
      </c>
      <c r="Q2020" t="s">
        <v>90</v>
      </c>
      <c r="R2020">
        <v>0</v>
      </c>
      <c r="S2020" t="s">
        <v>90</v>
      </c>
      <c r="T2020">
        <v>0</v>
      </c>
      <c r="U2020" t="s">
        <v>90</v>
      </c>
      <c r="V2020">
        <v>0</v>
      </c>
      <c r="W2020" t="s">
        <v>90</v>
      </c>
      <c r="X2020">
        <v>0</v>
      </c>
      <c r="Y2020">
        <v>0.29045224335248959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52</v>
      </c>
      <c r="AF2020">
        <v>810</v>
      </c>
      <c r="AG2020">
        <v>40</v>
      </c>
      <c r="AI2020">
        <v>9.8000000000000004E-2</v>
      </c>
      <c r="AK2020" t="s">
        <v>740</v>
      </c>
      <c r="AL2020" t="s">
        <v>951</v>
      </c>
      <c r="AM2020">
        <v>200000</v>
      </c>
      <c r="AN2020" t="s">
        <v>73</v>
      </c>
      <c r="AO2020">
        <v>1</v>
      </c>
      <c r="AP2020">
        <v>0</v>
      </c>
      <c r="AQ2020">
        <v>16666.666666666668</v>
      </c>
      <c r="AR2020" t="s">
        <v>6654</v>
      </c>
      <c r="AS2020" t="s">
        <v>75</v>
      </c>
      <c r="AX2020" t="s">
        <v>76</v>
      </c>
      <c r="AY2020" t="s">
        <v>176</v>
      </c>
      <c r="AZ2020">
        <v>0</v>
      </c>
      <c r="BA2020" t="s">
        <v>176</v>
      </c>
      <c r="BB2020">
        <v>0</v>
      </c>
    </row>
    <row r="2021" spans="1:56" x14ac:dyDescent="0.15">
      <c r="A2021" s="4" t="str">
        <f>HYPERLINK("https://ibp.a2mac1.com/costing(costing:projects/details/9760/part/8416005)","Storage Box Mat")</f>
        <v>Storage Box Mat</v>
      </c>
      <c r="B2021">
        <v>8416005</v>
      </c>
      <c r="C2021">
        <v>8415678</v>
      </c>
      <c r="E2021">
        <v>0.120283338</v>
      </c>
      <c r="F2021">
        <v>0</v>
      </c>
      <c r="G2021">
        <v>0</v>
      </c>
      <c r="H2021">
        <v>6.1015908799999996E-4</v>
      </c>
      <c r="I2021" t="s">
        <v>176</v>
      </c>
      <c r="J2021">
        <v>4.2204679999999998E-3</v>
      </c>
      <c r="K2021">
        <v>0.12511396508799999</v>
      </c>
      <c r="L2021">
        <v>1.2954808617448894E-2</v>
      </c>
      <c r="M2021">
        <v>7.7728851704693361E-2</v>
      </c>
      <c r="N2021">
        <v>0.20284281679269336</v>
      </c>
      <c r="O2021" t="s">
        <v>90</v>
      </c>
      <c r="P2021">
        <v>0</v>
      </c>
      <c r="Q2021" t="s">
        <v>90</v>
      </c>
      <c r="R2021">
        <v>0</v>
      </c>
      <c r="S2021" t="s">
        <v>90</v>
      </c>
      <c r="T2021">
        <v>0</v>
      </c>
      <c r="U2021" t="s">
        <v>90</v>
      </c>
      <c r="V2021">
        <v>0</v>
      </c>
      <c r="W2021" t="s">
        <v>90</v>
      </c>
      <c r="X2021">
        <v>0</v>
      </c>
      <c r="Y2021">
        <v>0.20284281679269336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93</v>
      </c>
      <c r="AF2021">
        <v>410</v>
      </c>
      <c r="AG2021">
        <v>22</v>
      </c>
      <c r="AI2021">
        <v>7.5999999999999998E-2</v>
      </c>
      <c r="AK2021" t="s">
        <v>740</v>
      </c>
      <c r="AL2021" t="s">
        <v>2246</v>
      </c>
      <c r="AM2021">
        <v>200000</v>
      </c>
      <c r="AN2021" t="s">
        <v>73</v>
      </c>
      <c r="AO2021">
        <v>1</v>
      </c>
      <c r="AP2021">
        <v>0</v>
      </c>
      <c r="AQ2021">
        <v>16666.666666666668</v>
      </c>
      <c r="AR2021" t="s">
        <v>6657</v>
      </c>
      <c r="AS2021" t="s">
        <v>75</v>
      </c>
      <c r="AX2021" t="s">
        <v>76</v>
      </c>
      <c r="AY2021" t="s">
        <v>176</v>
      </c>
      <c r="AZ2021">
        <v>0</v>
      </c>
      <c r="BA2021" t="s">
        <v>176</v>
      </c>
      <c r="BB2021">
        <v>0</v>
      </c>
    </row>
    <row r="2022" spans="1:56" x14ac:dyDescent="0.15">
      <c r="A2022" s="4" t="str">
        <f>HYPERLINK("https://ibp.a2mac1.com/costing(costing:projects/details/9760/part/8416006)","2nd Trim")</f>
        <v>2nd Trim</v>
      </c>
      <c r="B2022">
        <v>8416006</v>
      </c>
      <c r="C2022">
        <v>8415678</v>
      </c>
      <c r="E2022">
        <v>7.4641055999999997E-2</v>
      </c>
      <c r="F2022">
        <v>0</v>
      </c>
      <c r="G2022">
        <v>0</v>
      </c>
      <c r="H2022">
        <v>3.7863031915789475E-4</v>
      </c>
      <c r="I2022" t="s">
        <v>176</v>
      </c>
      <c r="J2022">
        <v>2.6189844210526315E-3</v>
      </c>
      <c r="K2022">
        <v>7.7638670740210525E-2</v>
      </c>
      <c r="L2022">
        <v>3.5913897128666765E-2</v>
      </c>
      <c r="M2022">
        <v>0.2154833827720006</v>
      </c>
      <c r="N2022">
        <v>0.2931220535122111</v>
      </c>
      <c r="O2022" t="s">
        <v>90</v>
      </c>
      <c r="P2022">
        <v>0</v>
      </c>
      <c r="Q2022" t="s">
        <v>90</v>
      </c>
      <c r="R2022">
        <v>0</v>
      </c>
      <c r="S2022" t="s">
        <v>90</v>
      </c>
      <c r="T2022">
        <v>0</v>
      </c>
      <c r="U2022" t="s">
        <v>90</v>
      </c>
      <c r="V2022">
        <v>0</v>
      </c>
      <c r="W2022" t="s">
        <v>90</v>
      </c>
      <c r="X2022">
        <v>0</v>
      </c>
      <c r="Y2022">
        <v>0.2931220535122111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110</v>
      </c>
      <c r="AF2022">
        <v>460</v>
      </c>
      <c r="AG2022">
        <v>34</v>
      </c>
      <c r="AI2022">
        <v>3.1E-2</v>
      </c>
      <c r="AK2022" t="s">
        <v>740</v>
      </c>
      <c r="AL2022" t="s">
        <v>2495</v>
      </c>
      <c r="AM2022">
        <v>200000</v>
      </c>
      <c r="AN2022" t="s">
        <v>73</v>
      </c>
      <c r="AO2022">
        <v>1</v>
      </c>
      <c r="AP2022">
        <v>0</v>
      </c>
      <c r="AQ2022">
        <v>16666.666666666668</v>
      </c>
      <c r="AR2022" t="s">
        <v>6660</v>
      </c>
      <c r="AS2022" t="s">
        <v>75</v>
      </c>
      <c r="AX2022" t="s">
        <v>76</v>
      </c>
      <c r="AY2022" t="s">
        <v>176</v>
      </c>
      <c r="AZ2022">
        <v>0</v>
      </c>
      <c r="BA2022" t="s">
        <v>176</v>
      </c>
      <c r="BB2022">
        <v>0</v>
      </c>
    </row>
    <row r="2023" spans="1:56" x14ac:dyDescent="0.15">
      <c r="A2023" s="4" t="str">
        <f>HYPERLINK("https://ibp.a2mac1.com/costing(costing:projects/details/9760/part/8416007)","Door Panel Adjuster")</f>
        <v>Door Panel Adjuster</v>
      </c>
      <c r="B2023">
        <v>8416007</v>
      </c>
      <c r="C2023">
        <v>8415678</v>
      </c>
      <c r="E2023">
        <v>2.3531781000000002E-2</v>
      </c>
      <c r="F2023">
        <v>0</v>
      </c>
      <c r="G2023">
        <v>0</v>
      </c>
      <c r="H2023">
        <v>1.1936923494736842E-4</v>
      </c>
      <c r="I2023" t="s">
        <v>176</v>
      </c>
      <c r="J2023">
        <v>8.2567652631578947E-4</v>
      </c>
      <c r="K2023">
        <v>2.4476826761263157E-2</v>
      </c>
      <c r="L2023">
        <v>4.1243899592881732E-3</v>
      </c>
      <c r="M2023">
        <v>2.4746339755729041E-2</v>
      </c>
      <c r="N2023">
        <v>4.9223166516992198E-2</v>
      </c>
      <c r="O2023" t="s">
        <v>90</v>
      </c>
      <c r="P2023">
        <v>0</v>
      </c>
      <c r="Q2023" t="s">
        <v>90</v>
      </c>
      <c r="R2023">
        <v>0</v>
      </c>
      <c r="S2023" t="s">
        <v>90</v>
      </c>
      <c r="T2023">
        <v>0</v>
      </c>
      <c r="U2023" t="s">
        <v>90</v>
      </c>
      <c r="V2023">
        <v>0</v>
      </c>
      <c r="W2023" t="s">
        <v>90</v>
      </c>
      <c r="X2023">
        <v>0</v>
      </c>
      <c r="Y2023">
        <v>4.9223166516992198E-2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52</v>
      </c>
      <c r="AF2023">
        <v>45</v>
      </c>
      <c r="AG2023">
        <v>35</v>
      </c>
      <c r="AI2023">
        <v>1.2999999999999999E-2</v>
      </c>
      <c r="AK2023" t="s">
        <v>272</v>
      </c>
      <c r="AL2023" t="s">
        <v>446</v>
      </c>
      <c r="AM2023">
        <v>200000</v>
      </c>
      <c r="AN2023" t="s">
        <v>73</v>
      </c>
      <c r="AO2023">
        <v>1</v>
      </c>
      <c r="AP2023">
        <v>0</v>
      </c>
      <c r="AQ2023">
        <v>16666.666666666668</v>
      </c>
      <c r="AR2023" t="s">
        <v>6663</v>
      </c>
      <c r="AS2023" t="s">
        <v>75</v>
      </c>
      <c r="AX2023" t="s">
        <v>76</v>
      </c>
      <c r="AY2023" t="s">
        <v>176</v>
      </c>
      <c r="AZ2023">
        <v>0</v>
      </c>
      <c r="BA2023" t="s">
        <v>176</v>
      </c>
      <c r="BB2023">
        <v>0</v>
      </c>
    </row>
    <row r="2024" spans="1:56" x14ac:dyDescent="0.15">
      <c r="A2024" s="4" t="str">
        <f>HYPERLINK("https://ibp.a2mac1.com/costing(costing:projects/details/9760/part/8416008)","Door Panel Adjuster Support")</f>
        <v>Door Panel Adjuster Support</v>
      </c>
      <c r="B2024">
        <v>8416008</v>
      </c>
      <c r="C2024">
        <v>8415678</v>
      </c>
      <c r="E2024">
        <v>3.6116639999999998E-2</v>
      </c>
      <c r="F2024">
        <v>0</v>
      </c>
      <c r="G2024">
        <v>0</v>
      </c>
      <c r="H2024">
        <v>1.8320821894736843E-4</v>
      </c>
      <c r="I2024" t="s">
        <v>176</v>
      </c>
      <c r="J2024">
        <v>1.2672505263157895E-3</v>
      </c>
      <c r="K2024">
        <v>3.7567098745263157E-2</v>
      </c>
      <c r="L2024">
        <v>5.8904736909203177E-3</v>
      </c>
      <c r="M2024">
        <v>3.5342842145521906E-2</v>
      </c>
      <c r="N2024">
        <v>7.2909940890785063E-2</v>
      </c>
      <c r="O2024" t="s">
        <v>90</v>
      </c>
      <c r="P2024">
        <v>0</v>
      </c>
      <c r="Q2024" t="s">
        <v>90</v>
      </c>
      <c r="R2024">
        <v>0</v>
      </c>
      <c r="S2024" t="s">
        <v>90</v>
      </c>
      <c r="T2024">
        <v>0</v>
      </c>
      <c r="U2024" t="s">
        <v>90</v>
      </c>
      <c r="V2024">
        <v>0</v>
      </c>
      <c r="W2024" t="s">
        <v>90</v>
      </c>
      <c r="X2024">
        <v>0</v>
      </c>
      <c r="Y2024">
        <v>7.2909940890785063E-2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25</v>
      </c>
      <c r="AF2024">
        <v>65</v>
      </c>
      <c r="AG2024">
        <v>87</v>
      </c>
      <c r="AI2024">
        <v>1.4999999999999999E-2</v>
      </c>
      <c r="AK2024" t="s">
        <v>272</v>
      </c>
      <c r="AL2024" t="s">
        <v>2495</v>
      </c>
      <c r="AM2024">
        <v>200000</v>
      </c>
      <c r="AN2024" t="s">
        <v>73</v>
      </c>
      <c r="AO2024">
        <v>1</v>
      </c>
      <c r="AP2024">
        <v>0</v>
      </c>
      <c r="AQ2024">
        <v>16666.666666666668</v>
      </c>
      <c r="AR2024" t="s">
        <v>6666</v>
      </c>
      <c r="AS2024" t="s">
        <v>75</v>
      </c>
      <c r="AX2024" t="s">
        <v>76</v>
      </c>
      <c r="AY2024" t="s">
        <v>176</v>
      </c>
      <c r="AZ2024">
        <v>0</v>
      </c>
      <c r="BA2024" t="s">
        <v>176</v>
      </c>
      <c r="BB2024">
        <v>0</v>
      </c>
    </row>
    <row r="2025" spans="1:56" x14ac:dyDescent="0.15">
      <c r="A2025" s="4" t="str">
        <f>HYPERLINK("https://ibp.a2mac1.com/costing(costing:projects/details/9760/part/8416011)","Pull Cup")</f>
        <v>Pull Cup</v>
      </c>
      <c r="B2025">
        <v>8416011</v>
      </c>
      <c r="C2025">
        <v>8415678</v>
      </c>
      <c r="E2025">
        <v>0.15206823479695752</v>
      </c>
      <c r="F2025">
        <v>0</v>
      </c>
      <c r="G2025">
        <v>0</v>
      </c>
      <c r="H2025">
        <v>3.1158676550672344E-3</v>
      </c>
      <c r="I2025" t="s">
        <v>176</v>
      </c>
      <c r="J2025">
        <v>5.340615471466856E-3</v>
      </c>
      <c r="K2025">
        <v>0.16052471792349163</v>
      </c>
      <c r="L2025">
        <v>6.8578819678326922E-3</v>
      </c>
      <c r="M2025">
        <v>4.1147291806996153E-2</v>
      </c>
      <c r="N2025">
        <v>0.20167200973048777</v>
      </c>
      <c r="O2025" t="s">
        <v>177</v>
      </c>
      <c r="P2025">
        <v>9.6314830754094961E-3</v>
      </c>
      <c r="Q2025" t="s">
        <v>177</v>
      </c>
      <c r="R2025">
        <v>2.4688375084197692E-3</v>
      </c>
      <c r="S2025" t="s">
        <v>178</v>
      </c>
      <c r="T2025">
        <v>2.4200641167658531E-2</v>
      </c>
      <c r="U2025" t="s">
        <v>90</v>
      </c>
      <c r="V2025">
        <v>0</v>
      </c>
      <c r="W2025" t="s">
        <v>90</v>
      </c>
      <c r="X2025">
        <v>0</v>
      </c>
      <c r="Y2025">
        <v>0.23797297148197558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122</v>
      </c>
      <c r="AF2025">
        <v>68</v>
      </c>
      <c r="AG2025">
        <v>37</v>
      </c>
      <c r="AH2025">
        <v>0</v>
      </c>
      <c r="AI2025">
        <v>6.2E-2</v>
      </c>
      <c r="AK2025" t="s">
        <v>740</v>
      </c>
      <c r="AM2025">
        <v>200000</v>
      </c>
      <c r="AN2025" t="s">
        <v>97</v>
      </c>
      <c r="AO2025">
        <v>1</v>
      </c>
      <c r="AP2025">
        <v>0</v>
      </c>
      <c r="AQ2025">
        <v>16666.666666666668</v>
      </c>
      <c r="AR2025" t="s">
        <v>6674</v>
      </c>
      <c r="AS2025" t="s">
        <v>75</v>
      </c>
      <c r="AV2025">
        <v>0</v>
      </c>
      <c r="AW2025">
        <v>0</v>
      </c>
      <c r="AX2025" t="s">
        <v>76</v>
      </c>
      <c r="AY2025" t="s">
        <v>176</v>
      </c>
      <c r="AZ2025">
        <v>0</v>
      </c>
      <c r="BA2025" t="s">
        <v>176</v>
      </c>
      <c r="BB2025">
        <v>0</v>
      </c>
    </row>
    <row r="2026" spans="1:56" x14ac:dyDescent="0.15">
      <c r="A2026" s="4" t="str">
        <f>HYPERLINK("https://ibp.a2mac1.com/costing(costing:projects/details/9760/part/8416012)","Pull Cup Support")</f>
        <v>Pull Cup Support</v>
      </c>
      <c r="B2026">
        <v>8416012</v>
      </c>
      <c r="C2026">
        <v>8415678</v>
      </c>
      <c r="E2026">
        <v>4.7272311841521863E-2</v>
      </c>
      <c r="F2026">
        <v>0</v>
      </c>
      <c r="G2026">
        <v>0</v>
      </c>
      <c r="H2026">
        <v>9.7057632098302793E-4</v>
      </c>
      <c r="I2026" t="s">
        <v>176</v>
      </c>
      <c r="J2026">
        <v>1.6635735178455425E-3</v>
      </c>
      <c r="K2026">
        <v>4.9906461680350435E-2</v>
      </c>
      <c r="L2026">
        <v>5.1517489311712125E-3</v>
      </c>
      <c r="M2026">
        <v>3.0910493587027275E-2</v>
      </c>
      <c r="N2026">
        <v>8.0816955267377713E-2</v>
      </c>
      <c r="O2026" t="s">
        <v>177</v>
      </c>
      <c r="P2026">
        <v>2.994387700821026E-3</v>
      </c>
      <c r="Q2026" t="s">
        <v>177</v>
      </c>
      <c r="R2026">
        <v>1.8546296152216364E-3</v>
      </c>
      <c r="S2026" t="s">
        <v>178</v>
      </c>
      <c r="T2026">
        <v>9.6980346320853245E-3</v>
      </c>
      <c r="U2026" t="s">
        <v>90</v>
      </c>
      <c r="V2026">
        <v>0</v>
      </c>
      <c r="W2026" t="s">
        <v>90</v>
      </c>
      <c r="X2026">
        <v>0</v>
      </c>
      <c r="Y2026">
        <v>9.5364007215505697E-2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156</v>
      </c>
      <c r="AF2026">
        <v>58</v>
      </c>
      <c r="AG2026">
        <v>70</v>
      </c>
      <c r="AH2026">
        <v>0</v>
      </c>
      <c r="AI2026">
        <v>2.3E-2</v>
      </c>
      <c r="AK2026" t="s">
        <v>740</v>
      </c>
      <c r="AM2026">
        <v>200000</v>
      </c>
      <c r="AN2026" t="s">
        <v>97</v>
      </c>
      <c r="AO2026">
        <v>1</v>
      </c>
      <c r="AP2026">
        <v>0</v>
      </c>
      <c r="AQ2026">
        <v>16666.666666666668</v>
      </c>
      <c r="AR2026" t="s">
        <v>6680</v>
      </c>
      <c r="AS2026" t="s">
        <v>75</v>
      </c>
      <c r="AV2026">
        <v>0</v>
      </c>
      <c r="AW2026">
        <v>0</v>
      </c>
      <c r="AX2026" t="s">
        <v>76</v>
      </c>
      <c r="AY2026" t="s">
        <v>176</v>
      </c>
      <c r="AZ2026">
        <v>0</v>
      </c>
      <c r="BA2026" t="s">
        <v>176</v>
      </c>
      <c r="BB2026">
        <v>0</v>
      </c>
    </row>
    <row r="2027" spans="1:56" x14ac:dyDescent="0.15">
      <c r="A2027" s="4" t="str">
        <f>HYPERLINK("https://ibp.a2mac1.com/costing(costing:projects/details/9760/part/8416348)","Opening Control")</f>
        <v>Opening Control</v>
      </c>
      <c r="B2027">
        <v>8416348</v>
      </c>
      <c r="C2027">
        <v>8416017</v>
      </c>
      <c r="E2027">
        <v>3.1301087999999998E-2</v>
      </c>
      <c r="F2027">
        <v>0</v>
      </c>
      <c r="G2027">
        <v>0</v>
      </c>
      <c r="H2027">
        <v>1.5878045642105264E-4</v>
      </c>
      <c r="I2027" t="s">
        <v>176</v>
      </c>
      <c r="J2027">
        <v>1.0982837894736842E-3</v>
      </c>
      <c r="K2027">
        <v>3.2558152245894735E-2</v>
      </c>
      <c r="L2027">
        <v>3.0171767124431421E-4</v>
      </c>
      <c r="M2027">
        <v>1.8103060274658853E-3</v>
      </c>
      <c r="N2027">
        <v>3.4368458273360623E-2</v>
      </c>
      <c r="O2027" t="s">
        <v>177</v>
      </c>
      <c r="P2027">
        <v>1.953489134753684E-3</v>
      </c>
      <c r="Q2027" t="s">
        <v>177</v>
      </c>
      <c r="R2027">
        <v>1.0861836164795312E-4</v>
      </c>
      <c r="S2027" t="s">
        <v>178</v>
      </c>
      <c r="T2027">
        <v>4.1242149928032747E-3</v>
      </c>
      <c r="U2027" t="s">
        <v>90</v>
      </c>
      <c r="V2027">
        <v>0</v>
      </c>
      <c r="W2027" t="s">
        <v>90</v>
      </c>
      <c r="X2027">
        <v>0</v>
      </c>
      <c r="Y2027">
        <v>4.0554780762565537E-2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39</v>
      </c>
      <c r="AF2027">
        <v>29</v>
      </c>
      <c r="AG2027">
        <v>62</v>
      </c>
      <c r="AI2027">
        <v>1.2999999999999999E-2</v>
      </c>
      <c r="AK2027" t="s">
        <v>5305</v>
      </c>
      <c r="AL2027" t="s">
        <v>2495</v>
      </c>
      <c r="AM2027">
        <v>200000</v>
      </c>
      <c r="AN2027" t="s">
        <v>97</v>
      </c>
      <c r="AO2027">
        <v>1</v>
      </c>
      <c r="AP2027">
        <v>0</v>
      </c>
      <c r="AQ2027">
        <v>16666.666666666668</v>
      </c>
      <c r="AR2027" t="s">
        <v>6686</v>
      </c>
      <c r="AS2027" t="s">
        <v>75</v>
      </c>
      <c r="AX2027" t="s">
        <v>76</v>
      </c>
      <c r="AY2027" t="s">
        <v>176</v>
      </c>
      <c r="AZ2027">
        <v>0</v>
      </c>
      <c r="BA2027" t="s">
        <v>176</v>
      </c>
      <c r="BB2027">
        <v>0</v>
      </c>
    </row>
    <row r="2028" spans="1:56" x14ac:dyDescent="0.15">
      <c r="A2028" s="4" t="str">
        <f>HYPERLINK("https://ibp.a2mac1.com/costing(costing:projects/details/9760/part/8416349)","Opening Control Support")</f>
        <v>Opening Control Support</v>
      </c>
      <c r="B2028">
        <v>8416349</v>
      </c>
      <c r="C2028">
        <v>8416017</v>
      </c>
      <c r="E2028">
        <v>0.14999578173195877</v>
      </c>
      <c r="F2028">
        <v>0</v>
      </c>
      <c r="G2028">
        <v>0</v>
      </c>
      <c r="H2028">
        <v>1.5622995793814433E-4</v>
      </c>
      <c r="I2028" t="s">
        <v>176</v>
      </c>
      <c r="J2028">
        <v>5.257738969072165E-3</v>
      </c>
      <c r="K2028">
        <v>0.15540975065896906</v>
      </c>
      <c r="L2028">
        <v>5.5561688591553356E-3</v>
      </c>
      <c r="M2028">
        <v>3.333701315493201E-2</v>
      </c>
      <c r="N2028">
        <v>0.1887467638139011</v>
      </c>
      <c r="O2028" t="s">
        <v>177</v>
      </c>
      <c r="P2028">
        <v>9.3245850395381451E-3</v>
      </c>
      <c r="Q2028" t="s">
        <v>177</v>
      </c>
      <c r="R2028">
        <v>2.0002207892959208E-3</v>
      </c>
      <c r="S2028" t="s">
        <v>178</v>
      </c>
      <c r="T2028">
        <v>2.2649611657668132E-2</v>
      </c>
      <c r="U2028" t="s">
        <v>90</v>
      </c>
      <c r="V2028">
        <v>0</v>
      </c>
      <c r="W2028" t="s">
        <v>90</v>
      </c>
      <c r="X2028">
        <v>0</v>
      </c>
      <c r="Y2028">
        <v>0.22272118130040328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72</v>
      </c>
      <c r="AF2028">
        <v>83</v>
      </c>
      <c r="AG2028">
        <v>125</v>
      </c>
      <c r="AI2028">
        <v>6.8000000000000005E-2</v>
      </c>
      <c r="AK2028" t="s">
        <v>5305</v>
      </c>
      <c r="AL2028" t="s">
        <v>446</v>
      </c>
      <c r="AM2028">
        <v>200000</v>
      </c>
      <c r="AN2028" t="s">
        <v>97</v>
      </c>
      <c r="AO2028">
        <v>1</v>
      </c>
      <c r="AP2028">
        <v>0</v>
      </c>
      <c r="AQ2028">
        <v>16666.666666666668</v>
      </c>
      <c r="AR2028" t="s">
        <v>6689</v>
      </c>
      <c r="AS2028" t="s">
        <v>75</v>
      </c>
      <c r="AX2028" t="s">
        <v>76</v>
      </c>
      <c r="AY2028" t="s">
        <v>176</v>
      </c>
      <c r="AZ2028">
        <v>0</v>
      </c>
      <c r="BA2028" t="s">
        <v>176</v>
      </c>
      <c r="BB2028">
        <v>0</v>
      </c>
    </row>
    <row r="2029" spans="1:56" x14ac:dyDescent="0.15">
      <c r="A2029" s="4" t="str">
        <f>HYPERLINK("https://ibp.a2mac1.com/costing(costing:projects/details/9760/part/8416350)","Switch Opening")</f>
        <v>Switch Opening</v>
      </c>
      <c r="B2029">
        <v>8416350</v>
      </c>
      <c r="C2029">
        <v>8416017</v>
      </c>
      <c r="E2029">
        <v>1.05</v>
      </c>
      <c r="F2029">
        <v>0</v>
      </c>
      <c r="G2029">
        <v>0</v>
      </c>
      <c r="H2029">
        <v>0</v>
      </c>
      <c r="I2029" t="s">
        <v>71</v>
      </c>
      <c r="J2029">
        <v>0</v>
      </c>
      <c r="K2029">
        <v>1.05</v>
      </c>
      <c r="L2029">
        <v>0</v>
      </c>
      <c r="M2029">
        <v>0</v>
      </c>
      <c r="N2029">
        <v>1.05</v>
      </c>
      <c r="O2029" t="s">
        <v>71</v>
      </c>
      <c r="P2029">
        <v>0</v>
      </c>
      <c r="Q2029" t="s">
        <v>71</v>
      </c>
      <c r="R2029">
        <v>0</v>
      </c>
      <c r="S2029" t="s">
        <v>71</v>
      </c>
      <c r="T2029">
        <v>0</v>
      </c>
      <c r="U2029" t="s">
        <v>71</v>
      </c>
      <c r="V2029">
        <v>0</v>
      </c>
      <c r="W2029" t="s">
        <v>71</v>
      </c>
      <c r="X2029">
        <v>0</v>
      </c>
      <c r="Y2029">
        <v>1.05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38</v>
      </c>
      <c r="AF2029">
        <v>47</v>
      </c>
      <c r="AG2029">
        <v>26</v>
      </c>
      <c r="AI2029">
        <v>2.1999999999999999E-2</v>
      </c>
      <c r="AK2029" t="s">
        <v>5305</v>
      </c>
      <c r="AL2029" t="s">
        <v>1433</v>
      </c>
      <c r="AM2029">
        <v>200000</v>
      </c>
      <c r="AN2029" t="s">
        <v>97</v>
      </c>
      <c r="AO2029">
        <v>1</v>
      </c>
      <c r="AP2029">
        <v>0</v>
      </c>
      <c r="AQ2029">
        <v>16666.666666666668</v>
      </c>
      <c r="AR2029" t="s">
        <v>6690</v>
      </c>
      <c r="AS2029" t="s">
        <v>75</v>
      </c>
      <c r="AX2029" t="s">
        <v>76</v>
      </c>
      <c r="AY2029" t="s">
        <v>71</v>
      </c>
      <c r="AZ2029">
        <v>0</v>
      </c>
      <c r="BA2029" t="s">
        <v>71</v>
      </c>
      <c r="BB2029">
        <v>0</v>
      </c>
      <c r="BD2029">
        <v>1.05</v>
      </c>
    </row>
    <row r="2030" spans="1:56" x14ac:dyDescent="0.15">
      <c r="A2030" s="4" t="str">
        <f>HYPERLINK("https://ibp.a2mac1.com/costing(costing:projects/details/9760/part/8416351)","Spring")</f>
        <v>Spring</v>
      </c>
      <c r="B2030">
        <v>8416351</v>
      </c>
      <c r="C2030">
        <v>8416017</v>
      </c>
      <c r="E2030">
        <v>1.2225999999999999E-3</v>
      </c>
      <c r="F2030">
        <v>0</v>
      </c>
      <c r="G2030">
        <v>0</v>
      </c>
      <c r="H2030">
        <v>2.518556E-6</v>
      </c>
      <c r="I2030" t="s">
        <v>176</v>
      </c>
      <c r="J2030">
        <v>4.2790999999999997E-5</v>
      </c>
      <c r="K2030">
        <v>1.267909556E-3</v>
      </c>
      <c r="L2030">
        <v>4.1124777371057047E-2</v>
      </c>
      <c r="M2030">
        <v>0.24674866422634228</v>
      </c>
      <c r="N2030">
        <v>0.24801657378234229</v>
      </c>
      <c r="O2030" t="s">
        <v>177</v>
      </c>
      <c r="P2030">
        <v>7.6074573359999998E-5</v>
      </c>
      <c r="Q2030" t="s">
        <v>177</v>
      </c>
      <c r="R2030">
        <v>1.4804919853580538E-2</v>
      </c>
      <c r="S2030" t="s">
        <v>178</v>
      </c>
      <c r="T2030">
        <v>2.9761988853881073E-2</v>
      </c>
      <c r="U2030" t="s">
        <v>90</v>
      </c>
      <c r="V2030">
        <v>0</v>
      </c>
      <c r="W2030" t="s">
        <v>90</v>
      </c>
      <c r="X2030">
        <v>0</v>
      </c>
      <c r="Y2030">
        <v>0.29265955706316388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8</v>
      </c>
      <c r="AF2030">
        <v>29</v>
      </c>
      <c r="AG2030">
        <v>16</v>
      </c>
      <c r="AI2030">
        <v>2E-3</v>
      </c>
      <c r="AK2030" t="s">
        <v>5305</v>
      </c>
      <c r="AL2030" t="s">
        <v>96</v>
      </c>
      <c r="AM2030">
        <v>200000</v>
      </c>
      <c r="AN2030" t="s">
        <v>97</v>
      </c>
      <c r="AO2030">
        <v>1</v>
      </c>
      <c r="AP2030">
        <v>0</v>
      </c>
      <c r="AQ2030">
        <v>16666.666666666668</v>
      </c>
      <c r="AR2030" t="s">
        <v>6694</v>
      </c>
      <c r="AS2030" t="s">
        <v>75</v>
      </c>
      <c r="AX2030" t="s">
        <v>76</v>
      </c>
      <c r="AY2030" t="s">
        <v>176</v>
      </c>
      <c r="AZ2030">
        <v>0</v>
      </c>
      <c r="BA2030" t="s">
        <v>176</v>
      </c>
      <c r="BB2030">
        <v>0</v>
      </c>
    </row>
    <row r="2031" spans="1:56" x14ac:dyDescent="0.15">
      <c r="A2031" s="4" t="str">
        <f>HYPERLINK("https://ibp.a2mac1.com/costing(costing:projects/details/9760/part/8416352)","Stopper")</f>
        <v>Stopper</v>
      </c>
      <c r="B2031">
        <v>8416352</v>
      </c>
      <c r="C2031">
        <v>8416017</v>
      </c>
      <c r="E2031">
        <v>0.1</v>
      </c>
      <c r="F2031">
        <v>0</v>
      </c>
      <c r="G2031">
        <v>0</v>
      </c>
      <c r="H2031">
        <v>0</v>
      </c>
      <c r="I2031" t="s">
        <v>71</v>
      </c>
      <c r="J2031">
        <v>0</v>
      </c>
      <c r="K2031">
        <v>0.1</v>
      </c>
      <c r="L2031">
        <v>0</v>
      </c>
      <c r="M2031">
        <v>0</v>
      </c>
      <c r="N2031">
        <v>0.1</v>
      </c>
      <c r="O2031" t="s">
        <v>71</v>
      </c>
      <c r="P2031">
        <v>0</v>
      </c>
      <c r="Q2031" t="s">
        <v>71</v>
      </c>
      <c r="R2031">
        <v>0</v>
      </c>
      <c r="S2031" t="s">
        <v>71</v>
      </c>
      <c r="T2031">
        <v>0</v>
      </c>
      <c r="U2031" t="s">
        <v>71</v>
      </c>
      <c r="V2031">
        <v>0</v>
      </c>
      <c r="W2031" t="s">
        <v>71</v>
      </c>
      <c r="X2031">
        <v>0</v>
      </c>
      <c r="Y2031">
        <v>0.1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6</v>
      </c>
      <c r="AF2031">
        <v>7</v>
      </c>
      <c r="AG2031">
        <v>7</v>
      </c>
      <c r="AI2031">
        <v>1E-3</v>
      </c>
      <c r="AK2031" t="s">
        <v>5305</v>
      </c>
      <c r="AL2031" t="s">
        <v>4527</v>
      </c>
      <c r="AM2031">
        <v>200000</v>
      </c>
      <c r="AN2031" t="s">
        <v>97</v>
      </c>
      <c r="AO2031">
        <v>1</v>
      </c>
      <c r="AP2031">
        <v>0</v>
      </c>
      <c r="AQ2031">
        <v>16666.666666666668</v>
      </c>
      <c r="AR2031" t="s">
        <v>6695</v>
      </c>
      <c r="AS2031" t="s">
        <v>75</v>
      </c>
      <c r="AX2031" t="s">
        <v>76</v>
      </c>
      <c r="AY2031" t="s">
        <v>71</v>
      </c>
      <c r="AZ2031">
        <v>0</v>
      </c>
      <c r="BA2031" t="s">
        <v>71</v>
      </c>
      <c r="BB2031">
        <v>0</v>
      </c>
      <c r="BD2031">
        <v>0.1</v>
      </c>
    </row>
    <row r="2032" spans="1:56" x14ac:dyDescent="0.15">
      <c r="A2032" s="4" t="str">
        <f>HYPERLINK("https://ibp.a2mac1.com/costing(costing:projects/details/9760/part/8416353)","Opening Control")</f>
        <v>Opening Control</v>
      </c>
      <c r="B2032">
        <v>8416353</v>
      </c>
      <c r="C2032">
        <v>8416018</v>
      </c>
      <c r="E2032">
        <v>0.14999578173195877</v>
      </c>
      <c r="F2032">
        <v>0</v>
      </c>
      <c r="G2032">
        <v>0</v>
      </c>
      <c r="H2032">
        <v>1.5622995793814433E-4</v>
      </c>
      <c r="I2032" t="s">
        <v>176</v>
      </c>
      <c r="J2032">
        <v>5.257738969072165E-3</v>
      </c>
      <c r="K2032">
        <v>0.15540975065896906</v>
      </c>
      <c r="L2032">
        <v>4.4634349952700726E-3</v>
      </c>
      <c r="M2032">
        <v>2.6780609971620437E-2</v>
      </c>
      <c r="N2032">
        <v>0.18219036063058952</v>
      </c>
      <c r="O2032" t="s">
        <v>177</v>
      </c>
      <c r="P2032">
        <v>9.3245850395381451E-3</v>
      </c>
      <c r="Q2032" t="s">
        <v>177</v>
      </c>
      <c r="R2032">
        <v>1.6068365982972262E-3</v>
      </c>
      <c r="S2032" t="s">
        <v>178</v>
      </c>
      <c r="T2032">
        <v>2.186284327567074E-2</v>
      </c>
      <c r="U2032" t="s">
        <v>90</v>
      </c>
      <c r="V2032">
        <v>0</v>
      </c>
      <c r="W2032" t="s">
        <v>90</v>
      </c>
      <c r="X2032">
        <v>0</v>
      </c>
      <c r="Y2032">
        <v>0.21498462554409561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58</v>
      </c>
      <c r="AF2032">
        <v>206</v>
      </c>
      <c r="AG2032">
        <v>56</v>
      </c>
      <c r="AI2032">
        <v>6.6000000000000003E-2</v>
      </c>
      <c r="AK2032" t="s">
        <v>5305</v>
      </c>
      <c r="AL2032" t="s">
        <v>5457</v>
      </c>
      <c r="AM2032">
        <v>200000</v>
      </c>
      <c r="AN2032" t="s">
        <v>97</v>
      </c>
      <c r="AO2032">
        <v>1</v>
      </c>
      <c r="AP2032">
        <v>0</v>
      </c>
      <c r="AQ2032">
        <v>16666.666666666668</v>
      </c>
      <c r="AR2032" t="s">
        <v>6700</v>
      </c>
      <c r="AS2032" t="s">
        <v>75</v>
      </c>
      <c r="AX2032" t="s">
        <v>76</v>
      </c>
      <c r="AY2032" t="s">
        <v>176</v>
      </c>
      <c r="AZ2032">
        <v>0</v>
      </c>
      <c r="BA2032" t="s">
        <v>176</v>
      </c>
      <c r="BB2032">
        <v>0</v>
      </c>
    </row>
    <row r="2033" spans="1:56" x14ac:dyDescent="0.15">
      <c r="A2033" s="4" t="str">
        <f>HYPERLINK("https://ibp.a2mac1.com/costing(costing:projects/details/9760/part/8416354)","Opening Control Support")</f>
        <v>Opening Control Support</v>
      </c>
      <c r="B2033">
        <v>8416354</v>
      </c>
      <c r="C2033">
        <v>8416018</v>
      </c>
      <c r="E2033">
        <v>0.61762968948453612</v>
      </c>
      <c r="F2033">
        <v>0</v>
      </c>
      <c r="G2033">
        <v>0</v>
      </c>
      <c r="H2033">
        <v>6.4329982680412371E-4</v>
      </c>
      <c r="I2033" t="s">
        <v>176</v>
      </c>
      <c r="J2033">
        <v>2.1649513402061855E-2</v>
      </c>
      <c r="K2033">
        <v>0.63992250271340201</v>
      </c>
      <c r="L2033">
        <v>2.9674841040629066E-2</v>
      </c>
      <c r="M2033">
        <v>0.17804904624377441</v>
      </c>
      <c r="N2033">
        <v>0.8179715489571765</v>
      </c>
      <c r="O2033" t="s">
        <v>177</v>
      </c>
      <c r="P2033">
        <v>3.8395350162804126E-2</v>
      </c>
      <c r="Q2033" t="s">
        <v>177</v>
      </c>
      <c r="R2033">
        <v>1.0682942774626464E-2</v>
      </c>
      <c r="S2033" t="s">
        <v>178</v>
      </c>
      <c r="T2033">
        <v>9.8156585874861174E-2</v>
      </c>
      <c r="U2033" t="s">
        <v>90</v>
      </c>
      <c r="V2033">
        <v>0</v>
      </c>
      <c r="W2033" t="s">
        <v>90</v>
      </c>
      <c r="X2033">
        <v>0</v>
      </c>
      <c r="Y2033">
        <v>0.96520642776946819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63</v>
      </c>
      <c r="AF2033">
        <v>285</v>
      </c>
      <c r="AG2033">
        <v>168</v>
      </c>
      <c r="AI2033">
        <v>0.28000000000000003</v>
      </c>
      <c r="AK2033" t="s">
        <v>5305</v>
      </c>
      <c r="AL2033" t="s">
        <v>5457</v>
      </c>
      <c r="AM2033">
        <v>200000</v>
      </c>
      <c r="AN2033" t="s">
        <v>97</v>
      </c>
      <c r="AO2033">
        <v>1</v>
      </c>
      <c r="AP2033">
        <v>0</v>
      </c>
      <c r="AQ2033">
        <v>16666.666666666668</v>
      </c>
      <c r="AR2033" t="s">
        <v>6703</v>
      </c>
      <c r="AS2033" t="s">
        <v>75</v>
      </c>
      <c r="AX2033" t="s">
        <v>76</v>
      </c>
      <c r="AY2033" t="s">
        <v>176</v>
      </c>
      <c r="AZ2033">
        <v>0</v>
      </c>
      <c r="BA2033" t="s">
        <v>176</v>
      </c>
      <c r="BB2033">
        <v>0</v>
      </c>
    </row>
    <row r="2034" spans="1:56" x14ac:dyDescent="0.15">
      <c r="A2034" s="4" t="str">
        <f>HYPERLINK("https://ibp.a2mac1.com/costing(costing:projects/details/9760/part/8416355)","Bezel")</f>
        <v>Bezel</v>
      </c>
      <c r="B2034">
        <v>8416355</v>
      </c>
      <c r="C2034">
        <v>8416018</v>
      </c>
      <c r="E2034">
        <v>0.20781748451988771</v>
      </c>
      <c r="F2034">
        <v>0</v>
      </c>
      <c r="G2034">
        <v>0</v>
      </c>
      <c r="H2034">
        <v>2.1813174166292757E-3</v>
      </c>
      <c r="I2034" t="s">
        <v>176</v>
      </c>
      <c r="J2034">
        <v>7.2771563712115336E-3</v>
      </c>
      <c r="K2034">
        <v>0.21727595830772853</v>
      </c>
      <c r="L2034">
        <v>0.10803578061978145</v>
      </c>
      <c r="M2034">
        <v>0.64821468371868862</v>
      </c>
      <c r="N2034">
        <v>0.86549064202641712</v>
      </c>
      <c r="O2034" t="s">
        <v>177</v>
      </c>
      <c r="P2034">
        <v>1.3036557498463712E-2</v>
      </c>
      <c r="Q2034" t="s">
        <v>177</v>
      </c>
      <c r="R2034">
        <v>3.8892881023121322E-2</v>
      </c>
      <c r="S2034" t="s">
        <v>178</v>
      </c>
      <c r="T2034">
        <v>0.10385887704317007</v>
      </c>
      <c r="U2034" t="s">
        <v>90</v>
      </c>
      <c r="V2034">
        <v>0</v>
      </c>
      <c r="W2034" t="s">
        <v>90</v>
      </c>
      <c r="X2034">
        <v>0</v>
      </c>
      <c r="Y2034">
        <v>1.0212789575911723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42</v>
      </c>
      <c r="AF2034">
        <v>215</v>
      </c>
      <c r="AG2034">
        <v>27</v>
      </c>
      <c r="AI2034">
        <v>2.5000000000000001E-2</v>
      </c>
      <c r="AK2034" t="s">
        <v>5305</v>
      </c>
      <c r="AL2034" t="s">
        <v>5471</v>
      </c>
      <c r="AM2034">
        <v>200000</v>
      </c>
      <c r="AN2034" t="s">
        <v>97</v>
      </c>
      <c r="AO2034">
        <v>1</v>
      </c>
      <c r="AP2034">
        <v>0</v>
      </c>
      <c r="AQ2034">
        <v>16666.666666666668</v>
      </c>
      <c r="AR2034" t="s">
        <v>6707</v>
      </c>
      <c r="AS2034" t="s">
        <v>75</v>
      </c>
      <c r="AX2034" t="s">
        <v>76</v>
      </c>
      <c r="AY2034" t="s">
        <v>176</v>
      </c>
      <c r="AZ2034">
        <v>0</v>
      </c>
      <c r="BA2034" t="s">
        <v>176</v>
      </c>
      <c r="BB2034">
        <v>0</v>
      </c>
    </row>
    <row r="2035" spans="1:56" x14ac:dyDescent="0.15">
      <c r="A2035" s="4" t="str">
        <f>HYPERLINK("https://ibp.a2mac1.com/costing(costing:projects/details/9760/part/8416356)","2nd Bezel")</f>
        <v>2nd Bezel</v>
      </c>
      <c r="B2035">
        <v>8416356</v>
      </c>
      <c r="C2035">
        <v>8416018</v>
      </c>
      <c r="E2035">
        <v>0.26417702709720731</v>
      </c>
      <c r="F2035">
        <v>0</v>
      </c>
      <c r="G2035">
        <v>0</v>
      </c>
      <c r="H2035">
        <v>3.3200038922234156E-3</v>
      </c>
      <c r="I2035" t="s">
        <v>176</v>
      </c>
      <c r="J2035">
        <v>9.2570530451127828E-3</v>
      </c>
      <c r="K2035">
        <v>0.27675408403454349</v>
      </c>
      <c r="L2035">
        <v>0.10190887658593149</v>
      </c>
      <c r="M2035">
        <v>0.61145325951558904</v>
      </c>
      <c r="N2035">
        <v>0.88820734355013253</v>
      </c>
      <c r="O2035" t="s">
        <v>177</v>
      </c>
      <c r="P2035">
        <v>1.660524504207261E-2</v>
      </c>
      <c r="Q2035" t="s">
        <v>177</v>
      </c>
      <c r="R2035">
        <v>3.668719557093534E-2</v>
      </c>
      <c r="S2035" t="s">
        <v>178</v>
      </c>
      <c r="T2035">
        <v>0.10658488122601589</v>
      </c>
      <c r="U2035" t="s">
        <v>90</v>
      </c>
      <c r="V2035">
        <v>0</v>
      </c>
      <c r="W2035" t="s">
        <v>90</v>
      </c>
      <c r="X2035">
        <v>0</v>
      </c>
      <c r="Y2035">
        <v>1.0480846653891562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62</v>
      </c>
      <c r="AF2035">
        <v>225</v>
      </c>
      <c r="AG2035">
        <v>33</v>
      </c>
      <c r="AI2035">
        <v>4.4999999999999998E-2</v>
      </c>
      <c r="AK2035" t="s">
        <v>5305</v>
      </c>
      <c r="AL2035" t="s">
        <v>5471</v>
      </c>
      <c r="AM2035">
        <v>200000</v>
      </c>
      <c r="AN2035" t="s">
        <v>97</v>
      </c>
      <c r="AO2035">
        <v>1</v>
      </c>
      <c r="AP2035">
        <v>0</v>
      </c>
      <c r="AQ2035">
        <v>16666.666666666668</v>
      </c>
      <c r="AR2035" t="s">
        <v>6711</v>
      </c>
      <c r="AS2035" t="s">
        <v>75</v>
      </c>
      <c r="AX2035" t="s">
        <v>76</v>
      </c>
      <c r="AY2035" t="s">
        <v>176</v>
      </c>
      <c r="AZ2035">
        <v>0</v>
      </c>
      <c r="BA2035" t="s">
        <v>176</v>
      </c>
      <c r="BB2035">
        <v>0</v>
      </c>
    </row>
    <row r="2036" spans="1:56" x14ac:dyDescent="0.15">
      <c r="A2036" s="4" t="str">
        <f>HYPERLINK("https://ibp.a2mac1.com/costing(costing:projects/details/9760/part/8416357)","Welcome Light")</f>
        <v>Welcome Light</v>
      </c>
      <c r="B2036">
        <v>8416357</v>
      </c>
      <c r="C2036">
        <v>8416018</v>
      </c>
      <c r="D2036" t="s">
        <v>5199</v>
      </c>
      <c r="E2036">
        <v>1.25</v>
      </c>
      <c r="F2036">
        <v>0</v>
      </c>
      <c r="G2036">
        <v>0</v>
      </c>
      <c r="H2036">
        <v>0</v>
      </c>
      <c r="I2036" t="s">
        <v>71</v>
      </c>
      <c r="J2036">
        <v>0</v>
      </c>
      <c r="K2036">
        <v>1.25</v>
      </c>
      <c r="L2036">
        <v>0</v>
      </c>
      <c r="M2036">
        <v>0</v>
      </c>
      <c r="N2036">
        <v>1.25</v>
      </c>
      <c r="O2036" t="s">
        <v>71</v>
      </c>
      <c r="P2036">
        <v>0</v>
      </c>
      <c r="Q2036" t="s">
        <v>71</v>
      </c>
      <c r="R2036">
        <v>0</v>
      </c>
      <c r="S2036" t="s">
        <v>71</v>
      </c>
      <c r="T2036">
        <v>0</v>
      </c>
      <c r="U2036" t="s">
        <v>71</v>
      </c>
      <c r="V2036">
        <v>0</v>
      </c>
      <c r="W2036" t="s">
        <v>71</v>
      </c>
      <c r="X2036">
        <v>0</v>
      </c>
      <c r="Y2036">
        <v>1.25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13</v>
      </c>
      <c r="AF2036">
        <v>76</v>
      </c>
      <c r="AG2036">
        <v>18</v>
      </c>
      <c r="AI2036">
        <v>4.8000000000000001E-2</v>
      </c>
      <c r="AK2036" t="s">
        <v>288</v>
      </c>
      <c r="AL2036" t="s">
        <v>827</v>
      </c>
      <c r="AM2036">
        <v>200000</v>
      </c>
      <c r="AN2036" t="s">
        <v>97</v>
      </c>
      <c r="AO2036">
        <v>1</v>
      </c>
      <c r="AP2036">
        <v>0</v>
      </c>
      <c r="AQ2036">
        <v>16666.666666666668</v>
      </c>
      <c r="AR2036" t="s">
        <v>6712</v>
      </c>
      <c r="AS2036" t="s">
        <v>75</v>
      </c>
      <c r="AX2036" t="s">
        <v>76</v>
      </c>
      <c r="AY2036" t="s">
        <v>71</v>
      </c>
      <c r="AZ2036">
        <v>0</v>
      </c>
      <c r="BA2036" t="s">
        <v>71</v>
      </c>
      <c r="BB2036">
        <v>0</v>
      </c>
      <c r="BD2036">
        <v>1.25</v>
      </c>
    </row>
    <row r="2037" spans="1:56" x14ac:dyDescent="0.15">
      <c r="A2037" s="4" t="str">
        <f>HYPERLINK("https://ibp.a2mac1.com/costing(costing:projects/details/9760/part/8416358)","Unlocking Contactor")</f>
        <v>Unlocking Contactor</v>
      </c>
      <c r="B2037">
        <v>8416358</v>
      </c>
      <c r="C2037">
        <v>8416018</v>
      </c>
      <c r="E2037">
        <v>0.61</v>
      </c>
      <c r="F2037">
        <v>0</v>
      </c>
      <c r="G2037">
        <v>0</v>
      </c>
      <c r="H2037">
        <v>0</v>
      </c>
      <c r="I2037" t="s">
        <v>71</v>
      </c>
      <c r="J2037">
        <v>0</v>
      </c>
      <c r="K2037">
        <v>0.61</v>
      </c>
      <c r="L2037">
        <v>0</v>
      </c>
      <c r="M2037">
        <v>0</v>
      </c>
      <c r="N2037">
        <v>0.61</v>
      </c>
      <c r="O2037" t="s">
        <v>71</v>
      </c>
      <c r="P2037">
        <v>0</v>
      </c>
      <c r="Q2037" t="s">
        <v>71</v>
      </c>
      <c r="R2037">
        <v>0</v>
      </c>
      <c r="S2037" t="s">
        <v>71</v>
      </c>
      <c r="T2037">
        <v>0</v>
      </c>
      <c r="U2037" t="s">
        <v>71</v>
      </c>
      <c r="V2037">
        <v>0</v>
      </c>
      <c r="W2037" t="s">
        <v>71</v>
      </c>
      <c r="X2037">
        <v>0</v>
      </c>
      <c r="Y2037">
        <v>0.61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9</v>
      </c>
      <c r="AF2037">
        <v>125</v>
      </c>
      <c r="AG2037">
        <v>51</v>
      </c>
      <c r="AI2037">
        <v>1E-3</v>
      </c>
      <c r="AK2037" t="s">
        <v>5305</v>
      </c>
      <c r="AL2037" t="s">
        <v>4020</v>
      </c>
      <c r="AM2037">
        <v>200000</v>
      </c>
      <c r="AN2037" t="s">
        <v>97</v>
      </c>
      <c r="AO2037">
        <v>1</v>
      </c>
      <c r="AP2037">
        <v>0</v>
      </c>
      <c r="AQ2037">
        <v>16666.666666666668</v>
      </c>
      <c r="AR2037" t="s">
        <v>6713</v>
      </c>
      <c r="AS2037" t="s">
        <v>75</v>
      </c>
      <c r="AX2037" t="s">
        <v>76</v>
      </c>
      <c r="AY2037" t="s">
        <v>71</v>
      </c>
      <c r="AZ2037">
        <v>0</v>
      </c>
      <c r="BA2037" t="s">
        <v>71</v>
      </c>
      <c r="BB2037">
        <v>0</v>
      </c>
      <c r="BD2037">
        <v>0.61</v>
      </c>
    </row>
    <row r="2038" spans="1:56" x14ac:dyDescent="0.15">
      <c r="A2038" s="4" t="str">
        <f>HYPERLINK("https://ibp.a2mac1.com/costing(costing:projects/details/9760/part/8416359)","Mechanism")</f>
        <v>Mechanism</v>
      </c>
      <c r="B2038">
        <v>8416359</v>
      </c>
      <c r="C2038">
        <v>8416018</v>
      </c>
      <c r="E2038">
        <v>5.6251825402061854E-2</v>
      </c>
      <c r="F2038">
        <v>0</v>
      </c>
      <c r="G2038">
        <v>0</v>
      </c>
      <c r="H2038">
        <v>5.8589783092783507E-5</v>
      </c>
      <c r="I2038" t="s">
        <v>176</v>
      </c>
      <c r="J2038">
        <v>1.9717715463917528E-3</v>
      </c>
      <c r="K2038">
        <v>5.8282186731546393E-2</v>
      </c>
      <c r="L2038">
        <v>8.4544306208829603E-3</v>
      </c>
      <c r="M2038">
        <v>5.0726583725297758E-2</v>
      </c>
      <c r="N2038">
        <v>0.10900877045684415</v>
      </c>
      <c r="O2038" t="s">
        <v>177</v>
      </c>
      <c r="P2038">
        <v>3.4969312038927833E-3</v>
      </c>
      <c r="Q2038" t="s">
        <v>177</v>
      </c>
      <c r="R2038">
        <v>3.0435950235178652E-3</v>
      </c>
      <c r="S2038" t="s">
        <v>178</v>
      </c>
      <c r="T2038">
        <v>1.3081052454821298E-2</v>
      </c>
      <c r="U2038" t="s">
        <v>90</v>
      </c>
      <c r="V2038">
        <v>0</v>
      </c>
      <c r="W2038" t="s">
        <v>90</v>
      </c>
      <c r="X2038">
        <v>0</v>
      </c>
      <c r="Y2038">
        <v>0.12863034913907609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13</v>
      </c>
      <c r="AF2038">
        <v>111</v>
      </c>
      <c r="AG2038">
        <v>45</v>
      </c>
      <c r="AI2038">
        <v>2.1999999999999999E-2</v>
      </c>
      <c r="AK2038" t="s">
        <v>5305</v>
      </c>
      <c r="AL2038" t="s">
        <v>2086</v>
      </c>
      <c r="AM2038">
        <v>200000</v>
      </c>
      <c r="AN2038" t="s">
        <v>97</v>
      </c>
      <c r="AO2038">
        <v>1</v>
      </c>
      <c r="AP2038">
        <v>0</v>
      </c>
      <c r="AQ2038">
        <v>16666.666666666668</v>
      </c>
      <c r="AR2038" t="s">
        <v>6716</v>
      </c>
      <c r="AS2038" t="s">
        <v>75</v>
      </c>
      <c r="AX2038" t="s">
        <v>76</v>
      </c>
      <c r="AY2038" t="s">
        <v>176</v>
      </c>
      <c r="AZ2038">
        <v>0</v>
      </c>
      <c r="BA2038" t="s">
        <v>176</v>
      </c>
      <c r="BB2038">
        <v>0</v>
      </c>
    </row>
    <row r="2039" spans="1:56" x14ac:dyDescent="0.15">
      <c r="A2039" s="4" t="str">
        <f>HYPERLINK("https://ibp.a2mac1.com/costing(costing:projects/details/9760/part/8416013)","Door Latch")</f>
        <v>Door Latch</v>
      </c>
      <c r="B2039">
        <v>8416013</v>
      </c>
      <c r="C2039">
        <v>8415679</v>
      </c>
      <c r="D2039" t="s">
        <v>5199</v>
      </c>
      <c r="E2039">
        <v>9.5</v>
      </c>
      <c r="F2039">
        <v>0</v>
      </c>
      <c r="G2039">
        <v>0</v>
      </c>
      <c r="H2039">
        <v>0</v>
      </c>
      <c r="I2039" t="s">
        <v>71</v>
      </c>
      <c r="J2039">
        <v>0</v>
      </c>
      <c r="K2039">
        <v>9.5</v>
      </c>
      <c r="L2039">
        <v>0</v>
      </c>
      <c r="M2039">
        <v>0</v>
      </c>
      <c r="N2039">
        <v>9.5</v>
      </c>
      <c r="O2039" t="s">
        <v>71</v>
      </c>
      <c r="P2039">
        <v>0</v>
      </c>
      <c r="Q2039" t="s">
        <v>71</v>
      </c>
      <c r="R2039">
        <v>0</v>
      </c>
      <c r="S2039" t="s">
        <v>71</v>
      </c>
      <c r="T2039">
        <v>0</v>
      </c>
      <c r="U2039" t="s">
        <v>71</v>
      </c>
      <c r="V2039">
        <v>0</v>
      </c>
      <c r="W2039" t="s">
        <v>71</v>
      </c>
      <c r="X2039">
        <v>0</v>
      </c>
      <c r="Y2039">
        <v>9.5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110</v>
      </c>
      <c r="AF2039">
        <v>92</v>
      </c>
      <c r="AG2039">
        <v>179</v>
      </c>
      <c r="AI2039">
        <v>6.6000000000000003E-2</v>
      </c>
      <c r="AK2039" t="s">
        <v>5281</v>
      </c>
      <c r="AL2039" t="s">
        <v>5487</v>
      </c>
      <c r="AM2039">
        <v>200000</v>
      </c>
      <c r="AN2039" t="s">
        <v>97</v>
      </c>
      <c r="AO2039">
        <v>1</v>
      </c>
      <c r="AP2039">
        <v>0</v>
      </c>
      <c r="AQ2039">
        <v>16666.666666666668</v>
      </c>
      <c r="AR2039" t="s">
        <v>6718</v>
      </c>
      <c r="AS2039" t="s">
        <v>75</v>
      </c>
      <c r="AX2039" t="s">
        <v>76</v>
      </c>
      <c r="AY2039" t="s">
        <v>71</v>
      </c>
      <c r="AZ2039">
        <v>0</v>
      </c>
      <c r="BA2039" t="s">
        <v>71</v>
      </c>
      <c r="BB2039">
        <v>0</v>
      </c>
      <c r="BD2039">
        <v>9.5</v>
      </c>
    </row>
    <row r="2040" spans="1:56" x14ac:dyDescent="0.15">
      <c r="A2040" s="4" t="str">
        <f>HYPERLINK("https://ibp.a2mac1.com/costing(costing:projects/details/9760/part/8416014)","Door Striker")</f>
        <v>Door Striker</v>
      </c>
      <c r="B2040">
        <v>8416014</v>
      </c>
      <c r="C2040">
        <v>8415679</v>
      </c>
      <c r="E2040">
        <v>7.4700859999999994E-2</v>
      </c>
      <c r="F2040">
        <v>0</v>
      </c>
      <c r="G2040">
        <v>0</v>
      </c>
      <c r="H2040">
        <v>5.8283088571428566E-4</v>
      </c>
      <c r="I2040" t="s">
        <v>176</v>
      </c>
      <c r="J2040">
        <v>2.8731099999999999E-3</v>
      </c>
      <c r="K2040">
        <v>7.8156800885714292E-2</v>
      </c>
      <c r="L2040">
        <v>1.0041604516457341E-2</v>
      </c>
      <c r="M2040">
        <v>6.0249627098744048E-2</v>
      </c>
      <c r="N2040">
        <v>0.13840642798445832</v>
      </c>
      <c r="O2040" t="s">
        <v>177</v>
      </c>
      <c r="P2040">
        <v>4.6894080531428572E-3</v>
      </c>
      <c r="Q2040" t="s">
        <v>177</v>
      </c>
      <c r="R2040">
        <v>3.6149776259246425E-3</v>
      </c>
      <c r="S2040" t="s">
        <v>178</v>
      </c>
      <c r="T2040">
        <v>1.6608771358134999E-2</v>
      </c>
      <c r="U2040" t="s">
        <v>90</v>
      </c>
      <c r="V2040">
        <v>0</v>
      </c>
      <c r="W2040" t="s">
        <v>90</v>
      </c>
      <c r="X2040">
        <v>0</v>
      </c>
      <c r="Y2040">
        <v>0.16331958502166083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33</v>
      </c>
      <c r="AF2040">
        <v>50</v>
      </c>
      <c r="AG2040">
        <v>68</v>
      </c>
      <c r="AI2040">
        <v>9.4E-2</v>
      </c>
      <c r="AK2040" t="s">
        <v>5305</v>
      </c>
      <c r="AL2040" t="s">
        <v>96</v>
      </c>
      <c r="AM2040">
        <v>200000</v>
      </c>
      <c r="AN2040" t="s">
        <v>97</v>
      </c>
      <c r="AO2040">
        <v>1</v>
      </c>
      <c r="AP2040">
        <v>0</v>
      </c>
      <c r="AQ2040">
        <v>16666.666666666668</v>
      </c>
      <c r="AR2040" t="s">
        <v>6723</v>
      </c>
      <c r="AS2040" t="s">
        <v>75</v>
      </c>
      <c r="AX2040" t="s">
        <v>76</v>
      </c>
      <c r="AY2040" t="s">
        <v>176</v>
      </c>
      <c r="AZ2040">
        <v>0</v>
      </c>
      <c r="BA2040" t="s">
        <v>176</v>
      </c>
      <c r="BB2040">
        <v>0</v>
      </c>
    </row>
    <row r="2041" spans="1:56" x14ac:dyDescent="0.15">
      <c r="A2041" s="4" t="str">
        <f>HYPERLINK("https://ibp.a2mac1.com/costing(costing:projects/details/9760/part/8416015)","Access Cover")</f>
        <v>Access Cover</v>
      </c>
      <c r="B2041">
        <v>8416015</v>
      </c>
      <c r="C2041">
        <v>8415679</v>
      </c>
      <c r="E2041">
        <v>3.7578659999999999E-3</v>
      </c>
      <c r="F2041">
        <v>0</v>
      </c>
      <c r="G2041">
        <v>0</v>
      </c>
      <c r="H2041">
        <v>1.9062458105263157E-5</v>
      </c>
      <c r="I2041" t="s">
        <v>176</v>
      </c>
      <c r="J2041">
        <v>1.3185494736842106E-4</v>
      </c>
      <c r="K2041">
        <v>3.908783405473684E-3</v>
      </c>
      <c r="L2041">
        <v>9.2835151385610077E-5</v>
      </c>
      <c r="M2041">
        <v>5.5701090831366043E-4</v>
      </c>
      <c r="N2041">
        <v>4.4657943137873446E-3</v>
      </c>
      <c r="O2041" t="s">
        <v>90</v>
      </c>
      <c r="P2041">
        <v>0</v>
      </c>
      <c r="Q2041" t="s">
        <v>90</v>
      </c>
      <c r="R2041">
        <v>0</v>
      </c>
      <c r="S2041" t="s">
        <v>90</v>
      </c>
      <c r="T2041">
        <v>0</v>
      </c>
      <c r="U2041" t="s">
        <v>90</v>
      </c>
      <c r="V2041">
        <v>0</v>
      </c>
      <c r="W2041" t="s">
        <v>90</v>
      </c>
      <c r="X2041">
        <v>0</v>
      </c>
      <c r="Y2041">
        <v>4.4657943137873446E-3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8</v>
      </c>
      <c r="AF2041">
        <v>58</v>
      </c>
      <c r="AG2041">
        <v>30</v>
      </c>
      <c r="AI2041">
        <v>2E-3</v>
      </c>
      <c r="AK2041" t="s">
        <v>6206</v>
      </c>
      <c r="AL2041" t="s">
        <v>951</v>
      </c>
      <c r="AM2041">
        <v>200000</v>
      </c>
      <c r="AN2041" t="s">
        <v>73</v>
      </c>
      <c r="AO2041">
        <v>1</v>
      </c>
      <c r="AP2041">
        <v>0</v>
      </c>
      <c r="AQ2041">
        <v>16666.666666666668</v>
      </c>
      <c r="AR2041" t="s">
        <v>6726</v>
      </c>
      <c r="AS2041" t="s">
        <v>75</v>
      </c>
      <c r="AX2041" t="s">
        <v>76</v>
      </c>
      <c r="AY2041" t="s">
        <v>176</v>
      </c>
      <c r="AZ2041">
        <v>0</v>
      </c>
      <c r="BA2041" t="s">
        <v>176</v>
      </c>
      <c r="BB2041">
        <v>0</v>
      </c>
    </row>
    <row r="2042" spans="1:56" x14ac:dyDescent="0.15">
      <c r="A2042" s="4" t="str">
        <f>HYPERLINK("https://ibp.a2mac1.com/costing(costing:projects/details/9760/part/8416016)","Closing Assist Actuator")</f>
        <v>Closing Assist Actuator</v>
      </c>
      <c r="B2042">
        <v>8416016</v>
      </c>
      <c r="C2042">
        <v>8415679</v>
      </c>
      <c r="D2042" t="s">
        <v>5503</v>
      </c>
      <c r="E2042">
        <v>3.5</v>
      </c>
      <c r="F2042">
        <v>0</v>
      </c>
      <c r="G2042">
        <v>0</v>
      </c>
      <c r="H2042">
        <v>0</v>
      </c>
      <c r="I2042" t="s">
        <v>71</v>
      </c>
      <c r="J2042">
        <v>0</v>
      </c>
      <c r="K2042">
        <v>3.5</v>
      </c>
      <c r="L2042">
        <v>0</v>
      </c>
      <c r="M2042">
        <v>0</v>
      </c>
      <c r="N2042">
        <v>3.5</v>
      </c>
      <c r="O2042" t="s">
        <v>71</v>
      </c>
      <c r="P2042">
        <v>0</v>
      </c>
      <c r="Q2042" t="s">
        <v>71</v>
      </c>
      <c r="R2042">
        <v>0</v>
      </c>
      <c r="S2042" t="s">
        <v>71</v>
      </c>
      <c r="T2042">
        <v>0</v>
      </c>
      <c r="U2042" t="s">
        <v>71</v>
      </c>
      <c r="V2042">
        <v>0</v>
      </c>
      <c r="W2042" t="s">
        <v>71</v>
      </c>
      <c r="X2042">
        <v>0</v>
      </c>
      <c r="Y2042">
        <v>3.5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38</v>
      </c>
      <c r="AF2042">
        <v>144</v>
      </c>
      <c r="AG2042">
        <v>114</v>
      </c>
      <c r="AI2042">
        <v>0.81299999999999994</v>
      </c>
      <c r="AK2042" t="s">
        <v>272</v>
      </c>
      <c r="AL2042" t="s">
        <v>856</v>
      </c>
      <c r="AM2042">
        <v>200000</v>
      </c>
      <c r="AN2042" t="s">
        <v>73</v>
      </c>
      <c r="AO2042">
        <v>1</v>
      </c>
      <c r="AP2042">
        <v>0</v>
      </c>
      <c r="AQ2042">
        <v>16666.666666666668</v>
      </c>
      <c r="AR2042" t="s">
        <v>6727</v>
      </c>
      <c r="AS2042" t="s">
        <v>75</v>
      </c>
      <c r="AX2042" t="s">
        <v>76</v>
      </c>
      <c r="AY2042" t="s">
        <v>71</v>
      </c>
      <c r="AZ2042">
        <v>0</v>
      </c>
      <c r="BA2042" t="s">
        <v>71</v>
      </c>
      <c r="BB2042">
        <v>0</v>
      </c>
      <c r="BD2042">
        <v>3.5</v>
      </c>
    </row>
    <row r="2043" spans="1:56" x14ac:dyDescent="0.15">
      <c r="A2043" s="4" t="str">
        <f>HYPERLINK("https://ibp.a2mac1.com/costing(costing:projects/details/9760/part/8416360)","Glas Panel")</f>
        <v>Glas Panel</v>
      </c>
      <c r="B2043">
        <v>8416360</v>
      </c>
      <c r="C2043">
        <v>8416021</v>
      </c>
      <c r="E2043">
        <v>14.153359999999999</v>
      </c>
      <c r="F2043">
        <v>0</v>
      </c>
      <c r="G2043">
        <v>0</v>
      </c>
      <c r="H2043">
        <v>7.1616001600000007E-2</v>
      </c>
      <c r="I2043" t="s">
        <v>176</v>
      </c>
      <c r="J2043">
        <v>0.49536760000000002</v>
      </c>
      <c r="K2043">
        <v>14.7203436016</v>
      </c>
      <c r="L2043">
        <v>1.7189916933741001</v>
      </c>
      <c r="M2043">
        <v>10.3139501602446</v>
      </c>
      <c r="N2043">
        <v>25.034293761844602</v>
      </c>
      <c r="O2043" t="s">
        <v>177</v>
      </c>
      <c r="P2043">
        <v>0.883220616096</v>
      </c>
      <c r="Q2043" t="s">
        <v>177</v>
      </c>
      <c r="R2043">
        <v>0.61883700961467603</v>
      </c>
      <c r="S2043" t="s">
        <v>178</v>
      </c>
      <c r="T2043">
        <v>3.0041152514213518</v>
      </c>
      <c r="U2043" t="s">
        <v>90</v>
      </c>
      <c r="V2043">
        <v>0</v>
      </c>
      <c r="W2043" t="s">
        <v>90</v>
      </c>
      <c r="X2043">
        <v>0</v>
      </c>
      <c r="Y2043">
        <v>29.540466638976628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K2043" t="s">
        <v>1464</v>
      </c>
      <c r="AM2043">
        <v>200000</v>
      </c>
      <c r="AN2043" t="s">
        <v>97</v>
      </c>
      <c r="AO2043">
        <v>1</v>
      </c>
      <c r="AP2043">
        <v>0</v>
      </c>
      <c r="AQ2043">
        <v>16666.666666666668</v>
      </c>
      <c r="AR2043" t="s">
        <v>9</v>
      </c>
      <c r="AS2043" t="s">
        <v>75</v>
      </c>
      <c r="AX2043" t="s">
        <v>76</v>
      </c>
      <c r="AY2043" t="s">
        <v>176</v>
      </c>
      <c r="AZ2043">
        <v>0</v>
      </c>
      <c r="BA2043" t="s">
        <v>176</v>
      </c>
      <c r="BB2043">
        <v>0</v>
      </c>
    </row>
    <row r="2044" spans="1:56" x14ac:dyDescent="0.15">
      <c r="A2044" s="4" t="str">
        <f>HYPERLINK("https://ibp.a2mac1.com/costing(costing:projects/details/9760/part/8416019)","Window Regulator")</f>
        <v>Window Regulator</v>
      </c>
      <c r="B2044">
        <v>8416019</v>
      </c>
      <c r="C2044">
        <v>8415680</v>
      </c>
      <c r="D2044" t="s">
        <v>5199</v>
      </c>
      <c r="E2044">
        <v>7.25</v>
      </c>
      <c r="F2044">
        <v>0</v>
      </c>
      <c r="G2044">
        <v>0</v>
      </c>
      <c r="H2044">
        <v>0</v>
      </c>
      <c r="I2044" t="s">
        <v>71</v>
      </c>
      <c r="J2044">
        <v>0</v>
      </c>
      <c r="K2044">
        <v>7.25</v>
      </c>
      <c r="L2044">
        <v>0</v>
      </c>
      <c r="M2044">
        <v>0</v>
      </c>
      <c r="N2044">
        <v>7.25</v>
      </c>
      <c r="O2044" t="s">
        <v>71</v>
      </c>
      <c r="P2044">
        <v>0</v>
      </c>
      <c r="Q2044" t="s">
        <v>71</v>
      </c>
      <c r="R2044">
        <v>0</v>
      </c>
      <c r="S2044" t="s">
        <v>71</v>
      </c>
      <c r="T2044">
        <v>0</v>
      </c>
      <c r="U2044" t="s">
        <v>71</v>
      </c>
      <c r="V2044">
        <v>0</v>
      </c>
      <c r="W2044" t="s">
        <v>71</v>
      </c>
      <c r="X2044">
        <v>0</v>
      </c>
      <c r="Y2044">
        <v>7.25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62</v>
      </c>
      <c r="AF2044">
        <v>655</v>
      </c>
      <c r="AG2044">
        <v>545</v>
      </c>
      <c r="AI2044">
        <v>1.014</v>
      </c>
      <c r="AK2044" t="s">
        <v>5281</v>
      </c>
      <c r="AL2044" t="s">
        <v>5426</v>
      </c>
      <c r="AM2044">
        <v>200000</v>
      </c>
      <c r="AN2044" t="s">
        <v>97</v>
      </c>
      <c r="AO2044">
        <v>1</v>
      </c>
      <c r="AP2044">
        <v>0</v>
      </c>
      <c r="AQ2044">
        <v>16666.666666666668</v>
      </c>
      <c r="AR2044" t="s">
        <v>6738</v>
      </c>
      <c r="AS2044" t="s">
        <v>75</v>
      </c>
      <c r="AX2044" t="s">
        <v>76</v>
      </c>
      <c r="AY2044" t="s">
        <v>71</v>
      </c>
      <c r="AZ2044">
        <v>0</v>
      </c>
      <c r="BA2044" t="s">
        <v>71</v>
      </c>
      <c r="BB2044">
        <v>0</v>
      </c>
      <c r="BD2044">
        <v>7.25</v>
      </c>
    </row>
    <row r="2045" spans="1:56" x14ac:dyDescent="0.15">
      <c r="A2045" s="4" t="str">
        <f>HYPERLINK("https://ibp.a2mac1.com/costing(costing:projects/details/9760/part/8416361)","On Body")</f>
        <v>On Body</v>
      </c>
      <c r="B2045">
        <v>8416361</v>
      </c>
      <c r="C2045">
        <v>8416025</v>
      </c>
      <c r="E2045">
        <v>3.8164060197368421</v>
      </c>
      <c r="F2045">
        <v>0</v>
      </c>
      <c r="G2045">
        <v>0</v>
      </c>
      <c r="H2045">
        <v>7.8856528947368418E-3</v>
      </c>
      <c r="I2045" t="s">
        <v>176</v>
      </c>
      <c r="J2045">
        <v>0.13397953947368421</v>
      </c>
      <c r="K2045">
        <v>3.958271212105263</v>
      </c>
      <c r="L2045">
        <v>0.12610470940868315</v>
      </c>
      <c r="M2045">
        <v>0.75662825645209886</v>
      </c>
      <c r="N2045">
        <v>4.7148994685573618</v>
      </c>
      <c r="O2045" t="s">
        <v>177</v>
      </c>
      <c r="P2045">
        <v>0.23749627272631579</v>
      </c>
      <c r="Q2045" t="s">
        <v>177</v>
      </c>
      <c r="R2045">
        <v>4.539769538712593E-2</v>
      </c>
      <c r="S2045" t="s">
        <v>178</v>
      </c>
      <c r="T2045">
        <v>0.56578793622688339</v>
      </c>
      <c r="U2045" t="s">
        <v>90</v>
      </c>
      <c r="V2045">
        <v>0</v>
      </c>
      <c r="W2045" t="s">
        <v>90</v>
      </c>
      <c r="X2045">
        <v>0</v>
      </c>
      <c r="Y2045">
        <v>5.5635813728976871</v>
      </c>
      <c r="Z2045">
        <v>0</v>
      </c>
      <c r="AA2045">
        <v>0</v>
      </c>
      <c r="AB2045">
        <v>0</v>
      </c>
      <c r="AC2045">
        <v>0</v>
      </c>
      <c r="AD2045">
        <v>0</v>
      </c>
      <c r="AI2045">
        <v>1.5029999999999999</v>
      </c>
      <c r="AK2045" t="s">
        <v>5305</v>
      </c>
      <c r="AL2045" t="s">
        <v>5384</v>
      </c>
      <c r="AM2045">
        <v>200000</v>
      </c>
      <c r="AN2045" t="s">
        <v>97</v>
      </c>
      <c r="AO2045">
        <v>1</v>
      </c>
      <c r="AP2045">
        <v>0</v>
      </c>
      <c r="AQ2045">
        <v>16666.666666666668</v>
      </c>
      <c r="AR2045" t="s">
        <v>6745</v>
      </c>
      <c r="AS2045" t="s">
        <v>75</v>
      </c>
      <c r="AX2045" t="s">
        <v>76</v>
      </c>
      <c r="AY2045" t="s">
        <v>176</v>
      </c>
      <c r="AZ2045">
        <v>0</v>
      </c>
      <c r="BA2045" t="s">
        <v>176</v>
      </c>
      <c r="BB2045">
        <v>0</v>
      </c>
    </row>
    <row r="2046" spans="1:56" x14ac:dyDescent="0.15">
      <c r="A2046" s="4" t="str">
        <f>HYPERLINK("https://ibp.a2mac1.com/costing(costing:projects/details/9760/part/8416362)","On Door")</f>
        <v>On Door</v>
      </c>
      <c r="B2046">
        <v>8416362</v>
      </c>
      <c r="C2046">
        <v>8416025</v>
      </c>
      <c r="E2046">
        <v>0.6876947175</v>
      </c>
      <c r="F2046">
        <v>0</v>
      </c>
      <c r="G2046">
        <v>0</v>
      </c>
      <c r="H2046">
        <v>7.1699499368421053E-4</v>
      </c>
      <c r="I2046" t="s">
        <v>176</v>
      </c>
      <c r="J2046">
        <v>2.4129639210526316E-2</v>
      </c>
      <c r="K2046">
        <v>0.71254135170421051</v>
      </c>
      <c r="L2046">
        <v>0.11031192108116587</v>
      </c>
      <c r="M2046">
        <v>0.66187152648699521</v>
      </c>
      <c r="N2046">
        <v>1.3744128781912057</v>
      </c>
      <c r="O2046" t="s">
        <v>177</v>
      </c>
      <c r="P2046">
        <v>4.2752481102252632E-2</v>
      </c>
      <c r="Q2046" t="s">
        <v>177</v>
      </c>
      <c r="R2046">
        <v>3.9712291589219711E-2</v>
      </c>
      <c r="S2046" t="s">
        <v>178</v>
      </c>
      <c r="T2046">
        <v>0.16492954538294469</v>
      </c>
      <c r="U2046" t="s">
        <v>90</v>
      </c>
      <c r="V2046">
        <v>0</v>
      </c>
      <c r="W2046" t="s">
        <v>90</v>
      </c>
      <c r="X2046">
        <v>0</v>
      </c>
      <c r="Y2046">
        <v>1.6218071962656229</v>
      </c>
      <c r="Z2046">
        <v>0</v>
      </c>
      <c r="AA2046">
        <v>0</v>
      </c>
      <c r="AB2046">
        <v>0</v>
      </c>
      <c r="AC2046">
        <v>0</v>
      </c>
      <c r="AD2046">
        <v>0</v>
      </c>
      <c r="AI2046">
        <v>0.23499999999999999</v>
      </c>
      <c r="AK2046" t="s">
        <v>5305</v>
      </c>
      <c r="AL2046" t="s">
        <v>289</v>
      </c>
      <c r="AM2046">
        <v>200000</v>
      </c>
      <c r="AN2046" t="s">
        <v>97</v>
      </c>
      <c r="AO2046">
        <v>1</v>
      </c>
      <c r="AP2046">
        <v>0</v>
      </c>
      <c r="AQ2046">
        <v>16666.666666666668</v>
      </c>
      <c r="AR2046" t="s">
        <v>6748</v>
      </c>
      <c r="AS2046" t="s">
        <v>75</v>
      </c>
      <c r="AX2046" t="s">
        <v>76</v>
      </c>
      <c r="AY2046" t="s">
        <v>176</v>
      </c>
      <c r="AZ2046">
        <v>0</v>
      </c>
      <c r="BA2046" t="s">
        <v>176</v>
      </c>
      <c r="BB2046">
        <v>0</v>
      </c>
    </row>
    <row r="2047" spans="1:56" x14ac:dyDescent="0.15">
      <c r="A2047" s="4" t="str">
        <f>HYPERLINK("https://ibp.a2mac1.com/costing(costing:projects/details/9760/part/8416022)","Interior Weatherstrip")</f>
        <v>Interior Weatherstrip</v>
      </c>
      <c r="B2047">
        <v>8416022</v>
      </c>
      <c r="C2047">
        <v>8415681</v>
      </c>
      <c r="E2047">
        <v>1.5748593197368421</v>
      </c>
      <c r="F2047">
        <v>0</v>
      </c>
      <c r="G2047">
        <v>0</v>
      </c>
      <c r="H2047">
        <v>1.6492440421052631E-3</v>
      </c>
      <c r="I2047" t="s">
        <v>176</v>
      </c>
      <c r="J2047">
        <v>5.5503405263157897E-2</v>
      </c>
      <c r="K2047">
        <v>1.6320119690421053</v>
      </c>
      <c r="L2047">
        <v>4.918855572128588E-2</v>
      </c>
      <c r="M2047">
        <v>0.29513133432771527</v>
      </c>
      <c r="N2047">
        <v>1.9271433033698204</v>
      </c>
      <c r="O2047" t="s">
        <v>177</v>
      </c>
      <c r="P2047">
        <v>9.7920718142526314E-2</v>
      </c>
      <c r="Q2047" t="s">
        <v>177</v>
      </c>
      <c r="R2047">
        <v>1.7707880059662916E-2</v>
      </c>
      <c r="S2047" t="s">
        <v>178</v>
      </c>
      <c r="T2047">
        <v>0.23125719640437847</v>
      </c>
      <c r="U2047" t="s">
        <v>90</v>
      </c>
      <c r="V2047">
        <v>0</v>
      </c>
      <c r="W2047" t="s">
        <v>90</v>
      </c>
      <c r="X2047">
        <v>0</v>
      </c>
      <c r="Y2047">
        <v>2.2740290979763884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73</v>
      </c>
      <c r="AF2047">
        <v>1075</v>
      </c>
      <c r="AG2047">
        <v>550</v>
      </c>
      <c r="AI2047">
        <v>0.57399999999999995</v>
      </c>
      <c r="AK2047" t="s">
        <v>5305</v>
      </c>
      <c r="AL2047" t="s">
        <v>5400</v>
      </c>
      <c r="AM2047">
        <v>200000</v>
      </c>
      <c r="AN2047" t="s">
        <v>97</v>
      </c>
      <c r="AO2047">
        <v>1</v>
      </c>
      <c r="AP2047">
        <v>0</v>
      </c>
      <c r="AQ2047">
        <v>16666.666666666668</v>
      </c>
      <c r="AR2047" t="s">
        <v>6752</v>
      </c>
      <c r="AS2047" t="s">
        <v>75</v>
      </c>
      <c r="AX2047" t="s">
        <v>76</v>
      </c>
      <c r="AY2047" t="s">
        <v>176</v>
      </c>
      <c r="AZ2047">
        <v>0</v>
      </c>
      <c r="BA2047" t="s">
        <v>176</v>
      </c>
      <c r="BB2047">
        <v>0</v>
      </c>
    </row>
    <row r="2048" spans="1:56" x14ac:dyDescent="0.15">
      <c r="A2048" s="4" t="str">
        <f>HYPERLINK("https://ibp.a2mac1.com/costing(costing:projects/details/9760/part/8416023)","Exterior Weatherstrip")</f>
        <v>Exterior Weatherstrip</v>
      </c>
      <c r="B2048">
        <v>8416023</v>
      </c>
      <c r="C2048">
        <v>8415681</v>
      </c>
      <c r="E2048">
        <v>0.75683892960526311</v>
      </c>
      <c r="F2048">
        <v>0</v>
      </c>
      <c r="G2048">
        <v>0</v>
      </c>
      <c r="H2048">
        <v>7.9232317894736837E-4</v>
      </c>
      <c r="I2048" t="s">
        <v>176</v>
      </c>
      <c r="J2048">
        <v>2.6664722368421052E-2</v>
      </c>
      <c r="K2048">
        <v>0.78429597515263161</v>
      </c>
      <c r="L2048">
        <v>3.696388264930988E-2</v>
      </c>
      <c r="M2048">
        <v>0.22178329589585927</v>
      </c>
      <c r="N2048">
        <v>1.0060792710484909</v>
      </c>
      <c r="O2048" t="s">
        <v>177</v>
      </c>
      <c r="P2048">
        <v>4.7057758509157895E-2</v>
      </c>
      <c r="Q2048" t="s">
        <v>177</v>
      </c>
      <c r="R2048">
        <v>1.3306997753751557E-2</v>
      </c>
      <c r="S2048" t="s">
        <v>178</v>
      </c>
      <c r="T2048">
        <v>0.1207295125258189</v>
      </c>
      <c r="U2048" t="s">
        <v>90</v>
      </c>
      <c r="V2048">
        <v>0</v>
      </c>
      <c r="W2048" t="s">
        <v>90</v>
      </c>
      <c r="X2048">
        <v>0</v>
      </c>
      <c r="Y2048">
        <v>1.1871735398372192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20</v>
      </c>
      <c r="AF2048">
        <v>1110</v>
      </c>
      <c r="AG2048">
        <v>29</v>
      </c>
      <c r="AI2048">
        <v>0.28299999999999997</v>
      </c>
      <c r="AK2048" t="s">
        <v>5305</v>
      </c>
      <c r="AL2048" t="s">
        <v>5400</v>
      </c>
      <c r="AM2048">
        <v>200000</v>
      </c>
      <c r="AN2048" t="s">
        <v>97</v>
      </c>
      <c r="AO2048">
        <v>1</v>
      </c>
      <c r="AP2048">
        <v>0</v>
      </c>
      <c r="AQ2048">
        <v>16666.666666666668</v>
      </c>
      <c r="AR2048" t="s">
        <v>6755</v>
      </c>
      <c r="AS2048" t="s">
        <v>75</v>
      </c>
      <c r="AX2048" t="s">
        <v>76</v>
      </c>
      <c r="AY2048" t="s">
        <v>176</v>
      </c>
      <c r="AZ2048">
        <v>0</v>
      </c>
      <c r="BA2048" t="s">
        <v>176</v>
      </c>
      <c r="BB2048">
        <v>0</v>
      </c>
    </row>
    <row r="2049" spans="1:56" x14ac:dyDescent="0.15">
      <c r="A2049" s="4" t="str">
        <f>HYPERLINK("https://ibp.a2mac1.com/costing(costing:projects/details/9760/part/8416024)","Exterior Weatherstrip Bezel")</f>
        <v>Exterior Weatherstrip Bezel</v>
      </c>
      <c r="B2049">
        <v>8416024</v>
      </c>
      <c r="C2049">
        <v>8415681</v>
      </c>
      <c r="E2049">
        <v>0.20244549873449894</v>
      </c>
      <c r="F2049">
        <v>0</v>
      </c>
      <c r="G2049">
        <v>0</v>
      </c>
      <c r="H2049">
        <v>2.1054331868387889E-4</v>
      </c>
      <c r="I2049" t="s">
        <v>176</v>
      </c>
      <c r="J2049">
        <v>7.085592455707463E-3</v>
      </c>
      <c r="K2049">
        <v>0.20974163450889027</v>
      </c>
      <c r="L2049">
        <v>5.0904421087457248E-2</v>
      </c>
      <c r="M2049">
        <v>0.3054265265247435</v>
      </c>
      <c r="N2049">
        <v>0.51516816103363372</v>
      </c>
      <c r="O2049" t="s">
        <v>90</v>
      </c>
      <c r="P2049">
        <v>0</v>
      </c>
      <c r="Q2049" t="s">
        <v>90</v>
      </c>
      <c r="R2049">
        <v>0</v>
      </c>
      <c r="S2049" t="s">
        <v>90</v>
      </c>
      <c r="T2049">
        <v>0</v>
      </c>
      <c r="U2049" t="s">
        <v>90</v>
      </c>
      <c r="V2049">
        <v>0</v>
      </c>
      <c r="W2049" t="s">
        <v>90</v>
      </c>
      <c r="X2049">
        <v>0</v>
      </c>
      <c r="Y2049">
        <v>0.51516816103363372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9</v>
      </c>
      <c r="AF2049">
        <v>1100</v>
      </c>
      <c r="AG2049">
        <v>20</v>
      </c>
      <c r="AI2049">
        <v>8.3000000000000004E-2</v>
      </c>
      <c r="AK2049" t="s">
        <v>6206</v>
      </c>
      <c r="AL2049" t="s">
        <v>104</v>
      </c>
      <c r="AM2049">
        <v>200000</v>
      </c>
      <c r="AN2049" t="s">
        <v>73</v>
      </c>
      <c r="AO2049">
        <v>1</v>
      </c>
      <c r="AP2049">
        <v>0</v>
      </c>
      <c r="AQ2049">
        <v>16666.666666666668</v>
      </c>
      <c r="AR2049" t="s">
        <v>6758</v>
      </c>
      <c r="AS2049" t="s">
        <v>75</v>
      </c>
      <c r="AX2049" t="s">
        <v>76</v>
      </c>
      <c r="AY2049" t="s">
        <v>176</v>
      </c>
      <c r="AZ2049">
        <v>0</v>
      </c>
      <c r="BA2049" t="s">
        <v>176</v>
      </c>
      <c r="BB2049">
        <v>0</v>
      </c>
    </row>
    <row r="2050" spans="1:56" x14ac:dyDescent="0.15">
      <c r="A2050" s="4" t="str">
        <f>HYPERLINK("https://ibp.a2mac1.com/costing(costing:projects/details/9760/part/8416363)","On Body")</f>
        <v>On Body</v>
      </c>
      <c r="B2050">
        <v>8416363</v>
      </c>
      <c r="C2050">
        <v>8416028</v>
      </c>
      <c r="D2050" t="s">
        <v>5348</v>
      </c>
      <c r="E2050">
        <v>0.14652861</v>
      </c>
      <c r="F2050">
        <v>0</v>
      </c>
      <c r="G2050">
        <v>0</v>
      </c>
      <c r="H2050">
        <v>3.11763E-6</v>
      </c>
      <c r="I2050" t="s">
        <v>176</v>
      </c>
      <c r="J2050">
        <v>5.4558525000000004E-3</v>
      </c>
      <c r="K2050">
        <v>0.15198758012999999</v>
      </c>
      <c r="L2050">
        <v>0.18397179041108594</v>
      </c>
      <c r="M2050">
        <v>1.1038307424665155</v>
      </c>
      <c r="N2050">
        <v>1.2558183225965156</v>
      </c>
      <c r="O2050" t="s">
        <v>90</v>
      </c>
      <c r="P2050">
        <v>0</v>
      </c>
      <c r="Q2050" t="s">
        <v>90</v>
      </c>
      <c r="R2050">
        <v>0</v>
      </c>
      <c r="S2050" t="s">
        <v>90</v>
      </c>
      <c r="T2050">
        <v>0</v>
      </c>
      <c r="U2050" t="s">
        <v>90</v>
      </c>
      <c r="V2050">
        <v>0</v>
      </c>
      <c r="W2050" t="s">
        <v>90</v>
      </c>
      <c r="X2050">
        <v>0</v>
      </c>
      <c r="Y2050">
        <v>1.2558183225965156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69</v>
      </c>
      <c r="AF2050">
        <v>55</v>
      </c>
      <c r="AG2050">
        <v>25</v>
      </c>
      <c r="AI2050">
        <v>0.20399999999999999</v>
      </c>
      <c r="AK2050" t="s">
        <v>5035</v>
      </c>
      <c r="AL2050" t="s">
        <v>96</v>
      </c>
      <c r="AM2050">
        <v>200000</v>
      </c>
      <c r="AN2050" t="s">
        <v>97</v>
      </c>
      <c r="AO2050">
        <v>1</v>
      </c>
      <c r="AP2050">
        <v>0</v>
      </c>
      <c r="AQ2050">
        <v>16666.666666666668</v>
      </c>
      <c r="AR2050" t="s">
        <v>6764</v>
      </c>
      <c r="AS2050" t="s">
        <v>75</v>
      </c>
      <c r="AX2050" t="s">
        <v>76</v>
      </c>
      <c r="AY2050" t="s">
        <v>176</v>
      </c>
      <c r="AZ2050">
        <v>0</v>
      </c>
      <c r="BA2050" t="s">
        <v>176</v>
      </c>
      <c r="BB2050">
        <v>0</v>
      </c>
    </row>
    <row r="2051" spans="1:56" x14ac:dyDescent="0.15">
      <c r="A2051" s="4" t="str">
        <f>HYPERLINK("https://ibp.a2mac1.com/costing(costing:projects/details/9760/part/8416364)","On Door")</f>
        <v>On Door</v>
      </c>
      <c r="B2051">
        <v>8416364</v>
      </c>
      <c r="C2051">
        <v>8416028</v>
      </c>
      <c r="D2051" t="s">
        <v>5348</v>
      </c>
      <c r="E2051">
        <v>7.0391195000000004E-2</v>
      </c>
      <c r="F2051">
        <v>0</v>
      </c>
      <c r="G2051">
        <v>0</v>
      </c>
      <c r="H2051">
        <v>1.4976850000000001E-6</v>
      </c>
      <c r="I2051" t="s">
        <v>176</v>
      </c>
      <c r="J2051">
        <v>2.6209487500000002E-3</v>
      </c>
      <c r="K2051">
        <v>7.3013641434999998E-2</v>
      </c>
      <c r="L2051">
        <v>0.22608553666765549</v>
      </c>
      <c r="M2051">
        <v>1.3565132200059329</v>
      </c>
      <c r="N2051">
        <v>1.4295268614409329</v>
      </c>
      <c r="O2051" t="s">
        <v>90</v>
      </c>
      <c r="P2051">
        <v>0</v>
      </c>
      <c r="Q2051" t="s">
        <v>90</v>
      </c>
      <c r="R2051">
        <v>0</v>
      </c>
      <c r="S2051" t="s">
        <v>90</v>
      </c>
      <c r="T2051">
        <v>0</v>
      </c>
      <c r="U2051" t="s">
        <v>90</v>
      </c>
      <c r="V2051">
        <v>0</v>
      </c>
      <c r="W2051" t="s">
        <v>90</v>
      </c>
      <c r="X2051">
        <v>0</v>
      </c>
      <c r="Y2051">
        <v>1.4295268614409329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41</v>
      </c>
      <c r="AF2051">
        <v>50</v>
      </c>
      <c r="AG2051">
        <v>51</v>
      </c>
      <c r="AI2051">
        <v>0.122</v>
      </c>
      <c r="AK2051" t="s">
        <v>5035</v>
      </c>
      <c r="AL2051" t="s">
        <v>96</v>
      </c>
      <c r="AM2051">
        <v>200000</v>
      </c>
      <c r="AN2051" t="s">
        <v>97</v>
      </c>
      <c r="AO2051">
        <v>1</v>
      </c>
      <c r="AP2051">
        <v>0</v>
      </c>
      <c r="AQ2051">
        <v>16666.666666666668</v>
      </c>
      <c r="AR2051" t="s">
        <v>6767</v>
      </c>
      <c r="AS2051" t="s">
        <v>75</v>
      </c>
      <c r="AX2051" t="s">
        <v>76</v>
      </c>
      <c r="AY2051" t="s">
        <v>176</v>
      </c>
      <c r="AZ2051">
        <v>0</v>
      </c>
      <c r="BA2051" t="s">
        <v>176</v>
      </c>
      <c r="BB2051">
        <v>0</v>
      </c>
    </row>
    <row r="2052" spans="1:56" x14ac:dyDescent="0.15">
      <c r="A2052" s="4" t="str">
        <f>HYPERLINK("https://ibp.a2mac1.com/costing(costing:projects/details/9760/part/8416365)","On Body")</f>
        <v>On Body</v>
      </c>
      <c r="B2052">
        <v>8416365</v>
      </c>
      <c r="C2052">
        <v>8416029</v>
      </c>
      <c r="D2052" t="s">
        <v>5348</v>
      </c>
      <c r="E2052">
        <v>0.14652861</v>
      </c>
      <c r="F2052">
        <v>0</v>
      </c>
      <c r="G2052">
        <v>0</v>
      </c>
      <c r="H2052">
        <v>3.11763E-6</v>
      </c>
      <c r="I2052" t="s">
        <v>176</v>
      </c>
      <c r="J2052">
        <v>5.4558525000000004E-3</v>
      </c>
      <c r="K2052">
        <v>0.15198758012999999</v>
      </c>
      <c r="L2052">
        <v>0.22608553666765549</v>
      </c>
      <c r="M2052">
        <v>1.3565132200059329</v>
      </c>
      <c r="N2052">
        <v>1.508500800135933</v>
      </c>
      <c r="O2052" t="s">
        <v>90</v>
      </c>
      <c r="P2052">
        <v>0</v>
      </c>
      <c r="Q2052" t="s">
        <v>90</v>
      </c>
      <c r="R2052">
        <v>0</v>
      </c>
      <c r="S2052" t="s">
        <v>90</v>
      </c>
      <c r="T2052">
        <v>0</v>
      </c>
      <c r="U2052" t="s">
        <v>90</v>
      </c>
      <c r="V2052">
        <v>0</v>
      </c>
      <c r="W2052" t="s">
        <v>90</v>
      </c>
      <c r="X2052">
        <v>0</v>
      </c>
      <c r="Y2052">
        <v>1.508500800135933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69</v>
      </c>
      <c r="AF2052">
        <v>55</v>
      </c>
      <c r="AG2052">
        <v>25</v>
      </c>
      <c r="AI2052">
        <v>0.20499999999999999</v>
      </c>
      <c r="AK2052" t="s">
        <v>5035</v>
      </c>
      <c r="AL2052" t="s">
        <v>96</v>
      </c>
      <c r="AM2052">
        <v>200000</v>
      </c>
      <c r="AN2052" t="s">
        <v>97</v>
      </c>
      <c r="AO2052">
        <v>1</v>
      </c>
      <c r="AP2052">
        <v>0</v>
      </c>
      <c r="AQ2052">
        <v>16666.666666666668</v>
      </c>
      <c r="AR2052" t="s">
        <v>6772</v>
      </c>
      <c r="AS2052" t="s">
        <v>75</v>
      </c>
      <c r="AX2052" t="s">
        <v>76</v>
      </c>
      <c r="AY2052" t="s">
        <v>176</v>
      </c>
      <c r="AZ2052">
        <v>0</v>
      </c>
      <c r="BA2052" t="s">
        <v>176</v>
      </c>
      <c r="BB2052">
        <v>0</v>
      </c>
    </row>
    <row r="2053" spans="1:56" x14ac:dyDescent="0.15">
      <c r="A2053" s="4" t="str">
        <f>HYPERLINK("https://ibp.a2mac1.com/costing(costing:projects/details/9760/part/8416366)","On Door")</f>
        <v>On Door</v>
      </c>
      <c r="B2053">
        <v>8416366</v>
      </c>
      <c r="C2053">
        <v>8416029</v>
      </c>
      <c r="D2053" t="s">
        <v>5348</v>
      </c>
      <c r="E2053">
        <v>7.0391195000000004E-2</v>
      </c>
      <c r="F2053">
        <v>0</v>
      </c>
      <c r="G2053">
        <v>0</v>
      </c>
      <c r="H2053">
        <v>1.4976850000000001E-6</v>
      </c>
      <c r="I2053" t="s">
        <v>176</v>
      </c>
      <c r="J2053">
        <v>2.6209487500000002E-3</v>
      </c>
      <c r="K2053">
        <v>7.3013641434999998E-2</v>
      </c>
      <c r="L2053">
        <v>0.22608553666765549</v>
      </c>
      <c r="M2053">
        <v>1.3565132200059329</v>
      </c>
      <c r="N2053">
        <v>1.4295268614409329</v>
      </c>
      <c r="O2053" t="s">
        <v>90</v>
      </c>
      <c r="P2053">
        <v>0</v>
      </c>
      <c r="Q2053" t="s">
        <v>90</v>
      </c>
      <c r="R2053">
        <v>0</v>
      </c>
      <c r="S2053" t="s">
        <v>90</v>
      </c>
      <c r="T2053">
        <v>0</v>
      </c>
      <c r="U2053" t="s">
        <v>90</v>
      </c>
      <c r="V2053">
        <v>0</v>
      </c>
      <c r="W2053" t="s">
        <v>90</v>
      </c>
      <c r="X2053">
        <v>0</v>
      </c>
      <c r="Y2053">
        <v>1.4295268614409329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41</v>
      </c>
      <c r="AF2053">
        <v>51</v>
      </c>
      <c r="AG2053">
        <v>50</v>
      </c>
      <c r="AI2053">
        <v>0.122</v>
      </c>
      <c r="AK2053" t="s">
        <v>6206</v>
      </c>
      <c r="AL2053" t="s">
        <v>96</v>
      </c>
      <c r="AM2053">
        <v>200000</v>
      </c>
      <c r="AN2053" t="s">
        <v>73</v>
      </c>
      <c r="AO2053">
        <v>1</v>
      </c>
      <c r="AP2053">
        <v>0</v>
      </c>
      <c r="AQ2053">
        <v>16666.666666666668</v>
      </c>
      <c r="AR2053" t="s">
        <v>6775</v>
      </c>
      <c r="AS2053" t="s">
        <v>75</v>
      </c>
      <c r="AX2053" t="s">
        <v>76</v>
      </c>
      <c r="AY2053" t="s">
        <v>176</v>
      </c>
      <c r="AZ2053">
        <v>0</v>
      </c>
      <c r="BA2053" t="s">
        <v>176</v>
      </c>
      <c r="BB2053">
        <v>0</v>
      </c>
    </row>
    <row r="2054" spans="1:56" x14ac:dyDescent="0.15">
      <c r="A2054" s="4" t="str">
        <f>HYPERLINK("https://ibp.a2mac1.com/costing(costing:projects/details/9760/part/8416026)","Door Stopper")</f>
        <v>Door Stopper</v>
      </c>
      <c r="B2054">
        <v>8416026</v>
      </c>
      <c r="C2054">
        <v>8415682</v>
      </c>
      <c r="D2054" t="s">
        <v>6263</v>
      </c>
      <c r="E2054">
        <v>2.1</v>
      </c>
      <c r="F2054">
        <v>0</v>
      </c>
      <c r="G2054">
        <v>0</v>
      </c>
      <c r="H2054">
        <v>0</v>
      </c>
      <c r="I2054" t="s">
        <v>71</v>
      </c>
      <c r="J2054">
        <v>0</v>
      </c>
      <c r="K2054">
        <v>2.1</v>
      </c>
      <c r="L2054">
        <v>0</v>
      </c>
      <c r="M2054">
        <v>0</v>
      </c>
      <c r="N2054">
        <v>2.1</v>
      </c>
      <c r="O2054" t="s">
        <v>71</v>
      </c>
      <c r="P2054">
        <v>0</v>
      </c>
      <c r="Q2054" t="s">
        <v>71</v>
      </c>
      <c r="R2054">
        <v>0</v>
      </c>
      <c r="S2054" t="s">
        <v>71</v>
      </c>
      <c r="T2054">
        <v>0</v>
      </c>
      <c r="U2054" t="s">
        <v>71</v>
      </c>
      <c r="V2054">
        <v>0</v>
      </c>
      <c r="W2054" t="s">
        <v>71</v>
      </c>
      <c r="X2054">
        <v>0</v>
      </c>
      <c r="Y2054">
        <v>2.1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37</v>
      </c>
      <c r="AF2054">
        <v>197</v>
      </c>
      <c r="AG2054">
        <v>88</v>
      </c>
      <c r="AI2054">
        <v>0.16800000000000001</v>
      </c>
      <c r="AK2054" t="s">
        <v>5305</v>
      </c>
      <c r="AL2054" t="s">
        <v>5364</v>
      </c>
      <c r="AM2054">
        <v>200000</v>
      </c>
      <c r="AN2054" t="s">
        <v>97</v>
      </c>
      <c r="AO2054">
        <v>1</v>
      </c>
      <c r="AP2054">
        <v>0</v>
      </c>
      <c r="AQ2054">
        <v>16666.666666666668</v>
      </c>
      <c r="AR2054" t="s">
        <v>6777</v>
      </c>
      <c r="AS2054" t="s">
        <v>75</v>
      </c>
      <c r="AX2054" t="s">
        <v>76</v>
      </c>
      <c r="AY2054" t="s">
        <v>71</v>
      </c>
      <c r="AZ2054">
        <v>0</v>
      </c>
      <c r="BA2054" t="s">
        <v>71</v>
      </c>
      <c r="BB2054">
        <v>0</v>
      </c>
      <c r="BD2054">
        <v>2.1</v>
      </c>
    </row>
    <row r="2055" spans="1:56" x14ac:dyDescent="0.15">
      <c r="A2055" s="4" t="str">
        <f>HYPERLINK("https://ibp.a2mac1.com/costing(costing:projects/details/9760/part/8416027)","Door Stopper Protection")</f>
        <v>Door Stopper Protection</v>
      </c>
      <c r="B2055">
        <v>8416027</v>
      </c>
      <c r="C2055">
        <v>8415682</v>
      </c>
      <c r="E2055">
        <v>4.5214049999999999E-2</v>
      </c>
      <c r="F2055">
        <v>0</v>
      </c>
      <c r="G2055">
        <v>0</v>
      </c>
      <c r="H2055">
        <v>2.2935648421052631E-4</v>
      </c>
      <c r="I2055" t="s">
        <v>176</v>
      </c>
      <c r="J2055">
        <v>1.586457894736842E-3</v>
      </c>
      <c r="K2055">
        <v>4.7029864378947371E-2</v>
      </c>
      <c r="L2055">
        <v>1.5783251295997008E-3</v>
      </c>
      <c r="M2055">
        <v>9.4699507775982041E-3</v>
      </c>
      <c r="N2055">
        <v>5.649981515654557E-2</v>
      </c>
      <c r="O2055" t="s">
        <v>177</v>
      </c>
      <c r="P2055">
        <v>2.8217918627368422E-3</v>
      </c>
      <c r="Q2055" t="s">
        <v>177</v>
      </c>
      <c r="R2055">
        <v>5.6819704665589225E-4</v>
      </c>
      <c r="S2055" t="s">
        <v>178</v>
      </c>
      <c r="T2055">
        <v>6.7799778187854686E-3</v>
      </c>
      <c r="U2055" t="s">
        <v>90</v>
      </c>
      <c r="V2055">
        <v>0</v>
      </c>
      <c r="W2055" t="s">
        <v>90</v>
      </c>
      <c r="X2055">
        <v>0</v>
      </c>
      <c r="Y2055">
        <v>6.6669781884723778E-2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57</v>
      </c>
      <c r="AF2055">
        <v>160</v>
      </c>
      <c r="AG2055">
        <v>87</v>
      </c>
      <c r="AI2055">
        <v>3.4000000000000002E-2</v>
      </c>
      <c r="AK2055" t="s">
        <v>272</v>
      </c>
      <c r="AL2055" t="s">
        <v>2282</v>
      </c>
      <c r="AM2055">
        <v>200000</v>
      </c>
      <c r="AN2055" t="s">
        <v>97</v>
      </c>
      <c r="AO2055">
        <v>1</v>
      </c>
      <c r="AP2055">
        <v>0</v>
      </c>
      <c r="AQ2055">
        <v>16666.666666666668</v>
      </c>
      <c r="AR2055" t="s">
        <v>6780</v>
      </c>
      <c r="AS2055" t="s">
        <v>75</v>
      </c>
      <c r="AX2055" t="s">
        <v>76</v>
      </c>
      <c r="AY2055" t="s">
        <v>176</v>
      </c>
      <c r="AZ2055">
        <v>0</v>
      </c>
      <c r="BA2055" t="s">
        <v>176</v>
      </c>
      <c r="BB2055">
        <v>0</v>
      </c>
    </row>
    <row r="2056" spans="1:56" x14ac:dyDescent="0.15">
      <c r="A2056" s="4" t="str">
        <f>HYPERLINK("https://ibp.a2mac1.com/costing(costing:projects/details/9760/part/8416367)","Mood Light")</f>
        <v>Mood Light</v>
      </c>
      <c r="B2056">
        <v>8416367</v>
      </c>
      <c r="C2056">
        <v>8416033</v>
      </c>
      <c r="E2056">
        <v>2.0299999999999998</v>
      </c>
      <c r="F2056">
        <v>0</v>
      </c>
      <c r="G2056">
        <v>0</v>
      </c>
      <c r="H2056">
        <v>0</v>
      </c>
      <c r="I2056" t="s">
        <v>71</v>
      </c>
      <c r="J2056">
        <v>0</v>
      </c>
      <c r="K2056">
        <v>2.0299999999999998</v>
      </c>
      <c r="L2056">
        <v>0</v>
      </c>
      <c r="M2056">
        <v>0</v>
      </c>
      <c r="N2056">
        <v>2.0299999999999998</v>
      </c>
      <c r="O2056" t="s">
        <v>71</v>
      </c>
      <c r="P2056">
        <v>0</v>
      </c>
      <c r="Q2056" t="s">
        <v>71</v>
      </c>
      <c r="R2056">
        <v>0</v>
      </c>
      <c r="S2056" t="s">
        <v>71</v>
      </c>
      <c r="T2056">
        <v>0</v>
      </c>
      <c r="U2056" t="s">
        <v>71</v>
      </c>
      <c r="V2056">
        <v>0</v>
      </c>
      <c r="W2056" t="s">
        <v>71</v>
      </c>
      <c r="X2056">
        <v>0</v>
      </c>
      <c r="Y2056">
        <v>2.0299999999999998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20</v>
      </c>
      <c r="AG2056">
        <v>25</v>
      </c>
      <c r="AI2056">
        <v>8.0000000000000002E-3</v>
      </c>
      <c r="AK2056" t="s">
        <v>365</v>
      </c>
      <c r="AL2056" t="s">
        <v>827</v>
      </c>
      <c r="AM2056">
        <v>200000</v>
      </c>
      <c r="AN2056" t="s">
        <v>97</v>
      </c>
      <c r="AO2056">
        <v>1</v>
      </c>
      <c r="AP2056">
        <v>0</v>
      </c>
      <c r="AQ2056">
        <v>16666.666666666668</v>
      </c>
      <c r="AR2056" t="s">
        <v>6784</v>
      </c>
      <c r="AS2056" t="s">
        <v>75</v>
      </c>
      <c r="AX2056" t="s">
        <v>76</v>
      </c>
      <c r="AY2056" t="s">
        <v>71</v>
      </c>
      <c r="AZ2056">
        <v>0</v>
      </c>
      <c r="BA2056" t="s">
        <v>71</v>
      </c>
      <c r="BB2056">
        <v>0</v>
      </c>
      <c r="BD2056">
        <v>2.0299999999999998</v>
      </c>
    </row>
    <row r="2057" spans="1:56" x14ac:dyDescent="0.15">
      <c r="A2057" s="4" t="str">
        <f>HYPERLINK("https://ibp.a2mac1.com/costing(costing:projects/details/9760/part/8416368)","Light Diffuser")</f>
        <v>Light Diffuser</v>
      </c>
      <c r="B2057">
        <v>8416368</v>
      </c>
      <c r="C2057">
        <v>8416033</v>
      </c>
      <c r="E2057">
        <v>3.0263814432989689E-2</v>
      </c>
      <c r="F2057">
        <v>0</v>
      </c>
      <c r="G2057">
        <v>0</v>
      </c>
      <c r="H2057">
        <v>6.2437113402061855E-5</v>
      </c>
      <c r="I2057" t="s">
        <v>176</v>
      </c>
      <c r="J2057">
        <v>1.0608247422680412E-3</v>
      </c>
      <c r="K2057">
        <v>3.138707628865979E-2</v>
      </c>
      <c r="L2057">
        <v>1.3168239404979173E-2</v>
      </c>
      <c r="M2057">
        <v>7.9009436429875041E-2</v>
      </c>
      <c r="N2057">
        <v>0.11039651271853483</v>
      </c>
      <c r="O2057" t="s">
        <v>90</v>
      </c>
      <c r="P2057">
        <v>0</v>
      </c>
      <c r="Q2057" t="s">
        <v>90</v>
      </c>
      <c r="R2057">
        <v>0</v>
      </c>
      <c r="S2057" t="s">
        <v>90</v>
      </c>
      <c r="T2057">
        <v>0</v>
      </c>
      <c r="U2057" t="s">
        <v>90</v>
      </c>
      <c r="V2057">
        <v>0</v>
      </c>
      <c r="W2057" t="s">
        <v>90</v>
      </c>
      <c r="X2057">
        <v>0</v>
      </c>
      <c r="Y2057">
        <v>0.11039651271853483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6</v>
      </c>
      <c r="AF2057">
        <v>735</v>
      </c>
      <c r="AG2057">
        <v>44</v>
      </c>
      <c r="AI2057">
        <v>1.4E-2</v>
      </c>
      <c r="AK2057" t="s">
        <v>5035</v>
      </c>
      <c r="AL2057" t="s">
        <v>5324</v>
      </c>
      <c r="AM2057">
        <v>200000</v>
      </c>
      <c r="AN2057" t="s">
        <v>97</v>
      </c>
      <c r="AO2057">
        <v>1</v>
      </c>
      <c r="AP2057">
        <v>0</v>
      </c>
      <c r="AQ2057">
        <v>16666.666666666668</v>
      </c>
      <c r="AR2057" t="s">
        <v>6788</v>
      </c>
      <c r="AS2057" t="s">
        <v>75</v>
      </c>
      <c r="AX2057" t="s">
        <v>76</v>
      </c>
      <c r="AY2057" t="s">
        <v>176</v>
      </c>
      <c r="AZ2057">
        <v>0</v>
      </c>
      <c r="BA2057" t="s">
        <v>176</v>
      </c>
      <c r="BB2057">
        <v>0</v>
      </c>
    </row>
    <row r="2058" spans="1:56" x14ac:dyDescent="0.15">
      <c r="A2058" s="4" t="str">
        <f>HYPERLINK("https://ibp.a2mac1.com/costing(costing:projects/details/9760/part/8416369)","Mood Light Diffuser Support")</f>
        <v>Mood Light Diffuser Support</v>
      </c>
      <c r="B2058">
        <v>8416369</v>
      </c>
      <c r="C2058">
        <v>8416033</v>
      </c>
      <c r="E2058">
        <v>3.5574506530927835E-2</v>
      </c>
      <c r="F2058">
        <v>0</v>
      </c>
      <c r="G2058">
        <v>0</v>
      </c>
      <c r="H2058">
        <v>7.3393573814432988E-5</v>
      </c>
      <c r="I2058" t="s">
        <v>176</v>
      </c>
      <c r="J2058">
        <v>1.2469781958762886E-3</v>
      </c>
      <c r="K2058">
        <v>3.6894878300618557E-2</v>
      </c>
      <c r="L2058">
        <v>1.1435973137028465E-2</v>
      </c>
      <c r="M2058">
        <v>6.8615838822170788E-2</v>
      </c>
      <c r="N2058">
        <v>0.10551071712278935</v>
      </c>
      <c r="O2058" t="s">
        <v>90</v>
      </c>
      <c r="P2058">
        <v>0</v>
      </c>
      <c r="Q2058" t="s">
        <v>90</v>
      </c>
      <c r="R2058">
        <v>0</v>
      </c>
      <c r="S2058" t="s">
        <v>90</v>
      </c>
      <c r="T2058">
        <v>0</v>
      </c>
      <c r="U2058" t="s">
        <v>90</v>
      </c>
      <c r="V2058">
        <v>0</v>
      </c>
      <c r="W2058" t="s">
        <v>90</v>
      </c>
      <c r="X2058">
        <v>0</v>
      </c>
      <c r="Y2058">
        <v>0.10551071712278935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18</v>
      </c>
      <c r="AF2058">
        <v>755</v>
      </c>
      <c r="AG2058">
        <v>40</v>
      </c>
      <c r="AI2058">
        <v>3.1E-2</v>
      </c>
      <c r="AK2058" t="s">
        <v>5035</v>
      </c>
      <c r="AL2058" t="s">
        <v>5332</v>
      </c>
      <c r="AM2058">
        <v>200000</v>
      </c>
      <c r="AN2058" t="s">
        <v>97</v>
      </c>
      <c r="AO2058">
        <v>1</v>
      </c>
      <c r="AP2058">
        <v>0</v>
      </c>
      <c r="AQ2058">
        <v>16666.666666666668</v>
      </c>
      <c r="AR2058" t="s">
        <v>6792</v>
      </c>
      <c r="AS2058" t="s">
        <v>75</v>
      </c>
      <c r="AX2058" t="s">
        <v>76</v>
      </c>
      <c r="AY2058" t="s">
        <v>176</v>
      </c>
      <c r="AZ2058">
        <v>0</v>
      </c>
      <c r="BA2058" t="s">
        <v>176</v>
      </c>
      <c r="BB2058">
        <v>0</v>
      </c>
    </row>
    <row r="2059" spans="1:56" x14ac:dyDescent="0.15">
      <c r="A2059" s="4" t="str">
        <f>HYPERLINK("https://ibp.a2mac1.com/costing(costing:projects/details/9760/part/8416030)","Harness")</f>
        <v>Harness</v>
      </c>
      <c r="B2059">
        <v>8416030</v>
      </c>
      <c r="C2059">
        <v>8415683</v>
      </c>
      <c r="E2059">
        <v>0</v>
      </c>
      <c r="F2059">
        <v>10.49</v>
      </c>
      <c r="G2059">
        <v>0</v>
      </c>
      <c r="H2059">
        <v>0</v>
      </c>
      <c r="I2059" t="s">
        <v>176</v>
      </c>
      <c r="J2059">
        <v>0</v>
      </c>
      <c r="K2059">
        <v>10.857150000000001</v>
      </c>
      <c r="L2059">
        <v>0.35650171081813409</v>
      </c>
      <c r="M2059">
        <v>1.2477559878634694</v>
      </c>
      <c r="N2059">
        <v>12.10490598786347</v>
      </c>
      <c r="O2059" t="s">
        <v>177</v>
      </c>
      <c r="P2059">
        <v>0.65142900000000004</v>
      </c>
      <c r="Q2059" t="s">
        <v>177</v>
      </c>
      <c r="R2059">
        <v>7.4865359271808166E-2</v>
      </c>
      <c r="S2059" t="s">
        <v>322</v>
      </c>
      <c r="T2059">
        <v>1.210490598786347</v>
      </c>
      <c r="U2059" t="s">
        <v>90</v>
      </c>
      <c r="V2059">
        <v>0</v>
      </c>
      <c r="W2059" t="s">
        <v>90</v>
      </c>
      <c r="X2059">
        <v>0</v>
      </c>
      <c r="Y2059">
        <v>14.041690945921625</v>
      </c>
      <c r="Z2059">
        <v>0</v>
      </c>
      <c r="AA2059">
        <v>0</v>
      </c>
      <c r="AB2059">
        <v>0</v>
      </c>
      <c r="AC2059">
        <v>0</v>
      </c>
      <c r="AD2059">
        <v>0</v>
      </c>
      <c r="AI2059">
        <v>0.81100000000000005</v>
      </c>
      <c r="AK2059" t="s">
        <v>323</v>
      </c>
      <c r="AL2059" t="s">
        <v>3168</v>
      </c>
      <c r="AM2059">
        <v>200000</v>
      </c>
      <c r="AN2059" t="s">
        <v>97</v>
      </c>
      <c r="AO2059">
        <v>1</v>
      </c>
      <c r="AP2059">
        <v>0</v>
      </c>
      <c r="AQ2059">
        <v>16666.666666666668</v>
      </c>
      <c r="AR2059" t="s">
        <v>6796</v>
      </c>
      <c r="AS2059" t="s">
        <v>75</v>
      </c>
      <c r="AX2059" t="s">
        <v>76</v>
      </c>
      <c r="AY2059" t="s">
        <v>176</v>
      </c>
      <c r="AZ2059">
        <v>0.36714999999999998</v>
      </c>
      <c r="BA2059" t="s">
        <v>176</v>
      </c>
      <c r="BB2059">
        <v>0</v>
      </c>
    </row>
    <row r="2060" spans="1:56" x14ac:dyDescent="0.15">
      <c r="A2060" s="4" t="str">
        <f>HYPERLINK("https://ibp.a2mac1.com/costing(costing:projects/details/9760/part/8416031)","Harness Grommet")</f>
        <v>Harness Grommet</v>
      </c>
      <c r="B2060">
        <v>8416031</v>
      </c>
      <c r="C2060">
        <v>8415683</v>
      </c>
      <c r="D2060" t="s">
        <v>5338</v>
      </c>
      <c r="E2060">
        <v>0</v>
      </c>
      <c r="F2060">
        <v>0</v>
      </c>
      <c r="G2060">
        <v>0</v>
      </c>
      <c r="H2060">
        <v>0</v>
      </c>
      <c r="I2060" t="s">
        <v>176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1326</v>
      </c>
      <c r="P2060">
        <v>0</v>
      </c>
      <c r="Q2060" t="s">
        <v>1326</v>
      </c>
      <c r="R2060">
        <v>0</v>
      </c>
      <c r="S2060" t="s">
        <v>177</v>
      </c>
      <c r="T2060">
        <v>0</v>
      </c>
      <c r="U2060" t="s">
        <v>90</v>
      </c>
      <c r="V2060">
        <v>0</v>
      </c>
      <c r="W2060" t="s">
        <v>90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51</v>
      </c>
      <c r="AF2060">
        <v>188</v>
      </c>
      <c r="AG2060">
        <v>50</v>
      </c>
      <c r="AI2060">
        <v>1E-3</v>
      </c>
      <c r="AK2060" t="s">
        <v>284</v>
      </c>
      <c r="AL2060" t="s">
        <v>289</v>
      </c>
      <c r="AM2060">
        <v>200000</v>
      </c>
      <c r="AN2060" t="s">
        <v>97</v>
      </c>
      <c r="AO2060">
        <v>1</v>
      </c>
      <c r="AP2060">
        <v>0</v>
      </c>
      <c r="AQ2060">
        <v>16666.666666666668</v>
      </c>
      <c r="AR2060" t="s">
        <v>6797</v>
      </c>
      <c r="AS2060" t="s">
        <v>75</v>
      </c>
      <c r="AX2060" t="s">
        <v>76</v>
      </c>
      <c r="AY2060" t="s">
        <v>176</v>
      </c>
      <c r="AZ2060">
        <v>0</v>
      </c>
      <c r="BA2060" t="s">
        <v>176</v>
      </c>
      <c r="BB2060">
        <v>0</v>
      </c>
    </row>
    <row r="2061" spans="1:56" x14ac:dyDescent="0.15">
      <c r="A2061" s="4" t="str">
        <f>HYPERLINK("https://ibp.a2mac1.com/costing(costing:projects/details/9760/part/8416032)","Door Sill Light")</f>
        <v>Door Sill Light</v>
      </c>
      <c r="B2061">
        <v>8416032</v>
      </c>
      <c r="C2061">
        <v>8415683</v>
      </c>
      <c r="E2061">
        <v>0.53</v>
      </c>
      <c r="F2061">
        <v>0</v>
      </c>
      <c r="G2061">
        <v>0</v>
      </c>
      <c r="H2061">
        <v>0</v>
      </c>
      <c r="I2061" t="s">
        <v>71</v>
      </c>
      <c r="J2061">
        <v>0</v>
      </c>
      <c r="K2061">
        <v>0.53</v>
      </c>
      <c r="L2061">
        <v>0</v>
      </c>
      <c r="M2061">
        <v>0</v>
      </c>
      <c r="N2061">
        <v>0.53</v>
      </c>
      <c r="O2061" t="s">
        <v>71</v>
      </c>
      <c r="P2061">
        <v>0</v>
      </c>
      <c r="Q2061" t="s">
        <v>71</v>
      </c>
      <c r="R2061">
        <v>0</v>
      </c>
      <c r="S2061" t="s">
        <v>71</v>
      </c>
      <c r="T2061">
        <v>0</v>
      </c>
      <c r="U2061" t="s">
        <v>71</v>
      </c>
      <c r="V2061">
        <v>0</v>
      </c>
      <c r="W2061" t="s">
        <v>71</v>
      </c>
      <c r="X2061">
        <v>0</v>
      </c>
      <c r="Y2061">
        <v>0.53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39</v>
      </c>
      <c r="AF2061">
        <v>56</v>
      </c>
      <c r="AG2061">
        <v>28</v>
      </c>
      <c r="AI2061">
        <v>2.1000000000000001E-2</v>
      </c>
      <c r="AK2061" t="s">
        <v>288</v>
      </c>
      <c r="AL2061" t="s">
        <v>466</v>
      </c>
      <c r="AM2061">
        <v>200000</v>
      </c>
      <c r="AN2061" t="s">
        <v>97</v>
      </c>
      <c r="AO2061">
        <v>1</v>
      </c>
      <c r="AP2061">
        <v>0</v>
      </c>
      <c r="AQ2061">
        <v>16666.666666666668</v>
      </c>
      <c r="AR2061" t="s">
        <v>6798</v>
      </c>
      <c r="AS2061" t="s">
        <v>75</v>
      </c>
      <c r="AX2061" t="s">
        <v>76</v>
      </c>
      <c r="AY2061" t="s">
        <v>71</v>
      </c>
      <c r="AZ2061">
        <v>0</v>
      </c>
      <c r="BA2061" t="s">
        <v>71</v>
      </c>
      <c r="BB2061">
        <v>0</v>
      </c>
      <c r="BD2061">
        <v>0.53</v>
      </c>
    </row>
    <row r="2062" spans="1:56" x14ac:dyDescent="0.15">
      <c r="A2062" s="4" t="str">
        <f>HYPERLINK("https://ibp.a2mac1.com/costing(costing:projects/details/9760/part/8416034)","A Pillar Accent")</f>
        <v>A Pillar Accent</v>
      </c>
      <c r="B2062">
        <v>8416034</v>
      </c>
      <c r="C2062">
        <v>8415684</v>
      </c>
      <c r="E2062">
        <v>6.0246875371134018E-2</v>
      </c>
      <c r="F2062">
        <v>0</v>
      </c>
      <c r="G2062">
        <v>0</v>
      </c>
      <c r="H2062">
        <v>1.2429500577319587E-4</v>
      </c>
      <c r="I2062" t="s">
        <v>176</v>
      </c>
      <c r="J2062">
        <v>2.1118083505154641E-3</v>
      </c>
      <c r="K2062">
        <v>6.2482978727422679E-2</v>
      </c>
      <c r="L2062">
        <v>1.6452134573124312E-2</v>
      </c>
      <c r="M2062">
        <v>9.8712807438745873E-2</v>
      </c>
      <c r="N2062">
        <v>0.16119578616616856</v>
      </c>
      <c r="O2062" t="s">
        <v>177</v>
      </c>
      <c r="P2062">
        <v>3.7489787236453607E-3</v>
      </c>
      <c r="Q2062" t="s">
        <v>177</v>
      </c>
      <c r="R2062">
        <v>5.9227684463247525E-3</v>
      </c>
      <c r="S2062" t="s">
        <v>178</v>
      </c>
      <c r="T2062">
        <v>1.9343494339940228E-2</v>
      </c>
      <c r="U2062" t="s">
        <v>90</v>
      </c>
      <c r="V2062">
        <v>0</v>
      </c>
      <c r="W2062" t="s">
        <v>90</v>
      </c>
      <c r="X2062">
        <v>0</v>
      </c>
      <c r="Y2062">
        <v>0.19021102767607889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29</v>
      </c>
      <c r="AF2062">
        <v>135</v>
      </c>
      <c r="AG2062">
        <v>86</v>
      </c>
      <c r="AI2062">
        <v>2.1999999999999999E-2</v>
      </c>
      <c r="AK2062" t="s">
        <v>5305</v>
      </c>
      <c r="AL2062" t="s">
        <v>5306</v>
      </c>
      <c r="AM2062">
        <v>200000</v>
      </c>
      <c r="AN2062" t="s">
        <v>97</v>
      </c>
      <c r="AO2062">
        <v>1</v>
      </c>
      <c r="AP2062">
        <v>0</v>
      </c>
      <c r="AQ2062">
        <v>16666.666666666668</v>
      </c>
      <c r="AR2062" t="s">
        <v>6804</v>
      </c>
      <c r="AS2062" t="s">
        <v>75</v>
      </c>
      <c r="AX2062" t="s">
        <v>76</v>
      </c>
      <c r="AY2062" t="s">
        <v>176</v>
      </c>
      <c r="AZ2062">
        <v>0</v>
      </c>
      <c r="BA2062" t="s">
        <v>176</v>
      </c>
      <c r="BB2062">
        <v>0</v>
      </c>
    </row>
    <row r="2063" spans="1:56" x14ac:dyDescent="0.15">
      <c r="A2063" s="4" t="str">
        <f>HYPERLINK("https://ibp.a2mac1.com/costing(costing:projects/details/9760/part/8416035)","A Pillar Accent Seal")</f>
        <v>A Pillar Accent Seal</v>
      </c>
      <c r="B2063">
        <v>8416035</v>
      </c>
      <c r="C2063">
        <v>8415684</v>
      </c>
      <c r="E2063">
        <v>1.551596943298969E-3</v>
      </c>
      <c r="F2063">
        <v>0</v>
      </c>
      <c r="G2063">
        <v>0</v>
      </c>
      <c r="H2063">
        <v>3.2010913402061857E-6</v>
      </c>
      <c r="I2063" t="s">
        <v>176</v>
      </c>
      <c r="J2063">
        <v>5.4387474226804127E-5</v>
      </c>
      <c r="K2063">
        <v>1.6091855088659795E-3</v>
      </c>
      <c r="L2063">
        <v>1.0129341612005195E-2</v>
      </c>
      <c r="M2063">
        <v>6.0776049672031165E-2</v>
      </c>
      <c r="N2063">
        <v>6.2385235180897149E-2</v>
      </c>
      <c r="O2063" t="s">
        <v>90</v>
      </c>
      <c r="P2063">
        <v>0</v>
      </c>
      <c r="Q2063" t="s">
        <v>90</v>
      </c>
      <c r="R2063">
        <v>0</v>
      </c>
      <c r="S2063" t="s">
        <v>90</v>
      </c>
      <c r="T2063">
        <v>0</v>
      </c>
      <c r="U2063" t="s">
        <v>90</v>
      </c>
      <c r="V2063">
        <v>0</v>
      </c>
      <c r="W2063" t="s">
        <v>90</v>
      </c>
      <c r="X2063">
        <v>0</v>
      </c>
      <c r="Y2063">
        <v>6.2385235180897149E-2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8</v>
      </c>
      <c r="AF2063">
        <v>123</v>
      </c>
      <c r="AG2063">
        <v>83</v>
      </c>
      <c r="AI2063">
        <v>1E-3</v>
      </c>
      <c r="AK2063" t="s">
        <v>272</v>
      </c>
      <c r="AL2063" t="s">
        <v>2246</v>
      </c>
      <c r="AM2063">
        <v>200000</v>
      </c>
      <c r="AN2063" t="s">
        <v>73</v>
      </c>
      <c r="AO2063">
        <v>1</v>
      </c>
      <c r="AP2063">
        <v>0</v>
      </c>
      <c r="AQ2063">
        <v>16666.666666666668</v>
      </c>
      <c r="AR2063" t="s">
        <v>6808</v>
      </c>
      <c r="AS2063" t="s">
        <v>75</v>
      </c>
      <c r="AX2063" t="s">
        <v>76</v>
      </c>
      <c r="AY2063" t="s">
        <v>176</v>
      </c>
      <c r="AZ2063">
        <v>0</v>
      </c>
      <c r="BA2063" t="s">
        <v>176</v>
      </c>
      <c r="BB2063">
        <v>0</v>
      </c>
    </row>
    <row r="2064" spans="1:56" x14ac:dyDescent="0.15">
      <c r="A2064" s="4" t="str">
        <f>HYPERLINK("https://ibp.a2mac1.com/costing(costing:projects/details/9760/part/8416370)","Mirror")</f>
        <v>Mirror</v>
      </c>
      <c r="B2064">
        <v>8416370</v>
      </c>
      <c r="C2064">
        <v>8416039</v>
      </c>
      <c r="D2064" t="s">
        <v>5199</v>
      </c>
      <c r="E2064">
        <v>15</v>
      </c>
      <c r="F2064">
        <v>0</v>
      </c>
      <c r="G2064">
        <v>0</v>
      </c>
      <c r="H2064">
        <v>0</v>
      </c>
      <c r="I2064" t="s">
        <v>71</v>
      </c>
      <c r="J2064">
        <v>0</v>
      </c>
      <c r="K2064">
        <v>15</v>
      </c>
      <c r="L2064">
        <v>0</v>
      </c>
      <c r="M2064">
        <v>0</v>
      </c>
      <c r="N2064">
        <v>15</v>
      </c>
      <c r="O2064" t="s">
        <v>71</v>
      </c>
      <c r="P2064">
        <v>0</v>
      </c>
      <c r="Q2064" t="s">
        <v>71</v>
      </c>
      <c r="R2064">
        <v>0</v>
      </c>
      <c r="S2064" t="s">
        <v>71</v>
      </c>
      <c r="T2064">
        <v>0</v>
      </c>
      <c r="U2064" t="s">
        <v>71</v>
      </c>
      <c r="V2064">
        <v>0</v>
      </c>
      <c r="W2064" t="s">
        <v>71</v>
      </c>
      <c r="X2064">
        <v>0</v>
      </c>
      <c r="Y2064">
        <v>15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42</v>
      </c>
      <c r="AF2064">
        <v>208</v>
      </c>
      <c r="AG2064">
        <v>129</v>
      </c>
      <c r="AI2064">
        <v>0.18099999999999999</v>
      </c>
      <c r="AK2064" t="s">
        <v>5035</v>
      </c>
      <c r="AL2064" t="s">
        <v>5200</v>
      </c>
      <c r="AM2064">
        <v>200000</v>
      </c>
      <c r="AN2064" t="s">
        <v>97</v>
      </c>
      <c r="AO2064">
        <v>1</v>
      </c>
      <c r="AP2064">
        <v>0</v>
      </c>
      <c r="AQ2064">
        <v>16666.666666666668</v>
      </c>
      <c r="AR2064" t="s">
        <v>6818</v>
      </c>
      <c r="AS2064" t="s">
        <v>75</v>
      </c>
      <c r="AX2064" t="s">
        <v>76</v>
      </c>
      <c r="AY2064" t="s">
        <v>71</v>
      </c>
      <c r="AZ2064">
        <v>0</v>
      </c>
      <c r="BA2064" t="s">
        <v>71</v>
      </c>
      <c r="BB2064">
        <v>0</v>
      </c>
      <c r="BD2064">
        <v>15</v>
      </c>
    </row>
    <row r="2065" spans="1:56" x14ac:dyDescent="0.15">
      <c r="A2065" s="4" t="str">
        <f>HYPERLINK("https://ibp.a2mac1.com/costing(costing:projects/details/9760/part/8416371)","Support")</f>
        <v>Support</v>
      </c>
      <c r="B2065">
        <v>8416371</v>
      </c>
      <c r="C2065">
        <v>8416039</v>
      </c>
      <c r="E2065">
        <v>0.84045808736842109</v>
      </c>
      <c r="F2065">
        <v>0</v>
      </c>
      <c r="G2065">
        <v>0</v>
      </c>
      <c r="H2065">
        <v>2.6549855477894738E-3</v>
      </c>
      <c r="I2065" t="s">
        <v>176</v>
      </c>
      <c r="J2065">
        <v>3.0170290315789473E-2</v>
      </c>
      <c r="K2065">
        <v>0.87328336323199995</v>
      </c>
      <c r="L2065">
        <v>2.6384818570129746E-2</v>
      </c>
      <c r="M2065">
        <v>0.15830891142077846</v>
      </c>
      <c r="N2065">
        <v>1.0315922746527786</v>
      </c>
      <c r="O2065" t="s">
        <v>90</v>
      </c>
      <c r="P2065">
        <v>0</v>
      </c>
      <c r="Q2065" t="s">
        <v>90</v>
      </c>
      <c r="R2065">
        <v>0</v>
      </c>
      <c r="S2065" t="s">
        <v>90</v>
      </c>
      <c r="T2065">
        <v>0</v>
      </c>
      <c r="U2065" t="s">
        <v>90</v>
      </c>
      <c r="V2065">
        <v>0</v>
      </c>
      <c r="W2065" t="s">
        <v>90</v>
      </c>
      <c r="X2065">
        <v>0</v>
      </c>
      <c r="Y2065">
        <v>1.0315922746527786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113</v>
      </c>
      <c r="AF2065">
        <v>171</v>
      </c>
      <c r="AG2065">
        <v>52</v>
      </c>
      <c r="AI2065">
        <v>0.33400000000000002</v>
      </c>
      <c r="AK2065" t="s">
        <v>5035</v>
      </c>
      <c r="AL2065" t="s">
        <v>5209</v>
      </c>
      <c r="AM2065">
        <v>200000</v>
      </c>
      <c r="AN2065" t="s">
        <v>97</v>
      </c>
      <c r="AO2065">
        <v>1</v>
      </c>
      <c r="AP2065">
        <v>0</v>
      </c>
      <c r="AQ2065">
        <v>16666.666666666668</v>
      </c>
      <c r="AR2065" t="s">
        <v>6823</v>
      </c>
      <c r="AS2065" t="s">
        <v>75</v>
      </c>
      <c r="AX2065" t="s">
        <v>76</v>
      </c>
      <c r="AY2065" t="s">
        <v>176</v>
      </c>
      <c r="AZ2065">
        <v>0</v>
      </c>
      <c r="BA2065" t="s">
        <v>176</v>
      </c>
      <c r="BB2065">
        <v>0</v>
      </c>
    </row>
    <row r="2066" spans="1:56" x14ac:dyDescent="0.15">
      <c r="A2066" s="4" t="str">
        <f>HYPERLINK("https://ibp.a2mac1.com/costing(costing:projects/details/9760/part/8416372)","Harness")</f>
        <v>Harness</v>
      </c>
      <c r="B2066">
        <v>8416372</v>
      </c>
      <c r="C2066">
        <v>8416039</v>
      </c>
      <c r="E2066">
        <v>3.85</v>
      </c>
      <c r="F2066">
        <v>0</v>
      </c>
      <c r="G2066">
        <v>0</v>
      </c>
      <c r="H2066">
        <v>0</v>
      </c>
      <c r="I2066" t="s">
        <v>71</v>
      </c>
      <c r="J2066">
        <v>0</v>
      </c>
      <c r="K2066">
        <v>3.85</v>
      </c>
      <c r="L2066">
        <v>0</v>
      </c>
      <c r="M2066">
        <v>0</v>
      </c>
      <c r="N2066">
        <v>3.85</v>
      </c>
      <c r="O2066" t="s">
        <v>71</v>
      </c>
      <c r="P2066">
        <v>0</v>
      </c>
      <c r="Q2066" t="s">
        <v>71</v>
      </c>
      <c r="R2066">
        <v>0</v>
      </c>
      <c r="S2066" t="s">
        <v>71</v>
      </c>
      <c r="T2066">
        <v>0</v>
      </c>
      <c r="U2066" t="s">
        <v>71</v>
      </c>
      <c r="V2066">
        <v>0</v>
      </c>
      <c r="W2066" t="s">
        <v>71</v>
      </c>
      <c r="X2066">
        <v>0</v>
      </c>
      <c r="Y2066">
        <v>3.85</v>
      </c>
      <c r="Z2066">
        <v>0</v>
      </c>
      <c r="AA2066">
        <v>0</v>
      </c>
      <c r="AB2066">
        <v>0</v>
      </c>
      <c r="AC2066">
        <v>0</v>
      </c>
      <c r="AD2066">
        <v>0</v>
      </c>
      <c r="AI2066">
        <v>8.5999999999999993E-2</v>
      </c>
      <c r="AK2066" t="s">
        <v>365</v>
      </c>
      <c r="AL2066" t="s">
        <v>3168</v>
      </c>
      <c r="AM2066">
        <v>200000</v>
      </c>
      <c r="AN2066" t="s">
        <v>97</v>
      </c>
      <c r="AO2066">
        <v>1</v>
      </c>
      <c r="AP2066">
        <v>0</v>
      </c>
      <c r="AQ2066">
        <v>16666.666666666668</v>
      </c>
      <c r="AR2066" t="s">
        <v>6824</v>
      </c>
      <c r="AS2066" t="s">
        <v>75</v>
      </c>
      <c r="AX2066" t="s">
        <v>76</v>
      </c>
      <c r="AY2066" t="s">
        <v>71</v>
      </c>
      <c r="AZ2066">
        <v>0</v>
      </c>
      <c r="BA2066" t="s">
        <v>71</v>
      </c>
      <c r="BB2066">
        <v>0</v>
      </c>
      <c r="BD2066">
        <v>3.85</v>
      </c>
    </row>
    <row r="2067" spans="1:56" x14ac:dyDescent="0.15">
      <c r="A2067" s="4" t="str">
        <f>HYPERLINK("https://ibp.a2mac1.com/costing(costing:projects/details/9760/part/8416373)","Mirror Support")</f>
        <v>Mirror Support</v>
      </c>
      <c r="B2067">
        <v>8416373</v>
      </c>
      <c r="C2067">
        <v>8416039</v>
      </c>
      <c r="E2067">
        <v>0.27352171962886596</v>
      </c>
      <c r="F2067">
        <v>0</v>
      </c>
      <c r="G2067">
        <v>0</v>
      </c>
      <c r="H2067">
        <v>2.8488992329896905E-4</v>
      </c>
      <c r="I2067" t="s">
        <v>176</v>
      </c>
      <c r="J2067">
        <v>9.5876416494845365E-3</v>
      </c>
      <c r="K2067">
        <v>0.28339425120164946</v>
      </c>
      <c r="L2067">
        <v>8.484225793651724E-3</v>
      </c>
      <c r="M2067">
        <v>5.0905354761910347E-2</v>
      </c>
      <c r="N2067">
        <v>0.33429960596355984</v>
      </c>
      <c r="O2067" t="s">
        <v>90</v>
      </c>
      <c r="P2067">
        <v>0</v>
      </c>
      <c r="Q2067" t="s">
        <v>90</v>
      </c>
      <c r="R2067">
        <v>0</v>
      </c>
      <c r="S2067" t="s">
        <v>90</v>
      </c>
      <c r="T2067">
        <v>0</v>
      </c>
      <c r="U2067" t="s">
        <v>90</v>
      </c>
      <c r="V2067">
        <v>0</v>
      </c>
      <c r="W2067" t="s">
        <v>90</v>
      </c>
      <c r="X2067">
        <v>0</v>
      </c>
      <c r="Y2067">
        <v>0.33429960596355984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102</v>
      </c>
      <c r="AF2067">
        <v>160</v>
      </c>
      <c r="AG2067">
        <v>93</v>
      </c>
      <c r="AI2067">
        <v>0.124</v>
      </c>
      <c r="AK2067" t="s">
        <v>272</v>
      </c>
      <c r="AL2067" t="s">
        <v>446</v>
      </c>
      <c r="AM2067">
        <v>200000</v>
      </c>
      <c r="AN2067" t="s">
        <v>73</v>
      </c>
      <c r="AO2067">
        <v>1</v>
      </c>
      <c r="AP2067">
        <v>0</v>
      </c>
      <c r="AQ2067">
        <v>16666.666666666668</v>
      </c>
      <c r="AR2067" t="s">
        <v>6827</v>
      </c>
      <c r="AS2067" t="s">
        <v>75</v>
      </c>
      <c r="AX2067" t="s">
        <v>76</v>
      </c>
      <c r="AY2067" t="s">
        <v>176</v>
      </c>
      <c r="AZ2067">
        <v>0</v>
      </c>
      <c r="BA2067" t="s">
        <v>176</v>
      </c>
      <c r="BB2067">
        <v>0</v>
      </c>
    </row>
    <row r="2068" spans="1:56" x14ac:dyDescent="0.15">
      <c r="A2068" s="4" t="str">
        <f>HYPERLINK("https://ibp.a2mac1.com/costing(costing:projects/details/9760/part/8416374)","Lower Shell")</f>
        <v>Lower Shell</v>
      </c>
      <c r="B2068">
        <v>8416374</v>
      </c>
      <c r="C2068">
        <v>8416039</v>
      </c>
      <c r="E2068">
        <v>0.51229068</v>
      </c>
      <c r="F2068">
        <v>0</v>
      </c>
      <c r="G2068">
        <v>0</v>
      </c>
      <c r="H2068">
        <v>1.60596224E-3</v>
      </c>
      <c r="I2068" t="s">
        <v>176</v>
      </c>
      <c r="J2068">
        <v>1.7948795789473684E-2</v>
      </c>
      <c r="K2068">
        <v>0.5318454380294737</v>
      </c>
      <c r="L2068">
        <v>9.8555405852154165E-2</v>
      </c>
      <c r="M2068">
        <v>0.59133243511292499</v>
      </c>
      <c r="N2068">
        <v>1.1231778731423987</v>
      </c>
      <c r="O2068" t="s">
        <v>90</v>
      </c>
      <c r="P2068">
        <v>0</v>
      </c>
      <c r="Q2068" t="s">
        <v>90</v>
      </c>
      <c r="R2068">
        <v>0</v>
      </c>
      <c r="S2068" t="s">
        <v>90</v>
      </c>
      <c r="T2068">
        <v>0</v>
      </c>
      <c r="U2068" t="s">
        <v>90</v>
      </c>
      <c r="V2068">
        <v>0</v>
      </c>
      <c r="W2068" t="s">
        <v>90</v>
      </c>
      <c r="X2068">
        <v>0</v>
      </c>
      <c r="Y2068">
        <v>1.1231778731423987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139</v>
      </c>
      <c r="AF2068">
        <v>239</v>
      </c>
      <c r="AG2068">
        <v>46</v>
      </c>
      <c r="AI2068">
        <v>0.08</v>
      </c>
      <c r="AK2068" t="s">
        <v>5035</v>
      </c>
      <c r="AL2068" t="s">
        <v>435</v>
      </c>
      <c r="AM2068">
        <v>200000</v>
      </c>
      <c r="AN2068" t="s">
        <v>97</v>
      </c>
      <c r="AO2068">
        <v>1</v>
      </c>
      <c r="AP2068">
        <v>0</v>
      </c>
      <c r="AQ2068">
        <v>16666.666666666668</v>
      </c>
      <c r="AR2068" t="s">
        <v>6831</v>
      </c>
      <c r="AS2068" t="s">
        <v>75</v>
      </c>
      <c r="AX2068" t="s">
        <v>76</v>
      </c>
      <c r="AY2068" t="s">
        <v>176</v>
      </c>
      <c r="AZ2068">
        <v>0</v>
      </c>
      <c r="BA2068" t="s">
        <v>176</v>
      </c>
      <c r="BB2068">
        <v>0</v>
      </c>
    </row>
    <row r="2069" spans="1:56" x14ac:dyDescent="0.15">
      <c r="A2069" s="4" t="str">
        <f>HYPERLINK("https://ibp.a2mac1.com/costing(costing:projects/details/9760/part/8416375)","Support Cover")</f>
        <v>Support Cover</v>
      </c>
      <c r="B2069">
        <v>8416375</v>
      </c>
      <c r="C2069">
        <v>8416039</v>
      </c>
      <c r="E2069">
        <v>0.13966732500000001</v>
      </c>
      <c r="F2069">
        <v>0</v>
      </c>
      <c r="G2069">
        <v>0</v>
      </c>
      <c r="H2069">
        <v>7.0848788421052635E-4</v>
      </c>
      <c r="I2069" t="s">
        <v>176</v>
      </c>
      <c r="J2069">
        <v>4.9006078947368423E-3</v>
      </c>
      <c r="K2069">
        <v>0.14527642077894737</v>
      </c>
      <c r="L2069">
        <v>2.3211601582674491E-3</v>
      </c>
      <c r="M2069">
        <v>1.3926960949604694E-2</v>
      </c>
      <c r="N2069">
        <v>0.15920338172855206</v>
      </c>
      <c r="O2069" t="s">
        <v>90</v>
      </c>
      <c r="P2069">
        <v>0</v>
      </c>
      <c r="Q2069" t="s">
        <v>90</v>
      </c>
      <c r="R2069">
        <v>0</v>
      </c>
      <c r="S2069" t="s">
        <v>90</v>
      </c>
      <c r="T2069">
        <v>0</v>
      </c>
      <c r="U2069" t="s">
        <v>90</v>
      </c>
      <c r="V2069">
        <v>0</v>
      </c>
      <c r="W2069" t="s">
        <v>90</v>
      </c>
      <c r="X2069">
        <v>0</v>
      </c>
      <c r="Y2069">
        <v>0.15920338172855206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110</v>
      </c>
      <c r="AF2069">
        <v>166</v>
      </c>
      <c r="AG2069">
        <v>40</v>
      </c>
      <c r="AI2069">
        <v>0.05</v>
      </c>
      <c r="AK2069" t="s">
        <v>5035</v>
      </c>
      <c r="AL2069" t="s">
        <v>5234</v>
      </c>
      <c r="AM2069">
        <v>200000</v>
      </c>
      <c r="AN2069" t="s">
        <v>97</v>
      </c>
      <c r="AO2069">
        <v>1</v>
      </c>
      <c r="AP2069">
        <v>0</v>
      </c>
      <c r="AQ2069">
        <v>16666.666666666668</v>
      </c>
      <c r="AR2069" t="s">
        <v>6834</v>
      </c>
      <c r="AS2069" t="s">
        <v>75</v>
      </c>
      <c r="AX2069" t="s">
        <v>76</v>
      </c>
      <c r="AY2069" t="s">
        <v>176</v>
      </c>
      <c r="AZ2069">
        <v>0</v>
      </c>
      <c r="BA2069" t="s">
        <v>176</v>
      </c>
      <c r="BB2069">
        <v>0</v>
      </c>
    </row>
    <row r="2070" spans="1:56" x14ac:dyDescent="0.15">
      <c r="A2070" s="4" t="str">
        <f>HYPERLINK("https://ibp.a2mac1.com/costing(costing:projects/details/9760/part/8416376)","Support Lower Cover")</f>
        <v>Support Lower Cover</v>
      </c>
      <c r="B2070">
        <v>8416376</v>
      </c>
      <c r="C2070">
        <v>8416039</v>
      </c>
      <c r="E2070">
        <v>0.13966732500000001</v>
      </c>
      <c r="F2070">
        <v>0</v>
      </c>
      <c r="G2070">
        <v>0</v>
      </c>
      <c r="H2070">
        <v>7.0848788421052635E-4</v>
      </c>
      <c r="I2070" t="s">
        <v>176</v>
      </c>
      <c r="J2070">
        <v>4.9006078947368423E-3</v>
      </c>
      <c r="K2070">
        <v>0.14527642077894737</v>
      </c>
      <c r="L2070">
        <v>2.3211601582674491E-3</v>
      </c>
      <c r="M2070">
        <v>1.3926960949604694E-2</v>
      </c>
      <c r="N2070">
        <v>0.15920338172855206</v>
      </c>
      <c r="O2070" t="s">
        <v>90</v>
      </c>
      <c r="P2070">
        <v>0</v>
      </c>
      <c r="Q2070" t="s">
        <v>90</v>
      </c>
      <c r="R2070">
        <v>0</v>
      </c>
      <c r="S2070" t="s">
        <v>90</v>
      </c>
      <c r="T2070">
        <v>0</v>
      </c>
      <c r="U2070" t="s">
        <v>90</v>
      </c>
      <c r="V2070">
        <v>0</v>
      </c>
      <c r="W2070" t="s">
        <v>90</v>
      </c>
      <c r="X2070">
        <v>0</v>
      </c>
      <c r="Y2070">
        <v>0.15920338172855206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112</v>
      </c>
      <c r="AF2070">
        <v>173</v>
      </c>
      <c r="AG2070">
        <v>38</v>
      </c>
      <c r="AI2070">
        <v>0.05</v>
      </c>
      <c r="AK2070" t="s">
        <v>5035</v>
      </c>
      <c r="AL2070" t="s">
        <v>5234</v>
      </c>
      <c r="AM2070">
        <v>200000</v>
      </c>
      <c r="AN2070" t="s">
        <v>97</v>
      </c>
      <c r="AO2070">
        <v>1</v>
      </c>
      <c r="AP2070">
        <v>0</v>
      </c>
      <c r="AQ2070">
        <v>16666.666666666668</v>
      </c>
      <c r="AR2070" t="s">
        <v>6837</v>
      </c>
      <c r="AS2070" t="s">
        <v>75</v>
      </c>
      <c r="AX2070" t="s">
        <v>76</v>
      </c>
      <c r="AY2070" t="s">
        <v>176</v>
      </c>
      <c r="AZ2070">
        <v>0</v>
      </c>
      <c r="BA2070" t="s">
        <v>176</v>
      </c>
      <c r="BB2070">
        <v>0</v>
      </c>
    </row>
    <row r="2071" spans="1:56" x14ac:dyDescent="0.15">
      <c r="A2071" s="4" t="str">
        <f>HYPERLINK("https://ibp.a2mac1.com/costing(costing:projects/details/9760/part/8416377)","Support Seal")</f>
        <v>Support Seal</v>
      </c>
      <c r="B2071">
        <v>8416377</v>
      </c>
      <c r="C2071">
        <v>8416039</v>
      </c>
      <c r="E2071">
        <v>1.7132685631578947E-2</v>
      </c>
      <c r="F2071">
        <v>0</v>
      </c>
      <c r="G2071">
        <v>0</v>
      </c>
      <c r="H2071">
        <v>8.8011562736842105E-5</v>
      </c>
      <c r="I2071" t="s">
        <v>176</v>
      </c>
      <c r="J2071">
        <v>6.0877563157894733E-4</v>
      </c>
      <c r="K2071">
        <v>1.7829472825894737E-2</v>
      </c>
      <c r="L2071">
        <v>3.0171767124431421E-4</v>
      </c>
      <c r="M2071">
        <v>1.8103060274658853E-3</v>
      </c>
      <c r="N2071">
        <v>1.9639778853360622E-2</v>
      </c>
      <c r="O2071" t="s">
        <v>90</v>
      </c>
      <c r="P2071">
        <v>0</v>
      </c>
      <c r="Q2071" t="s">
        <v>90</v>
      </c>
      <c r="R2071">
        <v>0</v>
      </c>
      <c r="S2071" t="s">
        <v>90</v>
      </c>
      <c r="T2071">
        <v>0</v>
      </c>
      <c r="U2071" t="s">
        <v>90</v>
      </c>
      <c r="V2071">
        <v>0</v>
      </c>
      <c r="W2071" t="s">
        <v>90</v>
      </c>
      <c r="X2071">
        <v>0</v>
      </c>
      <c r="Y2071">
        <v>1.9639778853360622E-2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22</v>
      </c>
      <c r="AF2071">
        <v>109</v>
      </c>
      <c r="AG2071">
        <v>62</v>
      </c>
      <c r="AI2071">
        <v>1.2999999999999999E-2</v>
      </c>
      <c r="AK2071" t="s">
        <v>6206</v>
      </c>
      <c r="AL2071" t="s">
        <v>5242</v>
      </c>
      <c r="AM2071">
        <v>200000</v>
      </c>
      <c r="AN2071" t="s">
        <v>73</v>
      </c>
      <c r="AO2071">
        <v>1</v>
      </c>
      <c r="AP2071">
        <v>0</v>
      </c>
      <c r="AQ2071">
        <v>16666.666666666668</v>
      </c>
      <c r="AR2071" t="s">
        <v>6840</v>
      </c>
      <c r="AS2071" t="s">
        <v>75</v>
      </c>
      <c r="AX2071" t="s">
        <v>76</v>
      </c>
      <c r="AY2071" t="s">
        <v>176</v>
      </c>
      <c r="AZ2071">
        <v>0</v>
      </c>
      <c r="BA2071" t="s">
        <v>176</v>
      </c>
      <c r="BB2071">
        <v>0</v>
      </c>
    </row>
    <row r="2072" spans="1:56" x14ac:dyDescent="0.15">
      <c r="A2072" s="4" t="str">
        <f>HYPERLINK("https://ibp.a2mac1.com/costing(costing:projects/details/9760/part/8416378)","Seal Cover")</f>
        <v>Seal Cover</v>
      </c>
      <c r="B2072">
        <v>8416378</v>
      </c>
      <c r="C2072">
        <v>8416039</v>
      </c>
      <c r="E2072">
        <v>7.5157319999999998E-3</v>
      </c>
      <c r="F2072">
        <v>0</v>
      </c>
      <c r="G2072">
        <v>0</v>
      </c>
      <c r="H2072">
        <v>3.8124916210526314E-5</v>
      </c>
      <c r="I2072" t="s">
        <v>176</v>
      </c>
      <c r="J2072">
        <v>2.6370989473684212E-4</v>
      </c>
      <c r="K2072">
        <v>7.817566810947368E-3</v>
      </c>
      <c r="L2072">
        <v>1.8567124068331081E-4</v>
      </c>
      <c r="M2072">
        <v>1.1140274440998648E-3</v>
      </c>
      <c r="N2072">
        <v>8.9315942550472326E-3</v>
      </c>
      <c r="O2072" t="s">
        <v>90</v>
      </c>
      <c r="P2072">
        <v>0</v>
      </c>
      <c r="Q2072" t="s">
        <v>90</v>
      </c>
      <c r="R2072">
        <v>0</v>
      </c>
      <c r="S2072" t="s">
        <v>90</v>
      </c>
      <c r="T2072">
        <v>0</v>
      </c>
      <c r="U2072" t="s">
        <v>90</v>
      </c>
      <c r="V2072">
        <v>0</v>
      </c>
      <c r="W2072" t="s">
        <v>90</v>
      </c>
      <c r="X2072">
        <v>0</v>
      </c>
      <c r="Y2072">
        <v>8.9315942550472326E-3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92</v>
      </c>
      <c r="AF2072">
        <v>100</v>
      </c>
      <c r="AG2072">
        <v>4</v>
      </c>
      <c r="AI2072">
        <v>4.0000000000000001E-3</v>
      </c>
      <c r="AK2072" t="s">
        <v>5035</v>
      </c>
      <c r="AL2072" t="s">
        <v>403</v>
      </c>
      <c r="AM2072">
        <v>200000</v>
      </c>
      <c r="AN2072" t="s">
        <v>97</v>
      </c>
      <c r="AO2072">
        <v>1</v>
      </c>
      <c r="AP2072">
        <v>0</v>
      </c>
      <c r="AQ2072">
        <v>16666.666666666668</v>
      </c>
      <c r="AR2072" t="s">
        <v>6843</v>
      </c>
      <c r="AS2072" t="s">
        <v>75</v>
      </c>
      <c r="AX2072" t="s">
        <v>76</v>
      </c>
      <c r="AY2072" t="s">
        <v>176</v>
      </c>
      <c r="AZ2072">
        <v>0</v>
      </c>
      <c r="BA2072" t="s">
        <v>176</v>
      </c>
      <c r="BB2072">
        <v>0</v>
      </c>
    </row>
    <row r="2073" spans="1:56" x14ac:dyDescent="0.15">
      <c r="A2073" s="4" t="str">
        <f>HYPERLINK("https://ibp.a2mac1.com/costing(costing:projects/details/9760/part/8416379)","2nd Seal Cover")</f>
        <v>2nd Seal Cover</v>
      </c>
      <c r="B2073">
        <v>8416379</v>
      </c>
      <c r="C2073">
        <v>8416039</v>
      </c>
      <c r="E2073">
        <v>1.3178988947368421E-2</v>
      </c>
      <c r="F2073">
        <v>0</v>
      </c>
      <c r="G2073">
        <v>0</v>
      </c>
      <c r="H2073">
        <v>6.7701202105263156E-5</v>
      </c>
      <c r="I2073" t="s">
        <v>176</v>
      </c>
      <c r="J2073">
        <v>4.6828894736842104E-4</v>
      </c>
      <c r="K2073">
        <v>1.3714979096842106E-2</v>
      </c>
      <c r="L2073">
        <v>2.3208963704919518E-4</v>
      </c>
      <c r="M2073">
        <v>1.3925378222951711E-3</v>
      </c>
      <c r="N2073">
        <v>1.5107516919137276E-2</v>
      </c>
      <c r="O2073" t="s">
        <v>90</v>
      </c>
      <c r="P2073">
        <v>0</v>
      </c>
      <c r="Q2073" t="s">
        <v>90</v>
      </c>
      <c r="R2073">
        <v>0</v>
      </c>
      <c r="S2073" t="s">
        <v>90</v>
      </c>
      <c r="T2073">
        <v>0</v>
      </c>
      <c r="U2073" t="s">
        <v>90</v>
      </c>
      <c r="V2073">
        <v>0</v>
      </c>
      <c r="W2073" t="s">
        <v>90</v>
      </c>
      <c r="X2073">
        <v>0</v>
      </c>
      <c r="Y2073">
        <v>1.5107516919137276E-2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62</v>
      </c>
      <c r="AF2073">
        <v>62</v>
      </c>
      <c r="AG2073">
        <v>24</v>
      </c>
      <c r="AI2073">
        <v>0.01</v>
      </c>
      <c r="AK2073" t="s">
        <v>6206</v>
      </c>
      <c r="AL2073" t="s">
        <v>5242</v>
      </c>
      <c r="AM2073">
        <v>200000</v>
      </c>
      <c r="AN2073" t="s">
        <v>73</v>
      </c>
      <c r="AO2073">
        <v>1</v>
      </c>
      <c r="AP2073">
        <v>0</v>
      </c>
      <c r="AQ2073">
        <v>16666.666666666668</v>
      </c>
      <c r="AR2073" t="s">
        <v>6846</v>
      </c>
      <c r="AS2073" t="s">
        <v>75</v>
      </c>
      <c r="AX2073" t="s">
        <v>76</v>
      </c>
      <c r="AY2073" t="s">
        <v>176</v>
      </c>
      <c r="AZ2073">
        <v>0</v>
      </c>
      <c r="BA2073" t="s">
        <v>176</v>
      </c>
      <c r="BB2073">
        <v>0</v>
      </c>
    </row>
    <row r="2074" spans="1:56" x14ac:dyDescent="0.15">
      <c r="A2074" s="4" t="str">
        <f>HYPERLINK("https://ibp.a2mac1.com/costing(costing:projects/details/9760/part/8416380)","Turn Signal")</f>
        <v>Turn Signal</v>
      </c>
      <c r="B2074">
        <v>8416380</v>
      </c>
      <c r="C2074">
        <v>8416039</v>
      </c>
      <c r="E2074">
        <v>3.61</v>
      </c>
      <c r="F2074">
        <v>0</v>
      </c>
      <c r="G2074">
        <v>0</v>
      </c>
      <c r="H2074">
        <v>0</v>
      </c>
      <c r="I2074" t="s">
        <v>71</v>
      </c>
      <c r="J2074">
        <v>0</v>
      </c>
      <c r="K2074">
        <v>3.61</v>
      </c>
      <c r="L2074">
        <v>0</v>
      </c>
      <c r="M2074">
        <v>0</v>
      </c>
      <c r="N2074">
        <v>3.61</v>
      </c>
      <c r="O2074" t="s">
        <v>71</v>
      </c>
      <c r="P2074">
        <v>0</v>
      </c>
      <c r="Q2074" t="s">
        <v>71</v>
      </c>
      <c r="R2074">
        <v>0</v>
      </c>
      <c r="S2074" t="s">
        <v>71</v>
      </c>
      <c r="T2074">
        <v>0</v>
      </c>
      <c r="U2074" t="s">
        <v>71</v>
      </c>
      <c r="V2074">
        <v>0</v>
      </c>
      <c r="W2074" t="s">
        <v>71</v>
      </c>
      <c r="X2074">
        <v>0</v>
      </c>
      <c r="Y2074">
        <v>3.61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90</v>
      </c>
      <c r="AF2074">
        <v>232</v>
      </c>
      <c r="AG2074">
        <v>75</v>
      </c>
      <c r="AI2074">
        <v>8.6999999999999994E-2</v>
      </c>
      <c r="AK2074" t="s">
        <v>5035</v>
      </c>
      <c r="AL2074" t="s">
        <v>5255</v>
      </c>
      <c r="AM2074">
        <v>200000</v>
      </c>
      <c r="AN2074" t="s">
        <v>97</v>
      </c>
      <c r="AO2074">
        <v>1</v>
      </c>
      <c r="AP2074">
        <v>0</v>
      </c>
      <c r="AQ2074">
        <v>16666.666666666668</v>
      </c>
      <c r="AR2074" t="s">
        <v>6847</v>
      </c>
      <c r="AS2074" t="s">
        <v>75</v>
      </c>
      <c r="AX2074" t="s">
        <v>76</v>
      </c>
      <c r="AY2074" t="s">
        <v>71</v>
      </c>
      <c r="AZ2074">
        <v>0</v>
      </c>
      <c r="BA2074" t="s">
        <v>71</v>
      </c>
      <c r="BB2074">
        <v>0</v>
      </c>
      <c r="BD2074">
        <v>3.61</v>
      </c>
    </row>
    <row r="2075" spans="1:56" x14ac:dyDescent="0.15">
      <c r="A2075" s="4" t="str">
        <f>HYPERLINK("https://ibp.a2mac1.com/costing(costing:projects/details/9760/part/8416381)","Trim Signal")</f>
        <v>Trim Signal</v>
      </c>
      <c r="B2075">
        <v>8416381</v>
      </c>
      <c r="C2075">
        <v>8416039</v>
      </c>
      <c r="E2075">
        <v>4.7486890499999997E-2</v>
      </c>
      <c r="F2075">
        <v>0</v>
      </c>
      <c r="G2075">
        <v>0</v>
      </c>
      <c r="H2075">
        <v>2.4088588063157895E-4</v>
      </c>
      <c r="I2075" t="s">
        <v>176</v>
      </c>
      <c r="J2075">
        <v>1.6662066842105263E-3</v>
      </c>
      <c r="K2075">
        <v>4.9393983064842106E-2</v>
      </c>
      <c r="L2075">
        <v>3.9455587084421894E-4</v>
      </c>
      <c r="M2075">
        <v>2.3673352250653135E-3</v>
      </c>
      <c r="N2075">
        <v>5.1761318289907418E-2</v>
      </c>
      <c r="O2075" t="s">
        <v>90</v>
      </c>
      <c r="P2075">
        <v>0</v>
      </c>
      <c r="Q2075" t="s">
        <v>90</v>
      </c>
      <c r="R2075">
        <v>0</v>
      </c>
      <c r="S2075" t="s">
        <v>90</v>
      </c>
      <c r="T2075">
        <v>0</v>
      </c>
      <c r="U2075" t="s">
        <v>90</v>
      </c>
      <c r="V2075">
        <v>0</v>
      </c>
      <c r="W2075" t="s">
        <v>90</v>
      </c>
      <c r="X2075">
        <v>0</v>
      </c>
      <c r="Y2075">
        <v>5.1761318289907418E-2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38</v>
      </c>
      <c r="AF2075">
        <v>119</v>
      </c>
      <c r="AG2075">
        <v>44</v>
      </c>
      <c r="AI2075">
        <v>1.7000000000000001E-2</v>
      </c>
      <c r="AK2075" t="s">
        <v>5035</v>
      </c>
      <c r="AL2075" t="s">
        <v>5260</v>
      </c>
      <c r="AM2075">
        <v>200000</v>
      </c>
      <c r="AN2075" t="s">
        <v>97</v>
      </c>
      <c r="AO2075">
        <v>1</v>
      </c>
      <c r="AP2075">
        <v>0</v>
      </c>
      <c r="AQ2075">
        <v>16666.666666666668</v>
      </c>
      <c r="AR2075" t="s">
        <v>6850</v>
      </c>
      <c r="AS2075" t="s">
        <v>75</v>
      </c>
      <c r="AX2075" t="s">
        <v>76</v>
      </c>
      <c r="AY2075" t="s">
        <v>176</v>
      </c>
      <c r="AZ2075">
        <v>0</v>
      </c>
      <c r="BA2075" t="s">
        <v>176</v>
      </c>
      <c r="BB2075">
        <v>0</v>
      </c>
    </row>
    <row r="2076" spans="1:56" x14ac:dyDescent="0.15">
      <c r="A2076" s="4" t="str">
        <f>HYPERLINK("https://ibp.a2mac1.com/costing(costing:projects/details/9760/part/8416383)","Folding Motor Support")</f>
        <v>Folding Motor Support</v>
      </c>
      <c r="B2076">
        <v>8416383</v>
      </c>
      <c r="C2076">
        <v>8416039</v>
      </c>
      <c r="E2076">
        <v>6.6556066499999997E-2</v>
      </c>
      <c r="F2076">
        <v>0</v>
      </c>
      <c r="G2076">
        <v>0</v>
      </c>
      <c r="H2076">
        <v>3.3761774084210529E-4</v>
      </c>
      <c r="I2076" t="s">
        <v>176</v>
      </c>
      <c r="J2076">
        <v>2.3353005789473686E-3</v>
      </c>
      <c r="K2076">
        <v>6.922898481978948E-2</v>
      </c>
      <c r="L2076">
        <v>1.531899933371159E-3</v>
      </c>
      <c r="M2076">
        <v>9.1913996002269543E-3</v>
      </c>
      <c r="N2076">
        <v>7.8420384420016434E-2</v>
      </c>
      <c r="O2076" t="s">
        <v>90</v>
      </c>
      <c r="P2076">
        <v>0</v>
      </c>
      <c r="Q2076" t="s">
        <v>90</v>
      </c>
      <c r="R2076">
        <v>0</v>
      </c>
      <c r="S2076" t="s">
        <v>90</v>
      </c>
      <c r="T2076">
        <v>0</v>
      </c>
      <c r="U2076" t="s">
        <v>90</v>
      </c>
      <c r="V2076">
        <v>0</v>
      </c>
      <c r="W2076" t="s">
        <v>90</v>
      </c>
      <c r="X2076">
        <v>0</v>
      </c>
      <c r="Y2076">
        <v>7.8420384420016434E-2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83</v>
      </c>
      <c r="AF2076">
        <v>95</v>
      </c>
      <c r="AG2076">
        <v>30</v>
      </c>
      <c r="AI2076">
        <v>3.3000000000000002E-2</v>
      </c>
      <c r="AK2076" t="s">
        <v>5035</v>
      </c>
      <c r="AL2076" t="s">
        <v>749</v>
      </c>
      <c r="AM2076">
        <v>200000</v>
      </c>
      <c r="AN2076" t="s">
        <v>97</v>
      </c>
      <c r="AO2076">
        <v>1</v>
      </c>
      <c r="AP2076">
        <v>0</v>
      </c>
      <c r="AQ2076">
        <v>16666.666666666668</v>
      </c>
      <c r="AR2076" t="s">
        <v>6853</v>
      </c>
      <c r="AS2076" t="s">
        <v>75</v>
      </c>
      <c r="AX2076" t="s">
        <v>76</v>
      </c>
      <c r="AY2076" t="s">
        <v>176</v>
      </c>
      <c r="AZ2076">
        <v>0</v>
      </c>
      <c r="BA2076" t="s">
        <v>176</v>
      </c>
      <c r="BB2076">
        <v>0</v>
      </c>
    </row>
    <row r="2077" spans="1:56" x14ac:dyDescent="0.15">
      <c r="A2077" s="4" t="str">
        <f>HYPERLINK("https://ibp.a2mac1.com/costing(costing:projects/details/9760/part/8416385)","360 View Camera Support")</f>
        <v>360 View Camera Support</v>
      </c>
      <c r="B2077">
        <v>8416385</v>
      </c>
      <c r="C2077">
        <v>8416039</v>
      </c>
      <c r="E2077">
        <v>1.5133104E-2</v>
      </c>
      <c r="F2077">
        <v>0</v>
      </c>
      <c r="G2077">
        <v>0</v>
      </c>
      <c r="H2077">
        <v>7.6765419789473678E-5</v>
      </c>
      <c r="I2077" t="s">
        <v>176</v>
      </c>
      <c r="J2077">
        <v>5.3098610526315789E-4</v>
      </c>
      <c r="K2077">
        <v>1.5740855525052631E-2</v>
      </c>
      <c r="L2077">
        <v>2.7850826789310219E-4</v>
      </c>
      <c r="M2077">
        <v>1.6710496073586132E-3</v>
      </c>
      <c r="N2077">
        <v>1.7411905132411244E-2</v>
      </c>
      <c r="O2077" t="s">
        <v>177</v>
      </c>
      <c r="P2077">
        <v>9.4445133150315795E-4</v>
      </c>
      <c r="Q2077" t="s">
        <v>177</v>
      </c>
      <c r="R2077">
        <v>1.0026297644151679E-4</v>
      </c>
      <c r="S2077" t="s">
        <v>178</v>
      </c>
      <c r="T2077">
        <v>2.0894286158893494E-3</v>
      </c>
      <c r="U2077" t="s">
        <v>90</v>
      </c>
      <c r="V2077">
        <v>0</v>
      </c>
      <c r="W2077" t="s">
        <v>90</v>
      </c>
      <c r="X2077">
        <v>0</v>
      </c>
      <c r="Y2077">
        <v>2.054604805624527E-2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20</v>
      </c>
      <c r="AF2077">
        <v>65</v>
      </c>
      <c r="AG2077">
        <v>29</v>
      </c>
      <c r="AI2077">
        <v>6.0000000000000001E-3</v>
      </c>
      <c r="AK2077" t="s">
        <v>288</v>
      </c>
      <c r="AL2077" t="s">
        <v>448</v>
      </c>
      <c r="AM2077">
        <v>200000</v>
      </c>
      <c r="AN2077" t="s">
        <v>97</v>
      </c>
      <c r="AO2077">
        <v>1</v>
      </c>
      <c r="AP2077">
        <v>0</v>
      </c>
      <c r="AQ2077">
        <v>16666.666666666668</v>
      </c>
      <c r="AR2077" t="s">
        <v>6856</v>
      </c>
      <c r="AS2077" t="s">
        <v>75</v>
      </c>
      <c r="AX2077" t="s">
        <v>76</v>
      </c>
      <c r="AY2077" t="s">
        <v>176</v>
      </c>
      <c r="AZ2077">
        <v>0</v>
      </c>
      <c r="BA2077" t="s">
        <v>176</v>
      </c>
      <c r="BB2077">
        <v>0</v>
      </c>
    </row>
    <row r="2078" spans="1:56" x14ac:dyDescent="0.15">
      <c r="A2078" s="4" t="str">
        <f>HYPERLINK("https://ibp.a2mac1.com/costing(costing:projects/details/9760/part/8416386)","360 View Camera side Wire Harness")</f>
        <v>360 View Camera side Wire Harness</v>
      </c>
      <c r="B2078">
        <v>8416386</v>
      </c>
      <c r="C2078">
        <v>8416039</v>
      </c>
      <c r="E2078">
        <v>1.42</v>
      </c>
      <c r="F2078">
        <v>0</v>
      </c>
      <c r="G2078">
        <v>0</v>
      </c>
      <c r="H2078">
        <v>0</v>
      </c>
      <c r="I2078" t="s">
        <v>71</v>
      </c>
      <c r="J2078">
        <v>0</v>
      </c>
      <c r="K2078">
        <v>1.42</v>
      </c>
      <c r="L2078">
        <v>0</v>
      </c>
      <c r="M2078">
        <v>0</v>
      </c>
      <c r="N2078">
        <v>1.42</v>
      </c>
      <c r="O2078" t="s">
        <v>71</v>
      </c>
      <c r="P2078">
        <v>0</v>
      </c>
      <c r="Q2078" t="s">
        <v>71</v>
      </c>
      <c r="R2078">
        <v>0</v>
      </c>
      <c r="S2078" t="s">
        <v>71</v>
      </c>
      <c r="T2078">
        <v>0</v>
      </c>
      <c r="U2078" t="s">
        <v>71</v>
      </c>
      <c r="V2078">
        <v>0</v>
      </c>
      <c r="W2078" t="s">
        <v>71</v>
      </c>
      <c r="X2078">
        <v>0</v>
      </c>
      <c r="Y2078">
        <v>1.42</v>
      </c>
      <c r="Z2078">
        <v>0</v>
      </c>
      <c r="AA2078">
        <v>0</v>
      </c>
      <c r="AB2078">
        <v>0</v>
      </c>
      <c r="AC2078">
        <v>0</v>
      </c>
      <c r="AD2078">
        <v>0</v>
      </c>
      <c r="AI2078">
        <v>1.4999999999999999E-2</v>
      </c>
      <c r="AK2078" t="s">
        <v>323</v>
      </c>
      <c r="AL2078" t="s">
        <v>3168</v>
      </c>
      <c r="AM2078">
        <v>200000</v>
      </c>
      <c r="AN2078" t="s">
        <v>97</v>
      </c>
      <c r="AO2078">
        <v>1</v>
      </c>
      <c r="AP2078">
        <v>0</v>
      </c>
      <c r="AQ2078">
        <v>16666.666666666668</v>
      </c>
      <c r="AR2078" t="s">
        <v>6857</v>
      </c>
      <c r="AS2078" t="s">
        <v>75</v>
      </c>
      <c r="AX2078" t="s">
        <v>76</v>
      </c>
      <c r="AY2078" t="s">
        <v>71</v>
      </c>
      <c r="AZ2078">
        <v>0</v>
      </c>
      <c r="BA2078" t="s">
        <v>71</v>
      </c>
      <c r="BB2078">
        <v>0</v>
      </c>
      <c r="BD2078">
        <v>1.42</v>
      </c>
    </row>
    <row r="2079" spans="1:56" x14ac:dyDescent="0.15">
      <c r="A2079" s="4" t="str">
        <f>HYPERLINK("https://ibp.a2mac1.com/costing(costing:projects/details/9760/part/8416387)","Shell")</f>
        <v>Shell</v>
      </c>
      <c r="B2079">
        <v>8416387</v>
      </c>
      <c r="C2079">
        <v>8416039</v>
      </c>
      <c r="D2079" t="s">
        <v>6862</v>
      </c>
      <c r="E2079">
        <v>0.58616773242268039</v>
      </c>
      <c r="F2079">
        <v>0</v>
      </c>
      <c r="G2079">
        <v>0</v>
      </c>
      <c r="H2079">
        <v>1.5007206969072165E-3</v>
      </c>
      <c r="I2079" t="s">
        <v>176</v>
      </c>
      <c r="J2079">
        <v>2.0530917010309277E-2</v>
      </c>
      <c r="K2079">
        <v>0.60819937012989689</v>
      </c>
      <c r="L2079">
        <v>0.16017274449404048</v>
      </c>
      <c r="M2079">
        <v>0.96103646696424294</v>
      </c>
      <c r="N2079">
        <v>1.5692358370941399</v>
      </c>
      <c r="O2079" t="s">
        <v>90</v>
      </c>
      <c r="P2079">
        <v>0</v>
      </c>
      <c r="Q2079" t="s">
        <v>90</v>
      </c>
      <c r="R2079">
        <v>0</v>
      </c>
      <c r="S2079" t="s">
        <v>90</v>
      </c>
      <c r="T2079">
        <v>0</v>
      </c>
      <c r="U2079" t="s">
        <v>90</v>
      </c>
      <c r="V2079">
        <v>0</v>
      </c>
      <c r="W2079" t="s">
        <v>90</v>
      </c>
      <c r="X2079">
        <v>0</v>
      </c>
      <c r="Y2079">
        <v>1.5692358370941399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132</v>
      </c>
      <c r="AF2079">
        <v>237</v>
      </c>
      <c r="AG2079">
        <v>78</v>
      </c>
      <c r="AH2079">
        <v>0</v>
      </c>
      <c r="AI2079">
        <v>0.11</v>
      </c>
      <c r="AK2079" t="s">
        <v>5035</v>
      </c>
      <c r="AM2079">
        <v>200000</v>
      </c>
      <c r="AN2079" t="s">
        <v>97</v>
      </c>
      <c r="AO2079">
        <v>1</v>
      </c>
      <c r="AP2079">
        <v>0</v>
      </c>
      <c r="AQ2079">
        <v>16666.666666666668</v>
      </c>
      <c r="AR2079" t="s">
        <v>6863</v>
      </c>
      <c r="AS2079" t="s">
        <v>75</v>
      </c>
      <c r="AX2079" t="s">
        <v>76</v>
      </c>
      <c r="AY2079" t="s">
        <v>176</v>
      </c>
      <c r="AZ2079">
        <v>0</v>
      </c>
      <c r="BA2079" t="s">
        <v>176</v>
      </c>
      <c r="BB2079">
        <v>0</v>
      </c>
    </row>
    <row r="2080" spans="1:56" x14ac:dyDescent="0.15">
      <c r="A2080" s="4" t="str">
        <f>HYPERLINK("https://ibp.a2mac1.com/costing(costing:projects/details/9760/part/8416036)","Interior Trim")</f>
        <v>Interior Trim</v>
      </c>
      <c r="B2080">
        <v>8416036</v>
      </c>
      <c r="C2080">
        <v>8415685</v>
      </c>
      <c r="E2080">
        <v>2.1273829500000001E-2</v>
      </c>
      <c r="F2080">
        <v>0</v>
      </c>
      <c r="G2080">
        <v>0</v>
      </c>
      <c r="H2080">
        <v>1.0791536568421053E-4</v>
      </c>
      <c r="I2080" t="s">
        <v>176</v>
      </c>
      <c r="J2080">
        <v>7.4645015789473685E-4</v>
      </c>
      <c r="K2080">
        <v>2.2128195023578948E-2</v>
      </c>
      <c r="L2080">
        <v>5.1060493928297736E-4</v>
      </c>
      <c r="M2080">
        <v>3.0636296356978637E-3</v>
      </c>
      <c r="N2080">
        <v>2.5191824659276812E-2</v>
      </c>
      <c r="O2080" t="s">
        <v>90</v>
      </c>
      <c r="P2080">
        <v>0</v>
      </c>
      <c r="Q2080" t="s">
        <v>90</v>
      </c>
      <c r="R2080">
        <v>0</v>
      </c>
      <c r="S2080" t="s">
        <v>90</v>
      </c>
      <c r="T2080">
        <v>0</v>
      </c>
      <c r="U2080" t="s">
        <v>90</v>
      </c>
      <c r="V2080">
        <v>0</v>
      </c>
      <c r="W2080" t="s">
        <v>90</v>
      </c>
      <c r="X2080">
        <v>0</v>
      </c>
      <c r="Y2080">
        <v>2.5191824659276812E-2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31</v>
      </c>
      <c r="AF2080">
        <v>80</v>
      </c>
      <c r="AG2080">
        <v>67</v>
      </c>
      <c r="AI2080">
        <v>1.0999999999999999E-2</v>
      </c>
      <c r="AK2080" t="s">
        <v>5035</v>
      </c>
      <c r="AL2080" t="s">
        <v>951</v>
      </c>
      <c r="AM2080">
        <v>200000</v>
      </c>
      <c r="AN2080" t="s">
        <v>97</v>
      </c>
      <c r="AO2080">
        <v>1</v>
      </c>
      <c r="AP2080">
        <v>0</v>
      </c>
      <c r="AQ2080">
        <v>16666.666666666668</v>
      </c>
      <c r="AR2080" t="s">
        <v>6868</v>
      </c>
      <c r="AS2080" t="s">
        <v>75</v>
      </c>
      <c r="AX2080" t="s">
        <v>76</v>
      </c>
      <c r="AY2080" t="s">
        <v>176</v>
      </c>
      <c r="AZ2080">
        <v>0</v>
      </c>
      <c r="BA2080" t="s">
        <v>176</v>
      </c>
      <c r="BB2080">
        <v>0</v>
      </c>
    </row>
    <row r="2081" spans="1:56" x14ac:dyDescent="0.15">
      <c r="A2081" s="4" t="str">
        <f>HYPERLINK("https://ibp.a2mac1.com/costing(costing:projects/details/9760/part/8416037)","Inner Sound Insulation")</f>
        <v>Inner Sound Insulation</v>
      </c>
      <c r="B2081">
        <v>8416037</v>
      </c>
      <c r="C2081">
        <v>8415685</v>
      </c>
      <c r="E2081">
        <v>2.6737153608247422E-3</v>
      </c>
      <c r="F2081">
        <v>0</v>
      </c>
      <c r="G2081">
        <v>0</v>
      </c>
      <c r="H2081">
        <v>5.4679286597938147E-5</v>
      </c>
      <c r="I2081" t="s">
        <v>176</v>
      </c>
      <c r="J2081">
        <v>9.3720618556701035E-5</v>
      </c>
      <c r="K2081">
        <v>2.8221152659793814E-3</v>
      </c>
      <c r="L2081">
        <v>3.1128773885009866E-2</v>
      </c>
      <c r="M2081">
        <v>0.18677264331005919</v>
      </c>
      <c r="N2081">
        <v>0.18959475857603858</v>
      </c>
      <c r="O2081" t="s">
        <v>90</v>
      </c>
      <c r="P2081">
        <v>0</v>
      </c>
      <c r="Q2081" t="s">
        <v>90</v>
      </c>
      <c r="R2081">
        <v>0</v>
      </c>
      <c r="S2081" t="s">
        <v>90</v>
      </c>
      <c r="T2081">
        <v>0</v>
      </c>
      <c r="U2081" t="s">
        <v>90</v>
      </c>
      <c r="V2081">
        <v>0</v>
      </c>
      <c r="W2081" t="s">
        <v>90</v>
      </c>
      <c r="X2081">
        <v>0</v>
      </c>
      <c r="Y2081">
        <v>0.18959475857603858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18</v>
      </c>
      <c r="AF2081">
        <v>70</v>
      </c>
      <c r="AG2081">
        <v>48</v>
      </c>
      <c r="AI2081">
        <v>1E-3</v>
      </c>
      <c r="AK2081" t="s">
        <v>272</v>
      </c>
      <c r="AL2081" t="s">
        <v>2582</v>
      </c>
      <c r="AM2081">
        <v>200000</v>
      </c>
      <c r="AN2081" t="s">
        <v>73</v>
      </c>
      <c r="AO2081">
        <v>1</v>
      </c>
      <c r="AP2081">
        <v>0</v>
      </c>
      <c r="AQ2081">
        <v>16666.666666666668</v>
      </c>
      <c r="AR2081" t="s">
        <v>6872</v>
      </c>
      <c r="AS2081" t="s">
        <v>75</v>
      </c>
      <c r="AX2081" t="s">
        <v>76</v>
      </c>
      <c r="AY2081" t="s">
        <v>176</v>
      </c>
      <c r="AZ2081">
        <v>0</v>
      </c>
      <c r="BA2081" t="s">
        <v>176</v>
      </c>
      <c r="BB2081">
        <v>0</v>
      </c>
    </row>
    <row r="2082" spans="1:56" x14ac:dyDescent="0.15">
      <c r="A2082" s="4" t="str">
        <f>HYPERLINK("https://ibp.a2mac1.com/costing(costing:projects/details/9760/part/8416038)","Fasteners Cover")</f>
        <v>Fasteners Cover</v>
      </c>
      <c r="B2082">
        <v>8416038</v>
      </c>
      <c r="C2082">
        <v>8415685</v>
      </c>
      <c r="E2082">
        <v>0.2</v>
      </c>
      <c r="F2082">
        <v>0</v>
      </c>
      <c r="G2082">
        <v>0</v>
      </c>
      <c r="H2082">
        <v>0</v>
      </c>
      <c r="I2082" t="s">
        <v>71</v>
      </c>
      <c r="J2082">
        <v>0</v>
      </c>
      <c r="K2082">
        <v>0.2</v>
      </c>
      <c r="L2082">
        <v>0</v>
      </c>
      <c r="M2082">
        <v>0</v>
      </c>
      <c r="N2082">
        <v>0.2</v>
      </c>
      <c r="O2082" t="s">
        <v>71</v>
      </c>
      <c r="P2082">
        <v>0</v>
      </c>
      <c r="Q2082" t="s">
        <v>71</v>
      </c>
      <c r="R2082">
        <v>0</v>
      </c>
      <c r="S2082" t="s">
        <v>71</v>
      </c>
      <c r="T2082">
        <v>0</v>
      </c>
      <c r="U2082" t="s">
        <v>71</v>
      </c>
      <c r="V2082">
        <v>0</v>
      </c>
      <c r="W2082" t="s">
        <v>71</v>
      </c>
      <c r="X2082">
        <v>0</v>
      </c>
      <c r="Y2082">
        <v>0.2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3</v>
      </c>
      <c r="AF2082">
        <v>123</v>
      </c>
      <c r="AG2082">
        <v>90</v>
      </c>
      <c r="AI2082">
        <v>2.9000000000000001E-2</v>
      </c>
      <c r="AK2082" t="s">
        <v>272</v>
      </c>
      <c r="AL2082" t="s">
        <v>5295</v>
      </c>
      <c r="AM2082">
        <v>200000</v>
      </c>
      <c r="AN2082" t="s">
        <v>73</v>
      </c>
      <c r="AO2082">
        <v>1</v>
      </c>
      <c r="AP2082">
        <v>0</v>
      </c>
      <c r="AQ2082">
        <v>16666.666666666668</v>
      </c>
      <c r="AR2082" t="s">
        <v>6873</v>
      </c>
      <c r="AS2082" t="s">
        <v>75</v>
      </c>
      <c r="AX2082" t="s">
        <v>76</v>
      </c>
      <c r="AY2082" t="s">
        <v>71</v>
      </c>
      <c r="AZ2082">
        <v>0</v>
      </c>
      <c r="BA2082" t="s">
        <v>71</v>
      </c>
      <c r="BB2082">
        <v>0</v>
      </c>
      <c r="BD2082">
        <v>0.2</v>
      </c>
    </row>
    <row r="2083" spans="1:56" x14ac:dyDescent="0.15">
      <c r="A2083" s="4" t="str">
        <f>HYPERLINK("https://ibp.a2mac1.com/costing(costing:projects/details/9760/part/8416040)","Electric Windows Lift Control")</f>
        <v>Electric Windows Lift Control</v>
      </c>
      <c r="B2083">
        <v>8416040</v>
      </c>
      <c r="C2083">
        <v>8415686</v>
      </c>
      <c r="E2083">
        <v>4.03</v>
      </c>
      <c r="F2083">
        <v>0</v>
      </c>
      <c r="G2083">
        <v>0</v>
      </c>
      <c r="H2083">
        <v>0</v>
      </c>
      <c r="I2083" t="s">
        <v>71</v>
      </c>
      <c r="J2083">
        <v>0</v>
      </c>
      <c r="K2083">
        <v>4.03</v>
      </c>
      <c r="L2083">
        <v>0</v>
      </c>
      <c r="M2083">
        <v>0</v>
      </c>
      <c r="N2083">
        <v>4.03</v>
      </c>
      <c r="O2083" t="s">
        <v>71</v>
      </c>
      <c r="P2083">
        <v>0</v>
      </c>
      <c r="Q2083" t="s">
        <v>71</v>
      </c>
      <c r="R2083">
        <v>0</v>
      </c>
      <c r="S2083" t="s">
        <v>71</v>
      </c>
      <c r="T2083">
        <v>0</v>
      </c>
      <c r="U2083" t="s">
        <v>71</v>
      </c>
      <c r="V2083">
        <v>0</v>
      </c>
      <c r="W2083" t="s">
        <v>71</v>
      </c>
      <c r="X2083">
        <v>0</v>
      </c>
      <c r="Y2083">
        <v>4.03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47</v>
      </c>
      <c r="AF2083">
        <v>57</v>
      </c>
      <c r="AG2083">
        <v>111</v>
      </c>
      <c r="AI2083">
        <v>0.104</v>
      </c>
      <c r="AK2083" t="s">
        <v>365</v>
      </c>
      <c r="AL2083" t="s">
        <v>466</v>
      </c>
      <c r="AM2083">
        <v>200000</v>
      </c>
      <c r="AN2083" t="s">
        <v>97</v>
      </c>
      <c r="AO2083">
        <v>1</v>
      </c>
      <c r="AP2083">
        <v>0</v>
      </c>
      <c r="AQ2083">
        <v>16666.666666666668</v>
      </c>
      <c r="AR2083" t="s">
        <v>6876</v>
      </c>
      <c r="AS2083" t="s">
        <v>75</v>
      </c>
      <c r="AX2083" t="s">
        <v>76</v>
      </c>
      <c r="AY2083" t="s">
        <v>71</v>
      </c>
      <c r="AZ2083">
        <v>0</v>
      </c>
      <c r="BA2083" t="s">
        <v>71</v>
      </c>
      <c r="BB2083">
        <v>0</v>
      </c>
      <c r="BD2083">
        <v>4.03</v>
      </c>
    </row>
    <row r="2084" spans="1:56" x14ac:dyDescent="0.15">
      <c r="A2084" s="4" t="str">
        <f>HYPERLINK("https://ibp.a2mac1.com/costing(costing:projects/details/9760/part/8416041)","Electric Window Lift Control Support")</f>
        <v>Electric Window Lift Control Support</v>
      </c>
      <c r="B2084">
        <v>8416041</v>
      </c>
      <c r="C2084">
        <v>8415686</v>
      </c>
      <c r="E2084">
        <v>1.6523466226804125E-2</v>
      </c>
      <c r="F2084">
        <v>0</v>
      </c>
      <c r="G2084">
        <v>0</v>
      </c>
      <c r="H2084">
        <v>1.7210220206185568E-5</v>
      </c>
      <c r="I2084" t="s">
        <v>176</v>
      </c>
      <c r="J2084">
        <v>5.7919010309278349E-4</v>
      </c>
      <c r="K2084">
        <v>1.7119866550103092E-2</v>
      </c>
      <c r="L2084">
        <v>2.1890851026443729E-3</v>
      </c>
      <c r="M2084">
        <v>1.3134510615866238E-2</v>
      </c>
      <c r="N2084">
        <v>3.0254377165969331E-2</v>
      </c>
      <c r="O2084" t="s">
        <v>177</v>
      </c>
      <c r="P2084">
        <v>1.0271919930061855E-3</v>
      </c>
      <c r="Q2084" t="s">
        <v>177</v>
      </c>
      <c r="R2084">
        <v>7.8807063695197422E-4</v>
      </c>
      <c r="S2084" t="s">
        <v>178</v>
      </c>
      <c r="T2084">
        <v>3.6305252599163197E-3</v>
      </c>
      <c r="U2084" t="s">
        <v>90</v>
      </c>
      <c r="V2084">
        <v>0</v>
      </c>
      <c r="W2084" t="s">
        <v>90</v>
      </c>
      <c r="X2084">
        <v>0</v>
      </c>
      <c r="Y2084">
        <v>3.5700165055843808E-2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K2084" t="s">
        <v>5305</v>
      </c>
      <c r="AM2084">
        <v>200000</v>
      </c>
      <c r="AN2084" t="s">
        <v>97</v>
      </c>
      <c r="AO2084">
        <v>1</v>
      </c>
      <c r="AP2084">
        <v>0</v>
      </c>
      <c r="AQ2084">
        <v>16666.666666666668</v>
      </c>
      <c r="AR2084" t="s">
        <v>6881</v>
      </c>
      <c r="AS2084" t="s">
        <v>75</v>
      </c>
      <c r="AV2084">
        <v>0</v>
      </c>
      <c r="AW2084">
        <v>0</v>
      </c>
      <c r="AX2084" t="s">
        <v>76</v>
      </c>
      <c r="AY2084" t="s">
        <v>176</v>
      </c>
      <c r="AZ2084">
        <v>0</v>
      </c>
      <c r="BA2084" t="s">
        <v>176</v>
      </c>
      <c r="BB2084">
        <v>0</v>
      </c>
    </row>
    <row r="2085" spans="1:56" x14ac:dyDescent="0.15">
      <c r="A2085" s="4" t="str">
        <f>HYPERLINK("https://ibp.a2mac1.com/costing(costing:projects/details/9760/part/8416042)","Speaker")</f>
        <v>Speaker</v>
      </c>
      <c r="B2085">
        <v>8416042</v>
      </c>
      <c r="C2085">
        <v>8415687</v>
      </c>
      <c r="E2085">
        <v>5.86</v>
      </c>
      <c r="F2085">
        <v>0</v>
      </c>
      <c r="G2085">
        <v>0</v>
      </c>
      <c r="H2085">
        <v>0</v>
      </c>
      <c r="I2085" t="s">
        <v>71</v>
      </c>
      <c r="J2085">
        <v>0</v>
      </c>
      <c r="K2085">
        <v>5.86</v>
      </c>
      <c r="L2085">
        <v>0</v>
      </c>
      <c r="M2085">
        <v>0</v>
      </c>
      <c r="N2085">
        <v>5.86</v>
      </c>
      <c r="O2085" t="s">
        <v>71</v>
      </c>
      <c r="P2085">
        <v>0</v>
      </c>
      <c r="Q2085" t="s">
        <v>71</v>
      </c>
      <c r="R2085">
        <v>0</v>
      </c>
      <c r="S2085" t="s">
        <v>71</v>
      </c>
      <c r="T2085">
        <v>0</v>
      </c>
      <c r="U2085" t="s">
        <v>71</v>
      </c>
      <c r="V2085">
        <v>0</v>
      </c>
      <c r="W2085" t="s">
        <v>71</v>
      </c>
      <c r="X2085">
        <v>0</v>
      </c>
      <c r="Y2085">
        <v>5.86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75</v>
      </c>
      <c r="AF2085">
        <v>195</v>
      </c>
      <c r="AG2085">
        <v>196</v>
      </c>
      <c r="AI2085">
        <v>0.83</v>
      </c>
      <c r="AK2085" t="s">
        <v>284</v>
      </c>
      <c r="AL2085" t="s">
        <v>1397</v>
      </c>
      <c r="AM2085">
        <v>200000</v>
      </c>
      <c r="AN2085" t="s">
        <v>97</v>
      </c>
      <c r="AO2085">
        <v>1</v>
      </c>
      <c r="AP2085">
        <v>0</v>
      </c>
      <c r="AQ2085">
        <v>16666.666666666668</v>
      </c>
      <c r="AR2085" t="s">
        <v>6884</v>
      </c>
      <c r="AS2085" t="s">
        <v>75</v>
      </c>
      <c r="AX2085" t="s">
        <v>76</v>
      </c>
      <c r="AY2085" t="s">
        <v>71</v>
      </c>
      <c r="AZ2085">
        <v>0</v>
      </c>
      <c r="BA2085" t="s">
        <v>71</v>
      </c>
      <c r="BB2085">
        <v>0</v>
      </c>
      <c r="BD2085">
        <v>5.86</v>
      </c>
    </row>
    <row r="2086" spans="1:56" x14ac:dyDescent="0.15">
      <c r="A2086" s="4" t="str">
        <f>HYPERLINK("https://ibp.a2mac1.com/costing(costing:projects/details/9760/part/8416043)","Medium")</f>
        <v>Medium</v>
      </c>
      <c r="B2086">
        <v>8416043</v>
      </c>
      <c r="C2086">
        <v>8415687</v>
      </c>
      <c r="E2086">
        <v>3.68</v>
      </c>
      <c r="F2086">
        <v>0</v>
      </c>
      <c r="G2086">
        <v>0</v>
      </c>
      <c r="H2086">
        <v>0</v>
      </c>
      <c r="I2086" t="s">
        <v>71</v>
      </c>
      <c r="J2086">
        <v>0</v>
      </c>
      <c r="K2086">
        <v>3.68</v>
      </c>
      <c r="L2086">
        <v>0</v>
      </c>
      <c r="M2086">
        <v>0</v>
      </c>
      <c r="N2086">
        <v>3.68</v>
      </c>
      <c r="O2086" t="s">
        <v>71</v>
      </c>
      <c r="P2086">
        <v>0</v>
      </c>
      <c r="Q2086" t="s">
        <v>71</v>
      </c>
      <c r="R2086">
        <v>0</v>
      </c>
      <c r="S2086" t="s">
        <v>71</v>
      </c>
      <c r="T2086">
        <v>0</v>
      </c>
      <c r="U2086" t="s">
        <v>71</v>
      </c>
      <c r="V2086">
        <v>0</v>
      </c>
      <c r="W2086" t="s">
        <v>71</v>
      </c>
      <c r="X2086">
        <v>0</v>
      </c>
      <c r="Y2086">
        <v>3.68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38</v>
      </c>
      <c r="AF2086">
        <v>86</v>
      </c>
      <c r="AG2086">
        <v>110</v>
      </c>
      <c r="AI2086">
        <v>9.9000000000000005E-2</v>
      </c>
      <c r="AK2086" t="s">
        <v>284</v>
      </c>
      <c r="AL2086" t="s">
        <v>5187</v>
      </c>
      <c r="AM2086">
        <v>200000</v>
      </c>
      <c r="AN2086" t="s">
        <v>97</v>
      </c>
      <c r="AO2086">
        <v>1</v>
      </c>
      <c r="AP2086">
        <v>0</v>
      </c>
      <c r="AQ2086">
        <v>16666.666666666668</v>
      </c>
      <c r="AR2086" t="s">
        <v>6885</v>
      </c>
      <c r="AS2086" t="s">
        <v>75</v>
      </c>
      <c r="AX2086" t="s">
        <v>76</v>
      </c>
      <c r="AY2086" t="s">
        <v>71</v>
      </c>
      <c r="AZ2086">
        <v>0</v>
      </c>
      <c r="BA2086" t="s">
        <v>71</v>
      </c>
      <c r="BB2086">
        <v>0</v>
      </c>
      <c r="BD2086">
        <v>3.68</v>
      </c>
    </row>
    <row r="2087" spans="1:56" x14ac:dyDescent="0.15">
      <c r="A2087" s="4" t="str">
        <f>HYPERLINK("https://ibp.a2mac1.com/costing(costing:projects/details/9760/part/8415688)","Door Moisture Shield")</f>
        <v>Door Moisture Shield</v>
      </c>
      <c r="B2087">
        <v>8415688</v>
      </c>
      <c r="C2087">
        <v>8415587</v>
      </c>
      <c r="E2087">
        <v>0.13214344375000001</v>
      </c>
      <c r="F2087">
        <v>0</v>
      </c>
      <c r="G2087">
        <v>0</v>
      </c>
      <c r="H2087">
        <v>2.772051875E-4</v>
      </c>
      <c r="I2087" t="s">
        <v>176</v>
      </c>
      <c r="J2087">
        <v>4.709796875E-3</v>
      </c>
      <c r="K2087">
        <v>0.1371304458125</v>
      </c>
      <c r="L2087">
        <v>2.6849282026233646E-2</v>
      </c>
      <c r="M2087">
        <v>0.16109569215740185</v>
      </c>
      <c r="N2087">
        <v>0.29822613796990188</v>
      </c>
      <c r="O2087" t="s">
        <v>177</v>
      </c>
      <c r="P2087">
        <v>8.2278267487500001E-3</v>
      </c>
      <c r="Q2087" t="s">
        <v>177</v>
      </c>
      <c r="R2087">
        <v>9.6657415294441121E-3</v>
      </c>
      <c r="S2087" t="s">
        <v>178</v>
      </c>
      <c r="T2087">
        <v>3.5787136556388224E-2</v>
      </c>
      <c r="U2087" t="s">
        <v>90</v>
      </c>
      <c r="V2087">
        <v>0</v>
      </c>
      <c r="W2087" t="s">
        <v>90</v>
      </c>
      <c r="X2087">
        <v>0</v>
      </c>
      <c r="Y2087">
        <v>0.3519068428044842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7</v>
      </c>
      <c r="AF2087">
        <v>362</v>
      </c>
      <c r="AG2087">
        <v>413</v>
      </c>
      <c r="AI2087">
        <v>6.8000000000000005E-2</v>
      </c>
      <c r="AK2087" t="s">
        <v>5305</v>
      </c>
      <c r="AL2087" t="s">
        <v>5515</v>
      </c>
      <c r="AM2087">
        <v>200000</v>
      </c>
      <c r="AN2087" t="s">
        <v>97</v>
      </c>
      <c r="AO2087">
        <v>1</v>
      </c>
      <c r="AP2087">
        <v>0</v>
      </c>
      <c r="AQ2087">
        <v>16666.666666666668</v>
      </c>
      <c r="AR2087" t="s">
        <v>6890</v>
      </c>
      <c r="AS2087" t="s">
        <v>75</v>
      </c>
      <c r="AX2087" t="s">
        <v>76</v>
      </c>
      <c r="AY2087" t="s">
        <v>176</v>
      </c>
      <c r="AZ2087">
        <v>0</v>
      </c>
      <c r="BA2087" t="s">
        <v>176</v>
      </c>
      <c r="BB2087">
        <v>0</v>
      </c>
    </row>
    <row r="2088" spans="1:56" x14ac:dyDescent="0.15">
      <c r="A2088" s="4" t="str">
        <f>HYPERLINK("https://ibp.a2mac1.com/costing(costing:projects/details/9760/part/8415689)","Hole Plug")</f>
        <v>Hole Plug</v>
      </c>
      <c r="B2088">
        <v>8415689</v>
      </c>
      <c r="C2088">
        <v>8415587</v>
      </c>
      <c r="E2088">
        <v>0.1</v>
      </c>
      <c r="F2088">
        <v>0</v>
      </c>
      <c r="G2088">
        <v>0</v>
      </c>
      <c r="H2088">
        <v>0</v>
      </c>
      <c r="I2088" t="s">
        <v>71</v>
      </c>
      <c r="J2088">
        <v>0</v>
      </c>
      <c r="K2088">
        <v>0.1</v>
      </c>
      <c r="L2088">
        <v>0</v>
      </c>
      <c r="M2088">
        <v>0</v>
      </c>
      <c r="N2088">
        <v>0.1</v>
      </c>
      <c r="O2088" t="s">
        <v>71</v>
      </c>
      <c r="P2088">
        <v>0</v>
      </c>
      <c r="Q2088" t="s">
        <v>71</v>
      </c>
      <c r="R2088">
        <v>0</v>
      </c>
      <c r="S2088" t="s">
        <v>71</v>
      </c>
      <c r="T2088">
        <v>0</v>
      </c>
      <c r="U2088" t="s">
        <v>71</v>
      </c>
      <c r="V2088">
        <v>0</v>
      </c>
      <c r="W2088" t="s">
        <v>71</v>
      </c>
      <c r="X2088">
        <v>0</v>
      </c>
      <c r="Y2088">
        <v>0.1</v>
      </c>
      <c r="Z2088">
        <v>0</v>
      </c>
      <c r="AA2088">
        <v>0</v>
      </c>
      <c r="AB2088">
        <v>0</v>
      </c>
      <c r="AC2088">
        <v>0</v>
      </c>
      <c r="AD2088">
        <v>0</v>
      </c>
      <c r="AI2088">
        <v>1E-4</v>
      </c>
      <c r="AK2088" t="s">
        <v>5305</v>
      </c>
      <c r="AL2088" t="s">
        <v>2246</v>
      </c>
      <c r="AM2088">
        <v>200000</v>
      </c>
      <c r="AN2088" t="s">
        <v>97</v>
      </c>
      <c r="AO2088">
        <v>1</v>
      </c>
      <c r="AP2088">
        <v>0</v>
      </c>
      <c r="AQ2088">
        <v>16666.666666666668</v>
      </c>
      <c r="AR2088" t="s">
        <v>6891</v>
      </c>
      <c r="AS2088" t="s">
        <v>75</v>
      </c>
      <c r="AX2088" t="s">
        <v>76</v>
      </c>
      <c r="AY2088" t="s">
        <v>71</v>
      </c>
      <c r="AZ2088">
        <v>0</v>
      </c>
      <c r="BA2088" t="s">
        <v>71</v>
      </c>
      <c r="BB2088">
        <v>0</v>
      </c>
      <c r="BD2088">
        <v>0.1</v>
      </c>
    </row>
    <row r="2089" spans="1:56" x14ac:dyDescent="0.15">
      <c r="A2089" s="4" t="str">
        <f>HYPERLINK("https://ibp.a2mac1.com/costing(costing:projects/details/9760/part/8415690)","Water Drainage Outlet")</f>
        <v>Water Drainage Outlet</v>
      </c>
      <c r="B2089">
        <v>8415690</v>
      </c>
      <c r="C2089">
        <v>8415587</v>
      </c>
      <c r="E2089">
        <v>0.2</v>
      </c>
      <c r="F2089">
        <v>0</v>
      </c>
      <c r="G2089">
        <v>0</v>
      </c>
      <c r="H2089">
        <v>0</v>
      </c>
      <c r="I2089" t="s">
        <v>71</v>
      </c>
      <c r="J2089">
        <v>0</v>
      </c>
      <c r="K2089">
        <v>0.2</v>
      </c>
      <c r="L2089">
        <v>0</v>
      </c>
      <c r="M2089">
        <v>0</v>
      </c>
      <c r="N2089">
        <v>0.2</v>
      </c>
      <c r="O2089" t="s">
        <v>71</v>
      </c>
      <c r="P2089">
        <v>0</v>
      </c>
      <c r="Q2089" t="s">
        <v>71</v>
      </c>
      <c r="R2089">
        <v>0</v>
      </c>
      <c r="S2089" t="s">
        <v>71</v>
      </c>
      <c r="T2089">
        <v>0</v>
      </c>
      <c r="U2089" t="s">
        <v>71</v>
      </c>
      <c r="V2089">
        <v>0</v>
      </c>
      <c r="W2089" t="s">
        <v>71</v>
      </c>
      <c r="X2089">
        <v>0</v>
      </c>
      <c r="Y2089">
        <v>0.2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8</v>
      </c>
      <c r="AF2089">
        <v>28</v>
      </c>
      <c r="AG2089">
        <v>28</v>
      </c>
      <c r="AI2089">
        <v>3.0000000000000001E-3</v>
      </c>
      <c r="AK2089" t="s">
        <v>5305</v>
      </c>
      <c r="AL2089" t="s">
        <v>403</v>
      </c>
      <c r="AM2089">
        <v>400000</v>
      </c>
      <c r="AN2089" t="s">
        <v>97</v>
      </c>
      <c r="AO2089">
        <v>2</v>
      </c>
      <c r="AP2089">
        <v>0</v>
      </c>
      <c r="AQ2089">
        <v>33333.333333333336</v>
      </c>
      <c r="AR2089" t="s">
        <v>6892</v>
      </c>
      <c r="AS2089" t="s">
        <v>75</v>
      </c>
      <c r="AX2089" t="s">
        <v>76</v>
      </c>
      <c r="AY2089" t="s">
        <v>71</v>
      </c>
      <c r="AZ2089">
        <v>0</v>
      </c>
      <c r="BA2089" t="s">
        <v>71</v>
      </c>
      <c r="BB2089">
        <v>0</v>
      </c>
      <c r="BD2089">
        <v>0.1</v>
      </c>
    </row>
    <row r="2090" spans="1:56" x14ac:dyDescent="0.15">
      <c r="A2090" s="4" t="str">
        <f>HYPERLINK("https://ibp.a2mac1.com/costing(costing:projects/details/9760/part/8415691)","Covering Cowl Air Inlet Central Single")</f>
        <v>Covering Cowl Air Inlet Central Single</v>
      </c>
      <c r="B2090">
        <v>8415691</v>
      </c>
      <c r="C2090">
        <v>8415590</v>
      </c>
      <c r="E2090">
        <v>3.135939177</v>
      </c>
      <c r="F2090">
        <v>0</v>
      </c>
      <c r="G2090">
        <v>0</v>
      </c>
      <c r="H2090">
        <v>1.5907621288842107E-2</v>
      </c>
      <c r="I2090" t="s">
        <v>176</v>
      </c>
      <c r="J2090">
        <v>0.11003295357894737</v>
      </c>
      <c r="K2090">
        <v>3.2618797518677893</v>
      </c>
      <c r="L2090">
        <v>0.25314219611942046</v>
      </c>
      <c r="M2090">
        <v>1.518853176716523</v>
      </c>
      <c r="N2090">
        <v>4.7807329285843121</v>
      </c>
      <c r="O2090" t="s">
        <v>177</v>
      </c>
      <c r="P2090">
        <v>0.19571278511206736</v>
      </c>
      <c r="Q2090" t="s">
        <v>177</v>
      </c>
      <c r="R2090">
        <v>9.1131190602991366E-2</v>
      </c>
      <c r="S2090" t="s">
        <v>178</v>
      </c>
      <c r="T2090">
        <v>0.57368795143011753</v>
      </c>
      <c r="U2090" t="s">
        <v>90</v>
      </c>
      <c r="V2090">
        <v>0</v>
      </c>
      <c r="W2090" t="s">
        <v>90</v>
      </c>
      <c r="X2090">
        <v>0</v>
      </c>
      <c r="Y2090">
        <v>5.6412648557294887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537</v>
      </c>
      <c r="AF2090">
        <v>1533</v>
      </c>
      <c r="AG2090">
        <v>84</v>
      </c>
      <c r="AI2090">
        <v>1.669</v>
      </c>
      <c r="AK2090" t="s">
        <v>740</v>
      </c>
      <c r="AL2090" t="s">
        <v>951</v>
      </c>
      <c r="AM2090">
        <v>200000</v>
      </c>
      <c r="AN2090" t="s">
        <v>97</v>
      </c>
      <c r="AO2090">
        <v>1</v>
      </c>
      <c r="AP2090">
        <v>0</v>
      </c>
      <c r="AQ2090">
        <v>16666.666666666668</v>
      </c>
      <c r="AR2090" t="s">
        <v>6902</v>
      </c>
      <c r="AS2090" t="s">
        <v>75</v>
      </c>
      <c r="AX2090" t="s">
        <v>76</v>
      </c>
      <c r="AY2090" t="s">
        <v>176</v>
      </c>
      <c r="AZ2090">
        <v>0</v>
      </c>
      <c r="BA2090" t="s">
        <v>176</v>
      </c>
      <c r="BB2090">
        <v>0</v>
      </c>
    </row>
    <row r="2091" spans="1:56" x14ac:dyDescent="0.15">
      <c r="A2091" s="4" t="str">
        <f>HYPERLINK("https://ibp.a2mac1.com/costing(costing:projects/details/9760/part/8415692)","Left Scuttle Grille")</f>
        <v>Left Scuttle Grille</v>
      </c>
      <c r="B2091">
        <v>8415692</v>
      </c>
      <c r="C2091">
        <v>8415590</v>
      </c>
      <c r="E2091">
        <v>3.634688925E-2</v>
      </c>
      <c r="F2091">
        <v>0</v>
      </c>
      <c r="G2091">
        <v>0</v>
      </c>
      <c r="H2091">
        <v>1.8437620010526315E-4</v>
      </c>
      <c r="I2091" t="s">
        <v>176</v>
      </c>
      <c r="J2091">
        <v>1.2753294473684211E-3</v>
      </c>
      <c r="K2091">
        <v>3.7806594897473685E-2</v>
      </c>
      <c r="L2091">
        <v>5.8904736909203177E-3</v>
      </c>
      <c r="M2091">
        <v>3.5342842145521906E-2</v>
      </c>
      <c r="N2091">
        <v>7.3149437042995591E-2</v>
      </c>
      <c r="O2091" t="s">
        <v>177</v>
      </c>
      <c r="P2091">
        <v>2.2683956938484209E-3</v>
      </c>
      <c r="Q2091" t="s">
        <v>177</v>
      </c>
      <c r="R2091">
        <v>2.1205705287313144E-3</v>
      </c>
      <c r="S2091" t="s">
        <v>178</v>
      </c>
      <c r="T2091">
        <v>8.7779324451594705E-3</v>
      </c>
      <c r="U2091" t="s">
        <v>90</v>
      </c>
      <c r="V2091">
        <v>0</v>
      </c>
      <c r="W2091" t="s">
        <v>90</v>
      </c>
      <c r="X2091">
        <v>0</v>
      </c>
      <c r="Y2091">
        <v>8.6316335710734798E-2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179</v>
      </c>
      <c r="AF2091">
        <v>70</v>
      </c>
      <c r="AG2091">
        <v>43</v>
      </c>
      <c r="AI2091">
        <v>2.1000000000000001E-2</v>
      </c>
      <c r="AK2091" t="s">
        <v>740</v>
      </c>
      <c r="AL2091" t="s">
        <v>6907</v>
      </c>
      <c r="AM2091">
        <v>200000</v>
      </c>
      <c r="AN2091" t="s">
        <v>97</v>
      </c>
      <c r="AO2091">
        <v>1</v>
      </c>
      <c r="AP2091">
        <v>0</v>
      </c>
      <c r="AQ2091">
        <v>16666.666666666668</v>
      </c>
      <c r="AR2091" t="s">
        <v>6908</v>
      </c>
      <c r="AS2091" t="s">
        <v>75</v>
      </c>
      <c r="AX2091" t="s">
        <v>76</v>
      </c>
      <c r="AY2091" t="s">
        <v>176</v>
      </c>
      <c r="AZ2091">
        <v>0</v>
      </c>
      <c r="BA2091" t="s">
        <v>176</v>
      </c>
      <c r="BB2091">
        <v>0</v>
      </c>
    </row>
    <row r="2092" spans="1:56" x14ac:dyDescent="0.15">
      <c r="A2092" s="4" t="str">
        <f>HYPERLINK("https://ibp.a2mac1.com/costing(costing:projects/details/9760/part/8415693)","Right Scuttle Grille")</f>
        <v>Right Scuttle Grille</v>
      </c>
      <c r="B2092">
        <v>8415693</v>
      </c>
      <c r="C2092">
        <v>8415590</v>
      </c>
      <c r="E2092">
        <v>3.634688925E-2</v>
      </c>
      <c r="F2092">
        <v>0</v>
      </c>
      <c r="G2092">
        <v>0</v>
      </c>
      <c r="H2092">
        <v>1.8437620010526315E-4</v>
      </c>
      <c r="I2092" t="s">
        <v>176</v>
      </c>
      <c r="J2092">
        <v>1.2753294473684211E-3</v>
      </c>
      <c r="K2092">
        <v>3.7806594897473685E-2</v>
      </c>
      <c r="L2092">
        <v>5.8904736909203177E-3</v>
      </c>
      <c r="M2092">
        <v>3.5342842145521906E-2</v>
      </c>
      <c r="N2092">
        <v>7.3149437042995591E-2</v>
      </c>
      <c r="O2092" t="s">
        <v>177</v>
      </c>
      <c r="P2092">
        <v>2.2683956938484209E-3</v>
      </c>
      <c r="Q2092" t="s">
        <v>177</v>
      </c>
      <c r="R2092">
        <v>2.1205705287313144E-3</v>
      </c>
      <c r="S2092" t="s">
        <v>178</v>
      </c>
      <c r="T2092">
        <v>8.7779324451594705E-3</v>
      </c>
      <c r="U2092" t="s">
        <v>90</v>
      </c>
      <c r="V2092">
        <v>0</v>
      </c>
      <c r="W2092" t="s">
        <v>90</v>
      </c>
      <c r="X2092">
        <v>0</v>
      </c>
      <c r="Y2092">
        <v>8.6316335710734798E-2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179</v>
      </c>
      <c r="AF2092">
        <v>70</v>
      </c>
      <c r="AG2092">
        <v>43</v>
      </c>
      <c r="AI2092">
        <v>2.1000000000000001E-2</v>
      </c>
      <c r="AK2092" t="s">
        <v>740</v>
      </c>
      <c r="AL2092" t="s">
        <v>6907</v>
      </c>
      <c r="AM2092">
        <v>200000</v>
      </c>
      <c r="AN2092" t="s">
        <v>97</v>
      </c>
      <c r="AO2092">
        <v>1</v>
      </c>
      <c r="AP2092">
        <v>0</v>
      </c>
      <c r="AQ2092">
        <v>16666.666666666668</v>
      </c>
      <c r="AR2092" t="s">
        <v>6911</v>
      </c>
      <c r="AS2092" t="s">
        <v>75</v>
      </c>
      <c r="AX2092" t="s">
        <v>76</v>
      </c>
      <c r="AY2092" t="s">
        <v>176</v>
      </c>
      <c r="AZ2092">
        <v>0</v>
      </c>
      <c r="BA2092" t="s">
        <v>176</v>
      </c>
      <c r="BB2092">
        <v>0</v>
      </c>
    </row>
    <row r="2093" spans="1:56" x14ac:dyDescent="0.15">
      <c r="A2093" s="4" t="str">
        <f>HYPERLINK("https://ibp.a2mac1.com/costing(costing:projects/details/9760/part/8415694)","Right Trap")</f>
        <v>Right Trap</v>
      </c>
      <c r="B2093">
        <v>8415694</v>
      </c>
      <c r="C2093">
        <v>8415590</v>
      </c>
      <c r="E2093">
        <v>3.757866E-2</v>
      </c>
      <c r="F2093">
        <v>0</v>
      </c>
      <c r="G2093">
        <v>0</v>
      </c>
      <c r="H2093">
        <v>1.9062458105263157E-4</v>
      </c>
      <c r="I2093" t="s">
        <v>176</v>
      </c>
      <c r="J2093">
        <v>1.3185494736842106E-3</v>
      </c>
      <c r="K2093">
        <v>3.9087834054736842E-2</v>
      </c>
      <c r="L2093">
        <v>5.8904736909203177E-3</v>
      </c>
      <c r="M2093">
        <v>3.5342842145521906E-2</v>
      </c>
      <c r="N2093">
        <v>7.4430676200258741E-2</v>
      </c>
      <c r="O2093" t="s">
        <v>177</v>
      </c>
      <c r="P2093">
        <v>2.3452700432842104E-3</v>
      </c>
      <c r="Q2093" t="s">
        <v>177</v>
      </c>
      <c r="R2093">
        <v>2.1205705287313144E-3</v>
      </c>
      <c r="S2093" t="s">
        <v>178</v>
      </c>
      <c r="T2093">
        <v>8.9316811440310496E-3</v>
      </c>
      <c r="U2093" t="s">
        <v>90</v>
      </c>
      <c r="V2093">
        <v>0</v>
      </c>
      <c r="W2093" t="s">
        <v>90</v>
      </c>
      <c r="X2093">
        <v>0</v>
      </c>
      <c r="Y2093">
        <v>8.782819791630532E-2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18</v>
      </c>
      <c r="AF2093">
        <v>101</v>
      </c>
      <c r="AG2093">
        <v>70</v>
      </c>
      <c r="AI2093">
        <v>0.02</v>
      </c>
      <c r="AK2093" t="s">
        <v>740</v>
      </c>
      <c r="AL2093" t="s">
        <v>951</v>
      </c>
      <c r="AM2093">
        <v>200000</v>
      </c>
      <c r="AN2093" t="s">
        <v>97</v>
      </c>
      <c r="AO2093">
        <v>1</v>
      </c>
      <c r="AP2093">
        <v>0</v>
      </c>
      <c r="AQ2093">
        <v>16666.666666666668</v>
      </c>
      <c r="AR2093" t="s">
        <v>6914</v>
      </c>
      <c r="AS2093" t="s">
        <v>75</v>
      </c>
      <c r="AX2093" t="s">
        <v>76</v>
      </c>
      <c r="AY2093" t="s">
        <v>176</v>
      </c>
      <c r="AZ2093">
        <v>0</v>
      </c>
      <c r="BA2093" t="s">
        <v>176</v>
      </c>
      <c r="BB2093">
        <v>0</v>
      </c>
    </row>
    <row r="2094" spans="1:56" x14ac:dyDescent="0.15">
      <c r="A2094" s="4" t="str">
        <f>HYPERLINK("https://ibp.a2mac1.com/costing(costing:projects/details/9760/part/8415695)","Water Protection on Scuttle Grille")</f>
        <v>Water Protection on Scuttle Grille</v>
      </c>
      <c r="B2094">
        <v>8415695</v>
      </c>
      <c r="C2094">
        <v>8415590</v>
      </c>
      <c r="E2094">
        <v>0.27173626725</v>
      </c>
      <c r="F2094">
        <v>0</v>
      </c>
      <c r="G2094">
        <v>0</v>
      </c>
      <c r="H2094">
        <v>1.3784315912631578E-3</v>
      </c>
      <c r="I2094" t="s">
        <v>176</v>
      </c>
      <c r="J2094">
        <v>9.5346058684210519E-3</v>
      </c>
      <c r="K2094">
        <v>0.28264930470968419</v>
      </c>
      <c r="L2094">
        <v>2.5317394738873903E-2</v>
      </c>
      <c r="M2094">
        <v>0.1519043684332434</v>
      </c>
      <c r="N2094">
        <v>0.43455367314292764</v>
      </c>
      <c r="O2094" t="s">
        <v>177</v>
      </c>
      <c r="P2094">
        <v>1.6958958282581052E-2</v>
      </c>
      <c r="Q2094" t="s">
        <v>177</v>
      </c>
      <c r="R2094">
        <v>9.1142621059946052E-3</v>
      </c>
      <c r="S2094" t="s">
        <v>178</v>
      </c>
      <c r="T2094">
        <v>5.2146440777151311E-2</v>
      </c>
      <c r="U2094" t="s">
        <v>90</v>
      </c>
      <c r="V2094">
        <v>0</v>
      </c>
      <c r="W2094" t="s">
        <v>90</v>
      </c>
      <c r="X2094">
        <v>0</v>
      </c>
      <c r="Y2094">
        <v>0.51277333430865457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365</v>
      </c>
      <c r="AF2094">
        <v>117</v>
      </c>
      <c r="AG2094">
        <v>120</v>
      </c>
      <c r="AI2094">
        <v>0.157</v>
      </c>
      <c r="AK2094" t="s">
        <v>740</v>
      </c>
      <c r="AL2094" t="s">
        <v>6907</v>
      </c>
      <c r="AM2094">
        <v>200000</v>
      </c>
      <c r="AN2094" t="s">
        <v>97</v>
      </c>
      <c r="AO2094">
        <v>1</v>
      </c>
      <c r="AP2094">
        <v>0</v>
      </c>
      <c r="AQ2094">
        <v>16666.666666666668</v>
      </c>
      <c r="AR2094" t="s">
        <v>6919</v>
      </c>
      <c r="AS2094" t="s">
        <v>75</v>
      </c>
      <c r="AX2094" t="s">
        <v>76</v>
      </c>
      <c r="AY2094" t="s">
        <v>176</v>
      </c>
      <c r="AZ2094">
        <v>0</v>
      </c>
      <c r="BA2094" t="s">
        <v>176</v>
      </c>
      <c r="BB2094">
        <v>0</v>
      </c>
    </row>
    <row r="2095" spans="1:56" x14ac:dyDescent="0.15">
      <c r="A2095" s="4" t="str">
        <f>HYPERLINK("https://ibp.a2mac1.com/costing(costing:projects/details/9760/part/8415696)","Water Protection on Scuttle Grille Right if Different")</f>
        <v>Water Protection on Scuttle Grille Right if Different</v>
      </c>
      <c r="B2095">
        <v>8415696</v>
      </c>
      <c r="C2095">
        <v>8415590</v>
      </c>
      <c r="E2095">
        <v>0.26827465875000001</v>
      </c>
      <c r="F2095">
        <v>0</v>
      </c>
      <c r="G2095">
        <v>0</v>
      </c>
      <c r="H2095">
        <v>1.3608719531578947E-3</v>
      </c>
      <c r="I2095" t="s">
        <v>176</v>
      </c>
      <c r="J2095">
        <v>9.4131459210526312E-3</v>
      </c>
      <c r="K2095">
        <v>0.27904867662421051</v>
      </c>
      <c r="L2095">
        <v>2.5317394738873903E-2</v>
      </c>
      <c r="M2095">
        <v>0.1519043684332434</v>
      </c>
      <c r="N2095">
        <v>0.43095304505745391</v>
      </c>
      <c r="O2095" t="s">
        <v>177</v>
      </c>
      <c r="P2095">
        <v>1.674292059745263E-2</v>
      </c>
      <c r="Q2095" t="s">
        <v>177</v>
      </c>
      <c r="R2095">
        <v>9.1142621059946052E-3</v>
      </c>
      <c r="S2095" t="s">
        <v>178</v>
      </c>
      <c r="T2095">
        <v>5.1714365406894475E-2</v>
      </c>
      <c r="U2095" t="s">
        <v>90</v>
      </c>
      <c r="V2095">
        <v>0</v>
      </c>
      <c r="W2095" t="s">
        <v>90</v>
      </c>
      <c r="X2095">
        <v>0</v>
      </c>
      <c r="Y2095">
        <v>0.50852459316779564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365</v>
      </c>
      <c r="AF2095">
        <v>117</v>
      </c>
      <c r="AG2095">
        <v>120</v>
      </c>
      <c r="AI2095">
        <v>0.155</v>
      </c>
      <c r="AK2095" t="s">
        <v>740</v>
      </c>
      <c r="AL2095" t="s">
        <v>6907</v>
      </c>
      <c r="AM2095">
        <v>200000</v>
      </c>
      <c r="AN2095" t="s">
        <v>97</v>
      </c>
      <c r="AO2095">
        <v>1</v>
      </c>
      <c r="AP2095">
        <v>0</v>
      </c>
      <c r="AQ2095">
        <v>16666.666666666668</v>
      </c>
      <c r="AR2095" t="s">
        <v>6924</v>
      </c>
      <c r="AS2095" t="s">
        <v>75</v>
      </c>
      <c r="AX2095" t="s">
        <v>76</v>
      </c>
      <c r="AY2095" t="s">
        <v>176</v>
      </c>
      <c r="AZ2095">
        <v>0</v>
      </c>
      <c r="BA2095" t="s">
        <v>176</v>
      </c>
      <c r="BB2095">
        <v>0</v>
      </c>
    </row>
    <row r="2096" spans="1:56" x14ac:dyDescent="0.15">
      <c r="A2096" s="4" t="str">
        <f>HYPERLINK("https://ibp.a2mac1.com/costing(costing:projects/details/9760/part/8415699)","B Pillar Trim Seal")</f>
        <v>B Pillar Trim Seal</v>
      </c>
      <c r="B2096">
        <v>8415699</v>
      </c>
      <c r="C2096">
        <v>8415591</v>
      </c>
      <c r="E2096">
        <v>0.82523366099999995</v>
      </c>
      <c r="F2096">
        <v>0</v>
      </c>
      <c r="G2096">
        <v>0</v>
      </c>
      <c r="H2096">
        <v>4.1861476938947371E-3</v>
      </c>
      <c r="I2096" t="s">
        <v>176</v>
      </c>
      <c r="J2096">
        <v>2.8955567052631578E-2</v>
      </c>
      <c r="K2096">
        <v>0.85837537574652634</v>
      </c>
      <c r="L2096">
        <v>4.8276483250091776E-2</v>
      </c>
      <c r="M2096">
        <v>0.28965889950055063</v>
      </c>
      <c r="N2096">
        <v>1.1480342752470769</v>
      </c>
      <c r="O2096" t="s">
        <v>177</v>
      </c>
      <c r="P2096">
        <v>5.1502522544791582E-2</v>
      </c>
      <c r="Q2096" t="s">
        <v>177</v>
      </c>
      <c r="R2096">
        <v>1.7379533970033039E-2</v>
      </c>
      <c r="S2096" t="s">
        <v>178</v>
      </c>
      <c r="T2096">
        <v>0.13776411302964922</v>
      </c>
      <c r="U2096" t="s">
        <v>90</v>
      </c>
      <c r="V2096">
        <v>0</v>
      </c>
      <c r="W2096" t="s">
        <v>90</v>
      </c>
      <c r="X2096">
        <v>0</v>
      </c>
      <c r="Y2096">
        <v>1.3546804447915508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18</v>
      </c>
      <c r="AF2096">
        <v>435</v>
      </c>
      <c r="AG2096">
        <v>488</v>
      </c>
      <c r="AI2096">
        <v>0.28199999999999997</v>
      </c>
      <c r="AK2096" t="s">
        <v>740</v>
      </c>
      <c r="AL2096" t="s">
        <v>289</v>
      </c>
      <c r="AM2096">
        <v>200000</v>
      </c>
      <c r="AN2096" t="s">
        <v>97</v>
      </c>
      <c r="AO2096">
        <v>1</v>
      </c>
      <c r="AP2096">
        <v>0</v>
      </c>
      <c r="AQ2096">
        <v>16666.666666666668</v>
      </c>
      <c r="AR2096" t="s">
        <v>6937</v>
      </c>
      <c r="AS2096" t="s">
        <v>75</v>
      </c>
      <c r="AX2096" t="s">
        <v>76</v>
      </c>
      <c r="AY2096" t="s">
        <v>176</v>
      </c>
      <c r="AZ2096">
        <v>0</v>
      </c>
      <c r="BA2096" t="s">
        <v>176</v>
      </c>
      <c r="BB2096">
        <v>0</v>
      </c>
    </row>
    <row r="2097" spans="1:56" x14ac:dyDescent="0.15">
      <c r="A2097" s="4" t="str">
        <f>HYPERLINK("https://ibp.a2mac1.com/costing(costing:projects/details/9760/part/8415700)","B Pillar Trim Seal 2")</f>
        <v>B Pillar Trim Seal 2</v>
      </c>
      <c r="B2097">
        <v>8415700</v>
      </c>
      <c r="C2097">
        <v>8415591</v>
      </c>
      <c r="E2097">
        <v>0.82523366099999995</v>
      </c>
      <c r="F2097">
        <v>0</v>
      </c>
      <c r="G2097">
        <v>0</v>
      </c>
      <c r="H2097">
        <v>4.1861476938947371E-3</v>
      </c>
      <c r="I2097" t="s">
        <v>176</v>
      </c>
      <c r="J2097">
        <v>2.8955567052631578E-2</v>
      </c>
      <c r="K2097">
        <v>0.85837537574652634</v>
      </c>
      <c r="L2097">
        <v>4.8276483250091776E-2</v>
      </c>
      <c r="M2097">
        <v>0.28965889950055063</v>
      </c>
      <c r="N2097">
        <v>1.1480342752470769</v>
      </c>
      <c r="O2097" t="s">
        <v>177</v>
      </c>
      <c r="P2097">
        <v>5.1502522544791582E-2</v>
      </c>
      <c r="Q2097" t="s">
        <v>177</v>
      </c>
      <c r="R2097">
        <v>1.7379533970033039E-2</v>
      </c>
      <c r="S2097" t="s">
        <v>178</v>
      </c>
      <c r="T2097">
        <v>0.13776411302964922</v>
      </c>
      <c r="U2097" t="s">
        <v>90</v>
      </c>
      <c r="V2097">
        <v>0</v>
      </c>
      <c r="W2097" t="s">
        <v>90</v>
      </c>
      <c r="X2097">
        <v>0</v>
      </c>
      <c r="Y2097">
        <v>1.3546804447915508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18</v>
      </c>
      <c r="AF2097">
        <v>435</v>
      </c>
      <c r="AG2097">
        <v>488</v>
      </c>
      <c r="AI2097">
        <v>0.28199999999999997</v>
      </c>
      <c r="AK2097" t="s">
        <v>740</v>
      </c>
      <c r="AL2097" t="s">
        <v>289</v>
      </c>
      <c r="AM2097">
        <v>200000</v>
      </c>
      <c r="AN2097" t="s">
        <v>97</v>
      </c>
      <c r="AO2097">
        <v>1</v>
      </c>
      <c r="AP2097">
        <v>0</v>
      </c>
      <c r="AQ2097">
        <v>16666.666666666668</v>
      </c>
      <c r="AR2097" t="s">
        <v>6940</v>
      </c>
      <c r="AS2097" t="s">
        <v>75</v>
      </c>
      <c r="AX2097" t="s">
        <v>76</v>
      </c>
      <c r="AY2097" t="s">
        <v>176</v>
      </c>
      <c r="AZ2097">
        <v>0</v>
      </c>
      <c r="BA2097" t="s">
        <v>176</v>
      </c>
      <c r="BB2097">
        <v>0</v>
      </c>
    </row>
    <row r="2098" spans="1:56" x14ac:dyDescent="0.15">
      <c r="A2098" s="4" t="str">
        <f>HYPERLINK("https://ibp.a2mac1.com/costing(costing:projects/details/9760/part/8415701)","Roof Trim Side")</f>
        <v>Roof Trim Side</v>
      </c>
      <c r="B2098">
        <v>8415701</v>
      </c>
      <c r="C2098">
        <v>8415592</v>
      </c>
      <c r="E2098">
        <v>2.0558206661287222</v>
      </c>
      <c r="F2098">
        <v>0</v>
      </c>
      <c r="G2098">
        <v>0</v>
      </c>
      <c r="H2098">
        <v>2.1121371434142991E-3</v>
      </c>
      <c r="I2098" t="s">
        <v>176</v>
      </c>
      <c r="J2098">
        <v>7.3192871306436105E-2</v>
      </c>
      <c r="K2098">
        <v>2.1311256745785725</v>
      </c>
      <c r="L2098">
        <v>0.43117867240761332</v>
      </c>
      <c r="M2098">
        <v>2.5870720344456797</v>
      </c>
      <c r="N2098">
        <v>4.7181977090242526</v>
      </c>
      <c r="O2098" t="s">
        <v>177</v>
      </c>
      <c r="P2098">
        <v>0.12786754047471435</v>
      </c>
      <c r="Q2098" t="s">
        <v>177</v>
      </c>
      <c r="R2098">
        <v>0.15522432206674078</v>
      </c>
      <c r="S2098" t="s">
        <v>178</v>
      </c>
      <c r="T2098">
        <v>0.56618372508291026</v>
      </c>
      <c r="U2098" t="s">
        <v>90</v>
      </c>
      <c r="V2098">
        <v>0</v>
      </c>
      <c r="W2098" t="s">
        <v>90</v>
      </c>
      <c r="X2098">
        <v>0</v>
      </c>
      <c r="Y2098">
        <v>5.5674732966486182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25</v>
      </c>
      <c r="AF2098">
        <v>1890</v>
      </c>
      <c r="AG2098">
        <v>375</v>
      </c>
      <c r="AI2098">
        <v>0.83699999999999997</v>
      </c>
      <c r="AK2098" t="s">
        <v>740</v>
      </c>
      <c r="AL2098" t="s">
        <v>6947</v>
      </c>
      <c r="AM2098">
        <v>400000</v>
      </c>
      <c r="AN2098" t="s">
        <v>97</v>
      </c>
      <c r="AO2098">
        <v>2</v>
      </c>
      <c r="AP2098">
        <v>0</v>
      </c>
      <c r="AQ2098">
        <v>33333.333333333336</v>
      </c>
      <c r="AR2098" t="s">
        <v>6948</v>
      </c>
      <c r="AS2098" t="s">
        <v>75</v>
      </c>
      <c r="AX2098" t="s">
        <v>76</v>
      </c>
      <c r="AY2098" t="s">
        <v>176</v>
      </c>
      <c r="AZ2098">
        <v>0</v>
      </c>
      <c r="BA2098" t="s">
        <v>176</v>
      </c>
      <c r="BB2098">
        <v>0</v>
      </c>
    </row>
    <row r="2099" spans="1:56" x14ac:dyDescent="0.15">
      <c r="A2099" s="4" t="str">
        <f>HYPERLINK("https://ibp.a2mac1.com/costing(costing:projects/details/9760/part/8415702)","Front")</f>
        <v>Front</v>
      </c>
      <c r="B2099">
        <v>8415702</v>
      </c>
      <c r="C2099">
        <v>8415592</v>
      </c>
      <c r="E2099">
        <v>2.2889457019329895</v>
      </c>
      <c r="F2099">
        <v>0</v>
      </c>
      <c r="G2099">
        <v>0</v>
      </c>
      <c r="H2099">
        <v>2.3840796494845359E-3</v>
      </c>
      <c r="I2099" t="s">
        <v>176</v>
      </c>
      <c r="J2099">
        <v>8.0233449742268037E-2</v>
      </c>
      <c r="K2099">
        <v>2.3715632313247421</v>
      </c>
      <c r="L2099">
        <v>0.11151541588452793</v>
      </c>
      <c r="M2099">
        <v>0.66909249530716752</v>
      </c>
      <c r="N2099">
        <v>3.0406557266319099</v>
      </c>
      <c r="O2099" t="s">
        <v>177</v>
      </c>
      <c r="P2099">
        <v>0.14229379387948454</v>
      </c>
      <c r="Q2099" t="s">
        <v>177</v>
      </c>
      <c r="R2099">
        <v>4.0145549718430054E-2</v>
      </c>
      <c r="S2099" t="s">
        <v>178</v>
      </c>
      <c r="T2099">
        <v>0.36487868719582917</v>
      </c>
      <c r="U2099" t="s">
        <v>90</v>
      </c>
      <c r="V2099">
        <v>0</v>
      </c>
      <c r="W2099" t="s">
        <v>90</v>
      </c>
      <c r="X2099">
        <v>0</v>
      </c>
      <c r="Y2099">
        <v>3.5879737574256536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185</v>
      </c>
      <c r="AF2099">
        <v>1308</v>
      </c>
      <c r="AG2099">
        <v>43</v>
      </c>
      <c r="AI2099">
        <v>1.2729999999999999</v>
      </c>
      <c r="AK2099" t="s">
        <v>740</v>
      </c>
      <c r="AL2099" t="s">
        <v>1565</v>
      </c>
      <c r="AM2099">
        <v>200000</v>
      </c>
      <c r="AN2099" t="s">
        <v>97</v>
      </c>
      <c r="AO2099">
        <v>1</v>
      </c>
      <c r="AP2099">
        <v>0</v>
      </c>
      <c r="AQ2099">
        <v>16666.666666666668</v>
      </c>
      <c r="AR2099" t="s">
        <v>6954</v>
      </c>
      <c r="AS2099" t="s">
        <v>75</v>
      </c>
      <c r="AX2099" t="s">
        <v>76</v>
      </c>
      <c r="AY2099" t="s">
        <v>176</v>
      </c>
      <c r="AZ2099">
        <v>0</v>
      </c>
      <c r="BA2099" t="s">
        <v>176</v>
      </c>
      <c r="BB2099">
        <v>0</v>
      </c>
    </row>
    <row r="2100" spans="1:56" x14ac:dyDescent="0.15">
      <c r="A2100" s="4" t="str">
        <f>HYPERLINK("https://ibp.a2mac1.com/costing(costing:projects/details/9760/part/8415703)","Front Seal")</f>
        <v>Front Seal</v>
      </c>
      <c r="B2100">
        <v>8415703</v>
      </c>
      <c r="C2100">
        <v>8415592</v>
      </c>
      <c r="E2100">
        <v>1.1078728499999999E-2</v>
      </c>
      <c r="F2100">
        <v>0</v>
      </c>
      <c r="G2100">
        <v>0</v>
      </c>
      <c r="H2100">
        <v>1.1550754526315789E-5</v>
      </c>
      <c r="I2100" t="s">
        <v>176</v>
      </c>
      <c r="J2100">
        <v>3.8872731578947368E-4</v>
      </c>
      <c r="K2100">
        <v>1.1479006570315789E-2</v>
      </c>
      <c r="L2100">
        <v>1.251453650535788E-2</v>
      </c>
      <c r="M2100">
        <v>7.5087219032147282E-2</v>
      </c>
      <c r="N2100">
        <v>8.6566225602463076E-2</v>
      </c>
      <c r="O2100" t="s">
        <v>177</v>
      </c>
      <c r="P2100">
        <v>6.8874039421894739E-4</v>
      </c>
      <c r="Q2100" t="s">
        <v>177</v>
      </c>
      <c r="R2100">
        <v>4.5052331419288367E-3</v>
      </c>
      <c r="S2100" t="s">
        <v>178</v>
      </c>
      <c r="T2100">
        <v>1.0387947072295569E-2</v>
      </c>
      <c r="U2100" t="s">
        <v>90</v>
      </c>
      <c r="V2100">
        <v>0</v>
      </c>
      <c r="W2100" t="s">
        <v>90</v>
      </c>
      <c r="X2100">
        <v>0</v>
      </c>
      <c r="Y2100">
        <v>0.10214814621090643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164</v>
      </c>
      <c r="AF2100">
        <v>19</v>
      </c>
      <c r="AG2100">
        <v>6</v>
      </c>
      <c r="AI2100">
        <v>7.0000000000000001E-3</v>
      </c>
      <c r="AK2100" t="s">
        <v>740</v>
      </c>
      <c r="AL2100" t="s">
        <v>2582</v>
      </c>
      <c r="AM2100">
        <v>200000</v>
      </c>
      <c r="AN2100" t="s">
        <v>97</v>
      </c>
      <c r="AO2100">
        <v>1</v>
      </c>
      <c r="AP2100">
        <v>0</v>
      </c>
      <c r="AQ2100">
        <v>16666.666666666668</v>
      </c>
      <c r="AR2100" t="s">
        <v>6957</v>
      </c>
      <c r="AS2100" t="s">
        <v>75</v>
      </c>
      <c r="AX2100" t="s">
        <v>76</v>
      </c>
      <c r="AY2100" t="s">
        <v>176</v>
      </c>
      <c r="AZ2100">
        <v>0</v>
      </c>
      <c r="BA2100" t="s">
        <v>176</v>
      </c>
      <c r="BB2100">
        <v>0</v>
      </c>
    </row>
    <row r="2101" spans="1:56" x14ac:dyDescent="0.15">
      <c r="A2101" s="4" t="str">
        <f>HYPERLINK("https://ibp.a2mac1.com/costing(costing:projects/details/9760/part/8415704)","Front Seal right")</f>
        <v>Front Seal right</v>
      </c>
      <c r="B2101">
        <v>8415704</v>
      </c>
      <c r="C2101">
        <v>8415592</v>
      </c>
      <c r="E2101">
        <v>1.1078728499999999E-2</v>
      </c>
      <c r="F2101">
        <v>0</v>
      </c>
      <c r="G2101">
        <v>0</v>
      </c>
      <c r="H2101">
        <v>1.1550754526315789E-5</v>
      </c>
      <c r="I2101" t="s">
        <v>176</v>
      </c>
      <c r="J2101">
        <v>3.8872731578947368E-4</v>
      </c>
      <c r="K2101">
        <v>1.1479006570315789E-2</v>
      </c>
      <c r="L2101">
        <v>1.251453650535788E-2</v>
      </c>
      <c r="M2101">
        <v>7.5087219032147282E-2</v>
      </c>
      <c r="N2101">
        <v>8.6566225602463076E-2</v>
      </c>
      <c r="O2101" t="s">
        <v>177</v>
      </c>
      <c r="P2101">
        <v>6.8874039421894739E-4</v>
      </c>
      <c r="Q2101" t="s">
        <v>177</v>
      </c>
      <c r="R2101">
        <v>4.5052331419288367E-3</v>
      </c>
      <c r="S2101" t="s">
        <v>178</v>
      </c>
      <c r="T2101">
        <v>1.0387947072295569E-2</v>
      </c>
      <c r="U2101" t="s">
        <v>90</v>
      </c>
      <c r="V2101">
        <v>0</v>
      </c>
      <c r="W2101" t="s">
        <v>90</v>
      </c>
      <c r="X2101">
        <v>0</v>
      </c>
      <c r="Y2101">
        <v>0.10214814621090643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164</v>
      </c>
      <c r="AF2101">
        <v>19</v>
      </c>
      <c r="AG2101">
        <v>6</v>
      </c>
      <c r="AI2101">
        <v>7.0000000000000001E-3</v>
      </c>
      <c r="AK2101" t="s">
        <v>740</v>
      </c>
      <c r="AL2101" t="s">
        <v>2246</v>
      </c>
      <c r="AM2101">
        <v>200000</v>
      </c>
      <c r="AN2101" t="s">
        <v>97</v>
      </c>
      <c r="AO2101">
        <v>1</v>
      </c>
      <c r="AP2101">
        <v>0</v>
      </c>
      <c r="AQ2101">
        <v>16666.666666666668</v>
      </c>
      <c r="AR2101" t="s">
        <v>6960</v>
      </c>
      <c r="AS2101" t="s">
        <v>75</v>
      </c>
      <c r="AX2101" t="s">
        <v>76</v>
      </c>
      <c r="AY2101" t="s">
        <v>176</v>
      </c>
      <c r="AZ2101">
        <v>0</v>
      </c>
      <c r="BA2101" t="s">
        <v>176</v>
      </c>
      <c r="BB2101">
        <v>0</v>
      </c>
    </row>
    <row r="2102" spans="1:56" x14ac:dyDescent="0.15">
      <c r="A2102" s="4" t="str">
        <f>HYPERLINK("https://ibp.a2mac1.com/costing(costing:projects/details/9760/part/8415705)","Decompression Air Vent")</f>
        <v>Decompression Air Vent</v>
      </c>
      <c r="B2102">
        <v>8415705</v>
      </c>
      <c r="C2102">
        <v>8415593</v>
      </c>
      <c r="D2102" t="s">
        <v>6263</v>
      </c>
      <c r="E2102">
        <v>5.75</v>
      </c>
      <c r="F2102">
        <v>0</v>
      </c>
      <c r="G2102">
        <v>0</v>
      </c>
      <c r="H2102">
        <v>0</v>
      </c>
      <c r="I2102" t="s">
        <v>71</v>
      </c>
      <c r="J2102">
        <v>0</v>
      </c>
      <c r="K2102">
        <v>5.75</v>
      </c>
      <c r="L2102">
        <v>0</v>
      </c>
      <c r="M2102">
        <v>0</v>
      </c>
      <c r="N2102">
        <v>5.75</v>
      </c>
      <c r="O2102" t="s">
        <v>71</v>
      </c>
      <c r="P2102">
        <v>0</v>
      </c>
      <c r="Q2102" t="s">
        <v>71</v>
      </c>
      <c r="R2102">
        <v>0</v>
      </c>
      <c r="S2102" t="s">
        <v>71</v>
      </c>
      <c r="T2102">
        <v>0</v>
      </c>
      <c r="U2102" t="s">
        <v>71</v>
      </c>
      <c r="V2102">
        <v>0</v>
      </c>
      <c r="W2102" t="s">
        <v>71</v>
      </c>
      <c r="X2102">
        <v>0</v>
      </c>
      <c r="Y2102">
        <v>5.75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32</v>
      </c>
      <c r="AF2102">
        <v>187</v>
      </c>
      <c r="AG2102">
        <v>149</v>
      </c>
      <c r="AI2102">
        <v>8.1000000000000003E-2</v>
      </c>
      <c r="AK2102" t="s">
        <v>740</v>
      </c>
      <c r="AL2102" t="s">
        <v>6963</v>
      </c>
      <c r="AM2102">
        <v>200000</v>
      </c>
      <c r="AN2102" t="s">
        <v>97</v>
      </c>
      <c r="AO2102">
        <v>1</v>
      </c>
      <c r="AP2102">
        <v>0</v>
      </c>
      <c r="AQ2102">
        <v>16666.666666666668</v>
      </c>
      <c r="AR2102" t="s">
        <v>6964</v>
      </c>
      <c r="AS2102" t="s">
        <v>75</v>
      </c>
      <c r="AX2102" t="s">
        <v>76</v>
      </c>
      <c r="AY2102" t="s">
        <v>71</v>
      </c>
      <c r="AZ2102">
        <v>0</v>
      </c>
      <c r="BA2102" t="s">
        <v>71</v>
      </c>
      <c r="BB2102">
        <v>0</v>
      </c>
      <c r="BD2102">
        <v>5.75</v>
      </c>
    </row>
    <row r="2103" spans="1:56" x14ac:dyDescent="0.15">
      <c r="A2103" s="4" t="str">
        <f>HYPERLINK("https://ibp.a2mac1.com/costing(costing:projects/details/9760/part/8415706)","2nd Air Vent Right if Different")</f>
        <v>2nd Air Vent Right if Different</v>
      </c>
      <c r="B2103">
        <v>8415706</v>
      </c>
      <c r="C2103">
        <v>8415593</v>
      </c>
      <c r="D2103" t="s">
        <v>6263</v>
      </c>
      <c r="E2103">
        <v>5.75</v>
      </c>
      <c r="F2103">
        <v>0</v>
      </c>
      <c r="G2103">
        <v>0</v>
      </c>
      <c r="H2103">
        <v>0</v>
      </c>
      <c r="I2103" t="s">
        <v>71</v>
      </c>
      <c r="J2103">
        <v>0</v>
      </c>
      <c r="K2103">
        <v>5.75</v>
      </c>
      <c r="L2103">
        <v>0</v>
      </c>
      <c r="M2103">
        <v>0</v>
      </c>
      <c r="N2103">
        <v>5.75</v>
      </c>
      <c r="O2103" t="s">
        <v>71</v>
      </c>
      <c r="P2103">
        <v>0</v>
      </c>
      <c r="Q2103" t="s">
        <v>71</v>
      </c>
      <c r="R2103">
        <v>0</v>
      </c>
      <c r="S2103" t="s">
        <v>71</v>
      </c>
      <c r="T2103">
        <v>0</v>
      </c>
      <c r="U2103" t="s">
        <v>71</v>
      </c>
      <c r="V2103">
        <v>0</v>
      </c>
      <c r="W2103" t="s">
        <v>71</v>
      </c>
      <c r="X2103">
        <v>0</v>
      </c>
      <c r="Y2103">
        <v>5.75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32</v>
      </c>
      <c r="AF2103">
        <v>187</v>
      </c>
      <c r="AG2103">
        <v>150</v>
      </c>
      <c r="AI2103">
        <v>8.1000000000000003E-2</v>
      </c>
      <c r="AK2103" t="s">
        <v>740</v>
      </c>
      <c r="AL2103" t="s">
        <v>6963</v>
      </c>
      <c r="AM2103">
        <v>200000</v>
      </c>
      <c r="AN2103" t="s">
        <v>97</v>
      </c>
      <c r="AO2103">
        <v>1</v>
      </c>
      <c r="AP2103">
        <v>0</v>
      </c>
      <c r="AQ2103">
        <v>16666.666666666668</v>
      </c>
      <c r="AR2103" t="s">
        <v>6965</v>
      </c>
      <c r="AS2103" t="s">
        <v>75</v>
      </c>
      <c r="AX2103" t="s">
        <v>76</v>
      </c>
      <c r="AY2103" t="s">
        <v>71</v>
      </c>
      <c r="AZ2103">
        <v>0</v>
      </c>
      <c r="BA2103" t="s">
        <v>71</v>
      </c>
      <c r="BB2103">
        <v>0</v>
      </c>
      <c r="BD2103">
        <v>5.75</v>
      </c>
    </row>
    <row r="2104" spans="1:56" x14ac:dyDescent="0.15">
      <c r="A2104" s="4" t="str">
        <f>HYPERLINK("https://ibp.a2mac1.com/costing(costing:projects/details/9760/part/8415707)","Air Duct")</f>
        <v>Air Duct</v>
      </c>
      <c r="B2104">
        <v>8415707</v>
      </c>
      <c r="C2104">
        <v>8415593</v>
      </c>
      <c r="E2104">
        <v>8.0329530876288663E-2</v>
      </c>
      <c r="F2104">
        <v>0</v>
      </c>
      <c r="G2104">
        <v>0</v>
      </c>
      <c r="H2104">
        <v>8.3668214432989688E-5</v>
      </c>
      <c r="I2104" t="s">
        <v>176</v>
      </c>
      <c r="J2104">
        <v>2.8157572164948454E-3</v>
      </c>
      <c r="K2104">
        <v>8.3228956307216495E-2</v>
      </c>
      <c r="L2104">
        <v>7.1334272667520696E-3</v>
      </c>
      <c r="M2104">
        <v>4.2800563600512417E-2</v>
      </c>
      <c r="N2104">
        <v>0.12602951990772893</v>
      </c>
      <c r="O2104" t="s">
        <v>177</v>
      </c>
      <c r="P2104">
        <v>4.9937373784329896E-3</v>
      </c>
      <c r="Q2104" t="s">
        <v>177</v>
      </c>
      <c r="R2104">
        <v>2.5680338160307451E-3</v>
      </c>
      <c r="S2104" t="s">
        <v>178</v>
      </c>
      <c r="T2104">
        <v>1.512354238892747E-2</v>
      </c>
      <c r="U2104" t="s">
        <v>90</v>
      </c>
      <c r="V2104">
        <v>0</v>
      </c>
      <c r="W2104" t="s">
        <v>90</v>
      </c>
      <c r="X2104">
        <v>0</v>
      </c>
      <c r="Y2104">
        <v>0.14871483349112011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100</v>
      </c>
      <c r="AF2104">
        <v>156</v>
      </c>
      <c r="AG2104">
        <v>125</v>
      </c>
      <c r="AI2104">
        <v>7.0000000000000007E-2</v>
      </c>
      <c r="AK2104" t="s">
        <v>740</v>
      </c>
      <c r="AL2104" t="s">
        <v>399</v>
      </c>
      <c r="AM2104">
        <v>200000</v>
      </c>
      <c r="AN2104" t="s">
        <v>97</v>
      </c>
      <c r="AO2104">
        <v>1</v>
      </c>
      <c r="AP2104">
        <v>0</v>
      </c>
      <c r="AQ2104">
        <v>16666.666666666668</v>
      </c>
      <c r="AR2104" t="s">
        <v>6970</v>
      </c>
      <c r="AS2104" t="s">
        <v>75</v>
      </c>
      <c r="AX2104" t="s">
        <v>76</v>
      </c>
      <c r="AY2104" t="s">
        <v>176</v>
      </c>
      <c r="AZ2104">
        <v>0</v>
      </c>
      <c r="BA2104" t="s">
        <v>176</v>
      </c>
      <c r="BB2104">
        <v>0</v>
      </c>
    </row>
    <row r="2105" spans="1:56" x14ac:dyDescent="0.15">
      <c r="A2105" s="4" t="str">
        <f>HYPERLINK("https://ibp.a2mac1.com/costing(costing:projects/details/9760/part/8415708)","2nd Air Duct Right if Different")</f>
        <v>2nd Air Duct Right if Different</v>
      </c>
      <c r="B2105">
        <v>8415708</v>
      </c>
      <c r="C2105">
        <v>8415593</v>
      </c>
      <c r="E2105">
        <v>8.0329530876288663E-2</v>
      </c>
      <c r="F2105">
        <v>0</v>
      </c>
      <c r="G2105">
        <v>0</v>
      </c>
      <c r="H2105">
        <v>8.3668214432989688E-5</v>
      </c>
      <c r="I2105" t="s">
        <v>176</v>
      </c>
      <c r="J2105">
        <v>2.8157572164948454E-3</v>
      </c>
      <c r="K2105">
        <v>8.3228956307216495E-2</v>
      </c>
      <c r="L2105">
        <v>7.1334272667520696E-3</v>
      </c>
      <c r="M2105">
        <v>4.2800563600512417E-2</v>
      </c>
      <c r="N2105">
        <v>0.12602951990772893</v>
      </c>
      <c r="O2105" t="s">
        <v>177</v>
      </c>
      <c r="P2105">
        <v>4.9937373784329896E-3</v>
      </c>
      <c r="Q2105" t="s">
        <v>177</v>
      </c>
      <c r="R2105">
        <v>2.5680338160307451E-3</v>
      </c>
      <c r="S2105" t="s">
        <v>178</v>
      </c>
      <c r="T2105">
        <v>1.512354238892747E-2</v>
      </c>
      <c r="U2105" t="s">
        <v>90</v>
      </c>
      <c r="V2105">
        <v>0</v>
      </c>
      <c r="W2105" t="s">
        <v>90</v>
      </c>
      <c r="X2105">
        <v>0</v>
      </c>
      <c r="Y2105">
        <v>0.14871483349112011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93</v>
      </c>
      <c r="AF2105">
        <v>163</v>
      </c>
      <c r="AG2105">
        <v>122</v>
      </c>
      <c r="AI2105">
        <v>4.9000000000000002E-2</v>
      </c>
      <c r="AK2105" t="s">
        <v>740</v>
      </c>
      <c r="AL2105" t="s">
        <v>399</v>
      </c>
      <c r="AM2105">
        <v>200000</v>
      </c>
      <c r="AN2105" t="s">
        <v>97</v>
      </c>
      <c r="AO2105">
        <v>1</v>
      </c>
      <c r="AP2105">
        <v>0</v>
      </c>
      <c r="AQ2105">
        <v>16666.666666666668</v>
      </c>
      <c r="AR2105" t="s">
        <v>6973</v>
      </c>
      <c r="AS2105" t="s">
        <v>75</v>
      </c>
      <c r="AX2105" t="s">
        <v>76</v>
      </c>
      <c r="AY2105" t="s">
        <v>176</v>
      </c>
      <c r="AZ2105">
        <v>0</v>
      </c>
      <c r="BA2105" t="s">
        <v>176</v>
      </c>
      <c r="BB2105">
        <v>0</v>
      </c>
    </row>
    <row r="2106" spans="1:56" x14ac:dyDescent="0.15">
      <c r="A2106" s="4" t="str">
        <f>HYPERLINK("https://ibp.a2mac1.com/costing(costing:projects/details/9760/part/8416046)","&gt;Bolt-on parts&gt;Front structure&gt;Upper front cross member 01 assy&gt;Cross member&gt;Part 01 (single/main)")</f>
        <v>&gt;Bolt-on parts&gt;Front structure&gt;Upper front cross member 01 assy&gt;Cross member&gt;Part 01 (single/main)</v>
      </c>
      <c r="B2106">
        <v>8416046</v>
      </c>
      <c r="C2106">
        <v>8415709</v>
      </c>
      <c r="D2106" t="s">
        <v>7000</v>
      </c>
      <c r="E2106">
        <v>1.2745106382978724</v>
      </c>
      <c r="F2106">
        <v>0</v>
      </c>
      <c r="G2106">
        <v>0</v>
      </c>
      <c r="H2106">
        <v>1.3497872340425532E-3</v>
      </c>
      <c r="I2106" t="s">
        <v>176</v>
      </c>
      <c r="J2106">
        <v>4.5425531914893617E-2</v>
      </c>
      <c r="K2106">
        <v>1.3212859574468085</v>
      </c>
      <c r="L2106">
        <v>0.39563931493095905</v>
      </c>
      <c r="M2106">
        <v>2.3738358895857541</v>
      </c>
      <c r="N2106">
        <v>3.6951218470325626</v>
      </c>
      <c r="O2106" t="s">
        <v>177</v>
      </c>
      <c r="P2106">
        <v>7.9277157446808508E-2</v>
      </c>
      <c r="Q2106" t="s">
        <v>177</v>
      </c>
      <c r="R2106">
        <v>0.14243015337514525</v>
      </c>
      <c r="S2106" t="s">
        <v>178</v>
      </c>
      <c r="T2106">
        <v>0.44341462164390755</v>
      </c>
      <c r="U2106" t="s">
        <v>90</v>
      </c>
      <c r="V2106">
        <v>0</v>
      </c>
      <c r="W2106" t="s">
        <v>90</v>
      </c>
      <c r="X2106">
        <v>0</v>
      </c>
      <c r="Y2106">
        <v>4.3602437794984237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K2106" t="s">
        <v>272</v>
      </c>
      <c r="AM2106">
        <v>200000</v>
      </c>
      <c r="AN2106" t="s">
        <v>97</v>
      </c>
      <c r="AO2106">
        <v>1</v>
      </c>
      <c r="AP2106">
        <v>0</v>
      </c>
      <c r="AQ2106">
        <v>16666.666666666668</v>
      </c>
      <c r="AR2106" t="s">
        <v>9</v>
      </c>
      <c r="AS2106" t="s">
        <v>75</v>
      </c>
      <c r="AX2106" t="s">
        <v>76</v>
      </c>
      <c r="AY2106" t="s">
        <v>176</v>
      </c>
      <c r="AZ2106">
        <v>0</v>
      </c>
      <c r="BA2106" t="s">
        <v>176</v>
      </c>
      <c r="BB2106">
        <v>0</v>
      </c>
    </row>
    <row r="2107" spans="1:56" x14ac:dyDescent="0.15">
      <c r="A2107" s="4" t="str">
        <f>HYPERLINK("https://ibp.a2mac1.com/costing(costing:projects/details/9760/part/8416047)","&gt;Bolt-on parts&gt;Front structure&gt;Upper front cross member 01 assy&gt;Brackets&gt;Part 01 (single/main)")</f>
        <v>&gt;Bolt-on parts&gt;Front structure&gt;Upper front cross member 01 assy&gt;Brackets&gt;Part 01 (single/main)</v>
      </c>
      <c r="B2107">
        <v>8416047</v>
      </c>
      <c r="C2107">
        <v>8415709</v>
      </c>
      <c r="D2107" t="s">
        <v>7005</v>
      </c>
      <c r="E2107">
        <v>3.1340425531914892E-2</v>
      </c>
      <c r="F2107">
        <v>0</v>
      </c>
      <c r="G2107">
        <v>0</v>
      </c>
      <c r="H2107">
        <v>3.223404255319149E-5</v>
      </c>
      <c r="I2107" t="s">
        <v>176</v>
      </c>
      <c r="J2107">
        <v>1.1170212765957447E-3</v>
      </c>
      <c r="K2107">
        <v>3.248968085106383E-2</v>
      </c>
      <c r="L2107">
        <v>0.42098701850204645</v>
      </c>
      <c r="M2107">
        <v>2.5259221110122785</v>
      </c>
      <c r="N2107">
        <v>2.5584117918633424</v>
      </c>
      <c r="O2107" t="s">
        <v>177</v>
      </c>
      <c r="P2107">
        <v>1.9493808510638298E-3</v>
      </c>
      <c r="Q2107" t="s">
        <v>177</v>
      </c>
      <c r="R2107">
        <v>0.15155532666073671</v>
      </c>
      <c r="S2107" t="s">
        <v>178</v>
      </c>
      <c r="T2107">
        <v>0.30700941502360107</v>
      </c>
      <c r="U2107" t="s">
        <v>90</v>
      </c>
      <c r="V2107">
        <v>0</v>
      </c>
      <c r="W2107" t="s">
        <v>90</v>
      </c>
      <c r="X2107">
        <v>0</v>
      </c>
      <c r="Y2107">
        <v>3.0189259143987441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K2107" t="s">
        <v>272</v>
      </c>
      <c r="AM2107">
        <v>400000</v>
      </c>
      <c r="AN2107" t="s">
        <v>97</v>
      </c>
      <c r="AO2107">
        <v>2</v>
      </c>
      <c r="AP2107">
        <v>0</v>
      </c>
      <c r="AQ2107">
        <v>33333.333333333336</v>
      </c>
      <c r="AR2107" t="s">
        <v>9</v>
      </c>
      <c r="AS2107" t="s">
        <v>75</v>
      </c>
      <c r="AX2107" t="s">
        <v>76</v>
      </c>
      <c r="AY2107" t="s">
        <v>176</v>
      </c>
      <c r="AZ2107">
        <v>0</v>
      </c>
      <c r="BA2107" t="s">
        <v>176</v>
      </c>
      <c r="BB2107">
        <v>0</v>
      </c>
    </row>
    <row r="2108" spans="1:56" x14ac:dyDescent="0.15">
      <c r="A2108" s="4" t="str">
        <f>HYPERLINK("https://ibp.a2mac1.com/costing(costing:projects/details/9760/part/8416049)","&gt;Bolt-on parts&gt;Other reinforcements&gt;Reinforcement 1&gt;Part 01 (single/main)")</f>
        <v>&gt;Bolt-on parts&gt;Other reinforcements&gt;Reinforcement 1&gt;Part 01 (single/main)</v>
      </c>
      <c r="B2108">
        <v>8416049</v>
      </c>
      <c r="C2108">
        <v>8415710</v>
      </c>
      <c r="D2108" t="s">
        <v>7005</v>
      </c>
      <c r="E2108">
        <v>1.2954042553191489</v>
      </c>
      <c r="F2108">
        <v>0</v>
      </c>
      <c r="G2108">
        <v>0</v>
      </c>
      <c r="H2108">
        <v>1.3323404255319148E-3</v>
      </c>
      <c r="I2108" t="s">
        <v>176</v>
      </c>
      <c r="J2108">
        <v>4.6170212765957445E-2</v>
      </c>
      <c r="K2108">
        <v>1.3429068085106384</v>
      </c>
      <c r="L2108">
        <v>0.42579049492584031</v>
      </c>
      <c r="M2108">
        <v>2.5547429695550421</v>
      </c>
      <c r="N2108">
        <v>3.8976497780656802</v>
      </c>
      <c r="O2108" t="s">
        <v>177</v>
      </c>
      <c r="P2108">
        <v>8.0574408510638296E-2</v>
      </c>
      <c r="Q2108" t="s">
        <v>177</v>
      </c>
      <c r="R2108">
        <v>0.15328457817330252</v>
      </c>
      <c r="S2108" t="s">
        <v>178</v>
      </c>
      <c r="T2108">
        <v>0.46771797336788162</v>
      </c>
      <c r="U2108" t="s">
        <v>90</v>
      </c>
      <c r="V2108">
        <v>0</v>
      </c>
      <c r="W2108" t="s">
        <v>90</v>
      </c>
      <c r="X2108">
        <v>0</v>
      </c>
      <c r="Y2108">
        <v>4.5992267381175029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K2108" t="s">
        <v>272</v>
      </c>
      <c r="AM2108">
        <v>400000</v>
      </c>
      <c r="AN2108" t="s">
        <v>97</v>
      </c>
      <c r="AO2108">
        <v>2</v>
      </c>
      <c r="AP2108">
        <v>0</v>
      </c>
      <c r="AQ2108">
        <v>33333.333333333336</v>
      </c>
      <c r="AR2108" t="s">
        <v>9</v>
      </c>
      <c r="AS2108" t="s">
        <v>75</v>
      </c>
      <c r="AX2108" t="s">
        <v>76</v>
      </c>
      <c r="AY2108" t="s">
        <v>176</v>
      </c>
      <c r="AZ2108">
        <v>0</v>
      </c>
      <c r="BA2108" t="s">
        <v>176</v>
      </c>
      <c r="BB2108">
        <v>0</v>
      </c>
    </row>
    <row r="2109" spans="1:56" x14ac:dyDescent="0.15">
      <c r="A2109" s="4" t="str">
        <f>HYPERLINK("https://ibp.a2mac1.com/costing(costing:projects/details/9760/part/8415711)","Wheel Arch Front")</f>
        <v>Wheel Arch Front</v>
      </c>
      <c r="B2109">
        <v>8415711</v>
      </c>
      <c r="C2109">
        <v>8415595</v>
      </c>
      <c r="E2109">
        <v>0.2</v>
      </c>
      <c r="F2109">
        <v>0</v>
      </c>
      <c r="G2109">
        <v>0</v>
      </c>
      <c r="H2109">
        <v>0</v>
      </c>
      <c r="I2109" t="s">
        <v>71</v>
      </c>
      <c r="J2109">
        <v>0</v>
      </c>
      <c r="K2109">
        <v>0.2</v>
      </c>
      <c r="L2109">
        <v>0</v>
      </c>
      <c r="M2109">
        <v>0</v>
      </c>
      <c r="N2109">
        <v>0.2</v>
      </c>
      <c r="O2109" t="s">
        <v>71</v>
      </c>
      <c r="P2109">
        <v>0</v>
      </c>
      <c r="Q2109" t="s">
        <v>71</v>
      </c>
      <c r="R2109">
        <v>0</v>
      </c>
      <c r="S2109" t="s">
        <v>71</v>
      </c>
      <c r="T2109">
        <v>0</v>
      </c>
      <c r="U2109" t="s">
        <v>71</v>
      </c>
      <c r="V2109">
        <v>0</v>
      </c>
      <c r="W2109" t="s">
        <v>71</v>
      </c>
      <c r="X2109">
        <v>0</v>
      </c>
      <c r="Y2109">
        <v>0.2</v>
      </c>
      <c r="Z2109">
        <v>0</v>
      </c>
      <c r="AA2109">
        <v>0</v>
      </c>
      <c r="AB2109">
        <v>0</v>
      </c>
      <c r="AC2109">
        <v>0</v>
      </c>
      <c r="AD2109">
        <v>0</v>
      </c>
      <c r="AI2109">
        <v>1E-4</v>
      </c>
      <c r="AK2109" t="s">
        <v>740</v>
      </c>
      <c r="AL2109" t="s">
        <v>2246</v>
      </c>
      <c r="AM2109">
        <v>400000</v>
      </c>
      <c r="AN2109" t="s">
        <v>97</v>
      </c>
      <c r="AO2109">
        <v>2</v>
      </c>
      <c r="AP2109">
        <v>0</v>
      </c>
      <c r="AQ2109">
        <v>33333.333333333336</v>
      </c>
      <c r="AR2109" t="s">
        <v>7015</v>
      </c>
      <c r="AS2109" t="s">
        <v>75</v>
      </c>
      <c r="AX2109" t="s">
        <v>76</v>
      </c>
      <c r="AY2109" t="s">
        <v>71</v>
      </c>
      <c r="AZ2109">
        <v>0</v>
      </c>
      <c r="BA2109" t="s">
        <v>71</v>
      </c>
      <c r="BB2109">
        <v>0</v>
      </c>
      <c r="BD2109">
        <v>0.1</v>
      </c>
    </row>
    <row r="2110" spans="1:56" x14ac:dyDescent="0.15">
      <c r="A2110" s="4" t="str">
        <f>HYPERLINK("https://ibp.a2mac1.com/costing(costing:projects/details/9760/part/8415712)","Wheel Arch Rear")</f>
        <v>Wheel Arch Rear</v>
      </c>
      <c r="B2110">
        <v>8415712</v>
      </c>
      <c r="C2110">
        <v>8415595</v>
      </c>
      <c r="E2110">
        <v>0.2</v>
      </c>
      <c r="F2110">
        <v>0</v>
      </c>
      <c r="G2110">
        <v>0</v>
      </c>
      <c r="H2110">
        <v>0</v>
      </c>
      <c r="I2110" t="s">
        <v>71</v>
      </c>
      <c r="J2110">
        <v>0</v>
      </c>
      <c r="K2110">
        <v>0.2</v>
      </c>
      <c r="L2110">
        <v>0</v>
      </c>
      <c r="M2110">
        <v>0</v>
      </c>
      <c r="N2110">
        <v>0.2</v>
      </c>
      <c r="O2110" t="s">
        <v>71</v>
      </c>
      <c r="P2110">
        <v>0</v>
      </c>
      <c r="Q2110" t="s">
        <v>71</v>
      </c>
      <c r="R2110">
        <v>0</v>
      </c>
      <c r="S2110" t="s">
        <v>71</v>
      </c>
      <c r="T2110">
        <v>0</v>
      </c>
      <c r="U2110" t="s">
        <v>71</v>
      </c>
      <c r="V2110">
        <v>0</v>
      </c>
      <c r="W2110" t="s">
        <v>71</v>
      </c>
      <c r="X2110">
        <v>0</v>
      </c>
      <c r="Y2110">
        <v>0.2</v>
      </c>
      <c r="Z2110">
        <v>0</v>
      </c>
      <c r="AA2110">
        <v>0</v>
      </c>
      <c r="AB2110">
        <v>0</v>
      </c>
      <c r="AC2110">
        <v>0</v>
      </c>
      <c r="AD2110">
        <v>0</v>
      </c>
      <c r="AI2110">
        <v>1E-4</v>
      </c>
      <c r="AK2110" t="s">
        <v>740</v>
      </c>
      <c r="AL2110" t="s">
        <v>7016</v>
      </c>
      <c r="AM2110">
        <v>400000</v>
      </c>
      <c r="AN2110" t="s">
        <v>97</v>
      </c>
      <c r="AO2110">
        <v>2</v>
      </c>
      <c r="AP2110">
        <v>0</v>
      </c>
      <c r="AQ2110">
        <v>33333.333333333336</v>
      </c>
      <c r="AR2110" t="s">
        <v>7017</v>
      </c>
      <c r="AS2110" t="s">
        <v>75</v>
      </c>
      <c r="AX2110" t="s">
        <v>76</v>
      </c>
      <c r="AY2110" t="s">
        <v>71</v>
      </c>
      <c r="AZ2110">
        <v>0</v>
      </c>
      <c r="BA2110" t="s">
        <v>71</v>
      </c>
      <c r="BB2110">
        <v>0</v>
      </c>
      <c r="BD2110">
        <v>0.1</v>
      </c>
    </row>
    <row r="2111" spans="1:56" x14ac:dyDescent="0.15">
      <c r="A2111" s="4" t="str">
        <f>HYPERLINK("https://ibp.a2mac1.com/costing(costing:projects/details/9760/part/8415713)","Hyper Structure")</f>
        <v>Hyper Structure</v>
      </c>
      <c r="B2111">
        <v>8415713</v>
      </c>
      <c r="C2111">
        <v>8415595</v>
      </c>
      <c r="E2111">
        <v>1.3</v>
      </c>
      <c r="F2111">
        <v>0</v>
      </c>
      <c r="G2111">
        <v>0</v>
      </c>
      <c r="H2111">
        <v>0</v>
      </c>
      <c r="I2111" t="s">
        <v>71</v>
      </c>
      <c r="J2111">
        <v>0</v>
      </c>
      <c r="K2111">
        <v>1.3</v>
      </c>
      <c r="L2111">
        <v>0</v>
      </c>
      <c r="M2111">
        <v>0</v>
      </c>
      <c r="N2111">
        <v>1.3</v>
      </c>
      <c r="O2111" t="s">
        <v>71</v>
      </c>
      <c r="P2111">
        <v>0</v>
      </c>
      <c r="Q2111" t="s">
        <v>71</v>
      </c>
      <c r="R2111">
        <v>0</v>
      </c>
      <c r="S2111" t="s">
        <v>71</v>
      </c>
      <c r="T2111">
        <v>0</v>
      </c>
      <c r="U2111" t="s">
        <v>71</v>
      </c>
      <c r="V2111">
        <v>0</v>
      </c>
      <c r="W2111" t="s">
        <v>71</v>
      </c>
      <c r="X2111">
        <v>0</v>
      </c>
      <c r="Y2111">
        <v>1.3</v>
      </c>
      <c r="Z2111">
        <v>0</v>
      </c>
      <c r="AA2111">
        <v>0</v>
      </c>
      <c r="AB2111">
        <v>0</v>
      </c>
      <c r="AC2111">
        <v>0</v>
      </c>
      <c r="AD2111">
        <v>0</v>
      </c>
      <c r="AI2111">
        <v>1E-4</v>
      </c>
      <c r="AK2111" t="s">
        <v>740</v>
      </c>
      <c r="AL2111" t="s">
        <v>7018</v>
      </c>
      <c r="AM2111">
        <v>2600000</v>
      </c>
      <c r="AN2111" t="s">
        <v>97</v>
      </c>
      <c r="AO2111">
        <v>13</v>
      </c>
      <c r="AP2111">
        <v>0</v>
      </c>
      <c r="AQ2111">
        <v>216666.66666666666</v>
      </c>
      <c r="AR2111" t="s">
        <v>7019</v>
      </c>
      <c r="AS2111" t="s">
        <v>75</v>
      </c>
      <c r="AX2111" t="s">
        <v>76</v>
      </c>
      <c r="AY2111" t="s">
        <v>71</v>
      </c>
      <c r="AZ2111">
        <v>0</v>
      </c>
      <c r="BA2111" t="s">
        <v>71</v>
      </c>
      <c r="BB2111">
        <v>0</v>
      </c>
      <c r="BD2111">
        <v>0.1</v>
      </c>
    </row>
    <row r="2112" spans="1:56" x14ac:dyDescent="0.15">
      <c r="A2112" s="4" t="str">
        <f>HYPERLINK("https://ibp.a2mac1.com/costing(costing:projects/details/9760/part/8415714)","Underbody")</f>
        <v>Underbody</v>
      </c>
      <c r="B2112">
        <v>8415714</v>
      </c>
      <c r="C2112">
        <v>8415595</v>
      </c>
      <c r="E2112">
        <v>0.7</v>
      </c>
      <c r="F2112">
        <v>0</v>
      </c>
      <c r="G2112">
        <v>0</v>
      </c>
      <c r="H2112">
        <v>0</v>
      </c>
      <c r="I2112" t="s">
        <v>71</v>
      </c>
      <c r="J2112">
        <v>0</v>
      </c>
      <c r="K2112">
        <v>0.7</v>
      </c>
      <c r="L2112">
        <v>0</v>
      </c>
      <c r="M2112">
        <v>0</v>
      </c>
      <c r="N2112">
        <v>0.7</v>
      </c>
      <c r="O2112" t="s">
        <v>71</v>
      </c>
      <c r="P2112">
        <v>0</v>
      </c>
      <c r="Q2112" t="s">
        <v>71</v>
      </c>
      <c r="R2112">
        <v>0</v>
      </c>
      <c r="S2112" t="s">
        <v>71</v>
      </c>
      <c r="T2112">
        <v>0</v>
      </c>
      <c r="U2112" t="s">
        <v>71</v>
      </c>
      <c r="V2112">
        <v>0</v>
      </c>
      <c r="W2112" t="s">
        <v>71</v>
      </c>
      <c r="X2112">
        <v>0</v>
      </c>
      <c r="Y2112">
        <v>0.7</v>
      </c>
      <c r="Z2112">
        <v>0</v>
      </c>
      <c r="AA2112">
        <v>0</v>
      </c>
      <c r="AB2112">
        <v>0</v>
      </c>
      <c r="AC2112">
        <v>0</v>
      </c>
      <c r="AD2112">
        <v>0</v>
      </c>
      <c r="AI2112">
        <v>1E-4</v>
      </c>
      <c r="AK2112" t="s">
        <v>740</v>
      </c>
      <c r="AL2112" t="s">
        <v>7020</v>
      </c>
      <c r="AM2112">
        <v>1400000</v>
      </c>
      <c r="AN2112" t="s">
        <v>97</v>
      </c>
      <c r="AO2112">
        <v>7</v>
      </c>
      <c r="AP2112">
        <v>0</v>
      </c>
      <c r="AQ2112">
        <v>116666.66666666667</v>
      </c>
      <c r="AR2112" t="s">
        <v>7021</v>
      </c>
      <c r="AS2112" t="s">
        <v>75</v>
      </c>
      <c r="AX2112" t="s">
        <v>76</v>
      </c>
      <c r="AY2112" t="s">
        <v>71</v>
      </c>
      <c r="AZ2112">
        <v>0</v>
      </c>
      <c r="BA2112" t="s">
        <v>71</v>
      </c>
      <c r="BB2112">
        <v>0</v>
      </c>
      <c r="BD2112">
        <v>0.1</v>
      </c>
    </row>
    <row r="2113" spans="1:56" x14ac:dyDescent="0.15">
      <c r="A2113" s="4" t="str">
        <f>HYPERLINK("https://ibp.a2mac1.com/costing(costing:projects/details/9760/part/8415715)","Engine Compartment")</f>
        <v>Engine Compartment</v>
      </c>
      <c r="B2113">
        <v>8415715</v>
      </c>
      <c r="C2113">
        <v>8415595</v>
      </c>
      <c r="E2113">
        <v>0.2</v>
      </c>
      <c r="F2113">
        <v>0</v>
      </c>
      <c r="G2113">
        <v>0</v>
      </c>
      <c r="H2113">
        <v>0</v>
      </c>
      <c r="I2113" t="s">
        <v>71</v>
      </c>
      <c r="J2113">
        <v>0</v>
      </c>
      <c r="K2113">
        <v>0.2</v>
      </c>
      <c r="L2113">
        <v>0</v>
      </c>
      <c r="M2113">
        <v>0</v>
      </c>
      <c r="N2113">
        <v>0.2</v>
      </c>
      <c r="O2113" t="s">
        <v>71</v>
      </c>
      <c r="P2113">
        <v>0</v>
      </c>
      <c r="Q2113" t="s">
        <v>71</v>
      </c>
      <c r="R2113">
        <v>0</v>
      </c>
      <c r="S2113" t="s">
        <v>71</v>
      </c>
      <c r="T2113">
        <v>0</v>
      </c>
      <c r="U2113" t="s">
        <v>71</v>
      </c>
      <c r="V2113">
        <v>0</v>
      </c>
      <c r="W2113" t="s">
        <v>71</v>
      </c>
      <c r="X2113">
        <v>0</v>
      </c>
      <c r="Y2113">
        <v>0.2</v>
      </c>
      <c r="Z2113">
        <v>0</v>
      </c>
      <c r="AA2113">
        <v>0</v>
      </c>
      <c r="AB2113">
        <v>0</v>
      </c>
      <c r="AC2113">
        <v>0</v>
      </c>
      <c r="AD2113">
        <v>0</v>
      </c>
      <c r="AI2113">
        <v>1E-4</v>
      </c>
      <c r="AK2113" t="s">
        <v>740</v>
      </c>
      <c r="AL2113" t="s">
        <v>403</v>
      </c>
      <c r="AM2113">
        <v>400000</v>
      </c>
      <c r="AN2113" t="s">
        <v>97</v>
      </c>
      <c r="AO2113">
        <v>2</v>
      </c>
      <c r="AP2113">
        <v>0</v>
      </c>
      <c r="AQ2113">
        <v>33333.333333333336</v>
      </c>
      <c r="AR2113" t="s">
        <v>7022</v>
      </c>
      <c r="AS2113" t="s">
        <v>75</v>
      </c>
      <c r="AX2113" t="s">
        <v>76</v>
      </c>
      <c r="AY2113" t="s">
        <v>71</v>
      </c>
      <c r="AZ2113">
        <v>0</v>
      </c>
      <c r="BA2113" t="s">
        <v>71</v>
      </c>
      <c r="BB2113">
        <v>0</v>
      </c>
      <c r="BD2113">
        <v>0.1</v>
      </c>
    </row>
    <row r="2114" spans="1:56" x14ac:dyDescent="0.15">
      <c r="A2114" s="4" t="str">
        <f>HYPERLINK("https://ibp.a2mac1.com/costing(costing:projects/details/9760/part/8415716)","Front Body Panel")</f>
        <v>Front Body Panel</v>
      </c>
      <c r="B2114">
        <v>8415716</v>
      </c>
      <c r="C2114">
        <v>8415595</v>
      </c>
      <c r="E2114">
        <v>0.7</v>
      </c>
      <c r="F2114">
        <v>0</v>
      </c>
      <c r="G2114">
        <v>0</v>
      </c>
      <c r="H2114">
        <v>0</v>
      </c>
      <c r="I2114" t="s">
        <v>71</v>
      </c>
      <c r="J2114">
        <v>0</v>
      </c>
      <c r="K2114">
        <v>0.7</v>
      </c>
      <c r="L2114">
        <v>0</v>
      </c>
      <c r="M2114">
        <v>0</v>
      </c>
      <c r="N2114">
        <v>0.7</v>
      </c>
      <c r="O2114" t="s">
        <v>71</v>
      </c>
      <c r="P2114">
        <v>0</v>
      </c>
      <c r="Q2114" t="s">
        <v>71</v>
      </c>
      <c r="R2114">
        <v>0</v>
      </c>
      <c r="S2114" t="s">
        <v>71</v>
      </c>
      <c r="T2114">
        <v>0</v>
      </c>
      <c r="U2114" t="s">
        <v>71</v>
      </c>
      <c r="V2114">
        <v>0</v>
      </c>
      <c r="W2114" t="s">
        <v>71</v>
      </c>
      <c r="X2114">
        <v>0</v>
      </c>
      <c r="Y2114">
        <v>0.7</v>
      </c>
      <c r="Z2114">
        <v>0</v>
      </c>
      <c r="AA2114">
        <v>0</v>
      </c>
      <c r="AB2114">
        <v>0</v>
      </c>
      <c r="AC2114">
        <v>0</v>
      </c>
      <c r="AD2114">
        <v>0</v>
      </c>
      <c r="AI2114">
        <v>1E-4</v>
      </c>
      <c r="AK2114" t="s">
        <v>740</v>
      </c>
      <c r="AL2114" t="s">
        <v>446</v>
      </c>
      <c r="AM2114">
        <v>1400000</v>
      </c>
      <c r="AN2114" t="s">
        <v>97</v>
      </c>
      <c r="AO2114">
        <v>7</v>
      </c>
      <c r="AP2114">
        <v>0</v>
      </c>
      <c r="AQ2114">
        <v>116666.66666666667</v>
      </c>
      <c r="AR2114" t="s">
        <v>7023</v>
      </c>
      <c r="AS2114" t="s">
        <v>75</v>
      </c>
      <c r="AX2114" t="s">
        <v>76</v>
      </c>
      <c r="AY2114" t="s">
        <v>71</v>
      </c>
      <c r="AZ2114">
        <v>0</v>
      </c>
      <c r="BA2114" t="s">
        <v>71</v>
      </c>
      <c r="BB2114">
        <v>0</v>
      </c>
      <c r="BD2114">
        <v>0.1</v>
      </c>
    </row>
    <row r="2115" spans="1:56" x14ac:dyDescent="0.15">
      <c r="A2115" s="4" t="str">
        <f>HYPERLINK("https://ibp.a2mac1.com/costing(costing:projects/details/9760/part/8415717)","Front")</f>
        <v>Front</v>
      </c>
      <c r="B2115">
        <v>8415717</v>
      </c>
      <c r="C2115">
        <v>8415596</v>
      </c>
      <c r="E2115">
        <v>0.7126534095</v>
      </c>
      <c r="F2115">
        <v>0</v>
      </c>
      <c r="G2115">
        <v>0</v>
      </c>
      <c r="H2115">
        <v>3.8134538827499999E-3</v>
      </c>
      <c r="I2115" t="s">
        <v>176</v>
      </c>
      <c r="J2115">
        <v>2.6534967374999999E-2</v>
      </c>
      <c r="K2115">
        <v>0.74300183075774995</v>
      </c>
      <c r="L2115">
        <v>1.2838376352094687E-3</v>
      </c>
      <c r="M2115">
        <v>7.7030258112568131E-3</v>
      </c>
      <c r="N2115">
        <v>0.75070485656900676</v>
      </c>
      <c r="O2115" t="s">
        <v>177</v>
      </c>
      <c r="P2115">
        <v>4.4580109845465003E-2</v>
      </c>
      <c r="Q2115" t="s">
        <v>177</v>
      </c>
      <c r="R2115">
        <v>4.6218154867540875E-4</v>
      </c>
      <c r="S2115" t="s">
        <v>178</v>
      </c>
      <c r="T2115">
        <v>9.0084582788280812E-2</v>
      </c>
      <c r="U2115" t="s">
        <v>90</v>
      </c>
      <c r="V2115">
        <v>0</v>
      </c>
      <c r="W2115" t="s">
        <v>90</v>
      </c>
      <c r="X2115">
        <v>0</v>
      </c>
      <c r="Y2115">
        <v>0.88583173075142807</v>
      </c>
      <c r="Z2115">
        <v>0</v>
      </c>
      <c r="AA2115">
        <v>0</v>
      </c>
      <c r="AB2115">
        <v>0</v>
      </c>
      <c r="AC2115">
        <v>0</v>
      </c>
      <c r="AD2115">
        <v>0</v>
      </c>
      <c r="AI2115">
        <v>8.6999999999999994E-2</v>
      </c>
      <c r="AK2115" t="s">
        <v>740</v>
      </c>
      <c r="AL2115" t="s">
        <v>104</v>
      </c>
      <c r="AM2115">
        <v>400000</v>
      </c>
      <c r="AN2115" t="s">
        <v>97</v>
      </c>
      <c r="AO2115">
        <v>2</v>
      </c>
      <c r="AP2115">
        <v>0</v>
      </c>
      <c r="AQ2115">
        <v>33333.333333333336</v>
      </c>
      <c r="AR2115" t="s">
        <v>7029</v>
      </c>
      <c r="AS2115" t="s">
        <v>75</v>
      </c>
      <c r="AX2115" t="s">
        <v>76</v>
      </c>
      <c r="AY2115" t="s">
        <v>176</v>
      </c>
      <c r="AZ2115">
        <v>0</v>
      </c>
      <c r="BA2115" t="s">
        <v>176</v>
      </c>
      <c r="BB2115">
        <v>0</v>
      </c>
    </row>
    <row r="2116" spans="1:56" x14ac:dyDescent="0.15">
      <c r="A2116" s="4" t="str">
        <f>HYPERLINK("https://ibp.a2mac1.com/costing(costing:projects/details/9760/part/8415718)","Upper Left and Right if Similar")</f>
        <v>Upper Left and Right if Similar</v>
      </c>
      <c r="B2116">
        <v>8415718</v>
      </c>
      <c r="C2116">
        <v>8415597</v>
      </c>
      <c r="E2116">
        <v>2.1303904440000001</v>
      </c>
      <c r="F2116">
        <v>0</v>
      </c>
      <c r="G2116">
        <v>0</v>
      </c>
      <c r="H2116">
        <v>2.157087066105263E-3</v>
      </c>
      <c r="I2116" t="s">
        <v>176</v>
      </c>
      <c r="J2116">
        <v>7.4750541894736844E-2</v>
      </c>
      <c r="K2116">
        <v>2.207298072960842</v>
      </c>
      <c r="L2116">
        <v>0.14698153530008184</v>
      </c>
      <c r="M2116">
        <v>0.88188921180049107</v>
      </c>
      <c r="N2116">
        <v>3.0891872847613331</v>
      </c>
      <c r="O2116" t="s">
        <v>177</v>
      </c>
      <c r="P2116">
        <v>0.13243788437765053</v>
      </c>
      <c r="Q2116" t="s">
        <v>177</v>
      </c>
      <c r="R2116">
        <v>5.2913352708029465E-2</v>
      </c>
      <c r="S2116" t="s">
        <v>178</v>
      </c>
      <c r="T2116">
        <v>0.37070247417135999</v>
      </c>
      <c r="U2116" t="s">
        <v>90</v>
      </c>
      <c r="V2116">
        <v>0</v>
      </c>
      <c r="W2116" t="s">
        <v>90</v>
      </c>
      <c r="X2116">
        <v>0</v>
      </c>
      <c r="Y2116">
        <v>3.6452409960183734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16</v>
      </c>
      <c r="AF2116">
        <v>2140</v>
      </c>
      <c r="AG2116">
        <v>75</v>
      </c>
      <c r="AI2116">
        <v>0.72799999999999998</v>
      </c>
      <c r="AK2116" t="s">
        <v>740</v>
      </c>
      <c r="AL2116" t="s">
        <v>289</v>
      </c>
      <c r="AM2116">
        <v>400000</v>
      </c>
      <c r="AN2116" t="s">
        <v>97</v>
      </c>
      <c r="AO2116">
        <v>2</v>
      </c>
      <c r="AP2116">
        <v>0</v>
      </c>
      <c r="AQ2116">
        <v>33333.333333333336</v>
      </c>
      <c r="AR2116" t="s">
        <v>7036</v>
      </c>
      <c r="AS2116" t="s">
        <v>75</v>
      </c>
      <c r="AX2116" t="s">
        <v>76</v>
      </c>
      <c r="AY2116" t="s">
        <v>176</v>
      </c>
      <c r="AZ2116">
        <v>0</v>
      </c>
      <c r="BA2116" t="s">
        <v>176</v>
      </c>
      <c r="BB2116">
        <v>0</v>
      </c>
    </row>
    <row r="2117" spans="1:56" x14ac:dyDescent="0.15">
      <c r="A2117" s="4" t="str">
        <f>HYPERLINK("https://ibp.a2mac1.com/costing(costing:projects/details/9760/part/8416050)","Plastic Part")</f>
        <v>Plastic Part</v>
      </c>
      <c r="B2117">
        <v>8416050</v>
      </c>
      <c r="C2117">
        <v>8415720</v>
      </c>
      <c r="E2117">
        <v>0.23946479927835052</v>
      </c>
      <c r="F2117">
        <v>0</v>
      </c>
      <c r="G2117">
        <v>0</v>
      </c>
      <c r="H2117">
        <v>2.494175175257732E-4</v>
      </c>
      <c r="I2117" t="s">
        <v>176</v>
      </c>
      <c r="J2117">
        <v>8.3938587628865982E-3</v>
      </c>
      <c r="K2117">
        <v>0.24810807555876288</v>
      </c>
      <c r="L2117">
        <v>1.7521029269728275E-2</v>
      </c>
      <c r="M2117">
        <v>0.10512617561836966</v>
      </c>
      <c r="N2117">
        <v>0.35323425117713253</v>
      </c>
      <c r="O2117" t="s">
        <v>177</v>
      </c>
      <c r="P2117">
        <v>1.4886484533525772E-2</v>
      </c>
      <c r="Q2117" t="s">
        <v>177</v>
      </c>
      <c r="R2117">
        <v>6.3075705371021798E-3</v>
      </c>
      <c r="S2117" t="s">
        <v>178</v>
      </c>
      <c r="T2117">
        <v>4.2388110141255902E-2</v>
      </c>
      <c r="U2117" t="s">
        <v>90</v>
      </c>
      <c r="V2117">
        <v>0</v>
      </c>
      <c r="W2117" t="s">
        <v>90</v>
      </c>
      <c r="X2117">
        <v>0</v>
      </c>
      <c r="Y2117">
        <v>0.4168164163890164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K2117" t="s">
        <v>272</v>
      </c>
      <c r="AM2117">
        <v>200000</v>
      </c>
      <c r="AN2117" t="s">
        <v>97</v>
      </c>
      <c r="AO2117">
        <v>1</v>
      </c>
      <c r="AP2117">
        <v>0</v>
      </c>
      <c r="AQ2117">
        <v>16666.666666666668</v>
      </c>
      <c r="AR2117" t="s">
        <v>9</v>
      </c>
      <c r="AS2117" t="s">
        <v>75</v>
      </c>
      <c r="AV2117">
        <v>0</v>
      </c>
      <c r="AW2117">
        <v>0</v>
      </c>
      <c r="AX2117" t="s">
        <v>76</v>
      </c>
      <c r="AY2117" t="s">
        <v>176</v>
      </c>
      <c r="AZ2117">
        <v>0</v>
      </c>
      <c r="BA2117" t="s">
        <v>176</v>
      </c>
      <c r="BB2117">
        <v>0</v>
      </c>
    </row>
    <row r="2118" spans="1:56" x14ac:dyDescent="0.15">
      <c r="A2118" s="4" t="str">
        <f>HYPERLINK("https://ibp.a2mac1.com/costing(costing:projects/details/9760/part/8416051)","Aluminium plate")</f>
        <v>Aluminium plate</v>
      </c>
      <c r="B2118">
        <v>8416051</v>
      </c>
      <c r="C2118">
        <v>8415720</v>
      </c>
      <c r="E2118">
        <v>0.20478546249999999</v>
      </c>
      <c r="F2118">
        <v>0</v>
      </c>
      <c r="G2118">
        <v>0</v>
      </c>
      <c r="H2118">
        <v>2.2657115000000001E-4</v>
      </c>
      <c r="I2118" t="s">
        <v>176</v>
      </c>
      <c r="J2118">
        <v>7.6249906250000004E-3</v>
      </c>
      <c r="K2118">
        <v>0.212637024275</v>
      </c>
      <c r="L2118">
        <v>3.840124797950237E-3</v>
      </c>
      <c r="M2118">
        <v>2.3040748787701421E-2</v>
      </c>
      <c r="N2118">
        <v>0.23567777306270143</v>
      </c>
      <c r="O2118" t="s">
        <v>177</v>
      </c>
      <c r="P2118">
        <v>1.2758221456499999E-2</v>
      </c>
      <c r="Q2118" t="s">
        <v>177</v>
      </c>
      <c r="R2118">
        <v>1.3824449272620853E-3</v>
      </c>
      <c r="S2118" t="s">
        <v>178</v>
      </c>
      <c r="T2118">
        <v>2.8281332767524172E-2</v>
      </c>
      <c r="U2118" t="s">
        <v>90</v>
      </c>
      <c r="V2118">
        <v>0</v>
      </c>
      <c r="W2118" t="s">
        <v>90</v>
      </c>
      <c r="X2118">
        <v>0</v>
      </c>
      <c r="Y2118">
        <v>0.27809977221398768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K2118" t="s">
        <v>272</v>
      </c>
      <c r="AM2118">
        <v>200000</v>
      </c>
      <c r="AN2118" t="s">
        <v>97</v>
      </c>
      <c r="AO2118">
        <v>1</v>
      </c>
      <c r="AP2118">
        <v>0</v>
      </c>
      <c r="AQ2118">
        <v>16666.666666666668</v>
      </c>
      <c r="AR2118" t="s">
        <v>9</v>
      </c>
      <c r="AS2118" t="s">
        <v>75</v>
      </c>
      <c r="AV2118">
        <v>0</v>
      </c>
      <c r="AW2118">
        <v>0</v>
      </c>
      <c r="AX2118" t="s">
        <v>76</v>
      </c>
      <c r="AY2118" t="s">
        <v>176</v>
      </c>
      <c r="AZ2118">
        <v>0</v>
      </c>
      <c r="BA2118" t="s">
        <v>176</v>
      </c>
      <c r="BB2118">
        <v>0</v>
      </c>
    </row>
    <row r="2119" spans="1:56" x14ac:dyDescent="0.15">
      <c r="A2119" s="4" t="str">
        <f>HYPERLINK("https://ibp.a2mac1.com/costing(costing:projects/details/9760/part/8416052)","Adhesive")</f>
        <v>Adhesive</v>
      </c>
      <c r="B2119">
        <v>8416052</v>
      </c>
      <c r="C2119">
        <v>8415720</v>
      </c>
      <c r="E2119">
        <v>0.15</v>
      </c>
      <c r="F2119">
        <v>0</v>
      </c>
      <c r="G2119">
        <v>0</v>
      </c>
      <c r="H2119">
        <v>0</v>
      </c>
      <c r="I2119" t="s">
        <v>71</v>
      </c>
      <c r="J2119">
        <v>0</v>
      </c>
      <c r="K2119">
        <v>0.15</v>
      </c>
      <c r="L2119">
        <v>0</v>
      </c>
      <c r="M2119">
        <v>0</v>
      </c>
      <c r="N2119">
        <v>0.15</v>
      </c>
      <c r="O2119" t="s">
        <v>71</v>
      </c>
      <c r="P2119">
        <v>0</v>
      </c>
      <c r="Q2119" t="s">
        <v>71</v>
      </c>
      <c r="R2119">
        <v>0</v>
      </c>
      <c r="S2119" t="s">
        <v>71</v>
      </c>
      <c r="T2119">
        <v>0</v>
      </c>
      <c r="U2119" t="s">
        <v>71</v>
      </c>
      <c r="V2119">
        <v>0</v>
      </c>
      <c r="W2119" t="s">
        <v>71</v>
      </c>
      <c r="X2119">
        <v>0</v>
      </c>
      <c r="Y2119">
        <v>0.15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K2119" t="s">
        <v>272</v>
      </c>
      <c r="AM2119">
        <v>200000</v>
      </c>
      <c r="AN2119" t="s">
        <v>97</v>
      </c>
      <c r="AO2119">
        <v>1</v>
      </c>
      <c r="AP2119">
        <v>0</v>
      </c>
      <c r="AQ2119">
        <v>16666.666666666668</v>
      </c>
      <c r="AR2119" t="s">
        <v>9</v>
      </c>
      <c r="AS2119" t="s">
        <v>75</v>
      </c>
      <c r="AV2119">
        <v>0</v>
      </c>
      <c r="AW2119">
        <v>0</v>
      </c>
      <c r="AX2119" t="s">
        <v>76</v>
      </c>
      <c r="AY2119" t="s">
        <v>71</v>
      </c>
      <c r="AZ2119">
        <v>0</v>
      </c>
      <c r="BA2119" t="s">
        <v>71</v>
      </c>
      <c r="BB2119">
        <v>0</v>
      </c>
      <c r="BD2119">
        <v>0.15</v>
      </c>
    </row>
    <row r="2120" spans="1:56" x14ac:dyDescent="0.15">
      <c r="A2120" s="4" t="str">
        <f>HYPERLINK("https://ibp.a2mac1.com/costing(costing:projects/details/9760/part/8415719)","Front Cover")</f>
        <v>Front Cover</v>
      </c>
      <c r="B2120">
        <v>8415719</v>
      </c>
      <c r="C2120">
        <v>8415598</v>
      </c>
      <c r="E2120">
        <v>3.5606573615773196</v>
      </c>
      <c r="F2120">
        <v>0</v>
      </c>
      <c r="G2120">
        <v>0</v>
      </c>
      <c r="H2120">
        <v>3.7086466259793815E-3</v>
      </c>
      <c r="I2120" t="s">
        <v>176</v>
      </c>
      <c r="J2120">
        <v>0.12481022298969072</v>
      </c>
      <c r="K2120">
        <v>3.6891762311929899</v>
      </c>
      <c r="L2120">
        <v>0.15892745108744274</v>
      </c>
      <c r="M2120">
        <v>0.95356470652465652</v>
      </c>
      <c r="N2120">
        <v>4.6427409377176465</v>
      </c>
      <c r="O2120" t="s">
        <v>177</v>
      </c>
      <c r="P2120">
        <v>0.22135057387157939</v>
      </c>
      <c r="Q2120" t="s">
        <v>177</v>
      </c>
      <c r="R2120">
        <v>5.7213882391479391E-2</v>
      </c>
      <c r="S2120" t="s">
        <v>178</v>
      </c>
      <c r="T2120">
        <v>0.55712891252611751</v>
      </c>
      <c r="U2120" t="s">
        <v>90</v>
      </c>
      <c r="V2120">
        <v>0</v>
      </c>
      <c r="W2120" t="s">
        <v>90</v>
      </c>
      <c r="X2120">
        <v>0</v>
      </c>
      <c r="Y2120">
        <v>5.4784343065068226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810</v>
      </c>
      <c r="AF2120">
        <v>1615</v>
      </c>
      <c r="AG2120">
        <v>88</v>
      </c>
      <c r="AI2120">
        <v>1.9330000000000001</v>
      </c>
      <c r="AK2120" t="s">
        <v>740</v>
      </c>
      <c r="AL2120" t="s">
        <v>1346</v>
      </c>
      <c r="AM2120">
        <v>200000</v>
      </c>
      <c r="AN2120" t="s">
        <v>97</v>
      </c>
      <c r="AO2120">
        <v>1</v>
      </c>
      <c r="AP2120">
        <v>0</v>
      </c>
      <c r="AQ2120">
        <v>16666.666666666668</v>
      </c>
      <c r="AR2120" t="s">
        <v>7055</v>
      </c>
      <c r="AS2120" t="s">
        <v>75</v>
      </c>
      <c r="AX2120" t="s">
        <v>76</v>
      </c>
      <c r="AY2120" t="s">
        <v>176</v>
      </c>
      <c r="AZ2120">
        <v>0</v>
      </c>
      <c r="BA2120" t="s">
        <v>176</v>
      </c>
      <c r="BB2120">
        <v>0</v>
      </c>
    </row>
    <row r="2121" spans="1:56" x14ac:dyDescent="0.15">
      <c r="A2121" s="4" t="str">
        <f>HYPERLINK("https://ibp.a2mac1.com/costing(costing:projects/details/9760/part/8415721)","2nd Access Trap")</f>
        <v>2nd Access Trap</v>
      </c>
      <c r="B2121">
        <v>8415721</v>
      </c>
      <c r="C2121">
        <v>8415598</v>
      </c>
      <c r="E2121">
        <v>6.3883722000000004E-2</v>
      </c>
      <c r="F2121">
        <v>0</v>
      </c>
      <c r="G2121">
        <v>0</v>
      </c>
      <c r="H2121">
        <v>3.2406178778947368E-4</v>
      </c>
      <c r="I2121" t="s">
        <v>176</v>
      </c>
      <c r="J2121">
        <v>2.2415341052631579E-3</v>
      </c>
      <c r="K2121">
        <v>6.6449317893052626E-2</v>
      </c>
      <c r="L2121">
        <v>7.8912868272557534E-4</v>
      </c>
      <c r="M2121">
        <v>4.7347720963534521E-3</v>
      </c>
      <c r="N2121">
        <v>7.1184089989406077E-2</v>
      </c>
      <c r="O2121" t="s">
        <v>177</v>
      </c>
      <c r="P2121">
        <v>3.9869590735831578E-3</v>
      </c>
      <c r="Q2121" t="s">
        <v>177</v>
      </c>
      <c r="R2121">
        <v>2.8408632578120715E-4</v>
      </c>
      <c r="S2121" t="s">
        <v>178</v>
      </c>
      <c r="T2121">
        <v>8.5420907987287294E-3</v>
      </c>
      <c r="U2121" t="s">
        <v>90</v>
      </c>
      <c r="V2121">
        <v>0</v>
      </c>
      <c r="W2121" t="s">
        <v>90</v>
      </c>
      <c r="X2121">
        <v>0</v>
      </c>
      <c r="Y2121">
        <v>8.3997226187499177E-2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175</v>
      </c>
      <c r="AF2121">
        <v>101</v>
      </c>
      <c r="AG2121">
        <v>21</v>
      </c>
      <c r="AI2121">
        <v>3.4000000000000002E-2</v>
      </c>
      <c r="AK2121" t="s">
        <v>740</v>
      </c>
      <c r="AL2121" t="s">
        <v>1346</v>
      </c>
      <c r="AM2121">
        <v>200000</v>
      </c>
      <c r="AN2121" t="s">
        <v>97</v>
      </c>
      <c r="AO2121">
        <v>1</v>
      </c>
      <c r="AP2121">
        <v>0</v>
      </c>
      <c r="AQ2121">
        <v>16666.666666666668</v>
      </c>
      <c r="AR2121" t="s">
        <v>7058</v>
      </c>
      <c r="AS2121" t="s">
        <v>75</v>
      </c>
      <c r="AX2121" t="s">
        <v>76</v>
      </c>
      <c r="AY2121" t="s">
        <v>176</v>
      </c>
      <c r="AZ2121">
        <v>0</v>
      </c>
      <c r="BA2121" t="s">
        <v>176</v>
      </c>
      <c r="BB2121">
        <v>0</v>
      </c>
    </row>
    <row r="2122" spans="1:56" x14ac:dyDescent="0.15">
      <c r="A2122" s="4" t="str">
        <f>HYPERLINK("https://ibp.a2mac1.com/costing(costing:projects/details/9760/part/8415722)","Front and Rear if Similar")</f>
        <v>Front and Rear if Similar</v>
      </c>
      <c r="B2122">
        <v>8415722</v>
      </c>
      <c r="C2122">
        <v>8415599</v>
      </c>
      <c r="E2122">
        <v>0.33893147069072166</v>
      </c>
      <c r="F2122">
        <v>0</v>
      </c>
      <c r="G2122">
        <v>0</v>
      </c>
      <c r="H2122">
        <v>3.4542965226804124E-4</v>
      </c>
      <c r="I2122" t="s">
        <v>176</v>
      </c>
      <c r="J2122">
        <v>1.1970334484536082E-2</v>
      </c>
      <c r="K2122">
        <v>0.35124723482752579</v>
      </c>
      <c r="L2122">
        <v>2.044625775991039E-2</v>
      </c>
      <c r="M2122">
        <v>0.12267754655946234</v>
      </c>
      <c r="N2122">
        <v>0.47392478138698813</v>
      </c>
      <c r="O2122" t="s">
        <v>177</v>
      </c>
      <c r="P2122">
        <v>2.1074834089651547E-2</v>
      </c>
      <c r="Q2122" t="s">
        <v>177</v>
      </c>
      <c r="R2122">
        <v>7.3606527935677407E-3</v>
      </c>
      <c r="S2122" t="s">
        <v>178</v>
      </c>
      <c r="T2122">
        <v>5.6870973766438571E-2</v>
      </c>
      <c r="U2122" t="s">
        <v>90</v>
      </c>
      <c r="V2122">
        <v>0</v>
      </c>
      <c r="W2122" t="s">
        <v>90</v>
      </c>
      <c r="X2122">
        <v>0</v>
      </c>
      <c r="Y2122">
        <v>0.55923124203664598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146</v>
      </c>
      <c r="AF2122">
        <v>60</v>
      </c>
      <c r="AG2122">
        <v>62</v>
      </c>
      <c r="AI2122">
        <v>0.26100000000000001</v>
      </c>
      <c r="AK2122" t="s">
        <v>740</v>
      </c>
      <c r="AL2122" t="s">
        <v>399</v>
      </c>
      <c r="AM2122">
        <v>400000</v>
      </c>
      <c r="AN2122" t="s">
        <v>97</v>
      </c>
      <c r="AO2122">
        <v>2</v>
      </c>
      <c r="AP2122">
        <v>0</v>
      </c>
      <c r="AQ2122">
        <v>33333.333333333336</v>
      </c>
      <c r="AR2122" t="s">
        <v>7066</v>
      </c>
      <c r="AS2122" t="s">
        <v>75</v>
      </c>
      <c r="AX2122" t="s">
        <v>76</v>
      </c>
      <c r="AY2122" t="s">
        <v>176</v>
      </c>
      <c r="AZ2122">
        <v>0</v>
      </c>
      <c r="BA2122" t="s">
        <v>176</v>
      </c>
      <c r="BB2122">
        <v>0</v>
      </c>
    </row>
    <row r="2123" spans="1:56" x14ac:dyDescent="0.15">
      <c r="A2123" s="4" t="str">
        <f>HYPERLINK("https://ibp.a2mac1.com/costing(costing:projects/details/9760/part/8415723)","Rear")</f>
        <v>Rear</v>
      </c>
      <c r="B2123">
        <v>8415723</v>
      </c>
      <c r="C2123">
        <v>8415599</v>
      </c>
      <c r="E2123">
        <v>0.33893147069072166</v>
      </c>
      <c r="F2123">
        <v>0</v>
      </c>
      <c r="G2123">
        <v>0</v>
      </c>
      <c r="H2123">
        <v>3.4542965226804124E-4</v>
      </c>
      <c r="I2123" t="s">
        <v>176</v>
      </c>
      <c r="J2123">
        <v>1.1970334484536082E-2</v>
      </c>
      <c r="K2123">
        <v>0.35124723482752579</v>
      </c>
      <c r="L2123">
        <v>2.044625775991039E-2</v>
      </c>
      <c r="M2123">
        <v>0.12267754655946234</v>
      </c>
      <c r="N2123">
        <v>0.47392478138698813</v>
      </c>
      <c r="O2123" t="s">
        <v>177</v>
      </c>
      <c r="P2123">
        <v>2.1074834089651547E-2</v>
      </c>
      <c r="Q2123" t="s">
        <v>177</v>
      </c>
      <c r="R2123">
        <v>7.3606527935677407E-3</v>
      </c>
      <c r="S2123" t="s">
        <v>178</v>
      </c>
      <c r="T2123">
        <v>5.6870973766438571E-2</v>
      </c>
      <c r="U2123" t="s">
        <v>90</v>
      </c>
      <c r="V2123">
        <v>0</v>
      </c>
      <c r="W2123" t="s">
        <v>90</v>
      </c>
      <c r="X2123">
        <v>0</v>
      </c>
      <c r="Y2123">
        <v>0.55923124203664598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146</v>
      </c>
      <c r="AF2123">
        <v>60</v>
      </c>
      <c r="AG2123">
        <v>62</v>
      </c>
      <c r="AI2123">
        <v>0.26200000000000001</v>
      </c>
      <c r="AK2123" t="s">
        <v>740</v>
      </c>
      <c r="AL2123" t="s">
        <v>399</v>
      </c>
      <c r="AM2123">
        <v>400000</v>
      </c>
      <c r="AN2123" t="s">
        <v>97</v>
      </c>
      <c r="AO2123">
        <v>2</v>
      </c>
      <c r="AP2123">
        <v>0</v>
      </c>
      <c r="AQ2123">
        <v>33333.333333333336</v>
      </c>
      <c r="AR2123" t="s">
        <v>7069</v>
      </c>
      <c r="AS2123" t="s">
        <v>75</v>
      </c>
      <c r="AX2123" t="s">
        <v>76</v>
      </c>
      <c r="AY2123" t="s">
        <v>176</v>
      </c>
      <c r="AZ2123">
        <v>0</v>
      </c>
      <c r="BA2123" t="s">
        <v>176</v>
      </c>
      <c r="BB2123">
        <v>0</v>
      </c>
    </row>
    <row r="2124" spans="1:56" x14ac:dyDescent="0.15">
      <c r="A2124" s="4" t="str">
        <f>HYPERLINK("https://ibp.a2mac1.com/costing(costing:projects/details/9760/part/8416053)","Central")</f>
        <v>Central</v>
      </c>
      <c r="B2124">
        <v>8416053</v>
      </c>
      <c r="C2124">
        <v>8415726</v>
      </c>
      <c r="E2124">
        <v>0.49603831199999998</v>
      </c>
      <c r="F2124">
        <v>0</v>
      </c>
      <c r="G2124">
        <v>0</v>
      </c>
      <c r="H2124">
        <v>2.5162444698947368E-3</v>
      </c>
      <c r="I2124" t="s">
        <v>176</v>
      </c>
      <c r="J2124">
        <v>1.7404853052631578E-2</v>
      </c>
      <c r="K2124">
        <v>0.51595940952252628</v>
      </c>
      <c r="L2124">
        <v>4.297823205519534E-2</v>
      </c>
      <c r="M2124">
        <v>0.25786939233117206</v>
      </c>
      <c r="N2124">
        <v>0.7738288018536984</v>
      </c>
      <c r="O2124" t="s">
        <v>177</v>
      </c>
      <c r="P2124">
        <v>3.0957564571351581E-2</v>
      </c>
      <c r="Q2124" t="s">
        <v>177</v>
      </c>
      <c r="R2124">
        <v>1.5472163539870323E-2</v>
      </c>
      <c r="S2124" t="s">
        <v>178</v>
      </c>
      <c r="T2124">
        <v>9.2859456222443806E-2</v>
      </c>
      <c r="U2124" t="s">
        <v>90</v>
      </c>
      <c r="V2124">
        <v>0</v>
      </c>
      <c r="W2124" t="s">
        <v>90</v>
      </c>
      <c r="X2124">
        <v>0</v>
      </c>
      <c r="Y2124">
        <v>0.91311798618736406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42</v>
      </c>
      <c r="AF2124">
        <v>1108</v>
      </c>
      <c r="AG2124">
        <v>118</v>
      </c>
      <c r="AI2124">
        <v>0.26400000000000001</v>
      </c>
      <c r="AK2124" t="s">
        <v>740</v>
      </c>
      <c r="AL2124" t="s">
        <v>951</v>
      </c>
      <c r="AM2124">
        <v>200000</v>
      </c>
      <c r="AN2124" t="s">
        <v>97</v>
      </c>
      <c r="AO2124">
        <v>1</v>
      </c>
      <c r="AP2124">
        <v>0</v>
      </c>
      <c r="AQ2124">
        <v>16666.666666666668</v>
      </c>
      <c r="AR2124" t="s">
        <v>7077</v>
      </c>
      <c r="AS2124" t="s">
        <v>75</v>
      </c>
      <c r="AX2124" t="s">
        <v>76</v>
      </c>
      <c r="AY2124" t="s">
        <v>176</v>
      </c>
      <c r="AZ2124">
        <v>0</v>
      </c>
      <c r="BA2124" t="s">
        <v>176</v>
      </c>
      <c r="BB2124">
        <v>0</v>
      </c>
    </row>
    <row r="2125" spans="1:56" x14ac:dyDescent="0.15">
      <c r="A2125" s="4" t="str">
        <f>HYPERLINK("https://ibp.a2mac1.com/costing(costing:projects/details/9760/part/8416054)","2nd Central")</f>
        <v>2nd Central</v>
      </c>
      <c r="B2125">
        <v>8416054</v>
      </c>
      <c r="C2125">
        <v>8415726</v>
      </c>
      <c r="E2125">
        <v>0.49228044599999998</v>
      </c>
      <c r="F2125">
        <v>0</v>
      </c>
      <c r="G2125">
        <v>0</v>
      </c>
      <c r="H2125">
        <v>2.4971820117894736E-3</v>
      </c>
      <c r="I2125" t="s">
        <v>176</v>
      </c>
      <c r="J2125">
        <v>1.7272998105263157E-2</v>
      </c>
      <c r="K2125">
        <v>0.51205062611705265</v>
      </c>
      <c r="L2125">
        <v>4.1212148323563194E-2</v>
      </c>
      <c r="M2125">
        <v>0.24727288994137919</v>
      </c>
      <c r="N2125">
        <v>0.75932351605843185</v>
      </c>
      <c r="O2125" t="s">
        <v>177</v>
      </c>
      <c r="P2125">
        <v>3.0723037567023159E-2</v>
      </c>
      <c r="Q2125" t="s">
        <v>177</v>
      </c>
      <c r="R2125">
        <v>1.4836373396482751E-2</v>
      </c>
      <c r="S2125" t="s">
        <v>178</v>
      </c>
      <c r="T2125">
        <v>9.1118821927011817E-2</v>
      </c>
      <c r="U2125" t="s">
        <v>90</v>
      </c>
      <c r="V2125">
        <v>0</v>
      </c>
      <c r="W2125" t="s">
        <v>90</v>
      </c>
      <c r="X2125">
        <v>0</v>
      </c>
      <c r="Y2125">
        <v>0.89600174894894957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48</v>
      </c>
      <c r="AF2125">
        <v>1108</v>
      </c>
      <c r="AG2125">
        <v>118</v>
      </c>
      <c r="AI2125">
        <v>0.26200000000000001</v>
      </c>
      <c r="AK2125" t="s">
        <v>740</v>
      </c>
      <c r="AL2125" t="s">
        <v>951</v>
      </c>
      <c r="AM2125">
        <v>200000</v>
      </c>
      <c r="AN2125" t="s">
        <v>97</v>
      </c>
      <c r="AO2125">
        <v>1</v>
      </c>
      <c r="AP2125">
        <v>0</v>
      </c>
      <c r="AQ2125">
        <v>16666.666666666668</v>
      </c>
      <c r="AR2125" t="s">
        <v>7082</v>
      </c>
      <c r="AS2125" t="s">
        <v>75</v>
      </c>
      <c r="AX2125" t="s">
        <v>76</v>
      </c>
      <c r="AY2125" t="s">
        <v>176</v>
      </c>
      <c r="AZ2125">
        <v>0</v>
      </c>
      <c r="BA2125" t="s">
        <v>176</v>
      </c>
      <c r="BB2125">
        <v>0</v>
      </c>
    </row>
    <row r="2126" spans="1:56" x14ac:dyDescent="0.15">
      <c r="A2126" s="4" t="str">
        <f>HYPERLINK("https://ibp.a2mac1.com/costing(costing:projects/details/9760/part/8416055)","3rd Central")</f>
        <v>3rd Central</v>
      </c>
      <c r="B2126">
        <v>8416055</v>
      </c>
      <c r="C2126">
        <v>8415726</v>
      </c>
      <c r="E2126">
        <v>0.50543297700000001</v>
      </c>
      <c r="F2126">
        <v>0</v>
      </c>
      <c r="G2126">
        <v>0</v>
      </c>
      <c r="H2126">
        <v>2.5639006151578947E-3</v>
      </c>
      <c r="I2126" t="s">
        <v>176</v>
      </c>
      <c r="J2126">
        <v>1.7734490421052632E-2</v>
      </c>
      <c r="K2126">
        <v>0.52573136803621057</v>
      </c>
      <c r="L2126">
        <v>4.297823205519534E-2</v>
      </c>
      <c r="M2126">
        <v>0.25786939233117206</v>
      </c>
      <c r="N2126">
        <v>0.78360076036738258</v>
      </c>
      <c r="O2126" t="s">
        <v>177</v>
      </c>
      <c r="P2126">
        <v>3.1543882082172632E-2</v>
      </c>
      <c r="Q2126" t="s">
        <v>177</v>
      </c>
      <c r="R2126">
        <v>1.5472163539870323E-2</v>
      </c>
      <c r="S2126" t="s">
        <v>178</v>
      </c>
      <c r="T2126">
        <v>9.4032091244085902E-2</v>
      </c>
      <c r="U2126" t="s">
        <v>90</v>
      </c>
      <c r="V2126">
        <v>0</v>
      </c>
      <c r="W2126" t="s">
        <v>90</v>
      </c>
      <c r="X2126">
        <v>0</v>
      </c>
      <c r="Y2126">
        <v>0.9246488972335114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61</v>
      </c>
      <c r="AF2126">
        <v>1052</v>
      </c>
      <c r="AG2126">
        <v>118</v>
      </c>
      <c r="AI2126">
        <v>0.26900000000000002</v>
      </c>
      <c r="AK2126" t="s">
        <v>740</v>
      </c>
      <c r="AL2126" t="s">
        <v>951</v>
      </c>
      <c r="AM2126">
        <v>200000</v>
      </c>
      <c r="AN2126" t="s">
        <v>97</v>
      </c>
      <c r="AO2126">
        <v>1</v>
      </c>
      <c r="AP2126">
        <v>0</v>
      </c>
      <c r="AQ2126">
        <v>16666.666666666668</v>
      </c>
      <c r="AR2126" t="s">
        <v>7087</v>
      </c>
      <c r="AS2126" t="s">
        <v>75</v>
      </c>
      <c r="AX2126" t="s">
        <v>76</v>
      </c>
      <c r="AY2126" t="s">
        <v>176</v>
      </c>
      <c r="AZ2126">
        <v>0</v>
      </c>
      <c r="BA2126" t="s">
        <v>176</v>
      </c>
      <c r="BB2126">
        <v>0</v>
      </c>
    </row>
    <row r="2127" spans="1:56" x14ac:dyDescent="0.15">
      <c r="A2127" s="4" t="str">
        <f>HYPERLINK("https://ibp.a2mac1.com/costing(costing:projects/details/9760/part/8416056)","4rd Central")</f>
        <v>4rd Central</v>
      </c>
      <c r="B2127">
        <v>8416056</v>
      </c>
      <c r="C2127">
        <v>8415726</v>
      </c>
      <c r="E2127">
        <v>0.50543297700000001</v>
      </c>
      <c r="F2127">
        <v>0</v>
      </c>
      <c r="G2127">
        <v>0</v>
      </c>
      <c r="H2127">
        <v>2.5639006151578947E-3</v>
      </c>
      <c r="I2127" t="s">
        <v>176</v>
      </c>
      <c r="J2127">
        <v>1.7734490421052632E-2</v>
      </c>
      <c r="K2127">
        <v>0.52573136803621057</v>
      </c>
      <c r="L2127">
        <v>4.297823205519534E-2</v>
      </c>
      <c r="M2127">
        <v>0.25786939233117206</v>
      </c>
      <c r="N2127">
        <v>0.78360076036738258</v>
      </c>
      <c r="O2127" t="s">
        <v>177</v>
      </c>
      <c r="P2127">
        <v>3.1543882082172632E-2</v>
      </c>
      <c r="Q2127" t="s">
        <v>177</v>
      </c>
      <c r="R2127">
        <v>1.5472163539870323E-2</v>
      </c>
      <c r="S2127" t="s">
        <v>178</v>
      </c>
      <c r="T2127">
        <v>9.4032091244085902E-2</v>
      </c>
      <c r="U2127" t="s">
        <v>90</v>
      </c>
      <c r="V2127">
        <v>0</v>
      </c>
      <c r="W2127" t="s">
        <v>90</v>
      </c>
      <c r="X2127">
        <v>0</v>
      </c>
      <c r="Y2127">
        <v>0.9246488972335114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55</v>
      </c>
      <c r="AF2127">
        <v>1054</v>
      </c>
      <c r="AG2127">
        <v>119</v>
      </c>
      <c r="AI2127">
        <v>0.26900000000000002</v>
      </c>
      <c r="AK2127" t="s">
        <v>740</v>
      </c>
      <c r="AL2127" t="s">
        <v>951</v>
      </c>
      <c r="AM2127">
        <v>200000</v>
      </c>
      <c r="AN2127" t="s">
        <v>97</v>
      </c>
      <c r="AO2127">
        <v>1</v>
      </c>
      <c r="AP2127">
        <v>0</v>
      </c>
      <c r="AQ2127">
        <v>16666.666666666668</v>
      </c>
      <c r="AR2127" t="s">
        <v>7090</v>
      </c>
      <c r="AS2127" t="s">
        <v>75</v>
      </c>
      <c r="AX2127" t="s">
        <v>76</v>
      </c>
      <c r="AY2127" t="s">
        <v>176</v>
      </c>
      <c r="AZ2127">
        <v>0</v>
      </c>
      <c r="BA2127" t="s">
        <v>176</v>
      </c>
      <c r="BB2127">
        <v>0</v>
      </c>
    </row>
    <row r="2128" spans="1:56" x14ac:dyDescent="0.15">
      <c r="A2128" s="4" t="str">
        <f>HYPERLINK("https://ibp.a2mac1.com/costing(costing:projects/details/9760/part/8415724)","Cover")</f>
        <v>Cover</v>
      </c>
      <c r="B2128">
        <v>8415724</v>
      </c>
      <c r="C2128">
        <v>8415600</v>
      </c>
      <c r="E2128">
        <v>3.3369850080000001</v>
      </c>
      <c r="F2128">
        <v>0</v>
      </c>
      <c r="G2128">
        <v>0</v>
      </c>
      <c r="H2128">
        <v>1.6927462797473685E-2</v>
      </c>
      <c r="I2128" t="s">
        <v>176</v>
      </c>
      <c r="J2128">
        <v>0.11708719326315789</v>
      </c>
      <c r="K2128">
        <v>3.4709996640606318</v>
      </c>
      <c r="L2128">
        <v>0.27080303343574191</v>
      </c>
      <c r="M2128">
        <v>1.6248182006144516</v>
      </c>
      <c r="N2128">
        <v>5.0958178646750829</v>
      </c>
      <c r="O2128" t="s">
        <v>177</v>
      </c>
      <c r="P2128">
        <v>0.20825997984363789</v>
      </c>
      <c r="Q2128" t="s">
        <v>177</v>
      </c>
      <c r="R2128">
        <v>9.7489092036867092E-2</v>
      </c>
      <c r="S2128" t="s">
        <v>178</v>
      </c>
      <c r="T2128">
        <v>0.61149814376100997</v>
      </c>
      <c r="U2128" t="s">
        <v>90</v>
      </c>
      <c r="V2128">
        <v>0</v>
      </c>
      <c r="W2128" t="s">
        <v>90</v>
      </c>
      <c r="X2128">
        <v>0</v>
      </c>
      <c r="Y2128">
        <v>6.0130650803165979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113</v>
      </c>
      <c r="AF2128">
        <v>2215</v>
      </c>
      <c r="AG2128">
        <v>163</v>
      </c>
      <c r="AI2128">
        <v>1.776</v>
      </c>
      <c r="AK2128" t="s">
        <v>740</v>
      </c>
      <c r="AL2128" t="s">
        <v>951</v>
      </c>
      <c r="AM2128">
        <v>200000</v>
      </c>
      <c r="AN2128" t="s">
        <v>97</v>
      </c>
      <c r="AO2128">
        <v>1</v>
      </c>
      <c r="AP2128">
        <v>0</v>
      </c>
      <c r="AQ2128">
        <v>16666.666666666668</v>
      </c>
      <c r="AR2128" t="s">
        <v>7096</v>
      </c>
      <c r="AS2128" t="s">
        <v>75</v>
      </c>
      <c r="AX2128" t="s">
        <v>76</v>
      </c>
      <c r="AY2128" t="s">
        <v>176</v>
      </c>
      <c r="AZ2128">
        <v>0</v>
      </c>
      <c r="BA2128" t="s">
        <v>176</v>
      </c>
      <c r="BB2128">
        <v>0</v>
      </c>
    </row>
    <row r="2129" spans="1:56" x14ac:dyDescent="0.15">
      <c r="A2129" s="4" t="str">
        <f>HYPERLINK("https://ibp.a2mac1.com/costing(costing:projects/details/9760/part/8415725)","Cover Right if Different")</f>
        <v>Cover Right if Different</v>
      </c>
      <c r="B2129">
        <v>8415725</v>
      </c>
      <c r="C2129">
        <v>8415600</v>
      </c>
      <c r="E2129">
        <v>3.2975274149999998</v>
      </c>
      <c r="F2129">
        <v>0</v>
      </c>
      <c r="G2129">
        <v>0</v>
      </c>
      <c r="H2129">
        <v>1.672730698736842E-2</v>
      </c>
      <c r="I2129" t="s">
        <v>176</v>
      </c>
      <c r="J2129">
        <v>0.11570271631578948</v>
      </c>
      <c r="K2129">
        <v>3.4299574383031577</v>
      </c>
      <c r="L2129">
        <v>0.26727086597247762</v>
      </c>
      <c r="M2129">
        <v>1.6036251958348657</v>
      </c>
      <c r="N2129">
        <v>5.0335826341380239</v>
      </c>
      <c r="O2129" t="s">
        <v>177</v>
      </c>
      <c r="P2129">
        <v>0.20579744629818947</v>
      </c>
      <c r="Q2129" t="s">
        <v>177</v>
      </c>
      <c r="R2129">
        <v>9.6217511750091952E-2</v>
      </c>
      <c r="S2129" t="s">
        <v>178</v>
      </c>
      <c r="T2129">
        <v>0.60402991609656287</v>
      </c>
      <c r="U2129" t="s">
        <v>90</v>
      </c>
      <c r="V2129">
        <v>0</v>
      </c>
      <c r="W2129" t="s">
        <v>90</v>
      </c>
      <c r="X2129">
        <v>0</v>
      </c>
      <c r="Y2129">
        <v>5.939627508282868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114</v>
      </c>
      <c r="AF2129">
        <v>2216</v>
      </c>
      <c r="AG2129">
        <v>165</v>
      </c>
      <c r="AI2129">
        <v>1.7549999999999999</v>
      </c>
      <c r="AK2129" t="s">
        <v>740</v>
      </c>
      <c r="AL2129" t="s">
        <v>951</v>
      </c>
      <c r="AM2129">
        <v>200000</v>
      </c>
      <c r="AN2129" t="s">
        <v>97</v>
      </c>
      <c r="AO2129">
        <v>1</v>
      </c>
      <c r="AP2129">
        <v>0</v>
      </c>
      <c r="AQ2129">
        <v>16666.666666666668</v>
      </c>
      <c r="AR2129" t="s">
        <v>7101</v>
      </c>
      <c r="AS2129" t="s">
        <v>75</v>
      </c>
      <c r="AX2129" t="s">
        <v>76</v>
      </c>
      <c r="AY2129" t="s">
        <v>176</v>
      </c>
      <c r="AZ2129">
        <v>0</v>
      </c>
      <c r="BA2129" t="s">
        <v>176</v>
      </c>
      <c r="BB2129">
        <v>0</v>
      </c>
    </row>
    <row r="2130" spans="1:56" x14ac:dyDescent="0.15">
      <c r="A2130" s="4" t="str">
        <f>HYPERLINK("https://ibp.a2mac1.com/costing(costing:projects/details/9760/part/8416057)","Trunk")</f>
        <v>Trunk</v>
      </c>
      <c r="B2130">
        <v>8416057</v>
      </c>
      <c r="C2130">
        <v>8415729</v>
      </c>
      <c r="E2130">
        <v>6.4076039999999999E-3</v>
      </c>
      <c r="F2130">
        <v>0</v>
      </c>
      <c r="G2130">
        <v>0</v>
      </c>
      <c r="H2130">
        <v>3.2503735578947366E-5</v>
      </c>
      <c r="I2130" t="s">
        <v>176</v>
      </c>
      <c r="J2130">
        <v>2.2482821052631578E-4</v>
      </c>
      <c r="K2130">
        <v>6.664935946105263E-3</v>
      </c>
      <c r="L2130">
        <v>4.1243899592881732E-3</v>
      </c>
      <c r="M2130">
        <v>2.4746339755729041E-2</v>
      </c>
      <c r="N2130">
        <v>3.1411275701834301E-2</v>
      </c>
      <c r="O2130" t="s">
        <v>177</v>
      </c>
      <c r="P2130">
        <v>3.9989615676631581E-4</v>
      </c>
      <c r="Q2130" t="s">
        <v>177</v>
      </c>
      <c r="R2130">
        <v>1.4847803853437424E-3</v>
      </c>
      <c r="S2130" t="s">
        <v>178</v>
      </c>
      <c r="T2130">
        <v>3.7693530842201166E-3</v>
      </c>
      <c r="U2130" t="s">
        <v>90</v>
      </c>
      <c r="V2130">
        <v>0</v>
      </c>
      <c r="W2130" t="s">
        <v>90</v>
      </c>
      <c r="X2130">
        <v>0</v>
      </c>
      <c r="Y2130">
        <v>3.7065305328164475E-2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13</v>
      </c>
      <c r="AF2130">
        <v>34</v>
      </c>
      <c r="AG2130">
        <v>34</v>
      </c>
      <c r="AI2130">
        <v>3.0000000000000001E-3</v>
      </c>
      <c r="AK2130" t="s">
        <v>740</v>
      </c>
      <c r="AL2130" t="s">
        <v>112</v>
      </c>
      <c r="AM2130">
        <v>200000</v>
      </c>
      <c r="AN2130" t="s">
        <v>97</v>
      </c>
      <c r="AO2130">
        <v>1</v>
      </c>
      <c r="AP2130">
        <v>0</v>
      </c>
      <c r="AQ2130">
        <v>16666.666666666668</v>
      </c>
      <c r="AR2130" t="s">
        <v>7108</v>
      </c>
      <c r="AS2130" t="s">
        <v>75</v>
      </c>
      <c r="AX2130" t="s">
        <v>76</v>
      </c>
      <c r="AY2130" t="s">
        <v>176</v>
      </c>
      <c r="AZ2130">
        <v>0</v>
      </c>
      <c r="BA2130" t="s">
        <v>176</v>
      </c>
      <c r="BB2130">
        <v>0</v>
      </c>
    </row>
    <row r="2131" spans="1:56" x14ac:dyDescent="0.15">
      <c r="A2131" s="4" t="str">
        <f>HYPERLINK("https://ibp.a2mac1.com/costing(costing:projects/details/9760/part/8415727)","Left Side and Right if Similar")</f>
        <v>Left Side and Right if Similar</v>
      </c>
      <c r="B2131">
        <v>8415727</v>
      </c>
      <c r="C2131">
        <v>8415601</v>
      </c>
      <c r="E2131">
        <v>0.118372779</v>
      </c>
      <c r="F2131">
        <v>0</v>
      </c>
      <c r="G2131">
        <v>0</v>
      </c>
      <c r="H2131">
        <v>6.0046743031578944E-4</v>
      </c>
      <c r="I2131" t="s">
        <v>176</v>
      </c>
      <c r="J2131">
        <v>4.1534308421052627E-3</v>
      </c>
      <c r="K2131">
        <v>0.12312667727242105</v>
      </c>
      <c r="L2131">
        <v>1.1188724885816749E-2</v>
      </c>
      <c r="M2131">
        <v>6.7132349314900502E-2</v>
      </c>
      <c r="N2131">
        <v>0.19025902658732155</v>
      </c>
      <c r="O2131" t="s">
        <v>177</v>
      </c>
      <c r="P2131">
        <v>7.3876006363452632E-3</v>
      </c>
      <c r="Q2131" t="s">
        <v>177</v>
      </c>
      <c r="R2131">
        <v>4.02794095889403E-3</v>
      </c>
      <c r="S2131" t="s">
        <v>178</v>
      </c>
      <c r="T2131">
        <v>2.2831083190478586E-2</v>
      </c>
      <c r="U2131" t="s">
        <v>90</v>
      </c>
      <c r="V2131">
        <v>0</v>
      </c>
      <c r="W2131" t="s">
        <v>90</v>
      </c>
      <c r="X2131">
        <v>0</v>
      </c>
      <c r="Y2131">
        <v>0.22450565137303943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219</v>
      </c>
      <c r="AF2131">
        <v>232</v>
      </c>
      <c r="AG2131">
        <v>58</v>
      </c>
      <c r="AI2131">
        <v>6.3E-2</v>
      </c>
      <c r="AK2131" t="s">
        <v>740</v>
      </c>
      <c r="AL2131" t="s">
        <v>951</v>
      </c>
      <c r="AM2131">
        <v>200000</v>
      </c>
      <c r="AN2131" t="s">
        <v>97</v>
      </c>
      <c r="AO2131">
        <v>1</v>
      </c>
      <c r="AP2131">
        <v>0</v>
      </c>
      <c r="AQ2131">
        <v>16666.666666666668</v>
      </c>
      <c r="AR2131" t="s">
        <v>7114</v>
      </c>
      <c r="AS2131" t="s">
        <v>75</v>
      </c>
      <c r="AX2131" t="s">
        <v>76</v>
      </c>
      <c r="AY2131" t="s">
        <v>176</v>
      </c>
      <c r="AZ2131">
        <v>0</v>
      </c>
      <c r="BA2131" t="s">
        <v>176</v>
      </c>
      <c r="BB2131">
        <v>0</v>
      </c>
    </row>
    <row r="2132" spans="1:56" x14ac:dyDescent="0.15">
      <c r="A2132" s="4" t="str">
        <f>HYPERLINK("https://ibp.a2mac1.com/costing(costing:projects/details/9760/part/8415728)","Right Side")</f>
        <v>Right Side</v>
      </c>
      <c r="B2132">
        <v>8415728</v>
      </c>
      <c r="C2132">
        <v>8415601</v>
      </c>
      <c r="E2132">
        <v>0.114614913</v>
      </c>
      <c r="F2132">
        <v>0</v>
      </c>
      <c r="G2132">
        <v>0</v>
      </c>
      <c r="H2132">
        <v>5.8140497221052627E-4</v>
      </c>
      <c r="I2132" t="s">
        <v>176</v>
      </c>
      <c r="J2132">
        <v>4.0215758947368422E-3</v>
      </c>
      <c r="K2132">
        <v>0.11921789386694737</v>
      </c>
      <c r="L2132">
        <v>1.1188724885816749E-2</v>
      </c>
      <c r="M2132">
        <v>6.7132349314900502E-2</v>
      </c>
      <c r="N2132">
        <v>0.18635024318184787</v>
      </c>
      <c r="O2132" t="s">
        <v>177</v>
      </c>
      <c r="P2132">
        <v>7.1530736320168419E-3</v>
      </c>
      <c r="Q2132" t="s">
        <v>177</v>
      </c>
      <c r="R2132">
        <v>4.02794095889403E-3</v>
      </c>
      <c r="S2132" t="s">
        <v>178</v>
      </c>
      <c r="T2132">
        <v>2.2362029181821744E-2</v>
      </c>
      <c r="U2132" t="s">
        <v>90</v>
      </c>
      <c r="V2132">
        <v>0</v>
      </c>
      <c r="W2132" t="s">
        <v>90</v>
      </c>
      <c r="X2132">
        <v>0</v>
      </c>
      <c r="Y2132">
        <v>0.21989328695458049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219</v>
      </c>
      <c r="AF2132">
        <v>232</v>
      </c>
      <c r="AG2132">
        <v>58</v>
      </c>
      <c r="AI2132">
        <v>6.0999999999999999E-2</v>
      </c>
      <c r="AK2132" t="s">
        <v>740</v>
      </c>
      <c r="AL2132" t="s">
        <v>951</v>
      </c>
      <c r="AM2132">
        <v>200000</v>
      </c>
      <c r="AN2132" t="s">
        <v>97</v>
      </c>
      <c r="AO2132">
        <v>1</v>
      </c>
      <c r="AP2132">
        <v>0</v>
      </c>
      <c r="AQ2132">
        <v>16666.666666666668</v>
      </c>
      <c r="AR2132" t="s">
        <v>7118</v>
      </c>
      <c r="AS2132" t="s">
        <v>75</v>
      </c>
      <c r="AX2132" t="s">
        <v>76</v>
      </c>
      <c r="AY2132" t="s">
        <v>176</v>
      </c>
      <c r="AZ2132">
        <v>0</v>
      </c>
      <c r="BA2132" t="s">
        <v>176</v>
      </c>
      <c r="BB2132">
        <v>0</v>
      </c>
    </row>
    <row r="2133" spans="1:56" x14ac:dyDescent="0.15">
      <c r="A2133" s="4" t="str">
        <f>HYPERLINK("https://ibp.a2mac1.com/costing(costing:projects/details/9760/part/8416388)","Window")</f>
        <v>Window</v>
      </c>
      <c r="B2133">
        <v>8416388</v>
      </c>
      <c r="C2133">
        <v>8416058</v>
      </c>
      <c r="E2133">
        <v>6.5955500000000002</v>
      </c>
      <c r="F2133">
        <v>0</v>
      </c>
      <c r="G2133">
        <v>0</v>
      </c>
      <c r="H2133">
        <v>3.3175616499999998E-2</v>
      </c>
      <c r="I2133" t="s">
        <v>176</v>
      </c>
      <c r="J2133">
        <v>0.23084425</v>
      </c>
      <c r="K2133">
        <v>6.8595698665000002</v>
      </c>
      <c r="L2133">
        <v>0.54276372668842732</v>
      </c>
      <c r="M2133">
        <v>3.2565823601305639</v>
      </c>
      <c r="N2133">
        <v>10.116152226630565</v>
      </c>
      <c r="O2133" t="s">
        <v>177</v>
      </c>
      <c r="P2133">
        <v>0.41157419199</v>
      </c>
      <c r="Q2133" t="s">
        <v>177</v>
      </c>
      <c r="R2133">
        <v>0.19539494160783383</v>
      </c>
      <c r="S2133" t="s">
        <v>178</v>
      </c>
      <c r="T2133">
        <v>1.2139382671956678</v>
      </c>
      <c r="U2133" t="s">
        <v>90</v>
      </c>
      <c r="V2133">
        <v>0</v>
      </c>
      <c r="W2133" t="s">
        <v>90</v>
      </c>
      <c r="X2133">
        <v>0</v>
      </c>
      <c r="Y2133">
        <v>11.937059627424066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37</v>
      </c>
      <c r="AF2133">
        <v>363</v>
      </c>
      <c r="AG2133">
        <v>257</v>
      </c>
      <c r="AI2133">
        <v>1.8979999999999999</v>
      </c>
      <c r="AK2133" t="s">
        <v>1464</v>
      </c>
      <c r="AL2133" t="s">
        <v>7127</v>
      </c>
      <c r="AM2133">
        <v>400000</v>
      </c>
      <c r="AN2133" t="s">
        <v>97</v>
      </c>
      <c r="AO2133">
        <v>2</v>
      </c>
      <c r="AP2133">
        <v>0</v>
      </c>
      <c r="AQ2133">
        <v>33333.333333333336</v>
      </c>
      <c r="AR2133" t="s">
        <v>7128</v>
      </c>
      <c r="AS2133" t="s">
        <v>75</v>
      </c>
      <c r="AX2133" t="s">
        <v>76</v>
      </c>
      <c r="AY2133" t="s">
        <v>176</v>
      </c>
      <c r="AZ2133">
        <v>0</v>
      </c>
      <c r="BA2133" t="s">
        <v>176</v>
      </c>
      <c r="BB2133">
        <v>0</v>
      </c>
    </row>
    <row r="2134" spans="1:56" x14ac:dyDescent="0.15">
      <c r="A2134" s="4" t="str">
        <f>HYPERLINK("https://ibp.a2mac1.com/costing(costing:projects/details/9760/part/8416389)","Left Bezel")</f>
        <v>Left Bezel</v>
      </c>
      <c r="B2134">
        <v>8416389</v>
      </c>
      <c r="C2134">
        <v>8416058</v>
      </c>
      <c r="E2134">
        <v>1.081267242</v>
      </c>
      <c r="F2134">
        <v>0</v>
      </c>
      <c r="G2134">
        <v>0</v>
      </c>
      <c r="H2134">
        <v>5.7859300290000002E-3</v>
      </c>
      <c r="I2134" t="s">
        <v>176</v>
      </c>
      <c r="J2134">
        <v>4.0259950500000002E-2</v>
      </c>
      <c r="K2134">
        <v>1.1273131225290001</v>
      </c>
      <c r="L2134">
        <v>0.31317969462636835</v>
      </c>
      <c r="M2134">
        <v>1.8790781677582102</v>
      </c>
      <c r="N2134">
        <v>3.0063912902872101</v>
      </c>
      <c r="O2134" t="s">
        <v>177</v>
      </c>
      <c r="P2134">
        <v>6.7638787351740004E-2</v>
      </c>
      <c r="Q2134" t="s">
        <v>177</v>
      </c>
      <c r="R2134">
        <v>0.11274469006549261</v>
      </c>
      <c r="S2134" t="s">
        <v>178</v>
      </c>
      <c r="T2134">
        <v>0.36076695483446525</v>
      </c>
      <c r="U2134" t="s">
        <v>90</v>
      </c>
      <c r="V2134">
        <v>0</v>
      </c>
      <c r="W2134" t="s">
        <v>90</v>
      </c>
      <c r="X2134">
        <v>0</v>
      </c>
      <c r="Y2134">
        <v>3.5475417225389081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34</v>
      </c>
      <c r="AF2134">
        <v>393</v>
      </c>
      <c r="AG2134">
        <v>300</v>
      </c>
      <c r="AI2134">
        <v>0.13200000000000001</v>
      </c>
      <c r="AK2134" t="s">
        <v>1464</v>
      </c>
      <c r="AL2134" t="s">
        <v>104</v>
      </c>
      <c r="AM2134">
        <v>400000</v>
      </c>
      <c r="AN2134" t="s">
        <v>97</v>
      </c>
      <c r="AO2134">
        <v>2</v>
      </c>
      <c r="AP2134">
        <v>0</v>
      </c>
      <c r="AQ2134">
        <v>33333.333333333336</v>
      </c>
      <c r="AR2134" t="s">
        <v>7134</v>
      </c>
      <c r="AS2134" t="s">
        <v>75</v>
      </c>
      <c r="AX2134" t="s">
        <v>76</v>
      </c>
      <c r="AY2134" t="s">
        <v>176</v>
      </c>
      <c r="AZ2134">
        <v>0</v>
      </c>
      <c r="BA2134" t="s">
        <v>176</v>
      </c>
      <c r="BB2134">
        <v>0</v>
      </c>
    </row>
    <row r="2135" spans="1:56" x14ac:dyDescent="0.15">
      <c r="A2135" s="4" t="str">
        <f>HYPERLINK("https://ibp.a2mac1.com/costing(costing:projects/details/9760/part/8416390)","Rear Seal on Glass")</f>
        <v>Rear Seal on Glass</v>
      </c>
      <c r="B2135">
        <v>8416390</v>
      </c>
      <c r="C2135">
        <v>8416058</v>
      </c>
      <c r="E2135">
        <v>0.60325718949999996</v>
      </c>
      <c r="F2135">
        <v>0</v>
      </c>
      <c r="G2135">
        <v>0</v>
      </c>
      <c r="H2135">
        <v>3.097532453894737E-3</v>
      </c>
      <c r="I2135" t="s">
        <v>176</v>
      </c>
      <c r="J2135">
        <v>2.1553406736842105E-2</v>
      </c>
      <c r="K2135">
        <v>0.62790812869073687</v>
      </c>
      <c r="L2135">
        <v>5.533916631051753E-2</v>
      </c>
      <c r="M2135">
        <v>0.3320349978631052</v>
      </c>
      <c r="N2135">
        <v>0.95994312655384206</v>
      </c>
      <c r="O2135" t="s">
        <v>177</v>
      </c>
      <c r="P2135">
        <v>3.7674487721444209E-2</v>
      </c>
      <c r="Q2135" t="s">
        <v>177</v>
      </c>
      <c r="R2135">
        <v>1.9922099871786312E-2</v>
      </c>
      <c r="S2135" t="s">
        <v>178</v>
      </c>
      <c r="T2135">
        <v>0.11519317518646105</v>
      </c>
      <c r="U2135" t="s">
        <v>90</v>
      </c>
      <c r="V2135">
        <v>0</v>
      </c>
      <c r="W2135" t="s">
        <v>90</v>
      </c>
      <c r="X2135">
        <v>0</v>
      </c>
      <c r="Y2135">
        <v>1.1327328893335336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26</v>
      </c>
      <c r="AF2135">
        <v>117</v>
      </c>
      <c r="AG2135">
        <v>310</v>
      </c>
      <c r="AI2135">
        <v>0.16700000000000001</v>
      </c>
      <c r="AK2135" t="s">
        <v>1464</v>
      </c>
      <c r="AL2135" t="s">
        <v>2577</v>
      </c>
      <c r="AM2135">
        <v>400000</v>
      </c>
      <c r="AN2135" t="s">
        <v>97</v>
      </c>
      <c r="AO2135">
        <v>2</v>
      </c>
      <c r="AP2135">
        <v>0</v>
      </c>
      <c r="AQ2135">
        <v>33333.333333333336</v>
      </c>
      <c r="AR2135" t="s">
        <v>7139</v>
      </c>
      <c r="AS2135" t="s">
        <v>75</v>
      </c>
      <c r="AX2135" t="s">
        <v>76</v>
      </c>
      <c r="AY2135" t="s">
        <v>176</v>
      </c>
      <c r="AZ2135">
        <v>0</v>
      </c>
      <c r="BA2135" t="s">
        <v>176</v>
      </c>
      <c r="BB2135">
        <v>0</v>
      </c>
    </row>
    <row r="2136" spans="1:56" x14ac:dyDescent="0.15">
      <c r="A2136" s="4" t="str">
        <f>HYPERLINK("https://ibp.a2mac1.com/costing(costing:projects/details/9760/part/8416391)","Lower seal")</f>
        <v>Lower seal</v>
      </c>
      <c r="B2136">
        <v>8416391</v>
      </c>
      <c r="C2136">
        <v>8416059</v>
      </c>
      <c r="E2136">
        <v>0.21346636986250001</v>
      </c>
      <c r="F2136">
        <v>0</v>
      </c>
      <c r="G2136">
        <v>0</v>
      </c>
      <c r="H2136">
        <v>1.1230959202635526E-3</v>
      </c>
      <c r="I2136" t="s">
        <v>176</v>
      </c>
      <c r="J2136">
        <v>7.7684500413486846E-3</v>
      </c>
      <c r="K2136">
        <v>0.22235791582411224</v>
      </c>
      <c r="L2136">
        <v>1.8253059812345325E-2</v>
      </c>
      <c r="M2136">
        <v>0.10951835887407195</v>
      </c>
      <c r="N2136">
        <v>0.3318762746981842</v>
      </c>
      <c r="O2136" t="s">
        <v>177</v>
      </c>
      <c r="P2136">
        <v>1.3341474949446734E-2</v>
      </c>
      <c r="Q2136" t="s">
        <v>177</v>
      </c>
      <c r="R2136">
        <v>6.5711015324443171E-3</v>
      </c>
      <c r="S2136" t="s">
        <v>178</v>
      </c>
      <c r="T2136">
        <v>3.9825152963782105E-2</v>
      </c>
      <c r="U2136" t="s">
        <v>90</v>
      </c>
      <c r="V2136">
        <v>0</v>
      </c>
      <c r="W2136" t="s">
        <v>90</v>
      </c>
      <c r="X2136">
        <v>0</v>
      </c>
      <c r="Y2136">
        <v>0.39161400414385733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15</v>
      </c>
      <c r="AF2136">
        <v>1518</v>
      </c>
      <c r="AG2136">
        <v>148</v>
      </c>
      <c r="AI2136">
        <v>9.5000000000000001E-2</v>
      </c>
      <c r="AK2136" t="s">
        <v>1464</v>
      </c>
      <c r="AL2136" t="s">
        <v>7150</v>
      </c>
      <c r="AM2136">
        <v>200000</v>
      </c>
      <c r="AN2136" t="s">
        <v>97</v>
      </c>
      <c r="AO2136">
        <v>1</v>
      </c>
      <c r="AP2136">
        <v>0</v>
      </c>
      <c r="AQ2136">
        <v>16666.666666666668</v>
      </c>
      <c r="AR2136" t="s">
        <v>7151</v>
      </c>
      <c r="AS2136" t="s">
        <v>75</v>
      </c>
      <c r="AX2136" t="s">
        <v>76</v>
      </c>
      <c r="AY2136" t="s">
        <v>176</v>
      </c>
      <c r="AZ2136">
        <v>0</v>
      </c>
      <c r="BA2136" t="s">
        <v>176</v>
      </c>
      <c r="BB2136">
        <v>0</v>
      </c>
    </row>
    <row r="2137" spans="1:56" x14ac:dyDescent="0.15">
      <c r="A2137" s="4" t="str">
        <f>HYPERLINK("https://ibp.a2mac1.com/costing(costing:projects/details/9760/part/8416392)","Upper seal")</f>
        <v>Upper seal</v>
      </c>
      <c r="B2137">
        <v>8416392</v>
      </c>
      <c r="C2137">
        <v>8416059</v>
      </c>
      <c r="E2137">
        <v>8.7047152500000002E-2</v>
      </c>
      <c r="F2137">
        <v>0</v>
      </c>
      <c r="G2137">
        <v>0</v>
      </c>
      <c r="H2137">
        <v>4.4156249789473683E-4</v>
      </c>
      <c r="I2137" t="s">
        <v>176</v>
      </c>
      <c r="J2137">
        <v>3.054286052631579E-3</v>
      </c>
      <c r="K2137">
        <v>9.0543001050526317E-2</v>
      </c>
      <c r="L2137">
        <v>1.1188724885816749E-2</v>
      </c>
      <c r="M2137">
        <v>6.7132349314900502E-2</v>
      </c>
      <c r="N2137">
        <v>0.15767535036542682</v>
      </c>
      <c r="O2137" t="s">
        <v>177</v>
      </c>
      <c r="P2137">
        <v>5.4325800630315793E-3</v>
      </c>
      <c r="Q2137" t="s">
        <v>177</v>
      </c>
      <c r="R2137">
        <v>4.02794095889403E-3</v>
      </c>
      <c r="S2137" t="s">
        <v>178</v>
      </c>
      <c r="T2137">
        <v>1.8921042043851217E-2</v>
      </c>
      <c r="U2137" t="s">
        <v>90</v>
      </c>
      <c r="V2137">
        <v>0</v>
      </c>
      <c r="W2137" t="s">
        <v>90</v>
      </c>
      <c r="X2137">
        <v>0</v>
      </c>
      <c r="Y2137">
        <v>0.18605691343120365</v>
      </c>
      <c r="Z2137">
        <v>0</v>
      </c>
      <c r="AA2137">
        <v>0</v>
      </c>
      <c r="AB2137">
        <v>0</v>
      </c>
      <c r="AC2137">
        <v>0</v>
      </c>
      <c r="AD2137">
        <v>0</v>
      </c>
      <c r="AI2137">
        <v>5.5E-2</v>
      </c>
      <c r="AK2137" t="s">
        <v>1464</v>
      </c>
      <c r="AL2137" t="s">
        <v>2246</v>
      </c>
      <c r="AM2137">
        <v>200000</v>
      </c>
      <c r="AN2137" t="s">
        <v>97</v>
      </c>
      <c r="AO2137">
        <v>1</v>
      </c>
      <c r="AP2137">
        <v>0</v>
      </c>
      <c r="AQ2137">
        <v>16666.666666666668</v>
      </c>
      <c r="AR2137" t="s">
        <v>7156</v>
      </c>
      <c r="AS2137" t="s">
        <v>75</v>
      </c>
      <c r="AX2137" t="s">
        <v>76</v>
      </c>
      <c r="AY2137" t="s">
        <v>176</v>
      </c>
      <c r="AZ2137">
        <v>0</v>
      </c>
      <c r="BA2137" t="s">
        <v>176</v>
      </c>
      <c r="BB2137">
        <v>0</v>
      </c>
    </row>
    <row r="2138" spans="1:56" x14ac:dyDescent="0.15">
      <c r="A2138" s="4" t="str">
        <f>HYPERLINK("https://ibp.a2mac1.com/costing(costing:projects/details/9760/part/8416393)","Glas Panel")</f>
        <v>Glas Panel</v>
      </c>
      <c r="B2138">
        <v>8416393</v>
      </c>
      <c r="C2138">
        <v>8416060</v>
      </c>
      <c r="E2138">
        <v>3.5882079999999998</v>
      </c>
      <c r="F2138">
        <v>0</v>
      </c>
      <c r="G2138">
        <v>0</v>
      </c>
      <c r="H2138">
        <v>1.8156332479999999E-2</v>
      </c>
      <c r="I2138" t="s">
        <v>176</v>
      </c>
      <c r="J2138">
        <v>0.12558728</v>
      </c>
      <c r="K2138">
        <v>3.7319516124800001</v>
      </c>
      <c r="L2138">
        <v>1.4240557101915319</v>
      </c>
      <c r="M2138">
        <v>8.5443342611491921</v>
      </c>
      <c r="N2138">
        <v>12.276285873629192</v>
      </c>
      <c r="O2138" t="s">
        <v>177</v>
      </c>
      <c r="P2138">
        <v>0.2239170967488</v>
      </c>
      <c r="Q2138" t="s">
        <v>177</v>
      </c>
      <c r="R2138">
        <v>0.51266005566895145</v>
      </c>
      <c r="S2138" t="s">
        <v>178</v>
      </c>
      <c r="T2138">
        <v>1.4731543048355029</v>
      </c>
      <c r="U2138" t="s">
        <v>90</v>
      </c>
      <c r="V2138">
        <v>0</v>
      </c>
      <c r="W2138" t="s">
        <v>90</v>
      </c>
      <c r="X2138">
        <v>0</v>
      </c>
      <c r="Y2138">
        <v>14.486017330882445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K2138" t="s">
        <v>5370</v>
      </c>
      <c r="AM2138">
        <v>200000</v>
      </c>
      <c r="AN2138" t="s">
        <v>97</v>
      </c>
      <c r="AO2138">
        <v>1</v>
      </c>
      <c r="AP2138">
        <v>0</v>
      </c>
      <c r="AQ2138">
        <v>16666.666666666668</v>
      </c>
      <c r="AR2138" t="s">
        <v>9</v>
      </c>
      <c r="AS2138" t="s">
        <v>75</v>
      </c>
      <c r="AX2138" t="s">
        <v>76</v>
      </c>
      <c r="AY2138" t="s">
        <v>176</v>
      </c>
      <c r="AZ2138">
        <v>0</v>
      </c>
      <c r="BA2138" t="s">
        <v>176</v>
      </c>
      <c r="BB2138">
        <v>0</v>
      </c>
    </row>
    <row r="2139" spans="1:56" x14ac:dyDescent="0.15">
      <c r="A2139" s="4" t="str">
        <f>HYPERLINK("https://ibp.a2mac1.com/costing(costing:projects/details/9760/part/8416394)","Commodity: Sealing")</f>
        <v>Commodity: Sealing</v>
      </c>
      <c r="B2139">
        <v>8416394</v>
      </c>
      <c r="C2139">
        <v>8416060</v>
      </c>
      <c r="D2139" t="s">
        <v>7163</v>
      </c>
      <c r="E2139">
        <v>3.7</v>
      </c>
      <c r="F2139">
        <v>0</v>
      </c>
      <c r="G2139">
        <v>0</v>
      </c>
      <c r="H2139">
        <v>0</v>
      </c>
      <c r="I2139" t="s">
        <v>71</v>
      </c>
      <c r="J2139">
        <v>0</v>
      </c>
      <c r="K2139">
        <v>3.7</v>
      </c>
      <c r="L2139">
        <v>0</v>
      </c>
      <c r="M2139">
        <v>0</v>
      </c>
      <c r="N2139">
        <v>3.7</v>
      </c>
      <c r="O2139" t="s">
        <v>71</v>
      </c>
      <c r="P2139">
        <v>0</v>
      </c>
      <c r="Q2139" t="s">
        <v>71</v>
      </c>
      <c r="R2139">
        <v>0</v>
      </c>
      <c r="S2139" t="s">
        <v>71</v>
      </c>
      <c r="T2139">
        <v>0</v>
      </c>
      <c r="U2139" t="s">
        <v>71</v>
      </c>
      <c r="V2139">
        <v>0</v>
      </c>
      <c r="W2139" t="s">
        <v>71</v>
      </c>
      <c r="X2139">
        <v>0</v>
      </c>
      <c r="Y2139">
        <v>3.7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K2139" t="s">
        <v>272</v>
      </c>
      <c r="AM2139">
        <v>200000</v>
      </c>
      <c r="AN2139" t="s">
        <v>73</v>
      </c>
      <c r="AO2139">
        <v>1</v>
      </c>
      <c r="AP2139">
        <v>0</v>
      </c>
      <c r="AQ2139">
        <v>16666.666666666668</v>
      </c>
      <c r="AR2139" t="s">
        <v>9</v>
      </c>
      <c r="AS2139" t="s">
        <v>75</v>
      </c>
      <c r="AX2139" t="s">
        <v>76</v>
      </c>
      <c r="AY2139" t="s">
        <v>71</v>
      </c>
      <c r="AZ2139">
        <v>0</v>
      </c>
      <c r="BA2139" t="s">
        <v>71</v>
      </c>
      <c r="BB2139">
        <v>0</v>
      </c>
      <c r="BD2139">
        <v>3.7</v>
      </c>
    </row>
    <row r="2140" spans="1:56" x14ac:dyDescent="0.15">
      <c r="A2140" s="4" t="str">
        <f>HYPERLINK("https://ibp.a2mac1.com/costing(costing:projects/details/9760/part/8416395)","Commodity: Mirror Support CPL")</f>
        <v>Commodity: Mirror Support CPL</v>
      </c>
      <c r="B2140">
        <v>8416395</v>
      </c>
      <c r="C2140">
        <v>8416060</v>
      </c>
      <c r="D2140" t="s">
        <v>7164</v>
      </c>
      <c r="E2140">
        <v>2.82</v>
      </c>
      <c r="F2140">
        <v>0</v>
      </c>
      <c r="G2140">
        <v>0</v>
      </c>
      <c r="H2140">
        <v>0</v>
      </c>
      <c r="I2140" t="s">
        <v>71</v>
      </c>
      <c r="J2140">
        <v>0</v>
      </c>
      <c r="K2140">
        <v>2.82</v>
      </c>
      <c r="L2140">
        <v>0</v>
      </c>
      <c r="M2140">
        <v>0</v>
      </c>
      <c r="N2140">
        <v>2.82</v>
      </c>
      <c r="O2140" t="s">
        <v>71</v>
      </c>
      <c r="P2140">
        <v>0</v>
      </c>
      <c r="Q2140" t="s">
        <v>71</v>
      </c>
      <c r="R2140">
        <v>0</v>
      </c>
      <c r="S2140" t="s">
        <v>71</v>
      </c>
      <c r="T2140">
        <v>0</v>
      </c>
      <c r="U2140" t="s">
        <v>71</v>
      </c>
      <c r="V2140">
        <v>0</v>
      </c>
      <c r="W2140" t="s">
        <v>71</v>
      </c>
      <c r="X2140">
        <v>0</v>
      </c>
      <c r="Y2140">
        <v>2.82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K2140" t="s">
        <v>272</v>
      </c>
      <c r="AM2140">
        <v>200000</v>
      </c>
      <c r="AN2140" t="s">
        <v>73</v>
      </c>
      <c r="AO2140">
        <v>1</v>
      </c>
      <c r="AP2140">
        <v>0</v>
      </c>
      <c r="AQ2140">
        <v>16666.666666666668</v>
      </c>
      <c r="AR2140" t="s">
        <v>9</v>
      </c>
      <c r="AS2140" t="s">
        <v>75</v>
      </c>
      <c r="AX2140" t="s">
        <v>76</v>
      </c>
      <c r="AY2140" t="s">
        <v>71</v>
      </c>
      <c r="AZ2140">
        <v>0</v>
      </c>
      <c r="BA2140" t="s">
        <v>71</v>
      </c>
      <c r="BB2140">
        <v>0</v>
      </c>
      <c r="BD2140">
        <v>2.82</v>
      </c>
    </row>
    <row r="2141" spans="1:56" x14ac:dyDescent="0.15">
      <c r="A2141" s="4" t="str">
        <f>HYPERLINK("https://ibp.a2mac1.com/costing(costing:projects/details/9760/part/8416061)","Roof Glass")</f>
        <v>Roof Glass</v>
      </c>
      <c r="B2141">
        <v>8416061</v>
      </c>
      <c r="C2141">
        <v>8415735</v>
      </c>
      <c r="E2141">
        <v>84.091800000000006</v>
      </c>
      <c r="F2141">
        <v>0</v>
      </c>
      <c r="G2141">
        <v>0</v>
      </c>
      <c r="H2141">
        <v>0.425504508</v>
      </c>
      <c r="I2141" t="s">
        <v>176</v>
      </c>
      <c r="J2141">
        <v>2.9432130000000001</v>
      </c>
      <c r="K2141">
        <v>87.460517507999995</v>
      </c>
      <c r="L2141">
        <v>1.6006640833547463</v>
      </c>
      <c r="M2141">
        <v>9.6039845001284778</v>
      </c>
      <c r="N2141">
        <v>97.064502008128471</v>
      </c>
      <c r="O2141" t="s">
        <v>177</v>
      </c>
      <c r="P2141">
        <v>5.2476310504799999</v>
      </c>
      <c r="Q2141" t="s">
        <v>177</v>
      </c>
      <c r="R2141">
        <v>0.57623907000770869</v>
      </c>
      <c r="S2141" t="s">
        <v>178</v>
      </c>
      <c r="T2141">
        <v>11.647740240975418</v>
      </c>
      <c r="U2141" t="s">
        <v>90</v>
      </c>
      <c r="V2141">
        <v>0</v>
      </c>
      <c r="W2141" t="s">
        <v>90</v>
      </c>
      <c r="X2141">
        <v>0</v>
      </c>
      <c r="Y2141">
        <v>114.53611236959161</v>
      </c>
      <c r="Z2141">
        <v>0</v>
      </c>
      <c r="AA2141">
        <v>0</v>
      </c>
      <c r="AB2141">
        <v>0</v>
      </c>
      <c r="AC2141">
        <v>0</v>
      </c>
      <c r="AD2141">
        <v>0</v>
      </c>
      <c r="AF2141">
        <v>1245</v>
      </c>
      <c r="AG2141">
        <v>1465</v>
      </c>
      <c r="AI2141">
        <v>18.838000000000001</v>
      </c>
      <c r="AK2141" t="s">
        <v>1464</v>
      </c>
      <c r="AM2141">
        <v>200000</v>
      </c>
      <c r="AN2141" t="s">
        <v>97</v>
      </c>
      <c r="AO2141">
        <v>1</v>
      </c>
      <c r="AP2141">
        <v>0</v>
      </c>
      <c r="AQ2141">
        <v>16666.666666666668</v>
      </c>
      <c r="AR2141" t="s">
        <v>7171</v>
      </c>
      <c r="AS2141" t="s">
        <v>75</v>
      </c>
      <c r="AX2141" t="s">
        <v>76</v>
      </c>
      <c r="AY2141" t="s">
        <v>176</v>
      </c>
      <c r="AZ2141">
        <v>0</v>
      </c>
      <c r="BA2141" t="s">
        <v>176</v>
      </c>
      <c r="BB2141">
        <v>0</v>
      </c>
    </row>
    <row r="2142" spans="1:56" x14ac:dyDescent="0.15">
      <c r="A2142" s="4" t="str">
        <f>HYPERLINK("https://ibp.a2mac1.com/costing(costing:projects/details/9760/part/8416062)","Front Seal")</f>
        <v>Front Seal</v>
      </c>
      <c r="B2142">
        <v>8416062</v>
      </c>
      <c r="C2142">
        <v>8415735</v>
      </c>
      <c r="E2142">
        <v>0.16575690600000001</v>
      </c>
      <c r="F2142">
        <v>0</v>
      </c>
      <c r="G2142">
        <v>0</v>
      </c>
      <c r="H2142">
        <v>8.4083202442105265E-4</v>
      </c>
      <c r="I2142" t="s">
        <v>176</v>
      </c>
      <c r="J2142">
        <v>5.8160317894736845E-3</v>
      </c>
      <c r="K2142">
        <v>0.17241376981389472</v>
      </c>
      <c r="L2142">
        <v>1.6486976080713183E-2</v>
      </c>
      <c r="M2142">
        <v>9.8921856484279092E-2</v>
      </c>
      <c r="N2142">
        <v>0.27133562629817382</v>
      </c>
      <c r="O2142" t="s">
        <v>177</v>
      </c>
      <c r="P2142">
        <v>1.0344826188833684E-2</v>
      </c>
      <c r="Q2142" t="s">
        <v>177</v>
      </c>
      <c r="R2142">
        <v>5.9353113890567456E-3</v>
      </c>
      <c r="S2142" t="s">
        <v>178</v>
      </c>
      <c r="T2142">
        <v>3.256027515578086E-2</v>
      </c>
      <c r="U2142" t="s">
        <v>90</v>
      </c>
      <c r="V2142">
        <v>0</v>
      </c>
      <c r="W2142" t="s">
        <v>90</v>
      </c>
      <c r="X2142">
        <v>0</v>
      </c>
      <c r="Y2142">
        <v>0.32017603903184511</v>
      </c>
      <c r="Z2142">
        <v>0</v>
      </c>
      <c r="AA2142">
        <v>0</v>
      </c>
      <c r="AB2142">
        <v>0</v>
      </c>
      <c r="AC2142">
        <v>0</v>
      </c>
      <c r="AD2142">
        <v>0</v>
      </c>
      <c r="AI2142">
        <v>8.4000000000000005E-2</v>
      </c>
      <c r="AK2142" t="s">
        <v>1464</v>
      </c>
      <c r="AL2142" t="s">
        <v>7176</v>
      </c>
      <c r="AM2142">
        <v>200000</v>
      </c>
      <c r="AN2142" t="s">
        <v>97</v>
      </c>
      <c r="AO2142">
        <v>1</v>
      </c>
      <c r="AP2142">
        <v>0</v>
      </c>
      <c r="AQ2142">
        <v>16666.666666666668</v>
      </c>
      <c r="AR2142" t="s">
        <v>7177</v>
      </c>
      <c r="AS2142" t="s">
        <v>75</v>
      </c>
      <c r="AX2142" t="s">
        <v>76</v>
      </c>
      <c r="AY2142" t="s">
        <v>176</v>
      </c>
      <c r="AZ2142">
        <v>0</v>
      </c>
      <c r="BA2142" t="s">
        <v>176</v>
      </c>
      <c r="BB2142">
        <v>0</v>
      </c>
    </row>
    <row r="2143" spans="1:56" x14ac:dyDescent="0.15">
      <c r="A2143" s="4" t="str">
        <f>HYPERLINK("https://ibp.a2mac1.com/costing(costing:projects/details/9760/part/8416063)","Rear seal")</f>
        <v>Rear seal</v>
      </c>
      <c r="B2143">
        <v>8416063</v>
      </c>
      <c r="C2143">
        <v>8415735</v>
      </c>
      <c r="E2143">
        <v>4.1149563E-2</v>
      </c>
      <c r="F2143">
        <v>0</v>
      </c>
      <c r="G2143">
        <v>0</v>
      </c>
      <c r="H2143">
        <v>2.0873863536842105E-4</v>
      </c>
      <c r="I2143" t="s">
        <v>176</v>
      </c>
      <c r="J2143">
        <v>1.4438443157894737E-3</v>
      </c>
      <c r="K2143">
        <v>4.2802145951157895E-2</v>
      </c>
      <c r="L2143">
        <v>5.8904736909203177E-3</v>
      </c>
      <c r="M2143">
        <v>3.5342842145521906E-2</v>
      </c>
      <c r="N2143">
        <v>7.8144988096679802E-2</v>
      </c>
      <c r="O2143" t="s">
        <v>177</v>
      </c>
      <c r="P2143">
        <v>2.5681287570694738E-3</v>
      </c>
      <c r="Q2143" t="s">
        <v>177</v>
      </c>
      <c r="R2143">
        <v>2.1205705287313144E-3</v>
      </c>
      <c r="S2143" t="s">
        <v>178</v>
      </c>
      <c r="T2143">
        <v>9.3773985716015754E-3</v>
      </c>
      <c r="U2143" t="s">
        <v>90</v>
      </c>
      <c r="V2143">
        <v>0</v>
      </c>
      <c r="W2143" t="s">
        <v>90</v>
      </c>
      <c r="X2143">
        <v>0</v>
      </c>
      <c r="Y2143">
        <v>9.2211085954082159E-2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5</v>
      </c>
      <c r="AF2143">
        <v>116</v>
      </c>
      <c r="AG2143">
        <v>8</v>
      </c>
      <c r="AI2143">
        <v>2.5999999999999999E-2</v>
      </c>
      <c r="AK2143" t="s">
        <v>1464</v>
      </c>
      <c r="AL2143" t="s">
        <v>2246</v>
      </c>
      <c r="AM2143">
        <v>200000</v>
      </c>
      <c r="AN2143" t="s">
        <v>97</v>
      </c>
      <c r="AO2143">
        <v>1</v>
      </c>
      <c r="AP2143">
        <v>0</v>
      </c>
      <c r="AQ2143">
        <v>16666.666666666668</v>
      </c>
      <c r="AR2143" t="s">
        <v>7180</v>
      </c>
      <c r="AS2143" t="s">
        <v>75</v>
      </c>
      <c r="AX2143" t="s">
        <v>76</v>
      </c>
      <c r="AY2143" t="s">
        <v>176</v>
      </c>
      <c r="AZ2143">
        <v>0</v>
      </c>
      <c r="BA2143" t="s">
        <v>176</v>
      </c>
      <c r="BB2143">
        <v>0</v>
      </c>
    </row>
    <row r="2144" spans="1:56" x14ac:dyDescent="0.15">
      <c r="A2144" s="4" t="str">
        <f>HYPERLINK("https://ibp.a2mac1.com/costing(costing:projects/details/9760/part/8415730)","Rear Window")</f>
        <v>Rear Window</v>
      </c>
      <c r="B2144">
        <v>8415730</v>
      </c>
      <c r="C2144">
        <v>8415602</v>
      </c>
      <c r="E2144">
        <v>18.905899999999999</v>
      </c>
      <c r="F2144">
        <v>0</v>
      </c>
      <c r="G2144">
        <v>0</v>
      </c>
      <c r="H2144">
        <v>9.5663854000000006E-2</v>
      </c>
      <c r="I2144" t="s">
        <v>176</v>
      </c>
      <c r="J2144">
        <v>0.66170649999999998</v>
      </c>
      <c r="K2144">
        <v>19.663270354000002</v>
      </c>
      <c r="L2144">
        <v>2.2947349898861789</v>
      </c>
      <c r="M2144">
        <v>13.768409939317074</v>
      </c>
      <c r="N2144">
        <v>33.431680293317072</v>
      </c>
      <c r="O2144" t="s">
        <v>177</v>
      </c>
      <c r="P2144">
        <v>1.1797962212399999</v>
      </c>
      <c r="Q2144" t="s">
        <v>177</v>
      </c>
      <c r="R2144">
        <v>0.82610459635902445</v>
      </c>
      <c r="S2144" t="s">
        <v>178</v>
      </c>
      <c r="T2144">
        <v>4.011801635198049</v>
      </c>
      <c r="U2144" t="s">
        <v>90</v>
      </c>
      <c r="V2144">
        <v>0</v>
      </c>
      <c r="W2144" t="s">
        <v>90</v>
      </c>
      <c r="X2144">
        <v>0</v>
      </c>
      <c r="Y2144">
        <v>39.449382746114146</v>
      </c>
      <c r="Z2144">
        <v>0</v>
      </c>
      <c r="AA2144">
        <v>0</v>
      </c>
      <c r="AB2144">
        <v>0</v>
      </c>
      <c r="AC2144">
        <v>0</v>
      </c>
      <c r="AD2144">
        <v>0</v>
      </c>
      <c r="AF2144">
        <v>1145</v>
      </c>
      <c r="AG2144">
        <v>693</v>
      </c>
      <c r="AI2144">
        <v>6.1509999999999998</v>
      </c>
      <c r="AK2144" t="s">
        <v>1464</v>
      </c>
      <c r="AL2144" t="s">
        <v>7184</v>
      </c>
      <c r="AM2144">
        <v>200000</v>
      </c>
      <c r="AN2144" t="s">
        <v>97</v>
      </c>
      <c r="AO2144">
        <v>1</v>
      </c>
      <c r="AP2144">
        <v>0</v>
      </c>
      <c r="AQ2144">
        <v>16666.666666666668</v>
      </c>
      <c r="AR2144" t="s">
        <v>7185</v>
      </c>
      <c r="AS2144" t="s">
        <v>75</v>
      </c>
      <c r="AX2144" t="s">
        <v>76</v>
      </c>
      <c r="AY2144" t="s">
        <v>176</v>
      </c>
      <c r="AZ2144">
        <v>0</v>
      </c>
      <c r="BA2144" t="s">
        <v>176</v>
      </c>
      <c r="BB2144">
        <v>0</v>
      </c>
    </row>
    <row r="2145" spans="1:54" x14ac:dyDescent="0.15">
      <c r="A2145" s="4" t="str">
        <f>HYPERLINK("https://ibp.a2mac1.com/costing(costing:projects/details/9760/part/8415731)","Rear Window Seal")</f>
        <v>Rear Window Seal</v>
      </c>
      <c r="B2145">
        <v>8415731</v>
      </c>
      <c r="C2145">
        <v>8415602</v>
      </c>
      <c r="E2145">
        <v>8.0716450499999995E-2</v>
      </c>
      <c r="F2145">
        <v>0</v>
      </c>
      <c r="G2145">
        <v>0</v>
      </c>
      <c r="H2145">
        <v>4.094488616842105E-4</v>
      </c>
      <c r="I2145" t="s">
        <v>176</v>
      </c>
      <c r="J2145">
        <v>2.832156157894737E-3</v>
      </c>
      <c r="K2145">
        <v>8.3958055519578953E-2</v>
      </c>
      <c r="L2145">
        <v>1.1188724885816749E-2</v>
      </c>
      <c r="M2145">
        <v>6.7132349314900502E-2</v>
      </c>
      <c r="N2145">
        <v>0.15109040483447944</v>
      </c>
      <c r="O2145" t="s">
        <v>177</v>
      </c>
      <c r="P2145">
        <v>5.0374833311747367E-3</v>
      </c>
      <c r="Q2145" t="s">
        <v>177</v>
      </c>
      <c r="R2145">
        <v>4.02794095889403E-3</v>
      </c>
      <c r="S2145" t="s">
        <v>178</v>
      </c>
      <c r="T2145">
        <v>1.8130848580137533E-2</v>
      </c>
      <c r="U2145" t="s">
        <v>90</v>
      </c>
      <c r="V2145">
        <v>0</v>
      </c>
      <c r="W2145" t="s">
        <v>90</v>
      </c>
      <c r="X2145">
        <v>0</v>
      </c>
      <c r="Y2145">
        <v>0.17828667770468573</v>
      </c>
      <c r="Z2145">
        <v>0</v>
      </c>
      <c r="AA2145">
        <v>0</v>
      </c>
      <c r="AB2145">
        <v>0</v>
      </c>
      <c r="AC2145">
        <v>0</v>
      </c>
      <c r="AD2145">
        <v>0</v>
      </c>
      <c r="AI2145">
        <v>5.0999999999999997E-2</v>
      </c>
      <c r="AK2145" t="s">
        <v>1464</v>
      </c>
      <c r="AL2145" t="s">
        <v>2246</v>
      </c>
      <c r="AM2145">
        <v>200000</v>
      </c>
      <c r="AN2145" t="s">
        <v>97</v>
      </c>
      <c r="AO2145">
        <v>1</v>
      </c>
      <c r="AP2145">
        <v>0</v>
      </c>
      <c r="AQ2145">
        <v>16666.666666666668</v>
      </c>
      <c r="AR2145" t="s">
        <v>7189</v>
      </c>
      <c r="AS2145" t="s">
        <v>75</v>
      </c>
      <c r="AX2145" t="s">
        <v>76</v>
      </c>
      <c r="AY2145" t="s">
        <v>176</v>
      </c>
      <c r="AZ2145">
        <v>0</v>
      </c>
      <c r="BA2145" t="s">
        <v>176</v>
      </c>
      <c r="BB2145">
        <v>0</v>
      </c>
    </row>
    <row r="2146" spans="1:54" x14ac:dyDescent="0.15">
      <c r="A2146" s="4" t="str">
        <f>HYPERLINK("https://ibp.a2mac1.com/costing(costing:projects/details/9760/part/8415732)","2nd Rear Window Seal")</f>
        <v>2nd Rear Window Seal</v>
      </c>
      <c r="B2146">
        <v>8415732</v>
      </c>
      <c r="C2146">
        <v>8415602</v>
      </c>
      <c r="E2146">
        <v>5.6976317999999998E-2</v>
      </c>
      <c r="F2146">
        <v>0</v>
      </c>
      <c r="G2146">
        <v>0</v>
      </c>
      <c r="H2146">
        <v>2.8902272589473684E-4</v>
      </c>
      <c r="I2146" t="s">
        <v>176</v>
      </c>
      <c r="J2146">
        <v>1.9991690526315791E-3</v>
      </c>
      <c r="K2146">
        <v>5.9264509778526313E-2</v>
      </c>
      <c r="L2146">
        <v>7.6565574225524614E-3</v>
      </c>
      <c r="M2146">
        <v>4.5939344535314765E-2</v>
      </c>
      <c r="N2146">
        <v>0.10520385431384108</v>
      </c>
      <c r="O2146" t="s">
        <v>177</v>
      </c>
      <c r="P2146">
        <v>3.5558705867115791E-3</v>
      </c>
      <c r="Q2146" t="s">
        <v>177</v>
      </c>
      <c r="R2146">
        <v>2.756360672118886E-3</v>
      </c>
      <c r="S2146" t="s">
        <v>178</v>
      </c>
      <c r="T2146">
        <v>1.2624462517660929E-2</v>
      </c>
      <c r="U2146" t="s">
        <v>90</v>
      </c>
      <c r="V2146">
        <v>0</v>
      </c>
      <c r="W2146" t="s">
        <v>90</v>
      </c>
      <c r="X2146">
        <v>0</v>
      </c>
      <c r="Y2146">
        <v>0.12414054809033248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5</v>
      </c>
      <c r="AF2146">
        <v>918</v>
      </c>
      <c r="AG2146">
        <v>19</v>
      </c>
      <c r="AI2146">
        <v>3.5999999999999997E-2</v>
      </c>
      <c r="AK2146" t="s">
        <v>1464</v>
      </c>
      <c r="AL2146" t="s">
        <v>2246</v>
      </c>
      <c r="AM2146">
        <v>200000</v>
      </c>
      <c r="AN2146" t="s">
        <v>97</v>
      </c>
      <c r="AO2146">
        <v>1</v>
      </c>
      <c r="AP2146">
        <v>0</v>
      </c>
      <c r="AQ2146">
        <v>16666.666666666668</v>
      </c>
      <c r="AR2146" t="s">
        <v>7192</v>
      </c>
      <c r="AS2146" t="s">
        <v>75</v>
      </c>
      <c r="AX2146" t="s">
        <v>76</v>
      </c>
      <c r="AY2146" t="s">
        <v>176</v>
      </c>
      <c r="AZ2146">
        <v>0</v>
      </c>
      <c r="BA2146" t="s">
        <v>176</v>
      </c>
      <c r="BB2146">
        <v>0</v>
      </c>
    </row>
    <row r="2147" spans="1:54" x14ac:dyDescent="0.15">
      <c r="A2147" s="4" t="str">
        <f>HYPERLINK("https://ibp.a2mac1.com/costing(costing:projects/details/9760/part/8416064)","Main Shield")</f>
        <v>Main Shield</v>
      </c>
      <c r="B2147">
        <v>8416064</v>
      </c>
      <c r="C2147">
        <v>8415749</v>
      </c>
      <c r="E2147">
        <v>2.9490381270000001</v>
      </c>
      <c r="F2147">
        <v>0</v>
      </c>
      <c r="G2147">
        <v>0</v>
      </c>
      <c r="H2147">
        <v>1.4959531752E-2</v>
      </c>
      <c r="I2147" t="s">
        <v>176</v>
      </c>
      <c r="J2147">
        <v>0.103475022</v>
      </c>
      <c r="K2147">
        <v>3.0674726807520001</v>
      </c>
      <c r="L2147">
        <v>0.39796106211325627</v>
      </c>
      <c r="M2147">
        <v>2.3877663726795375</v>
      </c>
      <c r="N2147">
        <v>5.455239053431538</v>
      </c>
      <c r="O2147" t="s">
        <v>177</v>
      </c>
      <c r="P2147">
        <v>0.18404836084512</v>
      </c>
      <c r="Q2147" t="s">
        <v>177</v>
      </c>
      <c r="R2147">
        <v>0.14326598236077226</v>
      </c>
      <c r="S2147" t="s">
        <v>178</v>
      </c>
      <c r="T2147">
        <v>0.65462868641178451</v>
      </c>
      <c r="U2147" t="s">
        <v>90</v>
      </c>
      <c r="V2147">
        <v>0</v>
      </c>
      <c r="W2147" t="s">
        <v>90</v>
      </c>
      <c r="X2147">
        <v>0</v>
      </c>
      <c r="Y2147">
        <v>6.4371820830492146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645</v>
      </c>
      <c r="AF2147">
        <v>1775</v>
      </c>
      <c r="AG2147">
        <v>44</v>
      </c>
      <c r="AI2147">
        <v>2.6219999999999999</v>
      </c>
      <c r="AK2147" t="s">
        <v>740</v>
      </c>
      <c r="AL2147" t="s">
        <v>1346</v>
      </c>
      <c r="AM2147">
        <v>200000</v>
      </c>
      <c r="AN2147" t="s">
        <v>97</v>
      </c>
      <c r="AO2147">
        <v>1</v>
      </c>
      <c r="AP2147">
        <v>0</v>
      </c>
      <c r="AQ2147">
        <v>16666.666666666668</v>
      </c>
      <c r="AR2147" t="s">
        <v>7200</v>
      </c>
      <c r="AS2147" t="s">
        <v>75</v>
      </c>
      <c r="AX2147" t="s">
        <v>76</v>
      </c>
      <c r="AY2147" t="s">
        <v>176</v>
      </c>
      <c r="AZ2147">
        <v>0</v>
      </c>
      <c r="BA2147" t="s">
        <v>176</v>
      </c>
      <c r="BB2147">
        <v>0</v>
      </c>
    </row>
    <row r="2148" spans="1:54" x14ac:dyDescent="0.15">
      <c r="A2148" s="4" t="str">
        <f>HYPERLINK("https://ibp.a2mac1.com/costing(costing:projects/details/9760/part/8415736)","Front Behind the Front Axle")</f>
        <v>Front Behind the Front Axle</v>
      </c>
      <c r="B2148">
        <v>8415736</v>
      </c>
      <c r="C2148">
        <v>8415603</v>
      </c>
      <c r="E2148">
        <v>1.7459442000000001</v>
      </c>
      <c r="F2148">
        <v>0</v>
      </c>
      <c r="G2148">
        <v>0</v>
      </c>
      <c r="H2148">
        <v>8.8566192000000005E-3</v>
      </c>
      <c r="I2148" t="s">
        <v>176</v>
      </c>
      <c r="J2148">
        <v>6.1261200000000002E-2</v>
      </c>
      <c r="K2148">
        <v>1.8160620192000001</v>
      </c>
      <c r="L2148">
        <v>0.19132926551229543</v>
      </c>
      <c r="M2148">
        <v>1.1479755930737727</v>
      </c>
      <c r="N2148">
        <v>2.9640376122737728</v>
      </c>
      <c r="O2148" t="s">
        <v>177</v>
      </c>
      <c r="P2148">
        <v>0.108963721152</v>
      </c>
      <c r="Q2148" t="s">
        <v>177</v>
      </c>
      <c r="R2148">
        <v>6.8878535584426359E-2</v>
      </c>
      <c r="S2148" t="s">
        <v>178</v>
      </c>
      <c r="T2148">
        <v>0.35568451347285274</v>
      </c>
      <c r="U2148" t="s">
        <v>90</v>
      </c>
      <c r="V2148">
        <v>0</v>
      </c>
      <c r="W2148" t="s">
        <v>90</v>
      </c>
      <c r="X2148">
        <v>0</v>
      </c>
      <c r="Y2148">
        <v>3.4975643824830516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865</v>
      </c>
      <c r="AF2148">
        <v>980</v>
      </c>
      <c r="AG2148">
        <v>43</v>
      </c>
      <c r="AI2148">
        <v>1.254</v>
      </c>
      <c r="AK2148" t="s">
        <v>740</v>
      </c>
      <c r="AL2148" t="s">
        <v>1375</v>
      </c>
      <c r="AM2148">
        <v>200000</v>
      </c>
      <c r="AN2148" t="s">
        <v>97</v>
      </c>
      <c r="AO2148">
        <v>1</v>
      </c>
      <c r="AP2148">
        <v>0</v>
      </c>
      <c r="AQ2148">
        <v>16666.666666666668</v>
      </c>
      <c r="AR2148" t="s">
        <v>7206</v>
      </c>
      <c r="AS2148" t="s">
        <v>75</v>
      </c>
      <c r="AX2148" t="s">
        <v>76</v>
      </c>
      <c r="AY2148" t="s">
        <v>176</v>
      </c>
      <c r="AZ2148">
        <v>0</v>
      </c>
      <c r="BA2148" t="s">
        <v>176</v>
      </c>
      <c r="BB2148">
        <v>0</v>
      </c>
    </row>
    <row r="2149" spans="1:54" x14ac:dyDescent="0.15">
      <c r="A2149" s="4" t="str">
        <f>HYPERLINK("https://ibp.a2mac1.com/costing(costing:projects/details/9760/part/8415737)","Middle Left")</f>
        <v>Middle Left</v>
      </c>
      <c r="B2149">
        <v>8415737</v>
      </c>
      <c r="C2149">
        <v>8415603</v>
      </c>
      <c r="E2149">
        <v>0.43996679999999999</v>
      </c>
      <c r="F2149">
        <v>0</v>
      </c>
      <c r="G2149">
        <v>0</v>
      </c>
      <c r="H2149">
        <v>2.2318115368421053E-3</v>
      </c>
      <c r="I2149" t="s">
        <v>176</v>
      </c>
      <c r="J2149">
        <v>1.5437431578947369E-2</v>
      </c>
      <c r="K2149">
        <v>0.45763604311578948</v>
      </c>
      <c r="L2149">
        <v>5.0042566981723914E-2</v>
      </c>
      <c r="M2149">
        <v>0.3002554018903435</v>
      </c>
      <c r="N2149">
        <v>0.75789144500613292</v>
      </c>
      <c r="O2149" t="s">
        <v>177</v>
      </c>
      <c r="P2149">
        <v>2.7458162586947367E-2</v>
      </c>
      <c r="Q2149" t="s">
        <v>177</v>
      </c>
      <c r="R2149">
        <v>1.8015324113420609E-2</v>
      </c>
      <c r="S2149" t="s">
        <v>178</v>
      </c>
      <c r="T2149">
        <v>9.0946973400735959E-2</v>
      </c>
      <c r="U2149" t="s">
        <v>90</v>
      </c>
      <c r="V2149">
        <v>0</v>
      </c>
      <c r="W2149" t="s">
        <v>90</v>
      </c>
      <c r="X2149">
        <v>0</v>
      </c>
      <c r="Y2149">
        <v>0.8943119051072369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2050</v>
      </c>
      <c r="AF2149">
        <v>112</v>
      </c>
      <c r="AG2149">
        <v>26</v>
      </c>
      <c r="AI2149">
        <v>0.316</v>
      </c>
      <c r="AK2149" t="s">
        <v>740</v>
      </c>
      <c r="AL2149" t="s">
        <v>1375</v>
      </c>
      <c r="AM2149">
        <v>200000</v>
      </c>
      <c r="AN2149" t="s">
        <v>97</v>
      </c>
      <c r="AO2149">
        <v>1</v>
      </c>
      <c r="AP2149">
        <v>0</v>
      </c>
      <c r="AQ2149">
        <v>16666.666666666668</v>
      </c>
      <c r="AR2149" t="s">
        <v>7211</v>
      </c>
      <c r="AS2149" t="s">
        <v>75</v>
      </c>
      <c r="AX2149" t="s">
        <v>76</v>
      </c>
      <c r="AY2149" t="s">
        <v>176</v>
      </c>
      <c r="AZ2149">
        <v>0</v>
      </c>
      <c r="BA2149" t="s">
        <v>176</v>
      </c>
      <c r="BB2149">
        <v>0</v>
      </c>
    </row>
    <row r="2150" spans="1:54" x14ac:dyDescent="0.15">
      <c r="A2150" s="4" t="str">
        <f>HYPERLINK("https://ibp.a2mac1.com/costing(costing:projects/details/9760/part/8415738)","Middle Right")</f>
        <v>Middle Right</v>
      </c>
      <c r="B2150">
        <v>8415738</v>
      </c>
      <c r="C2150">
        <v>8415603</v>
      </c>
      <c r="E2150">
        <v>0.35225190000000001</v>
      </c>
      <c r="F2150">
        <v>0</v>
      </c>
      <c r="G2150">
        <v>0</v>
      </c>
      <c r="H2150">
        <v>1.7868617684210525E-3</v>
      </c>
      <c r="I2150" t="s">
        <v>176</v>
      </c>
      <c r="J2150">
        <v>1.2359715789473685E-2</v>
      </c>
      <c r="K2150">
        <v>0.36639847755789473</v>
      </c>
      <c r="L2150">
        <v>4.1212148323563194E-2</v>
      </c>
      <c r="M2150">
        <v>0.24727288994137919</v>
      </c>
      <c r="N2150">
        <v>0.61367136749927387</v>
      </c>
      <c r="O2150" t="s">
        <v>177</v>
      </c>
      <c r="P2150">
        <v>2.1983908653473685E-2</v>
      </c>
      <c r="Q2150" t="s">
        <v>177</v>
      </c>
      <c r="R2150">
        <v>1.4836373396482751E-2</v>
      </c>
      <c r="S2150" t="s">
        <v>178</v>
      </c>
      <c r="T2150">
        <v>7.3640564099912875E-2</v>
      </c>
      <c r="U2150" t="s">
        <v>90</v>
      </c>
      <c r="V2150">
        <v>0</v>
      </c>
      <c r="W2150" t="s">
        <v>90</v>
      </c>
      <c r="X2150">
        <v>0</v>
      </c>
      <c r="Y2150">
        <v>0.72413221364914326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2050</v>
      </c>
      <c r="AF2150">
        <v>112</v>
      </c>
      <c r="AG2150">
        <v>25</v>
      </c>
      <c r="AI2150">
        <v>0.253</v>
      </c>
      <c r="AK2150" t="s">
        <v>740</v>
      </c>
      <c r="AL2150" t="s">
        <v>1375</v>
      </c>
      <c r="AM2150">
        <v>200000</v>
      </c>
      <c r="AN2150" t="s">
        <v>97</v>
      </c>
      <c r="AO2150">
        <v>1</v>
      </c>
      <c r="AP2150">
        <v>0</v>
      </c>
      <c r="AQ2150">
        <v>16666.666666666668</v>
      </c>
      <c r="AR2150" t="s">
        <v>7216</v>
      </c>
      <c r="AS2150" t="s">
        <v>75</v>
      </c>
      <c r="AX2150" t="s">
        <v>76</v>
      </c>
      <c r="AY2150" t="s">
        <v>176</v>
      </c>
      <c r="AZ2150">
        <v>0</v>
      </c>
      <c r="BA2150" t="s">
        <v>176</v>
      </c>
      <c r="BB2150">
        <v>0</v>
      </c>
    </row>
    <row r="2151" spans="1:54" x14ac:dyDescent="0.15">
      <c r="A2151" s="4" t="str">
        <f>HYPERLINK("https://ibp.a2mac1.com/costing(costing:projects/details/9760/part/8415739)","Front the rear axle")</f>
        <v>Front the rear axle</v>
      </c>
      <c r="B2151">
        <v>8415739</v>
      </c>
      <c r="C2151">
        <v>8415603</v>
      </c>
      <c r="E2151">
        <v>2.5773502229999998</v>
      </c>
      <c r="F2151">
        <v>0</v>
      </c>
      <c r="G2151">
        <v>0</v>
      </c>
      <c r="H2151">
        <v>1.307407732168421E-2</v>
      </c>
      <c r="I2151" t="s">
        <v>176</v>
      </c>
      <c r="J2151">
        <v>9.0433341157894739E-2</v>
      </c>
      <c r="K2151">
        <v>2.6808576414795788</v>
      </c>
      <c r="L2151">
        <v>0.36793763867550983</v>
      </c>
      <c r="M2151">
        <v>2.2076258320530591</v>
      </c>
      <c r="N2151">
        <v>4.8884834735326379</v>
      </c>
      <c r="O2151" t="s">
        <v>177</v>
      </c>
      <c r="P2151">
        <v>0.16085145848877475</v>
      </c>
      <c r="Q2151" t="s">
        <v>177</v>
      </c>
      <c r="R2151">
        <v>0.13245754992318354</v>
      </c>
      <c r="S2151" t="s">
        <v>178</v>
      </c>
      <c r="T2151">
        <v>0.58661801682391657</v>
      </c>
      <c r="U2151" t="s">
        <v>90</v>
      </c>
      <c r="V2151">
        <v>0</v>
      </c>
      <c r="W2151" t="s">
        <v>90</v>
      </c>
      <c r="X2151">
        <v>0</v>
      </c>
      <c r="Y2151">
        <v>5.768410498768513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940</v>
      </c>
      <c r="AF2151">
        <v>1326</v>
      </c>
      <c r="AG2151">
        <v>18</v>
      </c>
      <c r="AI2151">
        <v>2.427</v>
      </c>
      <c r="AK2151" t="s">
        <v>740</v>
      </c>
      <c r="AL2151" t="s">
        <v>399</v>
      </c>
      <c r="AM2151">
        <v>200000</v>
      </c>
      <c r="AN2151" t="s">
        <v>97</v>
      </c>
      <c r="AO2151">
        <v>1</v>
      </c>
      <c r="AP2151">
        <v>0</v>
      </c>
      <c r="AQ2151">
        <v>16666.666666666668</v>
      </c>
      <c r="AR2151" t="s">
        <v>7221</v>
      </c>
      <c r="AS2151" t="s">
        <v>75</v>
      </c>
      <c r="AX2151" t="s">
        <v>76</v>
      </c>
      <c r="AY2151" t="s">
        <v>176</v>
      </c>
      <c r="AZ2151">
        <v>0</v>
      </c>
      <c r="BA2151" t="s">
        <v>176</v>
      </c>
      <c r="BB2151">
        <v>0</v>
      </c>
    </row>
    <row r="2152" spans="1:54" x14ac:dyDescent="0.15">
      <c r="A2152" s="4" t="str">
        <f>HYPERLINK("https://ibp.a2mac1.com/costing(costing:projects/details/9760/part/8415740)","Rear Under Trunk")</f>
        <v>Rear Under Trunk</v>
      </c>
      <c r="B2152">
        <v>8415740</v>
      </c>
      <c r="C2152">
        <v>8415603</v>
      </c>
      <c r="E2152">
        <v>1.8212425350000001</v>
      </c>
      <c r="F2152">
        <v>0</v>
      </c>
      <c r="G2152">
        <v>0</v>
      </c>
      <c r="H2152">
        <v>9.2385836863157888E-3</v>
      </c>
      <c r="I2152" t="s">
        <v>176</v>
      </c>
      <c r="J2152">
        <v>6.3903246842105257E-2</v>
      </c>
      <c r="K2152">
        <v>1.8943843655284212</v>
      </c>
      <c r="L2152">
        <v>0.26020653104594904</v>
      </c>
      <c r="M2152">
        <v>1.5612391862756942</v>
      </c>
      <c r="N2152">
        <v>3.4556235518041154</v>
      </c>
      <c r="O2152" t="s">
        <v>177</v>
      </c>
      <c r="P2152">
        <v>0.11366306193170526</v>
      </c>
      <c r="Q2152" t="s">
        <v>177</v>
      </c>
      <c r="R2152">
        <v>9.3674351176541659E-2</v>
      </c>
      <c r="S2152" t="s">
        <v>178</v>
      </c>
      <c r="T2152">
        <v>0.41467482621649382</v>
      </c>
      <c r="U2152" t="s">
        <v>90</v>
      </c>
      <c r="V2152">
        <v>0</v>
      </c>
      <c r="W2152" t="s">
        <v>90</v>
      </c>
      <c r="X2152">
        <v>0</v>
      </c>
      <c r="Y2152">
        <v>4.0776357911288565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590</v>
      </c>
      <c r="AF2152">
        <v>1595</v>
      </c>
      <c r="AG2152">
        <v>63</v>
      </c>
      <c r="AI2152">
        <v>1.7150000000000001</v>
      </c>
      <c r="AK2152" t="s">
        <v>740</v>
      </c>
      <c r="AL2152" t="s">
        <v>399</v>
      </c>
      <c r="AM2152">
        <v>200000</v>
      </c>
      <c r="AN2152" t="s">
        <v>97</v>
      </c>
      <c r="AO2152">
        <v>1</v>
      </c>
      <c r="AP2152">
        <v>0</v>
      </c>
      <c r="AQ2152">
        <v>16666.666666666668</v>
      </c>
      <c r="AR2152" t="s">
        <v>7226</v>
      </c>
      <c r="AS2152" t="s">
        <v>75</v>
      </c>
      <c r="AX2152" t="s">
        <v>76</v>
      </c>
      <c r="AY2152" t="s">
        <v>176</v>
      </c>
      <c r="AZ2152">
        <v>0</v>
      </c>
      <c r="BA2152" t="s">
        <v>176</v>
      </c>
      <c r="BB2152">
        <v>0</v>
      </c>
    </row>
    <row r="2153" spans="1:54" x14ac:dyDescent="0.15">
      <c r="A2153" s="4" t="str">
        <f>HYPERLINK("https://ibp.a2mac1.com/costing(costing:projects/details/9760/part/8415741)","Support")</f>
        <v>Support</v>
      </c>
      <c r="B2153">
        <v>8415741</v>
      </c>
      <c r="C2153">
        <v>8415603</v>
      </c>
      <c r="E2153">
        <v>3.0868110000000001E-2</v>
      </c>
      <c r="F2153">
        <v>0</v>
      </c>
      <c r="G2153">
        <v>0</v>
      </c>
      <c r="H2153">
        <v>1.7164025999999999E-4</v>
      </c>
      <c r="I2153" t="s">
        <v>176</v>
      </c>
      <c r="J2153">
        <v>1.187235E-3</v>
      </c>
      <c r="K2153">
        <v>3.222698526E-2</v>
      </c>
      <c r="L2153">
        <v>7.6565574225524614E-3</v>
      </c>
      <c r="M2153">
        <v>4.5939344535314765E-2</v>
      </c>
      <c r="N2153">
        <v>7.8166329795314765E-2</v>
      </c>
      <c r="O2153" t="s">
        <v>177</v>
      </c>
      <c r="P2153">
        <v>1.9336191156E-3</v>
      </c>
      <c r="Q2153" t="s">
        <v>177</v>
      </c>
      <c r="R2153">
        <v>2.756360672118886E-3</v>
      </c>
      <c r="S2153" t="s">
        <v>178</v>
      </c>
      <c r="T2153">
        <v>9.3799595754377723E-3</v>
      </c>
      <c r="U2153" t="s">
        <v>90</v>
      </c>
      <c r="V2153">
        <v>0</v>
      </c>
      <c r="W2153" t="s">
        <v>90</v>
      </c>
      <c r="X2153">
        <v>0</v>
      </c>
      <c r="Y2153">
        <v>9.2236269158471426E-2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86</v>
      </c>
      <c r="AF2153">
        <v>33</v>
      </c>
      <c r="AG2153">
        <v>42</v>
      </c>
      <c r="AI2153">
        <v>4.4999999999999998E-2</v>
      </c>
      <c r="AK2153" t="s">
        <v>740</v>
      </c>
      <c r="AL2153" t="s">
        <v>96</v>
      </c>
      <c r="AM2153">
        <v>200000</v>
      </c>
      <c r="AN2153" t="s">
        <v>97</v>
      </c>
      <c r="AO2153">
        <v>1</v>
      </c>
      <c r="AP2153">
        <v>0</v>
      </c>
      <c r="AQ2153">
        <v>16666.666666666668</v>
      </c>
      <c r="AR2153" t="s">
        <v>7230</v>
      </c>
      <c r="AS2153" t="s">
        <v>75</v>
      </c>
      <c r="AX2153" t="s">
        <v>76</v>
      </c>
      <c r="AY2153" t="s">
        <v>176</v>
      </c>
      <c r="AZ2153">
        <v>0</v>
      </c>
      <c r="BA2153" t="s">
        <v>176</v>
      </c>
      <c r="BB2153">
        <v>0</v>
      </c>
    </row>
    <row r="2154" spans="1:54" x14ac:dyDescent="0.15">
      <c r="A2154" s="4" t="str">
        <f>HYPERLINK("https://ibp.a2mac1.com/costing(costing:projects/details/9760/part/8415742)","Support 2")</f>
        <v>Support 2</v>
      </c>
      <c r="B2154">
        <v>8415742</v>
      </c>
      <c r="C2154">
        <v>8415603</v>
      </c>
      <c r="E2154">
        <v>0.12758818799999999</v>
      </c>
      <c r="F2154">
        <v>0</v>
      </c>
      <c r="G2154">
        <v>0</v>
      </c>
      <c r="H2154">
        <v>7.0944640799999997E-4</v>
      </c>
      <c r="I2154" t="s">
        <v>176</v>
      </c>
      <c r="J2154">
        <v>4.9072380000000004E-3</v>
      </c>
      <c r="K2154">
        <v>0.133204872408</v>
      </c>
      <c r="L2154">
        <v>2.1785227275609612E-2</v>
      </c>
      <c r="M2154">
        <v>0.13071136365365768</v>
      </c>
      <c r="N2154">
        <v>0.26391623606165771</v>
      </c>
      <c r="O2154" t="s">
        <v>177</v>
      </c>
      <c r="P2154">
        <v>7.9922923444799999E-3</v>
      </c>
      <c r="Q2154" t="s">
        <v>177</v>
      </c>
      <c r="R2154">
        <v>7.8426818192194603E-3</v>
      </c>
      <c r="S2154" t="s">
        <v>178</v>
      </c>
      <c r="T2154">
        <v>3.1669948327398924E-2</v>
      </c>
      <c r="U2154" t="s">
        <v>90</v>
      </c>
      <c r="V2154">
        <v>0</v>
      </c>
      <c r="W2154" t="s">
        <v>90</v>
      </c>
      <c r="X2154">
        <v>0</v>
      </c>
      <c r="Y2154">
        <v>0.31142115855275604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79</v>
      </c>
      <c r="AF2154">
        <v>280</v>
      </c>
      <c r="AG2154">
        <v>100</v>
      </c>
      <c r="AI2154">
        <v>0.186</v>
      </c>
      <c r="AK2154" t="s">
        <v>740</v>
      </c>
      <c r="AL2154" t="s">
        <v>96</v>
      </c>
      <c r="AM2154">
        <v>200000</v>
      </c>
      <c r="AN2154" t="s">
        <v>97</v>
      </c>
      <c r="AO2154">
        <v>1</v>
      </c>
      <c r="AP2154">
        <v>0</v>
      </c>
      <c r="AQ2154">
        <v>16666.666666666668</v>
      </c>
      <c r="AR2154" t="s">
        <v>7235</v>
      </c>
      <c r="AS2154" t="s">
        <v>75</v>
      </c>
      <c r="AX2154" t="s">
        <v>76</v>
      </c>
      <c r="AY2154" t="s">
        <v>176</v>
      </c>
      <c r="AZ2154">
        <v>0</v>
      </c>
      <c r="BA2154" t="s">
        <v>176</v>
      </c>
      <c r="BB2154">
        <v>0</v>
      </c>
    </row>
    <row r="2155" spans="1:54" x14ac:dyDescent="0.15">
      <c r="A2155" s="4" t="str">
        <f>HYPERLINK("https://ibp.a2mac1.com/costing(costing:projects/details/9760/part/8415743)","Support 3")</f>
        <v>Support 3</v>
      </c>
      <c r="B2155">
        <v>8415743</v>
      </c>
      <c r="C2155">
        <v>8415603</v>
      </c>
      <c r="E2155">
        <v>8.0257086000000005E-2</v>
      </c>
      <c r="F2155">
        <v>0</v>
      </c>
      <c r="G2155">
        <v>0</v>
      </c>
      <c r="H2155">
        <v>4.4626467599999999E-4</v>
      </c>
      <c r="I2155" t="s">
        <v>176</v>
      </c>
      <c r="J2155">
        <v>3.0868110000000001E-3</v>
      </c>
      <c r="K2155">
        <v>8.3790161675999994E-2</v>
      </c>
      <c r="L2155">
        <v>1.4720892349081038E-2</v>
      </c>
      <c r="M2155">
        <v>8.8325354094486219E-2</v>
      </c>
      <c r="N2155">
        <v>0.17211551577048623</v>
      </c>
      <c r="O2155" t="s">
        <v>177</v>
      </c>
      <c r="P2155">
        <v>5.0274097005599998E-3</v>
      </c>
      <c r="Q2155" t="s">
        <v>177</v>
      </c>
      <c r="R2155">
        <v>5.2995212456691731E-3</v>
      </c>
      <c r="S2155" t="s">
        <v>178</v>
      </c>
      <c r="T2155">
        <v>2.0653861892458346E-2</v>
      </c>
      <c r="U2155" t="s">
        <v>90</v>
      </c>
      <c r="V2155">
        <v>0</v>
      </c>
      <c r="W2155" t="s">
        <v>90</v>
      </c>
      <c r="X2155">
        <v>0</v>
      </c>
      <c r="Y2155">
        <v>0.20309630860917374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158</v>
      </c>
      <c r="AF2155">
        <v>86</v>
      </c>
      <c r="AG2155">
        <v>109</v>
      </c>
      <c r="AI2155">
        <v>0.11700000000000001</v>
      </c>
      <c r="AK2155" t="s">
        <v>740</v>
      </c>
      <c r="AL2155" t="s">
        <v>96</v>
      </c>
      <c r="AM2155">
        <v>200000</v>
      </c>
      <c r="AN2155" t="s">
        <v>97</v>
      </c>
      <c r="AO2155">
        <v>1</v>
      </c>
      <c r="AP2155">
        <v>0</v>
      </c>
      <c r="AQ2155">
        <v>16666.666666666668</v>
      </c>
      <c r="AR2155" t="s">
        <v>7240</v>
      </c>
      <c r="AS2155" t="s">
        <v>75</v>
      </c>
      <c r="AX2155" t="s">
        <v>76</v>
      </c>
      <c r="AY2155" t="s">
        <v>176</v>
      </c>
      <c r="AZ2155">
        <v>0</v>
      </c>
      <c r="BA2155" t="s">
        <v>176</v>
      </c>
      <c r="BB2155">
        <v>0</v>
      </c>
    </row>
    <row r="2156" spans="1:54" x14ac:dyDescent="0.15">
      <c r="A2156" s="4" t="str">
        <f>HYPERLINK("https://ibp.a2mac1.com/costing(costing:projects/details/9760/part/8415744)","Support 4")</f>
        <v>Support 4</v>
      </c>
      <c r="B2156">
        <v>8415744</v>
      </c>
      <c r="C2156">
        <v>8415603</v>
      </c>
      <c r="E2156">
        <v>7.8885170000000004E-2</v>
      </c>
      <c r="F2156">
        <v>0</v>
      </c>
      <c r="G2156">
        <v>0</v>
      </c>
      <c r="H2156">
        <v>4.3863621999999999E-4</v>
      </c>
      <c r="I2156" t="s">
        <v>176</v>
      </c>
      <c r="J2156">
        <v>3.034045E-3</v>
      </c>
      <c r="K2156">
        <v>8.235785122E-2</v>
      </c>
      <c r="L2156">
        <v>1.4720892349081038E-2</v>
      </c>
      <c r="M2156">
        <v>8.8325354094486219E-2</v>
      </c>
      <c r="N2156">
        <v>0.17068320531448622</v>
      </c>
      <c r="O2156" t="s">
        <v>177</v>
      </c>
      <c r="P2156">
        <v>4.9414710732000001E-3</v>
      </c>
      <c r="Q2156" t="s">
        <v>177</v>
      </c>
      <c r="R2156">
        <v>5.2995212456691731E-3</v>
      </c>
      <c r="S2156" t="s">
        <v>178</v>
      </c>
      <c r="T2156">
        <v>2.0481984637738346E-2</v>
      </c>
      <c r="U2156" t="s">
        <v>90</v>
      </c>
      <c r="V2156">
        <v>0</v>
      </c>
      <c r="W2156" t="s">
        <v>90</v>
      </c>
      <c r="X2156">
        <v>0</v>
      </c>
      <c r="Y2156">
        <v>0.20140618227109375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147</v>
      </c>
      <c r="AF2156">
        <v>110</v>
      </c>
      <c r="AG2156">
        <v>109</v>
      </c>
      <c r="AI2156">
        <v>0.115</v>
      </c>
      <c r="AK2156" t="s">
        <v>1464</v>
      </c>
      <c r="AL2156" t="s">
        <v>96</v>
      </c>
      <c r="AM2156">
        <v>200000</v>
      </c>
      <c r="AN2156" t="s">
        <v>97</v>
      </c>
      <c r="AO2156">
        <v>1</v>
      </c>
      <c r="AP2156">
        <v>0</v>
      </c>
      <c r="AQ2156">
        <v>16666.666666666668</v>
      </c>
      <c r="AR2156" t="s">
        <v>7245</v>
      </c>
      <c r="AS2156" t="s">
        <v>75</v>
      </c>
      <c r="AX2156" t="s">
        <v>76</v>
      </c>
      <c r="AY2156" t="s">
        <v>176</v>
      </c>
      <c r="AZ2156">
        <v>0</v>
      </c>
      <c r="BA2156" t="s">
        <v>176</v>
      </c>
      <c r="BB2156">
        <v>0</v>
      </c>
    </row>
    <row r="2157" spans="1:54" x14ac:dyDescent="0.15">
      <c r="A2157" s="4" t="str">
        <f>HYPERLINK("https://ibp.a2mac1.com/costing(costing:projects/details/9760/part/8415745)","Support 5")</f>
        <v>Support 5</v>
      </c>
      <c r="B2157">
        <v>8415745</v>
      </c>
      <c r="C2157">
        <v>8415603</v>
      </c>
      <c r="E2157">
        <v>1.7834908E-2</v>
      </c>
      <c r="F2157">
        <v>0</v>
      </c>
      <c r="G2157">
        <v>0</v>
      </c>
      <c r="H2157">
        <v>9.9169928000000004E-5</v>
      </c>
      <c r="I2157" t="s">
        <v>176</v>
      </c>
      <c r="J2157">
        <v>6.8595799999999997E-4</v>
      </c>
      <c r="K2157">
        <v>1.8620035928E-2</v>
      </c>
      <c r="L2157">
        <v>5.8904736909203177E-3</v>
      </c>
      <c r="M2157">
        <v>3.5342842145521906E-2</v>
      </c>
      <c r="N2157">
        <v>5.3962878073521903E-2</v>
      </c>
      <c r="O2157" t="s">
        <v>177</v>
      </c>
      <c r="P2157">
        <v>1.11720215568E-3</v>
      </c>
      <c r="Q2157" t="s">
        <v>177</v>
      </c>
      <c r="R2157">
        <v>2.1205705287313144E-3</v>
      </c>
      <c r="S2157" t="s">
        <v>178</v>
      </c>
      <c r="T2157">
        <v>6.4755453688226288E-3</v>
      </c>
      <c r="U2157" t="s">
        <v>90</v>
      </c>
      <c r="V2157">
        <v>0</v>
      </c>
      <c r="W2157" t="s">
        <v>90</v>
      </c>
      <c r="X2157">
        <v>0</v>
      </c>
      <c r="Y2157">
        <v>6.3676196126755846E-2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72</v>
      </c>
      <c r="AF2157">
        <v>26</v>
      </c>
      <c r="AG2157">
        <v>60</v>
      </c>
      <c r="AI2157">
        <v>2.5999999999999999E-2</v>
      </c>
      <c r="AK2157" t="s">
        <v>740</v>
      </c>
      <c r="AL2157" t="s">
        <v>96</v>
      </c>
      <c r="AM2157">
        <v>200000</v>
      </c>
      <c r="AN2157" t="s">
        <v>97</v>
      </c>
      <c r="AO2157">
        <v>1</v>
      </c>
      <c r="AP2157">
        <v>0</v>
      </c>
      <c r="AQ2157">
        <v>16666.666666666668</v>
      </c>
      <c r="AR2157" t="s">
        <v>7249</v>
      </c>
      <c r="AS2157" t="s">
        <v>75</v>
      </c>
      <c r="AX2157" t="s">
        <v>76</v>
      </c>
      <c r="AY2157" t="s">
        <v>176</v>
      </c>
      <c r="AZ2157">
        <v>0</v>
      </c>
      <c r="BA2157" t="s">
        <v>176</v>
      </c>
      <c r="BB2157">
        <v>0</v>
      </c>
    </row>
    <row r="2158" spans="1:54" x14ac:dyDescent="0.15">
      <c r="A2158" s="4" t="str">
        <f>HYPERLINK("https://ibp.a2mac1.com/costing(costing:projects/details/9760/part/8415746)","Support 6")</f>
        <v>Support 6</v>
      </c>
      <c r="B2158">
        <v>8415746</v>
      </c>
      <c r="C2158">
        <v>8415603</v>
      </c>
      <c r="E2158">
        <v>1.7834908E-2</v>
      </c>
      <c r="F2158">
        <v>0</v>
      </c>
      <c r="G2158">
        <v>0</v>
      </c>
      <c r="H2158">
        <v>9.9169928000000004E-5</v>
      </c>
      <c r="I2158" t="s">
        <v>176</v>
      </c>
      <c r="J2158">
        <v>6.8595799999999997E-4</v>
      </c>
      <c r="K2158">
        <v>1.8620035928E-2</v>
      </c>
      <c r="L2158">
        <v>5.8904736909203177E-3</v>
      </c>
      <c r="M2158">
        <v>3.5342842145521906E-2</v>
      </c>
      <c r="N2158">
        <v>5.3962878073521903E-2</v>
      </c>
      <c r="O2158" t="s">
        <v>177</v>
      </c>
      <c r="P2158">
        <v>1.11720215568E-3</v>
      </c>
      <c r="Q2158" t="s">
        <v>177</v>
      </c>
      <c r="R2158">
        <v>2.1205705287313144E-3</v>
      </c>
      <c r="S2158" t="s">
        <v>178</v>
      </c>
      <c r="T2158">
        <v>6.4755453688226288E-3</v>
      </c>
      <c r="U2158" t="s">
        <v>90</v>
      </c>
      <c r="V2158">
        <v>0</v>
      </c>
      <c r="W2158" t="s">
        <v>90</v>
      </c>
      <c r="X2158">
        <v>0</v>
      </c>
      <c r="Y2158">
        <v>6.3676196126755846E-2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72</v>
      </c>
      <c r="AF2158">
        <v>26</v>
      </c>
      <c r="AG2158">
        <v>60</v>
      </c>
      <c r="AI2158">
        <v>2.5999999999999999E-2</v>
      </c>
      <c r="AK2158" t="s">
        <v>740</v>
      </c>
      <c r="AL2158" t="s">
        <v>96</v>
      </c>
      <c r="AM2158">
        <v>200000</v>
      </c>
      <c r="AN2158" t="s">
        <v>97</v>
      </c>
      <c r="AO2158">
        <v>1</v>
      </c>
      <c r="AP2158">
        <v>0</v>
      </c>
      <c r="AQ2158">
        <v>16666.666666666668</v>
      </c>
      <c r="AR2158" t="s">
        <v>7252</v>
      </c>
      <c r="AS2158" t="s">
        <v>75</v>
      </c>
      <c r="AX2158" t="s">
        <v>76</v>
      </c>
      <c r="AY2158" t="s">
        <v>176</v>
      </c>
      <c r="AZ2158">
        <v>0</v>
      </c>
      <c r="BA2158" t="s">
        <v>176</v>
      </c>
      <c r="BB2158">
        <v>0</v>
      </c>
    </row>
    <row r="2159" spans="1:54" x14ac:dyDescent="0.15">
      <c r="A2159" s="4" t="str">
        <f>HYPERLINK("https://ibp.a2mac1.com/costing(costing:projects/details/9760/part/8415747)","Support 7")</f>
        <v>Support 7</v>
      </c>
      <c r="B2159">
        <v>8415747</v>
      </c>
      <c r="C2159">
        <v>8415603</v>
      </c>
      <c r="E2159">
        <v>7.8199212000000004E-2</v>
      </c>
      <c r="F2159">
        <v>0</v>
      </c>
      <c r="G2159">
        <v>0</v>
      </c>
      <c r="H2159">
        <v>4.3224399599999999E-4</v>
      </c>
      <c r="I2159" t="s">
        <v>176</v>
      </c>
      <c r="J2159">
        <v>3.0076619999999999E-3</v>
      </c>
      <c r="K2159">
        <v>8.1639117996000002E-2</v>
      </c>
      <c r="L2159">
        <v>1.2954421929829723E-2</v>
      </c>
      <c r="M2159">
        <v>7.7726531578978339E-2</v>
      </c>
      <c r="N2159">
        <v>0.15936564957497834</v>
      </c>
      <c r="O2159" t="s">
        <v>177</v>
      </c>
      <c r="P2159">
        <v>4.8983470797599998E-3</v>
      </c>
      <c r="Q2159" t="s">
        <v>177</v>
      </c>
      <c r="R2159">
        <v>4.6635918947387006E-3</v>
      </c>
      <c r="S2159" t="s">
        <v>178</v>
      </c>
      <c r="T2159">
        <v>1.9123877948997399E-2</v>
      </c>
      <c r="U2159" t="s">
        <v>90</v>
      </c>
      <c r="V2159">
        <v>0</v>
      </c>
      <c r="W2159" t="s">
        <v>90</v>
      </c>
      <c r="X2159">
        <v>0</v>
      </c>
      <c r="Y2159">
        <v>0.18805146649847443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35</v>
      </c>
      <c r="AF2159">
        <v>72</v>
      </c>
      <c r="AG2159">
        <v>73</v>
      </c>
      <c r="AI2159">
        <v>5.7000000000000002E-2</v>
      </c>
      <c r="AK2159" t="s">
        <v>740</v>
      </c>
      <c r="AL2159" t="s">
        <v>96</v>
      </c>
      <c r="AM2159">
        <v>400000</v>
      </c>
      <c r="AN2159" t="s">
        <v>97</v>
      </c>
      <c r="AO2159">
        <v>2</v>
      </c>
      <c r="AP2159">
        <v>0</v>
      </c>
      <c r="AQ2159">
        <v>33333.333333333336</v>
      </c>
      <c r="AR2159" t="s">
        <v>7257</v>
      </c>
      <c r="AS2159" t="s">
        <v>75</v>
      </c>
      <c r="AX2159" t="s">
        <v>76</v>
      </c>
      <c r="AY2159" t="s">
        <v>176</v>
      </c>
      <c r="AZ2159">
        <v>0</v>
      </c>
      <c r="BA2159" t="s">
        <v>176</v>
      </c>
      <c r="BB2159">
        <v>0</v>
      </c>
    </row>
    <row r="2160" spans="1:54" x14ac:dyDescent="0.15">
      <c r="A2160" s="4" t="str">
        <f>HYPERLINK("https://ibp.a2mac1.com/costing(costing:projects/details/9760/part/8415748)","Support 8")</f>
        <v>Support 8</v>
      </c>
      <c r="B2160">
        <v>8415748</v>
      </c>
      <c r="C2160">
        <v>8415603</v>
      </c>
      <c r="E2160">
        <v>2.1950655999999999E-2</v>
      </c>
      <c r="F2160">
        <v>0</v>
      </c>
      <c r="G2160">
        <v>0</v>
      </c>
      <c r="H2160">
        <v>1.2205529600000001E-4</v>
      </c>
      <c r="I2160" t="s">
        <v>176</v>
      </c>
      <c r="J2160">
        <v>8.4425600000000004E-4</v>
      </c>
      <c r="K2160">
        <v>2.2916967295999999E-2</v>
      </c>
      <c r="L2160">
        <v>5.8904736909203177E-3</v>
      </c>
      <c r="M2160">
        <v>3.5342842145521906E-2</v>
      </c>
      <c r="N2160">
        <v>5.8259809441521905E-2</v>
      </c>
      <c r="O2160" t="s">
        <v>177</v>
      </c>
      <c r="P2160">
        <v>1.37501803776E-3</v>
      </c>
      <c r="Q2160" t="s">
        <v>177</v>
      </c>
      <c r="R2160">
        <v>2.1205705287313144E-3</v>
      </c>
      <c r="S2160" t="s">
        <v>178</v>
      </c>
      <c r="T2160">
        <v>6.9911771329826287E-3</v>
      </c>
      <c r="U2160" t="s">
        <v>90</v>
      </c>
      <c r="V2160">
        <v>0</v>
      </c>
      <c r="W2160" t="s">
        <v>90</v>
      </c>
      <c r="X2160">
        <v>0</v>
      </c>
      <c r="Y2160">
        <v>6.8746575140995844E-2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28</v>
      </c>
      <c r="AF2160">
        <v>102</v>
      </c>
      <c r="AG2160">
        <v>89</v>
      </c>
      <c r="AI2160">
        <v>3.2000000000000001E-2</v>
      </c>
      <c r="AK2160" t="s">
        <v>740</v>
      </c>
      <c r="AL2160" t="s">
        <v>96</v>
      </c>
      <c r="AM2160">
        <v>200000</v>
      </c>
      <c r="AN2160" t="s">
        <v>97</v>
      </c>
      <c r="AO2160">
        <v>1</v>
      </c>
      <c r="AP2160">
        <v>0</v>
      </c>
      <c r="AQ2160">
        <v>16666.666666666668</v>
      </c>
      <c r="AR2160" t="s">
        <v>7261</v>
      </c>
      <c r="AS2160" t="s">
        <v>75</v>
      </c>
      <c r="AX2160" t="s">
        <v>76</v>
      </c>
      <c r="AY2160" t="s">
        <v>176</v>
      </c>
      <c r="AZ2160">
        <v>0</v>
      </c>
      <c r="BA2160" t="s">
        <v>176</v>
      </c>
      <c r="BB2160">
        <v>0</v>
      </c>
    </row>
    <row r="2161" spans="1:56" x14ac:dyDescent="0.15">
      <c r="A2161" s="4" t="str">
        <f>HYPERLINK("https://ibp.a2mac1.com/costing(costing:projects/details/9760/part/8415750)","Front End Complete System Views")</f>
        <v>Front End Complete System Views</v>
      </c>
      <c r="B2161">
        <v>8415750</v>
      </c>
      <c r="C2161">
        <v>8415604</v>
      </c>
      <c r="E2161">
        <v>0</v>
      </c>
      <c r="F2161">
        <v>0</v>
      </c>
      <c r="G2161">
        <v>0</v>
      </c>
      <c r="H2161">
        <v>0</v>
      </c>
      <c r="I2161" t="s">
        <v>90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90</v>
      </c>
      <c r="P2161">
        <v>0</v>
      </c>
      <c r="Q2161" t="s">
        <v>90</v>
      </c>
      <c r="R2161">
        <v>0</v>
      </c>
      <c r="S2161" t="s">
        <v>90</v>
      </c>
      <c r="T2161">
        <v>0</v>
      </c>
      <c r="U2161" t="s">
        <v>90</v>
      </c>
      <c r="V2161">
        <v>0</v>
      </c>
      <c r="W2161" t="s">
        <v>90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312</v>
      </c>
      <c r="AF2161">
        <v>968</v>
      </c>
      <c r="AG2161">
        <v>560</v>
      </c>
      <c r="AK2161" t="s">
        <v>185</v>
      </c>
      <c r="AM2161">
        <v>200000</v>
      </c>
      <c r="AN2161" t="s">
        <v>97</v>
      </c>
      <c r="AO2161">
        <v>1</v>
      </c>
      <c r="AP2161">
        <v>0</v>
      </c>
      <c r="AQ2161">
        <v>16666.666666666668</v>
      </c>
      <c r="AR2161" t="s">
        <v>7264</v>
      </c>
      <c r="AS2161" t="s">
        <v>75</v>
      </c>
      <c r="AX2161" t="s">
        <v>76</v>
      </c>
      <c r="AY2161" t="s">
        <v>90</v>
      </c>
      <c r="AZ2161">
        <v>0</v>
      </c>
      <c r="BA2161" t="s">
        <v>90</v>
      </c>
      <c r="BB2161">
        <v>0</v>
      </c>
    </row>
    <row r="2162" spans="1:56" x14ac:dyDescent="0.15">
      <c r="A2162" s="4" t="str">
        <f>HYPERLINK("https://ibp.a2mac1.com/costing(costing:projects/details/9760/part/8415751)","Upper Cross Member")</f>
        <v>Upper Cross Member</v>
      </c>
      <c r="B2162">
        <v>8415751</v>
      </c>
      <c r="C2162">
        <v>8415604</v>
      </c>
      <c r="E2162">
        <v>1.9975133617021277</v>
      </c>
      <c r="F2162">
        <v>0</v>
      </c>
      <c r="G2162">
        <v>0</v>
      </c>
      <c r="H2162">
        <v>4.1903029787234043E-3</v>
      </c>
      <c r="I2162" t="s">
        <v>176</v>
      </c>
      <c r="J2162">
        <v>7.1194468085106377E-2</v>
      </c>
      <c r="K2162">
        <v>2.0728981327659572</v>
      </c>
      <c r="L2162">
        <v>5.9019597994370607E-2</v>
      </c>
      <c r="M2162">
        <v>0.35411758796622361</v>
      </c>
      <c r="N2162">
        <v>2.427015720732181</v>
      </c>
      <c r="O2162" t="s">
        <v>177</v>
      </c>
      <c r="P2162">
        <v>0.12437388796595744</v>
      </c>
      <c r="Q2162" t="s">
        <v>177</v>
      </c>
      <c r="R2162">
        <v>2.1247055277973416E-2</v>
      </c>
      <c r="S2162" t="s">
        <v>178</v>
      </c>
      <c r="T2162">
        <v>0.29124188648786176</v>
      </c>
      <c r="U2162" t="s">
        <v>90</v>
      </c>
      <c r="V2162">
        <v>0</v>
      </c>
      <c r="W2162" t="s">
        <v>90</v>
      </c>
      <c r="X2162">
        <v>0</v>
      </c>
      <c r="Y2162">
        <v>2.8638785504639737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231</v>
      </c>
      <c r="AF2162">
        <v>1073</v>
      </c>
      <c r="AG2162">
        <v>139</v>
      </c>
      <c r="AI2162">
        <v>1.7809999999999999</v>
      </c>
      <c r="AK2162" t="s">
        <v>740</v>
      </c>
      <c r="AL2162" t="s">
        <v>911</v>
      </c>
      <c r="AM2162">
        <v>200000</v>
      </c>
      <c r="AN2162" t="s">
        <v>97</v>
      </c>
      <c r="AO2162">
        <v>1</v>
      </c>
      <c r="AP2162">
        <v>0</v>
      </c>
      <c r="AQ2162">
        <v>16666.666666666668</v>
      </c>
      <c r="AR2162" t="s">
        <v>7271</v>
      </c>
      <c r="AS2162" t="s">
        <v>75</v>
      </c>
      <c r="AX2162" t="s">
        <v>76</v>
      </c>
      <c r="AY2162" t="s">
        <v>176</v>
      </c>
      <c r="AZ2162">
        <v>0</v>
      </c>
      <c r="BA2162" t="s">
        <v>176</v>
      </c>
      <c r="BB2162">
        <v>0</v>
      </c>
    </row>
    <row r="2163" spans="1:56" x14ac:dyDescent="0.15">
      <c r="A2163" s="4" t="str">
        <f>HYPERLINK("https://ibp.a2mac1.com/costing(costing:projects/details/9760/part/8415752)","Vertical Center Cross Member")</f>
        <v>Vertical Center Cross Member</v>
      </c>
      <c r="B2163">
        <v>8415752</v>
      </c>
      <c r="C2163">
        <v>8415604</v>
      </c>
      <c r="E2163">
        <v>0.119356692</v>
      </c>
      <c r="F2163">
        <v>0</v>
      </c>
      <c r="G2163">
        <v>0</v>
      </c>
      <c r="H2163">
        <v>6.6367567199999999E-4</v>
      </c>
      <c r="I2163" t="s">
        <v>176</v>
      </c>
      <c r="J2163">
        <v>4.5906419999999998E-3</v>
      </c>
      <c r="K2163">
        <v>0.12461100967200001</v>
      </c>
      <c r="L2163">
        <v>1.4180898590142447E-3</v>
      </c>
      <c r="M2163">
        <v>8.5085391540854673E-3</v>
      </c>
      <c r="N2163">
        <v>0.13311954882608545</v>
      </c>
      <c r="O2163" t="s">
        <v>177</v>
      </c>
      <c r="P2163">
        <v>7.4766605803199999E-3</v>
      </c>
      <c r="Q2163" t="s">
        <v>177</v>
      </c>
      <c r="R2163">
        <v>5.1051234924512812E-4</v>
      </c>
      <c r="S2163" t="s">
        <v>178</v>
      </c>
      <c r="T2163">
        <v>1.5974345859130257E-2</v>
      </c>
      <c r="U2163" t="s">
        <v>90</v>
      </c>
      <c r="V2163">
        <v>0</v>
      </c>
      <c r="W2163" t="s">
        <v>90</v>
      </c>
      <c r="X2163">
        <v>0</v>
      </c>
      <c r="Y2163">
        <v>0.15708106761478086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42</v>
      </c>
      <c r="AF2163">
        <v>131</v>
      </c>
      <c r="AG2163">
        <v>89</v>
      </c>
      <c r="AI2163">
        <v>0.17399999999999999</v>
      </c>
      <c r="AK2163" t="s">
        <v>740</v>
      </c>
      <c r="AL2163" t="s">
        <v>96</v>
      </c>
      <c r="AM2163">
        <v>200000</v>
      </c>
      <c r="AN2163" t="s">
        <v>97</v>
      </c>
      <c r="AO2163">
        <v>1</v>
      </c>
      <c r="AP2163">
        <v>0</v>
      </c>
      <c r="AQ2163">
        <v>16666.666666666668</v>
      </c>
      <c r="AR2163" t="s">
        <v>7276</v>
      </c>
      <c r="AS2163" t="s">
        <v>75</v>
      </c>
      <c r="AX2163" t="s">
        <v>76</v>
      </c>
      <c r="AY2163" t="s">
        <v>176</v>
      </c>
      <c r="AZ2163">
        <v>0</v>
      </c>
      <c r="BA2163" t="s">
        <v>176</v>
      </c>
      <c r="BB2163">
        <v>0</v>
      </c>
    </row>
    <row r="2164" spans="1:56" x14ac:dyDescent="0.15">
      <c r="A2164" s="4" t="str">
        <f>HYPERLINK("https://ibp.a2mac1.com/costing(costing:projects/details/9760/part/8415753)","Upper Left and Right if Similar")</f>
        <v>Upper Left and Right if Similar</v>
      </c>
      <c r="B2164">
        <v>8415753</v>
      </c>
      <c r="C2164">
        <v>8415604</v>
      </c>
      <c r="E2164">
        <v>9.3976245999999999E-2</v>
      </c>
      <c r="F2164">
        <v>0</v>
      </c>
      <c r="G2164">
        <v>0</v>
      </c>
      <c r="H2164">
        <v>5.2254923600000001E-4</v>
      </c>
      <c r="I2164" t="s">
        <v>176</v>
      </c>
      <c r="J2164">
        <v>3.6144710000000002E-3</v>
      </c>
      <c r="K2164">
        <v>9.8113266236000002E-2</v>
      </c>
      <c r="L2164">
        <v>1.1160014552404564E-3</v>
      </c>
      <c r="M2164">
        <v>6.6960087314427387E-3</v>
      </c>
      <c r="N2164">
        <v>0.10480927496744274</v>
      </c>
      <c r="O2164" t="s">
        <v>177</v>
      </c>
      <c r="P2164">
        <v>5.8867959741600003E-3</v>
      </c>
      <c r="Q2164" t="s">
        <v>177</v>
      </c>
      <c r="R2164">
        <v>4.0176052388656431E-4</v>
      </c>
      <c r="S2164" t="s">
        <v>178</v>
      </c>
      <c r="T2164">
        <v>1.2577112996093128E-2</v>
      </c>
      <c r="U2164" t="s">
        <v>90</v>
      </c>
      <c r="V2164">
        <v>0</v>
      </c>
      <c r="W2164" t="s">
        <v>90</v>
      </c>
      <c r="X2164">
        <v>0</v>
      </c>
      <c r="Y2164">
        <v>0.12367494446158243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243</v>
      </c>
      <c r="AF2164">
        <v>75</v>
      </c>
      <c r="AG2164">
        <v>12</v>
      </c>
      <c r="AI2164">
        <v>0.13700000000000001</v>
      </c>
      <c r="AK2164" t="s">
        <v>740</v>
      </c>
      <c r="AL2164" t="s">
        <v>96</v>
      </c>
      <c r="AM2164">
        <v>200000</v>
      </c>
      <c r="AN2164" t="s">
        <v>97</v>
      </c>
      <c r="AO2164">
        <v>1</v>
      </c>
      <c r="AP2164">
        <v>0</v>
      </c>
      <c r="AQ2164">
        <v>16666.666666666668</v>
      </c>
      <c r="AR2164" t="s">
        <v>7280</v>
      </c>
      <c r="AS2164" t="s">
        <v>75</v>
      </c>
      <c r="AX2164" t="s">
        <v>76</v>
      </c>
      <c r="AY2164" t="s">
        <v>176</v>
      </c>
      <c r="AZ2164">
        <v>0</v>
      </c>
      <c r="BA2164" t="s">
        <v>176</v>
      </c>
      <c r="BB2164">
        <v>0</v>
      </c>
    </row>
    <row r="2165" spans="1:56" x14ac:dyDescent="0.15">
      <c r="A2165" s="4" t="str">
        <f>HYPERLINK("https://ibp.a2mac1.com/costing(costing:projects/details/9760/part/8415754)","Upper Right")</f>
        <v>Upper Right</v>
      </c>
      <c r="B2165">
        <v>8415754</v>
      </c>
      <c r="C2165">
        <v>8415604</v>
      </c>
      <c r="E2165">
        <v>9.3976245999999999E-2</v>
      </c>
      <c r="F2165">
        <v>0</v>
      </c>
      <c r="G2165">
        <v>0</v>
      </c>
      <c r="H2165">
        <v>5.2254923600000001E-4</v>
      </c>
      <c r="I2165" t="s">
        <v>176</v>
      </c>
      <c r="J2165">
        <v>3.6144710000000002E-3</v>
      </c>
      <c r="K2165">
        <v>9.8113266236000002E-2</v>
      </c>
      <c r="L2165">
        <v>1.1160014552404564E-3</v>
      </c>
      <c r="M2165">
        <v>6.6960087314427387E-3</v>
      </c>
      <c r="N2165">
        <v>0.10480927496744274</v>
      </c>
      <c r="O2165" t="s">
        <v>177</v>
      </c>
      <c r="P2165">
        <v>5.8867959741600003E-3</v>
      </c>
      <c r="Q2165" t="s">
        <v>177</v>
      </c>
      <c r="R2165">
        <v>4.0176052388656431E-4</v>
      </c>
      <c r="S2165" t="s">
        <v>178</v>
      </c>
      <c r="T2165">
        <v>1.2577112996093128E-2</v>
      </c>
      <c r="U2165" t="s">
        <v>90</v>
      </c>
      <c r="V2165">
        <v>0</v>
      </c>
      <c r="W2165" t="s">
        <v>90</v>
      </c>
      <c r="X2165">
        <v>0</v>
      </c>
      <c r="Y2165">
        <v>0.12367494446158243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243</v>
      </c>
      <c r="AF2165">
        <v>75</v>
      </c>
      <c r="AG2165">
        <v>12</v>
      </c>
      <c r="AI2165">
        <v>0.13700000000000001</v>
      </c>
      <c r="AK2165" t="s">
        <v>740</v>
      </c>
      <c r="AL2165" t="s">
        <v>96</v>
      </c>
      <c r="AM2165">
        <v>200000</v>
      </c>
      <c r="AN2165" t="s">
        <v>97</v>
      </c>
      <c r="AO2165">
        <v>1</v>
      </c>
      <c r="AP2165">
        <v>0</v>
      </c>
      <c r="AQ2165">
        <v>16666.666666666668</v>
      </c>
      <c r="AR2165" t="s">
        <v>7283</v>
      </c>
      <c r="AS2165" t="s">
        <v>75</v>
      </c>
      <c r="AX2165" t="s">
        <v>76</v>
      </c>
      <c r="AY2165" t="s">
        <v>176</v>
      </c>
      <c r="AZ2165">
        <v>0</v>
      </c>
      <c r="BA2165" t="s">
        <v>176</v>
      </c>
      <c r="BB2165">
        <v>0</v>
      </c>
    </row>
    <row r="2166" spans="1:56" x14ac:dyDescent="0.15">
      <c r="A2166" s="4" t="str">
        <f>HYPERLINK("https://ibp.a2mac1.com/costing(costing:projects/details/9760/part/8415755)","Upper Cross Member Support")</f>
        <v>Upper Cross Member Support</v>
      </c>
      <c r="B2166">
        <v>8415755</v>
      </c>
      <c r="C2166">
        <v>8415604</v>
      </c>
      <c r="E2166">
        <v>0.15296863399999999</v>
      </c>
      <c r="F2166">
        <v>0</v>
      </c>
      <c r="G2166">
        <v>0</v>
      </c>
      <c r="H2166">
        <v>8.5057284399999995E-4</v>
      </c>
      <c r="I2166" t="s">
        <v>176</v>
      </c>
      <c r="J2166">
        <v>5.883409E-3</v>
      </c>
      <c r="K2166">
        <v>0.159702615844</v>
      </c>
      <c r="L2166">
        <v>1.8186022628760244E-3</v>
      </c>
      <c r="M2166">
        <v>1.0911613577256146E-2</v>
      </c>
      <c r="N2166">
        <v>0.17061422942125615</v>
      </c>
      <c r="O2166" t="s">
        <v>177</v>
      </c>
      <c r="P2166">
        <v>9.5821569506400004E-3</v>
      </c>
      <c r="Q2166" t="s">
        <v>177</v>
      </c>
      <c r="R2166">
        <v>6.5469681463536879E-4</v>
      </c>
      <c r="S2166" t="s">
        <v>178</v>
      </c>
      <c r="T2166">
        <v>2.0473707530550736E-2</v>
      </c>
      <c r="U2166" t="s">
        <v>90</v>
      </c>
      <c r="V2166">
        <v>0</v>
      </c>
      <c r="W2166" t="s">
        <v>90</v>
      </c>
      <c r="X2166">
        <v>0</v>
      </c>
      <c r="Y2166">
        <v>0.20132479071708226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85</v>
      </c>
      <c r="AF2166">
        <v>133</v>
      </c>
      <c r="AG2166">
        <v>68</v>
      </c>
      <c r="AI2166">
        <v>0.223</v>
      </c>
      <c r="AK2166" t="s">
        <v>740</v>
      </c>
      <c r="AL2166" t="s">
        <v>96</v>
      </c>
      <c r="AM2166">
        <v>200000</v>
      </c>
      <c r="AN2166" t="s">
        <v>97</v>
      </c>
      <c r="AO2166">
        <v>1</v>
      </c>
      <c r="AP2166">
        <v>0</v>
      </c>
      <c r="AQ2166">
        <v>16666.666666666668</v>
      </c>
      <c r="AR2166" t="s">
        <v>7287</v>
      </c>
      <c r="AS2166" t="s">
        <v>75</v>
      </c>
      <c r="AX2166" t="s">
        <v>76</v>
      </c>
      <c r="AY2166" t="s">
        <v>176</v>
      </c>
      <c r="AZ2166">
        <v>0</v>
      </c>
      <c r="BA2166" t="s">
        <v>176</v>
      </c>
      <c r="BB2166">
        <v>0</v>
      </c>
    </row>
    <row r="2167" spans="1:56" x14ac:dyDescent="0.15">
      <c r="A2167" s="4" t="str">
        <f>HYPERLINK("https://ibp.a2mac1.com/costing(costing:projects/details/9760/part/8415756)","2nd Upper Cross Member Support")</f>
        <v>2nd Upper Cross Member Support</v>
      </c>
      <c r="B2167">
        <v>8415756</v>
      </c>
      <c r="C2167">
        <v>8415604</v>
      </c>
      <c r="E2167">
        <v>0.15365459200000001</v>
      </c>
      <c r="F2167">
        <v>0</v>
      </c>
      <c r="G2167">
        <v>0</v>
      </c>
      <c r="H2167">
        <v>8.54387072E-4</v>
      </c>
      <c r="I2167" t="s">
        <v>176</v>
      </c>
      <c r="J2167">
        <v>5.9097919999999996E-3</v>
      </c>
      <c r="K2167">
        <v>0.160418771072</v>
      </c>
      <c r="L2167">
        <v>1.8267813174238426E-3</v>
      </c>
      <c r="M2167">
        <v>1.0960687904543055E-2</v>
      </c>
      <c r="N2167">
        <v>0.17137945897654305</v>
      </c>
      <c r="O2167" t="s">
        <v>177</v>
      </c>
      <c r="P2167">
        <v>9.6251262643199994E-3</v>
      </c>
      <c r="Q2167" t="s">
        <v>177</v>
      </c>
      <c r="R2167">
        <v>6.5764127427258331E-4</v>
      </c>
      <c r="S2167" t="s">
        <v>178</v>
      </c>
      <c r="T2167">
        <v>2.0565535077185167E-2</v>
      </c>
      <c r="U2167" t="s">
        <v>90</v>
      </c>
      <c r="V2167">
        <v>0</v>
      </c>
      <c r="W2167" t="s">
        <v>90</v>
      </c>
      <c r="X2167">
        <v>0</v>
      </c>
      <c r="Y2167">
        <v>0.20222776159232081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85</v>
      </c>
      <c r="AF2167">
        <v>133</v>
      </c>
      <c r="AG2167">
        <v>68</v>
      </c>
      <c r="AI2167">
        <v>0.224</v>
      </c>
      <c r="AK2167" t="s">
        <v>740</v>
      </c>
      <c r="AL2167" t="s">
        <v>96</v>
      </c>
      <c r="AM2167">
        <v>200000</v>
      </c>
      <c r="AN2167" t="s">
        <v>97</v>
      </c>
      <c r="AO2167">
        <v>1</v>
      </c>
      <c r="AP2167">
        <v>0</v>
      </c>
      <c r="AQ2167">
        <v>16666.666666666668</v>
      </c>
      <c r="AR2167" t="s">
        <v>7292</v>
      </c>
      <c r="AS2167" t="s">
        <v>75</v>
      </c>
      <c r="AX2167" t="s">
        <v>76</v>
      </c>
      <c r="AY2167" t="s">
        <v>176</v>
      </c>
      <c r="AZ2167">
        <v>0</v>
      </c>
      <c r="BA2167" t="s">
        <v>176</v>
      </c>
      <c r="BB2167">
        <v>0</v>
      </c>
    </row>
    <row r="2168" spans="1:56" x14ac:dyDescent="0.15">
      <c r="A2168" s="4" t="str">
        <f>HYPERLINK("https://ibp.a2mac1.com/costing(costing:projects/details/9760/part/8416396)","Area 1")</f>
        <v>Area 1</v>
      </c>
      <c r="B2168">
        <v>8416396</v>
      </c>
      <c r="C2168">
        <v>8416065</v>
      </c>
      <c r="E2168">
        <v>0.75</v>
      </c>
      <c r="F2168">
        <v>0</v>
      </c>
      <c r="G2168">
        <v>0</v>
      </c>
      <c r="H2168">
        <v>0</v>
      </c>
      <c r="I2168" t="s">
        <v>71</v>
      </c>
      <c r="J2168">
        <v>0</v>
      </c>
      <c r="K2168">
        <v>0.75</v>
      </c>
      <c r="L2168">
        <v>0</v>
      </c>
      <c r="M2168">
        <v>0</v>
      </c>
      <c r="N2168">
        <v>0.75</v>
      </c>
      <c r="O2168" t="s">
        <v>71</v>
      </c>
      <c r="P2168">
        <v>0</v>
      </c>
      <c r="Q2168" t="s">
        <v>71</v>
      </c>
      <c r="R2168">
        <v>0</v>
      </c>
      <c r="S2168" t="s">
        <v>71</v>
      </c>
      <c r="T2168">
        <v>0</v>
      </c>
      <c r="U2168" t="s">
        <v>71</v>
      </c>
      <c r="V2168">
        <v>0</v>
      </c>
      <c r="W2168" t="s">
        <v>71</v>
      </c>
      <c r="X2168">
        <v>0</v>
      </c>
      <c r="Y2168">
        <v>0.75</v>
      </c>
      <c r="Z2168">
        <v>0</v>
      </c>
      <c r="AA2168">
        <v>0</v>
      </c>
      <c r="AB2168">
        <v>0</v>
      </c>
      <c r="AC2168">
        <v>0</v>
      </c>
      <c r="AD2168">
        <v>0</v>
      </c>
      <c r="AF2168">
        <v>50</v>
      </c>
      <c r="AG2168">
        <v>50</v>
      </c>
      <c r="AI2168">
        <v>3.2000000000000001E-2</v>
      </c>
      <c r="AK2168" t="s">
        <v>272</v>
      </c>
      <c r="AL2168" t="s">
        <v>7297</v>
      </c>
      <c r="AM2168">
        <v>1000000</v>
      </c>
      <c r="AN2168" t="s">
        <v>73</v>
      </c>
      <c r="AO2168">
        <v>5</v>
      </c>
      <c r="AP2168">
        <v>0</v>
      </c>
      <c r="AQ2168">
        <v>83333.333333333328</v>
      </c>
      <c r="AR2168" t="s">
        <v>7298</v>
      </c>
      <c r="AS2168" t="s">
        <v>75</v>
      </c>
      <c r="AX2168" t="s">
        <v>76</v>
      </c>
      <c r="AY2168" t="s">
        <v>71</v>
      </c>
      <c r="AZ2168">
        <v>0</v>
      </c>
      <c r="BA2168" t="s">
        <v>71</v>
      </c>
      <c r="BB2168">
        <v>0</v>
      </c>
      <c r="BD2168">
        <v>0.15</v>
      </c>
    </row>
    <row r="2169" spans="1:56" x14ac:dyDescent="0.15">
      <c r="A2169" s="4" t="str">
        <f>HYPERLINK("https://ibp.a2mac1.com/costing(costing:projects/details/9760/part/8416397)","Area 2")</f>
        <v>Area 2</v>
      </c>
      <c r="B2169">
        <v>8416397</v>
      </c>
      <c r="C2169">
        <v>8416065</v>
      </c>
      <c r="E2169">
        <v>1.35</v>
      </c>
      <c r="F2169">
        <v>0</v>
      </c>
      <c r="G2169">
        <v>0</v>
      </c>
      <c r="H2169">
        <v>0</v>
      </c>
      <c r="I2169" t="s">
        <v>71</v>
      </c>
      <c r="J2169">
        <v>0</v>
      </c>
      <c r="K2169">
        <v>1.35</v>
      </c>
      <c r="L2169">
        <v>0</v>
      </c>
      <c r="M2169">
        <v>0</v>
      </c>
      <c r="N2169">
        <v>1.35</v>
      </c>
      <c r="O2169" t="s">
        <v>71</v>
      </c>
      <c r="P2169">
        <v>0</v>
      </c>
      <c r="Q2169" t="s">
        <v>71</v>
      </c>
      <c r="R2169">
        <v>0</v>
      </c>
      <c r="S2169" t="s">
        <v>71</v>
      </c>
      <c r="T2169">
        <v>0</v>
      </c>
      <c r="U2169" t="s">
        <v>71</v>
      </c>
      <c r="V2169">
        <v>0</v>
      </c>
      <c r="W2169" t="s">
        <v>71</v>
      </c>
      <c r="X2169">
        <v>0</v>
      </c>
      <c r="Y2169">
        <v>1.35</v>
      </c>
      <c r="Z2169">
        <v>0</v>
      </c>
      <c r="AA2169">
        <v>0</v>
      </c>
      <c r="AB2169">
        <v>0</v>
      </c>
      <c r="AC2169">
        <v>0</v>
      </c>
      <c r="AD2169">
        <v>0</v>
      </c>
      <c r="AF2169">
        <v>40</v>
      </c>
      <c r="AG2169">
        <v>40</v>
      </c>
      <c r="AI2169">
        <v>3.7999999999999999E-2</v>
      </c>
      <c r="AK2169" t="s">
        <v>272</v>
      </c>
      <c r="AL2169" t="s">
        <v>7297</v>
      </c>
      <c r="AM2169">
        <v>1800000</v>
      </c>
      <c r="AN2169" t="s">
        <v>73</v>
      </c>
      <c r="AO2169">
        <v>9</v>
      </c>
      <c r="AP2169">
        <v>0</v>
      </c>
      <c r="AQ2169">
        <v>150000</v>
      </c>
      <c r="AR2169" t="s">
        <v>7299</v>
      </c>
      <c r="AS2169" t="s">
        <v>75</v>
      </c>
      <c r="AX2169" t="s">
        <v>76</v>
      </c>
      <c r="AY2169" t="s">
        <v>71</v>
      </c>
      <c r="AZ2169">
        <v>0</v>
      </c>
      <c r="BA2169" t="s">
        <v>71</v>
      </c>
      <c r="BB2169">
        <v>0</v>
      </c>
      <c r="BD2169">
        <v>0.15</v>
      </c>
    </row>
    <row r="2170" spans="1:56" x14ac:dyDescent="0.15">
      <c r="A2170" s="4" t="str">
        <f>HYPERLINK("https://ibp.a2mac1.com/costing(costing:projects/details/9760/part/8416398)","Area 3")</f>
        <v>Area 3</v>
      </c>
      <c r="B2170">
        <v>8416398</v>
      </c>
      <c r="C2170">
        <v>8416065</v>
      </c>
      <c r="E2170">
        <v>9.5</v>
      </c>
      <c r="F2170">
        <v>0</v>
      </c>
      <c r="G2170">
        <v>0</v>
      </c>
      <c r="H2170">
        <v>0</v>
      </c>
      <c r="I2170" t="s">
        <v>71</v>
      </c>
      <c r="J2170">
        <v>0</v>
      </c>
      <c r="K2170">
        <v>9.5</v>
      </c>
      <c r="L2170">
        <v>0</v>
      </c>
      <c r="M2170">
        <v>0</v>
      </c>
      <c r="N2170">
        <v>9.5</v>
      </c>
      <c r="O2170" t="s">
        <v>71</v>
      </c>
      <c r="P2170">
        <v>0</v>
      </c>
      <c r="Q2170" t="s">
        <v>71</v>
      </c>
      <c r="R2170">
        <v>0</v>
      </c>
      <c r="S2170" t="s">
        <v>71</v>
      </c>
      <c r="T2170">
        <v>0</v>
      </c>
      <c r="U2170" t="s">
        <v>71</v>
      </c>
      <c r="V2170">
        <v>0</v>
      </c>
      <c r="W2170" t="s">
        <v>71</v>
      </c>
      <c r="X2170">
        <v>0</v>
      </c>
      <c r="Y2170">
        <v>9.5</v>
      </c>
      <c r="Z2170">
        <v>0</v>
      </c>
      <c r="AA2170">
        <v>0</v>
      </c>
      <c r="AB2170">
        <v>0</v>
      </c>
      <c r="AC2170">
        <v>0</v>
      </c>
      <c r="AD2170">
        <v>0</v>
      </c>
      <c r="AF2170">
        <v>30</v>
      </c>
      <c r="AG2170">
        <v>30</v>
      </c>
      <c r="AI2170">
        <v>9.6000000000000002E-2</v>
      </c>
      <c r="AK2170" t="s">
        <v>272</v>
      </c>
      <c r="AL2170" t="s">
        <v>7300</v>
      </c>
      <c r="AM2170">
        <v>7600000</v>
      </c>
      <c r="AN2170" t="s">
        <v>73</v>
      </c>
      <c r="AO2170">
        <v>38</v>
      </c>
      <c r="AP2170">
        <v>0</v>
      </c>
      <c r="AQ2170">
        <v>633333.33333333337</v>
      </c>
      <c r="AR2170" t="s">
        <v>7301</v>
      </c>
      <c r="AS2170" t="s">
        <v>75</v>
      </c>
      <c r="AX2170" t="s">
        <v>76</v>
      </c>
      <c r="AY2170" t="s">
        <v>71</v>
      </c>
      <c r="AZ2170">
        <v>0</v>
      </c>
      <c r="BA2170" t="s">
        <v>71</v>
      </c>
      <c r="BB2170">
        <v>0</v>
      </c>
      <c r="BD2170">
        <v>0.25</v>
      </c>
    </row>
    <row r="2171" spans="1:56" x14ac:dyDescent="0.15">
      <c r="A2171" s="4" t="str">
        <f>HYPERLINK("https://ibp.a2mac1.com/costing(costing:projects/details/9760/part/8416399)","Area 4")</f>
        <v>Area 4</v>
      </c>
      <c r="B2171">
        <v>8416399</v>
      </c>
      <c r="C2171">
        <v>8416065</v>
      </c>
      <c r="E2171">
        <v>0.22</v>
      </c>
      <c r="F2171">
        <v>0</v>
      </c>
      <c r="G2171">
        <v>0</v>
      </c>
      <c r="H2171">
        <v>0</v>
      </c>
      <c r="I2171" t="s">
        <v>71</v>
      </c>
      <c r="J2171">
        <v>0</v>
      </c>
      <c r="K2171">
        <v>0.22</v>
      </c>
      <c r="L2171">
        <v>0</v>
      </c>
      <c r="M2171">
        <v>0</v>
      </c>
      <c r="N2171">
        <v>0.22</v>
      </c>
      <c r="O2171" t="s">
        <v>71</v>
      </c>
      <c r="P2171">
        <v>0</v>
      </c>
      <c r="Q2171" t="s">
        <v>71</v>
      </c>
      <c r="R2171">
        <v>0</v>
      </c>
      <c r="S2171" t="s">
        <v>71</v>
      </c>
      <c r="T2171">
        <v>0</v>
      </c>
      <c r="U2171" t="s">
        <v>71</v>
      </c>
      <c r="V2171">
        <v>0</v>
      </c>
      <c r="W2171" t="s">
        <v>71</v>
      </c>
      <c r="X2171">
        <v>0</v>
      </c>
      <c r="Y2171">
        <v>0.22</v>
      </c>
      <c r="Z2171">
        <v>0</v>
      </c>
      <c r="AA2171">
        <v>0</v>
      </c>
      <c r="AB2171">
        <v>0</v>
      </c>
      <c r="AC2171">
        <v>0</v>
      </c>
      <c r="AD2171">
        <v>0</v>
      </c>
      <c r="AF2171">
        <v>50</v>
      </c>
      <c r="AG2171">
        <v>80</v>
      </c>
      <c r="AI2171">
        <v>2.5000000000000001E-2</v>
      </c>
      <c r="AK2171" t="s">
        <v>272</v>
      </c>
      <c r="AL2171" t="s">
        <v>7297</v>
      </c>
      <c r="AM2171">
        <v>400000</v>
      </c>
      <c r="AN2171" t="s">
        <v>73</v>
      </c>
      <c r="AO2171">
        <v>2</v>
      </c>
      <c r="AP2171">
        <v>0</v>
      </c>
      <c r="AQ2171">
        <v>33333.333333333336</v>
      </c>
      <c r="AR2171" t="s">
        <v>7302</v>
      </c>
      <c r="AS2171" t="s">
        <v>75</v>
      </c>
      <c r="AX2171" t="s">
        <v>76</v>
      </c>
      <c r="AY2171" t="s">
        <v>71</v>
      </c>
      <c r="AZ2171">
        <v>0</v>
      </c>
      <c r="BA2171" t="s">
        <v>71</v>
      </c>
      <c r="BB2171">
        <v>0</v>
      </c>
      <c r="BD2171">
        <v>0.11</v>
      </c>
    </row>
    <row r="2172" spans="1:56" x14ac:dyDescent="0.15">
      <c r="A2172" s="4" t="str">
        <f>HYPERLINK("https://ibp.a2mac1.com/costing(costing:projects/details/9760/part/8416400)","Area 5")</f>
        <v>Area 5</v>
      </c>
      <c r="B2172">
        <v>8416400</v>
      </c>
      <c r="C2172">
        <v>8416065</v>
      </c>
      <c r="E2172">
        <v>1.2</v>
      </c>
      <c r="F2172">
        <v>0</v>
      </c>
      <c r="G2172">
        <v>0</v>
      </c>
      <c r="H2172">
        <v>0</v>
      </c>
      <c r="I2172" t="s">
        <v>71</v>
      </c>
      <c r="J2172">
        <v>0</v>
      </c>
      <c r="K2172">
        <v>1.2</v>
      </c>
      <c r="L2172">
        <v>0</v>
      </c>
      <c r="M2172">
        <v>0</v>
      </c>
      <c r="N2172">
        <v>1.2</v>
      </c>
      <c r="O2172" t="s">
        <v>71</v>
      </c>
      <c r="P2172">
        <v>0</v>
      </c>
      <c r="Q2172" t="s">
        <v>71</v>
      </c>
      <c r="R2172">
        <v>0</v>
      </c>
      <c r="S2172" t="s">
        <v>71</v>
      </c>
      <c r="T2172">
        <v>0</v>
      </c>
      <c r="U2172" t="s">
        <v>71</v>
      </c>
      <c r="V2172">
        <v>0</v>
      </c>
      <c r="W2172" t="s">
        <v>71</v>
      </c>
      <c r="X2172">
        <v>0</v>
      </c>
      <c r="Y2172">
        <v>1.2</v>
      </c>
      <c r="Z2172">
        <v>0</v>
      </c>
      <c r="AA2172">
        <v>0</v>
      </c>
      <c r="AB2172">
        <v>0</v>
      </c>
      <c r="AC2172">
        <v>0</v>
      </c>
      <c r="AD2172">
        <v>0</v>
      </c>
      <c r="AF2172">
        <v>100</v>
      </c>
      <c r="AG2172">
        <v>130</v>
      </c>
      <c r="AI2172">
        <v>0.123</v>
      </c>
      <c r="AK2172" t="s">
        <v>272</v>
      </c>
      <c r="AL2172" t="s">
        <v>7303</v>
      </c>
      <c r="AM2172">
        <v>600000</v>
      </c>
      <c r="AN2172" t="s">
        <v>73</v>
      </c>
      <c r="AO2172">
        <v>3</v>
      </c>
      <c r="AP2172">
        <v>0</v>
      </c>
      <c r="AQ2172">
        <v>50000</v>
      </c>
      <c r="AR2172" t="s">
        <v>7304</v>
      </c>
      <c r="AS2172" t="s">
        <v>75</v>
      </c>
      <c r="AX2172" t="s">
        <v>76</v>
      </c>
      <c r="AY2172" t="s">
        <v>71</v>
      </c>
      <c r="AZ2172">
        <v>0</v>
      </c>
      <c r="BA2172" t="s">
        <v>71</v>
      </c>
      <c r="BB2172">
        <v>0</v>
      </c>
      <c r="BD2172">
        <v>0.4</v>
      </c>
    </row>
    <row r="2173" spans="1:56" x14ac:dyDescent="0.15">
      <c r="A2173" s="4" t="str">
        <f>HYPERLINK("https://ibp.a2mac1.com/costing(costing:projects/details/9760/part/8416401)","Area 6")</f>
        <v>Area 6</v>
      </c>
      <c r="B2173">
        <v>8416401</v>
      </c>
      <c r="C2173">
        <v>8416065</v>
      </c>
      <c r="E2173">
        <v>1.2</v>
      </c>
      <c r="F2173">
        <v>0</v>
      </c>
      <c r="G2173">
        <v>0</v>
      </c>
      <c r="H2173">
        <v>0</v>
      </c>
      <c r="I2173" t="s">
        <v>71</v>
      </c>
      <c r="J2173">
        <v>0</v>
      </c>
      <c r="K2173">
        <v>1.2</v>
      </c>
      <c r="L2173">
        <v>0</v>
      </c>
      <c r="M2173">
        <v>0</v>
      </c>
      <c r="N2173">
        <v>1.2</v>
      </c>
      <c r="O2173" t="s">
        <v>71</v>
      </c>
      <c r="P2173">
        <v>0</v>
      </c>
      <c r="Q2173" t="s">
        <v>71</v>
      </c>
      <c r="R2173">
        <v>0</v>
      </c>
      <c r="S2173" t="s">
        <v>71</v>
      </c>
      <c r="T2173">
        <v>0</v>
      </c>
      <c r="U2173" t="s">
        <v>71</v>
      </c>
      <c r="V2173">
        <v>0</v>
      </c>
      <c r="W2173" t="s">
        <v>71</v>
      </c>
      <c r="X2173">
        <v>0</v>
      </c>
      <c r="Y2173">
        <v>1.2</v>
      </c>
      <c r="Z2173">
        <v>0</v>
      </c>
      <c r="AA2173">
        <v>0</v>
      </c>
      <c r="AB2173">
        <v>0</v>
      </c>
      <c r="AC2173">
        <v>0</v>
      </c>
      <c r="AD2173">
        <v>0</v>
      </c>
      <c r="AF2173">
        <v>183</v>
      </c>
      <c r="AG2173">
        <v>103</v>
      </c>
      <c r="AI2173">
        <v>0.10199999999999999</v>
      </c>
      <c r="AK2173" t="s">
        <v>272</v>
      </c>
      <c r="AL2173" t="s">
        <v>7303</v>
      </c>
      <c r="AM2173">
        <v>400000</v>
      </c>
      <c r="AN2173" t="s">
        <v>73</v>
      </c>
      <c r="AO2173">
        <v>2</v>
      </c>
      <c r="AP2173">
        <v>0</v>
      </c>
      <c r="AQ2173">
        <v>33333.333333333336</v>
      </c>
      <c r="AR2173" t="s">
        <v>7305</v>
      </c>
      <c r="AS2173" t="s">
        <v>75</v>
      </c>
      <c r="AX2173" t="s">
        <v>76</v>
      </c>
      <c r="AY2173" t="s">
        <v>71</v>
      </c>
      <c r="AZ2173">
        <v>0</v>
      </c>
      <c r="BA2173" t="s">
        <v>71</v>
      </c>
      <c r="BB2173">
        <v>0</v>
      </c>
      <c r="BD2173">
        <v>0.6</v>
      </c>
    </row>
    <row r="2174" spans="1:56" x14ac:dyDescent="0.15">
      <c r="A2174" s="4" t="str">
        <f>HYPERLINK("https://ibp.a2mac1.com/costing(costing:projects/details/9760/part/8416402)","Area 7")</f>
        <v>Area 7</v>
      </c>
      <c r="B2174">
        <v>8416402</v>
      </c>
      <c r="C2174">
        <v>8416065</v>
      </c>
      <c r="E2174">
        <v>3</v>
      </c>
      <c r="F2174">
        <v>0</v>
      </c>
      <c r="G2174">
        <v>0</v>
      </c>
      <c r="H2174">
        <v>0</v>
      </c>
      <c r="I2174" t="s">
        <v>71</v>
      </c>
      <c r="J2174">
        <v>0</v>
      </c>
      <c r="K2174">
        <v>3</v>
      </c>
      <c r="L2174">
        <v>0</v>
      </c>
      <c r="M2174">
        <v>0</v>
      </c>
      <c r="N2174">
        <v>3</v>
      </c>
      <c r="O2174" t="s">
        <v>71</v>
      </c>
      <c r="P2174">
        <v>0</v>
      </c>
      <c r="Q2174" t="s">
        <v>71</v>
      </c>
      <c r="R2174">
        <v>0</v>
      </c>
      <c r="S2174" t="s">
        <v>71</v>
      </c>
      <c r="T2174">
        <v>0</v>
      </c>
      <c r="U2174" t="s">
        <v>71</v>
      </c>
      <c r="V2174">
        <v>0</v>
      </c>
      <c r="W2174" t="s">
        <v>71</v>
      </c>
      <c r="X2174">
        <v>0</v>
      </c>
      <c r="Y2174">
        <v>3</v>
      </c>
      <c r="Z2174">
        <v>0</v>
      </c>
      <c r="AA2174">
        <v>0</v>
      </c>
      <c r="AB2174">
        <v>0</v>
      </c>
      <c r="AC2174">
        <v>0</v>
      </c>
      <c r="AD2174">
        <v>0</v>
      </c>
      <c r="AF2174">
        <v>110</v>
      </c>
      <c r="AG2174">
        <v>26</v>
      </c>
      <c r="AI2174">
        <v>9.0999999999999998E-2</v>
      </c>
      <c r="AK2174" t="s">
        <v>272</v>
      </c>
      <c r="AL2174" t="s">
        <v>7303</v>
      </c>
      <c r="AM2174">
        <v>2000000</v>
      </c>
      <c r="AN2174" t="s">
        <v>73</v>
      </c>
      <c r="AO2174">
        <v>10</v>
      </c>
      <c r="AP2174">
        <v>0</v>
      </c>
      <c r="AQ2174">
        <v>166666.66666666666</v>
      </c>
      <c r="AR2174" t="s">
        <v>7306</v>
      </c>
      <c r="AS2174" t="s">
        <v>75</v>
      </c>
      <c r="AX2174" t="s">
        <v>76</v>
      </c>
      <c r="AY2174" t="s">
        <v>71</v>
      </c>
      <c r="AZ2174">
        <v>0</v>
      </c>
      <c r="BA2174" t="s">
        <v>71</v>
      </c>
      <c r="BB2174">
        <v>0</v>
      </c>
      <c r="BD2174">
        <v>0.3</v>
      </c>
    </row>
    <row r="2175" spans="1:56" x14ac:dyDescent="0.15">
      <c r="A2175" s="4" t="str">
        <f>HYPERLINK("https://ibp.a2mac1.com/costing(costing:projects/details/9760/part/8416403)","Area 8")</f>
        <v>Area 8</v>
      </c>
      <c r="B2175">
        <v>8416403</v>
      </c>
      <c r="C2175">
        <v>8416065</v>
      </c>
      <c r="E2175">
        <v>0.4</v>
      </c>
      <c r="F2175">
        <v>0</v>
      </c>
      <c r="G2175">
        <v>0</v>
      </c>
      <c r="H2175">
        <v>0</v>
      </c>
      <c r="I2175" t="s">
        <v>71</v>
      </c>
      <c r="J2175">
        <v>0</v>
      </c>
      <c r="K2175">
        <v>0.4</v>
      </c>
      <c r="L2175">
        <v>0</v>
      </c>
      <c r="M2175">
        <v>0</v>
      </c>
      <c r="N2175">
        <v>0.4</v>
      </c>
      <c r="O2175" t="s">
        <v>71</v>
      </c>
      <c r="P2175">
        <v>0</v>
      </c>
      <c r="Q2175" t="s">
        <v>71</v>
      </c>
      <c r="R2175">
        <v>0</v>
      </c>
      <c r="S2175" t="s">
        <v>71</v>
      </c>
      <c r="T2175">
        <v>0</v>
      </c>
      <c r="U2175" t="s">
        <v>71</v>
      </c>
      <c r="V2175">
        <v>0</v>
      </c>
      <c r="W2175" t="s">
        <v>71</v>
      </c>
      <c r="X2175">
        <v>0</v>
      </c>
      <c r="Y2175">
        <v>0.4</v>
      </c>
      <c r="Z2175">
        <v>0</v>
      </c>
      <c r="AA2175">
        <v>0</v>
      </c>
      <c r="AB2175">
        <v>0</v>
      </c>
      <c r="AC2175">
        <v>0</v>
      </c>
      <c r="AD2175">
        <v>0</v>
      </c>
      <c r="AF2175">
        <v>40</v>
      </c>
      <c r="AG2175">
        <v>26</v>
      </c>
      <c r="AI2175">
        <v>7.0000000000000001E-3</v>
      </c>
      <c r="AK2175" t="s">
        <v>272</v>
      </c>
      <c r="AL2175" t="s">
        <v>7303</v>
      </c>
      <c r="AM2175">
        <v>400000</v>
      </c>
      <c r="AN2175" t="s">
        <v>73</v>
      </c>
      <c r="AO2175">
        <v>2</v>
      </c>
      <c r="AP2175">
        <v>0</v>
      </c>
      <c r="AQ2175">
        <v>33333.333333333336</v>
      </c>
      <c r="AR2175" t="s">
        <v>7307</v>
      </c>
      <c r="AS2175" t="s">
        <v>75</v>
      </c>
      <c r="AX2175" t="s">
        <v>76</v>
      </c>
      <c r="AY2175" t="s">
        <v>71</v>
      </c>
      <c r="AZ2175">
        <v>0</v>
      </c>
      <c r="BA2175" t="s">
        <v>71</v>
      </c>
      <c r="BB2175">
        <v>0</v>
      </c>
      <c r="BD2175">
        <v>0.2</v>
      </c>
    </row>
    <row r="2176" spans="1:56" x14ac:dyDescent="0.15">
      <c r="A2176" s="4" t="str">
        <f>HYPERLINK("https://ibp.a2mac1.com/costing(costing:projects/details/9760/part/8416404)","Area 9")</f>
        <v>Area 9</v>
      </c>
      <c r="B2176">
        <v>8416404</v>
      </c>
      <c r="C2176">
        <v>8416065</v>
      </c>
      <c r="E2176">
        <v>1.2</v>
      </c>
      <c r="F2176">
        <v>0</v>
      </c>
      <c r="G2176">
        <v>0</v>
      </c>
      <c r="H2176">
        <v>0</v>
      </c>
      <c r="I2176" t="s">
        <v>71</v>
      </c>
      <c r="J2176">
        <v>0</v>
      </c>
      <c r="K2176">
        <v>1.2</v>
      </c>
      <c r="L2176">
        <v>0</v>
      </c>
      <c r="M2176">
        <v>0</v>
      </c>
      <c r="N2176">
        <v>1.2</v>
      </c>
      <c r="O2176" t="s">
        <v>71</v>
      </c>
      <c r="P2176">
        <v>0</v>
      </c>
      <c r="Q2176" t="s">
        <v>71</v>
      </c>
      <c r="R2176">
        <v>0</v>
      </c>
      <c r="S2176" t="s">
        <v>71</v>
      </c>
      <c r="T2176">
        <v>0</v>
      </c>
      <c r="U2176" t="s">
        <v>71</v>
      </c>
      <c r="V2176">
        <v>0</v>
      </c>
      <c r="W2176" t="s">
        <v>71</v>
      </c>
      <c r="X2176">
        <v>0</v>
      </c>
      <c r="Y2176">
        <v>1.2</v>
      </c>
      <c r="Z2176">
        <v>0</v>
      </c>
      <c r="AA2176">
        <v>0</v>
      </c>
      <c r="AB2176">
        <v>0</v>
      </c>
      <c r="AC2176">
        <v>0</v>
      </c>
      <c r="AD2176">
        <v>0</v>
      </c>
      <c r="AF2176">
        <v>290</v>
      </c>
      <c r="AG2176">
        <v>90</v>
      </c>
      <c r="AI2176">
        <v>5.0000000000000001E-3</v>
      </c>
      <c r="AK2176" t="s">
        <v>272</v>
      </c>
      <c r="AL2176" t="s">
        <v>7303</v>
      </c>
      <c r="AM2176">
        <v>200000</v>
      </c>
      <c r="AN2176" t="s">
        <v>73</v>
      </c>
      <c r="AO2176">
        <v>1</v>
      </c>
      <c r="AP2176">
        <v>0</v>
      </c>
      <c r="AQ2176">
        <v>16666.666666666668</v>
      </c>
      <c r="AR2176" t="s">
        <v>7308</v>
      </c>
      <c r="AS2176" t="s">
        <v>75</v>
      </c>
      <c r="AX2176" t="s">
        <v>76</v>
      </c>
      <c r="AY2176" t="s">
        <v>71</v>
      </c>
      <c r="AZ2176">
        <v>0</v>
      </c>
      <c r="BA2176" t="s">
        <v>71</v>
      </c>
      <c r="BB2176">
        <v>0</v>
      </c>
      <c r="BD2176">
        <v>1.2</v>
      </c>
    </row>
    <row r="2177" spans="1:56" x14ac:dyDescent="0.15">
      <c r="A2177" s="4" t="str">
        <f>HYPERLINK("https://ibp.a2mac1.com/costing(costing:projects/details/9760/part/8416405)","Area 10")</f>
        <v>Area 10</v>
      </c>
      <c r="B2177">
        <v>8416405</v>
      </c>
      <c r="C2177">
        <v>8416065</v>
      </c>
      <c r="E2177">
        <v>0.6</v>
      </c>
      <c r="F2177">
        <v>0</v>
      </c>
      <c r="G2177">
        <v>0</v>
      </c>
      <c r="H2177">
        <v>0</v>
      </c>
      <c r="I2177" t="s">
        <v>71</v>
      </c>
      <c r="J2177">
        <v>0</v>
      </c>
      <c r="K2177">
        <v>0.6</v>
      </c>
      <c r="L2177">
        <v>0</v>
      </c>
      <c r="M2177">
        <v>0</v>
      </c>
      <c r="N2177">
        <v>0.6</v>
      </c>
      <c r="O2177" t="s">
        <v>71</v>
      </c>
      <c r="P2177">
        <v>0</v>
      </c>
      <c r="Q2177" t="s">
        <v>71</v>
      </c>
      <c r="R2177">
        <v>0</v>
      </c>
      <c r="S2177" t="s">
        <v>71</v>
      </c>
      <c r="T2177">
        <v>0</v>
      </c>
      <c r="U2177" t="s">
        <v>71</v>
      </c>
      <c r="V2177">
        <v>0</v>
      </c>
      <c r="W2177" t="s">
        <v>71</v>
      </c>
      <c r="X2177">
        <v>0</v>
      </c>
      <c r="Y2177">
        <v>0.6</v>
      </c>
      <c r="Z2177">
        <v>0</v>
      </c>
      <c r="AA2177">
        <v>0</v>
      </c>
      <c r="AB2177">
        <v>0</v>
      </c>
      <c r="AC2177">
        <v>0</v>
      </c>
      <c r="AD2177">
        <v>0</v>
      </c>
      <c r="AF2177">
        <v>190</v>
      </c>
      <c r="AG2177">
        <v>90</v>
      </c>
      <c r="AI2177">
        <v>5.0000000000000001E-3</v>
      </c>
      <c r="AK2177" t="s">
        <v>272</v>
      </c>
      <c r="AL2177" t="s">
        <v>7303</v>
      </c>
      <c r="AM2177">
        <v>200000</v>
      </c>
      <c r="AN2177" t="s">
        <v>73</v>
      </c>
      <c r="AO2177">
        <v>1</v>
      </c>
      <c r="AP2177">
        <v>0</v>
      </c>
      <c r="AQ2177">
        <v>16666.666666666668</v>
      </c>
      <c r="AR2177" t="s">
        <v>7309</v>
      </c>
      <c r="AS2177" t="s">
        <v>75</v>
      </c>
      <c r="AX2177" t="s">
        <v>76</v>
      </c>
      <c r="AY2177" t="s">
        <v>71</v>
      </c>
      <c r="AZ2177">
        <v>0</v>
      </c>
      <c r="BA2177" t="s">
        <v>71</v>
      </c>
      <c r="BB2177">
        <v>0</v>
      </c>
      <c r="BD2177">
        <v>0.6</v>
      </c>
    </row>
    <row r="2178" spans="1:56" x14ac:dyDescent="0.15">
      <c r="A2178" s="4" t="str">
        <f>HYPERLINK("https://ibp.a2mac1.com/costing(costing:projects/details/9760/part/8416406)","Area 11")</f>
        <v>Area 11</v>
      </c>
      <c r="B2178">
        <v>8416406</v>
      </c>
      <c r="C2178">
        <v>8416065</v>
      </c>
      <c r="E2178">
        <v>0.5</v>
      </c>
      <c r="F2178">
        <v>0</v>
      </c>
      <c r="G2178">
        <v>0</v>
      </c>
      <c r="H2178">
        <v>0</v>
      </c>
      <c r="I2178" t="s">
        <v>71</v>
      </c>
      <c r="J2178">
        <v>0</v>
      </c>
      <c r="K2178">
        <v>0.5</v>
      </c>
      <c r="L2178">
        <v>0</v>
      </c>
      <c r="M2178">
        <v>0</v>
      </c>
      <c r="N2178">
        <v>0.5</v>
      </c>
      <c r="O2178" t="s">
        <v>71</v>
      </c>
      <c r="P2178">
        <v>0</v>
      </c>
      <c r="Q2178" t="s">
        <v>71</v>
      </c>
      <c r="R2178">
        <v>0</v>
      </c>
      <c r="S2178" t="s">
        <v>71</v>
      </c>
      <c r="T2178">
        <v>0</v>
      </c>
      <c r="U2178" t="s">
        <v>71</v>
      </c>
      <c r="V2178">
        <v>0</v>
      </c>
      <c r="W2178" t="s">
        <v>71</v>
      </c>
      <c r="X2178">
        <v>0</v>
      </c>
      <c r="Y2178">
        <v>0.5</v>
      </c>
      <c r="Z2178">
        <v>0</v>
      </c>
      <c r="AA2178">
        <v>0</v>
      </c>
      <c r="AB2178">
        <v>0</v>
      </c>
      <c r="AC2178">
        <v>0</v>
      </c>
      <c r="AD2178">
        <v>0</v>
      </c>
      <c r="AF2178">
        <v>135</v>
      </c>
      <c r="AG2178">
        <v>175</v>
      </c>
      <c r="AI2178">
        <v>5.0000000000000001E-3</v>
      </c>
      <c r="AK2178" t="s">
        <v>272</v>
      </c>
      <c r="AL2178" t="s">
        <v>7303</v>
      </c>
      <c r="AM2178">
        <v>200000</v>
      </c>
      <c r="AN2178" t="s">
        <v>73</v>
      </c>
      <c r="AO2178">
        <v>1</v>
      </c>
      <c r="AP2178">
        <v>0</v>
      </c>
      <c r="AQ2178">
        <v>16666.666666666668</v>
      </c>
      <c r="AR2178" t="s">
        <v>7310</v>
      </c>
      <c r="AS2178" t="s">
        <v>75</v>
      </c>
      <c r="AX2178" t="s">
        <v>76</v>
      </c>
      <c r="AY2178" t="s">
        <v>71</v>
      </c>
      <c r="AZ2178">
        <v>0</v>
      </c>
      <c r="BA2178" t="s">
        <v>71</v>
      </c>
      <c r="BB2178">
        <v>0</v>
      </c>
      <c r="BD2178">
        <v>0.5</v>
      </c>
    </row>
    <row r="2179" spans="1:56" x14ac:dyDescent="0.15">
      <c r="A2179" s="4" t="str">
        <f>HYPERLINK("https://ibp.a2mac1.com/costing(costing:projects/details/9760/part/8416407)","Area 12")</f>
        <v>Area 12</v>
      </c>
      <c r="B2179">
        <v>8416407</v>
      </c>
      <c r="C2179">
        <v>8416065</v>
      </c>
      <c r="E2179">
        <v>0.75</v>
      </c>
      <c r="F2179">
        <v>0</v>
      </c>
      <c r="G2179">
        <v>0</v>
      </c>
      <c r="H2179">
        <v>0</v>
      </c>
      <c r="I2179" t="s">
        <v>71</v>
      </c>
      <c r="J2179">
        <v>0</v>
      </c>
      <c r="K2179">
        <v>0.75</v>
      </c>
      <c r="L2179">
        <v>0</v>
      </c>
      <c r="M2179">
        <v>0</v>
      </c>
      <c r="N2179">
        <v>0.75</v>
      </c>
      <c r="O2179" t="s">
        <v>71</v>
      </c>
      <c r="P2179">
        <v>0</v>
      </c>
      <c r="Q2179" t="s">
        <v>71</v>
      </c>
      <c r="R2179">
        <v>0</v>
      </c>
      <c r="S2179" t="s">
        <v>71</v>
      </c>
      <c r="T2179">
        <v>0</v>
      </c>
      <c r="U2179" t="s">
        <v>71</v>
      </c>
      <c r="V2179">
        <v>0</v>
      </c>
      <c r="W2179" t="s">
        <v>71</v>
      </c>
      <c r="X2179">
        <v>0</v>
      </c>
      <c r="Y2179">
        <v>0.75</v>
      </c>
      <c r="Z2179">
        <v>0</v>
      </c>
      <c r="AA2179">
        <v>0</v>
      </c>
      <c r="AB2179">
        <v>0</v>
      </c>
      <c r="AC2179">
        <v>0</v>
      </c>
      <c r="AD2179">
        <v>0</v>
      </c>
      <c r="AF2179">
        <v>200</v>
      </c>
      <c r="AG2179">
        <v>200</v>
      </c>
      <c r="AI2179">
        <v>8.9999999999999993E-3</v>
      </c>
      <c r="AK2179" t="s">
        <v>272</v>
      </c>
      <c r="AL2179" t="s">
        <v>7303</v>
      </c>
      <c r="AM2179">
        <v>200000</v>
      </c>
      <c r="AN2179" t="s">
        <v>73</v>
      </c>
      <c r="AO2179">
        <v>1</v>
      </c>
      <c r="AP2179">
        <v>0</v>
      </c>
      <c r="AQ2179">
        <v>16666.666666666668</v>
      </c>
      <c r="AR2179" t="s">
        <v>7311</v>
      </c>
      <c r="AS2179" t="s">
        <v>75</v>
      </c>
      <c r="AX2179" t="s">
        <v>76</v>
      </c>
      <c r="AY2179" t="s">
        <v>71</v>
      </c>
      <c r="AZ2179">
        <v>0</v>
      </c>
      <c r="BA2179" t="s">
        <v>71</v>
      </c>
      <c r="BB2179">
        <v>0</v>
      </c>
      <c r="BD2179">
        <v>0.75</v>
      </c>
    </row>
    <row r="2180" spans="1:56" x14ac:dyDescent="0.15">
      <c r="A2180" s="4" t="str">
        <f>HYPERLINK("https://ibp.a2mac1.com/costing(costing:projects/details/9760/part/8417266)","Part 01 (single/main)")</f>
        <v>Part 01 (single/main)</v>
      </c>
      <c r="B2180">
        <v>8417266</v>
      </c>
      <c r="C2180">
        <v>8416860</v>
      </c>
      <c r="E2180">
        <v>2.1374308266666668</v>
      </c>
      <c r="F2180">
        <v>0</v>
      </c>
      <c r="G2180">
        <v>0</v>
      </c>
      <c r="H2180">
        <v>3.4004581333333333E-4</v>
      </c>
      <c r="I2180" t="s">
        <v>176</v>
      </c>
      <c r="J2180">
        <v>8.5011453333333334E-2</v>
      </c>
      <c r="K2180">
        <v>2.2227823258133332</v>
      </c>
      <c r="L2180">
        <v>5.1910920237535282E-2</v>
      </c>
      <c r="M2180">
        <v>0.31146552142521172</v>
      </c>
      <c r="N2180">
        <v>2.5342478472385452</v>
      </c>
      <c r="O2180" t="s">
        <v>177</v>
      </c>
      <c r="P2180">
        <v>0.1333669395488</v>
      </c>
      <c r="Q2180" t="s">
        <v>177</v>
      </c>
      <c r="R2180">
        <v>1.8687931285512702E-2</v>
      </c>
      <c r="S2180" t="s">
        <v>178</v>
      </c>
      <c r="T2180">
        <v>0.30410974166862542</v>
      </c>
      <c r="U2180" t="s">
        <v>90</v>
      </c>
      <c r="V2180">
        <v>0</v>
      </c>
      <c r="W2180" t="s">
        <v>90</v>
      </c>
      <c r="X2180">
        <v>0</v>
      </c>
      <c r="Y2180">
        <v>2.9904124597414832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K2180" t="s">
        <v>7325</v>
      </c>
      <c r="AM2180">
        <v>200000</v>
      </c>
      <c r="AN2180" t="s">
        <v>97</v>
      </c>
      <c r="AO2180">
        <v>1</v>
      </c>
      <c r="AP2180">
        <v>0</v>
      </c>
      <c r="AQ2180">
        <v>16666.666666666668</v>
      </c>
      <c r="AR2180" t="s">
        <v>7326</v>
      </c>
      <c r="AS2180" t="s">
        <v>75</v>
      </c>
      <c r="AW2180">
        <v>0</v>
      </c>
      <c r="AX2180" t="s">
        <v>76</v>
      </c>
      <c r="AY2180" t="s">
        <v>176</v>
      </c>
      <c r="AZ2180">
        <v>0</v>
      </c>
      <c r="BA2180" t="s">
        <v>176</v>
      </c>
      <c r="BB2180">
        <v>0</v>
      </c>
    </row>
    <row r="2181" spans="1:56" x14ac:dyDescent="0.15">
      <c r="A2181" s="4" t="str">
        <f>HYPERLINK("https://ibp.a2mac1.com/costing(costing:projects/details/9760/part/8417267)","Part 02")</f>
        <v>Part 02</v>
      </c>
      <c r="B2181">
        <v>8417267</v>
      </c>
      <c r="C2181">
        <v>8416860</v>
      </c>
      <c r="E2181">
        <v>2.2342607466666666</v>
      </c>
      <c r="F2181">
        <v>0</v>
      </c>
      <c r="G2181">
        <v>0</v>
      </c>
      <c r="H2181">
        <v>3.5545057333333333E-4</v>
      </c>
      <c r="I2181" t="s">
        <v>176</v>
      </c>
      <c r="J2181">
        <v>8.8862643333333338E-2</v>
      </c>
      <c r="K2181">
        <v>2.3234788405733333</v>
      </c>
      <c r="L2181">
        <v>5.1910920237535282E-2</v>
      </c>
      <c r="M2181">
        <v>0.31146552142521172</v>
      </c>
      <c r="N2181">
        <v>2.6349443619985449</v>
      </c>
      <c r="O2181" t="s">
        <v>177</v>
      </c>
      <c r="P2181">
        <v>0.1394087304344</v>
      </c>
      <c r="Q2181" t="s">
        <v>177</v>
      </c>
      <c r="R2181">
        <v>1.8687931285512702E-2</v>
      </c>
      <c r="S2181" t="s">
        <v>178</v>
      </c>
      <c r="T2181">
        <v>0.31619332343982542</v>
      </c>
      <c r="U2181" t="s">
        <v>90</v>
      </c>
      <c r="V2181">
        <v>0</v>
      </c>
      <c r="W2181" t="s">
        <v>90</v>
      </c>
      <c r="X2181">
        <v>0</v>
      </c>
      <c r="Y2181">
        <v>3.1092343471582833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K2181" t="s">
        <v>7325</v>
      </c>
      <c r="AM2181">
        <v>200000</v>
      </c>
      <c r="AN2181" t="s">
        <v>97</v>
      </c>
      <c r="AO2181">
        <v>1</v>
      </c>
      <c r="AP2181">
        <v>0</v>
      </c>
      <c r="AQ2181">
        <v>16666.666666666668</v>
      </c>
      <c r="AR2181" t="s">
        <v>7331</v>
      </c>
      <c r="AS2181" t="s">
        <v>75</v>
      </c>
      <c r="AW2181">
        <v>0</v>
      </c>
      <c r="AX2181" t="s">
        <v>76</v>
      </c>
      <c r="AY2181" t="s">
        <v>176</v>
      </c>
      <c r="AZ2181">
        <v>0</v>
      </c>
      <c r="BA2181" t="s">
        <v>176</v>
      </c>
      <c r="BB2181">
        <v>0</v>
      </c>
    </row>
    <row r="2182" spans="1:56" x14ac:dyDescent="0.15">
      <c r="A2182" s="4" t="str">
        <f>HYPERLINK("https://ibp.a2mac1.com/costing(costing:projects/details/9760/part/8417268)","Part 01 (single/main)")</f>
        <v>Part 01 (single/main)</v>
      </c>
      <c r="B2182">
        <v>8417268</v>
      </c>
      <c r="C2182">
        <v>8416861</v>
      </c>
      <c r="E2182">
        <v>0.4343239476923077</v>
      </c>
      <c r="F2182">
        <v>0</v>
      </c>
      <c r="G2182">
        <v>0</v>
      </c>
      <c r="H2182">
        <v>5.338059692307692E-5</v>
      </c>
      <c r="I2182" t="s">
        <v>176</v>
      </c>
      <c r="J2182">
        <v>1.6984735384615385E-2</v>
      </c>
      <c r="K2182">
        <v>0.45136206367384618</v>
      </c>
      <c r="L2182">
        <v>1.6357428824467144E-2</v>
      </c>
      <c r="M2182">
        <v>9.8144572946802858E-2</v>
      </c>
      <c r="N2182">
        <v>0.54950663662064902</v>
      </c>
      <c r="O2182" t="s">
        <v>177</v>
      </c>
      <c r="P2182">
        <v>2.708172382043077E-2</v>
      </c>
      <c r="Q2182" t="s">
        <v>177</v>
      </c>
      <c r="R2182">
        <v>5.8886743768081715E-3</v>
      </c>
      <c r="S2182" t="s">
        <v>178</v>
      </c>
      <c r="T2182">
        <v>6.5940796394477877E-2</v>
      </c>
      <c r="U2182" t="s">
        <v>90</v>
      </c>
      <c r="V2182">
        <v>0</v>
      </c>
      <c r="W2182" t="s">
        <v>90</v>
      </c>
      <c r="X2182">
        <v>0</v>
      </c>
      <c r="Y2182">
        <v>0.64841783121236585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K2182" t="s">
        <v>7325</v>
      </c>
      <c r="AM2182">
        <v>400000</v>
      </c>
      <c r="AN2182" t="s">
        <v>97</v>
      </c>
      <c r="AO2182">
        <v>2</v>
      </c>
      <c r="AP2182">
        <v>0</v>
      </c>
      <c r="AQ2182">
        <v>33333.333333333336</v>
      </c>
      <c r="AR2182" t="s">
        <v>7338</v>
      </c>
      <c r="AS2182" t="s">
        <v>75</v>
      </c>
      <c r="AW2182">
        <v>0</v>
      </c>
      <c r="AX2182" t="s">
        <v>76</v>
      </c>
      <c r="AY2182" t="s">
        <v>176</v>
      </c>
      <c r="AZ2182">
        <v>0</v>
      </c>
      <c r="BA2182" t="s">
        <v>176</v>
      </c>
      <c r="BB2182">
        <v>0</v>
      </c>
    </row>
    <row r="2183" spans="1:56" x14ac:dyDescent="0.15">
      <c r="A2183" s="4" t="str">
        <f>HYPERLINK("https://ibp.a2mac1.com/costing(costing:projects/details/9760/part/8417269)","Part 01 (single/main)")</f>
        <v>Part 01 (single/main)</v>
      </c>
      <c r="B2183">
        <v>8417269</v>
      </c>
      <c r="C2183">
        <v>8416862</v>
      </c>
      <c r="E2183">
        <v>1.3113889738461539</v>
      </c>
      <c r="F2183">
        <v>0</v>
      </c>
      <c r="G2183">
        <v>0</v>
      </c>
      <c r="H2183">
        <v>1.6117629846153846E-4</v>
      </c>
      <c r="I2183" t="s">
        <v>176</v>
      </c>
      <c r="J2183">
        <v>5.1283367692307694E-2</v>
      </c>
      <c r="K2183">
        <v>1.3628335178369231</v>
      </c>
      <c r="L2183">
        <v>1.6357428824467144E-2</v>
      </c>
      <c r="M2183">
        <v>9.8144572946802858E-2</v>
      </c>
      <c r="N2183">
        <v>1.460978090783726</v>
      </c>
      <c r="O2183" t="s">
        <v>177</v>
      </c>
      <c r="P2183">
        <v>8.1770011070215379E-2</v>
      </c>
      <c r="Q2183" t="s">
        <v>177</v>
      </c>
      <c r="R2183">
        <v>5.8886743768081715E-3</v>
      </c>
      <c r="S2183" t="s">
        <v>178</v>
      </c>
      <c r="T2183">
        <v>0.17531737089404711</v>
      </c>
      <c r="U2183" t="s">
        <v>90</v>
      </c>
      <c r="V2183">
        <v>0</v>
      </c>
      <c r="W2183" t="s">
        <v>90</v>
      </c>
      <c r="X2183">
        <v>0</v>
      </c>
      <c r="Y2183">
        <v>1.7239541471247966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K2183" t="s">
        <v>7325</v>
      </c>
      <c r="AM2183">
        <v>400000</v>
      </c>
      <c r="AN2183" t="s">
        <v>97</v>
      </c>
      <c r="AO2183">
        <v>2</v>
      </c>
      <c r="AP2183">
        <v>0</v>
      </c>
      <c r="AQ2183">
        <v>33333.333333333336</v>
      </c>
      <c r="AR2183" t="s">
        <v>7345</v>
      </c>
      <c r="AS2183" t="s">
        <v>75</v>
      </c>
      <c r="AW2183">
        <v>0</v>
      </c>
      <c r="AX2183" t="s">
        <v>76</v>
      </c>
      <c r="AY2183" t="s">
        <v>176</v>
      </c>
      <c r="AZ2183">
        <v>0</v>
      </c>
      <c r="BA2183" t="s">
        <v>176</v>
      </c>
      <c r="BB2183">
        <v>0</v>
      </c>
    </row>
    <row r="2184" spans="1:56" x14ac:dyDescent="0.15">
      <c r="A2184" s="4" t="str">
        <f>HYPERLINK("https://ibp.a2mac1.com/costing(costing:projects/details/9760/part/8417270)","Part 01 (single/main)")</f>
        <v>Part 01 (single/main)</v>
      </c>
      <c r="B2184">
        <v>8417270</v>
      </c>
      <c r="C2184">
        <v>8416863</v>
      </c>
      <c r="E2184">
        <v>9.2588438461538455E-2</v>
      </c>
      <c r="F2184">
        <v>0</v>
      </c>
      <c r="G2184">
        <v>0</v>
      </c>
      <c r="H2184">
        <v>1.1379584615384615E-5</v>
      </c>
      <c r="I2184" t="s">
        <v>176</v>
      </c>
      <c r="J2184">
        <v>3.6207769230769231E-3</v>
      </c>
      <c r="K2184">
        <v>9.6220594969230772E-2</v>
      </c>
      <c r="L2184">
        <v>1.0563353023009073E-2</v>
      </c>
      <c r="M2184">
        <v>6.3380118138054442E-2</v>
      </c>
      <c r="N2184">
        <v>0.15960071310728521</v>
      </c>
      <c r="O2184" t="s">
        <v>177</v>
      </c>
      <c r="P2184">
        <v>5.7732356981538462E-3</v>
      </c>
      <c r="Q2184" t="s">
        <v>177</v>
      </c>
      <c r="R2184">
        <v>3.8028070882832666E-3</v>
      </c>
      <c r="S2184" t="s">
        <v>178</v>
      </c>
      <c r="T2184">
        <v>1.9152085572874226E-2</v>
      </c>
      <c r="U2184" t="s">
        <v>90</v>
      </c>
      <c r="V2184">
        <v>0</v>
      </c>
      <c r="W2184" t="s">
        <v>90</v>
      </c>
      <c r="X2184">
        <v>0</v>
      </c>
      <c r="Y2184">
        <v>0.18832884146659654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K2184" t="s">
        <v>7325</v>
      </c>
      <c r="AM2184">
        <v>400000</v>
      </c>
      <c r="AN2184" t="s">
        <v>97</v>
      </c>
      <c r="AO2184">
        <v>2</v>
      </c>
      <c r="AP2184">
        <v>0</v>
      </c>
      <c r="AQ2184">
        <v>33333.333333333336</v>
      </c>
      <c r="AR2184" t="s">
        <v>7351</v>
      </c>
      <c r="AS2184" t="s">
        <v>75</v>
      </c>
      <c r="AW2184">
        <v>0</v>
      </c>
      <c r="AX2184" t="s">
        <v>76</v>
      </c>
      <c r="AY2184" t="s">
        <v>176</v>
      </c>
      <c r="AZ2184">
        <v>0</v>
      </c>
      <c r="BA2184" t="s">
        <v>176</v>
      </c>
      <c r="BB2184">
        <v>0</v>
      </c>
    </row>
    <row r="2185" spans="1:56" x14ac:dyDescent="0.15">
      <c r="A2185" s="4" t="str">
        <f>HYPERLINK("https://ibp.a2mac1.com/costing(costing:projects/details/9760/part/8417271)","Part 01 (single/main)")</f>
        <v>Part 01 (single/main)</v>
      </c>
      <c r="B2185">
        <v>8417271</v>
      </c>
      <c r="C2185">
        <v>8416871</v>
      </c>
      <c r="E2185">
        <v>0.74036580666666663</v>
      </c>
      <c r="F2185">
        <v>0</v>
      </c>
      <c r="G2185">
        <v>0</v>
      </c>
      <c r="H2185">
        <v>1.1205536533333334E-4</v>
      </c>
      <c r="I2185" t="s">
        <v>176</v>
      </c>
      <c r="J2185">
        <v>2.8013841333333334E-2</v>
      </c>
      <c r="K2185">
        <v>0.76849170336533335</v>
      </c>
      <c r="L2185">
        <v>5.1910920237535282E-2</v>
      </c>
      <c r="M2185">
        <v>0.31146552142521172</v>
      </c>
      <c r="N2185">
        <v>1.0799572247905451</v>
      </c>
      <c r="O2185" t="s">
        <v>177</v>
      </c>
      <c r="P2185">
        <v>4.6109502201919998E-2</v>
      </c>
      <c r="Q2185" t="s">
        <v>177</v>
      </c>
      <c r="R2185">
        <v>1.8687931285512702E-2</v>
      </c>
      <c r="S2185" t="s">
        <v>178</v>
      </c>
      <c r="T2185">
        <v>0.12959486697486541</v>
      </c>
      <c r="U2185" t="s">
        <v>90</v>
      </c>
      <c r="V2185">
        <v>0</v>
      </c>
      <c r="W2185" t="s">
        <v>90</v>
      </c>
      <c r="X2185">
        <v>0</v>
      </c>
      <c r="Y2185">
        <v>1.2743495252528432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K2185" t="s">
        <v>7325</v>
      </c>
      <c r="AM2185">
        <v>200000</v>
      </c>
      <c r="AN2185" t="s">
        <v>97</v>
      </c>
      <c r="AO2185">
        <v>1</v>
      </c>
      <c r="AP2185">
        <v>0</v>
      </c>
      <c r="AQ2185">
        <v>16666.666666666668</v>
      </c>
      <c r="AR2185" t="s">
        <v>7360</v>
      </c>
      <c r="AS2185" t="s">
        <v>75</v>
      </c>
      <c r="AW2185">
        <v>0</v>
      </c>
      <c r="AX2185" t="s">
        <v>76</v>
      </c>
      <c r="AY2185" t="s">
        <v>176</v>
      </c>
      <c r="AZ2185">
        <v>0</v>
      </c>
      <c r="BA2185" t="s">
        <v>176</v>
      </c>
      <c r="BB2185">
        <v>0</v>
      </c>
    </row>
    <row r="2186" spans="1:56" x14ac:dyDescent="0.15">
      <c r="A2186" s="4" t="str">
        <f>HYPERLINK("https://ibp.a2mac1.com/costing(costing:projects/details/9760/part/8417272)","Part 02")</f>
        <v>Part 02</v>
      </c>
      <c r="B2186">
        <v>8417272</v>
      </c>
      <c r="C2186">
        <v>8416871</v>
      </c>
      <c r="E2186">
        <v>1.0856688000000001</v>
      </c>
      <c r="F2186">
        <v>0</v>
      </c>
      <c r="G2186">
        <v>0</v>
      </c>
      <c r="H2186">
        <v>1.6431744000000001E-4</v>
      </c>
      <c r="I2186" t="s">
        <v>176</v>
      </c>
      <c r="J2186">
        <v>4.1079360000000002E-2</v>
      </c>
      <c r="K2186">
        <v>1.1269124774399999</v>
      </c>
      <c r="L2186">
        <v>5.1910920237535282E-2</v>
      </c>
      <c r="M2186">
        <v>0.31146552142521172</v>
      </c>
      <c r="N2186">
        <v>1.4383779988652117</v>
      </c>
      <c r="O2186" t="s">
        <v>177</v>
      </c>
      <c r="P2186">
        <v>6.7614748646400005E-2</v>
      </c>
      <c r="Q2186" t="s">
        <v>177</v>
      </c>
      <c r="R2186">
        <v>1.8687931285512702E-2</v>
      </c>
      <c r="S2186" t="s">
        <v>178</v>
      </c>
      <c r="T2186">
        <v>0.17260535986382541</v>
      </c>
      <c r="U2186" t="s">
        <v>90</v>
      </c>
      <c r="V2186">
        <v>0</v>
      </c>
      <c r="W2186" t="s">
        <v>90</v>
      </c>
      <c r="X2186">
        <v>0</v>
      </c>
      <c r="Y2186">
        <v>1.6972860386609498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K2186" t="s">
        <v>7325</v>
      </c>
      <c r="AM2186">
        <v>200000</v>
      </c>
      <c r="AN2186" t="s">
        <v>97</v>
      </c>
      <c r="AO2186">
        <v>1</v>
      </c>
      <c r="AP2186">
        <v>0</v>
      </c>
      <c r="AQ2186">
        <v>16666.666666666668</v>
      </c>
      <c r="AR2186" t="s">
        <v>7365</v>
      </c>
      <c r="AS2186" t="s">
        <v>75</v>
      </c>
      <c r="AW2186">
        <v>0</v>
      </c>
      <c r="AX2186" t="s">
        <v>76</v>
      </c>
      <c r="AY2186" t="s">
        <v>176</v>
      </c>
      <c r="AZ2186">
        <v>0</v>
      </c>
      <c r="BA2186" t="s">
        <v>176</v>
      </c>
      <c r="BB2186">
        <v>0</v>
      </c>
    </row>
    <row r="2187" spans="1:56" x14ac:dyDescent="0.15">
      <c r="A2187" s="4" t="str">
        <f>HYPERLINK("https://ibp.a2mac1.com/costing(costing:projects/details/9760/part/8417273)","Part 01 (single/main)")</f>
        <v>Part 01 (single/main)</v>
      </c>
      <c r="B2187">
        <v>8417273</v>
      </c>
      <c r="C2187">
        <v>8416872</v>
      </c>
      <c r="E2187">
        <v>0.60555378000000004</v>
      </c>
      <c r="F2187">
        <v>0</v>
      </c>
      <c r="G2187">
        <v>0</v>
      </c>
      <c r="H2187">
        <v>7.3198808571428575E-5</v>
      </c>
      <c r="I2187" t="s">
        <v>176</v>
      </c>
      <c r="J2187">
        <v>2.329053E-2</v>
      </c>
      <c r="K2187">
        <v>0.62891750880857145</v>
      </c>
      <c r="L2187">
        <v>1.6357428824467144E-2</v>
      </c>
      <c r="M2187">
        <v>9.8144572946802858E-2</v>
      </c>
      <c r="N2187">
        <v>0.72706208175537435</v>
      </c>
      <c r="O2187" t="s">
        <v>177</v>
      </c>
      <c r="P2187">
        <v>3.7735050528514287E-2</v>
      </c>
      <c r="Q2187" t="s">
        <v>177</v>
      </c>
      <c r="R2187">
        <v>5.8886743768081715E-3</v>
      </c>
      <c r="S2187" t="s">
        <v>178</v>
      </c>
      <c r="T2187">
        <v>8.7247449810644917E-2</v>
      </c>
      <c r="U2187" t="s">
        <v>90</v>
      </c>
      <c r="V2187">
        <v>0</v>
      </c>
      <c r="W2187" t="s">
        <v>90</v>
      </c>
      <c r="X2187">
        <v>0</v>
      </c>
      <c r="Y2187">
        <v>0.85793325647134167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K2187" t="s">
        <v>7325</v>
      </c>
      <c r="AM2187">
        <v>400000</v>
      </c>
      <c r="AN2187" t="s">
        <v>97</v>
      </c>
      <c r="AO2187">
        <v>2</v>
      </c>
      <c r="AP2187">
        <v>0</v>
      </c>
      <c r="AQ2187">
        <v>33333.333333333336</v>
      </c>
      <c r="AR2187" t="s">
        <v>7372</v>
      </c>
      <c r="AS2187" t="s">
        <v>75</v>
      </c>
      <c r="AW2187">
        <v>0</v>
      </c>
      <c r="AX2187" t="s">
        <v>76</v>
      </c>
      <c r="AY2187" t="s">
        <v>176</v>
      </c>
      <c r="AZ2187">
        <v>0</v>
      </c>
      <c r="BA2187" t="s">
        <v>176</v>
      </c>
      <c r="BB2187">
        <v>0</v>
      </c>
    </row>
    <row r="2188" spans="1:56" x14ac:dyDescent="0.15">
      <c r="A2188" s="4" t="str">
        <f>HYPERLINK("https://ibp.a2mac1.com/costing(costing:projects/details/9760/part/8416873)","Part 01 (single/main)")</f>
        <v>Part 01 (single/main)</v>
      </c>
      <c r="B2188">
        <v>8416873</v>
      </c>
      <c r="C2188">
        <v>8416579</v>
      </c>
      <c r="E2188">
        <v>1.2103740000000001</v>
      </c>
      <c r="F2188">
        <v>0</v>
      </c>
      <c r="G2188">
        <v>0</v>
      </c>
      <c r="H2188">
        <v>1.9255950000000001E-4</v>
      </c>
      <c r="I2188" t="s">
        <v>176</v>
      </c>
      <c r="J2188">
        <v>4.8139874999999999E-2</v>
      </c>
      <c r="K2188">
        <v>1.2587064345000001</v>
      </c>
      <c r="L2188">
        <v>6.2248268758096685E-2</v>
      </c>
      <c r="M2188">
        <v>0.3734896125485801</v>
      </c>
      <c r="N2188">
        <v>1.6321960470485801</v>
      </c>
      <c r="O2188" t="s">
        <v>177</v>
      </c>
      <c r="P2188">
        <v>7.5522386070000003E-2</v>
      </c>
      <c r="Q2188" t="s">
        <v>177</v>
      </c>
      <c r="R2188">
        <v>2.2409376752914805E-2</v>
      </c>
      <c r="S2188" t="s">
        <v>178</v>
      </c>
      <c r="T2188">
        <v>0.19586352564582962</v>
      </c>
      <c r="U2188" t="s">
        <v>90</v>
      </c>
      <c r="V2188">
        <v>0</v>
      </c>
      <c r="W2188" t="s">
        <v>90</v>
      </c>
      <c r="X2188">
        <v>0</v>
      </c>
      <c r="Y2188">
        <v>1.9259913355173246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K2188" t="s">
        <v>7325</v>
      </c>
      <c r="AM2188">
        <v>200000</v>
      </c>
      <c r="AN2188" t="s">
        <v>97</v>
      </c>
      <c r="AO2188">
        <v>1</v>
      </c>
      <c r="AP2188">
        <v>0</v>
      </c>
      <c r="AQ2188">
        <v>16666.666666666668</v>
      </c>
      <c r="AR2188" t="s">
        <v>7384</v>
      </c>
      <c r="AS2188" t="s">
        <v>75</v>
      </c>
      <c r="AW2188">
        <v>0</v>
      </c>
      <c r="AX2188" t="s">
        <v>76</v>
      </c>
      <c r="AY2188" t="s">
        <v>176</v>
      </c>
      <c r="AZ2188">
        <v>0</v>
      </c>
      <c r="BA2188" t="s">
        <v>176</v>
      </c>
      <c r="BB2188">
        <v>0</v>
      </c>
    </row>
    <row r="2189" spans="1:56" x14ac:dyDescent="0.15">
      <c r="A2189" s="4" t="str">
        <f>HYPERLINK("https://ibp.a2mac1.com/costing(costing:projects/details/9760/part/8416874)","Part 01 (single/main)")</f>
        <v>Part 01 (single/main)</v>
      </c>
      <c r="B2189">
        <v>8416874</v>
      </c>
      <c r="C2189">
        <v>8416580</v>
      </c>
      <c r="E2189">
        <v>7.9468999999999998E-2</v>
      </c>
      <c r="F2189">
        <v>0</v>
      </c>
      <c r="G2189">
        <v>0</v>
      </c>
      <c r="H2189">
        <v>9.6061428571428574E-6</v>
      </c>
      <c r="I2189" t="s">
        <v>176</v>
      </c>
      <c r="J2189">
        <v>3.0565000000000002E-3</v>
      </c>
      <c r="K2189">
        <v>8.253510614285714E-2</v>
      </c>
      <c r="L2189">
        <v>7.20131041548276E-3</v>
      </c>
      <c r="M2189">
        <v>4.3207862492896557E-2</v>
      </c>
      <c r="N2189">
        <v>0.12574296863575371</v>
      </c>
      <c r="O2189" t="s">
        <v>177</v>
      </c>
      <c r="P2189">
        <v>4.952106368571429E-3</v>
      </c>
      <c r="Q2189" t="s">
        <v>177</v>
      </c>
      <c r="R2189">
        <v>2.5924717495737935E-3</v>
      </c>
      <c r="S2189" t="s">
        <v>178</v>
      </c>
      <c r="T2189">
        <v>1.5089156236290445E-2</v>
      </c>
      <c r="U2189" t="s">
        <v>90</v>
      </c>
      <c r="V2189">
        <v>0</v>
      </c>
      <c r="W2189" t="s">
        <v>90</v>
      </c>
      <c r="X2189">
        <v>0</v>
      </c>
      <c r="Y2189">
        <v>0.14837670299018937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K2189" t="s">
        <v>7325</v>
      </c>
      <c r="AM2189">
        <v>400000</v>
      </c>
      <c r="AN2189" t="s">
        <v>97</v>
      </c>
      <c r="AO2189">
        <v>2</v>
      </c>
      <c r="AP2189">
        <v>0</v>
      </c>
      <c r="AQ2189">
        <v>33333.333333333336</v>
      </c>
      <c r="AR2189" t="s">
        <v>7390</v>
      </c>
      <c r="AS2189" t="s">
        <v>75</v>
      </c>
      <c r="AW2189">
        <v>0</v>
      </c>
      <c r="AX2189" t="s">
        <v>76</v>
      </c>
      <c r="AY2189" t="s">
        <v>176</v>
      </c>
      <c r="AZ2189">
        <v>0</v>
      </c>
      <c r="BA2189" t="s">
        <v>176</v>
      </c>
      <c r="BB2189">
        <v>0</v>
      </c>
    </row>
    <row r="2190" spans="1:56" x14ac:dyDescent="0.15">
      <c r="A2190" s="4" t="str">
        <f>HYPERLINK("https://ibp.a2mac1.com/costing(costing:projects/details/9760/part/8416875)","Part 01 (single/main)")</f>
        <v>Part 01 (single/main)</v>
      </c>
      <c r="B2190">
        <v>8416875</v>
      </c>
      <c r="C2190">
        <v>8416581</v>
      </c>
      <c r="E2190">
        <v>0.27973088000000002</v>
      </c>
      <c r="F2190">
        <v>0</v>
      </c>
      <c r="G2190">
        <v>0</v>
      </c>
      <c r="H2190">
        <v>4.303552E-5</v>
      </c>
      <c r="I2190" t="s">
        <v>176</v>
      </c>
      <c r="J2190">
        <v>1.075888E-2</v>
      </c>
      <c r="K2190">
        <v>0.29053279552</v>
      </c>
      <c r="L2190">
        <v>2.2267682204090936E-2</v>
      </c>
      <c r="M2190">
        <v>0.13360609322454561</v>
      </c>
      <c r="N2190">
        <v>0.42413888874454558</v>
      </c>
      <c r="O2190" t="s">
        <v>177</v>
      </c>
      <c r="P2190">
        <v>1.7431967731199999E-2</v>
      </c>
      <c r="Q2190" t="s">
        <v>177</v>
      </c>
      <c r="R2190">
        <v>8.0163655934727355E-3</v>
      </c>
      <c r="S2190" t="s">
        <v>178</v>
      </c>
      <c r="T2190">
        <v>5.0896666649345473E-2</v>
      </c>
      <c r="U2190" t="s">
        <v>90</v>
      </c>
      <c r="V2190">
        <v>0</v>
      </c>
      <c r="W2190" t="s">
        <v>90</v>
      </c>
      <c r="X2190">
        <v>0</v>
      </c>
      <c r="Y2190">
        <v>0.50048388871856386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K2190" t="s">
        <v>7325</v>
      </c>
      <c r="AM2190">
        <v>200000</v>
      </c>
      <c r="AN2190" t="s">
        <v>97</v>
      </c>
      <c r="AO2190">
        <v>1</v>
      </c>
      <c r="AP2190">
        <v>0</v>
      </c>
      <c r="AQ2190">
        <v>16666.666666666668</v>
      </c>
      <c r="AR2190" t="s">
        <v>7396</v>
      </c>
      <c r="AS2190" t="s">
        <v>75</v>
      </c>
      <c r="AW2190">
        <v>0</v>
      </c>
      <c r="AX2190" t="s">
        <v>76</v>
      </c>
      <c r="AY2190" t="s">
        <v>176</v>
      </c>
      <c r="AZ2190">
        <v>0</v>
      </c>
      <c r="BA2190" t="s">
        <v>176</v>
      </c>
      <c r="BB2190">
        <v>0</v>
      </c>
    </row>
    <row r="2191" spans="1:56" x14ac:dyDescent="0.15">
      <c r="A2191" s="4" t="str">
        <f>HYPERLINK("https://ibp.a2mac1.com/costing(costing:projects/details/9760/part/8416876)","Part 02")</f>
        <v>Part 02</v>
      </c>
      <c r="B2191">
        <v>8416876</v>
      </c>
      <c r="C2191">
        <v>8416581</v>
      </c>
      <c r="E2191">
        <v>4.7681399999999999E-2</v>
      </c>
      <c r="F2191">
        <v>0</v>
      </c>
      <c r="G2191">
        <v>0</v>
      </c>
      <c r="H2191">
        <v>5.7636857142857144E-6</v>
      </c>
      <c r="I2191" t="s">
        <v>176</v>
      </c>
      <c r="J2191">
        <v>1.8339000000000001E-3</v>
      </c>
      <c r="K2191">
        <v>4.9521063685714288E-2</v>
      </c>
      <c r="L2191">
        <v>7.20131041548276E-3</v>
      </c>
      <c r="M2191">
        <v>4.3207862492896557E-2</v>
      </c>
      <c r="N2191">
        <v>9.2728926178610838E-2</v>
      </c>
      <c r="O2191" t="s">
        <v>177</v>
      </c>
      <c r="P2191">
        <v>2.9712638211428573E-3</v>
      </c>
      <c r="Q2191" t="s">
        <v>177</v>
      </c>
      <c r="R2191">
        <v>2.5924717495737935E-3</v>
      </c>
      <c r="S2191" t="s">
        <v>178</v>
      </c>
      <c r="T2191">
        <v>1.1127471141433301E-2</v>
      </c>
      <c r="U2191" t="s">
        <v>90</v>
      </c>
      <c r="V2191">
        <v>0</v>
      </c>
      <c r="W2191" t="s">
        <v>90</v>
      </c>
      <c r="X2191">
        <v>0</v>
      </c>
      <c r="Y2191">
        <v>0.1094201328907608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K2191" t="s">
        <v>7325</v>
      </c>
      <c r="AM2191">
        <v>400000</v>
      </c>
      <c r="AN2191" t="s">
        <v>97</v>
      </c>
      <c r="AO2191">
        <v>2</v>
      </c>
      <c r="AP2191">
        <v>0</v>
      </c>
      <c r="AQ2191">
        <v>33333.333333333336</v>
      </c>
      <c r="AR2191" t="s">
        <v>7401</v>
      </c>
      <c r="AS2191" t="s">
        <v>75</v>
      </c>
      <c r="AW2191">
        <v>0</v>
      </c>
      <c r="AX2191" t="s">
        <v>76</v>
      </c>
      <c r="AY2191" t="s">
        <v>176</v>
      </c>
      <c r="AZ2191">
        <v>0</v>
      </c>
      <c r="BA2191" t="s">
        <v>176</v>
      </c>
      <c r="BB2191">
        <v>0</v>
      </c>
    </row>
    <row r="2192" spans="1:56" x14ac:dyDescent="0.15">
      <c r="A2192" s="4" t="str">
        <f>HYPERLINK("https://ibp.a2mac1.com/costing(costing:projects/details/9760/part/8416877)","Part 03")</f>
        <v>Part 03</v>
      </c>
      <c r="B2192">
        <v>8416877</v>
      </c>
      <c r="C2192">
        <v>8416581</v>
      </c>
      <c r="E2192">
        <v>2.860884E-2</v>
      </c>
      <c r="F2192">
        <v>0</v>
      </c>
      <c r="G2192">
        <v>0</v>
      </c>
      <c r="H2192">
        <v>3.4582114285714285E-6</v>
      </c>
      <c r="I2192" t="s">
        <v>176</v>
      </c>
      <c r="J2192">
        <v>1.10034E-3</v>
      </c>
      <c r="K2192">
        <v>2.9712638211428572E-2</v>
      </c>
      <c r="L2192">
        <v>7.20131041548276E-3</v>
      </c>
      <c r="M2192">
        <v>4.3207862492896557E-2</v>
      </c>
      <c r="N2192">
        <v>7.2920500704325125E-2</v>
      </c>
      <c r="O2192" t="s">
        <v>177</v>
      </c>
      <c r="P2192">
        <v>1.7827582926857144E-3</v>
      </c>
      <c r="Q2192" t="s">
        <v>177</v>
      </c>
      <c r="R2192">
        <v>2.5924717495737935E-3</v>
      </c>
      <c r="S2192" t="s">
        <v>178</v>
      </c>
      <c r="T2192">
        <v>8.7504600845190149E-3</v>
      </c>
      <c r="U2192" t="s">
        <v>90</v>
      </c>
      <c r="V2192">
        <v>0</v>
      </c>
      <c r="W2192" t="s">
        <v>90</v>
      </c>
      <c r="X2192">
        <v>0</v>
      </c>
      <c r="Y2192">
        <v>8.6046190831103653E-2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K2192" t="s">
        <v>7325</v>
      </c>
      <c r="AM2192">
        <v>400000</v>
      </c>
      <c r="AN2192" t="s">
        <v>97</v>
      </c>
      <c r="AO2192">
        <v>2</v>
      </c>
      <c r="AP2192">
        <v>0</v>
      </c>
      <c r="AQ2192">
        <v>33333.333333333336</v>
      </c>
      <c r="AR2192" t="s">
        <v>7405</v>
      </c>
      <c r="AS2192" t="s">
        <v>75</v>
      </c>
      <c r="AW2192">
        <v>0</v>
      </c>
      <c r="AX2192" t="s">
        <v>76</v>
      </c>
      <c r="AY2192" t="s">
        <v>176</v>
      </c>
      <c r="AZ2192">
        <v>0</v>
      </c>
      <c r="BA2192" t="s">
        <v>176</v>
      </c>
      <c r="BB2192">
        <v>0</v>
      </c>
    </row>
    <row r="2193" spans="1:54" x14ac:dyDescent="0.15">
      <c r="A2193" s="4" t="str">
        <f>HYPERLINK("https://ibp.a2mac1.com/costing(costing:projects/details/9760/part/8416878)","Part 04")</f>
        <v>Part 04</v>
      </c>
      <c r="B2193">
        <v>8416878</v>
      </c>
      <c r="C2193">
        <v>8416581</v>
      </c>
      <c r="E2193">
        <v>6.9932720000000004E-2</v>
      </c>
      <c r="F2193">
        <v>0</v>
      </c>
      <c r="G2193">
        <v>0</v>
      </c>
      <c r="H2193">
        <v>8.4534057142857148E-6</v>
      </c>
      <c r="I2193" t="s">
        <v>176</v>
      </c>
      <c r="J2193">
        <v>2.68972E-3</v>
      </c>
      <c r="K2193">
        <v>7.2630893405714284E-2</v>
      </c>
      <c r="L2193">
        <v>7.20131041548276E-3</v>
      </c>
      <c r="M2193">
        <v>4.3207862492896557E-2</v>
      </c>
      <c r="N2193">
        <v>0.11583875589861084</v>
      </c>
      <c r="O2193" t="s">
        <v>177</v>
      </c>
      <c r="P2193">
        <v>4.3578536043428571E-3</v>
      </c>
      <c r="Q2193" t="s">
        <v>177</v>
      </c>
      <c r="R2193">
        <v>2.5924717495737935E-3</v>
      </c>
      <c r="S2193" t="s">
        <v>178</v>
      </c>
      <c r="T2193">
        <v>1.3900650707833301E-2</v>
      </c>
      <c r="U2193" t="s">
        <v>90</v>
      </c>
      <c r="V2193">
        <v>0</v>
      </c>
      <c r="W2193" t="s">
        <v>90</v>
      </c>
      <c r="X2193">
        <v>0</v>
      </c>
      <c r="Y2193">
        <v>0.1366897319603608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K2193" t="s">
        <v>7325</v>
      </c>
      <c r="AM2193">
        <v>400000</v>
      </c>
      <c r="AN2193" t="s">
        <v>97</v>
      </c>
      <c r="AO2193">
        <v>2</v>
      </c>
      <c r="AP2193">
        <v>0</v>
      </c>
      <c r="AQ2193">
        <v>33333.333333333336</v>
      </c>
      <c r="AR2193" t="s">
        <v>7409</v>
      </c>
      <c r="AS2193" t="s">
        <v>75</v>
      </c>
      <c r="AW2193">
        <v>0</v>
      </c>
      <c r="AX2193" t="s">
        <v>76</v>
      </c>
      <c r="AY2193" t="s">
        <v>176</v>
      </c>
      <c r="AZ2193">
        <v>0</v>
      </c>
      <c r="BA2193" t="s">
        <v>176</v>
      </c>
      <c r="BB2193">
        <v>0</v>
      </c>
    </row>
    <row r="2194" spans="1:54" x14ac:dyDescent="0.15">
      <c r="A2194" s="4" t="str">
        <f>HYPERLINK("https://ibp.a2mac1.com/costing(costing:projects/details/9760/part/8416582)","Part 01 (single/main)")</f>
        <v>Part 01 (single/main)</v>
      </c>
      <c r="B2194">
        <v>8416582</v>
      </c>
      <c r="C2194">
        <v>8416410</v>
      </c>
      <c r="E2194">
        <v>6.9192457359999997</v>
      </c>
      <c r="F2194">
        <v>0</v>
      </c>
      <c r="G2194">
        <v>0</v>
      </c>
      <c r="H2194">
        <v>1.0644993439999999E-3</v>
      </c>
      <c r="I2194" t="s">
        <v>176</v>
      </c>
      <c r="J2194">
        <v>0.26612483599999998</v>
      </c>
      <c r="K2194">
        <v>7.1864350713440004</v>
      </c>
      <c r="L2194">
        <v>9.6559042747849308E-2</v>
      </c>
      <c r="M2194">
        <v>0.57935425648709582</v>
      </c>
      <c r="N2194">
        <v>7.7657893278310954</v>
      </c>
      <c r="O2194" t="s">
        <v>177</v>
      </c>
      <c r="P2194">
        <v>0.43118610428064003</v>
      </c>
      <c r="Q2194" t="s">
        <v>177</v>
      </c>
      <c r="R2194">
        <v>3.4761255389225747E-2</v>
      </c>
      <c r="S2194" t="s">
        <v>178</v>
      </c>
      <c r="T2194">
        <v>0.93189471933973145</v>
      </c>
      <c r="U2194" t="s">
        <v>90</v>
      </c>
      <c r="V2194">
        <v>0</v>
      </c>
      <c r="W2194" t="s">
        <v>90</v>
      </c>
      <c r="X2194">
        <v>0</v>
      </c>
      <c r="Y2194">
        <v>9.1636314068406932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K2194" t="s">
        <v>7325</v>
      </c>
      <c r="AM2194">
        <v>200000</v>
      </c>
      <c r="AN2194" t="s">
        <v>97</v>
      </c>
      <c r="AO2194">
        <v>1</v>
      </c>
      <c r="AP2194">
        <v>0</v>
      </c>
      <c r="AQ2194">
        <v>16666.666666666668</v>
      </c>
      <c r="AR2194" t="s">
        <v>7419</v>
      </c>
      <c r="AS2194" t="s">
        <v>75</v>
      </c>
      <c r="AW2194">
        <v>0</v>
      </c>
      <c r="AX2194" t="s">
        <v>76</v>
      </c>
      <c r="AY2194" t="s">
        <v>176</v>
      </c>
      <c r="AZ2194">
        <v>0</v>
      </c>
      <c r="BA2194" t="s">
        <v>176</v>
      </c>
      <c r="BB2194">
        <v>0</v>
      </c>
    </row>
    <row r="2195" spans="1:54" x14ac:dyDescent="0.15">
      <c r="A2195" s="4" t="str">
        <f>HYPERLINK("https://ibp.a2mac1.com/costing(costing:projects/details/9760/part/8416583)","Part 02")</f>
        <v>Part 02</v>
      </c>
      <c r="B2195">
        <v>8416583</v>
      </c>
      <c r="C2195">
        <v>8416410</v>
      </c>
      <c r="E2195">
        <v>0.86191419076923081</v>
      </c>
      <c r="F2195">
        <v>0</v>
      </c>
      <c r="G2195">
        <v>0</v>
      </c>
      <c r="H2195">
        <v>1.0593358769230769E-4</v>
      </c>
      <c r="I2195" t="s">
        <v>176</v>
      </c>
      <c r="J2195">
        <v>3.3706141538461541E-2</v>
      </c>
      <c r="K2195">
        <v>0.89572626589538462</v>
      </c>
      <c r="L2195">
        <v>1.8524891664180389E-2</v>
      </c>
      <c r="M2195">
        <v>0.11114934998508233</v>
      </c>
      <c r="N2195">
        <v>1.006875615880467</v>
      </c>
      <c r="O2195" t="s">
        <v>177</v>
      </c>
      <c r="P2195">
        <v>5.3743575953723075E-2</v>
      </c>
      <c r="Q2195" t="s">
        <v>177</v>
      </c>
      <c r="R2195">
        <v>6.6689609991049401E-3</v>
      </c>
      <c r="S2195" t="s">
        <v>178</v>
      </c>
      <c r="T2195">
        <v>0.12082507390565603</v>
      </c>
      <c r="U2195" t="s">
        <v>90</v>
      </c>
      <c r="V2195">
        <v>0</v>
      </c>
      <c r="W2195" t="s">
        <v>90</v>
      </c>
      <c r="X2195">
        <v>0</v>
      </c>
      <c r="Y2195">
        <v>1.1881132267389509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K2195" t="s">
        <v>7325</v>
      </c>
      <c r="AM2195">
        <v>400000</v>
      </c>
      <c r="AN2195" t="s">
        <v>97</v>
      </c>
      <c r="AO2195">
        <v>2</v>
      </c>
      <c r="AP2195">
        <v>0</v>
      </c>
      <c r="AQ2195">
        <v>33333.333333333336</v>
      </c>
      <c r="AR2195" t="s">
        <v>7424</v>
      </c>
      <c r="AS2195" t="s">
        <v>75</v>
      </c>
      <c r="AW2195">
        <v>0</v>
      </c>
      <c r="AX2195" t="s">
        <v>76</v>
      </c>
      <c r="AY2195" t="s">
        <v>176</v>
      </c>
      <c r="AZ2195">
        <v>0</v>
      </c>
      <c r="BA2195" t="s">
        <v>176</v>
      </c>
      <c r="BB2195">
        <v>0</v>
      </c>
    </row>
    <row r="2196" spans="1:54" x14ac:dyDescent="0.15">
      <c r="A2196" s="4" t="str">
        <f>HYPERLINK("https://ibp.a2mac1.com/costing(costing:projects/details/9760/part/8416584)","Part 01 (single/main)")</f>
        <v>Part 01 (single/main)</v>
      </c>
      <c r="B2196">
        <v>8416584</v>
      </c>
      <c r="C2196">
        <v>8416411</v>
      </c>
      <c r="E2196">
        <v>0.23990468500000001</v>
      </c>
      <c r="F2196">
        <v>0</v>
      </c>
      <c r="G2196">
        <v>0</v>
      </c>
      <c r="H2196">
        <v>2.8073952499999999E-5</v>
      </c>
      <c r="I2196" t="s">
        <v>176</v>
      </c>
      <c r="J2196">
        <v>8.9326212499999998E-3</v>
      </c>
      <c r="K2196">
        <v>0.24886538020249999</v>
      </c>
      <c r="L2196">
        <v>9.3102457262997304E-3</v>
      </c>
      <c r="M2196">
        <v>5.5861474357798382E-2</v>
      </c>
      <c r="N2196">
        <v>0.30472685456029835</v>
      </c>
      <c r="O2196" t="s">
        <v>177</v>
      </c>
      <c r="P2196">
        <v>1.493192281215E-2</v>
      </c>
      <c r="Q2196" t="s">
        <v>177</v>
      </c>
      <c r="R2196">
        <v>3.3516884614679028E-3</v>
      </c>
      <c r="S2196" t="s">
        <v>178</v>
      </c>
      <c r="T2196">
        <v>3.6567222547235809E-2</v>
      </c>
      <c r="U2196" t="s">
        <v>90</v>
      </c>
      <c r="V2196">
        <v>0</v>
      </c>
      <c r="W2196" t="s">
        <v>90</v>
      </c>
      <c r="X2196">
        <v>0</v>
      </c>
      <c r="Y2196">
        <v>0.35957768838115206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K2196" t="s">
        <v>7325</v>
      </c>
      <c r="AM2196">
        <v>400000</v>
      </c>
      <c r="AN2196" t="s">
        <v>97</v>
      </c>
      <c r="AO2196">
        <v>2</v>
      </c>
      <c r="AP2196">
        <v>0</v>
      </c>
      <c r="AQ2196">
        <v>33333.333333333336</v>
      </c>
      <c r="AR2196" t="s">
        <v>7430</v>
      </c>
      <c r="AS2196" t="s">
        <v>75</v>
      </c>
      <c r="AW2196">
        <v>0</v>
      </c>
      <c r="AX2196" t="s">
        <v>76</v>
      </c>
      <c r="AY2196" t="s">
        <v>176</v>
      </c>
      <c r="AZ2196">
        <v>0</v>
      </c>
      <c r="BA2196" t="s">
        <v>176</v>
      </c>
      <c r="BB2196">
        <v>0</v>
      </c>
    </row>
    <row r="2197" spans="1:54" x14ac:dyDescent="0.15">
      <c r="A2197" s="4" t="str">
        <f>HYPERLINK("https://ibp.a2mac1.com/costing(costing:projects/details/9760/part/8416585)","Part 02")</f>
        <v>Part 02</v>
      </c>
      <c r="B2197">
        <v>8416585</v>
      </c>
      <c r="C2197">
        <v>8416411</v>
      </c>
      <c r="E2197">
        <v>6.9020472307692302E-2</v>
      </c>
      <c r="F2197">
        <v>0</v>
      </c>
      <c r="G2197">
        <v>0</v>
      </c>
      <c r="H2197">
        <v>8.4829630769230773E-6</v>
      </c>
      <c r="I2197" t="s">
        <v>176</v>
      </c>
      <c r="J2197">
        <v>2.6991246153846155E-3</v>
      </c>
      <c r="K2197">
        <v>7.1728079886153845E-2</v>
      </c>
      <c r="L2197">
        <v>7.20131041548276E-3</v>
      </c>
      <c r="M2197">
        <v>4.3207862492896557E-2</v>
      </c>
      <c r="N2197">
        <v>0.1149359423790504</v>
      </c>
      <c r="O2197" t="s">
        <v>177</v>
      </c>
      <c r="P2197">
        <v>4.3036847931692311E-3</v>
      </c>
      <c r="Q2197" t="s">
        <v>177</v>
      </c>
      <c r="R2197">
        <v>2.5924717495737935E-3</v>
      </c>
      <c r="S2197" t="s">
        <v>178</v>
      </c>
      <c r="T2197">
        <v>1.3792313085486049E-2</v>
      </c>
      <c r="U2197" t="s">
        <v>90</v>
      </c>
      <c r="V2197">
        <v>0</v>
      </c>
      <c r="W2197" t="s">
        <v>90</v>
      </c>
      <c r="X2197">
        <v>0</v>
      </c>
      <c r="Y2197">
        <v>0.13562441200727948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K2197" t="s">
        <v>7325</v>
      </c>
      <c r="AM2197">
        <v>400000</v>
      </c>
      <c r="AN2197" t="s">
        <v>97</v>
      </c>
      <c r="AO2197">
        <v>2</v>
      </c>
      <c r="AP2197">
        <v>0</v>
      </c>
      <c r="AQ2197">
        <v>33333.333333333336</v>
      </c>
      <c r="AR2197" t="s">
        <v>7434</v>
      </c>
      <c r="AS2197" t="s">
        <v>75</v>
      </c>
      <c r="AW2197">
        <v>0</v>
      </c>
      <c r="AX2197" t="s">
        <v>76</v>
      </c>
      <c r="AY2197" t="s">
        <v>176</v>
      </c>
      <c r="AZ2197">
        <v>0</v>
      </c>
      <c r="BA2197" t="s">
        <v>176</v>
      </c>
      <c r="BB2197">
        <v>0</v>
      </c>
    </row>
    <row r="2198" spans="1:54" x14ac:dyDescent="0.15">
      <c r="A2198" s="4" t="str">
        <f>HYPERLINK("https://ibp.a2mac1.com/costing(costing:projects/details/9760/part/8416586)","Part 03")</f>
        <v>Part 03</v>
      </c>
      <c r="B2198">
        <v>8416586</v>
      </c>
      <c r="C2198">
        <v>8416411</v>
      </c>
      <c r="E2198">
        <v>0.45957534</v>
      </c>
      <c r="F2198">
        <v>0</v>
      </c>
      <c r="G2198">
        <v>0</v>
      </c>
      <c r="H2198">
        <v>5.6484119999999998E-5</v>
      </c>
      <c r="I2198" t="s">
        <v>176</v>
      </c>
      <c r="J2198">
        <v>1.7972220000000001E-2</v>
      </c>
      <c r="K2198">
        <v>0.47760404412000002</v>
      </c>
      <c r="L2198">
        <v>9.3102457262997304E-3</v>
      </c>
      <c r="M2198">
        <v>5.5861474357798382E-2</v>
      </c>
      <c r="N2198">
        <v>0.53346551847779833</v>
      </c>
      <c r="O2198" t="s">
        <v>177</v>
      </c>
      <c r="P2198">
        <v>2.86562426472E-2</v>
      </c>
      <c r="Q2198" t="s">
        <v>177</v>
      </c>
      <c r="R2198">
        <v>3.3516884614679028E-3</v>
      </c>
      <c r="S2198" t="s">
        <v>178</v>
      </c>
      <c r="T2198">
        <v>6.4015862217335809E-2</v>
      </c>
      <c r="U2198" t="s">
        <v>90</v>
      </c>
      <c r="V2198">
        <v>0</v>
      </c>
      <c r="W2198" t="s">
        <v>90</v>
      </c>
      <c r="X2198">
        <v>0</v>
      </c>
      <c r="Y2198">
        <v>0.62948931180380208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K2198" t="s">
        <v>7325</v>
      </c>
      <c r="AM2198">
        <v>400000</v>
      </c>
      <c r="AN2198" t="s">
        <v>97</v>
      </c>
      <c r="AO2198">
        <v>2</v>
      </c>
      <c r="AP2198">
        <v>0</v>
      </c>
      <c r="AQ2198">
        <v>33333.333333333336</v>
      </c>
      <c r="AR2198" t="s">
        <v>7438</v>
      </c>
      <c r="AS2198" t="s">
        <v>75</v>
      </c>
      <c r="AW2198">
        <v>0</v>
      </c>
      <c r="AX2198" t="s">
        <v>76</v>
      </c>
      <c r="AY2198" t="s">
        <v>176</v>
      </c>
      <c r="AZ2198">
        <v>0</v>
      </c>
      <c r="BA2198" t="s">
        <v>176</v>
      </c>
      <c r="BB2198">
        <v>0</v>
      </c>
    </row>
    <row r="2199" spans="1:54" x14ac:dyDescent="0.15">
      <c r="A2199" s="4" t="str">
        <f>HYPERLINK("https://ibp.a2mac1.com/costing(costing:projects/details/9760/part/8416587)","Part 01 (single/main)")</f>
        <v>Part 01 (single/main)</v>
      </c>
      <c r="B2199">
        <v>8416587</v>
      </c>
      <c r="C2199">
        <v>8416412</v>
      </c>
      <c r="E2199">
        <v>1.5887279466666666</v>
      </c>
      <c r="F2199">
        <v>0</v>
      </c>
      <c r="G2199">
        <v>0</v>
      </c>
      <c r="H2199">
        <v>1.9859099333333332E-4</v>
      </c>
      <c r="I2199" t="s">
        <v>176</v>
      </c>
      <c r="J2199">
        <v>6.3188043333333332E-2</v>
      </c>
      <c r="K2199">
        <v>1.6521145809933333</v>
      </c>
      <c r="L2199">
        <v>1.8524891664180389E-2</v>
      </c>
      <c r="M2199">
        <v>0.11114934998508233</v>
      </c>
      <c r="N2199">
        <v>1.7632639309784157</v>
      </c>
      <c r="O2199" t="s">
        <v>177</v>
      </c>
      <c r="P2199">
        <v>9.9126874859600006E-2</v>
      </c>
      <c r="Q2199" t="s">
        <v>177</v>
      </c>
      <c r="R2199">
        <v>6.6689609991049401E-3</v>
      </c>
      <c r="S2199" t="s">
        <v>178</v>
      </c>
      <c r="T2199">
        <v>0.21159167171740989</v>
      </c>
      <c r="U2199" t="s">
        <v>90</v>
      </c>
      <c r="V2199">
        <v>0</v>
      </c>
      <c r="W2199" t="s">
        <v>90</v>
      </c>
      <c r="X2199">
        <v>0</v>
      </c>
      <c r="Y2199">
        <v>2.0806514385545305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K2199" t="s">
        <v>7325</v>
      </c>
      <c r="AM2199">
        <v>400000</v>
      </c>
      <c r="AN2199" t="s">
        <v>97</v>
      </c>
      <c r="AO2199">
        <v>2</v>
      </c>
      <c r="AP2199">
        <v>0</v>
      </c>
      <c r="AQ2199">
        <v>33333.333333333336</v>
      </c>
      <c r="AR2199" t="s">
        <v>7445</v>
      </c>
      <c r="AS2199" t="s">
        <v>75</v>
      </c>
      <c r="AW2199">
        <v>0</v>
      </c>
      <c r="AX2199" t="s">
        <v>76</v>
      </c>
      <c r="AY2199" t="s">
        <v>176</v>
      </c>
      <c r="AZ2199">
        <v>0</v>
      </c>
      <c r="BA2199" t="s">
        <v>176</v>
      </c>
      <c r="BB2199">
        <v>0</v>
      </c>
    </row>
    <row r="2200" spans="1:54" x14ac:dyDescent="0.15">
      <c r="A2200" s="4" t="str">
        <f>HYPERLINK("https://ibp.a2mac1.com/costing(costing:projects/details/9760/part/8416879)","Part 01 (single/main)")</f>
        <v>Part 01 (single/main)</v>
      </c>
      <c r="B2200">
        <v>8416879</v>
      </c>
      <c r="C2200">
        <v>8416588</v>
      </c>
      <c r="E2200">
        <v>2.6551741839999998</v>
      </c>
      <c r="F2200">
        <v>0</v>
      </c>
      <c r="G2200">
        <v>0</v>
      </c>
      <c r="H2200">
        <v>4.08488336E-4</v>
      </c>
      <c r="I2200" t="s">
        <v>176</v>
      </c>
      <c r="J2200">
        <v>0.102122084</v>
      </c>
      <c r="K2200">
        <v>2.757704756336</v>
      </c>
      <c r="L2200">
        <v>6.2248268758096685E-2</v>
      </c>
      <c r="M2200">
        <v>0.3734896125485801</v>
      </c>
      <c r="N2200">
        <v>3.13119436888458</v>
      </c>
      <c r="O2200" t="s">
        <v>177</v>
      </c>
      <c r="P2200">
        <v>0.16546228538016</v>
      </c>
      <c r="Q2200" t="s">
        <v>177</v>
      </c>
      <c r="R2200">
        <v>2.2409376752914805E-2</v>
      </c>
      <c r="S2200" t="s">
        <v>178</v>
      </c>
      <c r="T2200">
        <v>0.37574332426614959</v>
      </c>
      <c r="U2200" t="s">
        <v>90</v>
      </c>
      <c r="V2200">
        <v>0</v>
      </c>
      <c r="W2200" t="s">
        <v>90</v>
      </c>
      <c r="X2200">
        <v>0</v>
      </c>
      <c r="Y2200">
        <v>3.6948093552838044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K2200" t="s">
        <v>7325</v>
      </c>
      <c r="AM2200">
        <v>200000</v>
      </c>
      <c r="AN2200" t="s">
        <v>97</v>
      </c>
      <c r="AO2200">
        <v>1</v>
      </c>
      <c r="AP2200">
        <v>0</v>
      </c>
      <c r="AQ2200">
        <v>16666.666666666668</v>
      </c>
      <c r="AR2200" t="s">
        <v>7453</v>
      </c>
      <c r="AS2200" t="s">
        <v>75</v>
      </c>
      <c r="AW2200">
        <v>0</v>
      </c>
      <c r="AX2200" t="s">
        <v>76</v>
      </c>
      <c r="AY2200" t="s">
        <v>176</v>
      </c>
      <c r="AZ2200">
        <v>0</v>
      </c>
      <c r="BA2200" t="s">
        <v>176</v>
      </c>
      <c r="BB2200">
        <v>0</v>
      </c>
    </row>
    <row r="2201" spans="1:54" x14ac:dyDescent="0.15">
      <c r="A2201" s="4" t="str">
        <f>HYPERLINK("https://ibp.a2mac1.com/costing(costing:projects/details/9760/part/8416880)","Part 01 (single/main)")</f>
        <v>Part 01 (single/main)</v>
      </c>
      <c r="B2201">
        <v>8416880</v>
      </c>
      <c r="C2201">
        <v>8416589</v>
      </c>
      <c r="E2201">
        <v>0.14304420000000001</v>
      </c>
      <c r="F2201">
        <v>0</v>
      </c>
      <c r="G2201">
        <v>0</v>
      </c>
      <c r="H2201">
        <v>1.7291057142857142E-5</v>
      </c>
      <c r="I2201" t="s">
        <v>176</v>
      </c>
      <c r="J2201">
        <v>5.5017E-3</v>
      </c>
      <c r="K2201">
        <v>0.14856319105714286</v>
      </c>
      <c r="L2201">
        <v>7.20131041548276E-3</v>
      </c>
      <c r="M2201">
        <v>4.3207862492896557E-2</v>
      </c>
      <c r="N2201">
        <v>0.19177105355003943</v>
      </c>
      <c r="O2201" t="s">
        <v>177</v>
      </c>
      <c r="P2201">
        <v>8.9137914634285706E-3</v>
      </c>
      <c r="Q2201" t="s">
        <v>177</v>
      </c>
      <c r="R2201">
        <v>2.5924717495737935E-3</v>
      </c>
      <c r="S2201" t="s">
        <v>178</v>
      </c>
      <c r="T2201">
        <v>2.301252642600473E-2</v>
      </c>
      <c r="U2201" t="s">
        <v>90</v>
      </c>
      <c r="V2201">
        <v>0</v>
      </c>
      <c r="W2201" t="s">
        <v>90</v>
      </c>
      <c r="X2201">
        <v>0</v>
      </c>
      <c r="Y2201">
        <v>0.22628984318904652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K2201" t="s">
        <v>7325</v>
      </c>
      <c r="AM2201">
        <v>400000</v>
      </c>
      <c r="AN2201" t="s">
        <v>97</v>
      </c>
      <c r="AO2201">
        <v>2</v>
      </c>
      <c r="AP2201">
        <v>0</v>
      </c>
      <c r="AQ2201">
        <v>33333.333333333336</v>
      </c>
      <c r="AR2201" t="s">
        <v>7459</v>
      </c>
      <c r="AS2201" t="s">
        <v>75</v>
      </c>
      <c r="AW2201">
        <v>0</v>
      </c>
      <c r="AX2201" t="s">
        <v>76</v>
      </c>
      <c r="AY2201" t="s">
        <v>176</v>
      </c>
      <c r="AZ2201">
        <v>0</v>
      </c>
      <c r="BA2201" t="s">
        <v>176</v>
      </c>
      <c r="BB2201">
        <v>0</v>
      </c>
    </row>
    <row r="2202" spans="1:54" x14ac:dyDescent="0.15">
      <c r="A2202" s="4" t="str">
        <f>HYPERLINK("https://ibp.a2mac1.com/costing(costing:projects/details/9760/part/8416881)","Part 01 (single/main)")</f>
        <v>Part 01 (single/main)</v>
      </c>
      <c r="B2202">
        <v>8416881</v>
      </c>
      <c r="C2202">
        <v>8416590</v>
      </c>
      <c r="E2202">
        <v>0.72316789999999997</v>
      </c>
      <c r="F2202">
        <v>0</v>
      </c>
      <c r="G2202">
        <v>0</v>
      </c>
      <c r="H2202">
        <v>1.1125659999999999E-4</v>
      </c>
      <c r="I2202" t="s">
        <v>176</v>
      </c>
      <c r="J2202">
        <v>2.7814149999999999E-2</v>
      </c>
      <c r="K2202">
        <v>0.75109330659999995</v>
      </c>
      <c r="L2202">
        <v>5.1910920237535282E-2</v>
      </c>
      <c r="M2202">
        <v>0.31146552142521172</v>
      </c>
      <c r="N2202">
        <v>1.0625588280252116</v>
      </c>
      <c r="O2202" t="s">
        <v>177</v>
      </c>
      <c r="P2202">
        <v>4.5065598396000002E-2</v>
      </c>
      <c r="Q2202" t="s">
        <v>177</v>
      </c>
      <c r="R2202">
        <v>1.8687931285512702E-2</v>
      </c>
      <c r="S2202" t="s">
        <v>178</v>
      </c>
      <c r="T2202">
        <v>0.12750705936302539</v>
      </c>
      <c r="U2202" t="s">
        <v>90</v>
      </c>
      <c r="V2202">
        <v>0</v>
      </c>
      <c r="W2202" t="s">
        <v>90</v>
      </c>
      <c r="X2202">
        <v>0</v>
      </c>
      <c r="Y2202">
        <v>1.2538194170697499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K2202" t="s">
        <v>7325</v>
      </c>
      <c r="AM2202">
        <v>200000</v>
      </c>
      <c r="AN2202" t="s">
        <v>97</v>
      </c>
      <c r="AO2202">
        <v>1</v>
      </c>
      <c r="AP2202">
        <v>0</v>
      </c>
      <c r="AQ2202">
        <v>16666.666666666668</v>
      </c>
      <c r="AR2202" t="s">
        <v>7467</v>
      </c>
      <c r="AS2202" t="s">
        <v>75</v>
      </c>
      <c r="AW2202">
        <v>0</v>
      </c>
      <c r="AX2202" t="s">
        <v>76</v>
      </c>
      <c r="AY2202" t="s">
        <v>176</v>
      </c>
      <c r="AZ2202">
        <v>0</v>
      </c>
      <c r="BA2202" t="s">
        <v>176</v>
      </c>
      <c r="BB2202">
        <v>0</v>
      </c>
    </row>
    <row r="2203" spans="1:54" x14ac:dyDescent="0.15">
      <c r="A2203" s="4" t="str">
        <f>HYPERLINK("https://ibp.a2mac1.com/costing(costing:projects/details/9760/part/8416591)","Part 01 (single/main)")</f>
        <v>Part 01 (single/main)</v>
      </c>
      <c r="B2203">
        <v>8416591</v>
      </c>
      <c r="C2203">
        <v>8416415</v>
      </c>
      <c r="E2203">
        <v>1.003640772923077</v>
      </c>
      <c r="F2203">
        <v>0</v>
      </c>
      <c r="G2203">
        <v>0</v>
      </c>
      <c r="H2203">
        <v>1.2335249723076922E-4</v>
      </c>
      <c r="I2203" t="s">
        <v>176</v>
      </c>
      <c r="J2203">
        <v>3.9248521846153843E-2</v>
      </c>
      <c r="K2203">
        <v>1.0430126472664616</v>
      </c>
      <c r="L2203">
        <v>1.8524891664180389E-2</v>
      </c>
      <c r="M2203">
        <v>0.11114934998508233</v>
      </c>
      <c r="N2203">
        <v>1.1541619972515438</v>
      </c>
      <c r="O2203" t="s">
        <v>177</v>
      </c>
      <c r="P2203">
        <v>6.2580758835987696E-2</v>
      </c>
      <c r="Q2203" t="s">
        <v>177</v>
      </c>
      <c r="R2203">
        <v>6.6689609991049401E-3</v>
      </c>
      <c r="S2203" t="s">
        <v>178</v>
      </c>
      <c r="T2203">
        <v>0.13849943967018527</v>
      </c>
      <c r="U2203" t="s">
        <v>90</v>
      </c>
      <c r="V2203">
        <v>0</v>
      </c>
      <c r="W2203" t="s">
        <v>90</v>
      </c>
      <c r="X2203">
        <v>0</v>
      </c>
      <c r="Y2203">
        <v>1.3619111567568218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K2203" t="s">
        <v>7325</v>
      </c>
      <c r="AM2203">
        <v>400000</v>
      </c>
      <c r="AN2203" t="s">
        <v>97</v>
      </c>
      <c r="AO2203">
        <v>2</v>
      </c>
      <c r="AP2203">
        <v>0</v>
      </c>
      <c r="AQ2203">
        <v>33333.333333333336</v>
      </c>
      <c r="AR2203" t="s">
        <v>7475</v>
      </c>
      <c r="AS2203" t="s">
        <v>75</v>
      </c>
      <c r="AW2203">
        <v>0</v>
      </c>
      <c r="AX2203" t="s">
        <v>76</v>
      </c>
      <c r="AY2203" t="s">
        <v>176</v>
      </c>
      <c r="AZ2203">
        <v>0</v>
      </c>
      <c r="BA2203" t="s">
        <v>176</v>
      </c>
      <c r="BB2203">
        <v>0</v>
      </c>
    </row>
    <row r="2204" spans="1:54" x14ac:dyDescent="0.15">
      <c r="A2204" s="4" t="str">
        <f>HYPERLINK("https://ibp.a2mac1.com/costing(costing:projects/details/9760/part/8416592)","Part 02")</f>
        <v>Part 02</v>
      </c>
      <c r="B2204">
        <v>8416592</v>
      </c>
      <c r="C2204">
        <v>8416415</v>
      </c>
      <c r="E2204">
        <v>0.16233071499999999</v>
      </c>
      <c r="F2204">
        <v>0</v>
      </c>
      <c r="G2204">
        <v>0</v>
      </c>
      <c r="H2204">
        <v>1.8996147499999999E-5</v>
      </c>
      <c r="I2204" t="s">
        <v>176</v>
      </c>
      <c r="J2204">
        <v>6.0442287500000001E-3</v>
      </c>
      <c r="K2204">
        <v>0.16839393989750001</v>
      </c>
      <c r="L2204">
        <v>2.4426101758311454E-2</v>
      </c>
      <c r="M2204">
        <v>0.14655661054986871</v>
      </c>
      <c r="N2204">
        <v>0.31495055044736869</v>
      </c>
      <c r="O2204" t="s">
        <v>177</v>
      </c>
      <c r="P2204">
        <v>1.010363639385E-2</v>
      </c>
      <c r="Q2204" t="s">
        <v>177</v>
      </c>
      <c r="R2204">
        <v>8.7933966329921225E-3</v>
      </c>
      <c r="S2204" t="s">
        <v>178</v>
      </c>
      <c r="T2204">
        <v>3.7794066053684246E-2</v>
      </c>
      <c r="U2204" t="s">
        <v>90</v>
      </c>
      <c r="V2204">
        <v>0</v>
      </c>
      <c r="W2204" t="s">
        <v>90</v>
      </c>
      <c r="X2204">
        <v>0</v>
      </c>
      <c r="Y2204">
        <v>0.37164164952789508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K2204" t="s">
        <v>7325</v>
      </c>
      <c r="AM2204">
        <v>400000</v>
      </c>
      <c r="AN2204" t="s">
        <v>97</v>
      </c>
      <c r="AO2204">
        <v>2</v>
      </c>
      <c r="AP2204">
        <v>0</v>
      </c>
      <c r="AQ2204">
        <v>33333.333333333336</v>
      </c>
      <c r="AR2204" t="s">
        <v>7479</v>
      </c>
      <c r="AS2204" t="s">
        <v>75</v>
      </c>
      <c r="AW2204">
        <v>0</v>
      </c>
      <c r="AX2204" t="s">
        <v>76</v>
      </c>
      <c r="AY2204" t="s">
        <v>176</v>
      </c>
      <c r="AZ2204">
        <v>0</v>
      </c>
      <c r="BA2204" t="s">
        <v>176</v>
      </c>
      <c r="BB2204">
        <v>0</v>
      </c>
    </row>
    <row r="2205" spans="1:54" x14ac:dyDescent="0.15">
      <c r="A2205" s="4" t="str">
        <f>HYPERLINK("https://ibp.a2mac1.com/costing(costing:projects/details/9760/part/8416593)","Part 03")</f>
        <v>Part 03</v>
      </c>
      <c r="B2205">
        <v>8416593</v>
      </c>
      <c r="C2205">
        <v>8416415</v>
      </c>
      <c r="E2205">
        <v>7.7573970000000006E-2</v>
      </c>
      <c r="F2205">
        <v>0</v>
      </c>
      <c r="G2205">
        <v>0</v>
      </c>
      <c r="H2205">
        <v>9.0778050000000001E-6</v>
      </c>
      <c r="I2205" t="s">
        <v>176</v>
      </c>
      <c r="J2205">
        <v>2.8883925000000002E-3</v>
      </c>
      <c r="K2205">
        <v>8.0471440305000003E-2</v>
      </c>
      <c r="L2205">
        <v>2.4426101758311454E-2</v>
      </c>
      <c r="M2205">
        <v>0.14655661054986871</v>
      </c>
      <c r="N2205">
        <v>0.22702805085486871</v>
      </c>
      <c r="O2205" t="s">
        <v>177</v>
      </c>
      <c r="P2205">
        <v>4.8282864182999999E-3</v>
      </c>
      <c r="Q2205" t="s">
        <v>177</v>
      </c>
      <c r="R2205">
        <v>8.7933966329921225E-3</v>
      </c>
      <c r="S2205" t="s">
        <v>178</v>
      </c>
      <c r="T2205">
        <v>2.7243366102584245E-2</v>
      </c>
      <c r="U2205" t="s">
        <v>90</v>
      </c>
      <c r="V2205">
        <v>0</v>
      </c>
      <c r="W2205" t="s">
        <v>90</v>
      </c>
      <c r="X2205">
        <v>0</v>
      </c>
      <c r="Y2205">
        <v>0.26789310000874511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K2205" t="s">
        <v>7325</v>
      </c>
      <c r="AM2205">
        <v>400000</v>
      </c>
      <c r="AN2205" t="s">
        <v>97</v>
      </c>
      <c r="AO2205">
        <v>2</v>
      </c>
      <c r="AP2205">
        <v>0</v>
      </c>
      <c r="AQ2205">
        <v>33333.333333333336</v>
      </c>
      <c r="AR2205" t="s">
        <v>7483</v>
      </c>
      <c r="AS2205" t="s">
        <v>75</v>
      </c>
      <c r="AW2205">
        <v>0</v>
      </c>
      <c r="AX2205" t="s">
        <v>76</v>
      </c>
      <c r="AY2205" t="s">
        <v>176</v>
      </c>
      <c r="AZ2205">
        <v>0</v>
      </c>
      <c r="BA2205" t="s">
        <v>176</v>
      </c>
      <c r="BB2205">
        <v>0</v>
      </c>
    </row>
    <row r="2206" spans="1:54" x14ac:dyDescent="0.15">
      <c r="A2206" s="4" t="str">
        <f>HYPERLINK("https://ibp.a2mac1.com/costing(costing:projects/details/9760/part/8416594)","Part 04")</f>
        <v>Part 04</v>
      </c>
      <c r="B2206">
        <v>8416594</v>
      </c>
      <c r="C2206">
        <v>8416415</v>
      </c>
      <c r="E2206">
        <v>2.0111770000000001E-2</v>
      </c>
      <c r="F2206">
        <v>0</v>
      </c>
      <c r="G2206">
        <v>0</v>
      </c>
      <c r="H2206">
        <v>2.3535049999999999E-6</v>
      </c>
      <c r="I2206" t="s">
        <v>176</v>
      </c>
      <c r="J2206">
        <v>7.4884249999999995E-4</v>
      </c>
      <c r="K2206">
        <v>2.0862966005000001E-2</v>
      </c>
      <c r="L2206">
        <v>7.20131041548276E-3</v>
      </c>
      <c r="M2206">
        <v>4.3207862492896557E-2</v>
      </c>
      <c r="N2206">
        <v>6.4070828497896554E-2</v>
      </c>
      <c r="O2206" t="s">
        <v>177</v>
      </c>
      <c r="P2206">
        <v>1.2517779603E-3</v>
      </c>
      <c r="Q2206" t="s">
        <v>177</v>
      </c>
      <c r="R2206">
        <v>2.5924717495737935E-3</v>
      </c>
      <c r="S2206" t="s">
        <v>178</v>
      </c>
      <c r="T2206">
        <v>7.6884994197475871E-3</v>
      </c>
      <c r="U2206" t="s">
        <v>90</v>
      </c>
      <c r="V2206">
        <v>0</v>
      </c>
      <c r="W2206" t="s">
        <v>90</v>
      </c>
      <c r="X2206">
        <v>0</v>
      </c>
      <c r="Y2206">
        <v>7.5603577627517946E-2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K2206" t="s">
        <v>7325</v>
      </c>
      <c r="AM2206">
        <v>400000</v>
      </c>
      <c r="AN2206" t="s">
        <v>97</v>
      </c>
      <c r="AO2206">
        <v>2</v>
      </c>
      <c r="AP2206">
        <v>0</v>
      </c>
      <c r="AQ2206">
        <v>33333.333333333336</v>
      </c>
      <c r="AR2206" t="s">
        <v>7487</v>
      </c>
      <c r="AS2206" t="s">
        <v>75</v>
      </c>
      <c r="AW2206">
        <v>0</v>
      </c>
      <c r="AX2206" t="s">
        <v>76</v>
      </c>
      <c r="AY2206" t="s">
        <v>176</v>
      </c>
      <c r="AZ2206">
        <v>0</v>
      </c>
      <c r="BA2206" t="s">
        <v>176</v>
      </c>
      <c r="BB2206">
        <v>0</v>
      </c>
    </row>
    <row r="2207" spans="1:54" x14ac:dyDescent="0.15">
      <c r="A2207" s="4" t="str">
        <f>HYPERLINK("https://ibp.a2mac1.com/costing(costing:projects/details/9760/part/8416595)","Part 01 (single/main)")</f>
        <v>Part 01 (single/main)</v>
      </c>
      <c r="B2207">
        <v>8416595</v>
      </c>
      <c r="C2207">
        <v>8416416</v>
      </c>
      <c r="E2207">
        <v>2.1818927133333332</v>
      </c>
      <c r="F2207">
        <v>0</v>
      </c>
      <c r="G2207">
        <v>0</v>
      </c>
      <c r="H2207">
        <v>3.3023241066666665E-4</v>
      </c>
      <c r="I2207" t="s">
        <v>176</v>
      </c>
      <c r="J2207">
        <v>8.2558102666666661E-2</v>
      </c>
      <c r="K2207">
        <v>2.2647810484106667</v>
      </c>
      <c r="L2207">
        <v>5.1910920237535282E-2</v>
      </c>
      <c r="M2207">
        <v>0.31146552142521172</v>
      </c>
      <c r="N2207">
        <v>2.5762465698358783</v>
      </c>
      <c r="O2207" t="s">
        <v>177</v>
      </c>
      <c r="P2207">
        <v>0.13588686290464</v>
      </c>
      <c r="Q2207" t="s">
        <v>177</v>
      </c>
      <c r="R2207">
        <v>1.8687931285512702E-2</v>
      </c>
      <c r="S2207" t="s">
        <v>178</v>
      </c>
      <c r="T2207">
        <v>0.30914958838030543</v>
      </c>
      <c r="U2207" t="s">
        <v>90</v>
      </c>
      <c r="V2207">
        <v>0</v>
      </c>
      <c r="W2207" t="s">
        <v>90</v>
      </c>
      <c r="X2207">
        <v>0</v>
      </c>
      <c r="Y2207">
        <v>3.0399709524063363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K2207" t="s">
        <v>7325</v>
      </c>
      <c r="AM2207">
        <v>200000</v>
      </c>
      <c r="AN2207" t="s">
        <v>97</v>
      </c>
      <c r="AO2207">
        <v>1</v>
      </c>
      <c r="AP2207">
        <v>0</v>
      </c>
      <c r="AQ2207">
        <v>16666.666666666668</v>
      </c>
      <c r="AR2207" t="s">
        <v>7496</v>
      </c>
      <c r="AS2207" t="s">
        <v>75</v>
      </c>
      <c r="AW2207">
        <v>0</v>
      </c>
      <c r="AX2207" t="s">
        <v>76</v>
      </c>
      <c r="AY2207" t="s">
        <v>176</v>
      </c>
      <c r="AZ2207">
        <v>0</v>
      </c>
      <c r="BA2207" t="s">
        <v>176</v>
      </c>
      <c r="BB2207">
        <v>0</v>
      </c>
    </row>
    <row r="2208" spans="1:54" x14ac:dyDescent="0.15">
      <c r="A2208" s="4" t="str">
        <f>HYPERLINK("https://ibp.a2mac1.com/costing(costing:projects/details/9760/part/8416596)","Part 01 (single/main)")</f>
        <v>Part 01 (single/main)</v>
      </c>
      <c r="B2208">
        <v>8416596</v>
      </c>
      <c r="C2208">
        <v>8416417</v>
      </c>
      <c r="E2208">
        <v>0.80636112769230772</v>
      </c>
      <c r="F2208">
        <v>0</v>
      </c>
      <c r="G2208">
        <v>0</v>
      </c>
      <c r="H2208">
        <v>1.2613470153846154E-4</v>
      </c>
      <c r="I2208" t="s">
        <v>176</v>
      </c>
      <c r="J2208">
        <v>3.1533675384615385E-2</v>
      </c>
      <c r="K2208">
        <v>0.83802093777846154</v>
      </c>
      <c r="L2208">
        <v>5.1910920237535282E-2</v>
      </c>
      <c r="M2208">
        <v>0.31146552142521172</v>
      </c>
      <c r="N2208">
        <v>1.1494864592036733</v>
      </c>
      <c r="O2208" t="s">
        <v>177</v>
      </c>
      <c r="P2208">
        <v>5.0281256266707694E-2</v>
      </c>
      <c r="Q2208" t="s">
        <v>177</v>
      </c>
      <c r="R2208">
        <v>1.8687931285512702E-2</v>
      </c>
      <c r="S2208" t="s">
        <v>178</v>
      </c>
      <c r="T2208">
        <v>0.13793837510444079</v>
      </c>
      <c r="U2208" t="s">
        <v>90</v>
      </c>
      <c r="V2208">
        <v>0</v>
      </c>
      <c r="W2208" t="s">
        <v>90</v>
      </c>
      <c r="X2208">
        <v>0</v>
      </c>
      <c r="Y2208">
        <v>1.3563940218603343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K2208" t="s">
        <v>7325</v>
      </c>
      <c r="AM2208">
        <v>200000</v>
      </c>
      <c r="AN2208" t="s">
        <v>97</v>
      </c>
      <c r="AO2208">
        <v>1</v>
      </c>
      <c r="AP2208">
        <v>0</v>
      </c>
      <c r="AQ2208">
        <v>16666.666666666668</v>
      </c>
      <c r="AR2208" t="s">
        <v>7503</v>
      </c>
      <c r="AS2208" t="s">
        <v>75</v>
      </c>
      <c r="AW2208">
        <v>0</v>
      </c>
      <c r="AX2208" t="s">
        <v>76</v>
      </c>
      <c r="AY2208" t="s">
        <v>176</v>
      </c>
      <c r="AZ2208">
        <v>0</v>
      </c>
      <c r="BA2208" t="s">
        <v>176</v>
      </c>
      <c r="BB2208">
        <v>0</v>
      </c>
    </row>
    <row r="2209" spans="1:54" x14ac:dyDescent="0.15">
      <c r="A2209" s="4" t="str">
        <f>HYPERLINK("https://ibp.a2mac1.com/costing(costing:projects/details/9760/part/8416597)","Part 02")</f>
        <v>Part 02</v>
      </c>
      <c r="B2209">
        <v>8416597</v>
      </c>
      <c r="C2209">
        <v>8416417</v>
      </c>
      <c r="E2209">
        <v>0.99490485692307695</v>
      </c>
      <c r="F2209">
        <v>0</v>
      </c>
      <c r="G2209">
        <v>0</v>
      </c>
      <c r="H2209">
        <v>1.2227880923076922E-4</v>
      </c>
      <c r="I2209" t="s">
        <v>176</v>
      </c>
      <c r="J2209">
        <v>3.8906893846153846E-2</v>
      </c>
      <c r="K2209">
        <v>1.0339340295784616</v>
      </c>
      <c r="L2209">
        <v>2.0626099745884138E-2</v>
      </c>
      <c r="M2209">
        <v>0.12375659847530482</v>
      </c>
      <c r="N2209">
        <v>1.1576906280537664</v>
      </c>
      <c r="O2209" t="s">
        <v>177</v>
      </c>
      <c r="P2209">
        <v>6.2036041774707694E-2</v>
      </c>
      <c r="Q2209" t="s">
        <v>177</v>
      </c>
      <c r="R2209">
        <v>7.4253959085182897E-3</v>
      </c>
      <c r="S2209" t="s">
        <v>178</v>
      </c>
      <c r="T2209">
        <v>0.13892287536645195</v>
      </c>
      <c r="U2209" t="s">
        <v>90</v>
      </c>
      <c r="V2209">
        <v>0</v>
      </c>
      <c r="W2209" t="s">
        <v>90</v>
      </c>
      <c r="X2209">
        <v>0</v>
      </c>
      <c r="Y2209">
        <v>1.3660749411034443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K2209" t="s">
        <v>7325</v>
      </c>
      <c r="AM2209">
        <v>400000</v>
      </c>
      <c r="AN2209" t="s">
        <v>97</v>
      </c>
      <c r="AO2209">
        <v>2</v>
      </c>
      <c r="AP2209">
        <v>0</v>
      </c>
      <c r="AQ2209">
        <v>33333.333333333336</v>
      </c>
      <c r="AR2209" t="s">
        <v>7508</v>
      </c>
      <c r="AS2209" t="s">
        <v>75</v>
      </c>
      <c r="AW2209">
        <v>0</v>
      </c>
      <c r="AX2209" t="s">
        <v>76</v>
      </c>
      <c r="AY2209" t="s">
        <v>176</v>
      </c>
      <c r="AZ2209">
        <v>0</v>
      </c>
      <c r="BA2209" t="s">
        <v>176</v>
      </c>
      <c r="BB2209">
        <v>0</v>
      </c>
    </row>
    <row r="2210" spans="1:54" x14ac:dyDescent="0.15">
      <c r="A2210" s="4" t="str">
        <f>HYPERLINK("https://ibp.a2mac1.com/costing(costing:projects/details/9760/part/8416598)","Part 01 (single/main)")</f>
        <v>Part 01 (single/main)</v>
      </c>
      <c r="B2210">
        <v>8416598</v>
      </c>
      <c r="C2210">
        <v>8416418</v>
      </c>
      <c r="E2210">
        <v>0.19390436</v>
      </c>
      <c r="F2210">
        <v>0</v>
      </c>
      <c r="G2210">
        <v>0</v>
      </c>
      <c r="H2210">
        <v>2.983144E-5</v>
      </c>
      <c r="I2210" t="s">
        <v>176</v>
      </c>
      <c r="J2210">
        <v>7.4578600000000002E-3</v>
      </c>
      <c r="K2210">
        <v>0.20139205144</v>
      </c>
      <c r="L2210">
        <v>3.0948761650381341E-2</v>
      </c>
      <c r="M2210">
        <v>0.18569256990228805</v>
      </c>
      <c r="N2210">
        <v>0.38708462134228805</v>
      </c>
      <c r="O2210" t="s">
        <v>177</v>
      </c>
      <c r="P2210">
        <v>1.2083523086400001E-2</v>
      </c>
      <c r="Q2210" t="s">
        <v>177</v>
      </c>
      <c r="R2210">
        <v>1.1141554194137282E-2</v>
      </c>
      <c r="S2210" t="s">
        <v>178</v>
      </c>
      <c r="T2210">
        <v>4.6450154561074562E-2</v>
      </c>
      <c r="U2210" t="s">
        <v>90</v>
      </c>
      <c r="V2210">
        <v>0</v>
      </c>
      <c r="W2210" t="s">
        <v>90</v>
      </c>
      <c r="X2210">
        <v>0</v>
      </c>
      <c r="Y2210">
        <v>0.45675985318389989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K2210" t="s">
        <v>7325</v>
      </c>
      <c r="AM2210">
        <v>200000</v>
      </c>
      <c r="AN2210" t="s">
        <v>97</v>
      </c>
      <c r="AO2210">
        <v>1</v>
      </c>
      <c r="AP2210">
        <v>0</v>
      </c>
      <c r="AQ2210">
        <v>16666.666666666668</v>
      </c>
      <c r="AR2210" t="s">
        <v>7515</v>
      </c>
      <c r="AS2210" t="s">
        <v>75</v>
      </c>
      <c r="AW2210">
        <v>0</v>
      </c>
      <c r="AX2210" t="s">
        <v>76</v>
      </c>
      <c r="AY2210" t="s">
        <v>176</v>
      </c>
      <c r="AZ2210">
        <v>0</v>
      </c>
      <c r="BA2210" t="s">
        <v>176</v>
      </c>
      <c r="BB2210">
        <v>0</v>
      </c>
    </row>
    <row r="2211" spans="1:54" x14ac:dyDescent="0.15">
      <c r="A2211" s="4" t="str">
        <f>HYPERLINK("https://ibp.a2mac1.com/costing(costing:projects/details/9760/part/8416599)","Part 01 (single/main)")</f>
        <v>Part 01 (single/main)</v>
      </c>
      <c r="B2211">
        <v>8416599</v>
      </c>
      <c r="C2211">
        <v>8416419</v>
      </c>
      <c r="E2211">
        <v>2.0784199999999999E-2</v>
      </c>
      <c r="F2211">
        <v>0</v>
      </c>
      <c r="G2211">
        <v>0</v>
      </c>
      <c r="H2211">
        <v>3.4232800000000002E-6</v>
      </c>
      <c r="I2211" t="s">
        <v>176</v>
      </c>
      <c r="J2211">
        <v>8.5581999999999997E-4</v>
      </c>
      <c r="K2211">
        <v>2.1643443280000001E-2</v>
      </c>
      <c r="L2211">
        <v>1.263607521069166E-2</v>
      </c>
      <c r="M2211">
        <v>7.5816451264149973E-2</v>
      </c>
      <c r="N2211">
        <v>9.7459894544149966E-2</v>
      </c>
      <c r="O2211" t="s">
        <v>177</v>
      </c>
      <c r="P2211">
        <v>1.2986065967999999E-3</v>
      </c>
      <c r="Q2211" t="s">
        <v>177</v>
      </c>
      <c r="R2211">
        <v>4.5489870758489981E-3</v>
      </c>
      <c r="S2211" t="s">
        <v>178</v>
      </c>
      <c r="T2211">
        <v>1.1695187345297996E-2</v>
      </c>
      <c r="U2211" t="s">
        <v>90</v>
      </c>
      <c r="V2211">
        <v>0</v>
      </c>
      <c r="W2211" t="s">
        <v>90</v>
      </c>
      <c r="X2211">
        <v>0</v>
      </c>
      <c r="Y2211">
        <v>0.11500267556209696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K2211" t="s">
        <v>7325</v>
      </c>
      <c r="AM2211">
        <v>200000</v>
      </c>
      <c r="AN2211" t="s">
        <v>97</v>
      </c>
      <c r="AO2211">
        <v>1</v>
      </c>
      <c r="AP2211">
        <v>0</v>
      </c>
      <c r="AQ2211">
        <v>16666.666666666668</v>
      </c>
      <c r="AR2211" t="s">
        <v>7520</v>
      </c>
      <c r="AS2211" t="s">
        <v>75</v>
      </c>
      <c r="AW2211">
        <v>0</v>
      </c>
      <c r="AX2211" t="s">
        <v>76</v>
      </c>
      <c r="AY2211" t="s">
        <v>176</v>
      </c>
      <c r="AZ2211">
        <v>0</v>
      </c>
      <c r="BA2211" t="s">
        <v>176</v>
      </c>
      <c r="BB2211">
        <v>0</v>
      </c>
    </row>
    <row r="2212" spans="1:54" x14ac:dyDescent="0.15">
      <c r="A2212" s="4" t="str">
        <f>HYPERLINK("https://ibp.a2mac1.com/costing(costing:projects/details/9760/part/8416600)","Part 02")</f>
        <v>Part 02</v>
      </c>
      <c r="B2212">
        <v>8416600</v>
      </c>
      <c r="C2212">
        <v>8416419</v>
      </c>
      <c r="E2212">
        <v>6.0966986666666667E-2</v>
      </c>
      <c r="F2212">
        <v>0</v>
      </c>
      <c r="G2212">
        <v>0</v>
      </c>
      <c r="H2212">
        <v>7.6208733333333336E-6</v>
      </c>
      <c r="I2212" t="s">
        <v>176</v>
      </c>
      <c r="J2212">
        <v>2.4248233333333332E-3</v>
      </c>
      <c r="K2212">
        <v>6.3399430873333329E-2</v>
      </c>
      <c r="L2212">
        <v>3.1940159054190634E-2</v>
      </c>
      <c r="M2212">
        <v>0.1916409543251438</v>
      </c>
      <c r="N2212">
        <v>0.25504038519847716</v>
      </c>
      <c r="O2212" t="s">
        <v>177</v>
      </c>
      <c r="P2212">
        <v>3.8039658523999998E-3</v>
      </c>
      <c r="Q2212" t="s">
        <v>177</v>
      </c>
      <c r="R2212">
        <v>1.1498457259508628E-2</v>
      </c>
      <c r="S2212" t="s">
        <v>178</v>
      </c>
      <c r="T2212">
        <v>3.0604846223817258E-2</v>
      </c>
      <c r="U2212" t="s">
        <v>90</v>
      </c>
      <c r="V2212">
        <v>0</v>
      </c>
      <c r="W2212" t="s">
        <v>90</v>
      </c>
      <c r="X2212">
        <v>0</v>
      </c>
      <c r="Y2212">
        <v>0.30094765453420302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K2212" t="s">
        <v>7325</v>
      </c>
      <c r="AM2212">
        <v>400000</v>
      </c>
      <c r="AN2212" t="s">
        <v>97</v>
      </c>
      <c r="AO2212">
        <v>2</v>
      </c>
      <c r="AP2212">
        <v>0</v>
      </c>
      <c r="AQ2212">
        <v>33333.333333333336</v>
      </c>
      <c r="AR2212" t="s">
        <v>7524</v>
      </c>
      <c r="AS2212" t="s">
        <v>75</v>
      </c>
      <c r="AW2212">
        <v>0</v>
      </c>
      <c r="AX2212" t="s">
        <v>76</v>
      </c>
      <c r="AY2212" t="s">
        <v>176</v>
      </c>
      <c r="AZ2212">
        <v>0</v>
      </c>
      <c r="BA2212" t="s">
        <v>176</v>
      </c>
      <c r="BB2212">
        <v>0</v>
      </c>
    </row>
    <row r="2213" spans="1:54" x14ac:dyDescent="0.15">
      <c r="A2213" s="4" t="str">
        <f>HYPERLINK("https://ibp.a2mac1.com/costing(costing:projects/details/9760/part/8416882)","Part 01 (single/main/front)")</f>
        <v>Part 01 (single/main/front)</v>
      </c>
      <c r="B2213">
        <v>8416882</v>
      </c>
      <c r="C2213">
        <v>8416601</v>
      </c>
      <c r="E2213">
        <v>27.312761739999999</v>
      </c>
      <c r="F2213">
        <v>0</v>
      </c>
      <c r="G2213">
        <v>0</v>
      </c>
      <c r="H2213">
        <v>3.7321786228571427E-3</v>
      </c>
      <c r="I2213" t="s">
        <v>176</v>
      </c>
      <c r="J2213">
        <v>1.1875113799999999</v>
      </c>
      <c r="K2213">
        <v>28.504005298622857</v>
      </c>
      <c r="L2213">
        <v>1.4230815916268447</v>
      </c>
      <c r="M2213">
        <v>8.5384895497610689</v>
      </c>
      <c r="N2213">
        <v>37.042494848383924</v>
      </c>
      <c r="O2213" t="s">
        <v>90</v>
      </c>
      <c r="P2213">
        <v>0</v>
      </c>
      <c r="Q2213" t="s">
        <v>90</v>
      </c>
      <c r="R2213">
        <v>0</v>
      </c>
      <c r="S2213" t="s">
        <v>90</v>
      </c>
      <c r="T2213">
        <v>0</v>
      </c>
      <c r="U2213" t="s">
        <v>90</v>
      </c>
      <c r="V2213">
        <v>0</v>
      </c>
      <c r="W2213" t="s">
        <v>90</v>
      </c>
      <c r="X2213">
        <v>0</v>
      </c>
      <c r="Y2213">
        <v>37.042494848383924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K2213" t="s">
        <v>7534</v>
      </c>
      <c r="AM2213">
        <v>400000</v>
      </c>
      <c r="AN2213" t="s">
        <v>73</v>
      </c>
      <c r="AO2213">
        <v>2</v>
      </c>
      <c r="AP2213">
        <v>0</v>
      </c>
      <c r="AQ2213">
        <v>33333.333333333336</v>
      </c>
      <c r="AR2213" t="s">
        <v>7535</v>
      </c>
      <c r="AS2213" t="s">
        <v>75</v>
      </c>
      <c r="AW2213">
        <v>0</v>
      </c>
      <c r="AX2213" t="s">
        <v>76</v>
      </c>
      <c r="AY2213" t="s">
        <v>176</v>
      </c>
      <c r="AZ2213">
        <v>0</v>
      </c>
      <c r="BA2213" t="s">
        <v>176</v>
      </c>
      <c r="BB2213">
        <v>0</v>
      </c>
    </row>
    <row r="2214" spans="1:54" x14ac:dyDescent="0.15">
      <c r="A2214" s="4" t="str">
        <f>HYPERLINK("https://ibp.a2mac1.com/costing(costing:projects/details/9760/part/8416883)","Part 02")</f>
        <v>Part 02</v>
      </c>
      <c r="B2214">
        <v>8416883</v>
      </c>
      <c r="C2214">
        <v>8416601</v>
      </c>
      <c r="E2214">
        <v>1.7188533399999999</v>
      </c>
      <c r="F2214">
        <v>0</v>
      </c>
      <c r="G2214">
        <v>0</v>
      </c>
      <c r="H2214">
        <v>2.2243984399999999E-4</v>
      </c>
      <c r="I2214" t="s">
        <v>176</v>
      </c>
      <c r="J2214">
        <v>7.0776314000000007E-2</v>
      </c>
      <c r="K2214">
        <v>1.7898520938439999</v>
      </c>
      <c r="L2214">
        <v>2.0626099745884138E-2</v>
      </c>
      <c r="M2214">
        <v>0.12375659847530482</v>
      </c>
      <c r="N2214">
        <v>1.9136086923193047</v>
      </c>
      <c r="O2214" t="s">
        <v>177</v>
      </c>
      <c r="P2214">
        <v>0.10739112563064</v>
      </c>
      <c r="Q2214" t="s">
        <v>177</v>
      </c>
      <c r="R2214">
        <v>7.4253959085182897E-3</v>
      </c>
      <c r="S2214" t="s">
        <v>178</v>
      </c>
      <c r="T2214">
        <v>0.22963304307831658</v>
      </c>
      <c r="U2214" t="s">
        <v>90</v>
      </c>
      <c r="V2214">
        <v>0</v>
      </c>
      <c r="W2214" t="s">
        <v>90</v>
      </c>
      <c r="X2214">
        <v>0</v>
      </c>
      <c r="Y2214">
        <v>2.2580582569367795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K2214" t="s">
        <v>7325</v>
      </c>
      <c r="AM2214">
        <v>400000</v>
      </c>
      <c r="AN2214" t="s">
        <v>97</v>
      </c>
      <c r="AO2214">
        <v>2</v>
      </c>
      <c r="AP2214">
        <v>0</v>
      </c>
      <c r="AQ2214">
        <v>33333.333333333336</v>
      </c>
      <c r="AR2214" t="s">
        <v>7540</v>
      </c>
      <c r="AS2214" t="s">
        <v>75</v>
      </c>
      <c r="AW2214">
        <v>0</v>
      </c>
      <c r="AX2214" t="s">
        <v>76</v>
      </c>
      <c r="AY2214" t="s">
        <v>176</v>
      </c>
      <c r="AZ2214">
        <v>0</v>
      </c>
      <c r="BA2214" t="s">
        <v>176</v>
      </c>
      <c r="BB2214">
        <v>0</v>
      </c>
    </row>
    <row r="2215" spans="1:54" x14ac:dyDescent="0.15">
      <c r="A2215" s="4" t="str">
        <f>HYPERLINK("https://ibp.a2mac1.com/costing(costing:projects/details/9760/part/8416884)","Part 03")</f>
        <v>Part 03</v>
      </c>
      <c r="B2215">
        <v>8416884</v>
      </c>
      <c r="C2215">
        <v>8416601</v>
      </c>
      <c r="E2215">
        <v>0.99794169272727273</v>
      </c>
      <c r="F2215">
        <v>0</v>
      </c>
      <c r="G2215">
        <v>0</v>
      </c>
      <c r="H2215">
        <v>1.2690588E-4</v>
      </c>
      <c r="I2215" t="s">
        <v>176</v>
      </c>
      <c r="J2215">
        <v>4.0379143636363635E-2</v>
      </c>
      <c r="K2215">
        <v>1.0384477422436365</v>
      </c>
      <c r="L2215">
        <v>2.0626099745884138E-2</v>
      </c>
      <c r="M2215">
        <v>0.12375659847530482</v>
      </c>
      <c r="N2215">
        <v>1.1622043407189411</v>
      </c>
      <c r="O2215" t="s">
        <v>177</v>
      </c>
      <c r="P2215">
        <v>6.230686453461818E-2</v>
      </c>
      <c r="Q2215" t="s">
        <v>177</v>
      </c>
      <c r="R2215">
        <v>7.4253959085182897E-3</v>
      </c>
      <c r="S2215" t="s">
        <v>178</v>
      </c>
      <c r="T2215">
        <v>0.13946452088627295</v>
      </c>
      <c r="U2215" t="s">
        <v>90</v>
      </c>
      <c r="V2215">
        <v>0</v>
      </c>
      <c r="W2215" t="s">
        <v>90</v>
      </c>
      <c r="X2215">
        <v>0</v>
      </c>
      <c r="Y2215">
        <v>1.3714011220483506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K2215" t="s">
        <v>7325</v>
      </c>
      <c r="AM2215">
        <v>400000</v>
      </c>
      <c r="AN2215" t="s">
        <v>97</v>
      </c>
      <c r="AO2215">
        <v>2</v>
      </c>
      <c r="AP2215">
        <v>0</v>
      </c>
      <c r="AQ2215">
        <v>33333.333333333336</v>
      </c>
      <c r="AR2215" t="s">
        <v>7545</v>
      </c>
      <c r="AS2215" t="s">
        <v>75</v>
      </c>
      <c r="AW2215">
        <v>0</v>
      </c>
      <c r="AX2215" t="s">
        <v>76</v>
      </c>
      <c r="AY2215" t="s">
        <v>176</v>
      </c>
      <c r="AZ2215">
        <v>0</v>
      </c>
      <c r="BA2215" t="s">
        <v>176</v>
      </c>
      <c r="BB2215">
        <v>0</v>
      </c>
    </row>
    <row r="2216" spans="1:54" x14ac:dyDescent="0.15">
      <c r="A2216" s="4" t="str">
        <f>HYPERLINK("https://ibp.a2mac1.com/costing(costing:projects/details/9760/part/8416885)","Part 01 (single/main/upper)")</f>
        <v>Part 01 (single/main/upper)</v>
      </c>
      <c r="B2216">
        <v>8416885</v>
      </c>
      <c r="C2216">
        <v>8416602</v>
      </c>
      <c r="E2216">
        <v>0.59027127999999995</v>
      </c>
      <c r="F2216">
        <v>0</v>
      </c>
      <c r="G2216">
        <v>0</v>
      </c>
      <c r="H2216">
        <v>7.6388047999999999E-5</v>
      </c>
      <c r="I2216" t="s">
        <v>176</v>
      </c>
      <c r="J2216">
        <v>2.4305288000000001E-2</v>
      </c>
      <c r="K2216">
        <v>0.61465295604799997</v>
      </c>
      <c r="L2216">
        <v>1.6357428824467144E-2</v>
      </c>
      <c r="M2216">
        <v>9.8144572946802858E-2</v>
      </c>
      <c r="N2216">
        <v>0.71279752899480286</v>
      </c>
      <c r="O2216" t="s">
        <v>177</v>
      </c>
      <c r="P2216">
        <v>3.6879177362880003E-2</v>
      </c>
      <c r="Q2216" t="s">
        <v>177</v>
      </c>
      <c r="R2216">
        <v>5.8886743768081715E-3</v>
      </c>
      <c r="S2216" t="s">
        <v>178</v>
      </c>
      <c r="T2216">
        <v>8.5535703479376349E-2</v>
      </c>
      <c r="U2216" t="s">
        <v>90</v>
      </c>
      <c r="V2216">
        <v>0</v>
      </c>
      <c r="W2216" t="s">
        <v>90</v>
      </c>
      <c r="X2216">
        <v>0</v>
      </c>
      <c r="Y2216">
        <v>0.84110108421386742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K2216" t="s">
        <v>7325</v>
      </c>
      <c r="AM2216">
        <v>400000</v>
      </c>
      <c r="AN2216" t="s">
        <v>97</v>
      </c>
      <c r="AO2216">
        <v>2</v>
      </c>
      <c r="AP2216">
        <v>0</v>
      </c>
      <c r="AQ2216">
        <v>33333.333333333336</v>
      </c>
      <c r="AR2216" t="s">
        <v>7551</v>
      </c>
      <c r="AS2216" t="s">
        <v>75</v>
      </c>
      <c r="AW2216">
        <v>0</v>
      </c>
      <c r="AX2216" t="s">
        <v>76</v>
      </c>
      <c r="AY2216" t="s">
        <v>176</v>
      </c>
      <c r="AZ2216">
        <v>0</v>
      </c>
      <c r="BA2216" t="s">
        <v>176</v>
      </c>
      <c r="BB2216">
        <v>0</v>
      </c>
    </row>
    <row r="2217" spans="1:54" x14ac:dyDescent="0.15">
      <c r="A2217" s="4" t="str">
        <f>HYPERLINK("https://ibp.a2mac1.com/costing(costing:projects/details/9760/part/8416886)","Part 01 (single/main)")</f>
        <v>Part 01 (single/main)</v>
      </c>
      <c r="B2217">
        <v>8416886</v>
      </c>
      <c r="C2217">
        <v>8416603</v>
      </c>
      <c r="E2217">
        <v>0.19537147999999999</v>
      </c>
      <c r="F2217">
        <v>0</v>
      </c>
      <c r="G2217">
        <v>0</v>
      </c>
      <c r="H2217">
        <v>2.5283367999999998E-5</v>
      </c>
      <c r="I2217" t="s">
        <v>176</v>
      </c>
      <c r="J2217">
        <v>8.0447079999999994E-3</v>
      </c>
      <c r="K2217">
        <v>0.203441471368</v>
      </c>
      <c r="L2217">
        <v>1.2017019305024818E-2</v>
      </c>
      <c r="M2217">
        <v>7.2102115830148902E-2</v>
      </c>
      <c r="N2217">
        <v>0.27554358719814892</v>
      </c>
      <c r="O2217" t="s">
        <v>177</v>
      </c>
      <c r="P2217">
        <v>1.220648828208E-2</v>
      </c>
      <c r="Q2217" t="s">
        <v>177</v>
      </c>
      <c r="R2217">
        <v>4.3261269498089342E-3</v>
      </c>
      <c r="S2217" t="s">
        <v>178</v>
      </c>
      <c r="T2217">
        <v>3.3065230463777871E-2</v>
      </c>
      <c r="U2217" t="s">
        <v>90</v>
      </c>
      <c r="V2217">
        <v>0</v>
      </c>
      <c r="W2217" t="s">
        <v>90</v>
      </c>
      <c r="X2217">
        <v>0</v>
      </c>
      <c r="Y2217">
        <v>0.3251414328938157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K2217" t="s">
        <v>7325</v>
      </c>
      <c r="AM2217">
        <v>400000</v>
      </c>
      <c r="AN2217" t="s">
        <v>97</v>
      </c>
      <c r="AO2217">
        <v>2</v>
      </c>
      <c r="AP2217">
        <v>0</v>
      </c>
      <c r="AQ2217">
        <v>33333.333333333336</v>
      </c>
      <c r="AR2217" t="s">
        <v>7557</v>
      </c>
      <c r="AS2217" t="s">
        <v>75</v>
      </c>
      <c r="AW2217">
        <v>0</v>
      </c>
      <c r="AX2217" t="s">
        <v>76</v>
      </c>
      <c r="AY2217" t="s">
        <v>176</v>
      </c>
      <c r="AZ2217">
        <v>0</v>
      </c>
      <c r="BA2217" t="s">
        <v>176</v>
      </c>
      <c r="BB2217">
        <v>0</v>
      </c>
    </row>
    <row r="2218" spans="1:54" x14ac:dyDescent="0.15">
      <c r="A2218" s="4" t="str">
        <f>HYPERLINK("https://ibp.a2mac1.com/costing(costing:projects/details/9760/part/8416887)","Part 01 (single/main)")</f>
        <v>Part 01 (single/main)</v>
      </c>
      <c r="B2218">
        <v>8416887</v>
      </c>
      <c r="C2218">
        <v>8416615</v>
      </c>
      <c r="E2218">
        <v>3.3376980000000001E-2</v>
      </c>
      <c r="F2218">
        <v>0</v>
      </c>
      <c r="G2218">
        <v>0</v>
      </c>
      <c r="H2218">
        <v>4.0345799999999997E-6</v>
      </c>
      <c r="I2218" t="s">
        <v>176</v>
      </c>
      <c r="J2218">
        <v>1.2837300000000001E-3</v>
      </c>
      <c r="K2218">
        <v>3.4664744579999997E-2</v>
      </c>
      <c r="L2218">
        <v>3.0103604630174635E-3</v>
      </c>
      <c r="M2218">
        <v>1.8062162778104782E-2</v>
      </c>
      <c r="N2218">
        <v>5.2726907358104785E-2</v>
      </c>
      <c r="O2218" t="s">
        <v>177</v>
      </c>
      <c r="P2218">
        <v>2.0798846747999999E-3</v>
      </c>
      <c r="Q2218" t="s">
        <v>177</v>
      </c>
      <c r="R2218">
        <v>1.083729766686287E-3</v>
      </c>
      <c r="S2218" t="s">
        <v>178</v>
      </c>
      <c r="T2218">
        <v>6.3272288829725742E-3</v>
      </c>
      <c r="U2218" t="s">
        <v>90</v>
      </c>
      <c r="V2218">
        <v>0</v>
      </c>
      <c r="W2218" t="s">
        <v>90</v>
      </c>
      <c r="X2218">
        <v>0</v>
      </c>
      <c r="Y2218">
        <v>6.221775068256364E-2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K2218" t="s">
        <v>7325</v>
      </c>
      <c r="AM2218">
        <v>400000</v>
      </c>
      <c r="AN2218" t="s">
        <v>97</v>
      </c>
      <c r="AO2218">
        <v>2</v>
      </c>
      <c r="AP2218">
        <v>0</v>
      </c>
      <c r="AQ2218">
        <v>33333.333333333336</v>
      </c>
      <c r="AR2218" t="s">
        <v>7562</v>
      </c>
      <c r="AS2218" t="s">
        <v>75</v>
      </c>
      <c r="AW2218">
        <v>0</v>
      </c>
      <c r="AX2218" t="s">
        <v>76</v>
      </c>
      <c r="AY2218" t="s">
        <v>176</v>
      </c>
      <c r="AZ2218">
        <v>0</v>
      </c>
      <c r="BA2218" t="s">
        <v>176</v>
      </c>
      <c r="BB2218">
        <v>0</v>
      </c>
    </row>
    <row r="2219" spans="1:54" x14ac:dyDescent="0.15">
      <c r="A2219" s="4" t="str">
        <f>HYPERLINK("https://ibp.a2mac1.com/costing(costing:projects/details/9760/part/8416888)","Part 02")</f>
        <v>Part 02</v>
      </c>
      <c r="B2219">
        <v>8416888</v>
      </c>
      <c r="C2219">
        <v>8416615</v>
      </c>
      <c r="E2219">
        <v>3.3376980000000001E-2</v>
      </c>
      <c r="F2219">
        <v>0</v>
      </c>
      <c r="G2219">
        <v>0</v>
      </c>
      <c r="H2219">
        <v>4.0345799999999997E-6</v>
      </c>
      <c r="I2219" t="s">
        <v>176</v>
      </c>
      <c r="J2219">
        <v>1.2837300000000001E-3</v>
      </c>
      <c r="K2219">
        <v>3.4664744579999997E-2</v>
      </c>
      <c r="L2219">
        <v>3.0103604630174635E-3</v>
      </c>
      <c r="M2219">
        <v>1.8062162778104782E-2</v>
      </c>
      <c r="N2219">
        <v>5.2726907358104785E-2</v>
      </c>
      <c r="O2219" t="s">
        <v>177</v>
      </c>
      <c r="P2219">
        <v>2.0798846747999999E-3</v>
      </c>
      <c r="Q2219" t="s">
        <v>177</v>
      </c>
      <c r="R2219">
        <v>1.083729766686287E-3</v>
      </c>
      <c r="S2219" t="s">
        <v>178</v>
      </c>
      <c r="T2219">
        <v>6.3272288829725742E-3</v>
      </c>
      <c r="U2219" t="s">
        <v>90</v>
      </c>
      <c r="V2219">
        <v>0</v>
      </c>
      <c r="W2219" t="s">
        <v>90</v>
      </c>
      <c r="X2219">
        <v>0</v>
      </c>
      <c r="Y2219">
        <v>6.221775068256364E-2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K2219" t="s">
        <v>7325</v>
      </c>
      <c r="AM2219">
        <v>400000</v>
      </c>
      <c r="AN2219" t="s">
        <v>97</v>
      </c>
      <c r="AO2219">
        <v>2</v>
      </c>
      <c r="AP2219">
        <v>0</v>
      </c>
      <c r="AQ2219">
        <v>33333.333333333336</v>
      </c>
      <c r="AR2219" t="s">
        <v>7565</v>
      </c>
      <c r="AS2219" t="s">
        <v>75</v>
      </c>
      <c r="AW2219">
        <v>0</v>
      </c>
      <c r="AX2219" t="s">
        <v>76</v>
      </c>
      <c r="AY2219" t="s">
        <v>176</v>
      </c>
      <c r="AZ2219">
        <v>0</v>
      </c>
      <c r="BA2219" t="s">
        <v>176</v>
      </c>
      <c r="BB2219">
        <v>0</v>
      </c>
    </row>
    <row r="2220" spans="1:54" x14ac:dyDescent="0.15">
      <c r="A2220" s="4" t="str">
        <f>HYPERLINK("https://ibp.a2mac1.com/costing(costing:projects/details/9760/part/8416889)","Part 03")</f>
        <v>Part 03</v>
      </c>
      <c r="B2220">
        <v>8416889</v>
      </c>
      <c r="C2220">
        <v>8416615</v>
      </c>
      <c r="E2220">
        <v>0.38658611999999998</v>
      </c>
      <c r="F2220">
        <v>0</v>
      </c>
      <c r="G2220">
        <v>0</v>
      </c>
      <c r="H2220">
        <v>5.0028792000000003E-5</v>
      </c>
      <c r="I2220" t="s">
        <v>176</v>
      </c>
      <c r="J2220">
        <v>1.5918252000000001E-2</v>
      </c>
      <c r="K2220">
        <v>0.402554400792</v>
      </c>
      <c r="L2220">
        <v>2.0626099745884138E-2</v>
      </c>
      <c r="M2220">
        <v>0.12375659847530482</v>
      </c>
      <c r="N2220">
        <v>0.52631099926730485</v>
      </c>
      <c r="O2220" t="s">
        <v>177</v>
      </c>
      <c r="P2220">
        <v>2.4153264047519999E-2</v>
      </c>
      <c r="Q2220" t="s">
        <v>177</v>
      </c>
      <c r="R2220">
        <v>7.4253959085182897E-3</v>
      </c>
      <c r="S2220" t="s">
        <v>178</v>
      </c>
      <c r="T2220">
        <v>6.3157319912076584E-2</v>
      </c>
      <c r="U2220" t="s">
        <v>90</v>
      </c>
      <c r="V2220">
        <v>0</v>
      </c>
      <c r="W2220" t="s">
        <v>90</v>
      </c>
      <c r="X2220">
        <v>0</v>
      </c>
      <c r="Y2220">
        <v>0.62104697913541973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K2220" t="s">
        <v>7325</v>
      </c>
      <c r="AM2220">
        <v>400000</v>
      </c>
      <c r="AN2220" t="s">
        <v>97</v>
      </c>
      <c r="AO2220">
        <v>2</v>
      </c>
      <c r="AP2220">
        <v>0</v>
      </c>
      <c r="AQ2220">
        <v>33333.333333333336</v>
      </c>
      <c r="AR2220" t="s">
        <v>7569</v>
      </c>
      <c r="AS2220" t="s">
        <v>75</v>
      </c>
      <c r="AW2220">
        <v>0</v>
      </c>
      <c r="AX2220" t="s">
        <v>76</v>
      </c>
      <c r="AY2220" t="s">
        <v>176</v>
      </c>
      <c r="AZ2220">
        <v>0</v>
      </c>
      <c r="BA2220" t="s">
        <v>176</v>
      </c>
      <c r="BB2220">
        <v>0</v>
      </c>
    </row>
    <row r="2221" spans="1:54" x14ac:dyDescent="0.15">
      <c r="A2221" s="4" t="str">
        <f>HYPERLINK("https://ibp.a2mac1.com/costing(costing:projects/details/9760/part/8416890)","Part 04")</f>
        <v>Part 04</v>
      </c>
      <c r="B2221">
        <v>8416890</v>
      </c>
      <c r="C2221">
        <v>8416615</v>
      </c>
      <c r="E2221">
        <v>5.1715980000000002E-2</v>
      </c>
      <c r="F2221">
        <v>0</v>
      </c>
      <c r="G2221">
        <v>0</v>
      </c>
      <c r="H2221">
        <v>6.05187E-6</v>
      </c>
      <c r="I2221" t="s">
        <v>176</v>
      </c>
      <c r="J2221">
        <v>1.925595E-3</v>
      </c>
      <c r="K2221">
        <v>5.3647626869999999E-2</v>
      </c>
      <c r="L2221">
        <v>3.9320942634972159E-3</v>
      </c>
      <c r="M2221">
        <v>2.3592565580983296E-2</v>
      </c>
      <c r="N2221">
        <v>7.7240192450983292E-2</v>
      </c>
      <c r="O2221" t="s">
        <v>177</v>
      </c>
      <c r="P2221">
        <v>3.2188576122000002E-3</v>
      </c>
      <c r="Q2221" t="s">
        <v>177</v>
      </c>
      <c r="R2221">
        <v>1.4155539348589977E-3</v>
      </c>
      <c r="S2221" t="s">
        <v>178</v>
      </c>
      <c r="T2221">
        <v>9.2688230941179953E-3</v>
      </c>
      <c r="U2221" t="s">
        <v>90</v>
      </c>
      <c r="V2221">
        <v>0</v>
      </c>
      <c r="W2221" t="s">
        <v>90</v>
      </c>
      <c r="X2221">
        <v>0</v>
      </c>
      <c r="Y2221">
        <v>9.1143427092160292E-2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K2221" t="s">
        <v>7325</v>
      </c>
      <c r="AM2221">
        <v>400000</v>
      </c>
      <c r="AN2221" t="s">
        <v>97</v>
      </c>
      <c r="AO2221">
        <v>2</v>
      </c>
      <c r="AP2221">
        <v>0</v>
      </c>
      <c r="AQ2221">
        <v>33333.333333333336</v>
      </c>
      <c r="AR2221" t="s">
        <v>7573</v>
      </c>
      <c r="AS2221" t="s">
        <v>75</v>
      </c>
      <c r="AW2221">
        <v>0</v>
      </c>
      <c r="AX2221" t="s">
        <v>76</v>
      </c>
      <c r="AY2221" t="s">
        <v>176</v>
      </c>
      <c r="AZ2221">
        <v>0</v>
      </c>
      <c r="BA2221" t="s">
        <v>176</v>
      </c>
      <c r="BB2221">
        <v>0</v>
      </c>
    </row>
    <row r="2222" spans="1:54" x14ac:dyDescent="0.15">
      <c r="A2222" s="4" t="str">
        <f>HYPERLINK("https://ibp.a2mac1.com/costing(costing:projects/details/9760/part/8416891)","Part 01 (single/main/front)")</f>
        <v>Part 01 (single/main/front)</v>
      </c>
      <c r="B2222">
        <v>8416891</v>
      </c>
      <c r="C2222">
        <v>8416616</v>
      </c>
      <c r="E2222">
        <v>25.774169594181817</v>
      </c>
      <c r="F2222">
        <v>0</v>
      </c>
      <c r="G2222">
        <v>0</v>
      </c>
      <c r="H2222">
        <v>3.2776400639999998E-3</v>
      </c>
      <c r="I2222" t="s">
        <v>176</v>
      </c>
      <c r="J2222">
        <v>1.042885474909091</v>
      </c>
      <c r="K2222">
        <v>26.820332709154908</v>
      </c>
      <c r="L2222">
        <v>0.10678156361357313</v>
      </c>
      <c r="M2222">
        <v>0.64068938168143874</v>
      </c>
      <c r="N2222">
        <v>27.461022090836348</v>
      </c>
      <c r="O2222" t="s">
        <v>177</v>
      </c>
      <c r="P2222">
        <v>1.6092199625492944</v>
      </c>
      <c r="Q2222" t="s">
        <v>177</v>
      </c>
      <c r="R2222">
        <v>3.8441362900886324E-2</v>
      </c>
      <c r="S2222" t="s">
        <v>178</v>
      </c>
      <c r="T2222">
        <v>3.2953226509003617</v>
      </c>
      <c r="U2222" t="s">
        <v>90</v>
      </c>
      <c r="V2222">
        <v>0</v>
      </c>
      <c r="W2222" t="s">
        <v>90</v>
      </c>
      <c r="X2222">
        <v>0</v>
      </c>
      <c r="Y2222">
        <v>32.404006067186891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K2222" t="s">
        <v>7325</v>
      </c>
      <c r="AM2222">
        <v>400000</v>
      </c>
      <c r="AN2222" t="s">
        <v>97</v>
      </c>
      <c r="AO2222">
        <v>2</v>
      </c>
      <c r="AP2222">
        <v>0</v>
      </c>
      <c r="AQ2222">
        <v>33333.333333333336</v>
      </c>
      <c r="AR2222" t="s">
        <v>7582</v>
      </c>
      <c r="AS2222" t="s">
        <v>75</v>
      </c>
      <c r="AW2222">
        <v>0</v>
      </c>
      <c r="AX2222" t="s">
        <v>76</v>
      </c>
      <c r="AY2222" t="s">
        <v>176</v>
      </c>
      <c r="AZ2222">
        <v>0</v>
      </c>
      <c r="BA2222" t="s">
        <v>176</v>
      </c>
      <c r="BB2222">
        <v>0</v>
      </c>
    </row>
    <row r="2223" spans="1:54" x14ac:dyDescent="0.15">
      <c r="A2223" s="4" t="str">
        <f>HYPERLINK("https://ibp.a2mac1.com/costing(costing:projects/details/9760/part/8416892)","Part 01 (single/main/front)")</f>
        <v>Part 01 (single/main/front)</v>
      </c>
      <c r="B2223">
        <v>8416892</v>
      </c>
      <c r="C2223">
        <v>8416617</v>
      </c>
      <c r="E2223">
        <v>16.365968030181818</v>
      </c>
      <c r="F2223">
        <v>0</v>
      </c>
      <c r="G2223">
        <v>0</v>
      </c>
      <c r="H2223">
        <v>2.0812213680000001E-3</v>
      </c>
      <c r="I2223" t="s">
        <v>176</v>
      </c>
      <c r="J2223">
        <v>0.66220679890909095</v>
      </c>
      <c r="K2223">
        <v>17.03025605045891</v>
      </c>
      <c r="L2223">
        <v>0.10678156361357313</v>
      </c>
      <c r="M2223">
        <v>0.64068938168143874</v>
      </c>
      <c r="N2223">
        <v>17.670945432140346</v>
      </c>
      <c r="O2223" t="s">
        <v>177</v>
      </c>
      <c r="P2223">
        <v>1.0218153630275346</v>
      </c>
      <c r="Q2223" t="s">
        <v>177</v>
      </c>
      <c r="R2223">
        <v>3.8441362900886324E-2</v>
      </c>
      <c r="S2223" t="s">
        <v>178</v>
      </c>
      <c r="T2223">
        <v>2.1205134518568416</v>
      </c>
      <c r="U2223" t="s">
        <v>90</v>
      </c>
      <c r="V2223">
        <v>0</v>
      </c>
      <c r="W2223" t="s">
        <v>90</v>
      </c>
      <c r="X2223">
        <v>0</v>
      </c>
      <c r="Y2223">
        <v>20.851715609925609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K2223" t="s">
        <v>7325</v>
      </c>
      <c r="AM2223">
        <v>400000</v>
      </c>
      <c r="AN2223" t="s">
        <v>97</v>
      </c>
      <c r="AO2223">
        <v>2</v>
      </c>
      <c r="AP2223">
        <v>0</v>
      </c>
      <c r="AQ2223">
        <v>33333.333333333336</v>
      </c>
      <c r="AR2223" t="s">
        <v>7589</v>
      </c>
      <c r="AS2223" t="s">
        <v>75</v>
      </c>
      <c r="AW2223">
        <v>0</v>
      </c>
      <c r="AX2223" t="s">
        <v>76</v>
      </c>
      <c r="AY2223" t="s">
        <v>176</v>
      </c>
      <c r="AZ2223">
        <v>0</v>
      </c>
      <c r="BA2223" t="s">
        <v>176</v>
      </c>
      <c r="BB2223">
        <v>0</v>
      </c>
    </row>
    <row r="2224" spans="1:54" x14ac:dyDescent="0.15">
      <c r="A2224" s="4" t="str">
        <f>HYPERLINK("https://ibp.a2mac1.com/costing(costing:projects/details/9760/part/8416893)","Part 01 (single/main)")</f>
        <v>Part 01 (single/main)</v>
      </c>
      <c r="B2224">
        <v>8416893</v>
      </c>
      <c r="C2224">
        <v>8416618</v>
      </c>
      <c r="E2224">
        <v>3.5351949230769231E-2</v>
      </c>
      <c r="F2224">
        <v>0</v>
      </c>
      <c r="G2224">
        <v>0</v>
      </c>
      <c r="H2224">
        <v>4.3449323076923081E-6</v>
      </c>
      <c r="I2224" t="s">
        <v>176</v>
      </c>
      <c r="J2224">
        <v>1.3824784615384614E-3</v>
      </c>
      <c r="K2224">
        <v>3.6738772624615383E-2</v>
      </c>
      <c r="L2224">
        <v>3.9320942634972159E-3</v>
      </c>
      <c r="M2224">
        <v>2.3592565580983296E-2</v>
      </c>
      <c r="N2224">
        <v>6.0331338205598682E-2</v>
      </c>
      <c r="O2224" t="s">
        <v>177</v>
      </c>
      <c r="P2224">
        <v>2.204326357476923E-3</v>
      </c>
      <c r="Q2224" t="s">
        <v>177</v>
      </c>
      <c r="R2224">
        <v>1.4155539348589977E-3</v>
      </c>
      <c r="S2224" t="s">
        <v>178</v>
      </c>
      <c r="T2224">
        <v>7.2397605846718418E-3</v>
      </c>
      <c r="U2224" t="s">
        <v>90</v>
      </c>
      <c r="V2224">
        <v>0</v>
      </c>
      <c r="W2224" t="s">
        <v>90</v>
      </c>
      <c r="X2224">
        <v>0</v>
      </c>
      <c r="Y2224">
        <v>7.1190979082606437E-2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K2224" t="s">
        <v>7325</v>
      </c>
      <c r="AM2224">
        <v>400000</v>
      </c>
      <c r="AN2224" t="s">
        <v>97</v>
      </c>
      <c r="AO2224">
        <v>2</v>
      </c>
      <c r="AP2224">
        <v>0</v>
      </c>
      <c r="AQ2224">
        <v>33333.333333333336</v>
      </c>
      <c r="AR2224" t="s">
        <v>7594</v>
      </c>
      <c r="AS2224" t="s">
        <v>75</v>
      </c>
      <c r="AW2224">
        <v>0</v>
      </c>
      <c r="AX2224" t="s">
        <v>76</v>
      </c>
      <c r="AY2224" t="s">
        <v>176</v>
      </c>
      <c r="AZ2224">
        <v>0</v>
      </c>
      <c r="BA2224" t="s">
        <v>176</v>
      </c>
      <c r="BB2224">
        <v>0</v>
      </c>
    </row>
    <row r="2225" spans="1:54" x14ac:dyDescent="0.15">
      <c r="A2225" s="4" t="str">
        <f>HYPERLINK("https://ibp.a2mac1.com/costing(costing:projects/details/9760/part/8416894)","Part 01 (single/main/upper)")</f>
        <v>Part 01 (single/main/upper)</v>
      </c>
      <c r="B2225">
        <v>8416894</v>
      </c>
      <c r="C2225">
        <v>8416619</v>
      </c>
      <c r="E2225">
        <v>13.107557532</v>
      </c>
      <c r="F2225">
        <v>0</v>
      </c>
      <c r="G2225">
        <v>0</v>
      </c>
      <c r="H2225">
        <v>1.6962721512E-3</v>
      </c>
      <c r="I2225" t="s">
        <v>176</v>
      </c>
      <c r="J2225">
        <v>0.53972295719999996</v>
      </c>
      <c r="K2225">
        <v>13.6489767613512</v>
      </c>
      <c r="L2225">
        <v>2.8020634255963642E-2</v>
      </c>
      <c r="M2225">
        <v>0.16812380553578185</v>
      </c>
      <c r="N2225">
        <v>13.817100566886982</v>
      </c>
      <c r="O2225" t="s">
        <v>177</v>
      </c>
      <c r="P2225">
        <v>0.81893860568107202</v>
      </c>
      <c r="Q2225" t="s">
        <v>177</v>
      </c>
      <c r="R2225">
        <v>1.0087428332146911E-2</v>
      </c>
      <c r="S2225" t="s">
        <v>178</v>
      </c>
      <c r="T2225">
        <v>1.6580520680264379</v>
      </c>
      <c r="U2225" t="s">
        <v>90</v>
      </c>
      <c r="V2225">
        <v>0</v>
      </c>
      <c r="W2225" t="s">
        <v>90</v>
      </c>
      <c r="X2225">
        <v>0</v>
      </c>
      <c r="Y2225">
        <v>16.304178668926639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K2225" t="s">
        <v>7325</v>
      </c>
      <c r="AM2225">
        <v>400000</v>
      </c>
      <c r="AN2225" t="s">
        <v>97</v>
      </c>
      <c r="AO2225">
        <v>2</v>
      </c>
      <c r="AP2225">
        <v>0</v>
      </c>
      <c r="AQ2225">
        <v>33333.333333333336</v>
      </c>
      <c r="AR2225" t="s">
        <v>7603</v>
      </c>
      <c r="AS2225" t="s">
        <v>75</v>
      </c>
      <c r="AW2225">
        <v>0</v>
      </c>
      <c r="AX2225" t="s">
        <v>76</v>
      </c>
      <c r="AY2225" t="s">
        <v>176</v>
      </c>
      <c r="AZ2225">
        <v>0</v>
      </c>
      <c r="BA2225" t="s">
        <v>176</v>
      </c>
      <c r="BB2225">
        <v>0</v>
      </c>
    </row>
    <row r="2226" spans="1:54" x14ac:dyDescent="0.15">
      <c r="A2226" s="4" t="str">
        <f>HYPERLINK("https://ibp.a2mac1.com/costing(costing:projects/details/9760/part/8416895)","Part 01 (single/main)")</f>
        <v>Part 01 (single/main)</v>
      </c>
      <c r="B2226">
        <v>8416895</v>
      </c>
      <c r="C2226">
        <v>8416620</v>
      </c>
      <c r="E2226">
        <v>0.38887144153846154</v>
      </c>
      <c r="F2226">
        <v>0</v>
      </c>
      <c r="G2226">
        <v>0</v>
      </c>
      <c r="H2226">
        <v>4.7794255384615382E-5</v>
      </c>
      <c r="I2226" t="s">
        <v>176</v>
      </c>
      <c r="J2226">
        <v>1.5207263076923078E-2</v>
      </c>
      <c r="K2226">
        <v>0.40412649887076924</v>
      </c>
      <c r="L2226">
        <v>1.6357428824467144E-2</v>
      </c>
      <c r="M2226">
        <v>9.8144572946802858E-2</v>
      </c>
      <c r="N2226">
        <v>0.50227107181757213</v>
      </c>
      <c r="O2226" t="s">
        <v>177</v>
      </c>
      <c r="P2226">
        <v>2.4247589932246155E-2</v>
      </c>
      <c r="Q2226" t="s">
        <v>177</v>
      </c>
      <c r="R2226">
        <v>5.8886743768081715E-3</v>
      </c>
      <c r="S2226" t="s">
        <v>178</v>
      </c>
      <c r="T2226">
        <v>6.0272528618108653E-2</v>
      </c>
      <c r="U2226" t="s">
        <v>90</v>
      </c>
      <c r="V2226">
        <v>0</v>
      </c>
      <c r="W2226" t="s">
        <v>90</v>
      </c>
      <c r="X2226">
        <v>0</v>
      </c>
      <c r="Y2226">
        <v>0.59267986474473511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K2226" t="s">
        <v>7325</v>
      </c>
      <c r="AM2226">
        <v>400000</v>
      </c>
      <c r="AN2226" t="s">
        <v>97</v>
      </c>
      <c r="AO2226">
        <v>2</v>
      </c>
      <c r="AP2226">
        <v>0</v>
      </c>
      <c r="AQ2226">
        <v>33333.333333333336</v>
      </c>
      <c r="AR2226" t="s">
        <v>7610</v>
      </c>
      <c r="AS2226" t="s">
        <v>75</v>
      </c>
      <c r="AW2226">
        <v>0</v>
      </c>
      <c r="AX2226" t="s">
        <v>76</v>
      </c>
      <c r="AY2226" t="s">
        <v>176</v>
      </c>
      <c r="AZ2226">
        <v>0</v>
      </c>
      <c r="BA2226" t="s">
        <v>176</v>
      </c>
      <c r="BB2226">
        <v>0</v>
      </c>
    </row>
    <row r="2227" spans="1:54" x14ac:dyDescent="0.15">
      <c r="A2227" s="4" t="str">
        <f>HYPERLINK("https://ibp.a2mac1.com/costing(costing:projects/details/9760/part/8416896)","Part 02")</f>
        <v>Part 02</v>
      </c>
      <c r="B2227">
        <v>8416896</v>
      </c>
      <c r="C2227">
        <v>8416620</v>
      </c>
      <c r="E2227">
        <v>0.30638356</v>
      </c>
      <c r="F2227">
        <v>0</v>
      </c>
      <c r="G2227">
        <v>0</v>
      </c>
      <c r="H2227">
        <v>3.7656079999999999E-5</v>
      </c>
      <c r="I2227" t="s">
        <v>176</v>
      </c>
      <c r="J2227">
        <v>1.1981479999999999E-2</v>
      </c>
      <c r="K2227">
        <v>0.31840269607999999</v>
      </c>
      <c r="L2227">
        <v>1.6357428824467144E-2</v>
      </c>
      <c r="M2227">
        <v>9.8144572946802858E-2</v>
      </c>
      <c r="N2227">
        <v>0.41654726902680284</v>
      </c>
      <c r="O2227" t="s">
        <v>177</v>
      </c>
      <c r="P2227">
        <v>1.9104161764799999E-2</v>
      </c>
      <c r="Q2227" t="s">
        <v>177</v>
      </c>
      <c r="R2227">
        <v>5.8886743768081715E-3</v>
      </c>
      <c r="S2227" t="s">
        <v>178</v>
      </c>
      <c r="T2227">
        <v>4.9985672283216341E-2</v>
      </c>
      <c r="U2227" t="s">
        <v>90</v>
      </c>
      <c r="V2227">
        <v>0</v>
      </c>
      <c r="W2227" t="s">
        <v>90</v>
      </c>
      <c r="X2227">
        <v>0</v>
      </c>
      <c r="Y2227">
        <v>0.4915257774516274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K2227" t="s">
        <v>7325</v>
      </c>
      <c r="AM2227">
        <v>400000</v>
      </c>
      <c r="AN2227" t="s">
        <v>97</v>
      </c>
      <c r="AO2227">
        <v>2</v>
      </c>
      <c r="AP2227">
        <v>0</v>
      </c>
      <c r="AQ2227">
        <v>33333.333333333336</v>
      </c>
      <c r="AR2227" t="s">
        <v>7614</v>
      </c>
      <c r="AS2227" t="s">
        <v>75</v>
      </c>
      <c r="AW2227">
        <v>0</v>
      </c>
      <c r="AX2227" t="s">
        <v>76</v>
      </c>
      <c r="AY2227" t="s">
        <v>176</v>
      </c>
      <c r="AZ2227">
        <v>0</v>
      </c>
      <c r="BA2227" t="s">
        <v>176</v>
      </c>
      <c r="BB2227">
        <v>0</v>
      </c>
    </row>
    <row r="2228" spans="1:54" x14ac:dyDescent="0.15">
      <c r="A2228" s="4" t="str">
        <f>HYPERLINK("https://ibp.a2mac1.com/costing(costing:projects/details/9760/part/8416897)","Part 01 (single/main)")</f>
        <v>Part 01 (single/main)</v>
      </c>
      <c r="B2228">
        <v>8416897</v>
      </c>
      <c r="C2228">
        <v>8416621</v>
      </c>
      <c r="E2228">
        <v>0.16529552</v>
      </c>
      <c r="F2228">
        <v>0</v>
      </c>
      <c r="G2228">
        <v>0</v>
      </c>
      <c r="H2228">
        <v>1.9980777142857142E-5</v>
      </c>
      <c r="I2228" t="s">
        <v>176</v>
      </c>
      <c r="J2228">
        <v>6.3575200000000002E-3</v>
      </c>
      <c r="K2228">
        <v>0.17167302077714286</v>
      </c>
      <c r="L2228">
        <v>1.2017019305024818E-2</v>
      </c>
      <c r="M2228">
        <v>7.2102115830148902E-2</v>
      </c>
      <c r="N2228">
        <v>0.24377513660729178</v>
      </c>
      <c r="O2228" t="s">
        <v>177</v>
      </c>
      <c r="P2228">
        <v>1.0300381246628571E-2</v>
      </c>
      <c r="Q2228" t="s">
        <v>177</v>
      </c>
      <c r="R2228">
        <v>4.3261269498089342E-3</v>
      </c>
      <c r="S2228" t="s">
        <v>178</v>
      </c>
      <c r="T2228">
        <v>2.9253016392875014E-2</v>
      </c>
      <c r="U2228" t="s">
        <v>90</v>
      </c>
      <c r="V2228">
        <v>0</v>
      </c>
      <c r="W2228" t="s">
        <v>90</v>
      </c>
      <c r="X2228">
        <v>0</v>
      </c>
      <c r="Y2228">
        <v>0.28765466119660427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K2228" t="s">
        <v>7325</v>
      </c>
      <c r="AM2228">
        <v>400000</v>
      </c>
      <c r="AN2228" t="s">
        <v>97</v>
      </c>
      <c r="AO2228">
        <v>2</v>
      </c>
      <c r="AP2228">
        <v>0</v>
      </c>
      <c r="AQ2228">
        <v>33333.333333333336</v>
      </c>
      <c r="AR2228" t="s">
        <v>7620</v>
      </c>
      <c r="AS2228" t="s">
        <v>75</v>
      </c>
      <c r="AW2228">
        <v>0</v>
      </c>
      <c r="AX2228" t="s">
        <v>76</v>
      </c>
      <c r="AY2228" t="s">
        <v>176</v>
      </c>
      <c r="AZ2228">
        <v>0</v>
      </c>
      <c r="BA2228" t="s">
        <v>176</v>
      </c>
      <c r="BB2228">
        <v>0</v>
      </c>
    </row>
    <row r="2229" spans="1:54" x14ac:dyDescent="0.15">
      <c r="A2229" s="4" t="str">
        <f>HYPERLINK("https://ibp.a2mac1.com/costing(costing:projects/details/9760/part/8416898)","Part 01 (single/main/upper)")</f>
        <v>Part 01 (single/main/upper)</v>
      </c>
      <c r="B2229">
        <v>8416898</v>
      </c>
      <c r="C2229">
        <v>8416622</v>
      </c>
      <c r="E2229">
        <v>23.021884908000001</v>
      </c>
      <c r="F2229">
        <v>0</v>
      </c>
      <c r="G2229">
        <v>0</v>
      </c>
      <c r="H2229">
        <v>2.9793027527999999E-3</v>
      </c>
      <c r="I2229" t="s">
        <v>176</v>
      </c>
      <c r="J2229">
        <v>0.94795996680000005</v>
      </c>
      <c r="K2229">
        <v>23.972824177552798</v>
      </c>
      <c r="L2229">
        <v>0.84188388668750502</v>
      </c>
      <c r="M2229">
        <v>5.0513033201250295</v>
      </c>
      <c r="N2229">
        <v>29.024127497677831</v>
      </c>
      <c r="O2229" t="s">
        <v>177</v>
      </c>
      <c r="P2229">
        <v>1.4383694506531679</v>
      </c>
      <c r="Q2229" t="s">
        <v>177</v>
      </c>
      <c r="R2229">
        <v>0.30307819920750179</v>
      </c>
      <c r="S2229" t="s">
        <v>178</v>
      </c>
      <c r="T2229">
        <v>3.4828952997213394</v>
      </c>
      <c r="U2229" t="s">
        <v>90</v>
      </c>
      <c r="V2229">
        <v>0</v>
      </c>
      <c r="W2229" t="s">
        <v>90</v>
      </c>
      <c r="X2229">
        <v>0</v>
      </c>
      <c r="Y2229">
        <v>34.248470447259841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K2229" t="s">
        <v>7325</v>
      </c>
      <c r="AM2229">
        <v>400000</v>
      </c>
      <c r="AN2229" t="s">
        <v>97</v>
      </c>
      <c r="AO2229">
        <v>2</v>
      </c>
      <c r="AP2229">
        <v>0</v>
      </c>
      <c r="AQ2229">
        <v>33333.333333333336</v>
      </c>
      <c r="AR2229" t="s">
        <v>7629</v>
      </c>
      <c r="AS2229" t="s">
        <v>75</v>
      </c>
      <c r="AW2229">
        <v>0</v>
      </c>
      <c r="AX2229" t="s">
        <v>76</v>
      </c>
      <c r="AY2229" t="s">
        <v>176</v>
      </c>
      <c r="AZ2229">
        <v>0</v>
      </c>
      <c r="BA2229" t="s">
        <v>176</v>
      </c>
      <c r="BB2229">
        <v>0</v>
      </c>
    </row>
    <row r="2230" spans="1:54" x14ac:dyDescent="0.15">
      <c r="A2230" s="4" t="str">
        <f>HYPERLINK("https://ibp.a2mac1.com/costing(costing:projects/details/9760/part/8416899)","Part 01 (single/main/front)")</f>
        <v>Part 01 (single/main/front)</v>
      </c>
      <c r="B2230">
        <v>8416899</v>
      </c>
      <c r="C2230">
        <v>8416623</v>
      </c>
      <c r="E2230">
        <v>13.705645557818182</v>
      </c>
      <c r="F2230">
        <v>0</v>
      </c>
      <c r="G2230">
        <v>0</v>
      </c>
      <c r="H2230">
        <v>1.742914464E-3</v>
      </c>
      <c r="I2230" t="s">
        <v>176</v>
      </c>
      <c r="J2230">
        <v>0.55456369309090914</v>
      </c>
      <c r="K2230">
        <v>14.26195216537309</v>
      </c>
      <c r="L2230">
        <v>0.84188388668750502</v>
      </c>
      <c r="M2230">
        <v>5.0513033201250295</v>
      </c>
      <c r="N2230">
        <v>19.313255485498122</v>
      </c>
      <c r="O2230" t="s">
        <v>177</v>
      </c>
      <c r="P2230">
        <v>0.85571712992238547</v>
      </c>
      <c r="Q2230" t="s">
        <v>177</v>
      </c>
      <c r="R2230">
        <v>0.30307819920750179</v>
      </c>
      <c r="S2230" t="s">
        <v>178</v>
      </c>
      <c r="T2230">
        <v>2.3175906582597743</v>
      </c>
      <c r="U2230" t="s">
        <v>90</v>
      </c>
      <c r="V2230">
        <v>0</v>
      </c>
      <c r="W2230" t="s">
        <v>90</v>
      </c>
      <c r="X2230">
        <v>0</v>
      </c>
      <c r="Y2230">
        <v>22.789641472887784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K2230" t="s">
        <v>7325</v>
      </c>
      <c r="AM2230">
        <v>400000</v>
      </c>
      <c r="AN2230" t="s">
        <v>97</v>
      </c>
      <c r="AO2230">
        <v>2</v>
      </c>
      <c r="AP2230">
        <v>0</v>
      </c>
      <c r="AQ2230">
        <v>33333.333333333336</v>
      </c>
      <c r="AR2230" t="s">
        <v>7636</v>
      </c>
      <c r="AS2230" t="s">
        <v>75</v>
      </c>
      <c r="AW2230">
        <v>0</v>
      </c>
      <c r="AX2230" t="s">
        <v>76</v>
      </c>
      <c r="AY2230" t="s">
        <v>176</v>
      </c>
      <c r="AZ2230">
        <v>0</v>
      </c>
      <c r="BA2230" t="s">
        <v>176</v>
      </c>
      <c r="BB2230">
        <v>0</v>
      </c>
    </row>
    <row r="2231" spans="1:54" x14ac:dyDescent="0.15">
      <c r="A2231" s="4" t="str">
        <f>HYPERLINK("https://ibp.a2mac1.com/costing(costing:projects/details/9760/part/8416900)","Part 01 (single/main)")</f>
        <v>Part 01 (single/main)</v>
      </c>
      <c r="B2231">
        <v>8416900</v>
      </c>
      <c r="C2231">
        <v>8416624</v>
      </c>
      <c r="E2231">
        <v>0.33670403999999998</v>
      </c>
      <c r="F2231">
        <v>0</v>
      </c>
      <c r="G2231">
        <v>0</v>
      </c>
      <c r="H2231">
        <v>4.3573464E-5</v>
      </c>
      <c r="I2231" t="s">
        <v>176</v>
      </c>
      <c r="J2231">
        <v>1.3864283999999999E-2</v>
      </c>
      <c r="K2231">
        <v>0.35061189746400001</v>
      </c>
      <c r="L2231">
        <v>1.2017019305024818E-2</v>
      </c>
      <c r="M2231">
        <v>7.2102115830148902E-2</v>
      </c>
      <c r="N2231">
        <v>0.42271401329414893</v>
      </c>
      <c r="O2231" t="s">
        <v>177</v>
      </c>
      <c r="P2231">
        <v>2.1036713847840002E-2</v>
      </c>
      <c r="Q2231" t="s">
        <v>177</v>
      </c>
      <c r="R2231">
        <v>4.3261269498089342E-3</v>
      </c>
      <c r="S2231" t="s">
        <v>178</v>
      </c>
      <c r="T2231">
        <v>5.0725681595297868E-2</v>
      </c>
      <c r="U2231" t="s">
        <v>90</v>
      </c>
      <c r="V2231">
        <v>0</v>
      </c>
      <c r="W2231" t="s">
        <v>90</v>
      </c>
      <c r="X2231">
        <v>0</v>
      </c>
      <c r="Y2231">
        <v>0.4988025356870957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K2231" t="s">
        <v>7325</v>
      </c>
      <c r="AM2231">
        <v>400000</v>
      </c>
      <c r="AN2231" t="s">
        <v>97</v>
      </c>
      <c r="AO2231">
        <v>2</v>
      </c>
      <c r="AP2231">
        <v>0</v>
      </c>
      <c r="AQ2231">
        <v>33333.333333333336</v>
      </c>
      <c r="AR2231" t="s">
        <v>7642</v>
      </c>
      <c r="AS2231" t="s">
        <v>75</v>
      </c>
      <c r="AW2231">
        <v>0</v>
      </c>
      <c r="AX2231" t="s">
        <v>76</v>
      </c>
      <c r="AY2231" t="s">
        <v>176</v>
      </c>
      <c r="AZ2231">
        <v>0</v>
      </c>
      <c r="BA2231" t="s">
        <v>176</v>
      </c>
      <c r="BB2231">
        <v>0</v>
      </c>
    </row>
    <row r="2232" spans="1:54" x14ac:dyDescent="0.15">
      <c r="A2232" s="4" t="str">
        <f>HYPERLINK("https://ibp.a2mac1.com/costing(costing:projects/details/9760/part/8416901)","Part 02")</f>
        <v>Part 02</v>
      </c>
      <c r="B2232">
        <v>8416901</v>
      </c>
      <c r="C2232">
        <v>8416624</v>
      </c>
      <c r="E2232">
        <v>6.9932720000000004E-2</v>
      </c>
      <c r="F2232">
        <v>0</v>
      </c>
      <c r="G2232">
        <v>0</v>
      </c>
      <c r="H2232">
        <v>8.4534057142857148E-6</v>
      </c>
      <c r="I2232" t="s">
        <v>176</v>
      </c>
      <c r="J2232">
        <v>2.68972E-3</v>
      </c>
      <c r="K2232">
        <v>7.2630893405714284E-2</v>
      </c>
      <c r="L2232">
        <v>1.0563353023009073E-2</v>
      </c>
      <c r="M2232">
        <v>6.3380118138054442E-2</v>
      </c>
      <c r="N2232">
        <v>0.13601101154376874</v>
      </c>
      <c r="O2232" t="s">
        <v>177</v>
      </c>
      <c r="P2232">
        <v>4.3578536043428571E-3</v>
      </c>
      <c r="Q2232" t="s">
        <v>177</v>
      </c>
      <c r="R2232">
        <v>3.8028070882832666E-3</v>
      </c>
      <c r="S2232" t="s">
        <v>178</v>
      </c>
      <c r="T2232">
        <v>1.6321321385252247E-2</v>
      </c>
      <c r="U2232" t="s">
        <v>90</v>
      </c>
      <c r="V2232">
        <v>0</v>
      </c>
      <c r="W2232" t="s">
        <v>90</v>
      </c>
      <c r="X2232">
        <v>0</v>
      </c>
      <c r="Y2232">
        <v>0.1604929936216471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K2232" t="s">
        <v>7325</v>
      </c>
      <c r="AM2232">
        <v>400000</v>
      </c>
      <c r="AN2232" t="s">
        <v>97</v>
      </c>
      <c r="AO2232">
        <v>2</v>
      </c>
      <c r="AP2232">
        <v>0</v>
      </c>
      <c r="AQ2232">
        <v>33333.333333333336</v>
      </c>
      <c r="AR2232" t="s">
        <v>7645</v>
      </c>
      <c r="AS2232" t="s">
        <v>75</v>
      </c>
      <c r="AW2232">
        <v>0</v>
      </c>
      <c r="AX2232" t="s">
        <v>76</v>
      </c>
      <c r="AY2232" t="s">
        <v>176</v>
      </c>
      <c r="AZ2232">
        <v>0</v>
      </c>
      <c r="BA2232" t="s">
        <v>176</v>
      </c>
      <c r="BB2232">
        <v>0</v>
      </c>
    </row>
    <row r="2233" spans="1:54" x14ac:dyDescent="0.15">
      <c r="A2233" s="4" t="str">
        <f>HYPERLINK("https://ibp.a2mac1.com/costing(costing:projects/details/9760/part/8416902)","Part 01 (single/main)")</f>
        <v>Part 01 (single/main)</v>
      </c>
      <c r="B2233">
        <v>8416902</v>
      </c>
      <c r="C2233">
        <v>8416625</v>
      </c>
      <c r="E2233">
        <v>5.6025644999999999E-2</v>
      </c>
      <c r="F2233">
        <v>0</v>
      </c>
      <c r="G2233">
        <v>0</v>
      </c>
      <c r="H2233">
        <v>6.5561925000000003E-6</v>
      </c>
      <c r="I2233" t="s">
        <v>176</v>
      </c>
      <c r="J2233">
        <v>2.08606125E-3</v>
      </c>
      <c r="K2233">
        <v>5.8118262442499999E-2</v>
      </c>
      <c r="L2233">
        <v>3.9320942634972159E-3</v>
      </c>
      <c r="M2233">
        <v>2.3592565580983296E-2</v>
      </c>
      <c r="N2233">
        <v>8.1710828023483298E-2</v>
      </c>
      <c r="O2233" t="s">
        <v>177</v>
      </c>
      <c r="P2233">
        <v>3.4870957465500002E-3</v>
      </c>
      <c r="Q2233" t="s">
        <v>177</v>
      </c>
      <c r="R2233">
        <v>1.4155539348589977E-3</v>
      </c>
      <c r="S2233" t="s">
        <v>178</v>
      </c>
      <c r="T2233">
        <v>9.8052993628179961E-3</v>
      </c>
      <c r="U2233" t="s">
        <v>90</v>
      </c>
      <c r="V2233">
        <v>0</v>
      </c>
      <c r="W2233" t="s">
        <v>90</v>
      </c>
      <c r="X2233">
        <v>0</v>
      </c>
      <c r="Y2233">
        <v>9.6418777067710293E-2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K2233" t="s">
        <v>7325</v>
      </c>
      <c r="AM2233">
        <v>400000</v>
      </c>
      <c r="AN2233" t="s">
        <v>97</v>
      </c>
      <c r="AO2233">
        <v>2</v>
      </c>
      <c r="AP2233">
        <v>0</v>
      </c>
      <c r="AQ2233">
        <v>33333.333333333336</v>
      </c>
      <c r="AR2233" t="s">
        <v>7652</v>
      </c>
      <c r="AS2233" t="s">
        <v>75</v>
      </c>
      <c r="AW2233">
        <v>0</v>
      </c>
      <c r="AX2233" t="s">
        <v>76</v>
      </c>
      <c r="AY2233" t="s">
        <v>176</v>
      </c>
      <c r="AZ2233">
        <v>0</v>
      </c>
      <c r="BA2233" t="s">
        <v>176</v>
      </c>
      <c r="BB2233">
        <v>0</v>
      </c>
    </row>
    <row r="2234" spans="1:54" x14ac:dyDescent="0.15">
      <c r="A2234" s="4" t="str">
        <f>HYPERLINK("https://ibp.a2mac1.com/costing(costing:projects/details/9760/part/8416903)","Part 02")</f>
        <v>Part 02</v>
      </c>
      <c r="B2234">
        <v>8416903</v>
      </c>
      <c r="C2234">
        <v>8416625</v>
      </c>
      <c r="E2234">
        <v>4.7803659999999998E-2</v>
      </c>
      <c r="F2234">
        <v>0</v>
      </c>
      <c r="G2234">
        <v>0</v>
      </c>
      <c r="H2234">
        <v>6.1863560000000002E-6</v>
      </c>
      <c r="I2234" t="s">
        <v>176</v>
      </c>
      <c r="J2234">
        <v>1.9683859999999999E-3</v>
      </c>
      <c r="K2234">
        <v>4.9778232355999999E-2</v>
      </c>
      <c r="L2234">
        <v>7.20131041548276E-3</v>
      </c>
      <c r="M2234">
        <v>4.3207862492896557E-2</v>
      </c>
      <c r="N2234">
        <v>9.2986094848896556E-2</v>
      </c>
      <c r="O2234" t="s">
        <v>177</v>
      </c>
      <c r="P2234">
        <v>2.9866939413599998E-3</v>
      </c>
      <c r="Q2234" t="s">
        <v>177</v>
      </c>
      <c r="R2234">
        <v>2.5924717495737935E-3</v>
      </c>
      <c r="S2234" t="s">
        <v>178</v>
      </c>
      <c r="T2234">
        <v>1.1158331381867587E-2</v>
      </c>
      <c r="U2234" t="s">
        <v>90</v>
      </c>
      <c r="V2234">
        <v>0</v>
      </c>
      <c r="W2234" t="s">
        <v>90</v>
      </c>
      <c r="X2234">
        <v>0</v>
      </c>
      <c r="Y2234">
        <v>0.10972359192169794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K2234" t="s">
        <v>7325</v>
      </c>
      <c r="AM2234">
        <v>400000</v>
      </c>
      <c r="AN2234" t="s">
        <v>97</v>
      </c>
      <c r="AO2234">
        <v>2</v>
      </c>
      <c r="AP2234">
        <v>0</v>
      </c>
      <c r="AQ2234">
        <v>33333.333333333336</v>
      </c>
      <c r="AR2234" t="s">
        <v>7656</v>
      </c>
      <c r="AS2234" t="s">
        <v>75</v>
      </c>
      <c r="AW2234">
        <v>0</v>
      </c>
      <c r="AX2234" t="s">
        <v>76</v>
      </c>
      <c r="AY2234" t="s">
        <v>176</v>
      </c>
      <c r="AZ2234">
        <v>0</v>
      </c>
      <c r="BA2234" t="s">
        <v>176</v>
      </c>
      <c r="BB2234">
        <v>0</v>
      </c>
    </row>
    <row r="2235" spans="1:54" x14ac:dyDescent="0.15">
      <c r="A2235" s="4" t="str">
        <f>HYPERLINK("https://ibp.a2mac1.com/costing(costing:projects/details/9760/part/8416904)","Part 01 (single/main/upper)")</f>
        <v>Part 01 (single/main/upper)</v>
      </c>
      <c r="B2235">
        <v>8416904</v>
      </c>
      <c r="C2235">
        <v>8416626</v>
      </c>
      <c r="E2235">
        <v>4.852540153333333</v>
      </c>
      <c r="F2235">
        <v>0</v>
      </c>
      <c r="G2235">
        <v>0</v>
      </c>
      <c r="H2235">
        <v>6.3925678666666664E-4</v>
      </c>
      <c r="I2235" t="s">
        <v>176</v>
      </c>
      <c r="J2235">
        <v>0.20339988666666667</v>
      </c>
      <c r="K2235">
        <v>5.0565792967866665</v>
      </c>
      <c r="L2235">
        <v>6.879874280571327E-2</v>
      </c>
      <c r="M2235">
        <v>0.41279245683427962</v>
      </c>
      <c r="N2235">
        <v>5.4693717536209459</v>
      </c>
      <c r="O2235" t="s">
        <v>177</v>
      </c>
      <c r="P2235">
        <v>0.30339475780719999</v>
      </c>
      <c r="Q2235" t="s">
        <v>177</v>
      </c>
      <c r="R2235">
        <v>2.4767547410056778E-2</v>
      </c>
      <c r="S2235" t="s">
        <v>178</v>
      </c>
      <c r="T2235">
        <v>0.65632461043451351</v>
      </c>
      <c r="U2235" t="s">
        <v>90</v>
      </c>
      <c r="V2235">
        <v>0</v>
      </c>
      <c r="W2235" t="s">
        <v>90</v>
      </c>
      <c r="X2235">
        <v>0</v>
      </c>
      <c r="Y2235">
        <v>6.4538586692727167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K2235" t="s">
        <v>7325</v>
      </c>
      <c r="AM2235">
        <v>400000</v>
      </c>
      <c r="AN2235" t="s">
        <v>97</v>
      </c>
      <c r="AO2235">
        <v>2</v>
      </c>
      <c r="AP2235">
        <v>0</v>
      </c>
      <c r="AQ2235">
        <v>33333.333333333336</v>
      </c>
      <c r="AR2235" t="s">
        <v>7665</v>
      </c>
      <c r="AS2235" t="s">
        <v>75</v>
      </c>
      <c r="AW2235">
        <v>0</v>
      </c>
      <c r="AX2235" t="s">
        <v>76</v>
      </c>
      <c r="AY2235" t="s">
        <v>176</v>
      </c>
      <c r="AZ2235">
        <v>0</v>
      </c>
      <c r="BA2235" t="s">
        <v>176</v>
      </c>
      <c r="BB2235">
        <v>0</v>
      </c>
    </row>
    <row r="2236" spans="1:54" x14ac:dyDescent="0.15">
      <c r="A2236" s="4" t="str">
        <f>HYPERLINK("https://ibp.a2mac1.com/costing(costing:projects/details/9760/part/8416905)","Part 02")</f>
        <v>Part 02</v>
      </c>
      <c r="B2236">
        <v>8416905</v>
      </c>
      <c r="C2236">
        <v>8416626</v>
      </c>
      <c r="E2236">
        <v>0.45101713999999998</v>
      </c>
      <c r="F2236">
        <v>0</v>
      </c>
      <c r="G2236">
        <v>0</v>
      </c>
      <c r="H2236">
        <v>5.8366923999999997E-5</v>
      </c>
      <c r="I2236" t="s">
        <v>176</v>
      </c>
      <c r="J2236">
        <v>1.8571293999999999E-2</v>
      </c>
      <c r="K2236">
        <v>0.46964680092400002</v>
      </c>
      <c r="L2236">
        <v>1.6357428824467144E-2</v>
      </c>
      <c r="M2236">
        <v>9.8144572946802858E-2</v>
      </c>
      <c r="N2236">
        <v>0.56779137387080281</v>
      </c>
      <c r="O2236" t="s">
        <v>177</v>
      </c>
      <c r="P2236">
        <v>2.8178808055439999E-2</v>
      </c>
      <c r="Q2236" t="s">
        <v>177</v>
      </c>
      <c r="R2236">
        <v>5.8886743768081715E-3</v>
      </c>
      <c r="S2236" t="s">
        <v>178</v>
      </c>
      <c r="T2236">
        <v>6.8134964864496342E-2</v>
      </c>
      <c r="U2236" t="s">
        <v>90</v>
      </c>
      <c r="V2236">
        <v>0</v>
      </c>
      <c r="W2236" t="s">
        <v>90</v>
      </c>
      <c r="X2236">
        <v>0</v>
      </c>
      <c r="Y2236">
        <v>0.66999382116754735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K2236" t="s">
        <v>7325</v>
      </c>
      <c r="AM2236">
        <v>400000</v>
      </c>
      <c r="AN2236" t="s">
        <v>97</v>
      </c>
      <c r="AO2236">
        <v>2</v>
      </c>
      <c r="AP2236">
        <v>0</v>
      </c>
      <c r="AQ2236">
        <v>33333.333333333336</v>
      </c>
      <c r="AR2236" t="s">
        <v>7670</v>
      </c>
      <c r="AS2236" t="s">
        <v>75</v>
      </c>
      <c r="AW2236">
        <v>0</v>
      </c>
      <c r="AX2236" t="s">
        <v>76</v>
      </c>
      <c r="AY2236" t="s">
        <v>176</v>
      </c>
      <c r="AZ2236">
        <v>0</v>
      </c>
      <c r="BA2236" t="s">
        <v>176</v>
      </c>
      <c r="BB2236">
        <v>0</v>
      </c>
    </row>
    <row r="2237" spans="1:54" x14ac:dyDescent="0.15">
      <c r="A2237" s="4" t="str">
        <f>HYPERLINK("https://ibp.a2mac1.com/costing(costing:projects/details/9760/part/8416906)","Part 03")</f>
        <v>Part 03</v>
      </c>
      <c r="B2237">
        <v>8416906</v>
      </c>
      <c r="C2237">
        <v>8416626</v>
      </c>
      <c r="E2237">
        <v>0.28290964000000002</v>
      </c>
      <c r="F2237">
        <v>0</v>
      </c>
      <c r="G2237">
        <v>0</v>
      </c>
      <c r="H2237">
        <v>3.4197868571428571E-5</v>
      </c>
      <c r="I2237" t="s">
        <v>176</v>
      </c>
      <c r="J2237">
        <v>1.0881139999999999E-2</v>
      </c>
      <c r="K2237">
        <v>0.29382497786857142</v>
      </c>
      <c r="L2237">
        <v>1.6357428824467144E-2</v>
      </c>
      <c r="M2237">
        <v>9.8144572946802858E-2</v>
      </c>
      <c r="N2237">
        <v>0.39196955081537427</v>
      </c>
      <c r="O2237" t="s">
        <v>177</v>
      </c>
      <c r="P2237">
        <v>1.7629498672114285E-2</v>
      </c>
      <c r="Q2237" t="s">
        <v>177</v>
      </c>
      <c r="R2237">
        <v>5.8886743768081715E-3</v>
      </c>
      <c r="S2237" t="s">
        <v>178</v>
      </c>
      <c r="T2237">
        <v>4.7036346097844912E-2</v>
      </c>
      <c r="U2237" t="s">
        <v>90</v>
      </c>
      <c r="V2237">
        <v>0</v>
      </c>
      <c r="W2237" t="s">
        <v>90</v>
      </c>
      <c r="X2237">
        <v>0</v>
      </c>
      <c r="Y2237">
        <v>0.46252406996214168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K2237" t="s">
        <v>7325</v>
      </c>
      <c r="AM2237">
        <v>400000</v>
      </c>
      <c r="AN2237" t="s">
        <v>97</v>
      </c>
      <c r="AO2237">
        <v>2</v>
      </c>
      <c r="AP2237">
        <v>0</v>
      </c>
      <c r="AQ2237">
        <v>33333.333333333336</v>
      </c>
      <c r="AR2237" t="s">
        <v>7674</v>
      </c>
      <c r="AS2237" t="s">
        <v>75</v>
      </c>
      <c r="AW2237">
        <v>0</v>
      </c>
      <c r="AX2237" t="s">
        <v>76</v>
      </c>
      <c r="AY2237" t="s">
        <v>176</v>
      </c>
      <c r="AZ2237">
        <v>0</v>
      </c>
      <c r="BA2237" t="s">
        <v>176</v>
      </c>
      <c r="BB2237">
        <v>0</v>
      </c>
    </row>
    <row r="2238" spans="1:54" x14ac:dyDescent="0.15">
      <c r="A2238" s="4" t="str">
        <f>HYPERLINK("https://ibp.a2mac1.com/costing(costing:projects/details/9760/part/8416907)","Part 01 (single/main/upper)")</f>
        <v>Part 01 (single/main/upper)</v>
      </c>
      <c r="B2238">
        <v>8416907</v>
      </c>
      <c r="C2238">
        <v>8416627</v>
      </c>
      <c r="E2238">
        <v>1.67202776</v>
      </c>
      <c r="F2238">
        <v>0</v>
      </c>
      <c r="G2238">
        <v>0</v>
      </c>
      <c r="H2238">
        <v>2.0211324571428572E-4</v>
      </c>
      <c r="I2238" t="s">
        <v>176</v>
      </c>
      <c r="J2238">
        <v>6.4308760000000006E-2</v>
      </c>
      <c r="K2238">
        <v>1.7365386332457142</v>
      </c>
      <c r="L2238">
        <v>2.0626099745884138E-2</v>
      </c>
      <c r="M2238">
        <v>0.12375659847530482</v>
      </c>
      <c r="N2238">
        <v>1.8602952317210191</v>
      </c>
      <c r="O2238" t="s">
        <v>177</v>
      </c>
      <c r="P2238">
        <v>0.10419231799474286</v>
      </c>
      <c r="Q2238" t="s">
        <v>177</v>
      </c>
      <c r="R2238">
        <v>7.4253959085182897E-3</v>
      </c>
      <c r="S2238" t="s">
        <v>178</v>
      </c>
      <c r="T2238">
        <v>0.22323542780652228</v>
      </c>
      <c r="U2238" t="s">
        <v>90</v>
      </c>
      <c r="V2238">
        <v>0</v>
      </c>
      <c r="W2238" t="s">
        <v>90</v>
      </c>
      <c r="X2238">
        <v>0</v>
      </c>
      <c r="Y2238">
        <v>2.1951483734308024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K2238" t="s">
        <v>7325</v>
      </c>
      <c r="AM2238">
        <v>400000</v>
      </c>
      <c r="AN2238" t="s">
        <v>97</v>
      </c>
      <c r="AO2238">
        <v>2</v>
      </c>
      <c r="AP2238">
        <v>0</v>
      </c>
      <c r="AQ2238">
        <v>33333.333333333336</v>
      </c>
      <c r="AR2238" t="s">
        <v>7681</v>
      </c>
      <c r="AS2238" t="s">
        <v>75</v>
      </c>
      <c r="AW2238">
        <v>0</v>
      </c>
      <c r="AX2238" t="s">
        <v>76</v>
      </c>
      <c r="AY2238" t="s">
        <v>176</v>
      </c>
      <c r="AZ2238">
        <v>0</v>
      </c>
      <c r="BA2238" t="s">
        <v>176</v>
      </c>
      <c r="BB2238">
        <v>0</v>
      </c>
    </row>
    <row r="2239" spans="1:54" x14ac:dyDescent="0.15">
      <c r="A2239" s="4" t="str">
        <f>HYPERLINK("https://ibp.a2mac1.com/costing(costing:projects/details/9760/part/8416908)","Part 02")</f>
        <v>Part 02</v>
      </c>
      <c r="B2239">
        <v>8416908</v>
      </c>
      <c r="C2239">
        <v>8416627</v>
      </c>
      <c r="E2239">
        <v>0.98309265999999995</v>
      </c>
      <c r="F2239">
        <v>0</v>
      </c>
      <c r="G2239">
        <v>0</v>
      </c>
      <c r="H2239">
        <v>1.27223756E-4</v>
      </c>
      <c r="I2239" t="s">
        <v>176</v>
      </c>
      <c r="J2239">
        <v>4.0480285999999997E-2</v>
      </c>
      <c r="K2239">
        <v>1.023700169756</v>
      </c>
      <c r="L2239">
        <v>6.0128692034496077E-2</v>
      </c>
      <c r="M2239">
        <v>0.36077215220697645</v>
      </c>
      <c r="N2239">
        <v>1.3844723219629764</v>
      </c>
      <c r="O2239" t="s">
        <v>177</v>
      </c>
      <c r="P2239">
        <v>6.1422010185359997E-2</v>
      </c>
      <c r="Q2239" t="s">
        <v>177</v>
      </c>
      <c r="R2239">
        <v>2.1646329132418589E-2</v>
      </c>
      <c r="S2239" t="s">
        <v>178</v>
      </c>
      <c r="T2239">
        <v>0.16613667863555717</v>
      </c>
      <c r="U2239" t="s">
        <v>90</v>
      </c>
      <c r="V2239">
        <v>0</v>
      </c>
      <c r="W2239" t="s">
        <v>90</v>
      </c>
      <c r="X2239">
        <v>0</v>
      </c>
      <c r="Y2239">
        <v>1.6336773399163123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K2239" t="s">
        <v>7325</v>
      </c>
      <c r="AM2239">
        <v>400000</v>
      </c>
      <c r="AN2239" t="s">
        <v>97</v>
      </c>
      <c r="AO2239">
        <v>2</v>
      </c>
      <c r="AP2239">
        <v>0</v>
      </c>
      <c r="AQ2239">
        <v>33333.333333333336</v>
      </c>
      <c r="AR2239" t="s">
        <v>7686</v>
      </c>
      <c r="AS2239" t="s">
        <v>75</v>
      </c>
      <c r="AW2239">
        <v>0</v>
      </c>
      <c r="AX2239" t="s">
        <v>76</v>
      </c>
      <c r="AY2239" t="s">
        <v>176</v>
      </c>
      <c r="AZ2239">
        <v>0</v>
      </c>
      <c r="BA2239" t="s">
        <v>176</v>
      </c>
      <c r="BB2239">
        <v>0</v>
      </c>
    </row>
    <row r="2240" spans="1:54" x14ac:dyDescent="0.15">
      <c r="A2240" s="4" t="str">
        <f>HYPERLINK("https://ibp.a2mac1.com/costing(costing:projects/details/9760/part/8416909)","Part 03")</f>
        <v>Part 03</v>
      </c>
      <c r="B2240">
        <v>8416909</v>
      </c>
      <c r="C2240">
        <v>8416627</v>
      </c>
      <c r="E2240">
        <v>2.9909686400000002</v>
      </c>
      <c r="F2240">
        <v>0</v>
      </c>
      <c r="G2240">
        <v>0</v>
      </c>
      <c r="H2240">
        <v>3.7387108000000002E-4</v>
      </c>
      <c r="I2240" t="s">
        <v>176</v>
      </c>
      <c r="J2240">
        <v>0.11895898000000001</v>
      </c>
      <c r="K2240">
        <v>3.11030149108</v>
      </c>
      <c r="L2240">
        <v>2.0626099745884138E-2</v>
      </c>
      <c r="M2240">
        <v>0.12375659847530482</v>
      </c>
      <c r="N2240">
        <v>3.2340580895553046</v>
      </c>
      <c r="O2240" t="s">
        <v>177</v>
      </c>
      <c r="P2240">
        <v>0.18661808946479999</v>
      </c>
      <c r="Q2240" t="s">
        <v>177</v>
      </c>
      <c r="R2240">
        <v>7.4253959085182897E-3</v>
      </c>
      <c r="S2240" t="s">
        <v>178</v>
      </c>
      <c r="T2240">
        <v>0.38808697074663656</v>
      </c>
      <c r="U2240" t="s">
        <v>90</v>
      </c>
      <c r="V2240">
        <v>0</v>
      </c>
      <c r="W2240" t="s">
        <v>90</v>
      </c>
      <c r="X2240">
        <v>0</v>
      </c>
      <c r="Y2240">
        <v>3.8161885456752596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K2240" t="s">
        <v>7325</v>
      </c>
      <c r="AM2240">
        <v>400000</v>
      </c>
      <c r="AN2240" t="s">
        <v>97</v>
      </c>
      <c r="AO2240">
        <v>2</v>
      </c>
      <c r="AP2240">
        <v>0</v>
      </c>
      <c r="AQ2240">
        <v>33333.333333333336</v>
      </c>
      <c r="AR2240" t="s">
        <v>7691</v>
      </c>
      <c r="AS2240" t="s">
        <v>75</v>
      </c>
      <c r="AW2240">
        <v>0</v>
      </c>
      <c r="AX2240" t="s">
        <v>76</v>
      </c>
      <c r="AY2240" t="s">
        <v>176</v>
      </c>
      <c r="AZ2240">
        <v>0</v>
      </c>
      <c r="BA2240" t="s">
        <v>176</v>
      </c>
      <c r="BB2240">
        <v>0</v>
      </c>
    </row>
    <row r="2241" spans="1:54" x14ac:dyDescent="0.15">
      <c r="A2241" s="4" t="str">
        <f>HYPERLINK("https://ibp.a2mac1.com/costing(costing:projects/details/9760/part/8416910)","Part 04")</f>
        <v>Part 04</v>
      </c>
      <c r="B2241">
        <v>8416910</v>
      </c>
      <c r="C2241">
        <v>8416627</v>
      </c>
      <c r="E2241">
        <v>1.3017466781818181</v>
      </c>
      <c r="F2241">
        <v>0</v>
      </c>
      <c r="G2241">
        <v>0</v>
      </c>
      <c r="H2241">
        <v>1.6554003999999999E-4</v>
      </c>
      <c r="I2241" t="s">
        <v>176</v>
      </c>
      <c r="J2241">
        <v>5.267183090909091E-2</v>
      </c>
      <c r="K2241">
        <v>1.3545840491309091</v>
      </c>
      <c r="L2241">
        <v>2.0626099745884138E-2</v>
      </c>
      <c r="M2241">
        <v>0.12375659847530482</v>
      </c>
      <c r="N2241">
        <v>1.478340647606214</v>
      </c>
      <c r="O2241" t="s">
        <v>177</v>
      </c>
      <c r="P2241">
        <v>8.1275042947854551E-2</v>
      </c>
      <c r="Q2241" t="s">
        <v>177</v>
      </c>
      <c r="R2241">
        <v>7.4253959085182897E-3</v>
      </c>
      <c r="S2241" t="s">
        <v>178</v>
      </c>
      <c r="T2241">
        <v>0.17740087771274568</v>
      </c>
      <c r="U2241" t="s">
        <v>90</v>
      </c>
      <c r="V2241">
        <v>0</v>
      </c>
      <c r="W2241" t="s">
        <v>90</v>
      </c>
      <c r="X2241">
        <v>0</v>
      </c>
      <c r="Y2241">
        <v>1.7444419641753324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K2241" t="s">
        <v>7325</v>
      </c>
      <c r="AM2241">
        <v>400000</v>
      </c>
      <c r="AN2241" t="s">
        <v>97</v>
      </c>
      <c r="AO2241">
        <v>2</v>
      </c>
      <c r="AP2241">
        <v>0</v>
      </c>
      <c r="AQ2241">
        <v>33333.333333333336</v>
      </c>
      <c r="AR2241" t="s">
        <v>7696</v>
      </c>
      <c r="AS2241" t="s">
        <v>75</v>
      </c>
      <c r="AW2241">
        <v>0</v>
      </c>
      <c r="AX2241" t="s">
        <v>76</v>
      </c>
      <c r="AY2241" t="s">
        <v>176</v>
      </c>
      <c r="AZ2241">
        <v>0</v>
      </c>
      <c r="BA2241" t="s">
        <v>176</v>
      </c>
      <c r="BB2241">
        <v>0</v>
      </c>
    </row>
    <row r="2242" spans="1:54" x14ac:dyDescent="0.15">
      <c r="A2242" s="4" t="str">
        <f>HYPERLINK("https://ibp.a2mac1.com/costing(costing:projects/details/9760/part/8416911)","Part 01 (single/main/upper)")</f>
        <v>Part 01 (single/main/upper)</v>
      </c>
      <c r="B2242">
        <v>8416911</v>
      </c>
      <c r="C2242">
        <v>8416628</v>
      </c>
      <c r="E2242">
        <v>2.1615568000000001</v>
      </c>
      <c r="F2242">
        <v>0</v>
      </c>
      <c r="G2242">
        <v>0</v>
      </c>
      <c r="H2242">
        <v>2.6128708571428573E-4</v>
      </c>
      <c r="I2242" t="s">
        <v>176</v>
      </c>
      <c r="J2242">
        <v>8.3136799999999997E-2</v>
      </c>
      <c r="K2242">
        <v>2.2449548870857141</v>
      </c>
      <c r="L2242">
        <v>2.0626099745884138E-2</v>
      </c>
      <c r="M2242">
        <v>0.12375659847530482</v>
      </c>
      <c r="N2242">
        <v>2.3687114855610192</v>
      </c>
      <c r="O2242" t="s">
        <v>177</v>
      </c>
      <c r="P2242">
        <v>0.13469729322514284</v>
      </c>
      <c r="Q2242" t="s">
        <v>177</v>
      </c>
      <c r="R2242">
        <v>7.4253959085182897E-3</v>
      </c>
      <c r="S2242" t="s">
        <v>178</v>
      </c>
      <c r="T2242">
        <v>0.28424537826732227</v>
      </c>
      <c r="U2242" t="s">
        <v>90</v>
      </c>
      <c r="V2242">
        <v>0</v>
      </c>
      <c r="W2242" t="s">
        <v>90</v>
      </c>
      <c r="X2242">
        <v>0</v>
      </c>
      <c r="Y2242">
        <v>2.7950795529620027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K2242" t="s">
        <v>7325</v>
      </c>
      <c r="AM2242">
        <v>400000</v>
      </c>
      <c r="AN2242" t="s">
        <v>97</v>
      </c>
      <c r="AO2242">
        <v>2</v>
      </c>
      <c r="AP2242">
        <v>0</v>
      </c>
      <c r="AQ2242">
        <v>33333.333333333336</v>
      </c>
      <c r="AR2242" t="s">
        <v>7703</v>
      </c>
      <c r="AS2242" t="s">
        <v>75</v>
      </c>
      <c r="AW2242">
        <v>0</v>
      </c>
      <c r="AX2242" t="s">
        <v>76</v>
      </c>
      <c r="AY2242" t="s">
        <v>176</v>
      </c>
      <c r="AZ2242">
        <v>0</v>
      </c>
      <c r="BA2242" t="s">
        <v>176</v>
      </c>
      <c r="BB2242">
        <v>0</v>
      </c>
    </row>
    <row r="2243" spans="1:54" x14ac:dyDescent="0.15">
      <c r="A2243" s="4" t="str">
        <f>HYPERLINK("https://ibp.a2mac1.com/costing(costing:projects/details/9760/part/8416912)","Part 02")</f>
        <v>Part 02</v>
      </c>
      <c r="B2243">
        <v>8416912</v>
      </c>
      <c r="C2243">
        <v>8416628</v>
      </c>
      <c r="E2243">
        <v>0.91389350000000003</v>
      </c>
      <c r="F2243">
        <v>0</v>
      </c>
      <c r="G2243">
        <v>0</v>
      </c>
      <c r="H2243">
        <v>1.1047064285714286E-4</v>
      </c>
      <c r="I2243" t="s">
        <v>176</v>
      </c>
      <c r="J2243">
        <v>3.514975E-2</v>
      </c>
      <c r="K2243">
        <v>0.94915372064285719</v>
      </c>
      <c r="L2243">
        <v>2.0626099745884138E-2</v>
      </c>
      <c r="M2243">
        <v>0.12375659847530482</v>
      </c>
      <c r="N2243">
        <v>1.0729103191181619</v>
      </c>
      <c r="O2243" t="s">
        <v>177</v>
      </c>
      <c r="P2243">
        <v>5.6949223238571427E-2</v>
      </c>
      <c r="Q2243" t="s">
        <v>177</v>
      </c>
      <c r="R2243">
        <v>7.4253959085182897E-3</v>
      </c>
      <c r="S2243" t="s">
        <v>178</v>
      </c>
      <c r="T2243">
        <v>0.12874923829417945</v>
      </c>
      <c r="U2243" t="s">
        <v>90</v>
      </c>
      <c r="V2243">
        <v>0</v>
      </c>
      <c r="W2243" t="s">
        <v>90</v>
      </c>
      <c r="X2243">
        <v>0</v>
      </c>
      <c r="Y2243">
        <v>1.2660341765594312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K2243" t="s">
        <v>7325</v>
      </c>
      <c r="AM2243">
        <v>400000</v>
      </c>
      <c r="AN2243" t="s">
        <v>97</v>
      </c>
      <c r="AO2243">
        <v>2</v>
      </c>
      <c r="AP2243">
        <v>0</v>
      </c>
      <c r="AQ2243">
        <v>33333.333333333336</v>
      </c>
      <c r="AR2243" t="s">
        <v>7708</v>
      </c>
      <c r="AS2243" t="s">
        <v>75</v>
      </c>
      <c r="AW2243">
        <v>0</v>
      </c>
      <c r="AX2243" t="s">
        <v>76</v>
      </c>
      <c r="AY2243" t="s">
        <v>176</v>
      </c>
      <c r="AZ2243">
        <v>0</v>
      </c>
      <c r="BA2243" t="s">
        <v>176</v>
      </c>
      <c r="BB2243">
        <v>0</v>
      </c>
    </row>
    <row r="2244" spans="1:54" x14ac:dyDescent="0.15">
      <c r="A2244" s="4" t="str">
        <f>HYPERLINK("https://ibp.a2mac1.com/costing(costing:projects/details/9760/part/8416955)","Part 03")</f>
        <v>Part 03</v>
      </c>
      <c r="B2244">
        <v>8416955</v>
      </c>
      <c r="C2244">
        <v>8416628</v>
      </c>
      <c r="E2244">
        <v>2.3872487599999999</v>
      </c>
      <c r="F2244">
        <v>0</v>
      </c>
      <c r="G2244">
        <v>0</v>
      </c>
      <c r="H2244">
        <v>2.885685314285714E-4</v>
      </c>
      <c r="I2244" t="s">
        <v>176</v>
      </c>
      <c r="J2244">
        <v>9.1817259999999998E-2</v>
      </c>
      <c r="K2244">
        <v>2.4793545885314288</v>
      </c>
      <c r="L2244">
        <v>2.0626099745884138E-2</v>
      </c>
      <c r="M2244">
        <v>0.12375659847530482</v>
      </c>
      <c r="N2244">
        <v>2.6031111870067334</v>
      </c>
      <c r="O2244" t="s">
        <v>177</v>
      </c>
      <c r="P2244">
        <v>0.14876127531188571</v>
      </c>
      <c r="Q2244" t="s">
        <v>177</v>
      </c>
      <c r="R2244">
        <v>7.4253959085182897E-3</v>
      </c>
      <c r="S2244" t="s">
        <v>178</v>
      </c>
      <c r="T2244">
        <v>0.312373342440808</v>
      </c>
      <c r="U2244" t="s">
        <v>90</v>
      </c>
      <c r="V2244">
        <v>0</v>
      </c>
      <c r="W2244" t="s">
        <v>90</v>
      </c>
      <c r="X2244">
        <v>0</v>
      </c>
      <c r="Y2244">
        <v>3.0716712006679452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K2244" t="s">
        <v>7325</v>
      </c>
      <c r="AM2244">
        <v>400000</v>
      </c>
      <c r="AN2244" t="s">
        <v>97</v>
      </c>
      <c r="AO2244">
        <v>2</v>
      </c>
      <c r="AP2244">
        <v>0</v>
      </c>
      <c r="AQ2244">
        <v>33333.333333333336</v>
      </c>
      <c r="AR2244" t="s">
        <v>7713</v>
      </c>
      <c r="AS2244" t="s">
        <v>75</v>
      </c>
      <c r="AW2244">
        <v>0</v>
      </c>
      <c r="AX2244" t="s">
        <v>76</v>
      </c>
      <c r="AY2244" t="s">
        <v>176</v>
      </c>
      <c r="AZ2244">
        <v>0</v>
      </c>
      <c r="BA2244" t="s">
        <v>176</v>
      </c>
      <c r="BB2244">
        <v>0</v>
      </c>
    </row>
    <row r="2245" spans="1:54" x14ac:dyDescent="0.15">
      <c r="A2245" s="4" t="str">
        <f>HYPERLINK("https://ibp.a2mac1.com/costing(costing:projects/details/9760/part/8416956)","Part 04")</f>
        <v>Part 04</v>
      </c>
      <c r="B2245">
        <v>8416956</v>
      </c>
      <c r="C2245">
        <v>8416628</v>
      </c>
      <c r="E2245">
        <v>1.8881834399999999</v>
      </c>
      <c r="F2245">
        <v>0</v>
      </c>
      <c r="G2245">
        <v>0</v>
      </c>
      <c r="H2245">
        <v>2.3602293000000001E-4</v>
      </c>
      <c r="I2245" t="s">
        <v>176</v>
      </c>
      <c r="J2245">
        <v>7.5098205000000001E-2</v>
      </c>
      <c r="K2245">
        <v>1.9635176679299999</v>
      </c>
      <c r="L2245">
        <v>2.0626099745884138E-2</v>
      </c>
      <c r="M2245">
        <v>0.12375659847530482</v>
      </c>
      <c r="N2245">
        <v>2.0872742664053048</v>
      </c>
      <c r="O2245" t="s">
        <v>177</v>
      </c>
      <c r="P2245">
        <v>0.1178110600758</v>
      </c>
      <c r="Q2245" t="s">
        <v>177</v>
      </c>
      <c r="R2245">
        <v>7.4253959085182897E-3</v>
      </c>
      <c r="S2245" t="s">
        <v>178</v>
      </c>
      <c r="T2245">
        <v>0.25047291196863658</v>
      </c>
      <c r="U2245" t="s">
        <v>90</v>
      </c>
      <c r="V2245">
        <v>0</v>
      </c>
      <c r="W2245" t="s">
        <v>90</v>
      </c>
      <c r="X2245">
        <v>0</v>
      </c>
      <c r="Y2245">
        <v>2.4629836343582596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K2245" t="s">
        <v>7325</v>
      </c>
      <c r="AM2245">
        <v>400000</v>
      </c>
      <c r="AN2245" t="s">
        <v>97</v>
      </c>
      <c r="AO2245">
        <v>2</v>
      </c>
      <c r="AP2245">
        <v>0</v>
      </c>
      <c r="AQ2245">
        <v>33333.333333333336</v>
      </c>
      <c r="AR2245" t="s">
        <v>7718</v>
      </c>
      <c r="AS2245" t="s">
        <v>75</v>
      </c>
      <c r="AW2245">
        <v>0</v>
      </c>
      <c r="AX2245" t="s">
        <v>76</v>
      </c>
      <c r="AY2245" t="s">
        <v>176</v>
      </c>
      <c r="AZ2245">
        <v>0</v>
      </c>
      <c r="BA2245" t="s">
        <v>176</v>
      </c>
      <c r="BB2245">
        <v>0</v>
      </c>
    </row>
    <row r="2246" spans="1:54" x14ac:dyDescent="0.15">
      <c r="A2246" s="4" t="str">
        <f>HYPERLINK("https://ibp.a2mac1.com/costing(costing:projects/details/9760/part/8416957)","Part 01 (single/main)")</f>
        <v>Part 01 (single/main)</v>
      </c>
      <c r="B2246">
        <v>8416957</v>
      </c>
      <c r="C2246">
        <v>8416629</v>
      </c>
      <c r="E2246">
        <v>0.56731461384615389</v>
      </c>
      <c r="F2246">
        <v>0</v>
      </c>
      <c r="G2246">
        <v>0</v>
      </c>
      <c r="H2246">
        <v>6.9725818461538466E-5</v>
      </c>
      <c r="I2246" t="s">
        <v>176</v>
      </c>
      <c r="J2246">
        <v>2.2185487692307691E-2</v>
      </c>
      <c r="K2246">
        <v>0.58956982735692309</v>
      </c>
      <c r="L2246">
        <v>1.6357428824467144E-2</v>
      </c>
      <c r="M2246">
        <v>9.8144572946802858E-2</v>
      </c>
      <c r="N2246">
        <v>0.68771440030372599</v>
      </c>
      <c r="O2246" t="s">
        <v>177</v>
      </c>
      <c r="P2246">
        <v>3.5374189641415386E-2</v>
      </c>
      <c r="Q2246" t="s">
        <v>177</v>
      </c>
      <c r="R2246">
        <v>5.8886743768081715E-3</v>
      </c>
      <c r="S2246" t="s">
        <v>178</v>
      </c>
      <c r="T2246">
        <v>8.2525728036447116E-2</v>
      </c>
      <c r="U2246" t="s">
        <v>90</v>
      </c>
      <c r="V2246">
        <v>0</v>
      </c>
      <c r="W2246" t="s">
        <v>90</v>
      </c>
      <c r="X2246">
        <v>0</v>
      </c>
      <c r="Y2246">
        <v>0.81150299235839662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K2246" t="s">
        <v>7325</v>
      </c>
      <c r="AM2246">
        <v>400000</v>
      </c>
      <c r="AN2246" t="s">
        <v>97</v>
      </c>
      <c r="AO2246">
        <v>2</v>
      </c>
      <c r="AP2246">
        <v>0</v>
      </c>
      <c r="AQ2246">
        <v>33333.333333333336</v>
      </c>
      <c r="AR2246" t="s">
        <v>7725</v>
      </c>
      <c r="AS2246" t="s">
        <v>75</v>
      </c>
      <c r="AW2246">
        <v>0</v>
      </c>
      <c r="AX2246" t="s">
        <v>76</v>
      </c>
      <c r="AY2246" t="s">
        <v>176</v>
      </c>
      <c r="AZ2246">
        <v>0</v>
      </c>
      <c r="BA2246" t="s">
        <v>176</v>
      </c>
      <c r="BB2246">
        <v>0</v>
      </c>
    </row>
    <row r="2247" spans="1:54" x14ac:dyDescent="0.15">
      <c r="A2247" s="4" t="str">
        <f>HYPERLINK("https://ibp.a2mac1.com/costing(costing:projects/details/9760/part/8416958)","Part 02")</f>
        <v>Part 02</v>
      </c>
      <c r="B2247">
        <v>8416958</v>
      </c>
      <c r="C2247">
        <v>8416629</v>
      </c>
      <c r="E2247">
        <v>7.3067021818181824E-2</v>
      </c>
      <c r="F2247">
        <v>0</v>
      </c>
      <c r="G2247">
        <v>0</v>
      </c>
      <c r="H2247">
        <v>9.2917600000000003E-6</v>
      </c>
      <c r="I2247" t="s">
        <v>176</v>
      </c>
      <c r="J2247">
        <v>2.9564690909090908E-3</v>
      </c>
      <c r="K2247">
        <v>7.6032782669090915E-2</v>
      </c>
      <c r="L2247">
        <v>1.0563353023009073E-2</v>
      </c>
      <c r="M2247">
        <v>6.3380118138054442E-2</v>
      </c>
      <c r="N2247">
        <v>0.13941290080714536</v>
      </c>
      <c r="O2247" t="s">
        <v>177</v>
      </c>
      <c r="P2247">
        <v>4.5619669601454542E-3</v>
      </c>
      <c r="Q2247" t="s">
        <v>177</v>
      </c>
      <c r="R2247">
        <v>3.8028070882832666E-3</v>
      </c>
      <c r="S2247" t="s">
        <v>178</v>
      </c>
      <c r="T2247">
        <v>1.6729548096857443E-2</v>
      </c>
      <c r="U2247" t="s">
        <v>90</v>
      </c>
      <c r="V2247">
        <v>0</v>
      </c>
      <c r="W2247" t="s">
        <v>90</v>
      </c>
      <c r="X2247">
        <v>0</v>
      </c>
      <c r="Y2247">
        <v>0.1645072229524315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K2247" t="s">
        <v>7325</v>
      </c>
      <c r="AM2247">
        <v>400000</v>
      </c>
      <c r="AN2247" t="s">
        <v>97</v>
      </c>
      <c r="AO2247">
        <v>2</v>
      </c>
      <c r="AP2247">
        <v>0</v>
      </c>
      <c r="AQ2247">
        <v>33333.333333333336</v>
      </c>
      <c r="AR2247" t="s">
        <v>7729</v>
      </c>
      <c r="AS2247" t="s">
        <v>75</v>
      </c>
      <c r="AW2247">
        <v>0</v>
      </c>
      <c r="AX2247" t="s">
        <v>76</v>
      </c>
      <c r="AY2247" t="s">
        <v>176</v>
      </c>
      <c r="AZ2247">
        <v>0</v>
      </c>
      <c r="BA2247" t="s">
        <v>176</v>
      </c>
      <c r="BB2247">
        <v>0</v>
      </c>
    </row>
    <row r="2248" spans="1:54" x14ac:dyDescent="0.15">
      <c r="A2248" s="4" t="str">
        <f>HYPERLINK("https://ibp.a2mac1.com/costing(costing:projects/details/9760/part/8416959)","Part 03")</f>
        <v>Part 03</v>
      </c>
      <c r="B2248">
        <v>8416959</v>
      </c>
      <c r="C2248">
        <v>8416629</v>
      </c>
      <c r="E2248">
        <v>0.41323880000000002</v>
      </c>
      <c r="F2248">
        <v>0</v>
      </c>
      <c r="G2248">
        <v>0</v>
      </c>
      <c r="H2248">
        <v>4.9951942857142855E-5</v>
      </c>
      <c r="I2248" t="s">
        <v>176</v>
      </c>
      <c r="J2248">
        <v>1.58938E-2</v>
      </c>
      <c r="K2248">
        <v>0.42918255194285715</v>
      </c>
      <c r="L2248">
        <v>1.6357428824467144E-2</v>
      </c>
      <c r="M2248">
        <v>9.8144572946802858E-2</v>
      </c>
      <c r="N2248">
        <v>0.52732712488966005</v>
      </c>
      <c r="O2248" t="s">
        <v>177</v>
      </c>
      <c r="P2248">
        <v>2.575095311657143E-2</v>
      </c>
      <c r="Q2248" t="s">
        <v>177</v>
      </c>
      <c r="R2248">
        <v>5.8886743768081715E-3</v>
      </c>
      <c r="S2248" t="s">
        <v>178</v>
      </c>
      <c r="T2248">
        <v>6.3279254986759195E-2</v>
      </c>
      <c r="U2248" t="s">
        <v>90</v>
      </c>
      <c r="V2248">
        <v>0</v>
      </c>
      <c r="W2248" t="s">
        <v>90</v>
      </c>
      <c r="X2248">
        <v>0</v>
      </c>
      <c r="Y2248">
        <v>0.62224600736979885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K2248" t="s">
        <v>7325</v>
      </c>
      <c r="AM2248">
        <v>400000</v>
      </c>
      <c r="AN2248" t="s">
        <v>97</v>
      </c>
      <c r="AO2248">
        <v>2</v>
      </c>
      <c r="AP2248">
        <v>0</v>
      </c>
      <c r="AQ2248">
        <v>33333.333333333336</v>
      </c>
      <c r="AR2248" t="s">
        <v>7734</v>
      </c>
      <c r="AS2248" t="s">
        <v>75</v>
      </c>
      <c r="AW2248">
        <v>0</v>
      </c>
      <c r="AX2248" t="s">
        <v>76</v>
      </c>
      <c r="AY2248" t="s">
        <v>176</v>
      </c>
      <c r="AZ2248">
        <v>0</v>
      </c>
      <c r="BA2248" t="s">
        <v>176</v>
      </c>
      <c r="BB2248">
        <v>0</v>
      </c>
    </row>
    <row r="2249" spans="1:54" x14ac:dyDescent="0.15">
      <c r="A2249" s="4" t="str">
        <f>HYPERLINK("https://ibp.a2mac1.com/costing(costing:projects/details/9760/part/8416960)","Part 04")</f>
        <v>Part 04</v>
      </c>
      <c r="B2249">
        <v>8416960</v>
      </c>
      <c r="C2249">
        <v>8416629</v>
      </c>
      <c r="E2249">
        <v>0.29945549333333332</v>
      </c>
      <c r="F2249">
        <v>0</v>
      </c>
      <c r="G2249">
        <v>0</v>
      </c>
      <c r="H2249">
        <v>3.7431936666666668E-5</v>
      </c>
      <c r="I2249" t="s">
        <v>176</v>
      </c>
      <c r="J2249">
        <v>1.1910161666666667E-2</v>
      </c>
      <c r="K2249">
        <v>0.31140308693666668</v>
      </c>
      <c r="L2249">
        <v>1.6357428824467144E-2</v>
      </c>
      <c r="M2249">
        <v>9.8144572946802858E-2</v>
      </c>
      <c r="N2249">
        <v>0.40954765988346953</v>
      </c>
      <c r="O2249" t="s">
        <v>177</v>
      </c>
      <c r="P2249">
        <v>1.8684185216200001E-2</v>
      </c>
      <c r="Q2249" t="s">
        <v>177</v>
      </c>
      <c r="R2249">
        <v>5.8886743768081715E-3</v>
      </c>
      <c r="S2249" t="s">
        <v>178</v>
      </c>
      <c r="T2249">
        <v>4.9145719186016346E-2</v>
      </c>
      <c r="U2249" t="s">
        <v>90</v>
      </c>
      <c r="V2249">
        <v>0</v>
      </c>
      <c r="W2249" t="s">
        <v>90</v>
      </c>
      <c r="X2249">
        <v>0</v>
      </c>
      <c r="Y2249">
        <v>0.48326623866249402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K2249" t="s">
        <v>7325</v>
      </c>
      <c r="AM2249">
        <v>400000</v>
      </c>
      <c r="AN2249" t="s">
        <v>97</v>
      </c>
      <c r="AO2249">
        <v>2</v>
      </c>
      <c r="AP2249">
        <v>0</v>
      </c>
      <c r="AQ2249">
        <v>33333.333333333336</v>
      </c>
      <c r="AR2249" t="s">
        <v>7738</v>
      </c>
      <c r="AS2249" t="s">
        <v>75</v>
      </c>
      <c r="AW2249">
        <v>0</v>
      </c>
      <c r="AX2249" t="s">
        <v>76</v>
      </c>
      <c r="AY2249" t="s">
        <v>176</v>
      </c>
      <c r="AZ2249">
        <v>0</v>
      </c>
      <c r="BA2249" t="s">
        <v>176</v>
      </c>
      <c r="BB2249">
        <v>0</v>
      </c>
    </row>
    <row r="2250" spans="1:54" x14ac:dyDescent="0.15">
      <c r="A2250" s="4" t="str">
        <f>HYPERLINK("https://ibp.a2mac1.com/costing(costing:projects/details/9760/part/8416961)","Part 01 (single/main)")</f>
        <v>Part 01 (single/main)</v>
      </c>
      <c r="B2250">
        <v>8416961</v>
      </c>
      <c r="C2250">
        <v>8416630</v>
      </c>
      <c r="E2250">
        <v>0.33759042500000003</v>
      </c>
      <c r="F2250">
        <v>0</v>
      </c>
      <c r="G2250">
        <v>0</v>
      </c>
      <c r="H2250">
        <v>3.9505262499999997E-5</v>
      </c>
      <c r="I2250" t="s">
        <v>176</v>
      </c>
      <c r="J2250">
        <v>1.2569856250000001E-2</v>
      </c>
      <c r="K2250">
        <v>0.3501997865125</v>
      </c>
      <c r="L2250">
        <v>1.6357428824467144E-2</v>
      </c>
      <c r="M2250">
        <v>9.8144572946802858E-2</v>
      </c>
      <c r="N2250">
        <v>0.44834435945930284</v>
      </c>
      <c r="O2250" t="s">
        <v>177</v>
      </c>
      <c r="P2250">
        <v>2.1011987190749998E-2</v>
      </c>
      <c r="Q2250" t="s">
        <v>177</v>
      </c>
      <c r="R2250">
        <v>5.8886743768081715E-3</v>
      </c>
      <c r="S2250" t="s">
        <v>178</v>
      </c>
      <c r="T2250">
        <v>5.3801323135116347E-2</v>
      </c>
      <c r="U2250" t="s">
        <v>90</v>
      </c>
      <c r="V2250">
        <v>0</v>
      </c>
      <c r="W2250" t="s">
        <v>90</v>
      </c>
      <c r="X2250">
        <v>0</v>
      </c>
      <c r="Y2250">
        <v>0.52904634416197738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K2250" t="s">
        <v>7325</v>
      </c>
      <c r="AM2250">
        <v>400000</v>
      </c>
      <c r="AN2250" t="s">
        <v>97</v>
      </c>
      <c r="AO2250">
        <v>2</v>
      </c>
      <c r="AP2250">
        <v>0</v>
      </c>
      <c r="AQ2250">
        <v>33333.333333333336</v>
      </c>
      <c r="AR2250" t="s">
        <v>7744</v>
      </c>
      <c r="AS2250" t="s">
        <v>75</v>
      </c>
      <c r="AW2250">
        <v>0</v>
      </c>
      <c r="AX2250" t="s">
        <v>76</v>
      </c>
      <c r="AY2250" t="s">
        <v>176</v>
      </c>
      <c r="AZ2250">
        <v>0</v>
      </c>
      <c r="BA2250" t="s">
        <v>176</v>
      </c>
      <c r="BB2250">
        <v>0</v>
      </c>
    </row>
    <row r="2251" spans="1:54" x14ac:dyDescent="0.15">
      <c r="A2251" s="4" t="str">
        <f>HYPERLINK("https://ibp.a2mac1.com/costing(costing:projects/details/9760/part/8416962)","Part 02")</f>
        <v>Part 02</v>
      </c>
      <c r="B2251">
        <v>8416962</v>
      </c>
      <c r="C2251">
        <v>8416630</v>
      </c>
      <c r="E2251">
        <v>7.991728666666667E-2</v>
      </c>
      <c r="F2251">
        <v>0</v>
      </c>
      <c r="G2251">
        <v>0</v>
      </c>
      <c r="H2251">
        <v>9.5036773333333337E-6</v>
      </c>
      <c r="I2251" t="s">
        <v>176</v>
      </c>
      <c r="J2251">
        <v>3.0238973333333334E-3</v>
      </c>
      <c r="K2251">
        <v>8.2950687677333337E-2</v>
      </c>
      <c r="L2251">
        <v>1.0563353023009073E-2</v>
      </c>
      <c r="M2251">
        <v>6.3380118138054442E-2</v>
      </c>
      <c r="N2251">
        <v>0.14633080581538777</v>
      </c>
      <c r="O2251" t="s">
        <v>177</v>
      </c>
      <c r="P2251">
        <v>4.9770412606399998E-3</v>
      </c>
      <c r="Q2251" t="s">
        <v>177</v>
      </c>
      <c r="R2251">
        <v>3.8028070882832666E-3</v>
      </c>
      <c r="S2251" t="s">
        <v>178</v>
      </c>
      <c r="T2251">
        <v>1.7559696697846534E-2</v>
      </c>
      <c r="U2251" t="s">
        <v>90</v>
      </c>
      <c r="V2251">
        <v>0</v>
      </c>
      <c r="W2251" t="s">
        <v>90</v>
      </c>
      <c r="X2251">
        <v>0</v>
      </c>
      <c r="Y2251">
        <v>0.17267035086215757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K2251" t="s">
        <v>7325</v>
      </c>
      <c r="AM2251">
        <v>400000</v>
      </c>
      <c r="AN2251" t="s">
        <v>97</v>
      </c>
      <c r="AO2251">
        <v>2</v>
      </c>
      <c r="AP2251">
        <v>0</v>
      </c>
      <c r="AQ2251">
        <v>33333.333333333336</v>
      </c>
      <c r="AR2251" t="s">
        <v>7749</v>
      </c>
      <c r="AS2251" t="s">
        <v>75</v>
      </c>
      <c r="AW2251">
        <v>0</v>
      </c>
      <c r="AX2251" t="s">
        <v>76</v>
      </c>
      <c r="AY2251" t="s">
        <v>176</v>
      </c>
      <c r="AZ2251">
        <v>0</v>
      </c>
      <c r="BA2251" t="s">
        <v>176</v>
      </c>
      <c r="BB2251">
        <v>0</v>
      </c>
    </row>
    <row r="2252" spans="1:54" x14ac:dyDescent="0.15">
      <c r="A2252" s="4" t="str">
        <f>HYPERLINK("https://ibp.a2mac1.com/costing(costing:projects/details/9760/part/8416963)","Part 03")</f>
        <v>Part 03</v>
      </c>
      <c r="B2252">
        <v>8416963</v>
      </c>
      <c r="C2252">
        <v>8416630</v>
      </c>
      <c r="E2252">
        <v>0.10705900666666666</v>
      </c>
      <c r="F2252">
        <v>0</v>
      </c>
      <c r="G2252">
        <v>0</v>
      </c>
      <c r="H2252">
        <v>1.2731341333333333E-5</v>
      </c>
      <c r="I2252" t="s">
        <v>176</v>
      </c>
      <c r="J2252">
        <v>4.0508813333333333E-3</v>
      </c>
      <c r="K2252">
        <v>0.11112261934133333</v>
      </c>
      <c r="L2252">
        <v>1.0563353023009073E-2</v>
      </c>
      <c r="M2252">
        <v>6.3380118138054442E-2</v>
      </c>
      <c r="N2252">
        <v>0.17450273747938777</v>
      </c>
      <c r="O2252" t="s">
        <v>177</v>
      </c>
      <c r="P2252">
        <v>6.6673571604799996E-3</v>
      </c>
      <c r="Q2252" t="s">
        <v>177</v>
      </c>
      <c r="R2252">
        <v>3.8028070882832666E-3</v>
      </c>
      <c r="S2252" t="s">
        <v>178</v>
      </c>
      <c r="T2252">
        <v>2.0940328497526531E-2</v>
      </c>
      <c r="U2252" t="s">
        <v>90</v>
      </c>
      <c r="V2252">
        <v>0</v>
      </c>
      <c r="W2252" t="s">
        <v>90</v>
      </c>
      <c r="X2252">
        <v>0</v>
      </c>
      <c r="Y2252">
        <v>0.20591323022567756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K2252" t="s">
        <v>7325</v>
      </c>
      <c r="AM2252">
        <v>400000</v>
      </c>
      <c r="AN2252" t="s">
        <v>97</v>
      </c>
      <c r="AO2252">
        <v>2</v>
      </c>
      <c r="AP2252">
        <v>0</v>
      </c>
      <c r="AQ2252">
        <v>33333.333333333336</v>
      </c>
      <c r="AR2252" t="s">
        <v>7754</v>
      </c>
      <c r="AS2252" t="s">
        <v>75</v>
      </c>
      <c r="AW2252">
        <v>0</v>
      </c>
      <c r="AX2252" t="s">
        <v>76</v>
      </c>
      <c r="AY2252" t="s">
        <v>176</v>
      </c>
      <c r="AZ2252">
        <v>0</v>
      </c>
      <c r="BA2252" t="s">
        <v>176</v>
      </c>
      <c r="BB2252">
        <v>0</v>
      </c>
    </row>
    <row r="2253" spans="1:54" x14ac:dyDescent="0.15">
      <c r="A2253" s="4" t="str">
        <f>HYPERLINK("https://ibp.a2mac1.com/costing(costing:projects/details/9760/part/8416964)","Part 01 (single/main)")</f>
        <v>Part 01 (single/main)</v>
      </c>
      <c r="B2253">
        <v>8416964</v>
      </c>
      <c r="C2253">
        <v>8416631</v>
      </c>
      <c r="E2253">
        <v>4.7803659999999998E-2</v>
      </c>
      <c r="F2253">
        <v>0</v>
      </c>
      <c r="G2253">
        <v>0</v>
      </c>
      <c r="H2253">
        <v>6.1863560000000002E-6</v>
      </c>
      <c r="I2253" t="s">
        <v>176</v>
      </c>
      <c r="J2253">
        <v>1.9683859999999999E-3</v>
      </c>
      <c r="K2253">
        <v>4.9778232355999999E-2</v>
      </c>
      <c r="L2253">
        <v>7.20131041548276E-3</v>
      </c>
      <c r="M2253">
        <v>4.3207862492896557E-2</v>
      </c>
      <c r="N2253">
        <v>9.2986094848896556E-2</v>
      </c>
      <c r="O2253" t="s">
        <v>177</v>
      </c>
      <c r="P2253">
        <v>2.9866939413599998E-3</v>
      </c>
      <c r="Q2253" t="s">
        <v>177</v>
      </c>
      <c r="R2253">
        <v>2.5924717495737935E-3</v>
      </c>
      <c r="S2253" t="s">
        <v>178</v>
      </c>
      <c r="T2253">
        <v>1.1158331381867587E-2</v>
      </c>
      <c r="U2253" t="s">
        <v>90</v>
      </c>
      <c r="V2253">
        <v>0</v>
      </c>
      <c r="W2253" t="s">
        <v>90</v>
      </c>
      <c r="X2253">
        <v>0</v>
      </c>
      <c r="Y2253">
        <v>0.10972359192169794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K2253" t="s">
        <v>7325</v>
      </c>
      <c r="AM2253">
        <v>400000</v>
      </c>
      <c r="AN2253" t="s">
        <v>97</v>
      </c>
      <c r="AO2253">
        <v>2</v>
      </c>
      <c r="AP2253">
        <v>0</v>
      </c>
      <c r="AQ2253">
        <v>33333.333333333336</v>
      </c>
      <c r="AR2253" t="s">
        <v>7759</v>
      </c>
      <c r="AS2253" t="s">
        <v>75</v>
      </c>
      <c r="AW2253">
        <v>0</v>
      </c>
      <c r="AX2253" t="s">
        <v>76</v>
      </c>
      <c r="AY2253" t="s">
        <v>176</v>
      </c>
      <c r="AZ2253">
        <v>0</v>
      </c>
      <c r="BA2253" t="s">
        <v>176</v>
      </c>
      <c r="BB2253">
        <v>0</v>
      </c>
    </row>
    <row r="2254" spans="1:54" x14ac:dyDescent="0.15">
      <c r="A2254" s="4" t="str">
        <f>HYPERLINK("https://ibp.a2mac1.com/costing(costing:projects/details/9760/part/8416965)","Part 02")</f>
        <v>Part 02</v>
      </c>
      <c r="B2254">
        <v>8416965</v>
      </c>
      <c r="C2254">
        <v>8416631</v>
      </c>
      <c r="E2254">
        <v>1.0371315800000001</v>
      </c>
      <c r="F2254">
        <v>0</v>
      </c>
      <c r="G2254">
        <v>0</v>
      </c>
      <c r="H2254">
        <v>1.34217028E-4</v>
      </c>
      <c r="I2254" t="s">
        <v>176</v>
      </c>
      <c r="J2254">
        <v>4.2705418000000002E-2</v>
      </c>
      <c r="K2254">
        <v>1.0799712150280001</v>
      </c>
      <c r="L2254">
        <v>2.0626099745884138E-2</v>
      </c>
      <c r="M2254">
        <v>0.12375659847530482</v>
      </c>
      <c r="N2254">
        <v>1.2037278135033049</v>
      </c>
      <c r="O2254" t="s">
        <v>177</v>
      </c>
      <c r="P2254">
        <v>6.4798272901679999E-2</v>
      </c>
      <c r="Q2254" t="s">
        <v>177</v>
      </c>
      <c r="R2254">
        <v>7.4253959085182897E-3</v>
      </c>
      <c r="S2254" t="s">
        <v>178</v>
      </c>
      <c r="T2254">
        <v>0.14444733762039658</v>
      </c>
      <c r="U2254" t="s">
        <v>90</v>
      </c>
      <c r="V2254">
        <v>0</v>
      </c>
      <c r="W2254" t="s">
        <v>90</v>
      </c>
      <c r="X2254">
        <v>0</v>
      </c>
      <c r="Y2254">
        <v>1.4203988199338997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K2254" t="s">
        <v>7325</v>
      </c>
      <c r="AM2254">
        <v>400000</v>
      </c>
      <c r="AN2254" t="s">
        <v>97</v>
      </c>
      <c r="AO2254">
        <v>2</v>
      </c>
      <c r="AP2254">
        <v>0</v>
      </c>
      <c r="AQ2254">
        <v>33333.333333333336</v>
      </c>
      <c r="AR2254" t="s">
        <v>7764</v>
      </c>
      <c r="AS2254" t="s">
        <v>75</v>
      </c>
      <c r="AW2254">
        <v>0</v>
      </c>
      <c r="AX2254" t="s">
        <v>76</v>
      </c>
      <c r="AY2254" t="s">
        <v>176</v>
      </c>
      <c r="AZ2254">
        <v>0</v>
      </c>
      <c r="BA2254" t="s">
        <v>176</v>
      </c>
      <c r="BB2254">
        <v>0</v>
      </c>
    </row>
    <row r="2255" spans="1:54" x14ac:dyDescent="0.15">
      <c r="A2255" s="4" t="str">
        <f>HYPERLINK("https://ibp.a2mac1.com/costing(costing:projects/details/9760/part/8416966)","Part 03")</f>
        <v>Part 03</v>
      </c>
      <c r="B2255">
        <v>8416966</v>
      </c>
      <c r="C2255">
        <v>8416631</v>
      </c>
      <c r="E2255">
        <v>2.2984879999999999E-2</v>
      </c>
      <c r="F2255">
        <v>0</v>
      </c>
      <c r="G2255">
        <v>0</v>
      </c>
      <c r="H2255">
        <v>2.68972E-6</v>
      </c>
      <c r="I2255" t="s">
        <v>176</v>
      </c>
      <c r="J2255">
        <v>8.5581999999999997E-4</v>
      </c>
      <c r="K2255">
        <v>2.384338972E-2</v>
      </c>
      <c r="L2255">
        <v>7.20131041548276E-3</v>
      </c>
      <c r="M2255">
        <v>4.3207862492896557E-2</v>
      </c>
      <c r="N2255">
        <v>6.7051252212896553E-2</v>
      </c>
      <c r="O2255" t="s">
        <v>177</v>
      </c>
      <c r="P2255">
        <v>1.4306033832000001E-3</v>
      </c>
      <c r="Q2255" t="s">
        <v>177</v>
      </c>
      <c r="R2255">
        <v>2.5924717495737935E-3</v>
      </c>
      <c r="S2255" t="s">
        <v>178</v>
      </c>
      <c r="T2255">
        <v>8.0461502655475876E-3</v>
      </c>
      <c r="U2255" t="s">
        <v>90</v>
      </c>
      <c r="V2255">
        <v>0</v>
      </c>
      <c r="W2255" t="s">
        <v>90</v>
      </c>
      <c r="X2255">
        <v>0</v>
      </c>
      <c r="Y2255">
        <v>7.9120477611217946E-2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K2255" t="s">
        <v>7325</v>
      </c>
      <c r="AM2255">
        <v>400000</v>
      </c>
      <c r="AN2255" t="s">
        <v>97</v>
      </c>
      <c r="AO2255">
        <v>2</v>
      </c>
      <c r="AP2255">
        <v>0</v>
      </c>
      <c r="AQ2255">
        <v>33333.333333333336</v>
      </c>
      <c r="AR2255" t="s">
        <v>7767</v>
      </c>
      <c r="AS2255" t="s">
        <v>75</v>
      </c>
      <c r="AW2255">
        <v>0</v>
      </c>
      <c r="AX2255" t="s">
        <v>76</v>
      </c>
      <c r="AY2255" t="s">
        <v>176</v>
      </c>
      <c r="AZ2255">
        <v>0</v>
      </c>
      <c r="BA2255" t="s">
        <v>176</v>
      </c>
      <c r="BB2255">
        <v>0</v>
      </c>
    </row>
    <row r="2256" spans="1:54" x14ac:dyDescent="0.15">
      <c r="A2256" s="4" t="str">
        <f>HYPERLINK("https://ibp.a2mac1.com/costing(costing:projects/details/9760/part/8416967)","Part 04")</f>
        <v>Part 04</v>
      </c>
      <c r="B2256">
        <v>8416967</v>
      </c>
      <c r="C2256">
        <v>8416631</v>
      </c>
      <c r="E2256">
        <v>0.46544382000000001</v>
      </c>
      <c r="F2256">
        <v>0</v>
      </c>
      <c r="G2256">
        <v>0</v>
      </c>
      <c r="H2256">
        <v>5.446683E-5</v>
      </c>
      <c r="I2256" t="s">
        <v>176</v>
      </c>
      <c r="J2256">
        <v>1.7330354999999999E-2</v>
      </c>
      <c r="K2256">
        <v>0.48282864183000002</v>
      </c>
      <c r="L2256">
        <v>2.0626099745884138E-2</v>
      </c>
      <c r="M2256">
        <v>0.12375659847530482</v>
      </c>
      <c r="N2256">
        <v>0.60658524030530481</v>
      </c>
      <c r="O2256" t="s">
        <v>177</v>
      </c>
      <c r="P2256">
        <v>2.8969718509799999E-2</v>
      </c>
      <c r="Q2256" t="s">
        <v>177</v>
      </c>
      <c r="R2256">
        <v>7.4253959085182897E-3</v>
      </c>
      <c r="S2256" t="s">
        <v>178</v>
      </c>
      <c r="T2256">
        <v>7.2790228836636578E-2</v>
      </c>
      <c r="U2256" t="s">
        <v>90</v>
      </c>
      <c r="V2256">
        <v>0</v>
      </c>
      <c r="W2256" t="s">
        <v>90</v>
      </c>
      <c r="X2256">
        <v>0</v>
      </c>
      <c r="Y2256">
        <v>0.71577058356025969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K2256" t="s">
        <v>7325</v>
      </c>
      <c r="AM2256">
        <v>400000</v>
      </c>
      <c r="AN2256" t="s">
        <v>97</v>
      </c>
      <c r="AO2256">
        <v>2</v>
      </c>
      <c r="AP2256">
        <v>0</v>
      </c>
      <c r="AQ2256">
        <v>33333.333333333336</v>
      </c>
      <c r="AR2256" t="s">
        <v>7772</v>
      </c>
      <c r="AS2256" t="s">
        <v>75</v>
      </c>
      <c r="AW2256">
        <v>0</v>
      </c>
      <c r="AX2256" t="s">
        <v>76</v>
      </c>
      <c r="AY2256" t="s">
        <v>176</v>
      </c>
      <c r="AZ2256">
        <v>0</v>
      </c>
      <c r="BA2256" t="s">
        <v>176</v>
      </c>
      <c r="BB2256">
        <v>0</v>
      </c>
    </row>
    <row r="2257" spans="1:54" x14ac:dyDescent="0.15">
      <c r="A2257" s="4" t="str">
        <f>HYPERLINK("https://ibp.a2mac1.com/costing(costing:projects/details/9760/part/8416968)","Part 05")</f>
        <v>Part 05</v>
      </c>
      <c r="B2257">
        <v>8416968</v>
      </c>
      <c r="C2257">
        <v>8416631</v>
      </c>
      <c r="E2257">
        <v>2.8731099999999999E-2</v>
      </c>
      <c r="F2257">
        <v>0</v>
      </c>
      <c r="G2257">
        <v>0</v>
      </c>
      <c r="H2257">
        <v>3.3621500000000001E-6</v>
      </c>
      <c r="I2257" t="s">
        <v>176</v>
      </c>
      <c r="J2257">
        <v>1.069775E-3</v>
      </c>
      <c r="K2257">
        <v>2.9804237149999999E-2</v>
      </c>
      <c r="L2257">
        <v>7.20131041548276E-3</v>
      </c>
      <c r="M2257">
        <v>4.3207862492896557E-2</v>
      </c>
      <c r="N2257">
        <v>7.3012099642896552E-2</v>
      </c>
      <c r="O2257" t="s">
        <v>177</v>
      </c>
      <c r="P2257">
        <v>1.7882542289999999E-3</v>
      </c>
      <c r="Q2257" t="s">
        <v>177</v>
      </c>
      <c r="R2257">
        <v>2.5924717495737935E-3</v>
      </c>
      <c r="S2257" t="s">
        <v>178</v>
      </c>
      <c r="T2257">
        <v>8.7614519571475868E-3</v>
      </c>
      <c r="U2257" t="s">
        <v>90</v>
      </c>
      <c r="V2257">
        <v>0</v>
      </c>
      <c r="W2257" t="s">
        <v>90</v>
      </c>
      <c r="X2257">
        <v>0</v>
      </c>
      <c r="Y2257">
        <v>8.6154277578617933E-2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K2257" t="s">
        <v>7325</v>
      </c>
      <c r="AM2257">
        <v>400000</v>
      </c>
      <c r="AN2257" t="s">
        <v>97</v>
      </c>
      <c r="AO2257">
        <v>2</v>
      </c>
      <c r="AP2257">
        <v>0</v>
      </c>
      <c r="AQ2257">
        <v>33333.333333333336</v>
      </c>
      <c r="AR2257" t="s">
        <v>7775</v>
      </c>
      <c r="AS2257" t="s">
        <v>75</v>
      </c>
      <c r="AW2257">
        <v>0</v>
      </c>
      <c r="AX2257" t="s">
        <v>76</v>
      </c>
      <c r="AY2257" t="s">
        <v>176</v>
      </c>
      <c r="AZ2257">
        <v>0</v>
      </c>
      <c r="BA2257" t="s">
        <v>176</v>
      </c>
      <c r="BB2257">
        <v>0</v>
      </c>
    </row>
    <row r="2258" spans="1:54" x14ac:dyDescent="0.15">
      <c r="A2258" s="4" t="str">
        <f>HYPERLINK("https://ibp.a2mac1.com/costing(costing:projects/details/9760/part/8416969)","Part 06")</f>
        <v>Part 06</v>
      </c>
      <c r="B2258">
        <v>8416969</v>
      </c>
      <c r="C2258">
        <v>8416631</v>
      </c>
      <c r="E2258">
        <v>1.8675214999999998E-2</v>
      </c>
      <c r="F2258">
        <v>0</v>
      </c>
      <c r="G2258">
        <v>0</v>
      </c>
      <c r="H2258">
        <v>2.1853975000000001E-6</v>
      </c>
      <c r="I2258" t="s">
        <v>176</v>
      </c>
      <c r="J2258">
        <v>6.9535375000000005E-4</v>
      </c>
      <c r="K2258">
        <v>1.9372754147500001E-2</v>
      </c>
      <c r="L2258">
        <v>7.20131041548276E-3</v>
      </c>
      <c r="M2258">
        <v>4.3207862492896557E-2</v>
      </c>
      <c r="N2258">
        <v>6.2580616640396561E-2</v>
      </c>
      <c r="O2258" t="s">
        <v>177</v>
      </c>
      <c r="P2258">
        <v>1.1623652488499999E-3</v>
      </c>
      <c r="Q2258" t="s">
        <v>177</v>
      </c>
      <c r="R2258">
        <v>2.5924717495737935E-3</v>
      </c>
      <c r="S2258" t="s">
        <v>178</v>
      </c>
      <c r="T2258">
        <v>7.5096739968475868E-3</v>
      </c>
      <c r="U2258" t="s">
        <v>90</v>
      </c>
      <c r="V2258">
        <v>0</v>
      </c>
      <c r="W2258" t="s">
        <v>90</v>
      </c>
      <c r="X2258">
        <v>0</v>
      </c>
      <c r="Y2258">
        <v>7.3845127635667945E-2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K2258" t="s">
        <v>7325</v>
      </c>
      <c r="AM2258">
        <v>400000</v>
      </c>
      <c r="AN2258" t="s">
        <v>97</v>
      </c>
      <c r="AO2258">
        <v>2</v>
      </c>
      <c r="AP2258">
        <v>0</v>
      </c>
      <c r="AQ2258">
        <v>33333.333333333336</v>
      </c>
      <c r="AR2258" t="s">
        <v>7779</v>
      </c>
      <c r="AS2258" t="s">
        <v>75</v>
      </c>
      <c r="AW2258">
        <v>0</v>
      </c>
      <c r="AX2258" t="s">
        <v>76</v>
      </c>
      <c r="AY2258" t="s">
        <v>176</v>
      </c>
      <c r="AZ2258">
        <v>0</v>
      </c>
      <c r="BA2258" t="s">
        <v>176</v>
      </c>
      <c r="BB2258">
        <v>0</v>
      </c>
    </row>
    <row r="2259" spans="1:54" x14ac:dyDescent="0.15">
      <c r="A2259" s="4" t="str">
        <f>HYPERLINK("https://ibp.a2mac1.com/costing(costing:projects/details/9760/part/8416970)","Part 01 (single/main/front)")</f>
        <v>Part 01 (single/main/front)</v>
      </c>
      <c r="B2259">
        <v>8416970</v>
      </c>
      <c r="C2259">
        <v>8416632</v>
      </c>
      <c r="E2259">
        <v>3.1816754307692308</v>
      </c>
      <c r="F2259">
        <v>0</v>
      </c>
      <c r="G2259">
        <v>0</v>
      </c>
      <c r="H2259">
        <v>3.910439076923077E-4</v>
      </c>
      <c r="I2259" t="s">
        <v>176</v>
      </c>
      <c r="J2259">
        <v>0.12442306153846154</v>
      </c>
      <c r="K2259">
        <v>3.3064895362153846</v>
      </c>
      <c r="L2259">
        <v>6.879874280571327E-2</v>
      </c>
      <c r="M2259">
        <v>0.41279245683427962</v>
      </c>
      <c r="N2259">
        <v>3.7192819930496643</v>
      </c>
      <c r="O2259" t="s">
        <v>177</v>
      </c>
      <c r="P2259">
        <v>0.19838937217292307</v>
      </c>
      <c r="Q2259" t="s">
        <v>177</v>
      </c>
      <c r="R2259">
        <v>2.4767547410056778E-2</v>
      </c>
      <c r="S2259" t="s">
        <v>178</v>
      </c>
      <c r="T2259">
        <v>0.44631383916595974</v>
      </c>
      <c r="U2259" t="s">
        <v>90</v>
      </c>
      <c r="V2259">
        <v>0</v>
      </c>
      <c r="W2259" t="s">
        <v>90</v>
      </c>
      <c r="X2259">
        <v>0</v>
      </c>
      <c r="Y2259">
        <v>4.388752751798604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K2259" t="s">
        <v>7325</v>
      </c>
      <c r="AM2259">
        <v>400000</v>
      </c>
      <c r="AN2259" t="s">
        <v>97</v>
      </c>
      <c r="AO2259">
        <v>2</v>
      </c>
      <c r="AP2259">
        <v>0</v>
      </c>
      <c r="AQ2259">
        <v>33333.333333333336</v>
      </c>
      <c r="AR2259" t="s">
        <v>7788</v>
      </c>
      <c r="AS2259" t="s">
        <v>75</v>
      </c>
      <c r="AW2259">
        <v>0</v>
      </c>
      <c r="AX2259" t="s">
        <v>76</v>
      </c>
      <c r="AY2259" t="s">
        <v>176</v>
      </c>
      <c r="AZ2259">
        <v>0</v>
      </c>
      <c r="BA2259" t="s">
        <v>176</v>
      </c>
      <c r="BB2259">
        <v>0</v>
      </c>
    </row>
    <row r="2260" spans="1:54" x14ac:dyDescent="0.15">
      <c r="A2260" s="4" t="str">
        <f>HYPERLINK("https://ibp.a2mac1.com/costing(costing:projects/details/9760/part/8416971)","Part 01 (single/main)")</f>
        <v>Part 01 (single/main)</v>
      </c>
      <c r="B2260">
        <v>8416971</v>
      </c>
      <c r="C2260">
        <v>8416633</v>
      </c>
      <c r="E2260">
        <v>0.12457353538461538</v>
      </c>
      <c r="F2260">
        <v>0</v>
      </c>
      <c r="G2260">
        <v>0</v>
      </c>
      <c r="H2260">
        <v>1.5310713846153847E-5</v>
      </c>
      <c r="I2260" t="s">
        <v>176</v>
      </c>
      <c r="J2260">
        <v>4.8715907692307697E-3</v>
      </c>
      <c r="K2260">
        <v>0.12946043686769232</v>
      </c>
      <c r="L2260">
        <v>1.0563353023009073E-2</v>
      </c>
      <c r="M2260">
        <v>6.3380118138054442E-2</v>
      </c>
      <c r="N2260">
        <v>0.19284055500574676</v>
      </c>
      <c r="O2260" t="s">
        <v>177</v>
      </c>
      <c r="P2260">
        <v>7.7676262120615382E-3</v>
      </c>
      <c r="Q2260" t="s">
        <v>177</v>
      </c>
      <c r="R2260">
        <v>3.8028070882832666E-3</v>
      </c>
      <c r="S2260" t="s">
        <v>178</v>
      </c>
      <c r="T2260">
        <v>2.3140866600689609E-2</v>
      </c>
      <c r="U2260" t="s">
        <v>90</v>
      </c>
      <c r="V2260">
        <v>0</v>
      </c>
      <c r="W2260" t="s">
        <v>90</v>
      </c>
      <c r="X2260">
        <v>0</v>
      </c>
      <c r="Y2260">
        <v>0.22755185490678118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K2260" t="s">
        <v>7325</v>
      </c>
      <c r="AM2260">
        <v>400000</v>
      </c>
      <c r="AN2260" t="s">
        <v>97</v>
      </c>
      <c r="AO2260">
        <v>2</v>
      </c>
      <c r="AP2260">
        <v>0</v>
      </c>
      <c r="AQ2260">
        <v>33333.333333333336</v>
      </c>
      <c r="AR2260" t="s">
        <v>7794</v>
      </c>
      <c r="AS2260" t="s">
        <v>75</v>
      </c>
      <c r="AW2260">
        <v>0</v>
      </c>
      <c r="AX2260" t="s">
        <v>76</v>
      </c>
      <c r="AY2260" t="s">
        <v>176</v>
      </c>
      <c r="AZ2260">
        <v>0</v>
      </c>
      <c r="BA2260" t="s">
        <v>176</v>
      </c>
      <c r="BB2260">
        <v>0</v>
      </c>
    </row>
    <row r="2261" spans="1:54" x14ac:dyDescent="0.15">
      <c r="A2261" s="4" t="str">
        <f>HYPERLINK("https://ibp.a2mac1.com/costing(costing:projects/details/9760/part/8416972)","Part 01 (single/main)")</f>
        <v>Part 01 (single/main)</v>
      </c>
      <c r="B2261">
        <v>8416972</v>
      </c>
      <c r="C2261">
        <v>8416634</v>
      </c>
      <c r="E2261">
        <v>0.52926353999999998</v>
      </c>
      <c r="F2261">
        <v>0</v>
      </c>
      <c r="G2261">
        <v>0</v>
      </c>
      <c r="H2261">
        <v>6.3976911428571435E-5</v>
      </c>
      <c r="I2261" t="s">
        <v>176</v>
      </c>
      <c r="J2261">
        <v>2.0356289999999999E-2</v>
      </c>
      <c r="K2261">
        <v>0.5496838069114286</v>
      </c>
      <c r="L2261">
        <v>2.0626099745884138E-2</v>
      </c>
      <c r="M2261">
        <v>0.12375659847530482</v>
      </c>
      <c r="N2261">
        <v>0.67344040538673344</v>
      </c>
      <c r="O2261" t="s">
        <v>177</v>
      </c>
      <c r="P2261">
        <v>3.2981028414685712E-2</v>
      </c>
      <c r="Q2261" t="s">
        <v>177</v>
      </c>
      <c r="R2261">
        <v>7.4253959085182897E-3</v>
      </c>
      <c r="S2261" t="s">
        <v>178</v>
      </c>
      <c r="T2261">
        <v>8.0812848646408003E-2</v>
      </c>
      <c r="U2261" t="s">
        <v>90</v>
      </c>
      <c r="V2261">
        <v>0</v>
      </c>
      <c r="W2261" t="s">
        <v>90</v>
      </c>
      <c r="X2261">
        <v>0</v>
      </c>
      <c r="Y2261">
        <v>0.79465967835634543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K2261" t="s">
        <v>7325</v>
      </c>
      <c r="AM2261">
        <v>400000</v>
      </c>
      <c r="AN2261" t="s">
        <v>97</v>
      </c>
      <c r="AO2261">
        <v>2</v>
      </c>
      <c r="AP2261">
        <v>0</v>
      </c>
      <c r="AQ2261">
        <v>33333.333333333336</v>
      </c>
      <c r="AR2261" t="s">
        <v>7801</v>
      </c>
      <c r="AS2261" t="s">
        <v>75</v>
      </c>
      <c r="AW2261">
        <v>0</v>
      </c>
      <c r="AX2261" t="s">
        <v>76</v>
      </c>
      <c r="AY2261" t="s">
        <v>176</v>
      </c>
      <c r="AZ2261">
        <v>0</v>
      </c>
      <c r="BA2261" t="s">
        <v>176</v>
      </c>
      <c r="BB2261">
        <v>0</v>
      </c>
    </row>
    <row r="2262" spans="1:54" x14ac:dyDescent="0.15">
      <c r="A2262" s="4" t="str">
        <f>HYPERLINK("https://ibp.a2mac1.com/costing(costing:projects/details/9760/part/8416973)","Part 02")</f>
        <v>Part 02</v>
      </c>
      <c r="B2262">
        <v>8416973</v>
      </c>
      <c r="C2262">
        <v>8416634</v>
      </c>
      <c r="E2262">
        <v>0.26236996000000001</v>
      </c>
      <c r="F2262">
        <v>0</v>
      </c>
      <c r="G2262">
        <v>0</v>
      </c>
      <c r="H2262">
        <v>3.1200752000000003E-5</v>
      </c>
      <c r="I2262" t="s">
        <v>176</v>
      </c>
      <c r="J2262">
        <v>9.9275119999999994E-3</v>
      </c>
      <c r="K2262">
        <v>0.27232867275200001</v>
      </c>
      <c r="L2262">
        <v>1.6357428824467144E-2</v>
      </c>
      <c r="M2262">
        <v>9.8144572946802858E-2</v>
      </c>
      <c r="N2262">
        <v>0.37047324569880286</v>
      </c>
      <c r="O2262" t="s">
        <v>177</v>
      </c>
      <c r="P2262">
        <v>1.6339720365119999E-2</v>
      </c>
      <c r="Q2262" t="s">
        <v>177</v>
      </c>
      <c r="R2262">
        <v>5.8886743768081715E-3</v>
      </c>
      <c r="S2262" t="s">
        <v>178</v>
      </c>
      <c r="T2262">
        <v>4.445678948385634E-2</v>
      </c>
      <c r="U2262" t="s">
        <v>90</v>
      </c>
      <c r="V2262">
        <v>0</v>
      </c>
      <c r="W2262" t="s">
        <v>90</v>
      </c>
      <c r="X2262">
        <v>0</v>
      </c>
      <c r="Y2262">
        <v>0.43715842992458737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K2262" t="s">
        <v>7325</v>
      </c>
      <c r="AM2262">
        <v>400000</v>
      </c>
      <c r="AN2262" t="s">
        <v>97</v>
      </c>
      <c r="AO2262">
        <v>2</v>
      </c>
      <c r="AP2262">
        <v>0</v>
      </c>
      <c r="AQ2262">
        <v>33333.333333333336</v>
      </c>
      <c r="AR2262" t="s">
        <v>7805</v>
      </c>
      <c r="AS2262" t="s">
        <v>75</v>
      </c>
      <c r="AW2262">
        <v>0</v>
      </c>
      <c r="AX2262" t="s">
        <v>76</v>
      </c>
      <c r="AY2262" t="s">
        <v>176</v>
      </c>
      <c r="AZ2262">
        <v>0</v>
      </c>
      <c r="BA2262" t="s">
        <v>176</v>
      </c>
      <c r="BB2262">
        <v>0</v>
      </c>
    </row>
    <row r="2263" spans="1:54" x14ac:dyDescent="0.15">
      <c r="A2263" s="4" t="str">
        <f>HYPERLINK("https://ibp.a2mac1.com/costing(costing:projects/details/9760/part/8416974)","Part 03")</f>
        <v>Part 03</v>
      </c>
      <c r="B2263">
        <v>8416974</v>
      </c>
      <c r="C2263">
        <v>8416634</v>
      </c>
      <c r="E2263">
        <v>0.49674237999999998</v>
      </c>
      <c r="F2263">
        <v>0</v>
      </c>
      <c r="G2263">
        <v>0</v>
      </c>
      <c r="H2263">
        <v>6.4284307999999999E-5</v>
      </c>
      <c r="I2263" t="s">
        <v>176</v>
      </c>
      <c r="J2263">
        <v>2.0454098E-2</v>
      </c>
      <c r="K2263">
        <v>0.517260762308</v>
      </c>
      <c r="L2263">
        <v>1.8524891664180389E-2</v>
      </c>
      <c r="M2263">
        <v>0.11114934998508233</v>
      </c>
      <c r="N2263">
        <v>0.6284101122930823</v>
      </c>
      <c r="O2263" t="s">
        <v>177</v>
      </c>
      <c r="P2263">
        <v>3.103564573848E-2</v>
      </c>
      <c r="Q2263" t="s">
        <v>177</v>
      </c>
      <c r="R2263">
        <v>6.6689609991049401E-3</v>
      </c>
      <c r="S2263" t="s">
        <v>178</v>
      </c>
      <c r="T2263">
        <v>7.5409213475169878E-2</v>
      </c>
      <c r="U2263" t="s">
        <v>90</v>
      </c>
      <c r="V2263">
        <v>0</v>
      </c>
      <c r="W2263" t="s">
        <v>90</v>
      </c>
      <c r="X2263">
        <v>0</v>
      </c>
      <c r="Y2263">
        <v>0.74152393250583715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K2263" t="s">
        <v>7325</v>
      </c>
      <c r="AM2263">
        <v>400000</v>
      </c>
      <c r="AN2263" t="s">
        <v>97</v>
      </c>
      <c r="AO2263">
        <v>2</v>
      </c>
      <c r="AP2263">
        <v>0</v>
      </c>
      <c r="AQ2263">
        <v>33333.333333333336</v>
      </c>
      <c r="AR2263" t="s">
        <v>7810</v>
      </c>
      <c r="AS2263" t="s">
        <v>75</v>
      </c>
      <c r="AW2263">
        <v>0</v>
      </c>
      <c r="AX2263" t="s">
        <v>76</v>
      </c>
      <c r="AY2263" t="s">
        <v>176</v>
      </c>
      <c r="AZ2263">
        <v>0</v>
      </c>
      <c r="BA2263" t="s">
        <v>176</v>
      </c>
      <c r="BB2263">
        <v>0</v>
      </c>
    </row>
    <row r="2264" spans="1:54" x14ac:dyDescent="0.15">
      <c r="A2264" s="4" t="str">
        <f>HYPERLINK("https://ibp.a2mac1.com/costing(costing:projects/details/9760/part/8416975)","Part 04")</f>
        <v>Part 04</v>
      </c>
      <c r="B2264">
        <v>8416975</v>
      </c>
      <c r="C2264">
        <v>8416634</v>
      </c>
      <c r="E2264">
        <v>0.10013094</v>
      </c>
      <c r="F2264">
        <v>0</v>
      </c>
      <c r="G2264">
        <v>0</v>
      </c>
      <c r="H2264">
        <v>1.210374E-5</v>
      </c>
      <c r="I2264" t="s">
        <v>176</v>
      </c>
      <c r="J2264">
        <v>3.85119E-3</v>
      </c>
      <c r="K2264">
        <v>0.10399423374</v>
      </c>
      <c r="L2264">
        <v>1.0563353023009073E-2</v>
      </c>
      <c r="M2264">
        <v>6.3380118138054442E-2</v>
      </c>
      <c r="N2264">
        <v>0.16737435187805444</v>
      </c>
      <c r="O2264" t="s">
        <v>177</v>
      </c>
      <c r="P2264">
        <v>6.2396540244000001E-3</v>
      </c>
      <c r="Q2264" t="s">
        <v>177</v>
      </c>
      <c r="R2264">
        <v>3.8028070882832666E-3</v>
      </c>
      <c r="S2264" t="s">
        <v>178</v>
      </c>
      <c r="T2264">
        <v>2.0084922225366533E-2</v>
      </c>
      <c r="U2264" t="s">
        <v>90</v>
      </c>
      <c r="V2264">
        <v>0</v>
      </c>
      <c r="W2264" t="s">
        <v>90</v>
      </c>
      <c r="X2264">
        <v>0</v>
      </c>
      <c r="Y2264">
        <v>0.19750173521610423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K2264" t="s">
        <v>7325</v>
      </c>
      <c r="AM2264">
        <v>400000</v>
      </c>
      <c r="AN2264" t="s">
        <v>97</v>
      </c>
      <c r="AO2264">
        <v>2</v>
      </c>
      <c r="AP2264">
        <v>0</v>
      </c>
      <c r="AQ2264">
        <v>33333.333333333336</v>
      </c>
      <c r="AR2264" t="s">
        <v>7814</v>
      </c>
      <c r="AS2264" t="s">
        <v>75</v>
      </c>
      <c r="AW2264">
        <v>0</v>
      </c>
      <c r="AX2264" t="s">
        <v>76</v>
      </c>
      <c r="AY2264" t="s">
        <v>176</v>
      </c>
      <c r="AZ2264">
        <v>0</v>
      </c>
      <c r="BA2264" t="s">
        <v>176</v>
      </c>
      <c r="BB2264">
        <v>0</v>
      </c>
    </row>
    <row r="2265" spans="1:54" x14ac:dyDescent="0.15">
      <c r="A2265" s="4" t="str">
        <f>HYPERLINK("https://ibp.a2mac1.com/costing(costing:projects/details/9760/part/8416976)","Part 05")</f>
        <v>Part 05</v>
      </c>
      <c r="B2265">
        <v>8416976</v>
      </c>
      <c r="C2265">
        <v>8416634</v>
      </c>
      <c r="E2265">
        <v>0.10555113333333334</v>
      </c>
      <c r="F2265">
        <v>0</v>
      </c>
      <c r="G2265">
        <v>0</v>
      </c>
      <c r="H2265">
        <v>1.2552026666666667E-5</v>
      </c>
      <c r="I2265" t="s">
        <v>176</v>
      </c>
      <c r="J2265">
        <v>3.993826666666667E-3</v>
      </c>
      <c r="K2265">
        <v>0.10955751202666666</v>
      </c>
      <c r="L2265">
        <v>7.20131041548276E-3</v>
      </c>
      <c r="M2265">
        <v>4.3207862492896557E-2</v>
      </c>
      <c r="N2265">
        <v>0.15276537451956324</v>
      </c>
      <c r="O2265" t="s">
        <v>177</v>
      </c>
      <c r="P2265">
        <v>6.5734507216E-3</v>
      </c>
      <c r="Q2265" t="s">
        <v>177</v>
      </c>
      <c r="R2265">
        <v>2.5924717495737935E-3</v>
      </c>
      <c r="S2265" t="s">
        <v>178</v>
      </c>
      <c r="T2265">
        <v>1.8331844942347585E-2</v>
      </c>
      <c r="U2265" t="s">
        <v>90</v>
      </c>
      <c r="V2265">
        <v>0</v>
      </c>
      <c r="W2265" t="s">
        <v>90</v>
      </c>
      <c r="X2265">
        <v>0</v>
      </c>
      <c r="Y2265">
        <v>0.1802631419330846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K2265" t="s">
        <v>7325</v>
      </c>
      <c r="AM2265">
        <v>400000</v>
      </c>
      <c r="AN2265" t="s">
        <v>97</v>
      </c>
      <c r="AO2265">
        <v>2</v>
      </c>
      <c r="AP2265">
        <v>0</v>
      </c>
      <c r="AQ2265">
        <v>33333.333333333336</v>
      </c>
      <c r="AR2265" t="s">
        <v>7818</v>
      </c>
      <c r="AS2265" t="s">
        <v>75</v>
      </c>
      <c r="AW2265">
        <v>0</v>
      </c>
      <c r="AX2265" t="s">
        <v>76</v>
      </c>
      <c r="AY2265" t="s">
        <v>176</v>
      </c>
      <c r="AZ2265">
        <v>0</v>
      </c>
      <c r="BA2265" t="s">
        <v>176</v>
      </c>
      <c r="BB2265">
        <v>0</v>
      </c>
    </row>
    <row r="2266" spans="1:54" x14ac:dyDescent="0.15">
      <c r="A2266" s="4" t="str">
        <f>HYPERLINK("https://ibp.a2mac1.com/costing(costing:projects/details/9760/part/8416977)","Part 06")</f>
        <v>Part 06</v>
      </c>
      <c r="B2266">
        <v>8416977</v>
      </c>
      <c r="C2266">
        <v>8416634</v>
      </c>
      <c r="E2266">
        <v>6.7337046153846156E-2</v>
      </c>
      <c r="F2266">
        <v>0</v>
      </c>
      <c r="G2266">
        <v>0</v>
      </c>
      <c r="H2266">
        <v>8.2760615384615384E-6</v>
      </c>
      <c r="I2266" t="s">
        <v>176</v>
      </c>
      <c r="J2266">
        <v>2.6332923076923076E-3</v>
      </c>
      <c r="K2266">
        <v>6.9978614523076924E-2</v>
      </c>
      <c r="L2266">
        <v>7.20131041548276E-3</v>
      </c>
      <c r="M2266">
        <v>4.3207862492896557E-2</v>
      </c>
      <c r="N2266">
        <v>0.11318647701597348</v>
      </c>
      <c r="O2266" t="s">
        <v>177</v>
      </c>
      <c r="P2266">
        <v>4.1987168713846154E-3</v>
      </c>
      <c r="Q2266" t="s">
        <v>177</v>
      </c>
      <c r="R2266">
        <v>2.5924717495737935E-3</v>
      </c>
      <c r="S2266" t="s">
        <v>178</v>
      </c>
      <c r="T2266">
        <v>1.3582377241916818E-2</v>
      </c>
      <c r="U2266" t="s">
        <v>90</v>
      </c>
      <c r="V2266">
        <v>0</v>
      </c>
      <c r="W2266" t="s">
        <v>90</v>
      </c>
      <c r="X2266">
        <v>0</v>
      </c>
      <c r="Y2266">
        <v>0.13356004287884871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K2266" t="s">
        <v>7325</v>
      </c>
      <c r="AM2266">
        <v>400000</v>
      </c>
      <c r="AN2266" t="s">
        <v>97</v>
      </c>
      <c r="AO2266">
        <v>2</v>
      </c>
      <c r="AP2266">
        <v>0</v>
      </c>
      <c r="AQ2266">
        <v>33333.333333333336</v>
      </c>
      <c r="AR2266" t="s">
        <v>7822</v>
      </c>
      <c r="AS2266" t="s">
        <v>75</v>
      </c>
      <c r="AW2266">
        <v>0</v>
      </c>
      <c r="AX2266" t="s">
        <v>76</v>
      </c>
      <c r="AY2266" t="s">
        <v>176</v>
      </c>
      <c r="AZ2266">
        <v>0</v>
      </c>
      <c r="BA2266" t="s">
        <v>176</v>
      </c>
      <c r="BB2266">
        <v>0</v>
      </c>
    </row>
    <row r="2267" spans="1:54" x14ac:dyDescent="0.15">
      <c r="A2267" s="4" t="str">
        <f>HYPERLINK("https://ibp.a2mac1.com/costing(costing:projects/details/9760/part/8416978)","Part 07")</f>
        <v>Part 07</v>
      </c>
      <c r="B2267">
        <v>8416978</v>
      </c>
      <c r="C2267">
        <v>8416634</v>
      </c>
      <c r="E2267">
        <v>6.3575199999999998E-2</v>
      </c>
      <c r="F2267">
        <v>0</v>
      </c>
      <c r="G2267">
        <v>0</v>
      </c>
      <c r="H2267">
        <v>7.6849142857142859E-6</v>
      </c>
      <c r="I2267" t="s">
        <v>176</v>
      </c>
      <c r="J2267">
        <v>2.4451999999999998E-3</v>
      </c>
      <c r="K2267">
        <v>6.6028084914285717E-2</v>
      </c>
      <c r="L2267">
        <v>7.20131041548276E-3</v>
      </c>
      <c r="M2267">
        <v>4.3207862492896557E-2</v>
      </c>
      <c r="N2267">
        <v>0.10923594740718227</v>
      </c>
      <c r="O2267" t="s">
        <v>177</v>
      </c>
      <c r="P2267">
        <v>3.9616850948571425E-3</v>
      </c>
      <c r="Q2267" t="s">
        <v>177</v>
      </c>
      <c r="R2267">
        <v>2.5924717495737935E-3</v>
      </c>
      <c r="S2267" t="s">
        <v>178</v>
      </c>
      <c r="T2267">
        <v>1.3108313688861872E-2</v>
      </c>
      <c r="U2267" t="s">
        <v>90</v>
      </c>
      <c r="V2267">
        <v>0</v>
      </c>
      <c r="W2267" t="s">
        <v>90</v>
      </c>
      <c r="X2267">
        <v>0</v>
      </c>
      <c r="Y2267">
        <v>0.12889841794047507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K2267" t="s">
        <v>7325</v>
      </c>
      <c r="AM2267">
        <v>400000</v>
      </c>
      <c r="AN2267" t="s">
        <v>97</v>
      </c>
      <c r="AO2267">
        <v>2</v>
      </c>
      <c r="AP2267">
        <v>0</v>
      </c>
      <c r="AQ2267">
        <v>33333.333333333336</v>
      </c>
      <c r="AR2267" t="s">
        <v>7826</v>
      </c>
      <c r="AS2267" t="s">
        <v>75</v>
      </c>
      <c r="AW2267">
        <v>0</v>
      </c>
      <c r="AX2267" t="s">
        <v>76</v>
      </c>
      <c r="AY2267" t="s">
        <v>176</v>
      </c>
      <c r="AZ2267">
        <v>0</v>
      </c>
      <c r="BA2267" t="s">
        <v>176</v>
      </c>
      <c r="BB2267">
        <v>0</v>
      </c>
    </row>
    <row r="2268" spans="1:54" x14ac:dyDescent="0.15">
      <c r="A2268" s="4" t="str">
        <f>HYPERLINK("https://ibp.a2mac1.com/costing(costing:projects/details/9760/part/8417274)","Part 01 (single/main/upper)")</f>
        <v>Part 01 (single/main/upper)</v>
      </c>
      <c r="B2268">
        <v>8417274</v>
      </c>
      <c r="C2268">
        <v>8416979</v>
      </c>
      <c r="E2268">
        <v>2.6789611199999999</v>
      </c>
      <c r="F2268">
        <v>0</v>
      </c>
      <c r="G2268">
        <v>0</v>
      </c>
      <c r="H2268">
        <v>3.3487014000000001E-4</v>
      </c>
      <c r="I2268" t="s">
        <v>176</v>
      </c>
      <c r="J2268">
        <v>0.10654959</v>
      </c>
      <c r="K2268">
        <v>2.7858455801400002</v>
      </c>
      <c r="L2268">
        <v>6.879874280571327E-2</v>
      </c>
      <c r="M2268">
        <v>0.41279245683427962</v>
      </c>
      <c r="N2268">
        <v>3.1986380369742795</v>
      </c>
      <c r="O2268" t="s">
        <v>177</v>
      </c>
      <c r="P2268">
        <v>0.16715073480840001</v>
      </c>
      <c r="Q2268" t="s">
        <v>177</v>
      </c>
      <c r="R2268">
        <v>2.4767547410056778E-2</v>
      </c>
      <c r="S2268" t="s">
        <v>178</v>
      </c>
      <c r="T2268">
        <v>0.38383656443691355</v>
      </c>
      <c r="U2268" t="s">
        <v>90</v>
      </c>
      <c r="V2268">
        <v>0</v>
      </c>
      <c r="W2268" t="s">
        <v>90</v>
      </c>
      <c r="X2268">
        <v>0</v>
      </c>
      <c r="Y2268">
        <v>3.7743928836296501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K2268" t="s">
        <v>7325</v>
      </c>
      <c r="AM2268">
        <v>400000</v>
      </c>
      <c r="AN2268" t="s">
        <v>97</v>
      </c>
      <c r="AO2268">
        <v>2</v>
      </c>
      <c r="AP2268">
        <v>0</v>
      </c>
      <c r="AQ2268">
        <v>33333.333333333336</v>
      </c>
      <c r="AR2268" t="s">
        <v>7840</v>
      </c>
      <c r="AS2268" t="s">
        <v>75</v>
      </c>
      <c r="AW2268">
        <v>0</v>
      </c>
      <c r="AX2268" t="s">
        <v>76</v>
      </c>
      <c r="AY2268" t="s">
        <v>176</v>
      </c>
      <c r="AZ2268">
        <v>0</v>
      </c>
      <c r="BA2268" t="s">
        <v>176</v>
      </c>
      <c r="BB2268">
        <v>0</v>
      </c>
    </row>
    <row r="2269" spans="1:54" x14ac:dyDescent="0.15">
      <c r="A2269" s="4" t="str">
        <f>HYPERLINK("https://ibp.a2mac1.com/costing(costing:projects/details/9760/part/8417275)","Part 02")</f>
        <v>Part 02</v>
      </c>
      <c r="B2269">
        <v>8417275</v>
      </c>
      <c r="C2269">
        <v>8416979</v>
      </c>
      <c r="E2269">
        <v>0.32321782153846151</v>
      </c>
      <c r="F2269">
        <v>0</v>
      </c>
      <c r="G2269">
        <v>0</v>
      </c>
      <c r="H2269">
        <v>3.9725095384615384E-5</v>
      </c>
      <c r="I2269" t="s">
        <v>176</v>
      </c>
      <c r="J2269">
        <v>1.2639803076923077E-2</v>
      </c>
      <c r="K2269">
        <v>0.33589734971076923</v>
      </c>
      <c r="L2269">
        <v>1.2017019305024818E-2</v>
      </c>
      <c r="M2269">
        <v>7.2102115830148902E-2</v>
      </c>
      <c r="N2269">
        <v>0.40799946554091815</v>
      </c>
      <c r="O2269" t="s">
        <v>177</v>
      </c>
      <c r="P2269">
        <v>2.0153840982646155E-2</v>
      </c>
      <c r="Q2269" t="s">
        <v>177</v>
      </c>
      <c r="R2269">
        <v>4.3261269498089342E-3</v>
      </c>
      <c r="S2269" t="s">
        <v>178</v>
      </c>
      <c r="T2269">
        <v>4.8959935864910174E-2</v>
      </c>
      <c r="U2269" t="s">
        <v>90</v>
      </c>
      <c r="V2269">
        <v>0</v>
      </c>
      <c r="W2269" t="s">
        <v>90</v>
      </c>
      <c r="X2269">
        <v>0</v>
      </c>
      <c r="Y2269">
        <v>0.48143936933828341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K2269" t="s">
        <v>7325</v>
      </c>
      <c r="AM2269">
        <v>400000</v>
      </c>
      <c r="AN2269" t="s">
        <v>97</v>
      </c>
      <c r="AO2269">
        <v>2</v>
      </c>
      <c r="AP2269">
        <v>0</v>
      </c>
      <c r="AQ2269">
        <v>33333.333333333336</v>
      </c>
      <c r="AR2269" t="s">
        <v>7845</v>
      </c>
      <c r="AS2269" t="s">
        <v>75</v>
      </c>
      <c r="AW2269">
        <v>0</v>
      </c>
      <c r="AX2269" t="s">
        <v>76</v>
      </c>
      <c r="AY2269" t="s">
        <v>176</v>
      </c>
      <c r="AZ2269">
        <v>0</v>
      </c>
      <c r="BA2269" t="s">
        <v>176</v>
      </c>
      <c r="BB2269">
        <v>0</v>
      </c>
    </row>
    <row r="2270" spans="1:54" x14ac:dyDescent="0.15">
      <c r="A2270" s="4" t="str">
        <f>HYPERLINK("https://ibp.a2mac1.com/costing(costing:projects/details/9760/part/8417276)","Part 01 (single/main)")</f>
        <v>Part 01 (single/main)</v>
      </c>
      <c r="B2270">
        <v>8417276</v>
      </c>
      <c r="C2270">
        <v>8416980</v>
      </c>
      <c r="E2270">
        <v>39.227598061999998</v>
      </c>
      <c r="F2270">
        <v>0</v>
      </c>
      <c r="G2270">
        <v>0</v>
      </c>
      <c r="H2270">
        <v>4.5904636030000001E-3</v>
      </c>
      <c r="I2270" t="s">
        <v>176</v>
      </c>
      <c r="J2270">
        <v>1.4606020555000001</v>
      </c>
      <c r="K2270">
        <v>40.692790581102997</v>
      </c>
      <c r="L2270">
        <v>4.4882792529054525</v>
      </c>
      <c r="M2270">
        <v>26.929675517432717</v>
      </c>
      <c r="N2270">
        <v>67.62246609853571</v>
      </c>
      <c r="O2270" t="s">
        <v>177</v>
      </c>
      <c r="P2270">
        <v>2.44156743486618</v>
      </c>
      <c r="Q2270" t="s">
        <v>177</v>
      </c>
      <c r="R2270">
        <v>1.615780531045963</v>
      </c>
      <c r="S2270" t="s">
        <v>178</v>
      </c>
      <c r="T2270">
        <v>8.1146959318242864</v>
      </c>
      <c r="U2270" t="s">
        <v>90</v>
      </c>
      <c r="V2270">
        <v>0</v>
      </c>
      <c r="W2270" t="s">
        <v>90</v>
      </c>
      <c r="X2270">
        <v>0</v>
      </c>
      <c r="Y2270">
        <v>79.79450999627214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K2270" t="s">
        <v>7325</v>
      </c>
      <c r="AM2270">
        <v>400000</v>
      </c>
      <c r="AN2270" t="s">
        <v>97</v>
      </c>
      <c r="AO2270">
        <v>2</v>
      </c>
      <c r="AP2270">
        <v>0</v>
      </c>
      <c r="AQ2270">
        <v>33333.333333333336</v>
      </c>
      <c r="AR2270" t="s">
        <v>7854</v>
      </c>
      <c r="AS2270" t="s">
        <v>75</v>
      </c>
      <c r="AW2270">
        <v>0</v>
      </c>
      <c r="AX2270" t="s">
        <v>76</v>
      </c>
      <c r="AY2270" t="s">
        <v>176</v>
      </c>
      <c r="AZ2270">
        <v>0</v>
      </c>
      <c r="BA2270" t="s">
        <v>176</v>
      </c>
      <c r="BB2270">
        <v>0</v>
      </c>
    </row>
    <row r="2271" spans="1:54" x14ac:dyDescent="0.15">
      <c r="A2271" s="4" t="str">
        <f>HYPERLINK("https://ibp.a2mac1.com/costing(costing:projects/details/9760/part/8416981)","Part 01 (main/single/front)")</f>
        <v>Part 01 (main/single/front)</v>
      </c>
      <c r="B2271">
        <v>8416981</v>
      </c>
      <c r="C2271">
        <v>8416637</v>
      </c>
      <c r="E2271">
        <v>12.063276852</v>
      </c>
      <c r="F2271">
        <v>0</v>
      </c>
      <c r="G2271">
        <v>0</v>
      </c>
      <c r="H2271">
        <v>1.534058328E-3</v>
      </c>
      <c r="I2271" t="s">
        <v>176</v>
      </c>
      <c r="J2271">
        <v>0.48810946799999999</v>
      </c>
      <c r="K2271">
        <v>12.552920378328</v>
      </c>
      <c r="L2271">
        <v>0.10678156361357313</v>
      </c>
      <c r="M2271">
        <v>0.64068938168143874</v>
      </c>
      <c r="N2271">
        <v>13.193609760009439</v>
      </c>
      <c r="O2271" t="s">
        <v>177</v>
      </c>
      <c r="P2271">
        <v>0.75317522269967996</v>
      </c>
      <c r="Q2271" t="s">
        <v>177</v>
      </c>
      <c r="R2271">
        <v>3.8441362900886324E-2</v>
      </c>
      <c r="S2271" t="s">
        <v>178</v>
      </c>
      <c r="T2271">
        <v>1.5832331712011327</v>
      </c>
      <c r="U2271" t="s">
        <v>90</v>
      </c>
      <c r="V2271">
        <v>0</v>
      </c>
      <c r="W2271" t="s">
        <v>90</v>
      </c>
      <c r="X2271">
        <v>0</v>
      </c>
      <c r="Y2271">
        <v>15.568459516811139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K2271" t="s">
        <v>7325</v>
      </c>
      <c r="AM2271">
        <v>400000</v>
      </c>
      <c r="AN2271" t="s">
        <v>97</v>
      </c>
      <c r="AO2271">
        <v>2</v>
      </c>
      <c r="AP2271">
        <v>0</v>
      </c>
      <c r="AQ2271">
        <v>33333.333333333336</v>
      </c>
      <c r="AR2271" t="s">
        <v>7864</v>
      </c>
      <c r="AS2271" t="s">
        <v>75</v>
      </c>
      <c r="AW2271">
        <v>0</v>
      </c>
      <c r="AX2271" t="s">
        <v>76</v>
      </c>
      <c r="AY2271" t="s">
        <v>176</v>
      </c>
      <c r="AZ2271">
        <v>0</v>
      </c>
      <c r="BA2271" t="s">
        <v>176</v>
      </c>
      <c r="BB2271">
        <v>0</v>
      </c>
    </row>
    <row r="2272" spans="1:54" x14ac:dyDescent="0.15">
      <c r="A2272" s="4" t="str">
        <f>HYPERLINK("https://ibp.a2mac1.com/costing(costing:projects/details/9760/part/8416982)","Part 02")</f>
        <v>Part 02</v>
      </c>
      <c r="B2272">
        <v>8416982</v>
      </c>
      <c r="C2272">
        <v>8416637</v>
      </c>
      <c r="E2272">
        <v>4.9257049261538466</v>
      </c>
      <c r="F2272">
        <v>0</v>
      </c>
      <c r="G2272">
        <v>0</v>
      </c>
      <c r="H2272">
        <v>6.0539390153846158E-4</v>
      </c>
      <c r="I2272" t="s">
        <v>176</v>
      </c>
      <c r="J2272">
        <v>0.1926253323076923</v>
      </c>
      <c r="K2272">
        <v>5.1189356523630769</v>
      </c>
      <c r="L2272">
        <v>0.1227258284596133</v>
      </c>
      <c r="M2272">
        <v>0.73635497075767986</v>
      </c>
      <c r="N2272">
        <v>5.8552906231207569</v>
      </c>
      <c r="O2272" t="s">
        <v>177</v>
      </c>
      <c r="P2272">
        <v>0.30713613914178461</v>
      </c>
      <c r="Q2272" t="s">
        <v>177</v>
      </c>
      <c r="R2272">
        <v>4.4181298245460791E-2</v>
      </c>
      <c r="S2272" t="s">
        <v>178</v>
      </c>
      <c r="T2272">
        <v>0.70263487477449083</v>
      </c>
      <c r="U2272" t="s">
        <v>90</v>
      </c>
      <c r="V2272">
        <v>0</v>
      </c>
      <c r="W2272" t="s">
        <v>90</v>
      </c>
      <c r="X2272">
        <v>0</v>
      </c>
      <c r="Y2272">
        <v>6.9092429352824931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K2272" t="s">
        <v>7325</v>
      </c>
      <c r="AM2272">
        <v>400000</v>
      </c>
      <c r="AN2272" t="s">
        <v>97</v>
      </c>
      <c r="AO2272">
        <v>2</v>
      </c>
      <c r="AP2272">
        <v>0</v>
      </c>
      <c r="AQ2272">
        <v>33333.333333333336</v>
      </c>
      <c r="AR2272" t="s">
        <v>7869</v>
      </c>
      <c r="AS2272" t="s">
        <v>75</v>
      </c>
      <c r="AW2272">
        <v>0</v>
      </c>
      <c r="AX2272" t="s">
        <v>76</v>
      </c>
      <c r="AY2272" t="s">
        <v>176</v>
      </c>
      <c r="AZ2272">
        <v>0</v>
      </c>
      <c r="BA2272" t="s">
        <v>176</v>
      </c>
      <c r="BB2272">
        <v>0</v>
      </c>
    </row>
    <row r="2273" spans="1:54" x14ac:dyDescent="0.15">
      <c r="A2273" s="4" t="str">
        <f>HYPERLINK("https://ibp.a2mac1.com/costing(costing:projects/details/9760/part/8416983)","Part 03")</f>
        <v>Part 03</v>
      </c>
      <c r="B2273">
        <v>8416983</v>
      </c>
      <c r="C2273">
        <v>8416637</v>
      </c>
      <c r="E2273">
        <v>2.6194110953846153</v>
      </c>
      <c r="F2273">
        <v>0</v>
      </c>
      <c r="G2273">
        <v>0</v>
      </c>
      <c r="H2273">
        <v>3.2193879384615387E-4</v>
      </c>
      <c r="I2273" t="s">
        <v>176</v>
      </c>
      <c r="J2273">
        <v>0.10243507076923077</v>
      </c>
      <c r="K2273">
        <v>2.7221681049476922</v>
      </c>
      <c r="L2273">
        <v>7.720347542634616E-2</v>
      </c>
      <c r="M2273">
        <v>0.46322085255807693</v>
      </c>
      <c r="N2273">
        <v>3.1853889575057694</v>
      </c>
      <c r="O2273" t="s">
        <v>177</v>
      </c>
      <c r="P2273">
        <v>0.16333008629686155</v>
      </c>
      <c r="Q2273" t="s">
        <v>177</v>
      </c>
      <c r="R2273">
        <v>2.7793251153484615E-2</v>
      </c>
      <c r="S2273" t="s">
        <v>178</v>
      </c>
      <c r="T2273">
        <v>0.38224667490069231</v>
      </c>
      <c r="U2273" t="s">
        <v>90</v>
      </c>
      <c r="V2273">
        <v>0</v>
      </c>
      <c r="W2273" t="s">
        <v>90</v>
      </c>
      <c r="X2273">
        <v>0</v>
      </c>
      <c r="Y2273">
        <v>3.7587589698568076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K2273" t="s">
        <v>7325</v>
      </c>
      <c r="AM2273">
        <v>400000</v>
      </c>
      <c r="AN2273" t="s">
        <v>97</v>
      </c>
      <c r="AO2273">
        <v>2</v>
      </c>
      <c r="AP2273">
        <v>0</v>
      </c>
      <c r="AQ2273">
        <v>33333.333333333336</v>
      </c>
      <c r="AR2273" t="s">
        <v>7874</v>
      </c>
      <c r="AS2273" t="s">
        <v>75</v>
      </c>
      <c r="AW2273">
        <v>0</v>
      </c>
      <c r="AX2273" t="s">
        <v>76</v>
      </c>
      <c r="AY2273" t="s">
        <v>176</v>
      </c>
      <c r="AZ2273">
        <v>0</v>
      </c>
      <c r="BA2273" t="s">
        <v>176</v>
      </c>
      <c r="BB2273">
        <v>0</v>
      </c>
    </row>
    <row r="2274" spans="1:54" x14ac:dyDescent="0.15">
      <c r="A2274" s="4" t="str">
        <f>HYPERLINK("https://ibp.a2mac1.com/costing(costing:projects/details/9760/part/8416984)","Part 04")</f>
        <v>Part 04</v>
      </c>
      <c r="B2274">
        <v>8416984</v>
      </c>
      <c r="C2274">
        <v>8416637</v>
      </c>
      <c r="E2274">
        <v>0.940943525</v>
      </c>
      <c r="F2274">
        <v>0</v>
      </c>
      <c r="G2274">
        <v>0</v>
      </c>
      <c r="H2274">
        <v>1.4014052500000001E-4</v>
      </c>
      <c r="I2274" t="s">
        <v>176</v>
      </c>
      <c r="J2274">
        <v>3.5035131249999997E-2</v>
      </c>
      <c r="K2274">
        <v>0.97611879677500002</v>
      </c>
      <c r="L2274">
        <v>3.9486409451175458E-2</v>
      </c>
      <c r="M2274">
        <v>0.23691845670705275</v>
      </c>
      <c r="N2274">
        <v>1.2130372534820528</v>
      </c>
      <c r="O2274" t="s">
        <v>177</v>
      </c>
      <c r="P2274">
        <v>5.8567127806500002E-2</v>
      </c>
      <c r="Q2274" t="s">
        <v>177</v>
      </c>
      <c r="R2274">
        <v>1.4215107402423165E-2</v>
      </c>
      <c r="S2274" t="s">
        <v>178</v>
      </c>
      <c r="T2274">
        <v>0.14556447041784634</v>
      </c>
      <c r="U2274" t="s">
        <v>90</v>
      </c>
      <c r="V2274">
        <v>0</v>
      </c>
      <c r="W2274" t="s">
        <v>90</v>
      </c>
      <c r="X2274">
        <v>0</v>
      </c>
      <c r="Y2274">
        <v>1.4313839591088222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K2274" t="s">
        <v>7325</v>
      </c>
      <c r="AM2274">
        <v>200000</v>
      </c>
      <c r="AN2274" t="s">
        <v>97</v>
      </c>
      <c r="AO2274">
        <v>1</v>
      </c>
      <c r="AP2274">
        <v>0</v>
      </c>
      <c r="AQ2274">
        <v>16666.666666666668</v>
      </c>
      <c r="AR2274" t="s">
        <v>7879</v>
      </c>
      <c r="AS2274" t="s">
        <v>75</v>
      </c>
      <c r="AW2274">
        <v>0</v>
      </c>
      <c r="AX2274" t="s">
        <v>76</v>
      </c>
      <c r="AY2274" t="s">
        <v>176</v>
      </c>
      <c r="AZ2274">
        <v>0</v>
      </c>
      <c r="BA2274" t="s">
        <v>176</v>
      </c>
      <c r="BB2274">
        <v>0</v>
      </c>
    </row>
    <row r="2275" spans="1:54" x14ac:dyDescent="0.15">
      <c r="A2275" s="4" t="str">
        <f>HYPERLINK("https://ibp.a2mac1.com/costing(costing:projects/details/9760/part/8416985)","Part 01 (single/main)")</f>
        <v>Part 01 (single/main)</v>
      </c>
      <c r="B2275">
        <v>8416985</v>
      </c>
      <c r="C2275">
        <v>8416638</v>
      </c>
      <c r="E2275">
        <v>8.0642045440000008</v>
      </c>
      <c r="F2275">
        <v>0</v>
      </c>
      <c r="G2275">
        <v>0</v>
      </c>
      <c r="H2275">
        <v>1.008025568E-3</v>
      </c>
      <c r="I2275" t="s">
        <v>176</v>
      </c>
      <c r="J2275">
        <v>0.320735408</v>
      </c>
      <c r="K2275">
        <v>8.3859479775679997</v>
      </c>
      <c r="L2275">
        <v>0.10678156361357313</v>
      </c>
      <c r="M2275">
        <v>0.64068938168143874</v>
      </c>
      <c r="N2275">
        <v>9.0266373592494382</v>
      </c>
      <c r="O2275" t="s">
        <v>177</v>
      </c>
      <c r="P2275">
        <v>0.50315687865407999</v>
      </c>
      <c r="Q2275" t="s">
        <v>177</v>
      </c>
      <c r="R2275">
        <v>3.8441362900886324E-2</v>
      </c>
      <c r="S2275" t="s">
        <v>178</v>
      </c>
      <c r="T2275">
        <v>1.0831964831099326</v>
      </c>
      <c r="U2275" t="s">
        <v>90</v>
      </c>
      <c r="V2275">
        <v>0</v>
      </c>
      <c r="W2275" t="s">
        <v>90</v>
      </c>
      <c r="X2275">
        <v>0</v>
      </c>
      <c r="Y2275">
        <v>10.651432083914338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K2275" t="s">
        <v>7325</v>
      </c>
      <c r="AM2275">
        <v>400000</v>
      </c>
      <c r="AN2275" t="s">
        <v>97</v>
      </c>
      <c r="AO2275">
        <v>2</v>
      </c>
      <c r="AP2275">
        <v>0</v>
      </c>
      <c r="AQ2275">
        <v>33333.333333333336</v>
      </c>
      <c r="AR2275" t="s">
        <v>7886</v>
      </c>
      <c r="AS2275" t="s">
        <v>75</v>
      </c>
      <c r="AW2275">
        <v>0</v>
      </c>
      <c r="AX2275" t="s">
        <v>76</v>
      </c>
      <c r="AY2275" t="s">
        <v>176</v>
      </c>
      <c r="AZ2275">
        <v>0</v>
      </c>
      <c r="BA2275" t="s">
        <v>176</v>
      </c>
      <c r="BB2275">
        <v>0</v>
      </c>
    </row>
    <row r="2276" spans="1:54" x14ac:dyDescent="0.15">
      <c r="A2276" s="4" t="str">
        <f>HYPERLINK("https://ibp.a2mac1.com/costing(costing:projects/details/9760/part/8416986)","Part 02")</f>
        <v>Part 02</v>
      </c>
      <c r="B2276">
        <v>8416986</v>
      </c>
      <c r="C2276">
        <v>8416638</v>
      </c>
      <c r="E2276">
        <v>0.10172032</v>
      </c>
      <c r="F2276">
        <v>0</v>
      </c>
      <c r="G2276">
        <v>0</v>
      </c>
      <c r="H2276">
        <v>1.2295862857142858E-5</v>
      </c>
      <c r="I2276" t="s">
        <v>176</v>
      </c>
      <c r="J2276">
        <v>3.9123200000000004E-3</v>
      </c>
      <c r="K2276">
        <v>0.10564493586285714</v>
      </c>
      <c r="L2276">
        <v>1.0563353023009073E-2</v>
      </c>
      <c r="M2276">
        <v>6.3380118138054442E-2</v>
      </c>
      <c r="N2276">
        <v>0.16902505400091158</v>
      </c>
      <c r="O2276" t="s">
        <v>177</v>
      </c>
      <c r="P2276">
        <v>6.3386961517714283E-3</v>
      </c>
      <c r="Q2276" t="s">
        <v>177</v>
      </c>
      <c r="R2276">
        <v>3.8028070882832666E-3</v>
      </c>
      <c r="S2276" t="s">
        <v>178</v>
      </c>
      <c r="T2276">
        <v>2.0283006480109389E-2</v>
      </c>
      <c r="U2276" t="s">
        <v>90</v>
      </c>
      <c r="V2276">
        <v>0</v>
      </c>
      <c r="W2276" t="s">
        <v>90</v>
      </c>
      <c r="X2276">
        <v>0</v>
      </c>
      <c r="Y2276">
        <v>0.19944956372107567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K2276" t="s">
        <v>7325</v>
      </c>
      <c r="AM2276">
        <v>400000</v>
      </c>
      <c r="AN2276" t="s">
        <v>97</v>
      </c>
      <c r="AO2276">
        <v>2</v>
      </c>
      <c r="AP2276">
        <v>0</v>
      </c>
      <c r="AQ2276">
        <v>33333.333333333336</v>
      </c>
      <c r="AR2276" t="s">
        <v>7890</v>
      </c>
      <c r="AS2276" t="s">
        <v>75</v>
      </c>
      <c r="AW2276">
        <v>0</v>
      </c>
      <c r="AX2276" t="s">
        <v>76</v>
      </c>
      <c r="AY2276" t="s">
        <v>176</v>
      </c>
      <c r="AZ2276">
        <v>0</v>
      </c>
      <c r="BA2276" t="s">
        <v>176</v>
      </c>
      <c r="BB2276">
        <v>0</v>
      </c>
    </row>
    <row r="2277" spans="1:54" x14ac:dyDescent="0.15">
      <c r="A2277" s="4" t="str">
        <f>HYPERLINK("https://ibp.a2mac1.com/costing(costing:projects/details/9760/part/8416987)","Part 03")</f>
        <v>Part 03</v>
      </c>
      <c r="B2277">
        <v>8416987</v>
      </c>
      <c r="C2277">
        <v>8416638</v>
      </c>
      <c r="E2277">
        <v>0.10648845999999999</v>
      </c>
      <c r="F2277">
        <v>0</v>
      </c>
      <c r="G2277">
        <v>0</v>
      </c>
      <c r="H2277">
        <v>1.2872231428571429E-5</v>
      </c>
      <c r="I2277" t="s">
        <v>176</v>
      </c>
      <c r="J2277">
        <v>4.0957099999999998E-3</v>
      </c>
      <c r="K2277">
        <v>0.11059704223142858</v>
      </c>
      <c r="L2277">
        <v>1.0563353023009073E-2</v>
      </c>
      <c r="M2277">
        <v>6.3380118138054442E-2</v>
      </c>
      <c r="N2277">
        <v>0.17397716036948302</v>
      </c>
      <c r="O2277" t="s">
        <v>177</v>
      </c>
      <c r="P2277">
        <v>6.6358225338857147E-3</v>
      </c>
      <c r="Q2277" t="s">
        <v>177</v>
      </c>
      <c r="R2277">
        <v>3.8028070882832666E-3</v>
      </c>
      <c r="S2277" t="s">
        <v>178</v>
      </c>
      <c r="T2277">
        <v>2.0877259244337962E-2</v>
      </c>
      <c r="U2277" t="s">
        <v>90</v>
      </c>
      <c r="V2277">
        <v>0</v>
      </c>
      <c r="W2277" t="s">
        <v>90</v>
      </c>
      <c r="X2277">
        <v>0</v>
      </c>
      <c r="Y2277">
        <v>0.20529304923598996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K2277" t="s">
        <v>7325</v>
      </c>
      <c r="AM2277">
        <v>400000</v>
      </c>
      <c r="AN2277" t="s">
        <v>97</v>
      </c>
      <c r="AO2277">
        <v>2</v>
      </c>
      <c r="AP2277">
        <v>0</v>
      </c>
      <c r="AQ2277">
        <v>33333.333333333336</v>
      </c>
      <c r="AR2277" t="s">
        <v>7894</v>
      </c>
      <c r="AS2277" t="s">
        <v>75</v>
      </c>
      <c r="AW2277">
        <v>0</v>
      </c>
      <c r="AX2277" t="s">
        <v>76</v>
      </c>
      <c r="AY2277" t="s">
        <v>176</v>
      </c>
      <c r="AZ2277">
        <v>0</v>
      </c>
      <c r="BA2277" t="s">
        <v>176</v>
      </c>
      <c r="BB2277">
        <v>0</v>
      </c>
    </row>
    <row r="2278" spans="1:54" x14ac:dyDescent="0.15">
      <c r="A2278" s="4" t="str">
        <f>HYPERLINK("https://ibp.a2mac1.com/costing(costing:projects/details/9760/part/8416988)","Part 04")</f>
        <v>Part 04</v>
      </c>
      <c r="B2278">
        <v>8416988</v>
      </c>
      <c r="C2278">
        <v>8416638</v>
      </c>
      <c r="E2278">
        <v>0.52624779333333338</v>
      </c>
      <c r="F2278">
        <v>0</v>
      </c>
      <c r="G2278">
        <v>0</v>
      </c>
      <c r="H2278">
        <v>6.2580818666666671E-5</v>
      </c>
      <c r="I2278" t="s">
        <v>176</v>
      </c>
      <c r="J2278">
        <v>1.9912078666666666E-2</v>
      </c>
      <c r="K2278">
        <v>0.54622245281866666</v>
      </c>
      <c r="L2278">
        <v>1.6357428824467144E-2</v>
      </c>
      <c r="M2278">
        <v>9.8144572946802858E-2</v>
      </c>
      <c r="N2278">
        <v>0.64436702576546956</v>
      </c>
      <c r="O2278" t="s">
        <v>177</v>
      </c>
      <c r="P2278">
        <v>3.2773347169119997E-2</v>
      </c>
      <c r="Q2278" t="s">
        <v>177</v>
      </c>
      <c r="R2278">
        <v>5.8886743768081715E-3</v>
      </c>
      <c r="S2278" t="s">
        <v>178</v>
      </c>
      <c r="T2278">
        <v>7.7324043091856337E-2</v>
      </c>
      <c r="U2278" t="s">
        <v>90</v>
      </c>
      <c r="V2278">
        <v>0</v>
      </c>
      <c r="W2278" t="s">
        <v>90</v>
      </c>
      <c r="X2278">
        <v>0</v>
      </c>
      <c r="Y2278">
        <v>0.76035309040325405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K2278" t="s">
        <v>7325</v>
      </c>
      <c r="AM2278">
        <v>400000</v>
      </c>
      <c r="AN2278" t="s">
        <v>97</v>
      </c>
      <c r="AO2278">
        <v>2</v>
      </c>
      <c r="AP2278">
        <v>0</v>
      </c>
      <c r="AQ2278">
        <v>33333.333333333336</v>
      </c>
      <c r="AR2278" t="s">
        <v>7899</v>
      </c>
      <c r="AS2278" t="s">
        <v>75</v>
      </c>
      <c r="AW2278">
        <v>0</v>
      </c>
      <c r="AX2278" t="s">
        <v>76</v>
      </c>
      <c r="AY2278" t="s">
        <v>176</v>
      </c>
      <c r="AZ2278">
        <v>0</v>
      </c>
      <c r="BA2278" t="s">
        <v>176</v>
      </c>
      <c r="BB2278">
        <v>0</v>
      </c>
    </row>
    <row r="2279" spans="1:54" x14ac:dyDescent="0.15">
      <c r="A2279" s="4" t="str">
        <f>HYPERLINK("https://ibp.a2mac1.com/costing(costing:projects/details/9760/part/8416989)","Part 05")</f>
        <v>Part 05</v>
      </c>
      <c r="B2279">
        <v>8416989</v>
      </c>
      <c r="C2279">
        <v>8416638</v>
      </c>
      <c r="E2279">
        <v>0.4090725553846154</v>
      </c>
      <c r="F2279">
        <v>0</v>
      </c>
      <c r="G2279">
        <v>0</v>
      </c>
      <c r="H2279">
        <v>5.0277073846153849E-5</v>
      </c>
      <c r="I2279" t="s">
        <v>176</v>
      </c>
      <c r="J2279">
        <v>1.599725076923077E-2</v>
      </c>
      <c r="K2279">
        <v>0.42512008322769229</v>
      </c>
      <c r="L2279">
        <v>1.6357428824467144E-2</v>
      </c>
      <c r="M2279">
        <v>9.8144572946802858E-2</v>
      </c>
      <c r="N2279">
        <v>0.52326465617449514</v>
      </c>
      <c r="O2279" t="s">
        <v>177</v>
      </c>
      <c r="P2279">
        <v>2.5507204993661537E-2</v>
      </c>
      <c r="Q2279" t="s">
        <v>177</v>
      </c>
      <c r="R2279">
        <v>5.8886743768081715E-3</v>
      </c>
      <c r="S2279" t="s">
        <v>178</v>
      </c>
      <c r="T2279">
        <v>6.2791758740939424E-2</v>
      </c>
      <c r="U2279" t="s">
        <v>90</v>
      </c>
      <c r="V2279">
        <v>0</v>
      </c>
      <c r="W2279" t="s">
        <v>90</v>
      </c>
      <c r="X2279">
        <v>0</v>
      </c>
      <c r="Y2279">
        <v>0.61745229428590431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K2279" t="s">
        <v>7325</v>
      </c>
      <c r="AM2279">
        <v>400000</v>
      </c>
      <c r="AN2279" t="s">
        <v>97</v>
      </c>
      <c r="AO2279">
        <v>2</v>
      </c>
      <c r="AP2279">
        <v>0</v>
      </c>
      <c r="AQ2279">
        <v>33333.333333333336</v>
      </c>
      <c r="AR2279" t="s">
        <v>7904</v>
      </c>
      <c r="AS2279" t="s">
        <v>75</v>
      </c>
      <c r="AW2279">
        <v>0</v>
      </c>
      <c r="AX2279" t="s">
        <v>76</v>
      </c>
      <c r="AY2279" t="s">
        <v>176</v>
      </c>
      <c r="AZ2279">
        <v>0</v>
      </c>
      <c r="BA2279" t="s">
        <v>176</v>
      </c>
      <c r="BB2279">
        <v>0</v>
      </c>
    </row>
    <row r="2280" spans="1:54" x14ac:dyDescent="0.15">
      <c r="A2280" s="4" t="str">
        <f>HYPERLINK("https://ibp.a2mac1.com/costing(costing:projects/details/9760/part/8416990)","Part 06")</f>
        <v>Part 06</v>
      </c>
      <c r="B2280">
        <v>8416990</v>
      </c>
      <c r="C2280">
        <v>8416638</v>
      </c>
      <c r="E2280">
        <v>9.3488146666666661E-2</v>
      </c>
      <c r="F2280">
        <v>0</v>
      </c>
      <c r="G2280">
        <v>0</v>
      </c>
      <c r="H2280">
        <v>1.1117509333333333E-5</v>
      </c>
      <c r="I2280" t="s">
        <v>176</v>
      </c>
      <c r="J2280">
        <v>3.5373893333333333E-3</v>
      </c>
      <c r="K2280">
        <v>9.703665350933334E-2</v>
      </c>
      <c r="L2280">
        <v>1.0563353023009073E-2</v>
      </c>
      <c r="M2280">
        <v>6.3380118138054442E-2</v>
      </c>
      <c r="N2280">
        <v>0.16041677164738777</v>
      </c>
      <c r="O2280" t="s">
        <v>177</v>
      </c>
      <c r="P2280">
        <v>5.8221992105600001E-3</v>
      </c>
      <c r="Q2280" t="s">
        <v>177</v>
      </c>
      <c r="R2280">
        <v>3.8028070882832666E-3</v>
      </c>
      <c r="S2280" t="s">
        <v>178</v>
      </c>
      <c r="T2280">
        <v>1.9250012597686533E-2</v>
      </c>
      <c r="U2280" t="s">
        <v>90</v>
      </c>
      <c r="V2280">
        <v>0</v>
      </c>
      <c r="W2280" t="s">
        <v>90</v>
      </c>
      <c r="X2280">
        <v>0</v>
      </c>
      <c r="Y2280">
        <v>0.18929179054391757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K2280" t="s">
        <v>7325</v>
      </c>
      <c r="AM2280">
        <v>400000</v>
      </c>
      <c r="AN2280" t="s">
        <v>97</v>
      </c>
      <c r="AO2280">
        <v>2</v>
      </c>
      <c r="AP2280">
        <v>0</v>
      </c>
      <c r="AQ2280">
        <v>33333.333333333336</v>
      </c>
      <c r="AR2280" t="s">
        <v>7908</v>
      </c>
      <c r="AS2280" t="s">
        <v>75</v>
      </c>
      <c r="AW2280">
        <v>0</v>
      </c>
      <c r="AX2280" t="s">
        <v>76</v>
      </c>
      <c r="AY2280" t="s">
        <v>176</v>
      </c>
      <c r="AZ2280">
        <v>0</v>
      </c>
      <c r="BA2280" t="s">
        <v>176</v>
      </c>
      <c r="BB2280">
        <v>0</v>
      </c>
    </row>
    <row r="2281" spans="1:54" x14ac:dyDescent="0.15">
      <c r="A2281" s="4" t="str">
        <f>HYPERLINK("https://ibp.a2mac1.com/costing(costing:projects/details/9760/part/8416991)","Part 07")</f>
        <v>Part 07</v>
      </c>
      <c r="B2281">
        <v>8416991</v>
      </c>
      <c r="C2281">
        <v>8416638</v>
      </c>
      <c r="E2281">
        <v>1.0256798933333333</v>
      </c>
      <c r="F2281">
        <v>0</v>
      </c>
      <c r="G2281">
        <v>0</v>
      </c>
      <c r="H2281">
        <v>1.2820998666666667E-4</v>
      </c>
      <c r="I2281" t="s">
        <v>176</v>
      </c>
      <c r="J2281">
        <v>4.0794086666666667E-2</v>
      </c>
      <c r="K2281">
        <v>1.0666021899866667</v>
      </c>
      <c r="L2281">
        <v>2.0626099745884138E-2</v>
      </c>
      <c r="M2281">
        <v>0.12375659847530482</v>
      </c>
      <c r="N2281">
        <v>1.1903587884619715</v>
      </c>
      <c r="O2281" t="s">
        <v>177</v>
      </c>
      <c r="P2281">
        <v>6.3996131399200004E-2</v>
      </c>
      <c r="Q2281" t="s">
        <v>177</v>
      </c>
      <c r="R2281">
        <v>7.4253959085182897E-3</v>
      </c>
      <c r="S2281" t="s">
        <v>178</v>
      </c>
      <c r="T2281">
        <v>0.14284305461543659</v>
      </c>
      <c r="U2281" t="s">
        <v>90</v>
      </c>
      <c r="V2281">
        <v>0</v>
      </c>
      <c r="W2281" t="s">
        <v>90</v>
      </c>
      <c r="X2281">
        <v>0</v>
      </c>
      <c r="Y2281">
        <v>1.4046233703851263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K2281" t="s">
        <v>7325</v>
      </c>
      <c r="AM2281">
        <v>400000</v>
      </c>
      <c r="AN2281" t="s">
        <v>97</v>
      </c>
      <c r="AO2281">
        <v>2</v>
      </c>
      <c r="AP2281">
        <v>0</v>
      </c>
      <c r="AQ2281">
        <v>33333.333333333336</v>
      </c>
      <c r="AR2281" t="s">
        <v>7913</v>
      </c>
      <c r="AS2281" t="s">
        <v>75</v>
      </c>
      <c r="AW2281">
        <v>0</v>
      </c>
      <c r="AX2281" t="s">
        <v>76</v>
      </c>
      <c r="AY2281" t="s">
        <v>176</v>
      </c>
      <c r="AZ2281">
        <v>0</v>
      </c>
      <c r="BA2281" t="s">
        <v>176</v>
      </c>
      <c r="BB2281">
        <v>0</v>
      </c>
    </row>
    <row r="2282" spans="1:54" x14ac:dyDescent="0.15">
      <c r="A2282" s="4" t="str">
        <f>HYPERLINK("https://ibp.a2mac1.com/costing(costing:projects/details/9760/part/8416992)","Part 08")</f>
        <v>Part 08</v>
      </c>
      <c r="B2282">
        <v>8416992</v>
      </c>
      <c r="C2282">
        <v>8416638</v>
      </c>
      <c r="E2282">
        <v>1.1211618184615384</v>
      </c>
      <c r="F2282">
        <v>0</v>
      </c>
      <c r="G2282">
        <v>0</v>
      </c>
      <c r="H2282">
        <v>1.3779642461538461E-4</v>
      </c>
      <c r="I2282" t="s">
        <v>176</v>
      </c>
      <c r="J2282">
        <v>4.3844316923076922E-2</v>
      </c>
      <c r="K2282">
        <v>1.1651439318092307</v>
      </c>
      <c r="L2282">
        <v>2.0626099745884138E-2</v>
      </c>
      <c r="M2282">
        <v>0.12375659847530482</v>
      </c>
      <c r="N2282">
        <v>1.2889005302845356</v>
      </c>
      <c r="O2282" t="s">
        <v>177</v>
      </c>
      <c r="P2282">
        <v>6.990863590855384E-2</v>
      </c>
      <c r="Q2282" t="s">
        <v>177</v>
      </c>
      <c r="R2282">
        <v>7.4253959085182897E-3</v>
      </c>
      <c r="S2282" t="s">
        <v>178</v>
      </c>
      <c r="T2282">
        <v>0.15466806363414426</v>
      </c>
      <c r="U2282" t="s">
        <v>90</v>
      </c>
      <c r="V2282">
        <v>0</v>
      </c>
      <c r="W2282" t="s">
        <v>90</v>
      </c>
      <c r="X2282">
        <v>0</v>
      </c>
      <c r="Y2282">
        <v>1.5209026257357521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K2282" t="s">
        <v>7325</v>
      </c>
      <c r="AM2282">
        <v>400000</v>
      </c>
      <c r="AN2282" t="s">
        <v>97</v>
      </c>
      <c r="AO2282">
        <v>2</v>
      </c>
      <c r="AP2282">
        <v>0</v>
      </c>
      <c r="AQ2282">
        <v>33333.333333333336</v>
      </c>
      <c r="AR2282" t="s">
        <v>7918</v>
      </c>
      <c r="AS2282" t="s">
        <v>75</v>
      </c>
      <c r="AW2282">
        <v>0</v>
      </c>
      <c r="AX2282" t="s">
        <v>76</v>
      </c>
      <c r="AY2282" t="s">
        <v>176</v>
      </c>
      <c r="AZ2282">
        <v>0</v>
      </c>
      <c r="BA2282" t="s">
        <v>176</v>
      </c>
      <c r="BB2282">
        <v>0</v>
      </c>
    </row>
    <row r="2283" spans="1:54" x14ac:dyDescent="0.15">
      <c r="A2283" s="4" t="str">
        <f>HYPERLINK("https://ibp.a2mac1.com/costing(costing:projects/details/9760/part/8416993)","Part 09")</f>
        <v>Part 09</v>
      </c>
      <c r="B2283">
        <v>8416993</v>
      </c>
      <c r="C2283">
        <v>8416638</v>
      </c>
      <c r="E2283">
        <v>0.28690346666666666</v>
      </c>
      <c r="F2283">
        <v>0</v>
      </c>
      <c r="G2283">
        <v>0</v>
      </c>
      <c r="H2283">
        <v>3.5862933333333332E-5</v>
      </c>
      <c r="I2283" t="s">
        <v>176</v>
      </c>
      <c r="J2283">
        <v>1.1410933333333333E-2</v>
      </c>
      <c r="K2283">
        <v>0.29835026293333333</v>
      </c>
      <c r="L2283">
        <v>1.6357428824467144E-2</v>
      </c>
      <c r="M2283">
        <v>9.8144572946802858E-2</v>
      </c>
      <c r="N2283">
        <v>0.39649483588013618</v>
      </c>
      <c r="O2283" t="s">
        <v>177</v>
      </c>
      <c r="P2283">
        <v>1.7901015776E-2</v>
      </c>
      <c r="Q2283" t="s">
        <v>177</v>
      </c>
      <c r="R2283">
        <v>5.8886743768081715E-3</v>
      </c>
      <c r="S2283" t="s">
        <v>178</v>
      </c>
      <c r="T2283">
        <v>4.7579380305616342E-2</v>
      </c>
      <c r="U2283" t="s">
        <v>90</v>
      </c>
      <c r="V2283">
        <v>0</v>
      </c>
      <c r="W2283" t="s">
        <v>90</v>
      </c>
      <c r="X2283">
        <v>0</v>
      </c>
      <c r="Y2283">
        <v>0.46786390633856073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K2283" t="s">
        <v>7325</v>
      </c>
      <c r="AM2283">
        <v>400000</v>
      </c>
      <c r="AN2283" t="s">
        <v>97</v>
      </c>
      <c r="AO2283">
        <v>2</v>
      </c>
      <c r="AP2283">
        <v>0</v>
      </c>
      <c r="AQ2283">
        <v>33333.333333333336</v>
      </c>
      <c r="AR2283" t="s">
        <v>7923</v>
      </c>
      <c r="AS2283" t="s">
        <v>75</v>
      </c>
      <c r="AW2283">
        <v>0</v>
      </c>
      <c r="AX2283" t="s">
        <v>76</v>
      </c>
      <c r="AY2283" t="s">
        <v>176</v>
      </c>
      <c r="AZ2283">
        <v>0</v>
      </c>
      <c r="BA2283" t="s">
        <v>176</v>
      </c>
      <c r="BB2283">
        <v>0</v>
      </c>
    </row>
    <row r="2284" spans="1:54" x14ac:dyDescent="0.15">
      <c r="A2284" s="4" t="str">
        <f>HYPERLINK("https://ibp.a2mac1.com/costing(costing:projects/details/9760/part/8416994)","Part 10")</f>
        <v>Part 10</v>
      </c>
      <c r="B2284">
        <v>8416994</v>
      </c>
      <c r="C2284">
        <v>8416638</v>
      </c>
      <c r="E2284">
        <v>0.12666136</v>
      </c>
      <c r="F2284">
        <v>0</v>
      </c>
      <c r="G2284">
        <v>0</v>
      </c>
      <c r="H2284">
        <v>1.5062431999999999E-5</v>
      </c>
      <c r="I2284" t="s">
        <v>176</v>
      </c>
      <c r="J2284">
        <v>4.792592E-3</v>
      </c>
      <c r="K2284">
        <v>0.13146901443199999</v>
      </c>
      <c r="L2284">
        <v>1.0563353023009073E-2</v>
      </c>
      <c r="M2284">
        <v>6.3380118138054442E-2</v>
      </c>
      <c r="N2284">
        <v>0.19484913257005443</v>
      </c>
      <c r="O2284" t="s">
        <v>177</v>
      </c>
      <c r="P2284">
        <v>7.8881408659200007E-3</v>
      </c>
      <c r="Q2284" t="s">
        <v>177</v>
      </c>
      <c r="R2284">
        <v>3.8028070882832666E-3</v>
      </c>
      <c r="S2284" t="s">
        <v>178</v>
      </c>
      <c r="T2284">
        <v>2.3381895908406534E-2</v>
      </c>
      <c r="U2284" t="s">
        <v>90</v>
      </c>
      <c r="V2284">
        <v>0</v>
      </c>
      <c r="W2284" t="s">
        <v>90</v>
      </c>
      <c r="X2284">
        <v>0</v>
      </c>
      <c r="Y2284">
        <v>0.22992197643266424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K2284" t="s">
        <v>7325</v>
      </c>
      <c r="AM2284">
        <v>400000</v>
      </c>
      <c r="AN2284" t="s">
        <v>97</v>
      </c>
      <c r="AO2284">
        <v>2</v>
      </c>
      <c r="AP2284">
        <v>0</v>
      </c>
      <c r="AQ2284">
        <v>33333.333333333336</v>
      </c>
      <c r="AR2284" t="s">
        <v>7927</v>
      </c>
      <c r="AS2284" t="s">
        <v>75</v>
      </c>
      <c r="AW2284">
        <v>0</v>
      </c>
      <c r="AX2284" t="s">
        <v>76</v>
      </c>
      <c r="AY2284" t="s">
        <v>176</v>
      </c>
      <c r="AZ2284">
        <v>0</v>
      </c>
      <c r="BA2284" t="s">
        <v>176</v>
      </c>
      <c r="BB2284">
        <v>0</v>
      </c>
    </row>
    <row r="2285" spans="1:54" x14ac:dyDescent="0.15">
      <c r="A2285" s="4" t="str">
        <f>HYPERLINK("https://ibp.a2mac1.com/costing(costing:projects/details/9760/part/8416995)","Part 11")</f>
        <v>Part 11</v>
      </c>
      <c r="B2285">
        <v>8416995</v>
      </c>
      <c r="C2285">
        <v>8416638</v>
      </c>
      <c r="E2285">
        <v>0.17165304000000001</v>
      </c>
      <c r="F2285">
        <v>0</v>
      </c>
      <c r="G2285">
        <v>0</v>
      </c>
      <c r="H2285">
        <v>2.0749268571428573E-5</v>
      </c>
      <c r="I2285" t="s">
        <v>176</v>
      </c>
      <c r="J2285">
        <v>6.60204E-3</v>
      </c>
      <c r="K2285">
        <v>0.17827582926857144</v>
      </c>
      <c r="L2285">
        <v>1.2017019305024818E-2</v>
      </c>
      <c r="M2285">
        <v>7.2102115830148902E-2</v>
      </c>
      <c r="N2285">
        <v>0.25037794509872036</v>
      </c>
      <c r="O2285" t="s">
        <v>177</v>
      </c>
      <c r="P2285">
        <v>1.0696549756114285E-2</v>
      </c>
      <c r="Q2285" t="s">
        <v>177</v>
      </c>
      <c r="R2285">
        <v>4.3261269498089342E-3</v>
      </c>
      <c r="S2285" t="s">
        <v>178</v>
      </c>
      <c r="T2285">
        <v>3.0045353411846439E-2</v>
      </c>
      <c r="U2285" t="s">
        <v>90</v>
      </c>
      <c r="V2285">
        <v>0</v>
      </c>
      <c r="W2285" t="s">
        <v>90</v>
      </c>
      <c r="X2285">
        <v>0</v>
      </c>
      <c r="Y2285">
        <v>0.29544597521649002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K2285" t="s">
        <v>7325</v>
      </c>
      <c r="AM2285">
        <v>400000</v>
      </c>
      <c r="AN2285" t="s">
        <v>97</v>
      </c>
      <c r="AO2285">
        <v>2</v>
      </c>
      <c r="AP2285">
        <v>0</v>
      </c>
      <c r="AQ2285">
        <v>33333.333333333336</v>
      </c>
      <c r="AR2285" t="s">
        <v>7932</v>
      </c>
      <c r="AS2285" t="s">
        <v>75</v>
      </c>
      <c r="AW2285">
        <v>0</v>
      </c>
      <c r="AX2285" t="s">
        <v>76</v>
      </c>
      <c r="AY2285" t="s">
        <v>176</v>
      </c>
      <c r="AZ2285">
        <v>0</v>
      </c>
      <c r="BA2285" t="s">
        <v>176</v>
      </c>
      <c r="BB2285">
        <v>0</v>
      </c>
    </row>
    <row r="2286" spans="1:54" x14ac:dyDescent="0.15">
      <c r="A2286" s="4" t="str">
        <f>HYPERLINK("https://ibp.a2mac1.com/costing(costing:projects/details/9760/part/8416996)","Part 12")</f>
        <v>Part 12</v>
      </c>
      <c r="B2286">
        <v>8416996</v>
      </c>
      <c r="C2286">
        <v>8416638</v>
      </c>
      <c r="E2286">
        <v>0.1986725</v>
      </c>
      <c r="F2286">
        <v>0</v>
      </c>
      <c r="G2286">
        <v>0</v>
      </c>
      <c r="H2286">
        <v>2.4015357142857144E-5</v>
      </c>
      <c r="I2286" t="s">
        <v>176</v>
      </c>
      <c r="J2286">
        <v>7.6412499999999996E-3</v>
      </c>
      <c r="K2286">
        <v>0.20633776535714285</v>
      </c>
      <c r="L2286">
        <v>1.2017019305024818E-2</v>
      </c>
      <c r="M2286">
        <v>7.2102115830148902E-2</v>
      </c>
      <c r="N2286">
        <v>0.27843988118729174</v>
      </c>
      <c r="O2286" t="s">
        <v>177</v>
      </c>
      <c r="P2286">
        <v>1.2380265921428572E-2</v>
      </c>
      <c r="Q2286" t="s">
        <v>177</v>
      </c>
      <c r="R2286">
        <v>4.3261269498089342E-3</v>
      </c>
      <c r="S2286" t="s">
        <v>178</v>
      </c>
      <c r="T2286">
        <v>3.3412785742475012E-2</v>
      </c>
      <c r="U2286" t="s">
        <v>90</v>
      </c>
      <c r="V2286">
        <v>0</v>
      </c>
      <c r="W2286" t="s">
        <v>90</v>
      </c>
      <c r="X2286">
        <v>0</v>
      </c>
      <c r="Y2286">
        <v>0.32855905980100431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K2286" t="s">
        <v>7325</v>
      </c>
      <c r="AM2286">
        <v>400000</v>
      </c>
      <c r="AN2286" t="s">
        <v>97</v>
      </c>
      <c r="AO2286">
        <v>2</v>
      </c>
      <c r="AP2286">
        <v>0</v>
      </c>
      <c r="AQ2286">
        <v>33333.333333333336</v>
      </c>
      <c r="AR2286" t="s">
        <v>7937</v>
      </c>
      <c r="AS2286" t="s">
        <v>75</v>
      </c>
      <c r="AW2286">
        <v>0</v>
      </c>
      <c r="AX2286" t="s">
        <v>76</v>
      </c>
      <c r="AY2286" t="s">
        <v>176</v>
      </c>
      <c r="AZ2286">
        <v>0</v>
      </c>
      <c r="BA2286" t="s">
        <v>176</v>
      </c>
      <c r="BB2286">
        <v>0</v>
      </c>
    </row>
    <row r="2287" spans="1:54" x14ac:dyDescent="0.15">
      <c r="A2287" s="4" t="str">
        <f>HYPERLINK("https://ibp.a2mac1.com/costing(costing:projects/details/9760/part/8417039)","Part 01 (single/main)")</f>
        <v>Part 01 (single/main)</v>
      </c>
      <c r="B2287">
        <v>8417039</v>
      </c>
      <c r="C2287">
        <v>8416639</v>
      </c>
      <c r="E2287">
        <v>0.49490847999999998</v>
      </c>
      <c r="F2287">
        <v>0</v>
      </c>
      <c r="G2287">
        <v>0</v>
      </c>
      <c r="H2287">
        <v>6.1863559999999999E-5</v>
      </c>
      <c r="I2287" t="s">
        <v>176</v>
      </c>
      <c r="J2287">
        <v>1.9683860000000001E-2</v>
      </c>
      <c r="K2287">
        <v>0.51465420356000002</v>
      </c>
      <c r="L2287">
        <v>1.6356980146647666E-2</v>
      </c>
      <c r="M2287">
        <v>9.8141880879885998E-2</v>
      </c>
      <c r="N2287">
        <v>0.61279608443988598</v>
      </c>
      <c r="O2287" t="s">
        <v>177</v>
      </c>
      <c r="P2287">
        <v>3.0879252213600002E-2</v>
      </c>
      <c r="Q2287" t="s">
        <v>177</v>
      </c>
      <c r="R2287">
        <v>5.8885128527931601E-3</v>
      </c>
      <c r="S2287" t="s">
        <v>178</v>
      </c>
      <c r="T2287">
        <v>7.3535530132786325E-2</v>
      </c>
      <c r="U2287" t="s">
        <v>90</v>
      </c>
      <c r="V2287">
        <v>0</v>
      </c>
      <c r="W2287" t="s">
        <v>90</v>
      </c>
      <c r="X2287">
        <v>0</v>
      </c>
      <c r="Y2287">
        <v>0.72309937963906545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K2287" t="s">
        <v>7325</v>
      </c>
      <c r="AM2287">
        <v>400000</v>
      </c>
      <c r="AN2287" t="s">
        <v>97</v>
      </c>
      <c r="AO2287">
        <v>2</v>
      </c>
      <c r="AP2287">
        <v>0</v>
      </c>
      <c r="AQ2287">
        <v>33333.333333333336</v>
      </c>
      <c r="AR2287" t="s">
        <v>7944</v>
      </c>
      <c r="AS2287" t="s">
        <v>75</v>
      </c>
      <c r="AW2287">
        <v>0</v>
      </c>
      <c r="AX2287" t="s">
        <v>76</v>
      </c>
      <c r="AY2287" t="s">
        <v>176</v>
      </c>
      <c r="AZ2287">
        <v>0</v>
      </c>
      <c r="BA2287" t="s">
        <v>176</v>
      </c>
      <c r="BB2287">
        <v>0</v>
      </c>
    </row>
    <row r="2288" spans="1:54" x14ac:dyDescent="0.15">
      <c r="A2288" s="4" t="str">
        <f>HYPERLINK("https://ibp.a2mac1.com/costing(costing:projects/details/9760/part/8417040)","Part 02")</f>
        <v>Part 02</v>
      </c>
      <c r="B2288">
        <v>8417040</v>
      </c>
      <c r="C2288">
        <v>8416639</v>
      </c>
      <c r="E2288">
        <v>0.59124935999999995</v>
      </c>
      <c r="F2288">
        <v>0</v>
      </c>
      <c r="G2288">
        <v>0</v>
      </c>
      <c r="H2288">
        <v>7.1469702857142851E-5</v>
      </c>
      <c r="I2288" t="s">
        <v>176</v>
      </c>
      <c r="J2288">
        <v>2.2740360000000001E-2</v>
      </c>
      <c r="K2288">
        <v>0.61406118970285717</v>
      </c>
      <c r="L2288">
        <v>1.6357428824467144E-2</v>
      </c>
      <c r="M2288">
        <v>9.8144572946802858E-2</v>
      </c>
      <c r="N2288">
        <v>0.71220576264965996</v>
      </c>
      <c r="O2288" t="s">
        <v>177</v>
      </c>
      <c r="P2288">
        <v>3.6843671382171428E-2</v>
      </c>
      <c r="Q2288" t="s">
        <v>177</v>
      </c>
      <c r="R2288">
        <v>5.8886743768081715E-3</v>
      </c>
      <c r="S2288" t="s">
        <v>178</v>
      </c>
      <c r="T2288">
        <v>8.5464691517959199E-2</v>
      </c>
      <c r="U2288" t="s">
        <v>90</v>
      </c>
      <c r="V2288">
        <v>0</v>
      </c>
      <c r="W2288" t="s">
        <v>90</v>
      </c>
      <c r="X2288">
        <v>0</v>
      </c>
      <c r="Y2288">
        <v>0.84040279992659883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K2288" t="s">
        <v>7325</v>
      </c>
      <c r="AM2288">
        <v>400000</v>
      </c>
      <c r="AN2288" t="s">
        <v>97</v>
      </c>
      <c r="AO2288">
        <v>2</v>
      </c>
      <c r="AP2288">
        <v>0</v>
      </c>
      <c r="AQ2288">
        <v>33333.333333333336</v>
      </c>
      <c r="AR2288" t="s">
        <v>7949</v>
      </c>
      <c r="AS2288" t="s">
        <v>75</v>
      </c>
      <c r="AW2288">
        <v>0</v>
      </c>
      <c r="AX2288" t="s">
        <v>76</v>
      </c>
      <c r="AY2288" t="s">
        <v>176</v>
      </c>
      <c r="AZ2288">
        <v>0</v>
      </c>
      <c r="BA2288" t="s">
        <v>176</v>
      </c>
      <c r="BB2288">
        <v>0</v>
      </c>
    </row>
    <row r="2289" spans="1:54" x14ac:dyDescent="0.15">
      <c r="A2289" s="4" t="str">
        <f>HYPERLINK("https://ibp.a2mac1.com/costing(costing:projects/details/9760/part/8417041)","Part 03")</f>
        <v>Part 03</v>
      </c>
      <c r="B2289">
        <v>8417041</v>
      </c>
      <c r="C2289">
        <v>8416639</v>
      </c>
      <c r="E2289">
        <v>4.0712579999999998E-2</v>
      </c>
      <c r="F2289">
        <v>0</v>
      </c>
      <c r="G2289">
        <v>0</v>
      </c>
      <c r="H2289">
        <v>4.841496E-6</v>
      </c>
      <c r="I2289" t="s">
        <v>176</v>
      </c>
      <c r="J2289">
        <v>1.540476E-3</v>
      </c>
      <c r="K2289">
        <v>4.2257897496000001E-2</v>
      </c>
      <c r="L2289">
        <v>1.0563353023009073E-2</v>
      </c>
      <c r="M2289">
        <v>6.3380118138054442E-2</v>
      </c>
      <c r="N2289">
        <v>0.10563801563405444</v>
      </c>
      <c r="O2289" t="s">
        <v>177</v>
      </c>
      <c r="P2289">
        <v>2.5354738497600001E-3</v>
      </c>
      <c r="Q2289" t="s">
        <v>177</v>
      </c>
      <c r="R2289">
        <v>3.8028070882832666E-3</v>
      </c>
      <c r="S2289" t="s">
        <v>178</v>
      </c>
      <c r="T2289">
        <v>1.2676561876086533E-2</v>
      </c>
      <c r="U2289" t="s">
        <v>90</v>
      </c>
      <c r="V2289">
        <v>0</v>
      </c>
      <c r="W2289" t="s">
        <v>90</v>
      </c>
      <c r="X2289">
        <v>0</v>
      </c>
      <c r="Y2289">
        <v>0.12465285844818424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K2289" t="s">
        <v>7325</v>
      </c>
      <c r="AM2289">
        <v>400000</v>
      </c>
      <c r="AN2289" t="s">
        <v>97</v>
      </c>
      <c r="AO2289">
        <v>2</v>
      </c>
      <c r="AP2289">
        <v>0</v>
      </c>
      <c r="AQ2289">
        <v>33333.333333333336</v>
      </c>
      <c r="AR2289" t="s">
        <v>7953</v>
      </c>
      <c r="AS2289" t="s">
        <v>75</v>
      </c>
      <c r="AW2289">
        <v>0</v>
      </c>
      <c r="AX2289" t="s">
        <v>76</v>
      </c>
      <c r="AY2289" t="s">
        <v>176</v>
      </c>
      <c r="AZ2289">
        <v>0</v>
      </c>
      <c r="BA2289" t="s">
        <v>176</v>
      </c>
      <c r="BB2289">
        <v>0</v>
      </c>
    </row>
    <row r="2290" spans="1:54" x14ac:dyDescent="0.15">
      <c r="A2290" s="4" t="str">
        <f>HYPERLINK("https://ibp.a2mac1.com/costing(costing:projects/details/9760/part/8417042)","Part 04")</f>
        <v>Part 04</v>
      </c>
      <c r="B2290">
        <v>8417042</v>
      </c>
      <c r="C2290">
        <v>8416639</v>
      </c>
      <c r="E2290">
        <v>4.7406314999999997E-2</v>
      </c>
      <c r="F2290">
        <v>0</v>
      </c>
      <c r="G2290">
        <v>0</v>
      </c>
      <c r="H2290">
        <v>5.5475474999999998E-6</v>
      </c>
      <c r="I2290" t="s">
        <v>176</v>
      </c>
      <c r="J2290">
        <v>1.76512875E-3</v>
      </c>
      <c r="K2290">
        <v>4.91769912975E-2</v>
      </c>
      <c r="L2290">
        <v>1.0563353023009073E-2</v>
      </c>
      <c r="M2290">
        <v>6.3380118138054442E-2</v>
      </c>
      <c r="N2290">
        <v>0.11255710943555444</v>
      </c>
      <c r="O2290" t="s">
        <v>177</v>
      </c>
      <c r="P2290">
        <v>2.9506194778499998E-3</v>
      </c>
      <c r="Q2290" t="s">
        <v>177</v>
      </c>
      <c r="R2290">
        <v>3.8028070882832666E-3</v>
      </c>
      <c r="S2290" t="s">
        <v>178</v>
      </c>
      <c r="T2290">
        <v>1.3506853132266534E-2</v>
      </c>
      <c r="U2290" t="s">
        <v>90</v>
      </c>
      <c r="V2290">
        <v>0</v>
      </c>
      <c r="W2290" t="s">
        <v>90</v>
      </c>
      <c r="X2290">
        <v>0</v>
      </c>
      <c r="Y2290">
        <v>0.13281738913395424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K2290" t="s">
        <v>7325</v>
      </c>
      <c r="AM2290">
        <v>400000</v>
      </c>
      <c r="AN2290" t="s">
        <v>97</v>
      </c>
      <c r="AO2290">
        <v>2</v>
      </c>
      <c r="AP2290">
        <v>0</v>
      </c>
      <c r="AQ2290">
        <v>33333.333333333336</v>
      </c>
      <c r="AR2290" t="s">
        <v>7957</v>
      </c>
      <c r="AS2290" t="s">
        <v>75</v>
      </c>
      <c r="AW2290">
        <v>0</v>
      </c>
      <c r="AX2290" t="s">
        <v>76</v>
      </c>
      <c r="AY2290" t="s">
        <v>176</v>
      </c>
      <c r="AZ2290">
        <v>0</v>
      </c>
      <c r="BA2290" t="s">
        <v>176</v>
      </c>
      <c r="BB2290">
        <v>0</v>
      </c>
    </row>
    <row r="2291" spans="1:54" x14ac:dyDescent="0.15">
      <c r="A2291" s="4" t="str">
        <f>HYPERLINK("https://ibp.a2mac1.com/costing(costing:projects/details/9760/part/8417043)","Part 05")</f>
        <v>Part 05</v>
      </c>
      <c r="B2291">
        <v>8417043</v>
      </c>
      <c r="C2291">
        <v>8416639</v>
      </c>
      <c r="E2291">
        <v>1.1062593039999999</v>
      </c>
      <c r="F2291">
        <v>0</v>
      </c>
      <c r="G2291">
        <v>0</v>
      </c>
      <c r="H2291">
        <v>1.29455876E-4</v>
      </c>
      <c r="I2291" t="s">
        <v>176</v>
      </c>
      <c r="J2291">
        <v>4.1190506000000002E-2</v>
      </c>
      <c r="K2291">
        <v>1.147579265876</v>
      </c>
      <c r="L2291">
        <v>1.0427353790616366E-2</v>
      </c>
      <c r="M2291">
        <v>6.25641227436982E-2</v>
      </c>
      <c r="N2291">
        <v>1.2101433886196982</v>
      </c>
      <c r="O2291" t="s">
        <v>177</v>
      </c>
      <c r="P2291">
        <v>6.8854755952560007E-2</v>
      </c>
      <c r="Q2291" t="s">
        <v>177</v>
      </c>
      <c r="R2291">
        <v>3.753847364621892E-3</v>
      </c>
      <c r="S2291" t="s">
        <v>178</v>
      </c>
      <c r="T2291">
        <v>0.14521720663436377</v>
      </c>
      <c r="U2291" t="s">
        <v>90</v>
      </c>
      <c r="V2291">
        <v>0</v>
      </c>
      <c r="W2291" t="s">
        <v>90</v>
      </c>
      <c r="X2291">
        <v>0</v>
      </c>
      <c r="Y2291">
        <v>1.4279691985712439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K2291" t="s">
        <v>7325</v>
      </c>
      <c r="AM2291">
        <v>400000</v>
      </c>
      <c r="AN2291" t="s">
        <v>97</v>
      </c>
      <c r="AO2291">
        <v>2</v>
      </c>
      <c r="AP2291">
        <v>0</v>
      </c>
      <c r="AQ2291">
        <v>33333.333333333336</v>
      </c>
      <c r="AR2291" t="s">
        <v>7961</v>
      </c>
      <c r="AS2291" t="s">
        <v>75</v>
      </c>
      <c r="AW2291">
        <v>0</v>
      </c>
      <c r="AX2291" t="s">
        <v>76</v>
      </c>
      <c r="AY2291" t="s">
        <v>176</v>
      </c>
      <c r="AZ2291">
        <v>0</v>
      </c>
      <c r="BA2291" t="s">
        <v>176</v>
      </c>
      <c r="BB2291">
        <v>0</v>
      </c>
    </row>
    <row r="2292" spans="1:54" x14ac:dyDescent="0.15">
      <c r="A2292" s="4" t="str">
        <f>HYPERLINK("https://ibp.a2mac1.com/costing(costing:projects/details/9760/part/8417044)","Part 06")</f>
        <v>Part 06</v>
      </c>
      <c r="B2292">
        <v>8417044</v>
      </c>
      <c r="C2292">
        <v>8416639</v>
      </c>
      <c r="E2292">
        <v>0.30992910000000001</v>
      </c>
      <c r="F2292">
        <v>0</v>
      </c>
      <c r="G2292">
        <v>0</v>
      </c>
      <c r="H2292">
        <v>3.7463957142857143E-5</v>
      </c>
      <c r="I2292" t="s">
        <v>176</v>
      </c>
      <c r="J2292">
        <v>1.192035E-2</v>
      </c>
      <c r="K2292">
        <v>0.32188691395714286</v>
      </c>
      <c r="L2292">
        <v>1.2017019305024818E-2</v>
      </c>
      <c r="M2292">
        <v>7.2102115830148902E-2</v>
      </c>
      <c r="N2292">
        <v>0.39398902978729178</v>
      </c>
      <c r="O2292" t="s">
        <v>177</v>
      </c>
      <c r="P2292">
        <v>1.9313214837428573E-2</v>
      </c>
      <c r="Q2292" t="s">
        <v>177</v>
      </c>
      <c r="R2292">
        <v>4.3261269498089342E-3</v>
      </c>
      <c r="S2292" t="s">
        <v>178</v>
      </c>
      <c r="T2292">
        <v>4.7278683574475011E-2</v>
      </c>
      <c r="U2292" t="s">
        <v>90</v>
      </c>
      <c r="V2292">
        <v>0</v>
      </c>
      <c r="W2292" t="s">
        <v>90</v>
      </c>
      <c r="X2292">
        <v>0</v>
      </c>
      <c r="Y2292">
        <v>0.46490705514900427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K2292" t="s">
        <v>7325</v>
      </c>
      <c r="AM2292">
        <v>400000</v>
      </c>
      <c r="AN2292" t="s">
        <v>97</v>
      </c>
      <c r="AO2292">
        <v>2</v>
      </c>
      <c r="AP2292">
        <v>0</v>
      </c>
      <c r="AQ2292">
        <v>33333.333333333336</v>
      </c>
      <c r="AR2292" t="s">
        <v>7966</v>
      </c>
      <c r="AS2292" t="s">
        <v>75</v>
      </c>
      <c r="AW2292">
        <v>0</v>
      </c>
      <c r="AX2292" t="s">
        <v>76</v>
      </c>
      <c r="AY2292" t="s">
        <v>176</v>
      </c>
      <c r="AZ2292">
        <v>0</v>
      </c>
      <c r="BA2292" t="s">
        <v>176</v>
      </c>
      <c r="BB2292">
        <v>0</v>
      </c>
    </row>
    <row r="2293" spans="1:54" x14ac:dyDescent="0.15">
      <c r="A2293" s="4" t="str">
        <f>HYPERLINK("https://ibp.a2mac1.com/costing(costing:projects/details/9760/part/8417045)","Part 07")</f>
        <v>Part 07</v>
      </c>
      <c r="B2293">
        <v>8417045</v>
      </c>
      <c r="C2293">
        <v>8416639</v>
      </c>
      <c r="E2293">
        <v>9.4812629999999995E-2</v>
      </c>
      <c r="F2293">
        <v>0</v>
      </c>
      <c r="G2293">
        <v>0</v>
      </c>
      <c r="H2293">
        <v>1.1095095E-5</v>
      </c>
      <c r="I2293" t="s">
        <v>176</v>
      </c>
      <c r="J2293">
        <v>3.5302574999999999E-3</v>
      </c>
      <c r="K2293">
        <v>9.8353982595E-2</v>
      </c>
      <c r="L2293">
        <v>1.0563353023009073E-2</v>
      </c>
      <c r="M2293">
        <v>6.3380118138054442E-2</v>
      </c>
      <c r="N2293">
        <v>0.16173410073305444</v>
      </c>
      <c r="O2293" t="s">
        <v>177</v>
      </c>
      <c r="P2293">
        <v>5.9012389556999997E-3</v>
      </c>
      <c r="Q2293" t="s">
        <v>177</v>
      </c>
      <c r="R2293">
        <v>3.8028070882832666E-3</v>
      </c>
      <c r="S2293" t="s">
        <v>178</v>
      </c>
      <c r="T2293">
        <v>1.9408092087966532E-2</v>
      </c>
      <c r="U2293" t="s">
        <v>90</v>
      </c>
      <c r="V2293">
        <v>0</v>
      </c>
      <c r="W2293" t="s">
        <v>90</v>
      </c>
      <c r="X2293">
        <v>0</v>
      </c>
      <c r="Y2293">
        <v>0.19084623886500424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K2293" t="s">
        <v>7325</v>
      </c>
      <c r="AM2293">
        <v>400000</v>
      </c>
      <c r="AN2293" t="s">
        <v>97</v>
      </c>
      <c r="AO2293">
        <v>2</v>
      </c>
      <c r="AP2293">
        <v>0</v>
      </c>
      <c r="AQ2293">
        <v>33333.333333333336</v>
      </c>
      <c r="AR2293" t="s">
        <v>7971</v>
      </c>
      <c r="AS2293" t="s">
        <v>75</v>
      </c>
      <c r="AW2293">
        <v>0</v>
      </c>
      <c r="AX2293" t="s">
        <v>76</v>
      </c>
      <c r="AY2293" t="s">
        <v>176</v>
      </c>
      <c r="AZ2293">
        <v>0</v>
      </c>
      <c r="BA2293" t="s">
        <v>176</v>
      </c>
      <c r="BB2293">
        <v>0</v>
      </c>
    </row>
    <row r="2294" spans="1:54" x14ac:dyDescent="0.15">
      <c r="A2294" s="4" t="str">
        <f>HYPERLINK("https://ibp.a2mac1.com/costing(costing:projects/details/9760/part/8417046)","Part 01 (single/main/upper)")</f>
        <v>Part 01 (single/main/upper)</v>
      </c>
      <c r="B2294">
        <v>8417046</v>
      </c>
      <c r="C2294">
        <v>8416640</v>
      </c>
      <c r="E2294">
        <v>3.1076046800000001</v>
      </c>
      <c r="F2294">
        <v>0</v>
      </c>
      <c r="G2294">
        <v>0</v>
      </c>
      <c r="H2294">
        <v>4.8610576000000002E-4</v>
      </c>
      <c r="I2294" t="s">
        <v>176</v>
      </c>
      <c r="J2294">
        <v>0.12152644</v>
      </c>
      <c r="K2294">
        <v>3.2296172257600002</v>
      </c>
      <c r="L2294">
        <v>9.6559042747849308E-2</v>
      </c>
      <c r="M2294">
        <v>0.57935425648709582</v>
      </c>
      <c r="N2294">
        <v>3.8089714822470957</v>
      </c>
      <c r="O2294" t="s">
        <v>177</v>
      </c>
      <c r="P2294">
        <v>0.1937770335456</v>
      </c>
      <c r="Q2294" t="s">
        <v>177</v>
      </c>
      <c r="R2294">
        <v>3.4761255389225747E-2</v>
      </c>
      <c r="S2294" t="s">
        <v>178</v>
      </c>
      <c r="T2294">
        <v>0.4570765778696515</v>
      </c>
      <c r="U2294" t="s">
        <v>90</v>
      </c>
      <c r="V2294">
        <v>0</v>
      </c>
      <c r="W2294" t="s">
        <v>90</v>
      </c>
      <c r="X2294">
        <v>0</v>
      </c>
      <c r="Y2294">
        <v>4.4945863490515734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K2294" t="s">
        <v>7325</v>
      </c>
      <c r="AM2294">
        <v>200000</v>
      </c>
      <c r="AN2294" t="s">
        <v>97</v>
      </c>
      <c r="AO2294">
        <v>1</v>
      </c>
      <c r="AP2294">
        <v>0</v>
      </c>
      <c r="AQ2294">
        <v>16666.666666666668</v>
      </c>
      <c r="AR2294" t="s">
        <v>7980</v>
      </c>
      <c r="AS2294" t="s">
        <v>75</v>
      </c>
      <c r="AW2294">
        <v>0</v>
      </c>
      <c r="AX2294" t="s">
        <v>76</v>
      </c>
      <c r="AY2294" t="s">
        <v>176</v>
      </c>
      <c r="AZ2294">
        <v>0</v>
      </c>
      <c r="BA2294" t="s">
        <v>176</v>
      </c>
      <c r="BB2294">
        <v>0</v>
      </c>
    </row>
    <row r="2295" spans="1:54" x14ac:dyDescent="0.15">
      <c r="A2295" s="4" t="str">
        <f>HYPERLINK("https://ibp.a2mac1.com/costing(costing:projects/details/9760/part/8417047)","Part 02 (lower)")</f>
        <v>Part 02 (lower)</v>
      </c>
      <c r="B2295">
        <v>8417047</v>
      </c>
      <c r="C2295">
        <v>8416640</v>
      </c>
      <c r="E2295">
        <v>2.92103592</v>
      </c>
      <c r="F2295">
        <v>0</v>
      </c>
      <c r="G2295">
        <v>0</v>
      </c>
      <c r="H2295">
        <v>4.6471026000000001E-4</v>
      </c>
      <c r="I2295" t="s">
        <v>176</v>
      </c>
      <c r="J2295">
        <v>0.116177565</v>
      </c>
      <c r="K2295">
        <v>3.0376781952599998</v>
      </c>
      <c r="L2295">
        <v>9.6559042747849308E-2</v>
      </c>
      <c r="M2295">
        <v>0.57935425648709582</v>
      </c>
      <c r="N2295">
        <v>3.6170324517470958</v>
      </c>
      <c r="O2295" t="s">
        <v>177</v>
      </c>
      <c r="P2295">
        <v>0.1822606917156</v>
      </c>
      <c r="Q2295" t="s">
        <v>177</v>
      </c>
      <c r="R2295">
        <v>3.4761255389225747E-2</v>
      </c>
      <c r="S2295" t="s">
        <v>178</v>
      </c>
      <c r="T2295">
        <v>0.4340438942096515</v>
      </c>
      <c r="U2295" t="s">
        <v>90</v>
      </c>
      <c r="V2295">
        <v>0</v>
      </c>
      <c r="W2295" t="s">
        <v>90</v>
      </c>
      <c r="X2295">
        <v>0</v>
      </c>
      <c r="Y2295">
        <v>4.2680982930615734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K2295" t="s">
        <v>7325</v>
      </c>
      <c r="AM2295">
        <v>200000</v>
      </c>
      <c r="AN2295" t="s">
        <v>97</v>
      </c>
      <c r="AO2295">
        <v>1</v>
      </c>
      <c r="AP2295">
        <v>0</v>
      </c>
      <c r="AQ2295">
        <v>16666.666666666668</v>
      </c>
      <c r="AR2295" t="s">
        <v>7985</v>
      </c>
      <c r="AS2295" t="s">
        <v>75</v>
      </c>
      <c r="AW2295">
        <v>0</v>
      </c>
      <c r="AX2295" t="s">
        <v>76</v>
      </c>
      <c r="AY2295" t="s">
        <v>176</v>
      </c>
      <c r="AZ2295">
        <v>0</v>
      </c>
      <c r="BA2295" t="s">
        <v>176</v>
      </c>
      <c r="BB2295">
        <v>0</v>
      </c>
    </row>
    <row r="2296" spans="1:54" x14ac:dyDescent="0.15">
      <c r="A2296" s="4" t="str">
        <f>HYPERLINK("https://ibp.a2mac1.com/costing(costing:projects/details/9760/part/8417048)","Part 01 (single/main)")</f>
        <v>Part 01 (single/main)</v>
      </c>
      <c r="B2296">
        <v>8417048</v>
      </c>
      <c r="C2296">
        <v>8416641</v>
      </c>
      <c r="E2296">
        <v>7.5504051040000002</v>
      </c>
      <c r="F2296">
        <v>0</v>
      </c>
      <c r="G2296">
        <v>0</v>
      </c>
      <c r="H2296">
        <v>9.4380063800000001E-4</v>
      </c>
      <c r="I2296" t="s">
        <v>176</v>
      </c>
      <c r="J2296">
        <v>0.30030020299999999</v>
      </c>
      <c r="K2296">
        <v>7.8516491076379999</v>
      </c>
      <c r="L2296">
        <v>2.8020634255963642E-2</v>
      </c>
      <c r="M2296">
        <v>0.16812380553578185</v>
      </c>
      <c r="N2296">
        <v>8.0197729131737816</v>
      </c>
      <c r="O2296" t="s">
        <v>177</v>
      </c>
      <c r="P2296">
        <v>0.47109894645827999</v>
      </c>
      <c r="Q2296" t="s">
        <v>177</v>
      </c>
      <c r="R2296">
        <v>1.0087428332146911E-2</v>
      </c>
      <c r="S2296" t="s">
        <v>178</v>
      </c>
      <c r="T2296">
        <v>0.96237274958085384</v>
      </c>
      <c r="U2296" t="s">
        <v>90</v>
      </c>
      <c r="V2296">
        <v>0</v>
      </c>
      <c r="W2296" t="s">
        <v>90</v>
      </c>
      <c r="X2296">
        <v>0</v>
      </c>
      <c r="Y2296">
        <v>9.4633320375450634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K2296" t="s">
        <v>7325</v>
      </c>
      <c r="AM2296">
        <v>400000</v>
      </c>
      <c r="AN2296" t="s">
        <v>97</v>
      </c>
      <c r="AO2296">
        <v>2</v>
      </c>
      <c r="AP2296">
        <v>0</v>
      </c>
      <c r="AQ2296">
        <v>33333.333333333336</v>
      </c>
      <c r="AR2296" t="s">
        <v>7992</v>
      </c>
      <c r="AS2296" t="s">
        <v>75</v>
      </c>
      <c r="AW2296">
        <v>0</v>
      </c>
      <c r="AX2296" t="s">
        <v>76</v>
      </c>
      <c r="AY2296" t="s">
        <v>176</v>
      </c>
      <c r="AZ2296">
        <v>0</v>
      </c>
      <c r="BA2296" t="s">
        <v>176</v>
      </c>
      <c r="BB2296">
        <v>0</v>
      </c>
    </row>
    <row r="2297" spans="1:54" x14ac:dyDescent="0.15">
      <c r="A2297" s="4" t="str">
        <f>HYPERLINK("https://ibp.a2mac1.com/costing(costing:projects/details/9760/part/8417049)","Part 02")</f>
        <v>Part 02</v>
      </c>
      <c r="B2297">
        <v>8417049</v>
      </c>
      <c r="C2297">
        <v>8416641</v>
      </c>
      <c r="E2297">
        <v>1.2289010923076924</v>
      </c>
      <c r="F2297">
        <v>0</v>
      </c>
      <c r="G2297">
        <v>0</v>
      </c>
      <c r="H2297">
        <v>1.5103812307692307E-4</v>
      </c>
      <c r="I2297" t="s">
        <v>176</v>
      </c>
      <c r="J2297">
        <v>4.8057584615384619E-2</v>
      </c>
      <c r="K2297">
        <v>1.2771097150461539</v>
      </c>
      <c r="L2297">
        <v>6.879874280571327E-2</v>
      </c>
      <c r="M2297">
        <v>0.41279245683427962</v>
      </c>
      <c r="N2297">
        <v>1.6899021718804335</v>
      </c>
      <c r="O2297" t="s">
        <v>177</v>
      </c>
      <c r="P2297">
        <v>7.6626582902769233E-2</v>
      </c>
      <c r="Q2297" t="s">
        <v>177</v>
      </c>
      <c r="R2297">
        <v>2.4767547410056778E-2</v>
      </c>
      <c r="S2297" t="s">
        <v>178</v>
      </c>
      <c r="T2297">
        <v>0.20278826062565203</v>
      </c>
      <c r="U2297" t="s">
        <v>90</v>
      </c>
      <c r="V2297">
        <v>0</v>
      </c>
      <c r="W2297" t="s">
        <v>90</v>
      </c>
      <c r="X2297">
        <v>0</v>
      </c>
      <c r="Y2297">
        <v>1.9940845628189114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K2297" t="s">
        <v>7325</v>
      </c>
      <c r="AM2297">
        <v>400000</v>
      </c>
      <c r="AN2297" t="s">
        <v>97</v>
      </c>
      <c r="AO2297">
        <v>2</v>
      </c>
      <c r="AP2297">
        <v>0</v>
      </c>
      <c r="AQ2297">
        <v>33333.333333333336</v>
      </c>
      <c r="AR2297" t="s">
        <v>7997</v>
      </c>
      <c r="AS2297" t="s">
        <v>75</v>
      </c>
      <c r="AW2297">
        <v>0</v>
      </c>
      <c r="AX2297" t="s">
        <v>76</v>
      </c>
      <c r="AY2297" t="s">
        <v>176</v>
      </c>
      <c r="AZ2297">
        <v>0</v>
      </c>
      <c r="BA2297" t="s">
        <v>176</v>
      </c>
      <c r="BB2297">
        <v>0</v>
      </c>
    </row>
    <row r="2298" spans="1:54" x14ac:dyDescent="0.15">
      <c r="A2298" s="4" t="str">
        <f>HYPERLINK("https://ibp.a2mac1.com/costing(costing:projects/details/9760/part/8417277)","Part 01 (single/main)")</f>
        <v>Part 01 (single/main)</v>
      </c>
      <c r="B2298">
        <v>8417277</v>
      </c>
      <c r="C2298">
        <v>8417050</v>
      </c>
      <c r="E2298">
        <v>9.1097256655384609</v>
      </c>
      <c r="F2298">
        <v>0</v>
      </c>
      <c r="G2298">
        <v>0</v>
      </c>
      <c r="H2298">
        <v>1.4249850203076923E-3</v>
      </c>
      <c r="I2298" t="s">
        <v>176</v>
      </c>
      <c r="J2298">
        <v>0.35624625507692309</v>
      </c>
      <c r="K2298">
        <v>9.4673969056356917</v>
      </c>
      <c r="L2298">
        <v>5.4275897186867962E-2</v>
      </c>
      <c r="M2298">
        <v>0.32565538312120779</v>
      </c>
      <c r="N2298">
        <v>9.7930522887569005</v>
      </c>
      <c r="O2298" t="s">
        <v>177</v>
      </c>
      <c r="P2298">
        <v>0.56804381433814155</v>
      </c>
      <c r="Q2298" t="s">
        <v>177</v>
      </c>
      <c r="R2298">
        <v>1.9539322987272466E-2</v>
      </c>
      <c r="S2298" t="s">
        <v>178</v>
      </c>
      <c r="T2298">
        <v>1.175166274650828</v>
      </c>
      <c r="U2298" t="s">
        <v>90</v>
      </c>
      <c r="V2298">
        <v>0</v>
      </c>
      <c r="W2298" t="s">
        <v>90</v>
      </c>
      <c r="X2298">
        <v>0</v>
      </c>
      <c r="Y2298">
        <v>11.555801700733142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K2298" t="s">
        <v>7325</v>
      </c>
      <c r="AM2298">
        <v>200000</v>
      </c>
      <c r="AN2298" t="s">
        <v>97</v>
      </c>
      <c r="AO2298">
        <v>1</v>
      </c>
      <c r="AP2298">
        <v>0</v>
      </c>
      <c r="AQ2298">
        <v>16666.666666666668</v>
      </c>
      <c r="AR2298" t="s">
        <v>8005</v>
      </c>
      <c r="AS2298" t="s">
        <v>75</v>
      </c>
      <c r="AW2298">
        <v>0</v>
      </c>
      <c r="AX2298" t="s">
        <v>76</v>
      </c>
      <c r="AY2298" t="s">
        <v>176</v>
      </c>
      <c r="AZ2298">
        <v>0</v>
      </c>
      <c r="BA2298" t="s">
        <v>176</v>
      </c>
      <c r="BB2298">
        <v>0</v>
      </c>
    </row>
    <row r="2299" spans="1:54" x14ac:dyDescent="0.15">
      <c r="A2299" s="4" t="str">
        <f>HYPERLINK("https://ibp.a2mac1.com/costing(costing:projects/details/9760/part/8417051)","Part 01 (single/main)")</f>
        <v>Part 01 (single/main)</v>
      </c>
      <c r="B2299">
        <v>8417051</v>
      </c>
      <c r="C2299">
        <v>8416643</v>
      </c>
      <c r="E2299">
        <v>4.0174222879999997</v>
      </c>
      <c r="F2299">
        <v>0</v>
      </c>
      <c r="G2299">
        <v>0</v>
      </c>
      <c r="H2299">
        <v>5.0217778600000003E-4</v>
      </c>
      <c r="I2299" t="s">
        <v>176</v>
      </c>
      <c r="J2299">
        <v>0.15978384100000001</v>
      </c>
      <c r="K2299">
        <v>4.1777083067860001</v>
      </c>
      <c r="L2299">
        <v>0.4218254306032842</v>
      </c>
      <c r="M2299">
        <v>2.5309525836197055</v>
      </c>
      <c r="N2299">
        <v>6.7086608904057057</v>
      </c>
      <c r="O2299" t="s">
        <v>177</v>
      </c>
      <c r="P2299">
        <v>0.25066249840715998</v>
      </c>
      <c r="Q2299" t="s">
        <v>177</v>
      </c>
      <c r="R2299">
        <v>0.15185715501718233</v>
      </c>
      <c r="S2299" t="s">
        <v>178</v>
      </c>
      <c r="T2299">
        <v>0.80503930684868463</v>
      </c>
      <c r="U2299" t="s">
        <v>90</v>
      </c>
      <c r="V2299">
        <v>0</v>
      </c>
      <c r="W2299" t="s">
        <v>90</v>
      </c>
      <c r="X2299">
        <v>0</v>
      </c>
      <c r="Y2299">
        <v>7.9162198506787327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K2299" t="s">
        <v>7325</v>
      </c>
      <c r="AM2299">
        <v>400000</v>
      </c>
      <c r="AN2299" t="s">
        <v>97</v>
      </c>
      <c r="AO2299">
        <v>2</v>
      </c>
      <c r="AP2299">
        <v>0</v>
      </c>
      <c r="AQ2299">
        <v>33333.333333333336</v>
      </c>
      <c r="AR2299" t="s">
        <v>8012</v>
      </c>
      <c r="AS2299" t="s">
        <v>75</v>
      </c>
      <c r="AW2299">
        <v>0</v>
      </c>
      <c r="AX2299" t="s">
        <v>76</v>
      </c>
      <c r="AY2299" t="s">
        <v>176</v>
      </c>
      <c r="AZ2299">
        <v>0</v>
      </c>
      <c r="BA2299" t="s">
        <v>176</v>
      </c>
      <c r="BB2299">
        <v>0</v>
      </c>
    </row>
    <row r="2300" spans="1:54" x14ac:dyDescent="0.15">
      <c r="A2300" s="4" t="str">
        <f>HYPERLINK("https://ibp.a2mac1.com/costing(costing:projects/details/9760/part/8417052)","Part 01 (single/main)")</f>
        <v>Part 01 (single/main)</v>
      </c>
      <c r="B2300">
        <v>8417052</v>
      </c>
      <c r="C2300">
        <v>8416644</v>
      </c>
      <c r="E2300">
        <v>0.19903928000000001</v>
      </c>
      <c r="F2300">
        <v>0</v>
      </c>
      <c r="G2300">
        <v>0</v>
      </c>
      <c r="H2300">
        <v>2.3669535999999999E-5</v>
      </c>
      <c r="I2300" t="s">
        <v>176</v>
      </c>
      <c r="J2300">
        <v>7.5312160000000003E-3</v>
      </c>
      <c r="K2300">
        <v>0.20659416553599999</v>
      </c>
      <c r="L2300">
        <v>1.6357428824467144E-2</v>
      </c>
      <c r="M2300">
        <v>9.8144572946802858E-2</v>
      </c>
      <c r="N2300">
        <v>0.30473873848280286</v>
      </c>
      <c r="O2300" t="s">
        <v>177</v>
      </c>
      <c r="P2300">
        <v>1.239564993216E-2</v>
      </c>
      <c r="Q2300" t="s">
        <v>177</v>
      </c>
      <c r="R2300">
        <v>5.8886743768081715E-3</v>
      </c>
      <c r="S2300" t="s">
        <v>178</v>
      </c>
      <c r="T2300">
        <v>3.6568648617936343E-2</v>
      </c>
      <c r="U2300" t="s">
        <v>90</v>
      </c>
      <c r="V2300">
        <v>0</v>
      </c>
      <c r="W2300" t="s">
        <v>90</v>
      </c>
      <c r="X2300">
        <v>0</v>
      </c>
      <c r="Y2300">
        <v>0.35959171140970736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K2300" t="s">
        <v>7325</v>
      </c>
      <c r="AM2300">
        <v>400000</v>
      </c>
      <c r="AN2300" t="s">
        <v>97</v>
      </c>
      <c r="AO2300">
        <v>2</v>
      </c>
      <c r="AP2300">
        <v>0</v>
      </c>
      <c r="AQ2300">
        <v>33333.333333333336</v>
      </c>
      <c r="AR2300" t="s">
        <v>8018</v>
      </c>
      <c r="AS2300" t="s">
        <v>75</v>
      </c>
      <c r="AW2300">
        <v>0</v>
      </c>
      <c r="AX2300" t="s">
        <v>76</v>
      </c>
      <c r="AY2300" t="s">
        <v>176</v>
      </c>
      <c r="AZ2300">
        <v>0</v>
      </c>
      <c r="BA2300" t="s">
        <v>176</v>
      </c>
      <c r="BB2300">
        <v>0</v>
      </c>
    </row>
    <row r="2301" spans="1:54" x14ac:dyDescent="0.15">
      <c r="A2301" s="4" t="str">
        <f>HYPERLINK("https://ibp.a2mac1.com/costing(costing:projects/details/9760/part/8417053)","Part 02")</f>
        <v>Part 02</v>
      </c>
      <c r="B2301">
        <v>8417053</v>
      </c>
      <c r="C2301">
        <v>8416644</v>
      </c>
      <c r="E2301">
        <v>0.15258047999999999</v>
      </c>
      <c r="F2301">
        <v>0</v>
      </c>
      <c r="G2301">
        <v>0</v>
      </c>
      <c r="H2301">
        <v>1.8443794285714284E-5</v>
      </c>
      <c r="I2301" t="s">
        <v>176</v>
      </c>
      <c r="J2301">
        <v>5.8684799999999997E-3</v>
      </c>
      <c r="K2301">
        <v>0.15846740379428573</v>
      </c>
      <c r="L2301">
        <v>1.6357428824467144E-2</v>
      </c>
      <c r="M2301">
        <v>9.8144572946802858E-2</v>
      </c>
      <c r="N2301">
        <v>0.2566119767410886</v>
      </c>
      <c r="O2301" t="s">
        <v>177</v>
      </c>
      <c r="P2301">
        <v>9.5080442276571434E-3</v>
      </c>
      <c r="Q2301" t="s">
        <v>177</v>
      </c>
      <c r="R2301">
        <v>5.8886743768081715E-3</v>
      </c>
      <c r="S2301" t="s">
        <v>178</v>
      </c>
      <c r="T2301">
        <v>3.079343720893063E-2</v>
      </c>
      <c r="U2301" t="s">
        <v>90</v>
      </c>
      <c r="V2301">
        <v>0</v>
      </c>
      <c r="W2301" t="s">
        <v>90</v>
      </c>
      <c r="X2301">
        <v>0</v>
      </c>
      <c r="Y2301">
        <v>0.30280213255448452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K2301" t="s">
        <v>7325</v>
      </c>
      <c r="AM2301">
        <v>400000</v>
      </c>
      <c r="AN2301" t="s">
        <v>97</v>
      </c>
      <c r="AO2301">
        <v>2</v>
      </c>
      <c r="AP2301">
        <v>0</v>
      </c>
      <c r="AQ2301">
        <v>33333.333333333336</v>
      </c>
      <c r="AR2301" t="s">
        <v>8022</v>
      </c>
      <c r="AS2301" t="s">
        <v>75</v>
      </c>
      <c r="AW2301">
        <v>0</v>
      </c>
      <c r="AX2301" t="s">
        <v>76</v>
      </c>
      <c r="AY2301" t="s">
        <v>176</v>
      </c>
      <c r="AZ2301">
        <v>0</v>
      </c>
      <c r="BA2301" t="s">
        <v>176</v>
      </c>
      <c r="BB2301">
        <v>0</v>
      </c>
    </row>
    <row r="2302" spans="1:54" x14ac:dyDescent="0.15">
      <c r="A2302" s="4" t="str">
        <f>HYPERLINK("https://ibp.a2mac1.com/costing(costing:projects/details/9760/part/8417054)","Part 01 (single/main/front)")</f>
        <v>Part 01 (single/main/front)</v>
      </c>
      <c r="B2302">
        <v>8417054</v>
      </c>
      <c r="C2302">
        <v>8416645</v>
      </c>
      <c r="E2302">
        <v>12.854772656</v>
      </c>
      <c r="F2302">
        <v>0</v>
      </c>
      <c r="G2302">
        <v>0</v>
      </c>
      <c r="H2302">
        <v>1.6068465819999999E-3</v>
      </c>
      <c r="I2302" t="s">
        <v>176</v>
      </c>
      <c r="J2302">
        <v>0.51126936700000003</v>
      </c>
      <c r="K2302">
        <v>13.367648869582</v>
      </c>
      <c r="L2302">
        <v>2.8020634255963642E-2</v>
      </c>
      <c r="M2302">
        <v>0.16812380553578185</v>
      </c>
      <c r="N2302">
        <v>13.535772675117782</v>
      </c>
      <c r="O2302" t="s">
        <v>177</v>
      </c>
      <c r="P2302">
        <v>0.80205893217491997</v>
      </c>
      <c r="Q2302" t="s">
        <v>177</v>
      </c>
      <c r="R2302">
        <v>1.0087428332146911E-2</v>
      </c>
      <c r="S2302" t="s">
        <v>178</v>
      </c>
      <c r="T2302">
        <v>1.6242927210141338</v>
      </c>
      <c r="U2302" t="s">
        <v>90</v>
      </c>
      <c r="V2302">
        <v>0</v>
      </c>
      <c r="W2302" t="s">
        <v>90</v>
      </c>
      <c r="X2302">
        <v>0</v>
      </c>
      <c r="Y2302">
        <v>15.972211756638982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K2302" t="s">
        <v>7325</v>
      </c>
      <c r="AM2302">
        <v>400000</v>
      </c>
      <c r="AN2302" t="s">
        <v>97</v>
      </c>
      <c r="AO2302">
        <v>2</v>
      </c>
      <c r="AP2302">
        <v>0</v>
      </c>
      <c r="AQ2302">
        <v>33333.333333333336</v>
      </c>
      <c r="AR2302" t="s">
        <v>8031</v>
      </c>
      <c r="AS2302" t="s">
        <v>75</v>
      </c>
      <c r="AW2302">
        <v>0</v>
      </c>
      <c r="AX2302" t="s">
        <v>76</v>
      </c>
      <c r="AY2302" t="s">
        <v>176</v>
      </c>
      <c r="AZ2302">
        <v>0</v>
      </c>
      <c r="BA2302" t="s">
        <v>176</v>
      </c>
      <c r="BB2302">
        <v>0</v>
      </c>
    </row>
    <row r="2303" spans="1:54" x14ac:dyDescent="0.15">
      <c r="A2303" s="4" t="str">
        <f>HYPERLINK("https://ibp.a2mac1.com/costing(costing:projects/details/9760/part/8417055)","Part 02")</f>
        <v>Part 02</v>
      </c>
      <c r="B2303">
        <v>8417055</v>
      </c>
      <c r="C2303">
        <v>8416645</v>
      </c>
      <c r="E2303">
        <v>0.42277508000000003</v>
      </c>
      <c r="F2303">
        <v>0</v>
      </c>
      <c r="G2303">
        <v>0</v>
      </c>
      <c r="H2303">
        <v>5.1104679999999997E-5</v>
      </c>
      <c r="I2303" t="s">
        <v>176</v>
      </c>
      <c r="J2303">
        <v>1.626058E-2</v>
      </c>
      <c r="K2303">
        <v>0.43908676468000002</v>
      </c>
      <c r="L2303">
        <v>1.6357428824467144E-2</v>
      </c>
      <c r="M2303">
        <v>9.8144572946802858E-2</v>
      </c>
      <c r="N2303">
        <v>0.53723133762680286</v>
      </c>
      <c r="O2303" t="s">
        <v>177</v>
      </c>
      <c r="P2303">
        <v>2.6345205880799999E-2</v>
      </c>
      <c r="Q2303" t="s">
        <v>177</v>
      </c>
      <c r="R2303">
        <v>5.8886743768081715E-3</v>
      </c>
      <c r="S2303" t="s">
        <v>178</v>
      </c>
      <c r="T2303">
        <v>6.4467760515216341E-2</v>
      </c>
      <c r="U2303" t="s">
        <v>90</v>
      </c>
      <c r="V2303">
        <v>0</v>
      </c>
      <c r="W2303" t="s">
        <v>90</v>
      </c>
      <c r="X2303">
        <v>0</v>
      </c>
      <c r="Y2303">
        <v>0.63393297839962737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K2303" t="s">
        <v>7325</v>
      </c>
      <c r="AM2303">
        <v>400000</v>
      </c>
      <c r="AN2303" t="s">
        <v>97</v>
      </c>
      <c r="AO2303">
        <v>2</v>
      </c>
      <c r="AP2303">
        <v>0</v>
      </c>
      <c r="AQ2303">
        <v>33333.333333333336</v>
      </c>
      <c r="AR2303" t="s">
        <v>8035</v>
      </c>
      <c r="AS2303" t="s">
        <v>75</v>
      </c>
      <c r="AW2303">
        <v>0</v>
      </c>
      <c r="AX2303" t="s">
        <v>76</v>
      </c>
      <c r="AY2303" t="s">
        <v>176</v>
      </c>
      <c r="AZ2303">
        <v>0</v>
      </c>
      <c r="BA2303" t="s">
        <v>176</v>
      </c>
      <c r="BB2303">
        <v>0</v>
      </c>
    </row>
    <row r="2304" spans="1:54" x14ac:dyDescent="0.15">
      <c r="A2304" s="4" t="str">
        <f>HYPERLINK("https://ibp.a2mac1.com/costing(costing:projects/details/9760/part/8417056)","Part 01 (single/main)")</f>
        <v>Part 01 (single/main)</v>
      </c>
      <c r="B2304">
        <v>8417056</v>
      </c>
      <c r="C2304">
        <v>8416646</v>
      </c>
      <c r="E2304">
        <v>0.3838211630769231</v>
      </c>
      <c r="F2304">
        <v>0</v>
      </c>
      <c r="G2304">
        <v>0</v>
      </c>
      <c r="H2304">
        <v>4.717355076923077E-5</v>
      </c>
      <c r="I2304" t="s">
        <v>176</v>
      </c>
      <c r="J2304">
        <v>1.5009766153846154E-2</v>
      </c>
      <c r="K2304">
        <v>0.39887810278153846</v>
      </c>
      <c r="L2304">
        <v>1.8524891664180389E-2</v>
      </c>
      <c r="M2304">
        <v>0.11114934998508233</v>
      </c>
      <c r="N2304">
        <v>0.51002745276662076</v>
      </c>
      <c r="O2304" t="s">
        <v>177</v>
      </c>
      <c r="P2304">
        <v>2.3932686166892307E-2</v>
      </c>
      <c r="Q2304" t="s">
        <v>177</v>
      </c>
      <c r="R2304">
        <v>6.6689609991049401E-3</v>
      </c>
      <c r="S2304" t="s">
        <v>178</v>
      </c>
      <c r="T2304">
        <v>6.1203294331994493E-2</v>
      </c>
      <c r="U2304" t="s">
        <v>90</v>
      </c>
      <c r="V2304">
        <v>0</v>
      </c>
      <c r="W2304" t="s">
        <v>90</v>
      </c>
      <c r="X2304">
        <v>0</v>
      </c>
      <c r="Y2304">
        <v>0.60183239426461255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K2304" t="s">
        <v>7325</v>
      </c>
      <c r="AM2304">
        <v>400000</v>
      </c>
      <c r="AN2304" t="s">
        <v>97</v>
      </c>
      <c r="AO2304">
        <v>2</v>
      </c>
      <c r="AP2304">
        <v>0</v>
      </c>
      <c r="AQ2304">
        <v>33333.333333333336</v>
      </c>
      <c r="AR2304" t="s">
        <v>8042</v>
      </c>
      <c r="AS2304" t="s">
        <v>75</v>
      </c>
      <c r="AW2304">
        <v>0</v>
      </c>
      <c r="AX2304" t="s">
        <v>76</v>
      </c>
      <c r="AY2304" t="s">
        <v>176</v>
      </c>
      <c r="AZ2304">
        <v>0</v>
      </c>
      <c r="BA2304" t="s">
        <v>176</v>
      </c>
      <c r="BB2304">
        <v>0</v>
      </c>
    </row>
    <row r="2305" spans="1:54" x14ac:dyDescent="0.15">
      <c r="A2305" s="4" t="str">
        <f>HYPERLINK("https://ibp.a2mac1.com/costing(costing:projects/details/9760/part/8417057)","Part 02")</f>
        <v>Part 02</v>
      </c>
      <c r="B2305">
        <v>8417057</v>
      </c>
      <c r="C2305">
        <v>8416646</v>
      </c>
      <c r="E2305">
        <v>0.59761628461538463</v>
      </c>
      <c r="F2305">
        <v>0</v>
      </c>
      <c r="G2305">
        <v>0</v>
      </c>
      <c r="H2305">
        <v>7.3450046153846149E-5</v>
      </c>
      <c r="I2305" t="s">
        <v>176</v>
      </c>
      <c r="J2305">
        <v>2.3370469230769231E-2</v>
      </c>
      <c r="K2305">
        <v>0.62106020389230765</v>
      </c>
      <c r="L2305">
        <v>1.8524891664180389E-2</v>
      </c>
      <c r="M2305">
        <v>0.11114934998508233</v>
      </c>
      <c r="N2305">
        <v>0.73220955387739006</v>
      </c>
      <c r="O2305" t="s">
        <v>177</v>
      </c>
      <c r="P2305">
        <v>3.7263612233538461E-2</v>
      </c>
      <c r="Q2305" t="s">
        <v>177</v>
      </c>
      <c r="R2305">
        <v>6.6689609991049401E-3</v>
      </c>
      <c r="S2305" t="s">
        <v>178</v>
      </c>
      <c r="T2305">
        <v>8.78651464652868E-2</v>
      </c>
      <c r="U2305" t="s">
        <v>90</v>
      </c>
      <c r="V2305">
        <v>0</v>
      </c>
      <c r="W2305" t="s">
        <v>90</v>
      </c>
      <c r="X2305">
        <v>0</v>
      </c>
      <c r="Y2305">
        <v>0.86400727357532026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K2305" t="s">
        <v>7325</v>
      </c>
      <c r="AM2305">
        <v>400000</v>
      </c>
      <c r="AN2305" t="s">
        <v>97</v>
      </c>
      <c r="AO2305">
        <v>2</v>
      </c>
      <c r="AP2305">
        <v>0</v>
      </c>
      <c r="AQ2305">
        <v>33333.333333333336</v>
      </c>
      <c r="AR2305" t="s">
        <v>8047</v>
      </c>
      <c r="AS2305" t="s">
        <v>75</v>
      </c>
      <c r="AW2305">
        <v>0</v>
      </c>
      <c r="AX2305" t="s">
        <v>76</v>
      </c>
      <c r="AY2305" t="s">
        <v>176</v>
      </c>
      <c r="AZ2305">
        <v>0</v>
      </c>
      <c r="BA2305" t="s">
        <v>176</v>
      </c>
      <c r="BB2305">
        <v>0</v>
      </c>
    </row>
    <row r="2306" spans="1:54" x14ac:dyDescent="0.15">
      <c r="A2306" s="4" t="str">
        <f>HYPERLINK("https://ibp.a2mac1.com/costing(costing:projects/details/9760/part/8417058)","Part 01 (single/main)")</f>
        <v>Part 01 (single/main)</v>
      </c>
      <c r="B2306">
        <v>8417058</v>
      </c>
      <c r="C2306">
        <v>8416647</v>
      </c>
      <c r="E2306">
        <v>0.22092381999999999</v>
      </c>
      <c r="F2306">
        <v>0</v>
      </c>
      <c r="G2306">
        <v>0</v>
      </c>
      <c r="H2306">
        <v>2.6705077142857141E-5</v>
      </c>
      <c r="I2306" t="s">
        <v>176</v>
      </c>
      <c r="J2306">
        <v>8.4970700000000007E-3</v>
      </c>
      <c r="K2306">
        <v>0.22944759507714285</v>
      </c>
      <c r="L2306">
        <v>1.8524891664180389E-2</v>
      </c>
      <c r="M2306">
        <v>0.11114934998508233</v>
      </c>
      <c r="N2306">
        <v>0.34059694506222521</v>
      </c>
      <c r="O2306" t="s">
        <v>177</v>
      </c>
      <c r="P2306">
        <v>1.3766855704628572E-2</v>
      </c>
      <c r="Q2306" t="s">
        <v>177</v>
      </c>
      <c r="R2306">
        <v>6.6689609991049401E-3</v>
      </c>
      <c r="S2306" t="s">
        <v>178</v>
      </c>
      <c r="T2306">
        <v>4.0871633407467023E-2</v>
      </c>
      <c r="U2306" t="s">
        <v>90</v>
      </c>
      <c r="V2306">
        <v>0</v>
      </c>
      <c r="W2306" t="s">
        <v>90</v>
      </c>
      <c r="X2306">
        <v>0</v>
      </c>
      <c r="Y2306">
        <v>0.40190439517342574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K2306" t="s">
        <v>7325</v>
      </c>
      <c r="AM2306">
        <v>400000</v>
      </c>
      <c r="AN2306" t="s">
        <v>97</v>
      </c>
      <c r="AO2306">
        <v>2</v>
      </c>
      <c r="AP2306">
        <v>0</v>
      </c>
      <c r="AQ2306">
        <v>33333.333333333336</v>
      </c>
      <c r="AR2306" t="s">
        <v>8053</v>
      </c>
      <c r="AS2306" t="s">
        <v>75</v>
      </c>
      <c r="AW2306">
        <v>0</v>
      </c>
      <c r="AX2306" t="s">
        <v>76</v>
      </c>
      <c r="AY2306" t="s">
        <v>176</v>
      </c>
      <c r="AZ2306">
        <v>0</v>
      </c>
      <c r="BA2306" t="s">
        <v>176</v>
      </c>
      <c r="BB2306">
        <v>0</v>
      </c>
    </row>
    <row r="2307" spans="1:54" x14ac:dyDescent="0.15">
      <c r="A2307" s="4" t="str">
        <f>HYPERLINK("https://ibp.a2mac1.com/costing(costing:projects/details/9760/part/8417059)","Part 02")</f>
        <v>Part 02</v>
      </c>
      <c r="B2307">
        <v>8417059</v>
      </c>
      <c r="C2307">
        <v>8416647</v>
      </c>
      <c r="E2307">
        <v>1.0041621333333333</v>
      </c>
      <c r="F2307">
        <v>0</v>
      </c>
      <c r="G2307">
        <v>0</v>
      </c>
      <c r="H2307">
        <v>1.2552026666666667E-4</v>
      </c>
      <c r="I2307" t="s">
        <v>176</v>
      </c>
      <c r="J2307">
        <v>3.9938266666666666E-2</v>
      </c>
      <c r="K2307">
        <v>1.0442259202666666</v>
      </c>
      <c r="L2307">
        <v>1.8524891664180389E-2</v>
      </c>
      <c r="M2307">
        <v>0.11114934998508233</v>
      </c>
      <c r="N2307">
        <v>1.155375270251749</v>
      </c>
      <c r="O2307" t="s">
        <v>177</v>
      </c>
      <c r="P2307">
        <v>6.2653555215999995E-2</v>
      </c>
      <c r="Q2307" t="s">
        <v>177</v>
      </c>
      <c r="R2307">
        <v>6.6689609991049401E-3</v>
      </c>
      <c r="S2307" t="s">
        <v>178</v>
      </c>
      <c r="T2307">
        <v>0.13864503243020987</v>
      </c>
      <c r="U2307" t="s">
        <v>90</v>
      </c>
      <c r="V2307">
        <v>0</v>
      </c>
      <c r="W2307" t="s">
        <v>90</v>
      </c>
      <c r="X2307">
        <v>0</v>
      </c>
      <c r="Y2307">
        <v>1.3633428188970638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K2307" t="s">
        <v>7325</v>
      </c>
      <c r="AM2307">
        <v>400000</v>
      </c>
      <c r="AN2307" t="s">
        <v>97</v>
      </c>
      <c r="AO2307">
        <v>2</v>
      </c>
      <c r="AP2307">
        <v>0</v>
      </c>
      <c r="AQ2307">
        <v>33333.333333333336</v>
      </c>
      <c r="AR2307" t="s">
        <v>8058</v>
      </c>
      <c r="AS2307" t="s">
        <v>75</v>
      </c>
      <c r="AW2307">
        <v>0</v>
      </c>
      <c r="AX2307" t="s">
        <v>76</v>
      </c>
      <c r="AY2307" t="s">
        <v>176</v>
      </c>
      <c r="AZ2307">
        <v>0</v>
      </c>
      <c r="BA2307" t="s">
        <v>176</v>
      </c>
      <c r="BB2307">
        <v>0</v>
      </c>
    </row>
    <row r="2308" spans="1:54" x14ac:dyDescent="0.15">
      <c r="A2308" s="4" t="str">
        <f>HYPERLINK("https://ibp.a2mac1.com/costing(costing:projects/details/9760/part/8417278)","Part 01 (single/main)")</f>
        <v>Part 01 (single/main)</v>
      </c>
      <c r="B2308">
        <v>8417278</v>
      </c>
      <c r="C2308">
        <v>8417060</v>
      </c>
      <c r="E2308">
        <v>1.4703802666666668</v>
      </c>
      <c r="F2308">
        <v>0</v>
      </c>
      <c r="G2308">
        <v>0</v>
      </c>
      <c r="H2308">
        <v>1.8379753333333334E-4</v>
      </c>
      <c r="I2308" t="s">
        <v>176</v>
      </c>
      <c r="J2308">
        <v>5.8481033333333335E-2</v>
      </c>
      <c r="K2308">
        <v>1.5290450975333334</v>
      </c>
      <c r="L2308">
        <v>2.0626099745884138E-2</v>
      </c>
      <c r="M2308">
        <v>0.12375659847530482</v>
      </c>
      <c r="N2308">
        <v>1.6528016960086382</v>
      </c>
      <c r="O2308" t="s">
        <v>177</v>
      </c>
      <c r="P2308">
        <v>9.1742705852000006E-2</v>
      </c>
      <c r="Q2308" t="s">
        <v>177</v>
      </c>
      <c r="R2308">
        <v>7.4253959085182897E-3</v>
      </c>
      <c r="S2308" t="s">
        <v>178</v>
      </c>
      <c r="T2308">
        <v>0.19833620352103659</v>
      </c>
      <c r="U2308" t="s">
        <v>90</v>
      </c>
      <c r="V2308">
        <v>0</v>
      </c>
      <c r="W2308" t="s">
        <v>90</v>
      </c>
      <c r="X2308">
        <v>0</v>
      </c>
      <c r="Y2308">
        <v>1.9503060012901929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K2308" t="s">
        <v>7325</v>
      </c>
      <c r="AM2308">
        <v>400000</v>
      </c>
      <c r="AN2308" t="s">
        <v>97</v>
      </c>
      <c r="AO2308">
        <v>2</v>
      </c>
      <c r="AP2308">
        <v>0</v>
      </c>
      <c r="AQ2308">
        <v>33333.333333333336</v>
      </c>
      <c r="AR2308" t="s">
        <v>8068</v>
      </c>
      <c r="AS2308" t="s">
        <v>75</v>
      </c>
      <c r="AW2308">
        <v>0</v>
      </c>
      <c r="AX2308" t="s">
        <v>76</v>
      </c>
      <c r="AY2308" t="s">
        <v>176</v>
      </c>
      <c r="AZ2308">
        <v>0</v>
      </c>
      <c r="BA2308" t="s">
        <v>176</v>
      </c>
      <c r="BB2308">
        <v>0</v>
      </c>
    </row>
    <row r="2309" spans="1:54" x14ac:dyDescent="0.15">
      <c r="A2309" s="4" t="str">
        <f>HYPERLINK("https://ibp.a2mac1.com/costing(costing:projects/details/9760/part/8417279)","Part 02")</f>
        <v>Part 02</v>
      </c>
      <c r="B2309">
        <v>8417279</v>
      </c>
      <c r="C2309">
        <v>8417060</v>
      </c>
      <c r="E2309">
        <v>0.62303695999999997</v>
      </c>
      <c r="F2309">
        <v>0</v>
      </c>
      <c r="G2309">
        <v>0</v>
      </c>
      <c r="H2309">
        <v>7.5312159999999998E-5</v>
      </c>
      <c r="I2309" t="s">
        <v>176</v>
      </c>
      <c r="J2309">
        <v>2.3962959999999998E-2</v>
      </c>
      <c r="K2309">
        <v>0.64707523215999996</v>
      </c>
      <c r="L2309">
        <v>1.8524891664180389E-2</v>
      </c>
      <c r="M2309">
        <v>0.11114934998508233</v>
      </c>
      <c r="N2309">
        <v>0.75822458214508237</v>
      </c>
      <c r="O2309" t="s">
        <v>177</v>
      </c>
      <c r="P2309">
        <v>3.8824513929599999E-2</v>
      </c>
      <c r="Q2309" t="s">
        <v>177</v>
      </c>
      <c r="R2309">
        <v>6.6689609991049401E-3</v>
      </c>
      <c r="S2309" t="s">
        <v>178</v>
      </c>
      <c r="T2309">
        <v>9.0986949857409877E-2</v>
      </c>
      <c r="U2309" t="s">
        <v>90</v>
      </c>
      <c r="V2309">
        <v>0</v>
      </c>
      <c r="W2309" t="s">
        <v>90</v>
      </c>
      <c r="X2309">
        <v>0</v>
      </c>
      <c r="Y2309">
        <v>0.89470500693119714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K2309" t="s">
        <v>7325</v>
      </c>
      <c r="AM2309">
        <v>400000</v>
      </c>
      <c r="AN2309" t="s">
        <v>97</v>
      </c>
      <c r="AO2309">
        <v>2</v>
      </c>
      <c r="AP2309">
        <v>0</v>
      </c>
      <c r="AQ2309">
        <v>33333.333333333336</v>
      </c>
      <c r="AR2309" t="s">
        <v>8073</v>
      </c>
      <c r="AS2309" t="s">
        <v>75</v>
      </c>
      <c r="AW2309">
        <v>0</v>
      </c>
      <c r="AX2309" t="s">
        <v>76</v>
      </c>
      <c r="AY2309" t="s">
        <v>176</v>
      </c>
      <c r="AZ2309">
        <v>0</v>
      </c>
      <c r="BA2309" t="s">
        <v>176</v>
      </c>
      <c r="BB2309">
        <v>0</v>
      </c>
    </row>
    <row r="2310" spans="1:54" x14ac:dyDescent="0.15">
      <c r="A2310" s="4" t="str">
        <f>HYPERLINK("https://ibp.a2mac1.com/costing(costing:projects/details/9760/part/8417280)","Part 01 (single/main)")</f>
        <v>Part 01 (single/main)</v>
      </c>
      <c r="B2310">
        <v>8417280</v>
      </c>
      <c r="C2310">
        <v>8417061</v>
      </c>
      <c r="E2310">
        <v>0.2440967923076923</v>
      </c>
      <c r="F2310">
        <v>0</v>
      </c>
      <c r="G2310">
        <v>0</v>
      </c>
      <c r="H2310">
        <v>3.0000723076923075E-5</v>
      </c>
      <c r="I2310" t="s">
        <v>176</v>
      </c>
      <c r="J2310">
        <v>9.5456846153846153E-3</v>
      </c>
      <c r="K2310">
        <v>0.25367247764615386</v>
      </c>
      <c r="L2310">
        <v>1.8524891664180389E-2</v>
      </c>
      <c r="M2310">
        <v>0.11114934998508233</v>
      </c>
      <c r="N2310">
        <v>0.36482182763123616</v>
      </c>
      <c r="O2310" t="s">
        <v>177</v>
      </c>
      <c r="P2310">
        <v>1.522034865876923E-2</v>
      </c>
      <c r="Q2310" t="s">
        <v>177</v>
      </c>
      <c r="R2310">
        <v>6.6689609991049401E-3</v>
      </c>
      <c r="S2310" t="s">
        <v>178</v>
      </c>
      <c r="T2310">
        <v>4.3778619315748342E-2</v>
      </c>
      <c r="U2310" t="s">
        <v>90</v>
      </c>
      <c r="V2310">
        <v>0</v>
      </c>
      <c r="W2310" t="s">
        <v>90</v>
      </c>
      <c r="X2310">
        <v>0</v>
      </c>
      <c r="Y2310">
        <v>0.43048975660485866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K2310" t="s">
        <v>7325</v>
      </c>
      <c r="AM2310">
        <v>400000</v>
      </c>
      <c r="AN2310" t="s">
        <v>97</v>
      </c>
      <c r="AO2310">
        <v>2</v>
      </c>
      <c r="AP2310">
        <v>0</v>
      </c>
      <c r="AQ2310">
        <v>33333.333333333336</v>
      </c>
      <c r="AR2310" t="s">
        <v>8080</v>
      </c>
      <c r="AS2310" t="s">
        <v>75</v>
      </c>
      <c r="AW2310">
        <v>0</v>
      </c>
      <c r="AX2310" t="s">
        <v>76</v>
      </c>
      <c r="AY2310" t="s">
        <v>176</v>
      </c>
      <c r="AZ2310">
        <v>0</v>
      </c>
      <c r="BA2310" t="s">
        <v>176</v>
      </c>
      <c r="BB2310">
        <v>0</v>
      </c>
    </row>
    <row r="2311" spans="1:54" x14ac:dyDescent="0.15">
      <c r="A2311" s="4" t="str">
        <f>HYPERLINK("https://ibp.a2mac1.com/costing(costing:projects/details/9760/part/8417281)","Part 01 (single/main)")</f>
        <v>Part 01 (single/main)</v>
      </c>
      <c r="B2311">
        <v>8417281</v>
      </c>
      <c r="C2311">
        <v>8417062</v>
      </c>
      <c r="E2311">
        <v>0.30609828666666666</v>
      </c>
      <c r="F2311">
        <v>0</v>
      </c>
      <c r="G2311">
        <v>0</v>
      </c>
      <c r="H2311">
        <v>3.6400877333333333E-5</v>
      </c>
      <c r="I2311" t="s">
        <v>176</v>
      </c>
      <c r="J2311">
        <v>1.1582097333333333E-2</v>
      </c>
      <c r="K2311">
        <v>0.31771678487733335</v>
      </c>
      <c r="L2311">
        <v>1.8524891664180389E-2</v>
      </c>
      <c r="M2311">
        <v>0.11114934998508233</v>
      </c>
      <c r="N2311">
        <v>0.42886613486241565</v>
      </c>
      <c r="O2311" t="s">
        <v>177</v>
      </c>
      <c r="P2311">
        <v>1.906300709264E-2</v>
      </c>
      <c r="Q2311" t="s">
        <v>177</v>
      </c>
      <c r="R2311">
        <v>6.6689609991049401E-3</v>
      </c>
      <c r="S2311" t="s">
        <v>178</v>
      </c>
      <c r="T2311">
        <v>5.1463936183489878E-2</v>
      </c>
      <c r="U2311" t="s">
        <v>90</v>
      </c>
      <c r="V2311">
        <v>0</v>
      </c>
      <c r="W2311" t="s">
        <v>90</v>
      </c>
      <c r="X2311">
        <v>0</v>
      </c>
      <c r="Y2311">
        <v>0.50606203913765047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K2311" t="s">
        <v>7325</v>
      </c>
      <c r="AM2311">
        <v>400000</v>
      </c>
      <c r="AN2311" t="s">
        <v>97</v>
      </c>
      <c r="AO2311">
        <v>2</v>
      </c>
      <c r="AP2311">
        <v>0</v>
      </c>
      <c r="AQ2311">
        <v>33333.333333333336</v>
      </c>
      <c r="AR2311" t="s">
        <v>8087</v>
      </c>
      <c r="AS2311" t="s">
        <v>75</v>
      </c>
      <c r="AW2311">
        <v>0</v>
      </c>
      <c r="AX2311" t="s">
        <v>76</v>
      </c>
      <c r="AY2311" t="s">
        <v>176</v>
      </c>
      <c r="AZ2311">
        <v>0</v>
      </c>
      <c r="BA2311" t="s">
        <v>176</v>
      </c>
      <c r="BB2311">
        <v>0</v>
      </c>
    </row>
    <row r="2312" spans="1:54" x14ac:dyDescent="0.15">
      <c r="A2312" s="4" t="str">
        <f>HYPERLINK("https://ibp.a2mac1.com/costing(costing:projects/details/9760/part/8417282)","Part 02")</f>
        <v>Part 02</v>
      </c>
      <c r="B2312">
        <v>8417282</v>
      </c>
      <c r="C2312">
        <v>8417062</v>
      </c>
      <c r="E2312">
        <v>2.2984879999999999E-2</v>
      </c>
      <c r="F2312">
        <v>0</v>
      </c>
      <c r="G2312">
        <v>0</v>
      </c>
      <c r="H2312">
        <v>2.68972E-6</v>
      </c>
      <c r="I2312" t="s">
        <v>176</v>
      </c>
      <c r="J2312">
        <v>8.5581999999999997E-4</v>
      </c>
      <c r="K2312">
        <v>2.384338972E-2</v>
      </c>
      <c r="L2312">
        <v>7.20131041548276E-3</v>
      </c>
      <c r="M2312">
        <v>4.3207862492896557E-2</v>
      </c>
      <c r="N2312">
        <v>6.7051252212896553E-2</v>
      </c>
      <c r="O2312" t="s">
        <v>177</v>
      </c>
      <c r="P2312">
        <v>1.4306033832000001E-3</v>
      </c>
      <c r="Q2312" t="s">
        <v>177</v>
      </c>
      <c r="R2312">
        <v>2.5924717495737935E-3</v>
      </c>
      <c r="S2312" t="s">
        <v>178</v>
      </c>
      <c r="T2312">
        <v>8.0461502655475876E-3</v>
      </c>
      <c r="U2312" t="s">
        <v>90</v>
      </c>
      <c r="V2312">
        <v>0</v>
      </c>
      <c r="W2312" t="s">
        <v>90</v>
      </c>
      <c r="X2312">
        <v>0</v>
      </c>
      <c r="Y2312">
        <v>7.9120477611217946E-2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K2312" t="s">
        <v>7325</v>
      </c>
      <c r="AM2312">
        <v>400000</v>
      </c>
      <c r="AN2312" t="s">
        <v>97</v>
      </c>
      <c r="AO2312">
        <v>2</v>
      </c>
      <c r="AP2312">
        <v>0</v>
      </c>
      <c r="AQ2312">
        <v>33333.333333333336</v>
      </c>
      <c r="AR2312" t="s">
        <v>8090</v>
      </c>
      <c r="AS2312" t="s">
        <v>75</v>
      </c>
      <c r="AW2312">
        <v>0</v>
      </c>
      <c r="AX2312" t="s">
        <v>76</v>
      </c>
      <c r="AY2312" t="s">
        <v>176</v>
      </c>
      <c r="AZ2312">
        <v>0</v>
      </c>
      <c r="BA2312" t="s">
        <v>176</v>
      </c>
      <c r="BB2312">
        <v>0</v>
      </c>
    </row>
    <row r="2313" spans="1:54" x14ac:dyDescent="0.15">
      <c r="A2313" s="4" t="str">
        <f>HYPERLINK("https://ibp.a2mac1.com/costing(costing:projects/details/9760/part/8417283)","Part 03")</f>
        <v>Part 03</v>
      </c>
      <c r="B2313">
        <v>8417283</v>
      </c>
      <c r="C2313">
        <v>8417062</v>
      </c>
      <c r="E2313">
        <v>0.17095004499999999</v>
      </c>
      <c r="F2313">
        <v>0</v>
      </c>
      <c r="G2313">
        <v>0</v>
      </c>
      <c r="H2313">
        <v>2.0004792500000001E-5</v>
      </c>
      <c r="I2313" t="s">
        <v>176</v>
      </c>
      <c r="J2313">
        <v>6.3651612500000001E-3</v>
      </c>
      <c r="K2313">
        <v>0.1773352110425</v>
      </c>
      <c r="L2313">
        <v>0.22211763697352316</v>
      </c>
      <c r="M2313">
        <v>1.3327058218411389</v>
      </c>
      <c r="N2313">
        <v>1.5100410328836389</v>
      </c>
      <c r="O2313" t="s">
        <v>177</v>
      </c>
      <c r="P2313">
        <v>1.0640112662549999E-2</v>
      </c>
      <c r="Q2313" t="s">
        <v>177</v>
      </c>
      <c r="R2313">
        <v>7.9962349310468334E-2</v>
      </c>
      <c r="S2313" t="s">
        <v>178</v>
      </c>
      <c r="T2313">
        <v>0.18120492394603668</v>
      </c>
      <c r="U2313" t="s">
        <v>90</v>
      </c>
      <c r="V2313">
        <v>0</v>
      </c>
      <c r="W2313" t="s">
        <v>90</v>
      </c>
      <c r="X2313">
        <v>0</v>
      </c>
      <c r="Y2313">
        <v>1.781848418802694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K2313" t="s">
        <v>7325</v>
      </c>
      <c r="AM2313">
        <v>400000</v>
      </c>
      <c r="AN2313" t="s">
        <v>97</v>
      </c>
      <c r="AO2313">
        <v>2</v>
      </c>
      <c r="AP2313">
        <v>0</v>
      </c>
      <c r="AQ2313">
        <v>33333.333333333336</v>
      </c>
      <c r="AR2313" t="s">
        <v>8095</v>
      </c>
      <c r="AS2313" t="s">
        <v>75</v>
      </c>
      <c r="AW2313">
        <v>0</v>
      </c>
      <c r="AX2313" t="s">
        <v>76</v>
      </c>
      <c r="AY2313" t="s">
        <v>176</v>
      </c>
      <c r="AZ2313">
        <v>0</v>
      </c>
      <c r="BA2313" t="s">
        <v>176</v>
      </c>
      <c r="BB2313">
        <v>0</v>
      </c>
    </row>
    <row r="2314" spans="1:54" x14ac:dyDescent="0.15">
      <c r="A2314" s="4" t="str">
        <f>HYPERLINK("https://ibp.a2mac1.com/costing(costing:projects/details/9760/part/8417063)","Part 01 (single/main)")</f>
        <v>Part 01 (single/main)</v>
      </c>
      <c r="B2314">
        <v>8417063</v>
      </c>
      <c r="C2314">
        <v>8416649</v>
      </c>
      <c r="E2314">
        <v>141.511976452</v>
      </c>
      <c r="F2314">
        <v>0</v>
      </c>
      <c r="G2314">
        <v>0</v>
      </c>
      <c r="H2314">
        <v>1.6559912138E-2</v>
      </c>
      <c r="I2314" t="s">
        <v>176</v>
      </c>
      <c r="J2314">
        <v>5.2690629529999997</v>
      </c>
      <c r="K2314">
        <v>146.79759931713801</v>
      </c>
      <c r="L2314">
        <v>2.482752214736172</v>
      </c>
      <c r="M2314">
        <v>14.896513288417031</v>
      </c>
      <c r="N2314">
        <v>161.69411260555503</v>
      </c>
      <c r="O2314" t="s">
        <v>177</v>
      </c>
      <c r="P2314">
        <v>8.8078559590282808</v>
      </c>
      <c r="Q2314" t="s">
        <v>177</v>
      </c>
      <c r="R2314">
        <v>0.89379079730502187</v>
      </c>
      <c r="S2314" t="s">
        <v>178</v>
      </c>
      <c r="T2314">
        <v>19.403293512666604</v>
      </c>
      <c r="U2314" t="s">
        <v>90</v>
      </c>
      <c r="V2314">
        <v>0</v>
      </c>
      <c r="W2314" t="s">
        <v>90</v>
      </c>
      <c r="X2314">
        <v>0</v>
      </c>
      <c r="Y2314">
        <v>190.79905287455495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K2314" t="s">
        <v>7325</v>
      </c>
      <c r="AM2314">
        <v>400000</v>
      </c>
      <c r="AN2314" t="s">
        <v>97</v>
      </c>
      <c r="AO2314">
        <v>2</v>
      </c>
      <c r="AP2314">
        <v>0</v>
      </c>
      <c r="AQ2314">
        <v>33333.333333333336</v>
      </c>
      <c r="AR2314" t="s">
        <v>8107</v>
      </c>
      <c r="AS2314" t="s">
        <v>75</v>
      </c>
      <c r="AW2314">
        <v>0</v>
      </c>
      <c r="AX2314" t="s">
        <v>76</v>
      </c>
      <c r="AY2314" t="s">
        <v>176</v>
      </c>
      <c r="AZ2314">
        <v>0</v>
      </c>
      <c r="BA2314" t="s">
        <v>176</v>
      </c>
      <c r="BB2314">
        <v>0</v>
      </c>
    </row>
    <row r="2315" spans="1:54" x14ac:dyDescent="0.15">
      <c r="A2315" s="4" t="str">
        <f>HYPERLINK("https://ibp.a2mac1.com/costing(costing:projects/details/9760/part/8417064)","Part 01 (single/main)")</f>
        <v>Part 01 (single/main)</v>
      </c>
      <c r="B2315">
        <v>8417064</v>
      </c>
      <c r="C2315">
        <v>8416650</v>
      </c>
      <c r="E2315">
        <v>1.4911440899999999</v>
      </c>
      <c r="F2315">
        <v>0</v>
      </c>
      <c r="G2315">
        <v>0</v>
      </c>
      <c r="H2315">
        <v>1.7449558500000001E-4</v>
      </c>
      <c r="I2315" t="s">
        <v>176</v>
      </c>
      <c r="J2315">
        <v>5.5521322499999998E-2</v>
      </c>
      <c r="K2315">
        <v>1.5468399080849999</v>
      </c>
      <c r="L2315">
        <v>7.720347542634616E-2</v>
      </c>
      <c r="M2315">
        <v>0.46322085255807693</v>
      </c>
      <c r="N2315">
        <v>2.0100607606430771</v>
      </c>
      <c r="O2315" t="s">
        <v>177</v>
      </c>
      <c r="P2315">
        <v>9.2810394485100006E-2</v>
      </c>
      <c r="Q2315" t="s">
        <v>177</v>
      </c>
      <c r="R2315">
        <v>2.7793251153484615E-2</v>
      </c>
      <c r="S2315" t="s">
        <v>178</v>
      </c>
      <c r="T2315">
        <v>0.24120729127716922</v>
      </c>
      <c r="U2315" t="s">
        <v>90</v>
      </c>
      <c r="V2315">
        <v>0</v>
      </c>
      <c r="W2315" t="s">
        <v>90</v>
      </c>
      <c r="X2315">
        <v>0</v>
      </c>
      <c r="Y2315">
        <v>2.3718716975588308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K2315" t="s">
        <v>7325</v>
      </c>
      <c r="AM2315">
        <v>400000</v>
      </c>
      <c r="AN2315" t="s">
        <v>97</v>
      </c>
      <c r="AO2315">
        <v>2</v>
      </c>
      <c r="AP2315">
        <v>0</v>
      </c>
      <c r="AQ2315">
        <v>33333.333333333336</v>
      </c>
      <c r="AR2315" t="s">
        <v>8114</v>
      </c>
      <c r="AS2315" t="s">
        <v>75</v>
      </c>
      <c r="AW2315">
        <v>0</v>
      </c>
      <c r="AX2315" t="s">
        <v>76</v>
      </c>
      <c r="AY2315" t="s">
        <v>176</v>
      </c>
      <c r="AZ2315">
        <v>0</v>
      </c>
      <c r="BA2315" t="s">
        <v>176</v>
      </c>
      <c r="BB2315">
        <v>0</v>
      </c>
    </row>
    <row r="2316" spans="1:54" x14ac:dyDescent="0.15">
      <c r="A2316" s="4" t="str">
        <f>HYPERLINK("https://ibp.a2mac1.com/costing(costing:projects/details/9760/part/8417065)","Part 02")</f>
        <v>Part 02</v>
      </c>
      <c r="B2316">
        <v>8417065</v>
      </c>
      <c r="C2316">
        <v>8416650</v>
      </c>
      <c r="E2316">
        <v>0.1271504</v>
      </c>
      <c r="F2316">
        <v>0</v>
      </c>
      <c r="G2316">
        <v>0</v>
      </c>
      <c r="H2316">
        <v>1.5369828571428572E-5</v>
      </c>
      <c r="I2316" t="s">
        <v>176</v>
      </c>
      <c r="J2316">
        <v>4.8903999999999996E-3</v>
      </c>
      <c r="K2316">
        <v>0.13205616982857143</v>
      </c>
      <c r="L2316">
        <v>7.20131041548276E-3</v>
      </c>
      <c r="M2316">
        <v>4.3207862492896557E-2</v>
      </c>
      <c r="N2316">
        <v>0.17526403232146798</v>
      </c>
      <c r="O2316" t="s">
        <v>177</v>
      </c>
      <c r="P2316">
        <v>7.923370189714285E-3</v>
      </c>
      <c r="Q2316" t="s">
        <v>177</v>
      </c>
      <c r="R2316">
        <v>2.5924717495737935E-3</v>
      </c>
      <c r="S2316" t="s">
        <v>178</v>
      </c>
      <c r="T2316">
        <v>2.1031683878576159E-2</v>
      </c>
      <c r="U2316" t="s">
        <v>90</v>
      </c>
      <c r="V2316">
        <v>0</v>
      </c>
      <c r="W2316" t="s">
        <v>90</v>
      </c>
      <c r="X2316">
        <v>0</v>
      </c>
      <c r="Y2316">
        <v>0.20681155813933222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K2316" t="s">
        <v>7325</v>
      </c>
      <c r="AM2316">
        <v>400000</v>
      </c>
      <c r="AN2316" t="s">
        <v>97</v>
      </c>
      <c r="AO2316">
        <v>2</v>
      </c>
      <c r="AP2316">
        <v>0</v>
      </c>
      <c r="AQ2316">
        <v>33333.333333333336</v>
      </c>
      <c r="AR2316" t="s">
        <v>8118</v>
      </c>
      <c r="AS2316" t="s">
        <v>75</v>
      </c>
      <c r="AW2316">
        <v>0</v>
      </c>
      <c r="AX2316" t="s">
        <v>76</v>
      </c>
      <c r="AY2316" t="s">
        <v>176</v>
      </c>
      <c r="AZ2316">
        <v>0</v>
      </c>
      <c r="BA2316" t="s">
        <v>176</v>
      </c>
      <c r="BB2316">
        <v>0</v>
      </c>
    </row>
    <row r="2317" spans="1:54" x14ac:dyDescent="0.15">
      <c r="A2317" s="4" t="str">
        <f>HYPERLINK("https://ibp.a2mac1.com/costing(costing:projects/details/9760/part/8417066)","Part 03")</f>
        <v>Part 03</v>
      </c>
      <c r="B2317">
        <v>8417066</v>
      </c>
      <c r="C2317">
        <v>8416650</v>
      </c>
      <c r="E2317">
        <v>0.133599615</v>
      </c>
      <c r="F2317">
        <v>0</v>
      </c>
      <c r="G2317">
        <v>0</v>
      </c>
      <c r="H2317">
        <v>1.56339975E-5</v>
      </c>
      <c r="I2317" t="s">
        <v>176</v>
      </c>
      <c r="J2317">
        <v>4.9744537499999998E-3</v>
      </c>
      <c r="K2317">
        <v>0.13858970274749999</v>
      </c>
      <c r="L2317">
        <v>7.20131041548276E-3</v>
      </c>
      <c r="M2317">
        <v>4.3207862492896557E-2</v>
      </c>
      <c r="N2317">
        <v>0.18179756524039656</v>
      </c>
      <c r="O2317" t="s">
        <v>177</v>
      </c>
      <c r="P2317">
        <v>8.3153821648499996E-3</v>
      </c>
      <c r="Q2317" t="s">
        <v>177</v>
      </c>
      <c r="R2317">
        <v>2.5924717495737935E-3</v>
      </c>
      <c r="S2317" t="s">
        <v>178</v>
      </c>
      <c r="T2317">
        <v>2.1815707828847588E-2</v>
      </c>
      <c r="U2317" t="s">
        <v>90</v>
      </c>
      <c r="V2317">
        <v>0</v>
      </c>
      <c r="W2317" t="s">
        <v>90</v>
      </c>
      <c r="X2317">
        <v>0</v>
      </c>
      <c r="Y2317">
        <v>0.21452112698366793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K2317" t="s">
        <v>7325</v>
      </c>
      <c r="AM2317">
        <v>400000</v>
      </c>
      <c r="AN2317" t="s">
        <v>97</v>
      </c>
      <c r="AO2317">
        <v>2</v>
      </c>
      <c r="AP2317">
        <v>0</v>
      </c>
      <c r="AQ2317">
        <v>33333.333333333336</v>
      </c>
      <c r="AR2317" t="s">
        <v>8122</v>
      </c>
      <c r="AS2317" t="s">
        <v>75</v>
      </c>
      <c r="AW2317">
        <v>0</v>
      </c>
      <c r="AX2317" t="s">
        <v>76</v>
      </c>
      <c r="AY2317" t="s">
        <v>176</v>
      </c>
      <c r="AZ2317">
        <v>0</v>
      </c>
      <c r="BA2317" t="s">
        <v>176</v>
      </c>
      <c r="BB2317">
        <v>0</v>
      </c>
    </row>
    <row r="2318" spans="1:54" x14ac:dyDescent="0.15">
      <c r="A2318" s="4" t="str">
        <f>HYPERLINK("https://ibp.a2mac1.com/costing(costing:projects/details/9760/part/8417067)","Part 01 (single/main)")</f>
        <v>Part 01 (single/main)</v>
      </c>
      <c r="B2318">
        <v>8417067</v>
      </c>
      <c r="C2318">
        <v>8416651</v>
      </c>
      <c r="E2318">
        <v>2.0836364266666667</v>
      </c>
      <c r="F2318">
        <v>0</v>
      </c>
      <c r="G2318">
        <v>0</v>
      </c>
      <c r="H2318">
        <v>2.6045455333333333E-4</v>
      </c>
      <c r="I2318" t="s">
        <v>176</v>
      </c>
      <c r="J2318">
        <v>8.287190333333333E-2</v>
      </c>
      <c r="K2318">
        <v>2.1667687845533332</v>
      </c>
      <c r="L2318">
        <v>0.10205175159991546</v>
      </c>
      <c r="M2318">
        <v>0.61231050959949285</v>
      </c>
      <c r="N2318">
        <v>2.779079294152826</v>
      </c>
      <c r="O2318" t="s">
        <v>177</v>
      </c>
      <c r="P2318">
        <v>0.1300061270732</v>
      </c>
      <c r="Q2318" t="s">
        <v>177</v>
      </c>
      <c r="R2318">
        <v>3.6738630575969565E-2</v>
      </c>
      <c r="S2318" t="s">
        <v>178</v>
      </c>
      <c r="T2318">
        <v>0.33348951529833915</v>
      </c>
      <c r="U2318" t="s">
        <v>90</v>
      </c>
      <c r="V2318">
        <v>0</v>
      </c>
      <c r="W2318" t="s">
        <v>90</v>
      </c>
      <c r="X2318">
        <v>0</v>
      </c>
      <c r="Y2318">
        <v>3.2793135671003348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K2318" t="s">
        <v>7325</v>
      </c>
      <c r="AM2318">
        <v>400000</v>
      </c>
      <c r="AN2318" t="s">
        <v>97</v>
      </c>
      <c r="AO2318">
        <v>2</v>
      </c>
      <c r="AP2318">
        <v>0</v>
      </c>
      <c r="AQ2318">
        <v>33333.333333333336</v>
      </c>
      <c r="AR2318" t="s">
        <v>8129</v>
      </c>
      <c r="AS2318" t="s">
        <v>75</v>
      </c>
      <c r="AW2318">
        <v>0</v>
      </c>
      <c r="AX2318" t="s">
        <v>76</v>
      </c>
      <c r="AY2318" t="s">
        <v>176</v>
      </c>
      <c r="AZ2318">
        <v>0</v>
      </c>
      <c r="BA2318" t="s">
        <v>176</v>
      </c>
      <c r="BB2318">
        <v>0</v>
      </c>
    </row>
    <row r="2319" spans="1:54" x14ac:dyDescent="0.15">
      <c r="A2319" s="4" t="str">
        <f>HYPERLINK("https://ibp.a2mac1.com/costing(costing:projects/details/9760/part/8417068)","Part 02")</f>
        <v>Part 02</v>
      </c>
      <c r="B2319">
        <v>8417068</v>
      </c>
      <c r="C2319">
        <v>8416651</v>
      </c>
      <c r="E2319">
        <v>0.2903452709090909</v>
      </c>
      <c r="F2319">
        <v>0</v>
      </c>
      <c r="G2319">
        <v>0</v>
      </c>
      <c r="H2319">
        <v>3.6922519999999999E-5</v>
      </c>
      <c r="I2319" t="s">
        <v>176</v>
      </c>
      <c r="J2319">
        <v>1.1748074545454545E-2</v>
      </c>
      <c r="K2319">
        <v>0.30213026797454545</v>
      </c>
      <c r="L2319">
        <v>1.2017019305024818E-2</v>
      </c>
      <c r="M2319">
        <v>7.2102115830148902E-2</v>
      </c>
      <c r="N2319">
        <v>0.37423238380469437</v>
      </c>
      <c r="O2319" t="s">
        <v>177</v>
      </c>
      <c r="P2319">
        <v>1.8127816078472726E-2</v>
      </c>
      <c r="Q2319" t="s">
        <v>177</v>
      </c>
      <c r="R2319">
        <v>4.3261269498089342E-3</v>
      </c>
      <c r="S2319" t="s">
        <v>178</v>
      </c>
      <c r="T2319">
        <v>4.4907886056563324E-2</v>
      </c>
      <c r="U2319" t="s">
        <v>90</v>
      </c>
      <c r="V2319">
        <v>0</v>
      </c>
      <c r="W2319" t="s">
        <v>90</v>
      </c>
      <c r="X2319">
        <v>0</v>
      </c>
      <c r="Y2319">
        <v>0.44159421288953937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K2319" t="s">
        <v>7325</v>
      </c>
      <c r="AM2319">
        <v>400000</v>
      </c>
      <c r="AN2319" t="s">
        <v>97</v>
      </c>
      <c r="AO2319">
        <v>2</v>
      </c>
      <c r="AP2319">
        <v>0</v>
      </c>
      <c r="AQ2319">
        <v>33333.333333333336</v>
      </c>
      <c r="AR2319" t="s">
        <v>8134</v>
      </c>
      <c r="AS2319" t="s">
        <v>75</v>
      </c>
      <c r="AW2319">
        <v>0</v>
      </c>
      <c r="AX2319" t="s">
        <v>76</v>
      </c>
      <c r="AY2319" t="s">
        <v>176</v>
      </c>
      <c r="AZ2319">
        <v>0</v>
      </c>
      <c r="BA2319" t="s">
        <v>176</v>
      </c>
      <c r="BB2319">
        <v>0</v>
      </c>
    </row>
    <row r="2320" spans="1:54" x14ac:dyDescent="0.15">
      <c r="A2320" s="4" t="str">
        <f>HYPERLINK("https://ibp.a2mac1.com/costing(costing:projects/details/9760/part/8417069)","Part 03")</f>
        <v>Part 03</v>
      </c>
      <c r="B2320">
        <v>8417069</v>
      </c>
      <c r="C2320">
        <v>8416651</v>
      </c>
      <c r="E2320">
        <v>0.35764384363636365</v>
      </c>
      <c r="F2320">
        <v>0</v>
      </c>
      <c r="G2320">
        <v>0</v>
      </c>
      <c r="H2320">
        <v>4.5480720000000001E-5</v>
      </c>
      <c r="I2320" t="s">
        <v>176</v>
      </c>
      <c r="J2320">
        <v>1.4471138181818182E-2</v>
      </c>
      <c r="K2320">
        <v>0.3721604625381818</v>
      </c>
      <c r="L2320">
        <v>1.2017019305024818E-2</v>
      </c>
      <c r="M2320">
        <v>7.2102115830148902E-2</v>
      </c>
      <c r="N2320">
        <v>0.44426257836833072</v>
      </c>
      <c r="O2320" t="s">
        <v>177</v>
      </c>
      <c r="P2320">
        <v>2.2329627752290908E-2</v>
      </c>
      <c r="Q2320" t="s">
        <v>177</v>
      </c>
      <c r="R2320">
        <v>4.3261269498089342E-3</v>
      </c>
      <c r="S2320" t="s">
        <v>178</v>
      </c>
      <c r="T2320">
        <v>5.3311509404199688E-2</v>
      </c>
      <c r="U2320" t="s">
        <v>90</v>
      </c>
      <c r="V2320">
        <v>0</v>
      </c>
      <c r="W2320" t="s">
        <v>90</v>
      </c>
      <c r="X2320">
        <v>0</v>
      </c>
      <c r="Y2320">
        <v>0.52422984247463023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K2320" t="s">
        <v>7325</v>
      </c>
      <c r="AM2320">
        <v>400000</v>
      </c>
      <c r="AN2320" t="s">
        <v>97</v>
      </c>
      <c r="AO2320">
        <v>2</v>
      </c>
      <c r="AP2320">
        <v>0</v>
      </c>
      <c r="AQ2320">
        <v>33333.333333333336</v>
      </c>
      <c r="AR2320" t="s">
        <v>8138</v>
      </c>
      <c r="AS2320" t="s">
        <v>75</v>
      </c>
      <c r="AW2320">
        <v>0</v>
      </c>
      <c r="AX2320" t="s">
        <v>76</v>
      </c>
      <c r="AY2320" t="s">
        <v>176</v>
      </c>
      <c r="AZ2320">
        <v>0</v>
      </c>
      <c r="BA2320" t="s">
        <v>176</v>
      </c>
      <c r="BB2320">
        <v>0</v>
      </c>
    </row>
    <row r="2321" spans="1:54" x14ac:dyDescent="0.15">
      <c r="A2321" s="4" t="str">
        <f>HYPERLINK("https://ibp.a2mac1.com/costing(costing:projects/details/9760/part/8417070)","Part 04")</f>
        <v>Part 04</v>
      </c>
      <c r="B2321">
        <v>8417070</v>
      </c>
      <c r="C2321">
        <v>8416651</v>
      </c>
      <c r="E2321">
        <v>3.2652492359999998</v>
      </c>
      <c r="F2321">
        <v>0</v>
      </c>
      <c r="G2321">
        <v>0</v>
      </c>
      <c r="H2321">
        <v>3.8210363400000003E-4</v>
      </c>
      <c r="I2321" t="s">
        <v>176</v>
      </c>
      <c r="J2321">
        <v>0.121578429</v>
      </c>
      <c r="K2321">
        <v>3.3872097686339999</v>
      </c>
      <c r="L2321">
        <v>8.2754218290374312E-2</v>
      </c>
      <c r="M2321">
        <v>0.4965253097422459</v>
      </c>
      <c r="N2321">
        <v>3.8837350783762461</v>
      </c>
      <c r="O2321" t="s">
        <v>177</v>
      </c>
      <c r="P2321">
        <v>0.20323258611803999</v>
      </c>
      <c r="Q2321" t="s">
        <v>177</v>
      </c>
      <c r="R2321">
        <v>2.9791518584534753E-2</v>
      </c>
      <c r="S2321" t="s">
        <v>178</v>
      </c>
      <c r="T2321">
        <v>0.46604820940514952</v>
      </c>
      <c r="U2321" t="s">
        <v>90</v>
      </c>
      <c r="V2321">
        <v>0</v>
      </c>
      <c r="W2321" t="s">
        <v>90</v>
      </c>
      <c r="X2321">
        <v>0</v>
      </c>
      <c r="Y2321">
        <v>4.5828073924839705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K2321" t="s">
        <v>7325</v>
      </c>
      <c r="AM2321">
        <v>400000</v>
      </c>
      <c r="AN2321" t="s">
        <v>97</v>
      </c>
      <c r="AO2321">
        <v>2</v>
      </c>
      <c r="AP2321">
        <v>0</v>
      </c>
      <c r="AQ2321">
        <v>33333.333333333336</v>
      </c>
      <c r="AR2321" t="s">
        <v>8142</v>
      </c>
      <c r="AS2321" t="s">
        <v>75</v>
      </c>
      <c r="AW2321">
        <v>0</v>
      </c>
      <c r="AX2321" t="s">
        <v>76</v>
      </c>
      <c r="AY2321" t="s">
        <v>176</v>
      </c>
      <c r="AZ2321">
        <v>0</v>
      </c>
      <c r="BA2321" t="s">
        <v>176</v>
      </c>
      <c r="BB2321">
        <v>0</v>
      </c>
    </row>
    <row r="2322" spans="1:54" x14ac:dyDescent="0.15">
      <c r="A2322" s="4" t="str">
        <f>HYPERLINK("https://ibp.a2mac1.com/costing(costing:projects/details/9760/part/8417071)","Part 05")</f>
        <v>Part 05</v>
      </c>
      <c r="B2322">
        <v>8417071</v>
      </c>
      <c r="C2322">
        <v>8416651</v>
      </c>
      <c r="E2322">
        <v>3.7035375384615384E-2</v>
      </c>
      <c r="F2322">
        <v>0</v>
      </c>
      <c r="G2322">
        <v>0</v>
      </c>
      <c r="H2322">
        <v>4.5518338461538461E-6</v>
      </c>
      <c r="I2322" t="s">
        <v>176</v>
      </c>
      <c r="J2322">
        <v>1.4483107692307693E-3</v>
      </c>
      <c r="K2322">
        <v>3.8488237987692304E-2</v>
      </c>
      <c r="L2322">
        <v>3.0103604630174635E-3</v>
      </c>
      <c r="M2322">
        <v>1.8062162778104782E-2</v>
      </c>
      <c r="N2322">
        <v>5.6550400765797093E-2</v>
      </c>
      <c r="O2322" t="s">
        <v>177</v>
      </c>
      <c r="P2322">
        <v>2.3092942792615383E-3</v>
      </c>
      <c r="Q2322" t="s">
        <v>177</v>
      </c>
      <c r="R2322">
        <v>1.083729766686287E-3</v>
      </c>
      <c r="S2322" t="s">
        <v>178</v>
      </c>
      <c r="T2322">
        <v>6.7860480918956511E-3</v>
      </c>
      <c r="U2322" t="s">
        <v>90</v>
      </c>
      <c r="V2322">
        <v>0</v>
      </c>
      <c r="W2322" t="s">
        <v>90</v>
      </c>
      <c r="X2322">
        <v>0</v>
      </c>
      <c r="Y2322">
        <v>6.6729472903640563E-2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K2322" t="s">
        <v>7325</v>
      </c>
      <c r="AM2322">
        <v>400000</v>
      </c>
      <c r="AN2322" t="s">
        <v>97</v>
      </c>
      <c r="AO2322">
        <v>2</v>
      </c>
      <c r="AP2322">
        <v>0</v>
      </c>
      <c r="AQ2322">
        <v>33333.333333333336</v>
      </c>
      <c r="AR2322" t="s">
        <v>8146</v>
      </c>
      <c r="AS2322" t="s">
        <v>75</v>
      </c>
      <c r="AW2322">
        <v>0</v>
      </c>
      <c r="AX2322" t="s">
        <v>76</v>
      </c>
      <c r="AY2322" t="s">
        <v>176</v>
      </c>
      <c r="AZ2322">
        <v>0</v>
      </c>
      <c r="BA2322" t="s">
        <v>176</v>
      </c>
      <c r="BB2322">
        <v>0</v>
      </c>
    </row>
    <row r="2323" spans="1:54" x14ac:dyDescent="0.15">
      <c r="A2323" s="4" t="str">
        <f>HYPERLINK("https://ibp.a2mac1.com/costing(costing:projects/details/9760/part/8417072)","Part 06")</f>
        <v>Part 06</v>
      </c>
      <c r="B2323">
        <v>8417072</v>
      </c>
      <c r="C2323">
        <v>8416651</v>
      </c>
      <c r="E2323">
        <v>0.29440771799999998</v>
      </c>
      <c r="F2323">
        <v>0</v>
      </c>
      <c r="G2323">
        <v>0</v>
      </c>
      <c r="H2323">
        <v>3.4451966999999998E-5</v>
      </c>
      <c r="I2323" t="s">
        <v>176</v>
      </c>
      <c r="J2323">
        <v>1.09619895E-2</v>
      </c>
      <c r="K2323">
        <v>0.305404159467</v>
      </c>
      <c r="L2323">
        <v>8.2754218290374312E-2</v>
      </c>
      <c r="M2323">
        <v>0.4965253097422459</v>
      </c>
      <c r="N2323">
        <v>0.8019294692092459</v>
      </c>
      <c r="O2323" t="s">
        <v>177</v>
      </c>
      <c r="P2323">
        <v>1.832424956802E-2</v>
      </c>
      <c r="Q2323" t="s">
        <v>177</v>
      </c>
      <c r="R2323">
        <v>2.9791518584534753E-2</v>
      </c>
      <c r="S2323" t="s">
        <v>178</v>
      </c>
      <c r="T2323">
        <v>9.62315363051095E-2</v>
      </c>
      <c r="U2323" t="s">
        <v>90</v>
      </c>
      <c r="V2323">
        <v>0</v>
      </c>
      <c r="W2323" t="s">
        <v>90</v>
      </c>
      <c r="X2323">
        <v>0</v>
      </c>
      <c r="Y2323">
        <v>0.9462767736669101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K2323" t="s">
        <v>7325</v>
      </c>
      <c r="AM2323">
        <v>400000</v>
      </c>
      <c r="AN2323" t="s">
        <v>97</v>
      </c>
      <c r="AO2323">
        <v>2</v>
      </c>
      <c r="AP2323">
        <v>0</v>
      </c>
      <c r="AQ2323">
        <v>33333.333333333336</v>
      </c>
      <c r="AR2323" t="s">
        <v>8149</v>
      </c>
      <c r="AS2323" t="s">
        <v>75</v>
      </c>
      <c r="AW2323">
        <v>0</v>
      </c>
      <c r="AX2323" t="s">
        <v>76</v>
      </c>
      <c r="AY2323" t="s">
        <v>176</v>
      </c>
      <c r="AZ2323">
        <v>0</v>
      </c>
      <c r="BA2323" t="s">
        <v>176</v>
      </c>
      <c r="BB2323">
        <v>0</v>
      </c>
    </row>
    <row r="2324" spans="1:54" x14ac:dyDescent="0.15">
      <c r="A2324" s="4" t="str">
        <f>HYPERLINK("https://ibp.a2mac1.com/costing(costing:projects/details/9760/part/8417073)","Part 07")</f>
        <v>Part 07</v>
      </c>
      <c r="B2324">
        <v>8417073</v>
      </c>
      <c r="C2324">
        <v>8416651</v>
      </c>
      <c r="E2324">
        <v>3.7035375384615384E-2</v>
      </c>
      <c r="F2324">
        <v>0</v>
      </c>
      <c r="G2324">
        <v>0</v>
      </c>
      <c r="H2324">
        <v>4.5518338461538461E-6</v>
      </c>
      <c r="I2324" t="s">
        <v>176</v>
      </c>
      <c r="J2324">
        <v>1.4483107692307693E-3</v>
      </c>
      <c r="K2324">
        <v>3.8488237987692304E-2</v>
      </c>
      <c r="L2324">
        <v>3.0103604630174635E-3</v>
      </c>
      <c r="M2324">
        <v>1.8062162778104782E-2</v>
      </c>
      <c r="N2324">
        <v>5.6550400765797093E-2</v>
      </c>
      <c r="O2324" t="s">
        <v>177</v>
      </c>
      <c r="P2324">
        <v>2.3092942792615383E-3</v>
      </c>
      <c r="Q2324" t="s">
        <v>177</v>
      </c>
      <c r="R2324">
        <v>1.083729766686287E-3</v>
      </c>
      <c r="S2324" t="s">
        <v>178</v>
      </c>
      <c r="T2324">
        <v>6.7860480918956511E-3</v>
      </c>
      <c r="U2324" t="s">
        <v>90</v>
      </c>
      <c r="V2324">
        <v>0</v>
      </c>
      <c r="W2324" t="s">
        <v>90</v>
      </c>
      <c r="X2324">
        <v>0</v>
      </c>
      <c r="Y2324">
        <v>6.6729472903640563E-2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K2324" t="s">
        <v>7325</v>
      </c>
      <c r="AM2324">
        <v>400000</v>
      </c>
      <c r="AN2324" t="s">
        <v>97</v>
      </c>
      <c r="AO2324">
        <v>2</v>
      </c>
      <c r="AP2324">
        <v>0</v>
      </c>
      <c r="AQ2324">
        <v>33333.333333333336</v>
      </c>
      <c r="AR2324" t="s">
        <v>8152</v>
      </c>
      <c r="AS2324" t="s">
        <v>75</v>
      </c>
      <c r="AW2324">
        <v>0</v>
      </c>
      <c r="AX2324" t="s">
        <v>76</v>
      </c>
      <c r="AY2324" t="s">
        <v>176</v>
      </c>
      <c r="AZ2324">
        <v>0</v>
      </c>
      <c r="BA2324" t="s">
        <v>176</v>
      </c>
      <c r="BB2324">
        <v>0</v>
      </c>
    </row>
    <row r="2325" spans="1:54" x14ac:dyDescent="0.15">
      <c r="A2325" s="4" t="str">
        <f>HYPERLINK("https://ibp.a2mac1.com/costing(costing:projects/details/9760/part/8417074)","Part 08")</f>
        <v>Part 08</v>
      </c>
      <c r="B2325">
        <v>8417074</v>
      </c>
      <c r="C2325">
        <v>8416651</v>
      </c>
      <c r="E2325">
        <v>3.7035375384615384E-2</v>
      </c>
      <c r="F2325">
        <v>0</v>
      </c>
      <c r="G2325">
        <v>0</v>
      </c>
      <c r="H2325">
        <v>4.5518338461538461E-6</v>
      </c>
      <c r="I2325" t="s">
        <v>176</v>
      </c>
      <c r="J2325">
        <v>1.4483107692307693E-3</v>
      </c>
      <c r="K2325">
        <v>3.8488237987692304E-2</v>
      </c>
      <c r="L2325">
        <v>3.0103604630174635E-3</v>
      </c>
      <c r="M2325">
        <v>1.8062162778104782E-2</v>
      </c>
      <c r="N2325">
        <v>5.6550400765797093E-2</v>
      </c>
      <c r="O2325" t="s">
        <v>177</v>
      </c>
      <c r="P2325">
        <v>2.3092942792615383E-3</v>
      </c>
      <c r="Q2325" t="s">
        <v>177</v>
      </c>
      <c r="R2325">
        <v>1.083729766686287E-3</v>
      </c>
      <c r="S2325" t="s">
        <v>178</v>
      </c>
      <c r="T2325">
        <v>6.7860480918956511E-3</v>
      </c>
      <c r="U2325" t="s">
        <v>90</v>
      </c>
      <c r="V2325">
        <v>0</v>
      </c>
      <c r="W2325" t="s">
        <v>90</v>
      </c>
      <c r="X2325">
        <v>0</v>
      </c>
      <c r="Y2325">
        <v>6.6729472903640563E-2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K2325" t="s">
        <v>7325</v>
      </c>
      <c r="AM2325">
        <v>400000</v>
      </c>
      <c r="AN2325" t="s">
        <v>97</v>
      </c>
      <c r="AO2325">
        <v>2</v>
      </c>
      <c r="AP2325">
        <v>0</v>
      </c>
      <c r="AQ2325">
        <v>33333.333333333336</v>
      </c>
      <c r="AR2325" t="s">
        <v>8155</v>
      </c>
      <c r="AS2325" t="s">
        <v>75</v>
      </c>
      <c r="AW2325">
        <v>0</v>
      </c>
      <c r="AX2325" t="s">
        <v>76</v>
      </c>
      <c r="AY2325" t="s">
        <v>176</v>
      </c>
      <c r="AZ2325">
        <v>0</v>
      </c>
      <c r="BA2325" t="s">
        <v>176</v>
      </c>
      <c r="BB2325">
        <v>0</v>
      </c>
    </row>
    <row r="2326" spans="1:54" x14ac:dyDescent="0.15">
      <c r="A2326" s="4" t="str">
        <f>HYPERLINK("https://ibp.a2mac1.com/costing(costing:projects/details/9760/part/8417075)","Part 09")</f>
        <v>Part 09</v>
      </c>
      <c r="B2326">
        <v>8417075</v>
      </c>
      <c r="C2326">
        <v>8416651</v>
      </c>
      <c r="E2326">
        <v>3.7035375384615384E-2</v>
      </c>
      <c r="F2326">
        <v>0</v>
      </c>
      <c r="G2326">
        <v>0</v>
      </c>
      <c r="H2326">
        <v>4.5518338461538461E-6</v>
      </c>
      <c r="I2326" t="s">
        <v>176</v>
      </c>
      <c r="J2326">
        <v>1.4483107692307693E-3</v>
      </c>
      <c r="K2326">
        <v>3.8488237987692304E-2</v>
      </c>
      <c r="L2326">
        <v>3.0103604630174635E-3</v>
      </c>
      <c r="M2326">
        <v>1.8062162778104782E-2</v>
      </c>
      <c r="N2326">
        <v>5.6550400765797093E-2</v>
      </c>
      <c r="O2326" t="s">
        <v>177</v>
      </c>
      <c r="P2326">
        <v>2.3092942792615383E-3</v>
      </c>
      <c r="Q2326" t="s">
        <v>177</v>
      </c>
      <c r="R2326">
        <v>1.083729766686287E-3</v>
      </c>
      <c r="S2326" t="s">
        <v>178</v>
      </c>
      <c r="T2326">
        <v>6.7860480918956511E-3</v>
      </c>
      <c r="U2326" t="s">
        <v>90</v>
      </c>
      <c r="V2326">
        <v>0</v>
      </c>
      <c r="W2326" t="s">
        <v>90</v>
      </c>
      <c r="X2326">
        <v>0</v>
      </c>
      <c r="Y2326">
        <v>6.6729472903640563E-2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K2326" t="s">
        <v>7325</v>
      </c>
      <c r="AM2326">
        <v>400000</v>
      </c>
      <c r="AN2326" t="s">
        <v>97</v>
      </c>
      <c r="AO2326">
        <v>2</v>
      </c>
      <c r="AP2326">
        <v>0</v>
      </c>
      <c r="AQ2326">
        <v>33333.333333333336</v>
      </c>
      <c r="AR2326" t="s">
        <v>8158</v>
      </c>
      <c r="AS2326" t="s">
        <v>75</v>
      </c>
      <c r="AW2326">
        <v>0</v>
      </c>
      <c r="AX2326" t="s">
        <v>76</v>
      </c>
      <c r="AY2326" t="s">
        <v>176</v>
      </c>
      <c r="AZ2326">
        <v>0</v>
      </c>
      <c r="BA2326" t="s">
        <v>176</v>
      </c>
      <c r="BB2326">
        <v>0</v>
      </c>
    </row>
    <row r="2327" spans="1:54" x14ac:dyDescent="0.15">
      <c r="A2327" s="4" t="str">
        <f>HYPERLINK("https://ibp.a2mac1.com/costing(costing:projects/details/9760/part/8417076)","Part 10")</f>
        <v>Part 10</v>
      </c>
      <c r="B2327">
        <v>8417076</v>
      </c>
      <c r="C2327">
        <v>8416651</v>
      </c>
      <c r="E2327">
        <v>0.19186669333333334</v>
      </c>
      <c r="F2327">
        <v>0</v>
      </c>
      <c r="G2327">
        <v>0</v>
      </c>
      <c r="H2327">
        <v>2.3983336666666666E-5</v>
      </c>
      <c r="I2327" t="s">
        <v>176</v>
      </c>
      <c r="J2327">
        <v>7.6310616666666669E-3</v>
      </c>
      <c r="K2327">
        <v>0.19952173833666667</v>
      </c>
      <c r="L2327">
        <v>3.9320942634972159E-3</v>
      </c>
      <c r="M2327">
        <v>2.3592565580983296E-2</v>
      </c>
      <c r="N2327">
        <v>0.22311430391764997</v>
      </c>
      <c r="O2327" t="s">
        <v>177</v>
      </c>
      <c r="P2327">
        <v>1.1971304300200001E-2</v>
      </c>
      <c r="Q2327" t="s">
        <v>177</v>
      </c>
      <c r="R2327">
        <v>1.4155539348589977E-3</v>
      </c>
      <c r="S2327" t="s">
        <v>178</v>
      </c>
      <c r="T2327">
        <v>2.6773716470117996E-2</v>
      </c>
      <c r="U2327" t="s">
        <v>90</v>
      </c>
      <c r="V2327">
        <v>0</v>
      </c>
      <c r="W2327" t="s">
        <v>90</v>
      </c>
      <c r="X2327">
        <v>0</v>
      </c>
      <c r="Y2327">
        <v>0.26327487862282695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K2327" t="s">
        <v>7325</v>
      </c>
      <c r="AM2327">
        <v>400000</v>
      </c>
      <c r="AN2327" t="s">
        <v>97</v>
      </c>
      <c r="AO2327">
        <v>2</v>
      </c>
      <c r="AP2327">
        <v>0</v>
      </c>
      <c r="AQ2327">
        <v>33333.333333333336</v>
      </c>
      <c r="AR2327" t="s">
        <v>8162</v>
      </c>
      <c r="AS2327" t="s">
        <v>75</v>
      </c>
      <c r="AW2327">
        <v>0</v>
      </c>
      <c r="AX2327" t="s">
        <v>76</v>
      </c>
      <c r="AY2327" t="s">
        <v>176</v>
      </c>
      <c r="AZ2327">
        <v>0</v>
      </c>
      <c r="BA2327" t="s">
        <v>176</v>
      </c>
      <c r="BB2327">
        <v>0</v>
      </c>
    </row>
    <row r="2328" spans="1:54" x14ac:dyDescent="0.15">
      <c r="A2328" s="4" t="str">
        <f>HYPERLINK("https://ibp.a2mac1.com/costing(costing:projects/details/9760/part/8417077)","Part 11")</f>
        <v>Part 11</v>
      </c>
      <c r="B2328">
        <v>8417077</v>
      </c>
      <c r="C2328">
        <v>8416651</v>
      </c>
      <c r="E2328">
        <v>0.19186669333333334</v>
      </c>
      <c r="F2328">
        <v>0</v>
      </c>
      <c r="G2328">
        <v>0</v>
      </c>
      <c r="H2328">
        <v>2.3983336666666666E-5</v>
      </c>
      <c r="I2328" t="s">
        <v>176</v>
      </c>
      <c r="J2328">
        <v>7.6310616666666669E-3</v>
      </c>
      <c r="K2328">
        <v>0.19952173833666667</v>
      </c>
      <c r="L2328">
        <v>3.9320942634972159E-3</v>
      </c>
      <c r="M2328">
        <v>2.3592565580983296E-2</v>
      </c>
      <c r="N2328">
        <v>0.22311430391764997</v>
      </c>
      <c r="O2328" t="s">
        <v>177</v>
      </c>
      <c r="P2328">
        <v>1.1971304300200001E-2</v>
      </c>
      <c r="Q2328" t="s">
        <v>177</v>
      </c>
      <c r="R2328">
        <v>1.4155539348589977E-3</v>
      </c>
      <c r="S2328" t="s">
        <v>178</v>
      </c>
      <c r="T2328">
        <v>2.6773716470117996E-2</v>
      </c>
      <c r="U2328" t="s">
        <v>90</v>
      </c>
      <c r="V2328">
        <v>0</v>
      </c>
      <c r="W2328" t="s">
        <v>90</v>
      </c>
      <c r="X2328">
        <v>0</v>
      </c>
      <c r="Y2328">
        <v>0.26327487862282695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K2328" t="s">
        <v>7325</v>
      </c>
      <c r="AM2328">
        <v>400000</v>
      </c>
      <c r="AN2328" t="s">
        <v>97</v>
      </c>
      <c r="AO2328">
        <v>2</v>
      </c>
      <c r="AP2328">
        <v>0</v>
      </c>
      <c r="AQ2328">
        <v>33333.333333333336</v>
      </c>
      <c r="AR2328" t="s">
        <v>8165</v>
      </c>
      <c r="AS2328" t="s">
        <v>75</v>
      </c>
      <c r="AW2328">
        <v>0</v>
      </c>
      <c r="AX2328" t="s">
        <v>76</v>
      </c>
      <c r="AY2328" t="s">
        <v>176</v>
      </c>
      <c r="AZ2328">
        <v>0</v>
      </c>
      <c r="BA2328" t="s">
        <v>176</v>
      </c>
      <c r="BB2328">
        <v>0</v>
      </c>
    </row>
    <row r="2329" spans="1:54" x14ac:dyDescent="0.15">
      <c r="A2329" s="4" t="str">
        <f>HYPERLINK("https://ibp.a2mac1.com/costing(costing:projects/details/9760/part/8417078)","Part 12")</f>
        <v>Part 12</v>
      </c>
      <c r="B2329">
        <v>8417078</v>
      </c>
      <c r="C2329">
        <v>8416651</v>
      </c>
      <c r="E2329">
        <v>0.14133256</v>
      </c>
      <c r="F2329">
        <v>0</v>
      </c>
      <c r="G2329">
        <v>0</v>
      </c>
      <c r="H2329">
        <v>1.8290095999999999E-5</v>
      </c>
      <c r="I2329" t="s">
        <v>176</v>
      </c>
      <c r="J2329">
        <v>5.8195759999999999E-3</v>
      </c>
      <c r="K2329">
        <v>0.14717042609600001</v>
      </c>
      <c r="L2329">
        <v>6.0128692034496077E-2</v>
      </c>
      <c r="M2329">
        <v>0.36077215220697645</v>
      </c>
      <c r="N2329">
        <v>0.50794257830297651</v>
      </c>
      <c r="O2329" t="s">
        <v>177</v>
      </c>
      <c r="P2329">
        <v>8.8302255657600002E-3</v>
      </c>
      <c r="Q2329" t="s">
        <v>177</v>
      </c>
      <c r="R2329">
        <v>2.1646329132418589E-2</v>
      </c>
      <c r="S2329" t="s">
        <v>178</v>
      </c>
      <c r="T2329">
        <v>6.0953109396357175E-2</v>
      </c>
      <c r="U2329" t="s">
        <v>90</v>
      </c>
      <c r="V2329">
        <v>0</v>
      </c>
      <c r="W2329" t="s">
        <v>90</v>
      </c>
      <c r="X2329">
        <v>0</v>
      </c>
      <c r="Y2329">
        <v>0.59937224239751219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K2329" t="s">
        <v>7325</v>
      </c>
      <c r="AM2329">
        <v>400000</v>
      </c>
      <c r="AN2329" t="s">
        <v>97</v>
      </c>
      <c r="AO2329">
        <v>2</v>
      </c>
      <c r="AP2329">
        <v>0</v>
      </c>
      <c r="AQ2329">
        <v>33333.333333333336</v>
      </c>
      <c r="AR2329" t="s">
        <v>8169</v>
      </c>
      <c r="AS2329" t="s">
        <v>75</v>
      </c>
      <c r="AW2329">
        <v>0</v>
      </c>
      <c r="AX2329" t="s">
        <v>76</v>
      </c>
      <c r="AY2329" t="s">
        <v>176</v>
      </c>
      <c r="AZ2329">
        <v>0</v>
      </c>
      <c r="BA2329" t="s">
        <v>176</v>
      </c>
      <c r="BB2329">
        <v>0</v>
      </c>
    </row>
    <row r="2330" spans="1:54" x14ac:dyDescent="0.15">
      <c r="A2330" s="4" t="str">
        <f>HYPERLINK("https://ibp.a2mac1.com/costing(costing:projects/details/9760/part/8417079)","Part 13")</f>
        <v>Part 13</v>
      </c>
      <c r="B2330">
        <v>8417079</v>
      </c>
      <c r="C2330">
        <v>8416651</v>
      </c>
      <c r="E2330">
        <v>0.25356724000000003</v>
      </c>
      <c r="F2330">
        <v>0</v>
      </c>
      <c r="G2330">
        <v>0</v>
      </c>
      <c r="H2330">
        <v>3.2814583999999999E-5</v>
      </c>
      <c r="I2330" t="s">
        <v>176</v>
      </c>
      <c r="J2330">
        <v>1.0441004E-2</v>
      </c>
      <c r="K2330">
        <v>0.26404105858400001</v>
      </c>
      <c r="L2330">
        <v>6.0128692034496077E-2</v>
      </c>
      <c r="M2330">
        <v>0.36077215220697645</v>
      </c>
      <c r="N2330">
        <v>0.62481321079097651</v>
      </c>
      <c r="O2330" t="s">
        <v>177</v>
      </c>
      <c r="P2330">
        <v>1.5842463515040001E-2</v>
      </c>
      <c r="Q2330" t="s">
        <v>177</v>
      </c>
      <c r="R2330">
        <v>2.1646329132418589E-2</v>
      </c>
      <c r="S2330" t="s">
        <v>178</v>
      </c>
      <c r="T2330">
        <v>7.4977585294917173E-2</v>
      </c>
      <c r="U2330" t="s">
        <v>90</v>
      </c>
      <c r="V2330">
        <v>0</v>
      </c>
      <c r="W2330" t="s">
        <v>90</v>
      </c>
      <c r="X2330">
        <v>0</v>
      </c>
      <c r="Y2330">
        <v>0.7372795887333522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K2330" t="s">
        <v>7325</v>
      </c>
      <c r="AM2330">
        <v>400000</v>
      </c>
      <c r="AN2330" t="s">
        <v>97</v>
      </c>
      <c r="AO2330">
        <v>2</v>
      </c>
      <c r="AP2330">
        <v>0</v>
      </c>
      <c r="AQ2330">
        <v>33333.333333333336</v>
      </c>
      <c r="AR2330" t="s">
        <v>8174</v>
      </c>
      <c r="AS2330" t="s">
        <v>75</v>
      </c>
      <c r="AW2330">
        <v>0</v>
      </c>
      <c r="AX2330" t="s">
        <v>76</v>
      </c>
      <c r="AY2330" t="s">
        <v>176</v>
      </c>
      <c r="AZ2330">
        <v>0</v>
      </c>
      <c r="BA2330" t="s">
        <v>176</v>
      </c>
      <c r="BB2330">
        <v>0</v>
      </c>
    </row>
    <row r="2331" spans="1:54" x14ac:dyDescent="0.15">
      <c r="A2331" s="4" t="str">
        <f>HYPERLINK("https://ibp.a2mac1.com/costing(costing:projects/details/9760/part/8417284)","Part 02")</f>
        <v>Part 02</v>
      </c>
      <c r="B2331">
        <v>8417284</v>
      </c>
      <c r="C2331">
        <v>8417080</v>
      </c>
      <c r="E2331">
        <v>0.62490142500000001</v>
      </c>
      <c r="F2331">
        <v>0</v>
      </c>
      <c r="G2331">
        <v>0</v>
      </c>
      <c r="H2331">
        <v>7.3126762500000007E-5</v>
      </c>
      <c r="I2331" t="s">
        <v>176</v>
      </c>
      <c r="J2331">
        <v>2.326760625E-2</v>
      </c>
      <c r="K2331">
        <v>0.64824215801249996</v>
      </c>
      <c r="L2331">
        <v>1.6357428824467144E-2</v>
      </c>
      <c r="M2331">
        <v>9.8144572946802858E-2</v>
      </c>
      <c r="N2331">
        <v>0.74638673095930286</v>
      </c>
      <c r="O2331" t="s">
        <v>177</v>
      </c>
      <c r="P2331">
        <v>3.8894529480749999E-2</v>
      </c>
      <c r="Q2331" t="s">
        <v>177</v>
      </c>
      <c r="R2331">
        <v>5.8886743768081715E-3</v>
      </c>
      <c r="S2331" t="s">
        <v>178</v>
      </c>
      <c r="T2331">
        <v>8.9566407715116342E-2</v>
      </c>
      <c r="U2331" t="s">
        <v>90</v>
      </c>
      <c r="V2331">
        <v>0</v>
      </c>
      <c r="W2331" t="s">
        <v>90</v>
      </c>
      <c r="X2331">
        <v>0</v>
      </c>
      <c r="Y2331">
        <v>0.88073634253197741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K2331" t="s">
        <v>7325</v>
      </c>
      <c r="AM2331">
        <v>400000</v>
      </c>
      <c r="AN2331" t="s">
        <v>97</v>
      </c>
      <c r="AO2331">
        <v>2</v>
      </c>
      <c r="AP2331">
        <v>0</v>
      </c>
      <c r="AQ2331">
        <v>33333.333333333336</v>
      </c>
      <c r="AR2331" t="s">
        <v>8186</v>
      </c>
      <c r="AS2331" t="s">
        <v>75</v>
      </c>
      <c r="AW2331">
        <v>0</v>
      </c>
      <c r="AX2331" t="s">
        <v>76</v>
      </c>
      <c r="AY2331" t="s">
        <v>176</v>
      </c>
      <c r="AZ2331">
        <v>0</v>
      </c>
      <c r="BA2331" t="s">
        <v>176</v>
      </c>
      <c r="BB2331">
        <v>0</v>
      </c>
    </row>
    <row r="2332" spans="1:54" x14ac:dyDescent="0.15">
      <c r="A2332" s="4" t="str">
        <f>HYPERLINK("https://ibp.a2mac1.com/costing(costing:projects/details/9760/part/8417285)","Part 02")</f>
        <v>Part 02</v>
      </c>
      <c r="B2332">
        <v>8417285</v>
      </c>
      <c r="C2332">
        <v>8417122</v>
      </c>
      <c r="E2332">
        <v>2.8731099999999999E-2</v>
      </c>
      <c r="F2332">
        <v>0</v>
      </c>
      <c r="G2332">
        <v>0</v>
      </c>
      <c r="H2332">
        <v>3.3621500000000001E-6</v>
      </c>
      <c r="I2332" t="s">
        <v>176</v>
      </c>
      <c r="J2332">
        <v>1.069775E-3</v>
      </c>
      <c r="K2332">
        <v>2.9804237149999999E-2</v>
      </c>
      <c r="L2332">
        <v>3.0103604630174635E-3</v>
      </c>
      <c r="M2332">
        <v>1.8062162778104782E-2</v>
      </c>
      <c r="N2332">
        <v>4.7866399928104784E-2</v>
      </c>
      <c r="O2332" t="s">
        <v>177</v>
      </c>
      <c r="P2332">
        <v>1.7882542289999999E-3</v>
      </c>
      <c r="Q2332" t="s">
        <v>177</v>
      </c>
      <c r="R2332">
        <v>1.083729766686287E-3</v>
      </c>
      <c r="S2332" t="s">
        <v>178</v>
      </c>
      <c r="T2332">
        <v>5.7439679913725734E-3</v>
      </c>
      <c r="U2332" t="s">
        <v>90</v>
      </c>
      <c r="V2332">
        <v>0</v>
      </c>
      <c r="W2332" t="s">
        <v>90</v>
      </c>
      <c r="X2332">
        <v>0</v>
      </c>
      <c r="Y2332">
        <v>5.6482351915163639E-2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K2332" t="s">
        <v>7325</v>
      </c>
      <c r="AM2332">
        <v>400000</v>
      </c>
      <c r="AN2332" t="s">
        <v>97</v>
      </c>
      <c r="AO2332">
        <v>2</v>
      </c>
      <c r="AP2332">
        <v>0</v>
      </c>
      <c r="AQ2332">
        <v>33333.333333333336</v>
      </c>
      <c r="AR2332" t="s">
        <v>8191</v>
      </c>
      <c r="AS2332" t="s">
        <v>75</v>
      </c>
      <c r="AW2332">
        <v>0</v>
      </c>
      <c r="AX2332" t="s">
        <v>76</v>
      </c>
      <c r="AY2332" t="s">
        <v>176</v>
      </c>
      <c r="AZ2332">
        <v>0</v>
      </c>
      <c r="BA2332" t="s">
        <v>176</v>
      </c>
      <c r="BB2332">
        <v>0</v>
      </c>
    </row>
    <row r="2333" spans="1:54" x14ac:dyDescent="0.15">
      <c r="A2333" s="4" t="str">
        <f>HYPERLINK("https://ibp.a2mac1.com/costing(costing:projects/details/9760/part/8417123)","Part 01 (single/main)")</f>
        <v>Part 01 (single/main)</v>
      </c>
      <c r="B2333">
        <v>8417123</v>
      </c>
      <c r="C2333">
        <v>8416653</v>
      </c>
      <c r="E2333">
        <v>247.74855542</v>
      </c>
      <c r="F2333">
        <v>0</v>
      </c>
      <c r="G2333">
        <v>0</v>
      </c>
      <c r="H2333">
        <v>3.6898721019999997E-2</v>
      </c>
      <c r="I2333" t="s">
        <v>176</v>
      </c>
      <c r="J2333">
        <v>9.2246802550000009</v>
      </c>
      <c r="K2333">
        <v>257.01013439602002</v>
      </c>
      <c r="L2333">
        <v>6.5116681619663455</v>
      </c>
      <c r="M2333">
        <v>39.070008971798075</v>
      </c>
      <c r="N2333">
        <v>296.0801433678181</v>
      </c>
      <c r="O2333" t="s">
        <v>90</v>
      </c>
      <c r="P2333">
        <v>0</v>
      </c>
      <c r="Q2333" t="s">
        <v>90</v>
      </c>
      <c r="R2333">
        <v>0</v>
      </c>
      <c r="S2333" t="s">
        <v>90</v>
      </c>
      <c r="T2333">
        <v>0</v>
      </c>
      <c r="U2333" t="s">
        <v>90</v>
      </c>
      <c r="V2333">
        <v>0</v>
      </c>
      <c r="W2333" t="s">
        <v>90</v>
      </c>
      <c r="X2333">
        <v>0</v>
      </c>
      <c r="Y2333">
        <v>296.0801433678181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K2333" t="s">
        <v>7534</v>
      </c>
      <c r="AM2333">
        <v>200000</v>
      </c>
      <c r="AN2333" t="s">
        <v>73</v>
      </c>
      <c r="AO2333">
        <v>1</v>
      </c>
      <c r="AP2333">
        <v>0</v>
      </c>
      <c r="AQ2333">
        <v>16666.666666666668</v>
      </c>
      <c r="AR2333" t="s">
        <v>8201</v>
      </c>
      <c r="AS2333" t="s">
        <v>75</v>
      </c>
      <c r="AW2333">
        <v>0</v>
      </c>
      <c r="AX2333" t="s">
        <v>76</v>
      </c>
      <c r="AY2333" t="s">
        <v>176</v>
      </c>
      <c r="AZ2333">
        <v>0</v>
      </c>
      <c r="BA2333" t="s">
        <v>176</v>
      </c>
      <c r="BB2333">
        <v>0</v>
      </c>
    </row>
    <row r="2334" spans="1:54" x14ac:dyDescent="0.15">
      <c r="A2334" s="4" t="str">
        <f>HYPERLINK("https://ibp.a2mac1.com/costing(costing:projects/details/9760/part/8417124)","Part 02")</f>
        <v>Part 02</v>
      </c>
      <c r="B2334">
        <v>8417124</v>
      </c>
      <c r="C2334">
        <v>8416653</v>
      </c>
      <c r="E2334">
        <v>10.375641698000001</v>
      </c>
      <c r="F2334">
        <v>0</v>
      </c>
      <c r="G2334">
        <v>0</v>
      </c>
      <c r="H2334">
        <v>1.214170837E-3</v>
      </c>
      <c r="I2334" t="s">
        <v>176</v>
      </c>
      <c r="J2334">
        <v>0.38632708449999997</v>
      </c>
      <c r="K2334">
        <v>10.763182953336999</v>
      </c>
      <c r="L2334">
        <v>0.42422575723130623</v>
      </c>
      <c r="M2334">
        <v>2.5453545433878375</v>
      </c>
      <c r="N2334">
        <v>13.308537496724837</v>
      </c>
      <c r="O2334" t="s">
        <v>177</v>
      </c>
      <c r="P2334">
        <v>0.64579097720022005</v>
      </c>
      <c r="Q2334" t="s">
        <v>177</v>
      </c>
      <c r="R2334">
        <v>0.15272127260327026</v>
      </c>
      <c r="S2334" t="s">
        <v>178</v>
      </c>
      <c r="T2334">
        <v>1.5970244996069805</v>
      </c>
      <c r="U2334" t="s">
        <v>90</v>
      </c>
      <c r="V2334">
        <v>0</v>
      </c>
      <c r="W2334" t="s">
        <v>90</v>
      </c>
      <c r="X2334">
        <v>0</v>
      </c>
      <c r="Y2334">
        <v>15.704074246135308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K2334" t="s">
        <v>7325</v>
      </c>
      <c r="AM2334">
        <v>400000</v>
      </c>
      <c r="AN2334" t="s">
        <v>97</v>
      </c>
      <c r="AO2334">
        <v>2</v>
      </c>
      <c r="AP2334">
        <v>0</v>
      </c>
      <c r="AQ2334">
        <v>33333.333333333336</v>
      </c>
      <c r="AR2334" t="s">
        <v>8206</v>
      </c>
      <c r="AS2334" t="s">
        <v>75</v>
      </c>
      <c r="AW2334">
        <v>0</v>
      </c>
      <c r="AX2334" t="s">
        <v>76</v>
      </c>
      <c r="AY2334" t="s">
        <v>176</v>
      </c>
      <c r="AZ2334">
        <v>0</v>
      </c>
      <c r="BA2334" t="s">
        <v>176</v>
      </c>
      <c r="BB2334">
        <v>0</v>
      </c>
    </row>
    <row r="2335" spans="1:54" x14ac:dyDescent="0.15">
      <c r="A2335" s="4" t="str">
        <f>HYPERLINK("https://ibp.a2mac1.com/costing(costing:projects/details/9760/part/8417125)","Part 01 (single/main)")</f>
        <v>Part 01 (single/main)</v>
      </c>
      <c r="B2335">
        <v>8417125</v>
      </c>
      <c r="C2335">
        <v>8416654</v>
      </c>
      <c r="E2335">
        <v>3.4076127359999999</v>
      </c>
      <c r="F2335">
        <v>0</v>
      </c>
      <c r="G2335">
        <v>0</v>
      </c>
      <c r="H2335">
        <v>4.4098517759999999E-4</v>
      </c>
      <c r="I2335" t="s">
        <v>176</v>
      </c>
      <c r="J2335">
        <v>0.14031346559999999</v>
      </c>
      <c r="K2335">
        <v>3.5483671867775999</v>
      </c>
      <c r="L2335">
        <v>0.16712000604235003</v>
      </c>
      <c r="M2335">
        <v>1.0027200362541002</v>
      </c>
      <c r="N2335">
        <v>4.5510872230317005</v>
      </c>
      <c r="O2335" t="s">
        <v>177</v>
      </c>
      <c r="P2335">
        <v>0.21290203120665599</v>
      </c>
      <c r="Q2335" t="s">
        <v>177</v>
      </c>
      <c r="R2335">
        <v>6.0163202175246011E-2</v>
      </c>
      <c r="S2335" t="s">
        <v>178</v>
      </c>
      <c r="T2335">
        <v>0.54613046676380406</v>
      </c>
      <c r="U2335" t="s">
        <v>90</v>
      </c>
      <c r="V2335">
        <v>0</v>
      </c>
      <c r="W2335" t="s">
        <v>90</v>
      </c>
      <c r="X2335">
        <v>0</v>
      </c>
      <c r="Y2335">
        <v>5.3702829231774061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K2335" t="s">
        <v>7325</v>
      </c>
      <c r="AM2335">
        <v>400000</v>
      </c>
      <c r="AN2335" t="s">
        <v>97</v>
      </c>
      <c r="AO2335">
        <v>2</v>
      </c>
      <c r="AP2335">
        <v>0</v>
      </c>
      <c r="AQ2335">
        <v>33333.333333333336</v>
      </c>
      <c r="AR2335" t="s">
        <v>8212</v>
      </c>
      <c r="AS2335" t="s">
        <v>75</v>
      </c>
      <c r="AW2335">
        <v>0</v>
      </c>
      <c r="AX2335" t="s">
        <v>76</v>
      </c>
      <c r="AY2335" t="s">
        <v>176</v>
      </c>
      <c r="AZ2335">
        <v>0</v>
      </c>
      <c r="BA2335" t="s">
        <v>176</v>
      </c>
      <c r="BB2335">
        <v>0</v>
      </c>
    </row>
    <row r="2336" spans="1:54" x14ac:dyDescent="0.15">
      <c r="A2336" s="4" t="str">
        <f>HYPERLINK("https://ibp.a2mac1.com/costing(costing:projects/details/9760/part/8415588)","Mass Vibration Absorber")</f>
        <v>Mass Vibration Absorber</v>
      </c>
      <c r="B2336">
        <v>8415588</v>
      </c>
      <c r="C2336">
        <v>8415577</v>
      </c>
      <c r="E2336">
        <v>0.26887119177724039</v>
      </c>
      <c r="F2336">
        <v>0</v>
      </c>
      <c r="G2336">
        <v>0</v>
      </c>
      <c r="H2336">
        <v>1.9624986218750688E-3</v>
      </c>
      <c r="I2336" t="s">
        <v>176</v>
      </c>
      <c r="J2336">
        <v>9.5932195203390237E-3</v>
      </c>
      <c r="K2336">
        <v>0.28042690991945451</v>
      </c>
      <c r="L2336">
        <v>0.15462881625246511</v>
      </c>
      <c r="M2336">
        <v>0.92777289751479064</v>
      </c>
      <c r="N2336">
        <v>1.208199807434245</v>
      </c>
      <c r="O2336" t="s">
        <v>177</v>
      </c>
      <c r="P2336">
        <v>1.6825614595167269E-2</v>
      </c>
      <c r="Q2336" t="s">
        <v>177</v>
      </c>
      <c r="R2336">
        <v>5.5666373850887435E-2</v>
      </c>
      <c r="S2336" t="s">
        <v>178</v>
      </c>
      <c r="T2336">
        <v>0.1449839768921094</v>
      </c>
      <c r="U2336" t="s">
        <v>90</v>
      </c>
      <c r="V2336">
        <v>0</v>
      </c>
      <c r="W2336" t="s">
        <v>90</v>
      </c>
      <c r="X2336">
        <v>0</v>
      </c>
      <c r="Y2336">
        <v>1.4256757727724092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28</v>
      </c>
      <c r="AF2336">
        <v>156</v>
      </c>
      <c r="AG2336">
        <v>56</v>
      </c>
      <c r="AI2336">
        <v>0.502</v>
      </c>
      <c r="AK2336" t="s">
        <v>740</v>
      </c>
      <c r="AL2336" t="s">
        <v>96</v>
      </c>
      <c r="AM2336">
        <v>200000</v>
      </c>
      <c r="AN2336" t="s">
        <v>97</v>
      </c>
      <c r="AO2336">
        <v>1</v>
      </c>
      <c r="AP2336">
        <v>0</v>
      </c>
      <c r="AQ2336">
        <v>16666.666666666668</v>
      </c>
      <c r="AR2336" t="s">
        <v>8235</v>
      </c>
      <c r="AS2336" t="s">
        <v>75</v>
      </c>
      <c r="AX2336" t="s">
        <v>76</v>
      </c>
      <c r="AY2336" t="s">
        <v>176</v>
      </c>
      <c r="AZ2336">
        <v>0</v>
      </c>
      <c r="BA2336" t="s">
        <v>176</v>
      </c>
      <c r="BB2336">
        <v>0</v>
      </c>
    </row>
    <row r="2337" spans="1:54" x14ac:dyDescent="0.15">
      <c r="A2337" s="4" t="str">
        <f>HYPERLINK("https://ibp.a2mac1.com/costing(costing:projects/details/9760/part/8415589)","2nd Mass Vibration Absorber")</f>
        <v>2nd Mass Vibration Absorber</v>
      </c>
      <c r="B2337">
        <v>8415589</v>
      </c>
      <c r="C2337">
        <v>8415577</v>
      </c>
      <c r="E2337">
        <v>0.26887119177724039</v>
      </c>
      <c r="F2337">
        <v>0</v>
      </c>
      <c r="G2337">
        <v>0</v>
      </c>
      <c r="H2337">
        <v>1.9624986218750688E-3</v>
      </c>
      <c r="I2337" t="s">
        <v>176</v>
      </c>
      <c r="J2337">
        <v>9.5932195203390237E-3</v>
      </c>
      <c r="K2337">
        <v>0.28042690991945451</v>
      </c>
      <c r="L2337">
        <v>0.15462881625246511</v>
      </c>
      <c r="M2337">
        <v>0.92777289751479064</v>
      </c>
      <c r="N2337">
        <v>1.208199807434245</v>
      </c>
      <c r="O2337" t="s">
        <v>177</v>
      </c>
      <c r="P2337">
        <v>1.6825614595167269E-2</v>
      </c>
      <c r="Q2337" t="s">
        <v>177</v>
      </c>
      <c r="R2337">
        <v>5.5666373850887435E-2</v>
      </c>
      <c r="S2337" t="s">
        <v>178</v>
      </c>
      <c r="T2337">
        <v>0.1449839768921094</v>
      </c>
      <c r="U2337" t="s">
        <v>90</v>
      </c>
      <c r="V2337">
        <v>0</v>
      </c>
      <c r="W2337" t="s">
        <v>90</v>
      </c>
      <c r="X2337">
        <v>0</v>
      </c>
      <c r="Y2337">
        <v>1.4256757727724092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17</v>
      </c>
      <c r="AF2337">
        <v>164</v>
      </c>
      <c r="AG2337">
        <v>42</v>
      </c>
      <c r="AI2337">
        <v>0.5</v>
      </c>
      <c r="AK2337" t="s">
        <v>740</v>
      </c>
      <c r="AL2337" t="s">
        <v>96</v>
      </c>
      <c r="AM2337">
        <v>200000</v>
      </c>
      <c r="AN2337" t="s">
        <v>97</v>
      </c>
      <c r="AO2337">
        <v>1</v>
      </c>
      <c r="AP2337">
        <v>0</v>
      </c>
      <c r="AQ2337">
        <v>16666.666666666668</v>
      </c>
      <c r="AR2337" t="s">
        <v>8244</v>
      </c>
      <c r="AS2337" t="s">
        <v>75</v>
      </c>
      <c r="AX2337" t="s">
        <v>76</v>
      </c>
      <c r="AY2337" t="s">
        <v>176</v>
      </c>
      <c r="AZ2337">
        <v>0</v>
      </c>
      <c r="BA2337" t="s">
        <v>176</v>
      </c>
      <c r="BB2337">
        <v>0</v>
      </c>
    </row>
    <row r="2338" spans="1:54" x14ac:dyDescent="0.15">
      <c r="A2338" s="4" t="str">
        <f>HYPERLINK("https://ibp.a2mac1.com/costing(costing:projects/details/9760/part/8416074)","Panel&gt;Part 02")</f>
        <v>Panel&gt;Part 02</v>
      </c>
      <c r="B2338">
        <v>8416074</v>
      </c>
      <c r="C2338">
        <v>8415760</v>
      </c>
      <c r="D2338" t="s">
        <v>5528</v>
      </c>
      <c r="E2338">
        <v>0.64932285999999995</v>
      </c>
      <c r="F2338">
        <v>0</v>
      </c>
      <c r="G2338">
        <v>0</v>
      </c>
      <c r="H2338">
        <v>1.381538E-5</v>
      </c>
      <c r="I2338" t="s">
        <v>176</v>
      </c>
      <c r="J2338">
        <v>2.4176915E-2</v>
      </c>
      <c r="K2338">
        <v>0.67351359038000003</v>
      </c>
      <c r="L2338">
        <v>5.9677817437074794E-3</v>
      </c>
      <c r="M2338">
        <v>3.5806690462244876E-2</v>
      </c>
      <c r="N2338">
        <v>0.70932028084224485</v>
      </c>
      <c r="O2338" t="s">
        <v>90</v>
      </c>
      <c r="P2338">
        <v>0</v>
      </c>
      <c r="Q2338" t="s">
        <v>90</v>
      </c>
      <c r="R2338">
        <v>0</v>
      </c>
      <c r="S2338" t="s">
        <v>90</v>
      </c>
      <c r="T2338">
        <v>0</v>
      </c>
      <c r="U2338" t="s">
        <v>90</v>
      </c>
      <c r="V2338">
        <v>0</v>
      </c>
      <c r="W2338" t="s">
        <v>90</v>
      </c>
      <c r="X2338">
        <v>0</v>
      </c>
      <c r="Y2338">
        <v>0.70932028084224485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K2338" t="s">
        <v>272</v>
      </c>
      <c r="AM2338">
        <v>200000</v>
      </c>
      <c r="AN2338" t="s">
        <v>73</v>
      </c>
      <c r="AO2338">
        <v>1</v>
      </c>
      <c r="AP2338">
        <v>0</v>
      </c>
      <c r="AQ2338">
        <v>16666.666666666668</v>
      </c>
      <c r="AR2338" t="s">
        <v>9</v>
      </c>
      <c r="AS2338" t="s">
        <v>75</v>
      </c>
      <c r="AX2338" t="s">
        <v>76</v>
      </c>
      <c r="AY2338" t="s">
        <v>176</v>
      </c>
      <c r="AZ2338">
        <v>0</v>
      </c>
      <c r="BA2338" t="s">
        <v>176</v>
      </c>
      <c r="BB2338">
        <v>0</v>
      </c>
    </row>
    <row r="2339" spans="1:54" x14ac:dyDescent="0.15">
      <c r="A2339" s="4" t="str">
        <f>HYPERLINK("https://ibp.a2mac1.com/costing(costing:projects/details/9760/part/8416075)","Reinforcements&gt;Part 01 (single/main)")</f>
        <v>Reinforcements&gt;Part 01 (single/main)</v>
      </c>
      <c r="B2339">
        <v>8416075</v>
      </c>
      <c r="C2339">
        <v>8415760</v>
      </c>
      <c r="D2339" t="s">
        <v>5528</v>
      </c>
      <c r="E2339">
        <v>0.20111770000000001</v>
      </c>
      <c r="F2339">
        <v>0</v>
      </c>
      <c r="G2339">
        <v>0</v>
      </c>
      <c r="H2339">
        <v>4.2791000000000002E-6</v>
      </c>
      <c r="I2339" t="s">
        <v>176</v>
      </c>
      <c r="J2339">
        <v>7.4884249999999999E-3</v>
      </c>
      <c r="K2339">
        <v>0.20861040410000001</v>
      </c>
      <c r="L2339">
        <v>4.787815421796216E-3</v>
      </c>
      <c r="M2339">
        <v>2.8726892530777298E-2</v>
      </c>
      <c r="N2339">
        <v>0.23733729663077729</v>
      </c>
      <c r="O2339" t="s">
        <v>90</v>
      </c>
      <c r="P2339">
        <v>0</v>
      </c>
      <c r="Q2339" t="s">
        <v>90</v>
      </c>
      <c r="R2339">
        <v>0</v>
      </c>
      <c r="S2339" t="s">
        <v>90</v>
      </c>
      <c r="T2339">
        <v>0</v>
      </c>
      <c r="U2339" t="s">
        <v>90</v>
      </c>
      <c r="V2339">
        <v>0</v>
      </c>
      <c r="W2339" t="s">
        <v>90</v>
      </c>
      <c r="X2339">
        <v>0</v>
      </c>
      <c r="Y2339">
        <v>0.23733729663077729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K2339" t="s">
        <v>272</v>
      </c>
      <c r="AM2339">
        <v>200000</v>
      </c>
      <c r="AN2339" t="s">
        <v>73</v>
      </c>
      <c r="AO2339">
        <v>1</v>
      </c>
      <c r="AP2339">
        <v>0</v>
      </c>
      <c r="AQ2339">
        <v>16666.666666666668</v>
      </c>
      <c r="AR2339" t="s">
        <v>9</v>
      </c>
      <c r="AS2339" t="s">
        <v>75</v>
      </c>
      <c r="AX2339" t="s">
        <v>76</v>
      </c>
      <c r="AY2339" t="s">
        <v>176</v>
      </c>
      <c r="AZ2339">
        <v>0</v>
      </c>
      <c r="BA2339" t="s">
        <v>176</v>
      </c>
      <c r="BB2339">
        <v>0</v>
      </c>
    </row>
    <row r="2340" spans="1:54" x14ac:dyDescent="0.15">
      <c r="A2340" s="4" t="str">
        <f>HYPERLINK("https://ibp.a2mac1.com/costing(costing:projects/details/9760/part/8416076)","Reinforcements&gt;Part 02")</f>
        <v>Reinforcements&gt;Part 02</v>
      </c>
      <c r="B2340">
        <v>8416076</v>
      </c>
      <c r="C2340">
        <v>8415760</v>
      </c>
      <c r="D2340" t="s">
        <v>5528</v>
      </c>
      <c r="E2340">
        <v>9.3376075000000003E-2</v>
      </c>
      <c r="F2340">
        <v>0</v>
      </c>
      <c r="G2340">
        <v>0</v>
      </c>
      <c r="H2340">
        <v>1.986725E-6</v>
      </c>
      <c r="I2340" t="s">
        <v>176</v>
      </c>
      <c r="J2340">
        <v>3.4767687499999999E-3</v>
      </c>
      <c r="K2340">
        <v>9.6854830475000001E-2</v>
      </c>
      <c r="L2340">
        <v>4.9079754834314279E-3</v>
      </c>
      <c r="M2340">
        <v>2.9447852900588566E-2</v>
      </c>
      <c r="N2340">
        <v>0.12630268337558856</v>
      </c>
      <c r="O2340" t="s">
        <v>90</v>
      </c>
      <c r="P2340">
        <v>0</v>
      </c>
      <c r="Q2340" t="s">
        <v>90</v>
      </c>
      <c r="R2340">
        <v>0</v>
      </c>
      <c r="S2340" t="s">
        <v>90</v>
      </c>
      <c r="T2340">
        <v>0</v>
      </c>
      <c r="U2340" t="s">
        <v>90</v>
      </c>
      <c r="V2340">
        <v>0</v>
      </c>
      <c r="W2340" t="s">
        <v>90</v>
      </c>
      <c r="X2340">
        <v>0</v>
      </c>
      <c r="Y2340">
        <v>0.12630268337558856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K2340" t="s">
        <v>272</v>
      </c>
      <c r="AM2340">
        <v>200000</v>
      </c>
      <c r="AN2340" t="s">
        <v>73</v>
      </c>
      <c r="AO2340">
        <v>1</v>
      </c>
      <c r="AP2340">
        <v>0</v>
      </c>
      <c r="AQ2340">
        <v>16666.666666666668</v>
      </c>
      <c r="AR2340" t="s">
        <v>9</v>
      </c>
      <c r="AS2340" t="s">
        <v>75</v>
      </c>
      <c r="AX2340" t="s">
        <v>76</v>
      </c>
      <c r="AY2340" t="s">
        <v>176</v>
      </c>
      <c r="AZ2340">
        <v>0</v>
      </c>
      <c r="BA2340" t="s">
        <v>176</v>
      </c>
      <c r="BB2340">
        <v>0</v>
      </c>
    </row>
    <row r="2341" spans="1:54" x14ac:dyDescent="0.15">
      <c r="A2341" s="4" t="str">
        <f>HYPERLINK("https://ibp.a2mac1.com/costing(costing:projects/details/9760/part/8416077)","Fixing parts&gt;Part 01 (single/main)")</f>
        <v>Fixing parts&gt;Part 01 (single/main)</v>
      </c>
      <c r="B2341">
        <v>8416077</v>
      </c>
      <c r="C2341">
        <v>8415760</v>
      </c>
      <c r="D2341" t="s">
        <v>5528</v>
      </c>
      <c r="E2341">
        <v>1.8675214999999998E-2</v>
      </c>
      <c r="F2341">
        <v>0</v>
      </c>
      <c r="G2341">
        <v>0</v>
      </c>
      <c r="H2341">
        <v>3.9734500000000002E-7</v>
      </c>
      <c r="I2341" t="s">
        <v>176</v>
      </c>
      <c r="J2341">
        <v>6.9535375000000005E-4</v>
      </c>
      <c r="K2341">
        <v>1.9370966095000001E-2</v>
      </c>
      <c r="L2341">
        <v>2.8492779578256971E-3</v>
      </c>
      <c r="M2341">
        <v>1.7095667746954181E-2</v>
      </c>
      <c r="N2341">
        <v>3.6466633841954178E-2</v>
      </c>
      <c r="O2341" t="s">
        <v>90</v>
      </c>
      <c r="P2341">
        <v>0</v>
      </c>
      <c r="Q2341" t="s">
        <v>90</v>
      </c>
      <c r="R2341">
        <v>0</v>
      </c>
      <c r="S2341" t="s">
        <v>90</v>
      </c>
      <c r="T2341">
        <v>0</v>
      </c>
      <c r="U2341" t="s">
        <v>90</v>
      </c>
      <c r="V2341">
        <v>0</v>
      </c>
      <c r="W2341" t="s">
        <v>90</v>
      </c>
      <c r="X2341">
        <v>0</v>
      </c>
      <c r="Y2341">
        <v>3.6466633841954178E-2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K2341" t="s">
        <v>272</v>
      </c>
      <c r="AM2341">
        <v>200000</v>
      </c>
      <c r="AN2341" t="s">
        <v>73</v>
      </c>
      <c r="AO2341">
        <v>1</v>
      </c>
      <c r="AP2341">
        <v>0</v>
      </c>
      <c r="AQ2341">
        <v>16666.666666666668</v>
      </c>
      <c r="AR2341" t="s">
        <v>9</v>
      </c>
      <c r="AS2341" t="s">
        <v>75</v>
      </c>
      <c r="AX2341" t="s">
        <v>76</v>
      </c>
      <c r="AY2341" t="s">
        <v>176</v>
      </c>
      <c r="AZ2341">
        <v>0</v>
      </c>
      <c r="BA2341" t="s">
        <v>176</v>
      </c>
      <c r="BB2341">
        <v>0</v>
      </c>
    </row>
    <row r="2342" spans="1:54" x14ac:dyDescent="0.15">
      <c r="A2342" s="4" t="str">
        <f>HYPERLINK("https://ibp.a2mac1.com/costing(costing:projects/details/9760/part/8416078)","Fixing parts&gt;Part 02")</f>
        <v>Fixing parts&gt;Part 02</v>
      </c>
      <c r="B2342">
        <v>8416078</v>
      </c>
      <c r="C2342">
        <v>8415760</v>
      </c>
      <c r="D2342" t="s">
        <v>5528</v>
      </c>
      <c r="E2342">
        <v>0.1098964575</v>
      </c>
      <c r="F2342">
        <v>0</v>
      </c>
      <c r="G2342">
        <v>0</v>
      </c>
      <c r="H2342">
        <v>2.3382225000000002E-6</v>
      </c>
      <c r="I2342" t="s">
        <v>176</v>
      </c>
      <c r="J2342">
        <v>4.0918893750000003E-3</v>
      </c>
      <c r="K2342">
        <v>0.1139906850975</v>
      </c>
      <c r="L2342">
        <v>4.3658469829901307E-3</v>
      </c>
      <c r="M2342">
        <v>2.6195081897940786E-2</v>
      </c>
      <c r="N2342">
        <v>0.14018576699544077</v>
      </c>
      <c r="O2342" t="s">
        <v>90</v>
      </c>
      <c r="P2342">
        <v>0</v>
      </c>
      <c r="Q2342" t="s">
        <v>90</v>
      </c>
      <c r="R2342">
        <v>0</v>
      </c>
      <c r="S2342" t="s">
        <v>90</v>
      </c>
      <c r="T2342">
        <v>0</v>
      </c>
      <c r="U2342" t="s">
        <v>90</v>
      </c>
      <c r="V2342">
        <v>0</v>
      </c>
      <c r="W2342" t="s">
        <v>90</v>
      </c>
      <c r="X2342">
        <v>0</v>
      </c>
      <c r="Y2342">
        <v>0.14018576699544077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K2342" t="s">
        <v>272</v>
      </c>
      <c r="AM2342">
        <v>200000</v>
      </c>
      <c r="AN2342" t="s">
        <v>73</v>
      </c>
      <c r="AO2342">
        <v>1</v>
      </c>
      <c r="AP2342">
        <v>0</v>
      </c>
      <c r="AQ2342">
        <v>16666.666666666668</v>
      </c>
      <c r="AR2342" t="s">
        <v>9</v>
      </c>
      <c r="AS2342" t="s">
        <v>75</v>
      </c>
      <c r="AX2342" t="s">
        <v>76</v>
      </c>
      <c r="AY2342" t="s">
        <v>176</v>
      </c>
      <c r="AZ2342">
        <v>0</v>
      </c>
      <c r="BA2342" t="s">
        <v>176</v>
      </c>
      <c r="BB2342">
        <v>0</v>
      </c>
    </row>
    <row r="2343" spans="1:54" x14ac:dyDescent="0.15">
      <c r="A2343" s="4" t="str">
        <f>HYPERLINK("https://ibp.a2mac1.com/costing(costing:projects/details/9760/part/8416079)","Fixing parts&gt;Part 03")</f>
        <v>Fixing parts&gt;Part 03</v>
      </c>
      <c r="B2343">
        <v>8416079</v>
      </c>
      <c r="C2343">
        <v>8415760</v>
      </c>
      <c r="D2343" t="s">
        <v>5528</v>
      </c>
      <c r="E2343">
        <v>3.1604210000000001E-2</v>
      </c>
      <c r="F2343">
        <v>0</v>
      </c>
      <c r="G2343">
        <v>0</v>
      </c>
      <c r="H2343">
        <v>6.7242999999999999E-7</v>
      </c>
      <c r="I2343" t="s">
        <v>176</v>
      </c>
      <c r="J2343">
        <v>1.1767525E-3</v>
      </c>
      <c r="K2343">
        <v>3.2781634929999998E-2</v>
      </c>
      <c r="L2343">
        <v>2.8492779578256971E-3</v>
      </c>
      <c r="M2343">
        <v>1.7095667746954181E-2</v>
      </c>
      <c r="N2343">
        <v>4.9877302676954179E-2</v>
      </c>
      <c r="O2343" t="s">
        <v>90</v>
      </c>
      <c r="P2343">
        <v>0</v>
      </c>
      <c r="Q2343" t="s">
        <v>90</v>
      </c>
      <c r="R2343">
        <v>0</v>
      </c>
      <c r="S2343" t="s">
        <v>90</v>
      </c>
      <c r="T2343">
        <v>0</v>
      </c>
      <c r="U2343" t="s">
        <v>90</v>
      </c>
      <c r="V2343">
        <v>0</v>
      </c>
      <c r="W2343" t="s">
        <v>90</v>
      </c>
      <c r="X2343">
        <v>0</v>
      </c>
      <c r="Y2343">
        <v>4.9877302676954179E-2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K2343" t="s">
        <v>272</v>
      </c>
      <c r="AM2343">
        <v>200000</v>
      </c>
      <c r="AN2343" t="s">
        <v>73</v>
      </c>
      <c r="AO2343">
        <v>1</v>
      </c>
      <c r="AP2343">
        <v>0</v>
      </c>
      <c r="AQ2343">
        <v>16666.666666666668</v>
      </c>
      <c r="AR2343" t="s">
        <v>9</v>
      </c>
      <c r="AS2343" t="s">
        <v>75</v>
      </c>
      <c r="AX2343" t="s">
        <v>76</v>
      </c>
      <c r="AY2343" t="s">
        <v>176</v>
      </c>
      <c r="AZ2343">
        <v>0</v>
      </c>
      <c r="BA2343" t="s">
        <v>176</v>
      </c>
      <c r="BB2343">
        <v>0</v>
      </c>
    </row>
    <row r="2344" spans="1:54" x14ac:dyDescent="0.15">
      <c r="A2344" s="4" t="str">
        <f>HYPERLINK("https://ibp.a2mac1.com/costing(costing:projects/details/9760/part/8416080)","Panel&gt;Part 01 (single/main/front)")</f>
        <v>Panel&gt;Part 01 (single/main/front)</v>
      </c>
      <c r="B2344">
        <v>8416080</v>
      </c>
      <c r="C2344">
        <v>8415760</v>
      </c>
      <c r="D2344" t="s">
        <v>5528</v>
      </c>
      <c r="E2344">
        <v>1.4516388275000001</v>
      </c>
      <c r="F2344">
        <v>0</v>
      </c>
      <c r="G2344">
        <v>0</v>
      </c>
      <c r="H2344">
        <v>3.0885932500000001E-5</v>
      </c>
      <c r="I2344" t="s">
        <v>176</v>
      </c>
      <c r="J2344">
        <v>5.4050381874999998E-2</v>
      </c>
      <c r="K2344">
        <v>1.5057200953075001</v>
      </c>
      <c r="L2344">
        <v>6.65449612208818E-3</v>
      </c>
      <c r="M2344">
        <v>3.9926976732529075E-2</v>
      </c>
      <c r="N2344">
        <v>1.545647072040029</v>
      </c>
      <c r="O2344" t="s">
        <v>90</v>
      </c>
      <c r="P2344">
        <v>0</v>
      </c>
      <c r="Q2344" t="s">
        <v>90</v>
      </c>
      <c r="R2344">
        <v>0</v>
      </c>
      <c r="S2344" t="s">
        <v>90</v>
      </c>
      <c r="T2344">
        <v>0</v>
      </c>
      <c r="U2344" t="s">
        <v>90</v>
      </c>
      <c r="V2344">
        <v>0</v>
      </c>
      <c r="W2344" t="s">
        <v>90</v>
      </c>
      <c r="X2344">
        <v>0</v>
      </c>
      <c r="Y2344">
        <v>1.545647072040029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K2344" t="s">
        <v>272</v>
      </c>
      <c r="AM2344">
        <v>200000</v>
      </c>
      <c r="AN2344" t="s">
        <v>73</v>
      </c>
      <c r="AO2344">
        <v>1</v>
      </c>
      <c r="AP2344">
        <v>0</v>
      </c>
      <c r="AQ2344">
        <v>16666.666666666668</v>
      </c>
      <c r="AR2344" t="s">
        <v>9</v>
      </c>
      <c r="AS2344" t="s">
        <v>75</v>
      </c>
      <c r="AX2344" t="s">
        <v>76</v>
      </c>
      <c r="AY2344" t="s">
        <v>176</v>
      </c>
      <c r="AZ2344">
        <v>0</v>
      </c>
      <c r="BA2344" t="s">
        <v>176</v>
      </c>
      <c r="BB2344">
        <v>0</v>
      </c>
    </row>
    <row r="2345" spans="1:54" x14ac:dyDescent="0.15">
      <c r="A2345" s="4" t="str">
        <f>HYPERLINK("https://ibp.a2mac1.com/costing(costing:projects/details/9760/part/8416081)","Panel&gt;Part 02")</f>
        <v>Panel&gt;Part 02</v>
      </c>
      <c r="B2345">
        <v>8416081</v>
      </c>
      <c r="C2345">
        <v>8415761</v>
      </c>
      <c r="D2345" t="s">
        <v>5528</v>
      </c>
      <c r="E2345">
        <v>0.64932285999999995</v>
      </c>
      <c r="F2345">
        <v>0</v>
      </c>
      <c r="G2345">
        <v>0</v>
      </c>
      <c r="H2345">
        <v>1.381538E-5</v>
      </c>
      <c r="I2345" t="s">
        <v>176</v>
      </c>
      <c r="J2345">
        <v>2.4176915E-2</v>
      </c>
      <c r="K2345">
        <v>0.67351359038000003</v>
      </c>
      <c r="L2345">
        <v>5.9677817437074794E-3</v>
      </c>
      <c r="M2345">
        <v>3.5806690462244876E-2</v>
      </c>
      <c r="N2345">
        <v>0.70932028084224485</v>
      </c>
      <c r="O2345" t="s">
        <v>90</v>
      </c>
      <c r="P2345">
        <v>0</v>
      </c>
      <c r="Q2345" t="s">
        <v>90</v>
      </c>
      <c r="R2345">
        <v>0</v>
      </c>
      <c r="S2345" t="s">
        <v>90</v>
      </c>
      <c r="T2345">
        <v>0</v>
      </c>
      <c r="U2345" t="s">
        <v>90</v>
      </c>
      <c r="V2345">
        <v>0</v>
      </c>
      <c r="W2345" t="s">
        <v>90</v>
      </c>
      <c r="X2345">
        <v>0</v>
      </c>
      <c r="Y2345">
        <v>0.70932028084224485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K2345" t="s">
        <v>272</v>
      </c>
      <c r="AM2345">
        <v>200000</v>
      </c>
      <c r="AN2345" t="s">
        <v>73</v>
      </c>
      <c r="AO2345">
        <v>1</v>
      </c>
      <c r="AP2345">
        <v>0</v>
      </c>
      <c r="AQ2345">
        <v>16666.666666666668</v>
      </c>
      <c r="AR2345" t="s">
        <v>9</v>
      </c>
      <c r="AS2345" t="s">
        <v>75</v>
      </c>
      <c r="AX2345" t="s">
        <v>76</v>
      </c>
      <c r="AY2345" t="s">
        <v>176</v>
      </c>
      <c r="AZ2345">
        <v>0</v>
      </c>
      <c r="BA2345" t="s">
        <v>176</v>
      </c>
      <c r="BB2345">
        <v>0</v>
      </c>
    </row>
    <row r="2346" spans="1:54" x14ac:dyDescent="0.15">
      <c r="A2346" s="4" t="str">
        <f>HYPERLINK("https://ibp.a2mac1.com/costing(costing:projects/details/9760/part/8416082)","Reinforcements&gt;Part 01 (single/main)")</f>
        <v>Reinforcements&gt;Part 01 (single/main)</v>
      </c>
      <c r="B2346">
        <v>8416082</v>
      </c>
      <c r="C2346">
        <v>8415761</v>
      </c>
      <c r="D2346" t="s">
        <v>5528</v>
      </c>
      <c r="E2346">
        <v>0.20111770000000001</v>
      </c>
      <c r="F2346">
        <v>0</v>
      </c>
      <c r="G2346">
        <v>0</v>
      </c>
      <c r="H2346">
        <v>4.2791000000000002E-6</v>
      </c>
      <c r="I2346" t="s">
        <v>176</v>
      </c>
      <c r="J2346">
        <v>7.4884249999999999E-3</v>
      </c>
      <c r="K2346">
        <v>0.20861040410000001</v>
      </c>
      <c r="L2346">
        <v>4.787815421796216E-3</v>
      </c>
      <c r="M2346">
        <v>2.8726892530777298E-2</v>
      </c>
      <c r="N2346">
        <v>0.23733729663077729</v>
      </c>
      <c r="O2346" t="s">
        <v>90</v>
      </c>
      <c r="P2346">
        <v>0</v>
      </c>
      <c r="Q2346" t="s">
        <v>90</v>
      </c>
      <c r="R2346">
        <v>0</v>
      </c>
      <c r="S2346" t="s">
        <v>90</v>
      </c>
      <c r="T2346">
        <v>0</v>
      </c>
      <c r="U2346" t="s">
        <v>90</v>
      </c>
      <c r="V2346">
        <v>0</v>
      </c>
      <c r="W2346" t="s">
        <v>90</v>
      </c>
      <c r="X2346">
        <v>0</v>
      </c>
      <c r="Y2346">
        <v>0.23733729663077729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K2346" t="s">
        <v>272</v>
      </c>
      <c r="AM2346">
        <v>200000</v>
      </c>
      <c r="AN2346" t="s">
        <v>73</v>
      </c>
      <c r="AO2346">
        <v>1</v>
      </c>
      <c r="AP2346">
        <v>0</v>
      </c>
      <c r="AQ2346">
        <v>16666.666666666668</v>
      </c>
      <c r="AR2346" t="s">
        <v>9</v>
      </c>
      <c r="AS2346" t="s">
        <v>75</v>
      </c>
      <c r="AX2346" t="s">
        <v>76</v>
      </c>
      <c r="AY2346" t="s">
        <v>176</v>
      </c>
      <c r="AZ2346">
        <v>0</v>
      </c>
      <c r="BA2346" t="s">
        <v>176</v>
      </c>
      <c r="BB2346">
        <v>0</v>
      </c>
    </row>
    <row r="2347" spans="1:54" x14ac:dyDescent="0.15">
      <c r="A2347" s="4" t="str">
        <f>HYPERLINK("https://ibp.a2mac1.com/costing(costing:projects/details/9760/part/8416083)","Reinforcements&gt;Part 02")</f>
        <v>Reinforcements&gt;Part 02</v>
      </c>
      <c r="B2347">
        <v>8416083</v>
      </c>
      <c r="C2347">
        <v>8415761</v>
      </c>
      <c r="D2347" t="s">
        <v>5528</v>
      </c>
      <c r="E2347">
        <v>9.3376075000000003E-2</v>
      </c>
      <c r="F2347">
        <v>0</v>
      </c>
      <c r="G2347">
        <v>0</v>
      </c>
      <c r="H2347">
        <v>1.986725E-6</v>
      </c>
      <c r="I2347" t="s">
        <v>176</v>
      </c>
      <c r="J2347">
        <v>3.4767687499999999E-3</v>
      </c>
      <c r="K2347">
        <v>9.6854830475000001E-2</v>
      </c>
      <c r="L2347">
        <v>4.9079754834314279E-3</v>
      </c>
      <c r="M2347">
        <v>2.9447852900588566E-2</v>
      </c>
      <c r="N2347">
        <v>0.12630268337558856</v>
      </c>
      <c r="O2347" t="s">
        <v>90</v>
      </c>
      <c r="P2347">
        <v>0</v>
      </c>
      <c r="Q2347" t="s">
        <v>90</v>
      </c>
      <c r="R2347">
        <v>0</v>
      </c>
      <c r="S2347" t="s">
        <v>90</v>
      </c>
      <c r="T2347">
        <v>0</v>
      </c>
      <c r="U2347" t="s">
        <v>90</v>
      </c>
      <c r="V2347">
        <v>0</v>
      </c>
      <c r="W2347" t="s">
        <v>90</v>
      </c>
      <c r="X2347">
        <v>0</v>
      </c>
      <c r="Y2347">
        <v>0.12630268337558856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K2347" t="s">
        <v>272</v>
      </c>
      <c r="AM2347">
        <v>200000</v>
      </c>
      <c r="AN2347" t="s">
        <v>73</v>
      </c>
      <c r="AO2347">
        <v>1</v>
      </c>
      <c r="AP2347">
        <v>0</v>
      </c>
      <c r="AQ2347">
        <v>16666.666666666668</v>
      </c>
      <c r="AR2347" t="s">
        <v>9</v>
      </c>
      <c r="AS2347" t="s">
        <v>75</v>
      </c>
      <c r="AX2347" t="s">
        <v>76</v>
      </c>
      <c r="AY2347" t="s">
        <v>176</v>
      </c>
      <c r="AZ2347">
        <v>0</v>
      </c>
      <c r="BA2347" t="s">
        <v>176</v>
      </c>
      <c r="BB2347">
        <v>0</v>
      </c>
    </row>
    <row r="2348" spans="1:54" x14ac:dyDescent="0.15">
      <c r="A2348" s="4" t="str">
        <f>HYPERLINK("https://ibp.a2mac1.com/costing(costing:projects/details/9760/part/8416084)","Fixing parts&gt;Part 01 (single/main)")</f>
        <v>Fixing parts&gt;Part 01 (single/main)</v>
      </c>
      <c r="B2348">
        <v>8416084</v>
      </c>
      <c r="C2348">
        <v>8415761</v>
      </c>
      <c r="D2348" t="s">
        <v>5528</v>
      </c>
      <c r="E2348">
        <v>1.8675214999999998E-2</v>
      </c>
      <c r="F2348">
        <v>0</v>
      </c>
      <c r="G2348">
        <v>0</v>
      </c>
      <c r="H2348">
        <v>3.9734500000000002E-7</v>
      </c>
      <c r="I2348" t="s">
        <v>176</v>
      </c>
      <c r="J2348">
        <v>6.9535375000000005E-4</v>
      </c>
      <c r="K2348">
        <v>1.9370966095000001E-2</v>
      </c>
      <c r="L2348">
        <v>2.8492779578256971E-3</v>
      </c>
      <c r="M2348">
        <v>1.7095667746954181E-2</v>
      </c>
      <c r="N2348">
        <v>3.6466633841954178E-2</v>
      </c>
      <c r="O2348" t="s">
        <v>90</v>
      </c>
      <c r="P2348">
        <v>0</v>
      </c>
      <c r="Q2348" t="s">
        <v>90</v>
      </c>
      <c r="R2348">
        <v>0</v>
      </c>
      <c r="S2348" t="s">
        <v>90</v>
      </c>
      <c r="T2348">
        <v>0</v>
      </c>
      <c r="U2348" t="s">
        <v>90</v>
      </c>
      <c r="V2348">
        <v>0</v>
      </c>
      <c r="W2348" t="s">
        <v>90</v>
      </c>
      <c r="X2348">
        <v>0</v>
      </c>
      <c r="Y2348">
        <v>3.6466633841954178E-2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K2348" t="s">
        <v>272</v>
      </c>
      <c r="AM2348">
        <v>200000</v>
      </c>
      <c r="AN2348" t="s">
        <v>73</v>
      </c>
      <c r="AO2348">
        <v>1</v>
      </c>
      <c r="AP2348">
        <v>0</v>
      </c>
      <c r="AQ2348">
        <v>16666.666666666668</v>
      </c>
      <c r="AR2348" t="s">
        <v>9</v>
      </c>
      <c r="AS2348" t="s">
        <v>75</v>
      </c>
      <c r="AX2348" t="s">
        <v>76</v>
      </c>
      <c r="AY2348" t="s">
        <v>176</v>
      </c>
      <c r="AZ2348">
        <v>0</v>
      </c>
      <c r="BA2348" t="s">
        <v>176</v>
      </c>
      <c r="BB2348">
        <v>0</v>
      </c>
    </row>
    <row r="2349" spans="1:54" x14ac:dyDescent="0.15">
      <c r="A2349" s="4" t="str">
        <f>HYPERLINK("https://ibp.a2mac1.com/costing(costing:projects/details/9760/part/8416085)","Fixing parts&gt;Part 02")</f>
        <v>Fixing parts&gt;Part 02</v>
      </c>
      <c r="B2349">
        <v>8416085</v>
      </c>
      <c r="C2349">
        <v>8415761</v>
      </c>
      <c r="D2349" t="s">
        <v>5528</v>
      </c>
      <c r="E2349">
        <v>0.1098964575</v>
      </c>
      <c r="F2349">
        <v>0</v>
      </c>
      <c r="G2349">
        <v>0</v>
      </c>
      <c r="H2349">
        <v>2.3382225000000002E-6</v>
      </c>
      <c r="I2349" t="s">
        <v>176</v>
      </c>
      <c r="J2349">
        <v>4.0918893750000003E-3</v>
      </c>
      <c r="K2349">
        <v>0.1139906850975</v>
      </c>
      <c r="L2349">
        <v>4.3658469829901307E-3</v>
      </c>
      <c r="M2349">
        <v>2.6195081897940786E-2</v>
      </c>
      <c r="N2349">
        <v>0.14018576699544077</v>
      </c>
      <c r="O2349" t="s">
        <v>90</v>
      </c>
      <c r="P2349">
        <v>0</v>
      </c>
      <c r="Q2349" t="s">
        <v>90</v>
      </c>
      <c r="R2349">
        <v>0</v>
      </c>
      <c r="S2349" t="s">
        <v>90</v>
      </c>
      <c r="T2349">
        <v>0</v>
      </c>
      <c r="U2349" t="s">
        <v>90</v>
      </c>
      <c r="V2349">
        <v>0</v>
      </c>
      <c r="W2349" t="s">
        <v>90</v>
      </c>
      <c r="X2349">
        <v>0</v>
      </c>
      <c r="Y2349">
        <v>0.14018576699544077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K2349" t="s">
        <v>272</v>
      </c>
      <c r="AM2349">
        <v>200000</v>
      </c>
      <c r="AN2349" t="s">
        <v>73</v>
      </c>
      <c r="AO2349">
        <v>1</v>
      </c>
      <c r="AP2349">
        <v>0</v>
      </c>
      <c r="AQ2349">
        <v>16666.666666666668</v>
      </c>
      <c r="AR2349" t="s">
        <v>9</v>
      </c>
      <c r="AS2349" t="s">
        <v>75</v>
      </c>
      <c r="AX2349" t="s">
        <v>76</v>
      </c>
      <c r="AY2349" t="s">
        <v>176</v>
      </c>
      <c r="AZ2349">
        <v>0</v>
      </c>
      <c r="BA2349" t="s">
        <v>176</v>
      </c>
      <c r="BB2349">
        <v>0</v>
      </c>
    </row>
    <row r="2350" spans="1:54" x14ac:dyDescent="0.15">
      <c r="A2350" s="4" t="str">
        <f>HYPERLINK("https://ibp.a2mac1.com/costing(costing:projects/details/9760/part/8416086)","Fixing parts&gt;Part 03")</f>
        <v>Fixing parts&gt;Part 03</v>
      </c>
      <c r="B2350">
        <v>8416086</v>
      </c>
      <c r="C2350">
        <v>8415761</v>
      </c>
      <c r="D2350" t="s">
        <v>5528</v>
      </c>
      <c r="E2350">
        <v>3.1604210000000001E-2</v>
      </c>
      <c r="F2350">
        <v>0</v>
      </c>
      <c r="G2350">
        <v>0</v>
      </c>
      <c r="H2350">
        <v>6.7242999999999999E-7</v>
      </c>
      <c r="I2350" t="s">
        <v>176</v>
      </c>
      <c r="J2350">
        <v>1.1767525E-3</v>
      </c>
      <c r="K2350">
        <v>3.2781634929999998E-2</v>
      </c>
      <c r="L2350">
        <v>2.8492779578256971E-3</v>
      </c>
      <c r="M2350">
        <v>1.7095667746954181E-2</v>
      </c>
      <c r="N2350">
        <v>4.9877302676954179E-2</v>
      </c>
      <c r="O2350" t="s">
        <v>90</v>
      </c>
      <c r="P2350">
        <v>0</v>
      </c>
      <c r="Q2350" t="s">
        <v>90</v>
      </c>
      <c r="R2350">
        <v>0</v>
      </c>
      <c r="S2350" t="s">
        <v>90</v>
      </c>
      <c r="T2350">
        <v>0</v>
      </c>
      <c r="U2350" t="s">
        <v>90</v>
      </c>
      <c r="V2350">
        <v>0</v>
      </c>
      <c r="W2350" t="s">
        <v>90</v>
      </c>
      <c r="X2350">
        <v>0</v>
      </c>
      <c r="Y2350">
        <v>4.9877302676954179E-2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K2350" t="s">
        <v>272</v>
      </c>
      <c r="AM2350">
        <v>200000</v>
      </c>
      <c r="AN2350" t="s">
        <v>73</v>
      </c>
      <c r="AO2350">
        <v>1</v>
      </c>
      <c r="AP2350">
        <v>0</v>
      </c>
      <c r="AQ2350">
        <v>16666.666666666668</v>
      </c>
      <c r="AR2350" t="s">
        <v>9</v>
      </c>
      <c r="AS2350" t="s">
        <v>75</v>
      </c>
      <c r="AX2350" t="s">
        <v>76</v>
      </c>
      <c r="AY2350" t="s">
        <v>176</v>
      </c>
      <c r="AZ2350">
        <v>0</v>
      </c>
      <c r="BA2350" t="s">
        <v>176</v>
      </c>
      <c r="BB2350">
        <v>0</v>
      </c>
    </row>
    <row r="2351" spans="1:54" x14ac:dyDescent="0.15">
      <c r="A2351" s="4" t="str">
        <f>HYPERLINK("https://ibp.a2mac1.com/costing(costing:projects/details/9760/part/8416087)","Panel&gt;Part 01 (single/main/front)")</f>
        <v>Panel&gt;Part 01 (single/main/front)</v>
      </c>
      <c r="B2351">
        <v>8416087</v>
      </c>
      <c r="C2351">
        <v>8415761</v>
      </c>
      <c r="D2351" t="s">
        <v>5528</v>
      </c>
      <c r="E2351">
        <v>1.4516388275000001</v>
      </c>
      <c r="F2351">
        <v>0</v>
      </c>
      <c r="G2351">
        <v>0</v>
      </c>
      <c r="H2351">
        <v>3.0885932500000001E-5</v>
      </c>
      <c r="I2351" t="s">
        <v>176</v>
      </c>
      <c r="J2351">
        <v>5.4050381874999998E-2</v>
      </c>
      <c r="K2351">
        <v>1.5057200953075001</v>
      </c>
      <c r="L2351">
        <v>6.65449612208818E-3</v>
      </c>
      <c r="M2351">
        <v>3.9926976732529075E-2</v>
      </c>
      <c r="N2351">
        <v>1.545647072040029</v>
      </c>
      <c r="O2351" t="s">
        <v>90</v>
      </c>
      <c r="P2351">
        <v>0</v>
      </c>
      <c r="Q2351" t="s">
        <v>90</v>
      </c>
      <c r="R2351">
        <v>0</v>
      </c>
      <c r="S2351" t="s">
        <v>90</v>
      </c>
      <c r="T2351">
        <v>0</v>
      </c>
      <c r="U2351" t="s">
        <v>90</v>
      </c>
      <c r="V2351">
        <v>0</v>
      </c>
      <c r="W2351" t="s">
        <v>90</v>
      </c>
      <c r="X2351">
        <v>0</v>
      </c>
      <c r="Y2351">
        <v>1.545647072040029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K2351" t="s">
        <v>272</v>
      </c>
      <c r="AM2351">
        <v>200000</v>
      </c>
      <c r="AN2351" t="s">
        <v>73</v>
      </c>
      <c r="AO2351">
        <v>1</v>
      </c>
      <c r="AP2351">
        <v>0</v>
      </c>
      <c r="AQ2351">
        <v>16666.666666666668</v>
      </c>
      <c r="AR2351" t="s">
        <v>9</v>
      </c>
      <c r="AS2351" t="s">
        <v>75</v>
      </c>
      <c r="AX2351" t="s">
        <v>76</v>
      </c>
      <c r="AY2351" t="s">
        <v>176</v>
      </c>
      <c r="AZ2351">
        <v>0</v>
      </c>
      <c r="BA2351" t="s">
        <v>176</v>
      </c>
      <c r="BB2351">
        <v>0</v>
      </c>
    </row>
    <row r="2352" spans="1:54" x14ac:dyDescent="0.15">
      <c r="A2352" s="4" t="str">
        <f>HYPERLINK("https://ibp.a2mac1.com/costing(costing:projects/details/9760/part/8416088)","&gt;Bolt-on parts&gt;Bolt-on panels&gt;Fender&gt;Brackets&gt;Part 01 (single/main)")</f>
        <v>&gt;Bolt-on parts&gt;Bolt-on panels&gt;Fender&gt;Brackets&gt;Part 01 (single/main)</v>
      </c>
      <c r="B2352">
        <v>8416088</v>
      </c>
      <c r="C2352">
        <v>8415762</v>
      </c>
      <c r="D2352" t="s">
        <v>5528</v>
      </c>
      <c r="E2352">
        <v>0.13503617000000001</v>
      </c>
      <c r="F2352">
        <v>0</v>
      </c>
      <c r="G2352">
        <v>0</v>
      </c>
      <c r="H2352">
        <v>2.8731099999999999E-6</v>
      </c>
      <c r="I2352" t="s">
        <v>176</v>
      </c>
      <c r="J2352">
        <v>5.0279425000000003E-3</v>
      </c>
      <c r="K2352">
        <v>0.14006698561</v>
      </c>
      <c r="L2352">
        <v>4.9079754834314279E-3</v>
      </c>
      <c r="M2352">
        <v>2.9447852900588566E-2</v>
      </c>
      <c r="N2352">
        <v>0.16951483851058857</v>
      </c>
      <c r="O2352" t="s">
        <v>90</v>
      </c>
      <c r="P2352">
        <v>0</v>
      </c>
      <c r="Q2352" t="s">
        <v>90</v>
      </c>
      <c r="R2352">
        <v>0</v>
      </c>
      <c r="S2352" t="s">
        <v>90</v>
      </c>
      <c r="T2352">
        <v>0</v>
      </c>
      <c r="U2352" t="s">
        <v>90</v>
      </c>
      <c r="V2352">
        <v>0</v>
      </c>
      <c r="W2352" t="s">
        <v>90</v>
      </c>
      <c r="X2352">
        <v>0</v>
      </c>
      <c r="Y2352">
        <v>0.16951483851058857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K2352" t="s">
        <v>272</v>
      </c>
      <c r="AM2352">
        <v>200000</v>
      </c>
      <c r="AN2352" t="s">
        <v>73</v>
      </c>
      <c r="AO2352">
        <v>1</v>
      </c>
      <c r="AP2352">
        <v>0</v>
      </c>
      <c r="AQ2352">
        <v>16666.666666666668</v>
      </c>
      <c r="AR2352" t="s">
        <v>9</v>
      </c>
      <c r="AS2352" t="s">
        <v>75</v>
      </c>
      <c r="AX2352" t="s">
        <v>76</v>
      </c>
      <c r="AY2352" t="s">
        <v>176</v>
      </c>
      <c r="AZ2352">
        <v>0</v>
      </c>
      <c r="BA2352" t="s">
        <v>176</v>
      </c>
      <c r="BB2352">
        <v>0</v>
      </c>
    </row>
    <row r="2353" spans="1:54" x14ac:dyDescent="0.15">
      <c r="A2353" s="4" t="str">
        <f>HYPERLINK("https://ibp.a2mac1.com/costing(costing:projects/details/9760/part/8416089)","&gt;Bolt-on parts&gt;Bolt-on panels&gt;Fender&gt;Fixing parts&gt;Part 04")</f>
        <v>&gt;Bolt-on parts&gt;Bolt-on panels&gt;Fender&gt;Fixing parts&gt;Part 04</v>
      </c>
      <c r="B2353">
        <v>8416089</v>
      </c>
      <c r="C2353">
        <v>8415762</v>
      </c>
      <c r="D2353" t="s">
        <v>5528</v>
      </c>
      <c r="E2353">
        <v>1.436555E-2</v>
      </c>
      <c r="F2353">
        <v>0</v>
      </c>
      <c r="G2353">
        <v>0</v>
      </c>
      <c r="H2353">
        <v>3.0564999999999999E-7</v>
      </c>
      <c r="I2353" t="s">
        <v>176</v>
      </c>
      <c r="J2353">
        <v>5.3488750000000001E-4</v>
      </c>
      <c r="K2353">
        <v>1.490074315E-2</v>
      </c>
      <c r="L2353">
        <v>2.8492779578256971E-3</v>
      </c>
      <c r="M2353">
        <v>1.7095667746954181E-2</v>
      </c>
      <c r="N2353">
        <v>3.1996410896954181E-2</v>
      </c>
      <c r="O2353" t="s">
        <v>90</v>
      </c>
      <c r="P2353">
        <v>0</v>
      </c>
      <c r="Q2353" t="s">
        <v>90</v>
      </c>
      <c r="R2353">
        <v>0</v>
      </c>
      <c r="S2353" t="s">
        <v>90</v>
      </c>
      <c r="T2353">
        <v>0</v>
      </c>
      <c r="U2353" t="s">
        <v>90</v>
      </c>
      <c r="V2353">
        <v>0</v>
      </c>
      <c r="W2353" t="s">
        <v>90</v>
      </c>
      <c r="X2353">
        <v>0</v>
      </c>
      <c r="Y2353">
        <v>3.1996410896954181E-2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K2353" t="s">
        <v>272</v>
      </c>
      <c r="AM2353">
        <v>200000</v>
      </c>
      <c r="AN2353" t="s">
        <v>73</v>
      </c>
      <c r="AO2353">
        <v>1</v>
      </c>
      <c r="AP2353">
        <v>0</v>
      </c>
      <c r="AQ2353">
        <v>16666.666666666668</v>
      </c>
      <c r="AR2353" t="s">
        <v>9</v>
      </c>
      <c r="AS2353" t="s">
        <v>75</v>
      </c>
      <c r="AX2353" t="s">
        <v>76</v>
      </c>
      <c r="AY2353" t="s">
        <v>176</v>
      </c>
      <c r="AZ2353">
        <v>0</v>
      </c>
      <c r="BA2353" t="s">
        <v>176</v>
      </c>
      <c r="BB2353">
        <v>0</v>
      </c>
    </row>
    <row r="2354" spans="1:54" x14ac:dyDescent="0.15">
      <c r="A2354" s="4" t="str">
        <f>HYPERLINK("https://ibp.a2mac1.com/costing(costing:projects/details/9760/part/8416090)","&gt;Bolt-on parts&gt;Bolt-on panels&gt;Fender&gt;Brackets&gt;Part 01 (single/main)")</f>
        <v>&gt;Bolt-on parts&gt;Bolt-on panels&gt;Fender&gt;Brackets&gt;Part 01 (single/main)</v>
      </c>
      <c r="B2354">
        <v>8416090</v>
      </c>
      <c r="C2354">
        <v>8415763</v>
      </c>
      <c r="D2354" t="s">
        <v>5528</v>
      </c>
      <c r="E2354">
        <v>0.13503617000000001</v>
      </c>
      <c r="F2354">
        <v>0</v>
      </c>
      <c r="G2354">
        <v>0</v>
      </c>
      <c r="H2354">
        <v>2.8731099999999999E-6</v>
      </c>
      <c r="I2354" t="s">
        <v>176</v>
      </c>
      <c r="J2354">
        <v>5.0279425000000003E-3</v>
      </c>
      <c r="K2354">
        <v>0.14006698561</v>
      </c>
      <c r="L2354">
        <v>4.9079754834314279E-3</v>
      </c>
      <c r="M2354">
        <v>2.9447852900588566E-2</v>
      </c>
      <c r="N2354">
        <v>0.16951483851058857</v>
      </c>
      <c r="O2354" t="s">
        <v>90</v>
      </c>
      <c r="P2354">
        <v>0</v>
      </c>
      <c r="Q2354" t="s">
        <v>90</v>
      </c>
      <c r="R2354">
        <v>0</v>
      </c>
      <c r="S2354" t="s">
        <v>90</v>
      </c>
      <c r="T2354">
        <v>0</v>
      </c>
      <c r="U2354" t="s">
        <v>90</v>
      </c>
      <c r="V2354">
        <v>0</v>
      </c>
      <c r="W2354" t="s">
        <v>90</v>
      </c>
      <c r="X2354">
        <v>0</v>
      </c>
      <c r="Y2354">
        <v>0.16951483851058857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K2354" t="s">
        <v>272</v>
      </c>
      <c r="AM2354">
        <v>200000</v>
      </c>
      <c r="AN2354" t="s">
        <v>73</v>
      </c>
      <c r="AO2354">
        <v>1</v>
      </c>
      <c r="AP2354">
        <v>0</v>
      </c>
      <c r="AQ2354">
        <v>16666.666666666668</v>
      </c>
      <c r="AR2354" t="s">
        <v>9</v>
      </c>
      <c r="AS2354" t="s">
        <v>75</v>
      </c>
      <c r="AX2354" t="s">
        <v>76</v>
      </c>
      <c r="AY2354" t="s">
        <v>176</v>
      </c>
      <c r="AZ2354">
        <v>0</v>
      </c>
      <c r="BA2354" t="s">
        <v>176</v>
      </c>
      <c r="BB2354">
        <v>0</v>
      </c>
    </row>
    <row r="2355" spans="1:54" x14ac:dyDescent="0.15">
      <c r="A2355" s="4" t="str">
        <f>HYPERLINK("https://ibp.a2mac1.com/costing(costing:projects/details/9760/part/8416091)","&gt;Bolt-on parts&gt;Bolt-on panels&gt;Fender&gt;Fixing parts&gt;Part 04")</f>
        <v>&gt;Bolt-on parts&gt;Bolt-on panels&gt;Fender&gt;Fixing parts&gt;Part 04</v>
      </c>
      <c r="B2355">
        <v>8416091</v>
      </c>
      <c r="C2355">
        <v>8415763</v>
      </c>
      <c r="D2355" t="s">
        <v>5528</v>
      </c>
      <c r="E2355">
        <v>1.436555E-2</v>
      </c>
      <c r="F2355">
        <v>0</v>
      </c>
      <c r="G2355">
        <v>0</v>
      </c>
      <c r="H2355">
        <v>3.0564999999999999E-7</v>
      </c>
      <c r="I2355" t="s">
        <v>176</v>
      </c>
      <c r="J2355">
        <v>5.3488750000000001E-4</v>
      </c>
      <c r="K2355">
        <v>1.490074315E-2</v>
      </c>
      <c r="L2355">
        <v>2.8492779578256971E-3</v>
      </c>
      <c r="M2355">
        <v>1.7095667746954181E-2</v>
      </c>
      <c r="N2355">
        <v>3.1996410896954181E-2</v>
      </c>
      <c r="O2355" t="s">
        <v>90</v>
      </c>
      <c r="P2355">
        <v>0</v>
      </c>
      <c r="Q2355" t="s">
        <v>90</v>
      </c>
      <c r="R2355">
        <v>0</v>
      </c>
      <c r="S2355" t="s">
        <v>90</v>
      </c>
      <c r="T2355">
        <v>0</v>
      </c>
      <c r="U2355" t="s">
        <v>90</v>
      </c>
      <c r="V2355">
        <v>0</v>
      </c>
      <c r="W2355" t="s">
        <v>90</v>
      </c>
      <c r="X2355">
        <v>0</v>
      </c>
      <c r="Y2355">
        <v>3.1996410896954181E-2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K2355" t="s">
        <v>272</v>
      </c>
      <c r="AM2355">
        <v>200000</v>
      </c>
      <c r="AN2355" t="s">
        <v>73</v>
      </c>
      <c r="AO2355">
        <v>1</v>
      </c>
      <c r="AP2355">
        <v>0</v>
      </c>
      <c r="AQ2355">
        <v>16666.666666666668</v>
      </c>
      <c r="AR2355" t="s">
        <v>9</v>
      </c>
      <c r="AS2355" t="s">
        <v>75</v>
      </c>
      <c r="AX2355" t="s">
        <v>76</v>
      </c>
      <c r="AY2355" t="s">
        <v>176</v>
      </c>
      <c r="AZ2355">
        <v>0</v>
      </c>
      <c r="BA2355" t="s">
        <v>176</v>
      </c>
      <c r="BB2355">
        <v>0</v>
      </c>
    </row>
    <row r="2356" spans="1:54" x14ac:dyDescent="0.15">
      <c r="A2356" s="4" t="str">
        <f>HYPERLINK("https://ibp.a2mac1.com/costing(costing:projects/details/9760/part/8415764)","Trim Bezels")</f>
        <v>Trim Bezels</v>
      </c>
      <c r="B2356">
        <v>8415764</v>
      </c>
      <c r="C2356">
        <v>8415607</v>
      </c>
      <c r="D2356" t="s">
        <v>8315</v>
      </c>
      <c r="E2356">
        <v>0.32473023476288659</v>
      </c>
      <c r="F2356">
        <v>0</v>
      </c>
      <c r="G2356">
        <v>0</v>
      </c>
      <c r="H2356">
        <v>6.6019266556701034E-4</v>
      </c>
      <c r="I2356" t="s">
        <v>176</v>
      </c>
      <c r="J2356">
        <v>1.1382632164948454E-2</v>
      </c>
      <c r="K2356">
        <v>0.33677305959340204</v>
      </c>
      <c r="L2356">
        <v>5.425720522949376E-2</v>
      </c>
      <c r="M2356">
        <v>0.32554323137696256</v>
      </c>
      <c r="N2356">
        <v>0.6623162909703646</v>
      </c>
      <c r="O2356" t="s">
        <v>177</v>
      </c>
      <c r="P2356">
        <v>2.0206383575604125E-2</v>
      </c>
      <c r="Q2356" t="s">
        <v>177</v>
      </c>
      <c r="R2356">
        <v>1.9532593882617754E-2</v>
      </c>
      <c r="S2356" t="s">
        <v>178</v>
      </c>
      <c r="T2356">
        <v>7.9477954916443758E-2</v>
      </c>
      <c r="U2356" t="s">
        <v>90</v>
      </c>
      <c r="V2356">
        <v>0</v>
      </c>
      <c r="W2356" t="s">
        <v>90</v>
      </c>
      <c r="X2356">
        <v>0</v>
      </c>
      <c r="Y2356">
        <v>0.78153322334503028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50</v>
      </c>
      <c r="AF2356">
        <v>306</v>
      </c>
      <c r="AG2356">
        <v>84</v>
      </c>
      <c r="AI2356">
        <v>0.19800000000000001</v>
      </c>
      <c r="AK2356" t="s">
        <v>5370</v>
      </c>
      <c r="AL2356" t="s">
        <v>951</v>
      </c>
      <c r="AM2356">
        <v>400000</v>
      </c>
      <c r="AN2356" t="s">
        <v>97</v>
      </c>
      <c r="AO2356">
        <v>2</v>
      </c>
      <c r="AP2356">
        <v>0</v>
      </c>
      <c r="AQ2356">
        <v>33333.333333333336</v>
      </c>
      <c r="AR2356" t="s">
        <v>8316</v>
      </c>
      <c r="AS2356" t="s">
        <v>75</v>
      </c>
      <c r="AX2356" t="s">
        <v>76</v>
      </c>
      <c r="AY2356" t="s">
        <v>176</v>
      </c>
      <c r="AZ2356">
        <v>0</v>
      </c>
      <c r="BA2356" t="s">
        <v>176</v>
      </c>
      <c r="BB2356">
        <v>0</v>
      </c>
    </row>
    <row r="2357" spans="1:54" x14ac:dyDescent="0.15">
      <c r="A2357" s="4" t="str">
        <f>HYPERLINK("https://ibp.a2mac1.com/costing(costing:projects/details/9760/part/8415765)","Rear Covers")</f>
        <v>Rear Covers</v>
      </c>
      <c r="B2357">
        <v>8415765</v>
      </c>
      <c r="C2357">
        <v>8415607</v>
      </c>
      <c r="D2357" t="s">
        <v>8315</v>
      </c>
      <c r="E2357">
        <v>0.3903354522989691</v>
      </c>
      <c r="F2357">
        <v>0</v>
      </c>
      <c r="G2357">
        <v>0</v>
      </c>
      <c r="H2357">
        <v>7.9357132515463918E-4</v>
      </c>
      <c r="I2357" t="s">
        <v>176</v>
      </c>
      <c r="J2357">
        <v>1.3682264226804124E-2</v>
      </c>
      <c r="K2357">
        <v>0.40481128785092785</v>
      </c>
      <c r="L2357">
        <v>4.6290769512474426E-2</v>
      </c>
      <c r="M2357">
        <v>0.27774461707484654</v>
      </c>
      <c r="N2357">
        <v>0.68255590492577434</v>
      </c>
      <c r="O2357" t="s">
        <v>177</v>
      </c>
      <c r="P2357">
        <v>2.4288677271055669E-2</v>
      </c>
      <c r="Q2357" t="s">
        <v>177</v>
      </c>
      <c r="R2357">
        <v>1.6664677024490794E-2</v>
      </c>
      <c r="S2357" t="s">
        <v>178</v>
      </c>
      <c r="T2357">
        <v>8.1906708591092919E-2</v>
      </c>
      <c r="U2357" t="s">
        <v>90</v>
      </c>
      <c r="V2357">
        <v>0</v>
      </c>
      <c r="W2357" t="s">
        <v>90</v>
      </c>
      <c r="X2357">
        <v>0</v>
      </c>
      <c r="Y2357">
        <v>0.80541596781241376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400</v>
      </c>
      <c r="AF2357">
        <v>125</v>
      </c>
      <c r="AG2357">
        <v>700</v>
      </c>
      <c r="AI2357">
        <v>0.35399999999999998</v>
      </c>
      <c r="AK2357" t="s">
        <v>5370</v>
      </c>
      <c r="AL2357" t="s">
        <v>951</v>
      </c>
      <c r="AM2357">
        <v>400000</v>
      </c>
      <c r="AN2357" t="s">
        <v>97</v>
      </c>
      <c r="AO2357">
        <v>2</v>
      </c>
      <c r="AP2357">
        <v>0</v>
      </c>
      <c r="AQ2357">
        <v>33333.333333333336</v>
      </c>
      <c r="AR2357" t="s">
        <v>8323</v>
      </c>
      <c r="AS2357" t="s">
        <v>75</v>
      </c>
      <c r="AX2357" t="s">
        <v>76</v>
      </c>
      <c r="AY2357" t="s">
        <v>176</v>
      </c>
      <c r="AZ2357">
        <v>0</v>
      </c>
      <c r="BA2357" t="s">
        <v>176</v>
      </c>
      <c r="BB2357">
        <v>0</v>
      </c>
    </row>
    <row r="2358" spans="1:54" x14ac:dyDescent="0.15">
      <c r="A2358" s="4" t="str">
        <f>HYPERLINK("https://ibp.a2mac1.com/costing(costing:projects/details/9760/part/8415766)","Trim Panels")</f>
        <v>Trim Panels</v>
      </c>
      <c r="B2358">
        <v>8415766</v>
      </c>
      <c r="C2358">
        <v>8415607</v>
      </c>
      <c r="D2358" t="s">
        <v>8315</v>
      </c>
      <c r="E2358">
        <v>2.1823586631133578</v>
      </c>
      <c r="F2358">
        <v>0</v>
      </c>
      <c r="G2358">
        <v>0</v>
      </c>
      <c r="H2358">
        <v>2.486523163510182E-2</v>
      </c>
      <c r="I2358" t="s">
        <v>176</v>
      </c>
      <c r="J2358">
        <v>7.6453004803503602E-2</v>
      </c>
      <c r="K2358">
        <v>2.2836768995519634</v>
      </c>
      <c r="L2358">
        <v>0.22261820017441952</v>
      </c>
      <c r="M2358">
        <v>1.3357092010465172</v>
      </c>
      <c r="N2358">
        <v>3.6193861005984802</v>
      </c>
      <c r="O2358" t="s">
        <v>177</v>
      </c>
      <c r="P2358">
        <v>0.13702061397311779</v>
      </c>
      <c r="Q2358" t="s">
        <v>177</v>
      </c>
      <c r="R2358">
        <v>8.0142552062791028E-2</v>
      </c>
      <c r="S2358" t="s">
        <v>178</v>
      </c>
      <c r="T2358">
        <v>0.43432633207181764</v>
      </c>
      <c r="U2358" t="s">
        <v>90</v>
      </c>
      <c r="V2358">
        <v>0</v>
      </c>
      <c r="W2358" t="s">
        <v>90</v>
      </c>
      <c r="X2358">
        <v>0</v>
      </c>
      <c r="Y2358">
        <v>4.2708755987062066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34</v>
      </c>
      <c r="AF2358">
        <v>412</v>
      </c>
      <c r="AG2358">
        <v>508</v>
      </c>
      <c r="AI2358">
        <v>0.81699999999999995</v>
      </c>
      <c r="AK2358" t="s">
        <v>5370</v>
      </c>
      <c r="AL2358" t="s">
        <v>951</v>
      </c>
      <c r="AM2358">
        <v>400000</v>
      </c>
      <c r="AN2358" t="s">
        <v>97</v>
      </c>
      <c r="AO2358">
        <v>2</v>
      </c>
      <c r="AP2358">
        <v>0</v>
      </c>
      <c r="AQ2358">
        <v>33333.333333333336</v>
      </c>
      <c r="AR2358" t="s">
        <v>8331</v>
      </c>
      <c r="AS2358" t="s">
        <v>75</v>
      </c>
      <c r="AX2358" t="s">
        <v>76</v>
      </c>
      <c r="AY2358" t="s">
        <v>176</v>
      </c>
      <c r="AZ2358">
        <v>0</v>
      </c>
      <c r="BA2358" t="s">
        <v>176</v>
      </c>
      <c r="BB2358">
        <v>0</v>
      </c>
    </row>
    <row r="2359" spans="1:54" x14ac:dyDescent="0.15">
      <c r="A2359" s="4" t="str">
        <f>HYPERLINK("https://ibp.a2mac1.com/costing(costing:projects/details/9760/part/8415767)","Fenders Reinforcement")</f>
        <v>Fenders Reinforcement</v>
      </c>
      <c r="B2359">
        <v>8415767</v>
      </c>
      <c r="C2359">
        <v>8415607</v>
      </c>
      <c r="D2359" t="s">
        <v>8338</v>
      </c>
      <c r="E2359">
        <v>0.3839776617525773</v>
      </c>
      <c r="F2359">
        <v>0</v>
      </c>
      <c r="G2359">
        <v>0</v>
      </c>
      <c r="H2359">
        <v>7.8655363608247418E-4</v>
      </c>
      <c r="I2359" t="s">
        <v>176</v>
      </c>
      <c r="J2359">
        <v>1.3561269587628867E-2</v>
      </c>
      <c r="K2359">
        <v>0.39832548497628867</v>
      </c>
      <c r="L2359">
        <v>4.4509400587110122E-2</v>
      </c>
      <c r="M2359">
        <v>0.26705640352266075</v>
      </c>
      <c r="N2359">
        <v>0.66538188849894941</v>
      </c>
      <c r="O2359" t="s">
        <v>177</v>
      </c>
      <c r="P2359">
        <v>2.3899529098577319E-2</v>
      </c>
      <c r="Q2359" t="s">
        <v>177</v>
      </c>
      <c r="R2359">
        <v>1.6023384211359643E-2</v>
      </c>
      <c r="S2359" t="s">
        <v>178</v>
      </c>
      <c r="T2359">
        <v>7.9845826619873925E-2</v>
      </c>
      <c r="U2359" t="s">
        <v>90</v>
      </c>
      <c r="V2359">
        <v>0</v>
      </c>
      <c r="W2359" t="s">
        <v>90</v>
      </c>
      <c r="X2359">
        <v>0</v>
      </c>
      <c r="Y2359">
        <v>0.78515062842876027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35</v>
      </c>
      <c r="AF2359">
        <v>395</v>
      </c>
      <c r="AG2359">
        <v>140</v>
      </c>
      <c r="AI2359">
        <v>0.27900000000000003</v>
      </c>
      <c r="AK2359" t="s">
        <v>5370</v>
      </c>
      <c r="AL2359" t="s">
        <v>399</v>
      </c>
      <c r="AM2359">
        <v>400000</v>
      </c>
      <c r="AN2359" t="s">
        <v>97</v>
      </c>
      <c r="AO2359">
        <v>2</v>
      </c>
      <c r="AP2359">
        <v>0</v>
      </c>
      <c r="AQ2359">
        <v>33333.333333333336</v>
      </c>
      <c r="AR2359" t="s">
        <v>8339</v>
      </c>
      <c r="AS2359" t="s">
        <v>75</v>
      </c>
      <c r="AX2359" t="s">
        <v>76</v>
      </c>
      <c r="AY2359" t="s">
        <v>176</v>
      </c>
      <c r="AZ2359">
        <v>0</v>
      </c>
      <c r="BA2359" t="s">
        <v>176</v>
      </c>
      <c r="BB2359">
        <v>0</v>
      </c>
    </row>
    <row r="2360" spans="1:54" x14ac:dyDescent="0.15">
      <c r="A2360" s="4" t="str">
        <f>HYPERLINK("https://ibp.a2mac1.com/costing(costing:projects/details/9760/part/8416434)","Trim")</f>
        <v>Trim</v>
      </c>
      <c r="B2360">
        <v>8416434</v>
      </c>
      <c r="C2360">
        <v>8416099</v>
      </c>
      <c r="E2360">
        <v>1.4182826385</v>
      </c>
      <c r="F2360">
        <v>0</v>
      </c>
      <c r="G2360">
        <v>0</v>
      </c>
      <c r="H2360">
        <v>7.194496391789474E-3</v>
      </c>
      <c r="I2360" t="s">
        <v>176</v>
      </c>
      <c r="J2360">
        <v>4.9764303105263155E-2</v>
      </c>
      <c r="K2360">
        <v>1.4752414379970527</v>
      </c>
      <c r="L2360">
        <v>0.19309534924392757</v>
      </c>
      <c r="M2360">
        <v>1.1585720954635654</v>
      </c>
      <c r="N2360">
        <v>2.6338135334606183</v>
      </c>
      <c r="O2360" t="s">
        <v>90</v>
      </c>
      <c r="P2360">
        <v>0</v>
      </c>
      <c r="Q2360" t="s">
        <v>90</v>
      </c>
      <c r="R2360">
        <v>0</v>
      </c>
      <c r="S2360" t="s">
        <v>90</v>
      </c>
      <c r="T2360">
        <v>0</v>
      </c>
      <c r="U2360" t="s">
        <v>90</v>
      </c>
      <c r="V2360">
        <v>0</v>
      </c>
      <c r="W2360" t="s">
        <v>90</v>
      </c>
      <c r="X2360">
        <v>0</v>
      </c>
      <c r="Y2360">
        <v>2.6338135334606183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127</v>
      </c>
      <c r="AF2360">
        <v>1265</v>
      </c>
      <c r="AG2360">
        <v>201</v>
      </c>
      <c r="AI2360">
        <v>1.2609999999999999</v>
      </c>
      <c r="AK2360" t="s">
        <v>740</v>
      </c>
      <c r="AL2360" t="s">
        <v>1346</v>
      </c>
      <c r="AM2360">
        <v>200000</v>
      </c>
      <c r="AN2360" t="s">
        <v>73</v>
      </c>
      <c r="AO2360">
        <v>1</v>
      </c>
      <c r="AP2360">
        <v>0</v>
      </c>
      <c r="AQ2360">
        <v>16666.666666666668</v>
      </c>
      <c r="AR2360" t="s">
        <v>8352</v>
      </c>
      <c r="AS2360" t="s">
        <v>75</v>
      </c>
      <c r="AX2360" t="s">
        <v>76</v>
      </c>
      <c r="AY2360" t="s">
        <v>176</v>
      </c>
      <c r="AZ2360">
        <v>0</v>
      </c>
      <c r="BA2360" t="s">
        <v>176</v>
      </c>
      <c r="BB2360">
        <v>0</v>
      </c>
    </row>
    <row r="2361" spans="1:54" x14ac:dyDescent="0.15">
      <c r="A2361" s="4" t="str">
        <f>HYPERLINK("https://ibp.a2mac1.com/costing(costing:projects/details/9760/part/8416435)","Left Side Trim")</f>
        <v>Left Side Trim</v>
      </c>
      <c r="B2361">
        <v>8416435</v>
      </c>
      <c r="C2361">
        <v>8416099</v>
      </c>
      <c r="E2361">
        <v>0.20391429450000001</v>
      </c>
      <c r="F2361">
        <v>0</v>
      </c>
      <c r="G2361">
        <v>0</v>
      </c>
      <c r="H2361">
        <v>1.0343923109473684E-3</v>
      </c>
      <c r="I2361" t="s">
        <v>176</v>
      </c>
      <c r="J2361">
        <v>7.1548875263157891E-3</v>
      </c>
      <c r="K2361">
        <v>0.21210357433726315</v>
      </c>
      <c r="L2361">
        <v>1.2954808617448894E-2</v>
      </c>
      <c r="M2361">
        <v>7.7728851704693361E-2</v>
      </c>
      <c r="N2361">
        <v>0.28983242604195653</v>
      </c>
      <c r="O2361" t="s">
        <v>90</v>
      </c>
      <c r="P2361">
        <v>0</v>
      </c>
      <c r="Q2361" t="s">
        <v>90</v>
      </c>
      <c r="R2361">
        <v>0</v>
      </c>
      <c r="S2361" t="s">
        <v>90</v>
      </c>
      <c r="T2361">
        <v>0</v>
      </c>
      <c r="U2361" t="s">
        <v>90</v>
      </c>
      <c r="V2361">
        <v>0</v>
      </c>
      <c r="W2361" t="s">
        <v>90</v>
      </c>
      <c r="X2361">
        <v>0</v>
      </c>
      <c r="Y2361">
        <v>0.28983242604195653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25</v>
      </c>
      <c r="AF2361">
        <v>190</v>
      </c>
      <c r="AG2361">
        <v>230</v>
      </c>
      <c r="AI2361">
        <v>7.2999999999999995E-2</v>
      </c>
      <c r="AK2361" t="s">
        <v>740</v>
      </c>
      <c r="AL2361" t="s">
        <v>5234</v>
      </c>
      <c r="AM2361">
        <v>200000</v>
      </c>
      <c r="AN2361" t="s">
        <v>73</v>
      </c>
      <c r="AO2361">
        <v>1</v>
      </c>
      <c r="AP2361">
        <v>0</v>
      </c>
      <c r="AQ2361">
        <v>16666.666666666668</v>
      </c>
      <c r="AR2361" t="s">
        <v>8357</v>
      </c>
      <c r="AS2361" t="s">
        <v>75</v>
      </c>
      <c r="AX2361" t="s">
        <v>76</v>
      </c>
      <c r="AY2361" t="s">
        <v>176</v>
      </c>
      <c r="AZ2361">
        <v>0</v>
      </c>
      <c r="BA2361" t="s">
        <v>176</v>
      </c>
      <c r="BB2361">
        <v>0</v>
      </c>
    </row>
    <row r="2362" spans="1:54" x14ac:dyDescent="0.15">
      <c r="A2362" s="4" t="str">
        <f>HYPERLINK("https://ibp.a2mac1.com/costing(costing:projects/details/9760/part/8416436)","Right Side Trim")</f>
        <v>Right Side Trim</v>
      </c>
      <c r="B2362">
        <v>8416436</v>
      </c>
      <c r="C2362">
        <v>8416099</v>
      </c>
      <c r="E2362">
        <v>0.20391429450000001</v>
      </c>
      <c r="F2362">
        <v>0</v>
      </c>
      <c r="G2362">
        <v>0</v>
      </c>
      <c r="H2362">
        <v>1.0343923109473684E-3</v>
      </c>
      <c r="I2362" t="s">
        <v>176</v>
      </c>
      <c r="J2362">
        <v>7.1548875263157891E-3</v>
      </c>
      <c r="K2362">
        <v>0.21210357433726315</v>
      </c>
      <c r="L2362">
        <v>1.2954808617448894E-2</v>
      </c>
      <c r="M2362">
        <v>7.7728851704693361E-2</v>
      </c>
      <c r="N2362">
        <v>0.28983242604195653</v>
      </c>
      <c r="O2362" t="s">
        <v>90</v>
      </c>
      <c r="P2362">
        <v>0</v>
      </c>
      <c r="Q2362" t="s">
        <v>90</v>
      </c>
      <c r="R2362">
        <v>0</v>
      </c>
      <c r="S2362" t="s">
        <v>90</v>
      </c>
      <c r="T2362">
        <v>0</v>
      </c>
      <c r="U2362" t="s">
        <v>90</v>
      </c>
      <c r="V2362">
        <v>0</v>
      </c>
      <c r="W2362" t="s">
        <v>90</v>
      </c>
      <c r="X2362">
        <v>0</v>
      </c>
      <c r="Y2362">
        <v>0.28983242604195653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25</v>
      </c>
      <c r="AF2362">
        <v>190</v>
      </c>
      <c r="AG2362">
        <v>230</v>
      </c>
      <c r="AI2362">
        <v>7.2999999999999995E-2</v>
      </c>
      <c r="AK2362" t="s">
        <v>740</v>
      </c>
      <c r="AL2362" t="s">
        <v>5234</v>
      </c>
      <c r="AM2362">
        <v>200000</v>
      </c>
      <c r="AN2362" t="s">
        <v>73</v>
      </c>
      <c r="AO2362">
        <v>1</v>
      </c>
      <c r="AP2362">
        <v>0</v>
      </c>
      <c r="AQ2362">
        <v>16666.666666666668</v>
      </c>
      <c r="AR2362" t="s">
        <v>8360</v>
      </c>
      <c r="AS2362" t="s">
        <v>75</v>
      </c>
      <c r="AX2362" t="s">
        <v>76</v>
      </c>
      <c r="AY2362" t="s">
        <v>176</v>
      </c>
      <c r="AZ2362">
        <v>0</v>
      </c>
      <c r="BA2362" t="s">
        <v>176</v>
      </c>
      <c r="BB2362">
        <v>0</v>
      </c>
    </row>
    <row r="2363" spans="1:54" x14ac:dyDescent="0.15">
      <c r="A2363" s="4" t="str">
        <f>HYPERLINK("https://ibp.a2mac1.com/costing(costing:projects/details/9760/part/8416437)","Trim Bezel Side")</f>
        <v>Trim Bezel Side</v>
      </c>
      <c r="B2363">
        <v>8416437</v>
      </c>
      <c r="C2363">
        <v>8416099</v>
      </c>
      <c r="E2363">
        <v>9.7851379500000002E-2</v>
      </c>
      <c r="F2363">
        <v>0</v>
      </c>
      <c r="G2363">
        <v>0</v>
      </c>
      <c r="H2363">
        <v>4.963689025263158E-4</v>
      </c>
      <c r="I2363" t="s">
        <v>176</v>
      </c>
      <c r="J2363">
        <v>3.4333817368421052E-3</v>
      </c>
      <c r="K2363">
        <v>0.10178113013936842</v>
      </c>
      <c r="L2363">
        <v>5.3574734444988205E-2</v>
      </c>
      <c r="M2363">
        <v>0.32144840666992924</v>
      </c>
      <c r="N2363">
        <v>0.42322953680929765</v>
      </c>
      <c r="O2363" t="s">
        <v>90</v>
      </c>
      <c r="P2363">
        <v>0</v>
      </c>
      <c r="Q2363" t="s">
        <v>90</v>
      </c>
      <c r="R2363">
        <v>0</v>
      </c>
      <c r="S2363" t="s">
        <v>90</v>
      </c>
      <c r="T2363">
        <v>0</v>
      </c>
      <c r="U2363" t="s">
        <v>90</v>
      </c>
      <c r="V2363">
        <v>0</v>
      </c>
      <c r="W2363" t="s">
        <v>90</v>
      </c>
      <c r="X2363">
        <v>0</v>
      </c>
      <c r="Y2363">
        <v>0.42322953680929765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77</v>
      </c>
      <c r="AF2363">
        <v>312</v>
      </c>
      <c r="AG2363">
        <v>160</v>
      </c>
      <c r="AI2363">
        <v>8.6999999999999994E-2</v>
      </c>
      <c r="AK2363" t="s">
        <v>740</v>
      </c>
      <c r="AL2363" t="s">
        <v>1346</v>
      </c>
      <c r="AM2363">
        <v>200000</v>
      </c>
      <c r="AN2363" t="s">
        <v>73</v>
      </c>
      <c r="AO2363">
        <v>1</v>
      </c>
      <c r="AP2363">
        <v>0</v>
      </c>
      <c r="AQ2363">
        <v>16666.666666666668</v>
      </c>
      <c r="AR2363" t="s">
        <v>8365</v>
      </c>
      <c r="AS2363" t="s">
        <v>75</v>
      </c>
      <c r="AX2363" t="s">
        <v>76</v>
      </c>
      <c r="AY2363" t="s">
        <v>176</v>
      </c>
      <c r="AZ2363">
        <v>0</v>
      </c>
      <c r="BA2363" t="s">
        <v>176</v>
      </c>
      <c r="BB2363">
        <v>0</v>
      </c>
    </row>
    <row r="2364" spans="1:54" x14ac:dyDescent="0.15">
      <c r="A2364" s="4" t="str">
        <f>HYPERLINK("https://ibp.a2mac1.com/costing(costing:projects/details/9760/part/8416438)","2nd Trim Bezel Side")</f>
        <v>2nd Trim Bezel Side</v>
      </c>
      <c r="B2364">
        <v>8416438</v>
      </c>
      <c r="C2364">
        <v>8416099</v>
      </c>
      <c r="E2364">
        <v>9.6726650999999997E-2</v>
      </c>
      <c r="F2364">
        <v>0</v>
      </c>
      <c r="G2364">
        <v>0</v>
      </c>
      <c r="H2364">
        <v>4.9066351284210528E-4</v>
      </c>
      <c r="I2364" t="s">
        <v>176</v>
      </c>
      <c r="J2364">
        <v>3.3939175789473685E-3</v>
      </c>
      <c r="K2364">
        <v>0.10061123209178947</v>
      </c>
      <c r="L2364">
        <v>5.1808650713356059E-2</v>
      </c>
      <c r="M2364">
        <v>0.31085190428013637</v>
      </c>
      <c r="N2364">
        <v>0.41146313637192583</v>
      </c>
      <c r="O2364" t="s">
        <v>90</v>
      </c>
      <c r="P2364">
        <v>0</v>
      </c>
      <c r="Q2364" t="s">
        <v>90</v>
      </c>
      <c r="R2364">
        <v>0</v>
      </c>
      <c r="S2364" t="s">
        <v>90</v>
      </c>
      <c r="T2364">
        <v>0</v>
      </c>
      <c r="U2364" t="s">
        <v>90</v>
      </c>
      <c r="V2364">
        <v>0</v>
      </c>
      <c r="W2364" t="s">
        <v>90</v>
      </c>
      <c r="X2364">
        <v>0</v>
      </c>
      <c r="Y2364">
        <v>0.41146313637192583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76</v>
      </c>
      <c r="AF2364">
        <v>311</v>
      </c>
      <c r="AG2364">
        <v>160</v>
      </c>
      <c r="AI2364">
        <v>8.5999999999999993E-2</v>
      </c>
      <c r="AK2364" t="s">
        <v>740</v>
      </c>
      <c r="AL2364" t="s">
        <v>1346</v>
      </c>
      <c r="AM2364">
        <v>200000</v>
      </c>
      <c r="AN2364" t="s">
        <v>73</v>
      </c>
      <c r="AO2364">
        <v>1</v>
      </c>
      <c r="AP2364">
        <v>0</v>
      </c>
      <c r="AQ2364">
        <v>16666.666666666668</v>
      </c>
      <c r="AR2364" t="s">
        <v>8368</v>
      </c>
      <c r="AS2364" t="s">
        <v>75</v>
      </c>
      <c r="AX2364" t="s">
        <v>76</v>
      </c>
      <c r="AY2364" t="s">
        <v>176</v>
      </c>
      <c r="AZ2364">
        <v>0</v>
      </c>
      <c r="BA2364" t="s">
        <v>176</v>
      </c>
      <c r="BB2364">
        <v>0</v>
      </c>
    </row>
    <row r="2365" spans="1:54" x14ac:dyDescent="0.15">
      <c r="A2365" s="4" t="str">
        <f>HYPERLINK("https://ibp.a2mac1.com/costing(costing:projects/details/9760/part/8416439)","Lateral 2")</f>
        <v>Lateral 2</v>
      </c>
      <c r="B2365">
        <v>8416439</v>
      </c>
      <c r="C2365">
        <v>8416100</v>
      </c>
      <c r="E2365">
        <v>5.5221348000000003E-2</v>
      </c>
      <c r="F2365">
        <v>0</v>
      </c>
      <c r="G2365">
        <v>0</v>
      </c>
      <c r="H2365">
        <v>2.8012032168421054E-4</v>
      </c>
      <c r="I2365" t="s">
        <v>176</v>
      </c>
      <c r="J2365">
        <v>1.9375911578947368E-3</v>
      </c>
      <c r="K2365">
        <v>5.7439059479578947E-2</v>
      </c>
      <c r="L2365">
        <v>9.422641154184605E-3</v>
      </c>
      <c r="M2365">
        <v>5.653584692510763E-2</v>
      </c>
      <c r="N2365">
        <v>0.11397490640468658</v>
      </c>
      <c r="O2365" t="s">
        <v>90</v>
      </c>
      <c r="P2365">
        <v>0</v>
      </c>
      <c r="Q2365" t="s">
        <v>90</v>
      </c>
      <c r="R2365">
        <v>0</v>
      </c>
      <c r="S2365" t="s">
        <v>90</v>
      </c>
      <c r="T2365">
        <v>0</v>
      </c>
      <c r="U2365" t="s">
        <v>90</v>
      </c>
      <c r="V2365">
        <v>0</v>
      </c>
      <c r="W2365" t="s">
        <v>90</v>
      </c>
      <c r="X2365">
        <v>0</v>
      </c>
      <c r="Y2365">
        <v>0.11397490640468658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48</v>
      </c>
      <c r="AF2365">
        <v>217</v>
      </c>
      <c r="AG2365">
        <v>108</v>
      </c>
      <c r="AI2365">
        <v>5.1999999999999998E-2</v>
      </c>
      <c r="AK2365" t="s">
        <v>740</v>
      </c>
      <c r="AL2365" t="s">
        <v>8373</v>
      </c>
      <c r="AM2365">
        <v>200000</v>
      </c>
      <c r="AN2365" t="s">
        <v>73</v>
      </c>
      <c r="AO2365">
        <v>1</v>
      </c>
      <c r="AP2365">
        <v>0</v>
      </c>
      <c r="AQ2365">
        <v>16666.666666666668</v>
      </c>
      <c r="AR2365" t="s">
        <v>8374</v>
      </c>
      <c r="AS2365" t="s">
        <v>75</v>
      </c>
      <c r="AX2365" t="s">
        <v>76</v>
      </c>
      <c r="AY2365" t="s">
        <v>176</v>
      </c>
      <c r="AZ2365">
        <v>0</v>
      </c>
      <c r="BA2365" t="s">
        <v>176</v>
      </c>
      <c r="BB2365">
        <v>0</v>
      </c>
    </row>
    <row r="2366" spans="1:54" x14ac:dyDescent="0.15">
      <c r="A2366" s="4" t="str">
        <f>HYPERLINK("https://ibp.a2mac1.com/costing(costing:projects/details/9760/part/8416440)","Right 2")</f>
        <v>Right 2</v>
      </c>
      <c r="B2366">
        <v>8416440</v>
      </c>
      <c r="C2366">
        <v>8416100</v>
      </c>
      <c r="E2366">
        <v>5.5221348000000003E-2</v>
      </c>
      <c r="F2366">
        <v>0</v>
      </c>
      <c r="G2366">
        <v>0</v>
      </c>
      <c r="H2366">
        <v>2.8012032168421054E-4</v>
      </c>
      <c r="I2366" t="s">
        <v>176</v>
      </c>
      <c r="J2366">
        <v>1.9375911578947368E-3</v>
      </c>
      <c r="K2366">
        <v>5.7439059479578947E-2</v>
      </c>
      <c r="L2366">
        <v>9.422641154184605E-3</v>
      </c>
      <c r="M2366">
        <v>5.653584692510763E-2</v>
      </c>
      <c r="N2366">
        <v>0.11397490640468658</v>
      </c>
      <c r="O2366" t="s">
        <v>90</v>
      </c>
      <c r="P2366">
        <v>0</v>
      </c>
      <c r="Q2366" t="s">
        <v>90</v>
      </c>
      <c r="R2366">
        <v>0</v>
      </c>
      <c r="S2366" t="s">
        <v>90</v>
      </c>
      <c r="T2366">
        <v>0</v>
      </c>
      <c r="U2366" t="s">
        <v>90</v>
      </c>
      <c r="V2366">
        <v>0</v>
      </c>
      <c r="W2366" t="s">
        <v>90</v>
      </c>
      <c r="X2366">
        <v>0</v>
      </c>
      <c r="Y2366">
        <v>0.11397490640468658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47</v>
      </c>
      <c r="AF2366">
        <v>217</v>
      </c>
      <c r="AG2366">
        <v>108</v>
      </c>
      <c r="AI2366">
        <v>5.1999999999999998E-2</v>
      </c>
      <c r="AK2366" t="s">
        <v>740</v>
      </c>
      <c r="AL2366" t="s">
        <v>399</v>
      </c>
      <c r="AM2366">
        <v>200000</v>
      </c>
      <c r="AN2366" t="s">
        <v>73</v>
      </c>
      <c r="AO2366">
        <v>1</v>
      </c>
      <c r="AP2366">
        <v>0</v>
      </c>
      <c r="AQ2366">
        <v>16666.666666666668</v>
      </c>
      <c r="AR2366" t="s">
        <v>8377</v>
      </c>
      <c r="AS2366" t="s">
        <v>75</v>
      </c>
      <c r="AX2366" t="s">
        <v>76</v>
      </c>
      <c r="AY2366" t="s">
        <v>176</v>
      </c>
      <c r="AZ2366">
        <v>0</v>
      </c>
      <c r="BA2366" t="s">
        <v>176</v>
      </c>
      <c r="BB2366">
        <v>0</v>
      </c>
    </row>
    <row r="2367" spans="1:54" x14ac:dyDescent="0.15">
      <c r="A2367" s="4" t="str">
        <f>HYPERLINK("https://ibp.a2mac1.com/costing(costing:projects/details/9760/part/8416441)","Upper left")</f>
        <v>Upper left</v>
      </c>
      <c r="B2367">
        <v>8416441</v>
      </c>
      <c r="C2367">
        <v>8416100</v>
      </c>
      <c r="E2367">
        <v>2.58687555E-2</v>
      </c>
      <c r="F2367">
        <v>0</v>
      </c>
      <c r="G2367">
        <v>0</v>
      </c>
      <c r="H2367">
        <v>1.312239627368421E-4</v>
      </c>
      <c r="I2367" t="s">
        <v>176</v>
      </c>
      <c r="J2367">
        <v>9.0767563157894738E-4</v>
      </c>
      <c r="K2367">
        <v>2.690765509431579E-2</v>
      </c>
      <c r="L2367">
        <v>5.8904736909203177E-3</v>
      </c>
      <c r="M2367">
        <v>3.5342842145521906E-2</v>
      </c>
      <c r="N2367">
        <v>6.2250497239837693E-2</v>
      </c>
      <c r="O2367" t="s">
        <v>90</v>
      </c>
      <c r="P2367">
        <v>0</v>
      </c>
      <c r="Q2367" t="s">
        <v>90</v>
      </c>
      <c r="R2367">
        <v>0</v>
      </c>
      <c r="S2367" t="s">
        <v>90</v>
      </c>
      <c r="T2367">
        <v>0</v>
      </c>
      <c r="U2367" t="s">
        <v>90</v>
      </c>
      <c r="V2367">
        <v>0</v>
      </c>
      <c r="W2367" t="s">
        <v>90</v>
      </c>
      <c r="X2367">
        <v>0</v>
      </c>
      <c r="Y2367">
        <v>6.2250497239837693E-2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28</v>
      </c>
      <c r="AF2367">
        <v>193</v>
      </c>
      <c r="AG2367">
        <v>39</v>
      </c>
      <c r="AI2367">
        <v>2.3E-2</v>
      </c>
      <c r="AK2367" t="s">
        <v>740</v>
      </c>
      <c r="AL2367" t="s">
        <v>1346</v>
      </c>
      <c r="AM2367">
        <v>200000</v>
      </c>
      <c r="AN2367" t="s">
        <v>73</v>
      </c>
      <c r="AO2367">
        <v>1</v>
      </c>
      <c r="AP2367">
        <v>0</v>
      </c>
      <c r="AQ2367">
        <v>16666.666666666668</v>
      </c>
      <c r="AR2367" t="s">
        <v>8381</v>
      </c>
      <c r="AS2367" t="s">
        <v>75</v>
      </c>
      <c r="AX2367" t="s">
        <v>76</v>
      </c>
      <c r="AY2367" t="s">
        <v>176</v>
      </c>
      <c r="AZ2367">
        <v>0</v>
      </c>
      <c r="BA2367" t="s">
        <v>176</v>
      </c>
      <c r="BB2367">
        <v>0</v>
      </c>
    </row>
    <row r="2368" spans="1:54" x14ac:dyDescent="0.15">
      <c r="A2368" s="4" t="str">
        <f>HYPERLINK("https://ibp.a2mac1.com/costing(costing:projects/details/9760/part/8416442)","Upper right")</f>
        <v>Upper right</v>
      </c>
      <c r="B2368">
        <v>8416442</v>
      </c>
      <c r="C2368">
        <v>8416100</v>
      </c>
      <c r="E2368">
        <v>2.58687555E-2</v>
      </c>
      <c r="F2368">
        <v>0</v>
      </c>
      <c r="G2368">
        <v>0</v>
      </c>
      <c r="H2368">
        <v>1.312239627368421E-4</v>
      </c>
      <c r="I2368" t="s">
        <v>176</v>
      </c>
      <c r="J2368">
        <v>9.0767563157894738E-4</v>
      </c>
      <c r="K2368">
        <v>2.690765509431579E-2</v>
      </c>
      <c r="L2368">
        <v>5.8904736909203177E-3</v>
      </c>
      <c r="M2368">
        <v>3.5342842145521906E-2</v>
      </c>
      <c r="N2368">
        <v>6.2250497239837693E-2</v>
      </c>
      <c r="O2368" t="s">
        <v>90</v>
      </c>
      <c r="P2368">
        <v>0</v>
      </c>
      <c r="Q2368" t="s">
        <v>90</v>
      </c>
      <c r="R2368">
        <v>0</v>
      </c>
      <c r="S2368" t="s">
        <v>90</v>
      </c>
      <c r="T2368">
        <v>0</v>
      </c>
      <c r="U2368" t="s">
        <v>90</v>
      </c>
      <c r="V2368">
        <v>0</v>
      </c>
      <c r="W2368" t="s">
        <v>90</v>
      </c>
      <c r="X2368">
        <v>0</v>
      </c>
      <c r="Y2368">
        <v>6.2250497239837693E-2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28</v>
      </c>
      <c r="AF2368">
        <v>193</v>
      </c>
      <c r="AG2368">
        <v>39</v>
      </c>
      <c r="AI2368">
        <v>2.3E-2</v>
      </c>
      <c r="AK2368" t="s">
        <v>740</v>
      </c>
      <c r="AL2368" t="s">
        <v>1346</v>
      </c>
      <c r="AM2368">
        <v>200000</v>
      </c>
      <c r="AN2368" t="s">
        <v>73</v>
      </c>
      <c r="AO2368">
        <v>1</v>
      </c>
      <c r="AP2368">
        <v>0</v>
      </c>
      <c r="AQ2368">
        <v>16666.666666666668</v>
      </c>
      <c r="AR2368" t="s">
        <v>8384</v>
      </c>
      <c r="AS2368" t="s">
        <v>75</v>
      </c>
      <c r="AX2368" t="s">
        <v>76</v>
      </c>
      <c r="AY2368" t="s">
        <v>176</v>
      </c>
      <c r="AZ2368">
        <v>0</v>
      </c>
      <c r="BA2368" t="s">
        <v>176</v>
      </c>
      <c r="BB2368">
        <v>0</v>
      </c>
    </row>
    <row r="2369" spans="1:56" x14ac:dyDescent="0.15">
      <c r="A2369" s="4" t="str">
        <f>HYPERLINK("https://ibp.a2mac1.com/costing(costing:projects/details/9760/part/8416443)","Left Deflector")</f>
        <v>Left Deflector</v>
      </c>
      <c r="B2369">
        <v>8416443</v>
      </c>
      <c r="C2369">
        <v>8416101</v>
      </c>
      <c r="E2369">
        <v>0.28885012799999998</v>
      </c>
      <c r="F2369">
        <v>0</v>
      </c>
      <c r="G2369">
        <v>0</v>
      </c>
      <c r="H2369">
        <v>1.4652447595789474E-3</v>
      </c>
      <c r="I2369" t="s">
        <v>176</v>
      </c>
      <c r="J2369">
        <v>1.0135092210526315E-2</v>
      </c>
      <c r="K2369">
        <v>0.30045046497010525</v>
      </c>
      <c r="L2369">
        <v>4.1212148323563194E-2</v>
      </c>
      <c r="M2369">
        <v>0.24727288994137919</v>
      </c>
      <c r="N2369">
        <v>0.54772335491148449</v>
      </c>
      <c r="O2369" t="s">
        <v>90</v>
      </c>
      <c r="P2369">
        <v>0</v>
      </c>
      <c r="Q2369" t="s">
        <v>90</v>
      </c>
      <c r="R2369">
        <v>0</v>
      </c>
      <c r="S2369" t="s">
        <v>90</v>
      </c>
      <c r="T2369">
        <v>0</v>
      </c>
      <c r="U2369" t="s">
        <v>90</v>
      </c>
      <c r="V2369">
        <v>0</v>
      </c>
      <c r="W2369" t="s">
        <v>90</v>
      </c>
      <c r="X2369">
        <v>0</v>
      </c>
      <c r="Y2369">
        <v>0.54772335491148449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456</v>
      </c>
      <c r="AF2369">
        <v>166</v>
      </c>
      <c r="AG2369">
        <v>183</v>
      </c>
      <c r="AI2369">
        <v>0.27200000000000002</v>
      </c>
      <c r="AK2369" t="s">
        <v>740</v>
      </c>
      <c r="AL2369" t="s">
        <v>399</v>
      </c>
      <c r="AM2369">
        <v>200000</v>
      </c>
      <c r="AN2369" t="s">
        <v>73</v>
      </c>
      <c r="AO2369">
        <v>1</v>
      </c>
      <c r="AP2369">
        <v>0</v>
      </c>
      <c r="AQ2369">
        <v>16666.666666666668</v>
      </c>
      <c r="AR2369" t="s">
        <v>8391</v>
      </c>
      <c r="AS2369" t="s">
        <v>75</v>
      </c>
      <c r="AX2369" t="s">
        <v>76</v>
      </c>
      <c r="AY2369" t="s">
        <v>176</v>
      </c>
      <c r="AZ2369">
        <v>0</v>
      </c>
      <c r="BA2369" t="s">
        <v>176</v>
      </c>
      <c r="BB2369">
        <v>0</v>
      </c>
    </row>
    <row r="2370" spans="1:56" x14ac:dyDescent="0.15">
      <c r="A2370" s="4" t="str">
        <f>HYPERLINK("https://ibp.a2mac1.com/costing(costing:projects/details/9760/part/8416444)","Left Deflector 2")</f>
        <v>Left Deflector 2</v>
      </c>
      <c r="B2370">
        <v>8416444</v>
      </c>
      <c r="C2370">
        <v>8416101</v>
      </c>
      <c r="E2370">
        <v>0.20245113000000001</v>
      </c>
      <c r="F2370">
        <v>0</v>
      </c>
      <c r="G2370">
        <v>0</v>
      </c>
      <c r="H2370">
        <v>1.0269701431578947E-3</v>
      </c>
      <c r="I2370" t="s">
        <v>176</v>
      </c>
      <c r="J2370">
        <v>7.1035484210526315E-3</v>
      </c>
      <c r="K2370">
        <v>0.21058164856421052</v>
      </c>
      <c r="L2370">
        <v>2.884956220213819E-2</v>
      </c>
      <c r="M2370">
        <v>0.17309737321282914</v>
      </c>
      <c r="N2370">
        <v>0.38367902177703966</v>
      </c>
      <c r="O2370" t="s">
        <v>90</v>
      </c>
      <c r="P2370">
        <v>0</v>
      </c>
      <c r="Q2370" t="s">
        <v>90</v>
      </c>
      <c r="R2370">
        <v>0</v>
      </c>
      <c r="S2370" t="s">
        <v>90</v>
      </c>
      <c r="T2370">
        <v>0</v>
      </c>
      <c r="U2370" t="s">
        <v>90</v>
      </c>
      <c r="V2370">
        <v>0</v>
      </c>
      <c r="W2370" t="s">
        <v>90</v>
      </c>
      <c r="X2370">
        <v>0</v>
      </c>
      <c r="Y2370">
        <v>0.38367902177703966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58</v>
      </c>
      <c r="AF2370">
        <v>280</v>
      </c>
      <c r="AG2370">
        <v>290</v>
      </c>
      <c r="AI2370">
        <v>0.18</v>
      </c>
      <c r="AK2370" t="s">
        <v>740</v>
      </c>
      <c r="AL2370" t="s">
        <v>1346</v>
      </c>
      <c r="AM2370">
        <v>200000</v>
      </c>
      <c r="AN2370" t="s">
        <v>73</v>
      </c>
      <c r="AO2370">
        <v>1</v>
      </c>
      <c r="AP2370">
        <v>0</v>
      </c>
      <c r="AQ2370">
        <v>16666.666666666668</v>
      </c>
      <c r="AR2370" t="s">
        <v>8396</v>
      </c>
      <c r="AS2370" t="s">
        <v>75</v>
      </c>
      <c r="AX2370" t="s">
        <v>76</v>
      </c>
      <c r="AY2370" t="s">
        <v>176</v>
      </c>
      <c r="AZ2370">
        <v>0</v>
      </c>
      <c r="BA2370" t="s">
        <v>176</v>
      </c>
      <c r="BB2370">
        <v>0</v>
      </c>
    </row>
    <row r="2371" spans="1:56" x14ac:dyDescent="0.15">
      <c r="A2371" s="4" t="str">
        <f>HYPERLINK("https://ibp.a2mac1.com/costing(costing:projects/details/9760/part/8416445)","Right Deflector")</f>
        <v>Right Deflector</v>
      </c>
      <c r="B2371">
        <v>8416445</v>
      </c>
      <c r="C2371">
        <v>8416101</v>
      </c>
      <c r="E2371">
        <v>0.28778817899999998</v>
      </c>
      <c r="F2371">
        <v>0</v>
      </c>
      <c r="G2371">
        <v>0</v>
      </c>
      <c r="H2371">
        <v>1.4598578303157894E-3</v>
      </c>
      <c r="I2371" t="s">
        <v>176</v>
      </c>
      <c r="J2371">
        <v>1.0097830842105263E-2</v>
      </c>
      <c r="K2371">
        <v>0.29934586767242105</v>
      </c>
      <c r="L2371">
        <v>4.1212148323563194E-2</v>
      </c>
      <c r="M2371">
        <v>0.24727288994137919</v>
      </c>
      <c r="N2371">
        <v>0.54661875761380019</v>
      </c>
      <c r="O2371" t="s">
        <v>90</v>
      </c>
      <c r="P2371">
        <v>0</v>
      </c>
      <c r="Q2371" t="s">
        <v>90</v>
      </c>
      <c r="R2371">
        <v>0</v>
      </c>
      <c r="S2371" t="s">
        <v>90</v>
      </c>
      <c r="T2371">
        <v>0</v>
      </c>
      <c r="U2371" t="s">
        <v>90</v>
      </c>
      <c r="V2371">
        <v>0</v>
      </c>
      <c r="W2371" t="s">
        <v>90</v>
      </c>
      <c r="X2371">
        <v>0</v>
      </c>
      <c r="Y2371">
        <v>0.54661875761380019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456</v>
      </c>
      <c r="AF2371">
        <v>166</v>
      </c>
      <c r="AG2371">
        <v>183</v>
      </c>
      <c r="AI2371">
        <v>0.27100000000000002</v>
      </c>
      <c r="AK2371" t="s">
        <v>740</v>
      </c>
      <c r="AL2371" t="s">
        <v>399</v>
      </c>
      <c r="AM2371">
        <v>200000</v>
      </c>
      <c r="AN2371" t="s">
        <v>73</v>
      </c>
      <c r="AO2371">
        <v>1</v>
      </c>
      <c r="AP2371">
        <v>0</v>
      </c>
      <c r="AQ2371">
        <v>16666.666666666668</v>
      </c>
      <c r="AR2371" t="s">
        <v>8401</v>
      </c>
      <c r="AS2371" t="s">
        <v>75</v>
      </c>
      <c r="AX2371" t="s">
        <v>76</v>
      </c>
      <c r="AY2371" t="s">
        <v>176</v>
      </c>
      <c r="AZ2371">
        <v>0</v>
      </c>
      <c r="BA2371" t="s">
        <v>176</v>
      </c>
      <c r="BB2371">
        <v>0</v>
      </c>
    </row>
    <row r="2372" spans="1:56" x14ac:dyDescent="0.15">
      <c r="A2372" s="4" t="str">
        <f>HYPERLINK("https://ibp.a2mac1.com/costing(costing:projects/details/9760/part/8416446)","Right Deflector 2")</f>
        <v>Right Deflector 2</v>
      </c>
      <c r="B2372">
        <v>8416446</v>
      </c>
      <c r="C2372">
        <v>8416101</v>
      </c>
      <c r="E2372">
        <v>0.20245113000000001</v>
      </c>
      <c r="F2372">
        <v>0</v>
      </c>
      <c r="G2372">
        <v>0</v>
      </c>
      <c r="H2372">
        <v>1.0269701431578947E-3</v>
      </c>
      <c r="I2372" t="s">
        <v>176</v>
      </c>
      <c r="J2372">
        <v>7.1035484210526315E-3</v>
      </c>
      <c r="K2372">
        <v>0.21058164856421052</v>
      </c>
      <c r="L2372">
        <v>2.884956220213819E-2</v>
      </c>
      <c r="M2372">
        <v>0.17309737321282914</v>
      </c>
      <c r="N2372">
        <v>0.38367902177703966</v>
      </c>
      <c r="O2372" t="s">
        <v>90</v>
      </c>
      <c r="P2372">
        <v>0</v>
      </c>
      <c r="Q2372" t="s">
        <v>90</v>
      </c>
      <c r="R2372">
        <v>0</v>
      </c>
      <c r="S2372" t="s">
        <v>90</v>
      </c>
      <c r="T2372">
        <v>0</v>
      </c>
      <c r="U2372" t="s">
        <v>90</v>
      </c>
      <c r="V2372">
        <v>0</v>
      </c>
      <c r="W2372" t="s">
        <v>90</v>
      </c>
      <c r="X2372">
        <v>0</v>
      </c>
      <c r="Y2372">
        <v>0.38367902177703966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57</v>
      </c>
      <c r="AF2372">
        <v>280</v>
      </c>
      <c r="AG2372">
        <v>290</v>
      </c>
      <c r="AI2372">
        <v>0.17899999999999999</v>
      </c>
      <c r="AK2372" t="s">
        <v>740</v>
      </c>
      <c r="AL2372" t="s">
        <v>1346</v>
      </c>
      <c r="AM2372">
        <v>200000</v>
      </c>
      <c r="AN2372" t="s">
        <v>73</v>
      </c>
      <c r="AO2372">
        <v>1</v>
      </c>
      <c r="AP2372">
        <v>0</v>
      </c>
      <c r="AQ2372">
        <v>16666.666666666668</v>
      </c>
      <c r="AR2372" t="s">
        <v>8404</v>
      </c>
      <c r="AS2372" t="s">
        <v>75</v>
      </c>
      <c r="AX2372" t="s">
        <v>76</v>
      </c>
      <c r="AY2372" t="s">
        <v>176</v>
      </c>
      <c r="AZ2372">
        <v>0</v>
      </c>
      <c r="BA2372" t="s">
        <v>176</v>
      </c>
      <c r="BB2372">
        <v>0</v>
      </c>
    </row>
    <row r="2373" spans="1:56" x14ac:dyDescent="0.15">
      <c r="A2373" s="4" t="str">
        <f>HYPERLINK("https://ibp.a2mac1.com/costing(costing:projects/details/9760/part/8416092)","Bumper")</f>
        <v>Bumper</v>
      </c>
      <c r="B2373">
        <v>8416092</v>
      </c>
      <c r="C2373">
        <v>8415768</v>
      </c>
      <c r="E2373">
        <v>3.3258221744999998</v>
      </c>
      <c r="F2373">
        <v>0</v>
      </c>
      <c r="G2373">
        <v>0</v>
      </c>
      <c r="H2373">
        <v>1.6870837296210528E-2</v>
      </c>
      <c r="I2373" t="s">
        <v>176</v>
      </c>
      <c r="J2373">
        <v>0.11669551489473684</v>
      </c>
      <c r="K2373">
        <v>3.4593885266909474</v>
      </c>
      <c r="L2373">
        <v>3.8065026641632942</v>
      </c>
      <c r="M2373">
        <v>22.839015984979767</v>
      </c>
      <c r="N2373">
        <v>26.298404511670714</v>
      </c>
      <c r="O2373" t="s">
        <v>90</v>
      </c>
      <c r="P2373">
        <v>0</v>
      </c>
      <c r="Q2373" t="s">
        <v>90</v>
      </c>
      <c r="R2373">
        <v>0</v>
      </c>
      <c r="S2373" t="s">
        <v>90</v>
      </c>
      <c r="T2373">
        <v>0</v>
      </c>
      <c r="U2373" t="s">
        <v>90</v>
      </c>
      <c r="V2373">
        <v>0</v>
      </c>
      <c r="W2373" t="s">
        <v>90</v>
      </c>
      <c r="X2373">
        <v>0</v>
      </c>
      <c r="Y2373">
        <v>26.298404511670714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680</v>
      </c>
      <c r="AF2373">
        <v>1980</v>
      </c>
      <c r="AG2373">
        <v>550</v>
      </c>
      <c r="AI2373">
        <v>2.9569999999999999</v>
      </c>
      <c r="AK2373" t="s">
        <v>740</v>
      </c>
      <c r="AL2373" t="s">
        <v>1346</v>
      </c>
      <c r="AM2373">
        <v>200000</v>
      </c>
      <c r="AN2373" t="s">
        <v>73</v>
      </c>
      <c r="AO2373">
        <v>1</v>
      </c>
      <c r="AP2373">
        <v>0</v>
      </c>
      <c r="AQ2373">
        <v>16666.666666666668</v>
      </c>
      <c r="AR2373" t="s">
        <v>8410</v>
      </c>
      <c r="AS2373" t="s">
        <v>75</v>
      </c>
      <c r="AX2373" t="s">
        <v>76</v>
      </c>
      <c r="AY2373" t="s">
        <v>176</v>
      </c>
      <c r="AZ2373">
        <v>0</v>
      </c>
      <c r="BA2373" t="s">
        <v>176</v>
      </c>
      <c r="BB2373">
        <v>0</v>
      </c>
    </row>
    <row r="2374" spans="1:56" x14ac:dyDescent="0.15">
      <c r="A2374" s="4" t="str">
        <f>HYPERLINK("https://ibp.a2mac1.com/costing(costing:projects/details/9760/part/8416093)","Lower Trim")</f>
        <v>Lower Trim</v>
      </c>
      <c r="B2374">
        <v>8416093</v>
      </c>
      <c r="C2374">
        <v>8415768</v>
      </c>
      <c r="E2374">
        <v>1.5892413704999999</v>
      </c>
      <c r="F2374">
        <v>0</v>
      </c>
      <c r="G2374">
        <v>0</v>
      </c>
      <c r="H2374">
        <v>8.0617156237894737E-3</v>
      </c>
      <c r="I2374" t="s">
        <v>176</v>
      </c>
      <c r="J2374">
        <v>5.5762855105263159E-2</v>
      </c>
      <c r="K2374">
        <v>1.6530659412290527</v>
      </c>
      <c r="L2374">
        <v>0.21605443775514546</v>
      </c>
      <c r="M2374">
        <v>1.2963266265308728</v>
      </c>
      <c r="N2374">
        <v>2.9493925677599253</v>
      </c>
      <c r="O2374" t="s">
        <v>177</v>
      </c>
      <c r="P2374">
        <v>9.9183956473743159E-2</v>
      </c>
      <c r="Q2374" t="s">
        <v>177</v>
      </c>
      <c r="R2374">
        <v>7.7779597591852365E-2</v>
      </c>
      <c r="S2374" t="s">
        <v>178</v>
      </c>
      <c r="T2374">
        <v>0.35392710813119105</v>
      </c>
      <c r="U2374" t="s">
        <v>90</v>
      </c>
      <c r="V2374">
        <v>0</v>
      </c>
      <c r="W2374" t="s">
        <v>90</v>
      </c>
      <c r="X2374">
        <v>0</v>
      </c>
      <c r="Y2374">
        <v>3.4802832299567119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545</v>
      </c>
      <c r="AF2374">
        <v>1905</v>
      </c>
      <c r="AG2374">
        <v>235</v>
      </c>
      <c r="AI2374">
        <v>1.413</v>
      </c>
      <c r="AK2374" t="s">
        <v>740</v>
      </c>
      <c r="AL2374" t="s">
        <v>1346</v>
      </c>
      <c r="AM2374">
        <v>200000</v>
      </c>
      <c r="AN2374" t="s">
        <v>97</v>
      </c>
      <c r="AO2374">
        <v>1</v>
      </c>
      <c r="AP2374">
        <v>0</v>
      </c>
      <c r="AQ2374">
        <v>16666.666666666668</v>
      </c>
      <c r="AR2374" t="s">
        <v>8415</v>
      </c>
      <c r="AS2374" t="s">
        <v>75</v>
      </c>
      <c r="AX2374" t="s">
        <v>76</v>
      </c>
      <c r="AY2374" t="s">
        <v>176</v>
      </c>
      <c r="AZ2374">
        <v>0</v>
      </c>
      <c r="BA2374" t="s">
        <v>176</v>
      </c>
      <c r="BB2374">
        <v>0</v>
      </c>
    </row>
    <row r="2375" spans="1:56" x14ac:dyDescent="0.15">
      <c r="A2375" s="4" t="str">
        <f>HYPERLINK("https://ibp.a2mac1.com/costing(costing:projects/details/9760/part/8416094)","License Plate Support")</f>
        <v>License Plate Support</v>
      </c>
      <c r="B2375">
        <v>8416094</v>
      </c>
      <c r="C2375">
        <v>8415768</v>
      </c>
      <c r="E2375">
        <v>0.24181662749999999</v>
      </c>
      <c r="F2375">
        <v>0</v>
      </c>
      <c r="G2375">
        <v>0</v>
      </c>
      <c r="H2375">
        <v>1.2266587821052632E-3</v>
      </c>
      <c r="I2375" t="s">
        <v>176</v>
      </c>
      <c r="J2375">
        <v>8.4847939473684207E-3</v>
      </c>
      <c r="K2375">
        <v>0.25152808022947371</v>
      </c>
      <c r="L2375">
        <v>3.414781339703462E-2</v>
      </c>
      <c r="M2375">
        <v>0.20488688038220773</v>
      </c>
      <c r="N2375">
        <v>0.45641496061168141</v>
      </c>
      <c r="O2375" t="s">
        <v>177</v>
      </c>
      <c r="P2375">
        <v>1.5091684813768422E-2</v>
      </c>
      <c r="Q2375" t="s">
        <v>177</v>
      </c>
      <c r="R2375">
        <v>1.2293212822932463E-2</v>
      </c>
      <c r="S2375" t="s">
        <v>178</v>
      </c>
      <c r="T2375">
        <v>5.476979527340177E-2</v>
      </c>
      <c r="U2375" t="s">
        <v>90</v>
      </c>
      <c r="V2375">
        <v>0</v>
      </c>
      <c r="W2375" t="s">
        <v>90</v>
      </c>
      <c r="X2375">
        <v>0</v>
      </c>
      <c r="Y2375">
        <v>0.5385696535217841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31</v>
      </c>
      <c r="AF2375">
        <v>488</v>
      </c>
      <c r="AG2375">
        <v>148</v>
      </c>
      <c r="AI2375">
        <v>0.215</v>
      </c>
      <c r="AK2375" t="s">
        <v>740</v>
      </c>
      <c r="AL2375" t="s">
        <v>1346</v>
      </c>
      <c r="AM2375">
        <v>200000</v>
      </c>
      <c r="AN2375" t="s">
        <v>97</v>
      </c>
      <c r="AO2375">
        <v>1</v>
      </c>
      <c r="AP2375">
        <v>0</v>
      </c>
      <c r="AQ2375">
        <v>16666.666666666668</v>
      </c>
      <c r="AR2375" t="s">
        <v>8419</v>
      </c>
      <c r="AS2375" t="s">
        <v>75</v>
      </c>
      <c r="AX2375" t="s">
        <v>76</v>
      </c>
      <c r="AY2375" t="s">
        <v>176</v>
      </c>
      <c r="AZ2375">
        <v>0</v>
      </c>
      <c r="BA2375" t="s">
        <v>176</v>
      </c>
      <c r="BB2375">
        <v>0</v>
      </c>
    </row>
    <row r="2376" spans="1:56" x14ac:dyDescent="0.15">
      <c r="A2376" s="4" t="str">
        <f>HYPERLINK("https://ibp.a2mac1.com/costing(costing:projects/details/9760/part/8416095)","Towing Hook Fastener Cover")</f>
        <v>Towing Hook Fastener Cover</v>
      </c>
      <c r="B2376">
        <v>8416095</v>
      </c>
      <c r="C2376">
        <v>8415768</v>
      </c>
      <c r="E2376">
        <v>1.0619490000000001E-2</v>
      </c>
      <c r="F2376">
        <v>0</v>
      </c>
      <c r="G2376">
        <v>0</v>
      </c>
      <c r="H2376">
        <v>5.3869292631578951E-5</v>
      </c>
      <c r="I2376" t="s">
        <v>176</v>
      </c>
      <c r="J2376">
        <v>3.7261368421052634E-4</v>
      </c>
      <c r="K2376">
        <v>1.1045972976842105E-2</v>
      </c>
      <c r="L2376">
        <v>4.1243899592881732E-3</v>
      </c>
      <c r="M2376">
        <v>2.4746339755729041E-2</v>
      </c>
      <c r="N2376">
        <v>3.5792312732571142E-2</v>
      </c>
      <c r="O2376" t="s">
        <v>90</v>
      </c>
      <c r="P2376">
        <v>0</v>
      </c>
      <c r="Q2376" t="s">
        <v>90</v>
      </c>
      <c r="R2376">
        <v>0</v>
      </c>
      <c r="S2376" t="s">
        <v>90</v>
      </c>
      <c r="T2376">
        <v>0</v>
      </c>
      <c r="U2376" t="s">
        <v>90</v>
      </c>
      <c r="V2376">
        <v>0</v>
      </c>
      <c r="W2376" t="s">
        <v>90</v>
      </c>
      <c r="X2376">
        <v>0</v>
      </c>
      <c r="Y2376">
        <v>3.5792312732571142E-2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26</v>
      </c>
      <c r="AF2376">
        <v>62</v>
      </c>
      <c r="AG2376">
        <v>52</v>
      </c>
      <c r="AI2376">
        <v>0.01</v>
      </c>
      <c r="AK2376" t="s">
        <v>740</v>
      </c>
      <c r="AL2376" t="s">
        <v>403</v>
      </c>
      <c r="AM2376">
        <v>200000</v>
      </c>
      <c r="AN2376" t="s">
        <v>73</v>
      </c>
      <c r="AO2376">
        <v>1</v>
      </c>
      <c r="AP2376">
        <v>0</v>
      </c>
      <c r="AQ2376">
        <v>16666.666666666668</v>
      </c>
      <c r="AR2376" t="s">
        <v>8423</v>
      </c>
      <c r="AS2376" t="s">
        <v>75</v>
      </c>
      <c r="AX2376" t="s">
        <v>76</v>
      </c>
      <c r="AY2376" t="s">
        <v>176</v>
      </c>
      <c r="AZ2376">
        <v>0</v>
      </c>
      <c r="BA2376" t="s">
        <v>176</v>
      </c>
      <c r="BB2376">
        <v>0</v>
      </c>
    </row>
    <row r="2377" spans="1:56" x14ac:dyDescent="0.15">
      <c r="A2377" s="4" t="str">
        <f>HYPERLINK("https://ibp.a2mac1.com/costing(costing:projects/details/9760/part/8416096)","Front Bumper Harness")</f>
        <v>Front Bumper Harness</v>
      </c>
      <c r="B2377">
        <v>8416096</v>
      </c>
      <c r="C2377">
        <v>8415768</v>
      </c>
      <c r="E2377">
        <v>0</v>
      </c>
      <c r="F2377">
        <v>9.0697939961651191</v>
      </c>
      <c r="G2377">
        <v>0</v>
      </c>
      <c r="H2377">
        <v>0</v>
      </c>
      <c r="I2377" t="s">
        <v>176</v>
      </c>
      <c r="J2377">
        <v>0</v>
      </c>
      <c r="K2377">
        <v>9.387236786030897</v>
      </c>
      <c r="L2377">
        <v>0.10956947391676893</v>
      </c>
      <c r="M2377">
        <v>0.38349315870869127</v>
      </c>
      <c r="N2377">
        <v>9.770729944739589</v>
      </c>
      <c r="O2377" t="s">
        <v>177</v>
      </c>
      <c r="P2377">
        <v>0.56323420716185379</v>
      </c>
      <c r="Q2377" t="s">
        <v>177</v>
      </c>
      <c r="R2377">
        <v>2.3009589522521474E-2</v>
      </c>
      <c r="S2377" t="s">
        <v>322</v>
      </c>
      <c r="T2377">
        <v>0.9770729944739589</v>
      </c>
      <c r="U2377" t="s">
        <v>90</v>
      </c>
      <c r="V2377">
        <v>0</v>
      </c>
      <c r="W2377" t="s">
        <v>90</v>
      </c>
      <c r="X2377">
        <v>0</v>
      </c>
      <c r="Y2377">
        <v>11.334046735897923</v>
      </c>
      <c r="Z2377">
        <v>0</v>
      </c>
      <c r="AA2377">
        <v>0</v>
      </c>
      <c r="AB2377">
        <v>0</v>
      </c>
      <c r="AC2377">
        <v>0</v>
      </c>
      <c r="AD2377">
        <v>0</v>
      </c>
      <c r="AI2377">
        <v>0.4</v>
      </c>
      <c r="AK2377" t="s">
        <v>323</v>
      </c>
      <c r="AL2377" t="s">
        <v>3168</v>
      </c>
      <c r="AM2377">
        <v>200000</v>
      </c>
      <c r="AN2377" t="s">
        <v>97</v>
      </c>
      <c r="AO2377">
        <v>1</v>
      </c>
      <c r="AP2377">
        <v>0</v>
      </c>
      <c r="AQ2377">
        <v>16666.666666666668</v>
      </c>
      <c r="AR2377" t="s">
        <v>8426</v>
      </c>
      <c r="AS2377" t="s">
        <v>75</v>
      </c>
      <c r="AX2377" t="s">
        <v>76</v>
      </c>
      <c r="AY2377" t="s">
        <v>176</v>
      </c>
      <c r="AZ2377">
        <v>0.31744278986577912</v>
      </c>
      <c r="BA2377" t="s">
        <v>176</v>
      </c>
      <c r="BB2377">
        <v>0</v>
      </c>
    </row>
    <row r="2378" spans="1:56" x14ac:dyDescent="0.15">
      <c r="A2378" s="4" t="str">
        <f>HYPERLINK("https://ibp.a2mac1.com/costing(costing:projects/details/9760/part/8416097)","Pedestrian Impact Sensor")</f>
        <v>Pedestrian Impact Sensor</v>
      </c>
      <c r="B2378">
        <v>8416097</v>
      </c>
      <c r="C2378">
        <v>8415768</v>
      </c>
      <c r="E2378">
        <v>4</v>
      </c>
      <c r="F2378">
        <v>0</v>
      </c>
      <c r="G2378">
        <v>0</v>
      </c>
      <c r="H2378">
        <v>0</v>
      </c>
      <c r="I2378" t="s">
        <v>71</v>
      </c>
      <c r="J2378">
        <v>0</v>
      </c>
      <c r="K2378">
        <v>4</v>
      </c>
      <c r="L2378">
        <v>0</v>
      </c>
      <c r="M2378">
        <v>0</v>
      </c>
      <c r="N2378">
        <v>4</v>
      </c>
      <c r="O2378" t="s">
        <v>71</v>
      </c>
      <c r="P2378">
        <v>0</v>
      </c>
      <c r="Q2378" t="s">
        <v>71</v>
      </c>
      <c r="R2378">
        <v>0</v>
      </c>
      <c r="S2378" t="s">
        <v>71</v>
      </c>
      <c r="T2378">
        <v>0</v>
      </c>
      <c r="U2378" t="s">
        <v>71</v>
      </c>
      <c r="V2378">
        <v>0</v>
      </c>
      <c r="W2378" t="s">
        <v>71</v>
      </c>
      <c r="X2378">
        <v>0</v>
      </c>
      <c r="Y2378">
        <v>4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20</v>
      </c>
      <c r="AF2378">
        <v>53</v>
      </c>
      <c r="AG2378">
        <v>62</v>
      </c>
      <c r="AI2378">
        <v>0.02</v>
      </c>
      <c r="AK2378" t="s">
        <v>740</v>
      </c>
      <c r="AL2378" t="s">
        <v>830</v>
      </c>
      <c r="AM2378">
        <v>400000</v>
      </c>
      <c r="AN2378" t="s">
        <v>73</v>
      </c>
      <c r="AO2378">
        <v>2</v>
      </c>
      <c r="AP2378">
        <v>0</v>
      </c>
      <c r="AQ2378">
        <v>33333.333333333336</v>
      </c>
      <c r="AR2378" t="s">
        <v>8427</v>
      </c>
      <c r="AS2378" t="s">
        <v>75</v>
      </c>
      <c r="AX2378" t="s">
        <v>76</v>
      </c>
      <c r="AY2378" t="s">
        <v>71</v>
      </c>
      <c r="AZ2378">
        <v>0</v>
      </c>
      <c r="BA2378" t="s">
        <v>71</v>
      </c>
      <c r="BB2378">
        <v>0</v>
      </c>
      <c r="BD2378">
        <v>2</v>
      </c>
    </row>
    <row r="2379" spans="1:56" x14ac:dyDescent="0.15">
      <c r="A2379" s="4" t="str">
        <f>HYPERLINK("https://ibp.a2mac1.com/costing(costing:projects/details/9760/part/8416098)","Pedestrian Impact Sensor Pressure Line")</f>
        <v>Pedestrian Impact Sensor Pressure Line</v>
      </c>
      <c r="B2379">
        <v>8416098</v>
      </c>
      <c r="C2379">
        <v>8415768</v>
      </c>
      <c r="E2379">
        <v>0.4</v>
      </c>
      <c r="F2379">
        <v>0</v>
      </c>
      <c r="G2379">
        <v>0</v>
      </c>
      <c r="H2379">
        <v>0</v>
      </c>
      <c r="I2379" t="s">
        <v>71</v>
      </c>
      <c r="J2379">
        <v>0</v>
      </c>
      <c r="K2379">
        <v>0.4</v>
      </c>
      <c r="L2379">
        <v>0</v>
      </c>
      <c r="M2379">
        <v>0</v>
      </c>
      <c r="N2379">
        <v>0.4</v>
      </c>
      <c r="O2379" t="s">
        <v>71</v>
      </c>
      <c r="P2379">
        <v>0</v>
      </c>
      <c r="Q2379" t="s">
        <v>71</v>
      </c>
      <c r="R2379">
        <v>0</v>
      </c>
      <c r="S2379" t="s">
        <v>71</v>
      </c>
      <c r="T2379">
        <v>0</v>
      </c>
      <c r="U2379" t="s">
        <v>71</v>
      </c>
      <c r="V2379">
        <v>0</v>
      </c>
      <c r="W2379" t="s">
        <v>71</v>
      </c>
      <c r="X2379">
        <v>0</v>
      </c>
      <c r="Y2379">
        <v>0.4</v>
      </c>
      <c r="Z2379">
        <v>0</v>
      </c>
      <c r="AA2379">
        <v>0</v>
      </c>
      <c r="AB2379">
        <v>0</v>
      </c>
      <c r="AC2379">
        <v>0</v>
      </c>
      <c r="AD2379">
        <v>0</v>
      </c>
      <c r="AI2379">
        <v>7.0000000000000007E-2</v>
      </c>
      <c r="AK2379" t="s">
        <v>740</v>
      </c>
      <c r="AL2379" t="s">
        <v>2582</v>
      </c>
      <c r="AM2379">
        <v>200000</v>
      </c>
      <c r="AN2379" t="s">
        <v>73</v>
      </c>
      <c r="AO2379">
        <v>1</v>
      </c>
      <c r="AP2379">
        <v>0</v>
      </c>
      <c r="AQ2379">
        <v>16666.666666666668</v>
      </c>
      <c r="AR2379" t="s">
        <v>8428</v>
      </c>
      <c r="AS2379" t="s">
        <v>75</v>
      </c>
      <c r="AX2379" t="s">
        <v>76</v>
      </c>
      <c r="AY2379" t="s">
        <v>71</v>
      </c>
      <c r="AZ2379">
        <v>0</v>
      </c>
      <c r="BA2379" t="s">
        <v>71</v>
      </c>
      <c r="BB2379">
        <v>0</v>
      </c>
      <c r="BD2379">
        <v>0.4</v>
      </c>
    </row>
    <row r="2380" spans="1:56" x14ac:dyDescent="0.15">
      <c r="A2380" s="4" t="str">
        <f>HYPERLINK("https://ibp.a2mac1.com/costing(costing:projects/details/9760/part/8416447)","Wheel Arch Liner")</f>
        <v>Wheel Arch Liner</v>
      </c>
      <c r="B2380">
        <v>8416447</v>
      </c>
      <c r="C2380">
        <v>8416104</v>
      </c>
      <c r="E2380">
        <v>2.1293160525000001</v>
      </c>
      <c r="F2380">
        <v>0</v>
      </c>
      <c r="G2380">
        <v>0</v>
      </c>
      <c r="H2380">
        <v>1.0801342582105264E-2</v>
      </c>
      <c r="I2380" t="s">
        <v>176</v>
      </c>
      <c r="J2380">
        <v>7.4712843947368421E-2</v>
      </c>
      <c r="K2380">
        <v>2.2148302390294736</v>
      </c>
      <c r="L2380">
        <v>0.55337643049688501</v>
      </c>
      <c r="M2380">
        <v>3.3202585829813098</v>
      </c>
      <c r="N2380">
        <v>5.535088822010783</v>
      </c>
      <c r="O2380" t="s">
        <v>177</v>
      </c>
      <c r="P2380">
        <v>0.13288981434176841</v>
      </c>
      <c r="Q2380" t="s">
        <v>177</v>
      </c>
      <c r="R2380">
        <v>0.19921551497887857</v>
      </c>
      <c r="S2380" t="s">
        <v>178</v>
      </c>
      <c r="T2380">
        <v>0.66421065864129403</v>
      </c>
      <c r="U2380" t="s">
        <v>90</v>
      </c>
      <c r="V2380">
        <v>0</v>
      </c>
      <c r="W2380" t="s">
        <v>90</v>
      </c>
      <c r="X2380">
        <v>0</v>
      </c>
      <c r="Y2380">
        <v>6.5314048099727247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445</v>
      </c>
      <c r="AF2380">
        <v>788</v>
      </c>
      <c r="AG2380">
        <v>671</v>
      </c>
      <c r="AI2380">
        <v>1.0409999999999999</v>
      </c>
      <c r="AK2380" t="s">
        <v>740</v>
      </c>
      <c r="AL2380" t="s">
        <v>8437</v>
      </c>
      <c r="AM2380">
        <v>200000</v>
      </c>
      <c r="AN2380" t="s">
        <v>97</v>
      </c>
      <c r="AO2380">
        <v>1</v>
      </c>
      <c r="AP2380">
        <v>0</v>
      </c>
      <c r="AQ2380">
        <v>16666.666666666668</v>
      </c>
      <c r="AR2380" t="s">
        <v>8438</v>
      </c>
      <c r="AS2380" t="s">
        <v>75</v>
      </c>
      <c r="AX2380" t="s">
        <v>76</v>
      </c>
      <c r="AY2380" t="s">
        <v>176</v>
      </c>
      <c r="AZ2380">
        <v>0</v>
      </c>
      <c r="BA2380" t="s">
        <v>176</v>
      </c>
      <c r="BB2380">
        <v>0</v>
      </c>
    </row>
    <row r="2381" spans="1:56" x14ac:dyDescent="0.15">
      <c r="A2381" s="4" t="str">
        <f>HYPERLINK("https://ibp.a2mac1.com/costing(costing:projects/details/9760/part/8416448)","Wheel Arch Liner")</f>
        <v>Wheel Arch Liner</v>
      </c>
      <c r="B2381">
        <v>8416448</v>
      </c>
      <c r="C2381">
        <v>8416105</v>
      </c>
      <c r="E2381">
        <v>1.98817983</v>
      </c>
      <c r="F2381">
        <v>0</v>
      </c>
      <c r="G2381">
        <v>0</v>
      </c>
      <c r="H2381">
        <v>1.0085403448421053E-2</v>
      </c>
      <c r="I2381" t="s">
        <v>176</v>
      </c>
      <c r="J2381">
        <v>6.9760695789473678E-2</v>
      </c>
      <c r="K2381">
        <v>2.0680259292378946</v>
      </c>
      <c r="L2381">
        <v>0.55337643049688501</v>
      </c>
      <c r="M2381">
        <v>3.3202585829813098</v>
      </c>
      <c r="N2381">
        <v>5.3882845122192045</v>
      </c>
      <c r="O2381" t="s">
        <v>177</v>
      </c>
      <c r="P2381">
        <v>0.12408155575427368</v>
      </c>
      <c r="Q2381" t="s">
        <v>177</v>
      </c>
      <c r="R2381">
        <v>0.19921551497887857</v>
      </c>
      <c r="S2381" t="s">
        <v>178</v>
      </c>
      <c r="T2381">
        <v>0.64659414146630456</v>
      </c>
      <c r="U2381" t="s">
        <v>90</v>
      </c>
      <c r="V2381">
        <v>0</v>
      </c>
      <c r="W2381" t="s">
        <v>90</v>
      </c>
      <c r="X2381">
        <v>0</v>
      </c>
      <c r="Y2381">
        <v>6.3581757244186612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448</v>
      </c>
      <c r="AF2381">
        <v>776</v>
      </c>
      <c r="AG2381">
        <v>680</v>
      </c>
      <c r="AI2381">
        <v>0.97199999999999998</v>
      </c>
      <c r="AK2381" t="s">
        <v>740</v>
      </c>
      <c r="AL2381" t="s">
        <v>8437</v>
      </c>
      <c r="AM2381">
        <v>200000</v>
      </c>
      <c r="AN2381" t="s">
        <v>97</v>
      </c>
      <c r="AO2381">
        <v>1</v>
      </c>
      <c r="AP2381">
        <v>0</v>
      </c>
      <c r="AQ2381">
        <v>16666.666666666668</v>
      </c>
      <c r="AR2381" t="s">
        <v>8445</v>
      </c>
      <c r="AS2381" t="s">
        <v>75</v>
      </c>
      <c r="AX2381" t="s">
        <v>76</v>
      </c>
      <c r="AY2381" t="s">
        <v>176</v>
      </c>
      <c r="AZ2381">
        <v>0</v>
      </c>
      <c r="BA2381" t="s">
        <v>176</v>
      </c>
      <c r="BB2381">
        <v>0</v>
      </c>
    </row>
    <row r="2382" spans="1:56" x14ac:dyDescent="0.15">
      <c r="A2382" s="4" t="str">
        <f>HYPERLINK("https://ibp.a2mac1.com/costing(costing:projects/details/9760/part/8416102)","Rigidity Part")</f>
        <v>Rigidity Part</v>
      </c>
      <c r="B2382">
        <v>8416102</v>
      </c>
      <c r="C2382">
        <v>8415769</v>
      </c>
      <c r="E2382">
        <v>0.13834160549999999</v>
      </c>
      <c r="F2382">
        <v>0</v>
      </c>
      <c r="G2382">
        <v>0</v>
      </c>
      <c r="H2382">
        <v>7.0176293115789469E-4</v>
      </c>
      <c r="I2382" t="s">
        <v>176</v>
      </c>
      <c r="J2382">
        <v>4.8540914210526316E-3</v>
      </c>
      <c r="K2382">
        <v>0.14389745985221053</v>
      </c>
      <c r="L2382">
        <v>2.001914354397747E-2</v>
      </c>
      <c r="M2382">
        <v>0.12011486126386482</v>
      </c>
      <c r="N2382">
        <v>0.26401232111607537</v>
      </c>
      <c r="O2382" t="s">
        <v>90</v>
      </c>
      <c r="P2382">
        <v>0</v>
      </c>
      <c r="Q2382" t="s">
        <v>90</v>
      </c>
      <c r="R2382">
        <v>0</v>
      </c>
      <c r="S2382" t="s">
        <v>90</v>
      </c>
      <c r="T2382">
        <v>0</v>
      </c>
      <c r="U2382" t="s">
        <v>90</v>
      </c>
      <c r="V2382">
        <v>0</v>
      </c>
      <c r="W2382" t="s">
        <v>90</v>
      </c>
      <c r="X2382">
        <v>0</v>
      </c>
      <c r="Y2382">
        <v>0.26401232111607537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96</v>
      </c>
      <c r="AF2382">
        <v>345</v>
      </c>
      <c r="AG2382">
        <v>40</v>
      </c>
      <c r="AI2382">
        <v>0.123</v>
      </c>
      <c r="AK2382" t="s">
        <v>740</v>
      </c>
      <c r="AL2382" t="s">
        <v>1346</v>
      </c>
      <c r="AM2382">
        <v>200000</v>
      </c>
      <c r="AN2382" t="s">
        <v>73</v>
      </c>
      <c r="AO2382">
        <v>1</v>
      </c>
      <c r="AP2382">
        <v>0</v>
      </c>
      <c r="AQ2382">
        <v>16666.666666666668</v>
      </c>
      <c r="AR2382" t="s">
        <v>8451</v>
      </c>
      <c r="AS2382" t="s">
        <v>75</v>
      </c>
      <c r="AX2382" t="s">
        <v>76</v>
      </c>
      <c r="AY2382" t="s">
        <v>176</v>
      </c>
      <c r="AZ2382">
        <v>0</v>
      </c>
      <c r="BA2382" t="s">
        <v>176</v>
      </c>
      <c r="BB2382">
        <v>0</v>
      </c>
    </row>
    <row r="2383" spans="1:56" x14ac:dyDescent="0.15">
      <c r="A2383" s="4" t="str">
        <f>HYPERLINK("https://ibp.a2mac1.com/costing(costing:projects/details/9760/part/8416103)","Rigidity 2nd Part")</f>
        <v>Rigidity 2nd Part</v>
      </c>
      <c r="B2383">
        <v>8416103</v>
      </c>
      <c r="C2383">
        <v>8415769</v>
      </c>
      <c r="E2383">
        <v>0.1405910625</v>
      </c>
      <c r="F2383">
        <v>0</v>
      </c>
      <c r="G2383">
        <v>0</v>
      </c>
      <c r="H2383">
        <v>7.1317371052631584E-4</v>
      </c>
      <c r="I2383" t="s">
        <v>176</v>
      </c>
      <c r="J2383">
        <v>4.933019736842105E-3</v>
      </c>
      <c r="K2383">
        <v>0.14623725594736842</v>
      </c>
      <c r="L2383">
        <v>2.001914354397747E-2</v>
      </c>
      <c r="M2383">
        <v>0.12011486126386482</v>
      </c>
      <c r="N2383">
        <v>0.26635211721123325</v>
      </c>
      <c r="O2383" t="s">
        <v>90</v>
      </c>
      <c r="P2383">
        <v>0</v>
      </c>
      <c r="Q2383" t="s">
        <v>90</v>
      </c>
      <c r="R2383">
        <v>0</v>
      </c>
      <c r="S2383" t="s">
        <v>90</v>
      </c>
      <c r="T2383">
        <v>0</v>
      </c>
      <c r="U2383" t="s">
        <v>90</v>
      </c>
      <c r="V2383">
        <v>0</v>
      </c>
      <c r="W2383" t="s">
        <v>90</v>
      </c>
      <c r="X2383">
        <v>0</v>
      </c>
      <c r="Y2383">
        <v>0.26635211721123325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95</v>
      </c>
      <c r="AF2383">
        <v>345</v>
      </c>
      <c r="AG2383">
        <v>50</v>
      </c>
      <c r="AI2383">
        <v>0.125</v>
      </c>
      <c r="AK2383" t="s">
        <v>740</v>
      </c>
      <c r="AL2383" t="s">
        <v>1346</v>
      </c>
      <c r="AM2383">
        <v>200000</v>
      </c>
      <c r="AN2383" t="s">
        <v>73</v>
      </c>
      <c r="AO2383">
        <v>1</v>
      </c>
      <c r="AP2383">
        <v>0</v>
      </c>
      <c r="AQ2383">
        <v>16666.666666666668</v>
      </c>
      <c r="AR2383" t="s">
        <v>8455</v>
      </c>
      <c r="AS2383" t="s">
        <v>75</v>
      </c>
      <c r="AX2383" t="s">
        <v>76</v>
      </c>
      <c r="AY2383" t="s">
        <v>176</v>
      </c>
      <c r="AZ2383">
        <v>0</v>
      </c>
      <c r="BA2383" t="s">
        <v>176</v>
      </c>
      <c r="BB2383">
        <v>0</v>
      </c>
    </row>
    <row r="2384" spans="1:56" x14ac:dyDescent="0.15">
      <c r="A2384" s="4" t="str">
        <f>HYPERLINK("https://ibp.a2mac1.com/costing(costing:projects/details/9760/part/8416106)","Upper Energy Absorber")</f>
        <v>Upper Energy Absorber</v>
      </c>
      <c r="B2384">
        <v>8416106</v>
      </c>
      <c r="C2384">
        <v>8415770</v>
      </c>
      <c r="E2384">
        <v>0.60693338690721654</v>
      </c>
      <c r="F2384">
        <v>0</v>
      </c>
      <c r="G2384">
        <v>0</v>
      </c>
      <c r="H2384">
        <v>1.2412198057731959E-2</v>
      </c>
      <c r="I2384" t="s">
        <v>176</v>
      </c>
      <c r="J2384">
        <v>2.1274580412371135E-2</v>
      </c>
      <c r="K2384">
        <v>0.64062016537731958</v>
      </c>
      <c r="L2384">
        <v>5.9371730993192796E-2</v>
      </c>
      <c r="M2384">
        <v>0.35623038595915679</v>
      </c>
      <c r="N2384">
        <v>0.99685055133647638</v>
      </c>
      <c r="O2384" t="s">
        <v>177</v>
      </c>
      <c r="P2384">
        <v>3.8437209922639173E-2</v>
      </c>
      <c r="Q2384" t="s">
        <v>177</v>
      </c>
      <c r="R2384">
        <v>2.1373823157549408E-2</v>
      </c>
      <c r="S2384" t="s">
        <v>178</v>
      </c>
      <c r="T2384">
        <v>0.11962206616037717</v>
      </c>
      <c r="U2384" t="s">
        <v>90</v>
      </c>
      <c r="V2384">
        <v>0</v>
      </c>
      <c r="W2384" t="s">
        <v>90</v>
      </c>
      <c r="X2384">
        <v>0</v>
      </c>
      <c r="Y2384">
        <v>1.1762836505770422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396</v>
      </c>
      <c r="AF2384">
        <v>1625</v>
      </c>
      <c r="AG2384">
        <v>165</v>
      </c>
      <c r="AI2384">
        <v>0.26900000000000002</v>
      </c>
      <c r="AK2384" t="s">
        <v>740</v>
      </c>
      <c r="AL2384" t="s">
        <v>2669</v>
      </c>
      <c r="AM2384">
        <v>200000</v>
      </c>
      <c r="AN2384" t="s">
        <v>97</v>
      </c>
      <c r="AO2384">
        <v>1</v>
      </c>
      <c r="AP2384">
        <v>0</v>
      </c>
      <c r="AQ2384">
        <v>16666.666666666668</v>
      </c>
      <c r="AR2384" t="s">
        <v>8463</v>
      </c>
      <c r="AS2384" t="s">
        <v>75</v>
      </c>
      <c r="AX2384" t="s">
        <v>76</v>
      </c>
      <c r="AY2384" t="s">
        <v>176</v>
      </c>
      <c r="AZ2384">
        <v>0</v>
      </c>
      <c r="BA2384" t="s">
        <v>176</v>
      </c>
      <c r="BB2384">
        <v>0</v>
      </c>
    </row>
    <row r="2385" spans="1:54" x14ac:dyDescent="0.15">
      <c r="A2385" s="4" t="str">
        <f>HYPERLINK("https://ibp.a2mac1.com/costing(costing:projects/details/9760/part/8416107)","Upper Cross Member")</f>
        <v>Upper Cross Member</v>
      </c>
      <c r="B2385">
        <v>8416107</v>
      </c>
      <c r="C2385">
        <v>8415771</v>
      </c>
      <c r="E2385">
        <v>12.729759965101165</v>
      </c>
      <c r="F2385">
        <v>0</v>
      </c>
      <c r="G2385">
        <v>0</v>
      </c>
      <c r="H2385">
        <v>2.627163775069976E-2</v>
      </c>
      <c r="I2385" t="s">
        <v>176</v>
      </c>
      <c r="J2385">
        <v>0.45295107025505821</v>
      </c>
      <c r="K2385">
        <v>13.208982673106922</v>
      </c>
      <c r="L2385">
        <v>9.3743825032743783E-2</v>
      </c>
      <c r="M2385">
        <v>0.56246295019646275</v>
      </c>
      <c r="N2385">
        <v>13.771445623303384</v>
      </c>
      <c r="O2385" t="s">
        <v>177</v>
      </c>
      <c r="P2385">
        <v>0.79253896038641536</v>
      </c>
      <c r="Q2385" t="s">
        <v>177</v>
      </c>
      <c r="R2385">
        <v>3.3747777011787765E-2</v>
      </c>
      <c r="S2385" t="s">
        <v>178</v>
      </c>
      <c r="T2385">
        <v>1.6525734747964063</v>
      </c>
      <c r="U2385" t="s">
        <v>90</v>
      </c>
      <c r="V2385">
        <v>0</v>
      </c>
      <c r="W2385" t="s">
        <v>90</v>
      </c>
      <c r="X2385">
        <v>0</v>
      </c>
      <c r="Y2385">
        <v>16.250305835497993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283</v>
      </c>
      <c r="AF2385">
        <v>1485</v>
      </c>
      <c r="AG2385">
        <v>108</v>
      </c>
      <c r="AI2385">
        <v>5.4089999999999998</v>
      </c>
      <c r="AK2385" t="s">
        <v>740</v>
      </c>
      <c r="AL2385" t="s">
        <v>104</v>
      </c>
      <c r="AM2385">
        <v>200000</v>
      </c>
      <c r="AN2385" t="s">
        <v>97</v>
      </c>
      <c r="AO2385">
        <v>1</v>
      </c>
      <c r="AP2385">
        <v>0</v>
      </c>
      <c r="AQ2385">
        <v>16666.666666666668</v>
      </c>
      <c r="AR2385" t="s">
        <v>8473</v>
      </c>
      <c r="AS2385" t="s">
        <v>75</v>
      </c>
      <c r="AX2385" t="s">
        <v>76</v>
      </c>
      <c r="AY2385" t="s">
        <v>176</v>
      </c>
      <c r="AZ2385">
        <v>0</v>
      </c>
      <c r="BA2385" t="s">
        <v>176</v>
      </c>
      <c r="BB2385">
        <v>0</v>
      </c>
    </row>
    <row r="2386" spans="1:54" x14ac:dyDescent="0.15">
      <c r="A2386" s="4" t="str">
        <f>HYPERLINK("https://ibp.a2mac1.com/costing(costing:projects/details/9760/part/8416108)","Left Support")</f>
        <v>Left Support</v>
      </c>
      <c r="B2386">
        <v>8416108</v>
      </c>
      <c r="C2386">
        <v>8415771</v>
      </c>
      <c r="E2386">
        <v>6.0441440430858417</v>
      </c>
      <c r="F2386">
        <v>0</v>
      </c>
      <c r="G2386">
        <v>0</v>
      </c>
      <c r="H2386">
        <v>1.6176751075868818E-2</v>
      </c>
      <c r="I2386" t="s">
        <v>176</v>
      </c>
      <c r="J2386">
        <v>0.2156059585542921</v>
      </c>
      <c r="K2386">
        <v>6.2759267527160025</v>
      </c>
      <c r="L2386">
        <v>0.69562616839970859</v>
      </c>
      <c r="M2386">
        <v>4.1737570103982513</v>
      </c>
      <c r="N2386">
        <v>10.449683763114255</v>
      </c>
      <c r="O2386" t="s">
        <v>177</v>
      </c>
      <c r="P2386">
        <v>0.37655560516296016</v>
      </c>
      <c r="Q2386" t="s">
        <v>177</v>
      </c>
      <c r="R2386">
        <v>0.25042542062389506</v>
      </c>
      <c r="S2386" t="s">
        <v>178</v>
      </c>
      <c r="T2386">
        <v>1.2539620515737104</v>
      </c>
      <c r="U2386" t="s">
        <v>90</v>
      </c>
      <c r="V2386">
        <v>0</v>
      </c>
      <c r="W2386" t="s">
        <v>90</v>
      </c>
      <c r="X2386">
        <v>0</v>
      </c>
      <c r="Y2386">
        <v>12.330626840474819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115</v>
      </c>
      <c r="AF2386">
        <v>423</v>
      </c>
      <c r="AG2386">
        <v>125</v>
      </c>
      <c r="AI2386">
        <v>2.4319999999999999</v>
      </c>
      <c r="AK2386" t="s">
        <v>740</v>
      </c>
      <c r="AL2386" t="s">
        <v>104</v>
      </c>
      <c r="AM2386">
        <v>200000</v>
      </c>
      <c r="AN2386" t="s">
        <v>97</v>
      </c>
      <c r="AO2386">
        <v>1</v>
      </c>
      <c r="AP2386">
        <v>0</v>
      </c>
      <c r="AQ2386">
        <v>16666.666666666668</v>
      </c>
      <c r="AR2386" t="s">
        <v>8483</v>
      </c>
      <c r="AS2386" t="s">
        <v>75</v>
      </c>
      <c r="AX2386" t="s">
        <v>76</v>
      </c>
      <c r="AY2386" t="s">
        <v>176</v>
      </c>
      <c r="AZ2386">
        <v>0</v>
      </c>
      <c r="BA2386" t="s">
        <v>176</v>
      </c>
      <c r="BB2386">
        <v>0</v>
      </c>
    </row>
    <row r="2387" spans="1:54" x14ac:dyDescent="0.15">
      <c r="A2387" s="4" t="str">
        <f>HYPERLINK("https://ibp.a2mac1.com/costing(costing:projects/details/9760/part/8416109)","Right Support")</f>
        <v>Right Support</v>
      </c>
      <c r="B2387">
        <v>8416109</v>
      </c>
      <c r="C2387">
        <v>8415771</v>
      </c>
      <c r="E2387">
        <v>6.0441440430858417</v>
      </c>
      <c r="F2387">
        <v>0</v>
      </c>
      <c r="G2387">
        <v>0</v>
      </c>
      <c r="H2387">
        <v>1.6176751075868818E-2</v>
      </c>
      <c r="I2387" t="s">
        <v>176</v>
      </c>
      <c r="J2387">
        <v>0.2156059585542921</v>
      </c>
      <c r="K2387">
        <v>6.2759267527160025</v>
      </c>
      <c r="L2387">
        <v>0.69562616839970859</v>
      </c>
      <c r="M2387">
        <v>4.1737570103982513</v>
      </c>
      <c r="N2387">
        <v>10.449683763114255</v>
      </c>
      <c r="O2387" t="s">
        <v>177</v>
      </c>
      <c r="P2387">
        <v>0.37655560516296016</v>
      </c>
      <c r="Q2387" t="s">
        <v>177</v>
      </c>
      <c r="R2387">
        <v>0.25042542062389506</v>
      </c>
      <c r="S2387" t="s">
        <v>178</v>
      </c>
      <c r="T2387">
        <v>1.2539620515737104</v>
      </c>
      <c r="U2387" t="s">
        <v>90</v>
      </c>
      <c r="V2387">
        <v>0</v>
      </c>
      <c r="W2387" t="s">
        <v>90</v>
      </c>
      <c r="X2387">
        <v>0</v>
      </c>
      <c r="Y2387">
        <v>12.330626840474819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115</v>
      </c>
      <c r="AF2387">
        <v>423</v>
      </c>
      <c r="AG2387">
        <v>125</v>
      </c>
      <c r="AI2387">
        <v>2.4140000000000001</v>
      </c>
      <c r="AK2387" t="s">
        <v>740</v>
      </c>
      <c r="AL2387" t="s">
        <v>104</v>
      </c>
      <c r="AM2387">
        <v>200000</v>
      </c>
      <c r="AN2387" t="s">
        <v>97</v>
      </c>
      <c r="AO2387">
        <v>1</v>
      </c>
      <c r="AP2387">
        <v>0</v>
      </c>
      <c r="AQ2387">
        <v>16666.666666666668</v>
      </c>
      <c r="AR2387" t="s">
        <v>8488</v>
      </c>
      <c r="AS2387" t="s">
        <v>75</v>
      </c>
      <c r="AX2387" t="s">
        <v>76</v>
      </c>
      <c r="AY2387" t="s">
        <v>176</v>
      </c>
      <c r="AZ2387">
        <v>0</v>
      </c>
      <c r="BA2387" t="s">
        <v>176</v>
      </c>
      <c r="BB2387">
        <v>0</v>
      </c>
    </row>
    <row r="2388" spans="1:54" x14ac:dyDescent="0.15">
      <c r="A2388" s="4" t="str">
        <f>HYPERLINK("https://ibp.a2mac1.com/costing(costing:projects/details/9760/part/8416110)","Fasteners on Fender")</f>
        <v>Fasteners on Fender</v>
      </c>
      <c r="B2388">
        <v>8416110</v>
      </c>
      <c r="C2388">
        <v>8415772</v>
      </c>
      <c r="E2388">
        <v>0.55738725</v>
      </c>
      <c r="F2388">
        <v>0</v>
      </c>
      <c r="G2388">
        <v>0</v>
      </c>
      <c r="H2388">
        <v>2.8106845789473683E-3</v>
      </c>
      <c r="I2388" t="s">
        <v>176</v>
      </c>
      <c r="J2388">
        <v>1.9557447368421053E-2</v>
      </c>
      <c r="K2388">
        <v>0.57975538194736842</v>
      </c>
      <c r="L2388">
        <v>3.7678856151897609E-2</v>
      </c>
      <c r="M2388">
        <v>0.22607313691138567</v>
      </c>
      <c r="N2388">
        <v>0.80582851885875406</v>
      </c>
      <c r="O2388" t="s">
        <v>177</v>
      </c>
      <c r="P2388">
        <v>3.4785322916842103E-2</v>
      </c>
      <c r="Q2388" t="s">
        <v>177</v>
      </c>
      <c r="R2388">
        <v>1.3564388214683139E-2</v>
      </c>
      <c r="S2388" t="s">
        <v>178</v>
      </c>
      <c r="T2388">
        <v>9.6699422263050491E-2</v>
      </c>
      <c r="U2388" t="s">
        <v>90</v>
      </c>
      <c r="V2388">
        <v>0</v>
      </c>
      <c r="W2388" t="s">
        <v>90</v>
      </c>
      <c r="X2388">
        <v>0</v>
      </c>
      <c r="Y2388">
        <v>0.95087765225332987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47</v>
      </c>
      <c r="AF2388">
        <v>73</v>
      </c>
      <c r="AG2388">
        <v>232</v>
      </c>
      <c r="AI2388">
        <v>0.125</v>
      </c>
      <c r="AK2388" t="s">
        <v>740</v>
      </c>
      <c r="AL2388" t="s">
        <v>2086</v>
      </c>
      <c r="AM2388">
        <v>400000</v>
      </c>
      <c r="AN2388" t="s">
        <v>97</v>
      </c>
      <c r="AO2388">
        <v>2</v>
      </c>
      <c r="AP2388">
        <v>0</v>
      </c>
      <c r="AQ2388">
        <v>33333.333333333336</v>
      </c>
      <c r="AR2388" t="s">
        <v>8493</v>
      </c>
      <c r="AS2388" t="s">
        <v>75</v>
      </c>
      <c r="AX2388" t="s">
        <v>76</v>
      </c>
      <c r="AY2388" t="s">
        <v>176</v>
      </c>
      <c r="AZ2388">
        <v>0</v>
      </c>
      <c r="BA2388" t="s">
        <v>176</v>
      </c>
      <c r="BB2388">
        <v>0</v>
      </c>
    </row>
    <row r="2389" spans="1:54" x14ac:dyDescent="0.15">
      <c r="A2389" s="4" t="str">
        <f>HYPERLINK("https://ibp.a2mac1.com/costing(costing:projects/details/9760/part/8416111)","Upper Center Fastener")</f>
        <v>Upper Center Fastener</v>
      </c>
      <c r="B2389">
        <v>8416111</v>
      </c>
      <c r="C2389">
        <v>8415772</v>
      </c>
      <c r="E2389">
        <v>0.49593018300000002</v>
      </c>
      <c r="F2389">
        <v>0</v>
      </c>
      <c r="G2389">
        <v>0</v>
      </c>
      <c r="H2389">
        <v>2.5156959658947367E-3</v>
      </c>
      <c r="I2389" t="s">
        <v>176</v>
      </c>
      <c r="J2389">
        <v>1.740105905263158E-2</v>
      </c>
      <c r="K2389">
        <v>0.51584693801852632</v>
      </c>
      <c r="L2389">
        <v>7.6565574225524614E-3</v>
      </c>
      <c r="M2389">
        <v>4.5939344535314765E-2</v>
      </c>
      <c r="N2389">
        <v>0.56178628255384111</v>
      </c>
      <c r="O2389" t="s">
        <v>177</v>
      </c>
      <c r="P2389">
        <v>3.0950816281111578E-2</v>
      </c>
      <c r="Q2389" t="s">
        <v>177</v>
      </c>
      <c r="R2389">
        <v>2.756360672118886E-3</v>
      </c>
      <c r="S2389" t="s">
        <v>178</v>
      </c>
      <c r="T2389">
        <v>6.741435390646093E-2</v>
      </c>
      <c r="U2389" t="s">
        <v>90</v>
      </c>
      <c r="V2389">
        <v>0</v>
      </c>
      <c r="W2389" t="s">
        <v>90</v>
      </c>
      <c r="X2389">
        <v>0</v>
      </c>
      <c r="Y2389">
        <v>0.66290781341353244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224</v>
      </c>
      <c r="AF2389">
        <v>880</v>
      </c>
      <c r="AG2389">
        <v>47</v>
      </c>
      <c r="AI2389">
        <v>0.46700000000000003</v>
      </c>
      <c r="AK2389" t="s">
        <v>740</v>
      </c>
      <c r="AL2389" t="s">
        <v>399</v>
      </c>
      <c r="AM2389">
        <v>200000</v>
      </c>
      <c r="AN2389" t="s">
        <v>97</v>
      </c>
      <c r="AO2389">
        <v>1</v>
      </c>
      <c r="AP2389">
        <v>0</v>
      </c>
      <c r="AQ2389">
        <v>16666.666666666668</v>
      </c>
      <c r="AR2389" t="s">
        <v>8498</v>
      </c>
      <c r="AS2389" t="s">
        <v>75</v>
      </c>
      <c r="AX2389" t="s">
        <v>76</v>
      </c>
      <c r="AY2389" t="s">
        <v>176</v>
      </c>
      <c r="AZ2389">
        <v>0</v>
      </c>
      <c r="BA2389" t="s">
        <v>176</v>
      </c>
      <c r="BB2389">
        <v>0</v>
      </c>
    </row>
    <row r="2390" spans="1:54" x14ac:dyDescent="0.15">
      <c r="A2390" s="4" t="str">
        <f>HYPERLINK("https://ibp.a2mac1.com/costing(costing:projects/details/9760/part/8416112)","2nd Fasteners on Fender")</f>
        <v>2nd Fasteners on Fender</v>
      </c>
      <c r="B2390">
        <v>8416112</v>
      </c>
      <c r="C2390">
        <v>8415772</v>
      </c>
      <c r="E2390">
        <v>0.14715023399999999</v>
      </c>
      <c r="F2390">
        <v>0</v>
      </c>
      <c r="G2390">
        <v>0</v>
      </c>
      <c r="H2390">
        <v>7.4202072884210529E-4</v>
      </c>
      <c r="I2390" t="s">
        <v>176</v>
      </c>
      <c r="J2390">
        <v>5.1631661052631578E-3</v>
      </c>
      <c r="K2390">
        <v>0.15305542083410525</v>
      </c>
      <c r="L2390">
        <v>0.14364071710361714</v>
      </c>
      <c r="M2390">
        <v>0.86184430262170275</v>
      </c>
      <c r="N2390">
        <v>1.0148997234558081</v>
      </c>
      <c r="O2390" t="s">
        <v>90</v>
      </c>
      <c r="P2390">
        <v>0</v>
      </c>
      <c r="Q2390" t="s">
        <v>90</v>
      </c>
      <c r="R2390">
        <v>0</v>
      </c>
      <c r="S2390" t="s">
        <v>90</v>
      </c>
      <c r="T2390">
        <v>0</v>
      </c>
      <c r="U2390" t="s">
        <v>90</v>
      </c>
      <c r="V2390">
        <v>0</v>
      </c>
      <c r="W2390" t="s">
        <v>90</v>
      </c>
      <c r="X2390">
        <v>0</v>
      </c>
      <c r="Y2390">
        <v>1.0148997234558081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36</v>
      </c>
      <c r="AF2390">
        <v>36</v>
      </c>
      <c r="AG2390">
        <v>84</v>
      </c>
      <c r="AI2390">
        <v>3.3000000000000002E-2</v>
      </c>
      <c r="AK2390" t="s">
        <v>740</v>
      </c>
      <c r="AL2390" t="s">
        <v>2086</v>
      </c>
      <c r="AM2390">
        <v>400000</v>
      </c>
      <c r="AN2390" t="s">
        <v>73</v>
      </c>
      <c r="AO2390">
        <v>2</v>
      </c>
      <c r="AP2390">
        <v>0</v>
      </c>
      <c r="AQ2390">
        <v>33333.333333333336</v>
      </c>
      <c r="AR2390" t="s">
        <v>8501</v>
      </c>
      <c r="AS2390" t="s">
        <v>75</v>
      </c>
      <c r="AX2390" t="s">
        <v>76</v>
      </c>
      <c r="AY2390" t="s">
        <v>176</v>
      </c>
      <c r="AZ2390">
        <v>0</v>
      </c>
      <c r="BA2390" t="s">
        <v>176</v>
      </c>
      <c r="BB2390">
        <v>0</v>
      </c>
    </row>
    <row r="2391" spans="1:54" x14ac:dyDescent="0.15">
      <c r="A2391" s="4" t="str">
        <f>HYPERLINK("https://ibp.a2mac1.com/costing(costing:projects/details/9760/part/8416113)","Rear Cross Member")</f>
        <v>Rear Cross Member</v>
      </c>
      <c r="B2391">
        <v>8416113</v>
      </c>
      <c r="C2391">
        <v>8415773</v>
      </c>
      <c r="E2391">
        <v>3.8673833264500161</v>
      </c>
      <c r="F2391">
        <v>0</v>
      </c>
      <c r="G2391">
        <v>0</v>
      </c>
      <c r="H2391">
        <v>4.0899480758685956E-3</v>
      </c>
      <c r="I2391" t="s">
        <v>176</v>
      </c>
      <c r="J2391">
        <v>0.13764248332250081</v>
      </c>
      <c r="K2391">
        <v>4.0091157578483854</v>
      </c>
      <c r="L2391">
        <v>0.47988933059465005</v>
      </c>
      <c r="M2391">
        <v>2.8793359835679002</v>
      </c>
      <c r="N2391">
        <v>6.8884517414162856</v>
      </c>
      <c r="O2391" t="s">
        <v>177</v>
      </c>
      <c r="P2391">
        <v>0.24054694547090313</v>
      </c>
      <c r="Q2391" t="s">
        <v>177</v>
      </c>
      <c r="R2391">
        <v>0.17276015901407402</v>
      </c>
      <c r="S2391" t="s">
        <v>178</v>
      </c>
      <c r="T2391">
        <v>0.8266142089699543</v>
      </c>
      <c r="U2391" t="s">
        <v>90</v>
      </c>
      <c r="V2391">
        <v>0</v>
      </c>
      <c r="W2391" t="s">
        <v>90</v>
      </c>
      <c r="X2391">
        <v>0</v>
      </c>
      <c r="Y2391">
        <v>8.1283730548712168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K2391" t="s">
        <v>272</v>
      </c>
      <c r="AM2391">
        <v>200000</v>
      </c>
      <c r="AN2391" t="s">
        <v>97</v>
      </c>
      <c r="AO2391">
        <v>1</v>
      </c>
      <c r="AP2391">
        <v>0</v>
      </c>
      <c r="AQ2391">
        <v>16666.666666666668</v>
      </c>
      <c r="AR2391" t="s">
        <v>9</v>
      </c>
      <c r="AS2391" t="s">
        <v>75</v>
      </c>
      <c r="AV2391">
        <v>0</v>
      </c>
      <c r="AW2391">
        <v>0</v>
      </c>
      <c r="AX2391" t="s">
        <v>76</v>
      </c>
      <c r="AY2391" t="s">
        <v>176</v>
      </c>
      <c r="AZ2391">
        <v>0</v>
      </c>
      <c r="BA2391" t="s">
        <v>176</v>
      </c>
      <c r="BB2391">
        <v>0</v>
      </c>
    </row>
    <row r="2392" spans="1:54" x14ac:dyDescent="0.15">
      <c r="A2392" s="4" t="str">
        <f>HYPERLINK("https://ibp.a2mac1.com/costing(costing:projects/details/9760/part/8416114)","Crashbox")</f>
        <v>Crashbox</v>
      </c>
      <c r="B2392">
        <v>8416114</v>
      </c>
      <c r="C2392">
        <v>8415773</v>
      </c>
      <c r="E2392">
        <v>1.3157255785034663</v>
      </c>
      <c r="F2392">
        <v>0</v>
      </c>
      <c r="G2392">
        <v>0</v>
      </c>
      <c r="H2392">
        <v>1.35078747412643E-3</v>
      </c>
      <c r="I2392" t="s">
        <v>176</v>
      </c>
      <c r="J2392">
        <v>4.6809466925173321E-2</v>
      </c>
      <c r="K2392">
        <v>1.3638858329027661</v>
      </c>
      <c r="L2392">
        <v>0.21516775630715787</v>
      </c>
      <c r="M2392">
        <v>1.2910065378429472</v>
      </c>
      <c r="N2392">
        <v>2.6548923707457135</v>
      </c>
      <c r="O2392" t="s">
        <v>177</v>
      </c>
      <c r="P2392">
        <v>8.1833149974165964E-2</v>
      </c>
      <c r="Q2392" t="s">
        <v>177</v>
      </c>
      <c r="R2392">
        <v>7.7460392270576828E-2</v>
      </c>
      <c r="S2392" t="s">
        <v>178</v>
      </c>
      <c r="T2392">
        <v>0.31858708448948558</v>
      </c>
      <c r="U2392" t="s">
        <v>90</v>
      </c>
      <c r="V2392">
        <v>0</v>
      </c>
      <c r="W2392" t="s">
        <v>90</v>
      </c>
      <c r="X2392">
        <v>0</v>
      </c>
      <c r="Y2392">
        <v>3.1327729974799419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K2392" t="s">
        <v>272</v>
      </c>
      <c r="AM2392">
        <v>400000</v>
      </c>
      <c r="AN2392" t="s">
        <v>97</v>
      </c>
      <c r="AO2392">
        <v>2</v>
      </c>
      <c r="AP2392">
        <v>0</v>
      </c>
      <c r="AQ2392">
        <v>33333.333333333336</v>
      </c>
      <c r="AR2392" t="s">
        <v>9</v>
      </c>
      <c r="AS2392" t="s">
        <v>75</v>
      </c>
      <c r="AV2392">
        <v>0</v>
      </c>
      <c r="AW2392">
        <v>0</v>
      </c>
      <c r="AX2392" t="s">
        <v>76</v>
      </c>
      <c r="AY2392" t="s">
        <v>176</v>
      </c>
      <c r="AZ2392">
        <v>0</v>
      </c>
      <c r="BA2392" t="s">
        <v>176</v>
      </c>
      <c r="BB2392">
        <v>0</v>
      </c>
    </row>
    <row r="2393" spans="1:54" x14ac:dyDescent="0.15">
      <c r="A2393" s="4" t="str">
        <f>HYPERLINK("https://ibp.a2mac1.com/costing(costing:projects/details/9760/part/8416115)","Rear Plate")</f>
        <v>Rear Plate</v>
      </c>
      <c r="B2393">
        <v>8416115</v>
      </c>
      <c r="C2393">
        <v>8415773</v>
      </c>
      <c r="E2393">
        <v>0.90924745350000002</v>
      </c>
      <c r="F2393">
        <v>0</v>
      </c>
      <c r="G2393">
        <v>0</v>
      </c>
      <c r="H2393">
        <v>9.7695737025000002E-4</v>
      </c>
      <c r="I2393" t="s">
        <v>176</v>
      </c>
      <c r="J2393">
        <v>3.3854958375000001E-2</v>
      </c>
      <c r="K2393">
        <v>0.94407936924525004</v>
      </c>
      <c r="L2393">
        <v>7.2044664500020093E-3</v>
      </c>
      <c r="M2393">
        <v>4.3226798700012052E-2</v>
      </c>
      <c r="N2393">
        <v>0.98730616794526205</v>
      </c>
      <c r="O2393" t="s">
        <v>177</v>
      </c>
      <c r="P2393">
        <v>5.6644762154714999E-2</v>
      </c>
      <c r="Q2393" t="s">
        <v>177</v>
      </c>
      <c r="R2393">
        <v>2.5936079220007231E-3</v>
      </c>
      <c r="S2393" t="s">
        <v>178</v>
      </c>
      <c r="T2393">
        <v>0.11847674015343145</v>
      </c>
      <c r="U2393" t="s">
        <v>90</v>
      </c>
      <c r="V2393">
        <v>0</v>
      </c>
      <c r="W2393" t="s">
        <v>90</v>
      </c>
      <c r="X2393">
        <v>0</v>
      </c>
      <c r="Y2393">
        <v>1.1650212781754092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K2393" t="s">
        <v>272</v>
      </c>
      <c r="AM2393">
        <v>400000</v>
      </c>
      <c r="AN2393" t="s">
        <v>97</v>
      </c>
      <c r="AO2393">
        <v>2</v>
      </c>
      <c r="AP2393">
        <v>0</v>
      </c>
      <c r="AQ2393">
        <v>33333.333333333336</v>
      </c>
      <c r="AR2393" t="s">
        <v>9</v>
      </c>
      <c r="AS2393" t="s">
        <v>75</v>
      </c>
      <c r="AV2393">
        <v>0</v>
      </c>
      <c r="AW2393">
        <v>0</v>
      </c>
      <c r="AX2393" t="s">
        <v>76</v>
      </c>
      <c r="AY2393" t="s">
        <v>176</v>
      </c>
      <c r="AZ2393">
        <v>0</v>
      </c>
      <c r="BA2393" t="s">
        <v>176</v>
      </c>
      <c r="BB2393">
        <v>0</v>
      </c>
    </row>
    <row r="2394" spans="1:54" x14ac:dyDescent="0.15">
      <c r="A2394" s="4" t="str">
        <f>HYPERLINK("https://ibp.a2mac1.com/costing(costing:projects/details/9760/part/8416449)","Lateral Bezel")</f>
        <v>Lateral Bezel</v>
      </c>
      <c r="B2394">
        <v>8416449</v>
      </c>
      <c r="C2394">
        <v>8416120</v>
      </c>
      <c r="E2394">
        <v>0.12776744400000001</v>
      </c>
      <c r="F2394">
        <v>0</v>
      </c>
      <c r="G2394">
        <v>0</v>
      </c>
      <c r="H2394">
        <v>6.4812357557894737E-4</v>
      </c>
      <c r="I2394" t="s">
        <v>176</v>
      </c>
      <c r="J2394">
        <v>4.4830682105263158E-3</v>
      </c>
      <c r="K2394">
        <v>0.13289863578610525</v>
      </c>
      <c r="L2394">
        <v>1.2954808617448894E-2</v>
      </c>
      <c r="M2394">
        <v>7.7728851704693361E-2</v>
      </c>
      <c r="N2394">
        <v>0.21062748749079863</v>
      </c>
      <c r="O2394" t="s">
        <v>90</v>
      </c>
      <c r="P2394">
        <v>0</v>
      </c>
      <c r="Q2394" t="s">
        <v>90</v>
      </c>
      <c r="R2394">
        <v>0</v>
      </c>
      <c r="S2394" t="s">
        <v>90</v>
      </c>
      <c r="T2394">
        <v>0</v>
      </c>
      <c r="U2394" t="s">
        <v>90</v>
      </c>
      <c r="V2394">
        <v>0</v>
      </c>
      <c r="W2394" t="s">
        <v>90</v>
      </c>
      <c r="X2394">
        <v>0</v>
      </c>
      <c r="Y2394">
        <v>0.21062748749079863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39</v>
      </c>
      <c r="AF2394">
        <v>127</v>
      </c>
      <c r="AG2394">
        <v>268</v>
      </c>
      <c r="AI2394">
        <v>6.8000000000000005E-2</v>
      </c>
      <c r="AK2394" t="s">
        <v>740</v>
      </c>
      <c r="AL2394" t="s">
        <v>951</v>
      </c>
      <c r="AM2394">
        <v>200000</v>
      </c>
      <c r="AN2394" t="s">
        <v>73</v>
      </c>
      <c r="AO2394">
        <v>1</v>
      </c>
      <c r="AP2394">
        <v>0</v>
      </c>
      <c r="AQ2394">
        <v>16666.666666666668</v>
      </c>
      <c r="AR2394" t="s">
        <v>8526</v>
      </c>
      <c r="AS2394" t="s">
        <v>75</v>
      </c>
      <c r="AX2394" t="s">
        <v>76</v>
      </c>
      <c r="AY2394" t="s">
        <v>176</v>
      </c>
      <c r="AZ2394">
        <v>0</v>
      </c>
      <c r="BA2394" t="s">
        <v>176</v>
      </c>
      <c r="BB2394">
        <v>0</v>
      </c>
    </row>
    <row r="2395" spans="1:54" x14ac:dyDescent="0.15">
      <c r="A2395" s="4" t="str">
        <f>HYPERLINK("https://ibp.a2mac1.com/costing(costing:projects/details/9760/part/8416450)","Lateral Bezel 2")</f>
        <v>Lateral Bezel 2</v>
      </c>
      <c r="B2395">
        <v>8416450</v>
      </c>
      <c r="C2395">
        <v>8416120</v>
      </c>
      <c r="E2395">
        <v>0.12588851100000001</v>
      </c>
      <c r="F2395">
        <v>0</v>
      </c>
      <c r="G2395">
        <v>0</v>
      </c>
      <c r="H2395">
        <v>6.3859234652631578E-4</v>
      </c>
      <c r="I2395" t="s">
        <v>176</v>
      </c>
      <c r="J2395">
        <v>4.4171407368421055E-3</v>
      </c>
      <c r="K2395">
        <v>0.13094424408336841</v>
      </c>
      <c r="L2395">
        <v>1.2954808617448894E-2</v>
      </c>
      <c r="M2395">
        <v>7.7728851704693361E-2</v>
      </c>
      <c r="N2395">
        <v>0.20867309578806179</v>
      </c>
      <c r="O2395" t="s">
        <v>90</v>
      </c>
      <c r="P2395">
        <v>0</v>
      </c>
      <c r="Q2395" t="s">
        <v>90</v>
      </c>
      <c r="R2395">
        <v>0</v>
      </c>
      <c r="S2395" t="s">
        <v>90</v>
      </c>
      <c r="T2395">
        <v>0</v>
      </c>
      <c r="U2395" t="s">
        <v>90</v>
      </c>
      <c r="V2395">
        <v>0</v>
      </c>
      <c r="W2395" t="s">
        <v>90</v>
      </c>
      <c r="X2395">
        <v>0</v>
      </c>
      <c r="Y2395">
        <v>0.20867309578806179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39</v>
      </c>
      <c r="AF2395">
        <v>127</v>
      </c>
      <c r="AG2395">
        <v>268</v>
      </c>
      <c r="AI2395">
        <v>6.7000000000000004E-2</v>
      </c>
      <c r="AK2395" t="s">
        <v>740</v>
      </c>
      <c r="AL2395" t="s">
        <v>951</v>
      </c>
      <c r="AM2395">
        <v>200000</v>
      </c>
      <c r="AN2395" t="s">
        <v>73</v>
      </c>
      <c r="AO2395">
        <v>1</v>
      </c>
      <c r="AP2395">
        <v>0</v>
      </c>
      <c r="AQ2395">
        <v>16666.666666666668</v>
      </c>
      <c r="AR2395" t="s">
        <v>8529</v>
      </c>
      <c r="AS2395" t="s">
        <v>75</v>
      </c>
      <c r="AX2395" t="s">
        <v>76</v>
      </c>
      <c r="AY2395" t="s">
        <v>176</v>
      </c>
      <c r="AZ2395">
        <v>0</v>
      </c>
      <c r="BA2395" t="s">
        <v>176</v>
      </c>
      <c r="BB2395">
        <v>0</v>
      </c>
    </row>
    <row r="2396" spans="1:54" x14ac:dyDescent="0.15">
      <c r="A2396" s="4" t="str">
        <f>HYPERLINK("https://ibp.a2mac1.com/costing(costing:projects/details/9760/part/8416451)","Left")</f>
        <v>Left</v>
      </c>
      <c r="B2396">
        <v>8416451</v>
      </c>
      <c r="C2396">
        <v>8416121</v>
      </c>
      <c r="E2396">
        <v>0.40397059499999999</v>
      </c>
      <c r="F2396">
        <v>0</v>
      </c>
      <c r="G2396">
        <v>0</v>
      </c>
      <c r="H2396">
        <v>2.0492142463157895E-3</v>
      </c>
      <c r="I2396" t="s">
        <v>176</v>
      </c>
      <c r="J2396">
        <v>1.4174406842105263E-2</v>
      </c>
      <c r="K2396">
        <v>0.42019421608842106</v>
      </c>
      <c r="L2396">
        <v>0.12775025117353825</v>
      </c>
      <c r="M2396">
        <v>0.76650150704122955</v>
      </c>
      <c r="N2396">
        <v>1.1866957231296507</v>
      </c>
      <c r="O2396" t="s">
        <v>90</v>
      </c>
      <c r="P2396">
        <v>0</v>
      </c>
      <c r="Q2396" t="s">
        <v>90</v>
      </c>
      <c r="R2396">
        <v>0</v>
      </c>
      <c r="S2396" t="s">
        <v>90</v>
      </c>
      <c r="T2396">
        <v>0</v>
      </c>
      <c r="U2396" t="s">
        <v>90</v>
      </c>
      <c r="V2396">
        <v>0</v>
      </c>
      <c r="W2396" t="s">
        <v>90</v>
      </c>
      <c r="X2396">
        <v>0</v>
      </c>
      <c r="Y2396">
        <v>1.1866957231296507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114</v>
      </c>
      <c r="AF2396">
        <v>447</v>
      </c>
      <c r="AG2396">
        <v>306</v>
      </c>
      <c r="AI2396">
        <v>0.215</v>
      </c>
      <c r="AK2396" t="s">
        <v>740</v>
      </c>
      <c r="AL2396" t="s">
        <v>951</v>
      </c>
      <c r="AM2396">
        <v>200000</v>
      </c>
      <c r="AN2396" t="s">
        <v>73</v>
      </c>
      <c r="AO2396">
        <v>1</v>
      </c>
      <c r="AP2396">
        <v>0</v>
      </c>
      <c r="AQ2396">
        <v>16666.666666666668</v>
      </c>
      <c r="AR2396" t="s">
        <v>8534</v>
      </c>
      <c r="AS2396" t="s">
        <v>75</v>
      </c>
      <c r="AX2396" t="s">
        <v>76</v>
      </c>
      <c r="AY2396" t="s">
        <v>176</v>
      </c>
      <c r="AZ2396">
        <v>0</v>
      </c>
      <c r="BA2396" t="s">
        <v>176</v>
      </c>
      <c r="BB2396">
        <v>0</v>
      </c>
    </row>
    <row r="2397" spans="1:54" x14ac:dyDescent="0.15">
      <c r="A2397" s="4" t="str">
        <f>HYPERLINK("https://ibp.a2mac1.com/costing(costing:projects/details/9760/part/8416452)","Right")</f>
        <v>Right</v>
      </c>
      <c r="B2397">
        <v>8416452</v>
      </c>
      <c r="C2397">
        <v>8416121</v>
      </c>
      <c r="E2397">
        <v>0.40397059499999999</v>
      </c>
      <c r="F2397">
        <v>0</v>
      </c>
      <c r="G2397">
        <v>0</v>
      </c>
      <c r="H2397">
        <v>2.0492142463157895E-3</v>
      </c>
      <c r="I2397" t="s">
        <v>176</v>
      </c>
      <c r="J2397">
        <v>1.4174406842105263E-2</v>
      </c>
      <c r="K2397">
        <v>0.42019421608842106</v>
      </c>
      <c r="L2397">
        <v>0.12775025117353825</v>
      </c>
      <c r="M2397">
        <v>0.76650150704122955</v>
      </c>
      <c r="N2397">
        <v>1.1866957231296507</v>
      </c>
      <c r="O2397" t="s">
        <v>90</v>
      </c>
      <c r="P2397">
        <v>0</v>
      </c>
      <c r="Q2397" t="s">
        <v>90</v>
      </c>
      <c r="R2397">
        <v>0</v>
      </c>
      <c r="S2397" t="s">
        <v>90</v>
      </c>
      <c r="T2397">
        <v>0</v>
      </c>
      <c r="U2397" t="s">
        <v>90</v>
      </c>
      <c r="V2397">
        <v>0</v>
      </c>
      <c r="W2397" t="s">
        <v>90</v>
      </c>
      <c r="X2397">
        <v>0</v>
      </c>
      <c r="Y2397">
        <v>1.1866957231296507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114</v>
      </c>
      <c r="AF2397">
        <v>447</v>
      </c>
      <c r="AG2397">
        <v>306</v>
      </c>
      <c r="AI2397">
        <v>0.215</v>
      </c>
      <c r="AK2397" t="s">
        <v>740</v>
      </c>
      <c r="AL2397" t="s">
        <v>951</v>
      </c>
      <c r="AM2397">
        <v>200000</v>
      </c>
      <c r="AN2397" t="s">
        <v>73</v>
      </c>
      <c r="AO2397">
        <v>1</v>
      </c>
      <c r="AP2397">
        <v>0</v>
      </c>
      <c r="AQ2397">
        <v>16666.666666666668</v>
      </c>
      <c r="AR2397" t="s">
        <v>8537</v>
      </c>
      <c r="AS2397" t="s">
        <v>75</v>
      </c>
      <c r="AX2397" t="s">
        <v>76</v>
      </c>
      <c r="AY2397" t="s">
        <v>176</v>
      </c>
      <c r="AZ2397">
        <v>0</v>
      </c>
      <c r="BA2397" t="s">
        <v>176</v>
      </c>
      <c r="BB2397">
        <v>0</v>
      </c>
    </row>
    <row r="2398" spans="1:54" x14ac:dyDescent="0.15">
      <c r="A2398" s="4" t="str">
        <f>HYPERLINK("https://ibp.a2mac1.com/costing(costing:projects/details/9760/part/8416453)","Central Single")</f>
        <v>Central Single</v>
      </c>
      <c r="B2398">
        <v>8416453</v>
      </c>
      <c r="C2398">
        <v>8416121</v>
      </c>
      <c r="E2398">
        <v>1.2419747130000001</v>
      </c>
      <c r="F2398">
        <v>0</v>
      </c>
      <c r="G2398">
        <v>0</v>
      </c>
      <c r="H2398">
        <v>6.300142403789474E-3</v>
      </c>
      <c r="I2398" t="s">
        <v>176</v>
      </c>
      <c r="J2398">
        <v>4.3578060105263161E-2</v>
      </c>
      <c r="K2398">
        <v>1.2918529155090526</v>
      </c>
      <c r="L2398">
        <v>0.1012589951990561</v>
      </c>
      <c r="M2398">
        <v>0.60755397119433652</v>
      </c>
      <c r="N2398">
        <v>1.8994068867033891</v>
      </c>
      <c r="O2398" t="s">
        <v>90</v>
      </c>
      <c r="P2398">
        <v>0</v>
      </c>
      <c r="Q2398" t="s">
        <v>90</v>
      </c>
      <c r="R2398">
        <v>0</v>
      </c>
      <c r="S2398" t="s">
        <v>90</v>
      </c>
      <c r="T2398">
        <v>0</v>
      </c>
      <c r="U2398" t="s">
        <v>90</v>
      </c>
      <c r="V2398">
        <v>0</v>
      </c>
      <c r="W2398" t="s">
        <v>90</v>
      </c>
      <c r="X2398">
        <v>0</v>
      </c>
      <c r="Y2398">
        <v>1.8994068867033891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220</v>
      </c>
      <c r="AF2398">
        <v>1423</v>
      </c>
      <c r="AG2398">
        <v>132</v>
      </c>
      <c r="AI2398">
        <v>0.66100000000000003</v>
      </c>
      <c r="AK2398" t="s">
        <v>740</v>
      </c>
      <c r="AL2398" t="s">
        <v>951</v>
      </c>
      <c r="AM2398">
        <v>200000</v>
      </c>
      <c r="AN2398" t="s">
        <v>73</v>
      </c>
      <c r="AO2398">
        <v>1</v>
      </c>
      <c r="AP2398">
        <v>0</v>
      </c>
      <c r="AQ2398">
        <v>16666.666666666668</v>
      </c>
      <c r="AR2398" t="s">
        <v>8542</v>
      </c>
      <c r="AS2398" t="s">
        <v>75</v>
      </c>
      <c r="AX2398" t="s">
        <v>76</v>
      </c>
      <c r="AY2398" t="s">
        <v>176</v>
      </c>
      <c r="AZ2398">
        <v>0</v>
      </c>
      <c r="BA2398" t="s">
        <v>176</v>
      </c>
      <c r="BB2398">
        <v>0</v>
      </c>
    </row>
    <row r="2399" spans="1:54" x14ac:dyDescent="0.15">
      <c r="A2399" s="4" t="str">
        <f>HYPERLINK("https://ibp.a2mac1.com/costing(costing:projects/details/9760/part/8416454)","Central 2")</f>
        <v>Central 2</v>
      </c>
      <c r="B2399">
        <v>8416454</v>
      </c>
      <c r="C2399">
        <v>8416121</v>
      </c>
      <c r="E2399">
        <v>4.958504187</v>
      </c>
      <c r="F2399">
        <v>0</v>
      </c>
      <c r="G2399">
        <v>0</v>
      </c>
      <c r="H2399">
        <v>2.5152913469894737E-2</v>
      </c>
      <c r="I2399" t="s">
        <v>176</v>
      </c>
      <c r="J2399">
        <v>0.17398260305263158</v>
      </c>
      <c r="K2399">
        <v>5.1576397035225261</v>
      </c>
      <c r="L2399">
        <v>0.39972714584488844</v>
      </c>
      <c r="M2399">
        <v>2.3983628750693304</v>
      </c>
      <c r="N2399">
        <v>7.5560025785918565</v>
      </c>
      <c r="O2399" t="s">
        <v>90</v>
      </c>
      <c r="P2399">
        <v>0</v>
      </c>
      <c r="Q2399" t="s">
        <v>90</v>
      </c>
      <c r="R2399">
        <v>0</v>
      </c>
      <c r="S2399" t="s">
        <v>90</v>
      </c>
      <c r="T2399">
        <v>0</v>
      </c>
      <c r="U2399" t="s">
        <v>90</v>
      </c>
      <c r="V2399">
        <v>0</v>
      </c>
      <c r="W2399" t="s">
        <v>90</v>
      </c>
      <c r="X2399">
        <v>0</v>
      </c>
      <c r="Y2399">
        <v>7.5560025785918565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688</v>
      </c>
      <c r="AF2399">
        <v>1895</v>
      </c>
      <c r="AG2399">
        <v>290</v>
      </c>
      <c r="AI2399">
        <v>2.6389999999999998</v>
      </c>
      <c r="AK2399" t="s">
        <v>740</v>
      </c>
      <c r="AL2399" t="s">
        <v>951</v>
      </c>
      <c r="AM2399">
        <v>200000</v>
      </c>
      <c r="AN2399" t="s">
        <v>73</v>
      </c>
      <c r="AO2399">
        <v>1</v>
      </c>
      <c r="AP2399">
        <v>0</v>
      </c>
      <c r="AQ2399">
        <v>16666.666666666668</v>
      </c>
      <c r="AR2399" t="s">
        <v>8547</v>
      </c>
      <c r="AS2399" t="s">
        <v>75</v>
      </c>
      <c r="AX2399" t="s">
        <v>76</v>
      </c>
      <c r="AY2399" t="s">
        <v>176</v>
      </c>
      <c r="AZ2399">
        <v>0</v>
      </c>
      <c r="BA2399" t="s">
        <v>176</v>
      </c>
      <c r="BB2399">
        <v>0</v>
      </c>
    </row>
    <row r="2400" spans="1:54" x14ac:dyDescent="0.15">
      <c r="A2400" s="4" t="str">
        <f>HYPERLINK("https://ibp.a2mac1.com/costing(costing:projects/details/9760/part/8416116)","Bumper")</f>
        <v>Bumper</v>
      </c>
      <c r="B2400">
        <v>8416116</v>
      </c>
      <c r="C2400">
        <v>8415774</v>
      </c>
      <c r="E2400">
        <v>2.9355413850000001</v>
      </c>
      <c r="F2400">
        <v>0</v>
      </c>
      <c r="G2400">
        <v>0</v>
      </c>
      <c r="H2400">
        <v>1.4891067075789475E-2</v>
      </c>
      <c r="I2400" t="s">
        <v>176</v>
      </c>
      <c r="J2400">
        <v>0.10300145210526315</v>
      </c>
      <c r="K2400">
        <v>3.0534339041810528</v>
      </c>
      <c r="L2400">
        <v>3.2254611164563189</v>
      </c>
      <c r="M2400">
        <v>19.352766698737913</v>
      </c>
      <c r="N2400">
        <v>22.406200602918965</v>
      </c>
      <c r="O2400" t="s">
        <v>90</v>
      </c>
      <c r="P2400">
        <v>0</v>
      </c>
      <c r="Q2400" t="s">
        <v>90</v>
      </c>
      <c r="R2400">
        <v>0</v>
      </c>
      <c r="S2400" t="s">
        <v>90</v>
      </c>
      <c r="T2400">
        <v>0</v>
      </c>
      <c r="U2400" t="s">
        <v>90</v>
      </c>
      <c r="V2400">
        <v>0</v>
      </c>
      <c r="W2400" t="s">
        <v>90</v>
      </c>
      <c r="X2400">
        <v>0</v>
      </c>
      <c r="Y2400">
        <v>22.406200602918965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735</v>
      </c>
      <c r="AF2400">
        <v>1975</v>
      </c>
      <c r="AG2400">
        <v>475</v>
      </c>
      <c r="AI2400">
        <v>2.601</v>
      </c>
      <c r="AK2400" t="s">
        <v>740</v>
      </c>
      <c r="AL2400" t="s">
        <v>951</v>
      </c>
      <c r="AM2400">
        <v>200000</v>
      </c>
      <c r="AN2400" t="s">
        <v>73</v>
      </c>
      <c r="AO2400">
        <v>1</v>
      </c>
      <c r="AP2400">
        <v>0</v>
      </c>
      <c r="AQ2400">
        <v>16666.666666666668</v>
      </c>
      <c r="AR2400" t="s">
        <v>8553</v>
      </c>
      <c r="AS2400" t="s">
        <v>75</v>
      </c>
      <c r="AX2400" t="s">
        <v>76</v>
      </c>
      <c r="AY2400" t="s">
        <v>176</v>
      </c>
      <c r="AZ2400">
        <v>0</v>
      </c>
      <c r="BA2400" t="s">
        <v>176</v>
      </c>
      <c r="BB2400">
        <v>0</v>
      </c>
    </row>
    <row r="2401" spans="1:56" x14ac:dyDescent="0.15">
      <c r="A2401" s="4" t="str">
        <f>HYPERLINK("https://ibp.a2mac1.com/costing(costing:projects/details/9760/part/8416117)","Rear Bumper Harness")</f>
        <v>Rear Bumper Harness</v>
      </c>
      <c r="B2401">
        <v>8416117</v>
      </c>
      <c r="C2401">
        <v>8415774</v>
      </c>
      <c r="E2401">
        <v>0</v>
      </c>
      <c r="F2401">
        <v>10.885680623118196</v>
      </c>
      <c r="G2401">
        <v>0</v>
      </c>
      <c r="H2401">
        <v>0</v>
      </c>
      <c r="I2401" t="s">
        <v>176</v>
      </c>
      <c r="J2401">
        <v>0</v>
      </c>
      <c r="K2401">
        <v>11.266679444927332</v>
      </c>
      <c r="L2401">
        <v>0.1460859741098498</v>
      </c>
      <c r="M2401">
        <v>0.51130090938447437</v>
      </c>
      <c r="N2401">
        <v>11.777980354311806</v>
      </c>
      <c r="O2401" t="s">
        <v>177</v>
      </c>
      <c r="P2401">
        <v>0.67600076669563991</v>
      </c>
      <c r="Q2401" t="s">
        <v>177</v>
      </c>
      <c r="R2401">
        <v>3.067805456306846E-2</v>
      </c>
      <c r="S2401" t="s">
        <v>322</v>
      </c>
      <c r="T2401">
        <v>1.1777980354311806</v>
      </c>
      <c r="U2401" t="s">
        <v>90</v>
      </c>
      <c r="V2401">
        <v>0</v>
      </c>
      <c r="W2401" t="s">
        <v>90</v>
      </c>
      <c r="X2401">
        <v>0</v>
      </c>
      <c r="Y2401">
        <v>13.662457211001696</v>
      </c>
      <c r="Z2401">
        <v>0</v>
      </c>
      <c r="AA2401">
        <v>0</v>
      </c>
      <c r="AB2401">
        <v>0</v>
      </c>
      <c r="AC2401">
        <v>0</v>
      </c>
      <c r="AD2401">
        <v>0</v>
      </c>
      <c r="AI2401">
        <v>0.40200000000000002</v>
      </c>
      <c r="AK2401" t="s">
        <v>323</v>
      </c>
      <c r="AL2401" t="s">
        <v>3168</v>
      </c>
      <c r="AM2401">
        <v>200000</v>
      </c>
      <c r="AN2401" t="s">
        <v>97</v>
      </c>
      <c r="AO2401">
        <v>1</v>
      </c>
      <c r="AP2401">
        <v>0</v>
      </c>
      <c r="AQ2401">
        <v>16666.666666666668</v>
      </c>
      <c r="AR2401" t="s">
        <v>8556</v>
      </c>
      <c r="AS2401" t="s">
        <v>75</v>
      </c>
      <c r="AX2401" t="s">
        <v>76</v>
      </c>
      <c r="AY2401" t="s">
        <v>176</v>
      </c>
      <c r="AZ2401">
        <v>0.38099882180913686</v>
      </c>
      <c r="BA2401" t="s">
        <v>176</v>
      </c>
      <c r="BB2401">
        <v>0</v>
      </c>
    </row>
    <row r="2402" spans="1:56" x14ac:dyDescent="0.15">
      <c r="A2402" s="4" t="str">
        <f>HYPERLINK("https://ibp.a2mac1.com/costing(costing:projects/details/9760/part/8416118)","Grille")</f>
        <v>Grille</v>
      </c>
      <c r="B2402">
        <v>8416118</v>
      </c>
      <c r="C2402">
        <v>8415774</v>
      </c>
      <c r="E2402">
        <v>0.223593027</v>
      </c>
      <c r="F2402">
        <v>0</v>
      </c>
      <c r="G2402">
        <v>0</v>
      </c>
      <c r="H2402">
        <v>1.134216257263158E-3</v>
      </c>
      <c r="I2402" t="s">
        <v>176</v>
      </c>
      <c r="J2402">
        <v>7.845369368421052E-3</v>
      </c>
      <c r="K2402">
        <v>0.23257261262568421</v>
      </c>
      <c r="L2402">
        <v>2.1785227275609612E-2</v>
      </c>
      <c r="M2402">
        <v>0.13071136365365768</v>
      </c>
      <c r="N2402">
        <v>0.36328397627934189</v>
      </c>
      <c r="O2402" t="s">
        <v>90</v>
      </c>
      <c r="P2402">
        <v>0</v>
      </c>
      <c r="Q2402" t="s">
        <v>90</v>
      </c>
      <c r="R2402">
        <v>0</v>
      </c>
      <c r="S2402" t="s">
        <v>90</v>
      </c>
      <c r="T2402">
        <v>0</v>
      </c>
      <c r="U2402" t="s">
        <v>90</v>
      </c>
      <c r="V2402">
        <v>0</v>
      </c>
      <c r="W2402" t="s">
        <v>90</v>
      </c>
      <c r="X2402">
        <v>0</v>
      </c>
      <c r="Y2402">
        <v>0.36328397627934189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77</v>
      </c>
      <c r="AF2402">
        <v>368</v>
      </c>
      <c r="AG2402">
        <v>167</v>
      </c>
      <c r="AI2402">
        <v>0.11899999999999999</v>
      </c>
      <c r="AK2402" t="s">
        <v>740</v>
      </c>
      <c r="AL2402" t="s">
        <v>951</v>
      </c>
      <c r="AM2402">
        <v>200000</v>
      </c>
      <c r="AN2402" t="s">
        <v>73</v>
      </c>
      <c r="AO2402">
        <v>1</v>
      </c>
      <c r="AP2402">
        <v>0</v>
      </c>
      <c r="AQ2402">
        <v>16666.666666666668</v>
      </c>
      <c r="AR2402" t="s">
        <v>8560</v>
      </c>
      <c r="AS2402" t="s">
        <v>75</v>
      </c>
      <c r="AX2402" t="s">
        <v>76</v>
      </c>
      <c r="AY2402" t="s">
        <v>176</v>
      </c>
      <c r="AZ2402">
        <v>0</v>
      </c>
      <c r="BA2402" t="s">
        <v>176</v>
      </c>
      <c r="BB2402">
        <v>0</v>
      </c>
    </row>
    <row r="2403" spans="1:56" x14ac:dyDescent="0.15">
      <c r="A2403" s="4" t="str">
        <f>HYPERLINK("https://ibp.a2mac1.com/costing(costing:projects/details/9760/part/8416119)","2nd Grille")</f>
        <v>2nd Grille</v>
      </c>
      <c r="B2403">
        <v>8416119</v>
      </c>
      <c r="C2403">
        <v>8415774</v>
      </c>
      <c r="E2403">
        <v>0.231108759</v>
      </c>
      <c r="F2403">
        <v>0</v>
      </c>
      <c r="G2403">
        <v>0</v>
      </c>
      <c r="H2403">
        <v>1.1723411734736841E-3</v>
      </c>
      <c r="I2403" t="s">
        <v>176</v>
      </c>
      <c r="J2403">
        <v>8.1090792631578947E-3</v>
      </c>
      <c r="K2403">
        <v>0.24039017943663157</v>
      </c>
      <c r="L2403">
        <v>2.001914354397747E-2</v>
      </c>
      <c r="M2403">
        <v>0.12011486126386482</v>
      </c>
      <c r="N2403">
        <v>0.36050504070049638</v>
      </c>
      <c r="O2403" t="s">
        <v>90</v>
      </c>
      <c r="P2403">
        <v>0</v>
      </c>
      <c r="Q2403" t="s">
        <v>90</v>
      </c>
      <c r="R2403">
        <v>0</v>
      </c>
      <c r="S2403" t="s">
        <v>90</v>
      </c>
      <c r="T2403">
        <v>0</v>
      </c>
      <c r="U2403" t="s">
        <v>90</v>
      </c>
      <c r="V2403">
        <v>0</v>
      </c>
      <c r="W2403" t="s">
        <v>90</v>
      </c>
      <c r="X2403">
        <v>0</v>
      </c>
      <c r="Y2403">
        <v>0.36050504070049638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77</v>
      </c>
      <c r="AF2403">
        <v>368</v>
      </c>
      <c r="AG2403">
        <v>167</v>
      </c>
      <c r="AI2403">
        <v>0.123</v>
      </c>
      <c r="AK2403" t="s">
        <v>740</v>
      </c>
      <c r="AL2403" t="s">
        <v>951</v>
      </c>
      <c r="AM2403">
        <v>200000</v>
      </c>
      <c r="AN2403" t="s">
        <v>73</v>
      </c>
      <c r="AO2403">
        <v>1</v>
      </c>
      <c r="AP2403">
        <v>0</v>
      </c>
      <c r="AQ2403">
        <v>16666.666666666668</v>
      </c>
      <c r="AR2403" t="s">
        <v>8563</v>
      </c>
      <c r="AS2403" t="s">
        <v>75</v>
      </c>
      <c r="AX2403" t="s">
        <v>76</v>
      </c>
      <c r="AY2403" t="s">
        <v>176</v>
      </c>
      <c r="AZ2403">
        <v>0</v>
      </c>
      <c r="BA2403" t="s">
        <v>176</v>
      </c>
      <c r="BB2403">
        <v>0</v>
      </c>
    </row>
    <row r="2404" spans="1:56" x14ac:dyDescent="0.15">
      <c r="A2404" s="4" t="str">
        <f>HYPERLINK("https://ibp.a2mac1.com/costing(costing:projects/details/9760/part/8416122)","Left Side Fastener")</f>
        <v>Left Side Fastener</v>
      </c>
      <c r="B2404">
        <v>8416122</v>
      </c>
      <c r="C2404">
        <v>8415775</v>
      </c>
      <c r="E2404">
        <v>0.17628353399999999</v>
      </c>
      <c r="F2404">
        <v>0</v>
      </c>
      <c r="G2404">
        <v>0</v>
      </c>
      <c r="H2404">
        <v>8.9423025768421054E-4</v>
      </c>
      <c r="I2404" t="s">
        <v>176</v>
      </c>
      <c r="J2404">
        <v>6.1853871578947369E-3</v>
      </c>
      <c r="K2404">
        <v>0.18336315141557893</v>
      </c>
      <c r="L2404">
        <v>0.10832333012558466</v>
      </c>
      <c r="M2404">
        <v>0.64993998075350801</v>
      </c>
      <c r="N2404">
        <v>0.83330313216908691</v>
      </c>
      <c r="O2404" t="s">
        <v>177</v>
      </c>
      <c r="P2404">
        <v>1.1001789084934736E-2</v>
      </c>
      <c r="Q2404" t="s">
        <v>177</v>
      </c>
      <c r="R2404">
        <v>3.899639884521048E-2</v>
      </c>
      <c r="S2404" t="s">
        <v>178</v>
      </c>
      <c r="T2404">
        <v>9.9996375860290435E-2</v>
      </c>
      <c r="U2404" t="s">
        <v>90</v>
      </c>
      <c r="V2404">
        <v>0</v>
      </c>
      <c r="W2404" t="s">
        <v>90</v>
      </c>
      <c r="X2404">
        <v>0</v>
      </c>
      <c r="Y2404">
        <v>0.98329769595952266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54</v>
      </c>
      <c r="AF2404">
        <v>410</v>
      </c>
      <c r="AG2404">
        <v>70</v>
      </c>
      <c r="AI2404">
        <v>0.16600000000000001</v>
      </c>
      <c r="AK2404" t="s">
        <v>740</v>
      </c>
      <c r="AL2404" t="s">
        <v>399</v>
      </c>
      <c r="AM2404">
        <v>200000</v>
      </c>
      <c r="AN2404" t="s">
        <v>97</v>
      </c>
      <c r="AO2404">
        <v>1</v>
      </c>
      <c r="AP2404">
        <v>0</v>
      </c>
      <c r="AQ2404">
        <v>16666.666666666668</v>
      </c>
      <c r="AR2404" t="s">
        <v>8570</v>
      </c>
      <c r="AS2404" t="s">
        <v>75</v>
      </c>
      <c r="AX2404" t="s">
        <v>76</v>
      </c>
      <c r="AY2404" t="s">
        <v>176</v>
      </c>
      <c r="AZ2404">
        <v>0</v>
      </c>
      <c r="BA2404" t="s">
        <v>176</v>
      </c>
      <c r="BB2404">
        <v>0</v>
      </c>
    </row>
    <row r="2405" spans="1:56" x14ac:dyDescent="0.15">
      <c r="A2405" s="4" t="str">
        <f>HYPERLINK("https://ibp.a2mac1.com/costing(costing:projects/details/9760/part/8416123)","Right Side Fastener")</f>
        <v>Right Side Fastener</v>
      </c>
      <c r="B2405">
        <v>8416123</v>
      </c>
      <c r="C2405">
        <v>8415775</v>
      </c>
      <c r="E2405">
        <v>0.17415963600000001</v>
      </c>
      <c r="F2405">
        <v>0</v>
      </c>
      <c r="G2405">
        <v>0</v>
      </c>
      <c r="H2405">
        <v>8.8345639915789469E-4</v>
      </c>
      <c r="I2405" t="s">
        <v>176</v>
      </c>
      <c r="J2405">
        <v>6.1108644210526317E-3</v>
      </c>
      <c r="K2405">
        <v>0.18115395682021052</v>
      </c>
      <c r="L2405">
        <v>2.7083478470506045E-2</v>
      </c>
      <c r="M2405">
        <v>0.16250087082303627</v>
      </c>
      <c r="N2405">
        <v>0.34365482764324679</v>
      </c>
      <c r="O2405" t="s">
        <v>177</v>
      </c>
      <c r="P2405">
        <v>1.0869237409212631E-2</v>
      </c>
      <c r="Q2405" t="s">
        <v>177</v>
      </c>
      <c r="R2405">
        <v>9.7500522493821767E-3</v>
      </c>
      <c r="S2405" t="s">
        <v>178</v>
      </c>
      <c r="T2405">
        <v>4.1238579317189619E-2</v>
      </c>
      <c r="U2405" t="s">
        <v>90</v>
      </c>
      <c r="V2405">
        <v>0</v>
      </c>
      <c r="W2405" t="s">
        <v>90</v>
      </c>
      <c r="X2405">
        <v>0</v>
      </c>
      <c r="Y2405">
        <v>0.40551269661903122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54</v>
      </c>
      <c r="AF2405">
        <v>410</v>
      </c>
      <c r="AG2405">
        <v>70</v>
      </c>
      <c r="AI2405">
        <v>0.16400000000000001</v>
      </c>
      <c r="AK2405" t="s">
        <v>740</v>
      </c>
      <c r="AL2405" t="s">
        <v>399</v>
      </c>
      <c r="AM2405">
        <v>200000</v>
      </c>
      <c r="AN2405" t="s">
        <v>97</v>
      </c>
      <c r="AO2405">
        <v>1</v>
      </c>
      <c r="AP2405">
        <v>0</v>
      </c>
      <c r="AQ2405">
        <v>16666.666666666668</v>
      </c>
      <c r="AR2405" t="s">
        <v>8575</v>
      </c>
      <c r="AS2405" t="s">
        <v>75</v>
      </c>
      <c r="AX2405" t="s">
        <v>76</v>
      </c>
      <c r="AY2405" t="s">
        <v>176</v>
      </c>
      <c r="AZ2405">
        <v>0</v>
      </c>
      <c r="BA2405" t="s">
        <v>176</v>
      </c>
      <c r="BB2405">
        <v>0</v>
      </c>
    </row>
    <row r="2406" spans="1:56" x14ac:dyDescent="0.15">
      <c r="A2406" s="4" t="str">
        <f>HYPERLINK("https://ibp.a2mac1.com/costing(costing:projects/details/9760/part/8416124)","Upper Bracket   Reinforcement")</f>
        <v>Upper Bracket   Reinforcement</v>
      </c>
      <c r="B2406">
        <v>8416124</v>
      </c>
      <c r="C2406">
        <v>8415775</v>
      </c>
      <c r="E2406">
        <v>0.21769954499999999</v>
      </c>
      <c r="F2406">
        <v>0</v>
      </c>
      <c r="G2406">
        <v>0</v>
      </c>
      <c r="H2406">
        <v>1.1043204989473684E-3</v>
      </c>
      <c r="I2406" t="s">
        <v>176</v>
      </c>
      <c r="J2406">
        <v>7.6385805263157894E-3</v>
      </c>
      <c r="K2406">
        <v>0.22644244602526314</v>
      </c>
      <c r="L2406">
        <v>3.2381729665402474E-2</v>
      </c>
      <c r="M2406">
        <v>0.19429037799241486</v>
      </c>
      <c r="N2406">
        <v>0.42073282401767803</v>
      </c>
      <c r="O2406" t="s">
        <v>177</v>
      </c>
      <c r="P2406">
        <v>1.3586546761515789E-2</v>
      </c>
      <c r="Q2406" t="s">
        <v>177</v>
      </c>
      <c r="R2406">
        <v>1.1657422679544891E-2</v>
      </c>
      <c r="S2406" t="s">
        <v>178</v>
      </c>
      <c r="T2406">
        <v>5.0487938882121365E-2</v>
      </c>
      <c r="U2406" t="s">
        <v>90</v>
      </c>
      <c r="V2406">
        <v>0</v>
      </c>
      <c r="W2406" t="s">
        <v>90</v>
      </c>
      <c r="X2406">
        <v>0</v>
      </c>
      <c r="Y2406">
        <v>0.49646473234086008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83</v>
      </c>
      <c r="AF2406">
        <v>952</v>
      </c>
      <c r="AG2406">
        <v>66</v>
      </c>
      <c r="AI2406">
        <v>0.20499999999999999</v>
      </c>
      <c r="AK2406" t="s">
        <v>740</v>
      </c>
      <c r="AL2406" t="s">
        <v>399</v>
      </c>
      <c r="AM2406">
        <v>200000</v>
      </c>
      <c r="AN2406" t="s">
        <v>97</v>
      </c>
      <c r="AO2406">
        <v>1</v>
      </c>
      <c r="AP2406">
        <v>0</v>
      </c>
      <c r="AQ2406">
        <v>16666.666666666668</v>
      </c>
      <c r="AR2406" t="s">
        <v>8580</v>
      </c>
      <c r="AS2406" t="s">
        <v>75</v>
      </c>
      <c r="AX2406" t="s">
        <v>76</v>
      </c>
      <c r="AY2406" t="s">
        <v>176</v>
      </c>
      <c r="AZ2406">
        <v>0</v>
      </c>
      <c r="BA2406" t="s">
        <v>176</v>
      </c>
      <c r="BB2406">
        <v>0</v>
      </c>
    </row>
    <row r="2407" spans="1:56" x14ac:dyDescent="0.15">
      <c r="A2407" s="4" t="str">
        <f>HYPERLINK("https://ibp.a2mac1.com/costing(costing:projects/details/9760/part/8416125)","Left Mounting Bracket Under Lighting")</f>
        <v>Left Mounting Bracket Under Lighting</v>
      </c>
      <c r="B2407">
        <v>8416125</v>
      </c>
      <c r="C2407">
        <v>8415775</v>
      </c>
      <c r="E2407">
        <v>0.33982368000000002</v>
      </c>
      <c r="F2407">
        <v>0</v>
      </c>
      <c r="G2407">
        <v>0</v>
      </c>
      <c r="H2407">
        <v>1.7238173642105264E-3</v>
      </c>
      <c r="I2407" t="s">
        <v>176</v>
      </c>
      <c r="J2407">
        <v>1.1923637894736843E-2</v>
      </c>
      <c r="K2407">
        <v>0.35347113525894736</v>
      </c>
      <c r="L2407">
        <v>4.8276483250091776E-2</v>
      </c>
      <c r="M2407">
        <v>0.28965889950055063</v>
      </c>
      <c r="N2407">
        <v>0.64313003475949804</v>
      </c>
      <c r="O2407" t="s">
        <v>177</v>
      </c>
      <c r="P2407">
        <v>2.1208268115536843E-2</v>
      </c>
      <c r="Q2407" t="s">
        <v>177</v>
      </c>
      <c r="R2407">
        <v>1.7379533970033039E-2</v>
      </c>
      <c r="S2407" t="s">
        <v>178</v>
      </c>
      <c r="T2407">
        <v>7.7175604171139764E-2</v>
      </c>
      <c r="U2407" t="s">
        <v>90</v>
      </c>
      <c r="V2407">
        <v>0</v>
      </c>
      <c r="W2407" t="s">
        <v>90</v>
      </c>
      <c r="X2407">
        <v>0</v>
      </c>
      <c r="Y2407">
        <v>0.7588934410162077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137</v>
      </c>
      <c r="AF2407">
        <v>430</v>
      </c>
      <c r="AG2407">
        <v>215</v>
      </c>
      <c r="AI2407">
        <v>0.32</v>
      </c>
      <c r="AK2407" t="s">
        <v>740</v>
      </c>
      <c r="AL2407" t="s">
        <v>399</v>
      </c>
      <c r="AM2407">
        <v>200000</v>
      </c>
      <c r="AN2407" t="s">
        <v>97</v>
      </c>
      <c r="AO2407">
        <v>1</v>
      </c>
      <c r="AP2407">
        <v>0</v>
      </c>
      <c r="AQ2407">
        <v>16666.666666666668</v>
      </c>
      <c r="AR2407" t="s">
        <v>8585</v>
      </c>
      <c r="AS2407" t="s">
        <v>75</v>
      </c>
      <c r="AX2407" t="s">
        <v>76</v>
      </c>
      <c r="AY2407" t="s">
        <v>176</v>
      </c>
      <c r="AZ2407">
        <v>0</v>
      </c>
      <c r="BA2407" t="s">
        <v>176</v>
      </c>
      <c r="BB2407">
        <v>0</v>
      </c>
    </row>
    <row r="2408" spans="1:56" x14ac:dyDescent="0.15">
      <c r="A2408" s="4" t="str">
        <f>HYPERLINK("https://ibp.a2mac1.com/costing(costing:projects/details/9760/part/8416126)","Right Mounting Bracket Under Lighting")</f>
        <v>Right Mounting Bracket Under Lighting</v>
      </c>
      <c r="B2408">
        <v>8416126</v>
      </c>
      <c r="C2408">
        <v>8415775</v>
      </c>
      <c r="E2408">
        <v>0.34194757799999997</v>
      </c>
      <c r="F2408">
        <v>0</v>
      </c>
      <c r="G2408">
        <v>0</v>
      </c>
      <c r="H2408">
        <v>1.7345912227368422E-3</v>
      </c>
      <c r="I2408" t="s">
        <v>176</v>
      </c>
      <c r="J2408">
        <v>1.1998160631578948E-2</v>
      </c>
      <c r="K2408">
        <v>0.3556803298543158</v>
      </c>
      <c r="L2408">
        <v>5.0042566981723914E-2</v>
      </c>
      <c r="M2408">
        <v>0.3002554018903435</v>
      </c>
      <c r="N2408">
        <v>0.65593573174465925</v>
      </c>
      <c r="O2408" t="s">
        <v>90</v>
      </c>
      <c r="P2408">
        <v>0</v>
      </c>
      <c r="Q2408" t="s">
        <v>90</v>
      </c>
      <c r="R2408">
        <v>0</v>
      </c>
      <c r="S2408" t="s">
        <v>90</v>
      </c>
      <c r="T2408">
        <v>0</v>
      </c>
      <c r="U2408" t="s">
        <v>90</v>
      </c>
      <c r="V2408">
        <v>0</v>
      </c>
      <c r="W2408" t="s">
        <v>90</v>
      </c>
      <c r="X2408">
        <v>0</v>
      </c>
      <c r="Y2408">
        <v>0.65593573174465925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137</v>
      </c>
      <c r="AF2408">
        <v>430</v>
      </c>
      <c r="AG2408">
        <v>215</v>
      </c>
      <c r="AI2408">
        <v>0.32200000000000001</v>
      </c>
      <c r="AK2408" t="s">
        <v>740</v>
      </c>
      <c r="AL2408" t="s">
        <v>399</v>
      </c>
      <c r="AM2408">
        <v>200000</v>
      </c>
      <c r="AN2408" t="s">
        <v>73</v>
      </c>
      <c r="AO2408">
        <v>1</v>
      </c>
      <c r="AP2408">
        <v>0</v>
      </c>
      <c r="AQ2408">
        <v>16666.666666666668</v>
      </c>
      <c r="AR2408" t="s">
        <v>8590</v>
      </c>
      <c r="AS2408" t="s">
        <v>75</v>
      </c>
      <c r="AX2408" t="s">
        <v>76</v>
      </c>
      <c r="AY2408" t="s">
        <v>176</v>
      </c>
      <c r="AZ2408">
        <v>0</v>
      </c>
      <c r="BA2408" t="s">
        <v>176</v>
      </c>
      <c r="BB2408">
        <v>0</v>
      </c>
    </row>
    <row r="2409" spans="1:56" x14ac:dyDescent="0.15">
      <c r="A2409" s="4" t="str">
        <f>HYPERLINK("https://ibp.a2mac1.com/costing(costing:projects/details/9760/part/8416455)","Wheel Arch Liner")</f>
        <v>Wheel Arch Liner</v>
      </c>
      <c r="B2409">
        <v>8416455</v>
      </c>
      <c r="C2409">
        <v>8416129</v>
      </c>
      <c r="E2409">
        <v>1.8143163675</v>
      </c>
      <c r="F2409">
        <v>0</v>
      </c>
      <c r="G2409">
        <v>0</v>
      </c>
      <c r="H2409">
        <v>9.2034494431578948E-3</v>
      </c>
      <c r="I2409" t="s">
        <v>176</v>
      </c>
      <c r="J2409">
        <v>6.3660223421052625E-2</v>
      </c>
      <c r="K2409">
        <v>1.8871800403642105</v>
      </c>
      <c r="L2409">
        <v>0.64521278454175646</v>
      </c>
      <c r="M2409">
        <v>3.8712767072505385</v>
      </c>
      <c r="N2409">
        <v>5.7584567476147495</v>
      </c>
      <c r="O2409" t="s">
        <v>177</v>
      </c>
      <c r="P2409">
        <v>0.11323080242185263</v>
      </c>
      <c r="Q2409" t="s">
        <v>177</v>
      </c>
      <c r="R2409">
        <v>0.23227660243503231</v>
      </c>
      <c r="S2409" t="s">
        <v>178</v>
      </c>
      <c r="T2409">
        <v>0.69101480971376994</v>
      </c>
      <c r="U2409" t="s">
        <v>90</v>
      </c>
      <c r="V2409">
        <v>0</v>
      </c>
      <c r="W2409" t="s">
        <v>90</v>
      </c>
      <c r="X2409">
        <v>0</v>
      </c>
      <c r="Y2409">
        <v>6.7949789621854038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442</v>
      </c>
      <c r="AF2409">
        <v>928</v>
      </c>
      <c r="AG2409">
        <v>665</v>
      </c>
      <c r="AI2409">
        <v>0.88700000000000001</v>
      </c>
      <c r="AK2409" t="s">
        <v>740</v>
      </c>
      <c r="AL2409" t="s">
        <v>8437</v>
      </c>
      <c r="AM2409">
        <v>200000</v>
      </c>
      <c r="AN2409" t="s">
        <v>97</v>
      </c>
      <c r="AO2409">
        <v>1</v>
      </c>
      <c r="AP2409">
        <v>0</v>
      </c>
      <c r="AQ2409">
        <v>16666.666666666668</v>
      </c>
      <c r="AR2409" t="s">
        <v>8598</v>
      </c>
      <c r="AS2409" t="s">
        <v>75</v>
      </c>
      <c r="AX2409" t="s">
        <v>76</v>
      </c>
      <c r="AY2409" t="s">
        <v>176</v>
      </c>
      <c r="AZ2409">
        <v>0</v>
      </c>
      <c r="BA2409" t="s">
        <v>176</v>
      </c>
      <c r="BB2409">
        <v>0</v>
      </c>
    </row>
    <row r="2410" spans="1:56" x14ac:dyDescent="0.15">
      <c r="A2410" s="4" t="str">
        <f>HYPERLINK("https://ibp.a2mac1.com/costing(costing:projects/details/9760/part/8416456)","Wheel Arch Liner")</f>
        <v>Wheel Arch Liner</v>
      </c>
      <c r="B2410">
        <v>8416456</v>
      </c>
      <c r="C2410">
        <v>8416130</v>
      </c>
      <c r="E2410">
        <v>1.7999982000000001</v>
      </c>
      <c r="F2410">
        <v>0</v>
      </c>
      <c r="G2410">
        <v>0</v>
      </c>
      <c r="H2410">
        <v>9.130817936842105E-3</v>
      </c>
      <c r="I2410" t="s">
        <v>176</v>
      </c>
      <c r="J2410">
        <v>6.3157831578947374E-2</v>
      </c>
      <c r="K2410">
        <v>1.8722868495157894</v>
      </c>
      <c r="L2410">
        <v>0.64521278454175646</v>
      </c>
      <c r="M2410">
        <v>3.8712767072505385</v>
      </c>
      <c r="N2410">
        <v>5.7435635567663281</v>
      </c>
      <c r="O2410" t="s">
        <v>177</v>
      </c>
      <c r="P2410">
        <v>0.11233721097094737</v>
      </c>
      <c r="Q2410" t="s">
        <v>177</v>
      </c>
      <c r="R2410">
        <v>0.23227660243503231</v>
      </c>
      <c r="S2410" t="s">
        <v>178</v>
      </c>
      <c r="T2410">
        <v>0.68922762681195937</v>
      </c>
      <c r="U2410" t="s">
        <v>90</v>
      </c>
      <c r="V2410">
        <v>0</v>
      </c>
      <c r="W2410" t="s">
        <v>90</v>
      </c>
      <c r="X2410">
        <v>0</v>
      </c>
      <c r="Y2410">
        <v>6.7774049969842673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442</v>
      </c>
      <c r="AF2410">
        <v>928</v>
      </c>
      <c r="AG2410">
        <v>665</v>
      </c>
      <c r="AI2410">
        <v>0.88</v>
      </c>
      <c r="AK2410" t="s">
        <v>740</v>
      </c>
      <c r="AL2410" t="s">
        <v>8437</v>
      </c>
      <c r="AM2410">
        <v>200000</v>
      </c>
      <c r="AN2410" t="s">
        <v>97</v>
      </c>
      <c r="AO2410">
        <v>1</v>
      </c>
      <c r="AP2410">
        <v>0</v>
      </c>
      <c r="AQ2410">
        <v>16666.666666666668</v>
      </c>
      <c r="AR2410" t="s">
        <v>8605</v>
      </c>
      <c r="AS2410" t="s">
        <v>75</v>
      </c>
      <c r="AX2410" t="s">
        <v>76</v>
      </c>
      <c r="AY2410" t="s">
        <v>176</v>
      </c>
      <c r="AZ2410">
        <v>0</v>
      </c>
      <c r="BA2410" t="s">
        <v>176</v>
      </c>
      <c r="BB2410">
        <v>0</v>
      </c>
    </row>
    <row r="2411" spans="1:56" x14ac:dyDescent="0.15">
      <c r="A2411" s="4" t="str">
        <f>HYPERLINK("https://ibp.a2mac1.com/costing(costing:projects/details/9760/part/8416127)","Air Guide")</f>
        <v>Air Guide</v>
      </c>
      <c r="B2411">
        <v>8416127</v>
      </c>
      <c r="C2411">
        <v>8415776</v>
      </c>
      <c r="E2411">
        <v>0.25039491749999998</v>
      </c>
      <c r="F2411">
        <v>0</v>
      </c>
      <c r="G2411">
        <v>0</v>
      </c>
      <c r="H2411">
        <v>1.2701737168421053E-3</v>
      </c>
      <c r="I2411" t="s">
        <v>176</v>
      </c>
      <c r="J2411">
        <v>8.7857865789473678E-3</v>
      </c>
      <c r="K2411">
        <v>0.26045087779578946</v>
      </c>
      <c r="L2411">
        <v>2.1785227275609612E-2</v>
      </c>
      <c r="M2411">
        <v>0.13071136365365768</v>
      </c>
      <c r="N2411">
        <v>0.39116224144944717</v>
      </c>
      <c r="O2411" t="s">
        <v>177</v>
      </c>
      <c r="P2411">
        <v>1.5627052667747367E-2</v>
      </c>
      <c r="Q2411" t="s">
        <v>177</v>
      </c>
      <c r="R2411">
        <v>7.8426818192194603E-3</v>
      </c>
      <c r="S2411" t="s">
        <v>178</v>
      </c>
      <c r="T2411">
        <v>4.6939468973933661E-2</v>
      </c>
      <c r="U2411" t="s">
        <v>90</v>
      </c>
      <c r="V2411">
        <v>0</v>
      </c>
      <c r="W2411" t="s">
        <v>90</v>
      </c>
      <c r="X2411">
        <v>0</v>
      </c>
      <c r="Y2411">
        <v>0.46157144491034763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190</v>
      </c>
      <c r="AF2411">
        <v>267</v>
      </c>
      <c r="AG2411">
        <v>72</v>
      </c>
      <c r="AI2411">
        <v>0.13</v>
      </c>
      <c r="AK2411" t="s">
        <v>740</v>
      </c>
      <c r="AL2411" t="s">
        <v>8611</v>
      </c>
      <c r="AM2411">
        <v>200000</v>
      </c>
      <c r="AN2411" t="s">
        <v>97</v>
      </c>
      <c r="AO2411">
        <v>1</v>
      </c>
      <c r="AP2411">
        <v>0</v>
      </c>
      <c r="AQ2411">
        <v>16666.666666666668</v>
      </c>
      <c r="AR2411" t="s">
        <v>8612</v>
      </c>
      <c r="AS2411" t="s">
        <v>75</v>
      </c>
      <c r="AX2411" t="s">
        <v>76</v>
      </c>
      <c r="AY2411" t="s">
        <v>176</v>
      </c>
      <c r="AZ2411">
        <v>0</v>
      </c>
      <c r="BA2411" t="s">
        <v>176</v>
      </c>
      <c r="BB2411">
        <v>0</v>
      </c>
    </row>
    <row r="2412" spans="1:56" x14ac:dyDescent="0.15">
      <c r="A2412" s="4" t="str">
        <f>HYPERLINK("https://ibp.a2mac1.com/costing(costing:projects/details/9760/part/8416128)","Air Guide 2")</f>
        <v>Air Guide 2</v>
      </c>
      <c r="B2412">
        <v>8416128</v>
      </c>
      <c r="C2412">
        <v>8415776</v>
      </c>
      <c r="E2412">
        <v>0.24654268800000001</v>
      </c>
      <c r="F2412">
        <v>0</v>
      </c>
      <c r="G2412">
        <v>0</v>
      </c>
      <c r="H2412">
        <v>1.2506325827368421E-3</v>
      </c>
      <c r="I2412" t="s">
        <v>176</v>
      </c>
      <c r="J2412">
        <v>8.6506206315789466E-3</v>
      </c>
      <c r="K2412">
        <v>0.2564439412143158</v>
      </c>
      <c r="L2412">
        <v>2.1785227275609612E-2</v>
      </c>
      <c r="M2412">
        <v>0.13071136365365768</v>
      </c>
      <c r="N2412">
        <v>0.38715530486797345</v>
      </c>
      <c r="O2412" t="s">
        <v>90</v>
      </c>
      <c r="P2412">
        <v>0</v>
      </c>
      <c r="Q2412" t="s">
        <v>90</v>
      </c>
      <c r="R2412">
        <v>0</v>
      </c>
      <c r="S2412" t="s">
        <v>90</v>
      </c>
      <c r="T2412">
        <v>0</v>
      </c>
      <c r="U2412" t="s">
        <v>90</v>
      </c>
      <c r="V2412">
        <v>0</v>
      </c>
      <c r="W2412" t="s">
        <v>90</v>
      </c>
      <c r="X2412">
        <v>0</v>
      </c>
      <c r="Y2412">
        <v>0.38715530486797345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190</v>
      </c>
      <c r="AF2412">
        <v>267</v>
      </c>
      <c r="AG2412">
        <v>72</v>
      </c>
      <c r="AI2412">
        <v>0.128</v>
      </c>
      <c r="AK2412" t="s">
        <v>740</v>
      </c>
      <c r="AL2412" t="s">
        <v>8611</v>
      </c>
      <c r="AM2412">
        <v>200000</v>
      </c>
      <c r="AN2412" t="s">
        <v>73</v>
      </c>
      <c r="AO2412">
        <v>1</v>
      </c>
      <c r="AP2412">
        <v>0</v>
      </c>
      <c r="AQ2412">
        <v>16666.666666666668</v>
      </c>
      <c r="AR2412" t="s">
        <v>8615</v>
      </c>
      <c r="AS2412" t="s">
        <v>75</v>
      </c>
      <c r="AX2412" t="s">
        <v>76</v>
      </c>
      <c r="AY2412" t="s">
        <v>176</v>
      </c>
      <c r="AZ2412">
        <v>0</v>
      </c>
      <c r="BA2412" t="s">
        <v>176</v>
      </c>
      <c r="BB2412">
        <v>0</v>
      </c>
    </row>
    <row r="2413" spans="1:56" x14ac:dyDescent="0.15">
      <c r="A2413" s="4" t="str">
        <f>HYPERLINK("https://ibp.a2mac1.com/costing(costing:projects/details/9760/part/8415777)","Desiccant")</f>
        <v>Desiccant</v>
      </c>
      <c r="B2413">
        <v>8415777</v>
      </c>
      <c r="C2413">
        <v>8415610</v>
      </c>
      <c r="E2413">
        <v>0.19500000000000001</v>
      </c>
      <c r="F2413">
        <v>0</v>
      </c>
      <c r="G2413">
        <v>0</v>
      </c>
      <c r="H2413">
        <v>0</v>
      </c>
      <c r="I2413" t="s">
        <v>71</v>
      </c>
      <c r="J2413">
        <v>0</v>
      </c>
      <c r="K2413">
        <v>0.19500000000000001</v>
      </c>
      <c r="L2413">
        <v>0</v>
      </c>
      <c r="M2413">
        <v>0</v>
      </c>
      <c r="N2413">
        <v>0.19500000000000001</v>
      </c>
      <c r="O2413" t="s">
        <v>71</v>
      </c>
      <c r="P2413">
        <v>0</v>
      </c>
      <c r="Q2413" t="s">
        <v>71</v>
      </c>
      <c r="R2413">
        <v>0</v>
      </c>
      <c r="S2413" t="s">
        <v>71</v>
      </c>
      <c r="T2413">
        <v>0</v>
      </c>
      <c r="U2413" t="s">
        <v>71</v>
      </c>
      <c r="V2413">
        <v>0</v>
      </c>
      <c r="W2413" t="s">
        <v>71</v>
      </c>
      <c r="X2413">
        <v>0</v>
      </c>
      <c r="Y2413">
        <v>0.19500000000000001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7</v>
      </c>
      <c r="AF2413">
        <v>60</v>
      </c>
      <c r="AG2413">
        <v>68</v>
      </c>
      <c r="AI2413">
        <v>1.6E-2</v>
      </c>
      <c r="AK2413" t="s">
        <v>284</v>
      </c>
      <c r="AL2413" t="s">
        <v>8635</v>
      </c>
      <c r="AM2413">
        <v>400000</v>
      </c>
      <c r="AN2413" t="s">
        <v>97</v>
      </c>
      <c r="AO2413">
        <v>2</v>
      </c>
      <c r="AP2413">
        <v>0</v>
      </c>
      <c r="AQ2413">
        <v>33333.333333333336</v>
      </c>
      <c r="AR2413" t="s">
        <v>8636</v>
      </c>
      <c r="AS2413" t="s">
        <v>75</v>
      </c>
      <c r="AX2413" t="s">
        <v>76</v>
      </c>
      <c r="AY2413" t="s">
        <v>71</v>
      </c>
      <c r="AZ2413">
        <v>0</v>
      </c>
      <c r="BA2413" t="s">
        <v>71</v>
      </c>
      <c r="BB2413">
        <v>0</v>
      </c>
      <c r="BD2413">
        <v>9.7500000000000003E-2</v>
      </c>
    </row>
    <row r="2414" spans="1:56" x14ac:dyDescent="0.15">
      <c r="A2414" s="4" t="str">
        <f>HYPERLINK("https://ibp.a2mac1.com/costing(costing:projects/details/9760/part/8415781)","Tail Light Bezel")</f>
        <v>Tail Light Bezel</v>
      </c>
      <c r="B2414">
        <v>8415781</v>
      </c>
      <c r="C2414">
        <v>8415611</v>
      </c>
      <c r="E2414">
        <v>0.247</v>
      </c>
      <c r="F2414">
        <v>0</v>
      </c>
      <c r="G2414">
        <v>0</v>
      </c>
      <c r="H2414">
        <v>0</v>
      </c>
      <c r="I2414" t="s">
        <v>71</v>
      </c>
      <c r="J2414">
        <v>0</v>
      </c>
      <c r="K2414">
        <v>0.247</v>
      </c>
      <c r="L2414">
        <v>0</v>
      </c>
      <c r="M2414">
        <v>0</v>
      </c>
      <c r="N2414">
        <v>0.247</v>
      </c>
      <c r="O2414" t="s">
        <v>71</v>
      </c>
      <c r="P2414">
        <v>0</v>
      </c>
      <c r="Q2414" t="s">
        <v>71</v>
      </c>
      <c r="R2414">
        <v>0</v>
      </c>
      <c r="S2414" t="s">
        <v>71</v>
      </c>
      <c r="T2414">
        <v>0</v>
      </c>
      <c r="U2414" t="s">
        <v>71</v>
      </c>
      <c r="V2414">
        <v>0</v>
      </c>
      <c r="W2414" t="s">
        <v>71</v>
      </c>
      <c r="X2414">
        <v>0</v>
      </c>
      <c r="Y2414">
        <v>0.247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203</v>
      </c>
      <c r="AF2414">
        <v>86</v>
      </c>
      <c r="AG2414">
        <v>120</v>
      </c>
      <c r="AI2414">
        <v>4.7E-2</v>
      </c>
      <c r="AK2414" t="s">
        <v>272</v>
      </c>
      <c r="AL2414" t="s">
        <v>8650</v>
      </c>
      <c r="AM2414">
        <v>200000</v>
      </c>
      <c r="AN2414" t="s">
        <v>97</v>
      </c>
      <c r="AO2414">
        <v>1</v>
      </c>
      <c r="AP2414">
        <v>0</v>
      </c>
      <c r="AQ2414">
        <v>16666.666666666668</v>
      </c>
      <c r="AR2414" t="s">
        <v>8651</v>
      </c>
      <c r="AS2414" t="s">
        <v>75</v>
      </c>
      <c r="AX2414" t="s">
        <v>76</v>
      </c>
      <c r="AY2414" t="s">
        <v>71</v>
      </c>
      <c r="AZ2414">
        <v>0</v>
      </c>
      <c r="BA2414" t="s">
        <v>71</v>
      </c>
      <c r="BB2414">
        <v>0</v>
      </c>
      <c r="BD2414">
        <v>0.247</v>
      </c>
    </row>
    <row r="2415" spans="1:56" x14ac:dyDescent="0.15">
      <c r="A2415" s="4" t="str">
        <f>HYPERLINK("https://ibp.a2mac1.com/costing(costing:projects/details/9760/part/8415782)","Tail Light Bezel Right")</f>
        <v>Tail Light Bezel Right</v>
      </c>
      <c r="B2415">
        <v>8415782</v>
      </c>
      <c r="C2415">
        <v>8415611</v>
      </c>
      <c r="E2415">
        <v>0.247</v>
      </c>
      <c r="F2415">
        <v>0</v>
      </c>
      <c r="G2415">
        <v>0</v>
      </c>
      <c r="H2415">
        <v>0</v>
      </c>
      <c r="I2415" t="s">
        <v>71</v>
      </c>
      <c r="J2415">
        <v>0</v>
      </c>
      <c r="K2415">
        <v>0.247</v>
      </c>
      <c r="L2415">
        <v>0</v>
      </c>
      <c r="M2415">
        <v>0</v>
      </c>
      <c r="N2415">
        <v>0.247</v>
      </c>
      <c r="O2415" t="s">
        <v>71</v>
      </c>
      <c r="P2415">
        <v>0</v>
      </c>
      <c r="Q2415" t="s">
        <v>71</v>
      </c>
      <c r="R2415">
        <v>0</v>
      </c>
      <c r="S2415" t="s">
        <v>71</v>
      </c>
      <c r="T2415">
        <v>0</v>
      </c>
      <c r="U2415" t="s">
        <v>71</v>
      </c>
      <c r="V2415">
        <v>0</v>
      </c>
      <c r="W2415" t="s">
        <v>71</v>
      </c>
      <c r="X2415">
        <v>0</v>
      </c>
      <c r="Y2415">
        <v>0.247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203</v>
      </c>
      <c r="AF2415">
        <v>86</v>
      </c>
      <c r="AG2415">
        <v>120</v>
      </c>
      <c r="AI2415">
        <v>4.7E-2</v>
      </c>
      <c r="AK2415" t="s">
        <v>288</v>
      </c>
      <c r="AL2415" t="s">
        <v>8650</v>
      </c>
      <c r="AM2415">
        <v>200000</v>
      </c>
      <c r="AN2415" t="s">
        <v>97</v>
      </c>
      <c r="AO2415">
        <v>1</v>
      </c>
      <c r="AP2415">
        <v>0</v>
      </c>
      <c r="AQ2415">
        <v>16666.666666666668</v>
      </c>
      <c r="AR2415" t="s">
        <v>8652</v>
      </c>
      <c r="AS2415" t="s">
        <v>75</v>
      </c>
      <c r="AX2415" t="s">
        <v>76</v>
      </c>
      <c r="AY2415" t="s">
        <v>71</v>
      </c>
      <c r="AZ2415">
        <v>0</v>
      </c>
      <c r="BA2415" t="s">
        <v>71</v>
      </c>
      <c r="BB2415">
        <v>0</v>
      </c>
      <c r="BD2415">
        <v>0.247</v>
      </c>
    </row>
    <row r="2416" spans="1:56" x14ac:dyDescent="0.15">
      <c r="A2416" s="4" t="str">
        <f>HYPERLINK("https://ibp.a2mac1.com/costing(costing:projects/details/9760/part/8415783)","Tail Light Bezel on Tailgate")</f>
        <v>Tail Light Bezel on Tailgate</v>
      </c>
      <c r="B2416">
        <v>8415783</v>
      </c>
      <c r="C2416">
        <v>8415611</v>
      </c>
      <c r="E2416">
        <v>0.21709999999999999</v>
      </c>
      <c r="F2416">
        <v>0</v>
      </c>
      <c r="G2416">
        <v>0</v>
      </c>
      <c r="H2416">
        <v>0</v>
      </c>
      <c r="I2416" t="s">
        <v>71</v>
      </c>
      <c r="J2416">
        <v>0</v>
      </c>
      <c r="K2416">
        <v>0.21709999999999999</v>
      </c>
      <c r="L2416">
        <v>0</v>
      </c>
      <c r="M2416">
        <v>0</v>
      </c>
      <c r="N2416">
        <v>0.21709999999999999</v>
      </c>
      <c r="O2416" t="s">
        <v>71</v>
      </c>
      <c r="P2416">
        <v>0</v>
      </c>
      <c r="Q2416" t="s">
        <v>71</v>
      </c>
      <c r="R2416">
        <v>0</v>
      </c>
      <c r="S2416" t="s">
        <v>71</v>
      </c>
      <c r="T2416">
        <v>0</v>
      </c>
      <c r="U2416" t="s">
        <v>71</v>
      </c>
      <c r="V2416">
        <v>0</v>
      </c>
      <c r="W2416" t="s">
        <v>71</v>
      </c>
      <c r="X2416">
        <v>0</v>
      </c>
      <c r="Y2416">
        <v>0.21709999999999999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53</v>
      </c>
      <c r="AF2416">
        <v>42</v>
      </c>
      <c r="AG2416">
        <v>166</v>
      </c>
      <c r="AI2416">
        <v>3.4000000000000002E-2</v>
      </c>
      <c r="AK2416" t="s">
        <v>365</v>
      </c>
      <c r="AL2416" t="s">
        <v>399</v>
      </c>
      <c r="AM2416">
        <v>200000</v>
      </c>
      <c r="AN2416" t="s">
        <v>97</v>
      </c>
      <c r="AO2416">
        <v>1</v>
      </c>
      <c r="AP2416">
        <v>0</v>
      </c>
      <c r="AQ2416">
        <v>16666.666666666668</v>
      </c>
      <c r="AR2416" t="s">
        <v>8653</v>
      </c>
      <c r="AS2416" t="s">
        <v>75</v>
      </c>
      <c r="AX2416" t="s">
        <v>76</v>
      </c>
      <c r="AY2416" t="s">
        <v>71</v>
      </c>
      <c r="AZ2416">
        <v>0</v>
      </c>
      <c r="BA2416" t="s">
        <v>71</v>
      </c>
      <c r="BB2416">
        <v>0</v>
      </c>
      <c r="BD2416">
        <v>0.21709999999999999</v>
      </c>
    </row>
    <row r="2417" spans="1:56" x14ac:dyDescent="0.15">
      <c r="A2417" s="4" t="str">
        <f>HYPERLINK("https://ibp.a2mac1.com/costing(costing:projects/details/9760/part/8415784)","2nd Tail Light Bezel on Tailgate")</f>
        <v>2nd Tail Light Bezel on Tailgate</v>
      </c>
      <c r="B2417">
        <v>8415784</v>
      </c>
      <c r="C2417">
        <v>8415611</v>
      </c>
      <c r="E2417">
        <v>0.21709999999999999</v>
      </c>
      <c r="F2417">
        <v>0</v>
      </c>
      <c r="G2417">
        <v>0</v>
      </c>
      <c r="H2417">
        <v>0</v>
      </c>
      <c r="I2417" t="s">
        <v>71</v>
      </c>
      <c r="J2417">
        <v>0</v>
      </c>
      <c r="K2417">
        <v>0.21709999999999999</v>
      </c>
      <c r="L2417">
        <v>0</v>
      </c>
      <c r="M2417">
        <v>0</v>
      </c>
      <c r="N2417">
        <v>0.21709999999999999</v>
      </c>
      <c r="O2417" t="s">
        <v>71</v>
      </c>
      <c r="P2417">
        <v>0</v>
      </c>
      <c r="Q2417" t="s">
        <v>71</v>
      </c>
      <c r="R2417">
        <v>0</v>
      </c>
      <c r="S2417" t="s">
        <v>71</v>
      </c>
      <c r="T2417">
        <v>0</v>
      </c>
      <c r="U2417" t="s">
        <v>71</v>
      </c>
      <c r="V2417">
        <v>0</v>
      </c>
      <c r="W2417" t="s">
        <v>71</v>
      </c>
      <c r="X2417">
        <v>0</v>
      </c>
      <c r="Y2417">
        <v>0.21709999999999999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53</v>
      </c>
      <c r="AF2417">
        <v>42</v>
      </c>
      <c r="AG2417">
        <v>166</v>
      </c>
      <c r="AI2417">
        <v>3.4000000000000002E-2</v>
      </c>
      <c r="AK2417" t="s">
        <v>288</v>
      </c>
      <c r="AL2417" t="s">
        <v>399</v>
      </c>
      <c r="AM2417">
        <v>200000</v>
      </c>
      <c r="AN2417" t="s">
        <v>97</v>
      </c>
      <c r="AO2417">
        <v>1</v>
      </c>
      <c r="AP2417">
        <v>0</v>
      </c>
      <c r="AQ2417">
        <v>16666.666666666668</v>
      </c>
      <c r="AR2417" t="s">
        <v>8654</v>
      </c>
      <c r="AS2417" t="s">
        <v>75</v>
      </c>
      <c r="AX2417" t="s">
        <v>76</v>
      </c>
      <c r="AY2417" t="s">
        <v>71</v>
      </c>
      <c r="AZ2417">
        <v>0</v>
      </c>
      <c r="BA2417" t="s">
        <v>71</v>
      </c>
      <c r="BB2417">
        <v>0</v>
      </c>
      <c r="BD2417">
        <v>0.21709999999999999</v>
      </c>
    </row>
    <row r="2418" spans="1:56" x14ac:dyDescent="0.15">
      <c r="A2418" s="4" t="str">
        <f>HYPERLINK("https://ibp.a2mac1.com/costing(costing:projects/details/9760/part/8415787)","Bezel")</f>
        <v>Bezel</v>
      </c>
      <c r="B2418">
        <v>8415787</v>
      </c>
      <c r="C2418">
        <v>8415612</v>
      </c>
      <c r="E2418">
        <v>1.02</v>
      </c>
      <c r="F2418">
        <v>0</v>
      </c>
      <c r="G2418">
        <v>0</v>
      </c>
      <c r="H2418">
        <v>0</v>
      </c>
      <c r="I2418" t="s">
        <v>71</v>
      </c>
      <c r="J2418">
        <v>0</v>
      </c>
      <c r="K2418">
        <v>1.02</v>
      </c>
      <c r="L2418">
        <v>0</v>
      </c>
      <c r="M2418">
        <v>0</v>
      </c>
      <c r="N2418">
        <v>1.02</v>
      </c>
      <c r="O2418" t="s">
        <v>71</v>
      </c>
      <c r="P2418">
        <v>0</v>
      </c>
      <c r="Q2418" t="s">
        <v>71</v>
      </c>
      <c r="R2418">
        <v>0</v>
      </c>
      <c r="S2418" t="s">
        <v>71</v>
      </c>
      <c r="T2418">
        <v>0</v>
      </c>
      <c r="U2418" t="s">
        <v>71</v>
      </c>
      <c r="V2418">
        <v>0</v>
      </c>
      <c r="W2418" t="s">
        <v>71</v>
      </c>
      <c r="X2418">
        <v>0</v>
      </c>
      <c r="Y2418">
        <v>1.02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144</v>
      </c>
      <c r="AF2418">
        <v>490</v>
      </c>
      <c r="AG2418">
        <v>24</v>
      </c>
      <c r="AI2418">
        <v>0.27400000000000002</v>
      </c>
      <c r="AK2418" t="s">
        <v>288</v>
      </c>
      <c r="AL2418" t="s">
        <v>8660</v>
      </c>
      <c r="AM2418">
        <v>200000</v>
      </c>
      <c r="AN2418" t="s">
        <v>97</v>
      </c>
      <c r="AO2418">
        <v>1</v>
      </c>
      <c r="AP2418">
        <v>0</v>
      </c>
      <c r="AQ2418">
        <v>16666.666666666668</v>
      </c>
      <c r="AR2418" t="s">
        <v>8661</v>
      </c>
      <c r="AS2418" t="s">
        <v>75</v>
      </c>
      <c r="AX2418" t="s">
        <v>76</v>
      </c>
      <c r="AY2418" t="s">
        <v>71</v>
      </c>
      <c r="AZ2418">
        <v>0</v>
      </c>
      <c r="BA2418" t="s">
        <v>71</v>
      </c>
      <c r="BB2418">
        <v>0</v>
      </c>
      <c r="BD2418">
        <v>1.02</v>
      </c>
    </row>
    <row r="2419" spans="1:56" x14ac:dyDescent="0.15">
      <c r="A2419" s="4" t="str">
        <f>HYPERLINK("https://ibp.a2mac1.com/costing(costing:projects/details/9760/part/8415788)","License Plate Light")</f>
        <v>License Plate Light</v>
      </c>
      <c r="B2419">
        <v>8415788</v>
      </c>
      <c r="C2419">
        <v>8415613</v>
      </c>
      <c r="E2419">
        <v>3.6686000000000001</v>
      </c>
      <c r="F2419">
        <v>0</v>
      </c>
      <c r="G2419">
        <v>0</v>
      </c>
      <c r="H2419">
        <v>0</v>
      </c>
      <c r="I2419" t="s">
        <v>71</v>
      </c>
      <c r="J2419">
        <v>0</v>
      </c>
      <c r="K2419">
        <v>3.6686000000000001</v>
      </c>
      <c r="L2419">
        <v>0</v>
      </c>
      <c r="M2419">
        <v>0</v>
      </c>
      <c r="N2419">
        <v>3.6686000000000001</v>
      </c>
      <c r="O2419" t="s">
        <v>71</v>
      </c>
      <c r="P2419">
        <v>0</v>
      </c>
      <c r="Q2419" t="s">
        <v>71</v>
      </c>
      <c r="R2419">
        <v>0</v>
      </c>
      <c r="S2419" t="s">
        <v>71</v>
      </c>
      <c r="T2419">
        <v>0</v>
      </c>
      <c r="U2419" t="s">
        <v>71</v>
      </c>
      <c r="V2419">
        <v>0</v>
      </c>
      <c r="W2419" t="s">
        <v>71</v>
      </c>
      <c r="X2419">
        <v>0</v>
      </c>
      <c r="Y2419">
        <v>3.6686000000000001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23</v>
      </c>
      <c r="AF2419">
        <v>68</v>
      </c>
      <c r="AG2419">
        <v>28</v>
      </c>
      <c r="AI2419">
        <v>2.8000000000000001E-2</v>
      </c>
      <c r="AK2419" t="s">
        <v>365</v>
      </c>
      <c r="AL2419" t="s">
        <v>8664</v>
      </c>
      <c r="AM2419">
        <v>400000</v>
      </c>
      <c r="AN2419" t="s">
        <v>97</v>
      </c>
      <c r="AO2419">
        <v>2</v>
      </c>
      <c r="AP2419">
        <v>0</v>
      </c>
      <c r="AQ2419">
        <v>33333.333333333336</v>
      </c>
      <c r="AR2419" t="s">
        <v>8665</v>
      </c>
      <c r="AS2419" t="s">
        <v>75</v>
      </c>
      <c r="AX2419" t="s">
        <v>76</v>
      </c>
      <c r="AY2419" t="s">
        <v>71</v>
      </c>
      <c r="AZ2419">
        <v>0</v>
      </c>
      <c r="BA2419" t="s">
        <v>71</v>
      </c>
      <c r="BB2419">
        <v>0</v>
      </c>
      <c r="BD2419">
        <v>1.8343</v>
      </c>
    </row>
    <row r="2420" spans="1:56" x14ac:dyDescent="0.15">
      <c r="A2420" s="4" t="str">
        <f>HYPERLINK("https://ibp.a2mac1.com/costing(costing:projects/details/9760/part/8416136)","Ride height sensor")</f>
        <v>Ride height sensor</v>
      </c>
      <c r="B2420">
        <v>8416136</v>
      </c>
      <c r="C2420">
        <v>8415789</v>
      </c>
      <c r="E2420">
        <v>4.9999799999999999</v>
      </c>
      <c r="F2420">
        <v>0</v>
      </c>
      <c r="G2420">
        <v>0</v>
      </c>
      <c r="H2420">
        <v>0</v>
      </c>
      <c r="I2420" t="s">
        <v>71</v>
      </c>
      <c r="J2420">
        <v>0</v>
      </c>
      <c r="K2420">
        <v>4.9999799999999999</v>
      </c>
      <c r="L2420">
        <v>0</v>
      </c>
      <c r="M2420">
        <v>0</v>
      </c>
      <c r="N2420">
        <v>4.9999799999999999</v>
      </c>
      <c r="O2420" t="s">
        <v>71</v>
      </c>
      <c r="P2420">
        <v>0</v>
      </c>
      <c r="Q2420" t="s">
        <v>71</v>
      </c>
      <c r="R2420">
        <v>0</v>
      </c>
      <c r="S2420" t="s">
        <v>71</v>
      </c>
      <c r="T2420">
        <v>0</v>
      </c>
      <c r="U2420" t="s">
        <v>71</v>
      </c>
      <c r="V2420">
        <v>0</v>
      </c>
      <c r="W2420" t="s">
        <v>71</v>
      </c>
      <c r="X2420">
        <v>0</v>
      </c>
      <c r="Y2420">
        <v>4.9999799999999999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50</v>
      </c>
      <c r="AF2420">
        <v>59</v>
      </c>
      <c r="AG2420">
        <v>64</v>
      </c>
      <c r="AI2420">
        <v>4.9000000000000002E-2</v>
      </c>
      <c r="AK2420" t="s">
        <v>179</v>
      </c>
      <c r="AL2420" t="s">
        <v>830</v>
      </c>
      <c r="AM2420">
        <v>400000</v>
      </c>
      <c r="AN2420" t="s">
        <v>97</v>
      </c>
      <c r="AO2420">
        <v>2</v>
      </c>
      <c r="AP2420">
        <v>0</v>
      </c>
      <c r="AQ2420">
        <v>33333.333333333336</v>
      </c>
      <c r="AR2420" t="s">
        <v>8669</v>
      </c>
      <c r="AS2420" t="s">
        <v>75</v>
      </c>
      <c r="AX2420" t="s">
        <v>76</v>
      </c>
      <c r="AY2420" t="s">
        <v>71</v>
      </c>
      <c r="AZ2420">
        <v>0</v>
      </c>
      <c r="BA2420" t="s">
        <v>71</v>
      </c>
      <c r="BB2420">
        <v>0</v>
      </c>
      <c r="BD2420">
        <v>2.4999899999999999</v>
      </c>
    </row>
    <row r="2421" spans="1:56" x14ac:dyDescent="0.15">
      <c r="A2421" s="4" t="str">
        <f>HYPERLINK("https://ibp.a2mac1.com/costing(costing:projects/details/9760/part/8416137)","Front Link Rod")</f>
        <v>Front Link Rod</v>
      </c>
      <c r="B2421">
        <v>8416137</v>
      </c>
      <c r="C2421">
        <v>8415789</v>
      </c>
      <c r="E2421">
        <v>0.19500000000000001</v>
      </c>
      <c r="F2421">
        <v>0</v>
      </c>
      <c r="G2421">
        <v>0</v>
      </c>
      <c r="H2421">
        <v>0</v>
      </c>
      <c r="I2421" t="s">
        <v>71</v>
      </c>
      <c r="J2421">
        <v>0</v>
      </c>
      <c r="K2421">
        <v>0.19500000000000001</v>
      </c>
      <c r="L2421">
        <v>0</v>
      </c>
      <c r="M2421">
        <v>0</v>
      </c>
      <c r="N2421">
        <v>0.19500000000000001</v>
      </c>
      <c r="O2421" t="s">
        <v>71</v>
      </c>
      <c r="P2421">
        <v>0</v>
      </c>
      <c r="Q2421" t="s">
        <v>71</v>
      </c>
      <c r="R2421">
        <v>0</v>
      </c>
      <c r="S2421" t="s">
        <v>71</v>
      </c>
      <c r="T2421">
        <v>0</v>
      </c>
      <c r="U2421" t="s">
        <v>71</v>
      </c>
      <c r="V2421">
        <v>0</v>
      </c>
      <c r="W2421" t="s">
        <v>71</v>
      </c>
      <c r="X2421">
        <v>0</v>
      </c>
      <c r="Y2421">
        <v>0.19500000000000001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13</v>
      </c>
      <c r="AF2421">
        <v>15</v>
      </c>
      <c r="AG2421">
        <v>75</v>
      </c>
      <c r="AI2421">
        <v>1.2E-2</v>
      </c>
      <c r="AK2421" t="s">
        <v>107</v>
      </c>
      <c r="AL2421" t="s">
        <v>8670</v>
      </c>
      <c r="AM2421">
        <v>400000</v>
      </c>
      <c r="AN2421" t="s">
        <v>97</v>
      </c>
      <c r="AO2421">
        <v>2</v>
      </c>
      <c r="AP2421">
        <v>0</v>
      </c>
      <c r="AQ2421">
        <v>33333.333333333336</v>
      </c>
      <c r="AR2421" t="s">
        <v>8671</v>
      </c>
      <c r="AS2421" t="s">
        <v>75</v>
      </c>
      <c r="AX2421" t="s">
        <v>76</v>
      </c>
      <c r="AY2421" t="s">
        <v>71</v>
      </c>
      <c r="AZ2421">
        <v>0</v>
      </c>
      <c r="BA2421" t="s">
        <v>71</v>
      </c>
      <c r="BB2421">
        <v>0</v>
      </c>
      <c r="BD2421">
        <v>9.7500000000000003E-2</v>
      </c>
    </row>
    <row r="2422" spans="1:56" x14ac:dyDescent="0.15">
      <c r="A2422" s="4" t="str">
        <f>HYPERLINK("https://ibp.a2mac1.com/costing(costing:projects/details/9760/part/8416138)","Support on Body K-Frame")</f>
        <v>Support on Body K-Frame</v>
      </c>
      <c r="B2422">
        <v>8416138</v>
      </c>
      <c r="C2422">
        <v>8415789</v>
      </c>
      <c r="E2422">
        <v>9.6199999999999994E-2</v>
      </c>
      <c r="F2422">
        <v>0</v>
      </c>
      <c r="G2422">
        <v>0</v>
      </c>
      <c r="H2422">
        <v>0</v>
      </c>
      <c r="I2422" t="s">
        <v>71</v>
      </c>
      <c r="J2422">
        <v>0</v>
      </c>
      <c r="K2422">
        <v>9.6199999999999994E-2</v>
      </c>
      <c r="L2422">
        <v>0</v>
      </c>
      <c r="M2422">
        <v>0</v>
      </c>
      <c r="N2422">
        <v>9.6199999999999994E-2</v>
      </c>
      <c r="O2422" t="s">
        <v>71</v>
      </c>
      <c r="P2422">
        <v>0</v>
      </c>
      <c r="Q2422" t="s">
        <v>71</v>
      </c>
      <c r="R2422">
        <v>0</v>
      </c>
      <c r="S2422" t="s">
        <v>71</v>
      </c>
      <c r="T2422">
        <v>0</v>
      </c>
      <c r="U2422" t="s">
        <v>71</v>
      </c>
      <c r="V2422">
        <v>0</v>
      </c>
      <c r="W2422" t="s">
        <v>71</v>
      </c>
      <c r="X2422">
        <v>0</v>
      </c>
      <c r="Y2422">
        <v>9.6199999999999994E-2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38</v>
      </c>
      <c r="AF2422">
        <v>107</v>
      </c>
      <c r="AG2422">
        <v>59</v>
      </c>
      <c r="AI2422">
        <v>5.5E-2</v>
      </c>
      <c r="AK2422" t="s">
        <v>107</v>
      </c>
      <c r="AL2422" t="s">
        <v>96</v>
      </c>
      <c r="AM2422">
        <v>200000</v>
      </c>
      <c r="AN2422" t="s">
        <v>97</v>
      </c>
      <c r="AO2422">
        <v>1</v>
      </c>
      <c r="AP2422">
        <v>0</v>
      </c>
      <c r="AQ2422">
        <v>16666.666666666668</v>
      </c>
      <c r="AR2422" t="s">
        <v>8672</v>
      </c>
      <c r="AS2422" t="s">
        <v>75</v>
      </c>
      <c r="AX2422" t="s">
        <v>76</v>
      </c>
      <c r="AY2422" t="s">
        <v>71</v>
      </c>
      <c r="AZ2422">
        <v>0</v>
      </c>
      <c r="BA2422" t="s">
        <v>71</v>
      </c>
      <c r="BB2422">
        <v>0</v>
      </c>
      <c r="BD2422">
        <v>9.6199999999999994E-2</v>
      </c>
    </row>
    <row r="2423" spans="1:56" x14ac:dyDescent="0.15">
      <c r="A2423" s="4" t="str">
        <f>HYPERLINK("https://ibp.a2mac1.com/costing(costing:projects/details/9760/part/8416139)","2nd Support on Body K-Frame")</f>
        <v>2nd Support on Body K-Frame</v>
      </c>
      <c r="B2423">
        <v>8416139</v>
      </c>
      <c r="C2423">
        <v>8415789</v>
      </c>
      <c r="E2423">
        <v>8.1900000000000001E-2</v>
      </c>
      <c r="F2423">
        <v>0</v>
      </c>
      <c r="G2423">
        <v>0</v>
      </c>
      <c r="H2423">
        <v>0</v>
      </c>
      <c r="I2423" t="s">
        <v>71</v>
      </c>
      <c r="J2423">
        <v>0</v>
      </c>
      <c r="K2423">
        <v>8.1900000000000001E-2</v>
      </c>
      <c r="L2423">
        <v>0</v>
      </c>
      <c r="M2423">
        <v>0</v>
      </c>
      <c r="N2423">
        <v>8.1900000000000001E-2</v>
      </c>
      <c r="O2423" t="s">
        <v>71</v>
      </c>
      <c r="P2423">
        <v>0</v>
      </c>
      <c r="Q2423" t="s">
        <v>71</v>
      </c>
      <c r="R2423">
        <v>0</v>
      </c>
      <c r="S2423" t="s">
        <v>71</v>
      </c>
      <c r="T2423">
        <v>0</v>
      </c>
      <c r="U2423" t="s">
        <v>71</v>
      </c>
      <c r="V2423">
        <v>0</v>
      </c>
      <c r="W2423" t="s">
        <v>71</v>
      </c>
      <c r="X2423">
        <v>0</v>
      </c>
      <c r="Y2423">
        <v>8.1900000000000001E-2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43</v>
      </c>
      <c r="AF2423">
        <v>107</v>
      </c>
      <c r="AG2423">
        <v>35</v>
      </c>
      <c r="AI2423">
        <v>4.7E-2</v>
      </c>
      <c r="AK2423" t="s">
        <v>272</v>
      </c>
      <c r="AL2423" t="s">
        <v>96</v>
      </c>
      <c r="AM2423">
        <v>200000</v>
      </c>
      <c r="AN2423" t="s">
        <v>97</v>
      </c>
      <c r="AO2423">
        <v>1</v>
      </c>
      <c r="AP2423">
        <v>0</v>
      </c>
      <c r="AQ2423">
        <v>16666.666666666668</v>
      </c>
      <c r="AR2423" t="s">
        <v>8673</v>
      </c>
      <c r="AS2423" t="s">
        <v>75</v>
      </c>
      <c r="AX2423" t="s">
        <v>76</v>
      </c>
      <c r="AY2423" t="s">
        <v>71</v>
      </c>
      <c r="AZ2423">
        <v>0</v>
      </c>
      <c r="BA2423" t="s">
        <v>71</v>
      </c>
      <c r="BB2423">
        <v>0</v>
      </c>
      <c r="BD2423">
        <v>8.1900000000000001E-2</v>
      </c>
    </row>
    <row r="2424" spans="1:56" x14ac:dyDescent="0.15">
      <c r="A2424" s="4" t="str">
        <f>HYPERLINK("https://ibp.a2mac1.com/costing(costing:projects/details/9760/part/8416140)","Support on Arm")</f>
        <v>Support on Arm</v>
      </c>
      <c r="B2424">
        <v>8416140</v>
      </c>
      <c r="C2424">
        <v>8415789</v>
      </c>
      <c r="E2424">
        <v>2.0799999999999999E-2</v>
      </c>
      <c r="F2424">
        <v>0</v>
      </c>
      <c r="G2424">
        <v>0</v>
      </c>
      <c r="H2424">
        <v>0</v>
      </c>
      <c r="I2424" t="s">
        <v>71</v>
      </c>
      <c r="J2424">
        <v>0</v>
      </c>
      <c r="K2424">
        <v>2.0799999999999999E-2</v>
      </c>
      <c r="L2424">
        <v>0</v>
      </c>
      <c r="M2424">
        <v>0</v>
      </c>
      <c r="N2424">
        <v>2.0799999999999999E-2</v>
      </c>
      <c r="O2424" t="s">
        <v>71</v>
      </c>
      <c r="P2424">
        <v>0</v>
      </c>
      <c r="Q2424" t="s">
        <v>71</v>
      </c>
      <c r="R2424">
        <v>0</v>
      </c>
      <c r="S2424" t="s">
        <v>71</v>
      </c>
      <c r="T2424">
        <v>0</v>
      </c>
      <c r="U2424" t="s">
        <v>71</v>
      </c>
      <c r="V2424">
        <v>0</v>
      </c>
      <c r="W2424" t="s">
        <v>71</v>
      </c>
      <c r="X2424">
        <v>0</v>
      </c>
      <c r="Y2424">
        <v>2.0799999999999999E-2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10</v>
      </c>
      <c r="AF2424">
        <v>28</v>
      </c>
      <c r="AG2424">
        <v>28</v>
      </c>
      <c r="AI2424">
        <v>1.0999999999999999E-2</v>
      </c>
      <c r="AK2424" t="s">
        <v>107</v>
      </c>
      <c r="AL2424" t="s">
        <v>96</v>
      </c>
      <c r="AM2424">
        <v>400000</v>
      </c>
      <c r="AN2424" t="s">
        <v>97</v>
      </c>
      <c r="AO2424">
        <v>2</v>
      </c>
      <c r="AP2424">
        <v>0</v>
      </c>
      <c r="AQ2424">
        <v>33333.333333333336</v>
      </c>
      <c r="AR2424" t="s">
        <v>8674</v>
      </c>
      <c r="AS2424" t="s">
        <v>75</v>
      </c>
      <c r="AX2424" t="s">
        <v>76</v>
      </c>
      <c r="AY2424" t="s">
        <v>71</v>
      </c>
      <c r="AZ2424">
        <v>0</v>
      </c>
      <c r="BA2424" t="s">
        <v>71</v>
      </c>
      <c r="BB2424">
        <v>0</v>
      </c>
      <c r="BD2424">
        <v>1.04E-2</v>
      </c>
    </row>
    <row r="2425" spans="1:56" x14ac:dyDescent="0.15">
      <c r="A2425" s="4" t="str">
        <f>HYPERLINK("https://ibp.a2mac1.com/costing(costing:projects/details/9760/part/8416141)","Front Link Rod Support")</f>
        <v>Front Link Rod Support</v>
      </c>
      <c r="B2425">
        <v>8416141</v>
      </c>
      <c r="C2425">
        <v>8415789</v>
      </c>
      <c r="E2425">
        <v>4.1599999999999998E-2</v>
      </c>
      <c r="F2425">
        <v>0</v>
      </c>
      <c r="G2425">
        <v>0</v>
      </c>
      <c r="H2425">
        <v>0</v>
      </c>
      <c r="I2425" t="s">
        <v>71</v>
      </c>
      <c r="J2425">
        <v>0</v>
      </c>
      <c r="K2425">
        <v>4.1599999999999998E-2</v>
      </c>
      <c r="L2425">
        <v>0</v>
      </c>
      <c r="M2425">
        <v>0</v>
      </c>
      <c r="N2425">
        <v>4.1599999999999998E-2</v>
      </c>
      <c r="O2425" t="s">
        <v>71</v>
      </c>
      <c r="P2425">
        <v>0</v>
      </c>
      <c r="Q2425" t="s">
        <v>71</v>
      </c>
      <c r="R2425">
        <v>0</v>
      </c>
      <c r="S2425" t="s">
        <v>71</v>
      </c>
      <c r="T2425">
        <v>0</v>
      </c>
      <c r="U2425" t="s">
        <v>71</v>
      </c>
      <c r="V2425">
        <v>0</v>
      </c>
      <c r="W2425" t="s">
        <v>71</v>
      </c>
      <c r="X2425">
        <v>0</v>
      </c>
      <c r="Y2425">
        <v>4.1599999999999998E-2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30</v>
      </c>
      <c r="AF2425">
        <v>36</v>
      </c>
      <c r="AG2425">
        <v>26</v>
      </c>
      <c r="AI2425">
        <v>2.3E-2</v>
      </c>
      <c r="AK2425" t="s">
        <v>272</v>
      </c>
      <c r="AL2425" t="s">
        <v>96</v>
      </c>
      <c r="AM2425">
        <v>400000</v>
      </c>
      <c r="AN2425" t="s">
        <v>97</v>
      </c>
      <c r="AO2425">
        <v>2</v>
      </c>
      <c r="AP2425">
        <v>0</v>
      </c>
      <c r="AQ2425">
        <v>33333.333333333336</v>
      </c>
      <c r="AR2425" t="s">
        <v>8675</v>
      </c>
      <c r="AS2425" t="s">
        <v>75</v>
      </c>
      <c r="AX2425" t="s">
        <v>76</v>
      </c>
      <c r="AY2425" t="s">
        <v>71</v>
      </c>
      <c r="AZ2425">
        <v>0</v>
      </c>
      <c r="BA2425" t="s">
        <v>71</v>
      </c>
      <c r="BB2425">
        <v>0</v>
      </c>
      <c r="BD2425">
        <v>2.0799999999999999E-2</v>
      </c>
    </row>
    <row r="2426" spans="1:56" x14ac:dyDescent="0.15">
      <c r="A2426" s="4" t="str">
        <f>HYPERLINK("https://ibp.a2mac1.com/costing(costing:projects/details/9760/part/8416142)","Ride height sensor")</f>
        <v>Ride height sensor</v>
      </c>
      <c r="B2426">
        <v>8416142</v>
      </c>
      <c r="C2426">
        <v>8415790</v>
      </c>
      <c r="E2426">
        <v>4.9999799999999999</v>
      </c>
      <c r="F2426">
        <v>0</v>
      </c>
      <c r="G2426">
        <v>0</v>
      </c>
      <c r="H2426">
        <v>0</v>
      </c>
      <c r="I2426" t="s">
        <v>71</v>
      </c>
      <c r="J2426">
        <v>0</v>
      </c>
      <c r="K2426">
        <v>4.9999799999999999</v>
      </c>
      <c r="L2426">
        <v>0</v>
      </c>
      <c r="M2426">
        <v>0</v>
      </c>
      <c r="N2426">
        <v>4.9999799999999999</v>
      </c>
      <c r="O2426" t="s">
        <v>71</v>
      </c>
      <c r="P2426">
        <v>0</v>
      </c>
      <c r="Q2426" t="s">
        <v>71</v>
      </c>
      <c r="R2426">
        <v>0</v>
      </c>
      <c r="S2426" t="s">
        <v>71</v>
      </c>
      <c r="T2426">
        <v>0</v>
      </c>
      <c r="U2426" t="s">
        <v>71</v>
      </c>
      <c r="V2426">
        <v>0</v>
      </c>
      <c r="W2426" t="s">
        <v>71</v>
      </c>
      <c r="X2426">
        <v>0</v>
      </c>
      <c r="Y2426">
        <v>4.9999799999999999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50</v>
      </c>
      <c r="AF2426">
        <v>58</v>
      </c>
      <c r="AG2426">
        <v>64</v>
      </c>
      <c r="AI2426">
        <v>4.9000000000000002E-2</v>
      </c>
      <c r="AK2426" t="s">
        <v>179</v>
      </c>
      <c r="AL2426" t="s">
        <v>827</v>
      </c>
      <c r="AM2426">
        <v>400000</v>
      </c>
      <c r="AN2426" t="s">
        <v>97</v>
      </c>
      <c r="AO2426">
        <v>2</v>
      </c>
      <c r="AP2426">
        <v>0</v>
      </c>
      <c r="AQ2426">
        <v>33333.333333333336</v>
      </c>
      <c r="AR2426" t="s">
        <v>8679</v>
      </c>
      <c r="AS2426" t="s">
        <v>75</v>
      </c>
      <c r="AX2426" t="s">
        <v>76</v>
      </c>
      <c r="AY2426" t="s">
        <v>71</v>
      </c>
      <c r="AZ2426">
        <v>0</v>
      </c>
      <c r="BA2426" t="s">
        <v>71</v>
      </c>
      <c r="BB2426">
        <v>0</v>
      </c>
      <c r="BD2426">
        <v>2.4999899999999999</v>
      </c>
    </row>
    <row r="2427" spans="1:56" x14ac:dyDescent="0.15">
      <c r="A2427" s="4" t="str">
        <f>HYPERLINK("https://ibp.a2mac1.com/costing(costing:projects/details/9760/part/8416143)","Rear Link Rod")</f>
        <v>Rear Link Rod</v>
      </c>
      <c r="B2427">
        <v>8416143</v>
      </c>
      <c r="C2427">
        <v>8415790</v>
      </c>
      <c r="E2427">
        <v>0.19500000000000001</v>
      </c>
      <c r="F2427">
        <v>0</v>
      </c>
      <c r="G2427">
        <v>0</v>
      </c>
      <c r="H2427">
        <v>0</v>
      </c>
      <c r="I2427" t="s">
        <v>71</v>
      </c>
      <c r="J2427">
        <v>0</v>
      </c>
      <c r="K2427">
        <v>0.19500000000000001</v>
      </c>
      <c r="L2427">
        <v>0</v>
      </c>
      <c r="M2427">
        <v>0</v>
      </c>
      <c r="N2427">
        <v>0.19500000000000001</v>
      </c>
      <c r="O2427" t="s">
        <v>71</v>
      </c>
      <c r="P2427">
        <v>0</v>
      </c>
      <c r="Q2427" t="s">
        <v>71</v>
      </c>
      <c r="R2427">
        <v>0</v>
      </c>
      <c r="S2427" t="s">
        <v>71</v>
      </c>
      <c r="T2427">
        <v>0</v>
      </c>
      <c r="U2427" t="s">
        <v>71</v>
      </c>
      <c r="V2427">
        <v>0</v>
      </c>
      <c r="W2427" t="s">
        <v>71</v>
      </c>
      <c r="X2427">
        <v>0</v>
      </c>
      <c r="Y2427">
        <v>0.19500000000000001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12</v>
      </c>
      <c r="AF2427">
        <v>15</v>
      </c>
      <c r="AG2427">
        <v>65</v>
      </c>
      <c r="AI2427">
        <v>1.0999999999999999E-2</v>
      </c>
      <c r="AK2427" t="s">
        <v>107</v>
      </c>
      <c r="AL2427" t="s">
        <v>8670</v>
      </c>
      <c r="AM2427">
        <v>400000</v>
      </c>
      <c r="AN2427" t="s">
        <v>97</v>
      </c>
      <c r="AO2427">
        <v>2</v>
      </c>
      <c r="AP2427">
        <v>0</v>
      </c>
      <c r="AQ2427">
        <v>33333.333333333336</v>
      </c>
      <c r="AR2427" t="s">
        <v>8680</v>
      </c>
      <c r="AS2427" t="s">
        <v>75</v>
      </c>
      <c r="AX2427" t="s">
        <v>76</v>
      </c>
      <c r="AY2427" t="s">
        <v>71</v>
      </c>
      <c r="AZ2427">
        <v>0</v>
      </c>
      <c r="BA2427" t="s">
        <v>71</v>
      </c>
      <c r="BB2427">
        <v>0</v>
      </c>
      <c r="BD2427">
        <v>9.7500000000000003E-2</v>
      </c>
    </row>
    <row r="2428" spans="1:56" x14ac:dyDescent="0.15">
      <c r="A2428" s="4" t="str">
        <f>HYPERLINK("https://ibp.a2mac1.com/costing(costing:projects/details/9760/part/8416144)","Support on Body K-Frame")</f>
        <v>Support on Body K-Frame</v>
      </c>
      <c r="B2428">
        <v>8416144</v>
      </c>
      <c r="C2428">
        <v>8415790</v>
      </c>
      <c r="E2428">
        <v>0.17680000000000001</v>
      </c>
      <c r="F2428">
        <v>0</v>
      </c>
      <c r="G2428">
        <v>0</v>
      </c>
      <c r="H2428">
        <v>0</v>
      </c>
      <c r="I2428" t="s">
        <v>71</v>
      </c>
      <c r="J2428">
        <v>0</v>
      </c>
      <c r="K2428">
        <v>0.17680000000000001</v>
      </c>
      <c r="L2428">
        <v>0</v>
      </c>
      <c r="M2428">
        <v>0</v>
      </c>
      <c r="N2428">
        <v>0.17680000000000001</v>
      </c>
      <c r="O2428" t="s">
        <v>71</v>
      </c>
      <c r="P2428">
        <v>0</v>
      </c>
      <c r="Q2428" t="s">
        <v>71</v>
      </c>
      <c r="R2428">
        <v>0</v>
      </c>
      <c r="S2428" t="s">
        <v>71</v>
      </c>
      <c r="T2428">
        <v>0</v>
      </c>
      <c r="U2428" t="s">
        <v>71</v>
      </c>
      <c r="V2428">
        <v>0</v>
      </c>
      <c r="W2428" t="s">
        <v>71</v>
      </c>
      <c r="X2428">
        <v>0</v>
      </c>
      <c r="Y2428">
        <v>0.17680000000000001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70</v>
      </c>
      <c r="AF2428">
        <v>119</v>
      </c>
      <c r="AG2428">
        <v>62</v>
      </c>
      <c r="AI2428">
        <v>0.10199999999999999</v>
      </c>
      <c r="AK2428" t="s">
        <v>107</v>
      </c>
      <c r="AL2428" t="s">
        <v>96</v>
      </c>
      <c r="AM2428">
        <v>400000</v>
      </c>
      <c r="AN2428" t="s">
        <v>97</v>
      </c>
      <c r="AO2428">
        <v>2</v>
      </c>
      <c r="AP2428">
        <v>0</v>
      </c>
      <c r="AQ2428">
        <v>33333.333333333336</v>
      </c>
      <c r="AR2428" t="s">
        <v>8681</v>
      </c>
      <c r="AS2428" t="s">
        <v>75</v>
      </c>
      <c r="AX2428" t="s">
        <v>76</v>
      </c>
      <c r="AY2428" t="s">
        <v>71</v>
      </c>
      <c r="AZ2428">
        <v>0</v>
      </c>
      <c r="BA2428" t="s">
        <v>71</v>
      </c>
      <c r="BB2428">
        <v>0</v>
      </c>
      <c r="BD2428">
        <v>8.8400000000000006E-2</v>
      </c>
    </row>
    <row r="2429" spans="1:56" x14ac:dyDescent="0.15">
      <c r="A2429" s="4" t="str">
        <f>HYPERLINK("https://ibp.a2mac1.com/costing(costing:projects/details/9760/part/8416147)","Body Cast Frame")</f>
        <v>Body Cast Frame</v>
      </c>
      <c r="B2429">
        <v>8416147</v>
      </c>
      <c r="C2429">
        <v>8415794</v>
      </c>
      <c r="E2429">
        <v>1.4468964078947368</v>
      </c>
      <c r="F2429">
        <v>0</v>
      </c>
      <c r="G2429">
        <v>0</v>
      </c>
      <c r="H2429">
        <v>4.5707086526315787E-3</v>
      </c>
      <c r="I2429" t="s">
        <v>176</v>
      </c>
      <c r="J2429">
        <v>5.1939871052631578E-2</v>
      </c>
      <c r="K2429">
        <v>1.5034069876</v>
      </c>
      <c r="L2429">
        <v>8.7697830208681091E-2</v>
      </c>
      <c r="M2429">
        <v>0.52618698125208652</v>
      </c>
      <c r="N2429">
        <v>2.0295939688520868</v>
      </c>
      <c r="O2429" t="s">
        <v>177</v>
      </c>
      <c r="P2429">
        <v>9.0204419256000007E-2</v>
      </c>
      <c r="Q2429" t="s">
        <v>177</v>
      </c>
      <c r="R2429">
        <v>3.1571218875125193E-2</v>
      </c>
      <c r="S2429" t="s">
        <v>178</v>
      </c>
      <c r="T2429">
        <v>0.2435512762622504</v>
      </c>
      <c r="U2429" t="s">
        <v>90</v>
      </c>
      <c r="V2429">
        <v>0</v>
      </c>
      <c r="W2429" t="s">
        <v>90</v>
      </c>
      <c r="X2429">
        <v>0</v>
      </c>
      <c r="Y2429">
        <v>2.394920883245462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K2429" t="s">
        <v>272</v>
      </c>
      <c r="AM2429">
        <v>200000</v>
      </c>
      <c r="AN2429" t="s">
        <v>97</v>
      </c>
      <c r="AO2429">
        <v>1</v>
      </c>
      <c r="AP2429">
        <v>0</v>
      </c>
      <c r="AQ2429">
        <v>16666.666666666668</v>
      </c>
      <c r="AR2429" t="s">
        <v>9</v>
      </c>
      <c r="AS2429" t="s">
        <v>75</v>
      </c>
      <c r="AV2429">
        <v>0</v>
      </c>
      <c r="AW2429">
        <v>0</v>
      </c>
      <c r="AX2429" t="s">
        <v>76</v>
      </c>
      <c r="AY2429" t="s">
        <v>176</v>
      </c>
      <c r="AZ2429">
        <v>0</v>
      </c>
      <c r="BA2429" t="s">
        <v>176</v>
      </c>
      <c r="BB2429">
        <v>0</v>
      </c>
    </row>
    <row r="2430" spans="1:56" x14ac:dyDescent="0.15">
      <c r="A2430" s="4" t="str">
        <f>HYPERLINK("https://ibp.a2mac1.com/costing(costing:projects/details/9760/part/8416148)","Link 1")</f>
        <v>Link 1</v>
      </c>
      <c r="B2430">
        <v>8416148</v>
      </c>
      <c r="C2430">
        <v>8415794</v>
      </c>
      <c r="E2430">
        <v>0.1240001</v>
      </c>
      <c r="F2430">
        <v>0</v>
      </c>
      <c r="G2430">
        <v>0</v>
      </c>
      <c r="H2430">
        <v>4.0629819999999999E-4</v>
      </c>
      <c r="I2430" t="s">
        <v>176</v>
      </c>
      <c r="J2430">
        <v>4.6170250000000003E-3</v>
      </c>
      <c r="K2430">
        <v>0.12902342319999999</v>
      </c>
      <c r="L2430">
        <v>2.5380165688885598E-2</v>
      </c>
      <c r="M2430">
        <v>0.15228099413331359</v>
      </c>
      <c r="N2430">
        <v>0.28130441733331357</v>
      </c>
      <c r="O2430" t="s">
        <v>177</v>
      </c>
      <c r="P2430">
        <v>7.741405392E-3</v>
      </c>
      <c r="Q2430" t="s">
        <v>177</v>
      </c>
      <c r="R2430">
        <v>9.136859647998815E-3</v>
      </c>
      <c r="S2430" t="s">
        <v>178</v>
      </c>
      <c r="T2430">
        <v>3.3756530079997626E-2</v>
      </c>
      <c r="U2430" t="s">
        <v>90</v>
      </c>
      <c r="V2430">
        <v>0</v>
      </c>
      <c r="W2430" t="s">
        <v>90</v>
      </c>
      <c r="X2430">
        <v>0</v>
      </c>
      <c r="Y2430">
        <v>0.33193921245331004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K2430" t="s">
        <v>272</v>
      </c>
      <c r="AM2430">
        <v>200000</v>
      </c>
      <c r="AN2430" t="s">
        <v>97</v>
      </c>
      <c r="AO2430">
        <v>1</v>
      </c>
      <c r="AP2430">
        <v>0</v>
      </c>
      <c r="AQ2430">
        <v>16666.666666666668</v>
      </c>
      <c r="AR2430" t="s">
        <v>9</v>
      </c>
      <c r="AS2430" t="s">
        <v>75</v>
      </c>
      <c r="AV2430">
        <v>0</v>
      </c>
      <c r="AW2430">
        <v>0</v>
      </c>
      <c r="AX2430" t="s">
        <v>76</v>
      </c>
      <c r="AY2430" t="s">
        <v>176</v>
      </c>
      <c r="AZ2430">
        <v>0</v>
      </c>
      <c r="BA2430" t="s">
        <v>176</v>
      </c>
      <c r="BB2430">
        <v>0</v>
      </c>
    </row>
    <row r="2431" spans="1:56" x14ac:dyDescent="0.15">
      <c r="A2431" s="4" t="str">
        <f>HYPERLINK("https://ibp.a2mac1.com/costing(costing:projects/details/9760/part/8416149)","Link 2")</f>
        <v>Link 2</v>
      </c>
      <c r="B2431">
        <v>8416149</v>
      </c>
      <c r="C2431">
        <v>8415794</v>
      </c>
      <c r="E2431">
        <v>9.3000075000000001E-2</v>
      </c>
      <c r="F2431">
        <v>0</v>
      </c>
      <c r="G2431">
        <v>0</v>
      </c>
      <c r="H2431">
        <v>3.0472365000000002E-4</v>
      </c>
      <c r="I2431" t="s">
        <v>176</v>
      </c>
      <c r="J2431">
        <v>3.4627687499999998E-3</v>
      </c>
      <c r="K2431">
        <v>9.6767567400000004E-2</v>
      </c>
      <c r="L2431">
        <v>2.3305792316797781E-2</v>
      </c>
      <c r="M2431">
        <v>0.13983475390078667</v>
      </c>
      <c r="N2431">
        <v>0.23660232130078668</v>
      </c>
      <c r="O2431" t="s">
        <v>177</v>
      </c>
      <c r="P2431">
        <v>5.8060540440000004E-3</v>
      </c>
      <c r="Q2431" t="s">
        <v>177</v>
      </c>
      <c r="R2431">
        <v>8.3900852340472003E-3</v>
      </c>
      <c r="S2431" t="s">
        <v>178</v>
      </c>
      <c r="T2431">
        <v>2.83922785560944E-2</v>
      </c>
      <c r="U2431" t="s">
        <v>90</v>
      </c>
      <c r="V2431">
        <v>0</v>
      </c>
      <c r="W2431" t="s">
        <v>90</v>
      </c>
      <c r="X2431">
        <v>0</v>
      </c>
      <c r="Y2431">
        <v>0.27919073913492826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K2431" t="s">
        <v>272</v>
      </c>
      <c r="AM2431">
        <v>200000</v>
      </c>
      <c r="AN2431" t="s">
        <v>97</v>
      </c>
      <c r="AO2431">
        <v>1</v>
      </c>
      <c r="AP2431">
        <v>0</v>
      </c>
      <c r="AQ2431">
        <v>16666.666666666668</v>
      </c>
      <c r="AR2431" t="s">
        <v>9</v>
      </c>
      <c r="AS2431" t="s">
        <v>75</v>
      </c>
      <c r="AV2431">
        <v>0</v>
      </c>
      <c r="AW2431">
        <v>0</v>
      </c>
      <c r="AX2431" t="s">
        <v>76</v>
      </c>
      <c r="AY2431" t="s">
        <v>176</v>
      </c>
      <c r="AZ2431">
        <v>0</v>
      </c>
      <c r="BA2431" t="s">
        <v>176</v>
      </c>
      <c r="BB2431">
        <v>0</v>
      </c>
    </row>
    <row r="2432" spans="1:56" x14ac:dyDescent="0.15">
      <c r="A2432" s="4" t="str">
        <f>HYPERLINK("https://ibp.a2mac1.com/costing(costing:projects/details/9760/part/8416150)","Link 3")</f>
        <v>Link 3</v>
      </c>
      <c r="B2432">
        <v>8416150</v>
      </c>
      <c r="C2432">
        <v>8415794</v>
      </c>
      <c r="E2432">
        <v>3.1000025E-2</v>
      </c>
      <c r="F2432">
        <v>0</v>
      </c>
      <c r="G2432">
        <v>0</v>
      </c>
      <c r="H2432">
        <v>1.0157455E-4</v>
      </c>
      <c r="I2432" t="s">
        <v>176</v>
      </c>
      <c r="J2432">
        <v>1.1542562500000001E-3</v>
      </c>
      <c r="K2432">
        <v>3.2255855799999997E-2</v>
      </c>
      <c r="L2432">
        <v>2.5380165688885598E-2</v>
      </c>
      <c r="M2432">
        <v>0.15228099413331359</v>
      </c>
      <c r="N2432">
        <v>0.18453684993331357</v>
      </c>
      <c r="O2432" t="s">
        <v>177</v>
      </c>
      <c r="P2432">
        <v>1.935351348E-3</v>
      </c>
      <c r="Q2432" t="s">
        <v>177</v>
      </c>
      <c r="R2432">
        <v>9.136859647998815E-3</v>
      </c>
      <c r="S2432" t="s">
        <v>178</v>
      </c>
      <c r="T2432">
        <v>2.2144421991997631E-2</v>
      </c>
      <c r="U2432" t="s">
        <v>90</v>
      </c>
      <c r="V2432">
        <v>0</v>
      </c>
      <c r="W2432" t="s">
        <v>90</v>
      </c>
      <c r="X2432">
        <v>0</v>
      </c>
      <c r="Y2432">
        <v>0.21775348292131003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K2432" t="s">
        <v>272</v>
      </c>
      <c r="AM2432">
        <v>200000</v>
      </c>
      <c r="AN2432" t="s">
        <v>97</v>
      </c>
      <c r="AO2432">
        <v>1</v>
      </c>
      <c r="AP2432">
        <v>0</v>
      </c>
      <c r="AQ2432">
        <v>16666.666666666668</v>
      </c>
      <c r="AR2432" t="s">
        <v>9</v>
      </c>
      <c r="AS2432" t="s">
        <v>75</v>
      </c>
      <c r="AV2432">
        <v>0</v>
      </c>
      <c r="AW2432">
        <v>0</v>
      </c>
      <c r="AX2432" t="s">
        <v>76</v>
      </c>
      <c r="AY2432" t="s">
        <v>176</v>
      </c>
      <c r="AZ2432">
        <v>0</v>
      </c>
      <c r="BA2432" t="s">
        <v>176</v>
      </c>
      <c r="BB2432">
        <v>0</v>
      </c>
    </row>
    <row r="2433" spans="1:56" x14ac:dyDescent="0.15">
      <c r="A2433" s="4" t="str">
        <f>HYPERLINK("https://ibp.a2mac1.com/costing(costing:projects/details/9760/part/8416151)","Link 4")</f>
        <v>Link 4</v>
      </c>
      <c r="B2433">
        <v>8416151</v>
      </c>
      <c r="C2433">
        <v>8415794</v>
      </c>
      <c r="E2433">
        <v>3.1000025E-2</v>
      </c>
      <c r="F2433">
        <v>0</v>
      </c>
      <c r="G2433">
        <v>0</v>
      </c>
      <c r="H2433">
        <v>1.0157455E-4</v>
      </c>
      <c r="I2433" t="s">
        <v>176</v>
      </c>
      <c r="J2433">
        <v>1.1542562500000001E-3</v>
      </c>
      <c r="K2433">
        <v>3.2255855799999997E-2</v>
      </c>
      <c r="L2433">
        <v>2.5380165688885598E-2</v>
      </c>
      <c r="M2433">
        <v>0.15228099413331359</v>
      </c>
      <c r="N2433">
        <v>0.18453684993331357</v>
      </c>
      <c r="O2433" t="s">
        <v>177</v>
      </c>
      <c r="P2433">
        <v>1.935351348E-3</v>
      </c>
      <c r="Q2433" t="s">
        <v>177</v>
      </c>
      <c r="R2433">
        <v>9.136859647998815E-3</v>
      </c>
      <c r="S2433" t="s">
        <v>178</v>
      </c>
      <c r="T2433">
        <v>2.2144421991997631E-2</v>
      </c>
      <c r="U2433" t="s">
        <v>90</v>
      </c>
      <c r="V2433">
        <v>0</v>
      </c>
      <c r="W2433" t="s">
        <v>90</v>
      </c>
      <c r="X2433">
        <v>0</v>
      </c>
      <c r="Y2433">
        <v>0.21775348292131003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K2433" t="s">
        <v>272</v>
      </c>
      <c r="AM2433">
        <v>200000</v>
      </c>
      <c r="AN2433" t="s">
        <v>97</v>
      </c>
      <c r="AO2433">
        <v>1</v>
      </c>
      <c r="AP2433">
        <v>0</v>
      </c>
      <c r="AQ2433">
        <v>16666.666666666668</v>
      </c>
      <c r="AR2433" t="s">
        <v>9</v>
      </c>
      <c r="AS2433" t="s">
        <v>75</v>
      </c>
      <c r="AV2433">
        <v>0</v>
      </c>
      <c r="AW2433">
        <v>0</v>
      </c>
      <c r="AX2433" t="s">
        <v>76</v>
      </c>
      <c r="AY2433" t="s">
        <v>176</v>
      </c>
      <c r="AZ2433">
        <v>0</v>
      </c>
      <c r="BA2433" t="s">
        <v>176</v>
      </c>
      <c r="BB2433">
        <v>0</v>
      </c>
    </row>
    <row r="2434" spans="1:56" x14ac:dyDescent="0.15">
      <c r="A2434" s="4" t="str">
        <f>HYPERLINK("https://ibp.a2mac1.com/costing(costing:projects/details/9760/part/8416152)","Fastners")</f>
        <v>Fastners</v>
      </c>
      <c r="B2434">
        <v>8416152</v>
      </c>
      <c r="C2434">
        <v>8415794</v>
      </c>
      <c r="E2434">
        <v>0.6</v>
      </c>
      <c r="F2434">
        <v>0</v>
      </c>
      <c r="G2434">
        <v>0</v>
      </c>
      <c r="H2434">
        <v>0</v>
      </c>
      <c r="I2434" t="s">
        <v>71</v>
      </c>
      <c r="J2434">
        <v>0</v>
      </c>
      <c r="K2434">
        <v>0.6</v>
      </c>
      <c r="L2434">
        <v>0</v>
      </c>
      <c r="M2434">
        <v>0</v>
      </c>
      <c r="N2434">
        <v>0.6</v>
      </c>
      <c r="O2434" t="s">
        <v>71</v>
      </c>
      <c r="P2434">
        <v>0</v>
      </c>
      <c r="Q2434" t="s">
        <v>71</v>
      </c>
      <c r="R2434">
        <v>0</v>
      </c>
      <c r="S2434" t="s">
        <v>71</v>
      </c>
      <c r="T2434">
        <v>0</v>
      </c>
      <c r="U2434" t="s">
        <v>71</v>
      </c>
      <c r="V2434">
        <v>0</v>
      </c>
      <c r="W2434" t="s">
        <v>71</v>
      </c>
      <c r="X2434">
        <v>0</v>
      </c>
      <c r="Y2434">
        <v>0.6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K2434" t="s">
        <v>272</v>
      </c>
      <c r="AM2434">
        <v>1200000</v>
      </c>
      <c r="AN2434" t="s">
        <v>97</v>
      </c>
      <c r="AO2434">
        <v>6</v>
      </c>
      <c r="AP2434">
        <v>0</v>
      </c>
      <c r="AQ2434">
        <v>100000</v>
      </c>
      <c r="AR2434" t="s">
        <v>9</v>
      </c>
      <c r="AS2434" t="s">
        <v>75</v>
      </c>
      <c r="AV2434">
        <v>0</v>
      </c>
      <c r="AW2434">
        <v>0</v>
      </c>
      <c r="AX2434" t="s">
        <v>76</v>
      </c>
      <c r="AY2434" t="s">
        <v>71</v>
      </c>
      <c r="AZ2434">
        <v>0</v>
      </c>
      <c r="BA2434" t="s">
        <v>71</v>
      </c>
      <c r="BB2434">
        <v>0</v>
      </c>
      <c r="BD2434">
        <v>0.1</v>
      </c>
    </row>
    <row r="2435" spans="1:56" x14ac:dyDescent="0.15">
      <c r="A2435" s="4" t="str">
        <f>HYPERLINK("https://ibp.a2mac1.com/costing(costing:projects/details/9760/part/8416153)","Attaching plate")</f>
        <v>Attaching plate</v>
      </c>
      <c r="B2435">
        <v>8416153</v>
      </c>
      <c r="C2435">
        <v>8415794</v>
      </c>
      <c r="E2435">
        <v>1.55000125E-2</v>
      </c>
      <c r="F2435">
        <v>0</v>
      </c>
      <c r="G2435">
        <v>0</v>
      </c>
      <c r="H2435">
        <v>5.0787274999999999E-5</v>
      </c>
      <c r="I2435" t="s">
        <v>176</v>
      </c>
      <c r="J2435">
        <v>5.7712812500000004E-4</v>
      </c>
      <c r="K2435">
        <v>1.6127927899999998E-2</v>
      </c>
      <c r="L2435">
        <v>2.3305792316797781E-2</v>
      </c>
      <c r="M2435">
        <v>0.13983475390078667</v>
      </c>
      <c r="N2435">
        <v>0.15596268180078668</v>
      </c>
      <c r="O2435" t="s">
        <v>177</v>
      </c>
      <c r="P2435">
        <v>9.67675674E-4</v>
      </c>
      <c r="Q2435" t="s">
        <v>177</v>
      </c>
      <c r="R2435">
        <v>8.3900852340472003E-3</v>
      </c>
      <c r="S2435" t="s">
        <v>178</v>
      </c>
      <c r="T2435">
        <v>1.8715521816094403E-2</v>
      </c>
      <c r="U2435" t="s">
        <v>90</v>
      </c>
      <c r="V2435">
        <v>0</v>
      </c>
      <c r="W2435" t="s">
        <v>90</v>
      </c>
      <c r="X2435">
        <v>0</v>
      </c>
      <c r="Y2435">
        <v>0.18403596452492829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K2435" t="s">
        <v>272</v>
      </c>
      <c r="AM2435">
        <v>200000</v>
      </c>
      <c r="AN2435" t="s">
        <v>97</v>
      </c>
      <c r="AO2435">
        <v>1</v>
      </c>
      <c r="AP2435">
        <v>0</v>
      </c>
      <c r="AQ2435">
        <v>16666.666666666668</v>
      </c>
      <c r="AR2435" t="s">
        <v>9</v>
      </c>
      <c r="AS2435" t="s">
        <v>75</v>
      </c>
      <c r="AV2435">
        <v>0</v>
      </c>
      <c r="AW2435">
        <v>0</v>
      </c>
      <c r="AX2435" t="s">
        <v>76</v>
      </c>
      <c r="AY2435" t="s">
        <v>176</v>
      </c>
      <c r="AZ2435">
        <v>0</v>
      </c>
      <c r="BA2435" t="s">
        <v>176</v>
      </c>
      <c r="BB2435">
        <v>0</v>
      </c>
    </row>
    <row r="2436" spans="1:56" x14ac:dyDescent="0.15">
      <c r="A2436" s="4" t="str">
        <f>HYPERLINK("https://ibp.a2mac1.com/costing(costing:projects/details/9760/part/8416154)","Driver Side")</f>
        <v>Driver Side</v>
      </c>
      <c r="B2436">
        <v>8416154</v>
      </c>
      <c r="C2436">
        <v>8415795</v>
      </c>
      <c r="D2436" t="s">
        <v>8735</v>
      </c>
      <c r="E2436">
        <v>1.915</v>
      </c>
      <c r="F2436">
        <v>0</v>
      </c>
      <c r="G2436">
        <v>0</v>
      </c>
      <c r="H2436">
        <v>0</v>
      </c>
      <c r="I2436" t="s">
        <v>71</v>
      </c>
      <c r="J2436">
        <v>0</v>
      </c>
      <c r="K2436">
        <v>1.915</v>
      </c>
      <c r="L2436">
        <v>0</v>
      </c>
      <c r="M2436">
        <v>0</v>
      </c>
      <c r="N2436">
        <v>1.915</v>
      </c>
      <c r="O2436" t="s">
        <v>71</v>
      </c>
      <c r="P2436">
        <v>0</v>
      </c>
      <c r="Q2436" t="s">
        <v>71</v>
      </c>
      <c r="R2436">
        <v>0</v>
      </c>
      <c r="S2436" t="s">
        <v>71</v>
      </c>
      <c r="T2436">
        <v>0</v>
      </c>
      <c r="U2436" t="s">
        <v>71</v>
      </c>
      <c r="V2436">
        <v>0</v>
      </c>
      <c r="W2436" t="s">
        <v>71</v>
      </c>
      <c r="X2436">
        <v>0</v>
      </c>
      <c r="Y2436">
        <v>1.915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140</v>
      </c>
      <c r="AF2436">
        <v>608</v>
      </c>
      <c r="AG2436">
        <v>22</v>
      </c>
      <c r="AI2436">
        <v>0.13100000000000001</v>
      </c>
      <c r="AK2436" t="s">
        <v>5370</v>
      </c>
      <c r="AL2436" t="s">
        <v>8736</v>
      </c>
      <c r="AM2436">
        <v>200000</v>
      </c>
      <c r="AN2436" t="s">
        <v>97</v>
      </c>
      <c r="AO2436">
        <v>1</v>
      </c>
      <c r="AP2436">
        <v>0</v>
      </c>
      <c r="AQ2436">
        <v>16666.666666666668</v>
      </c>
      <c r="AR2436" t="s">
        <v>8737</v>
      </c>
      <c r="AS2436" t="s">
        <v>75</v>
      </c>
      <c r="AX2436" t="s">
        <v>76</v>
      </c>
      <c r="AY2436" t="s">
        <v>71</v>
      </c>
      <c r="AZ2436">
        <v>0</v>
      </c>
      <c r="BA2436" t="s">
        <v>71</v>
      </c>
      <c r="BB2436">
        <v>0</v>
      </c>
      <c r="BD2436">
        <v>1.915</v>
      </c>
    </row>
    <row r="2437" spans="1:56" x14ac:dyDescent="0.15">
      <c r="A2437" s="4" t="str">
        <f>HYPERLINK("https://ibp.a2mac1.com/costing(costing:projects/details/9760/part/8416155)","Passenger Side")</f>
        <v>Passenger Side</v>
      </c>
      <c r="B2437">
        <v>8416155</v>
      </c>
      <c r="C2437">
        <v>8415795</v>
      </c>
      <c r="D2437" t="s">
        <v>8738</v>
      </c>
      <c r="E2437">
        <v>1.915</v>
      </c>
      <c r="F2437">
        <v>0</v>
      </c>
      <c r="G2437">
        <v>0</v>
      </c>
      <c r="H2437">
        <v>0</v>
      </c>
      <c r="I2437" t="s">
        <v>71</v>
      </c>
      <c r="J2437">
        <v>0</v>
      </c>
      <c r="K2437">
        <v>1.915</v>
      </c>
      <c r="L2437">
        <v>0</v>
      </c>
      <c r="M2437">
        <v>0</v>
      </c>
      <c r="N2437">
        <v>1.915</v>
      </c>
      <c r="O2437" t="s">
        <v>71</v>
      </c>
      <c r="P2437">
        <v>0</v>
      </c>
      <c r="Q2437" t="s">
        <v>71</v>
      </c>
      <c r="R2437">
        <v>0</v>
      </c>
      <c r="S2437" t="s">
        <v>71</v>
      </c>
      <c r="T2437">
        <v>0</v>
      </c>
      <c r="U2437" t="s">
        <v>71</v>
      </c>
      <c r="V2437">
        <v>0</v>
      </c>
      <c r="W2437" t="s">
        <v>71</v>
      </c>
      <c r="X2437">
        <v>0</v>
      </c>
      <c r="Y2437">
        <v>1.915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55</v>
      </c>
      <c r="AF2437">
        <v>450</v>
      </c>
      <c r="AG2437">
        <v>22</v>
      </c>
      <c r="AI2437">
        <v>0.09</v>
      </c>
      <c r="AK2437" t="s">
        <v>5370</v>
      </c>
      <c r="AL2437" t="s">
        <v>8736</v>
      </c>
      <c r="AM2437">
        <v>200000</v>
      </c>
      <c r="AN2437" t="s">
        <v>97</v>
      </c>
      <c r="AO2437">
        <v>1</v>
      </c>
      <c r="AP2437">
        <v>0</v>
      </c>
      <c r="AQ2437">
        <v>16666.666666666668</v>
      </c>
      <c r="AR2437" t="s">
        <v>8739</v>
      </c>
      <c r="AS2437" t="s">
        <v>75</v>
      </c>
      <c r="AX2437" t="s">
        <v>76</v>
      </c>
      <c r="AY2437" t="s">
        <v>71</v>
      </c>
      <c r="AZ2437">
        <v>0</v>
      </c>
      <c r="BA2437" t="s">
        <v>71</v>
      </c>
      <c r="BB2437">
        <v>0</v>
      </c>
      <c r="BD2437">
        <v>1.915</v>
      </c>
    </row>
    <row r="2438" spans="1:56" x14ac:dyDescent="0.15">
      <c r="A2438" s="4" t="str">
        <f>HYPERLINK("https://ibp.a2mac1.com/costing(costing:projects/details/9760/part/8416156)","Driver Side")</f>
        <v>Driver Side</v>
      </c>
      <c r="B2438">
        <v>8416156</v>
      </c>
      <c r="C2438">
        <v>8415796</v>
      </c>
      <c r="D2438" t="s">
        <v>2737</v>
      </c>
      <c r="E2438">
        <v>3.04</v>
      </c>
      <c r="F2438">
        <v>0</v>
      </c>
      <c r="G2438">
        <v>0</v>
      </c>
      <c r="H2438">
        <v>0</v>
      </c>
      <c r="I2438" t="s">
        <v>71</v>
      </c>
      <c r="J2438">
        <v>0</v>
      </c>
      <c r="K2438">
        <v>3.04</v>
      </c>
      <c r="L2438">
        <v>0</v>
      </c>
      <c r="M2438">
        <v>0</v>
      </c>
      <c r="N2438">
        <v>3.04</v>
      </c>
      <c r="O2438" t="s">
        <v>71</v>
      </c>
      <c r="P2438">
        <v>0</v>
      </c>
      <c r="Q2438" t="s">
        <v>71</v>
      </c>
      <c r="R2438">
        <v>0</v>
      </c>
      <c r="S2438" t="s">
        <v>71</v>
      </c>
      <c r="T2438">
        <v>0</v>
      </c>
      <c r="U2438" t="s">
        <v>71</v>
      </c>
      <c r="V2438">
        <v>0</v>
      </c>
      <c r="W2438" t="s">
        <v>71</v>
      </c>
      <c r="X2438">
        <v>0</v>
      </c>
      <c r="Y2438">
        <v>3.04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73</v>
      </c>
      <c r="AF2438">
        <v>622</v>
      </c>
      <c r="AG2438">
        <v>37</v>
      </c>
      <c r="AI2438">
        <v>0.375</v>
      </c>
      <c r="AK2438" t="s">
        <v>5370</v>
      </c>
      <c r="AL2438" t="s">
        <v>96</v>
      </c>
      <c r="AM2438">
        <v>200000</v>
      </c>
      <c r="AN2438" t="s">
        <v>97</v>
      </c>
      <c r="AO2438">
        <v>1</v>
      </c>
      <c r="AP2438">
        <v>0</v>
      </c>
      <c r="AQ2438">
        <v>16666.666666666668</v>
      </c>
      <c r="AR2438" t="s">
        <v>8742</v>
      </c>
      <c r="AS2438" t="s">
        <v>75</v>
      </c>
      <c r="AX2438" t="s">
        <v>76</v>
      </c>
      <c r="AY2438" t="s">
        <v>71</v>
      </c>
      <c r="AZ2438">
        <v>0</v>
      </c>
      <c r="BA2438" t="s">
        <v>71</v>
      </c>
      <c r="BB2438">
        <v>0</v>
      </c>
      <c r="BD2438">
        <v>3.04</v>
      </c>
    </row>
    <row r="2439" spans="1:56" x14ac:dyDescent="0.15">
      <c r="A2439" s="4" t="str">
        <f>HYPERLINK("https://ibp.a2mac1.com/costing(costing:projects/details/9760/part/8416157)","Passenger Side")</f>
        <v>Passenger Side</v>
      </c>
      <c r="B2439">
        <v>8416157</v>
      </c>
      <c r="C2439">
        <v>8415796</v>
      </c>
      <c r="D2439" t="s">
        <v>2737</v>
      </c>
      <c r="E2439">
        <v>4.26</v>
      </c>
      <c r="F2439">
        <v>0</v>
      </c>
      <c r="G2439">
        <v>0</v>
      </c>
      <c r="H2439">
        <v>0</v>
      </c>
      <c r="I2439" t="s">
        <v>71</v>
      </c>
      <c r="J2439">
        <v>0</v>
      </c>
      <c r="K2439">
        <v>4.26</v>
      </c>
      <c r="L2439">
        <v>0</v>
      </c>
      <c r="M2439">
        <v>0</v>
      </c>
      <c r="N2439">
        <v>4.26</v>
      </c>
      <c r="O2439" t="s">
        <v>71</v>
      </c>
      <c r="P2439">
        <v>0</v>
      </c>
      <c r="Q2439" t="s">
        <v>71</v>
      </c>
      <c r="R2439">
        <v>0</v>
      </c>
      <c r="S2439" t="s">
        <v>71</v>
      </c>
      <c r="T2439">
        <v>0</v>
      </c>
      <c r="U2439" t="s">
        <v>71</v>
      </c>
      <c r="V2439">
        <v>0</v>
      </c>
      <c r="W2439" t="s">
        <v>71</v>
      </c>
      <c r="X2439">
        <v>0</v>
      </c>
      <c r="Y2439">
        <v>4.26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71</v>
      </c>
      <c r="AF2439">
        <v>745</v>
      </c>
      <c r="AG2439">
        <v>96</v>
      </c>
      <c r="AI2439">
        <v>0.52600000000000002</v>
      </c>
      <c r="AK2439" t="s">
        <v>5370</v>
      </c>
      <c r="AL2439" t="s">
        <v>96</v>
      </c>
      <c r="AM2439">
        <v>200000</v>
      </c>
      <c r="AN2439" t="s">
        <v>97</v>
      </c>
      <c r="AO2439">
        <v>1</v>
      </c>
      <c r="AP2439">
        <v>0</v>
      </c>
      <c r="AQ2439">
        <v>16666.666666666668</v>
      </c>
      <c r="AR2439" t="s">
        <v>8743</v>
      </c>
      <c r="AS2439" t="s">
        <v>75</v>
      </c>
      <c r="AX2439" t="s">
        <v>76</v>
      </c>
      <c r="AY2439" t="s">
        <v>71</v>
      </c>
      <c r="AZ2439">
        <v>0</v>
      </c>
      <c r="BA2439" t="s">
        <v>71</v>
      </c>
      <c r="BB2439">
        <v>0</v>
      </c>
      <c r="BD2439">
        <v>4.26</v>
      </c>
    </row>
    <row r="2440" spans="1:56" x14ac:dyDescent="0.15">
      <c r="A2440" s="4" t="str">
        <f>HYPERLINK("https://ibp.a2mac1.com/costing(costing:projects/details/9760/part/8416158)","Fastener Cover")</f>
        <v>Fastener Cover</v>
      </c>
      <c r="B2440">
        <v>8416158</v>
      </c>
      <c r="C2440">
        <v>8415796</v>
      </c>
      <c r="D2440" t="s">
        <v>8744</v>
      </c>
      <c r="E2440">
        <v>0.2</v>
      </c>
      <c r="F2440">
        <v>0</v>
      </c>
      <c r="G2440">
        <v>0</v>
      </c>
      <c r="H2440">
        <v>0</v>
      </c>
      <c r="I2440" t="s">
        <v>71</v>
      </c>
      <c r="J2440">
        <v>0</v>
      </c>
      <c r="K2440">
        <v>0.2</v>
      </c>
      <c r="L2440">
        <v>0</v>
      </c>
      <c r="M2440">
        <v>0</v>
      </c>
      <c r="N2440">
        <v>0.2</v>
      </c>
      <c r="O2440" t="s">
        <v>71</v>
      </c>
      <c r="P2440">
        <v>0</v>
      </c>
      <c r="Q2440" t="s">
        <v>71</v>
      </c>
      <c r="R2440">
        <v>0</v>
      </c>
      <c r="S2440" t="s">
        <v>71</v>
      </c>
      <c r="T2440">
        <v>0</v>
      </c>
      <c r="U2440" t="s">
        <v>71</v>
      </c>
      <c r="V2440">
        <v>0</v>
      </c>
      <c r="W2440" t="s">
        <v>71</v>
      </c>
      <c r="X2440">
        <v>0</v>
      </c>
      <c r="Y2440">
        <v>0.2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31</v>
      </c>
      <c r="AF2440">
        <v>31</v>
      </c>
      <c r="AG2440">
        <v>12</v>
      </c>
      <c r="AI2440">
        <v>7.0000000000000001E-3</v>
      </c>
      <c r="AK2440" t="s">
        <v>5370</v>
      </c>
      <c r="AM2440">
        <v>400000</v>
      </c>
      <c r="AN2440" t="s">
        <v>97</v>
      </c>
      <c r="AO2440">
        <v>2</v>
      </c>
      <c r="AP2440">
        <v>0</v>
      </c>
      <c r="AQ2440">
        <v>33333.333333333336</v>
      </c>
      <c r="AR2440" t="s">
        <v>8745</v>
      </c>
      <c r="AS2440" t="s">
        <v>75</v>
      </c>
      <c r="AX2440" t="s">
        <v>76</v>
      </c>
      <c r="AY2440" t="s">
        <v>71</v>
      </c>
      <c r="AZ2440">
        <v>0</v>
      </c>
      <c r="BA2440" t="s">
        <v>71</v>
      </c>
      <c r="BB2440">
        <v>0</v>
      </c>
      <c r="BD2440">
        <v>0.1</v>
      </c>
    </row>
    <row r="2441" spans="1:56" x14ac:dyDescent="0.15">
      <c r="A2441" s="4" t="str">
        <f>HYPERLINK("https://ibp.a2mac1.com/costing(costing:projects/details/9760/part/8415793)","Motor Cover")</f>
        <v>Motor Cover</v>
      </c>
      <c r="B2441">
        <v>8415793</v>
      </c>
      <c r="C2441">
        <v>8415616</v>
      </c>
      <c r="D2441" t="s">
        <v>8747</v>
      </c>
      <c r="E2441">
        <v>0.1</v>
      </c>
      <c r="F2441">
        <v>0</v>
      </c>
      <c r="G2441">
        <v>0</v>
      </c>
      <c r="H2441">
        <v>0</v>
      </c>
      <c r="I2441" t="s">
        <v>71</v>
      </c>
      <c r="J2441">
        <v>0</v>
      </c>
      <c r="K2441">
        <v>0.1</v>
      </c>
      <c r="L2441">
        <v>0</v>
      </c>
      <c r="M2441">
        <v>0</v>
      </c>
      <c r="N2441">
        <v>0.1</v>
      </c>
      <c r="O2441" t="s">
        <v>71</v>
      </c>
      <c r="P2441">
        <v>0</v>
      </c>
      <c r="Q2441" t="s">
        <v>71</v>
      </c>
      <c r="R2441">
        <v>0</v>
      </c>
      <c r="S2441" t="s">
        <v>71</v>
      </c>
      <c r="T2441">
        <v>0</v>
      </c>
      <c r="U2441" t="s">
        <v>71</v>
      </c>
      <c r="V2441">
        <v>0</v>
      </c>
      <c r="W2441" t="s">
        <v>71</v>
      </c>
      <c r="X2441">
        <v>0</v>
      </c>
      <c r="Y2441">
        <v>0.1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8</v>
      </c>
      <c r="AF2441">
        <v>23</v>
      </c>
      <c r="AG2441">
        <v>23</v>
      </c>
      <c r="AI2441">
        <v>1E-3</v>
      </c>
      <c r="AK2441" t="s">
        <v>5370</v>
      </c>
      <c r="AM2441">
        <v>200000</v>
      </c>
      <c r="AN2441" t="s">
        <v>97</v>
      </c>
      <c r="AO2441">
        <v>1</v>
      </c>
      <c r="AP2441">
        <v>0</v>
      </c>
      <c r="AQ2441">
        <v>16666.666666666668</v>
      </c>
      <c r="AR2441" t="s">
        <v>8748</v>
      </c>
      <c r="AS2441" t="s">
        <v>75</v>
      </c>
      <c r="AX2441" t="s">
        <v>76</v>
      </c>
      <c r="AY2441" t="s">
        <v>71</v>
      </c>
      <c r="AZ2441">
        <v>0</v>
      </c>
      <c r="BA2441" t="s">
        <v>71</v>
      </c>
      <c r="BB2441">
        <v>0</v>
      </c>
      <c r="BD2441">
        <v>0.1</v>
      </c>
    </row>
    <row r="2442" spans="1:56" x14ac:dyDescent="0.15">
      <c r="A2442" s="4" t="str">
        <f>HYPERLINK("https://ibp.a2mac1.com/costing(costing:projects/details/9760/part/8415797)","Tank")</f>
        <v>Tank</v>
      </c>
      <c r="B2442">
        <v>8415797</v>
      </c>
      <c r="C2442">
        <v>8415617</v>
      </c>
      <c r="E2442">
        <v>0.527788653</v>
      </c>
      <c r="F2442">
        <v>0</v>
      </c>
      <c r="G2442">
        <v>0</v>
      </c>
      <c r="H2442">
        <v>2.6773038437894739E-3</v>
      </c>
      <c r="I2442" t="s">
        <v>176</v>
      </c>
      <c r="J2442">
        <v>1.8518900105263157E-2</v>
      </c>
      <c r="K2442">
        <v>0.54898485694905264</v>
      </c>
      <c r="L2442">
        <v>7.4767739224573929E-2</v>
      </c>
      <c r="M2442">
        <v>0.4486064353474436</v>
      </c>
      <c r="N2442">
        <v>0.99759129229649623</v>
      </c>
      <c r="O2442" t="s">
        <v>177</v>
      </c>
      <c r="P2442">
        <v>3.2939091416943157E-2</v>
      </c>
      <c r="Q2442" t="s">
        <v>177</v>
      </c>
      <c r="R2442">
        <v>2.6916386120846614E-2</v>
      </c>
      <c r="S2442" t="s">
        <v>178</v>
      </c>
      <c r="T2442">
        <v>0.11971095507557955</v>
      </c>
      <c r="U2442" t="s">
        <v>90</v>
      </c>
      <c r="V2442">
        <v>0</v>
      </c>
      <c r="W2442" t="s">
        <v>90</v>
      </c>
      <c r="X2442">
        <v>0</v>
      </c>
      <c r="Y2442">
        <v>1.1771577249098655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241</v>
      </c>
      <c r="AF2442">
        <v>284</v>
      </c>
      <c r="AG2442">
        <v>260</v>
      </c>
      <c r="AI2442">
        <v>0.497</v>
      </c>
      <c r="AK2442" t="s">
        <v>5370</v>
      </c>
      <c r="AL2442" t="s">
        <v>856</v>
      </c>
      <c r="AM2442">
        <v>200000</v>
      </c>
      <c r="AN2442" t="s">
        <v>97</v>
      </c>
      <c r="AO2442">
        <v>1</v>
      </c>
      <c r="AP2442">
        <v>0</v>
      </c>
      <c r="AQ2442">
        <v>16666.666666666668</v>
      </c>
      <c r="AR2442" t="s">
        <v>8756</v>
      </c>
      <c r="AS2442" t="s">
        <v>75</v>
      </c>
      <c r="AX2442" t="s">
        <v>76</v>
      </c>
      <c r="AY2442" t="s">
        <v>176</v>
      </c>
      <c r="AZ2442">
        <v>0</v>
      </c>
      <c r="BA2442" t="s">
        <v>176</v>
      </c>
      <c r="BB2442">
        <v>0</v>
      </c>
    </row>
    <row r="2443" spans="1:56" x14ac:dyDescent="0.15">
      <c r="A2443" s="4" t="str">
        <f>HYPERLINK("https://ibp.a2mac1.com/costing(costing:projects/details/9760/part/8415798)","Filler Pipe")</f>
        <v>Filler Pipe</v>
      </c>
      <c r="B2443">
        <v>8415798</v>
      </c>
      <c r="C2443">
        <v>8415617</v>
      </c>
      <c r="E2443">
        <v>4.1224574999999999E-2</v>
      </c>
      <c r="F2443">
        <v>0</v>
      </c>
      <c r="G2443">
        <v>0</v>
      </c>
      <c r="H2443">
        <v>2.0911914736842106E-4</v>
      </c>
      <c r="I2443" t="s">
        <v>176</v>
      </c>
      <c r="J2443">
        <v>1.4464763157894737E-3</v>
      </c>
      <c r="K2443">
        <v>4.2880170463157896E-2</v>
      </c>
      <c r="L2443">
        <v>7.6565574225524614E-3</v>
      </c>
      <c r="M2443">
        <v>4.5939344535314765E-2</v>
      </c>
      <c r="N2443">
        <v>8.8819514998472668E-2</v>
      </c>
      <c r="O2443" t="s">
        <v>177</v>
      </c>
      <c r="P2443">
        <v>2.5728102277894735E-3</v>
      </c>
      <c r="Q2443" t="s">
        <v>177</v>
      </c>
      <c r="R2443">
        <v>2.756360672118886E-3</v>
      </c>
      <c r="S2443" t="s">
        <v>178</v>
      </c>
      <c r="T2443">
        <v>1.065834179981672E-2</v>
      </c>
      <c r="U2443" t="s">
        <v>90</v>
      </c>
      <c r="V2443">
        <v>0</v>
      </c>
      <c r="W2443" t="s">
        <v>90</v>
      </c>
      <c r="X2443">
        <v>0</v>
      </c>
      <c r="Y2443">
        <v>0.10480702769819775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53</v>
      </c>
      <c r="AF2443">
        <v>43</v>
      </c>
      <c r="AG2443">
        <v>204</v>
      </c>
      <c r="AI2443">
        <v>3.1E-2</v>
      </c>
      <c r="AK2443" t="s">
        <v>5370</v>
      </c>
      <c r="AL2443" t="s">
        <v>2282</v>
      </c>
      <c r="AM2443">
        <v>200000</v>
      </c>
      <c r="AN2443" t="s">
        <v>97</v>
      </c>
      <c r="AO2443">
        <v>1</v>
      </c>
      <c r="AP2443">
        <v>0</v>
      </c>
      <c r="AQ2443">
        <v>16666.666666666668</v>
      </c>
      <c r="AR2443" t="s">
        <v>8759</v>
      </c>
      <c r="AS2443" t="s">
        <v>75</v>
      </c>
      <c r="AX2443" t="s">
        <v>76</v>
      </c>
      <c r="AY2443" t="s">
        <v>176</v>
      </c>
      <c r="AZ2443">
        <v>0</v>
      </c>
      <c r="BA2443" t="s">
        <v>176</v>
      </c>
      <c r="BB2443">
        <v>0</v>
      </c>
    </row>
    <row r="2444" spans="1:56" x14ac:dyDescent="0.15">
      <c r="A2444" s="4" t="str">
        <f>HYPERLINK("https://ibp.a2mac1.com/costing(costing:projects/details/9760/part/8415799)","Filler Pipe Support")</f>
        <v>Filler Pipe Support</v>
      </c>
      <c r="B2444">
        <v>8415799</v>
      </c>
      <c r="C2444">
        <v>8415617</v>
      </c>
      <c r="E2444">
        <v>4.2477960000000002E-2</v>
      </c>
      <c r="F2444">
        <v>0</v>
      </c>
      <c r="G2444">
        <v>0</v>
      </c>
      <c r="H2444">
        <v>2.154771705263158E-4</v>
      </c>
      <c r="I2444" t="s">
        <v>176</v>
      </c>
      <c r="J2444">
        <v>1.4904547368421053E-3</v>
      </c>
      <c r="K2444">
        <v>4.4183891907368419E-2</v>
      </c>
      <c r="L2444">
        <v>7.6565574225524614E-3</v>
      </c>
      <c r="M2444">
        <v>4.5939344535314765E-2</v>
      </c>
      <c r="N2444">
        <v>9.0123236442683191E-2</v>
      </c>
      <c r="O2444" t="s">
        <v>177</v>
      </c>
      <c r="P2444">
        <v>2.6510335144421054E-3</v>
      </c>
      <c r="Q2444" t="s">
        <v>177</v>
      </c>
      <c r="R2444">
        <v>2.756360672118886E-3</v>
      </c>
      <c r="S2444" t="s">
        <v>178</v>
      </c>
      <c r="T2444">
        <v>1.0814788373121983E-2</v>
      </c>
      <c r="U2444" t="s">
        <v>90</v>
      </c>
      <c r="V2444">
        <v>0</v>
      </c>
      <c r="W2444" t="s">
        <v>90</v>
      </c>
      <c r="X2444">
        <v>0</v>
      </c>
      <c r="Y2444">
        <v>0.10634541900236616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123</v>
      </c>
      <c r="AF2444">
        <v>90</v>
      </c>
      <c r="AG2444">
        <v>56</v>
      </c>
      <c r="AI2444">
        <v>0.04</v>
      </c>
      <c r="AK2444" t="s">
        <v>5370</v>
      </c>
      <c r="AL2444" t="s">
        <v>399</v>
      </c>
      <c r="AM2444">
        <v>200000</v>
      </c>
      <c r="AN2444" t="s">
        <v>97</v>
      </c>
      <c r="AO2444">
        <v>1</v>
      </c>
      <c r="AP2444">
        <v>0</v>
      </c>
      <c r="AQ2444">
        <v>16666.666666666668</v>
      </c>
      <c r="AR2444" t="s">
        <v>8762</v>
      </c>
      <c r="AS2444" t="s">
        <v>75</v>
      </c>
      <c r="AX2444" t="s">
        <v>76</v>
      </c>
      <c r="AY2444" t="s">
        <v>176</v>
      </c>
      <c r="AZ2444">
        <v>0</v>
      </c>
      <c r="BA2444" t="s">
        <v>176</v>
      </c>
      <c r="BB2444">
        <v>0</v>
      </c>
    </row>
    <row r="2445" spans="1:56" x14ac:dyDescent="0.15">
      <c r="A2445" s="4" t="str">
        <f>HYPERLINK("https://ibp.a2mac1.com/costing(costing:projects/details/9760/part/8415800)","Windshield Washer Pump")</f>
        <v>Windshield Washer Pump</v>
      </c>
      <c r="B2445">
        <v>8415800</v>
      </c>
      <c r="C2445">
        <v>8415617</v>
      </c>
      <c r="E2445">
        <v>2.15</v>
      </c>
      <c r="F2445">
        <v>0</v>
      </c>
      <c r="G2445">
        <v>0</v>
      </c>
      <c r="H2445">
        <v>0</v>
      </c>
      <c r="I2445" t="s">
        <v>71</v>
      </c>
      <c r="J2445">
        <v>0</v>
      </c>
      <c r="K2445">
        <v>2.15</v>
      </c>
      <c r="L2445">
        <v>0</v>
      </c>
      <c r="M2445">
        <v>0</v>
      </c>
      <c r="N2445">
        <v>2.15</v>
      </c>
      <c r="O2445" t="s">
        <v>71</v>
      </c>
      <c r="P2445">
        <v>0</v>
      </c>
      <c r="Q2445" t="s">
        <v>71</v>
      </c>
      <c r="R2445">
        <v>0</v>
      </c>
      <c r="S2445" t="s">
        <v>71</v>
      </c>
      <c r="T2445">
        <v>0</v>
      </c>
      <c r="U2445" t="s">
        <v>71</v>
      </c>
      <c r="V2445">
        <v>0</v>
      </c>
      <c r="W2445" t="s">
        <v>71</v>
      </c>
      <c r="X2445">
        <v>0</v>
      </c>
      <c r="Y2445">
        <v>2.15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54</v>
      </c>
      <c r="AF2445">
        <v>42</v>
      </c>
      <c r="AG2445">
        <v>85</v>
      </c>
      <c r="AI2445">
        <v>9.9000000000000005E-2</v>
      </c>
      <c r="AK2445" t="s">
        <v>5370</v>
      </c>
      <c r="AL2445" t="s">
        <v>8763</v>
      </c>
      <c r="AM2445">
        <v>200000</v>
      </c>
      <c r="AN2445" t="s">
        <v>97</v>
      </c>
      <c r="AO2445">
        <v>1</v>
      </c>
      <c r="AP2445">
        <v>0</v>
      </c>
      <c r="AQ2445">
        <v>16666.666666666668</v>
      </c>
      <c r="AR2445" t="s">
        <v>8764</v>
      </c>
      <c r="AS2445" t="s">
        <v>75</v>
      </c>
      <c r="AX2445" t="s">
        <v>76</v>
      </c>
      <c r="AY2445" t="s">
        <v>71</v>
      </c>
      <c r="AZ2445">
        <v>0</v>
      </c>
      <c r="BA2445" t="s">
        <v>71</v>
      </c>
      <c r="BB2445">
        <v>0</v>
      </c>
      <c r="BD2445">
        <v>2.15</v>
      </c>
    </row>
    <row r="2446" spans="1:56" x14ac:dyDescent="0.15">
      <c r="A2446" s="4" t="str">
        <f>HYPERLINK("https://ibp.a2mac1.com/costing(costing:projects/details/9760/part/8415801)","Windshield Washer Jets")</f>
        <v>Windshield Washer Jets</v>
      </c>
      <c r="B2446">
        <v>8415801</v>
      </c>
      <c r="C2446">
        <v>8415617</v>
      </c>
      <c r="E2446">
        <v>3.5672783999999999E-2</v>
      </c>
      <c r="F2446">
        <v>0</v>
      </c>
      <c r="G2446">
        <v>0</v>
      </c>
      <c r="H2446">
        <v>1.7988381305263158E-4</v>
      </c>
      <c r="I2446" t="s">
        <v>176</v>
      </c>
      <c r="J2446">
        <v>1.2516766315789473E-3</v>
      </c>
      <c r="K2446">
        <v>3.7104344444631579E-2</v>
      </c>
      <c r="L2446">
        <v>5.8902978663817546E-3</v>
      </c>
      <c r="M2446">
        <v>3.5341787198290529E-2</v>
      </c>
      <c r="N2446">
        <v>7.2446131642922101E-2</v>
      </c>
      <c r="O2446" t="s">
        <v>177</v>
      </c>
      <c r="P2446">
        <v>2.2262606666778946E-3</v>
      </c>
      <c r="Q2446" t="s">
        <v>177</v>
      </c>
      <c r="R2446">
        <v>2.1205072318974316E-3</v>
      </c>
      <c r="S2446" t="s">
        <v>178</v>
      </c>
      <c r="T2446">
        <v>8.6935357971506533E-3</v>
      </c>
      <c r="U2446" t="s">
        <v>90</v>
      </c>
      <c r="V2446">
        <v>0</v>
      </c>
      <c r="W2446" t="s">
        <v>90</v>
      </c>
      <c r="X2446">
        <v>0</v>
      </c>
      <c r="Y2446">
        <v>8.5486435338648081E-2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23</v>
      </c>
      <c r="AF2446">
        <v>17</v>
      </c>
      <c r="AG2446">
        <v>36</v>
      </c>
      <c r="AI2446">
        <v>8.0000000000000002E-3</v>
      </c>
      <c r="AK2446" t="s">
        <v>5370</v>
      </c>
      <c r="AL2446" t="s">
        <v>2086</v>
      </c>
      <c r="AM2446">
        <v>400000</v>
      </c>
      <c r="AN2446" t="s">
        <v>97</v>
      </c>
      <c r="AO2446">
        <v>2</v>
      </c>
      <c r="AP2446">
        <v>0</v>
      </c>
      <c r="AQ2446">
        <v>33333.333333333336</v>
      </c>
      <c r="AR2446" t="s">
        <v>8767</v>
      </c>
      <c r="AS2446" t="s">
        <v>75</v>
      </c>
      <c r="AX2446" t="s">
        <v>76</v>
      </c>
      <c r="AY2446" t="s">
        <v>176</v>
      </c>
      <c r="AZ2446">
        <v>0</v>
      </c>
      <c r="BA2446" t="s">
        <v>176</v>
      </c>
      <c r="BB2446">
        <v>0</v>
      </c>
    </row>
    <row r="2447" spans="1:56" x14ac:dyDescent="0.15">
      <c r="A2447" s="4" t="str">
        <f>HYPERLINK("https://ibp.a2mac1.com/costing(costing:projects/details/9760/part/8415802)","Front Single Pipe")</f>
        <v>Front Single Pipe</v>
      </c>
      <c r="B2447">
        <v>8415802</v>
      </c>
      <c r="C2447">
        <v>8415617</v>
      </c>
      <c r="E2447">
        <v>6.1453570499999999E-2</v>
      </c>
      <c r="F2447">
        <v>0</v>
      </c>
      <c r="G2447">
        <v>0</v>
      </c>
      <c r="H2447">
        <v>3.1173440273684212E-4</v>
      </c>
      <c r="I2447" t="s">
        <v>176</v>
      </c>
      <c r="J2447">
        <v>2.1562656315789472E-3</v>
      </c>
      <c r="K2447">
        <v>6.3921570534315783E-2</v>
      </c>
      <c r="L2447">
        <v>5.8904736909203177E-3</v>
      </c>
      <c r="M2447">
        <v>3.5342842145521906E-2</v>
      </c>
      <c r="N2447">
        <v>9.9264412679837696E-2</v>
      </c>
      <c r="O2447" t="s">
        <v>177</v>
      </c>
      <c r="P2447">
        <v>3.8352942320589475E-3</v>
      </c>
      <c r="Q2447" t="s">
        <v>177</v>
      </c>
      <c r="R2447">
        <v>2.1205705287313144E-3</v>
      </c>
      <c r="S2447" t="s">
        <v>178</v>
      </c>
      <c r="T2447">
        <v>1.1911729521580523E-2</v>
      </c>
      <c r="U2447" t="s">
        <v>90</v>
      </c>
      <c r="V2447">
        <v>0</v>
      </c>
      <c r="W2447" t="s">
        <v>90</v>
      </c>
      <c r="X2447">
        <v>0</v>
      </c>
      <c r="Y2447">
        <v>0.11713200696220848</v>
      </c>
      <c r="Z2447">
        <v>0</v>
      </c>
      <c r="AA2447">
        <v>0</v>
      </c>
      <c r="AB2447">
        <v>0</v>
      </c>
      <c r="AC2447">
        <v>0</v>
      </c>
      <c r="AD2447">
        <v>0</v>
      </c>
      <c r="AI2447">
        <v>2.1000000000000001E-2</v>
      </c>
      <c r="AK2447" t="s">
        <v>5370</v>
      </c>
      <c r="AL2447" t="s">
        <v>289</v>
      </c>
      <c r="AM2447">
        <v>200000</v>
      </c>
      <c r="AN2447" t="s">
        <v>97</v>
      </c>
      <c r="AO2447">
        <v>1</v>
      </c>
      <c r="AP2447">
        <v>0</v>
      </c>
      <c r="AQ2447">
        <v>16666.666666666668</v>
      </c>
      <c r="AR2447" t="s">
        <v>8770</v>
      </c>
      <c r="AS2447" t="s">
        <v>75</v>
      </c>
      <c r="AX2447" t="s">
        <v>76</v>
      </c>
      <c r="AY2447" t="s">
        <v>176</v>
      </c>
      <c r="AZ2447">
        <v>0</v>
      </c>
      <c r="BA2447" t="s">
        <v>176</v>
      </c>
      <c r="BB2447">
        <v>0</v>
      </c>
    </row>
    <row r="2448" spans="1:56" x14ac:dyDescent="0.15">
      <c r="A2448" s="4" t="str">
        <f>HYPERLINK("https://ibp.a2mac1.com/costing(costing:projects/details/9760/part/8415803)","2nd Front Single Pipe")</f>
        <v>2nd Front Single Pipe</v>
      </c>
      <c r="B2448">
        <v>8415803</v>
      </c>
      <c r="C2448">
        <v>8415617</v>
      </c>
      <c r="E2448">
        <v>7.3159012499999995E-2</v>
      </c>
      <c r="F2448">
        <v>0</v>
      </c>
      <c r="G2448">
        <v>0</v>
      </c>
      <c r="H2448">
        <v>3.7111238421052629E-4</v>
      </c>
      <c r="I2448" t="s">
        <v>176</v>
      </c>
      <c r="J2448">
        <v>2.5669828947368421E-3</v>
      </c>
      <c r="K2448">
        <v>7.6097107778947362E-2</v>
      </c>
      <c r="L2448">
        <v>5.8904736909203177E-3</v>
      </c>
      <c r="M2448">
        <v>3.5342842145521906E-2</v>
      </c>
      <c r="N2448">
        <v>0.11143994992446928</v>
      </c>
      <c r="O2448" t="s">
        <v>177</v>
      </c>
      <c r="P2448">
        <v>4.5658264667368421E-3</v>
      </c>
      <c r="Q2448" t="s">
        <v>177</v>
      </c>
      <c r="R2448">
        <v>2.1205705287313144E-3</v>
      </c>
      <c r="S2448" t="s">
        <v>178</v>
      </c>
      <c r="T2448">
        <v>1.3372793990936313E-2</v>
      </c>
      <c r="U2448" t="s">
        <v>90</v>
      </c>
      <c r="V2448">
        <v>0</v>
      </c>
      <c r="W2448" t="s">
        <v>90</v>
      </c>
      <c r="X2448">
        <v>0</v>
      </c>
      <c r="Y2448">
        <v>0.13149914091087375</v>
      </c>
      <c r="Z2448">
        <v>0</v>
      </c>
      <c r="AA2448">
        <v>0</v>
      </c>
      <c r="AB2448">
        <v>0</v>
      </c>
      <c r="AC2448">
        <v>0</v>
      </c>
      <c r="AD2448">
        <v>0</v>
      </c>
      <c r="AI2448">
        <v>2.5000000000000001E-2</v>
      </c>
      <c r="AK2448" t="s">
        <v>5370</v>
      </c>
      <c r="AL2448" t="s">
        <v>289</v>
      </c>
      <c r="AM2448">
        <v>200000</v>
      </c>
      <c r="AN2448" t="s">
        <v>97</v>
      </c>
      <c r="AO2448">
        <v>1</v>
      </c>
      <c r="AP2448">
        <v>0</v>
      </c>
      <c r="AQ2448">
        <v>16666.666666666668</v>
      </c>
      <c r="AR2448" t="s">
        <v>8773</v>
      </c>
      <c r="AS2448" t="s">
        <v>75</v>
      </c>
      <c r="AX2448" t="s">
        <v>76</v>
      </c>
      <c r="AY2448" t="s">
        <v>176</v>
      </c>
      <c r="AZ2448">
        <v>0</v>
      </c>
      <c r="BA2448" t="s">
        <v>176</v>
      </c>
      <c r="BB2448">
        <v>0</v>
      </c>
    </row>
    <row r="2449" spans="1:54" x14ac:dyDescent="0.15">
      <c r="A2449" s="4" t="str">
        <f>HYPERLINK("https://ibp.a2mac1.com/costing(costing:projects/details/9760/part/8415804)","Pipe on Hood Scuttle Grille")</f>
        <v>Pipe on Hood Scuttle Grille</v>
      </c>
      <c r="B2449">
        <v>8415804</v>
      </c>
      <c r="C2449">
        <v>8415617</v>
      </c>
      <c r="E2449">
        <v>0.152170746</v>
      </c>
      <c r="F2449">
        <v>0</v>
      </c>
      <c r="G2449">
        <v>0</v>
      </c>
      <c r="H2449">
        <v>7.7191375915789469E-4</v>
      </c>
      <c r="I2449" t="s">
        <v>176</v>
      </c>
      <c r="J2449">
        <v>5.3393244210526315E-3</v>
      </c>
      <c r="K2449">
        <v>0.15828198418021053</v>
      </c>
      <c r="L2449">
        <v>9.422641154184605E-3</v>
      </c>
      <c r="M2449">
        <v>5.653584692510763E-2</v>
      </c>
      <c r="N2449">
        <v>0.21481783110531816</v>
      </c>
      <c r="O2449" t="s">
        <v>177</v>
      </c>
      <c r="P2449">
        <v>9.4969190508126314E-3</v>
      </c>
      <c r="Q2449" t="s">
        <v>177</v>
      </c>
      <c r="R2449">
        <v>3.392150815506458E-3</v>
      </c>
      <c r="S2449" t="s">
        <v>178</v>
      </c>
      <c r="T2449">
        <v>2.5778139732638178E-2</v>
      </c>
      <c r="U2449" t="s">
        <v>90</v>
      </c>
      <c r="V2449">
        <v>0</v>
      </c>
      <c r="W2449" t="s">
        <v>90</v>
      </c>
      <c r="X2449">
        <v>0</v>
      </c>
      <c r="Y2449">
        <v>0.25348504070427541</v>
      </c>
      <c r="Z2449">
        <v>0</v>
      </c>
      <c r="AA2449">
        <v>0</v>
      </c>
      <c r="AB2449">
        <v>0</v>
      </c>
      <c r="AC2449">
        <v>0</v>
      </c>
      <c r="AD2449">
        <v>0</v>
      </c>
      <c r="AI2449">
        <v>5.1999999999999998E-2</v>
      </c>
      <c r="AK2449" t="s">
        <v>5370</v>
      </c>
      <c r="AL2449" t="s">
        <v>289</v>
      </c>
      <c r="AM2449">
        <v>200000</v>
      </c>
      <c r="AN2449" t="s">
        <v>97</v>
      </c>
      <c r="AO2449">
        <v>1</v>
      </c>
      <c r="AP2449">
        <v>0</v>
      </c>
      <c r="AQ2449">
        <v>16666.666666666668</v>
      </c>
      <c r="AR2449" t="s">
        <v>8776</v>
      </c>
      <c r="AS2449" t="s">
        <v>75</v>
      </c>
      <c r="AX2449" t="s">
        <v>76</v>
      </c>
      <c r="AY2449" t="s">
        <v>176</v>
      </c>
      <c r="AZ2449">
        <v>0</v>
      </c>
      <c r="BA2449" t="s">
        <v>176</v>
      </c>
      <c r="BB2449">
        <v>0</v>
      </c>
    </row>
    <row r="2450" spans="1:54" x14ac:dyDescent="0.15">
      <c r="A2450" s="4" t="str">
        <f>HYPERLINK("https://ibp.a2mac1.com/costing(costing:projects/details/9760/part/8415805)","Tank Cap")</f>
        <v>Tank Cap</v>
      </c>
      <c r="B2450">
        <v>8415805</v>
      </c>
      <c r="C2450">
        <v>8415617</v>
      </c>
      <c r="E2450">
        <v>7.4336430000000002E-3</v>
      </c>
      <c r="F2450">
        <v>0</v>
      </c>
      <c r="G2450">
        <v>0</v>
      </c>
      <c r="H2450">
        <v>3.7708504842105266E-5</v>
      </c>
      <c r="I2450" t="s">
        <v>176</v>
      </c>
      <c r="J2450">
        <v>2.6082957894736842E-4</v>
      </c>
      <c r="K2450">
        <v>7.7321810837894739E-3</v>
      </c>
      <c r="L2450">
        <v>4.1243899592881732E-3</v>
      </c>
      <c r="M2450">
        <v>2.4746339755729041E-2</v>
      </c>
      <c r="N2450">
        <v>3.2478520839518514E-2</v>
      </c>
      <c r="O2450" t="s">
        <v>177</v>
      </c>
      <c r="P2450">
        <v>4.639308650273684E-4</v>
      </c>
      <c r="Q2450" t="s">
        <v>177</v>
      </c>
      <c r="R2450">
        <v>1.4847803853437424E-3</v>
      </c>
      <c r="S2450" t="s">
        <v>178</v>
      </c>
      <c r="T2450">
        <v>3.8974225007422218E-3</v>
      </c>
      <c r="U2450" t="s">
        <v>90</v>
      </c>
      <c r="V2450">
        <v>0</v>
      </c>
      <c r="W2450" t="s">
        <v>90</v>
      </c>
      <c r="X2450">
        <v>0</v>
      </c>
      <c r="Y2450">
        <v>3.8324654590631849E-2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13</v>
      </c>
      <c r="AF2450">
        <v>49</v>
      </c>
      <c r="AG2450">
        <v>72</v>
      </c>
      <c r="AI2450">
        <v>7.0000000000000001E-3</v>
      </c>
      <c r="AK2450" t="s">
        <v>5370</v>
      </c>
      <c r="AL2450" t="s">
        <v>399</v>
      </c>
      <c r="AM2450">
        <v>200000</v>
      </c>
      <c r="AN2450" t="s">
        <v>97</v>
      </c>
      <c r="AO2450">
        <v>1</v>
      </c>
      <c r="AP2450">
        <v>0</v>
      </c>
      <c r="AQ2450">
        <v>16666.666666666668</v>
      </c>
      <c r="AR2450" t="s">
        <v>8779</v>
      </c>
      <c r="AS2450" t="s">
        <v>75</v>
      </c>
      <c r="AX2450" t="s">
        <v>76</v>
      </c>
      <c r="AY2450" t="s">
        <v>176</v>
      </c>
      <c r="AZ2450">
        <v>0</v>
      </c>
      <c r="BA2450" t="s">
        <v>176</v>
      </c>
      <c r="BB2450">
        <v>0</v>
      </c>
    </row>
  </sheetData>
  <mergeCells count="18">
    <mergeCell ref="A1:D2"/>
    <mergeCell ref="E1:Y1"/>
    <mergeCell ref="I3:J3"/>
    <mergeCell ref="E2:K2"/>
    <mergeCell ref="L2:M2"/>
    <mergeCell ref="O3:P3"/>
    <mergeCell ref="Q3:R3"/>
    <mergeCell ref="S3:T3"/>
    <mergeCell ref="U3:V3"/>
    <mergeCell ref="W3:X3"/>
    <mergeCell ref="O2:X2"/>
    <mergeCell ref="AY3:AZ3"/>
    <mergeCell ref="BA3:BB3"/>
    <mergeCell ref="Z1:AD1"/>
    <mergeCell ref="Z2:AB2"/>
    <mergeCell ref="AE1:AI2"/>
    <mergeCell ref="AJ1:AX2"/>
    <mergeCell ref="AY1:B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539F-BAAE-4966-828D-300DE6D63583}">
  <dimension ref="A1:AZ1043"/>
  <sheetViews>
    <sheetView workbookViewId="0"/>
  </sheetViews>
  <sheetFormatPr baseColWidth="10" defaultColWidth="8.83203125" defaultRowHeight="13" x14ac:dyDescent="0.15"/>
  <cols>
    <col min="1" max="1" width="6.5" customWidth="1"/>
    <col min="2" max="2" width="3.1640625" customWidth="1"/>
    <col min="3" max="3" width="16.6640625" customWidth="1"/>
    <col min="4" max="4" width="18.83203125" customWidth="1"/>
    <col min="5" max="5" width="11.5" customWidth="1"/>
    <col min="6" max="6" width="12.33203125" customWidth="1"/>
    <col min="7" max="7" width="15.6640625" customWidth="1"/>
    <col min="8" max="8" width="16.5" customWidth="1"/>
    <col min="9" max="9" width="16.83203125" customWidth="1"/>
    <col min="10" max="11" width="10.5" customWidth="1"/>
    <col min="12" max="12" width="20.83203125" customWidth="1"/>
    <col min="13" max="13" width="21.6640625" customWidth="1"/>
    <col min="14" max="14" width="23" customWidth="1"/>
    <col min="15" max="15" width="21.1640625" customWidth="1"/>
    <col min="16" max="17" width="9.33203125" customWidth="1"/>
    <col min="18" max="21" width="10.5" customWidth="1"/>
    <col min="22" max="23" width="9" customWidth="1"/>
    <col min="24" max="25" width="8.5" customWidth="1"/>
    <col min="26" max="26" width="13" customWidth="1"/>
    <col min="27" max="27" width="21.6640625" customWidth="1"/>
    <col min="28" max="28" width="25.5" customWidth="1"/>
    <col min="29" max="29" width="24.6640625" customWidth="1"/>
    <col min="30" max="30" width="34" customWidth="1"/>
    <col min="31" max="31" width="21.83203125" customWidth="1"/>
    <col min="32" max="32" width="24" customWidth="1"/>
    <col min="33" max="33" width="27" customWidth="1"/>
    <col min="34" max="34" width="12.6640625" customWidth="1"/>
    <col min="35" max="35" width="11.6640625" customWidth="1"/>
    <col min="36" max="36" width="12.33203125" customWidth="1"/>
    <col min="37" max="37" width="15.33203125" customWidth="1"/>
    <col min="38" max="38" width="11.5" customWidth="1"/>
    <col min="39" max="39" width="13.33203125" customWidth="1"/>
    <col min="40" max="40" width="17.5" customWidth="1"/>
    <col min="41" max="41" width="8.5" customWidth="1"/>
    <col min="42" max="42" width="31.83203125" customWidth="1"/>
    <col min="43" max="43" width="23.33203125" customWidth="1"/>
    <col min="44" max="44" width="15" customWidth="1"/>
    <col min="45" max="45" width="20.6640625" customWidth="1"/>
    <col min="46" max="46" width="13.5" customWidth="1"/>
    <col min="47" max="47" width="8.33203125" customWidth="1"/>
    <col min="48" max="48" width="12" customWidth="1"/>
    <col min="49" max="49" width="12.5" customWidth="1"/>
    <col min="50" max="50" width="17" customWidth="1"/>
    <col min="51" max="51" width="31.1640625" customWidth="1"/>
    <col min="52" max="52" width="14.33203125" customWidth="1"/>
  </cols>
  <sheetData>
    <row r="1" spans="1:52" ht="17" x14ac:dyDescent="0.15">
      <c r="A1" s="6" t="s">
        <v>14</v>
      </c>
      <c r="B1" s="6"/>
      <c r="C1" s="6"/>
      <c r="D1" s="6"/>
      <c r="E1" s="6"/>
      <c r="F1" s="6"/>
      <c r="G1" s="6"/>
      <c r="H1" s="6" t="s">
        <v>15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 t="s">
        <v>36</v>
      </c>
      <c r="AB1" s="6"/>
      <c r="AC1" s="6"/>
      <c r="AD1" s="6"/>
      <c r="AE1" s="6"/>
      <c r="AF1" s="6"/>
      <c r="AG1" s="6"/>
      <c r="AH1" s="6" t="s">
        <v>42</v>
      </c>
      <c r="AI1" s="6"/>
      <c r="AJ1" s="6"/>
      <c r="AK1" s="6"/>
      <c r="AL1" s="6"/>
      <c r="AM1" s="6" t="s">
        <v>88</v>
      </c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16" x14ac:dyDescent="0.15">
      <c r="A2" s="7"/>
      <c r="B2" s="7"/>
      <c r="C2" s="7"/>
      <c r="D2" s="7"/>
      <c r="E2" s="7"/>
      <c r="F2" s="7"/>
      <c r="G2" s="7"/>
      <c r="H2" s="7" t="s">
        <v>22</v>
      </c>
      <c r="I2" s="7"/>
      <c r="J2" s="7"/>
      <c r="K2" s="7"/>
      <c r="L2" s="7"/>
      <c r="M2" s="7" t="s">
        <v>25</v>
      </c>
      <c r="N2" s="7"/>
      <c r="O2" s="2" t="s">
        <v>26</v>
      </c>
      <c r="P2" s="7" t="s">
        <v>33</v>
      </c>
      <c r="Q2" s="7"/>
      <c r="R2" s="7"/>
      <c r="S2" s="7"/>
      <c r="T2" s="7"/>
      <c r="U2" s="7"/>
      <c r="V2" s="7"/>
      <c r="W2" s="7"/>
      <c r="X2" s="7"/>
      <c r="Y2" s="7"/>
      <c r="Z2" s="2" t="s">
        <v>34</v>
      </c>
      <c r="AA2" s="7" t="s">
        <v>22</v>
      </c>
      <c r="AB2" s="7"/>
      <c r="AC2" s="7"/>
      <c r="AD2" s="7"/>
      <c r="AE2" s="7"/>
      <c r="AF2" s="2" t="s">
        <v>25</v>
      </c>
      <c r="AG2" s="2" t="s">
        <v>34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x14ac:dyDescent="0.15">
      <c r="A3" s="1" t="s">
        <v>4</v>
      </c>
      <c r="B3" s="1" t="s">
        <v>12</v>
      </c>
      <c r="C3" s="1" t="s">
        <v>83</v>
      </c>
      <c r="D3" s="1" t="s">
        <v>13</v>
      </c>
      <c r="E3" s="1" t="s">
        <v>14</v>
      </c>
      <c r="F3" s="1" t="s">
        <v>84</v>
      </c>
      <c r="G3" s="1" t="s">
        <v>85</v>
      </c>
      <c r="H3" s="1" t="s">
        <v>16</v>
      </c>
      <c r="I3" s="1" t="s">
        <v>19</v>
      </c>
      <c r="J3" s="8" t="s">
        <v>20</v>
      </c>
      <c r="K3" s="8"/>
      <c r="L3" s="1" t="s">
        <v>21</v>
      </c>
      <c r="M3" s="1" t="s">
        <v>23</v>
      </c>
      <c r="N3" s="1" t="s">
        <v>24</v>
      </c>
      <c r="O3" s="1" t="s">
        <v>27</v>
      </c>
      <c r="P3" s="8" t="s">
        <v>28</v>
      </c>
      <c r="Q3" s="8"/>
      <c r="R3" s="8" t="s">
        <v>29</v>
      </c>
      <c r="S3" s="8"/>
      <c r="T3" s="8" t="s">
        <v>30</v>
      </c>
      <c r="U3" s="8"/>
      <c r="V3" s="8" t="s">
        <v>31</v>
      </c>
      <c r="W3" s="8"/>
      <c r="X3" s="8" t="s">
        <v>32</v>
      </c>
      <c r="Y3" s="8"/>
      <c r="Z3" s="1" t="s">
        <v>35</v>
      </c>
      <c r="AA3" s="1" t="s">
        <v>37</v>
      </c>
      <c r="AB3" s="1" t="s">
        <v>38</v>
      </c>
      <c r="AC3" s="1" t="s">
        <v>39</v>
      </c>
      <c r="AD3" s="1" t="s">
        <v>86</v>
      </c>
      <c r="AE3" s="1" t="s">
        <v>87</v>
      </c>
      <c r="AF3" s="1" t="s">
        <v>40</v>
      </c>
      <c r="AG3" s="1" t="s">
        <v>41</v>
      </c>
      <c r="AH3" s="1" t="s">
        <v>43</v>
      </c>
      <c r="AI3" s="1" t="s">
        <v>44</v>
      </c>
      <c r="AJ3" s="1" t="s">
        <v>45</v>
      </c>
      <c r="AK3" s="1" t="s">
        <v>46</v>
      </c>
      <c r="AL3" s="1" t="s">
        <v>47</v>
      </c>
      <c r="AM3" s="1" t="s">
        <v>49</v>
      </c>
      <c r="AN3" s="1" t="s">
        <v>50</v>
      </c>
      <c r="AO3" s="1" t="s">
        <v>89</v>
      </c>
      <c r="AP3" s="1" t="s">
        <v>52</v>
      </c>
      <c r="AQ3" s="1" t="s">
        <v>53</v>
      </c>
      <c r="AR3" s="1" t="s">
        <v>62</v>
      </c>
      <c r="AS3" s="1" t="s">
        <v>56</v>
      </c>
      <c r="AT3" s="1" t="s">
        <v>57</v>
      </c>
      <c r="AU3" s="1" t="s">
        <v>58</v>
      </c>
      <c r="AV3" s="1" t="s">
        <v>63</v>
      </c>
      <c r="AW3" s="1" t="s">
        <v>67</v>
      </c>
      <c r="AX3" s="1" t="s">
        <v>68</v>
      </c>
      <c r="AY3" s="1" t="s">
        <v>69</v>
      </c>
      <c r="AZ3" s="1" t="s">
        <v>70</v>
      </c>
    </row>
    <row r="4" spans="1:52" x14ac:dyDescent="0.15">
      <c r="A4" s="4" t="str">
        <f>HYPERLINK("https://ibp.a2mac1.com/costing(costing:projects/details/9760/assembly/8410600)","Fluids")</f>
        <v>Fluids</v>
      </c>
      <c r="B4">
        <v>8410600</v>
      </c>
      <c r="C4">
        <v>9760</v>
      </c>
      <c r="F4">
        <v>1</v>
      </c>
      <c r="G4">
        <v>0</v>
      </c>
      <c r="H4">
        <v>38.307499999999997</v>
      </c>
      <c r="I4">
        <v>0</v>
      </c>
      <c r="J4" t="s">
        <v>90</v>
      </c>
      <c r="K4">
        <v>0</v>
      </c>
      <c r="L4">
        <v>38.307499999999997</v>
      </c>
      <c r="M4">
        <v>0</v>
      </c>
      <c r="N4">
        <v>0</v>
      </c>
      <c r="O4">
        <v>38.307499999999997</v>
      </c>
      <c r="P4" t="s">
        <v>90</v>
      </c>
      <c r="Q4">
        <v>0</v>
      </c>
      <c r="R4" t="s">
        <v>90</v>
      </c>
      <c r="S4">
        <v>0</v>
      </c>
      <c r="T4" t="s">
        <v>90</v>
      </c>
      <c r="U4">
        <v>0</v>
      </c>
      <c r="V4" t="s">
        <v>90</v>
      </c>
      <c r="W4">
        <v>0</v>
      </c>
      <c r="X4" t="s">
        <v>90</v>
      </c>
      <c r="Y4">
        <v>0</v>
      </c>
      <c r="Z4">
        <v>38.307499999999997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25.353999999999999</v>
      </c>
      <c r="AN4" t="s">
        <v>72</v>
      </c>
      <c r="AO4" t="s">
        <v>73</v>
      </c>
      <c r="AP4">
        <v>200000</v>
      </c>
      <c r="AQ4" t="s">
        <v>73</v>
      </c>
      <c r="AS4">
        <v>10000</v>
      </c>
      <c r="AT4" t="s">
        <v>91</v>
      </c>
      <c r="AU4" t="s">
        <v>75</v>
      </c>
      <c r="AV4" t="s">
        <v>76</v>
      </c>
    </row>
    <row r="5" spans="1:52" x14ac:dyDescent="0.15">
      <c r="A5" s="4" t="str">
        <f>HYPERLINK("https://ibp.a2mac1.com/costing(costing:projects/details/9760/assembly/8410608)","Brake Pedal")</f>
        <v>Brake Pedal</v>
      </c>
      <c r="B5">
        <v>8410608</v>
      </c>
      <c r="D5">
        <v>8410607</v>
      </c>
      <c r="F5">
        <v>1</v>
      </c>
      <c r="G5">
        <v>0</v>
      </c>
      <c r="H5">
        <v>8.48</v>
      </c>
      <c r="I5">
        <v>4.2613065326633164E-2</v>
      </c>
      <c r="J5" t="s">
        <v>176</v>
      </c>
      <c r="K5">
        <v>0.29680000000000001</v>
      </c>
      <c r="L5">
        <v>8.8194130653266338</v>
      </c>
      <c r="M5">
        <v>0</v>
      </c>
      <c r="N5">
        <v>0.72234462471543981</v>
      </c>
      <c r="O5">
        <v>9.5417576900420737</v>
      </c>
      <c r="P5" t="s">
        <v>177</v>
      </c>
      <c r="Q5">
        <v>0.52916478391959798</v>
      </c>
      <c r="R5" t="s">
        <v>177</v>
      </c>
      <c r="S5">
        <v>4.3340677482926387E-2</v>
      </c>
      <c r="T5" t="s">
        <v>178</v>
      </c>
      <c r="U5">
        <v>1.1450109228050487</v>
      </c>
      <c r="V5" t="s">
        <v>90</v>
      </c>
      <c r="W5">
        <v>0</v>
      </c>
      <c r="X5" t="s">
        <v>90</v>
      </c>
      <c r="Y5">
        <v>0</v>
      </c>
      <c r="Z5">
        <v>11.259274074249646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200</v>
      </c>
      <c r="AI5">
        <v>240</v>
      </c>
      <c r="AJ5">
        <v>380</v>
      </c>
      <c r="AL5">
        <v>1.4902</v>
      </c>
      <c r="AN5" t="s">
        <v>179</v>
      </c>
      <c r="AO5" t="s">
        <v>73</v>
      </c>
      <c r="AP5">
        <v>200000</v>
      </c>
      <c r="AQ5" t="s">
        <v>97</v>
      </c>
      <c r="AS5">
        <v>10000</v>
      </c>
      <c r="AT5" t="s">
        <v>180</v>
      </c>
      <c r="AU5" t="s">
        <v>75</v>
      </c>
      <c r="AV5" t="s">
        <v>76</v>
      </c>
    </row>
    <row r="6" spans="1:52" x14ac:dyDescent="0.15">
      <c r="A6" s="4" t="str">
        <f>HYPERLINK("https://ibp.a2mac1.com/costing(costing:projects/details/9760/assembly/8410609)","Accelerator Pedal")</f>
        <v>Accelerator Pedal</v>
      </c>
      <c r="B6">
        <v>8410609</v>
      </c>
      <c r="D6">
        <v>8410607</v>
      </c>
      <c r="F6">
        <v>1</v>
      </c>
      <c r="G6">
        <v>0</v>
      </c>
      <c r="H6">
        <v>10.199999999999999</v>
      </c>
      <c r="I6">
        <v>0</v>
      </c>
      <c r="J6" t="s">
        <v>90</v>
      </c>
      <c r="K6">
        <v>0</v>
      </c>
      <c r="L6">
        <v>10.199999999999999</v>
      </c>
      <c r="M6">
        <v>0</v>
      </c>
      <c r="N6">
        <v>0</v>
      </c>
      <c r="O6">
        <v>10.199999999999999</v>
      </c>
      <c r="P6" t="s">
        <v>90</v>
      </c>
      <c r="Q6">
        <v>0</v>
      </c>
      <c r="R6" t="s">
        <v>90</v>
      </c>
      <c r="S6">
        <v>0</v>
      </c>
      <c r="T6" t="s">
        <v>90</v>
      </c>
      <c r="U6">
        <v>0</v>
      </c>
      <c r="V6" t="s">
        <v>90</v>
      </c>
      <c r="W6">
        <v>0</v>
      </c>
      <c r="X6" t="s">
        <v>90</v>
      </c>
      <c r="Y6">
        <v>0</v>
      </c>
      <c r="Z6">
        <v>10.199999999999999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L6">
        <v>0.41299999999999998</v>
      </c>
      <c r="AN6" t="s">
        <v>185</v>
      </c>
      <c r="AO6" t="s">
        <v>73</v>
      </c>
      <c r="AP6">
        <v>200000</v>
      </c>
      <c r="AQ6" t="s">
        <v>73</v>
      </c>
      <c r="AS6">
        <v>10000</v>
      </c>
      <c r="AT6" t="s">
        <v>186</v>
      </c>
      <c r="AU6" t="s">
        <v>75</v>
      </c>
      <c r="AV6" t="s">
        <v>76</v>
      </c>
    </row>
    <row r="7" spans="1:52" x14ac:dyDescent="0.15">
      <c r="A7" s="4" t="str">
        <f>HYPERLINK("https://ibp.a2mac1.com/costing(costing:projects/details/9760/assembly/8410607)","Pedals System")</f>
        <v>Pedals System</v>
      </c>
      <c r="B7">
        <v>8410607</v>
      </c>
      <c r="C7">
        <v>9760</v>
      </c>
      <c r="F7">
        <v>1</v>
      </c>
      <c r="G7">
        <v>0</v>
      </c>
      <c r="H7">
        <v>21.459274074249645</v>
      </c>
      <c r="I7">
        <v>0</v>
      </c>
      <c r="J7" t="s">
        <v>90</v>
      </c>
      <c r="K7">
        <v>0</v>
      </c>
      <c r="L7">
        <v>21.459274074249645</v>
      </c>
      <c r="M7">
        <v>0</v>
      </c>
      <c r="N7">
        <v>0</v>
      </c>
      <c r="O7">
        <v>21.459274074249645</v>
      </c>
      <c r="P7" t="s">
        <v>90</v>
      </c>
      <c r="Q7">
        <v>0</v>
      </c>
      <c r="R7" t="s">
        <v>90</v>
      </c>
      <c r="S7">
        <v>0</v>
      </c>
      <c r="T7" t="s">
        <v>90</v>
      </c>
      <c r="U7">
        <v>0</v>
      </c>
      <c r="V7" t="s">
        <v>90</v>
      </c>
      <c r="W7">
        <v>0</v>
      </c>
      <c r="X7" t="s">
        <v>90</v>
      </c>
      <c r="Y7">
        <v>0</v>
      </c>
      <c r="Z7">
        <v>21.459274074249645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L7">
        <v>1.9032</v>
      </c>
      <c r="AN7" t="s">
        <v>185</v>
      </c>
      <c r="AO7" t="s">
        <v>73</v>
      </c>
      <c r="AP7">
        <v>200000</v>
      </c>
      <c r="AQ7" t="s">
        <v>73</v>
      </c>
      <c r="AS7">
        <v>10000</v>
      </c>
      <c r="AT7" t="s">
        <v>187</v>
      </c>
      <c r="AU7" t="s">
        <v>75</v>
      </c>
      <c r="AV7" t="s">
        <v>76</v>
      </c>
    </row>
    <row r="8" spans="1:52" x14ac:dyDescent="0.15">
      <c r="A8" s="4" t="str">
        <f>HYPERLINK("https://ibp.a2mac1.com/costing(costing:projects/details/9760/assembly/8410832)","Receiver-Drier System / Accumulator")</f>
        <v>Receiver-Drier System / Accumulator</v>
      </c>
      <c r="B8">
        <v>8410832</v>
      </c>
      <c r="D8">
        <v>8410753</v>
      </c>
      <c r="F8">
        <v>1</v>
      </c>
      <c r="G8">
        <v>0</v>
      </c>
      <c r="H8">
        <v>7.9999900000000004</v>
      </c>
      <c r="I8">
        <v>0</v>
      </c>
      <c r="J8" t="s">
        <v>90</v>
      </c>
      <c r="K8">
        <v>0</v>
      </c>
      <c r="L8">
        <v>7.9999900000000004</v>
      </c>
      <c r="M8">
        <v>0</v>
      </c>
      <c r="N8">
        <v>0</v>
      </c>
      <c r="O8">
        <v>7.9999900000000004</v>
      </c>
      <c r="P8" t="s">
        <v>90</v>
      </c>
      <c r="Q8">
        <v>0</v>
      </c>
      <c r="R8" t="s">
        <v>90</v>
      </c>
      <c r="S8">
        <v>0</v>
      </c>
      <c r="T8" t="s">
        <v>90</v>
      </c>
      <c r="U8">
        <v>0</v>
      </c>
      <c r="V8" t="s">
        <v>90</v>
      </c>
      <c r="W8">
        <v>0</v>
      </c>
      <c r="X8" t="s">
        <v>90</v>
      </c>
      <c r="Y8">
        <v>0</v>
      </c>
      <c r="Z8">
        <v>7.9999900000000004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0.95</v>
      </c>
      <c r="AN8" t="s">
        <v>72</v>
      </c>
      <c r="AO8" t="s">
        <v>73</v>
      </c>
      <c r="AP8">
        <v>200000</v>
      </c>
      <c r="AQ8" t="s">
        <v>73</v>
      </c>
      <c r="AS8">
        <v>10000</v>
      </c>
      <c r="AT8" t="s">
        <v>191</v>
      </c>
      <c r="AU8" t="s">
        <v>75</v>
      </c>
      <c r="AV8" t="s">
        <v>76</v>
      </c>
    </row>
    <row r="9" spans="1:52" x14ac:dyDescent="0.15">
      <c r="A9" s="4" t="str">
        <f>HYPERLINK("https://ibp.a2mac1.com/costing(costing:projects/details/9760/assembly/8410833)","Condenser Support")</f>
        <v>Condenser Support</v>
      </c>
      <c r="B9">
        <v>8410833</v>
      </c>
      <c r="D9">
        <v>8410753</v>
      </c>
      <c r="F9">
        <v>1</v>
      </c>
      <c r="G9">
        <v>0</v>
      </c>
      <c r="H9">
        <v>0.24998999999999999</v>
      </c>
      <c r="I9">
        <v>0</v>
      </c>
      <c r="J9" t="s">
        <v>90</v>
      </c>
      <c r="K9">
        <v>0</v>
      </c>
      <c r="L9">
        <v>0.24998999999999999</v>
      </c>
      <c r="M9">
        <v>0</v>
      </c>
      <c r="N9">
        <v>0</v>
      </c>
      <c r="O9">
        <v>0.24998999999999999</v>
      </c>
      <c r="P9" t="s">
        <v>90</v>
      </c>
      <c r="Q9">
        <v>0</v>
      </c>
      <c r="R9" t="s">
        <v>90</v>
      </c>
      <c r="S9">
        <v>0</v>
      </c>
      <c r="T9" t="s">
        <v>90</v>
      </c>
      <c r="U9">
        <v>0</v>
      </c>
      <c r="V9" t="s">
        <v>90</v>
      </c>
      <c r="W9">
        <v>0</v>
      </c>
      <c r="X9" t="s">
        <v>90</v>
      </c>
      <c r="Y9">
        <v>0</v>
      </c>
      <c r="Z9">
        <v>0.24998999999999999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0.104</v>
      </c>
      <c r="AN9" t="s">
        <v>72</v>
      </c>
      <c r="AO9" t="s">
        <v>73</v>
      </c>
      <c r="AP9">
        <v>200000</v>
      </c>
      <c r="AQ9" t="s">
        <v>73</v>
      </c>
      <c r="AS9">
        <v>10000</v>
      </c>
      <c r="AT9" t="s">
        <v>194</v>
      </c>
      <c r="AU9" t="s">
        <v>75</v>
      </c>
      <c r="AV9" t="s">
        <v>76</v>
      </c>
    </row>
    <row r="10" spans="1:52" x14ac:dyDescent="0.15">
      <c r="A10" s="4" t="str">
        <f>HYPERLINK("https://ibp.a2mac1.com/costing(costing:projects/details/9760/assembly/8410876)","High Pressure AC Lines")</f>
        <v>High Pressure AC Lines</v>
      </c>
      <c r="B10">
        <v>8410876</v>
      </c>
      <c r="D10">
        <v>8410834</v>
      </c>
      <c r="F10">
        <v>1</v>
      </c>
      <c r="G10">
        <v>0</v>
      </c>
      <c r="H10">
        <v>12.36172</v>
      </c>
      <c r="I10">
        <v>0</v>
      </c>
      <c r="J10" t="s">
        <v>90</v>
      </c>
      <c r="K10">
        <v>0</v>
      </c>
      <c r="L10">
        <v>12.36172</v>
      </c>
      <c r="M10">
        <v>0</v>
      </c>
      <c r="N10">
        <v>0</v>
      </c>
      <c r="O10">
        <v>12.36172</v>
      </c>
      <c r="P10" t="s">
        <v>90</v>
      </c>
      <c r="Q10">
        <v>0</v>
      </c>
      <c r="R10" t="s">
        <v>90</v>
      </c>
      <c r="S10">
        <v>0</v>
      </c>
      <c r="T10" t="s">
        <v>90</v>
      </c>
      <c r="U10">
        <v>0</v>
      </c>
      <c r="V10" t="s">
        <v>90</v>
      </c>
      <c r="W10">
        <v>0</v>
      </c>
      <c r="X10" t="s">
        <v>90</v>
      </c>
      <c r="Y10">
        <v>0</v>
      </c>
      <c r="Z10">
        <v>12.36172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0.63600000000000001</v>
      </c>
      <c r="AN10" t="s">
        <v>72</v>
      </c>
      <c r="AO10" t="s">
        <v>73</v>
      </c>
      <c r="AP10">
        <v>200000</v>
      </c>
      <c r="AQ10" t="s">
        <v>73</v>
      </c>
      <c r="AS10">
        <v>10000</v>
      </c>
      <c r="AT10" t="s">
        <v>201</v>
      </c>
      <c r="AU10" t="s">
        <v>75</v>
      </c>
      <c r="AV10" t="s">
        <v>76</v>
      </c>
    </row>
    <row r="11" spans="1:52" x14ac:dyDescent="0.15">
      <c r="A11" s="4" t="str">
        <f>HYPERLINK("https://ibp.a2mac1.com/costing(costing:projects/details/9760/assembly/8410877)","Low Pressure AC Lines")</f>
        <v>Low Pressure AC Lines</v>
      </c>
      <c r="B11">
        <v>8410877</v>
      </c>
      <c r="D11">
        <v>8410834</v>
      </c>
      <c r="F11">
        <v>1</v>
      </c>
      <c r="G11">
        <v>0</v>
      </c>
      <c r="H11">
        <v>14.468019999999999</v>
      </c>
      <c r="I11">
        <v>0</v>
      </c>
      <c r="J11" t="s">
        <v>90</v>
      </c>
      <c r="K11">
        <v>0</v>
      </c>
      <c r="L11">
        <v>14.468019999999999</v>
      </c>
      <c r="M11">
        <v>0</v>
      </c>
      <c r="N11">
        <v>0</v>
      </c>
      <c r="O11">
        <v>14.468019999999999</v>
      </c>
      <c r="P11" t="s">
        <v>90</v>
      </c>
      <c r="Q11">
        <v>0</v>
      </c>
      <c r="R11" t="s">
        <v>90</v>
      </c>
      <c r="S11">
        <v>0</v>
      </c>
      <c r="T11" t="s">
        <v>90</v>
      </c>
      <c r="U11">
        <v>0</v>
      </c>
      <c r="V11" t="s">
        <v>90</v>
      </c>
      <c r="W11">
        <v>0</v>
      </c>
      <c r="X11" t="s">
        <v>90</v>
      </c>
      <c r="Y11">
        <v>0</v>
      </c>
      <c r="Z11">
        <v>14.468019999999999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0.83699999999999997</v>
      </c>
      <c r="AN11" t="s">
        <v>185</v>
      </c>
      <c r="AO11" t="s">
        <v>73</v>
      </c>
      <c r="AP11">
        <v>200000</v>
      </c>
      <c r="AQ11" t="s">
        <v>73</v>
      </c>
      <c r="AS11">
        <v>10000</v>
      </c>
      <c r="AT11" t="s">
        <v>207</v>
      </c>
      <c r="AU11" t="s">
        <v>75</v>
      </c>
      <c r="AV11" t="s">
        <v>76</v>
      </c>
    </row>
    <row r="12" spans="1:52" x14ac:dyDescent="0.15">
      <c r="A12" s="4" t="str">
        <f>HYPERLINK("https://ibp.a2mac1.com/costing(costing:projects/details/9760/assembly/8410834)","AC Line")</f>
        <v>AC Line</v>
      </c>
      <c r="B12">
        <v>8410834</v>
      </c>
      <c r="D12">
        <v>8410753</v>
      </c>
      <c r="F12">
        <v>1</v>
      </c>
      <c r="G12">
        <v>0</v>
      </c>
      <c r="H12">
        <v>26.829740000000001</v>
      </c>
      <c r="I12">
        <v>0</v>
      </c>
      <c r="J12" t="s">
        <v>90</v>
      </c>
      <c r="K12">
        <v>0</v>
      </c>
      <c r="L12">
        <v>26.829740000000001</v>
      </c>
      <c r="M12">
        <v>0</v>
      </c>
      <c r="N12">
        <v>0</v>
      </c>
      <c r="O12">
        <v>26.829740000000001</v>
      </c>
      <c r="P12" t="s">
        <v>90</v>
      </c>
      <c r="Q12">
        <v>0</v>
      </c>
      <c r="R12" t="s">
        <v>90</v>
      </c>
      <c r="S12">
        <v>0</v>
      </c>
      <c r="T12" t="s">
        <v>90</v>
      </c>
      <c r="U12">
        <v>0</v>
      </c>
      <c r="V12" t="s">
        <v>90</v>
      </c>
      <c r="W12">
        <v>0</v>
      </c>
      <c r="X12" t="s">
        <v>90</v>
      </c>
      <c r="Y12">
        <v>0</v>
      </c>
      <c r="Z12">
        <v>26.829740000000001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1.4730000000000001</v>
      </c>
      <c r="AN12" t="s">
        <v>72</v>
      </c>
      <c r="AO12" t="s">
        <v>73</v>
      </c>
      <c r="AP12">
        <v>200000</v>
      </c>
      <c r="AQ12" t="s">
        <v>73</v>
      </c>
      <c r="AS12">
        <v>10000</v>
      </c>
      <c r="AT12" t="s">
        <v>208</v>
      </c>
      <c r="AU12" t="s">
        <v>75</v>
      </c>
      <c r="AV12" t="s">
        <v>76</v>
      </c>
    </row>
    <row r="13" spans="1:52" x14ac:dyDescent="0.15">
      <c r="A13" s="4" t="str">
        <f>HYPERLINK("https://ibp.a2mac1.com/costing(costing:projects/details/9760/assembly/8410835)","AC Line Support")</f>
        <v>AC Line Support</v>
      </c>
      <c r="B13">
        <v>8410835</v>
      </c>
      <c r="D13">
        <v>8410753</v>
      </c>
      <c r="F13">
        <v>1</v>
      </c>
      <c r="G13">
        <v>0</v>
      </c>
      <c r="H13">
        <v>0.28277999999999998</v>
      </c>
      <c r="I13">
        <v>0</v>
      </c>
      <c r="J13" t="s">
        <v>90</v>
      </c>
      <c r="K13">
        <v>0</v>
      </c>
      <c r="L13">
        <v>0.28277999999999998</v>
      </c>
      <c r="M13">
        <v>0</v>
      </c>
      <c r="N13">
        <v>0</v>
      </c>
      <c r="O13">
        <v>0.28277999999999998</v>
      </c>
      <c r="P13" t="s">
        <v>90</v>
      </c>
      <c r="Q13">
        <v>0</v>
      </c>
      <c r="R13" t="s">
        <v>90</v>
      </c>
      <c r="S13">
        <v>0</v>
      </c>
      <c r="T13" t="s">
        <v>90</v>
      </c>
      <c r="U13">
        <v>0</v>
      </c>
      <c r="V13" t="s">
        <v>90</v>
      </c>
      <c r="W13">
        <v>0</v>
      </c>
      <c r="X13" t="s">
        <v>90</v>
      </c>
      <c r="Y13">
        <v>0</v>
      </c>
      <c r="Z13">
        <v>0.28277999999999998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5.8999999999999997E-2</v>
      </c>
      <c r="AN13" t="s">
        <v>72</v>
      </c>
      <c r="AO13" t="s">
        <v>73</v>
      </c>
      <c r="AP13">
        <v>200000</v>
      </c>
      <c r="AQ13" t="s">
        <v>73</v>
      </c>
      <c r="AS13">
        <v>10000</v>
      </c>
      <c r="AT13" t="s">
        <v>213</v>
      </c>
      <c r="AU13" t="s">
        <v>75</v>
      </c>
      <c r="AV13" t="s">
        <v>76</v>
      </c>
    </row>
    <row r="14" spans="1:52" x14ac:dyDescent="0.15">
      <c r="A14" s="4" t="str">
        <f>HYPERLINK("https://ibp.a2mac1.com/costing(costing:projects/details/9760/assembly/8410836)","Valve System")</f>
        <v>Valve System</v>
      </c>
      <c r="B14">
        <v>8410836</v>
      </c>
      <c r="D14">
        <v>8410753</v>
      </c>
      <c r="F14">
        <v>1</v>
      </c>
      <c r="G14">
        <v>0</v>
      </c>
      <c r="H14">
        <v>149.60313476303639</v>
      </c>
      <c r="I14">
        <v>0</v>
      </c>
      <c r="J14" t="s">
        <v>90</v>
      </c>
      <c r="K14">
        <v>0</v>
      </c>
      <c r="L14">
        <v>149.60313476303639</v>
      </c>
      <c r="M14">
        <v>0</v>
      </c>
      <c r="N14">
        <v>0</v>
      </c>
      <c r="O14">
        <v>149.60313476303639</v>
      </c>
      <c r="P14" t="s">
        <v>90</v>
      </c>
      <c r="Q14">
        <v>0</v>
      </c>
      <c r="R14" t="s">
        <v>90</v>
      </c>
      <c r="S14">
        <v>0</v>
      </c>
      <c r="T14" t="s">
        <v>90</v>
      </c>
      <c r="U14">
        <v>0</v>
      </c>
      <c r="V14" t="s">
        <v>90</v>
      </c>
      <c r="W14">
        <v>0</v>
      </c>
      <c r="X14" t="s">
        <v>90</v>
      </c>
      <c r="Y14">
        <v>0</v>
      </c>
      <c r="Z14">
        <v>149.60313476303639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4.5970000000000004</v>
      </c>
      <c r="AN14" t="s">
        <v>72</v>
      </c>
      <c r="AO14" t="s">
        <v>73</v>
      </c>
      <c r="AP14">
        <v>200000</v>
      </c>
      <c r="AQ14" t="s">
        <v>73</v>
      </c>
      <c r="AS14">
        <v>10000</v>
      </c>
      <c r="AT14" t="s">
        <v>271</v>
      </c>
      <c r="AU14" t="s">
        <v>75</v>
      </c>
      <c r="AV14" t="s">
        <v>76</v>
      </c>
    </row>
    <row r="15" spans="1:52" x14ac:dyDescent="0.15">
      <c r="A15" s="4" t="str">
        <f>HYPERLINK("https://ibp.a2mac1.com/costing(costing:projects/details/9760/assembly/8410753)","Air Conditioning System")</f>
        <v>Air Conditioning System</v>
      </c>
      <c r="B15">
        <v>8410753</v>
      </c>
      <c r="C15">
        <v>9760</v>
      </c>
      <c r="F15">
        <v>1</v>
      </c>
      <c r="G15">
        <v>0</v>
      </c>
      <c r="H15">
        <v>376.43555476303641</v>
      </c>
      <c r="I15">
        <v>0</v>
      </c>
      <c r="J15" t="s">
        <v>90</v>
      </c>
      <c r="K15">
        <v>0</v>
      </c>
      <c r="L15">
        <v>376.43555476303641</v>
      </c>
      <c r="M15">
        <v>0</v>
      </c>
      <c r="N15">
        <v>0</v>
      </c>
      <c r="O15">
        <v>376.43555476303641</v>
      </c>
      <c r="P15" t="s">
        <v>90</v>
      </c>
      <c r="Q15">
        <v>0</v>
      </c>
      <c r="R15" t="s">
        <v>90</v>
      </c>
      <c r="S15">
        <v>0</v>
      </c>
      <c r="T15" t="s">
        <v>90</v>
      </c>
      <c r="U15">
        <v>0</v>
      </c>
      <c r="V15" t="s">
        <v>90</v>
      </c>
      <c r="W15">
        <v>0</v>
      </c>
      <c r="X15" t="s">
        <v>90</v>
      </c>
      <c r="Y15">
        <v>0</v>
      </c>
      <c r="Z15">
        <v>376.43555476303641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16.791</v>
      </c>
      <c r="AN15" t="s">
        <v>72</v>
      </c>
      <c r="AO15" t="s">
        <v>73</v>
      </c>
      <c r="AP15">
        <v>200000</v>
      </c>
      <c r="AQ15" t="s">
        <v>73</v>
      </c>
      <c r="AS15">
        <v>10000</v>
      </c>
      <c r="AT15" t="s">
        <v>281</v>
      </c>
      <c r="AU15" t="s">
        <v>75</v>
      </c>
      <c r="AV15" t="s">
        <v>76</v>
      </c>
    </row>
    <row r="16" spans="1:52" x14ac:dyDescent="0.15">
      <c r="A16" s="4" t="str">
        <f>HYPERLINK("https://ibp.a2mac1.com/costing(costing:projects/details/9760/assembly/8410908)","Low Voltage Battery")</f>
        <v>Low Voltage Battery</v>
      </c>
      <c r="B16">
        <v>8410908</v>
      </c>
      <c r="D16">
        <v>8410906</v>
      </c>
      <c r="F16">
        <v>1</v>
      </c>
      <c r="G16">
        <v>0</v>
      </c>
      <c r="H16">
        <v>77.714380000000006</v>
      </c>
      <c r="I16">
        <v>0</v>
      </c>
      <c r="J16" t="s">
        <v>90</v>
      </c>
      <c r="K16">
        <v>0</v>
      </c>
      <c r="L16">
        <v>77.714380000000006</v>
      </c>
      <c r="M16">
        <v>0</v>
      </c>
      <c r="N16">
        <v>0</v>
      </c>
      <c r="O16">
        <v>77.714380000000006</v>
      </c>
      <c r="P16" t="s">
        <v>90</v>
      </c>
      <c r="Q16">
        <v>0</v>
      </c>
      <c r="R16" t="s">
        <v>90</v>
      </c>
      <c r="S16">
        <v>0</v>
      </c>
      <c r="T16" t="s">
        <v>90</v>
      </c>
      <c r="U16">
        <v>0</v>
      </c>
      <c r="V16" t="s">
        <v>90</v>
      </c>
      <c r="W16">
        <v>0</v>
      </c>
      <c r="X16" t="s">
        <v>90</v>
      </c>
      <c r="Y16">
        <v>0</v>
      </c>
      <c r="Z16">
        <v>77.714380000000006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L16">
        <v>3.6928999999999998</v>
      </c>
      <c r="AN16" t="s">
        <v>185</v>
      </c>
      <c r="AO16" t="s">
        <v>73</v>
      </c>
      <c r="AP16">
        <v>200000</v>
      </c>
      <c r="AQ16" t="s">
        <v>73</v>
      </c>
      <c r="AS16">
        <v>10000</v>
      </c>
      <c r="AT16" t="s">
        <v>313</v>
      </c>
      <c r="AU16" t="s">
        <v>75</v>
      </c>
      <c r="AV16" t="s">
        <v>76</v>
      </c>
    </row>
    <row r="17" spans="1:51" x14ac:dyDescent="0.15">
      <c r="A17" s="4" t="str">
        <f>HYPERLINK("https://ibp.a2mac1.com/costing(costing:projects/details/9760/assembly/8410925)","Body Wiring Harness")</f>
        <v>Body Wiring Harness</v>
      </c>
      <c r="B17">
        <v>8410925</v>
      </c>
      <c r="D17">
        <v>8410909</v>
      </c>
      <c r="E17" t="s">
        <v>321</v>
      </c>
      <c r="F17">
        <v>1</v>
      </c>
      <c r="G17">
        <v>0</v>
      </c>
      <c r="H17">
        <v>219.20406802771561</v>
      </c>
      <c r="I17">
        <v>2.2141825053304607</v>
      </c>
      <c r="J17" t="s">
        <v>176</v>
      </c>
      <c r="K17">
        <v>7.6721423809700466</v>
      </c>
      <c r="L17">
        <v>229.09039291401612</v>
      </c>
      <c r="M17">
        <v>0</v>
      </c>
      <c r="N17">
        <v>75.8421357160952</v>
      </c>
      <c r="O17">
        <v>304.93252863011134</v>
      </c>
      <c r="P17" t="s">
        <v>177</v>
      </c>
      <c r="Q17">
        <v>13.745423574840967</v>
      </c>
      <c r="R17" t="s">
        <v>177</v>
      </c>
      <c r="S17">
        <v>4.5505281429657121</v>
      </c>
      <c r="T17" t="s">
        <v>322</v>
      </c>
      <c r="U17">
        <v>30.493252863011133</v>
      </c>
      <c r="V17" t="s">
        <v>90</v>
      </c>
      <c r="W17">
        <v>0</v>
      </c>
      <c r="X17" t="s">
        <v>90</v>
      </c>
      <c r="Y17">
        <v>0</v>
      </c>
      <c r="Z17">
        <v>353.72173321092913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L17">
        <v>19.321999999999999</v>
      </c>
      <c r="AN17" t="s">
        <v>323</v>
      </c>
      <c r="AO17" t="s">
        <v>73</v>
      </c>
      <c r="AP17">
        <v>200000</v>
      </c>
      <c r="AQ17" t="s">
        <v>97</v>
      </c>
      <c r="AS17">
        <v>10000</v>
      </c>
      <c r="AT17" t="s">
        <v>324</v>
      </c>
      <c r="AU17" t="s">
        <v>75</v>
      </c>
      <c r="AV17" t="s">
        <v>76</v>
      </c>
      <c r="AY17">
        <v>0</v>
      </c>
    </row>
    <row r="18" spans="1:51" x14ac:dyDescent="0.15">
      <c r="A18" s="4" t="str">
        <f>HYPERLINK("https://ibp.a2mac1.com/costing(costing:projects/details/9760/assembly/8410926)","Instrument Panel Harness")</f>
        <v>Instrument Panel Harness</v>
      </c>
      <c r="B18">
        <v>8410926</v>
      </c>
      <c r="D18">
        <v>8410909</v>
      </c>
      <c r="E18" t="s">
        <v>321</v>
      </c>
      <c r="F18">
        <v>1</v>
      </c>
      <c r="G18">
        <v>0</v>
      </c>
      <c r="H18">
        <v>69.165307832077914</v>
      </c>
      <c r="I18">
        <v>0.69863947305129204</v>
      </c>
      <c r="J18" t="s">
        <v>176</v>
      </c>
      <c r="K18">
        <v>2.4207857741227268</v>
      </c>
      <c r="L18">
        <v>72.284733079251936</v>
      </c>
      <c r="M18">
        <v>0</v>
      </c>
      <c r="N18">
        <v>17.350955542022259</v>
      </c>
      <c r="O18">
        <v>89.635688621274198</v>
      </c>
      <c r="P18" t="s">
        <v>177</v>
      </c>
      <c r="Q18">
        <v>4.3370839847551164</v>
      </c>
      <c r="R18" t="s">
        <v>177</v>
      </c>
      <c r="S18">
        <v>1.0410573325213355</v>
      </c>
      <c r="T18" t="s">
        <v>322</v>
      </c>
      <c r="U18">
        <v>8.9635688621274188</v>
      </c>
      <c r="V18" t="s">
        <v>90</v>
      </c>
      <c r="W18">
        <v>0</v>
      </c>
      <c r="X18" t="s">
        <v>90</v>
      </c>
      <c r="Y18">
        <v>0</v>
      </c>
      <c r="Z18">
        <v>103.97739880067806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L18">
        <v>2</v>
      </c>
      <c r="AN18" t="s">
        <v>323</v>
      </c>
      <c r="AO18" t="s">
        <v>73</v>
      </c>
      <c r="AP18">
        <v>200000</v>
      </c>
      <c r="AQ18" t="s">
        <v>97</v>
      </c>
      <c r="AS18">
        <v>10000</v>
      </c>
      <c r="AT18" t="s">
        <v>327</v>
      </c>
      <c r="AU18" t="s">
        <v>75</v>
      </c>
      <c r="AV18" t="s">
        <v>76</v>
      </c>
      <c r="AY18">
        <v>0</v>
      </c>
    </row>
    <row r="19" spans="1:51" x14ac:dyDescent="0.15">
      <c r="A19" s="4" t="str">
        <f>HYPERLINK("https://ibp.a2mac1.com/costing(costing:projects/details/9760/assembly/8410927)","Wiring on Front Module")</f>
        <v>Wiring on Front Module</v>
      </c>
      <c r="B19">
        <v>8410927</v>
      </c>
      <c r="D19">
        <v>8410909</v>
      </c>
      <c r="E19" t="s">
        <v>321</v>
      </c>
      <c r="F19">
        <v>1</v>
      </c>
      <c r="G19">
        <v>0</v>
      </c>
      <c r="H19">
        <v>1.1951837896121074</v>
      </c>
      <c r="I19">
        <v>1.2072563531435427E-2</v>
      </c>
      <c r="J19" t="s">
        <v>176</v>
      </c>
      <c r="K19">
        <v>4.1831432636423756E-2</v>
      </c>
      <c r="L19">
        <v>1.2490877857799665</v>
      </c>
      <c r="M19">
        <v>0</v>
      </c>
      <c r="N19">
        <v>0.35160681074293371</v>
      </c>
      <c r="O19">
        <v>1.6006945965229002</v>
      </c>
      <c r="P19" t="s">
        <v>177</v>
      </c>
      <c r="Q19">
        <v>7.4945267146797986E-2</v>
      </c>
      <c r="R19" t="s">
        <v>177</v>
      </c>
      <c r="S19">
        <v>2.1096408644576022E-2</v>
      </c>
      <c r="T19" t="s">
        <v>322</v>
      </c>
      <c r="U19">
        <v>0.16006945965229002</v>
      </c>
      <c r="V19" t="s">
        <v>90</v>
      </c>
      <c r="W19">
        <v>0</v>
      </c>
      <c r="X19" t="s">
        <v>90</v>
      </c>
      <c r="Y19">
        <v>0</v>
      </c>
      <c r="Z19">
        <v>1.8568057319665643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L19">
        <v>3.5999999999999997E-2</v>
      </c>
      <c r="AN19" t="s">
        <v>323</v>
      </c>
      <c r="AO19" t="s">
        <v>73</v>
      </c>
      <c r="AP19">
        <v>200000</v>
      </c>
      <c r="AQ19" t="s">
        <v>97</v>
      </c>
      <c r="AS19">
        <v>10000</v>
      </c>
      <c r="AT19" t="s">
        <v>330</v>
      </c>
      <c r="AU19" t="s">
        <v>75</v>
      </c>
      <c r="AV19" t="s">
        <v>76</v>
      </c>
      <c r="AY19">
        <v>0</v>
      </c>
    </row>
    <row r="20" spans="1:51" x14ac:dyDescent="0.15">
      <c r="A20" s="4" t="str">
        <f>HYPERLINK("https://ibp.a2mac1.com/costing(costing:projects/details/9760/assembly/8410928)","Center Console Wiring")</f>
        <v>Center Console Wiring</v>
      </c>
      <c r="B20">
        <v>8410928</v>
      </c>
      <c r="D20">
        <v>8410909</v>
      </c>
      <c r="E20" t="s">
        <v>321</v>
      </c>
      <c r="F20">
        <v>1</v>
      </c>
      <c r="G20">
        <v>0</v>
      </c>
      <c r="H20">
        <v>7.3979777371849895</v>
      </c>
      <c r="I20">
        <v>7.4727047850353431E-2</v>
      </c>
      <c r="J20" t="s">
        <v>176</v>
      </c>
      <c r="K20">
        <v>0.25892922080147462</v>
      </c>
      <c r="L20">
        <v>7.7316340058368178</v>
      </c>
      <c r="M20">
        <v>0</v>
      </c>
      <c r="N20">
        <v>2.8999114372833965</v>
      </c>
      <c r="O20">
        <v>10.631545443120213</v>
      </c>
      <c r="P20" t="s">
        <v>177</v>
      </c>
      <c r="Q20">
        <v>0.46389804035020904</v>
      </c>
      <c r="R20" t="s">
        <v>177</v>
      </c>
      <c r="S20">
        <v>0.17399468623700379</v>
      </c>
      <c r="T20" t="s">
        <v>322</v>
      </c>
      <c r="U20">
        <v>1.0631545443120214</v>
      </c>
      <c r="V20" t="s">
        <v>90</v>
      </c>
      <c r="W20">
        <v>0</v>
      </c>
      <c r="X20" t="s">
        <v>90</v>
      </c>
      <c r="Y20">
        <v>0</v>
      </c>
      <c r="Z20">
        <v>12.332592714019448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L20">
        <v>0.23200000000000001</v>
      </c>
      <c r="AN20" t="s">
        <v>323</v>
      </c>
      <c r="AO20" t="s">
        <v>73</v>
      </c>
      <c r="AP20">
        <v>200000</v>
      </c>
      <c r="AQ20" t="s">
        <v>97</v>
      </c>
      <c r="AS20">
        <v>10000</v>
      </c>
      <c r="AT20" t="s">
        <v>333</v>
      </c>
      <c r="AU20" t="s">
        <v>75</v>
      </c>
      <c r="AV20" t="s">
        <v>76</v>
      </c>
      <c r="AY20">
        <v>0</v>
      </c>
    </row>
    <row r="21" spans="1:51" x14ac:dyDescent="0.15">
      <c r="A21" s="4" t="str">
        <f>HYPERLINK("https://ibp.a2mac1.com/costing(costing:projects/details/9760/assembly/8410929)","Headliner Harness")</f>
        <v>Headliner Harness</v>
      </c>
      <c r="B21">
        <v>8410929</v>
      </c>
      <c r="D21">
        <v>8410909</v>
      </c>
      <c r="E21" t="s">
        <v>321</v>
      </c>
      <c r="F21">
        <v>1</v>
      </c>
      <c r="G21">
        <v>0</v>
      </c>
      <c r="H21">
        <v>11.70627910699662</v>
      </c>
      <c r="I21">
        <v>0.11824524350501636</v>
      </c>
      <c r="J21" t="s">
        <v>176</v>
      </c>
      <c r="K21">
        <v>0.4097197687448817</v>
      </c>
      <c r="L21">
        <v>12.234244119246517</v>
      </c>
      <c r="M21">
        <v>0</v>
      </c>
      <c r="N21">
        <v>6.6065363486149788</v>
      </c>
      <c r="O21">
        <v>18.840780467861496</v>
      </c>
      <c r="P21" t="s">
        <v>177</v>
      </c>
      <c r="Q21">
        <v>0.73405464715479107</v>
      </c>
      <c r="R21" t="s">
        <v>177</v>
      </c>
      <c r="S21">
        <v>0.39639218091689871</v>
      </c>
      <c r="T21" t="s">
        <v>322</v>
      </c>
      <c r="U21">
        <v>1.8840780467861495</v>
      </c>
      <c r="V21" t="s">
        <v>90</v>
      </c>
      <c r="W21">
        <v>0</v>
      </c>
      <c r="X21" t="s">
        <v>90</v>
      </c>
      <c r="Y21">
        <v>0</v>
      </c>
      <c r="Z21">
        <v>21.855305342719337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L21">
        <v>0.59799999999999998</v>
      </c>
      <c r="AN21" t="s">
        <v>323</v>
      </c>
      <c r="AO21" t="s">
        <v>73</v>
      </c>
      <c r="AP21">
        <v>200000</v>
      </c>
      <c r="AQ21" t="s">
        <v>97</v>
      </c>
      <c r="AS21">
        <v>10000</v>
      </c>
      <c r="AT21" t="s">
        <v>336</v>
      </c>
      <c r="AU21" t="s">
        <v>75</v>
      </c>
      <c r="AV21" t="s">
        <v>76</v>
      </c>
      <c r="AY21">
        <v>0</v>
      </c>
    </row>
    <row r="22" spans="1:51" x14ac:dyDescent="0.15">
      <c r="A22" s="4" t="str">
        <f>HYPERLINK("https://ibp.a2mac1.com/costing(costing:projects/details/9760/assembly/8410930)","Steering Wheel Harness")</f>
        <v>Steering Wheel Harness</v>
      </c>
      <c r="B22">
        <v>8410930</v>
      </c>
      <c r="D22">
        <v>8410909</v>
      </c>
      <c r="E22" t="s">
        <v>321</v>
      </c>
      <c r="F22">
        <v>2</v>
      </c>
      <c r="G22">
        <v>0</v>
      </c>
      <c r="H22">
        <v>4.2508022167604942</v>
      </c>
      <c r="I22">
        <v>4.2937396128893877E-2</v>
      </c>
      <c r="J22" t="s">
        <v>176</v>
      </c>
      <c r="K22">
        <v>0.14877807758661729</v>
      </c>
      <c r="L22">
        <v>4.4425176904760058</v>
      </c>
      <c r="M22">
        <v>0</v>
      </c>
      <c r="N22">
        <v>1.4219905348705593</v>
      </c>
      <c r="O22">
        <v>5.8645082253465644</v>
      </c>
      <c r="P22" t="s">
        <v>177</v>
      </c>
      <c r="Q22">
        <v>0.26655106142856033</v>
      </c>
      <c r="R22" t="s">
        <v>177</v>
      </c>
      <c r="S22">
        <v>8.5319432092233555E-2</v>
      </c>
      <c r="T22" t="s">
        <v>322</v>
      </c>
      <c r="U22">
        <v>0.58645082253465641</v>
      </c>
      <c r="V22" t="s">
        <v>90</v>
      </c>
      <c r="W22">
        <v>0</v>
      </c>
      <c r="X22" t="s">
        <v>90</v>
      </c>
      <c r="Y22">
        <v>0</v>
      </c>
      <c r="Z22">
        <v>6.8028295414020148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L22">
        <v>8.9999999999999993E-3</v>
      </c>
      <c r="AN22" t="s">
        <v>323</v>
      </c>
      <c r="AO22" t="s">
        <v>73</v>
      </c>
      <c r="AP22">
        <v>400000</v>
      </c>
      <c r="AQ22" t="s">
        <v>97</v>
      </c>
      <c r="AS22">
        <v>20000</v>
      </c>
      <c r="AT22" t="s">
        <v>339</v>
      </c>
      <c r="AU22" t="s">
        <v>75</v>
      </c>
      <c r="AV22" t="s">
        <v>76</v>
      </c>
      <c r="AY22">
        <v>0</v>
      </c>
    </row>
    <row r="23" spans="1:51" x14ac:dyDescent="0.15">
      <c r="A23" s="4" t="str">
        <f>HYPERLINK("https://ibp.a2mac1.com/costing(costing:projects/details/9760/assembly/8410931)","2nd Steering Wheel Harness")</f>
        <v>2nd Steering Wheel Harness</v>
      </c>
      <c r="B23">
        <v>8410931</v>
      </c>
      <c r="D23">
        <v>8410909</v>
      </c>
      <c r="E23" t="s">
        <v>321</v>
      </c>
      <c r="F23">
        <v>1</v>
      </c>
      <c r="G23">
        <v>0</v>
      </c>
      <c r="H23">
        <v>3.8150242311652418</v>
      </c>
      <c r="I23">
        <v>3.8535598294598399E-2</v>
      </c>
      <c r="J23" t="s">
        <v>176</v>
      </c>
      <c r="K23">
        <v>0.13352584809078347</v>
      </c>
      <c r="L23">
        <v>3.9870856775506236</v>
      </c>
      <c r="M23">
        <v>0</v>
      </c>
      <c r="N23">
        <v>1.4140661064478917</v>
      </c>
      <c r="O23">
        <v>5.4011517839985155</v>
      </c>
      <c r="P23" t="s">
        <v>177</v>
      </c>
      <c r="Q23">
        <v>0.2392251406530374</v>
      </c>
      <c r="R23" t="s">
        <v>177</v>
      </c>
      <c r="S23">
        <v>8.4843966386873498E-2</v>
      </c>
      <c r="T23" t="s">
        <v>322</v>
      </c>
      <c r="U23">
        <v>0.54011517839985146</v>
      </c>
      <c r="V23" t="s">
        <v>90</v>
      </c>
      <c r="W23">
        <v>0</v>
      </c>
      <c r="X23" t="s">
        <v>90</v>
      </c>
      <c r="Y23">
        <v>0</v>
      </c>
      <c r="Z23">
        <v>6.2653360694382778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L23">
        <v>2.4E-2</v>
      </c>
      <c r="AN23" t="s">
        <v>323</v>
      </c>
      <c r="AO23" t="s">
        <v>73</v>
      </c>
      <c r="AP23">
        <v>200000</v>
      </c>
      <c r="AQ23" t="s">
        <v>97</v>
      </c>
      <c r="AS23">
        <v>10000</v>
      </c>
      <c r="AT23" t="s">
        <v>342</v>
      </c>
      <c r="AU23" t="s">
        <v>75</v>
      </c>
      <c r="AV23" t="s">
        <v>76</v>
      </c>
      <c r="AY23">
        <v>0</v>
      </c>
    </row>
    <row r="24" spans="1:51" x14ac:dyDescent="0.15">
      <c r="A24" s="4" t="str">
        <f>HYPERLINK("https://ibp.a2mac1.com/costing(costing:projects/details/9760/assembly/8410932)","Rear Axle Harness")</f>
        <v>Rear Axle Harness</v>
      </c>
      <c r="B24">
        <v>8410932</v>
      </c>
      <c r="D24">
        <v>8410909</v>
      </c>
      <c r="E24" t="s">
        <v>321</v>
      </c>
      <c r="F24">
        <v>1</v>
      </c>
      <c r="G24">
        <v>0</v>
      </c>
      <c r="H24">
        <v>11.776715804089873</v>
      </c>
      <c r="I24">
        <v>0.11895672529383709</v>
      </c>
      <c r="J24" t="s">
        <v>176</v>
      </c>
      <c r="K24">
        <v>0.41218505314314552</v>
      </c>
      <c r="L24">
        <v>12.307857582526855</v>
      </c>
      <c r="M24">
        <v>0</v>
      </c>
      <c r="N24">
        <v>5.0328184444504922</v>
      </c>
      <c r="O24">
        <v>17.340676026977349</v>
      </c>
      <c r="P24" t="s">
        <v>177</v>
      </c>
      <c r="Q24">
        <v>0.73847145495161137</v>
      </c>
      <c r="R24" t="s">
        <v>177</v>
      </c>
      <c r="S24">
        <v>0.30196910666702953</v>
      </c>
      <c r="T24" t="s">
        <v>322</v>
      </c>
      <c r="U24">
        <v>1.7340676026977349</v>
      </c>
      <c r="V24" t="s">
        <v>90</v>
      </c>
      <c r="W24">
        <v>0</v>
      </c>
      <c r="X24" t="s">
        <v>90</v>
      </c>
      <c r="Y24">
        <v>0</v>
      </c>
      <c r="Z24">
        <v>20.115184191293725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L24">
        <v>1.2090000000000001</v>
      </c>
      <c r="AN24" t="s">
        <v>323</v>
      </c>
      <c r="AO24" t="s">
        <v>73</v>
      </c>
      <c r="AP24">
        <v>200000</v>
      </c>
      <c r="AQ24" t="s">
        <v>97</v>
      </c>
      <c r="AS24">
        <v>10000</v>
      </c>
      <c r="AT24" t="s">
        <v>345</v>
      </c>
      <c r="AU24" t="s">
        <v>75</v>
      </c>
      <c r="AV24" t="s">
        <v>76</v>
      </c>
      <c r="AY24">
        <v>0</v>
      </c>
    </row>
    <row r="25" spans="1:51" x14ac:dyDescent="0.15">
      <c r="A25" s="4" t="str">
        <f>HYPERLINK("https://ibp.a2mac1.com/costing(costing:projects/details/9760/assembly/8410933)","Blind Spot Radar Camera Harness")</f>
        <v>Blind Spot Radar Camera Harness</v>
      </c>
      <c r="B25">
        <v>8410933</v>
      </c>
      <c r="D25">
        <v>8410909</v>
      </c>
      <c r="E25" t="s">
        <v>321</v>
      </c>
      <c r="F25">
        <v>2</v>
      </c>
      <c r="G25">
        <v>0</v>
      </c>
      <c r="H25">
        <v>5.743955002143788</v>
      </c>
      <c r="I25">
        <v>5.8019747496401895E-2</v>
      </c>
      <c r="J25" t="s">
        <v>176</v>
      </c>
      <c r="K25">
        <v>0.20103842507503258</v>
      </c>
      <c r="L25">
        <v>6.003013174715222</v>
      </c>
      <c r="M25">
        <v>0</v>
      </c>
      <c r="N25">
        <v>0.31963876447322531</v>
      </c>
      <c r="O25">
        <v>6.3226519391884475</v>
      </c>
      <c r="P25" t="s">
        <v>177</v>
      </c>
      <c r="Q25">
        <v>0.36018079048291335</v>
      </c>
      <c r="R25" t="s">
        <v>177</v>
      </c>
      <c r="S25">
        <v>1.917832586839352E-2</v>
      </c>
      <c r="T25" t="s">
        <v>322</v>
      </c>
      <c r="U25">
        <v>0.63226519391884473</v>
      </c>
      <c r="V25" t="s">
        <v>90</v>
      </c>
      <c r="W25">
        <v>0</v>
      </c>
      <c r="X25" t="s">
        <v>90</v>
      </c>
      <c r="Y25">
        <v>0</v>
      </c>
      <c r="Z25">
        <v>7.3342762494585996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L25">
        <v>1.6E-2</v>
      </c>
      <c r="AN25" t="s">
        <v>323</v>
      </c>
      <c r="AO25" t="s">
        <v>73</v>
      </c>
      <c r="AP25">
        <v>400000</v>
      </c>
      <c r="AQ25" t="s">
        <v>97</v>
      </c>
      <c r="AS25">
        <v>20000</v>
      </c>
      <c r="AT25" t="s">
        <v>348</v>
      </c>
      <c r="AU25" t="s">
        <v>75</v>
      </c>
      <c r="AV25" t="s">
        <v>76</v>
      </c>
      <c r="AY25">
        <v>0</v>
      </c>
    </row>
    <row r="26" spans="1:51" x14ac:dyDescent="0.15">
      <c r="A26" s="4" t="str">
        <f>HYPERLINK("https://ibp.a2mac1.com/costing(costing:projects/details/9760/assembly/8410934)","360 Camera Wire Harness")</f>
        <v>360 Camera Wire Harness</v>
      </c>
      <c r="B26">
        <v>8410934</v>
      </c>
      <c r="D26">
        <v>8410909</v>
      </c>
      <c r="E26" t="s">
        <v>321</v>
      </c>
      <c r="F26">
        <v>1</v>
      </c>
      <c r="G26">
        <v>0</v>
      </c>
      <c r="H26">
        <v>2.5996900853558969</v>
      </c>
      <c r="I26">
        <v>2.6259495811675724E-2</v>
      </c>
      <c r="J26" t="s">
        <v>176</v>
      </c>
      <c r="K26">
        <v>9.0989152987456384E-2</v>
      </c>
      <c r="L26">
        <v>2.7169387341550286</v>
      </c>
      <c r="M26">
        <v>0</v>
      </c>
      <c r="N26">
        <v>0.11195433802752969</v>
      </c>
      <c r="O26">
        <v>2.8288930721825585</v>
      </c>
      <c r="P26" t="s">
        <v>177</v>
      </c>
      <c r="Q26">
        <v>0.16301632404930172</v>
      </c>
      <c r="R26" t="s">
        <v>177</v>
      </c>
      <c r="S26">
        <v>6.717260281651781E-3</v>
      </c>
      <c r="T26" t="s">
        <v>322</v>
      </c>
      <c r="U26">
        <v>0.28288930721825584</v>
      </c>
      <c r="V26" t="s">
        <v>90</v>
      </c>
      <c r="W26">
        <v>0</v>
      </c>
      <c r="X26" t="s">
        <v>90</v>
      </c>
      <c r="Y26">
        <v>0</v>
      </c>
      <c r="Z26">
        <v>3.2815159637317679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L26">
        <v>0.01</v>
      </c>
      <c r="AN26" t="s">
        <v>323</v>
      </c>
      <c r="AO26" t="s">
        <v>73</v>
      </c>
      <c r="AP26">
        <v>200000</v>
      </c>
      <c r="AQ26" t="s">
        <v>97</v>
      </c>
      <c r="AS26">
        <v>10000</v>
      </c>
      <c r="AT26" t="s">
        <v>351</v>
      </c>
      <c r="AU26" t="s">
        <v>75</v>
      </c>
      <c r="AV26" t="s">
        <v>76</v>
      </c>
      <c r="AY26">
        <v>0</v>
      </c>
    </row>
    <row r="27" spans="1:51" x14ac:dyDescent="0.15">
      <c r="A27" s="4" t="str">
        <f>HYPERLINK("https://ibp.a2mac1.com/costing(costing:projects/details/9760/assembly/8410935)","Front compartment wiring")</f>
        <v>Front compartment wiring</v>
      </c>
      <c r="B27">
        <v>8410935</v>
      </c>
      <c r="D27">
        <v>8410909</v>
      </c>
      <c r="E27" t="s">
        <v>321</v>
      </c>
      <c r="F27">
        <v>1</v>
      </c>
      <c r="G27">
        <v>0</v>
      </c>
      <c r="H27">
        <v>4.9953050514917265</v>
      </c>
      <c r="I27">
        <v>5.0457626782744715E-2</v>
      </c>
      <c r="J27" t="s">
        <v>176</v>
      </c>
      <c r="K27">
        <v>0.17483567680221043</v>
      </c>
      <c r="L27">
        <v>5.2205983550766817</v>
      </c>
      <c r="M27">
        <v>0</v>
      </c>
      <c r="N27">
        <v>1.2463093755471086</v>
      </c>
      <c r="O27">
        <v>6.4669077306237908</v>
      </c>
      <c r="P27" t="s">
        <v>177</v>
      </c>
      <c r="Q27">
        <v>0.31323590130460094</v>
      </c>
      <c r="R27" t="s">
        <v>177</v>
      </c>
      <c r="S27">
        <v>7.4778562532826526E-2</v>
      </c>
      <c r="T27" t="s">
        <v>322</v>
      </c>
      <c r="U27">
        <v>0.6466907730623791</v>
      </c>
      <c r="V27" t="s">
        <v>90</v>
      </c>
      <c r="W27">
        <v>0</v>
      </c>
      <c r="X27" t="s">
        <v>90</v>
      </c>
      <c r="Y27">
        <v>0</v>
      </c>
      <c r="Z27">
        <v>7.501612967523597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L27">
        <v>0.17100000000000001</v>
      </c>
      <c r="AN27" t="s">
        <v>323</v>
      </c>
      <c r="AO27" t="s">
        <v>73</v>
      </c>
      <c r="AP27">
        <v>200000</v>
      </c>
      <c r="AQ27" t="s">
        <v>97</v>
      </c>
      <c r="AS27">
        <v>10000</v>
      </c>
      <c r="AT27" t="s">
        <v>354</v>
      </c>
      <c r="AU27" t="s">
        <v>75</v>
      </c>
      <c r="AV27" t="s">
        <v>76</v>
      </c>
      <c r="AY27">
        <v>0</v>
      </c>
    </row>
    <row r="28" spans="1:51" x14ac:dyDescent="0.15">
      <c r="A28" s="4" t="str">
        <f>HYPERLINK("https://ibp.a2mac1.com/costing(costing:projects/details/9760/assembly/8410909)","Wiring")</f>
        <v>Wiring</v>
      </c>
      <c r="B28">
        <v>8410909</v>
      </c>
      <c r="D28">
        <v>8410906</v>
      </c>
      <c r="F28">
        <v>1</v>
      </c>
      <c r="G28">
        <v>0</v>
      </c>
      <c r="H28">
        <v>545.04459078316052</v>
      </c>
      <c r="I28">
        <v>0</v>
      </c>
      <c r="J28" t="s">
        <v>90</v>
      </c>
      <c r="K28">
        <v>0</v>
      </c>
      <c r="L28">
        <v>545.04459078316052</v>
      </c>
      <c r="M28">
        <v>0</v>
      </c>
      <c r="N28">
        <v>0</v>
      </c>
      <c r="O28">
        <v>545.04459078316052</v>
      </c>
      <c r="P28" t="s">
        <v>90</v>
      </c>
      <c r="Q28">
        <v>0</v>
      </c>
      <c r="R28" t="s">
        <v>90</v>
      </c>
      <c r="S28">
        <v>0</v>
      </c>
      <c r="T28" t="s">
        <v>90</v>
      </c>
      <c r="U28">
        <v>0</v>
      </c>
      <c r="V28" t="s">
        <v>90</v>
      </c>
      <c r="W28">
        <v>0</v>
      </c>
      <c r="X28" t="s">
        <v>90</v>
      </c>
      <c r="Y28">
        <v>0</v>
      </c>
      <c r="Z28">
        <v>545.04459078316052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L28">
        <v>23.677299999999999</v>
      </c>
      <c r="AN28" t="s">
        <v>185</v>
      </c>
      <c r="AO28" t="s">
        <v>73</v>
      </c>
      <c r="AP28">
        <v>200000</v>
      </c>
      <c r="AQ28" t="s">
        <v>73</v>
      </c>
      <c r="AS28">
        <v>10000</v>
      </c>
      <c r="AT28" t="s">
        <v>355</v>
      </c>
      <c r="AU28" t="s">
        <v>75</v>
      </c>
      <c r="AV28" t="s">
        <v>76</v>
      </c>
      <c r="AY28">
        <v>0</v>
      </c>
    </row>
    <row r="29" spans="1:51" x14ac:dyDescent="0.15">
      <c r="A29" s="4" t="str">
        <f>HYPERLINK("https://ibp.a2mac1.com/costing(costing:projects/details/9760/assembly/8410937)","Hands Off Detection ECU")</f>
        <v>Hands Off Detection ECU</v>
      </c>
      <c r="B29">
        <v>8410937</v>
      </c>
      <c r="D29">
        <v>8410910</v>
      </c>
      <c r="F29">
        <v>1</v>
      </c>
      <c r="G29">
        <v>0</v>
      </c>
      <c r="H29">
        <v>6.2546990269728253</v>
      </c>
      <c r="I29">
        <v>3.1430648376747868E-2</v>
      </c>
      <c r="J29" t="s">
        <v>176</v>
      </c>
      <c r="K29">
        <v>0.2189144659440489</v>
      </c>
      <c r="L29">
        <v>6.5050441412936229</v>
      </c>
      <c r="M29">
        <v>0</v>
      </c>
      <c r="N29">
        <v>0.25305270020849274</v>
      </c>
      <c r="O29">
        <v>6.7580968415021152</v>
      </c>
      <c r="P29" t="s">
        <v>177</v>
      </c>
      <c r="Q29">
        <v>0.39030264847761736</v>
      </c>
      <c r="R29" t="s">
        <v>177</v>
      </c>
      <c r="S29">
        <v>1.5183162012509565E-2</v>
      </c>
      <c r="T29" t="s">
        <v>178</v>
      </c>
      <c r="U29">
        <v>0.81097162098025388</v>
      </c>
      <c r="V29" t="s">
        <v>90</v>
      </c>
      <c r="W29">
        <v>0</v>
      </c>
      <c r="X29" t="s">
        <v>90</v>
      </c>
      <c r="Y29">
        <v>0</v>
      </c>
      <c r="Z29">
        <v>7.9745542729724956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12</v>
      </c>
      <c r="AI29">
        <v>42</v>
      </c>
      <c r="AJ29">
        <v>30</v>
      </c>
      <c r="AL29">
        <v>1.0999999999999999E-2</v>
      </c>
      <c r="AN29" t="s">
        <v>365</v>
      </c>
      <c r="AO29" t="s">
        <v>73</v>
      </c>
      <c r="AP29">
        <v>200000</v>
      </c>
      <c r="AQ29" t="s">
        <v>97</v>
      </c>
      <c r="AS29">
        <v>10000</v>
      </c>
      <c r="AT29" t="s">
        <v>366</v>
      </c>
      <c r="AU29" t="s">
        <v>75</v>
      </c>
      <c r="AV29" t="s">
        <v>76</v>
      </c>
    </row>
    <row r="30" spans="1:51" x14ac:dyDescent="0.15">
      <c r="A30" s="4" t="str">
        <f>HYPERLINK("https://ibp.a2mac1.com/costing(costing:projects/details/9760/assembly/8410995)","Network ECU BCM")</f>
        <v>Network ECU BCM</v>
      </c>
      <c r="B30">
        <v>8410995</v>
      </c>
      <c r="D30">
        <v>8410938</v>
      </c>
      <c r="F30">
        <v>1</v>
      </c>
      <c r="G30">
        <v>0</v>
      </c>
      <c r="H30">
        <v>54.604111717479888</v>
      </c>
      <c r="I30">
        <v>0.27439252119336627</v>
      </c>
      <c r="J30" t="s">
        <v>176</v>
      </c>
      <c r="K30">
        <v>1.9111439101117962</v>
      </c>
      <c r="L30">
        <v>56.789648148785048</v>
      </c>
      <c r="M30">
        <v>0</v>
      </c>
      <c r="N30">
        <v>2.2087909454729751</v>
      </c>
      <c r="O30">
        <v>58.998439094258025</v>
      </c>
      <c r="P30" t="s">
        <v>177</v>
      </c>
      <c r="Q30">
        <v>3.4073788889271031</v>
      </c>
      <c r="R30" t="s">
        <v>177</v>
      </c>
      <c r="S30">
        <v>0.13252745672837851</v>
      </c>
      <c r="T30" t="s">
        <v>178</v>
      </c>
      <c r="U30">
        <v>7.0798126913109627</v>
      </c>
      <c r="V30" t="s">
        <v>90</v>
      </c>
      <c r="W30">
        <v>0</v>
      </c>
      <c r="X30" t="s">
        <v>90</v>
      </c>
      <c r="Y30">
        <v>0</v>
      </c>
      <c r="Z30">
        <v>69.618158131224476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75</v>
      </c>
      <c r="AI30">
        <v>204</v>
      </c>
      <c r="AJ30">
        <v>280</v>
      </c>
      <c r="AL30">
        <v>0.78500000000000003</v>
      </c>
      <c r="AN30" t="s">
        <v>365</v>
      </c>
      <c r="AO30" t="s">
        <v>73</v>
      </c>
      <c r="AP30">
        <v>200000</v>
      </c>
      <c r="AQ30" t="s">
        <v>97</v>
      </c>
      <c r="AS30">
        <v>10000</v>
      </c>
      <c r="AT30" t="s">
        <v>370</v>
      </c>
      <c r="AU30" t="s">
        <v>75</v>
      </c>
      <c r="AV30" t="s">
        <v>76</v>
      </c>
    </row>
    <row r="31" spans="1:51" x14ac:dyDescent="0.15">
      <c r="A31" s="4" t="str">
        <f>HYPERLINK("https://ibp.a2mac1.com/costing(costing:projects/details/9760/assembly/8410996)","Network ECU 2 BCM")</f>
        <v>Network ECU 2 BCM</v>
      </c>
      <c r="B31">
        <v>8410996</v>
      </c>
      <c r="D31">
        <v>8410938</v>
      </c>
      <c r="F31">
        <v>1</v>
      </c>
      <c r="G31">
        <v>0</v>
      </c>
      <c r="H31">
        <v>55.093399085714317</v>
      </c>
      <c r="I31">
        <v>0.27685125168700664</v>
      </c>
      <c r="J31" t="s">
        <v>176</v>
      </c>
      <c r="K31">
        <v>1.9282689680000011</v>
      </c>
      <c r="L31">
        <v>57.298519305401328</v>
      </c>
      <c r="M31">
        <v>0</v>
      </c>
      <c r="N31">
        <v>2.2239705344613676</v>
      </c>
      <c r="O31">
        <v>59.522489839862693</v>
      </c>
      <c r="P31" t="s">
        <v>177</v>
      </c>
      <c r="Q31">
        <v>3.4379111583240798</v>
      </c>
      <c r="R31" t="s">
        <v>177</v>
      </c>
      <c r="S31">
        <v>0.13343823206768204</v>
      </c>
      <c r="T31" t="s">
        <v>178</v>
      </c>
      <c r="U31">
        <v>7.1426987807835234</v>
      </c>
      <c r="V31" t="s">
        <v>90</v>
      </c>
      <c r="W31">
        <v>0</v>
      </c>
      <c r="X31" t="s">
        <v>90</v>
      </c>
      <c r="Y31">
        <v>0</v>
      </c>
      <c r="Z31">
        <v>70.236538011037979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78</v>
      </c>
      <c r="AI31">
        <v>203</v>
      </c>
      <c r="AJ31">
        <v>300</v>
      </c>
      <c r="AL31">
        <v>0.78500000000000003</v>
      </c>
      <c r="AN31" t="s">
        <v>365</v>
      </c>
      <c r="AO31" t="s">
        <v>73</v>
      </c>
      <c r="AP31">
        <v>200000</v>
      </c>
      <c r="AQ31" t="s">
        <v>97</v>
      </c>
      <c r="AS31">
        <v>10000</v>
      </c>
      <c r="AT31" t="s">
        <v>373</v>
      </c>
      <c r="AU31" t="s">
        <v>75</v>
      </c>
      <c r="AV31" t="s">
        <v>76</v>
      </c>
    </row>
    <row r="32" spans="1:51" x14ac:dyDescent="0.15">
      <c r="A32" s="4" t="str">
        <f>HYPERLINK("https://ibp.a2mac1.com/costing(costing:projects/details/9760/assembly/8410997)","Network ECU 3 BCM")</f>
        <v>Network ECU 3 BCM</v>
      </c>
      <c r="B32">
        <v>8410997</v>
      </c>
      <c r="D32">
        <v>8410938</v>
      </c>
      <c r="F32">
        <v>1</v>
      </c>
      <c r="G32">
        <v>0</v>
      </c>
      <c r="H32">
        <v>79.522303471883745</v>
      </c>
      <c r="I32">
        <v>0.39960956518534546</v>
      </c>
      <c r="J32" t="s">
        <v>176</v>
      </c>
      <c r="K32">
        <v>2.7832806215159311</v>
      </c>
      <c r="L32">
        <v>82.705193658585017</v>
      </c>
      <c r="M32">
        <v>0</v>
      </c>
      <c r="N32">
        <v>3.2030540242126802</v>
      </c>
      <c r="O32">
        <v>85.908247682797708</v>
      </c>
      <c r="P32" t="s">
        <v>177</v>
      </c>
      <c r="Q32">
        <v>4.9623116195151011</v>
      </c>
      <c r="R32" t="s">
        <v>177</v>
      </c>
      <c r="S32">
        <v>0.19218324145276081</v>
      </c>
      <c r="T32" t="s">
        <v>178</v>
      </c>
      <c r="U32">
        <v>10.308989721935724</v>
      </c>
      <c r="V32" t="s">
        <v>90</v>
      </c>
      <c r="W32">
        <v>0</v>
      </c>
      <c r="X32" t="s">
        <v>90</v>
      </c>
      <c r="Y32">
        <v>0</v>
      </c>
      <c r="Z32">
        <v>101.37173226570128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117</v>
      </c>
      <c r="AI32">
        <v>335</v>
      </c>
      <c r="AJ32">
        <v>270</v>
      </c>
      <c r="AL32">
        <v>2.2989999999999999</v>
      </c>
      <c r="AN32" t="s">
        <v>365</v>
      </c>
      <c r="AO32" t="s">
        <v>73</v>
      </c>
      <c r="AP32">
        <v>200000</v>
      </c>
      <c r="AQ32" t="s">
        <v>97</v>
      </c>
      <c r="AS32">
        <v>10000</v>
      </c>
      <c r="AT32" t="s">
        <v>376</v>
      </c>
      <c r="AU32" t="s">
        <v>75</v>
      </c>
      <c r="AV32" t="s">
        <v>76</v>
      </c>
    </row>
    <row r="33" spans="1:48" x14ac:dyDescent="0.15">
      <c r="A33" s="4" t="str">
        <f>HYPERLINK("https://ibp.a2mac1.com/costing(costing:projects/details/9760/assembly/8410938)","Network ECU BCM")</f>
        <v>Network ECU BCM</v>
      </c>
      <c r="B33">
        <v>8410938</v>
      </c>
      <c r="D33">
        <v>8410910</v>
      </c>
      <c r="F33">
        <v>1</v>
      </c>
      <c r="G33">
        <v>0</v>
      </c>
      <c r="H33">
        <v>241.34063840796375</v>
      </c>
      <c r="I33">
        <v>0</v>
      </c>
      <c r="J33" t="s">
        <v>90</v>
      </c>
      <c r="K33">
        <v>0</v>
      </c>
      <c r="L33">
        <v>241.34063840796375</v>
      </c>
      <c r="M33">
        <v>0</v>
      </c>
      <c r="N33">
        <v>0</v>
      </c>
      <c r="O33">
        <v>241.34063840796375</v>
      </c>
      <c r="P33" t="s">
        <v>90</v>
      </c>
      <c r="Q33">
        <v>0</v>
      </c>
      <c r="R33" t="s">
        <v>90</v>
      </c>
      <c r="S33">
        <v>0</v>
      </c>
      <c r="T33" t="s">
        <v>90</v>
      </c>
      <c r="U33">
        <v>0</v>
      </c>
      <c r="V33" t="s">
        <v>90</v>
      </c>
      <c r="W33">
        <v>0</v>
      </c>
      <c r="X33" t="s">
        <v>90</v>
      </c>
      <c r="Y33">
        <v>0</v>
      </c>
      <c r="Z33">
        <v>241.34063840796375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L33">
        <v>3.9201000000000001</v>
      </c>
      <c r="AN33" t="s">
        <v>185</v>
      </c>
      <c r="AO33" t="s">
        <v>73</v>
      </c>
      <c r="AP33">
        <v>200000</v>
      </c>
      <c r="AQ33" t="s">
        <v>73</v>
      </c>
      <c r="AS33">
        <v>10000</v>
      </c>
      <c r="AT33" t="s">
        <v>379</v>
      </c>
      <c r="AU33" t="s">
        <v>75</v>
      </c>
      <c r="AV33" t="s">
        <v>76</v>
      </c>
    </row>
    <row r="34" spans="1:48" x14ac:dyDescent="0.15">
      <c r="A34" s="4" t="str">
        <f>HYPERLINK("https://ibp.a2mac1.com/costing(costing:projects/details/9760/assembly/8410998)","Gateway ECU")</f>
        <v>Gateway ECU</v>
      </c>
      <c r="B34">
        <v>8410998</v>
      </c>
      <c r="D34">
        <v>8410939</v>
      </c>
      <c r="F34">
        <v>1</v>
      </c>
      <c r="G34">
        <v>0</v>
      </c>
      <c r="H34">
        <v>80.472456142128522</v>
      </c>
      <c r="I34">
        <v>0.40438420171923883</v>
      </c>
      <c r="J34" t="s">
        <v>176</v>
      </c>
      <c r="K34">
        <v>2.8165359649744985</v>
      </c>
      <c r="L34">
        <v>83.693376308822266</v>
      </c>
      <c r="M34">
        <v>0</v>
      </c>
      <c r="N34">
        <v>2.9663969796592378</v>
      </c>
      <c r="O34">
        <v>86.659773288481503</v>
      </c>
      <c r="P34" t="s">
        <v>177</v>
      </c>
      <c r="Q34">
        <v>5.0216025785293361</v>
      </c>
      <c r="R34" t="s">
        <v>177</v>
      </c>
      <c r="S34">
        <v>0.17798381877955424</v>
      </c>
      <c r="T34" t="s">
        <v>178</v>
      </c>
      <c r="U34">
        <v>10.39917279461778</v>
      </c>
      <c r="V34" t="s">
        <v>90</v>
      </c>
      <c r="W34">
        <v>0</v>
      </c>
      <c r="X34" t="s">
        <v>90</v>
      </c>
      <c r="Y34">
        <v>0</v>
      </c>
      <c r="Z34">
        <v>102.25853248040816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52</v>
      </c>
      <c r="AI34">
        <v>239</v>
      </c>
      <c r="AJ34">
        <v>134</v>
      </c>
      <c r="AL34">
        <v>0.74199999999999999</v>
      </c>
      <c r="AN34" t="s">
        <v>365</v>
      </c>
      <c r="AO34" t="s">
        <v>73</v>
      </c>
      <c r="AP34">
        <v>200000</v>
      </c>
      <c r="AQ34" t="s">
        <v>97</v>
      </c>
      <c r="AS34">
        <v>10000</v>
      </c>
      <c r="AT34" t="s">
        <v>384</v>
      </c>
      <c r="AU34" t="s">
        <v>75</v>
      </c>
      <c r="AV34" t="s">
        <v>76</v>
      </c>
    </row>
    <row r="35" spans="1:48" x14ac:dyDescent="0.15">
      <c r="A35" s="4" t="str">
        <f>HYPERLINK("https://ibp.a2mac1.com/costing(costing:projects/details/9760/assembly/8410939)","Gateway ECU")</f>
        <v>Gateway ECU</v>
      </c>
      <c r="B35">
        <v>8410939</v>
      </c>
      <c r="D35">
        <v>8410910</v>
      </c>
      <c r="F35">
        <v>1</v>
      </c>
      <c r="G35">
        <v>0</v>
      </c>
      <c r="H35">
        <v>102.30070248040816</v>
      </c>
      <c r="I35">
        <v>0</v>
      </c>
      <c r="J35" t="s">
        <v>90</v>
      </c>
      <c r="K35">
        <v>0</v>
      </c>
      <c r="L35">
        <v>102.30070248040816</v>
      </c>
      <c r="M35">
        <v>0</v>
      </c>
      <c r="N35">
        <v>0</v>
      </c>
      <c r="O35">
        <v>102.30070248040816</v>
      </c>
      <c r="P35" t="s">
        <v>90</v>
      </c>
      <c r="Q35">
        <v>0</v>
      </c>
      <c r="R35" t="s">
        <v>90</v>
      </c>
      <c r="S35">
        <v>0</v>
      </c>
      <c r="T35" t="s">
        <v>90</v>
      </c>
      <c r="U35">
        <v>0</v>
      </c>
      <c r="V35" t="s">
        <v>90</v>
      </c>
      <c r="W35">
        <v>0</v>
      </c>
      <c r="X35" t="s">
        <v>90</v>
      </c>
      <c r="Y35">
        <v>0</v>
      </c>
      <c r="Z35">
        <v>102.30070248040816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L35">
        <v>0.75190000000000001</v>
      </c>
      <c r="AN35" t="s">
        <v>185</v>
      </c>
      <c r="AO35" t="s">
        <v>73</v>
      </c>
      <c r="AP35">
        <v>200000</v>
      </c>
      <c r="AQ35" t="s">
        <v>73</v>
      </c>
      <c r="AS35">
        <v>10000</v>
      </c>
      <c r="AT35" t="s">
        <v>385</v>
      </c>
      <c r="AU35" t="s">
        <v>75</v>
      </c>
      <c r="AV35" t="s">
        <v>76</v>
      </c>
    </row>
    <row r="36" spans="1:48" x14ac:dyDescent="0.15">
      <c r="A36" s="4" t="str">
        <f>HYPERLINK("https://ibp.a2mac1.com/costing(costing:projects/details/9760/assembly/8410999)","Trunk Lid   Tailgate Lifting ECU")</f>
        <v>Trunk Lid   Tailgate Lifting ECU</v>
      </c>
      <c r="B36">
        <v>8410999</v>
      </c>
      <c r="D36">
        <v>8410940</v>
      </c>
      <c r="F36">
        <v>1</v>
      </c>
      <c r="G36">
        <v>0</v>
      </c>
      <c r="H36">
        <v>7.612127721328048</v>
      </c>
      <c r="I36">
        <v>3.8251898097125869E-2</v>
      </c>
      <c r="J36" t="s">
        <v>176</v>
      </c>
      <c r="K36">
        <v>0.26642447024648169</v>
      </c>
      <c r="L36">
        <v>7.9168040896716558</v>
      </c>
      <c r="M36">
        <v>0</v>
      </c>
      <c r="N36">
        <v>0.30747152673187966</v>
      </c>
      <c r="O36">
        <v>8.2242756164035349</v>
      </c>
      <c r="P36" t="s">
        <v>177</v>
      </c>
      <c r="Q36">
        <v>0.47500824538029934</v>
      </c>
      <c r="R36" t="s">
        <v>177</v>
      </c>
      <c r="S36">
        <v>1.844829160391278E-2</v>
      </c>
      <c r="T36" t="s">
        <v>178</v>
      </c>
      <c r="U36">
        <v>0.9869130739684242</v>
      </c>
      <c r="V36" t="s">
        <v>90</v>
      </c>
      <c r="W36">
        <v>0</v>
      </c>
      <c r="X36" t="s">
        <v>90</v>
      </c>
      <c r="Y36">
        <v>0</v>
      </c>
      <c r="Z36">
        <v>9.7046452273561723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37</v>
      </c>
      <c r="AI36">
        <v>159</v>
      </c>
      <c r="AJ36">
        <v>67</v>
      </c>
      <c r="AL36">
        <v>9.0999999999999998E-2</v>
      </c>
      <c r="AN36" t="s">
        <v>365</v>
      </c>
      <c r="AO36" t="s">
        <v>73</v>
      </c>
      <c r="AP36">
        <v>200000</v>
      </c>
      <c r="AQ36" t="s">
        <v>97</v>
      </c>
      <c r="AS36">
        <v>10000</v>
      </c>
      <c r="AT36" t="s">
        <v>389</v>
      </c>
      <c r="AU36" t="s">
        <v>75</v>
      </c>
      <c r="AV36" t="s">
        <v>76</v>
      </c>
    </row>
    <row r="37" spans="1:48" x14ac:dyDescent="0.15">
      <c r="A37" s="4" t="str">
        <f>HYPERLINK("https://ibp.a2mac1.com/costing(costing:projects/details/9760/assembly/8410940)","Trunk Lid   Tailgate Lifting ECU")</f>
        <v>Trunk Lid   Tailgate Lifting ECU</v>
      </c>
      <c r="B37">
        <v>8410940</v>
      </c>
      <c r="D37">
        <v>8410910</v>
      </c>
      <c r="F37">
        <v>1</v>
      </c>
      <c r="G37">
        <v>0</v>
      </c>
      <c r="H37">
        <v>9.8204452273561724</v>
      </c>
      <c r="I37">
        <v>0</v>
      </c>
      <c r="J37" t="s">
        <v>90</v>
      </c>
      <c r="K37">
        <v>0</v>
      </c>
      <c r="L37">
        <v>9.8204452273561724</v>
      </c>
      <c r="M37">
        <v>0</v>
      </c>
      <c r="N37">
        <v>0</v>
      </c>
      <c r="O37">
        <v>9.8204452273561724</v>
      </c>
      <c r="P37" t="s">
        <v>90</v>
      </c>
      <c r="Q37">
        <v>0</v>
      </c>
      <c r="R37" t="s">
        <v>90</v>
      </c>
      <c r="S37">
        <v>0</v>
      </c>
      <c r="T37" t="s">
        <v>90</v>
      </c>
      <c r="U37">
        <v>0</v>
      </c>
      <c r="V37" t="s">
        <v>90</v>
      </c>
      <c r="W37">
        <v>0</v>
      </c>
      <c r="X37" t="s">
        <v>90</v>
      </c>
      <c r="Y37">
        <v>0</v>
      </c>
      <c r="Z37">
        <v>9.8204452273561724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L37">
        <v>9.8000000000000004E-2</v>
      </c>
      <c r="AN37" t="s">
        <v>185</v>
      </c>
      <c r="AO37" t="s">
        <v>73</v>
      </c>
      <c r="AP37">
        <v>200000</v>
      </c>
      <c r="AQ37" t="s">
        <v>73</v>
      </c>
      <c r="AS37">
        <v>10000</v>
      </c>
      <c r="AT37" t="s">
        <v>391</v>
      </c>
      <c r="AU37" t="s">
        <v>75</v>
      </c>
      <c r="AV37" t="s">
        <v>76</v>
      </c>
    </row>
    <row r="38" spans="1:48" x14ac:dyDescent="0.15">
      <c r="A38" s="4" t="str">
        <f>HYPERLINK("https://ibp.a2mac1.com/costing(costing:projects/details/9760/assembly/8411000)","ADAS ECU")</f>
        <v>ADAS ECU</v>
      </c>
      <c r="B38">
        <v>8411000</v>
      </c>
      <c r="D38">
        <v>8410941</v>
      </c>
      <c r="F38">
        <v>1</v>
      </c>
      <c r="G38">
        <v>0</v>
      </c>
      <c r="H38">
        <v>909.98792578512473</v>
      </c>
      <c r="I38">
        <v>4.5728036471614306</v>
      </c>
      <c r="J38" t="s">
        <v>176</v>
      </c>
      <c r="K38">
        <v>31.849577402479365</v>
      </c>
      <c r="L38">
        <v>946.41030683476549</v>
      </c>
      <c r="M38">
        <v>0</v>
      </c>
      <c r="N38">
        <v>38.572182743998617</v>
      </c>
      <c r="O38">
        <v>984.98248957876422</v>
      </c>
      <c r="P38" t="s">
        <v>177</v>
      </c>
      <c r="Q38">
        <v>56.784618410085933</v>
      </c>
      <c r="R38" t="s">
        <v>177</v>
      </c>
      <c r="S38">
        <v>2.3143309646399168</v>
      </c>
      <c r="T38" t="s">
        <v>178</v>
      </c>
      <c r="U38">
        <v>118.1978987494517</v>
      </c>
      <c r="V38" t="s">
        <v>90</v>
      </c>
      <c r="W38">
        <v>0</v>
      </c>
      <c r="X38" t="s">
        <v>90</v>
      </c>
      <c r="Y38">
        <v>0</v>
      </c>
      <c r="Z38">
        <v>1162.2793377029418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52</v>
      </c>
      <c r="AI38">
        <v>374</v>
      </c>
      <c r="AJ38">
        <v>280</v>
      </c>
      <c r="AL38">
        <v>3.3149999999999999</v>
      </c>
      <c r="AN38" t="s">
        <v>365</v>
      </c>
      <c r="AO38" t="s">
        <v>73</v>
      </c>
      <c r="AP38">
        <v>200000</v>
      </c>
      <c r="AQ38" t="s">
        <v>97</v>
      </c>
      <c r="AS38">
        <v>10000</v>
      </c>
      <c r="AT38" t="s">
        <v>396</v>
      </c>
      <c r="AU38" t="s">
        <v>75</v>
      </c>
      <c r="AV38" t="s">
        <v>76</v>
      </c>
    </row>
    <row r="39" spans="1:48" x14ac:dyDescent="0.15">
      <c r="A39" s="4" t="str">
        <f>HYPERLINK("https://ibp.a2mac1.com/costing(costing:projects/details/9760/assembly/8410941)","ADAS ECU")</f>
        <v>ADAS ECU</v>
      </c>
      <c r="B39">
        <v>8410941</v>
      </c>
      <c r="D39">
        <v>8410910</v>
      </c>
      <c r="F39">
        <v>1</v>
      </c>
      <c r="G39">
        <v>0</v>
      </c>
      <c r="H39">
        <v>1165.0903377029417</v>
      </c>
      <c r="I39">
        <v>0</v>
      </c>
      <c r="J39" t="s">
        <v>90</v>
      </c>
      <c r="K39">
        <v>0</v>
      </c>
      <c r="L39">
        <v>1165.0903377029417</v>
      </c>
      <c r="M39">
        <v>0</v>
      </c>
      <c r="N39">
        <v>0</v>
      </c>
      <c r="O39">
        <v>1165.0903377029417</v>
      </c>
      <c r="P39" t="s">
        <v>90</v>
      </c>
      <c r="Q39">
        <v>0</v>
      </c>
      <c r="R39" t="s">
        <v>90</v>
      </c>
      <c r="S39">
        <v>0</v>
      </c>
      <c r="T39" t="s">
        <v>90</v>
      </c>
      <c r="U39">
        <v>0</v>
      </c>
      <c r="V39" t="s">
        <v>90</v>
      </c>
      <c r="W39">
        <v>0</v>
      </c>
      <c r="X39" t="s">
        <v>90</v>
      </c>
      <c r="Y39">
        <v>0</v>
      </c>
      <c r="Z39">
        <v>1165.0903377029417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L39">
        <v>3.5409999999999999</v>
      </c>
      <c r="AN39" t="s">
        <v>185</v>
      </c>
      <c r="AO39" t="s">
        <v>73</v>
      </c>
      <c r="AP39">
        <v>200000</v>
      </c>
      <c r="AQ39" t="s">
        <v>73</v>
      </c>
      <c r="AS39">
        <v>10000</v>
      </c>
      <c r="AT39" t="s">
        <v>407</v>
      </c>
      <c r="AU39" t="s">
        <v>75</v>
      </c>
      <c r="AV39" t="s">
        <v>76</v>
      </c>
    </row>
    <row r="40" spans="1:48" x14ac:dyDescent="0.15">
      <c r="A40" s="4" t="str">
        <f>HYPERLINK("https://ibp.a2mac1.com/costing(costing:projects/details/9760/assembly/8411006)","ECU")</f>
        <v>ECU</v>
      </c>
      <c r="B40">
        <v>8411006</v>
      </c>
      <c r="D40">
        <v>8410942</v>
      </c>
      <c r="F40">
        <v>1</v>
      </c>
      <c r="G40">
        <v>0</v>
      </c>
      <c r="H40">
        <v>5.7806960692070621</v>
      </c>
      <c r="I40">
        <v>2.9048723965864633E-2</v>
      </c>
      <c r="J40" t="s">
        <v>176</v>
      </c>
      <c r="K40">
        <v>0.20232436242224719</v>
      </c>
      <c r="L40">
        <v>6.0120691555951744</v>
      </c>
      <c r="M40">
        <v>0</v>
      </c>
      <c r="N40">
        <v>0.23377462219323433</v>
      </c>
      <c r="O40">
        <v>6.2458437777884086</v>
      </c>
      <c r="P40" t="s">
        <v>177</v>
      </c>
      <c r="Q40">
        <v>0.36072414933571045</v>
      </c>
      <c r="R40" t="s">
        <v>177</v>
      </c>
      <c r="S40">
        <v>1.402647733159406E-2</v>
      </c>
      <c r="T40" t="s">
        <v>178</v>
      </c>
      <c r="U40">
        <v>0.74950125333460904</v>
      </c>
      <c r="V40" t="s">
        <v>90</v>
      </c>
      <c r="W40">
        <v>0</v>
      </c>
      <c r="X40" t="s">
        <v>90</v>
      </c>
      <c r="Y40">
        <v>0</v>
      </c>
      <c r="Z40">
        <v>7.3700956577903218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18</v>
      </c>
      <c r="AI40">
        <v>105</v>
      </c>
      <c r="AJ40">
        <v>35</v>
      </c>
      <c r="AL40">
        <v>5.8999999999999997E-2</v>
      </c>
      <c r="AN40" t="s">
        <v>365</v>
      </c>
      <c r="AO40" t="s">
        <v>73</v>
      </c>
      <c r="AP40">
        <v>200000</v>
      </c>
      <c r="AQ40" t="s">
        <v>97</v>
      </c>
      <c r="AS40">
        <v>10000</v>
      </c>
      <c r="AT40" t="s">
        <v>411</v>
      </c>
      <c r="AU40" t="s">
        <v>75</v>
      </c>
      <c r="AV40" t="s">
        <v>76</v>
      </c>
    </row>
    <row r="41" spans="1:48" x14ac:dyDescent="0.15">
      <c r="A41" s="4" t="str">
        <f>HYPERLINK("https://ibp.a2mac1.com/costing(costing:projects/details/9760/assembly/8410942)","Refrigerated Compartment ECU")</f>
        <v>Refrigerated Compartment ECU</v>
      </c>
      <c r="B41">
        <v>8410942</v>
      </c>
      <c r="D41">
        <v>8410910</v>
      </c>
      <c r="F41">
        <v>1</v>
      </c>
      <c r="G41">
        <v>0</v>
      </c>
      <c r="H41">
        <v>7.4771356577903223</v>
      </c>
      <c r="I41">
        <v>0</v>
      </c>
      <c r="J41" t="s">
        <v>90</v>
      </c>
      <c r="K41">
        <v>0</v>
      </c>
      <c r="L41">
        <v>7.4771356577903223</v>
      </c>
      <c r="M41">
        <v>0</v>
      </c>
      <c r="N41">
        <v>0</v>
      </c>
      <c r="O41">
        <v>7.4771356577903223</v>
      </c>
      <c r="P41" t="s">
        <v>90</v>
      </c>
      <c r="Q41">
        <v>0</v>
      </c>
      <c r="R41" t="s">
        <v>90</v>
      </c>
      <c r="S41">
        <v>0</v>
      </c>
      <c r="T41" t="s">
        <v>90</v>
      </c>
      <c r="U41">
        <v>0</v>
      </c>
      <c r="V41" t="s">
        <v>90</v>
      </c>
      <c r="W41">
        <v>0</v>
      </c>
      <c r="X41" t="s">
        <v>90</v>
      </c>
      <c r="Y41">
        <v>0</v>
      </c>
      <c r="Z41">
        <v>7.4771356577903223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L41">
        <v>9.8000000000000004E-2</v>
      </c>
      <c r="AN41" t="s">
        <v>185</v>
      </c>
      <c r="AO41" t="s">
        <v>73</v>
      </c>
      <c r="AP41">
        <v>200000</v>
      </c>
      <c r="AQ41" t="s">
        <v>73</v>
      </c>
      <c r="AS41">
        <v>10000</v>
      </c>
      <c r="AT41" t="s">
        <v>416</v>
      </c>
      <c r="AU41" t="s">
        <v>75</v>
      </c>
      <c r="AV41" t="s">
        <v>76</v>
      </c>
    </row>
    <row r="42" spans="1:48" x14ac:dyDescent="0.15">
      <c r="A42" s="4" t="str">
        <f>HYPERLINK("https://ibp.a2mac1.com/costing(costing:projects/details/9760/assembly/8410910)","ECU Electronic Control Unit")</f>
        <v>ECU Electronic Control Unit</v>
      </c>
      <c r="B42">
        <v>8410910</v>
      </c>
      <c r="D42">
        <v>8410906</v>
      </c>
      <c r="F42">
        <v>1</v>
      </c>
      <c r="G42">
        <v>0</v>
      </c>
      <c r="H42">
        <v>1538.3038137494327</v>
      </c>
      <c r="I42">
        <v>0</v>
      </c>
      <c r="J42" t="s">
        <v>90</v>
      </c>
      <c r="K42">
        <v>0</v>
      </c>
      <c r="L42">
        <v>1538.3038137494327</v>
      </c>
      <c r="M42">
        <v>0</v>
      </c>
      <c r="N42">
        <v>0</v>
      </c>
      <c r="O42">
        <v>1538.3038137494327</v>
      </c>
      <c r="P42" t="s">
        <v>90</v>
      </c>
      <c r="Q42">
        <v>0</v>
      </c>
      <c r="R42" t="s">
        <v>90</v>
      </c>
      <c r="S42">
        <v>0</v>
      </c>
      <c r="T42" t="s">
        <v>90</v>
      </c>
      <c r="U42">
        <v>0</v>
      </c>
      <c r="V42" t="s">
        <v>90</v>
      </c>
      <c r="W42">
        <v>0</v>
      </c>
      <c r="X42" t="s">
        <v>90</v>
      </c>
      <c r="Y42">
        <v>0</v>
      </c>
      <c r="Z42">
        <v>1538.3038137494327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L42">
        <v>8.4469999999999992</v>
      </c>
      <c r="AN42" t="s">
        <v>185</v>
      </c>
      <c r="AO42" t="s">
        <v>73</v>
      </c>
      <c r="AP42">
        <v>200000</v>
      </c>
      <c r="AQ42" t="s">
        <v>73</v>
      </c>
      <c r="AS42">
        <v>10000</v>
      </c>
      <c r="AT42" t="s">
        <v>418</v>
      </c>
      <c r="AU42" t="s">
        <v>75</v>
      </c>
      <c r="AV42" t="s">
        <v>76</v>
      </c>
    </row>
    <row r="43" spans="1:48" x14ac:dyDescent="0.15">
      <c r="A43" s="4" t="str">
        <f>HYPERLINK("https://ibp.a2mac1.com/costing(costing:projects/details/9760/assembly/8410943)","Battery Fuses Box Cable")</f>
        <v>Battery Fuses Box Cable</v>
      </c>
      <c r="B43">
        <v>8410943</v>
      </c>
      <c r="D43">
        <v>8410911</v>
      </c>
      <c r="F43">
        <v>1</v>
      </c>
      <c r="G43">
        <v>0</v>
      </c>
      <c r="H43">
        <v>4.2367421626854629</v>
      </c>
      <c r="I43">
        <v>4.2795375380661242E-2</v>
      </c>
      <c r="J43" t="s">
        <v>176</v>
      </c>
      <c r="K43">
        <v>0.14828597569399118</v>
      </c>
      <c r="L43">
        <v>4.4278235137601154</v>
      </c>
      <c r="M43">
        <v>0</v>
      </c>
      <c r="N43">
        <v>0.25574582165677212</v>
      </c>
      <c r="O43">
        <v>4.6835693354168875</v>
      </c>
      <c r="P43" t="s">
        <v>177</v>
      </c>
      <c r="Q43">
        <v>0.26566941082560691</v>
      </c>
      <c r="R43" t="s">
        <v>177</v>
      </c>
      <c r="S43">
        <v>1.5344749299406326E-2</v>
      </c>
      <c r="T43" t="s">
        <v>322</v>
      </c>
      <c r="U43">
        <v>0.46835693354168872</v>
      </c>
      <c r="V43" t="s">
        <v>90</v>
      </c>
      <c r="W43">
        <v>0</v>
      </c>
      <c r="X43" t="s">
        <v>90</v>
      </c>
      <c r="Y43">
        <v>0</v>
      </c>
      <c r="Z43">
        <v>5.4329404290835894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L43">
        <v>0.26700000000000002</v>
      </c>
      <c r="AN43" t="s">
        <v>323</v>
      </c>
      <c r="AO43" t="s">
        <v>73</v>
      </c>
      <c r="AP43">
        <v>200000</v>
      </c>
      <c r="AQ43" t="s">
        <v>97</v>
      </c>
      <c r="AS43">
        <v>10000</v>
      </c>
      <c r="AT43" t="s">
        <v>422</v>
      </c>
      <c r="AU43" t="s">
        <v>75</v>
      </c>
      <c r="AV43" t="s">
        <v>76</v>
      </c>
    </row>
    <row r="44" spans="1:48" x14ac:dyDescent="0.15">
      <c r="A44" s="4" t="str">
        <f>HYPERLINK("https://ibp.a2mac1.com/costing(costing:projects/details/9760/assembly/8410911)","Power cables")</f>
        <v>Power cables</v>
      </c>
      <c r="B44">
        <v>8410911</v>
      </c>
      <c r="D44">
        <v>8410906</v>
      </c>
      <c r="F44">
        <v>1</v>
      </c>
      <c r="G44">
        <v>0</v>
      </c>
      <c r="H44">
        <v>5.475110429083589</v>
      </c>
      <c r="I44">
        <v>0</v>
      </c>
      <c r="J44" t="s">
        <v>90</v>
      </c>
      <c r="K44">
        <v>0</v>
      </c>
      <c r="L44">
        <v>5.475110429083589</v>
      </c>
      <c r="M44">
        <v>0</v>
      </c>
      <c r="N44">
        <v>0</v>
      </c>
      <c r="O44">
        <v>5.475110429083589</v>
      </c>
      <c r="P44" t="s">
        <v>90</v>
      </c>
      <c r="Q44">
        <v>0</v>
      </c>
      <c r="R44" t="s">
        <v>90</v>
      </c>
      <c r="S44">
        <v>0</v>
      </c>
      <c r="T44" t="s">
        <v>90</v>
      </c>
      <c r="U44">
        <v>0</v>
      </c>
      <c r="V44" t="s">
        <v>90</v>
      </c>
      <c r="W44">
        <v>0</v>
      </c>
      <c r="X44" t="s">
        <v>90</v>
      </c>
      <c r="Y44">
        <v>0</v>
      </c>
      <c r="Z44">
        <v>5.475110429083589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L44">
        <v>0.27400000000000002</v>
      </c>
      <c r="AN44" t="s">
        <v>185</v>
      </c>
      <c r="AO44" t="s">
        <v>73</v>
      </c>
      <c r="AP44">
        <v>200000</v>
      </c>
      <c r="AQ44" t="s">
        <v>73</v>
      </c>
      <c r="AS44">
        <v>10000</v>
      </c>
      <c r="AT44" t="s">
        <v>423</v>
      </c>
      <c r="AU44" t="s">
        <v>75</v>
      </c>
      <c r="AV44" t="s">
        <v>76</v>
      </c>
    </row>
    <row r="45" spans="1:48" x14ac:dyDescent="0.15">
      <c r="A45" s="4" t="str">
        <f>HYPERLINK("https://ibp.a2mac1.com/costing(costing:projects/details/9760/assembly/8410944)","Rear Axle Ground Cable")</f>
        <v>Rear Axle Ground Cable</v>
      </c>
      <c r="B45">
        <v>8410944</v>
      </c>
      <c r="D45">
        <v>8410912</v>
      </c>
      <c r="F45">
        <v>1</v>
      </c>
      <c r="G45">
        <v>0</v>
      </c>
      <c r="H45">
        <v>4.2367421626854629</v>
      </c>
      <c r="I45">
        <v>4.2795375380661242E-2</v>
      </c>
      <c r="J45" t="s">
        <v>176</v>
      </c>
      <c r="K45">
        <v>0.14828597569399118</v>
      </c>
      <c r="L45">
        <v>4.4278235137601154</v>
      </c>
      <c r="M45">
        <v>0</v>
      </c>
      <c r="N45">
        <v>0.1838500798421509</v>
      </c>
      <c r="O45">
        <v>4.6116735936022657</v>
      </c>
      <c r="P45" t="s">
        <v>177</v>
      </c>
      <c r="Q45">
        <v>0.26566941082560691</v>
      </c>
      <c r="R45" t="s">
        <v>177</v>
      </c>
      <c r="S45">
        <v>1.1031004790529054E-2</v>
      </c>
      <c r="T45" t="s">
        <v>322</v>
      </c>
      <c r="U45">
        <v>0.46116735936022663</v>
      </c>
      <c r="V45" t="s">
        <v>90</v>
      </c>
      <c r="W45">
        <v>0</v>
      </c>
      <c r="X45" t="s">
        <v>90</v>
      </c>
      <c r="Y45">
        <v>0</v>
      </c>
      <c r="Z45">
        <v>5.3495413685786284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L45">
        <v>0.10100000000000001</v>
      </c>
      <c r="AN45" t="s">
        <v>323</v>
      </c>
      <c r="AO45" t="s">
        <v>73</v>
      </c>
      <c r="AP45">
        <v>200000</v>
      </c>
      <c r="AQ45" t="s">
        <v>97</v>
      </c>
      <c r="AS45">
        <v>10000</v>
      </c>
      <c r="AT45" t="s">
        <v>427</v>
      </c>
      <c r="AU45" t="s">
        <v>75</v>
      </c>
      <c r="AV45" t="s">
        <v>76</v>
      </c>
    </row>
    <row r="46" spans="1:48" x14ac:dyDescent="0.15">
      <c r="A46" s="4" t="str">
        <f>HYPERLINK("https://ibp.a2mac1.com/costing(costing:projects/details/9760/assembly/8410945)","Fuse Box   Relay System Ground Cable")</f>
        <v>Fuse Box   Relay System Ground Cable</v>
      </c>
      <c r="B46">
        <v>8410945</v>
      </c>
      <c r="D46">
        <v>8410912</v>
      </c>
      <c r="F46">
        <v>1</v>
      </c>
      <c r="G46">
        <v>0</v>
      </c>
      <c r="H46">
        <v>0.36132915709740154</v>
      </c>
      <c r="I46">
        <v>3.6497894656303187E-3</v>
      </c>
      <c r="J46" t="s">
        <v>176</v>
      </c>
      <c r="K46">
        <v>1.2646520498409055E-2</v>
      </c>
      <c r="L46">
        <v>0.3776254670614409</v>
      </c>
      <c r="M46">
        <v>0</v>
      </c>
      <c r="N46">
        <v>7.2012259241629017E-2</v>
      </c>
      <c r="O46">
        <v>0.44963772630306992</v>
      </c>
      <c r="P46" t="s">
        <v>177</v>
      </c>
      <c r="Q46">
        <v>2.2657528023686455E-2</v>
      </c>
      <c r="R46" t="s">
        <v>177</v>
      </c>
      <c r="S46">
        <v>4.3207355544977412E-3</v>
      </c>
      <c r="T46" t="s">
        <v>322</v>
      </c>
      <c r="U46">
        <v>4.4963772630306993E-2</v>
      </c>
      <c r="V46" t="s">
        <v>90</v>
      </c>
      <c r="W46">
        <v>0</v>
      </c>
      <c r="X46" t="s">
        <v>90</v>
      </c>
      <c r="Y46">
        <v>0</v>
      </c>
      <c r="Z46">
        <v>0.52157976251156113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L46">
        <v>8.5999999999999993E-2</v>
      </c>
      <c r="AN46" t="s">
        <v>323</v>
      </c>
      <c r="AO46" t="s">
        <v>73</v>
      </c>
      <c r="AP46">
        <v>200000</v>
      </c>
      <c r="AQ46" t="s">
        <v>97</v>
      </c>
      <c r="AS46">
        <v>10000</v>
      </c>
      <c r="AT46" t="s">
        <v>430</v>
      </c>
      <c r="AU46" t="s">
        <v>75</v>
      </c>
      <c r="AV46" t="s">
        <v>76</v>
      </c>
    </row>
    <row r="47" spans="1:48" x14ac:dyDescent="0.15">
      <c r="A47" s="4" t="str">
        <f>HYPERLINK("https://ibp.a2mac1.com/costing(costing:projects/details/9760/assembly/8410912)","Ground cable")</f>
        <v>Ground cable</v>
      </c>
      <c r="B47">
        <v>8410912</v>
      </c>
      <c r="D47">
        <v>8410906</v>
      </c>
      <c r="F47">
        <v>1</v>
      </c>
      <c r="G47">
        <v>0</v>
      </c>
      <c r="H47">
        <v>5.9439111310901902</v>
      </c>
      <c r="I47">
        <v>0</v>
      </c>
      <c r="J47" t="s">
        <v>90</v>
      </c>
      <c r="K47">
        <v>0</v>
      </c>
      <c r="L47">
        <v>5.9439111310901902</v>
      </c>
      <c r="M47">
        <v>0</v>
      </c>
      <c r="N47">
        <v>0</v>
      </c>
      <c r="O47">
        <v>5.9439111310901902</v>
      </c>
      <c r="P47" t="s">
        <v>90</v>
      </c>
      <c r="Q47">
        <v>0</v>
      </c>
      <c r="R47" t="s">
        <v>90</v>
      </c>
      <c r="S47">
        <v>0</v>
      </c>
      <c r="T47" t="s">
        <v>90</v>
      </c>
      <c r="U47">
        <v>0</v>
      </c>
      <c r="V47" t="s">
        <v>90</v>
      </c>
      <c r="W47">
        <v>0</v>
      </c>
      <c r="X47" t="s">
        <v>90</v>
      </c>
      <c r="Y47">
        <v>0</v>
      </c>
      <c r="Z47">
        <v>5.9439111310901902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L47">
        <v>0.20100000000000001</v>
      </c>
      <c r="AN47" t="s">
        <v>185</v>
      </c>
      <c r="AO47" t="s">
        <v>73</v>
      </c>
      <c r="AP47">
        <v>200000</v>
      </c>
      <c r="AQ47" t="s">
        <v>73</v>
      </c>
      <c r="AS47">
        <v>10000</v>
      </c>
      <c r="AT47" t="s">
        <v>432</v>
      </c>
      <c r="AU47" t="s">
        <v>75</v>
      </c>
      <c r="AV47" t="s">
        <v>76</v>
      </c>
    </row>
    <row r="48" spans="1:48" x14ac:dyDescent="0.15">
      <c r="A48" s="4" t="str">
        <f>HYPERLINK("https://ibp.a2mac1.com/costing(costing:projects/details/9760/assembly/8410946)","Engine compartment fuses relays box system")</f>
        <v>Engine compartment fuses relays box system</v>
      </c>
      <c r="B48">
        <v>8410946</v>
      </c>
      <c r="D48">
        <v>8410913</v>
      </c>
      <c r="F48">
        <v>1</v>
      </c>
      <c r="G48">
        <v>0</v>
      </c>
      <c r="H48">
        <v>2.0113799999999999</v>
      </c>
      <c r="I48">
        <v>0</v>
      </c>
      <c r="J48" t="s">
        <v>90</v>
      </c>
      <c r="K48">
        <v>0</v>
      </c>
      <c r="L48">
        <v>2.0113799999999999</v>
      </c>
      <c r="M48">
        <v>0</v>
      </c>
      <c r="N48">
        <v>0</v>
      </c>
      <c r="O48">
        <v>2.0113799999999999</v>
      </c>
      <c r="P48" t="s">
        <v>90</v>
      </c>
      <c r="Q48">
        <v>0</v>
      </c>
      <c r="R48" t="s">
        <v>90</v>
      </c>
      <c r="S48">
        <v>0</v>
      </c>
      <c r="T48" t="s">
        <v>90</v>
      </c>
      <c r="U48">
        <v>0</v>
      </c>
      <c r="V48" t="s">
        <v>90</v>
      </c>
      <c r="W48">
        <v>0</v>
      </c>
      <c r="X48" t="s">
        <v>90</v>
      </c>
      <c r="Y48">
        <v>0</v>
      </c>
      <c r="Z48">
        <v>2.0113799999999999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L48">
        <v>0.30399999999999999</v>
      </c>
      <c r="AN48" t="s">
        <v>185</v>
      </c>
      <c r="AO48" t="s">
        <v>73</v>
      </c>
      <c r="AP48">
        <v>200000</v>
      </c>
      <c r="AQ48" t="s">
        <v>73</v>
      </c>
      <c r="AS48">
        <v>10000</v>
      </c>
      <c r="AT48" t="s">
        <v>438</v>
      </c>
      <c r="AU48" t="s">
        <v>75</v>
      </c>
      <c r="AV48" t="s">
        <v>76</v>
      </c>
    </row>
    <row r="49" spans="1:48" x14ac:dyDescent="0.15">
      <c r="A49" s="4" t="str">
        <f>HYPERLINK("https://ibp.a2mac1.com/costing(costing:projects/details/9760/assembly/8410913)","Fuses Box Relay System")</f>
        <v>Fuses Box Relay System</v>
      </c>
      <c r="B49">
        <v>8410913</v>
      </c>
      <c r="D49">
        <v>8410906</v>
      </c>
      <c r="F49">
        <v>1</v>
      </c>
      <c r="G49">
        <v>0</v>
      </c>
      <c r="H49">
        <v>2.0113799999999999</v>
      </c>
      <c r="I49">
        <v>0</v>
      </c>
      <c r="J49" t="s">
        <v>90</v>
      </c>
      <c r="K49">
        <v>0</v>
      </c>
      <c r="L49">
        <v>2.0113799999999999</v>
      </c>
      <c r="M49">
        <v>0</v>
      </c>
      <c r="N49">
        <v>0</v>
      </c>
      <c r="O49">
        <v>2.0113799999999999</v>
      </c>
      <c r="P49" t="s">
        <v>90</v>
      </c>
      <c r="Q49">
        <v>0</v>
      </c>
      <c r="R49" t="s">
        <v>90</v>
      </c>
      <c r="S49">
        <v>0</v>
      </c>
      <c r="T49" t="s">
        <v>90</v>
      </c>
      <c r="U49">
        <v>0</v>
      </c>
      <c r="V49" t="s">
        <v>90</v>
      </c>
      <c r="W49">
        <v>0</v>
      </c>
      <c r="X49" t="s">
        <v>90</v>
      </c>
      <c r="Y49">
        <v>0</v>
      </c>
      <c r="Z49">
        <v>2.0113799999999999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L49">
        <v>0.30399999999999999</v>
      </c>
      <c r="AN49" t="s">
        <v>185</v>
      </c>
      <c r="AO49" t="s">
        <v>73</v>
      </c>
      <c r="AP49">
        <v>200000</v>
      </c>
      <c r="AQ49" t="s">
        <v>73</v>
      </c>
      <c r="AS49">
        <v>10000</v>
      </c>
      <c r="AT49" t="s">
        <v>439</v>
      </c>
      <c r="AU49" t="s">
        <v>75</v>
      </c>
      <c r="AV49" t="s">
        <v>76</v>
      </c>
    </row>
    <row r="50" spans="1:48" x14ac:dyDescent="0.15">
      <c r="A50" s="4" t="str">
        <f>HYPERLINK("https://ibp.a2mac1.com/costing(costing:projects/details/9760/assembly/8410954)","Support in rear body")</f>
        <v>Support in rear body</v>
      </c>
      <c r="B50">
        <v>8410954</v>
      </c>
      <c r="D50">
        <v>8410914</v>
      </c>
      <c r="F50">
        <v>1</v>
      </c>
      <c r="G50">
        <v>0</v>
      </c>
      <c r="H50">
        <v>8.1300000000000008</v>
      </c>
      <c r="I50">
        <v>0</v>
      </c>
      <c r="J50" t="s">
        <v>90</v>
      </c>
      <c r="K50">
        <v>0</v>
      </c>
      <c r="L50">
        <v>8.1300000000000008</v>
      </c>
      <c r="M50">
        <v>0</v>
      </c>
      <c r="N50">
        <v>0</v>
      </c>
      <c r="O50">
        <v>8.1300000000000008</v>
      </c>
      <c r="P50" t="s">
        <v>90</v>
      </c>
      <c r="Q50">
        <v>0</v>
      </c>
      <c r="R50" t="s">
        <v>90</v>
      </c>
      <c r="S50">
        <v>0</v>
      </c>
      <c r="T50" t="s">
        <v>90</v>
      </c>
      <c r="U50">
        <v>0</v>
      </c>
      <c r="V50" t="s">
        <v>90</v>
      </c>
      <c r="W50">
        <v>0</v>
      </c>
      <c r="X50" t="s">
        <v>90</v>
      </c>
      <c r="Y50">
        <v>0</v>
      </c>
      <c r="Z50">
        <v>8.1300000000000008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L50">
        <v>0.48599999999999999</v>
      </c>
      <c r="AN50" t="s">
        <v>185</v>
      </c>
      <c r="AO50" t="s">
        <v>73</v>
      </c>
      <c r="AP50">
        <v>200000</v>
      </c>
      <c r="AQ50" t="s">
        <v>73</v>
      </c>
      <c r="AS50">
        <v>10000</v>
      </c>
      <c r="AT50" t="s">
        <v>444</v>
      </c>
      <c r="AU50" t="s">
        <v>75</v>
      </c>
      <c r="AV50" t="s">
        <v>76</v>
      </c>
    </row>
    <row r="51" spans="1:48" x14ac:dyDescent="0.15">
      <c r="A51" s="4" t="str">
        <f>HYPERLINK("https://ibp.a2mac1.com/costing(costing:projects/details/9760/assembly/8410955)","Engine compartment support")</f>
        <v>Engine compartment support</v>
      </c>
      <c r="B51">
        <v>8410955</v>
      </c>
      <c r="D51">
        <v>8410914</v>
      </c>
      <c r="F51">
        <v>1</v>
      </c>
      <c r="G51">
        <v>0</v>
      </c>
      <c r="H51">
        <v>0.56000000000000005</v>
      </c>
      <c r="I51">
        <v>0</v>
      </c>
      <c r="J51" t="s">
        <v>90</v>
      </c>
      <c r="K51">
        <v>0</v>
      </c>
      <c r="L51">
        <v>0.56000000000000005</v>
      </c>
      <c r="M51">
        <v>0</v>
      </c>
      <c r="N51">
        <v>0</v>
      </c>
      <c r="O51">
        <v>0.56000000000000005</v>
      </c>
      <c r="P51" t="s">
        <v>90</v>
      </c>
      <c r="Q51">
        <v>0</v>
      </c>
      <c r="R51" t="s">
        <v>90</v>
      </c>
      <c r="S51">
        <v>0</v>
      </c>
      <c r="T51" t="s">
        <v>90</v>
      </c>
      <c r="U51">
        <v>0</v>
      </c>
      <c r="V51" t="s">
        <v>90</v>
      </c>
      <c r="W51">
        <v>0</v>
      </c>
      <c r="X51" t="s">
        <v>90</v>
      </c>
      <c r="Y51">
        <v>0</v>
      </c>
      <c r="Z51">
        <v>0.56000000000000005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L51">
        <v>5.6000000000000001E-2</v>
      </c>
      <c r="AN51" t="s">
        <v>185</v>
      </c>
      <c r="AO51" t="s">
        <v>73</v>
      </c>
      <c r="AP51">
        <v>200000</v>
      </c>
      <c r="AQ51" t="s">
        <v>73</v>
      </c>
      <c r="AS51">
        <v>10000</v>
      </c>
      <c r="AT51" t="s">
        <v>450</v>
      </c>
      <c r="AU51" t="s">
        <v>75</v>
      </c>
      <c r="AV51" t="s">
        <v>76</v>
      </c>
    </row>
    <row r="52" spans="1:48" x14ac:dyDescent="0.15">
      <c r="A52" s="4" t="str">
        <f>HYPERLINK("https://ibp.a2mac1.com/costing(costing:projects/details/9760/assembly/8410914)","Wiring support system")</f>
        <v>Wiring support system</v>
      </c>
      <c r="B52">
        <v>8410914</v>
      </c>
      <c r="D52">
        <v>8410906</v>
      </c>
      <c r="F52">
        <v>1</v>
      </c>
      <c r="G52">
        <v>0</v>
      </c>
      <c r="H52">
        <v>23.298359999999999</v>
      </c>
      <c r="I52">
        <v>0</v>
      </c>
      <c r="J52" t="s">
        <v>90</v>
      </c>
      <c r="K52">
        <v>0</v>
      </c>
      <c r="L52">
        <v>23.298359999999999</v>
      </c>
      <c r="M52">
        <v>0</v>
      </c>
      <c r="N52">
        <v>0</v>
      </c>
      <c r="O52">
        <v>23.298359999999999</v>
      </c>
      <c r="P52" t="s">
        <v>90</v>
      </c>
      <c r="Q52">
        <v>0</v>
      </c>
      <c r="R52" t="s">
        <v>90</v>
      </c>
      <c r="S52">
        <v>0</v>
      </c>
      <c r="T52" t="s">
        <v>90</v>
      </c>
      <c r="U52">
        <v>0</v>
      </c>
      <c r="V52" t="s">
        <v>90</v>
      </c>
      <c r="W52">
        <v>0</v>
      </c>
      <c r="X52" t="s">
        <v>90</v>
      </c>
      <c r="Y52">
        <v>0</v>
      </c>
      <c r="Z52">
        <v>23.298359999999999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L52">
        <v>0.83799999999999997</v>
      </c>
      <c r="AN52" t="s">
        <v>185</v>
      </c>
      <c r="AO52" t="s">
        <v>73</v>
      </c>
      <c r="AP52">
        <v>200000</v>
      </c>
      <c r="AQ52" t="s">
        <v>73</v>
      </c>
      <c r="AS52">
        <v>10000</v>
      </c>
      <c r="AT52" t="s">
        <v>459</v>
      </c>
      <c r="AU52" t="s">
        <v>75</v>
      </c>
      <c r="AV52" t="s">
        <v>76</v>
      </c>
    </row>
    <row r="53" spans="1:48" x14ac:dyDescent="0.15">
      <c r="A53" s="4" t="str">
        <f>HYPERLINK("https://ibp.a2mac1.com/costing(costing:projects/details/9760/assembly/8410915)","Wiring Harness Guide")</f>
        <v>Wiring Harness Guide</v>
      </c>
      <c r="B53">
        <v>8410915</v>
      </c>
      <c r="D53">
        <v>8410906</v>
      </c>
      <c r="F53">
        <v>1</v>
      </c>
      <c r="G53">
        <v>0</v>
      </c>
      <c r="H53">
        <v>3.3300200000000002</v>
      </c>
      <c r="I53">
        <v>0</v>
      </c>
      <c r="J53" t="s">
        <v>90</v>
      </c>
      <c r="K53">
        <v>0</v>
      </c>
      <c r="L53">
        <v>3.3300200000000002</v>
      </c>
      <c r="M53">
        <v>0</v>
      </c>
      <c r="N53">
        <v>0</v>
      </c>
      <c r="O53">
        <v>3.3300200000000002</v>
      </c>
      <c r="P53" t="s">
        <v>90</v>
      </c>
      <c r="Q53">
        <v>0</v>
      </c>
      <c r="R53" t="s">
        <v>90</v>
      </c>
      <c r="S53">
        <v>0</v>
      </c>
      <c r="T53" t="s">
        <v>90</v>
      </c>
      <c r="U53">
        <v>0</v>
      </c>
      <c r="V53" t="s">
        <v>90</v>
      </c>
      <c r="W53">
        <v>0</v>
      </c>
      <c r="X53" t="s">
        <v>90</v>
      </c>
      <c r="Y53">
        <v>0</v>
      </c>
      <c r="Z53">
        <v>3.3300200000000002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L53">
        <v>0.30499999999999999</v>
      </c>
      <c r="AN53" t="s">
        <v>185</v>
      </c>
      <c r="AO53" t="s">
        <v>73</v>
      </c>
      <c r="AP53">
        <v>200000</v>
      </c>
      <c r="AQ53" t="s">
        <v>73</v>
      </c>
      <c r="AS53">
        <v>10000</v>
      </c>
      <c r="AT53" t="s">
        <v>464</v>
      </c>
      <c r="AU53" t="s">
        <v>75</v>
      </c>
      <c r="AV53" t="s">
        <v>76</v>
      </c>
    </row>
    <row r="54" spans="1:48" x14ac:dyDescent="0.15">
      <c r="A54" s="4" t="str">
        <f>HYPERLINK("https://ibp.a2mac1.com/costing(costing:projects/details/9760/assembly/8410916)","Accessories Connection System")</f>
        <v>Accessories Connection System</v>
      </c>
      <c r="B54">
        <v>8410916</v>
      </c>
      <c r="D54">
        <v>8410906</v>
      </c>
      <c r="F54">
        <v>1</v>
      </c>
      <c r="G54">
        <v>0</v>
      </c>
      <c r="H54">
        <v>0.33404</v>
      </c>
      <c r="I54">
        <v>0</v>
      </c>
      <c r="J54" t="s">
        <v>90</v>
      </c>
      <c r="K54">
        <v>0</v>
      </c>
      <c r="L54">
        <v>0.33404</v>
      </c>
      <c r="M54">
        <v>0</v>
      </c>
      <c r="N54">
        <v>0</v>
      </c>
      <c r="O54">
        <v>0.33404</v>
      </c>
      <c r="P54" t="s">
        <v>90</v>
      </c>
      <c r="Q54">
        <v>0</v>
      </c>
      <c r="R54" t="s">
        <v>90</v>
      </c>
      <c r="S54">
        <v>0</v>
      </c>
      <c r="T54" t="s">
        <v>90</v>
      </c>
      <c r="U54">
        <v>0</v>
      </c>
      <c r="V54" t="s">
        <v>90</v>
      </c>
      <c r="W54">
        <v>0</v>
      </c>
      <c r="X54" t="s">
        <v>90</v>
      </c>
      <c r="Y54">
        <v>0</v>
      </c>
      <c r="Z54">
        <v>0.33404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L54">
        <v>3.4099999999999998E-2</v>
      </c>
      <c r="AN54" t="s">
        <v>185</v>
      </c>
      <c r="AO54" t="s">
        <v>73</v>
      </c>
      <c r="AP54">
        <v>200000</v>
      </c>
      <c r="AQ54" t="s">
        <v>73</v>
      </c>
      <c r="AS54">
        <v>10000</v>
      </c>
      <c r="AT54" t="s">
        <v>470</v>
      </c>
      <c r="AU54" t="s">
        <v>75</v>
      </c>
      <c r="AV54" t="s">
        <v>76</v>
      </c>
    </row>
    <row r="55" spans="1:48" x14ac:dyDescent="0.15">
      <c r="A55" s="4" t="str">
        <f>HYPERLINK("https://ibp.a2mac1.com/costing(costing:projects/details/9760/assembly/8410906)","Electrical")</f>
        <v>Electrical</v>
      </c>
      <c r="B55">
        <v>8410906</v>
      </c>
      <c r="C55">
        <v>9760</v>
      </c>
      <c r="F55">
        <v>1</v>
      </c>
      <c r="G55">
        <v>0</v>
      </c>
      <c r="H55">
        <v>2201.5056060927668</v>
      </c>
      <c r="I55">
        <v>0</v>
      </c>
      <c r="J55" t="s">
        <v>90</v>
      </c>
      <c r="K55">
        <v>0</v>
      </c>
      <c r="L55">
        <v>2201.5056060927668</v>
      </c>
      <c r="M55">
        <v>0</v>
      </c>
      <c r="N55">
        <v>0</v>
      </c>
      <c r="O55">
        <v>2201.5056060927668</v>
      </c>
      <c r="P55" t="s">
        <v>90</v>
      </c>
      <c r="Q55">
        <v>0</v>
      </c>
      <c r="R55" t="s">
        <v>90</v>
      </c>
      <c r="S55">
        <v>0</v>
      </c>
      <c r="T55" t="s">
        <v>90</v>
      </c>
      <c r="U55">
        <v>0</v>
      </c>
      <c r="V55" t="s">
        <v>90</v>
      </c>
      <c r="W55">
        <v>0</v>
      </c>
      <c r="X55" t="s">
        <v>90</v>
      </c>
      <c r="Y55">
        <v>0</v>
      </c>
      <c r="Z55">
        <v>2201.5056060927668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L55">
        <v>37.774299999999997</v>
      </c>
      <c r="AN55" t="s">
        <v>185</v>
      </c>
      <c r="AO55" t="s">
        <v>73</v>
      </c>
      <c r="AP55">
        <v>200000</v>
      </c>
      <c r="AQ55" t="s">
        <v>73</v>
      </c>
      <c r="AS55">
        <v>10000</v>
      </c>
      <c r="AT55" t="s">
        <v>472</v>
      </c>
      <c r="AU55" t="s">
        <v>75</v>
      </c>
      <c r="AV55" t="s">
        <v>76</v>
      </c>
    </row>
    <row r="56" spans="1:48" x14ac:dyDescent="0.15">
      <c r="A56" s="4" t="str">
        <f>HYPERLINK("https://ibp.a2mac1.com/costing(costing:projects/details/9760/assembly/8411029)","Shock Absorber Complete")</f>
        <v>Shock Absorber Complete</v>
      </c>
      <c r="B56">
        <v>8411029</v>
      </c>
      <c r="D56">
        <v>8411018</v>
      </c>
      <c r="F56">
        <v>2</v>
      </c>
      <c r="G56">
        <v>0</v>
      </c>
      <c r="H56">
        <v>142.46681688824719</v>
      </c>
      <c r="I56">
        <v>0.71591365270475982</v>
      </c>
      <c r="J56" t="s">
        <v>176</v>
      </c>
      <c r="K56">
        <v>4.9863385910886517</v>
      </c>
      <c r="L56">
        <v>148.16906913204062</v>
      </c>
      <c r="M56">
        <v>0</v>
      </c>
      <c r="N56">
        <v>14.541783770060988</v>
      </c>
      <c r="O56">
        <v>162.71085290210161</v>
      </c>
      <c r="P56" t="s">
        <v>177</v>
      </c>
      <c r="Q56">
        <v>8.8901441479224363</v>
      </c>
      <c r="R56" t="s">
        <v>177</v>
      </c>
      <c r="S56">
        <v>0.87250702620365927</v>
      </c>
      <c r="T56" t="s">
        <v>178</v>
      </c>
      <c r="U56">
        <v>19.525302348252193</v>
      </c>
      <c r="V56" t="s">
        <v>90</v>
      </c>
      <c r="W56">
        <v>0</v>
      </c>
      <c r="X56" t="s">
        <v>90</v>
      </c>
      <c r="Y56">
        <v>0</v>
      </c>
      <c r="Z56">
        <v>191.99880642447988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175</v>
      </c>
      <c r="AI56">
        <v>180</v>
      </c>
      <c r="AJ56">
        <v>520</v>
      </c>
      <c r="AK56">
        <v>0</v>
      </c>
      <c r="AL56">
        <v>7.4349999999999996</v>
      </c>
      <c r="AN56" t="s">
        <v>95</v>
      </c>
      <c r="AO56" t="s">
        <v>73</v>
      </c>
      <c r="AP56">
        <v>400000</v>
      </c>
      <c r="AQ56" t="s">
        <v>97</v>
      </c>
      <c r="AS56">
        <v>20000</v>
      </c>
      <c r="AT56" t="s">
        <v>486</v>
      </c>
      <c r="AU56" t="s">
        <v>75</v>
      </c>
      <c r="AV56" t="s">
        <v>76</v>
      </c>
    </row>
    <row r="57" spans="1:48" x14ac:dyDescent="0.15">
      <c r="A57" s="4" t="str">
        <f>HYPERLINK("https://ibp.a2mac1.com/costing(costing:projects/details/9760/assembly/8411018)","Front")</f>
        <v>Front</v>
      </c>
      <c r="B57">
        <v>8411018</v>
      </c>
      <c r="D57">
        <v>8411014</v>
      </c>
      <c r="F57">
        <v>1</v>
      </c>
      <c r="G57">
        <v>0</v>
      </c>
      <c r="H57">
        <v>211.11880642447989</v>
      </c>
      <c r="I57">
        <v>1.06089852474613</v>
      </c>
      <c r="J57" t="s">
        <v>176</v>
      </c>
      <c r="K57">
        <v>7.3891582248567955</v>
      </c>
      <c r="L57">
        <v>219.56886317408282</v>
      </c>
      <c r="M57">
        <v>0</v>
      </c>
      <c r="N57">
        <v>0</v>
      </c>
      <c r="O57">
        <v>219.56886317408282</v>
      </c>
      <c r="P57" t="s">
        <v>177</v>
      </c>
      <c r="Q57">
        <v>13.174131790444969</v>
      </c>
      <c r="R57" t="s">
        <v>177</v>
      </c>
      <c r="S57">
        <v>0</v>
      </c>
      <c r="T57" t="s">
        <v>178</v>
      </c>
      <c r="U57">
        <v>26.348263580889938</v>
      </c>
      <c r="V57" t="s">
        <v>90</v>
      </c>
      <c r="W57">
        <v>0</v>
      </c>
      <c r="X57" t="s">
        <v>90</v>
      </c>
      <c r="Y57">
        <v>0</v>
      </c>
      <c r="Z57">
        <v>259.0912585454177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17.381</v>
      </c>
      <c r="AN57" t="s">
        <v>95</v>
      </c>
      <c r="AO57" t="s">
        <v>73</v>
      </c>
      <c r="AP57">
        <v>200000</v>
      </c>
      <c r="AQ57" t="s">
        <v>97</v>
      </c>
      <c r="AS57">
        <v>10000</v>
      </c>
      <c r="AT57" t="s">
        <v>490</v>
      </c>
      <c r="AU57" t="s">
        <v>75</v>
      </c>
      <c r="AV57" t="s">
        <v>76</v>
      </c>
    </row>
    <row r="58" spans="1:48" x14ac:dyDescent="0.15">
      <c r="A58" s="4" t="str">
        <f>HYPERLINK("https://ibp.a2mac1.com/costing(costing:projects/details/9760/assembly/8411031)","Shock Absorber Complete")</f>
        <v>Shock Absorber Complete</v>
      </c>
      <c r="B58">
        <v>8411031</v>
      </c>
      <c r="D58">
        <v>8411019</v>
      </c>
      <c r="E58" t="s">
        <v>512</v>
      </c>
      <c r="F58">
        <v>2</v>
      </c>
      <c r="G58">
        <v>0</v>
      </c>
      <c r="H58">
        <v>77.139373842782845</v>
      </c>
      <c r="I58">
        <v>0.3876350444360947</v>
      </c>
      <c r="J58" t="s">
        <v>176</v>
      </c>
      <c r="K58">
        <v>2.6998780844973993</v>
      </c>
      <c r="L58">
        <v>80.22688697171634</v>
      </c>
      <c r="M58">
        <v>0</v>
      </c>
      <c r="N58">
        <v>5.4641281498874106</v>
      </c>
      <c r="O58">
        <v>85.691015121603741</v>
      </c>
      <c r="P58" t="s">
        <v>177</v>
      </c>
      <c r="Q58">
        <v>4.8136132183029803</v>
      </c>
      <c r="R58" t="s">
        <v>177</v>
      </c>
      <c r="S58">
        <v>0.32784768899324462</v>
      </c>
      <c r="T58" t="s">
        <v>178</v>
      </c>
      <c r="U58">
        <v>10.28292181459245</v>
      </c>
      <c r="V58" t="s">
        <v>90</v>
      </c>
      <c r="W58">
        <v>0</v>
      </c>
      <c r="X58" t="s">
        <v>90</v>
      </c>
      <c r="Y58">
        <v>0</v>
      </c>
      <c r="Z58">
        <v>101.11539784349242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170</v>
      </c>
      <c r="AI58">
        <v>65</v>
      </c>
      <c r="AJ58">
        <v>665</v>
      </c>
      <c r="AK58">
        <v>0</v>
      </c>
      <c r="AL58">
        <v>3.8730000000000002</v>
      </c>
      <c r="AN58" t="s">
        <v>95</v>
      </c>
      <c r="AO58" t="s">
        <v>73</v>
      </c>
      <c r="AP58">
        <v>400000</v>
      </c>
      <c r="AQ58" t="s">
        <v>97</v>
      </c>
      <c r="AS58">
        <v>20000</v>
      </c>
      <c r="AT58" t="s">
        <v>513</v>
      </c>
      <c r="AU58" t="s">
        <v>75</v>
      </c>
      <c r="AV58" t="s">
        <v>76</v>
      </c>
    </row>
    <row r="59" spans="1:48" x14ac:dyDescent="0.15">
      <c r="A59" s="4" t="str">
        <f>HYPERLINK("https://ibp.a2mac1.com/costing(costing:projects/details/9760/assembly/8411019)","Rear")</f>
        <v>Rear</v>
      </c>
      <c r="B59">
        <v>8411019</v>
      </c>
      <c r="D59">
        <v>8411014</v>
      </c>
      <c r="F59">
        <v>1</v>
      </c>
      <c r="G59">
        <v>0</v>
      </c>
      <c r="H59">
        <v>199.41254995100519</v>
      </c>
      <c r="I59">
        <v>1.0020731153316844</v>
      </c>
      <c r="J59" t="s">
        <v>176</v>
      </c>
      <c r="K59">
        <v>6.979439248285181</v>
      </c>
      <c r="L59">
        <v>207.39406231462203</v>
      </c>
      <c r="M59">
        <v>0</v>
      </c>
      <c r="N59">
        <v>0</v>
      </c>
      <c r="O59">
        <v>207.39406231462203</v>
      </c>
      <c r="P59" t="s">
        <v>177</v>
      </c>
      <c r="Q59">
        <v>12.443643738877322</v>
      </c>
      <c r="R59" t="s">
        <v>177</v>
      </c>
      <c r="S59">
        <v>0</v>
      </c>
      <c r="T59" t="s">
        <v>178</v>
      </c>
      <c r="U59">
        <v>24.887287477754644</v>
      </c>
      <c r="V59" t="s">
        <v>90</v>
      </c>
      <c r="W59">
        <v>0</v>
      </c>
      <c r="X59" t="s">
        <v>90</v>
      </c>
      <c r="Y59">
        <v>0</v>
      </c>
      <c r="Z59">
        <v>244.724993531254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13.15</v>
      </c>
      <c r="AN59" t="s">
        <v>95</v>
      </c>
      <c r="AO59" t="s">
        <v>73</v>
      </c>
      <c r="AP59">
        <v>200000</v>
      </c>
      <c r="AQ59" t="s">
        <v>97</v>
      </c>
      <c r="AS59">
        <v>10000</v>
      </c>
      <c r="AT59" t="s">
        <v>519</v>
      </c>
      <c r="AU59" t="s">
        <v>75</v>
      </c>
      <c r="AV59" t="s">
        <v>76</v>
      </c>
    </row>
    <row r="60" spans="1:48" x14ac:dyDescent="0.15">
      <c r="A60" s="4" t="str">
        <f>HYPERLINK("https://ibp.a2mac1.com/costing(costing:projects/details/9760/assembly/8411038)","Acceleration Sensor")</f>
        <v>Acceleration Sensor</v>
      </c>
      <c r="B60">
        <v>8411038</v>
      </c>
      <c r="D60">
        <v>8411020</v>
      </c>
      <c r="F60">
        <v>1</v>
      </c>
      <c r="G60">
        <v>0</v>
      </c>
      <c r="H60">
        <v>36</v>
      </c>
      <c r="I60">
        <v>0</v>
      </c>
      <c r="J60" t="s">
        <v>90</v>
      </c>
      <c r="K60">
        <v>0</v>
      </c>
      <c r="L60">
        <v>36</v>
      </c>
      <c r="M60">
        <v>0</v>
      </c>
      <c r="N60">
        <v>0</v>
      </c>
      <c r="O60">
        <v>36</v>
      </c>
      <c r="P60" t="s">
        <v>90</v>
      </c>
      <c r="Q60">
        <v>0</v>
      </c>
      <c r="R60" t="s">
        <v>90</v>
      </c>
      <c r="S60">
        <v>0</v>
      </c>
      <c r="T60" t="s">
        <v>90</v>
      </c>
      <c r="U60">
        <v>0</v>
      </c>
      <c r="V60" t="s">
        <v>90</v>
      </c>
      <c r="W60">
        <v>0</v>
      </c>
      <c r="X60" t="s">
        <v>90</v>
      </c>
      <c r="Y60">
        <v>0</v>
      </c>
      <c r="Z60">
        <v>36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0.23899999999999999</v>
      </c>
      <c r="AN60" t="s">
        <v>72</v>
      </c>
      <c r="AO60" t="s">
        <v>73</v>
      </c>
      <c r="AP60">
        <v>200000</v>
      </c>
      <c r="AQ60" t="s">
        <v>73</v>
      </c>
      <c r="AS60">
        <v>10000</v>
      </c>
      <c r="AT60" t="s">
        <v>526</v>
      </c>
      <c r="AU60" t="s">
        <v>75</v>
      </c>
      <c r="AV60" t="s">
        <v>76</v>
      </c>
    </row>
    <row r="61" spans="1:48" x14ac:dyDescent="0.15">
      <c r="A61" s="4" t="str">
        <f>HYPERLINK("https://ibp.a2mac1.com/costing(costing:projects/details/9760/assembly/8411039)","Pipes System")</f>
        <v>Pipes System</v>
      </c>
      <c r="B61">
        <v>8411039</v>
      </c>
      <c r="D61">
        <v>8411020</v>
      </c>
      <c r="F61">
        <v>1</v>
      </c>
      <c r="G61">
        <v>0</v>
      </c>
      <c r="H61">
        <v>37.42</v>
      </c>
      <c r="I61">
        <v>0</v>
      </c>
      <c r="J61" t="s">
        <v>90</v>
      </c>
      <c r="K61">
        <v>0</v>
      </c>
      <c r="L61">
        <v>37.42</v>
      </c>
      <c r="M61">
        <v>0</v>
      </c>
      <c r="N61">
        <v>0</v>
      </c>
      <c r="O61">
        <v>37.42</v>
      </c>
      <c r="P61" t="s">
        <v>90</v>
      </c>
      <c r="Q61">
        <v>0</v>
      </c>
      <c r="R61" t="s">
        <v>90</v>
      </c>
      <c r="S61">
        <v>0</v>
      </c>
      <c r="T61" t="s">
        <v>90</v>
      </c>
      <c r="U61">
        <v>0</v>
      </c>
      <c r="V61" t="s">
        <v>90</v>
      </c>
      <c r="W61">
        <v>0</v>
      </c>
      <c r="X61" t="s">
        <v>90</v>
      </c>
      <c r="Y61">
        <v>0</v>
      </c>
      <c r="Z61">
        <v>37.42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0.625</v>
      </c>
      <c r="AN61" t="s">
        <v>72</v>
      </c>
      <c r="AO61" t="s">
        <v>73</v>
      </c>
      <c r="AP61">
        <v>200000</v>
      </c>
      <c r="AQ61" t="s">
        <v>73</v>
      </c>
      <c r="AS61">
        <v>10000</v>
      </c>
      <c r="AT61" t="s">
        <v>541</v>
      </c>
      <c r="AU61" t="s">
        <v>75</v>
      </c>
      <c r="AV61" t="s">
        <v>76</v>
      </c>
    </row>
    <row r="62" spans="1:48" x14ac:dyDescent="0.15">
      <c r="A62" s="4" t="str">
        <f>HYPERLINK("https://ibp.a2mac1.com/costing(costing:projects/details/9760/assembly/8411020)","Adjustable Suspension System")</f>
        <v>Adjustable Suspension System</v>
      </c>
      <c r="B62">
        <v>8411020</v>
      </c>
      <c r="D62">
        <v>8411014</v>
      </c>
      <c r="F62">
        <v>1</v>
      </c>
      <c r="G62">
        <v>0</v>
      </c>
      <c r="H62">
        <v>234.92052220260248</v>
      </c>
      <c r="I62">
        <v>0</v>
      </c>
      <c r="J62" t="s">
        <v>90</v>
      </c>
      <c r="K62">
        <v>0</v>
      </c>
      <c r="L62">
        <v>234.92052220260248</v>
      </c>
      <c r="M62">
        <v>0</v>
      </c>
      <c r="N62">
        <v>0</v>
      </c>
      <c r="O62">
        <v>234.92052220260248</v>
      </c>
      <c r="P62" t="s">
        <v>90</v>
      </c>
      <c r="Q62">
        <v>0</v>
      </c>
      <c r="R62" t="s">
        <v>90</v>
      </c>
      <c r="S62">
        <v>0</v>
      </c>
      <c r="T62" t="s">
        <v>90</v>
      </c>
      <c r="U62">
        <v>0</v>
      </c>
      <c r="V62" t="s">
        <v>90</v>
      </c>
      <c r="W62">
        <v>0</v>
      </c>
      <c r="X62" t="s">
        <v>90</v>
      </c>
      <c r="Y62">
        <v>0</v>
      </c>
      <c r="Z62">
        <v>234.92052220260248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7.1319999999999997</v>
      </c>
      <c r="AN62" t="s">
        <v>72</v>
      </c>
      <c r="AO62" t="s">
        <v>73</v>
      </c>
      <c r="AP62">
        <v>200000</v>
      </c>
      <c r="AQ62" t="s">
        <v>73</v>
      </c>
      <c r="AS62">
        <v>10000</v>
      </c>
      <c r="AT62" t="s">
        <v>555</v>
      </c>
      <c r="AU62" t="s">
        <v>75</v>
      </c>
      <c r="AV62" t="s">
        <v>76</v>
      </c>
    </row>
    <row r="63" spans="1:48" x14ac:dyDescent="0.15">
      <c r="A63" s="4" t="str">
        <f>HYPERLINK("https://ibp.a2mac1.com/costing(costing:projects/details/9760/assembly/8411014)","Shocks absorbers")</f>
        <v>Shocks absorbers</v>
      </c>
      <c r="B63">
        <v>8411014</v>
      </c>
      <c r="D63">
        <v>8411013</v>
      </c>
      <c r="F63">
        <v>1</v>
      </c>
      <c r="G63">
        <v>0</v>
      </c>
      <c r="H63">
        <v>738.73677427927419</v>
      </c>
      <c r="I63">
        <v>0</v>
      </c>
      <c r="J63" t="s">
        <v>90</v>
      </c>
      <c r="K63">
        <v>0</v>
      </c>
      <c r="L63">
        <v>738.73677427927419</v>
      </c>
      <c r="M63">
        <v>0</v>
      </c>
      <c r="N63">
        <v>0</v>
      </c>
      <c r="O63">
        <v>738.73677427927419</v>
      </c>
      <c r="P63" t="s">
        <v>90</v>
      </c>
      <c r="Q63">
        <v>0</v>
      </c>
      <c r="R63" t="s">
        <v>90</v>
      </c>
      <c r="S63">
        <v>0</v>
      </c>
      <c r="T63" t="s">
        <v>90</v>
      </c>
      <c r="U63">
        <v>0</v>
      </c>
      <c r="V63" t="s">
        <v>90</v>
      </c>
      <c r="W63">
        <v>0</v>
      </c>
      <c r="X63" t="s">
        <v>90</v>
      </c>
      <c r="Y63">
        <v>0</v>
      </c>
      <c r="Z63">
        <v>738.73677427927419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37.662999999999997</v>
      </c>
      <c r="AN63" t="s">
        <v>72</v>
      </c>
      <c r="AO63" t="s">
        <v>73</v>
      </c>
      <c r="AP63">
        <v>200000</v>
      </c>
      <c r="AQ63" t="s">
        <v>73</v>
      </c>
      <c r="AS63">
        <v>10000</v>
      </c>
      <c r="AT63" t="s">
        <v>556</v>
      </c>
      <c r="AU63" t="s">
        <v>75</v>
      </c>
      <c r="AV63" t="s">
        <v>76</v>
      </c>
    </row>
    <row r="64" spans="1:48" x14ac:dyDescent="0.15">
      <c r="A64" s="4" t="str">
        <f>HYPERLINK("https://ibp.a2mac1.com/costing(costing:projects/details/9760/assembly/8411040)","K-Frame Reinforcement System")</f>
        <v>K-Frame Reinforcement System</v>
      </c>
      <c r="B64">
        <v>8411040</v>
      </c>
      <c r="D64">
        <v>8411021</v>
      </c>
      <c r="F64">
        <v>1</v>
      </c>
      <c r="G64">
        <v>0</v>
      </c>
      <c r="H64">
        <v>10.14</v>
      </c>
      <c r="I64">
        <v>0</v>
      </c>
      <c r="J64" t="s">
        <v>90</v>
      </c>
      <c r="K64">
        <v>0</v>
      </c>
      <c r="L64">
        <v>10.14</v>
      </c>
      <c r="M64">
        <v>0</v>
      </c>
      <c r="N64">
        <v>0</v>
      </c>
      <c r="O64">
        <v>10.14</v>
      </c>
      <c r="P64" t="s">
        <v>90</v>
      </c>
      <c r="Q64">
        <v>0</v>
      </c>
      <c r="R64" t="s">
        <v>90</v>
      </c>
      <c r="S64">
        <v>0</v>
      </c>
      <c r="T64" t="s">
        <v>90</v>
      </c>
      <c r="U64">
        <v>0</v>
      </c>
      <c r="V64" t="s">
        <v>90</v>
      </c>
      <c r="W64">
        <v>0</v>
      </c>
      <c r="X64" t="s">
        <v>90</v>
      </c>
      <c r="Y64">
        <v>0</v>
      </c>
      <c r="Z64">
        <v>10.14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3.15</v>
      </c>
      <c r="AN64" t="s">
        <v>72</v>
      </c>
      <c r="AO64" t="s">
        <v>73</v>
      </c>
      <c r="AP64">
        <v>200000</v>
      </c>
      <c r="AQ64" t="s">
        <v>73</v>
      </c>
      <c r="AS64">
        <v>10000</v>
      </c>
      <c r="AT64" t="s">
        <v>565</v>
      </c>
      <c r="AU64" t="s">
        <v>75</v>
      </c>
      <c r="AV64" t="s">
        <v>76</v>
      </c>
    </row>
    <row r="65" spans="1:48" x14ac:dyDescent="0.15">
      <c r="A65" s="4" t="str">
        <f>HYPERLINK("https://ibp.a2mac1.com/costing(costing:projects/details/9760/assembly/8411096)","Upper Triangle")</f>
        <v>Upper Triangle</v>
      </c>
      <c r="B65">
        <v>8411096</v>
      </c>
      <c r="D65">
        <v>8411041</v>
      </c>
      <c r="F65">
        <v>1</v>
      </c>
      <c r="G65">
        <v>0</v>
      </c>
      <c r="H65">
        <v>34.048611196259081</v>
      </c>
      <c r="I65">
        <v>0.17109854872492</v>
      </c>
      <c r="J65" t="s">
        <v>176</v>
      </c>
      <c r="K65">
        <v>1.1917013918690678</v>
      </c>
      <c r="L65">
        <v>35.411411136853069</v>
      </c>
      <c r="M65">
        <v>0</v>
      </c>
      <c r="N65">
        <v>0</v>
      </c>
      <c r="O65">
        <v>35.411411136853069</v>
      </c>
      <c r="P65" t="s">
        <v>177</v>
      </c>
      <c r="Q65">
        <v>2.124684668211184</v>
      </c>
      <c r="R65" t="s">
        <v>177</v>
      </c>
      <c r="S65">
        <v>0</v>
      </c>
      <c r="T65" t="s">
        <v>178</v>
      </c>
      <c r="U65">
        <v>4.2493693364223679</v>
      </c>
      <c r="V65" t="s">
        <v>90</v>
      </c>
      <c r="W65">
        <v>0</v>
      </c>
      <c r="X65" t="s">
        <v>90</v>
      </c>
      <c r="Y65">
        <v>0</v>
      </c>
      <c r="Z65">
        <v>41.785465141486618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3.052</v>
      </c>
      <c r="AN65" t="s">
        <v>95</v>
      </c>
      <c r="AO65" t="s">
        <v>73</v>
      </c>
      <c r="AP65">
        <v>200000</v>
      </c>
      <c r="AQ65" t="s">
        <v>97</v>
      </c>
      <c r="AS65">
        <v>10000</v>
      </c>
      <c r="AT65" t="s">
        <v>576</v>
      </c>
      <c r="AU65" t="s">
        <v>75</v>
      </c>
      <c r="AV65" t="s">
        <v>76</v>
      </c>
    </row>
    <row r="66" spans="1:48" x14ac:dyDescent="0.15">
      <c r="A66" s="4" t="str">
        <f>HYPERLINK("https://ibp.a2mac1.com/costing(costing:projects/details/9760/assembly/8411041)","Arm Suspension System")</f>
        <v>Arm Suspension System</v>
      </c>
      <c r="B66">
        <v>8411041</v>
      </c>
      <c r="D66">
        <v>8411021</v>
      </c>
      <c r="F66">
        <v>1</v>
      </c>
      <c r="G66">
        <v>0</v>
      </c>
      <c r="H66">
        <v>118.2037220419973</v>
      </c>
      <c r="I66">
        <v>0</v>
      </c>
      <c r="J66" t="s">
        <v>90</v>
      </c>
      <c r="K66">
        <v>0</v>
      </c>
      <c r="L66">
        <v>118.2037220419973</v>
      </c>
      <c r="M66">
        <v>0</v>
      </c>
      <c r="N66">
        <v>0</v>
      </c>
      <c r="O66">
        <v>118.2037220419973</v>
      </c>
      <c r="P66" t="s">
        <v>90</v>
      </c>
      <c r="Q66">
        <v>0</v>
      </c>
      <c r="R66" t="s">
        <v>90</v>
      </c>
      <c r="S66">
        <v>0</v>
      </c>
      <c r="T66" t="s">
        <v>90</v>
      </c>
      <c r="U66">
        <v>0</v>
      </c>
      <c r="V66" t="s">
        <v>90</v>
      </c>
      <c r="W66">
        <v>0</v>
      </c>
      <c r="X66" t="s">
        <v>90</v>
      </c>
      <c r="Y66">
        <v>0</v>
      </c>
      <c r="Z66">
        <v>118.2037220419973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12.378</v>
      </c>
      <c r="AN66" t="s">
        <v>72</v>
      </c>
      <c r="AO66" t="s">
        <v>73</v>
      </c>
      <c r="AP66">
        <v>200000</v>
      </c>
      <c r="AQ66" t="s">
        <v>73</v>
      </c>
      <c r="AS66">
        <v>10000</v>
      </c>
      <c r="AT66" t="s">
        <v>591</v>
      </c>
      <c r="AU66" t="s">
        <v>75</v>
      </c>
      <c r="AV66" t="s">
        <v>76</v>
      </c>
    </row>
    <row r="67" spans="1:48" x14ac:dyDescent="0.15">
      <c r="A67" s="4" t="str">
        <f>HYPERLINK("https://ibp.a2mac1.com/costing(costing:projects/details/9760/assembly/8411098)","Stabilizer Link")</f>
        <v>Stabilizer Link</v>
      </c>
      <c r="B67">
        <v>8411098</v>
      </c>
      <c r="D67">
        <v>8411042</v>
      </c>
      <c r="F67">
        <v>1</v>
      </c>
      <c r="G67">
        <v>0</v>
      </c>
      <c r="H67">
        <v>12.32</v>
      </c>
      <c r="I67">
        <v>0</v>
      </c>
      <c r="J67" t="s">
        <v>90</v>
      </c>
      <c r="K67">
        <v>0</v>
      </c>
      <c r="L67">
        <v>12.32</v>
      </c>
      <c r="M67">
        <v>0</v>
      </c>
      <c r="N67">
        <v>0</v>
      </c>
      <c r="O67">
        <v>12.32</v>
      </c>
      <c r="P67" t="s">
        <v>90</v>
      </c>
      <c r="Q67">
        <v>0</v>
      </c>
      <c r="R67" t="s">
        <v>90</v>
      </c>
      <c r="S67">
        <v>0</v>
      </c>
      <c r="T67" t="s">
        <v>90</v>
      </c>
      <c r="U67">
        <v>0</v>
      </c>
      <c r="V67" t="s">
        <v>90</v>
      </c>
      <c r="W67">
        <v>0</v>
      </c>
      <c r="X67" t="s">
        <v>90</v>
      </c>
      <c r="Y67">
        <v>0</v>
      </c>
      <c r="Z67">
        <v>12.32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0.70899999999999996</v>
      </c>
      <c r="AN67" t="s">
        <v>72</v>
      </c>
      <c r="AO67" t="s">
        <v>73</v>
      </c>
      <c r="AP67">
        <v>200000</v>
      </c>
      <c r="AQ67" t="s">
        <v>73</v>
      </c>
      <c r="AS67">
        <v>10000</v>
      </c>
      <c r="AT67" t="s">
        <v>597</v>
      </c>
      <c r="AU67" t="s">
        <v>75</v>
      </c>
      <c r="AV67" t="s">
        <v>76</v>
      </c>
    </row>
    <row r="68" spans="1:48" x14ac:dyDescent="0.15">
      <c r="A68" s="4" t="str">
        <f>HYPERLINK("https://ibp.a2mac1.com/costing(costing:projects/details/9760/assembly/8411042)","Stabilizer Bar System")</f>
        <v>Stabilizer Bar System</v>
      </c>
      <c r="B68">
        <v>8411042</v>
      </c>
      <c r="D68">
        <v>8411021</v>
      </c>
      <c r="F68">
        <v>1</v>
      </c>
      <c r="G68">
        <v>0</v>
      </c>
      <c r="H68">
        <v>38.804070951085897</v>
      </c>
      <c r="I68">
        <v>0</v>
      </c>
      <c r="J68" t="s">
        <v>90</v>
      </c>
      <c r="K68">
        <v>0</v>
      </c>
      <c r="L68">
        <v>38.804070951085897</v>
      </c>
      <c r="M68">
        <v>0</v>
      </c>
      <c r="N68">
        <v>0</v>
      </c>
      <c r="O68">
        <v>38.804070951085897</v>
      </c>
      <c r="P68" t="s">
        <v>90</v>
      </c>
      <c r="Q68">
        <v>0</v>
      </c>
      <c r="R68" t="s">
        <v>90</v>
      </c>
      <c r="S68">
        <v>0</v>
      </c>
      <c r="T68" t="s">
        <v>90</v>
      </c>
      <c r="U68">
        <v>0</v>
      </c>
      <c r="V68" t="s">
        <v>90</v>
      </c>
      <c r="W68">
        <v>0</v>
      </c>
      <c r="X68" t="s">
        <v>90</v>
      </c>
      <c r="Y68">
        <v>0</v>
      </c>
      <c r="Z68">
        <v>38.804070951085897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6.6</v>
      </c>
      <c r="AN68" t="s">
        <v>72</v>
      </c>
      <c r="AO68" t="s">
        <v>73</v>
      </c>
      <c r="AP68">
        <v>200000</v>
      </c>
      <c r="AQ68" t="s">
        <v>73</v>
      </c>
      <c r="AS68">
        <v>10000</v>
      </c>
      <c r="AT68" t="s">
        <v>604</v>
      </c>
      <c r="AU68" t="s">
        <v>75</v>
      </c>
      <c r="AV68" t="s">
        <v>76</v>
      </c>
    </row>
    <row r="69" spans="1:48" x14ac:dyDescent="0.15">
      <c r="A69" s="4" t="str">
        <f>HYPERLINK("https://ibp.a2mac1.com/costing(costing:projects/details/9760/assembly/8411101)","Steering Knuckle")</f>
        <v>Steering Knuckle</v>
      </c>
      <c r="B69">
        <v>8411101</v>
      </c>
      <c r="D69">
        <v>8411043</v>
      </c>
      <c r="F69">
        <v>1</v>
      </c>
      <c r="G69">
        <v>0</v>
      </c>
      <c r="H69">
        <v>68.827243924741992</v>
      </c>
      <c r="I69">
        <v>0</v>
      </c>
      <c r="J69" t="s">
        <v>90</v>
      </c>
      <c r="K69">
        <v>0</v>
      </c>
      <c r="L69">
        <v>68.827243924741992</v>
      </c>
      <c r="M69">
        <v>0</v>
      </c>
      <c r="N69">
        <v>0</v>
      </c>
      <c r="O69">
        <v>68.827243924741992</v>
      </c>
      <c r="P69" t="s">
        <v>90</v>
      </c>
      <c r="Q69">
        <v>0</v>
      </c>
      <c r="R69" t="s">
        <v>90</v>
      </c>
      <c r="S69">
        <v>0</v>
      </c>
      <c r="T69" t="s">
        <v>90</v>
      </c>
      <c r="U69">
        <v>0</v>
      </c>
      <c r="V69" t="s">
        <v>90</v>
      </c>
      <c r="W69">
        <v>0</v>
      </c>
      <c r="X69" t="s">
        <v>90</v>
      </c>
      <c r="Y69">
        <v>0</v>
      </c>
      <c r="Z69">
        <v>68.827243924741992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11.337999999999999</v>
      </c>
      <c r="AN69" t="s">
        <v>72</v>
      </c>
      <c r="AO69" t="s">
        <v>73</v>
      </c>
      <c r="AP69">
        <v>200000</v>
      </c>
      <c r="AQ69" t="s">
        <v>73</v>
      </c>
      <c r="AS69">
        <v>10000</v>
      </c>
      <c r="AT69" t="s">
        <v>616</v>
      </c>
      <c r="AU69" t="s">
        <v>75</v>
      </c>
      <c r="AV69" t="s">
        <v>76</v>
      </c>
    </row>
    <row r="70" spans="1:48" x14ac:dyDescent="0.15">
      <c r="A70" s="4" t="str">
        <f>HYPERLINK("https://ibp.a2mac1.com/costing(costing:projects/details/9760/assembly/8411043)","Steering Knuckle")</f>
        <v>Steering Knuckle</v>
      </c>
      <c r="B70">
        <v>8411043</v>
      </c>
      <c r="D70">
        <v>8411021</v>
      </c>
      <c r="F70">
        <v>1</v>
      </c>
      <c r="G70">
        <v>0</v>
      </c>
      <c r="H70">
        <v>113.12127550160488</v>
      </c>
      <c r="I70">
        <v>0</v>
      </c>
      <c r="J70" t="s">
        <v>90</v>
      </c>
      <c r="K70">
        <v>0</v>
      </c>
      <c r="L70">
        <v>113.12127550160488</v>
      </c>
      <c r="M70">
        <v>0</v>
      </c>
      <c r="N70">
        <v>0</v>
      </c>
      <c r="O70">
        <v>113.12127550160488</v>
      </c>
      <c r="P70" t="s">
        <v>90</v>
      </c>
      <c r="Q70">
        <v>0</v>
      </c>
      <c r="R70" t="s">
        <v>90</v>
      </c>
      <c r="S70">
        <v>0</v>
      </c>
      <c r="T70" t="s">
        <v>90</v>
      </c>
      <c r="U70">
        <v>0</v>
      </c>
      <c r="V70" t="s">
        <v>90</v>
      </c>
      <c r="W70">
        <v>0</v>
      </c>
      <c r="X70" t="s">
        <v>90</v>
      </c>
      <c r="Y70">
        <v>0</v>
      </c>
      <c r="Z70">
        <v>113.12127550160488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18.411000000000001</v>
      </c>
      <c r="AN70" t="s">
        <v>72</v>
      </c>
      <c r="AO70" t="s">
        <v>73</v>
      </c>
      <c r="AP70">
        <v>200000</v>
      </c>
      <c r="AQ70" t="s">
        <v>73</v>
      </c>
      <c r="AS70">
        <v>10000</v>
      </c>
      <c r="AT70" t="s">
        <v>624</v>
      </c>
      <c r="AU70" t="s">
        <v>75</v>
      </c>
      <c r="AV70" t="s">
        <v>76</v>
      </c>
    </row>
    <row r="71" spans="1:48" x14ac:dyDescent="0.15">
      <c r="A71" s="4" t="str">
        <f>HYPERLINK("https://ibp.a2mac1.com/costing(costing:projects/details/9760/assembly/8411044)","K-Frame")</f>
        <v>K-Frame</v>
      </c>
      <c r="B71">
        <v>8411044</v>
      </c>
      <c r="D71">
        <v>8411021</v>
      </c>
      <c r="E71" t="s">
        <v>544</v>
      </c>
      <c r="F71">
        <v>1</v>
      </c>
      <c r="G71">
        <v>0</v>
      </c>
      <c r="H71">
        <v>74.126117708776945</v>
      </c>
      <c r="I71">
        <v>0.37249305381294945</v>
      </c>
      <c r="J71" t="s">
        <v>176</v>
      </c>
      <c r="K71">
        <v>2.5944141198071931</v>
      </c>
      <c r="L71">
        <v>77.093024882397089</v>
      </c>
      <c r="M71">
        <v>0</v>
      </c>
      <c r="N71">
        <v>46.52305289546684</v>
      </c>
      <c r="O71">
        <v>123.61607777786392</v>
      </c>
      <c r="P71" t="s">
        <v>177</v>
      </c>
      <c r="Q71">
        <v>4.6255814929438248</v>
      </c>
      <c r="R71" t="s">
        <v>177</v>
      </c>
      <c r="S71">
        <v>2.7913831737280104</v>
      </c>
      <c r="T71" t="s">
        <v>178</v>
      </c>
      <c r="U71">
        <v>14.83392933334367</v>
      </c>
      <c r="V71" t="s">
        <v>90</v>
      </c>
      <c r="W71">
        <v>0</v>
      </c>
      <c r="X71" t="s">
        <v>90</v>
      </c>
      <c r="Y71">
        <v>0</v>
      </c>
      <c r="Z71">
        <v>145.86697177787943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985</v>
      </c>
      <c r="AI71">
        <v>1235</v>
      </c>
      <c r="AJ71">
        <v>280</v>
      </c>
      <c r="AK71">
        <v>0</v>
      </c>
      <c r="AL71">
        <v>28.838000000000001</v>
      </c>
      <c r="AN71" t="s">
        <v>95</v>
      </c>
      <c r="AO71" t="s">
        <v>73</v>
      </c>
      <c r="AP71">
        <v>200000</v>
      </c>
      <c r="AQ71" t="s">
        <v>97</v>
      </c>
      <c r="AS71">
        <v>10000</v>
      </c>
      <c r="AT71" t="s">
        <v>631</v>
      </c>
      <c r="AU71" t="s">
        <v>75</v>
      </c>
      <c r="AV71" t="s">
        <v>76</v>
      </c>
    </row>
    <row r="72" spans="1:48" x14ac:dyDescent="0.15">
      <c r="A72" s="4" t="str">
        <f>HYPERLINK("https://ibp.a2mac1.com/costing(costing:projects/details/9760/assembly/8411021)","Front Axle")</f>
        <v>Front Axle</v>
      </c>
      <c r="B72">
        <v>8411021</v>
      </c>
      <c r="D72">
        <v>8411015</v>
      </c>
      <c r="F72">
        <v>1</v>
      </c>
      <c r="G72">
        <v>0</v>
      </c>
      <c r="H72">
        <v>426.13604027256753</v>
      </c>
      <c r="I72">
        <v>0</v>
      </c>
      <c r="J72" t="s">
        <v>90</v>
      </c>
      <c r="K72">
        <v>0</v>
      </c>
      <c r="L72">
        <v>426.13604027256753</v>
      </c>
      <c r="M72">
        <v>0</v>
      </c>
      <c r="N72">
        <v>0</v>
      </c>
      <c r="O72">
        <v>426.13604027256753</v>
      </c>
      <c r="P72" t="s">
        <v>90</v>
      </c>
      <c r="Q72">
        <v>0</v>
      </c>
      <c r="R72" t="s">
        <v>90</v>
      </c>
      <c r="S72">
        <v>0</v>
      </c>
      <c r="T72" t="s">
        <v>90</v>
      </c>
      <c r="U72">
        <v>0</v>
      </c>
      <c r="V72" t="s">
        <v>90</v>
      </c>
      <c r="W72">
        <v>0</v>
      </c>
      <c r="X72" t="s">
        <v>90</v>
      </c>
      <c r="Y72">
        <v>0</v>
      </c>
      <c r="Z72">
        <v>426.13604027256753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1025</v>
      </c>
      <c r="AI72">
        <v>1920</v>
      </c>
      <c r="AJ72">
        <v>750</v>
      </c>
      <c r="AK72">
        <v>0</v>
      </c>
      <c r="AL72">
        <v>69.376999999999995</v>
      </c>
      <c r="AN72" t="s">
        <v>72</v>
      </c>
      <c r="AO72" t="s">
        <v>73</v>
      </c>
      <c r="AP72">
        <v>200000</v>
      </c>
      <c r="AQ72" t="s">
        <v>73</v>
      </c>
      <c r="AS72">
        <v>10000</v>
      </c>
      <c r="AT72" t="s">
        <v>632</v>
      </c>
      <c r="AU72" t="s">
        <v>75</v>
      </c>
      <c r="AV72" t="s">
        <v>76</v>
      </c>
    </row>
    <row r="73" spans="1:48" x14ac:dyDescent="0.15">
      <c r="A73" s="4" t="str">
        <f>HYPERLINK("https://ibp.a2mac1.com/costing(costing:projects/details/9760/assembly/8411049)","K-Frame Fasteners Reinforcements")</f>
        <v>K-Frame Fasteners Reinforcements</v>
      </c>
      <c r="B73">
        <v>8411049</v>
      </c>
      <c r="D73">
        <v>8411022</v>
      </c>
      <c r="F73">
        <v>1</v>
      </c>
      <c r="G73">
        <v>0</v>
      </c>
      <c r="H73">
        <v>3.1</v>
      </c>
      <c r="I73">
        <v>0</v>
      </c>
      <c r="J73" t="s">
        <v>90</v>
      </c>
      <c r="K73">
        <v>0</v>
      </c>
      <c r="L73">
        <v>3.1</v>
      </c>
      <c r="M73">
        <v>0</v>
      </c>
      <c r="N73">
        <v>0</v>
      </c>
      <c r="O73">
        <v>3.1</v>
      </c>
      <c r="P73" t="s">
        <v>90</v>
      </c>
      <c r="Q73">
        <v>0</v>
      </c>
      <c r="R73" t="s">
        <v>90</v>
      </c>
      <c r="S73">
        <v>0</v>
      </c>
      <c r="T73" t="s">
        <v>90</v>
      </c>
      <c r="U73">
        <v>0</v>
      </c>
      <c r="V73" t="s">
        <v>90</v>
      </c>
      <c r="W73">
        <v>0</v>
      </c>
      <c r="X73" t="s">
        <v>90</v>
      </c>
      <c r="Y73">
        <v>0</v>
      </c>
      <c r="Z73">
        <v>3.1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0.81100000000000005</v>
      </c>
      <c r="AN73" t="s">
        <v>72</v>
      </c>
      <c r="AO73" t="s">
        <v>73</v>
      </c>
      <c r="AP73">
        <v>200000</v>
      </c>
      <c r="AQ73" t="s">
        <v>73</v>
      </c>
      <c r="AS73">
        <v>10000</v>
      </c>
      <c r="AT73" t="s">
        <v>637</v>
      </c>
      <c r="AU73" t="s">
        <v>75</v>
      </c>
      <c r="AV73" t="s">
        <v>76</v>
      </c>
    </row>
    <row r="74" spans="1:48" x14ac:dyDescent="0.15">
      <c r="A74" s="4" t="str">
        <f>HYPERLINK("https://ibp.a2mac1.com/costing(costing:projects/details/9760/assembly/8411106)","Upper Transversal Arm")</f>
        <v>Upper Transversal Arm</v>
      </c>
      <c r="B74">
        <v>8411106</v>
      </c>
      <c r="D74">
        <v>8411050</v>
      </c>
      <c r="F74">
        <v>1</v>
      </c>
      <c r="G74">
        <v>0</v>
      </c>
      <c r="H74">
        <v>19.18</v>
      </c>
      <c r="I74">
        <v>9.6381909547738689E-2</v>
      </c>
      <c r="J74" t="s">
        <v>176</v>
      </c>
      <c r="K74">
        <v>0.67130000000000001</v>
      </c>
      <c r="L74">
        <v>19.94768190954774</v>
      </c>
      <c r="M74">
        <v>0</v>
      </c>
      <c r="N74">
        <v>0</v>
      </c>
      <c r="O74">
        <v>19.94768190954774</v>
      </c>
      <c r="P74" t="s">
        <v>177</v>
      </c>
      <c r="Q74">
        <v>1.1968609145728644</v>
      </c>
      <c r="R74" t="s">
        <v>177</v>
      </c>
      <c r="S74">
        <v>0</v>
      </c>
      <c r="T74" t="s">
        <v>178</v>
      </c>
      <c r="U74">
        <v>2.3937218291457287</v>
      </c>
      <c r="V74" t="s">
        <v>90</v>
      </c>
      <c r="W74">
        <v>0</v>
      </c>
      <c r="X74" t="s">
        <v>90</v>
      </c>
      <c r="Y74">
        <v>0</v>
      </c>
      <c r="Z74">
        <v>23.538264653266332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1.8939999999999999</v>
      </c>
      <c r="AN74" t="s">
        <v>95</v>
      </c>
      <c r="AO74" t="s">
        <v>73</v>
      </c>
      <c r="AP74">
        <v>200000</v>
      </c>
      <c r="AQ74" t="s">
        <v>97</v>
      </c>
      <c r="AS74">
        <v>10000</v>
      </c>
      <c r="AT74" t="s">
        <v>643</v>
      </c>
      <c r="AU74" t="s">
        <v>75</v>
      </c>
      <c r="AV74" t="s">
        <v>76</v>
      </c>
    </row>
    <row r="75" spans="1:48" x14ac:dyDescent="0.15">
      <c r="A75" s="4" t="str">
        <f>HYPERLINK("https://ibp.a2mac1.com/costing(costing:projects/details/9760/assembly/8411107)","Upper Transversal Arm Secondary")</f>
        <v>Upper Transversal Arm Secondary</v>
      </c>
      <c r="B75">
        <v>8411107</v>
      </c>
      <c r="D75">
        <v>8411050</v>
      </c>
      <c r="F75">
        <v>1</v>
      </c>
      <c r="G75">
        <v>0</v>
      </c>
      <c r="H75">
        <v>13.26</v>
      </c>
      <c r="I75">
        <v>6.6633165829145732E-2</v>
      </c>
      <c r="J75" t="s">
        <v>176</v>
      </c>
      <c r="K75">
        <v>0.46410000000000001</v>
      </c>
      <c r="L75">
        <v>13.790733165829145</v>
      </c>
      <c r="M75">
        <v>0</v>
      </c>
      <c r="N75">
        <v>0</v>
      </c>
      <c r="O75">
        <v>13.790733165829145</v>
      </c>
      <c r="P75" t="s">
        <v>177</v>
      </c>
      <c r="Q75">
        <v>0.82744398994974877</v>
      </c>
      <c r="R75" t="s">
        <v>177</v>
      </c>
      <c r="S75">
        <v>0</v>
      </c>
      <c r="T75" t="s">
        <v>178</v>
      </c>
      <c r="U75">
        <v>1.6548879798994975</v>
      </c>
      <c r="V75" t="s">
        <v>90</v>
      </c>
      <c r="W75">
        <v>0</v>
      </c>
      <c r="X75" t="s">
        <v>90</v>
      </c>
      <c r="Y75">
        <v>0</v>
      </c>
      <c r="Z75">
        <v>16.27306513567839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1.522</v>
      </c>
      <c r="AN75" t="s">
        <v>95</v>
      </c>
      <c r="AO75" t="s">
        <v>73</v>
      </c>
      <c r="AP75">
        <v>200000</v>
      </c>
      <c r="AQ75" t="s">
        <v>97</v>
      </c>
      <c r="AS75">
        <v>10000</v>
      </c>
      <c r="AT75" t="s">
        <v>648</v>
      </c>
      <c r="AU75" t="s">
        <v>75</v>
      </c>
      <c r="AV75" t="s">
        <v>76</v>
      </c>
    </row>
    <row r="76" spans="1:48" x14ac:dyDescent="0.15">
      <c r="A76" s="4" t="str">
        <f>HYPERLINK("https://ibp.a2mac1.com/costing(costing:projects/details/9760/assembly/8411126)","Lower Transversal Arm")</f>
        <v>Lower Transversal Arm</v>
      </c>
      <c r="B76">
        <v>8411126</v>
      </c>
      <c r="D76">
        <v>8411050</v>
      </c>
      <c r="F76">
        <v>1</v>
      </c>
      <c r="G76">
        <v>0</v>
      </c>
      <c r="H76">
        <v>9.6</v>
      </c>
      <c r="I76">
        <v>4.8241206030150752E-2</v>
      </c>
      <c r="J76" t="s">
        <v>176</v>
      </c>
      <c r="K76">
        <v>0.33600000000000002</v>
      </c>
      <c r="L76">
        <v>9.9842412060301502</v>
      </c>
      <c r="M76">
        <v>0</v>
      </c>
      <c r="N76">
        <v>0</v>
      </c>
      <c r="O76">
        <v>9.9842412060301502</v>
      </c>
      <c r="P76" t="s">
        <v>177</v>
      </c>
      <c r="Q76">
        <v>0.59905447236180909</v>
      </c>
      <c r="R76" t="s">
        <v>177</v>
      </c>
      <c r="S76">
        <v>0</v>
      </c>
      <c r="T76" t="s">
        <v>178</v>
      </c>
      <c r="U76">
        <v>1.1981089447236182</v>
      </c>
      <c r="V76" t="s">
        <v>90</v>
      </c>
      <c r="W76">
        <v>0</v>
      </c>
      <c r="X76" t="s">
        <v>90</v>
      </c>
      <c r="Y76">
        <v>0</v>
      </c>
      <c r="Z76">
        <v>11.781404623115577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1.615</v>
      </c>
      <c r="AN76" t="s">
        <v>95</v>
      </c>
      <c r="AO76" t="s">
        <v>73</v>
      </c>
      <c r="AP76">
        <v>200000</v>
      </c>
      <c r="AQ76" t="s">
        <v>97</v>
      </c>
      <c r="AS76">
        <v>10000</v>
      </c>
      <c r="AT76" t="s">
        <v>653</v>
      </c>
      <c r="AU76" t="s">
        <v>75</v>
      </c>
      <c r="AV76" t="s">
        <v>76</v>
      </c>
    </row>
    <row r="77" spans="1:48" x14ac:dyDescent="0.15">
      <c r="A77" s="4" t="str">
        <f>HYPERLINK("https://ibp.a2mac1.com/costing(costing:projects/details/9760/assembly/8411127)","Lower Transversal Arm Secondary")</f>
        <v>Lower Transversal Arm Secondary</v>
      </c>
      <c r="B77">
        <v>8411127</v>
      </c>
      <c r="D77">
        <v>8411050</v>
      </c>
      <c r="F77">
        <v>1</v>
      </c>
      <c r="G77">
        <v>0</v>
      </c>
      <c r="H77">
        <v>36.295788861795813</v>
      </c>
      <c r="I77">
        <v>0.18239089880299406</v>
      </c>
      <c r="J77" t="s">
        <v>176</v>
      </c>
      <c r="K77">
        <v>1.2703526101628535</v>
      </c>
      <c r="L77">
        <v>37.748532370761666</v>
      </c>
      <c r="M77">
        <v>0</v>
      </c>
      <c r="N77">
        <v>0</v>
      </c>
      <c r="O77">
        <v>37.748532370761666</v>
      </c>
      <c r="P77" t="s">
        <v>177</v>
      </c>
      <c r="Q77">
        <v>2.2649119422456998</v>
      </c>
      <c r="R77" t="s">
        <v>177</v>
      </c>
      <c r="S77">
        <v>0</v>
      </c>
      <c r="T77" t="s">
        <v>178</v>
      </c>
      <c r="U77">
        <v>4.5298238844913996</v>
      </c>
      <c r="V77" t="s">
        <v>90</v>
      </c>
      <c r="W77">
        <v>0</v>
      </c>
      <c r="X77" t="s">
        <v>90</v>
      </c>
      <c r="Y77">
        <v>0</v>
      </c>
      <c r="Z77">
        <v>44.543268197498762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4.9089999999999998</v>
      </c>
      <c r="AN77" t="s">
        <v>95</v>
      </c>
      <c r="AO77" t="s">
        <v>73</v>
      </c>
      <c r="AP77">
        <v>200000</v>
      </c>
      <c r="AQ77" t="s">
        <v>97</v>
      </c>
      <c r="AS77">
        <v>10000</v>
      </c>
      <c r="AT77" t="s">
        <v>662</v>
      </c>
      <c r="AU77" t="s">
        <v>75</v>
      </c>
      <c r="AV77" t="s">
        <v>76</v>
      </c>
    </row>
    <row r="78" spans="1:48" x14ac:dyDescent="0.15">
      <c r="A78" s="4" t="str">
        <f>HYPERLINK("https://ibp.a2mac1.com/costing(costing:projects/details/9760/assembly/8411050)","Arm Suspension System")</f>
        <v>Arm Suspension System</v>
      </c>
      <c r="B78">
        <v>8411050</v>
      </c>
      <c r="D78">
        <v>8411022</v>
      </c>
      <c r="F78">
        <v>1</v>
      </c>
      <c r="G78">
        <v>0</v>
      </c>
      <c r="H78">
        <v>113.87600260955907</v>
      </c>
      <c r="I78">
        <v>0</v>
      </c>
      <c r="J78" t="s">
        <v>90</v>
      </c>
      <c r="K78">
        <v>0</v>
      </c>
      <c r="L78">
        <v>113.87600260955907</v>
      </c>
      <c r="M78">
        <v>0</v>
      </c>
      <c r="N78">
        <v>0</v>
      </c>
      <c r="O78">
        <v>113.87600260955907</v>
      </c>
      <c r="P78" t="s">
        <v>90</v>
      </c>
      <c r="Q78">
        <v>0</v>
      </c>
      <c r="R78" t="s">
        <v>90</v>
      </c>
      <c r="S78">
        <v>0</v>
      </c>
      <c r="T78" t="s">
        <v>90</v>
      </c>
      <c r="U78">
        <v>0</v>
      </c>
      <c r="V78" t="s">
        <v>90</v>
      </c>
      <c r="W78">
        <v>0</v>
      </c>
      <c r="X78" t="s">
        <v>90</v>
      </c>
      <c r="Y78">
        <v>0</v>
      </c>
      <c r="Z78">
        <v>113.87600260955907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11.629</v>
      </c>
      <c r="AN78" t="s">
        <v>72</v>
      </c>
      <c r="AO78" t="s">
        <v>73</v>
      </c>
      <c r="AP78">
        <v>200000</v>
      </c>
      <c r="AQ78" t="s">
        <v>73</v>
      </c>
      <c r="AS78">
        <v>10000</v>
      </c>
      <c r="AT78" t="s">
        <v>665</v>
      </c>
      <c r="AU78" t="s">
        <v>75</v>
      </c>
      <c r="AV78" t="s">
        <v>76</v>
      </c>
    </row>
    <row r="79" spans="1:48" x14ac:dyDescent="0.15">
      <c r="A79" s="4" t="str">
        <f>HYPERLINK("https://ibp.a2mac1.com/costing(costing:projects/details/9760/assembly/8411130)","Stabilizer Link")</f>
        <v>Stabilizer Link</v>
      </c>
      <c r="B79">
        <v>8411130</v>
      </c>
      <c r="D79">
        <v>8411051</v>
      </c>
      <c r="F79">
        <v>1</v>
      </c>
      <c r="G79">
        <v>0</v>
      </c>
      <c r="H79">
        <v>10.72</v>
      </c>
      <c r="I79">
        <v>5.386934673366834E-2</v>
      </c>
      <c r="J79" t="s">
        <v>176</v>
      </c>
      <c r="K79">
        <v>0.37519999999999998</v>
      </c>
      <c r="L79">
        <v>11.149069346733668</v>
      </c>
      <c r="M79">
        <v>0</v>
      </c>
      <c r="N79">
        <v>0</v>
      </c>
      <c r="O79">
        <v>11.149069346733668</v>
      </c>
      <c r="P79" t="s">
        <v>177</v>
      </c>
      <c r="Q79">
        <v>0.66894416080402008</v>
      </c>
      <c r="R79" t="s">
        <v>177</v>
      </c>
      <c r="S79">
        <v>0</v>
      </c>
      <c r="T79" t="s">
        <v>178</v>
      </c>
      <c r="U79">
        <v>1.3378883216080402</v>
      </c>
      <c r="V79" t="s">
        <v>90</v>
      </c>
      <c r="W79">
        <v>0</v>
      </c>
      <c r="X79" t="s">
        <v>90</v>
      </c>
      <c r="Y79">
        <v>0</v>
      </c>
      <c r="Z79">
        <v>13.155901829145728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0.48799999999999999</v>
      </c>
      <c r="AN79" t="s">
        <v>95</v>
      </c>
      <c r="AO79" t="s">
        <v>73</v>
      </c>
      <c r="AP79">
        <v>200000</v>
      </c>
      <c r="AQ79" t="s">
        <v>97</v>
      </c>
      <c r="AS79">
        <v>10000</v>
      </c>
      <c r="AT79" t="s">
        <v>670</v>
      </c>
      <c r="AU79" t="s">
        <v>75</v>
      </c>
      <c r="AV79" t="s">
        <v>76</v>
      </c>
    </row>
    <row r="80" spans="1:48" x14ac:dyDescent="0.15">
      <c r="A80" s="4" t="str">
        <f>HYPERLINK("https://ibp.a2mac1.com/costing(costing:projects/details/9760/assembly/8411051)","Stabilizer Bar System")</f>
        <v>Stabilizer Bar System</v>
      </c>
      <c r="B80">
        <v>8411051</v>
      </c>
      <c r="D80">
        <v>8411022</v>
      </c>
      <c r="F80">
        <v>1</v>
      </c>
      <c r="G80">
        <v>0</v>
      </c>
      <c r="H80">
        <v>31.102516373214844</v>
      </c>
      <c r="I80">
        <v>0</v>
      </c>
      <c r="J80" t="s">
        <v>90</v>
      </c>
      <c r="K80">
        <v>0</v>
      </c>
      <c r="L80">
        <v>31.102516373214844</v>
      </c>
      <c r="M80">
        <v>0</v>
      </c>
      <c r="N80">
        <v>0</v>
      </c>
      <c r="O80">
        <v>31.102516373214844</v>
      </c>
      <c r="P80" t="s">
        <v>90</v>
      </c>
      <c r="Q80">
        <v>0</v>
      </c>
      <c r="R80" t="s">
        <v>90</v>
      </c>
      <c r="S80">
        <v>0</v>
      </c>
      <c r="T80" t="s">
        <v>90</v>
      </c>
      <c r="U80">
        <v>0</v>
      </c>
      <c r="V80" t="s">
        <v>90</v>
      </c>
      <c r="W80">
        <v>0</v>
      </c>
      <c r="X80" t="s">
        <v>90</v>
      </c>
      <c r="Y80">
        <v>0</v>
      </c>
      <c r="Z80">
        <v>31.102516373214844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3.7349999999999999</v>
      </c>
      <c r="AN80" t="s">
        <v>72</v>
      </c>
      <c r="AO80" t="s">
        <v>73</v>
      </c>
      <c r="AP80">
        <v>200000</v>
      </c>
      <c r="AQ80" t="s">
        <v>73</v>
      </c>
      <c r="AS80">
        <v>10000</v>
      </c>
      <c r="AT80" t="s">
        <v>679</v>
      </c>
      <c r="AU80" t="s">
        <v>75</v>
      </c>
      <c r="AV80" t="s">
        <v>76</v>
      </c>
    </row>
    <row r="81" spans="1:48" x14ac:dyDescent="0.15">
      <c r="A81" s="4" t="str">
        <f>HYPERLINK("https://ibp.a2mac1.com/costing(costing:projects/details/9760/assembly/8411052)","Rear Axle")</f>
        <v>Rear Axle</v>
      </c>
      <c r="B81">
        <v>8411052</v>
      </c>
      <c r="D81">
        <v>8411022</v>
      </c>
      <c r="E81" t="s">
        <v>684</v>
      </c>
      <c r="F81">
        <v>1</v>
      </c>
      <c r="G81">
        <v>0</v>
      </c>
      <c r="H81">
        <v>87.595896832185588</v>
      </c>
      <c r="I81">
        <v>0.44018038609138488</v>
      </c>
      <c r="J81" t="s">
        <v>176</v>
      </c>
      <c r="K81">
        <v>3.0658563891264956</v>
      </c>
      <c r="L81">
        <v>91.101933607403481</v>
      </c>
      <c r="M81">
        <v>0</v>
      </c>
      <c r="N81">
        <v>51.689198370362369</v>
      </c>
      <c r="O81">
        <v>142.79113197776584</v>
      </c>
      <c r="P81" t="s">
        <v>177</v>
      </c>
      <c r="Q81">
        <v>5.4661160164442082</v>
      </c>
      <c r="R81" t="s">
        <v>177</v>
      </c>
      <c r="S81">
        <v>3.1013519022217424</v>
      </c>
      <c r="T81" t="s">
        <v>178</v>
      </c>
      <c r="U81">
        <v>17.134935837331902</v>
      </c>
      <c r="V81" t="s">
        <v>90</v>
      </c>
      <c r="W81">
        <v>0</v>
      </c>
      <c r="X81" t="s">
        <v>90</v>
      </c>
      <c r="Y81">
        <v>0</v>
      </c>
      <c r="Z81">
        <v>168.49353573376371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780</v>
      </c>
      <c r="AI81">
        <v>1240</v>
      </c>
      <c r="AJ81">
        <v>355</v>
      </c>
      <c r="AK81">
        <v>0</v>
      </c>
      <c r="AL81">
        <v>31.297000000000001</v>
      </c>
      <c r="AN81" t="s">
        <v>95</v>
      </c>
      <c r="AO81" t="s">
        <v>73</v>
      </c>
      <c r="AP81">
        <v>200000</v>
      </c>
      <c r="AQ81" t="s">
        <v>97</v>
      </c>
      <c r="AS81">
        <v>10000</v>
      </c>
      <c r="AT81" t="s">
        <v>686</v>
      </c>
      <c r="AU81" t="s">
        <v>75</v>
      </c>
      <c r="AV81" t="s">
        <v>76</v>
      </c>
    </row>
    <row r="82" spans="1:48" x14ac:dyDescent="0.15">
      <c r="A82" s="4" t="str">
        <f>HYPERLINK("https://ibp.a2mac1.com/costing(costing:projects/details/9760/assembly/8411022)","Rear Axle")</f>
        <v>Rear Axle</v>
      </c>
      <c r="B82">
        <v>8411022</v>
      </c>
      <c r="D82">
        <v>8411015</v>
      </c>
      <c r="F82">
        <v>1</v>
      </c>
      <c r="G82">
        <v>0</v>
      </c>
      <c r="H82">
        <v>415.74102037046526</v>
      </c>
      <c r="I82">
        <v>0</v>
      </c>
      <c r="J82" t="s">
        <v>90</v>
      </c>
      <c r="K82">
        <v>0</v>
      </c>
      <c r="L82">
        <v>415.74102037046526</v>
      </c>
      <c r="M82">
        <v>0</v>
      </c>
      <c r="N82">
        <v>0</v>
      </c>
      <c r="O82">
        <v>415.74102037046526</v>
      </c>
      <c r="P82" t="s">
        <v>90</v>
      </c>
      <c r="Q82">
        <v>0</v>
      </c>
      <c r="R82" t="s">
        <v>90</v>
      </c>
      <c r="S82">
        <v>0</v>
      </c>
      <c r="T82" t="s">
        <v>90</v>
      </c>
      <c r="U82">
        <v>0</v>
      </c>
      <c r="V82" t="s">
        <v>90</v>
      </c>
      <c r="W82">
        <v>0</v>
      </c>
      <c r="X82" t="s">
        <v>90</v>
      </c>
      <c r="Y82">
        <v>0</v>
      </c>
      <c r="Z82">
        <v>415.74102037046526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788</v>
      </c>
      <c r="AI82">
        <v>1830</v>
      </c>
      <c r="AJ82">
        <v>685</v>
      </c>
      <c r="AK82">
        <v>0</v>
      </c>
      <c r="AL82">
        <v>0</v>
      </c>
      <c r="AN82" t="s">
        <v>72</v>
      </c>
      <c r="AO82" t="s">
        <v>73</v>
      </c>
      <c r="AP82">
        <v>200000</v>
      </c>
      <c r="AQ82" t="s">
        <v>73</v>
      </c>
      <c r="AS82">
        <v>10000</v>
      </c>
      <c r="AT82" t="s">
        <v>701</v>
      </c>
      <c r="AU82" t="s">
        <v>75</v>
      </c>
      <c r="AV82" t="s">
        <v>76</v>
      </c>
    </row>
    <row r="83" spans="1:48" x14ac:dyDescent="0.15">
      <c r="A83" s="4" t="str">
        <f>HYPERLINK("https://ibp.a2mac1.com/costing(costing:projects/details/9760/assembly/8411015)","Axles")</f>
        <v>Axles</v>
      </c>
      <c r="B83">
        <v>8411015</v>
      </c>
      <c r="D83">
        <v>8411013</v>
      </c>
      <c r="F83">
        <v>1</v>
      </c>
      <c r="G83">
        <v>0</v>
      </c>
      <c r="H83">
        <v>841.87706064303279</v>
      </c>
      <c r="I83">
        <v>0</v>
      </c>
      <c r="J83" t="s">
        <v>90</v>
      </c>
      <c r="K83">
        <v>0</v>
      </c>
      <c r="L83">
        <v>841.87706064303279</v>
      </c>
      <c r="M83">
        <v>0</v>
      </c>
      <c r="N83">
        <v>0</v>
      </c>
      <c r="O83">
        <v>841.87706064303279</v>
      </c>
      <c r="P83" t="s">
        <v>90</v>
      </c>
      <c r="Q83">
        <v>0</v>
      </c>
      <c r="R83" t="s">
        <v>90</v>
      </c>
      <c r="S83">
        <v>0</v>
      </c>
      <c r="T83" t="s">
        <v>90</v>
      </c>
      <c r="U83">
        <v>0</v>
      </c>
      <c r="V83" t="s">
        <v>90</v>
      </c>
      <c r="W83">
        <v>0</v>
      </c>
      <c r="X83" t="s">
        <v>90</v>
      </c>
      <c r="Y83">
        <v>0</v>
      </c>
      <c r="Z83">
        <v>841.87706064303279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 t="s">
        <v>72</v>
      </c>
      <c r="AO83" t="s">
        <v>73</v>
      </c>
      <c r="AP83">
        <v>200000</v>
      </c>
      <c r="AQ83" t="s">
        <v>73</v>
      </c>
      <c r="AS83">
        <v>10000</v>
      </c>
      <c r="AT83" t="s">
        <v>702</v>
      </c>
      <c r="AU83" t="s">
        <v>75</v>
      </c>
      <c r="AV83" t="s">
        <v>76</v>
      </c>
    </row>
    <row r="84" spans="1:48" x14ac:dyDescent="0.15">
      <c r="A84" s="4" t="str">
        <f>HYPERLINK("https://ibp.a2mac1.com/costing(costing:projects/details/9760/assembly/8411024)","Front Wheels")</f>
        <v>Front Wheels</v>
      </c>
      <c r="B84">
        <v>8411024</v>
      </c>
      <c r="D84">
        <v>8411016</v>
      </c>
      <c r="F84">
        <v>2</v>
      </c>
      <c r="G84">
        <v>0</v>
      </c>
      <c r="H84">
        <v>312.40486210615131</v>
      </c>
      <c r="I84">
        <v>0</v>
      </c>
      <c r="J84" t="s">
        <v>90</v>
      </c>
      <c r="K84">
        <v>0</v>
      </c>
      <c r="L84">
        <v>312.40486210615131</v>
      </c>
      <c r="M84">
        <v>0</v>
      </c>
      <c r="N84">
        <v>0</v>
      </c>
      <c r="O84">
        <v>312.40486210615131</v>
      </c>
      <c r="P84" t="s">
        <v>90</v>
      </c>
      <c r="Q84">
        <v>0</v>
      </c>
      <c r="R84" t="s">
        <v>90</v>
      </c>
      <c r="S84">
        <v>0</v>
      </c>
      <c r="T84" t="s">
        <v>90</v>
      </c>
      <c r="U84">
        <v>0</v>
      </c>
      <c r="V84" t="s">
        <v>90</v>
      </c>
      <c r="W84">
        <v>0</v>
      </c>
      <c r="X84" t="s">
        <v>90</v>
      </c>
      <c r="Y84">
        <v>0</v>
      </c>
      <c r="Z84">
        <v>312.40486210615131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110.657</v>
      </c>
      <c r="AN84" t="s">
        <v>72</v>
      </c>
      <c r="AO84" t="s">
        <v>73</v>
      </c>
      <c r="AP84">
        <v>400000</v>
      </c>
      <c r="AQ84" t="s">
        <v>73</v>
      </c>
      <c r="AS84">
        <v>20000</v>
      </c>
      <c r="AT84" t="s">
        <v>714</v>
      </c>
      <c r="AU84" t="s">
        <v>75</v>
      </c>
      <c r="AV84" t="s">
        <v>76</v>
      </c>
    </row>
    <row r="85" spans="1:48" x14ac:dyDescent="0.15">
      <c r="A85" s="4" t="str">
        <f>HYPERLINK("https://ibp.a2mac1.com/costing(costing:projects/details/9760/assembly/8411025)","Rear Wheels")</f>
        <v>Rear Wheels</v>
      </c>
      <c r="B85">
        <v>8411025</v>
      </c>
      <c r="D85">
        <v>8411016</v>
      </c>
      <c r="F85">
        <v>2</v>
      </c>
      <c r="G85">
        <v>0</v>
      </c>
      <c r="H85">
        <v>326.54285032167769</v>
      </c>
      <c r="I85">
        <v>0</v>
      </c>
      <c r="J85" t="s">
        <v>90</v>
      </c>
      <c r="K85">
        <v>0</v>
      </c>
      <c r="L85">
        <v>326.54285032167769</v>
      </c>
      <c r="M85">
        <v>0</v>
      </c>
      <c r="N85">
        <v>0</v>
      </c>
      <c r="O85">
        <v>326.54285032167769</v>
      </c>
      <c r="P85" t="s">
        <v>90</v>
      </c>
      <c r="Q85">
        <v>0</v>
      </c>
      <c r="R85" t="s">
        <v>90</v>
      </c>
      <c r="S85">
        <v>0</v>
      </c>
      <c r="T85" t="s">
        <v>90</v>
      </c>
      <c r="U85">
        <v>0</v>
      </c>
      <c r="V85" t="s">
        <v>90</v>
      </c>
      <c r="W85">
        <v>0</v>
      </c>
      <c r="X85" t="s">
        <v>90</v>
      </c>
      <c r="Y85">
        <v>0</v>
      </c>
      <c r="Z85">
        <v>326.54285032167769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110.657</v>
      </c>
      <c r="AN85" t="s">
        <v>72</v>
      </c>
      <c r="AO85" t="s">
        <v>73</v>
      </c>
      <c r="AP85">
        <v>400000</v>
      </c>
      <c r="AQ85" t="s">
        <v>73</v>
      </c>
      <c r="AS85">
        <v>20000</v>
      </c>
      <c r="AT85" t="s">
        <v>722</v>
      </c>
      <c r="AU85" t="s">
        <v>75</v>
      </c>
      <c r="AV85" t="s">
        <v>76</v>
      </c>
    </row>
    <row r="86" spans="1:48" x14ac:dyDescent="0.15">
      <c r="A86" s="4" t="str">
        <f>HYPERLINK("https://ibp.a2mac1.com/costing(costing:projects/details/9760/assembly/8411016)","Wheels")</f>
        <v>Wheels</v>
      </c>
      <c r="B86">
        <v>8411016</v>
      </c>
      <c r="D86">
        <v>8411013</v>
      </c>
      <c r="F86">
        <v>1</v>
      </c>
      <c r="G86">
        <v>0</v>
      </c>
      <c r="H86">
        <v>642.78771242782898</v>
      </c>
      <c r="I86">
        <v>0</v>
      </c>
      <c r="J86" t="s">
        <v>90</v>
      </c>
      <c r="K86">
        <v>0</v>
      </c>
      <c r="L86">
        <v>642.78771242782898</v>
      </c>
      <c r="M86">
        <v>0</v>
      </c>
      <c r="N86">
        <v>0</v>
      </c>
      <c r="O86">
        <v>642.78771242782898</v>
      </c>
      <c r="P86" t="s">
        <v>90</v>
      </c>
      <c r="Q86">
        <v>0</v>
      </c>
      <c r="R86" t="s">
        <v>90</v>
      </c>
      <c r="S86">
        <v>0</v>
      </c>
      <c r="T86" t="s">
        <v>90</v>
      </c>
      <c r="U86">
        <v>0</v>
      </c>
      <c r="V86" t="s">
        <v>90</v>
      </c>
      <c r="W86">
        <v>0</v>
      </c>
      <c r="X86" t="s">
        <v>90</v>
      </c>
      <c r="Y86">
        <v>0</v>
      </c>
      <c r="Z86">
        <v>642.78771242782898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110.726</v>
      </c>
      <c r="AN86" t="s">
        <v>72</v>
      </c>
      <c r="AO86" t="s">
        <v>73</v>
      </c>
      <c r="AP86">
        <v>200000</v>
      </c>
      <c r="AQ86" t="s">
        <v>73</v>
      </c>
      <c r="AS86">
        <v>10000</v>
      </c>
      <c r="AT86" t="s">
        <v>725</v>
      </c>
      <c r="AU86" t="s">
        <v>75</v>
      </c>
      <c r="AV86" t="s">
        <v>76</v>
      </c>
    </row>
    <row r="87" spans="1:48" x14ac:dyDescent="0.15">
      <c r="A87" s="4" t="str">
        <f>HYPERLINK("https://ibp.a2mac1.com/costing(costing:projects/details/9760/assembly/8411013)","Suspension")</f>
        <v>Suspension</v>
      </c>
      <c r="B87">
        <v>8411013</v>
      </c>
      <c r="C87">
        <v>9760</v>
      </c>
      <c r="F87">
        <v>1</v>
      </c>
      <c r="G87">
        <v>0</v>
      </c>
      <c r="H87">
        <v>2290.9015473501358</v>
      </c>
      <c r="I87">
        <v>0</v>
      </c>
      <c r="J87" t="s">
        <v>90</v>
      </c>
      <c r="K87">
        <v>0</v>
      </c>
      <c r="L87">
        <v>2290.9015473501358</v>
      </c>
      <c r="M87">
        <v>0</v>
      </c>
      <c r="N87">
        <v>0</v>
      </c>
      <c r="O87">
        <v>2290.9015473501358</v>
      </c>
      <c r="P87" t="s">
        <v>90</v>
      </c>
      <c r="Q87">
        <v>0</v>
      </c>
      <c r="R87" t="s">
        <v>90</v>
      </c>
      <c r="S87">
        <v>0</v>
      </c>
      <c r="T87" t="s">
        <v>90</v>
      </c>
      <c r="U87">
        <v>0</v>
      </c>
      <c r="V87" t="s">
        <v>90</v>
      </c>
      <c r="W87">
        <v>0</v>
      </c>
      <c r="X87" t="s">
        <v>90</v>
      </c>
      <c r="Y87">
        <v>0</v>
      </c>
      <c r="Z87">
        <v>2290.9015473501358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 t="s">
        <v>72</v>
      </c>
      <c r="AO87" t="s">
        <v>73</v>
      </c>
      <c r="AP87">
        <v>200000</v>
      </c>
      <c r="AQ87" t="s">
        <v>73</v>
      </c>
      <c r="AS87">
        <v>10000</v>
      </c>
      <c r="AT87" t="s">
        <v>726</v>
      </c>
      <c r="AU87" t="s">
        <v>75</v>
      </c>
      <c r="AV87" t="s">
        <v>76</v>
      </c>
    </row>
    <row r="88" spans="1:48" x14ac:dyDescent="0.15">
      <c r="A88" s="4" t="str">
        <f>HYPERLINK("https://ibp.a2mac1.com/costing(costing:projects/details/9760/assembly/8411147)","Control Unit")</f>
        <v>Control Unit</v>
      </c>
      <c r="B88">
        <v>8411147</v>
      </c>
      <c r="D88">
        <v>8411108</v>
      </c>
      <c r="F88">
        <v>1</v>
      </c>
      <c r="G88">
        <v>0</v>
      </c>
      <c r="H88">
        <v>14.126298559381379</v>
      </c>
      <c r="I88">
        <v>7.0986424921514468E-2</v>
      </c>
      <c r="J88" t="s">
        <v>176</v>
      </c>
      <c r="K88">
        <v>0.49442044957834824</v>
      </c>
      <c r="L88">
        <v>14.691705433881241</v>
      </c>
      <c r="M88">
        <v>0</v>
      </c>
      <c r="N88">
        <v>0.79708916955247788</v>
      </c>
      <c r="O88">
        <v>15.488794603433719</v>
      </c>
      <c r="P88" t="s">
        <v>177</v>
      </c>
      <c r="Q88">
        <v>0.88150232603287448</v>
      </c>
      <c r="R88" t="s">
        <v>177</v>
      </c>
      <c r="S88">
        <v>4.7825350173148672E-2</v>
      </c>
      <c r="T88" t="s">
        <v>178</v>
      </c>
      <c r="U88">
        <v>1.8586553524120462</v>
      </c>
      <c r="V88" t="s">
        <v>90</v>
      </c>
      <c r="W88">
        <v>0</v>
      </c>
      <c r="X88" t="s">
        <v>90</v>
      </c>
      <c r="Y88">
        <v>0</v>
      </c>
      <c r="Z88">
        <v>18.27677763205179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39</v>
      </c>
      <c r="AI88">
        <v>130</v>
      </c>
      <c r="AJ88">
        <v>133</v>
      </c>
      <c r="AL88">
        <v>0.23200000000000001</v>
      </c>
      <c r="AN88" t="s">
        <v>365</v>
      </c>
      <c r="AO88" t="s">
        <v>73</v>
      </c>
      <c r="AP88">
        <v>200000</v>
      </c>
      <c r="AQ88" t="s">
        <v>97</v>
      </c>
      <c r="AS88">
        <v>10000</v>
      </c>
      <c r="AT88" t="s">
        <v>732</v>
      </c>
      <c r="AU88" t="s">
        <v>75</v>
      </c>
      <c r="AV88" t="s">
        <v>76</v>
      </c>
    </row>
    <row r="89" spans="1:48" x14ac:dyDescent="0.15">
      <c r="A89" s="4" t="str">
        <f>HYPERLINK("https://ibp.a2mac1.com/costing(costing:projects/details/9760/assembly/8411108)","Airbag Control Unit")</f>
        <v>Airbag Control Unit</v>
      </c>
      <c r="B89">
        <v>8411108</v>
      </c>
      <c r="D89">
        <v>8411061</v>
      </c>
      <c r="F89">
        <v>1</v>
      </c>
      <c r="G89">
        <v>0</v>
      </c>
      <c r="H89">
        <v>18.322817632051787</v>
      </c>
      <c r="I89">
        <v>0</v>
      </c>
      <c r="J89" t="s">
        <v>90</v>
      </c>
      <c r="K89">
        <v>0</v>
      </c>
      <c r="L89">
        <v>18.322817632051787</v>
      </c>
      <c r="M89">
        <v>0</v>
      </c>
      <c r="N89">
        <v>0</v>
      </c>
      <c r="O89">
        <v>18.322817632051787</v>
      </c>
      <c r="P89" t="s">
        <v>90</v>
      </c>
      <c r="Q89">
        <v>0</v>
      </c>
      <c r="R89" t="s">
        <v>90</v>
      </c>
      <c r="S89">
        <v>0</v>
      </c>
      <c r="T89" t="s">
        <v>90</v>
      </c>
      <c r="U89">
        <v>0</v>
      </c>
      <c r="V89" t="s">
        <v>90</v>
      </c>
      <c r="W89">
        <v>0</v>
      </c>
      <c r="X89" t="s">
        <v>90</v>
      </c>
      <c r="Y89">
        <v>0</v>
      </c>
      <c r="Z89">
        <v>18.322817632051787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L89">
        <v>0.2419</v>
      </c>
      <c r="AN89" t="s">
        <v>185</v>
      </c>
      <c r="AO89" t="s">
        <v>73</v>
      </c>
      <c r="AP89">
        <v>200000</v>
      </c>
      <c r="AQ89" t="s">
        <v>73</v>
      </c>
      <c r="AS89">
        <v>10000</v>
      </c>
      <c r="AT89" t="s">
        <v>733</v>
      </c>
      <c r="AU89" t="s">
        <v>75</v>
      </c>
      <c r="AV89" t="s">
        <v>76</v>
      </c>
    </row>
    <row r="90" spans="1:48" x14ac:dyDescent="0.15">
      <c r="A90" s="4" t="str">
        <f>HYPERLINK("https://ibp.a2mac1.com/costing(costing:projects/details/9760/assembly/8411148)","Airbag Unit")</f>
        <v>Airbag Unit</v>
      </c>
      <c r="B90">
        <v>8411148</v>
      </c>
      <c r="D90">
        <v>8411109</v>
      </c>
      <c r="F90">
        <v>1</v>
      </c>
      <c r="G90">
        <v>0</v>
      </c>
      <c r="H90">
        <v>50.578105552186663</v>
      </c>
      <c r="I90">
        <v>0.2541613344330988</v>
      </c>
      <c r="J90" t="s">
        <v>176</v>
      </c>
      <c r="K90">
        <v>1.7702336943265333</v>
      </c>
      <c r="L90">
        <v>52.602500580946298</v>
      </c>
      <c r="M90">
        <v>0</v>
      </c>
      <c r="N90">
        <v>0.86787026350545782</v>
      </c>
      <c r="O90">
        <v>53.470370844451757</v>
      </c>
      <c r="P90" t="s">
        <v>177</v>
      </c>
      <c r="Q90">
        <v>3.1561500348567777</v>
      </c>
      <c r="R90" t="s">
        <v>177</v>
      </c>
      <c r="S90">
        <v>5.207221581032747E-2</v>
      </c>
      <c r="T90" t="s">
        <v>178</v>
      </c>
      <c r="U90">
        <v>6.4164445013342108</v>
      </c>
      <c r="V90" t="s">
        <v>90</v>
      </c>
      <c r="W90">
        <v>0</v>
      </c>
      <c r="X90" t="s">
        <v>90</v>
      </c>
      <c r="Y90">
        <v>0</v>
      </c>
      <c r="Z90">
        <v>63.095037596453068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L90">
        <v>0.85799999999999998</v>
      </c>
      <c r="AN90" t="s">
        <v>772</v>
      </c>
      <c r="AO90" t="s">
        <v>73</v>
      </c>
      <c r="AP90">
        <v>200000</v>
      </c>
      <c r="AQ90" t="s">
        <v>97</v>
      </c>
      <c r="AS90">
        <v>10000</v>
      </c>
      <c r="AT90" t="s">
        <v>773</v>
      </c>
      <c r="AU90" t="s">
        <v>75</v>
      </c>
      <c r="AV90" t="s">
        <v>76</v>
      </c>
    </row>
    <row r="91" spans="1:48" x14ac:dyDescent="0.15">
      <c r="A91" s="4" t="str">
        <f>HYPERLINK("https://ibp.a2mac1.com/costing(costing:projects/details/9760/assembly/8411109)","Driver Airbag")</f>
        <v>Driver Airbag</v>
      </c>
      <c r="B91">
        <v>8411109</v>
      </c>
      <c r="D91">
        <v>8411061</v>
      </c>
      <c r="F91">
        <v>1</v>
      </c>
      <c r="G91">
        <v>0</v>
      </c>
      <c r="H91">
        <v>63.095037596453068</v>
      </c>
      <c r="I91">
        <v>0</v>
      </c>
      <c r="J91" t="s">
        <v>90</v>
      </c>
      <c r="K91">
        <v>0</v>
      </c>
      <c r="L91">
        <v>63.095037596453068</v>
      </c>
      <c r="M91">
        <v>0</v>
      </c>
      <c r="N91">
        <v>0</v>
      </c>
      <c r="O91">
        <v>63.095037596453068</v>
      </c>
      <c r="P91" t="s">
        <v>90</v>
      </c>
      <c r="Q91">
        <v>0</v>
      </c>
      <c r="R91" t="s">
        <v>90</v>
      </c>
      <c r="S91">
        <v>0</v>
      </c>
      <c r="T91" t="s">
        <v>90</v>
      </c>
      <c r="U91">
        <v>0</v>
      </c>
      <c r="V91" t="s">
        <v>90</v>
      </c>
      <c r="W91">
        <v>0</v>
      </c>
      <c r="X91" t="s">
        <v>90</v>
      </c>
      <c r="Y91">
        <v>0</v>
      </c>
      <c r="Z91">
        <v>63.095037596453068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L91">
        <v>0.86199999999999999</v>
      </c>
      <c r="AN91" t="s">
        <v>185</v>
      </c>
      <c r="AO91" t="s">
        <v>73</v>
      </c>
      <c r="AP91">
        <v>200000</v>
      </c>
      <c r="AQ91" t="s">
        <v>73</v>
      </c>
      <c r="AS91">
        <v>10000</v>
      </c>
      <c r="AT91" t="s">
        <v>774</v>
      </c>
      <c r="AU91" t="s">
        <v>75</v>
      </c>
      <c r="AV91" t="s">
        <v>76</v>
      </c>
    </row>
    <row r="92" spans="1:48" x14ac:dyDescent="0.15">
      <c r="A92" s="4" t="str">
        <f>HYPERLINK("https://ibp.a2mac1.com/costing(costing:projects/details/9760/assembly/8411149)","Airbag Unit")</f>
        <v>Airbag Unit</v>
      </c>
      <c r="B92">
        <v>8411149</v>
      </c>
      <c r="D92">
        <v>8411110</v>
      </c>
      <c r="F92">
        <v>1</v>
      </c>
      <c r="G92">
        <v>0</v>
      </c>
      <c r="H92">
        <v>31.512998107858298</v>
      </c>
      <c r="I92">
        <v>0.15835677441134824</v>
      </c>
      <c r="J92" t="s">
        <v>176</v>
      </c>
      <c r="K92">
        <v>1.1029549337750404</v>
      </c>
      <c r="L92">
        <v>32.774309816044685</v>
      </c>
      <c r="M92">
        <v>0</v>
      </c>
      <c r="N92">
        <v>0.86787026350545782</v>
      </c>
      <c r="O92">
        <v>33.642180079550144</v>
      </c>
      <c r="P92" t="s">
        <v>177</v>
      </c>
      <c r="Q92">
        <v>1.9664585889626813</v>
      </c>
      <c r="R92" t="s">
        <v>177</v>
      </c>
      <c r="S92">
        <v>5.207221581032747E-2</v>
      </c>
      <c r="T92" t="s">
        <v>178</v>
      </c>
      <c r="U92">
        <v>4.0370616095460177</v>
      </c>
      <c r="V92" t="s">
        <v>90</v>
      </c>
      <c r="W92">
        <v>0</v>
      </c>
      <c r="X92" t="s">
        <v>90</v>
      </c>
      <c r="Y92">
        <v>0</v>
      </c>
      <c r="Z92">
        <v>39.697772493869174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L92">
        <v>1.4910000000000001</v>
      </c>
      <c r="AN92" t="s">
        <v>772</v>
      </c>
      <c r="AO92" t="s">
        <v>73</v>
      </c>
      <c r="AP92">
        <v>200000</v>
      </c>
      <c r="AQ92" t="s">
        <v>97</v>
      </c>
      <c r="AS92">
        <v>10000</v>
      </c>
      <c r="AT92" t="s">
        <v>797</v>
      </c>
      <c r="AU92" t="s">
        <v>75</v>
      </c>
      <c r="AV92" t="s">
        <v>76</v>
      </c>
    </row>
    <row r="93" spans="1:48" x14ac:dyDescent="0.15">
      <c r="A93" s="4" t="str">
        <f>HYPERLINK("https://ibp.a2mac1.com/costing(costing:projects/details/9760/assembly/8411110)","Passenger Airbag")</f>
        <v>Passenger Airbag</v>
      </c>
      <c r="B93">
        <v>8411110</v>
      </c>
      <c r="D93">
        <v>8411061</v>
      </c>
      <c r="F93">
        <v>1</v>
      </c>
      <c r="G93">
        <v>0</v>
      </c>
      <c r="H93">
        <v>39.697772493869174</v>
      </c>
      <c r="I93">
        <v>0</v>
      </c>
      <c r="J93" t="s">
        <v>90</v>
      </c>
      <c r="K93">
        <v>0</v>
      </c>
      <c r="L93">
        <v>39.697772493869174</v>
      </c>
      <c r="M93">
        <v>0</v>
      </c>
      <c r="N93">
        <v>0</v>
      </c>
      <c r="O93">
        <v>39.697772493869174</v>
      </c>
      <c r="P93" t="s">
        <v>90</v>
      </c>
      <c r="Q93">
        <v>0</v>
      </c>
      <c r="R93" t="s">
        <v>90</v>
      </c>
      <c r="S93">
        <v>0</v>
      </c>
      <c r="T93" t="s">
        <v>90</v>
      </c>
      <c r="U93">
        <v>0</v>
      </c>
      <c r="V93" t="s">
        <v>90</v>
      </c>
      <c r="W93">
        <v>0</v>
      </c>
      <c r="X93" t="s">
        <v>90</v>
      </c>
      <c r="Y93">
        <v>0</v>
      </c>
      <c r="Z93">
        <v>39.697772493869174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L93">
        <v>1.4910000000000001</v>
      </c>
      <c r="AN93" t="s">
        <v>185</v>
      </c>
      <c r="AO93" t="s">
        <v>73</v>
      </c>
      <c r="AP93">
        <v>200000</v>
      </c>
      <c r="AQ93" t="s">
        <v>73</v>
      </c>
      <c r="AS93">
        <v>10000</v>
      </c>
      <c r="AT93" t="s">
        <v>798</v>
      </c>
      <c r="AU93" t="s">
        <v>75</v>
      </c>
      <c r="AV93" t="s">
        <v>76</v>
      </c>
    </row>
    <row r="94" spans="1:48" x14ac:dyDescent="0.15">
      <c r="A94" s="4" t="str">
        <f>HYPERLINK("https://ibp.a2mac1.com/costing(costing:projects/details/9760/assembly/8411150)","Curtain Airbags")</f>
        <v>Curtain Airbags</v>
      </c>
      <c r="B94">
        <v>8411150</v>
      </c>
      <c r="D94">
        <v>8411111</v>
      </c>
      <c r="F94">
        <v>1</v>
      </c>
      <c r="G94">
        <v>0</v>
      </c>
      <c r="H94">
        <v>50.735090323551105</v>
      </c>
      <c r="I94">
        <v>0.25495020263091006</v>
      </c>
      <c r="J94" t="s">
        <v>176</v>
      </c>
      <c r="K94">
        <v>1.7757281613242888</v>
      </c>
      <c r="L94">
        <v>52.765768687506302</v>
      </c>
      <c r="M94">
        <v>0</v>
      </c>
      <c r="N94">
        <v>0</v>
      </c>
      <c r="O94">
        <v>52.765768687506302</v>
      </c>
      <c r="P94" t="s">
        <v>177</v>
      </c>
      <c r="Q94">
        <v>3.1659461212503781</v>
      </c>
      <c r="R94" t="s">
        <v>177</v>
      </c>
      <c r="S94">
        <v>0</v>
      </c>
      <c r="T94" t="s">
        <v>178</v>
      </c>
      <c r="U94">
        <v>6.3318922425007562</v>
      </c>
      <c r="V94" t="s">
        <v>90</v>
      </c>
      <c r="W94">
        <v>0</v>
      </c>
      <c r="X94" t="s">
        <v>90</v>
      </c>
      <c r="Y94">
        <v>0</v>
      </c>
      <c r="Z94">
        <v>62.263607051257438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L94">
        <v>3.016</v>
      </c>
      <c r="AN94" t="s">
        <v>772</v>
      </c>
      <c r="AO94" t="s">
        <v>73</v>
      </c>
      <c r="AP94">
        <v>200000</v>
      </c>
      <c r="AQ94" t="s">
        <v>97</v>
      </c>
      <c r="AS94">
        <v>10000</v>
      </c>
      <c r="AT94" t="s">
        <v>824</v>
      </c>
      <c r="AU94" t="s">
        <v>75</v>
      </c>
      <c r="AV94" t="s">
        <v>76</v>
      </c>
    </row>
    <row r="95" spans="1:48" x14ac:dyDescent="0.15">
      <c r="A95" s="4" t="str">
        <f>HYPERLINK("https://ibp.a2mac1.com/costing(costing:projects/details/9760/assembly/8411111)","Curtains Airbag")</f>
        <v>Curtains Airbag</v>
      </c>
      <c r="B95">
        <v>8411111</v>
      </c>
      <c r="D95">
        <v>8411061</v>
      </c>
      <c r="F95">
        <v>1</v>
      </c>
      <c r="G95">
        <v>0</v>
      </c>
      <c r="H95">
        <v>62.263607051257438</v>
      </c>
      <c r="I95">
        <v>0</v>
      </c>
      <c r="J95" t="s">
        <v>90</v>
      </c>
      <c r="K95">
        <v>0</v>
      </c>
      <c r="L95">
        <v>62.263607051257438</v>
      </c>
      <c r="M95">
        <v>0</v>
      </c>
      <c r="N95">
        <v>0</v>
      </c>
      <c r="O95">
        <v>62.263607051257438</v>
      </c>
      <c r="P95" t="s">
        <v>90</v>
      </c>
      <c r="Q95">
        <v>0</v>
      </c>
      <c r="R95" t="s">
        <v>90</v>
      </c>
      <c r="S95">
        <v>0</v>
      </c>
      <c r="T95" t="s">
        <v>90</v>
      </c>
      <c r="U95">
        <v>0</v>
      </c>
      <c r="V95" t="s">
        <v>90</v>
      </c>
      <c r="W95">
        <v>0</v>
      </c>
      <c r="X95" t="s">
        <v>90</v>
      </c>
      <c r="Y95">
        <v>0</v>
      </c>
      <c r="Z95">
        <v>62.263607051257438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L95">
        <v>3.016</v>
      </c>
      <c r="AN95" t="s">
        <v>185</v>
      </c>
      <c r="AO95" t="s">
        <v>73</v>
      </c>
      <c r="AP95">
        <v>200000</v>
      </c>
      <c r="AQ95" t="s">
        <v>73</v>
      </c>
      <c r="AS95">
        <v>10000</v>
      </c>
      <c r="AT95" t="s">
        <v>825</v>
      </c>
      <c r="AU95" t="s">
        <v>75</v>
      </c>
      <c r="AV95" t="s">
        <v>76</v>
      </c>
    </row>
    <row r="96" spans="1:48" x14ac:dyDescent="0.15">
      <c r="A96" s="4" t="str">
        <f>HYPERLINK("https://ibp.a2mac1.com/costing(costing:projects/details/9760/assembly/8411112)","Airbags Sensors")</f>
        <v>Airbags Sensors</v>
      </c>
      <c r="B96">
        <v>8411112</v>
      </c>
      <c r="D96">
        <v>8411061</v>
      </c>
      <c r="F96">
        <v>1</v>
      </c>
      <c r="G96">
        <v>0</v>
      </c>
      <c r="H96">
        <v>35.262999999999998</v>
      </c>
      <c r="I96">
        <v>0</v>
      </c>
      <c r="J96" t="s">
        <v>90</v>
      </c>
      <c r="K96">
        <v>0</v>
      </c>
      <c r="L96">
        <v>35.262999999999998</v>
      </c>
      <c r="M96">
        <v>0</v>
      </c>
      <c r="N96">
        <v>0</v>
      </c>
      <c r="O96">
        <v>35.262999999999998</v>
      </c>
      <c r="P96" t="s">
        <v>90</v>
      </c>
      <c r="Q96">
        <v>0</v>
      </c>
      <c r="R96" t="s">
        <v>90</v>
      </c>
      <c r="S96">
        <v>0</v>
      </c>
      <c r="T96" t="s">
        <v>90</v>
      </c>
      <c r="U96">
        <v>0</v>
      </c>
      <c r="V96" t="s">
        <v>90</v>
      </c>
      <c r="W96">
        <v>0</v>
      </c>
      <c r="X96" t="s">
        <v>90</v>
      </c>
      <c r="Y96">
        <v>0</v>
      </c>
      <c r="Z96">
        <v>35.262999999999998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L96">
        <v>0.16400000000000001</v>
      </c>
      <c r="AN96" t="s">
        <v>185</v>
      </c>
      <c r="AO96" t="s">
        <v>73</v>
      </c>
      <c r="AP96">
        <v>200000</v>
      </c>
      <c r="AQ96" t="s">
        <v>73</v>
      </c>
      <c r="AS96">
        <v>10000</v>
      </c>
      <c r="AT96" t="s">
        <v>837</v>
      </c>
      <c r="AU96" t="s">
        <v>75</v>
      </c>
      <c r="AV96" t="s">
        <v>76</v>
      </c>
    </row>
    <row r="97" spans="1:48" x14ac:dyDescent="0.15">
      <c r="A97" s="4" t="str">
        <f>HYPERLINK("https://ibp.a2mac1.com/costing(costing:projects/details/9760/assembly/8411061)","Airbags")</f>
        <v>Airbags</v>
      </c>
      <c r="B97">
        <v>8411061</v>
      </c>
      <c r="D97">
        <v>8411026</v>
      </c>
      <c r="F97">
        <v>1</v>
      </c>
      <c r="G97">
        <v>0</v>
      </c>
      <c r="H97">
        <v>218.64223477363146</v>
      </c>
      <c r="I97">
        <v>0</v>
      </c>
      <c r="J97" t="s">
        <v>90</v>
      </c>
      <c r="K97">
        <v>0</v>
      </c>
      <c r="L97">
        <v>218.64223477363146</v>
      </c>
      <c r="M97">
        <v>0</v>
      </c>
      <c r="N97">
        <v>0</v>
      </c>
      <c r="O97">
        <v>218.64223477363146</v>
      </c>
      <c r="P97" t="s">
        <v>90</v>
      </c>
      <c r="Q97">
        <v>0</v>
      </c>
      <c r="R97" t="s">
        <v>90</v>
      </c>
      <c r="S97">
        <v>0</v>
      </c>
      <c r="T97" t="s">
        <v>90</v>
      </c>
      <c r="U97">
        <v>0</v>
      </c>
      <c r="V97" t="s">
        <v>90</v>
      </c>
      <c r="W97">
        <v>0</v>
      </c>
      <c r="X97" t="s">
        <v>90</v>
      </c>
      <c r="Y97">
        <v>0</v>
      </c>
      <c r="Z97">
        <v>218.64223477363146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L97">
        <v>5.7748999999999997</v>
      </c>
      <c r="AN97" t="s">
        <v>185</v>
      </c>
      <c r="AO97" t="s">
        <v>73</v>
      </c>
      <c r="AP97">
        <v>200000</v>
      </c>
      <c r="AQ97" t="s">
        <v>73</v>
      </c>
      <c r="AS97">
        <v>10000</v>
      </c>
      <c r="AT97" t="s">
        <v>838</v>
      </c>
      <c r="AU97" t="s">
        <v>75</v>
      </c>
      <c r="AV97" t="s">
        <v>76</v>
      </c>
    </row>
    <row r="98" spans="1:48" x14ac:dyDescent="0.15">
      <c r="A98" s="4" t="str">
        <f>HYPERLINK("https://ibp.a2mac1.com/costing(costing:projects/details/9760/assembly/8411159)","Guide")</f>
        <v>Guide</v>
      </c>
      <c r="B98">
        <v>8411159</v>
      </c>
      <c r="D98">
        <v>8411113</v>
      </c>
      <c r="F98">
        <v>1</v>
      </c>
      <c r="G98">
        <v>0</v>
      </c>
      <c r="H98">
        <v>0.12761158777144405</v>
      </c>
      <c r="I98">
        <v>0</v>
      </c>
      <c r="J98" t="s">
        <v>90</v>
      </c>
      <c r="K98">
        <v>0</v>
      </c>
      <c r="L98">
        <v>0.12761158777144405</v>
      </c>
      <c r="M98">
        <v>0</v>
      </c>
      <c r="N98">
        <v>0</v>
      </c>
      <c r="O98">
        <v>0.12761158777144405</v>
      </c>
      <c r="P98" t="s">
        <v>90</v>
      </c>
      <c r="Q98">
        <v>0</v>
      </c>
      <c r="R98" t="s">
        <v>90</v>
      </c>
      <c r="S98">
        <v>0</v>
      </c>
      <c r="T98" t="s">
        <v>90</v>
      </c>
      <c r="U98">
        <v>0</v>
      </c>
      <c r="V98" t="s">
        <v>90</v>
      </c>
      <c r="W98">
        <v>0</v>
      </c>
      <c r="X98" t="s">
        <v>90</v>
      </c>
      <c r="Y98">
        <v>0</v>
      </c>
      <c r="Z98">
        <v>0.12761158777144405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L98">
        <v>2.8000000000000001E-2</v>
      </c>
      <c r="AN98" t="s">
        <v>185</v>
      </c>
      <c r="AO98" t="s">
        <v>73</v>
      </c>
      <c r="AP98">
        <v>200000</v>
      </c>
      <c r="AQ98" t="s">
        <v>73</v>
      </c>
      <c r="AS98">
        <v>10000</v>
      </c>
      <c r="AT98" t="s">
        <v>848</v>
      </c>
      <c r="AU98" t="s">
        <v>75</v>
      </c>
      <c r="AV98" t="s">
        <v>76</v>
      </c>
    </row>
    <row r="99" spans="1:48" x14ac:dyDescent="0.15">
      <c r="A99" s="4" t="str">
        <f>HYPERLINK("https://ibp.a2mac1.com/costing(costing:projects/details/9760/assembly/8411113)","Seat Belt Front Driver")</f>
        <v>Seat Belt Front Driver</v>
      </c>
      <c r="B99">
        <v>8411113</v>
      </c>
      <c r="D99">
        <v>8411062</v>
      </c>
      <c r="F99">
        <v>1</v>
      </c>
      <c r="G99">
        <v>0</v>
      </c>
      <c r="H99">
        <v>22.305463833551499</v>
      </c>
      <c r="I99">
        <v>0</v>
      </c>
      <c r="J99" t="s">
        <v>90</v>
      </c>
      <c r="K99">
        <v>0</v>
      </c>
      <c r="L99">
        <v>22.305463833551499</v>
      </c>
      <c r="M99">
        <v>0</v>
      </c>
      <c r="N99">
        <v>0</v>
      </c>
      <c r="O99">
        <v>22.305463833551499</v>
      </c>
      <c r="P99" t="s">
        <v>90</v>
      </c>
      <c r="Q99">
        <v>0</v>
      </c>
      <c r="R99" t="s">
        <v>90</v>
      </c>
      <c r="S99">
        <v>0</v>
      </c>
      <c r="T99" t="s">
        <v>90</v>
      </c>
      <c r="U99">
        <v>0</v>
      </c>
      <c r="V99" t="s">
        <v>90</v>
      </c>
      <c r="W99">
        <v>0</v>
      </c>
      <c r="X99" t="s">
        <v>90</v>
      </c>
      <c r="Y99">
        <v>0</v>
      </c>
      <c r="Z99">
        <v>22.305463833551499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L99">
        <v>1.409</v>
      </c>
      <c r="AN99" t="s">
        <v>185</v>
      </c>
      <c r="AO99" t="s">
        <v>73</v>
      </c>
      <c r="AP99">
        <v>200000</v>
      </c>
      <c r="AQ99" t="s">
        <v>73</v>
      </c>
      <c r="AS99">
        <v>10000</v>
      </c>
      <c r="AT99" t="s">
        <v>858</v>
      </c>
      <c r="AU99" t="s">
        <v>75</v>
      </c>
      <c r="AV99" t="s">
        <v>76</v>
      </c>
    </row>
    <row r="100" spans="1:48" x14ac:dyDescent="0.15">
      <c r="A100" s="4" t="str">
        <f>HYPERLINK("https://ibp.a2mac1.com/costing(costing:projects/details/9760/assembly/8411163)","Guide")</f>
        <v>Guide</v>
      </c>
      <c r="B100">
        <v>8411163</v>
      </c>
      <c r="D100">
        <v>8411114</v>
      </c>
      <c r="F100">
        <v>1</v>
      </c>
      <c r="G100">
        <v>0</v>
      </c>
      <c r="H100">
        <v>0.33395363326786581</v>
      </c>
      <c r="I100">
        <v>0</v>
      </c>
      <c r="J100" t="s">
        <v>90</v>
      </c>
      <c r="K100">
        <v>0</v>
      </c>
      <c r="L100">
        <v>0.33395363326786581</v>
      </c>
      <c r="M100">
        <v>0</v>
      </c>
      <c r="N100">
        <v>0</v>
      </c>
      <c r="O100">
        <v>0.33395363326786581</v>
      </c>
      <c r="P100" t="s">
        <v>90</v>
      </c>
      <c r="Q100">
        <v>0</v>
      </c>
      <c r="R100" t="s">
        <v>90</v>
      </c>
      <c r="S100">
        <v>0</v>
      </c>
      <c r="T100" t="s">
        <v>90</v>
      </c>
      <c r="U100">
        <v>0</v>
      </c>
      <c r="V100" t="s">
        <v>90</v>
      </c>
      <c r="W100">
        <v>0</v>
      </c>
      <c r="X100" t="s">
        <v>90</v>
      </c>
      <c r="Y100">
        <v>0</v>
      </c>
      <c r="Z100">
        <v>0.33395363326786581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L100">
        <v>7.2999999999999995E-2</v>
      </c>
      <c r="AN100" t="s">
        <v>185</v>
      </c>
      <c r="AO100" t="s">
        <v>73</v>
      </c>
      <c r="AP100">
        <v>200000</v>
      </c>
      <c r="AQ100" t="s">
        <v>73</v>
      </c>
      <c r="AS100">
        <v>10000</v>
      </c>
      <c r="AT100" t="s">
        <v>869</v>
      </c>
      <c r="AU100" t="s">
        <v>75</v>
      </c>
      <c r="AV100" t="s">
        <v>76</v>
      </c>
    </row>
    <row r="101" spans="1:48" x14ac:dyDescent="0.15">
      <c r="A101" s="4" t="str">
        <f>HYPERLINK("https://ibp.a2mac1.com/costing(costing:projects/details/9760/assembly/8411164)","Anchor")</f>
        <v>Anchor</v>
      </c>
      <c r="B101">
        <v>8411164</v>
      </c>
      <c r="D101">
        <v>8411114</v>
      </c>
      <c r="F101">
        <v>1</v>
      </c>
      <c r="G101">
        <v>0</v>
      </c>
      <c r="H101">
        <v>1.76</v>
      </c>
      <c r="I101">
        <v>0</v>
      </c>
      <c r="J101" t="s">
        <v>90</v>
      </c>
      <c r="K101">
        <v>0</v>
      </c>
      <c r="L101">
        <v>1.76</v>
      </c>
      <c r="M101">
        <v>0</v>
      </c>
      <c r="N101">
        <v>0</v>
      </c>
      <c r="O101">
        <v>1.76</v>
      </c>
      <c r="P101" t="s">
        <v>90</v>
      </c>
      <c r="Q101">
        <v>0</v>
      </c>
      <c r="R101" t="s">
        <v>90</v>
      </c>
      <c r="S101">
        <v>0</v>
      </c>
      <c r="T101" t="s">
        <v>90</v>
      </c>
      <c r="U101">
        <v>0</v>
      </c>
      <c r="V101" t="s">
        <v>90</v>
      </c>
      <c r="W101">
        <v>0</v>
      </c>
      <c r="X101" t="s">
        <v>90</v>
      </c>
      <c r="Y101">
        <v>0</v>
      </c>
      <c r="Z101">
        <v>1.76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L101">
        <v>0.13400000000000001</v>
      </c>
      <c r="AN101" t="s">
        <v>185</v>
      </c>
      <c r="AO101" t="s">
        <v>73</v>
      </c>
      <c r="AP101">
        <v>200000</v>
      </c>
      <c r="AQ101" t="s">
        <v>73</v>
      </c>
      <c r="AS101">
        <v>10000</v>
      </c>
      <c r="AT101" t="s">
        <v>876</v>
      </c>
      <c r="AU101" t="s">
        <v>75</v>
      </c>
      <c r="AV101" t="s">
        <v>76</v>
      </c>
    </row>
    <row r="102" spans="1:48" x14ac:dyDescent="0.15">
      <c r="A102" s="4" t="str">
        <f>HYPERLINK("https://ibp.a2mac1.com/costing(costing:projects/details/9760/assembly/8411114)","Seat Belt Front Passenger")</f>
        <v>Seat Belt Front Passenger</v>
      </c>
      <c r="B102">
        <v>8411114</v>
      </c>
      <c r="D102">
        <v>8411062</v>
      </c>
      <c r="F102">
        <v>1</v>
      </c>
      <c r="G102">
        <v>0</v>
      </c>
      <c r="H102">
        <v>22.147900810778292</v>
      </c>
      <c r="I102">
        <v>0</v>
      </c>
      <c r="J102" t="s">
        <v>90</v>
      </c>
      <c r="K102">
        <v>0</v>
      </c>
      <c r="L102">
        <v>22.147900810778292</v>
      </c>
      <c r="M102">
        <v>0</v>
      </c>
      <c r="N102">
        <v>0</v>
      </c>
      <c r="O102">
        <v>22.147900810778292</v>
      </c>
      <c r="P102" t="s">
        <v>90</v>
      </c>
      <c r="Q102">
        <v>0</v>
      </c>
      <c r="R102" t="s">
        <v>90</v>
      </c>
      <c r="S102">
        <v>0</v>
      </c>
      <c r="T102" t="s">
        <v>90</v>
      </c>
      <c r="U102">
        <v>0</v>
      </c>
      <c r="V102" t="s">
        <v>90</v>
      </c>
      <c r="W102">
        <v>0</v>
      </c>
      <c r="X102" t="s">
        <v>90</v>
      </c>
      <c r="Y102">
        <v>0</v>
      </c>
      <c r="Z102">
        <v>22.147900810778292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L102">
        <v>1.415</v>
      </c>
      <c r="AN102" t="s">
        <v>185</v>
      </c>
      <c r="AO102" t="s">
        <v>73</v>
      </c>
      <c r="AP102">
        <v>200000</v>
      </c>
      <c r="AQ102" t="s">
        <v>73</v>
      </c>
      <c r="AS102">
        <v>10000</v>
      </c>
      <c r="AT102" t="s">
        <v>886</v>
      </c>
      <c r="AU102" t="s">
        <v>75</v>
      </c>
      <c r="AV102" t="s">
        <v>76</v>
      </c>
    </row>
    <row r="103" spans="1:48" x14ac:dyDescent="0.15">
      <c r="A103" s="4" t="str">
        <f>HYPERLINK("https://ibp.a2mac1.com/costing(costing:projects/details/9760/assembly/8411167)","Belt Guide")</f>
        <v>Belt Guide</v>
      </c>
      <c r="B103">
        <v>8411167</v>
      </c>
      <c r="D103">
        <v>8411115</v>
      </c>
      <c r="F103">
        <v>1</v>
      </c>
      <c r="G103">
        <v>0</v>
      </c>
      <c r="H103">
        <v>0.12761158777144405</v>
      </c>
      <c r="I103">
        <v>0</v>
      </c>
      <c r="J103" t="s">
        <v>90</v>
      </c>
      <c r="K103">
        <v>0</v>
      </c>
      <c r="L103">
        <v>0.12761158777144405</v>
      </c>
      <c r="M103">
        <v>0</v>
      </c>
      <c r="N103">
        <v>0</v>
      </c>
      <c r="O103">
        <v>0.12761158777144405</v>
      </c>
      <c r="P103" t="s">
        <v>90</v>
      </c>
      <c r="Q103">
        <v>0</v>
      </c>
      <c r="R103" t="s">
        <v>90</v>
      </c>
      <c r="S103">
        <v>0</v>
      </c>
      <c r="T103" t="s">
        <v>90</v>
      </c>
      <c r="U103">
        <v>0</v>
      </c>
      <c r="V103" t="s">
        <v>90</v>
      </c>
      <c r="W103">
        <v>0</v>
      </c>
      <c r="X103" t="s">
        <v>90</v>
      </c>
      <c r="Y103">
        <v>0</v>
      </c>
      <c r="Z103">
        <v>0.12761158777144405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L103">
        <v>2.8000000000000001E-2</v>
      </c>
      <c r="AN103" t="s">
        <v>185</v>
      </c>
      <c r="AO103" t="s">
        <v>73</v>
      </c>
      <c r="AP103">
        <v>200000</v>
      </c>
      <c r="AQ103" t="s">
        <v>73</v>
      </c>
      <c r="AS103">
        <v>10000</v>
      </c>
      <c r="AT103" t="s">
        <v>892</v>
      </c>
      <c r="AU103" t="s">
        <v>75</v>
      </c>
      <c r="AV103" t="s">
        <v>76</v>
      </c>
    </row>
    <row r="104" spans="1:48" x14ac:dyDescent="0.15">
      <c r="A104" s="4" t="str">
        <f>HYPERLINK("https://ibp.a2mac1.com/costing(costing:projects/details/9760/assembly/8411115)","Rear Left Seat Belt")</f>
        <v>Rear Left Seat Belt</v>
      </c>
      <c r="B104">
        <v>8411115</v>
      </c>
      <c r="D104">
        <v>8411062</v>
      </c>
      <c r="F104">
        <v>1</v>
      </c>
      <c r="G104">
        <v>0</v>
      </c>
      <c r="H104">
        <v>21.166499327091632</v>
      </c>
      <c r="I104">
        <v>0</v>
      </c>
      <c r="J104" t="s">
        <v>90</v>
      </c>
      <c r="K104">
        <v>0</v>
      </c>
      <c r="L104">
        <v>21.166499327091632</v>
      </c>
      <c r="M104">
        <v>0</v>
      </c>
      <c r="N104">
        <v>0</v>
      </c>
      <c r="O104">
        <v>21.166499327091632</v>
      </c>
      <c r="P104" t="s">
        <v>90</v>
      </c>
      <c r="Q104">
        <v>0</v>
      </c>
      <c r="R104" t="s">
        <v>90</v>
      </c>
      <c r="S104">
        <v>0</v>
      </c>
      <c r="T104" t="s">
        <v>90</v>
      </c>
      <c r="U104">
        <v>0</v>
      </c>
      <c r="V104" t="s">
        <v>90</v>
      </c>
      <c r="W104">
        <v>0</v>
      </c>
      <c r="X104" t="s">
        <v>90</v>
      </c>
      <c r="Y104">
        <v>0</v>
      </c>
      <c r="Z104">
        <v>21.166499327091632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L104">
        <v>1.7070000000000001</v>
      </c>
      <c r="AN104" t="s">
        <v>185</v>
      </c>
      <c r="AO104" t="s">
        <v>73</v>
      </c>
      <c r="AP104">
        <v>200000</v>
      </c>
      <c r="AQ104" t="s">
        <v>73</v>
      </c>
      <c r="AS104">
        <v>10000</v>
      </c>
      <c r="AT104" t="s">
        <v>901</v>
      </c>
      <c r="AU104" t="s">
        <v>75</v>
      </c>
      <c r="AV104" t="s">
        <v>76</v>
      </c>
    </row>
    <row r="105" spans="1:48" x14ac:dyDescent="0.15">
      <c r="A105" s="4" t="str">
        <f>HYPERLINK("https://ibp.a2mac1.com/costing(costing:projects/details/9760/assembly/8411171)","Anchor")</f>
        <v>Anchor</v>
      </c>
      <c r="B105">
        <v>8411171</v>
      </c>
      <c r="D105">
        <v>8411116</v>
      </c>
      <c r="F105">
        <v>1</v>
      </c>
      <c r="G105">
        <v>0</v>
      </c>
      <c r="H105">
        <v>0.85</v>
      </c>
      <c r="I105">
        <v>0</v>
      </c>
      <c r="J105" t="s">
        <v>90</v>
      </c>
      <c r="K105">
        <v>0</v>
      </c>
      <c r="L105">
        <v>0.85</v>
      </c>
      <c r="M105">
        <v>0</v>
      </c>
      <c r="N105">
        <v>0</v>
      </c>
      <c r="O105">
        <v>0.85</v>
      </c>
      <c r="P105" t="s">
        <v>90</v>
      </c>
      <c r="Q105">
        <v>0</v>
      </c>
      <c r="R105" t="s">
        <v>90</v>
      </c>
      <c r="S105">
        <v>0</v>
      </c>
      <c r="T105" t="s">
        <v>90</v>
      </c>
      <c r="U105">
        <v>0</v>
      </c>
      <c r="V105" t="s">
        <v>90</v>
      </c>
      <c r="W105">
        <v>0</v>
      </c>
      <c r="X105" t="s">
        <v>90</v>
      </c>
      <c r="Y105">
        <v>0</v>
      </c>
      <c r="Z105">
        <v>0.85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L105">
        <v>0.153</v>
      </c>
      <c r="AN105" t="s">
        <v>185</v>
      </c>
      <c r="AO105" t="s">
        <v>73</v>
      </c>
      <c r="AP105">
        <v>200000</v>
      </c>
      <c r="AQ105" t="s">
        <v>73</v>
      </c>
      <c r="AS105">
        <v>10000</v>
      </c>
      <c r="AT105" t="s">
        <v>906</v>
      </c>
      <c r="AU105" t="s">
        <v>75</v>
      </c>
      <c r="AV105" t="s">
        <v>76</v>
      </c>
    </row>
    <row r="106" spans="1:48" x14ac:dyDescent="0.15">
      <c r="A106" s="4" t="str">
        <f>HYPERLINK("https://ibp.a2mac1.com/costing(costing:projects/details/9760/assembly/8411116)","Rear Central Seat Belt")</f>
        <v>Rear Central Seat Belt</v>
      </c>
      <c r="B106">
        <v>8411116</v>
      </c>
      <c r="D106">
        <v>8411062</v>
      </c>
      <c r="F106">
        <v>1</v>
      </c>
      <c r="G106">
        <v>0</v>
      </c>
      <c r="H106">
        <v>18.127391498500234</v>
      </c>
      <c r="I106">
        <v>0</v>
      </c>
      <c r="J106" t="s">
        <v>90</v>
      </c>
      <c r="K106">
        <v>0</v>
      </c>
      <c r="L106">
        <v>18.127391498500234</v>
      </c>
      <c r="M106">
        <v>0</v>
      </c>
      <c r="N106">
        <v>0</v>
      </c>
      <c r="O106">
        <v>18.127391498500234</v>
      </c>
      <c r="P106" t="s">
        <v>90</v>
      </c>
      <c r="Q106">
        <v>0</v>
      </c>
      <c r="R106" t="s">
        <v>90</v>
      </c>
      <c r="S106">
        <v>0</v>
      </c>
      <c r="T106" t="s">
        <v>90</v>
      </c>
      <c r="U106">
        <v>0</v>
      </c>
      <c r="V106" t="s">
        <v>90</v>
      </c>
      <c r="W106">
        <v>0</v>
      </c>
      <c r="X106" t="s">
        <v>90</v>
      </c>
      <c r="Y106">
        <v>0</v>
      </c>
      <c r="Z106">
        <v>18.127391498500234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L106">
        <v>1.242</v>
      </c>
      <c r="AN106" t="s">
        <v>185</v>
      </c>
      <c r="AO106" t="s">
        <v>73</v>
      </c>
      <c r="AP106">
        <v>200000</v>
      </c>
      <c r="AQ106" t="s">
        <v>73</v>
      </c>
      <c r="AS106">
        <v>10000</v>
      </c>
      <c r="AT106" t="s">
        <v>916</v>
      </c>
      <c r="AU106" t="s">
        <v>75</v>
      </c>
      <c r="AV106" t="s">
        <v>76</v>
      </c>
    </row>
    <row r="107" spans="1:48" x14ac:dyDescent="0.15">
      <c r="A107" s="4" t="str">
        <f>HYPERLINK("https://ibp.a2mac1.com/costing(costing:projects/details/9760/assembly/8411175)","Anchor")</f>
        <v>Anchor</v>
      </c>
      <c r="B107">
        <v>8411175</v>
      </c>
      <c r="D107">
        <v>8411117</v>
      </c>
      <c r="F107">
        <v>1</v>
      </c>
      <c r="G107">
        <v>0</v>
      </c>
      <c r="H107">
        <v>0.26</v>
      </c>
      <c r="I107">
        <v>0</v>
      </c>
      <c r="J107" t="s">
        <v>90</v>
      </c>
      <c r="K107">
        <v>0</v>
      </c>
      <c r="L107">
        <v>0.26</v>
      </c>
      <c r="M107">
        <v>0</v>
      </c>
      <c r="N107">
        <v>0</v>
      </c>
      <c r="O107">
        <v>0.26</v>
      </c>
      <c r="P107" t="s">
        <v>90</v>
      </c>
      <c r="Q107">
        <v>0</v>
      </c>
      <c r="R107" t="s">
        <v>90</v>
      </c>
      <c r="S107">
        <v>0</v>
      </c>
      <c r="T107" t="s">
        <v>90</v>
      </c>
      <c r="U107">
        <v>0</v>
      </c>
      <c r="V107" t="s">
        <v>90</v>
      </c>
      <c r="W107">
        <v>0</v>
      </c>
      <c r="X107" t="s">
        <v>90</v>
      </c>
      <c r="Y107">
        <v>0</v>
      </c>
      <c r="Z107">
        <v>0.26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L107">
        <v>5.3999999999999999E-2</v>
      </c>
      <c r="AN107" t="s">
        <v>185</v>
      </c>
      <c r="AO107" t="s">
        <v>73</v>
      </c>
      <c r="AP107">
        <v>200000</v>
      </c>
      <c r="AQ107" t="s">
        <v>73</v>
      </c>
      <c r="AS107">
        <v>10000</v>
      </c>
      <c r="AT107" t="s">
        <v>920</v>
      </c>
      <c r="AU107" t="s">
        <v>75</v>
      </c>
      <c r="AV107" t="s">
        <v>76</v>
      </c>
    </row>
    <row r="108" spans="1:48" x14ac:dyDescent="0.15">
      <c r="A108" s="4" t="str">
        <f>HYPERLINK("https://ibp.a2mac1.com/costing(costing:projects/details/9760/assembly/8411176)","Belt Guide")</f>
        <v>Belt Guide</v>
      </c>
      <c r="B108">
        <v>8411176</v>
      </c>
      <c r="D108">
        <v>8411117</v>
      </c>
      <c r="F108">
        <v>1</v>
      </c>
      <c r="G108">
        <v>0</v>
      </c>
      <c r="H108">
        <v>0.12761158777144405</v>
      </c>
      <c r="I108">
        <v>0</v>
      </c>
      <c r="J108" t="s">
        <v>90</v>
      </c>
      <c r="K108">
        <v>0</v>
      </c>
      <c r="L108">
        <v>0.12761158777144405</v>
      </c>
      <c r="M108">
        <v>0</v>
      </c>
      <c r="N108">
        <v>0</v>
      </c>
      <c r="O108">
        <v>0.12761158777144405</v>
      </c>
      <c r="P108" t="s">
        <v>90</v>
      </c>
      <c r="Q108">
        <v>0</v>
      </c>
      <c r="R108" t="s">
        <v>90</v>
      </c>
      <c r="S108">
        <v>0</v>
      </c>
      <c r="T108" t="s">
        <v>90</v>
      </c>
      <c r="U108">
        <v>0</v>
      </c>
      <c r="V108" t="s">
        <v>90</v>
      </c>
      <c r="W108">
        <v>0</v>
      </c>
      <c r="X108" t="s">
        <v>90</v>
      </c>
      <c r="Y108">
        <v>0</v>
      </c>
      <c r="Z108">
        <v>0.12761158777144405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L108">
        <v>2.8000000000000001E-2</v>
      </c>
      <c r="AN108" t="s">
        <v>185</v>
      </c>
      <c r="AO108" t="s">
        <v>73</v>
      </c>
      <c r="AP108">
        <v>200000</v>
      </c>
      <c r="AQ108" t="s">
        <v>73</v>
      </c>
      <c r="AS108">
        <v>10000</v>
      </c>
      <c r="AT108" t="s">
        <v>925</v>
      </c>
      <c r="AU108" t="s">
        <v>75</v>
      </c>
      <c r="AV108" t="s">
        <v>76</v>
      </c>
    </row>
    <row r="109" spans="1:48" x14ac:dyDescent="0.15">
      <c r="A109" s="4" t="str">
        <f>HYPERLINK("https://ibp.a2mac1.com/costing(costing:projects/details/9760/assembly/8411117)","Rear Right Belt")</f>
        <v>Rear Right Belt</v>
      </c>
      <c r="B109">
        <v>8411117</v>
      </c>
      <c r="D109">
        <v>8411062</v>
      </c>
      <c r="F109">
        <v>1</v>
      </c>
      <c r="G109">
        <v>0</v>
      </c>
      <c r="H109">
        <v>21.131012289281873</v>
      </c>
      <c r="I109">
        <v>0</v>
      </c>
      <c r="J109" t="s">
        <v>90</v>
      </c>
      <c r="K109">
        <v>0</v>
      </c>
      <c r="L109">
        <v>21.131012289281873</v>
      </c>
      <c r="M109">
        <v>0</v>
      </c>
      <c r="N109">
        <v>0</v>
      </c>
      <c r="O109">
        <v>21.131012289281873</v>
      </c>
      <c r="P109" t="s">
        <v>90</v>
      </c>
      <c r="Q109">
        <v>0</v>
      </c>
      <c r="R109" t="s">
        <v>90</v>
      </c>
      <c r="S109">
        <v>0</v>
      </c>
      <c r="T109" t="s">
        <v>90</v>
      </c>
      <c r="U109">
        <v>0</v>
      </c>
      <c r="V109" t="s">
        <v>90</v>
      </c>
      <c r="W109">
        <v>0</v>
      </c>
      <c r="X109" t="s">
        <v>90</v>
      </c>
      <c r="Y109">
        <v>0</v>
      </c>
      <c r="Z109">
        <v>21.131012289281873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L109">
        <v>1.409</v>
      </c>
      <c r="AN109" t="s">
        <v>185</v>
      </c>
      <c r="AO109" t="s">
        <v>73</v>
      </c>
      <c r="AP109">
        <v>200000</v>
      </c>
      <c r="AQ109" t="s">
        <v>73</v>
      </c>
      <c r="AS109">
        <v>10000</v>
      </c>
      <c r="AT109" t="s">
        <v>934</v>
      </c>
      <c r="AU109" t="s">
        <v>75</v>
      </c>
      <c r="AV109" t="s">
        <v>76</v>
      </c>
    </row>
    <row r="110" spans="1:48" x14ac:dyDescent="0.15">
      <c r="A110" s="4" t="str">
        <f>HYPERLINK("https://ibp.a2mac1.com/costing(costing:projects/details/9760/assembly/8411062)","Seat Belt")</f>
        <v>Seat Belt</v>
      </c>
      <c r="B110">
        <v>8411062</v>
      </c>
      <c r="D110">
        <v>8411026</v>
      </c>
      <c r="F110">
        <v>1</v>
      </c>
      <c r="G110">
        <v>0</v>
      </c>
      <c r="H110">
        <v>104.87826775920354</v>
      </c>
      <c r="I110">
        <v>0</v>
      </c>
      <c r="J110" t="s">
        <v>90</v>
      </c>
      <c r="K110">
        <v>0</v>
      </c>
      <c r="L110">
        <v>104.87826775920354</v>
      </c>
      <c r="M110">
        <v>0</v>
      </c>
      <c r="N110">
        <v>0</v>
      </c>
      <c r="O110">
        <v>104.87826775920354</v>
      </c>
      <c r="P110" t="s">
        <v>90</v>
      </c>
      <c r="Q110">
        <v>0</v>
      </c>
      <c r="R110" t="s">
        <v>90</v>
      </c>
      <c r="S110">
        <v>0</v>
      </c>
      <c r="T110" t="s">
        <v>90</v>
      </c>
      <c r="U110">
        <v>0</v>
      </c>
      <c r="V110" t="s">
        <v>90</v>
      </c>
      <c r="W110">
        <v>0</v>
      </c>
      <c r="X110" t="s">
        <v>90</v>
      </c>
      <c r="Y110">
        <v>0</v>
      </c>
      <c r="Z110">
        <v>104.87826775920354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L110">
        <v>7.1820000000000004</v>
      </c>
      <c r="AN110" t="s">
        <v>185</v>
      </c>
      <c r="AO110" t="s">
        <v>73</v>
      </c>
      <c r="AP110">
        <v>200000</v>
      </c>
      <c r="AQ110" t="s">
        <v>73</v>
      </c>
      <c r="AS110">
        <v>10000</v>
      </c>
      <c r="AT110" t="s">
        <v>935</v>
      </c>
      <c r="AU110" t="s">
        <v>75</v>
      </c>
      <c r="AV110" t="s">
        <v>76</v>
      </c>
    </row>
    <row r="111" spans="1:48" x14ac:dyDescent="0.15">
      <c r="A111" s="4" t="str">
        <f>HYPERLINK("https://ibp.a2mac1.com/costing(costing:projects/details/9760/assembly/8411063)","Horn System")</f>
        <v>Horn System</v>
      </c>
      <c r="B111">
        <v>8411063</v>
      </c>
      <c r="D111">
        <v>8411026</v>
      </c>
      <c r="F111">
        <v>1</v>
      </c>
      <c r="G111">
        <v>0</v>
      </c>
      <c r="H111">
        <v>11.88086</v>
      </c>
      <c r="I111">
        <v>0</v>
      </c>
      <c r="J111" t="s">
        <v>90</v>
      </c>
      <c r="K111">
        <v>0</v>
      </c>
      <c r="L111">
        <v>11.88086</v>
      </c>
      <c r="M111">
        <v>0</v>
      </c>
      <c r="N111">
        <v>0</v>
      </c>
      <c r="O111">
        <v>11.88086</v>
      </c>
      <c r="P111" t="s">
        <v>90</v>
      </c>
      <c r="Q111">
        <v>0</v>
      </c>
      <c r="R111" t="s">
        <v>90</v>
      </c>
      <c r="S111">
        <v>0</v>
      </c>
      <c r="T111" t="s">
        <v>90</v>
      </c>
      <c r="U111">
        <v>0</v>
      </c>
      <c r="V111" t="s">
        <v>90</v>
      </c>
      <c r="W111">
        <v>0</v>
      </c>
      <c r="X111" t="s">
        <v>90</v>
      </c>
      <c r="Y111">
        <v>0</v>
      </c>
      <c r="Z111">
        <v>11.88086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L111">
        <v>0.46100000000000002</v>
      </c>
      <c r="AN111" t="s">
        <v>185</v>
      </c>
      <c r="AO111" t="s">
        <v>73</v>
      </c>
      <c r="AP111">
        <v>200000</v>
      </c>
      <c r="AQ111" t="s">
        <v>73</v>
      </c>
      <c r="AS111">
        <v>10000</v>
      </c>
      <c r="AT111" t="s">
        <v>944</v>
      </c>
      <c r="AU111" t="s">
        <v>75</v>
      </c>
      <c r="AV111" t="s">
        <v>76</v>
      </c>
    </row>
    <row r="112" spans="1:48" x14ac:dyDescent="0.15">
      <c r="A112" s="4" t="str">
        <f>HYPERLINK("https://ibp.a2mac1.com/costing(costing:projects/details/9760/assembly/8411064)","Isofix")</f>
        <v>Isofix</v>
      </c>
      <c r="B112">
        <v>8411064</v>
      </c>
      <c r="D112">
        <v>8411026</v>
      </c>
      <c r="F112">
        <v>1</v>
      </c>
      <c r="G112">
        <v>0</v>
      </c>
      <c r="H112">
        <v>0.41435769536656769</v>
      </c>
      <c r="I112">
        <v>0</v>
      </c>
      <c r="J112" t="s">
        <v>90</v>
      </c>
      <c r="K112">
        <v>0</v>
      </c>
      <c r="L112">
        <v>0.41435769536656769</v>
      </c>
      <c r="M112">
        <v>0</v>
      </c>
      <c r="N112">
        <v>0</v>
      </c>
      <c r="O112">
        <v>0.41435769536656769</v>
      </c>
      <c r="P112" t="s">
        <v>90</v>
      </c>
      <c r="Q112">
        <v>0</v>
      </c>
      <c r="R112" t="s">
        <v>90</v>
      </c>
      <c r="S112">
        <v>0</v>
      </c>
      <c r="T112" t="s">
        <v>90</v>
      </c>
      <c r="U112">
        <v>0</v>
      </c>
      <c r="V112" t="s">
        <v>90</v>
      </c>
      <c r="W112">
        <v>0</v>
      </c>
      <c r="X112" t="s">
        <v>90</v>
      </c>
      <c r="Y112">
        <v>0</v>
      </c>
      <c r="Z112">
        <v>0.41435769536656769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L112">
        <v>0.128</v>
      </c>
      <c r="AN112" t="s">
        <v>185</v>
      </c>
      <c r="AO112" t="s">
        <v>73</v>
      </c>
      <c r="AP112">
        <v>200000</v>
      </c>
      <c r="AQ112" t="s">
        <v>73</v>
      </c>
      <c r="AS112">
        <v>10000</v>
      </c>
      <c r="AT112" t="s">
        <v>953</v>
      </c>
      <c r="AU112" t="s">
        <v>75</v>
      </c>
      <c r="AV112" t="s">
        <v>76</v>
      </c>
    </row>
    <row r="113" spans="1:48" x14ac:dyDescent="0.15">
      <c r="A113" s="4" t="str">
        <f>HYPERLINK("https://ibp.a2mac1.com/costing(costing:projects/details/9760/assembly/8411065)","Active Hood System")</f>
        <v>Active Hood System</v>
      </c>
      <c r="B113">
        <v>8411065</v>
      </c>
      <c r="D113">
        <v>8411026</v>
      </c>
      <c r="F113">
        <v>1</v>
      </c>
      <c r="G113">
        <v>0</v>
      </c>
      <c r="H113">
        <v>4.0815000000000001</v>
      </c>
      <c r="I113">
        <v>0</v>
      </c>
      <c r="J113" t="s">
        <v>90</v>
      </c>
      <c r="K113">
        <v>0</v>
      </c>
      <c r="L113">
        <v>4.0815000000000001</v>
      </c>
      <c r="M113">
        <v>0</v>
      </c>
      <c r="N113">
        <v>0</v>
      </c>
      <c r="O113">
        <v>4.0815000000000001</v>
      </c>
      <c r="P113" t="s">
        <v>90</v>
      </c>
      <c r="Q113">
        <v>0</v>
      </c>
      <c r="R113" t="s">
        <v>90</v>
      </c>
      <c r="S113">
        <v>0</v>
      </c>
      <c r="T113" t="s">
        <v>90</v>
      </c>
      <c r="U113">
        <v>0</v>
      </c>
      <c r="V113" t="s">
        <v>90</v>
      </c>
      <c r="W113">
        <v>0</v>
      </c>
      <c r="X113" t="s">
        <v>90</v>
      </c>
      <c r="Y113">
        <v>0</v>
      </c>
      <c r="Z113">
        <v>4.0815000000000001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L113">
        <v>0.85880000000000001</v>
      </c>
      <c r="AN113" t="s">
        <v>185</v>
      </c>
      <c r="AO113" t="s">
        <v>73</v>
      </c>
      <c r="AP113">
        <v>200000</v>
      </c>
      <c r="AQ113" t="s">
        <v>73</v>
      </c>
      <c r="AS113">
        <v>10000</v>
      </c>
      <c r="AT113" t="s">
        <v>957</v>
      </c>
      <c r="AU113" t="s">
        <v>75</v>
      </c>
      <c r="AV113" t="s">
        <v>76</v>
      </c>
    </row>
    <row r="114" spans="1:48" x14ac:dyDescent="0.15">
      <c r="A114" s="4" t="str">
        <f>HYPERLINK("https://ibp.a2mac1.com/costing(costing:projects/details/9760/assembly/8411026)","Safety System")</f>
        <v>Safety System</v>
      </c>
      <c r="B114">
        <v>8411026</v>
      </c>
      <c r="C114">
        <v>9760</v>
      </c>
      <c r="F114">
        <v>1</v>
      </c>
      <c r="G114">
        <v>0</v>
      </c>
      <c r="H114">
        <v>339.89722022820155</v>
      </c>
      <c r="I114">
        <v>0</v>
      </c>
      <c r="J114" t="s">
        <v>90</v>
      </c>
      <c r="K114">
        <v>0</v>
      </c>
      <c r="L114">
        <v>339.89722022820155</v>
      </c>
      <c r="M114">
        <v>0</v>
      </c>
      <c r="N114">
        <v>0</v>
      </c>
      <c r="O114">
        <v>339.89722022820155</v>
      </c>
      <c r="P114" t="s">
        <v>90</v>
      </c>
      <c r="Q114">
        <v>0</v>
      </c>
      <c r="R114" t="s">
        <v>90</v>
      </c>
      <c r="S114">
        <v>0</v>
      </c>
      <c r="T114" t="s">
        <v>90</v>
      </c>
      <c r="U114">
        <v>0</v>
      </c>
      <c r="V114" t="s">
        <v>90</v>
      </c>
      <c r="W114">
        <v>0</v>
      </c>
      <c r="X114" t="s">
        <v>90</v>
      </c>
      <c r="Y114">
        <v>0</v>
      </c>
      <c r="Z114">
        <v>339.89722022820155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L114">
        <v>14.4047</v>
      </c>
      <c r="AN114" t="s">
        <v>185</v>
      </c>
      <c r="AO114" t="s">
        <v>73</v>
      </c>
      <c r="AP114">
        <v>200000</v>
      </c>
      <c r="AQ114" t="s">
        <v>73</v>
      </c>
      <c r="AS114">
        <v>10000</v>
      </c>
      <c r="AT114" t="s">
        <v>958</v>
      </c>
      <c r="AU114" t="s">
        <v>75</v>
      </c>
      <c r="AV114" t="s">
        <v>76</v>
      </c>
    </row>
    <row r="115" spans="1:48" x14ac:dyDescent="0.15">
      <c r="A115" s="4" t="str">
        <f>HYPERLINK("https://ibp.a2mac1.com/costing(costing:projects/details/9760/assembly/8411178)","Brake Fluid Reservoir System")</f>
        <v>Brake Fluid Reservoir System</v>
      </c>
      <c r="B115">
        <v>8411178</v>
      </c>
      <c r="D115">
        <v>8411132</v>
      </c>
      <c r="F115">
        <v>1</v>
      </c>
      <c r="G115">
        <v>0</v>
      </c>
      <c r="H115">
        <v>1.49</v>
      </c>
      <c r="I115">
        <v>0</v>
      </c>
      <c r="J115" t="s">
        <v>90</v>
      </c>
      <c r="K115">
        <v>0</v>
      </c>
      <c r="L115">
        <v>1.49</v>
      </c>
      <c r="M115">
        <v>0</v>
      </c>
      <c r="N115">
        <v>0</v>
      </c>
      <c r="O115">
        <v>1.49</v>
      </c>
      <c r="P115" t="s">
        <v>90</v>
      </c>
      <c r="Q115">
        <v>0</v>
      </c>
      <c r="R115" t="s">
        <v>90</v>
      </c>
      <c r="S115">
        <v>0</v>
      </c>
      <c r="T115" t="s">
        <v>90</v>
      </c>
      <c r="U115">
        <v>0</v>
      </c>
      <c r="V115" t="s">
        <v>90</v>
      </c>
      <c r="W115">
        <v>0</v>
      </c>
      <c r="X115" t="s">
        <v>90</v>
      </c>
      <c r="Y115">
        <v>0</v>
      </c>
      <c r="Z115">
        <v>1.49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0.27200000000000002</v>
      </c>
      <c r="AN115" t="s">
        <v>72</v>
      </c>
      <c r="AO115" t="s">
        <v>73</v>
      </c>
      <c r="AP115">
        <v>200000</v>
      </c>
      <c r="AQ115" t="s">
        <v>73</v>
      </c>
      <c r="AS115">
        <v>10000</v>
      </c>
      <c r="AT115" t="s">
        <v>968</v>
      </c>
      <c r="AU115" t="s">
        <v>75</v>
      </c>
      <c r="AV115" t="s">
        <v>76</v>
      </c>
    </row>
    <row r="116" spans="1:48" x14ac:dyDescent="0.15">
      <c r="A116" s="4" t="str">
        <f>HYPERLINK("https://ibp.a2mac1.com/costing(costing:projects/details/9760/assembly/8411179)","Electric Brake Booster System")</f>
        <v>Electric Brake Booster System</v>
      </c>
      <c r="B116">
        <v>8411179</v>
      </c>
      <c r="D116">
        <v>8411132</v>
      </c>
      <c r="F116">
        <v>1</v>
      </c>
      <c r="G116">
        <v>0</v>
      </c>
      <c r="H116">
        <v>139.01</v>
      </c>
      <c r="I116">
        <v>0</v>
      </c>
      <c r="J116" t="s">
        <v>90</v>
      </c>
      <c r="K116">
        <v>0</v>
      </c>
      <c r="L116">
        <v>139.01</v>
      </c>
      <c r="M116">
        <v>0</v>
      </c>
      <c r="N116">
        <v>0</v>
      </c>
      <c r="O116">
        <v>139.01</v>
      </c>
      <c r="P116" t="s">
        <v>90</v>
      </c>
      <c r="Q116">
        <v>0</v>
      </c>
      <c r="R116" t="s">
        <v>90</v>
      </c>
      <c r="S116">
        <v>0</v>
      </c>
      <c r="T116" t="s">
        <v>90</v>
      </c>
      <c r="U116">
        <v>0</v>
      </c>
      <c r="V116" t="s">
        <v>90</v>
      </c>
      <c r="W116">
        <v>0</v>
      </c>
      <c r="X116" t="s">
        <v>90</v>
      </c>
      <c r="Y116">
        <v>0</v>
      </c>
      <c r="Z116">
        <v>139.01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4.01</v>
      </c>
      <c r="AN116" t="s">
        <v>72</v>
      </c>
      <c r="AO116" t="s">
        <v>73</v>
      </c>
      <c r="AP116">
        <v>200000</v>
      </c>
      <c r="AQ116" t="s">
        <v>73</v>
      </c>
      <c r="AS116">
        <v>10000</v>
      </c>
      <c r="AT116" t="s">
        <v>972</v>
      </c>
      <c r="AU116" t="s">
        <v>75</v>
      </c>
      <c r="AV116" t="s">
        <v>76</v>
      </c>
    </row>
    <row r="117" spans="1:48" x14ac:dyDescent="0.15">
      <c r="A117" s="4" t="str">
        <f>HYPERLINK("https://ibp.a2mac1.com/costing(costing:projects/details/9760/assembly/8411132)","Master Cylinder")</f>
        <v>Master Cylinder</v>
      </c>
      <c r="B117">
        <v>8411132</v>
      </c>
      <c r="D117">
        <v>8411124</v>
      </c>
      <c r="F117">
        <v>1</v>
      </c>
      <c r="G117">
        <v>0</v>
      </c>
      <c r="H117">
        <v>143.19999999999999</v>
      </c>
      <c r="I117">
        <v>0</v>
      </c>
      <c r="J117" t="s">
        <v>90</v>
      </c>
      <c r="K117">
        <v>0</v>
      </c>
      <c r="L117">
        <v>143.19999999999999</v>
      </c>
      <c r="M117">
        <v>0</v>
      </c>
      <c r="N117">
        <v>0</v>
      </c>
      <c r="O117">
        <v>143.19999999999999</v>
      </c>
      <c r="P117" t="s">
        <v>90</v>
      </c>
      <c r="Q117">
        <v>0</v>
      </c>
      <c r="R117" t="s">
        <v>90</v>
      </c>
      <c r="S117">
        <v>0</v>
      </c>
      <c r="T117" t="s">
        <v>90</v>
      </c>
      <c r="U117">
        <v>0</v>
      </c>
      <c r="V117" t="s">
        <v>90</v>
      </c>
      <c r="W117">
        <v>0</v>
      </c>
      <c r="X117" t="s">
        <v>90</v>
      </c>
      <c r="Y117">
        <v>0</v>
      </c>
      <c r="Z117">
        <v>143.19999999999999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4.2869999999999999</v>
      </c>
      <c r="AN117" t="s">
        <v>72</v>
      </c>
      <c r="AO117" t="s">
        <v>73</v>
      </c>
      <c r="AP117">
        <v>200000</v>
      </c>
      <c r="AQ117" t="s">
        <v>73</v>
      </c>
      <c r="AS117">
        <v>10000</v>
      </c>
      <c r="AT117" t="s">
        <v>974</v>
      </c>
      <c r="AU117" t="s">
        <v>75</v>
      </c>
      <c r="AV117" t="s">
        <v>76</v>
      </c>
    </row>
    <row r="118" spans="1:48" x14ac:dyDescent="0.15">
      <c r="A118" s="4" t="str">
        <f>HYPERLINK("https://ibp.a2mac1.com/costing(costing:projects/details/9760/assembly/8411133)","ABS System")</f>
        <v>ABS System</v>
      </c>
      <c r="B118">
        <v>8411133</v>
      </c>
      <c r="D118">
        <v>8411124</v>
      </c>
      <c r="F118">
        <v>1</v>
      </c>
      <c r="G118">
        <v>0</v>
      </c>
      <c r="H118">
        <v>74.38</v>
      </c>
      <c r="I118">
        <v>0</v>
      </c>
      <c r="J118" t="s">
        <v>90</v>
      </c>
      <c r="K118">
        <v>0</v>
      </c>
      <c r="L118">
        <v>74.38</v>
      </c>
      <c r="M118">
        <v>0</v>
      </c>
      <c r="N118">
        <v>0</v>
      </c>
      <c r="O118">
        <v>74.38</v>
      </c>
      <c r="P118" t="s">
        <v>90</v>
      </c>
      <c r="Q118">
        <v>0</v>
      </c>
      <c r="R118" t="s">
        <v>90</v>
      </c>
      <c r="S118">
        <v>0</v>
      </c>
      <c r="T118" t="s">
        <v>90</v>
      </c>
      <c r="U118">
        <v>0</v>
      </c>
      <c r="V118" t="s">
        <v>90</v>
      </c>
      <c r="W118">
        <v>0</v>
      </c>
      <c r="X118" t="s">
        <v>90</v>
      </c>
      <c r="Y118">
        <v>0</v>
      </c>
      <c r="Z118">
        <v>74.38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2.1800000000000002</v>
      </c>
      <c r="AN118" t="s">
        <v>72</v>
      </c>
      <c r="AO118" t="s">
        <v>73</v>
      </c>
      <c r="AP118">
        <v>200000</v>
      </c>
      <c r="AQ118" t="s">
        <v>73</v>
      </c>
      <c r="AS118">
        <v>10000</v>
      </c>
      <c r="AT118" t="s">
        <v>980</v>
      </c>
      <c r="AU118" t="s">
        <v>75</v>
      </c>
      <c r="AV118" t="s">
        <v>76</v>
      </c>
    </row>
    <row r="119" spans="1:48" x14ac:dyDescent="0.15">
      <c r="A119" s="4" t="str">
        <f>HYPERLINK("https://ibp.a2mac1.com/costing(costing:projects/details/9760/assembly/8411134)","Brake Line System")</f>
        <v>Brake Line System</v>
      </c>
      <c r="B119">
        <v>8411134</v>
      </c>
      <c r="D119">
        <v>8411124</v>
      </c>
      <c r="F119">
        <v>1</v>
      </c>
      <c r="G119">
        <v>0</v>
      </c>
      <c r="H119">
        <v>17.23</v>
      </c>
      <c r="I119">
        <v>0</v>
      </c>
      <c r="J119" t="s">
        <v>90</v>
      </c>
      <c r="K119">
        <v>0</v>
      </c>
      <c r="L119">
        <v>17.23</v>
      </c>
      <c r="M119">
        <v>0</v>
      </c>
      <c r="N119">
        <v>0</v>
      </c>
      <c r="O119">
        <v>17.23</v>
      </c>
      <c r="P119" t="s">
        <v>90</v>
      </c>
      <c r="Q119">
        <v>0</v>
      </c>
      <c r="R119" t="s">
        <v>90</v>
      </c>
      <c r="S119">
        <v>0</v>
      </c>
      <c r="T119" t="s">
        <v>90</v>
      </c>
      <c r="U119">
        <v>0</v>
      </c>
      <c r="V119" t="s">
        <v>90</v>
      </c>
      <c r="W119">
        <v>0</v>
      </c>
      <c r="X119" t="s">
        <v>90</v>
      </c>
      <c r="Y119">
        <v>0</v>
      </c>
      <c r="Z119">
        <v>17.23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1.129</v>
      </c>
      <c r="AN119" t="s">
        <v>72</v>
      </c>
      <c r="AO119" t="s">
        <v>73</v>
      </c>
      <c r="AP119">
        <v>200000</v>
      </c>
      <c r="AQ119" t="s">
        <v>73</v>
      </c>
      <c r="AS119">
        <v>10000</v>
      </c>
      <c r="AT119" t="s">
        <v>997</v>
      </c>
      <c r="AU119" t="s">
        <v>75</v>
      </c>
      <c r="AV119" t="s">
        <v>76</v>
      </c>
    </row>
    <row r="120" spans="1:48" x14ac:dyDescent="0.15">
      <c r="A120" s="4" t="str">
        <f>HYPERLINK("https://ibp.a2mac1.com/costing(costing:projects/details/9760/assembly/8411195)","Disc")</f>
        <v>Disc</v>
      </c>
      <c r="B120">
        <v>8411195</v>
      </c>
      <c r="D120">
        <v>8411135</v>
      </c>
      <c r="F120">
        <v>1</v>
      </c>
      <c r="G120">
        <v>0</v>
      </c>
      <c r="H120">
        <v>44.583320442859481</v>
      </c>
      <c r="I120">
        <v>0.22403678614502254</v>
      </c>
      <c r="J120" t="s">
        <v>176</v>
      </c>
      <c r="K120">
        <v>1.560416215500082</v>
      </c>
      <c r="L120">
        <v>46.367773444504586</v>
      </c>
      <c r="M120">
        <v>0</v>
      </c>
      <c r="N120">
        <v>0</v>
      </c>
      <c r="O120">
        <v>46.367773444504586</v>
      </c>
      <c r="P120" t="s">
        <v>177</v>
      </c>
      <c r="Q120">
        <v>2.7820664066702752</v>
      </c>
      <c r="R120" t="s">
        <v>177</v>
      </c>
      <c r="S120">
        <v>0</v>
      </c>
      <c r="T120" t="s">
        <v>178</v>
      </c>
      <c r="U120">
        <v>5.5641328133405503</v>
      </c>
      <c r="V120" t="s">
        <v>90</v>
      </c>
      <c r="W120">
        <v>0</v>
      </c>
      <c r="X120" t="s">
        <v>90</v>
      </c>
      <c r="Y120">
        <v>0</v>
      </c>
      <c r="Z120">
        <v>54.713972664515417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23.61</v>
      </c>
      <c r="AN120" t="s">
        <v>100</v>
      </c>
      <c r="AO120" t="s">
        <v>73</v>
      </c>
      <c r="AP120">
        <v>200000</v>
      </c>
      <c r="AQ120" t="s">
        <v>97</v>
      </c>
      <c r="AS120">
        <v>10000</v>
      </c>
      <c r="AT120" t="s">
        <v>1009</v>
      </c>
      <c r="AU120" t="s">
        <v>75</v>
      </c>
      <c r="AV120" t="s">
        <v>76</v>
      </c>
    </row>
    <row r="121" spans="1:48" x14ac:dyDescent="0.15">
      <c r="A121" s="4" t="str">
        <f>HYPERLINK("https://ibp.a2mac1.com/costing(costing:projects/details/9760/assembly/8411311)","Brake Pads")</f>
        <v>Brake Pads</v>
      </c>
      <c r="B121">
        <v>8411311</v>
      </c>
      <c r="D121">
        <v>8411267</v>
      </c>
      <c r="F121">
        <v>1</v>
      </c>
      <c r="G121">
        <v>0</v>
      </c>
      <c r="H121">
        <v>13.48</v>
      </c>
      <c r="I121">
        <v>0</v>
      </c>
      <c r="J121" t="s">
        <v>90</v>
      </c>
      <c r="K121">
        <v>0</v>
      </c>
      <c r="L121">
        <v>13.48</v>
      </c>
      <c r="M121">
        <v>0</v>
      </c>
      <c r="N121">
        <v>0</v>
      </c>
      <c r="O121">
        <v>13.48</v>
      </c>
      <c r="P121" t="s">
        <v>90</v>
      </c>
      <c r="Q121">
        <v>0</v>
      </c>
      <c r="R121" t="s">
        <v>90</v>
      </c>
      <c r="S121">
        <v>0</v>
      </c>
      <c r="T121" t="s">
        <v>90</v>
      </c>
      <c r="U121">
        <v>0</v>
      </c>
      <c r="V121" t="s">
        <v>90</v>
      </c>
      <c r="W121">
        <v>0</v>
      </c>
      <c r="X121" t="s">
        <v>90</v>
      </c>
      <c r="Y121">
        <v>0</v>
      </c>
      <c r="Z121">
        <v>13.48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2.5089999999999999</v>
      </c>
      <c r="AN121" t="s">
        <v>1015</v>
      </c>
      <c r="AO121" t="s">
        <v>73</v>
      </c>
      <c r="AP121">
        <v>200000</v>
      </c>
      <c r="AQ121" t="s">
        <v>73</v>
      </c>
      <c r="AS121">
        <v>10000</v>
      </c>
      <c r="AT121" t="s">
        <v>9</v>
      </c>
      <c r="AU121" t="s">
        <v>75</v>
      </c>
      <c r="AV121" t="s">
        <v>76</v>
      </c>
    </row>
    <row r="122" spans="1:48" x14ac:dyDescent="0.15">
      <c r="A122" s="4" t="str">
        <f>HYPERLINK("https://ibp.a2mac1.com/costing(costing:projects/details/9760/assembly/8411267)","Brake Caliper Left Assy")</f>
        <v>Brake Caliper Left Assy</v>
      </c>
      <c r="B122">
        <v>8411267</v>
      </c>
      <c r="D122">
        <v>8411196</v>
      </c>
      <c r="E122" t="s">
        <v>1022</v>
      </c>
      <c r="F122">
        <v>1</v>
      </c>
      <c r="G122">
        <v>0</v>
      </c>
      <c r="H122">
        <v>44.766493065226271</v>
      </c>
      <c r="I122">
        <v>0.22495725158405161</v>
      </c>
      <c r="J122" t="s">
        <v>176</v>
      </c>
      <c r="K122">
        <v>1.5668272572829194</v>
      </c>
      <c r="L122">
        <v>46.558277574093239</v>
      </c>
      <c r="M122">
        <v>0</v>
      </c>
      <c r="N122">
        <v>0.98289134951914403</v>
      </c>
      <c r="O122">
        <v>47.541168923612389</v>
      </c>
      <c r="P122" t="s">
        <v>177</v>
      </c>
      <c r="Q122">
        <v>2.7934966544455944</v>
      </c>
      <c r="R122" t="s">
        <v>177</v>
      </c>
      <c r="S122">
        <v>5.8973480971148642E-2</v>
      </c>
      <c r="T122" t="s">
        <v>178</v>
      </c>
      <c r="U122">
        <v>5.704940270833486</v>
      </c>
      <c r="V122" t="s">
        <v>90</v>
      </c>
      <c r="W122">
        <v>0</v>
      </c>
      <c r="X122" t="s">
        <v>90</v>
      </c>
      <c r="Y122">
        <v>0</v>
      </c>
      <c r="Z122">
        <v>56.098579329862616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135</v>
      </c>
      <c r="AI122">
        <v>172</v>
      </c>
      <c r="AJ122">
        <v>345</v>
      </c>
      <c r="AK122">
        <v>0</v>
      </c>
      <c r="AL122">
        <v>5.032</v>
      </c>
      <c r="AN122" t="s">
        <v>100</v>
      </c>
      <c r="AO122" t="s">
        <v>73</v>
      </c>
      <c r="AP122">
        <v>200000</v>
      </c>
      <c r="AQ122" t="s">
        <v>97</v>
      </c>
      <c r="AS122">
        <v>10000</v>
      </c>
      <c r="AT122" t="s">
        <v>1023</v>
      </c>
      <c r="AU122" t="s">
        <v>75</v>
      </c>
      <c r="AV122" t="s">
        <v>76</v>
      </c>
    </row>
    <row r="123" spans="1:48" x14ac:dyDescent="0.15">
      <c r="A123" s="4" t="str">
        <f>HYPERLINK("https://ibp.a2mac1.com/costing(costing:projects/details/9760/assembly/8411313)","Brake Pads")</f>
        <v>Brake Pads</v>
      </c>
      <c r="B123">
        <v>8411313</v>
      </c>
      <c r="D123">
        <v>8411268</v>
      </c>
      <c r="F123">
        <v>1</v>
      </c>
      <c r="G123">
        <v>0</v>
      </c>
      <c r="H123">
        <v>13.48</v>
      </c>
      <c r="I123">
        <v>0</v>
      </c>
      <c r="J123" t="s">
        <v>90</v>
      </c>
      <c r="K123">
        <v>0</v>
      </c>
      <c r="L123">
        <v>13.48</v>
      </c>
      <c r="M123">
        <v>0</v>
      </c>
      <c r="N123">
        <v>0</v>
      </c>
      <c r="O123">
        <v>13.48</v>
      </c>
      <c r="P123" t="s">
        <v>90</v>
      </c>
      <c r="Q123">
        <v>0</v>
      </c>
      <c r="R123" t="s">
        <v>90</v>
      </c>
      <c r="S123">
        <v>0</v>
      </c>
      <c r="T123" t="s">
        <v>90</v>
      </c>
      <c r="U123">
        <v>0</v>
      </c>
      <c r="V123" t="s">
        <v>90</v>
      </c>
      <c r="W123">
        <v>0</v>
      </c>
      <c r="X123" t="s">
        <v>90</v>
      </c>
      <c r="Y123">
        <v>0</v>
      </c>
      <c r="Z123">
        <v>13.48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2.5089999999999999</v>
      </c>
      <c r="AN123" t="s">
        <v>72</v>
      </c>
      <c r="AO123" t="s">
        <v>73</v>
      </c>
      <c r="AP123">
        <v>200000</v>
      </c>
      <c r="AQ123" t="s">
        <v>73</v>
      </c>
      <c r="AS123">
        <v>10000</v>
      </c>
      <c r="AT123" t="s">
        <v>1028</v>
      </c>
      <c r="AU123" t="s">
        <v>75</v>
      </c>
      <c r="AV123" t="s">
        <v>76</v>
      </c>
    </row>
    <row r="124" spans="1:48" x14ac:dyDescent="0.15">
      <c r="A124" s="4" t="str">
        <f>HYPERLINK("https://ibp.a2mac1.com/costing(costing:projects/details/9760/assembly/8411268)","Brake Caliper Right Assy")</f>
        <v>Brake Caliper Right Assy</v>
      </c>
      <c r="B124">
        <v>8411268</v>
      </c>
      <c r="D124">
        <v>8411196</v>
      </c>
      <c r="E124" t="s">
        <v>1033</v>
      </c>
      <c r="F124">
        <v>1</v>
      </c>
      <c r="G124">
        <v>0</v>
      </c>
      <c r="H124">
        <v>44.766493065226271</v>
      </c>
      <c r="I124">
        <v>0.22495725158405161</v>
      </c>
      <c r="J124" t="s">
        <v>176</v>
      </c>
      <c r="K124">
        <v>1.5668272572829194</v>
      </c>
      <c r="L124">
        <v>46.558277574093239</v>
      </c>
      <c r="M124">
        <v>0</v>
      </c>
      <c r="N124">
        <v>0.98289134951914403</v>
      </c>
      <c r="O124">
        <v>47.541168923612389</v>
      </c>
      <c r="P124" t="s">
        <v>177</v>
      </c>
      <c r="Q124">
        <v>2.7934966544455944</v>
      </c>
      <c r="R124" t="s">
        <v>177</v>
      </c>
      <c r="S124">
        <v>5.8973480971148642E-2</v>
      </c>
      <c r="T124" t="s">
        <v>178</v>
      </c>
      <c r="U124">
        <v>5.704940270833486</v>
      </c>
      <c r="V124" t="s">
        <v>90</v>
      </c>
      <c r="W124">
        <v>0</v>
      </c>
      <c r="X124" t="s">
        <v>90</v>
      </c>
      <c r="Y124">
        <v>0</v>
      </c>
      <c r="Z124">
        <v>56.098579329862616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135</v>
      </c>
      <c r="AI124">
        <v>172</v>
      </c>
      <c r="AJ124">
        <v>345</v>
      </c>
      <c r="AK124">
        <v>0</v>
      </c>
      <c r="AL124">
        <v>5.0069999999999997</v>
      </c>
      <c r="AN124" t="s">
        <v>100</v>
      </c>
      <c r="AO124" t="s">
        <v>73</v>
      </c>
      <c r="AP124">
        <v>200000</v>
      </c>
      <c r="AQ124" t="s">
        <v>97</v>
      </c>
      <c r="AS124">
        <v>10000</v>
      </c>
      <c r="AT124" t="s">
        <v>1034</v>
      </c>
      <c r="AU124" t="s">
        <v>75</v>
      </c>
      <c r="AV124" t="s">
        <v>76</v>
      </c>
    </row>
    <row r="125" spans="1:48" x14ac:dyDescent="0.15">
      <c r="A125" s="4" t="str">
        <f>HYPERLINK("https://ibp.a2mac1.com/costing(costing:projects/details/9760/assembly/8411196)","Brake Caliper")</f>
        <v>Brake Caliper</v>
      </c>
      <c r="B125">
        <v>8411196</v>
      </c>
      <c r="D125">
        <v>8411135</v>
      </c>
      <c r="E125" t="s">
        <v>1022</v>
      </c>
      <c r="F125">
        <v>1</v>
      </c>
      <c r="G125">
        <v>0</v>
      </c>
      <c r="H125">
        <v>112.19715865972523</v>
      </c>
      <c r="I125">
        <v>0.56380481738555388</v>
      </c>
      <c r="J125" t="s">
        <v>176</v>
      </c>
      <c r="K125">
        <v>3.9269005530903831</v>
      </c>
      <c r="L125">
        <v>116.68786403020117</v>
      </c>
      <c r="M125">
        <v>0</v>
      </c>
      <c r="N125">
        <v>0</v>
      </c>
      <c r="O125">
        <v>116.68786403020117</v>
      </c>
      <c r="P125" t="s">
        <v>177</v>
      </c>
      <c r="Q125">
        <v>7.0012718418120699</v>
      </c>
      <c r="R125" t="s">
        <v>177</v>
      </c>
      <c r="S125">
        <v>0</v>
      </c>
      <c r="T125" t="s">
        <v>178</v>
      </c>
      <c r="U125">
        <v>14.00254368362414</v>
      </c>
      <c r="V125" t="s">
        <v>90</v>
      </c>
      <c r="W125">
        <v>0</v>
      </c>
      <c r="X125" t="s">
        <v>90</v>
      </c>
      <c r="Y125">
        <v>0</v>
      </c>
      <c r="Z125">
        <v>137.69167955563736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10.039</v>
      </c>
      <c r="AN125" t="s">
        <v>95</v>
      </c>
      <c r="AO125" t="s">
        <v>73</v>
      </c>
      <c r="AP125">
        <v>200000</v>
      </c>
      <c r="AQ125" t="s">
        <v>97</v>
      </c>
      <c r="AS125">
        <v>10000</v>
      </c>
      <c r="AT125" t="s">
        <v>1035</v>
      </c>
      <c r="AU125" t="s">
        <v>75</v>
      </c>
      <c r="AV125" t="s">
        <v>76</v>
      </c>
    </row>
    <row r="126" spans="1:48" x14ac:dyDescent="0.15">
      <c r="A126" s="4" t="str">
        <f>HYPERLINK("https://ibp.a2mac1.com/costing(costing:projects/details/9760/assembly/8411197)","Backing Plate")</f>
        <v>Backing Plate</v>
      </c>
      <c r="B126">
        <v>8411197</v>
      </c>
      <c r="D126">
        <v>8411135</v>
      </c>
      <c r="F126">
        <v>1</v>
      </c>
      <c r="G126">
        <v>0</v>
      </c>
      <c r="H126">
        <v>3.75</v>
      </c>
      <c r="I126">
        <v>0</v>
      </c>
      <c r="J126" t="s">
        <v>90</v>
      </c>
      <c r="K126">
        <v>0</v>
      </c>
      <c r="L126">
        <v>3.75</v>
      </c>
      <c r="M126">
        <v>0</v>
      </c>
      <c r="N126">
        <v>0</v>
      </c>
      <c r="O126">
        <v>3.75</v>
      </c>
      <c r="P126" t="s">
        <v>90</v>
      </c>
      <c r="Q126">
        <v>0</v>
      </c>
      <c r="R126" t="s">
        <v>90</v>
      </c>
      <c r="S126">
        <v>0</v>
      </c>
      <c r="T126" t="s">
        <v>90</v>
      </c>
      <c r="U126">
        <v>0</v>
      </c>
      <c r="V126" t="s">
        <v>90</v>
      </c>
      <c r="W126">
        <v>0</v>
      </c>
      <c r="X126" t="s">
        <v>90</v>
      </c>
      <c r="Y126">
        <v>0</v>
      </c>
      <c r="Z126">
        <v>3.75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0.32600000000000001</v>
      </c>
      <c r="AN126" t="s">
        <v>72</v>
      </c>
      <c r="AO126" t="s">
        <v>73</v>
      </c>
      <c r="AP126">
        <v>200000</v>
      </c>
      <c r="AQ126" t="s">
        <v>73</v>
      </c>
      <c r="AS126">
        <v>10000</v>
      </c>
      <c r="AT126" t="s">
        <v>1041</v>
      </c>
      <c r="AU126" t="s">
        <v>75</v>
      </c>
      <c r="AV126" t="s">
        <v>76</v>
      </c>
    </row>
    <row r="127" spans="1:48" x14ac:dyDescent="0.15">
      <c r="A127" s="4" t="str">
        <f>HYPERLINK("https://ibp.a2mac1.com/costing(costing:projects/details/9760/assembly/8411198)","ABS Sensor Support")</f>
        <v>ABS Sensor Support</v>
      </c>
      <c r="B127">
        <v>8411198</v>
      </c>
      <c r="D127">
        <v>8411135</v>
      </c>
      <c r="F127">
        <v>1</v>
      </c>
      <c r="G127">
        <v>0</v>
      </c>
      <c r="H127">
        <v>1.3</v>
      </c>
      <c r="I127">
        <v>0</v>
      </c>
      <c r="J127" t="s">
        <v>90</v>
      </c>
      <c r="K127">
        <v>0</v>
      </c>
      <c r="L127">
        <v>1.3</v>
      </c>
      <c r="M127">
        <v>0</v>
      </c>
      <c r="N127">
        <v>0</v>
      </c>
      <c r="O127">
        <v>1.3</v>
      </c>
      <c r="P127" t="s">
        <v>90</v>
      </c>
      <c r="Q127">
        <v>0</v>
      </c>
      <c r="R127" t="s">
        <v>90</v>
      </c>
      <c r="S127">
        <v>0</v>
      </c>
      <c r="T127" t="s">
        <v>90</v>
      </c>
      <c r="U127">
        <v>0</v>
      </c>
      <c r="V127" t="s">
        <v>90</v>
      </c>
      <c r="W127">
        <v>0</v>
      </c>
      <c r="X127" t="s">
        <v>90</v>
      </c>
      <c r="Y127">
        <v>0</v>
      </c>
      <c r="Z127">
        <v>1.3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0.108</v>
      </c>
      <c r="AN127" t="s">
        <v>72</v>
      </c>
      <c r="AO127" t="s">
        <v>73</v>
      </c>
      <c r="AP127">
        <v>200000</v>
      </c>
      <c r="AQ127" t="s">
        <v>73</v>
      </c>
      <c r="AS127">
        <v>10000</v>
      </c>
      <c r="AT127" t="s">
        <v>1049</v>
      </c>
      <c r="AU127" t="s">
        <v>75</v>
      </c>
      <c r="AV127" t="s">
        <v>76</v>
      </c>
    </row>
    <row r="128" spans="1:48" x14ac:dyDescent="0.15">
      <c r="A128" s="4" t="str">
        <f>HYPERLINK("https://ibp.a2mac1.com/costing(costing:projects/details/9760/assembly/8411135)","Front Brakes")</f>
        <v>Front Brakes</v>
      </c>
      <c r="B128">
        <v>8411135</v>
      </c>
      <c r="D128">
        <v>8411124</v>
      </c>
      <c r="F128">
        <v>1</v>
      </c>
      <c r="G128">
        <v>0</v>
      </c>
      <c r="H128">
        <v>210.99565222015278</v>
      </c>
      <c r="I128">
        <v>0</v>
      </c>
      <c r="J128" t="s">
        <v>90</v>
      </c>
      <c r="K128">
        <v>0</v>
      </c>
      <c r="L128">
        <v>210.99565222015278</v>
      </c>
      <c r="M128">
        <v>0</v>
      </c>
      <c r="N128">
        <v>0</v>
      </c>
      <c r="O128">
        <v>210.99565222015278</v>
      </c>
      <c r="P128" t="s">
        <v>90</v>
      </c>
      <c r="Q128">
        <v>0</v>
      </c>
      <c r="R128" t="s">
        <v>90</v>
      </c>
      <c r="S128">
        <v>0</v>
      </c>
      <c r="T128" t="s">
        <v>90</v>
      </c>
      <c r="U128">
        <v>0</v>
      </c>
      <c r="V128" t="s">
        <v>90</v>
      </c>
      <c r="W128">
        <v>0</v>
      </c>
      <c r="X128" t="s">
        <v>90</v>
      </c>
      <c r="Y128">
        <v>0</v>
      </c>
      <c r="Z128">
        <v>210.99565222015278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37.582999999999998</v>
      </c>
      <c r="AN128" t="s">
        <v>72</v>
      </c>
      <c r="AO128" t="s">
        <v>73</v>
      </c>
      <c r="AP128">
        <v>200000</v>
      </c>
      <c r="AQ128" t="s">
        <v>73</v>
      </c>
      <c r="AS128">
        <v>10000</v>
      </c>
      <c r="AT128" t="s">
        <v>1057</v>
      </c>
      <c r="AU128" t="s">
        <v>75</v>
      </c>
      <c r="AV128" t="s">
        <v>76</v>
      </c>
    </row>
    <row r="129" spans="1:48" x14ac:dyDescent="0.15">
      <c r="A129" s="4" t="str">
        <f>HYPERLINK("https://ibp.a2mac1.com/costing(costing:projects/details/9760/assembly/8411413)","Brake Pads")</f>
        <v>Brake Pads</v>
      </c>
      <c r="B129">
        <v>8411413</v>
      </c>
      <c r="D129">
        <v>8411314</v>
      </c>
      <c r="F129">
        <v>1</v>
      </c>
      <c r="G129">
        <v>0</v>
      </c>
      <c r="H129">
        <v>7.72</v>
      </c>
      <c r="I129">
        <v>0</v>
      </c>
      <c r="J129" t="s">
        <v>90</v>
      </c>
      <c r="K129">
        <v>0</v>
      </c>
      <c r="L129">
        <v>7.72</v>
      </c>
      <c r="M129">
        <v>0</v>
      </c>
      <c r="N129">
        <v>0</v>
      </c>
      <c r="O129">
        <v>7.72</v>
      </c>
      <c r="P129" t="s">
        <v>90</v>
      </c>
      <c r="Q129">
        <v>0</v>
      </c>
      <c r="R129" t="s">
        <v>90</v>
      </c>
      <c r="S129">
        <v>0</v>
      </c>
      <c r="T129" t="s">
        <v>90</v>
      </c>
      <c r="U129">
        <v>0</v>
      </c>
      <c r="V129" t="s">
        <v>90</v>
      </c>
      <c r="W129">
        <v>0</v>
      </c>
      <c r="X129" t="s">
        <v>90</v>
      </c>
      <c r="Y129">
        <v>0</v>
      </c>
      <c r="Z129">
        <v>7.72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1.4219999999999999</v>
      </c>
      <c r="AN129" t="s">
        <v>72</v>
      </c>
      <c r="AO129" t="s">
        <v>73</v>
      </c>
      <c r="AP129">
        <v>200000</v>
      </c>
      <c r="AQ129" t="s">
        <v>73</v>
      </c>
      <c r="AS129">
        <v>10000</v>
      </c>
      <c r="AT129" t="s">
        <v>1065</v>
      </c>
      <c r="AU129" t="s">
        <v>75</v>
      </c>
      <c r="AV129" t="s">
        <v>76</v>
      </c>
    </row>
    <row r="130" spans="1:48" x14ac:dyDescent="0.15">
      <c r="A130" s="4" t="str">
        <f>HYPERLINK("https://ibp.a2mac1.com/costing(costing:projects/details/9760/assembly/8411314)","Brake Caliper Left Assy")</f>
        <v>Brake Caliper Left Assy</v>
      </c>
      <c r="B130">
        <v>8411314</v>
      </c>
      <c r="D130">
        <v>8411276</v>
      </c>
      <c r="E130" t="s">
        <v>1070</v>
      </c>
      <c r="F130">
        <v>1</v>
      </c>
      <c r="G130">
        <v>0</v>
      </c>
      <c r="H130">
        <v>30.354565349267588</v>
      </c>
      <c r="I130">
        <v>0.15253550426767631</v>
      </c>
      <c r="J130" t="s">
        <v>176</v>
      </c>
      <c r="K130">
        <v>1.0624097872243656</v>
      </c>
      <c r="L130">
        <v>31.569510640759628</v>
      </c>
      <c r="M130">
        <v>0</v>
      </c>
      <c r="N130">
        <v>1.1713072671765992</v>
      </c>
      <c r="O130">
        <v>32.740817907936226</v>
      </c>
      <c r="P130" t="s">
        <v>177</v>
      </c>
      <c r="Q130">
        <v>1.8941706384455779</v>
      </c>
      <c r="R130" t="s">
        <v>177</v>
      </c>
      <c r="S130">
        <v>7.0278436030595956E-2</v>
      </c>
      <c r="T130" t="s">
        <v>178</v>
      </c>
      <c r="U130">
        <v>3.9288981489523476</v>
      </c>
      <c r="V130" t="s">
        <v>90</v>
      </c>
      <c r="W130">
        <v>0</v>
      </c>
      <c r="X130" t="s">
        <v>90</v>
      </c>
      <c r="Y130">
        <v>0</v>
      </c>
      <c r="Z130">
        <v>38.634165131364753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133</v>
      </c>
      <c r="AI130">
        <v>160</v>
      </c>
      <c r="AJ130">
        <v>200</v>
      </c>
      <c r="AK130">
        <v>0</v>
      </c>
      <c r="AL130">
        <v>3.6640000000000001</v>
      </c>
      <c r="AN130" t="s">
        <v>95</v>
      </c>
      <c r="AO130" t="s">
        <v>73</v>
      </c>
      <c r="AP130">
        <v>200000</v>
      </c>
      <c r="AQ130" t="s">
        <v>97</v>
      </c>
      <c r="AS130">
        <v>10000</v>
      </c>
      <c r="AT130" t="s">
        <v>1074</v>
      </c>
      <c r="AU130" t="s">
        <v>75</v>
      </c>
      <c r="AV130" t="s">
        <v>76</v>
      </c>
    </row>
    <row r="131" spans="1:48" x14ac:dyDescent="0.15">
      <c r="A131" s="4" t="str">
        <f>HYPERLINK("https://ibp.a2mac1.com/costing(costing:projects/details/9760/assembly/8411418)","Brake Pads")</f>
        <v>Brake Pads</v>
      </c>
      <c r="B131">
        <v>8411418</v>
      </c>
      <c r="D131">
        <v>8411315</v>
      </c>
      <c r="F131">
        <v>1</v>
      </c>
      <c r="G131">
        <v>0</v>
      </c>
      <c r="H131">
        <v>7.72</v>
      </c>
      <c r="I131">
        <v>0</v>
      </c>
      <c r="J131" t="s">
        <v>90</v>
      </c>
      <c r="K131">
        <v>0</v>
      </c>
      <c r="L131">
        <v>7.72</v>
      </c>
      <c r="M131">
        <v>0</v>
      </c>
      <c r="N131">
        <v>0</v>
      </c>
      <c r="O131">
        <v>7.72</v>
      </c>
      <c r="P131" t="s">
        <v>90</v>
      </c>
      <c r="Q131">
        <v>0</v>
      </c>
      <c r="R131" t="s">
        <v>90</v>
      </c>
      <c r="S131">
        <v>0</v>
      </c>
      <c r="T131" t="s">
        <v>90</v>
      </c>
      <c r="U131">
        <v>0</v>
      </c>
      <c r="V131" t="s">
        <v>90</v>
      </c>
      <c r="W131">
        <v>0</v>
      </c>
      <c r="X131" t="s">
        <v>90</v>
      </c>
      <c r="Y131">
        <v>0</v>
      </c>
      <c r="Z131">
        <v>7.72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1.4219999999999999</v>
      </c>
      <c r="AN131" t="s">
        <v>1015</v>
      </c>
      <c r="AO131" t="s">
        <v>73</v>
      </c>
      <c r="AP131">
        <v>200000</v>
      </c>
      <c r="AQ131" t="s">
        <v>73</v>
      </c>
      <c r="AS131">
        <v>10000</v>
      </c>
      <c r="AT131" t="s">
        <v>9</v>
      </c>
      <c r="AU131" t="s">
        <v>75</v>
      </c>
      <c r="AV131" t="s">
        <v>76</v>
      </c>
    </row>
    <row r="132" spans="1:48" x14ac:dyDescent="0.15">
      <c r="A132" s="4" t="str">
        <f>HYPERLINK("https://ibp.a2mac1.com/costing(costing:projects/details/9760/assembly/8411315)","Brake Caliper Right Assy")</f>
        <v>Brake Caliper Right Assy</v>
      </c>
      <c r="B132">
        <v>8411315</v>
      </c>
      <c r="D132">
        <v>8411276</v>
      </c>
      <c r="E132" t="s">
        <v>1070</v>
      </c>
      <c r="F132">
        <v>1</v>
      </c>
      <c r="G132">
        <v>0</v>
      </c>
      <c r="H132">
        <v>30.309565349267586</v>
      </c>
      <c r="I132">
        <v>0.15230937361440999</v>
      </c>
      <c r="J132" t="s">
        <v>176</v>
      </c>
      <c r="K132">
        <v>1.0608347872243655</v>
      </c>
      <c r="L132">
        <v>31.522709510106363</v>
      </c>
      <c r="M132">
        <v>0</v>
      </c>
      <c r="N132">
        <v>1.1713072671765992</v>
      </c>
      <c r="O132">
        <v>32.694016777282961</v>
      </c>
      <c r="P132" t="s">
        <v>177</v>
      </c>
      <c r="Q132">
        <v>1.8913625706063817</v>
      </c>
      <c r="R132" t="s">
        <v>177</v>
      </c>
      <c r="S132">
        <v>7.0278436030595956E-2</v>
      </c>
      <c r="T132" t="s">
        <v>178</v>
      </c>
      <c r="U132">
        <v>3.9232820132739556</v>
      </c>
      <c r="V132" t="s">
        <v>90</v>
      </c>
      <c r="W132">
        <v>0</v>
      </c>
      <c r="X132" t="s">
        <v>90</v>
      </c>
      <c r="Y132">
        <v>0</v>
      </c>
      <c r="Z132">
        <v>38.578939797193897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133</v>
      </c>
      <c r="AI132">
        <v>160</v>
      </c>
      <c r="AJ132">
        <v>200</v>
      </c>
      <c r="AK132">
        <v>0</v>
      </c>
      <c r="AL132">
        <v>3.6539999999999999</v>
      </c>
      <c r="AN132" t="s">
        <v>95</v>
      </c>
      <c r="AO132" t="s">
        <v>73</v>
      </c>
      <c r="AP132">
        <v>200000</v>
      </c>
      <c r="AQ132" t="s">
        <v>97</v>
      </c>
      <c r="AS132">
        <v>10000</v>
      </c>
      <c r="AT132" t="s">
        <v>1082</v>
      </c>
      <c r="AU132" t="s">
        <v>75</v>
      </c>
      <c r="AV132" t="s">
        <v>76</v>
      </c>
    </row>
    <row r="133" spans="1:48" x14ac:dyDescent="0.15">
      <c r="A133" s="4" t="str">
        <f>HYPERLINK("https://ibp.a2mac1.com/costing(costing:projects/details/9760/assembly/8411276)","Brake Caliper")</f>
        <v>Brake Caliper</v>
      </c>
      <c r="B133">
        <v>8411276</v>
      </c>
      <c r="D133">
        <v>8411204</v>
      </c>
      <c r="F133">
        <v>1</v>
      </c>
      <c r="G133">
        <v>0</v>
      </c>
      <c r="H133">
        <v>77.21310492855865</v>
      </c>
      <c r="I133">
        <v>0.38800555240481732</v>
      </c>
      <c r="J133" t="s">
        <v>176</v>
      </c>
      <c r="K133">
        <v>2.7024586724995525</v>
      </c>
      <c r="L133">
        <v>80.303569153463016</v>
      </c>
      <c r="M133">
        <v>0</v>
      </c>
      <c r="N133">
        <v>0</v>
      </c>
      <c r="O133">
        <v>80.303569153463016</v>
      </c>
      <c r="P133" t="s">
        <v>177</v>
      </c>
      <c r="Q133">
        <v>4.8182141492077806</v>
      </c>
      <c r="R133" t="s">
        <v>177</v>
      </c>
      <c r="S133">
        <v>0</v>
      </c>
      <c r="T133" t="s">
        <v>178</v>
      </c>
      <c r="U133">
        <v>9.6364282984155611</v>
      </c>
      <c r="V133" t="s">
        <v>90</v>
      </c>
      <c r="W133">
        <v>0</v>
      </c>
      <c r="X133" t="s">
        <v>90</v>
      </c>
      <c r="Y133">
        <v>0</v>
      </c>
      <c r="Z133">
        <v>94.758211601086359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7.3179999999999996</v>
      </c>
      <c r="AN133" t="s">
        <v>95</v>
      </c>
      <c r="AO133" t="s">
        <v>73</v>
      </c>
      <c r="AP133">
        <v>200000</v>
      </c>
      <c r="AQ133" t="s">
        <v>97</v>
      </c>
      <c r="AS133">
        <v>10000</v>
      </c>
      <c r="AT133" t="s">
        <v>1083</v>
      </c>
      <c r="AU133" t="s">
        <v>75</v>
      </c>
      <c r="AV133" t="s">
        <v>76</v>
      </c>
    </row>
    <row r="134" spans="1:48" x14ac:dyDescent="0.15">
      <c r="A134" s="4" t="str">
        <f>HYPERLINK("https://ibp.a2mac1.com/costing(costing:projects/details/9760/assembly/8411204)","Disc System")</f>
        <v>Disc System</v>
      </c>
      <c r="B134">
        <v>8411204</v>
      </c>
      <c r="D134">
        <v>8411136</v>
      </c>
      <c r="F134">
        <v>1</v>
      </c>
      <c r="G134">
        <v>0</v>
      </c>
      <c r="H134">
        <v>128.14722269940725</v>
      </c>
      <c r="I134">
        <v>0</v>
      </c>
      <c r="J134" t="s">
        <v>90</v>
      </c>
      <c r="K134">
        <v>0</v>
      </c>
      <c r="L134">
        <v>128.14722269940725</v>
      </c>
      <c r="M134">
        <v>0</v>
      </c>
      <c r="N134">
        <v>0</v>
      </c>
      <c r="O134">
        <v>128.14722269940725</v>
      </c>
      <c r="P134" t="s">
        <v>90</v>
      </c>
      <c r="Q134">
        <v>0</v>
      </c>
      <c r="R134" t="s">
        <v>90</v>
      </c>
      <c r="S134">
        <v>0</v>
      </c>
      <c r="T134" t="s">
        <v>90</v>
      </c>
      <c r="U134">
        <v>0</v>
      </c>
      <c r="V134" t="s">
        <v>90</v>
      </c>
      <c r="W134">
        <v>0</v>
      </c>
      <c r="X134" t="s">
        <v>90</v>
      </c>
      <c r="Y134">
        <v>0</v>
      </c>
      <c r="Z134">
        <v>128.14722269940725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26.695</v>
      </c>
      <c r="AN134" t="s">
        <v>72</v>
      </c>
      <c r="AO134" t="s">
        <v>73</v>
      </c>
      <c r="AP134">
        <v>200000</v>
      </c>
      <c r="AQ134" t="s">
        <v>73</v>
      </c>
      <c r="AS134">
        <v>10000</v>
      </c>
      <c r="AT134" t="s">
        <v>1088</v>
      </c>
      <c r="AU134" t="s">
        <v>75</v>
      </c>
      <c r="AV134" t="s">
        <v>76</v>
      </c>
    </row>
    <row r="135" spans="1:48" x14ac:dyDescent="0.15">
      <c r="A135" s="4" t="str">
        <f>HYPERLINK("https://ibp.a2mac1.com/costing(costing:projects/details/9760/assembly/8411205)","Backing Plate")</f>
        <v>Backing Plate</v>
      </c>
      <c r="B135">
        <v>8411205</v>
      </c>
      <c r="D135">
        <v>8411136</v>
      </c>
      <c r="F135">
        <v>1</v>
      </c>
      <c r="G135">
        <v>0</v>
      </c>
      <c r="H135">
        <v>4.08</v>
      </c>
      <c r="I135">
        <v>2.050251256281407E-2</v>
      </c>
      <c r="J135" t="s">
        <v>176</v>
      </c>
      <c r="K135">
        <v>0.14280000000000001</v>
      </c>
      <c r="L135">
        <v>4.2433025125628143</v>
      </c>
      <c r="M135">
        <v>0</v>
      </c>
      <c r="N135">
        <v>0</v>
      </c>
      <c r="O135">
        <v>4.2433025125628143</v>
      </c>
      <c r="P135" t="s">
        <v>177</v>
      </c>
      <c r="Q135">
        <v>0.25459815075376885</v>
      </c>
      <c r="R135" t="s">
        <v>177</v>
      </c>
      <c r="S135">
        <v>0</v>
      </c>
      <c r="T135" t="s">
        <v>178</v>
      </c>
      <c r="U135">
        <v>0.5091963015075377</v>
      </c>
      <c r="V135" t="s">
        <v>90</v>
      </c>
      <c r="W135">
        <v>0</v>
      </c>
      <c r="X135" t="s">
        <v>90</v>
      </c>
      <c r="Y135">
        <v>0</v>
      </c>
      <c r="Z135">
        <v>5.0070969648241208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0.41899999999999998</v>
      </c>
      <c r="AN135" t="s">
        <v>100</v>
      </c>
      <c r="AO135" t="s">
        <v>73</v>
      </c>
      <c r="AP135">
        <v>200000</v>
      </c>
      <c r="AQ135" t="s">
        <v>97</v>
      </c>
      <c r="AS135">
        <v>10000</v>
      </c>
      <c r="AT135" t="s">
        <v>1094</v>
      </c>
      <c r="AU135" t="s">
        <v>75</v>
      </c>
      <c r="AV135" t="s">
        <v>76</v>
      </c>
    </row>
    <row r="136" spans="1:48" x14ac:dyDescent="0.15">
      <c r="A136" s="4" t="str">
        <f>HYPERLINK("https://ibp.a2mac1.com/costing(costing:projects/details/9760/assembly/8411136)","Rear Brakes")</f>
        <v>Rear Brakes</v>
      </c>
      <c r="B136">
        <v>8411136</v>
      </c>
      <c r="D136">
        <v>8411124</v>
      </c>
      <c r="F136">
        <v>1</v>
      </c>
      <c r="G136">
        <v>0</v>
      </c>
      <c r="H136">
        <v>144.85431966423138</v>
      </c>
      <c r="I136">
        <v>0</v>
      </c>
      <c r="J136" t="s">
        <v>90</v>
      </c>
      <c r="K136">
        <v>0</v>
      </c>
      <c r="L136">
        <v>144.85431966423138</v>
      </c>
      <c r="M136">
        <v>0</v>
      </c>
      <c r="N136">
        <v>0</v>
      </c>
      <c r="O136">
        <v>144.85431966423138</v>
      </c>
      <c r="P136" t="s">
        <v>90</v>
      </c>
      <c r="Q136">
        <v>0</v>
      </c>
      <c r="R136" t="s">
        <v>90</v>
      </c>
      <c r="S136">
        <v>0</v>
      </c>
      <c r="T136" t="s">
        <v>90</v>
      </c>
      <c r="U136">
        <v>0</v>
      </c>
      <c r="V136" t="s">
        <v>90</v>
      </c>
      <c r="W136">
        <v>0</v>
      </c>
      <c r="X136" t="s">
        <v>90</v>
      </c>
      <c r="Y136">
        <v>0</v>
      </c>
      <c r="Z136">
        <v>144.85431966423138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27.414999999999999</v>
      </c>
      <c r="AN136" t="s">
        <v>72</v>
      </c>
      <c r="AO136" t="s">
        <v>73</v>
      </c>
      <c r="AP136">
        <v>200000</v>
      </c>
      <c r="AQ136" t="s">
        <v>73</v>
      </c>
      <c r="AS136">
        <v>10000</v>
      </c>
      <c r="AT136" t="s">
        <v>1102</v>
      </c>
      <c r="AU136" t="s">
        <v>75</v>
      </c>
      <c r="AV136" t="s">
        <v>76</v>
      </c>
    </row>
    <row r="137" spans="1:48" x14ac:dyDescent="0.15">
      <c r="A137" s="4" t="str">
        <f>HYPERLINK("https://ibp.a2mac1.com/costing(costing:projects/details/9760/assembly/8411124)","Brakes Mechanism")</f>
        <v>Brakes Mechanism</v>
      </c>
      <c r="B137">
        <v>8411124</v>
      </c>
      <c r="C137">
        <v>9760</v>
      </c>
      <c r="F137">
        <v>1</v>
      </c>
      <c r="G137">
        <v>0</v>
      </c>
      <c r="H137">
        <v>590.65997188438416</v>
      </c>
      <c r="I137">
        <v>0</v>
      </c>
      <c r="J137" t="s">
        <v>90</v>
      </c>
      <c r="K137">
        <v>0</v>
      </c>
      <c r="L137">
        <v>590.65997188438416</v>
      </c>
      <c r="M137">
        <v>0</v>
      </c>
      <c r="N137">
        <v>0</v>
      </c>
      <c r="O137">
        <v>590.65997188438416</v>
      </c>
      <c r="P137" t="s">
        <v>90</v>
      </c>
      <c r="Q137">
        <v>0</v>
      </c>
      <c r="R137" t="s">
        <v>90</v>
      </c>
      <c r="S137">
        <v>0</v>
      </c>
      <c r="T137" t="s">
        <v>90</v>
      </c>
      <c r="U137">
        <v>0</v>
      </c>
      <c r="V137" t="s">
        <v>90</v>
      </c>
      <c r="W137">
        <v>0</v>
      </c>
      <c r="X137" t="s">
        <v>90</v>
      </c>
      <c r="Y137">
        <v>0</v>
      </c>
      <c r="Z137">
        <v>590.65997188438416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72.593999999999994</v>
      </c>
      <c r="AN137" t="s">
        <v>72</v>
      </c>
      <c r="AO137" t="s">
        <v>73</v>
      </c>
      <c r="AP137">
        <v>200000</v>
      </c>
      <c r="AQ137" t="s">
        <v>73</v>
      </c>
      <c r="AS137">
        <v>10000</v>
      </c>
      <c r="AT137" t="s">
        <v>1103</v>
      </c>
      <c r="AU137" t="s">
        <v>75</v>
      </c>
      <c r="AV137" t="s">
        <v>76</v>
      </c>
    </row>
    <row r="138" spans="1:48" x14ac:dyDescent="0.15">
      <c r="A138" s="4" t="str">
        <f>HYPERLINK("https://ibp.a2mac1.com/costing(costing:projects/details/9760/assembly/8411208)","Covers")</f>
        <v>Covers</v>
      </c>
      <c r="B138">
        <v>8411208</v>
      </c>
      <c r="D138">
        <v>8411137</v>
      </c>
      <c r="F138">
        <v>1</v>
      </c>
      <c r="G138">
        <v>0</v>
      </c>
      <c r="H138">
        <v>6.3497300000000001</v>
      </c>
      <c r="I138">
        <v>0</v>
      </c>
      <c r="J138" t="s">
        <v>90</v>
      </c>
      <c r="K138">
        <v>0</v>
      </c>
      <c r="L138">
        <v>6.3497300000000001</v>
      </c>
      <c r="M138">
        <v>0</v>
      </c>
      <c r="N138">
        <v>0</v>
      </c>
      <c r="O138">
        <v>6.3497300000000001</v>
      </c>
      <c r="P138" t="s">
        <v>90</v>
      </c>
      <c r="Q138">
        <v>0</v>
      </c>
      <c r="R138" t="s">
        <v>90</v>
      </c>
      <c r="S138">
        <v>0</v>
      </c>
      <c r="T138" t="s">
        <v>90</v>
      </c>
      <c r="U138">
        <v>0</v>
      </c>
      <c r="V138" t="s">
        <v>90</v>
      </c>
      <c r="W138">
        <v>0</v>
      </c>
      <c r="X138" t="s">
        <v>90</v>
      </c>
      <c r="Y138">
        <v>0</v>
      </c>
      <c r="Z138">
        <v>6.3497300000000001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2.6469999999999998</v>
      </c>
      <c r="AN138" t="s">
        <v>72</v>
      </c>
      <c r="AO138" t="s">
        <v>73</v>
      </c>
      <c r="AP138">
        <v>200000</v>
      </c>
      <c r="AQ138" t="s">
        <v>73</v>
      </c>
      <c r="AS138">
        <v>10000</v>
      </c>
      <c r="AT138" t="s">
        <v>1118</v>
      </c>
      <c r="AU138" t="s">
        <v>75</v>
      </c>
      <c r="AV138" t="s">
        <v>76</v>
      </c>
    </row>
    <row r="139" spans="1:48" x14ac:dyDescent="0.15">
      <c r="A139" s="4" t="str">
        <f>HYPERLINK("https://ibp.a2mac1.com/costing(costing:projects/details/9760/assembly/8411325)","Intake Air Vent Motor")</f>
        <v>Intake Air Vent Motor</v>
      </c>
      <c r="B139">
        <v>8411325</v>
      </c>
      <c r="D139">
        <v>8411210</v>
      </c>
      <c r="F139">
        <v>1</v>
      </c>
      <c r="G139">
        <v>0</v>
      </c>
      <c r="H139">
        <v>3.4193699999999998</v>
      </c>
      <c r="I139">
        <v>0</v>
      </c>
      <c r="J139" t="s">
        <v>90</v>
      </c>
      <c r="K139">
        <v>0</v>
      </c>
      <c r="L139">
        <v>3.4193699999999998</v>
      </c>
      <c r="M139">
        <v>0</v>
      </c>
      <c r="N139">
        <v>0</v>
      </c>
      <c r="O139">
        <v>3.4193699999999998</v>
      </c>
      <c r="P139" t="s">
        <v>90</v>
      </c>
      <c r="Q139">
        <v>0</v>
      </c>
      <c r="R139" t="s">
        <v>90</v>
      </c>
      <c r="S139">
        <v>0</v>
      </c>
      <c r="T139" t="s">
        <v>90</v>
      </c>
      <c r="U139">
        <v>0</v>
      </c>
      <c r="V139" t="s">
        <v>90</v>
      </c>
      <c r="W139">
        <v>0</v>
      </c>
      <c r="X139" t="s">
        <v>90</v>
      </c>
      <c r="Y139">
        <v>0</v>
      </c>
      <c r="Z139">
        <v>3.4193699999999998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0.20399999999999999</v>
      </c>
      <c r="AN139" t="s">
        <v>72</v>
      </c>
      <c r="AO139" t="s">
        <v>73</v>
      </c>
      <c r="AP139">
        <v>200000</v>
      </c>
      <c r="AQ139" t="s">
        <v>73</v>
      </c>
      <c r="AS139">
        <v>10000</v>
      </c>
      <c r="AT139" t="s">
        <v>1124</v>
      </c>
      <c r="AU139" t="s">
        <v>75</v>
      </c>
      <c r="AV139" t="s">
        <v>76</v>
      </c>
    </row>
    <row r="140" spans="1:48" x14ac:dyDescent="0.15">
      <c r="A140" s="4" t="str">
        <f>HYPERLINK("https://ibp.a2mac1.com/costing(costing:projects/details/9760/assembly/8411326)","Central Air Vent Flap Motor")</f>
        <v>Central Air Vent Flap Motor</v>
      </c>
      <c r="B140">
        <v>8411326</v>
      </c>
      <c r="D140">
        <v>8411210</v>
      </c>
      <c r="F140">
        <v>1</v>
      </c>
      <c r="G140">
        <v>0</v>
      </c>
      <c r="H140">
        <v>3</v>
      </c>
      <c r="I140">
        <v>0</v>
      </c>
      <c r="J140" t="s">
        <v>90</v>
      </c>
      <c r="K140">
        <v>0</v>
      </c>
      <c r="L140">
        <v>3</v>
      </c>
      <c r="M140">
        <v>0</v>
      </c>
      <c r="N140">
        <v>0</v>
      </c>
      <c r="O140">
        <v>3</v>
      </c>
      <c r="P140" t="s">
        <v>90</v>
      </c>
      <c r="Q140">
        <v>0</v>
      </c>
      <c r="R140" t="s">
        <v>90</v>
      </c>
      <c r="S140">
        <v>0</v>
      </c>
      <c r="T140" t="s">
        <v>90</v>
      </c>
      <c r="U140">
        <v>0</v>
      </c>
      <c r="V140" t="s">
        <v>90</v>
      </c>
      <c r="W140">
        <v>0</v>
      </c>
      <c r="X140" t="s">
        <v>90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8.8999999999999996E-2</v>
      </c>
      <c r="AN140" t="s">
        <v>72</v>
      </c>
      <c r="AO140" t="s">
        <v>73</v>
      </c>
      <c r="AP140">
        <v>200000</v>
      </c>
      <c r="AQ140" t="s">
        <v>73</v>
      </c>
      <c r="AS140">
        <v>10000</v>
      </c>
      <c r="AT140" t="s">
        <v>1127</v>
      </c>
      <c r="AU140" t="s">
        <v>75</v>
      </c>
      <c r="AV140" t="s">
        <v>76</v>
      </c>
    </row>
    <row r="141" spans="1:48" x14ac:dyDescent="0.15">
      <c r="A141" s="4" t="str">
        <f>HYPERLINK("https://ibp.a2mac1.com/costing(costing:projects/details/9760/assembly/8411327)","Heater Core Motors")</f>
        <v>Heater Core Motors</v>
      </c>
      <c r="B141">
        <v>8411327</v>
      </c>
      <c r="D141">
        <v>8411210</v>
      </c>
      <c r="F141">
        <v>1</v>
      </c>
      <c r="G141">
        <v>0</v>
      </c>
      <c r="H141">
        <v>8</v>
      </c>
      <c r="I141">
        <v>0</v>
      </c>
      <c r="J141" t="s">
        <v>90</v>
      </c>
      <c r="K141">
        <v>0</v>
      </c>
      <c r="L141">
        <v>8</v>
      </c>
      <c r="M141">
        <v>0</v>
      </c>
      <c r="N141">
        <v>0</v>
      </c>
      <c r="O141">
        <v>8</v>
      </c>
      <c r="P141" t="s">
        <v>90</v>
      </c>
      <c r="Q141">
        <v>0</v>
      </c>
      <c r="R141" t="s">
        <v>90</v>
      </c>
      <c r="S141">
        <v>0</v>
      </c>
      <c r="T141" t="s">
        <v>90</v>
      </c>
      <c r="U141">
        <v>0</v>
      </c>
      <c r="V141" t="s">
        <v>90</v>
      </c>
      <c r="W141">
        <v>0</v>
      </c>
      <c r="X141" t="s">
        <v>90</v>
      </c>
      <c r="Y141">
        <v>0</v>
      </c>
      <c r="Z141">
        <v>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0.111</v>
      </c>
      <c r="AN141" t="s">
        <v>72</v>
      </c>
      <c r="AO141" t="s">
        <v>73</v>
      </c>
      <c r="AP141">
        <v>200000</v>
      </c>
      <c r="AQ141" t="s">
        <v>73</v>
      </c>
      <c r="AS141">
        <v>10000</v>
      </c>
      <c r="AT141" t="s">
        <v>1131</v>
      </c>
      <c r="AU141" t="s">
        <v>75</v>
      </c>
      <c r="AV141" t="s">
        <v>76</v>
      </c>
    </row>
    <row r="142" spans="1:48" x14ac:dyDescent="0.15">
      <c r="A142" s="4" t="str">
        <f>HYPERLINK("https://ibp.a2mac1.com/costing(costing:projects/details/9760/assembly/8411328)","Windscreen Vent Flap Motor")</f>
        <v>Windscreen Vent Flap Motor</v>
      </c>
      <c r="B142">
        <v>8411328</v>
      </c>
      <c r="D142">
        <v>8411210</v>
      </c>
      <c r="F142">
        <v>1</v>
      </c>
      <c r="G142">
        <v>0</v>
      </c>
      <c r="H142">
        <v>3</v>
      </c>
      <c r="I142">
        <v>0</v>
      </c>
      <c r="J142" t="s">
        <v>90</v>
      </c>
      <c r="K142">
        <v>0</v>
      </c>
      <c r="L142">
        <v>3</v>
      </c>
      <c r="M142">
        <v>0</v>
      </c>
      <c r="N142">
        <v>0</v>
      </c>
      <c r="O142">
        <v>3</v>
      </c>
      <c r="P142" t="s">
        <v>90</v>
      </c>
      <c r="Q142">
        <v>0</v>
      </c>
      <c r="R142" t="s">
        <v>90</v>
      </c>
      <c r="S142">
        <v>0</v>
      </c>
      <c r="T142" t="s">
        <v>90</v>
      </c>
      <c r="U142">
        <v>0</v>
      </c>
      <c r="V142" t="s">
        <v>90</v>
      </c>
      <c r="W142">
        <v>0</v>
      </c>
      <c r="X142" t="s">
        <v>90</v>
      </c>
      <c r="Y142">
        <v>0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8.8999999999999996E-2</v>
      </c>
      <c r="AN142" t="s">
        <v>72</v>
      </c>
      <c r="AO142" t="s">
        <v>73</v>
      </c>
      <c r="AP142">
        <v>200000</v>
      </c>
      <c r="AQ142" t="s">
        <v>73</v>
      </c>
      <c r="AS142">
        <v>10000</v>
      </c>
      <c r="AT142" t="s">
        <v>1134</v>
      </c>
      <c r="AU142" t="s">
        <v>75</v>
      </c>
      <c r="AV142" t="s">
        <v>76</v>
      </c>
    </row>
    <row r="143" spans="1:48" x14ac:dyDescent="0.15">
      <c r="A143" s="4" t="str">
        <f>HYPERLINK("https://ibp.a2mac1.com/costing(costing:projects/details/9760/assembly/8411329)","2nd Row Air Vent Motor")</f>
        <v>2nd Row Air Vent Motor</v>
      </c>
      <c r="B143">
        <v>8411329</v>
      </c>
      <c r="D143">
        <v>8411210</v>
      </c>
      <c r="F143">
        <v>1</v>
      </c>
      <c r="G143">
        <v>0</v>
      </c>
      <c r="H143">
        <v>3</v>
      </c>
      <c r="I143">
        <v>0</v>
      </c>
      <c r="J143" t="s">
        <v>90</v>
      </c>
      <c r="K143">
        <v>0</v>
      </c>
      <c r="L143">
        <v>3</v>
      </c>
      <c r="M143">
        <v>0</v>
      </c>
      <c r="N143">
        <v>0</v>
      </c>
      <c r="O143">
        <v>3</v>
      </c>
      <c r="P143" t="s">
        <v>90</v>
      </c>
      <c r="Q143">
        <v>0</v>
      </c>
      <c r="R143" t="s">
        <v>90</v>
      </c>
      <c r="S143">
        <v>0</v>
      </c>
      <c r="T143" t="s">
        <v>90</v>
      </c>
      <c r="U143">
        <v>0</v>
      </c>
      <c r="V143" t="s">
        <v>90</v>
      </c>
      <c r="W143">
        <v>0</v>
      </c>
      <c r="X143" t="s">
        <v>90</v>
      </c>
      <c r="Y143">
        <v>0</v>
      </c>
      <c r="Z143">
        <v>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8.8999999999999996E-2</v>
      </c>
      <c r="AN143" t="s">
        <v>72</v>
      </c>
      <c r="AO143" t="s">
        <v>73</v>
      </c>
      <c r="AP143">
        <v>200000</v>
      </c>
      <c r="AQ143" t="s">
        <v>73</v>
      </c>
      <c r="AS143">
        <v>10000</v>
      </c>
      <c r="AT143" t="s">
        <v>1137</v>
      </c>
      <c r="AU143" t="s">
        <v>75</v>
      </c>
      <c r="AV143" t="s">
        <v>76</v>
      </c>
    </row>
    <row r="144" spans="1:48" x14ac:dyDescent="0.15">
      <c r="A144" s="4" t="str">
        <f>HYPERLINK("https://ibp.a2mac1.com/costing(costing:projects/details/9760/assembly/8411210)","Motors")</f>
        <v>Motors</v>
      </c>
      <c r="B144">
        <v>8411210</v>
      </c>
      <c r="D144">
        <v>8411137</v>
      </c>
      <c r="F144">
        <v>1</v>
      </c>
      <c r="G144">
        <v>0</v>
      </c>
      <c r="H144">
        <v>20.419370000000001</v>
      </c>
      <c r="I144">
        <v>0</v>
      </c>
      <c r="J144" t="s">
        <v>90</v>
      </c>
      <c r="K144">
        <v>0</v>
      </c>
      <c r="L144">
        <v>20.419370000000001</v>
      </c>
      <c r="M144">
        <v>0</v>
      </c>
      <c r="N144">
        <v>0</v>
      </c>
      <c r="O144">
        <v>20.419370000000001</v>
      </c>
      <c r="P144" t="s">
        <v>90</v>
      </c>
      <c r="Q144">
        <v>0</v>
      </c>
      <c r="R144" t="s">
        <v>90</v>
      </c>
      <c r="S144">
        <v>0</v>
      </c>
      <c r="T144" t="s">
        <v>90</v>
      </c>
      <c r="U144">
        <v>0</v>
      </c>
      <c r="V144" t="s">
        <v>90</v>
      </c>
      <c r="W144">
        <v>0</v>
      </c>
      <c r="X144" t="s">
        <v>90</v>
      </c>
      <c r="Y144">
        <v>0</v>
      </c>
      <c r="Z144">
        <v>20.419370000000001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0.58199999999999996</v>
      </c>
      <c r="AN144" t="s">
        <v>72</v>
      </c>
      <c r="AO144" t="s">
        <v>73</v>
      </c>
      <c r="AP144">
        <v>200000</v>
      </c>
      <c r="AQ144" t="s">
        <v>73</v>
      </c>
      <c r="AS144">
        <v>10000</v>
      </c>
      <c r="AT144" t="s">
        <v>1138</v>
      </c>
      <c r="AU144" t="s">
        <v>75</v>
      </c>
      <c r="AV144" t="s">
        <v>76</v>
      </c>
    </row>
    <row r="145" spans="1:48" x14ac:dyDescent="0.15">
      <c r="A145" s="4" t="str">
        <f>HYPERLINK("https://ibp.a2mac1.com/costing(costing:projects/details/9760/assembly/8411336)","Upper Front Part")</f>
        <v>Upper Front Part</v>
      </c>
      <c r="B145">
        <v>8411336</v>
      </c>
      <c r="D145">
        <v>8411212</v>
      </c>
      <c r="F145">
        <v>1</v>
      </c>
      <c r="G145">
        <v>0</v>
      </c>
      <c r="H145">
        <v>0.31639</v>
      </c>
      <c r="I145">
        <v>0</v>
      </c>
      <c r="J145" t="s">
        <v>90</v>
      </c>
      <c r="K145">
        <v>0</v>
      </c>
      <c r="L145">
        <v>0.31639</v>
      </c>
      <c r="M145">
        <v>0</v>
      </c>
      <c r="N145">
        <v>0</v>
      </c>
      <c r="O145">
        <v>0.31639</v>
      </c>
      <c r="P145" t="s">
        <v>90</v>
      </c>
      <c r="Q145">
        <v>0</v>
      </c>
      <c r="R145" t="s">
        <v>90</v>
      </c>
      <c r="S145">
        <v>0</v>
      </c>
      <c r="T145" t="s">
        <v>90</v>
      </c>
      <c r="U145">
        <v>0</v>
      </c>
      <c r="V145" t="s">
        <v>90</v>
      </c>
      <c r="W145">
        <v>0</v>
      </c>
      <c r="X145" t="s">
        <v>90</v>
      </c>
      <c r="Y145">
        <v>0</v>
      </c>
      <c r="Z145">
        <v>0.31639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6.5000000000000002E-2</v>
      </c>
      <c r="AN145" t="s">
        <v>72</v>
      </c>
      <c r="AO145" t="s">
        <v>73</v>
      </c>
      <c r="AP145">
        <v>200000</v>
      </c>
      <c r="AQ145" t="s">
        <v>73</v>
      </c>
      <c r="AS145">
        <v>10000</v>
      </c>
      <c r="AT145" t="s">
        <v>1144</v>
      </c>
      <c r="AU145" t="s">
        <v>75</v>
      </c>
      <c r="AV145" t="s">
        <v>76</v>
      </c>
    </row>
    <row r="146" spans="1:48" x14ac:dyDescent="0.15">
      <c r="A146" s="4" t="str">
        <f>HYPERLINK("https://ibp.a2mac1.com/costing(costing:projects/details/9760/assembly/8411337)","Windshield Demisting")</f>
        <v>Windshield Demisting</v>
      </c>
      <c r="B146">
        <v>8411337</v>
      </c>
      <c r="D146">
        <v>8411212</v>
      </c>
      <c r="F146">
        <v>1</v>
      </c>
      <c r="G146">
        <v>0</v>
      </c>
      <c r="H146">
        <v>0.21967</v>
      </c>
      <c r="I146">
        <v>0</v>
      </c>
      <c r="J146" t="s">
        <v>90</v>
      </c>
      <c r="K146">
        <v>0</v>
      </c>
      <c r="L146">
        <v>0.21967</v>
      </c>
      <c r="M146">
        <v>0</v>
      </c>
      <c r="N146">
        <v>0</v>
      </c>
      <c r="O146">
        <v>0.21967</v>
      </c>
      <c r="P146" t="s">
        <v>90</v>
      </c>
      <c r="Q146">
        <v>0</v>
      </c>
      <c r="R146" t="s">
        <v>90</v>
      </c>
      <c r="S146">
        <v>0</v>
      </c>
      <c r="T146" t="s">
        <v>90</v>
      </c>
      <c r="U146">
        <v>0</v>
      </c>
      <c r="V146" t="s">
        <v>90</v>
      </c>
      <c r="W146">
        <v>0</v>
      </c>
      <c r="X146" t="s">
        <v>90</v>
      </c>
      <c r="Y146">
        <v>0</v>
      </c>
      <c r="Z146">
        <v>0.21967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6.3E-2</v>
      </c>
      <c r="AN146" t="s">
        <v>72</v>
      </c>
      <c r="AO146" t="s">
        <v>73</v>
      </c>
      <c r="AP146">
        <v>200000</v>
      </c>
      <c r="AQ146" t="s">
        <v>73</v>
      </c>
      <c r="AS146">
        <v>10000</v>
      </c>
      <c r="AT146" t="s">
        <v>1147</v>
      </c>
      <c r="AU146" t="s">
        <v>75</v>
      </c>
      <c r="AV146" t="s">
        <v>76</v>
      </c>
    </row>
    <row r="147" spans="1:48" x14ac:dyDescent="0.15">
      <c r="A147" s="4" t="str">
        <f>HYPERLINK("https://ibp.a2mac1.com/costing(costing:projects/details/9760/assembly/8411338)","Lower Front Part")</f>
        <v>Lower Front Part</v>
      </c>
      <c r="B147">
        <v>8411338</v>
      </c>
      <c r="D147">
        <v>8411212</v>
      </c>
      <c r="F147">
        <v>1</v>
      </c>
      <c r="G147">
        <v>0</v>
      </c>
      <c r="H147">
        <v>0.26667000000000002</v>
      </c>
      <c r="I147">
        <v>0</v>
      </c>
      <c r="J147" t="s">
        <v>90</v>
      </c>
      <c r="K147">
        <v>0</v>
      </c>
      <c r="L147">
        <v>0.26667000000000002</v>
      </c>
      <c r="M147">
        <v>0</v>
      </c>
      <c r="N147">
        <v>0</v>
      </c>
      <c r="O147">
        <v>0.26667000000000002</v>
      </c>
      <c r="P147" t="s">
        <v>90</v>
      </c>
      <c r="Q147">
        <v>0</v>
      </c>
      <c r="R147" t="s">
        <v>90</v>
      </c>
      <c r="S147">
        <v>0</v>
      </c>
      <c r="T147" t="s">
        <v>90</v>
      </c>
      <c r="U147">
        <v>0</v>
      </c>
      <c r="V147" t="s">
        <v>90</v>
      </c>
      <c r="W147">
        <v>0</v>
      </c>
      <c r="X147" t="s">
        <v>90</v>
      </c>
      <c r="Y147">
        <v>0</v>
      </c>
      <c r="Z147">
        <v>0.26667000000000002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4.2000000000000003E-2</v>
      </c>
      <c r="AN147" t="s">
        <v>72</v>
      </c>
      <c r="AO147" t="s">
        <v>73</v>
      </c>
      <c r="AP147">
        <v>200000</v>
      </c>
      <c r="AQ147" t="s">
        <v>73</v>
      </c>
      <c r="AS147">
        <v>10000</v>
      </c>
      <c r="AT147" t="s">
        <v>1151</v>
      </c>
      <c r="AU147" t="s">
        <v>75</v>
      </c>
      <c r="AV147" t="s">
        <v>76</v>
      </c>
    </row>
    <row r="148" spans="1:48" x14ac:dyDescent="0.15">
      <c r="A148" s="4" t="str">
        <f>HYPERLINK("https://ibp.a2mac1.com/costing(costing:projects/details/9760/assembly/8411339)","Row 2 Center")</f>
        <v>Row 2 Center</v>
      </c>
      <c r="B148">
        <v>8411339</v>
      </c>
      <c r="D148">
        <v>8411212</v>
      </c>
      <c r="F148">
        <v>1</v>
      </c>
      <c r="G148">
        <v>0</v>
      </c>
      <c r="H148">
        <v>0.14219000000000001</v>
      </c>
      <c r="I148">
        <v>0</v>
      </c>
      <c r="J148" t="s">
        <v>90</v>
      </c>
      <c r="K148">
        <v>0</v>
      </c>
      <c r="L148">
        <v>0.14219000000000001</v>
      </c>
      <c r="M148">
        <v>0</v>
      </c>
      <c r="N148">
        <v>0</v>
      </c>
      <c r="O148">
        <v>0.14219000000000001</v>
      </c>
      <c r="P148" t="s">
        <v>90</v>
      </c>
      <c r="Q148">
        <v>0</v>
      </c>
      <c r="R148" t="s">
        <v>90</v>
      </c>
      <c r="S148">
        <v>0</v>
      </c>
      <c r="T148" t="s">
        <v>90</v>
      </c>
      <c r="U148">
        <v>0</v>
      </c>
      <c r="V148" t="s">
        <v>90</v>
      </c>
      <c r="W148">
        <v>0</v>
      </c>
      <c r="X148" t="s">
        <v>90</v>
      </c>
      <c r="Y148">
        <v>0</v>
      </c>
      <c r="Z148">
        <v>0.14219000000000001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2.5000000000000001E-2</v>
      </c>
      <c r="AN148" t="s">
        <v>72</v>
      </c>
      <c r="AO148" t="s">
        <v>73</v>
      </c>
      <c r="AP148">
        <v>200000</v>
      </c>
      <c r="AQ148" t="s">
        <v>73</v>
      </c>
      <c r="AS148">
        <v>10000</v>
      </c>
      <c r="AT148" t="s">
        <v>1154</v>
      </c>
      <c r="AU148" t="s">
        <v>75</v>
      </c>
      <c r="AV148" t="s">
        <v>76</v>
      </c>
    </row>
    <row r="149" spans="1:48" x14ac:dyDescent="0.15">
      <c r="A149" s="4" t="str">
        <f>HYPERLINK("https://ibp.a2mac1.com/costing(costing:projects/details/9760/assembly/8411340)","Feet Row 2")</f>
        <v>Feet Row 2</v>
      </c>
      <c r="B149">
        <v>8411340</v>
      </c>
      <c r="D149">
        <v>8411212</v>
      </c>
      <c r="F149">
        <v>1</v>
      </c>
      <c r="G149">
        <v>0</v>
      </c>
      <c r="H149">
        <v>0.14001</v>
      </c>
      <c r="I149">
        <v>0</v>
      </c>
      <c r="J149" t="s">
        <v>90</v>
      </c>
      <c r="K149">
        <v>0</v>
      </c>
      <c r="L149">
        <v>0.14001</v>
      </c>
      <c r="M149">
        <v>0</v>
      </c>
      <c r="N149">
        <v>0</v>
      </c>
      <c r="O149">
        <v>0.14001</v>
      </c>
      <c r="P149" t="s">
        <v>90</v>
      </c>
      <c r="Q149">
        <v>0</v>
      </c>
      <c r="R149" t="s">
        <v>90</v>
      </c>
      <c r="S149">
        <v>0</v>
      </c>
      <c r="T149" t="s">
        <v>90</v>
      </c>
      <c r="U149">
        <v>0</v>
      </c>
      <c r="V149" t="s">
        <v>90</v>
      </c>
      <c r="W149">
        <v>0</v>
      </c>
      <c r="X149" t="s">
        <v>90</v>
      </c>
      <c r="Y149">
        <v>0</v>
      </c>
      <c r="Z149">
        <v>0.14001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2.4E-2</v>
      </c>
      <c r="AN149" t="s">
        <v>72</v>
      </c>
      <c r="AO149" t="s">
        <v>73</v>
      </c>
      <c r="AP149">
        <v>200000</v>
      </c>
      <c r="AQ149" t="s">
        <v>73</v>
      </c>
      <c r="AS149">
        <v>10000</v>
      </c>
      <c r="AT149" t="s">
        <v>1157</v>
      </c>
      <c r="AU149" t="s">
        <v>75</v>
      </c>
      <c r="AV149" t="s">
        <v>76</v>
      </c>
    </row>
    <row r="150" spans="1:48" x14ac:dyDescent="0.15">
      <c r="A150" s="4" t="str">
        <f>HYPERLINK("https://ibp.a2mac1.com/costing(costing:projects/details/9760/assembly/8411212)","Selection Flaps")</f>
        <v>Selection Flaps</v>
      </c>
      <c r="B150">
        <v>8411212</v>
      </c>
      <c r="D150">
        <v>8411137</v>
      </c>
      <c r="F150">
        <v>1</v>
      </c>
      <c r="G150">
        <v>0</v>
      </c>
      <c r="H150">
        <v>2.2795100000000001</v>
      </c>
      <c r="I150">
        <v>0</v>
      </c>
      <c r="J150" t="s">
        <v>90</v>
      </c>
      <c r="K150">
        <v>0</v>
      </c>
      <c r="L150">
        <v>2.2795100000000001</v>
      </c>
      <c r="M150">
        <v>0</v>
      </c>
      <c r="N150">
        <v>0</v>
      </c>
      <c r="O150">
        <v>2.2795100000000001</v>
      </c>
      <c r="P150" t="s">
        <v>90</v>
      </c>
      <c r="Q150">
        <v>0</v>
      </c>
      <c r="R150" t="s">
        <v>90</v>
      </c>
      <c r="S150">
        <v>0</v>
      </c>
      <c r="T150" t="s">
        <v>90</v>
      </c>
      <c r="U150">
        <v>0</v>
      </c>
      <c r="V150" t="s">
        <v>90</v>
      </c>
      <c r="W150">
        <v>0</v>
      </c>
      <c r="X150" t="s">
        <v>90</v>
      </c>
      <c r="Y150">
        <v>0</v>
      </c>
      <c r="Z150">
        <v>2.2795100000000001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0.53700000000000003</v>
      </c>
      <c r="AN150" t="s">
        <v>72</v>
      </c>
      <c r="AO150" t="s">
        <v>73</v>
      </c>
      <c r="AP150">
        <v>200000</v>
      </c>
      <c r="AQ150" t="s">
        <v>73</v>
      </c>
      <c r="AS150">
        <v>10000</v>
      </c>
      <c r="AT150" t="s">
        <v>1164</v>
      </c>
      <c r="AU150" t="s">
        <v>75</v>
      </c>
      <c r="AV150" t="s">
        <v>76</v>
      </c>
    </row>
    <row r="151" spans="1:48" x14ac:dyDescent="0.15">
      <c r="A151" s="4" t="str">
        <f>HYPERLINK("https://ibp.a2mac1.com/costing(costing:projects/details/9760/assembly/8411214)","Mechanism")</f>
        <v>Mechanism</v>
      </c>
      <c r="B151">
        <v>8411214</v>
      </c>
      <c r="D151">
        <v>8411137</v>
      </c>
      <c r="F151">
        <v>1</v>
      </c>
      <c r="G151">
        <v>0</v>
      </c>
      <c r="H151">
        <v>2.8945599999999998</v>
      </c>
      <c r="I151">
        <v>0</v>
      </c>
      <c r="J151" t="s">
        <v>90</v>
      </c>
      <c r="K151">
        <v>0</v>
      </c>
      <c r="L151">
        <v>2.8945599999999998</v>
      </c>
      <c r="M151">
        <v>0</v>
      </c>
      <c r="N151">
        <v>0</v>
      </c>
      <c r="O151">
        <v>2.8945599999999998</v>
      </c>
      <c r="P151" t="s">
        <v>90</v>
      </c>
      <c r="Q151">
        <v>0</v>
      </c>
      <c r="R151" t="s">
        <v>90</v>
      </c>
      <c r="S151">
        <v>0</v>
      </c>
      <c r="T151" t="s">
        <v>90</v>
      </c>
      <c r="U151">
        <v>0</v>
      </c>
      <c r="V151" t="s">
        <v>90</v>
      </c>
      <c r="W151">
        <v>0</v>
      </c>
      <c r="X151" t="s">
        <v>90</v>
      </c>
      <c r="Y151">
        <v>0</v>
      </c>
      <c r="Z151">
        <v>2.8945599999999998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0.255</v>
      </c>
      <c r="AN151" t="s">
        <v>72</v>
      </c>
      <c r="AO151" t="s">
        <v>73</v>
      </c>
      <c r="AP151">
        <v>200000</v>
      </c>
      <c r="AQ151" t="s">
        <v>73</v>
      </c>
      <c r="AS151">
        <v>10000</v>
      </c>
      <c r="AT151" t="s">
        <v>1193</v>
      </c>
      <c r="AU151" t="s">
        <v>75</v>
      </c>
      <c r="AV151" t="s">
        <v>76</v>
      </c>
    </row>
    <row r="152" spans="1:48" x14ac:dyDescent="0.15">
      <c r="A152" s="4" t="str">
        <f>HYPERLINK("https://ibp.a2mac1.com/costing(costing:projects/details/9760/assembly/8411440)","Covers")</f>
        <v>Covers</v>
      </c>
      <c r="B152">
        <v>8411440</v>
      </c>
      <c r="D152">
        <v>8411366</v>
      </c>
      <c r="F152">
        <v>1</v>
      </c>
      <c r="G152">
        <v>0</v>
      </c>
      <c r="H152">
        <v>1.4516500000000001</v>
      </c>
      <c r="I152">
        <v>0</v>
      </c>
      <c r="J152" t="s">
        <v>90</v>
      </c>
      <c r="K152">
        <v>0</v>
      </c>
      <c r="L152">
        <v>1.4516500000000001</v>
      </c>
      <c r="M152">
        <v>0</v>
      </c>
      <c r="N152">
        <v>0</v>
      </c>
      <c r="O152">
        <v>1.4516500000000001</v>
      </c>
      <c r="P152" t="s">
        <v>90</v>
      </c>
      <c r="Q152">
        <v>0</v>
      </c>
      <c r="R152" t="s">
        <v>90</v>
      </c>
      <c r="S152">
        <v>0</v>
      </c>
      <c r="T152" t="s">
        <v>90</v>
      </c>
      <c r="U152">
        <v>0</v>
      </c>
      <c r="V152" t="s">
        <v>90</v>
      </c>
      <c r="W152">
        <v>0</v>
      </c>
      <c r="X152" t="s">
        <v>90</v>
      </c>
      <c r="Y152">
        <v>0</v>
      </c>
      <c r="Z152">
        <v>1.4516500000000001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0.60099999999999998</v>
      </c>
      <c r="AN152" t="s">
        <v>72</v>
      </c>
      <c r="AO152" t="s">
        <v>73</v>
      </c>
      <c r="AP152">
        <v>200000</v>
      </c>
      <c r="AQ152" t="s">
        <v>73</v>
      </c>
      <c r="AS152">
        <v>10000</v>
      </c>
      <c r="AT152" t="s">
        <v>1199</v>
      </c>
      <c r="AU152" t="s">
        <v>75</v>
      </c>
      <c r="AV152" t="s">
        <v>76</v>
      </c>
    </row>
    <row r="153" spans="1:48" x14ac:dyDescent="0.15">
      <c r="A153" s="4" t="str">
        <f>HYPERLINK("https://ibp.a2mac1.com/costing(costing:projects/details/9760/assembly/8411366)","Air Unit")</f>
        <v>Air Unit</v>
      </c>
      <c r="B153">
        <v>8411366</v>
      </c>
      <c r="D153">
        <v>8411216</v>
      </c>
      <c r="F153">
        <v>1</v>
      </c>
      <c r="G153">
        <v>0</v>
      </c>
      <c r="H153">
        <v>18.569030000000001</v>
      </c>
      <c r="I153">
        <v>0</v>
      </c>
      <c r="J153" t="s">
        <v>90</v>
      </c>
      <c r="K153">
        <v>0</v>
      </c>
      <c r="L153">
        <v>18.569030000000001</v>
      </c>
      <c r="M153">
        <v>0</v>
      </c>
      <c r="N153">
        <v>0</v>
      </c>
      <c r="O153">
        <v>18.569030000000001</v>
      </c>
      <c r="P153" t="s">
        <v>90</v>
      </c>
      <c r="Q153">
        <v>0</v>
      </c>
      <c r="R153" t="s">
        <v>90</v>
      </c>
      <c r="S153">
        <v>0</v>
      </c>
      <c r="T153" t="s">
        <v>90</v>
      </c>
      <c r="U153">
        <v>0</v>
      </c>
      <c r="V153" t="s">
        <v>90</v>
      </c>
      <c r="W153">
        <v>0</v>
      </c>
      <c r="X153" t="s">
        <v>90</v>
      </c>
      <c r="Y153">
        <v>0</v>
      </c>
      <c r="Z153">
        <v>18.569030000000001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1.712</v>
      </c>
      <c r="AN153" t="s">
        <v>72</v>
      </c>
      <c r="AO153" t="s">
        <v>73</v>
      </c>
      <c r="AP153">
        <v>200000</v>
      </c>
      <c r="AQ153" t="s">
        <v>73</v>
      </c>
      <c r="AS153">
        <v>10000</v>
      </c>
      <c r="AT153" t="s">
        <v>1202</v>
      </c>
      <c r="AU153" t="s">
        <v>75</v>
      </c>
      <c r="AV153" t="s">
        <v>76</v>
      </c>
    </row>
    <row r="154" spans="1:48" x14ac:dyDescent="0.15">
      <c r="A154" s="4" t="str">
        <f>HYPERLINK("https://ibp.a2mac1.com/costing(costing:projects/details/9760/assembly/8411216)","Blowing Unit System")</f>
        <v>Blowing Unit System</v>
      </c>
      <c r="B154">
        <v>8411216</v>
      </c>
      <c r="D154">
        <v>8411137</v>
      </c>
      <c r="F154">
        <v>1</v>
      </c>
      <c r="G154">
        <v>0</v>
      </c>
      <c r="H154">
        <v>20.569030000000001</v>
      </c>
      <c r="I154">
        <v>0</v>
      </c>
      <c r="J154" t="s">
        <v>90</v>
      </c>
      <c r="K154">
        <v>0</v>
      </c>
      <c r="L154">
        <v>20.569030000000001</v>
      </c>
      <c r="M154">
        <v>0</v>
      </c>
      <c r="N154">
        <v>0</v>
      </c>
      <c r="O154">
        <v>20.569030000000001</v>
      </c>
      <c r="P154" t="s">
        <v>90</v>
      </c>
      <c r="Q154">
        <v>0</v>
      </c>
      <c r="R154" t="s">
        <v>90</v>
      </c>
      <c r="S154">
        <v>0</v>
      </c>
      <c r="T154" t="s">
        <v>90</v>
      </c>
      <c r="U154">
        <v>0</v>
      </c>
      <c r="V154" t="s">
        <v>90</v>
      </c>
      <c r="W154">
        <v>0</v>
      </c>
      <c r="X154" t="s">
        <v>90</v>
      </c>
      <c r="Y154">
        <v>0</v>
      </c>
      <c r="Z154">
        <v>20.569030000000001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1.7250000000000001</v>
      </c>
      <c r="AN154" t="s">
        <v>72</v>
      </c>
      <c r="AO154" t="s">
        <v>73</v>
      </c>
      <c r="AP154">
        <v>200000</v>
      </c>
      <c r="AQ154" t="s">
        <v>73</v>
      </c>
      <c r="AS154">
        <v>10000</v>
      </c>
      <c r="AT154" t="s">
        <v>1204</v>
      </c>
      <c r="AU154" t="s">
        <v>75</v>
      </c>
      <c r="AV154" t="s">
        <v>76</v>
      </c>
    </row>
    <row r="155" spans="1:48" x14ac:dyDescent="0.15">
      <c r="A155" s="4" t="str">
        <f>HYPERLINK("https://ibp.a2mac1.com/costing(costing:projects/details/9760/assembly/8411218)","Air Recycling")</f>
        <v>Air Recycling</v>
      </c>
      <c r="B155">
        <v>8411218</v>
      </c>
      <c r="D155">
        <v>8411137</v>
      </c>
      <c r="F155">
        <v>1</v>
      </c>
      <c r="G155">
        <v>0</v>
      </c>
      <c r="H155">
        <v>0.68045999999999995</v>
      </c>
      <c r="I155">
        <v>0</v>
      </c>
      <c r="J155" t="s">
        <v>90</v>
      </c>
      <c r="K155">
        <v>0</v>
      </c>
      <c r="L155">
        <v>0.68045999999999995</v>
      </c>
      <c r="M155">
        <v>0</v>
      </c>
      <c r="N155">
        <v>0</v>
      </c>
      <c r="O155">
        <v>0.68045999999999995</v>
      </c>
      <c r="P155" t="s">
        <v>90</v>
      </c>
      <c r="Q155">
        <v>0</v>
      </c>
      <c r="R155" t="s">
        <v>90</v>
      </c>
      <c r="S155">
        <v>0</v>
      </c>
      <c r="T155" t="s">
        <v>90</v>
      </c>
      <c r="U155">
        <v>0</v>
      </c>
      <c r="V155" t="s">
        <v>90</v>
      </c>
      <c r="W155">
        <v>0</v>
      </c>
      <c r="X155" t="s">
        <v>90</v>
      </c>
      <c r="Y155">
        <v>0</v>
      </c>
      <c r="Z155">
        <v>0.68045999999999995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0.182</v>
      </c>
      <c r="AN155" t="s">
        <v>72</v>
      </c>
      <c r="AO155" t="s">
        <v>73</v>
      </c>
      <c r="AP155">
        <v>200000</v>
      </c>
      <c r="AQ155" t="s">
        <v>73</v>
      </c>
      <c r="AS155">
        <v>10000</v>
      </c>
      <c r="AT155" t="s">
        <v>1209</v>
      </c>
      <c r="AU155" t="s">
        <v>75</v>
      </c>
      <c r="AV155" t="s">
        <v>76</v>
      </c>
    </row>
    <row r="156" spans="1:48" x14ac:dyDescent="0.15">
      <c r="A156" s="4" t="str">
        <f>HYPERLINK("https://ibp.a2mac1.com/costing(costing:projects/details/9760/assembly/8411220)","Evaporator System")</f>
        <v>Evaporator System</v>
      </c>
      <c r="B156">
        <v>8411220</v>
      </c>
      <c r="D156">
        <v>8411137</v>
      </c>
      <c r="F156">
        <v>1</v>
      </c>
      <c r="G156">
        <v>0</v>
      </c>
      <c r="H156">
        <v>21.16797</v>
      </c>
      <c r="I156">
        <v>0</v>
      </c>
      <c r="J156" t="s">
        <v>90</v>
      </c>
      <c r="K156">
        <v>0</v>
      </c>
      <c r="L156">
        <v>21.16797</v>
      </c>
      <c r="M156">
        <v>0</v>
      </c>
      <c r="N156">
        <v>0</v>
      </c>
      <c r="O156">
        <v>21.16797</v>
      </c>
      <c r="P156" t="s">
        <v>90</v>
      </c>
      <c r="Q156">
        <v>0</v>
      </c>
      <c r="R156" t="s">
        <v>90</v>
      </c>
      <c r="S156">
        <v>0</v>
      </c>
      <c r="T156" t="s">
        <v>90</v>
      </c>
      <c r="U156">
        <v>0</v>
      </c>
      <c r="V156" t="s">
        <v>90</v>
      </c>
      <c r="W156">
        <v>0</v>
      </c>
      <c r="X156" t="s">
        <v>90</v>
      </c>
      <c r="Y156">
        <v>0</v>
      </c>
      <c r="Z156">
        <v>21.16797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2.556</v>
      </c>
      <c r="AN156" t="s">
        <v>72</v>
      </c>
      <c r="AO156" t="s">
        <v>73</v>
      </c>
      <c r="AP156">
        <v>200000</v>
      </c>
      <c r="AQ156" t="s">
        <v>73</v>
      </c>
      <c r="AS156">
        <v>10000</v>
      </c>
      <c r="AT156" t="s">
        <v>1219</v>
      </c>
      <c r="AU156" t="s">
        <v>75</v>
      </c>
      <c r="AV156" t="s">
        <v>76</v>
      </c>
    </row>
    <row r="157" spans="1:48" x14ac:dyDescent="0.15">
      <c r="A157" s="4" t="str">
        <f>HYPERLINK("https://ibp.a2mac1.com/costing(costing:projects/details/9760/assembly/8411381)","Pipe Supports")</f>
        <v>Pipe Supports</v>
      </c>
      <c r="B157">
        <v>8411381</v>
      </c>
      <c r="D157">
        <v>8411222</v>
      </c>
      <c r="F157">
        <v>1</v>
      </c>
      <c r="G157">
        <v>0</v>
      </c>
      <c r="H157">
        <v>3.7249999999999998E-2</v>
      </c>
      <c r="I157">
        <v>0</v>
      </c>
      <c r="J157" t="s">
        <v>90</v>
      </c>
      <c r="K157">
        <v>0</v>
      </c>
      <c r="L157">
        <v>3.7249999999999998E-2</v>
      </c>
      <c r="M157">
        <v>0</v>
      </c>
      <c r="N157">
        <v>0</v>
      </c>
      <c r="O157">
        <v>3.7249999999999998E-2</v>
      </c>
      <c r="P157" t="s">
        <v>90</v>
      </c>
      <c r="Q157">
        <v>0</v>
      </c>
      <c r="R157" t="s">
        <v>90</v>
      </c>
      <c r="S157">
        <v>0</v>
      </c>
      <c r="T157" t="s">
        <v>90</v>
      </c>
      <c r="U157">
        <v>0</v>
      </c>
      <c r="V157" t="s">
        <v>90</v>
      </c>
      <c r="W157">
        <v>0</v>
      </c>
      <c r="X157" t="s">
        <v>90</v>
      </c>
      <c r="Y157">
        <v>0</v>
      </c>
      <c r="Z157">
        <v>3.7249999999999998E-2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1.7999999999999999E-2</v>
      </c>
      <c r="AN157" t="s">
        <v>72</v>
      </c>
      <c r="AO157" t="s">
        <v>73</v>
      </c>
      <c r="AP157">
        <v>200000</v>
      </c>
      <c r="AQ157" t="s">
        <v>73</v>
      </c>
      <c r="AS157">
        <v>10000</v>
      </c>
      <c r="AT157" t="s">
        <v>1224</v>
      </c>
      <c r="AU157" t="s">
        <v>75</v>
      </c>
      <c r="AV157" t="s">
        <v>76</v>
      </c>
    </row>
    <row r="158" spans="1:48" x14ac:dyDescent="0.15">
      <c r="A158" s="4" t="str">
        <f>HYPERLINK("https://ibp.a2mac1.com/costing(costing:projects/details/9760/assembly/8411222)","Radiator System")</f>
        <v>Radiator System</v>
      </c>
      <c r="B158">
        <v>8411222</v>
      </c>
      <c r="D158">
        <v>8411137</v>
      </c>
      <c r="F158">
        <v>1</v>
      </c>
      <c r="G158">
        <v>0</v>
      </c>
      <c r="H158">
        <v>11.521789999999999</v>
      </c>
      <c r="I158">
        <v>0</v>
      </c>
      <c r="J158" t="s">
        <v>90</v>
      </c>
      <c r="K158">
        <v>0</v>
      </c>
      <c r="L158">
        <v>11.521789999999999</v>
      </c>
      <c r="M158">
        <v>0</v>
      </c>
      <c r="N158">
        <v>0</v>
      </c>
      <c r="O158">
        <v>11.521789999999999</v>
      </c>
      <c r="P158" t="s">
        <v>90</v>
      </c>
      <c r="Q158">
        <v>0</v>
      </c>
      <c r="R158" t="s">
        <v>90</v>
      </c>
      <c r="S158">
        <v>0</v>
      </c>
      <c r="T158" t="s">
        <v>90</v>
      </c>
      <c r="U158">
        <v>0</v>
      </c>
      <c r="V158" t="s">
        <v>90</v>
      </c>
      <c r="W158">
        <v>0</v>
      </c>
      <c r="X158" t="s">
        <v>90</v>
      </c>
      <c r="Y158">
        <v>0</v>
      </c>
      <c r="Z158">
        <v>11.521789999999999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0.78500000000000003</v>
      </c>
      <c r="AN158" t="s">
        <v>72</v>
      </c>
      <c r="AO158" t="s">
        <v>73</v>
      </c>
      <c r="AP158">
        <v>200000</v>
      </c>
      <c r="AQ158" t="s">
        <v>73</v>
      </c>
      <c r="AS158">
        <v>10000</v>
      </c>
      <c r="AT158" t="s">
        <v>1228</v>
      </c>
      <c r="AU158" t="s">
        <v>75</v>
      </c>
      <c r="AV158" t="s">
        <v>76</v>
      </c>
    </row>
    <row r="159" spans="1:48" x14ac:dyDescent="0.15">
      <c r="A159" s="4" t="str">
        <f>HYPERLINK("https://ibp.a2mac1.com/costing(costing:projects/details/9760/assembly/8411224)","Condenser System")</f>
        <v>Condenser System</v>
      </c>
      <c r="B159">
        <v>8411224</v>
      </c>
      <c r="D159">
        <v>8411137</v>
      </c>
      <c r="F159">
        <v>1</v>
      </c>
      <c r="G159">
        <v>0</v>
      </c>
      <c r="H159">
        <v>11.44</v>
      </c>
      <c r="I159">
        <v>0</v>
      </c>
      <c r="J159" t="s">
        <v>90</v>
      </c>
      <c r="K159">
        <v>0</v>
      </c>
      <c r="L159">
        <v>11.44</v>
      </c>
      <c r="M159">
        <v>0</v>
      </c>
      <c r="N159">
        <v>0</v>
      </c>
      <c r="O159">
        <v>11.44</v>
      </c>
      <c r="P159" t="s">
        <v>90</v>
      </c>
      <c r="Q159">
        <v>0</v>
      </c>
      <c r="R159" t="s">
        <v>90</v>
      </c>
      <c r="S159">
        <v>0</v>
      </c>
      <c r="T159" t="s">
        <v>90</v>
      </c>
      <c r="U159">
        <v>0</v>
      </c>
      <c r="V159" t="s">
        <v>90</v>
      </c>
      <c r="W159">
        <v>0</v>
      </c>
      <c r="X159" t="s">
        <v>90</v>
      </c>
      <c r="Y159">
        <v>0</v>
      </c>
      <c r="Z159">
        <v>11.44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0.73299999999999998</v>
      </c>
      <c r="AN159" t="s">
        <v>72</v>
      </c>
      <c r="AO159" t="s">
        <v>73</v>
      </c>
      <c r="AP159">
        <v>200000</v>
      </c>
      <c r="AQ159" t="s">
        <v>73</v>
      </c>
      <c r="AS159">
        <v>10000</v>
      </c>
      <c r="AT159" t="s">
        <v>1231</v>
      </c>
      <c r="AU159" t="s">
        <v>75</v>
      </c>
      <c r="AV159" t="s">
        <v>76</v>
      </c>
    </row>
    <row r="160" spans="1:48" x14ac:dyDescent="0.15">
      <c r="A160" s="4" t="str">
        <f>HYPERLINK("https://ibp.a2mac1.com/costing(costing:projects/details/9760/assembly/8411226)","Purifier Filter")</f>
        <v>Purifier Filter</v>
      </c>
      <c r="B160">
        <v>8411226</v>
      </c>
      <c r="D160">
        <v>8411137</v>
      </c>
      <c r="F160">
        <v>1</v>
      </c>
      <c r="G160">
        <v>0</v>
      </c>
      <c r="H160">
        <v>2.29583</v>
      </c>
      <c r="I160">
        <v>0</v>
      </c>
      <c r="J160" t="s">
        <v>90</v>
      </c>
      <c r="K160">
        <v>0</v>
      </c>
      <c r="L160">
        <v>2.29583</v>
      </c>
      <c r="M160">
        <v>0</v>
      </c>
      <c r="N160">
        <v>0</v>
      </c>
      <c r="O160">
        <v>2.29583</v>
      </c>
      <c r="P160" t="s">
        <v>90</v>
      </c>
      <c r="Q160">
        <v>0</v>
      </c>
      <c r="R160" t="s">
        <v>90</v>
      </c>
      <c r="S160">
        <v>0</v>
      </c>
      <c r="T160" t="s">
        <v>90</v>
      </c>
      <c r="U160">
        <v>0</v>
      </c>
      <c r="V160" t="s">
        <v>90</v>
      </c>
      <c r="W160">
        <v>0</v>
      </c>
      <c r="X160" t="s">
        <v>90</v>
      </c>
      <c r="Y160">
        <v>0</v>
      </c>
      <c r="Z160">
        <v>2.29583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0.38400000000000001</v>
      </c>
      <c r="AN160" t="s">
        <v>72</v>
      </c>
      <c r="AO160" t="s">
        <v>73</v>
      </c>
      <c r="AP160">
        <v>200000</v>
      </c>
      <c r="AQ160" t="s">
        <v>73</v>
      </c>
      <c r="AS160">
        <v>10000</v>
      </c>
      <c r="AT160" t="s">
        <v>1236</v>
      </c>
      <c r="AU160" t="s">
        <v>75</v>
      </c>
      <c r="AV160" t="s">
        <v>76</v>
      </c>
    </row>
    <row r="161" spans="1:48" x14ac:dyDescent="0.15">
      <c r="A161" s="4" t="str">
        <f>HYPERLINK("https://ibp.a2mac1.com/costing(costing:projects/details/9760/assembly/8411228)","Drain Tube - Air Conditioning System")</f>
        <v>Drain Tube - Air Conditioning System</v>
      </c>
      <c r="B161">
        <v>8411228</v>
      </c>
      <c r="D161">
        <v>8411137</v>
      </c>
      <c r="F161">
        <v>1</v>
      </c>
      <c r="G161">
        <v>0</v>
      </c>
      <c r="H161">
        <v>0.77210000000000001</v>
      </c>
      <c r="I161">
        <v>0</v>
      </c>
      <c r="J161" t="s">
        <v>90</v>
      </c>
      <c r="K161">
        <v>0</v>
      </c>
      <c r="L161">
        <v>0.77210000000000001</v>
      </c>
      <c r="M161">
        <v>0</v>
      </c>
      <c r="N161">
        <v>0</v>
      </c>
      <c r="O161">
        <v>0.77210000000000001</v>
      </c>
      <c r="P161" t="s">
        <v>90</v>
      </c>
      <c r="Q161">
        <v>0</v>
      </c>
      <c r="R161" t="s">
        <v>90</v>
      </c>
      <c r="S161">
        <v>0</v>
      </c>
      <c r="T161" t="s">
        <v>90</v>
      </c>
      <c r="U161">
        <v>0</v>
      </c>
      <c r="V161" t="s">
        <v>90</v>
      </c>
      <c r="W161">
        <v>0</v>
      </c>
      <c r="X161" t="s">
        <v>90</v>
      </c>
      <c r="Y161">
        <v>0</v>
      </c>
      <c r="Z161">
        <v>0.77210000000000001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4.8000000000000001E-2</v>
      </c>
      <c r="AN161" t="s">
        <v>72</v>
      </c>
      <c r="AO161" t="s">
        <v>73</v>
      </c>
      <c r="AP161">
        <v>200000</v>
      </c>
      <c r="AQ161" t="s">
        <v>73</v>
      </c>
      <c r="AS161">
        <v>10000</v>
      </c>
      <c r="AT161" t="s">
        <v>1239</v>
      </c>
      <c r="AU161" t="s">
        <v>75</v>
      </c>
      <c r="AV161" t="s">
        <v>76</v>
      </c>
    </row>
    <row r="162" spans="1:48" x14ac:dyDescent="0.15">
      <c r="A162" s="4" t="str">
        <f>HYPERLINK("https://ibp.a2mac1.com/costing(costing:projects/details/9760/assembly/8411230)","Air Intake Duct")</f>
        <v>Air Intake Duct</v>
      </c>
      <c r="B162">
        <v>8411230</v>
      </c>
      <c r="D162">
        <v>8411137</v>
      </c>
      <c r="F162">
        <v>1</v>
      </c>
      <c r="G162">
        <v>0</v>
      </c>
      <c r="H162">
        <v>0.97208000000000006</v>
      </c>
      <c r="I162">
        <v>0</v>
      </c>
      <c r="J162" t="s">
        <v>90</v>
      </c>
      <c r="K162">
        <v>0</v>
      </c>
      <c r="L162">
        <v>0.97208000000000006</v>
      </c>
      <c r="M162">
        <v>0</v>
      </c>
      <c r="N162">
        <v>0</v>
      </c>
      <c r="O162">
        <v>0.97208000000000006</v>
      </c>
      <c r="P162" t="s">
        <v>90</v>
      </c>
      <c r="Q162">
        <v>0</v>
      </c>
      <c r="R162" t="s">
        <v>90</v>
      </c>
      <c r="S162">
        <v>0</v>
      </c>
      <c r="T162" t="s">
        <v>90</v>
      </c>
      <c r="U162">
        <v>0</v>
      </c>
      <c r="V162" t="s">
        <v>90</v>
      </c>
      <c r="W162">
        <v>0</v>
      </c>
      <c r="X162" t="s">
        <v>90</v>
      </c>
      <c r="Y162">
        <v>0</v>
      </c>
      <c r="Z162">
        <v>0.97208000000000006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285</v>
      </c>
      <c r="AI162">
        <v>458</v>
      </c>
      <c r="AJ162">
        <v>365</v>
      </c>
      <c r="AK162">
        <v>0</v>
      </c>
      <c r="AL162">
        <v>0.20599999999999999</v>
      </c>
      <c r="AN162" t="s">
        <v>72</v>
      </c>
      <c r="AO162" t="s">
        <v>73</v>
      </c>
      <c r="AP162">
        <v>200000</v>
      </c>
      <c r="AQ162" t="s">
        <v>73</v>
      </c>
      <c r="AS162">
        <v>10000</v>
      </c>
      <c r="AT162" t="s">
        <v>1247</v>
      </c>
      <c r="AU162" t="s">
        <v>75</v>
      </c>
      <c r="AV162" t="s">
        <v>76</v>
      </c>
    </row>
    <row r="163" spans="1:48" x14ac:dyDescent="0.15">
      <c r="A163" s="4" t="str">
        <f>HYPERLINK("https://ibp.a2mac1.com/costing(costing:projects/details/9760/assembly/8411232)","Sound Insulation System")</f>
        <v>Sound Insulation System</v>
      </c>
      <c r="B163">
        <v>8411232</v>
      </c>
      <c r="D163">
        <v>8411137</v>
      </c>
      <c r="F163">
        <v>1</v>
      </c>
      <c r="G163">
        <v>0</v>
      </c>
      <c r="H163">
        <v>0.59997</v>
      </c>
      <c r="I163">
        <v>0</v>
      </c>
      <c r="J163" t="s">
        <v>90</v>
      </c>
      <c r="K163">
        <v>0</v>
      </c>
      <c r="L163">
        <v>0.59997</v>
      </c>
      <c r="M163">
        <v>0</v>
      </c>
      <c r="N163">
        <v>0</v>
      </c>
      <c r="O163">
        <v>0.59997</v>
      </c>
      <c r="P163" t="s">
        <v>90</v>
      </c>
      <c r="Q163">
        <v>0</v>
      </c>
      <c r="R163" t="s">
        <v>90</v>
      </c>
      <c r="S163">
        <v>0</v>
      </c>
      <c r="T163" t="s">
        <v>90</v>
      </c>
      <c r="U163">
        <v>0</v>
      </c>
      <c r="V163" t="s">
        <v>90</v>
      </c>
      <c r="W163">
        <v>0</v>
      </c>
      <c r="X163" t="s">
        <v>90</v>
      </c>
      <c r="Y163">
        <v>0</v>
      </c>
      <c r="Z163">
        <v>0.59997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8.4000000000000005E-2</v>
      </c>
      <c r="AN163" t="s">
        <v>72</v>
      </c>
      <c r="AO163" t="s">
        <v>73</v>
      </c>
      <c r="AP163">
        <v>200000</v>
      </c>
      <c r="AQ163" t="s">
        <v>73</v>
      </c>
      <c r="AS163">
        <v>10000</v>
      </c>
      <c r="AT163" t="s">
        <v>1253</v>
      </c>
      <c r="AU163" t="s">
        <v>75</v>
      </c>
      <c r="AV163" t="s">
        <v>76</v>
      </c>
    </row>
    <row r="164" spans="1:48" x14ac:dyDescent="0.15">
      <c r="A164" s="4" t="str">
        <f>HYPERLINK("https://ibp.a2mac1.com/costing(costing:projects/details/9760/assembly/8411137)","Heating System")</f>
        <v>Heating System</v>
      </c>
      <c r="B164">
        <v>8411137</v>
      </c>
      <c r="D164">
        <v>8411125</v>
      </c>
      <c r="F164">
        <v>1</v>
      </c>
      <c r="G164">
        <v>0</v>
      </c>
      <c r="H164">
        <v>108.05516</v>
      </c>
      <c r="I164">
        <v>0.5429907537688442</v>
      </c>
      <c r="J164" t="s">
        <v>176</v>
      </c>
      <c r="K164">
        <v>3.7819305999999999</v>
      </c>
      <c r="L164">
        <v>112.38008135376884</v>
      </c>
      <c r="M164">
        <v>0</v>
      </c>
      <c r="N164">
        <v>0</v>
      </c>
      <c r="O164">
        <v>112.38008135376884</v>
      </c>
      <c r="P164" t="s">
        <v>177</v>
      </c>
      <c r="Q164">
        <v>6.7428048812261308</v>
      </c>
      <c r="R164" t="s">
        <v>177</v>
      </c>
      <c r="S164">
        <v>0</v>
      </c>
      <c r="T164" t="s">
        <v>178</v>
      </c>
      <c r="U164">
        <v>13.485609762452262</v>
      </c>
      <c r="V164" t="s">
        <v>90</v>
      </c>
      <c r="W164">
        <v>0</v>
      </c>
      <c r="X164" t="s">
        <v>90</v>
      </c>
      <c r="Y164">
        <v>0</v>
      </c>
      <c r="Z164">
        <v>132.60849599744725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426</v>
      </c>
      <c r="AI164">
        <v>148</v>
      </c>
      <c r="AJ164">
        <v>43</v>
      </c>
      <c r="AK164">
        <v>0</v>
      </c>
      <c r="AL164">
        <v>10.887</v>
      </c>
      <c r="AN164" t="s">
        <v>95</v>
      </c>
      <c r="AO164" t="s">
        <v>73</v>
      </c>
      <c r="AP164">
        <v>200000</v>
      </c>
      <c r="AQ164" t="s">
        <v>97</v>
      </c>
      <c r="AS164">
        <v>10000</v>
      </c>
      <c r="AT164" t="s">
        <v>1255</v>
      </c>
      <c r="AU164" t="s">
        <v>75</v>
      </c>
      <c r="AV164" t="s">
        <v>76</v>
      </c>
    </row>
    <row r="165" spans="1:48" x14ac:dyDescent="0.15">
      <c r="A165" s="4" t="str">
        <f>HYPERLINK("https://ibp.a2mac1.com/costing(costing:projects/details/9760/assembly/8411138)","Front Air Duct")</f>
        <v>Front Air Duct</v>
      </c>
      <c r="B165">
        <v>8411138</v>
      </c>
      <c r="D165">
        <v>8411125</v>
      </c>
      <c r="F165">
        <v>1</v>
      </c>
      <c r="G165">
        <v>0</v>
      </c>
      <c r="H165">
        <v>3.65144</v>
      </c>
      <c r="I165">
        <v>0</v>
      </c>
      <c r="J165" t="s">
        <v>90</v>
      </c>
      <c r="K165">
        <v>0</v>
      </c>
      <c r="L165">
        <v>3.65144</v>
      </c>
      <c r="M165">
        <v>0</v>
      </c>
      <c r="N165">
        <v>0</v>
      </c>
      <c r="O165">
        <v>3.65144</v>
      </c>
      <c r="P165" t="s">
        <v>90</v>
      </c>
      <c r="Q165">
        <v>0</v>
      </c>
      <c r="R165" t="s">
        <v>90</v>
      </c>
      <c r="S165">
        <v>0</v>
      </c>
      <c r="T165" t="s">
        <v>90</v>
      </c>
      <c r="U165">
        <v>0</v>
      </c>
      <c r="V165" t="s">
        <v>90</v>
      </c>
      <c r="W165">
        <v>0</v>
      </c>
      <c r="X165" t="s">
        <v>90</v>
      </c>
      <c r="Y165">
        <v>0</v>
      </c>
      <c r="Z165">
        <v>3.65144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0.51500000000000001</v>
      </c>
      <c r="AN165" t="s">
        <v>72</v>
      </c>
      <c r="AO165" t="s">
        <v>73</v>
      </c>
      <c r="AP165">
        <v>200000</v>
      </c>
      <c r="AQ165" t="s">
        <v>73</v>
      </c>
      <c r="AS165">
        <v>10000</v>
      </c>
      <c r="AT165" t="s">
        <v>1269</v>
      </c>
      <c r="AU165" t="s">
        <v>75</v>
      </c>
      <c r="AV165" t="s">
        <v>76</v>
      </c>
    </row>
    <row r="166" spans="1:48" x14ac:dyDescent="0.15">
      <c r="A166" s="4" t="str">
        <f>HYPERLINK("https://ibp.a2mac1.com/costing(costing:projects/details/9760/assembly/8411246)","Temperature Sensor")</f>
        <v>Temperature Sensor</v>
      </c>
      <c r="B166">
        <v>8411246</v>
      </c>
      <c r="D166">
        <v>8411139</v>
      </c>
      <c r="F166">
        <v>1</v>
      </c>
      <c r="G166">
        <v>0</v>
      </c>
      <c r="H166">
        <v>1.59998</v>
      </c>
      <c r="I166">
        <v>0</v>
      </c>
      <c r="J166" t="s">
        <v>90</v>
      </c>
      <c r="K166">
        <v>0</v>
      </c>
      <c r="L166">
        <v>1.59998</v>
      </c>
      <c r="M166">
        <v>0</v>
      </c>
      <c r="N166">
        <v>0</v>
      </c>
      <c r="O166">
        <v>1.59998</v>
      </c>
      <c r="P166" t="s">
        <v>90</v>
      </c>
      <c r="Q166">
        <v>0</v>
      </c>
      <c r="R166" t="s">
        <v>90</v>
      </c>
      <c r="S166">
        <v>0</v>
      </c>
      <c r="T166" t="s">
        <v>90</v>
      </c>
      <c r="U166">
        <v>0</v>
      </c>
      <c r="V166" t="s">
        <v>90</v>
      </c>
      <c r="W166">
        <v>0</v>
      </c>
      <c r="X166" t="s">
        <v>90</v>
      </c>
      <c r="Y166">
        <v>0</v>
      </c>
      <c r="Z166">
        <v>1.59998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0.01</v>
      </c>
      <c r="AN166" t="s">
        <v>72</v>
      </c>
      <c r="AO166" t="s">
        <v>73</v>
      </c>
      <c r="AP166">
        <v>200000</v>
      </c>
      <c r="AQ166" t="s">
        <v>73</v>
      </c>
      <c r="AS166">
        <v>10000</v>
      </c>
      <c r="AT166" t="s">
        <v>1274</v>
      </c>
      <c r="AU166" t="s">
        <v>75</v>
      </c>
      <c r="AV166" t="s">
        <v>76</v>
      </c>
    </row>
    <row r="167" spans="1:48" x14ac:dyDescent="0.15">
      <c r="A167" s="4" t="str">
        <f>HYPERLINK("https://ibp.a2mac1.com/costing(costing:projects/details/9760/assembly/8411139)","Front Lower Air Pipe")</f>
        <v>Front Lower Air Pipe</v>
      </c>
      <c r="B167">
        <v>8411139</v>
      </c>
      <c r="D167">
        <v>8411125</v>
      </c>
      <c r="F167">
        <v>1</v>
      </c>
      <c r="G167">
        <v>0</v>
      </c>
      <c r="H167">
        <v>2.0272299999999999</v>
      </c>
      <c r="I167">
        <v>0</v>
      </c>
      <c r="J167" t="s">
        <v>90</v>
      </c>
      <c r="K167">
        <v>0</v>
      </c>
      <c r="L167">
        <v>2.0272299999999999</v>
      </c>
      <c r="M167">
        <v>0</v>
      </c>
      <c r="N167">
        <v>0</v>
      </c>
      <c r="O167">
        <v>2.0272299999999999</v>
      </c>
      <c r="P167" t="s">
        <v>90</v>
      </c>
      <c r="Q167">
        <v>0</v>
      </c>
      <c r="R167" t="s">
        <v>90</v>
      </c>
      <c r="S167">
        <v>0</v>
      </c>
      <c r="T167" t="s">
        <v>90</v>
      </c>
      <c r="U167">
        <v>0</v>
      </c>
      <c r="V167" t="s">
        <v>90</v>
      </c>
      <c r="W167">
        <v>0</v>
      </c>
      <c r="X167" t="s">
        <v>90</v>
      </c>
      <c r="Y167">
        <v>0</v>
      </c>
      <c r="Z167">
        <v>2.0272299999999999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0.19900000000000001</v>
      </c>
      <c r="AN167" t="s">
        <v>72</v>
      </c>
      <c r="AO167" t="s">
        <v>73</v>
      </c>
      <c r="AP167">
        <v>200000</v>
      </c>
      <c r="AQ167" t="s">
        <v>73</v>
      </c>
      <c r="AS167">
        <v>10000</v>
      </c>
      <c r="AT167" t="s">
        <v>1277</v>
      </c>
      <c r="AU167" t="s">
        <v>75</v>
      </c>
      <c r="AV167" t="s">
        <v>76</v>
      </c>
    </row>
    <row r="168" spans="1:48" x14ac:dyDescent="0.15">
      <c r="A168" s="4" t="str">
        <f>HYPERLINK("https://ibp.a2mac1.com/costing(costing:projects/details/9760/assembly/8411248)","Side Vents")</f>
        <v>Side Vents</v>
      </c>
      <c r="B168">
        <v>8411248</v>
      </c>
      <c r="D168">
        <v>8411140</v>
      </c>
      <c r="F168">
        <v>1</v>
      </c>
      <c r="G168">
        <v>0</v>
      </c>
      <c r="H168">
        <v>0.39221</v>
      </c>
      <c r="I168">
        <v>0</v>
      </c>
      <c r="J168" t="s">
        <v>90</v>
      </c>
      <c r="K168">
        <v>0</v>
      </c>
      <c r="L168">
        <v>0.39221</v>
      </c>
      <c r="M168">
        <v>0</v>
      </c>
      <c r="N168">
        <v>0</v>
      </c>
      <c r="O168">
        <v>0.39221</v>
      </c>
      <c r="P168" t="s">
        <v>90</v>
      </c>
      <c r="Q168">
        <v>0</v>
      </c>
      <c r="R168" t="s">
        <v>90</v>
      </c>
      <c r="S168">
        <v>0</v>
      </c>
      <c r="T168" t="s">
        <v>90</v>
      </c>
      <c r="U168">
        <v>0</v>
      </c>
      <c r="V168" t="s">
        <v>90</v>
      </c>
      <c r="W168">
        <v>0</v>
      </c>
      <c r="X168" t="s">
        <v>90</v>
      </c>
      <c r="Y168">
        <v>0</v>
      </c>
      <c r="Z168">
        <v>0.39221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5.0999999999999997E-2</v>
      </c>
      <c r="AN168" t="s">
        <v>72</v>
      </c>
      <c r="AO168" t="s">
        <v>73</v>
      </c>
      <c r="AP168">
        <v>200000</v>
      </c>
      <c r="AQ168" t="s">
        <v>73</v>
      </c>
      <c r="AS168">
        <v>10000</v>
      </c>
      <c r="AT168" t="s">
        <v>1284</v>
      </c>
      <c r="AU168" t="s">
        <v>75</v>
      </c>
      <c r="AV168" t="s">
        <v>76</v>
      </c>
    </row>
    <row r="169" spans="1:48" x14ac:dyDescent="0.15">
      <c r="A169" s="4" t="str">
        <f>HYPERLINK("https://ibp.a2mac1.com/costing(costing:projects/details/9760/assembly/8411140)","Lateral Defroster System")</f>
        <v>Lateral Defroster System</v>
      </c>
      <c r="B169">
        <v>8411140</v>
      </c>
      <c r="D169">
        <v>8411125</v>
      </c>
      <c r="F169">
        <v>1</v>
      </c>
      <c r="G169">
        <v>0</v>
      </c>
      <c r="H169">
        <v>1.5453699999999999</v>
      </c>
      <c r="I169">
        <v>0</v>
      </c>
      <c r="J169" t="s">
        <v>90</v>
      </c>
      <c r="K169">
        <v>0</v>
      </c>
      <c r="L169">
        <v>1.5453699999999999</v>
      </c>
      <c r="M169">
        <v>0</v>
      </c>
      <c r="N169">
        <v>0</v>
      </c>
      <c r="O169">
        <v>1.5453699999999999</v>
      </c>
      <c r="P169" t="s">
        <v>90</v>
      </c>
      <c r="Q169">
        <v>0</v>
      </c>
      <c r="R169" t="s">
        <v>90</v>
      </c>
      <c r="S169">
        <v>0</v>
      </c>
      <c r="T169" t="s">
        <v>90</v>
      </c>
      <c r="U169">
        <v>0</v>
      </c>
      <c r="V169" t="s">
        <v>90</v>
      </c>
      <c r="W169">
        <v>0</v>
      </c>
      <c r="X169" t="s">
        <v>90</v>
      </c>
      <c r="Y169">
        <v>0</v>
      </c>
      <c r="Z169">
        <v>1.5453699999999999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0.159</v>
      </c>
      <c r="AN169" t="s">
        <v>72</v>
      </c>
      <c r="AO169" t="s">
        <v>73</v>
      </c>
      <c r="AP169">
        <v>200000</v>
      </c>
      <c r="AQ169" t="s">
        <v>73</v>
      </c>
      <c r="AS169">
        <v>10000</v>
      </c>
      <c r="AT169" t="s">
        <v>1287</v>
      </c>
      <c r="AU169" t="s">
        <v>75</v>
      </c>
      <c r="AV169" t="s">
        <v>76</v>
      </c>
    </row>
    <row r="170" spans="1:48" x14ac:dyDescent="0.15">
      <c r="A170" s="4" t="str">
        <f>HYPERLINK("https://ibp.a2mac1.com/costing(costing:projects/details/9760/assembly/8411141)","Windshield Defroster Vent Ducts")</f>
        <v>Windshield Defroster Vent Ducts</v>
      </c>
      <c r="B170">
        <v>8411141</v>
      </c>
      <c r="D170">
        <v>8411125</v>
      </c>
      <c r="F170">
        <v>1</v>
      </c>
      <c r="G170">
        <v>0</v>
      </c>
      <c r="H170">
        <v>0.50495000000000001</v>
      </c>
      <c r="I170">
        <v>0</v>
      </c>
      <c r="J170" t="s">
        <v>90</v>
      </c>
      <c r="K170">
        <v>0</v>
      </c>
      <c r="L170">
        <v>0.50495000000000001</v>
      </c>
      <c r="M170">
        <v>0</v>
      </c>
      <c r="N170">
        <v>0</v>
      </c>
      <c r="O170">
        <v>0.50495000000000001</v>
      </c>
      <c r="P170" t="s">
        <v>90</v>
      </c>
      <c r="Q170">
        <v>0</v>
      </c>
      <c r="R170" t="s">
        <v>90</v>
      </c>
      <c r="S170">
        <v>0</v>
      </c>
      <c r="T170" t="s">
        <v>90</v>
      </c>
      <c r="U170">
        <v>0</v>
      </c>
      <c r="V170" t="s">
        <v>90</v>
      </c>
      <c r="W170">
        <v>0</v>
      </c>
      <c r="X170" t="s">
        <v>90</v>
      </c>
      <c r="Y170">
        <v>0</v>
      </c>
      <c r="Z170">
        <v>0.50495000000000001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0.161</v>
      </c>
      <c r="AN170" t="s">
        <v>72</v>
      </c>
      <c r="AO170" t="s">
        <v>73</v>
      </c>
      <c r="AP170">
        <v>200000</v>
      </c>
      <c r="AQ170" t="s">
        <v>73</v>
      </c>
      <c r="AS170">
        <v>10000</v>
      </c>
      <c r="AT170" t="s">
        <v>1291</v>
      </c>
      <c r="AU170" t="s">
        <v>75</v>
      </c>
      <c r="AV170" t="s">
        <v>76</v>
      </c>
    </row>
    <row r="171" spans="1:48" x14ac:dyDescent="0.15">
      <c r="A171" s="4" t="str">
        <f>HYPERLINK("https://ibp.a2mac1.com/costing(costing:projects/details/9760/assembly/8411142)","Windshield Defroster Grill")</f>
        <v>Windshield Defroster Grill</v>
      </c>
      <c r="B171">
        <v>8411142</v>
      </c>
      <c r="D171">
        <v>8411125</v>
      </c>
      <c r="F171">
        <v>1</v>
      </c>
      <c r="G171">
        <v>0</v>
      </c>
      <c r="H171">
        <v>0.21571000000000001</v>
      </c>
      <c r="I171">
        <v>0</v>
      </c>
      <c r="J171" t="s">
        <v>90</v>
      </c>
      <c r="K171">
        <v>0</v>
      </c>
      <c r="L171">
        <v>0.21571000000000001</v>
      </c>
      <c r="M171">
        <v>0</v>
      </c>
      <c r="N171">
        <v>0</v>
      </c>
      <c r="O171">
        <v>0.21571000000000001</v>
      </c>
      <c r="P171" t="s">
        <v>90</v>
      </c>
      <c r="Q171">
        <v>0</v>
      </c>
      <c r="R171" t="s">
        <v>90</v>
      </c>
      <c r="S171">
        <v>0</v>
      </c>
      <c r="T171" t="s">
        <v>90</v>
      </c>
      <c r="U171">
        <v>0</v>
      </c>
      <c r="V171" t="s">
        <v>90</v>
      </c>
      <c r="W171">
        <v>0</v>
      </c>
      <c r="X171" t="s">
        <v>90</v>
      </c>
      <c r="Y171">
        <v>0</v>
      </c>
      <c r="Z171">
        <v>0.21571000000000001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0.06</v>
      </c>
      <c r="AN171" t="s">
        <v>72</v>
      </c>
      <c r="AO171" t="s">
        <v>73</v>
      </c>
      <c r="AP171">
        <v>200000</v>
      </c>
      <c r="AQ171" t="s">
        <v>73</v>
      </c>
      <c r="AS171">
        <v>10000</v>
      </c>
      <c r="AT171" t="s">
        <v>1294</v>
      </c>
      <c r="AU171" t="s">
        <v>75</v>
      </c>
      <c r="AV171" t="s">
        <v>76</v>
      </c>
    </row>
    <row r="172" spans="1:48" x14ac:dyDescent="0.15">
      <c r="A172" s="4" t="str">
        <f>HYPERLINK("https://ibp.a2mac1.com/costing(costing:projects/details/9760/assembly/8411143)","Auxiliary Heating System")</f>
        <v>Auxiliary Heating System</v>
      </c>
      <c r="B172">
        <v>8411143</v>
      </c>
      <c r="D172">
        <v>8411125</v>
      </c>
      <c r="F172">
        <v>1</v>
      </c>
      <c r="G172">
        <v>0</v>
      </c>
      <c r="H172">
        <v>97.523129999999995</v>
      </c>
      <c r="I172">
        <v>0</v>
      </c>
      <c r="J172" t="s">
        <v>90</v>
      </c>
      <c r="K172">
        <v>0</v>
      </c>
      <c r="L172">
        <v>97.523129999999995</v>
      </c>
      <c r="M172">
        <v>0</v>
      </c>
      <c r="N172">
        <v>0</v>
      </c>
      <c r="O172">
        <v>97.523129999999995</v>
      </c>
      <c r="P172" t="s">
        <v>90</v>
      </c>
      <c r="Q172">
        <v>0</v>
      </c>
      <c r="R172" t="s">
        <v>90</v>
      </c>
      <c r="S172">
        <v>0</v>
      </c>
      <c r="T172" t="s">
        <v>90</v>
      </c>
      <c r="U172">
        <v>0</v>
      </c>
      <c r="V172" t="s">
        <v>90</v>
      </c>
      <c r="W172">
        <v>0</v>
      </c>
      <c r="X172" t="s">
        <v>90</v>
      </c>
      <c r="Y172">
        <v>0</v>
      </c>
      <c r="Z172">
        <v>97.523129999999995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3.3149999999999999</v>
      </c>
      <c r="AN172" t="s">
        <v>72</v>
      </c>
      <c r="AO172" t="s">
        <v>73</v>
      </c>
      <c r="AP172">
        <v>200000</v>
      </c>
      <c r="AQ172" t="s">
        <v>73</v>
      </c>
      <c r="AS172">
        <v>10000</v>
      </c>
      <c r="AT172" t="s">
        <v>1300</v>
      </c>
      <c r="AU172" t="s">
        <v>75</v>
      </c>
      <c r="AV172" t="s">
        <v>76</v>
      </c>
    </row>
    <row r="173" spans="1:48" x14ac:dyDescent="0.15">
      <c r="A173" s="4" t="str">
        <f>HYPERLINK("https://ibp.a2mac1.com/costing(costing:projects/details/9760/assembly/8411256)","2nd Row: Feet")</f>
        <v>2nd Row: Feet</v>
      </c>
      <c r="B173">
        <v>8411256</v>
      </c>
      <c r="D173">
        <v>8411144</v>
      </c>
      <c r="F173">
        <v>1</v>
      </c>
      <c r="G173">
        <v>0</v>
      </c>
      <c r="H173">
        <v>3.0960999999999999</v>
      </c>
      <c r="I173">
        <v>0</v>
      </c>
      <c r="J173" t="s">
        <v>90</v>
      </c>
      <c r="K173">
        <v>0</v>
      </c>
      <c r="L173">
        <v>3.0960999999999999</v>
      </c>
      <c r="M173">
        <v>0</v>
      </c>
      <c r="N173">
        <v>0</v>
      </c>
      <c r="O173">
        <v>3.0960999999999999</v>
      </c>
      <c r="P173" t="s">
        <v>90</v>
      </c>
      <c r="Q173">
        <v>0</v>
      </c>
      <c r="R173" t="s">
        <v>90</v>
      </c>
      <c r="S173">
        <v>0</v>
      </c>
      <c r="T173" t="s">
        <v>90</v>
      </c>
      <c r="U173">
        <v>0</v>
      </c>
      <c r="V173" t="s">
        <v>90</v>
      </c>
      <c r="W173">
        <v>0</v>
      </c>
      <c r="X173" t="s">
        <v>90</v>
      </c>
      <c r="Y173">
        <v>0</v>
      </c>
      <c r="Z173">
        <v>3.0960999999999999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0.91400000000000003</v>
      </c>
      <c r="AN173" t="s">
        <v>72</v>
      </c>
      <c r="AO173" t="s">
        <v>73</v>
      </c>
      <c r="AP173">
        <v>200000</v>
      </c>
      <c r="AQ173" t="s">
        <v>73</v>
      </c>
      <c r="AS173">
        <v>10000</v>
      </c>
      <c r="AT173" t="s">
        <v>1310</v>
      </c>
      <c r="AU173" t="s">
        <v>75</v>
      </c>
      <c r="AV173" t="s">
        <v>76</v>
      </c>
    </row>
    <row r="174" spans="1:48" x14ac:dyDescent="0.15">
      <c r="A174" s="4" t="str">
        <f>HYPERLINK("https://ibp.a2mac1.com/costing(costing:projects/details/9760/assembly/8411257)","Central")</f>
        <v>Central</v>
      </c>
      <c r="B174">
        <v>8411257</v>
      </c>
      <c r="D174">
        <v>8411144</v>
      </c>
      <c r="F174">
        <v>1</v>
      </c>
      <c r="G174">
        <v>0</v>
      </c>
      <c r="H174">
        <v>0.80916999999999994</v>
      </c>
      <c r="I174">
        <v>0</v>
      </c>
      <c r="J174" t="s">
        <v>90</v>
      </c>
      <c r="K174">
        <v>0</v>
      </c>
      <c r="L174">
        <v>0.80916999999999994</v>
      </c>
      <c r="M174">
        <v>0</v>
      </c>
      <c r="N174">
        <v>0</v>
      </c>
      <c r="O174">
        <v>0.80916999999999994</v>
      </c>
      <c r="P174" t="s">
        <v>90</v>
      </c>
      <c r="Q174">
        <v>0</v>
      </c>
      <c r="R174" t="s">
        <v>90</v>
      </c>
      <c r="S174">
        <v>0</v>
      </c>
      <c r="T174" t="s">
        <v>90</v>
      </c>
      <c r="U174">
        <v>0</v>
      </c>
      <c r="V174" t="s">
        <v>90</v>
      </c>
      <c r="W174">
        <v>0</v>
      </c>
      <c r="X174" t="s">
        <v>90</v>
      </c>
      <c r="Y174">
        <v>0</v>
      </c>
      <c r="Z174">
        <v>0.80916999999999994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0.25900000000000001</v>
      </c>
      <c r="AN174" t="s">
        <v>72</v>
      </c>
      <c r="AO174" t="s">
        <v>73</v>
      </c>
      <c r="AP174">
        <v>200000</v>
      </c>
      <c r="AQ174" t="s">
        <v>73</v>
      </c>
      <c r="AS174">
        <v>10000</v>
      </c>
      <c r="AT174" t="s">
        <v>1313</v>
      </c>
      <c r="AU174" t="s">
        <v>75</v>
      </c>
      <c r="AV174" t="s">
        <v>76</v>
      </c>
    </row>
    <row r="175" spans="1:48" x14ac:dyDescent="0.15">
      <c r="A175" s="4" t="str">
        <f>HYPERLINK("https://ibp.a2mac1.com/costing(costing:projects/details/9760/assembly/8411144)","2nd Row Ventilation")</f>
        <v>2nd Row Ventilation</v>
      </c>
      <c r="B175">
        <v>8411144</v>
      </c>
      <c r="D175">
        <v>8411125</v>
      </c>
      <c r="F175">
        <v>1</v>
      </c>
      <c r="G175">
        <v>0</v>
      </c>
      <c r="H175">
        <v>3.9052699999999998</v>
      </c>
      <c r="I175">
        <v>0</v>
      </c>
      <c r="J175" t="s">
        <v>90</v>
      </c>
      <c r="K175">
        <v>0</v>
      </c>
      <c r="L175">
        <v>3.9052699999999998</v>
      </c>
      <c r="M175">
        <v>0</v>
      </c>
      <c r="N175">
        <v>0</v>
      </c>
      <c r="O175">
        <v>3.9052699999999998</v>
      </c>
      <c r="P175" t="s">
        <v>90</v>
      </c>
      <c r="Q175">
        <v>0</v>
      </c>
      <c r="R175" t="s">
        <v>90</v>
      </c>
      <c r="S175">
        <v>0</v>
      </c>
      <c r="T175" t="s">
        <v>90</v>
      </c>
      <c r="U175">
        <v>0</v>
      </c>
      <c r="V175" t="s">
        <v>90</v>
      </c>
      <c r="W175">
        <v>0</v>
      </c>
      <c r="X175" t="s">
        <v>90</v>
      </c>
      <c r="Y175">
        <v>0</v>
      </c>
      <c r="Z175">
        <v>3.9052699999999998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1.173</v>
      </c>
      <c r="AN175" t="s">
        <v>72</v>
      </c>
      <c r="AO175" t="s">
        <v>73</v>
      </c>
      <c r="AP175">
        <v>200000</v>
      </c>
      <c r="AQ175" t="s">
        <v>73</v>
      </c>
      <c r="AS175">
        <v>10000</v>
      </c>
      <c r="AT175" t="s">
        <v>1314</v>
      </c>
      <c r="AU175" t="s">
        <v>75</v>
      </c>
      <c r="AV175" t="s">
        <v>76</v>
      </c>
    </row>
    <row r="176" spans="1:48" x14ac:dyDescent="0.15">
      <c r="A176" s="4" t="str">
        <f>HYPERLINK("https://ibp.a2mac1.com/costing(costing:projects/details/9760/assembly/8411145)","Heating System Pipes")</f>
        <v>Heating System Pipes</v>
      </c>
      <c r="B176">
        <v>8411145</v>
      </c>
      <c r="D176">
        <v>8411125</v>
      </c>
      <c r="F176">
        <v>1</v>
      </c>
      <c r="G176">
        <v>0</v>
      </c>
      <c r="H176">
        <v>2.2425899999999999</v>
      </c>
      <c r="I176">
        <v>0</v>
      </c>
      <c r="J176" t="s">
        <v>90</v>
      </c>
      <c r="K176">
        <v>0</v>
      </c>
      <c r="L176">
        <v>2.2425899999999999</v>
      </c>
      <c r="M176">
        <v>0</v>
      </c>
      <c r="N176">
        <v>0</v>
      </c>
      <c r="O176">
        <v>2.2425899999999999</v>
      </c>
      <c r="P176" t="s">
        <v>90</v>
      </c>
      <c r="Q176">
        <v>0</v>
      </c>
      <c r="R176" t="s">
        <v>90</v>
      </c>
      <c r="S176">
        <v>0</v>
      </c>
      <c r="T176" t="s">
        <v>90</v>
      </c>
      <c r="U176">
        <v>0</v>
      </c>
      <c r="V176" t="s">
        <v>90</v>
      </c>
      <c r="W176">
        <v>0</v>
      </c>
      <c r="X176" t="s">
        <v>90</v>
      </c>
      <c r="Y176">
        <v>0</v>
      </c>
      <c r="Z176">
        <v>2.2425899999999999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0.17299999999999999</v>
      </c>
      <c r="AN176" t="s">
        <v>72</v>
      </c>
      <c r="AO176" t="s">
        <v>73</v>
      </c>
      <c r="AP176">
        <v>200000</v>
      </c>
      <c r="AQ176" t="s">
        <v>73</v>
      </c>
      <c r="AS176">
        <v>10000</v>
      </c>
      <c r="AT176" t="s">
        <v>1318</v>
      </c>
      <c r="AU176" t="s">
        <v>75</v>
      </c>
      <c r="AV176" t="s">
        <v>76</v>
      </c>
    </row>
    <row r="177" spans="1:48" x14ac:dyDescent="0.15">
      <c r="A177" s="4" t="str">
        <f>HYPERLINK("https://ibp.a2mac1.com/costing(costing:projects/details/9760/assembly/8411146)","PM 2.5 System")</f>
        <v>PM 2.5 System</v>
      </c>
      <c r="B177">
        <v>8411146</v>
      </c>
      <c r="D177">
        <v>8411125</v>
      </c>
      <c r="F177">
        <v>1</v>
      </c>
      <c r="G177">
        <v>0</v>
      </c>
      <c r="H177">
        <v>5</v>
      </c>
      <c r="I177">
        <v>0</v>
      </c>
      <c r="J177" t="s">
        <v>90</v>
      </c>
      <c r="K177">
        <v>0</v>
      </c>
      <c r="L177">
        <v>5</v>
      </c>
      <c r="M177">
        <v>0</v>
      </c>
      <c r="N177">
        <v>0</v>
      </c>
      <c r="O177">
        <v>5</v>
      </c>
      <c r="P177" t="s">
        <v>90</v>
      </c>
      <c r="Q177">
        <v>0</v>
      </c>
      <c r="R177" t="s">
        <v>90</v>
      </c>
      <c r="S177">
        <v>0</v>
      </c>
      <c r="T177" t="s">
        <v>90</v>
      </c>
      <c r="U177">
        <v>0</v>
      </c>
      <c r="V177" t="s">
        <v>90</v>
      </c>
      <c r="W177">
        <v>0</v>
      </c>
      <c r="X177" t="s">
        <v>90</v>
      </c>
      <c r="Y177">
        <v>0</v>
      </c>
      <c r="Z177">
        <v>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4.8000000000000001E-2</v>
      </c>
      <c r="AN177" t="s">
        <v>72</v>
      </c>
      <c r="AO177" t="s">
        <v>73</v>
      </c>
      <c r="AP177">
        <v>200000</v>
      </c>
      <c r="AQ177" t="s">
        <v>73</v>
      </c>
      <c r="AS177">
        <v>10000</v>
      </c>
      <c r="AT177" t="s">
        <v>1321</v>
      </c>
      <c r="AU177" t="s">
        <v>75</v>
      </c>
      <c r="AV177" t="s">
        <v>76</v>
      </c>
    </row>
    <row r="178" spans="1:48" x14ac:dyDescent="0.15">
      <c r="A178" s="4" t="str">
        <f>HYPERLINK("https://ibp.a2mac1.com/costing(costing:projects/details/9760/assembly/8411125)","Heating System")</f>
        <v>Heating System</v>
      </c>
      <c r="B178">
        <v>8411125</v>
      </c>
      <c r="C178">
        <v>9760</v>
      </c>
      <c r="F178">
        <v>1</v>
      </c>
      <c r="G178">
        <v>0</v>
      </c>
      <c r="H178">
        <v>249.22418599744722</v>
      </c>
      <c r="I178">
        <v>0</v>
      </c>
      <c r="J178" t="s">
        <v>90</v>
      </c>
      <c r="K178">
        <v>0</v>
      </c>
      <c r="L178">
        <v>249.22418599744722</v>
      </c>
      <c r="M178">
        <v>0</v>
      </c>
      <c r="N178">
        <v>0</v>
      </c>
      <c r="O178">
        <v>249.22418599744722</v>
      </c>
      <c r="P178" t="s">
        <v>90</v>
      </c>
      <c r="Q178">
        <v>0</v>
      </c>
      <c r="R178" t="s">
        <v>90</v>
      </c>
      <c r="S178">
        <v>0</v>
      </c>
      <c r="T178" t="s">
        <v>90</v>
      </c>
      <c r="U178">
        <v>0</v>
      </c>
      <c r="V178" t="s">
        <v>90</v>
      </c>
      <c r="W178">
        <v>0</v>
      </c>
      <c r="X178" t="s">
        <v>90</v>
      </c>
      <c r="Y178">
        <v>0</v>
      </c>
      <c r="Z178">
        <v>249.22418599744722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16.690000000000001</v>
      </c>
      <c r="AN178" t="s">
        <v>72</v>
      </c>
      <c r="AO178" t="s">
        <v>73</v>
      </c>
      <c r="AP178">
        <v>200000</v>
      </c>
      <c r="AQ178" t="s">
        <v>73</v>
      </c>
      <c r="AS178">
        <v>10000</v>
      </c>
      <c r="AT178" t="s">
        <v>1322</v>
      </c>
      <c r="AU178" t="s">
        <v>75</v>
      </c>
      <c r="AV178" t="s">
        <v>76</v>
      </c>
    </row>
    <row r="179" spans="1:48" x14ac:dyDescent="0.15">
      <c r="A179" s="4" t="str">
        <f>HYPERLINK("https://ibp.a2mac1.com/costing(costing:projects/details/9760/assembly/8411447)","USB Key")</f>
        <v>USB Key</v>
      </c>
      <c r="B179">
        <v>8411447</v>
      </c>
      <c r="D179">
        <v>8411445</v>
      </c>
      <c r="F179">
        <v>1</v>
      </c>
      <c r="G179">
        <v>0</v>
      </c>
      <c r="H179">
        <v>10.361867488858854</v>
      </c>
      <c r="I179">
        <v>5.2069685873662584E-2</v>
      </c>
      <c r="J179" t="s">
        <v>176</v>
      </c>
      <c r="K179">
        <v>0.3626653621100599</v>
      </c>
      <c r="L179">
        <v>10.776602536842578</v>
      </c>
      <c r="M179">
        <v>0</v>
      </c>
      <c r="N179">
        <v>0.50106422032712883</v>
      </c>
      <c r="O179">
        <v>11.277666757169706</v>
      </c>
      <c r="P179" t="s">
        <v>1326</v>
      </c>
      <c r="Q179">
        <v>0.43106410147370311</v>
      </c>
      <c r="R179" t="s">
        <v>1326</v>
      </c>
      <c r="S179">
        <v>2.0042568813085155E-2</v>
      </c>
      <c r="T179" t="s">
        <v>177</v>
      </c>
      <c r="U179">
        <v>0.67666000543018234</v>
      </c>
      <c r="V179" t="s">
        <v>90</v>
      </c>
      <c r="W179">
        <v>0</v>
      </c>
      <c r="X179" t="s">
        <v>90</v>
      </c>
      <c r="Y179">
        <v>0</v>
      </c>
      <c r="Z179">
        <v>12.405433432886676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5</v>
      </c>
      <c r="AI179">
        <v>12</v>
      </c>
      <c r="AJ179">
        <v>37</v>
      </c>
      <c r="AL179">
        <v>5.0000000000000001E-3</v>
      </c>
      <c r="AN179" t="s">
        <v>284</v>
      </c>
      <c r="AO179" t="s">
        <v>73</v>
      </c>
      <c r="AP179">
        <v>200000</v>
      </c>
      <c r="AQ179" t="s">
        <v>97</v>
      </c>
      <c r="AS179">
        <v>10000</v>
      </c>
      <c r="AT179" t="s">
        <v>1327</v>
      </c>
      <c r="AU179" t="s">
        <v>75</v>
      </c>
      <c r="AV179" t="s">
        <v>76</v>
      </c>
    </row>
    <row r="180" spans="1:48" x14ac:dyDescent="0.15">
      <c r="A180" s="4" t="str">
        <f>HYPERLINK("https://ibp.a2mac1.com/costing(costing:projects/details/9760/assembly/8411468)","Rain Sensor")</f>
        <v>Rain Sensor</v>
      </c>
      <c r="B180">
        <v>8411468</v>
      </c>
      <c r="D180">
        <v>8411448</v>
      </c>
      <c r="F180">
        <v>1</v>
      </c>
      <c r="G180">
        <v>0</v>
      </c>
      <c r="H180">
        <v>5.3112451976257962</v>
      </c>
      <c r="I180">
        <v>2.6689674359928622E-2</v>
      </c>
      <c r="J180" t="s">
        <v>176</v>
      </c>
      <c r="K180">
        <v>0.18589358191690286</v>
      </c>
      <c r="L180">
        <v>5.5238284539026274</v>
      </c>
      <c r="M180">
        <v>0</v>
      </c>
      <c r="N180">
        <v>0.30375252742972347</v>
      </c>
      <c r="O180">
        <v>5.8275809813323507</v>
      </c>
      <c r="P180" t="s">
        <v>177</v>
      </c>
      <c r="Q180">
        <v>0.33142970723415766</v>
      </c>
      <c r="R180" t="s">
        <v>177</v>
      </c>
      <c r="S180">
        <v>1.8225151645783408E-2</v>
      </c>
      <c r="T180" t="s">
        <v>178</v>
      </c>
      <c r="U180">
        <v>0.69930971775988204</v>
      </c>
      <c r="V180" t="s">
        <v>90</v>
      </c>
      <c r="W180">
        <v>0</v>
      </c>
      <c r="X180" t="s">
        <v>90</v>
      </c>
      <c r="Y180">
        <v>0</v>
      </c>
      <c r="Z180">
        <v>6.8765455579721744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13</v>
      </c>
      <c r="AI180">
        <v>34</v>
      </c>
      <c r="AJ180">
        <v>69</v>
      </c>
      <c r="AL180">
        <v>1.2E-2</v>
      </c>
      <c r="AN180" t="s">
        <v>365</v>
      </c>
      <c r="AO180" t="s">
        <v>73</v>
      </c>
      <c r="AP180">
        <v>200000</v>
      </c>
      <c r="AQ180" t="s">
        <v>97</v>
      </c>
      <c r="AS180">
        <v>10000</v>
      </c>
      <c r="AT180" t="s">
        <v>1332</v>
      </c>
      <c r="AU180" t="s">
        <v>75</v>
      </c>
      <c r="AV180" t="s">
        <v>76</v>
      </c>
    </row>
    <row r="181" spans="1:48" x14ac:dyDescent="0.15">
      <c r="A181" s="4" t="str">
        <f>HYPERLINK("https://ibp.a2mac1.com/costing(costing:projects/details/9760/assembly/8411469)","Yaw-Rate Sensor")</f>
        <v>Yaw-Rate Sensor</v>
      </c>
      <c r="B181">
        <v>8411469</v>
      </c>
      <c r="D181">
        <v>8411448</v>
      </c>
      <c r="F181">
        <v>1</v>
      </c>
      <c r="G181">
        <v>0</v>
      </c>
      <c r="H181">
        <v>17.470971977749382</v>
      </c>
      <c r="I181">
        <v>8.7793829033916485E-2</v>
      </c>
      <c r="J181" t="s">
        <v>176</v>
      </c>
      <c r="K181">
        <v>0.6114840192212283</v>
      </c>
      <c r="L181">
        <v>18.170249826004525</v>
      </c>
      <c r="M181">
        <v>0</v>
      </c>
      <c r="N181">
        <v>0.54662595124400259</v>
      </c>
      <c r="O181">
        <v>18.716875777248529</v>
      </c>
      <c r="P181" t="s">
        <v>177</v>
      </c>
      <c r="Q181">
        <v>1.0902149895602715</v>
      </c>
      <c r="R181" t="s">
        <v>177</v>
      </c>
      <c r="S181">
        <v>3.2797557074640153E-2</v>
      </c>
      <c r="T181" t="s">
        <v>178</v>
      </c>
      <c r="U181">
        <v>2.2460250932698234</v>
      </c>
      <c r="V181" t="s">
        <v>90</v>
      </c>
      <c r="W181">
        <v>0</v>
      </c>
      <c r="X181" t="s">
        <v>90</v>
      </c>
      <c r="Y181">
        <v>0</v>
      </c>
      <c r="Z181">
        <v>22.085913417153265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22</v>
      </c>
      <c r="AI181">
        <v>90</v>
      </c>
      <c r="AJ181">
        <v>60</v>
      </c>
      <c r="AL181">
        <v>8.8999999999999996E-2</v>
      </c>
      <c r="AN181" t="s">
        <v>365</v>
      </c>
      <c r="AO181" t="s">
        <v>73</v>
      </c>
      <c r="AP181">
        <v>200000</v>
      </c>
      <c r="AQ181" t="s">
        <v>97</v>
      </c>
      <c r="AS181">
        <v>10000</v>
      </c>
      <c r="AT181" t="s">
        <v>1336</v>
      </c>
      <c r="AU181" t="s">
        <v>75</v>
      </c>
      <c r="AV181" t="s">
        <v>76</v>
      </c>
    </row>
    <row r="182" spans="1:48" x14ac:dyDescent="0.15">
      <c r="A182" s="4" t="str">
        <f>HYPERLINK("https://ibp.a2mac1.com/costing(costing:projects/details/9760/assembly/8411470)","Interior Temperature Sensor")</f>
        <v>Interior Temperature Sensor</v>
      </c>
      <c r="B182">
        <v>8411470</v>
      </c>
      <c r="D182">
        <v>8411448</v>
      </c>
      <c r="F182">
        <v>1</v>
      </c>
      <c r="G182">
        <v>0</v>
      </c>
      <c r="H182">
        <v>3.7780999999999998</v>
      </c>
      <c r="I182">
        <v>0</v>
      </c>
      <c r="J182" t="s">
        <v>90</v>
      </c>
      <c r="K182">
        <v>0</v>
      </c>
      <c r="L182">
        <v>3.7780999999999998</v>
      </c>
      <c r="M182">
        <v>0</v>
      </c>
      <c r="N182">
        <v>0</v>
      </c>
      <c r="O182">
        <v>3.7780999999999998</v>
      </c>
      <c r="P182" t="s">
        <v>90</v>
      </c>
      <c r="Q182">
        <v>0</v>
      </c>
      <c r="R182" t="s">
        <v>90</v>
      </c>
      <c r="S182">
        <v>0</v>
      </c>
      <c r="T182" t="s">
        <v>90</v>
      </c>
      <c r="U182">
        <v>0</v>
      </c>
      <c r="V182" t="s">
        <v>90</v>
      </c>
      <c r="W182">
        <v>0</v>
      </c>
      <c r="X182" t="s">
        <v>90</v>
      </c>
      <c r="Y182">
        <v>0</v>
      </c>
      <c r="Z182">
        <v>3.7780999999999998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L182">
        <v>2.7E-2</v>
      </c>
      <c r="AN182" t="s">
        <v>185</v>
      </c>
      <c r="AO182" t="s">
        <v>73</v>
      </c>
      <c r="AP182">
        <v>200000</v>
      </c>
      <c r="AQ182" t="s">
        <v>73</v>
      </c>
      <c r="AS182">
        <v>10000</v>
      </c>
      <c r="AT182" t="s">
        <v>1343</v>
      </c>
      <c r="AU182" t="s">
        <v>75</v>
      </c>
      <c r="AV182" t="s">
        <v>76</v>
      </c>
    </row>
    <row r="183" spans="1:48" x14ac:dyDescent="0.15">
      <c r="A183" s="4" t="str">
        <f>HYPERLINK("https://ibp.a2mac1.com/costing(costing:projects/details/9760/assembly/8411448)","Sensors")</f>
        <v>Sensors</v>
      </c>
      <c r="B183">
        <v>8411448</v>
      </c>
      <c r="D183">
        <v>8411445</v>
      </c>
      <c r="F183">
        <v>1</v>
      </c>
      <c r="G183">
        <v>0</v>
      </c>
      <c r="H183">
        <v>35.876248975125435</v>
      </c>
      <c r="I183">
        <v>0</v>
      </c>
      <c r="J183" t="s">
        <v>90</v>
      </c>
      <c r="K183">
        <v>0</v>
      </c>
      <c r="L183">
        <v>35.876248975125435</v>
      </c>
      <c r="M183">
        <v>0</v>
      </c>
      <c r="N183">
        <v>0</v>
      </c>
      <c r="O183">
        <v>35.876248975125435</v>
      </c>
      <c r="P183" t="s">
        <v>90</v>
      </c>
      <c r="Q183">
        <v>0</v>
      </c>
      <c r="R183" t="s">
        <v>90</v>
      </c>
      <c r="S183">
        <v>0</v>
      </c>
      <c r="T183" t="s">
        <v>90</v>
      </c>
      <c r="U183">
        <v>0</v>
      </c>
      <c r="V183" t="s">
        <v>90</v>
      </c>
      <c r="W183">
        <v>0</v>
      </c>
      <c r="X183" t="s">
        <v>90</v>
      </c>
      <c r="Y183">
        <v>0</v>
      </c>
      <c r="Z183">
        <v>35.876248975125435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L183">
        <v>0.15479999999999999</v>
      </c>
      <c r="AN183" t="s">
        <v>185</v>
      </c>
      <c r="AO183" t="s">
        <v>73</v>
      </c>
      <c r="AP183">
        <v>200000</v>
      </c>
      <c r="AQ183" t="s">
        <v>73</v>
      </c>
      <c r="AS183">
        <v>10000</v>
      </c>
      <c r="AT183" t="s">
        <v>1348</v>
      </c>
      <c r="AU183" t="s">
        <v>75</v>
      </c>
      <c r="AV183" t="s">
        <v>76</v>
      </c>
    </row>
    <row r="184" spans="1:48" x14ac:dyDescent="0.15">
      <c r="A184" s="4" t="str">
        <f>HYPERLINK("https://ibp.a2mac1.com/costing(costing:projects/details/9760/assembly/8411477)","USB Plug")</f>
        <v>USB Plug</v>
      </c>
      <c r="B184">
        <v>8411477</v>
      </c>
      <c r="D184">
        <v>8411449</v>
      </c>
      <c r="F184">
        <v>1</v>
      </c>
      <c r="G184">
        <v>0</v>
      </c>
      <c r="H184">
        <v>4.7998606883088621</v>
      </c>
      <c r="I184">
        <v>2.4119902956325941E-2</v>
      </c>
      <c r="J184" t="s">
        <v>176</v>
      </c>
      <c r="K184">
        <v>0.16799512409081019</v>
      </c>
      <c r="L184">
        <v>4.9919757153559985</v>
      </c>
      <c r="M184">
        <v>0</v>
      </c>
      <c r="N184">
        <v>0.23147471989327909</v>
      </c>
      <c r="O184">
        <v>5.2234504352492781</v>
      </c>
      <c r="P184" t="s">
        <v>177</v>
      </c>
      <c r="Q184">
        <v>0.29951854292135993</v>
      </c>
      <c r="R184" t="s">
        <v>177</v>
      </c>
      <c r="S184">
        <v>1.3888483193596745E-2</v>
      </c>
      <c r="T184" t="s">
        <v>178</v>
      </c>
      <c r="U184">
        <v>0.62681405222991327</v>
      </c>
      <c r="V184" t="s">
        <v>90</v>
      </c>
      <c r="W184">
        <v>0</v>
      </c>
      <c r="X184" t="s">
        <v>90</v>
      </c>
      <c r="Y184">
        <v>0</v>
      </c>
      <c r="Z184">
        <v>6.1636715135941476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54</v>
      </c>
      <c r="AI184">
        <v>191</v>
      </c>
      <c r="AJ184">
        <v>38</v>
      </c>
      <c r="AL184">
        <v>7.3999999999999996E-2</v>
      </c>
      <c r="AN184" t="s">
        <v>288</v>
      </c>
      <c r="AO184" t="s">
        <v>73</v>
      </c>
      <c r="AP184">
        <v>200000</v>
      </c>
      <c r="AQ184" t="s">
        <v>97</v>
      </c>
      <c r="AS184">
        <v>10000</v>
      </c>
      <c r="AT184" t="s">
        <v>1352</v>
      </c>
      <c r="AU184" t="s">
        <v>75</v>
      </c>
      <c r="AV184" t="s">
        <v>76</v>
      </c>
    </row>
    <row r="185" spans="1:48" x14ac:dyDescent="0.15">
      <c r="A185" s="4" t="str">
        <f>HYPERLINK("https://ibp.a2mac1.com/costing(costing:projects/details/9760/assembly/8411478)","USB Plug 2")</f>
        <v>USB Plug 2</v>
      </c>
      <c r="B185">
        <v>8411478</v>
      </c>
      <c r="D185">
        <v>8411449</v>
      </c>
      <c r="F185">
        <v>1</v>
      </c>
      <c r="G185">
        <v>0</v>
      </c>
      <c r="H185">
        <v>13.892003259563909</v>
      </c>
      <c r="I185">
        <v>6.980906160584878E-2</v>
      </c>
      <c r="J185" t="s">
        <v>176</v>
      </c>
      <c r="K185">
        <v>0.48622011408473681</v>
      </c>
      <c r="L185">
        <v>14.448032435254493</v>
      </c>
      <c r="M185">
        <v>0</v>
      </c>
      <c r="N185">
        <v>0.76399766555778237</v>
      </c>
      <c r="O185">
        <v>15.212030100812276</v>
      </c>
      <c r="P185" t="s">
        <v>177</v>
      </c>
      <c r="Q185">
        <v>0.86688194611526959</v>
      </c>
      <c r="R185" t="s">
        <v>177</v>
      </c>
      <c r="S185">
        <v>4.5839859933466939E-2</v>
      </c>
      <c r="T185" t="s">
        <v>178</v>
      </c>
      <c r="U185">
        <v>1.8254436120974731</v>
      </c>
      <c r="V185" t="s">
        <v>90</v>
      </c>
      <c r="W185">
        <v>0</v>
      </c>
      <c r="X185" t="s">
        <v>90</v>
      </c>
      <c r="Y185">
        <v>0</v>
      </c>
      <c r="Z185">
        <v>17.950195518958488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>
        <v>32</v>
      </c>
      <c r="AJ185">
        <v>115</v>
      </c>
      <c r="AL185">
        <v>0.24</v>
      </c>
      <c r="AN185" t="s">
        <v>365</v>
      </c>
      <c r="AO185" t="s">
        <v>73</v>
      </c>
      <c r="AP185">
        <v>200000</v>
      </c>
      <c r="AQ185" t="s">
        <v>97</v>
      </c>
      <c r="AS185">
        <v>10000</v>
      </c>
      <c r="AT185" t="s">
        <v>1355</v>
      </c>
      <c r="AU185" t="s">
        <v>75</v>
      </c>
      <c r="AV185" t="s">
        <v>76</v>
      </c>
    </row>
    <row r="186" spans="1:48" x14ac:dyDescent="0.15">
      <c r="A186" s="4" t="str">
        <f>HYPERLINK("https://ibp.a2mac1.com/costing(costing:projects/details/9760/assembly/8411449)","Plugs")</f>
        <v>Plugs</v>
      </c>
      <c r="B186">
        <v>8411449</v>
      </c>
      <c r="D186">
        <v>8411445</v>
      </c>
      <c r="F186">
        <v>1</v>
      </c>
      <c r="G186">
        <v>0</v>
      </c>
      <c r="H186">
        <v>30.505927032552634</v>
      </c>
      <c r="I186">
        <v>0</v>
      </c>
      <c r="J186" t="s">
        <v>90</v>
      </c>
      <c r="K186">
        <v>0</v>
      </c>
      <c r="L186">
        <v>30.505927032552634</v>
      </c>
      <c r="M186">
        <v>0</v>
      </c>
      <c r="N186">
        <v>0</v>
      </c>
      <c r="O186">
        <v>30.505927032552634</v>
      </c>
      <c r="P186" t="s">
        <v>90</v>
      </c>
      <c r="Q186">
        <v>0</v>
      </c>
      <c r="R186" t="s">
        <v>90</v>
      </c>
      <c r="S186">
        <v>0</v>
      </c>
      <c r="T186" t="s">
        <v>90</v>
      </c>
      <c r="U186">
        <v>0</v>
      </c>
      <c r="V186" t="s">
        <v>90</v>
      </c>
      <c r="W186">
        <v>0</v>
      </c>
      <c r="X186" t="s">
        <v>90</v>
      </c>
      <c r="Y186">
        <v>0</v>
      </c>
      <c r="Z186">
        <v>30.505927032552634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L186">
        <v>0.50490000000000002</v>
      </c>
      <c r="AN186" t="s">
        <v>185</v>
      </c>
      <c r="AO186" t="s">
        <v>73</v>
      </c>
      <c r="AP186">
        <v>200000</v>
      </c>
      <c r="AQ186" t="s">
        <v>73</v>
      </c>
      <c r="AS186">
        <v>10000</v>
      </c>
      <c r="AT186" t="s">
        <v>1368</v>
      </c>
      <c r="AU186" t="s">
        <v>75</v>
      </c>
      <c r="AV186" t="s">
        <v>76</v>
      </c>
    </row>
    <row r="187" spans="1:48" x14ac:dyDescent="0.15">
      <c r="A187" s="4" t="str">
        <f>HYPERLINK("https://ibp.a2mac1.com/costing(costing:projects/details/9760/assembly/8411450)","Tool Box")</f>
        <v>Tool Box</v>
      </c>
      <c r="B187">
        <v>8411450</v>
      </c>
      <c r="D187">
        <v>8411445</v>
      </c>
      <c r="F187">
        <v>1</v>
      </c>
      <c r="G187">
        <v>0</v>
      </c>
      <c r="H187">
        <v>12.744400000000001</v>
      </c>
      <c r="I187">
        <v>0</v>
      </c>
      <c r="J187" t="s">
        <v>90</v>
      </c>
      <c r="K187">
        <v>0</v>
      </c>
      <c r="L187">
        <v>12.744400000000001</v>
      </c>
      <c r="M187">
        <v>0</v>
      </c>
      <c r="N187">
        <v>0</v>
      </c>
      <c r="O187">
        <v>12.744400000000001</v>
      </c>
      <c r="P187" t="s">
        <v>90</v>
      </c>
      <c r="Q187">
        <v>0</v>
      </c>
      <c r="R187" t="s">
        <v>90</v>
      </c>
      <c r="S187">
        <v>0</v>
      </c>
      <c r="T187" t="s">
        <v>90</v>
      </c>
      <c r="U187">
        <v>0</v>
      </c>
      <c r="V187" t="s">
        <v>90</v>
      </c>
      <c r="W187">
        <v>0</v>
      </c>
      <c r="X187" t="s">
        <v>90</v>
      </c>
      <c r="Y187">
        <v>0</v>
      </c>
      <c r="Z187">
        <v>12.744400000000001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L187">
        <v>3.4279999999999999</v>
      </c>
      <c r="AN187" t="s">
        <v>185</v>
      </c>
      <c r="AO187" t="s">
        <v>73</v>
      </c>
      <c r="AP187">
        <v>200000</v>
      </c>
      <c r="AQ187" t="s">
        <v>73</v>
      </c>
      <c r="AS187">
        <v>10000</v>
      </c>
      <c r="AT187" t="s">
        <v>1383</v>
      </c>
      <c r="AU187" t="s">
        <v>75</v>
      </c>
      <c r="AV187" t="s">
        <v>76</v>
      </c>
    </row>
    <row r="188" spans="1:48" x14ac:dyDescent="0.15">
      <c r="A188" s="4" t="str">
        <f>HYPERLINK("https://ibp.a2mac1.com/costing(costing:projects/details/9760/assembly/8411489)","5G Antenna")</f>
        <v>5G Antenna</v>
      </c>
      <c r="B188">
        <v>8411489</v>
      </c>
      <c r="D188">
        <v>8411451</v>
      </c>
      <c r="F188">
        <v>1</v>
      </c>
      <c r="G188">
        <v>0</v>
      </c>
      <c r="H188">
        <v>5.0828916076065278</v>
      </c>
      <c r="I188">
        <v>2.5542168882444864E-2</v>
      </c>
      <c r="J188" t="s">
        <v>176</v>
      </c>
      <c r="K188">
        <v>0.17790120626622849</v>
      </c>
      <c r="L188">
        <v>5.2863349827552018</v>
      </c>
      <c r="M188">
        <v>0</v>
      </c>
      <c r="N188">
        <v>0.27339334945293858</v>
      </c>
      <c r="O188">
        <v>5.5597283322081399</v>
      </c>
      <c r="P188" t="s">
        <v>177</v>
      </c>
      <c r="Q188">
        <v>0.31718009896531207</v>
      </c>
      <c r="R188" t="s">
        <v>177</v>
      </c>
      <c r="S188">
        <v>1.6403600967176316E-2</v>
      </c>
      <c r="T188" t="s">
        <v>178</v>
      </c>
      <c r="U188">
        <v>0.66716739986497675</v>
      </c>
      <c r="V188" t="s">
        <v>90</v>
      </c>
      <c r="W188">
        <v>0</v>
      </c>
      <c r="X188" t="s">
        <v>90</v>
      </c>
      <c r="Y188">
        <v>0</v>
      </c>
      <c r="Z188">
        <v>6.5604794320056055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30</v>
      </c>
      <c r="AI188">
        <v>395</v>
      </c>
      <c r="AJ188">
        <v>45</v>
      </c>
      <c r="AL188">
        <v>0.19900000000000001</v>
      </c>
      <c r="AN188" t="s">
        <v>365</v>
      </c>
      <c r="AO188" t="s">
        <v>73</v>
      </c>
      <c r="AP188">
        <v>200000</v>
      </c>
      <c r="AQ188" t="s">
        <v>97</v>
      </c>
      <c r="AS188">
        <v>10000</v>
      </c>
      <c r="AT188" t="s">
        <v>1388</v>
      </c>
      <c r="AU188" t="s">
        <v>75</v>
      </c>
      <c r="AV188" t="s">
        <v>76</v>
      </c>
    </row>
    <row r="189" spans="1:48" x14ac:dyDescent="0.15">
      <c r="A189" s="4" t="str">
        <f>HYPERLINK("https://ibp.a2mac1.com/costing(costing:projects/details/9760/assembly/8411562)","Audio Amplifier")</f>
        <v>Audio Amplifier</v>
      </c>
      <c r="B189">
        <v>8411562</v>
      </c>
      <c r="D189">
        <v>8411490</v>
      </c>
      <c r="F189">
        <v>1</v>
      </c>
      <c r="G189">
        <v>0</v>
      </c>
      <c r="H189">
        <v>54.975820575191378</v>
      </c>
      <c r="I189">
        <v>0.27626040490045917</v>
      </c>
      <c r="J189" t="s">
        <v>176</v>
      </c>
      <c r="K189">
        <v>1.9241537201316983</v>
      </c>
      <c r="L189">
        <v>57.176234700223539</v>
      </c>
      <c r="M189">
        <v>0</v>
      </c>
      <c r="N189">
        <v>3.1283990938933424</v>
      </c>
      <c r="O189">
        <v>60.304633794116882</v>
      </c>
      <c r="P189" t="s">
        <v>177</v>
      </c>
      <c r="Q189">
        <v>3.4305740820134121</v>
      </c>
      <c r="R189" t="s">
        <v>177</v>
      </c>
      <c r="S189">
        <v>0.18770394563360054</v>
      </c>
      <c r="T189" t="s">
        <v>178</v>
      </c>
      <c r="U189">
        <v>7.2365560552940256</v>
      </c>
      <c r="V189" t="s">
        <v>90</v>
      </c>
      <c r="W189">
        <v>0</v>
      </c>
      <c r="X189" t="s">
        <v>90</v>
      </c>
      <c r="Y189">
        <v>0</v>
      </c>
      <c r="Z189">
        <v>71.159467877057921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44</v>
      </c>
      <c r="AI189">
        <v>250</v>
      </c>
      <c r="AJ189">
        <v>160</v>
      </c>
      <c r="AL189">
        <v>1.502</v>
      </c>
      <c r="AN189" t="s">
        <v>365</v>
      </c>
      <c r="AO189" t="s">
        <v>73</v>
      </c>
      <c r="AP189">
        <v>200000</v>
      </c>
      <c r="AQ189" t="s">
        <v>97</v>
      </c>
      <c r="AS189">
        <v>10000</v>
      </c>
      <c r="AT189" t="s">
        <v>1392</v>
      </c>
      <c r="AU189" t="s">
        <v>75</v>
      </c>
      <c r="AV189" t="s">
        <v>76</v>
      </c>
    </row>
    <row r="190" spans="1:48" x14ac:dyDescent="0.15">
      <c r="A190" s="4" t="str">
        <f>HYPERLINK("https://ibp.a2mac1.com/costing(costing:projects/details/9760/assembly/8411490)","Audio Amplifier System")</f>
        <v>Audio Amplifier System</v>
      </c>
      <c r="B190">
        <v>8411490</v>
      </c>
      <c r="D190">
        <v>8411451</v>
      </c>
      <c r="F190">
        <v>1</v>
      </c>
      <c r="G190">
        <v>0</v>
      </c>
      <c r="H190">
        <v>72.569467877057917</v>
      </c>
      <c r="I190">
        <v>0</v>
      </c>
      <c r="J190" t="s">
        <v>90</v>
      </c>
      <c r="K190">
        <v>0</v>
      </c>
      <c r="L190">
        <v>72.569467877057917</v>
      </c>
      <c r="M190">
        <v>0</v>
      </c>
      <c r="N190">
        <v>0</v>
      </c>
      <c r="O190">
        <v>72.569467877057917</v>
      </c>
      <c r="P190" t="s">
        <v>90</v>
      </c>
      <c r="Q190">
        <v>0</v>
      </c>
      <c r="R190" t="s">
        <v>90</v>
      </c>
      <c r="S190">
        <v>0</v>
      </c>
      <c r="T190" t="s">
        <v>90</v>
      </c>
      <c r="U190">
        <v>0</v>
      </c>
      <c r="V190" t="s">
        <v>90</v>
      </c>
      <c r="W190">
        <v>0</v>
      </c>
      <c r="X190" t="s">
        <v>90</v>
      </c>
      <c r="Y190">
        <v>0</v>
      </c>
      <c r="Z190">
        <v>72.569467877057917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L190">
        <v>1.6739999999999999</v>
      </c>
      <c r="AN190" t="s">
        <v>185</v>
      </c>
      <c r="AO190" t="s">
        <v>73</v>
      </c>
      <c r="AP190">
        <v>200000</v>
      </c>
      <c r="AQ190" t="s">
        <v>73</v>
      </c>
      <c r="AS190">
        <v>10000</v>
      </c>
      <c r="AT190" t="s">
        <v>1395</v>
      </c>
      <c r="AU190" t="s">
        <v>75</v>
      </c>
      <c r="AV190" t="s">
        <v>76</v>
      </c>
    </row>
    <row r="191" spans="1:48" x14ac:dyDescent="0.15">
      <c r="A191" s="4" t="str">
        <f>HYPERLINK("https://ibp.a2mac1.com/costing(costing:projects/details/9760/assembly/8411491)","Subwoofer System")</f>
        <v>Subwoofer System</v>
      </c>
      <c r="B191">
        <v>8411491</v>
      </c>
      <c r="D191">
        <v>8411451</v>
      </c>
      <c r="F191">
        <v>1</v>
      </c>
      <c r="G191">
        <v>0</v>
      </c>
      <c r="H191">
        <v>7.98</v>
      </c>
      <c r="I191">
        <v>0</v>
      </c>
      <c r="J191" t="s">
        <v>90</v>
      </c>
      <c r="K191">
        <v>0</v>
      </c>
      <c r="L191">
        <v>7.98</v>
      </c>
      <c r="M191">
        <v>0</v>
      </c>
      <c r="N191">
        <v>0</v>
      </c>
      <c r="O191">
        <v>7.98</v>
      </c>
      <c r="P191" t="s">
        <v>90</v>
      </c>
      <c r="Q191">
        <v>0</v>
      </c>
      <c r="R191" t="s">
        <v>90</v>
      </c>
      <c r="S191">
        <v>0</v>
      </c>
      <c r="T191" t="s">
        <v>90</v>
      </c>
      <c r="U191">
        <v>0</v>
      </c>
      <c r="V191" t="s">
        <v>90</v>
      </c>
      <c r="W191">
        <v>0</v>
      </c>
      <c r="X191" t="s">
        <v>90</v>
      </c>
      <c r="Y191">
        <v>0</v>
      </c>
      <c r="Z191">
        <v>7.98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L191">
        <v>1.288</v>
      </c>
      <c r="AN191" t="s">
        <v>185</v>
      </c>
      <c r="AO191" t="s">
        <v>73</v>
      </c>
      <c r="AP191">
        <v>200000</v>
      </c>
      <c r="AQ191" t="s">
        <v>73</v>
      </c>
      <c r="AS191">
        <v>10000</v>
      </c>
      <c r="AT191" t="s">
        <v>1400</v>
      </c>
      <c r="AU191" t="s">
        <v>75</v>
      </c>
      <c r="AV191" t="s">
        <v>76</v>
      </c>
    </row>
    <row r="192" spans="1:48" x14ac:dyDescent="0.15">
      <c r="A192" s="4" t="str">
        <f>HYPERLINK("https://ibp.a2mac1.com/costing(costing:projects/details/9760/assembly/8411567)","Head Unit")</f>
        <v>Head Unit</v>
      </c>
      <c r="B192">
        <v>8411567</v>
      </c>
      <c r="D192">
        <v>8411492</v>
      </c>
      <c r="F192">
        <v>1</v>
      </c>
      <c r="G192">
        <v>0</v>
      </c>
      <c r="H192">
        <v>355.59338698126737</v>
      </c>
      <c r="I192">
        <v>1.7869014421169216</v>
      </c>
      <c r="J192" t="s">
        <v>176</v>
      </c>
      <c r="K192">
        <v>12.445768544344359</v>
      </c>
      <c r="L192">
        <v>369.82605696772868</v>
      </c>
      <c r="M192">
        <v>0</v>
      </c>
      <c r="N192">
        <v>12.335450022845528</v>
      </c>
      <c r="O192">
        <v>382.1615069905742</v>
      </c>
      <c r="P192" t="s">
        <v>177</v>
      </c>
      <c r="Q192">
        <v>22.18956341806372</v>
      </c>
      <c r="R192" t="s">
        <v>177</v>
      </c>
      <c r="S192">
        <v>0.74012700137073173</v>
      </c>
      <c r="T192" t="s">
        <v>178</v>
      </c>
      <c r="U192">
        <v>45.859380838868901</v>
      </c>
      <c r="V192" t="s">
        <v>90</v>
      </c>
      <c r="W192">
        <v>0</v>
      </c>
      <c r="X192" t="s">
        <v>90</v>
      </c>
      <c r="Y192">
        <v>0</v>
      </c>
      <c r="Z192">
        <v>450.95057824887755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90</v>
      </c>
      <c r="AI192">
        <v>223</v>
      </c>
      <c r="AJ192">
        <v>212</v>
      </c>
      <c r="AL192">
        <v>2.0310000000000001</v>
      </c>
      <c r="AN192" t="s">
        <v>365</v>
      </c>
      <c r="AO192" t="s">
        <v>73</v>
      </c>
      <c r="AP192">
        <v>200000</v>
      </c>
      <c r="AQ192" t="s">
        <v>97</v>
      </c>
      <c r="AS192">
        <v>10000</v>
      </c>
      <c r="AT192" t="s">
        <v>1405</v>
      </c>
      <c r="AU192" t="s">
        <v>75</v>
      </c>
      <c r="AV192" t="s">
        <v>76</v>
      </c>
    </row>
    <row r="193" spans="1:48" x14ac:dyDescent="0.15">
      <c r="A193" s="4" t="str">
        <f>HYPERLINK("https://ibp.a2mac1.com/costing(costing:projects/details/9760/assembly/8411492)","Head Unit System")</f>
        <v>Head Unit System</v>
      </c>
      <c r="B193">
        <v>8411492</v>
      </c>
      <c r="D193">
        <v>8411451</v>
      </c>
      <c r="F193">
        <v>1</v>
      </c>
      <c r="G193">
        <v>0</v>
      </c>
      <c r="H193">
        <v>452.88057824887755</v>
      </c>
      <c r="I193">
        <v>0</v>
      </c>
      <c r="J193" t="s">
        <v>90</v>
      </c>
      <c r="K193">
        <v>0</v>
      </c>
      <c r="L193">
        <v>452.88057824887755</v>
      </c>
      <c r="M193">
        <v>0</v>
      </c>
      <c r="N193">
        <v>0</v>
      </c>
      <c r="O193">
        <v>452.88057824887755</v>
      </c>
      <c r="P193" t="s">
        <v>90</v>
      </c>
      <c r="Q193">
        <v>0</v>
      </c>
      <c r="R193" t="s">
        <v>90</v>
      </c>
      <c r="S193">
        <v>0</v>
      </c>
      <c r="T193" t="s">
        <v>90</v>
      </c>
      <c r="U193">
        <v>0</v>
      </c>
      <c r="V193" t="s">
        <v>90</v>
      </c>
      <c r="W193">
        <v>0</v>
      </c>
      <c r="X193" t="s">
        <v>90</v>
      </c>
      <c r="Y193">
        <v>0</v>
      </c>
      <c r="Z193">
        <v>452.88057824887755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L193">
        <v>2.1631</v>
      </c>
      <c r="AN193" t="s">
        <v>185</v>
      </c>
      <c r="AO193" t="s">
        <v>73</v>
      </c>
      <c r="AP193">
        <v>200000</v>
      </c>
      <c r="AQ193" t="s">
        <v>73</v>
      </c>
      <c r="AS193">
        <v>10000</v>
      </c>
      <c r="AT193" t="s">
        <v>1409</v>
      </c>
      <c r="AU193" t="s">
        <v>75</v>
      </c>
      <c r="AV193" t="s">
        <v>76</v>
      </c>
    </row>
    <row r="194" spans="1:48" x14ac:dyDescent="0.15">
      <c r="A194" s="4" t="str">
        <f>HYPERLINK("https://ibp.a2mac1.com/costing(costing:projects/details/9760/assembly/8411451)","Audio System")</f>
        <v>Audio System</v>
      </c>
      <c r="B194">
        <v>8411451</v>
      </c>
      <c r="D194">
        <v>8411445</v>
      </c>
      <c r="F194">
        <v>1</v>
      </c>
      <c r="G194">
        <v>0</v>
      </c>
      <c r="H194">
        <v>540.0237855579411</v>
      </c>
      <c r="I194">
        <v>0</v>
      </c>
      <c r="J194" t="s">
        <v>90</v>
      </c>
      <c r="K194">
        <v>0</v>
      </c>
      <c r="L194">
        <v>540.0237855579411</v>
      </c>
      <c r="M194">
        <v>0</v>
      </c>
      <c r="N194">
        <v>0</v>
      </c>
      <c r="O194">
        <v>540.0237855579411</v>
      </c>
      <c r="P194" t="s">
        <v>90</v>
      </c>
      <c r="Q194">
        <v>0</v>
      </c>
      <c r="R194" t="s">
        <v>90</v>
      </c>
      <c r="S194">
        <v>0</v>
      </c>
      <c r="T194" t="s">
        <v>90</v>
      </c>
      <c r="U194">
        <v>0</v>
      </c>
      <c r="V194" t="s">
        <v>90</v>
      </c>
      <c r="W194">
        <v>0</v>
      </c>
      <c r="X194" t="s">
        <v>90</v>
      </c>
      <c r="Y194">
        <v>0</v>
      </c>
      <c r="Z194">
        <v>540.0237855579411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L194">
        <v>5.3311000000000002</v>
      </c>
      <c r="AN194" t="s">
        <v>185</v>
      </c>
      <c r="AO194" t="s">
        <v>73</v>
      </c>
      <c r="AP194">
        <v>200000</v>
      </c>
      <c r="AQ194" t="s">
        <v>73</v>
      </c>
      <c r="AS194">
        <v>10000</v>
      </c>
      <c r="AT194" t="s">
        <v>1411</v>
      </c>
      <c r="AU194" t="s">
        <v>75</v>
      </c>
      <c r="AV194" t="s">
        <v>76</v>
      </c>
    </row>
    <row r="195" spans="1:48" x14ac:dyDescent="0.15">
      <c r="A195" s="4" t="str">
        <f>HYPERLINK("https://ibp.a2mac1.com/costing(costing:projects/details/9760/assembly/8411452)","GPS System")</f>
        <v>GPS System</v>
      </c>
      <c r="B195">
        <v>8411452</v>
      </c>
      <c r="D195">
        <v>8411445</v>
      </c>
      <c r="F195">
        <v>1</v>
      </c>
      <c r="G195">
        <v>0</v>
      </c>
      <c r="H195">
        <v>4.99688</v>
      </c>
      <c r="I195">
        <v>0</v>
      </c>
      <c r="J195" t="s">
        <v>90</v>
      </c>
      <c r="K195">
        <v>0</v>
      </c>
      <c r="L195">
        <v>4.99688</v>
      </c>
      <c r="M195">
        <v>0</v>
      </c>
      <c r="N195">
        <v>0</v>
      </c>
      <c r="O195">
        <v>4.99688</v>
      </c>
      <c r="P195" t="s">
        <v>90</v>
      </c>
      <c r="Q195">
        <v>0</v>
      </c>
      <c r="R195" t="s">
        <v>90</v>
      </c>
      <c r="S195">
        <v>0</v>
      </c>
      <c r="T195" t="s">
        <v>90</v>
      </c>
      <c r="U195">
        <v>0</v>
      </c>
      <c r="V195" t="s">
        <v>90</v>
      </c>
      <c r="W195">
        <v>0</v>
      </c>
      <c r="X195" t="s">
        <v>90</v>
      </c>
      <c r="Y195">
        <v>0</v>
      </c>
      <c r="Z195">
        <v>4.99688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L195">
        <v>0.125</v>
      </c>
      <c r="AN195" t="s">
        <v>185</v>
      </c>
      <c r="AO195" t="s">
        <v>73</v>
      </c>
      <c r="AP195">
        <v>200000</v>
      </c>
      <c r="AQ195" t="s">
        <v>73</v>
      </c>
      <c r="AS195">
        <v>10000</v>
      </c>
      <c r="AT195" t="s">
        <v>1415</v>
      </c>
      <c r="AU195" t="s">
        <v>75</v>
      </c>
      <c r="AV195" t="s">
        <v>76</v>
      </c>
    </row>
    <row r="196" spans="1:48" x14ac:dyDescent="0.15">
      <c r="A196" s="4" t="str">
        <f>HYPERLINK("https://ibp.a2mac1.com/costing(costing:projects/details/9760/assembly/8411496)","Telematics ECU")</f>
        <v>Telematics ECU</v>
      </c>
      <c r="B196">
        <v>8411496</v>
      </c>
      <c r="D196">
        <v>8411453</v>
      </c>
      <c r="F196">
        <v>1</v>
      </c>
      <c r="G196">
        <v>0</v>
      </c>
      <c r="H196">
        <v>81.83901050659135</v>
      </c>
      <c r="I196">
        <v>0.4112513090783485</v>
      </c>
      <c r="J196" t="s">
        <v>176</v>
      </c>
      <c r="K196">
        <v>2.8643653677306973</v>
      </c>
      <c r="L196">
        <v>85.114627183400401</v>
      </c>
      <c r="M196">
        <v>0</v>
      </c>
      <c r="N196">
        <v>3.3169009416256232</v>
      </c>
      <c r="O196">
        <v>88.43152812502602</v>
      </c>
      <c r="P196" t="s">
        <v>177</v>
      </c>
      <c r="Q196">
        <v>5.106877631004024</v>
      </c>
      <c r="R196" t="s">
        <v>177</v>
      </c>
      <c r="S196">
        <v>0.19901405649753739</v>
      </c>
      <c r="T196" t="s">
        <v>178</v>
      </c>
      <c r="U196">
        <v>10.611783375003123</v>
      </c>
      <c r="V196" t="s">
        <v>90</v>
      </c>
      <c r="W196">
        <v>0</v>
      </c>
      <c r="X196" t="s">
        <v>90</v>
      </c>
      <c r="Y196">
        <v>0</v>
      </c>
      <c r="Z196">
        <v>104.3492031875307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35</v>
      </c>
      <c r="AI196">
        <v>232</v>
      </c>
      <c r="AJ196">
        <v>156</v>
      </c>
      <c r="AL196">
        <v>0.51100000000000001</v>
      </c>
      <c r="AN196" t="s">
        <v>365</v>
      </c>
      <c r="AO196" t="s">
        <v>73</v>
      </c>
      <c r="AP196">
        <v>200000</v>
      </c>
      <c r="AQ196" t="s">
        <v>97</v>
      </c>
      <c r="AS196">
        <v>10000</v>
      </c>
      <c r="AT196" t="s">
        <v>1421</v>
      </c>
      <c r="AU196" t="s">
        <v>75</v>
      </c>
      <c r="AV196" t="s">
        <v>76</v>
      </c>
    </row>
    <row r="197" spans="1:48" x14ac:dyDescent="0.15">
      <c r="A197" s="4" t="str">
        <f>HYPERLINK("https://ibp.a2mac1.com/costing(costing:projects/details/9760/assembly/8411499)","Induction Charger   Qi System")</f>
        <v>Induction Charger   Qi System</v>
      </c>
      <c r="B197">
        <v>8411499</v>
      </c>
      <c r="D197">
        <v>8411453</v>
      </c>
      <c r="F197">
        <v>1</v>
      </c>
      <c r="G197">
        <v>0</v>
      </c>
      <c r="H197">
        <v>22.166388324550059</v>
      </c>
      <c r="I197">
        <v>0.11138888605301536</v>
      </c>
      <c r="J197" t="s">
        <v>176</v>
      </c>
      <c r="K197">
        <v>0.77582359135925205</v>
      </c>
      <c r="L197">
        <v>23.053600801962325</v>
      </c>
      <c r="M197">
        <v>0</v>
      </c>
      <c r="N197">
        <v>1.2448870447100548</v>
      </c>
      <c r="O197">
        <v>24.29848784667238</v>
      </c>
      <c r="P197" t="s">
        <v>177</v>
      </c>
      <c r="Q197">
        <v>1.3832160481177396</v>
      </c>
      <c r="R197" t="s">
        <v>177</v>
      </c>
      <c r="S197">
        <v>7.4693222682603297E-2</v>
      </c>
      <c r="T197" t="s">
        <v>178</v>
      </c>
      <c r="U197">
        <v>2.9158185416006859</v>
      </c>
      <c r="V197" t="s">
        <v>90</v>
      </c>
      <c r="W197">
        <v>0</v>
      </c>
      <c r="X197" t="s">
        <v>90</v>
      </c>
      <c r="Y197">
        <v>0</v>
      </c>
      <c r="Z197">
        <v>28.672215659073409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157</v>
      </c>
      <c r="AI197">
        <v>72</v>
      </c>
      <c r="AJ197">
        <v>35</v>
      </c>
      <c r="AL197">
        <v>0.26700000000000002</v>
      </c>
      <c r="AN197" t="s">
        <v>365</v>
      </c>
      <c r="AO197" t="s">
        <v>73</v>
      </c>
      <c r="AP197">
        <v>200000</v>
      </c>
      <c r="AQ197" t="s">
        <v>97</v>
      </c>
      <c r="AS197">
        <v>10000</v>
      </c>
      <c r="AT197" t="s">
        <v>1425</v>
      </c>
      <c r="AU197" t="s">
        <v>75</v>
      </c>
      <c r="AV197" t="s">
        <v>76</v>
      </c>
    </row>
    <row r="198" spans="1:48" x14ac:dyDescent="0.15">
      <c r="A198" s="4" t="str">
        <f>HYPERLINK("https://ibp.a2mac1.com/costing(costing:projects/details/9760/assembly/8411501)","Induction Charger   Qi System 2")</f>
        <v>Induction Charger   Qi System 2</v>
      </c>
      <c r="B198">
        <v>8411501</v>
      </c>
      <c r="D198">
        <v>8411453</v>
      </c>
      <c r="F198">
        <v>1</v>
      </c>
      <c r="G198">
        <v>0</v>
      </c>
      <c r="H198">
        <v>7.5185130321042575</v>
      </c>
      <c r="I198">
        <v>3.7781472523136975E-2</v>
      </c>
      <c r="J198" t="s">
        <v>176</v>
      </c>
      <c r="K198">
        <v>0.263147956123649</v>
      </c>
      <c r="L198">
        <v>7.819442460751044</v>
      </c>
      <c r="M198">
        <v>0</v>
      </c>
      <c r="N198">
        <v>0.41972458730104173</v>
      </c>
      <c r="O198">
        <v>8.2391670480520851</v>
      </c>
      <c r="P198" t="s">
        <v>177</v>
      </c>
      <c r="Q198">
        <v>0.4691665476450626</v>
      </c>
      <c r="R198" t="s">
        <v>177</v>
      </c>
      <c r="S198">
        <v>2.5183475238062504E-2</v>
      </c>
      <c r="T198" t="s">
        <v>178</v>
      </c>
      <c r="U198">
        <v>0.98870004576625026</v>
      </c>
      <c r="V198" t="s">
        <v>90</v>
      </c>
      <c r="W198">
        <v>0</v>
      </c>
      <c r="X198" t="s">
        <v>90</v>
      </c>
      <c r="Y198">
        <v>0</v>
      </c>
      <c r="Z198">
        <v>9.7222171167014615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41</v>
      </c>
      <c r="AI198">
        <v>132</v>
      </c>
      <c r="AJ198">
        <v>152</v>
      </c>
      <c r="AL198">
        <v>0.121</v>
      </c>
      <c r="AN198" t="s">
        <v>365</v>
      </c>
      <c r="AO198" t="s">
        <v>73</v>
      </c>
      <c r="AP198">
        <v>200000</v>
      </c>
      <c r="AQ198" t="s">
        <v>97</v>
      </c>
      <c r="AS198">
        <v>10000</v>
      </c>
      <c r="AT198" t="s">
        <v>1429</v>
      </c>
      <c r="AU198" t="s">
        <v>75</v>
      </c>
      <c r="AV198" t="s">
        <v>76</v>
      </c>
    </row>
    <row r="199" spans="1:48" x14ac:dyDescent="0.15">
      <c r="A199" s="4" t="str">
        <f>HYPERLINK("https://ibp.a2mac1.com/costing(costing:projects/details/9760/assembly/8411453)","Phone System")</f>
        <v>Phone System</v>
      </c>
      <c r="B199">
        <v>8411453</v>
      </c>
      <c r="D199">
        <v>8411445</v>
      </c>
      <c r="F199">
        <v>1</v>
      </c>
      <c r="G199">
        <v>0</v>
      </c>
      <c r="H199">
        <v>155.40771596330558</v>
      </c>
      <c r="I199">
        <v>0</v>
      </c>
      <c r="J199" t="s">
        <v>90</v>
      </c>
      <c r="K199">
        <v>0</v>
      </c>
      <c r="L199">
        <v>155.40771596330558</v>
      </c>
      <c r="M199">
        <v>0</v>
      </c>
      <c r="N199">
        <v>0</v>
      </c>
      <c r="O199">
        <v>155.40771596330558</v>
      </c>
      <c r="P199" t="s">
        <v>90</v>
      </c>
      <c r="Q199">
        <v>0</v>
      </c>
      <c r="R199" t="s">
        <v>90</v>
      </c>
      <c r="S199">
        <v>0</v>
      </c>
      <c r="T199" t="s">
        <v>90</v>
      </c>
      <c r="U199">
        <v>0</v>
      </c>
      <c r="V199" t="s">
        <v>90</v>
      </c>
      <c r="W199">
        <v>0</v>
      </c>
      <c r="X199" t="s">
        <v>90</v>
      </c>
      <c r="Y199">
        <v>0</v>
      </c>
      <c r="Z199">
        <v>155.40771596330558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L199">
        <v>1.2154</v>
      </c>
      <c r="AN199" t="s">
        <v>185</v>
      </c>
      <c r="AO199" t="s">
        <v>73</v>
      </c>
      <c r="AP199">
        <v>200000</v>
      </c>
      <c r="AQ199" t="s">
        <v>73</v>
      </c>
      <c r="AS199">
        <v>10000</v>
      </c>
      <c r="AT199" t="s">
        <v>1437</v>
      </c>
      <c r="AU199" t="s">
        <v>75</v>
      </c>
      <c r="AV199" t="s">
        <v>76</v>
      </c>
    </row>
    <row r="200" spans="1:48" x14ac:dyDescent="0.15">
      <c r="A200" s="4" t="str">
        <f>HYPERLINK("https://ibp.a2mac1.com/costing(costing:projects/details/9760/assembly/8411502)","Screen Support")</f>
        <v>Screen Support</v>
      </c>
      <c r="B200">
        <v>8411502</v>
      </c>
      <c r="D200">
        <v>8411454</v>
      </c>
      <c r="F200">
        <v>1</v>
      </c>
      <c r="G200">
        <v>0</v>
      </c>
      <c r="H200">
        <v>4.2755799999999997</v>
      </c>
      <c r="I200">
        <v>0</v>
      </c>
      <c r="J200" t="s">
        <v>90</v>
      </c>
      <c r="K200">
        <v>0</v>
      </c>
      <c r="L200">
        <v>4.2755799999999997</v>
      </c>
      <c r="M200">
        <v>0</v>
      </c>
      <c r="N200">
        <v>0</v>
      </c>
      <c r="O200">
        <v>4.2755799999999997</v>
      </c>
      <c r="P200" t="s">
        <v>90</v>
      </c>
      <c r="Q200">
        <v>0</v>
      </c>
      <c r="R200" t="s">
        <v>90</v>
      </c>
      <c r="S200">
        <v>0</v>
      </c>
      <c r="T200" t="s">
        <v>90</v>
      </c>
      <c r="U200">
        <v>0</v>
      </c>
      <c r="V200" t="s">
        <v>90</v>
      </c>
      <c r="W200">
        <v>0</v>
      </c>
      <c r="X200" t="s">
        <v>90</v>
      </c>
      <c r="Y200">
        <v>0</v>
      </c>
      <c r="Z200">
        <v>4.2755799999999997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L200">
        <v>0.40100000000000002</v>
      </c>
      <c r="AN200" t="s">
        <v>185</v>
      </c>
      <c r="AO200" t="s">
        <v>73</v>
      </c>
      <c r="AP200">
        <v>200000</v>
      </c>
      <c r="AQ200" t="s">
        <v>73</v>
      </c>
      <c r="AS200">
        <v>10000</v>
      </c>
      <c r="AT200" t="s">
        <v>1448</v>
      </c>
      <c r="AU200" t="s">
        <v>75</v>
      </c>
      <c r="AV200" t="s">
        <v>76</v>
      </c>
    </row>
    <row r="201" spans="1:48" x14ac:dyDescent="0.15">
      <c r="A201" s="4" t="str">
        <f>HYPERLINK("https://ibp.a2mac1.com/costing(costing:projects/details/9760/assembly/8411454)","Video System")</f>
        <v>Video System</v>
      </c>
      <c r="B201">
        <v>8411454</v>
      </c>
      <c r="D201">
        <v>8411445</v>
      </c>
      <c r="F201">
        <v>1</v>
      </c>
      <c r="G201">
        <v>0</v>
      </c>
      <c r="H201">
        <v>4.2755799999999997</v>
      </c>
      <c r="I201">
        <v>0</v>
      </c>
      <c r="J201" t="s">
        <v>90</v>
      </c>
      <c r="K201">
        <v>0</v>
      </c>
      <c r="L201">
        <v>4.2755799999999997</v>
      </c>
      <c r="M201">
        <v>0</v>
      </c>
      <c r="N201">
        <v>0</v>
      </c>
      <c r="O201">
        <v>4.2755799999999997</v>
      </c>
      <c r="P201" t="s">
        <v>90</v>
      </c>
      <c r="Q201">
        <v>0</v>
      </c>
      <c r="R201" t="s">
        <v>90</v>
      </c>
      <c r="S201">
        <v>0</v>
      </c>
      <c r="T201" t="s">
        <v>90</v>
      </c>
      <c r="U201">
        <v>0</v>
      </c>
      <c r="V201" t="s">
        <v>90</v>
      </c>
      <c r="W201">
        <v>0</v>
      </c>
      <c r="X201" t="s">
        <v>90</v>
      </c>
      <c r="Y201">
        <v>0</v>
      </c>
      <c r="Z201">
        <v>4.2755799999999997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L201">
        <v>0.40100000000000002</v>
      </c>
      <c r="AN201" t="s">
        <v>185</v>
      </c>
      <c r="AO201" t="s">
        <v>73</v>
      </c>
      <c r="AP201">
        <v>200000</v>
      </c>
      <c r="AQ201" t="s">
        <v>73</v>
      </c>
      <c r="AS201">
        <v>10000</v>
      </c>
      <c r="AT201" t="s">
        <v>1449</v>
      </c>
      <c r="AU201" t="s">
        <v>75</v>
      </c>
      <c r="AV201" t="s">
        <v>76</v>
      </c>
    </row>
    <row r="202" spans="1:48" x14ac:dyDescent="0.15">
      <c r="A202" s="4" t="str">
        <f>HYPERLINK("https://ibp.a2mac1.com/costing(costing:projects/details/9760/assembly/8411455)","Internet System")</f>
        <v>Internet System</v>
      </c>
      <c r="B202">
        <v>8411455</v>
      </c>
      <c r="D202">
        <v>8411445</v>
      </c>
      <c r="F202">
        <v>1</v>
      </c>
      <c r="G202">
        <v>0</v>
      </c>
      <c r="H202">
        <v>0.92528999999999995</v>
      </c>
      <c r="I202">
        <v>0</v>
      </c>
      <c r="J202" t="s">
        <v>90</v>
      </c>
      <c r="K202">
        <v>0</v>
      </c>
      <c r="L202">
        <v>0.92528999999999995</v>
      </c>
      <c r="M202">
        <v>0</v>
      </c>
      <c r="N202">
        <v>0</v>
      </c>
      <c r="O202">
        <v>0.92528999999999995</v>
      </c>
      <c r="P202" t="s">
        <v>90</v>
      </c>
      <c r="Q202">
        <v>0</v>
      </c>
      <c r="R202" t="s">
        <v>90</v>
      </c>
      <c r="S202">
        <v>0</v>
      </c>
      <c r="T202" t="s">
        <v>90</v>
      </c>
      <c r="U202">
        <v>0</v>
      </c>
      <c r="V202" t="s">
        <v>90</v>
      </c>
      <c r="W202">
        <v>0</v>
      </c>
      <c r="X202" t="s">
        <v>90</v>
      </c>
      <c r="Y202">
        <v>0</v>
      </c>
      <c r="Z202">
        <v>0.92528999999999995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L202">
        <v>7.8E-2</v>
      </c>
      <c r="AN202" t="s">
        <v>185</v>
      </c>
      <c r="AO202" t="s">
        <v>73</v>
      </c>
      <c r="AP202">
        <v>200000</v>
      </c>
      <c r="AQ202" t="s">
        <v>73</v>
      </c>
      <c r="AS202">
        <v>10000</v>
      </c>
      <c r="AT202" t="s">
        <v>1453</v>
      </c>
      <c r="AU202" t="s">
        <v>75</v>
      </c>
      <c r="AV202" t="s">
        <v>76</v>
      </c>
    </row>
    <row r="203" spans="1:48" x14ac:dyDescent="0.15">
      <c r="A203" s="4" t="str">
        <f>HYPERLINK("https://ibp.a2mac1.com/costing(costing:projects/details/9760/assembly/8411456)","Warning Triangle")</f>
        <v>Warning Triangle</v>
      </c>
      <c r="B203">
        <v>8411456</v>
      </c>
      <c r="D203">
        <v>8411445</v>
      </c>
      <c r="F203">
        <v>1</v>
      </c>
      <c r="G203">
        <v>0</v>
      </c>
      <c r="H203">
        <v>0.78749999999999998</v>
      </c>
      <c r="I203">
        <v>0</v>
      </c>
      <c r="J203" t="s">
        <v>90</v>
      </c>
      <c r="K203">
        <v>0</v>
      </c>
      <c r="L203">
        <v>0.78749999999999998</v>
      </c>
      <c r="M203">
        <v>0</v>
      </c>
      <c r="N203">
        <v>0</v>
      </c>
      <c r="O203">
        <v>0.78749999999999998</v>
      </c>
      <c r="P203" t="s">
        <v>90</v>
      </c>
      <c r="Q203">
        <v>0</v>
      </c>
      <c r="R203" t="s">
        <v>90</v>
      </c>
      <c r="S203">
        <v>0</v>
      </c>
      <c r="T203" t="s">
        <v>90</v>
      </c>
      <c r="U203">
        <v>0</v>
      </c>
      <c r="V203" t="s">
        <v>90</v>
      </c>
      <c r="W203">
        <v>0</v>
      </c>
      <c r="X203" t="s">
        <v>90</v>
      </c>
      <c r="Y203">
        <v>0</v>
      </c>
      <c r="Z203">
        <v>0.78749999999999998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L203">
        <v>0.41499999999999998</v>
      </c>
      <c r="AN203" t="s">
        <v>185</v>
      </c>
      <c r="AO203" t="s">
        <v>73</v>
      </c>
      <c r="AP203">
        <v>200000</v>
      </c>
      <c r="AQ203" t="s">
        <v>73</v>
      </c>
      <c r="AS203">
        <v>10000</v>
      </c>
      <c r="AT203" t="s">
        <v>1457</v>
      </c>
      <c r="AU203" t="s">
        <v>75</v>
      </c>
      <c r="AV203" t="s">
        <v>76</v>
      </c>
    </row>
    <row r="204" spans="1:48" x14ac:dyDescent="0.15">
      <c r="A204" s="4" t="str">
        <f>HYPERLINK("https://ibp.a2mac1.com/costing(costing:projects/details/9760/assembly/8411457)","Emblems")</f>
        <v>Emblems</v>
      </c>
      <c r="B204">
        <v>8411457</v>
      </c>
      <c r="D204">
        <v>8411445</v>
      </c>
      <c r="F204">
        <v>1</v>
      </c>
      <c r="G204">
        <v>0</v>
      </c>
      <c r="H204">
        <v>11.616640888194572</v>
      </c>
      <c r="I204">
        <v>0</v>
      </c>
      <c r="J204" t="s">
        <v>90</v>
      </c>
      <c r="K204">
        <v>0</v>
      </c>
      <c r="L204">
        <v>11.616640888194572</v>
      </c>
      <c r="M204">
        <v>0</v>
      </c>
      <c r="N204">
        <v>0</v>
      </c>
      <c r="O204">
        <v>11.616640888194572</v>
      </c>
      <c r="P204" t="s">
        <v>90</v>
      </c>
      <c r="Q204">
        <v>0</v>
      </c>
      <c r="R204" t="s">
        <v>90</v>
      </c>
      <c r="S204">
        <v>0</v>
      </c>
      <c r="T204" t="s">
        <v>90</v>
      </c>
      <c r="U204">
        <v>0</v>
      </c>
      <c r="V204" t="s">
        <v>90</v>
      </c>
      <c r="W204">
        <v>0</v>
      </c>
      <c r="X204" t="s">
        <v>90</v>
      </c>
      <c r="Y204">
        <v>0</v>
      </c>
      <c r="Z204">
        <v>11.616640888194572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L204">
        <v>1.2E-2</v>
      </c>
      <c r="AN204" t="s">
        <v>185</v>
      </c>
      <c r="AO204" t="s">
        <v>73</v>
      </c>
      <c r="AP204">
        <v>200000</v>
      </c>
      <c r="AQ204" t="s">
        <v>73</v>
      </c>
      <c r="AS204">
        <v>10000</v>
      </c>
      <c r="AT204" t="s">
        <v>1473</v>
      </c>
      <c r="AU204" t="s">
        <v>75</v>
      </c>
      <c r="AV204" t="s">
        <v>76</v>
      </c>
    </row>
    <row r="205" spans="1:48" x14ac:dyDescent="0.15">
      <c r="A205" s="4" t="str">
        <f>HYPERLINK("https://ibp.a2mac1.com/costing(costing:projects/details/9760/assembly/8411507)","Antenna 1 Keyless Entry")</f>
        <v>Antenna 1 Keyless Entry</v>
      </c>
      <c r="B205">
        <v>8411507</v>
      </c>
      <c r="D205">
        <v>8411458</v>
      </c>
      <c r="F205">
        <v>1</v>
      </c>
      <c r="G205">
        <v>0</v>
      </c>
      <c r="H205">
        <v>5.2248147151417248</v>
      </c>
      <c r="I205">
        <v>2.6255350327345349E-2</v>
      </c>
      <c r="J205" t="s">
        <v>176</v>
      </c>
      <c r="K205">
        <v>0.18286851502996038</v>
      </c>
      <c r="L205">
        <v>5.4339385804990306</v>
      </c>
      <c r="M205">
        <v>0</v>
      </c>
      <c r="N205">
        <v>0.26723186482391104</v>
      </c>
      <c r="O205">
        <v>5.7011704453229415</v>
      </c>
      <c r="P205" t="s">
        <v>1326</v>
      </c>
      <c r="Q205">
        <v>0.21735754321996123</v>
      </c>
      <c r="R205" t="s">
        <v>1326</v>
      </c>
      <c r="S205">
        <v>1.0689274592956441E-2</v>
      </c>
      <c r="T205" t="s">
        <v>177</v>
      </c>
      <c r="U205">
        <v>0.34207022671937648</v>
      </c>
      <c r="V205" t="s">
        <v>90</v>
      </c>
      <c r="W205">
        <v>0</v>
      </c>
      <c r="X205" t="s">
        <v>90</v>
      </c>
      <c r="Y205">
        <v>0</v>
      </c>
      <c r="Z205">
        <v>6.2712874898552355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16</v>
      </c>
      <c r="AI205">
        <v>96</v>
      </c>
      <c r="AJ205">
        <v>8</v>
      </c>
      <c r="AL205">
        <v>5.2999999999999999E-2</v>
      </c>
      <c r="AN205" t="s">
        <v>284</v>
      </c>
      <c r="AO205" t="s">
        <v>73</v>
      </c>
      <c r="AP205">
        <v>200000</v>
      </c>
      <c r="AQ205" t="s">
        <v>97</v>
      </c>
      <c r="AS205">
        <v>10000</v>
      </c>
      <c r="AT205" t="s">
        <v>1477</v>
      </c>
      <c r="AU205" t="s">
        <v>75</v>
      </c>
      <c r="AV205" t="s">
        <v>76</v>
      </c>
    </row>
    <row r="206" spans="1:48" x14ac:dyDescent="0.15">
      <c r="A206" s="4" t="str">
        <f>HYPERLINK("https://ibp.a2mac1.com/costing(costing:projects/details/9760/assembly/8411528)","Antenna 2 Keyless Entry")</f>
        <v>Antenna 2 Keyless Entry</v>
      </c>
      <c r="B206">
        <v>8411528</v>
      </c>
      <c r="D206">
        <v>8411458</v>
      </c>
      <c r="F206">
        <v>1</v>
      </c>
      <c r="G206">
        <v>0</v>
      </c>
      <c r="H206">
        <v>3.9642687530581431</v>
      </c>
      <c r="I206">
        <v>1.9920948507829866E-2</v>
      </c>
      <c r="J206" t="s">
        <v>176</v>
      </c>
      <c r="K206">
        <v>0.138749406357035</v>
      </c>
      <c r="L206">
        <v>4.122939107923008</v>
      </c>
      <c r="M206">
        <v>0</v>
      </c>
      <c r="N206">
        <v>0.20559644484417111</v>
      </c>
      <c r="O206">
        <v>4.3285355527671792</v>
      </c>
      <c r="P206" t="s">
        <v>1326</v>
      </c>
      <c r="Q206">
        <v>0.16491756431692031</v>
      </c>
      <c r="R206" t="s">
        <v>1326</v>
      </c>
      <c r="S206">
        <v>8.223857793766845E-3</v>
      </c>
      <c r="T206" t="s">
        <v>177</v>
      </c>
      <c r="U206">
        <v>0.25971213316603076</v>
      </c>
      <c r="V206" t="s">
        <v>90</v>
      </c>
      <c r="W206">
        <v>0</v>
      </c>
      <c r="X206" t="s">
        <v>90</v>
      </c>
      <c r="Y206">
        <v>0</v>
      </c>
      <c r="Z206">
        <v>4.7613891080438968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16</v>
      </c>
      <c r="AI206">
        <v>98</v>
      </c>
      <c r="AJ206">
        <v>48</v>
      </c>
      <c r="AL206">
        <v>4.7E-2</v>
      </c>
      <c r="AN206" t="s">
        <v>284</v>
      </c>
      <c r="AO206" t="s">
        <v>73</v>
      </c>
      <c r="AP206">
        <v>200000</v>
      </c>
      <c r="AQ206" t="s">
        <v>97</v>
      </c>
      <c r="AS206">
        <v>10000</v>
      </c>
      <c r="AT206" t="s">
        <v>1480</v>
      </c>
      <c r="AU206" t="s">
        <v>75</v>
      </c>
      <c r="AV206" t="s">
        <v>76</v>
      </c>
    </row>
    <row r="207" spans="1:48" x14ac:dyDescent="0.15">
      <c r="A207" s="4" t="str">
        <f>HYPERLINK("https://ibp.a2mac1.com/costing(costing:projects/details/9760/assembly/8411458)","Keyless Opening System")</f>
        <v>Keyless Opening System</v>
      </c>
      <c r="B207">
        <v>8411458</v>
      </c>
      <c r="D207">
        <v>8411445</v>
      </c>
      <c r="F207">
        <v>1</v>
      </c>
      <c r="G207">
        <v>0</v>
      </c>
      <c r="H207">
        <v>11.559716597899133</v>
      </c>
      <c r="I207">
        <v>0</v>
      </c>
      <c r="J207" t="s">
        <v>90</v>
      </c>
      <c r="K207">
        <v>0</v>
      </c>
      <c r="L207">
        <v>11.559716597899133</v>
      </c>
      <c r="M207">
        <v>0</v>
      </c>
      <c r="N207">
        <v>0</v>
      </c>
      <c r="O207">
        <v>11.559716597899133</v>
      </c>
      <c r="P207" t="s">
        <v>90</v>
      </c>
      <c r="Q207">
        <v>0</v>
      </c>
      <c r="R207" t="s">
        <v>90</v>
      </c>
      <c r="S207">
        <v>0</v>
      </c>
      <c r="T207" t="s">
        <v>90</v>
      </c>
      <c r="U207">
        <v>0</v>
      </c>
      <c r="V207" t="s">
        <v>90</v>
      </c>
      <c r="W207">
        <v>0</v>
      </c>
      <c r="X207" t="s">
        <v>90</v>
      </c>
      <c r="Y207">
        <v>0</v>
      </c>
      <c r="Z207">
        <v>11.559716597899133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L207">
        <v>0.14199999999999999</v>
      </c>
      <c r="AN207" t="s">
        <v>185</v>
      </c>
      <c r="AO207" t="s">
        <v>73</v>
      </c>
      <c r="AP207">
        <v>200000</v>
      </c>
      <c r="AQ207" t="s">
        <v>73</v>
      </c>
      <c r="AS207">
        <v>10000</v>
      </c>
      <c r="AT207" t="s">
        <v>1482</v>
      </c>
      <c r="AU207" t="s">
        <v>75</v>
      </c>
      <c r="AV207" t="s">
        <v>76</v>
      </c>
    </row>
    <row r="208" spans="1:48" x14ac:dyDescent="0.15">
      <c r="A208" s="4" t="str">
        <f>HYPERLINK("https://ibp.a2mac1.com/costing(costing:projects/details/9760/assembly/8411459)","Pedestrian Sound System")</f>
        <v>Pedestrian Sound System</v>
      </c>
      <c r="B208">
        <v>8411459</v>
      </c>
      <c r="D208">
        <v>8411445</v>
      </c>
      <c r="F208">
        <v>1</v>
      </c>
      <c r="G208">
        <v>0</v>
      </c>
      <c r="H208">
        <v>3.9142800000000002</v>
      </c>
      <c r="I208">
        <v>0</v>
      </c>
      <c r="J208" t="s">
        <v>90</v>
      </c>
      <c r="K208">
        <v>0</v>
      </c>
      <c r="L208">
        <v>3.9142800000000002</v>
      </c>
      <c r="M208">
        <v>0</v>
      </c>
      <c r="N208">
        <v>0</v>
      </c>
      <c r="O208">
        <v>3.9142800000000002</v>
      </c>
      <c r="P208" t="s">
        <v>90</v>
      </c>
      <c r="Q208">
        <v>0</v>
      </c>
      <c r="R208" t="s">
        <v>90</v>
      </c>
      <c r="S208">
        <v>0</v>
      </c>
      <c r="T208" t="s">
        <v>90</v>
      </c>
      <c r="U208">
        <v>0</v>
      </c>
      <c r="V208" t="s">
        <v>90</v>
      </c>
      <c r="W208">
        <v>0</v>
      </c>
      <c r="X208" t="s">
        <v>90</v>
      </c>
      <c r="Y208">
        <v>0</v>
      </c>
      <c r="Z208">
        <v>3.9142800000000002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L208">
        <v>0.59089999999999998</v>
      </c>
      <c r="AN208" t="s">
        <v>185</v>
      </c>
      <c r="AO208" t="s">
        <v>73</v>
      </c>
      <c r="AP208">
        <v>200000</v>
      </c>
      <c r="AQ208" t="s">
        <v>73</v>
      </c>
      <c r="AS208">
        <v>10000</v>
      </c>
      <c r="AT208" t="s">
        <v>1487</v>
      </c>
      <c r="AU208" t="s">
        <v>75</v>
      </c>
      <c r="AV208" t="s">
        <v>76</v>
      </c>
    </row>
    <row r="209" spans="1:48" x14ac:dyDescent="0.15">
      <c r="A209" s="4" t="str">
        <f>HYPERLINK("https://ibp.a2mac1.com/costing(costing:projects/details/9760/assembly/8411633)","Front Camera")</f>
        <v>Front Camera</v>
      </c>
      <c r="B209">
        <v>8411633</v>
      </c>
      <c r="D209">
        <v>8411582</v>
      </c>
      <c r="F209">
        <v>1</v>
      </c>
      <c r="G209">
        <v>0</v>
      </c>
      <c r="H209">
        <v>22.183217794543644</v>
      </c>
      <c r="I209">
        <v>0.11147345625398816</v>
      </c>
      <c r="J209" t="s">
        <v>176</v>
      </c>
      <c r="K209">
        <v>0.77641262280902756</v>
      </c>
      <c r="L209">
        <v>23.07110387360666</v>
      </c>
      <c r="M209">
        <v>0</v>
      </c>
      <c r="N209">
        <v>2.4896133417582353</v>
      </c>
      <c r="O209">
        <v>25.560717215364896</v>
      </c>
      <c r="P209" t="s">
        <v>177</v>
      </c>
      <c r="Q209">
        <v>1.3842662324163997</v>
      </c>
      <c r="R209" t="s">
        <v>177</v>
      </c>
      <c r="S209">
        <v>0.14937680050549412</v>
      </c>
      <c r="T209" t="s">
        <v>178</v>
      </c>
      <c r="U209">
        <v>3.0672860658437875</v>
      </c>
      <c r="V209" t="s">
        <v>90</v>
      </c>
      <c r="W209">
        <v>0</v>
      </c>
      <c r="X209" t="s">
        <v>90</v>
      </c>
      <c r="Y209">
        <v>0</v>
      </c>
      <c r="Z209">
        <v>30.161646314130579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41</v>
      </c>
      <c r="AI209">
        <v>23</v>
      </c>
      <c r="AJ209">
        <v>23</v>
      </c>
      <c r="AL209">
        <v>2.5000000000000001E-2</v>
      </c>
      <c r="AN209" t="s">
        <v>365</v>
      </c>
      <c r="AO209" t="s">
        <v>73</v>
      </c>
      <c r="AP209">
        <v>200000</v>
      </c>
      <c r="AQ209" t="s">
        <v>97</v>
      </c>
      <c r="AS209">
        <v>10000</v>
      </c>
      <c r="AT209" t="s">
        <v>1494</v>
      </c>
      <c r="AU209" t="s">
        <v>75</v>
      </c>
      <c r="AV209" t="s">
        <v>76</v>
      </c>
    </row>
    <row r="210" spans="1:48" x14ac:dyDescent="0.15">
      <c r="A210" s="4" t="str">
        <f>HYPERLINK("https://ibp.a2mac1.com/costing(costing:projects/details/9760/assembly/8411582)","Front Camera System")</f>
        <v>Front Camera System</v>
      </c>
      <c r="B210">
        <v>8411582</v>
      </c>
      <c r="D210">
        <v>8411531</v>
      </c>
      <c r="F210">
        <v>1</v>
      </c>
      <c r="G210">
        <v>0</v>
      </c>
      <c r="H210">
        <v>30.381646314130577</v>
      </c>
      <c r="I210">
        <v>0</v>
      </c>
      <c r="J210" t="s">
        <v>90</v>
      </c>
      <c r="K210">
        <v>0</v>
      </c>
      <c r="L210">
        <v>30.381646314130577</v>
      </c>
      <c r="M210">
        <v>0</v>
      </c>
      <c r="N210">
        <v>0</v>
      </c>
      <c r="O210">
        <v>30.381646314130577</v>
      </c>
      <c r="P210" t="s">
        <v>90</v>
      </c>
      <c r="Q210">
        <v>0</v>
      </c>
      <c r="R210" t="s">
        <v>90</v>
      </c>
      <c r="S210">
        <v>0</v>
      </c>
      <c r="T210" t="s">
        <v>90</v>
      </c>
      <c r="U210">
        <v>0</v>
      </c>
      <c r="V210" t="s">
        <v>90</v>
      </c>
      <c r="W210">
        <v>0</v>
      </c>
      <c r="X210" t="s">
        <v>90</v>
      </c>
      <c r="Y210">
        <v>0</v>
      </c>
      <c r="Z210">
        <v>30.381646314130577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L210">
        <v>4.8000000000000001E-2</v>
      </c>
      <c r="AN210" t="s">
        <v>185</v>
      </c>
      <c r="AO210" t="s">
        <v>73</v>
      </c>
      <c r="AP210">
        <v>200000</v>
      </c>
      <c r="AQ210" t="s">
        <v>73</v>
      </c>
      <c r="AS210">
        <v>10000</v>
      </c>
      <c r="AT210" t="s">
        <v>1497</v>
      </c>
      <c r="AU210" t="s">
        <v>75</v>
      </c>
      <c r="AV210" t="s">
        <v>76</v>
      </c>
    </row>
    <row r="211" spans="1:48" x14ac:dyDescent="0.15">
      <c r="A211" s="4" t="str">
        <f>HYPERLINK("https://ibp.a2mac1.com/costing(costing:projects/details/9760/assembly/8411531)","Front Park Assist")</f>
        <v>Front Park Assist</v>
      </c>
      <c r="B211">
        <v>8411531</v>
      </c>
      <c r="D211">
        <v>8411460</v>
      </c>
      <c r="F211">
        <v>1</v>
      </c>
      <c r="G211">
        <v>0</v>
      </c>
      <c r="H211">
        <v>55.001646314130575</v>
      </c>
      <c r="I211">
        <v>0</v>
      </c>
      <c r="J211" t="s">
        <v>90</v>
      </c>
      <c r="K211">
        <v>0</v>
      </c>
      <c r="L211">
        <v>55.001646314130575</v>
      </c>
      <c r="M211">
        <v>0</v>
      </c>
      <c r="N211">
        <v>0</v>
      </c>
      <c r="O211">
        <v>55.001646314130575</v>
      </c>
      <c r="P211" t="s">
        <v>90</v>
      </c>
      <c r="Q211">
        <v>0</v>
      </c>
      <c r="R211" t="s">
        <v>90</v>
      </c>
      <c r="S211">
        <v>0</v>
      </c>
      <c r="T211" t="s">
        <v>90</v>
      </c>
      <c r="U211">
        <v>0</v>
      </c>
      <c r="V211" t="s">
        <v>90</v>
      </c>
      <c r="W211">
        <v>0</v>
      </c>
      <c r="X211" t="s">
        <v>90</v>
      </c>
      <c r="Y211">
        <v>0</v>
      </c>
      <c r="Z211">
        <v>55.001646314130575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L211">
        <v>0.438</v>
      </c>
      <c r="AN211" t="s">
        <v>185</v>
      </c>
      <c r="AO211" t="s">
        <v>73</v>
      </c>
      <c r="AP211">
        <v>200000</v>
      </c>
      <c r="AQ211" t="s">
        <v>73</v>
      </c>
      <c r="AS211">
        <v>10000</v>
      </c>
      <c r="AT211" t="s">
        <v>1503</v>
      </c>
      <c r="AU211" t="s">
        <v>75</v>
      </c>
      <c r="AV211" t="s">
        <v>76</v>
      </c>
    </row>
    <row r="212" spans="1:48" x14ac:dyDescent="0.15">
      <c r="A212" s="4" t="str">
        <f>HYPERLINK("https://ibp.a2mac1.com/costing(costing:projects/details/9760/assembly/8411636)","Rear Camera")</f>
        <v>Rear Camera</v>
      </c>
      <c r="B212">
        <v>8411636</v>
      </c>
      <c r="D212">
        <v>8411590</v>
      </c>
      <c r="F212">
        <v>1</v>
      </c>
      <c r="G212">
        <v>0</v>
      </c>
      <c r="H212">
        <v>22.183217794543644</v>
      </c>
      <c r="I212">
        <v>0.11147345625398816</v>
      </c>
      <c r="J212" t="s">
        <v>176</v>
      </c>
      <c r="K212">
        <v>0.77641262280902756</v>
      </c>
      <c r="L212">
        <v>23.07110387360666</v>
      </c>
      <c r="M212">
        <v>0</v>
      </c>
      <c r="N212">
        <v>2.4896133417582353</v>
      </c>
      <c r="O212">
        <v>25.560717215364896</v>
      </c>
      <c r="P212" t="s">
        <v>177</v>
      </c>
      <c r="Q212">
        <v>1.3842662324163997</v>
      </c>
      <c r="R212" t="s">
        <v>177</v>
      </c>
      <c r="S212">
        <v>0.14937680050549412</v>
      </c>
      <c r="T212" t="s">
        <v>178</v>
      </c>
      <c r="U212">
        <v>3.0672860658437875</v>
      </c>
      <c r="V212" t="s">
        <v>90</v>
      </c>
      <c r="W212">
        <v>0</v>
      </c>
      <c r="X212" t="s">
        <v>90</v>
      </c>
      <c r="Y212">
        <v>0</v>
      </c>
      <c r="Z212">
        <v>30.161646314130579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41</v>
      </c>
      <c r="AI212">
        <v>23</v>
      </c>
      <c r="AJ212">
        <v>23</v>
      </c>
      <c r="AL212">
        <v>2.4E-2</v>
      </c>
      <c r="AN212" t="s">
        <v>365</v>
      </c>
      <c r="AO212" t="s">
        <v>73</v>
      </c>
      <c r="AP212">
        <v>200000</v>
      </c>
      <c r="AQ212" t="s">
        <v>97</v>
      </c>
      <c r="AS212">
        <v>10000</v>
      </c>
      <c r="AT212" t="s">
        <v>1508</v>
      </c>
      <c r="AU212" t="s">
        <v>75</v>
      </c>
      <c r="AV212" t="s">
        <v>76</v>
      </c>
    </row>
    <row r="213" spans="1:48" x14ac:dyDescent="0.15">
      <c r="A213" s="4" t="str">
        <f>HYPERLINK("https://ibp.a2mac1.com/costing(costing:projects/details/9760/assembly/8411590)","Camera System")</f>
        <v>Camera System</v>
      </c>
      <c r="B213">
        <v>8411590</v>
      </c>
      <c r="D213">
        <v>8411532</v>
      </c>
      <c r="F213">
        <v>1</v>
      </c>
      <c r="G213">
        <v>0</v>
      </c>
      <c r="H213">
        <v>30.341646314130578</v>
      </c>
      <c r="I213">
        <v>0</v>
      </c>
      <c r="J213" t="s">
        <v>90</v>
      </c>
      <c r="K213">
        <v>0</v>
      </c>
      <c r="L213">
        <v>30.341646314130578</v>
      </c>
      <c r="M213">
        <v>0</v>
      </c>
      <c r="N213">
        <v>0</v>
      </c>
      <c r="O213">
        <v>30.341646314130578</v>
      </c>
      <c r="P213" t="s">
        <v>90</v>
      </c>
      <c r="Q213">
        <v>0</v>
      </c>
      <c r="R213" t="s">
        <v>90</v>
      </c>
      <c r="S213">
        <v>0</v>
      </c>
      <c r="T213" t="s">
        <v>90</v>
      </c>
      <c r="U213">
        <v>0</v>
      </c>
      <c r="V213" t="s">
        <v>90</v>
      </c>
      <c r="W213">
        <v>0</v>
      </c>
      <c r="X213" t="s">
        <v>90</v>
      </c>
      <c r="Y213">
        <v>0</v>
      </c>
      <c r="Z213">
        <v>30.341646314130578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L213">
        <v>3.7999999999999999E-2</v>
      </c>
      <c r="AN213" t="s">
        <v>185</v>
      </c>
      <c r="AO213" t="s">
        <v>73</v>
      </c>
      <c r="AP213">
        <v>200000</v>
      </c>
      <c r="AQ213" t="s">
        <v>73</v>
      </c>
      <c r="AS213">
        <v>10000</v>
      </c>
      <c r="AT213" t="s">
        <v>1511</v>
      </c>
      <c r="AU213" t="s">
        <v>75</v>
      </c>
      <c r="AV213" t="s">
        <v>76</v>
      </c>
    </row>
    <row r="214" spans="1:48" x14ac:dyDescent="0.15">
      <c r="A214" s="4" t="str">
        <f>HYPERLINK("https://ibp.a2mac1.com/costing(costing:projects/details/9760/assembly/8411532)","Rear Park Assist")</f>
        <v>Rear Park Assist</v>
      </c>
      <c r="B214">
        <v>8411532</v>
      </c>
      <c r="D214">
        <v>8411460</v>
      </c>
      <c r="F214">
        <v>1</v>
      </c>
      <c r="G214">
        <v>0</v>
      </c>
      <c r="H214">
        <v>55.591646314130578</v>
      </c>
      <c r="I214">
        <v>0</v>
      </c>
      <c r="J214" t="s">
        <v>90</v>
      </c>
      <c r="K214">
        <v>0</v>
      </c>
      <c r="L214">
        <v>55.591646314130578</v>
      </c>
      <c r="M214">
        <v>0</v>
      </c>
      <c r="N214">
        <v>0</v>
      </c>
      <c r="O214">
        <v>55.591646314130578</v>
      </c>
      <c r="P214" t="s">
        <v>90</v>
      </c>
      <c r="Q214">
        <v>0</v>
      </c>
      <c r="R214" t="s">
        <v>90</v>
      </c>
      <c r="S214">
        <v>0</v>
      </c>
      <c r="T214" t="s">
        <v>90</v>
      </c>
      <c r="U214">
        <v>0</v>
      </c>
      <c r="V214" t="s">
        <v>90</v>
      </c>
      <c r="W214">
        <v>0</v>
      </c>
      <c r="X214" t="s">
        <v>90</v>
      </c>
      <c r="Y214">
        <v>0</v>
      </c>
      <c r="Z214">
        <v>55.591646314130578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L214">
        <v>0.32600000000000001</v>
      </c>
      <c r="AN214" t="s">
        <v>185</v>
      </c>
      <c r="AO214" t="s">
        <v>73</v>
      </c>
      <c r="AP214">
        <v>200000</v>
      </c>
      <c r="AQ214" t="s">
        <v>73</v>
      </c>
      <c r="AS214">
        <v>10000</v>
      </c>
      <c r="AT214" t="s">
        <v>1519</v>
      </c>
      <c r="AU214" t="s">
        <v>75</v>
      </c>
      <c r="AV214" t="s">
        <v>76</v>
      </c>
    </row>
    <row r="215" spans="1:48" x14ac:dyDescent="0.15">
      <c r="A215" s="4" t="str">
        <f>HYPERLINK("https://ibp.a2mac1.com/costing(costing:projects/details/9760/assembly/8411460)","Park Assist System")</f>
        <v>Park Assist System</v>
      </c>
      <c r="B215">
        <v>8411460</v>
      </c>
      <c r="D215">
        <v>8411445</v>
      </c>
      <c r="F215">
        <v>1</v>
      </c>
      <c r="G215">
        <v>0</v>
      </c>
      <c r="H215">
        <v>110.59329262826115</v>
      </c>
      <c r="I215">
        <v>0</v>
      </c>
      <c r="J215" t="s">
        <v>90</v>
      </c>
      <c r="K215">
        <v>0</v>
      </c>
      <c r="L215">
        <v>110.59329262826115</v>
      </c>
      <c r="M215">
        <v>0</v>
      </c>
      <c r="N215">
        <v>0</v>
      </c>
      <c r="O215">
        <v>110.59329262826115</v>
      </c>
      <c r="P215" t="s">
        <v>90</v>
      </c>
      <c r="Q215">
        <v>0</v>
      </c>
      <c r="R215" t="s">
        <v>90</v>
      </c>
      <c r="S215">
        <v>0</v>
      </c>
      <c r="T215" t="s">
        <v>90</v>
      </c>
      <c r="U215">
        <v>0</v>
      </c>
      <c r="V215" t="s">
        <v>90</v>
      </c>
      <c r="W215">
        <v>0</v>
      </c>
      <c r="X215" t="s">
        <v>90</v>
      </c>
      <c r="Y215">
        <v>0</v>
      </c>
      <c r="Z215">
        <v>110.59329262826115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L215">
        <v>0.76400000000000001</v>
      </c>
      <c r="AN215" t="s">
        <v>185</v>
      </c>
      <c r="AO215" t="s">
        <v>73</v>
      </c>
      <c r="AP215">
        <v>200000</v>
      </c>
      <c r="AQ215" t="s">
        <v>73</v>
      </c>
      <c r="AS215">
        <v>10000</v>
      </c>
      <c r="AT215" t="s">
        <v>1520</v>
      </c>
      <c r="AU215" t="s">
        <v>75</v>
      </c>
      <c r="AV215" t="s">
        <v>76</v>
      </c>
    </row>
    <row r="216" spans="1:48" x14ac:dyDescent="0.15">
      <c r="A216" s="4" t="str">
        <f>HYPERLINK("https://ibp.a2mac1.com/costing(costing:projects/details/9760/assembly/8411533)","Distance Control Radar")</f>
        <v>Distance Control Radar</v>
      </c>
      <c r="B216">
        <v>8411533</v>
      </c>
      <c r="D216">
        <v>8411461</v>
      </c>
      <c r="F216">
        <v>1</v>
      </c>
      <c r="G216">
        <v>0</v>
      </c>
      <c r="H216">
        <v>22.854880882805951</v>
      </c>
      <c r="I216">
        <v>0.11484864765229122</v>
      </c>
      <c r="J216" t="s">
        <v>176</v>
      </c>
      <c r="K216">
        <v>0.79992083089820831</v>
      </c>
      <c r="L216">
        <v>23.769650361356451</v>
      </c>
      <c r="M216">
        <v>0</v>
      </c>
      <c r="N216">
        <v>2.5169488682363697</v>
      </c>
      <c r="O216">
        <v>26.28659922959282</v>
      </c>
      <c r="P216" t="s">
        <v>177</v>
      </c>
      <c r="Q216">
        <v>1.426179021681387</v>
      </c>
      <c r="R216" t="s">
        <v>177</v>
      </c>
      <c r="S216">
        <v>0.15101693209418218</v>
      </c>
      <c r="T216" t="s">
        <v>178</v>
      </c>
      <c r="U216">
        <v>3.1543919075511386</v>
      </c>
      <c r="V216" t="s">
        <v>90</v>
      </c>
      <c r="W216">
        <v>0</v>
      </c>
      <c r="X216" t="s">
        <v>90</v>
      </c>
      <c r="Y216">
        <v>0</v>
      </c>
      <c r="Z216">
        <v>31.018187090919529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41</v>
      </c>
      <c r="AI216">
        <v>83</v>
      </c>
      <c r="AJ216">
        <v>69</v>
      </c>
      <c r="AL216">
        <v>0.13300000000000001</v>
      </c>
      <c r="AN216" t="s">
        <v>365</v>
      </c>
      <c r="AO216" t="s">
        <v>73</v>
      </c>
      <c r="AP216">
        <v>200000</v>
      </c>
      <c r="AQ216" t="s">
        <v>97</v>
      </c>
      <c r="AS216">
        <v>10000</v>
      </c>
      <c r="AT216" t="s">
        <v>1525</v>
      </c>
      <c r="AU216" t="s">
        <v>75</v>
      </c>
      <c r="AV216" t="s">
        <v>76</v>
      </c>
    </row>
    <row r="217" spans="1:48" x14ac:dyDescent="0.15">
      <c r="A217" s="4" t="str">
        <f>HYPERLINK("https://ibp.a2mac1.com/costing(costing:projects/details/9760/assembly/8411535)","Front Corner Detection Camera")</f>
        <v>Front Corner Detection Camera</v>
      </c>
      <c r="B217">
        <v>8411535</v>
      </c>
      <c r="D217">
        <v>8411461</v>
      </c>
      <c r="F217">
        <v>1</v>
      </c>
      <c r="G217">
        <v>0</v>
      </c>
      <c r="H217">
        <v>22.183217794543644</v>
      </c>
      <c r="I217">
        <v>0.11147345625398816</v>
      </c>
      <c r="J217" t="s">
        <v>176</v>
      </c>
      <c r="K217">
        <v>0.77641262280902756</v>
      </c>
      <c r="L217">
        <v>23.07110387360666</v>
      </c>
      <c r="M217">
        <v>0</v>
      </c>
      <c r="N217">
        <v>2.4896133417582353</v>
      </c>
      <c r="O217">
        <v>25.560717215364896</v>
      </c>
      <c r="P217" t="s">
        <v>177</v>
      </c>
      <c r="Q217">
        <v>1.3842662324163997</v>
      </c>
      <c r="R217" t="s">
        <v>177</v>
      </c>
      <c r="S217">
        <v>0.14937680050549412</v>
      </c>
      <c r="T217" t="s">
        <v>178</v>
      </c>
      <c r="U217">
        <v>3.0672860658437875</v>
      </c>
      <c r="V217" t="s">
        <v>90</v>
      </c>
      <c r="W217">
        <v>0</v>
      </c>
      <c r="X217" t="s">
        <v>90</v>
      </c>
      <c r="Y217">
        <v>0</v>
      </c>
      <c r="Z217">
        <v>30.161646314130579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35</v>
      </c>
      <c r="AI217">
        <v>25</v>
      </c>
      <c r="AJ217">
        <v>25</v>
      </c>
      <c r="AL217">
        <v>3.1E-2</v>
      </c>
      <c r="AN217" t="s">
        <v>365</v>
      </c>
      <c r="AO217" t="s">
        <v>73</v>
      </c>
      <c r="AP217">
        <v>200000</v>
      </c>
      <c r="AQ217" t="s">
        <v>97</v>
      </c>
      <c r="AS217">
        <v>10000</v>
      </c>
      <c r="AT217" t="s">
        <v>1528</v>
      </c>
      <c r="AU217" t="s">
        <v>75</v>
      </c>
      <c r="AV217" t="s">
        <v>76</v>
      </c>
    </row>
    <row r="218" spans="1:48" x14ac:dyDescent="0.15">
      <c r="A218" s="4" t="str">
        <f>HYPERLINK("https://ibp.a2mac1.com/costing(costing:projects/details/9760/assembly/8411537)","Front Corner Detection Camera 2")</f>
        <v>Front Corner Detection Camera 2</v>
      </c>
      <c r="B218">
        <v>8411537</v>
      </c>
      <c r="D218">
        <v>8411461</v>
      </c>
      <c r="F218">
        <v>1</v>
      </c>
      <c r="G218">
        <v>0</v>
      </c>
      <c r="H218">
        <v>22.183217794543644</v>
      </c>
      <c r="I218">
        <v>0.11147345625398816</v>
      </c>
      <c r="J218" t="s">
        <v>176</v>
      </c>
      <c r="K218">
        <v>0.77641262280902756</v>
      </c>
      <c r="L218">
        <v>23.07110387360666</v>
      </c>
      <c r="M218">
        <v>0</v>
      </c>
      <c r="N218">
        <v>2.4896133417582353</v>
      </c>
      <c r="O218">
        <v>25.560717215364896</v>
      </c>
      <c r="P218" t="s">
        <v>177</v>
      </c>
      <c r="Q218">
        <v>1.3842662324163997</v>
      </c>
      <c r="R218" t="s">
        <v>177</v>
      </c>
      <c r="S218">
        <v>0.14937680050549412</v>
      </c>
      <c r="T218" t="s">
        <v>178</v>
      </c>
      <c r="U218">
        <v>3.0672860658437875</v>
      </c>
      <c r="V218" t="s">
        <v>90</v>
      </c>
      <c r="W218">
        <v>0</v>
      </c>
      <c r="X218" t="s">
        <v>90</v>
      </c>
      <c r="Y218">
        <v>0</v>
      </c>
      <c r="Z218">
        <v>30.161646314130579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48</v>
      </c>
      <c r="AI218">
        <v>25</v>
      </c>
      <c r="AJ218">
        <v>25</v>
      </c>
      <c r="AL218">
        <v>6.9000000000000006E-2</v>
      </c>
      <c r="AN218" t="s">
        <v>365</v>
      </c>
      <c r="AO218" t="s">
        <v>73</v>
      </c>
      <c r="AP218">
        <v>200000</v>
      </c>
      <c r="AQ218" t="s">
        <v>97</v>
      </c>
      <c r="AS218">
        <v>10000</v>
      </c>
      <c r="AT218" t="s">
        <v>1531</v>
      </c>
      <c r="AU218" t="s">
        <v>75</v>
      </c>
      <c r="AV218" t="s">
        <v>76</v>
      </c>
    </row>
    <row r="219" spans="1:48" x14ac:dyDescent="0.15">
      <c r="A219" s="4" t="str">
        <f>HYPERLINK("https://ibp.a2mac1.com/costing(costing:projects/details/9760/assembly/8411461)","Distance Control System")</f>
        <v>Distance Control System</v>
      </c>
      <c r="B219">
        <v>8411461</v>
      </c>
      <c r="D219">
        <v>8411445</v>
      </c>
      <c r="F219">
        <v>1</v>
      </c>
      <c r="G219">
        <v>0</v>
      </c>
      <c r="H219">
        <v>91.851479719180688</v>
      </c>
      <c r="I219">
        <v>0</v>
      </c>
      <c r="J219" t="s">
        <v>90</v>
      </c>
      <c r="K219">
        <v>0</v>
      </c>
      <c r="L219">
        <v>91.851479719180688</v>
      </c>
      <c r="M219">
        <v>0</v>
      </c>
      <c r="N219">
        <v>0</v>
      </c>
      <c r="O219">
        <v>91.851479719180688</v>
      </c>
      <c r="P219" t="s">
        <v>90</v>
      </c>
      <c r="Q219">
        <v>0</v>
      </c>
      <c r="R219" t="s">
        <v>90</v>
      </c>
      <c r="S219">
        <v>0</v>
      </c>
      <c r="T219" t="s">
        <v>90</v>
      </c>
      <c r="U219">
        <v>0</v>
      </c>
      <c r="V219" t="s">
        <v>90</v>
      </c>
      <c r="W219">
        <v>0</v>
      </c>
      <c r="X219" t="s">
        <v>90</v>
      </c>
      <c r="Y219">
        <v>0</v>
      </c>
      <c r="Z219">
        <v>91.851479719180688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L219">
        <v>0.1721</v>
      </c>
      <c r="AN219" t="s">
        <v>185</v>
      </c>
      <c r="AO219" t="s">
        <v>73</v>
      </c>
      <c r="AP219">
        <v>200000</v>
      </c>
      <c r="AQ219" t="s">
        <v>73</v>
      </c>
      <c r="AS219">
        <v>10000</v>
      </c>
      <c r="AT219" t="s">
        <v>1535</v>
      </c>
      <c r="AU219" t="s">
        <v>75</v>
      </c>
      <c r="AV219" t="s">
        <v>76</v>
      </c>
    </row>
    <row r="220" spans="1:48" x14ac:dyDescent="0.15">
      <c r="A220" s="4" t="str">
        <f>HYPERLINK("https://ibp.a2mac1.com/costing(costing:projects/details/9760/assembly/8411539)","Lane Assist Camera")</f>
        <v>Lane Assist Camera</v>
      </c>
      <c r="B220">
        <v>8411539</v>
      </c>
      <c r="D220">
        <v>8411462</v>
      </c>
      <c r="F220">
        <v>1</v>
      </c>
      <c r="G220">
        <v>0</v>
      </c>
      <c r="H220">
        <v>54.630602610271502</v>
      </c>
      <c r="I220">
        <v>0.27452564125764573</v>
      </c>
      <c r="J220" t="s">
        <v>176</v>
      </c>
      <c r="K220">
        <v>1.9120710913595025</v>
      </c>
      <c r="L220">
        <v>56.817199342888649</v>
      </c>
      <c r="M220">
        <v>0</v>
      </c>
      <c r="N220">
        <v>6.9273055867866491</v>
      </c>
      <c r="O220">
        <v>63.744504929675294</v>
      </c>
      <c r="P220" t="s">
        <v>177</v>
      </c>
      <c r="Q220">
        <v>3.4090319605733188</v>
      </c>
      <c r="R220" t="s">
        <v>177</v>
      </c>
      <c r="S220">
        <v>0.41563833520719895</v>
      </c>
      <c r="T220" t="s">
        <v>178</v>
      </c>
      <c r="U220">
        <v>7.6493405915610353</v>
      </c>
      <c r="V220" t="s">
        <v>90</v>
      </c>
      <c r="W220">
        <v>0</v>
      </c>
      <c r="X220" t="s">
        <v>90</v>
      </c>
      <c r="Y220">
        <v>0</v>
      </c>
      <c r="Z220">
        <v>75.218515817016851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52</v>
      </c>
      <c r="AI220">
        <v>85</v>
      </c>
      <c r="AJ220">
        <v>30</v>
      </c>
      <c r="AL220">
        <v>0.115</v>
      </c>
      <c r="AN220" t="s">
        <v>365</v>
      </c>
      <c r="AO220" t="s">
        <v>73</v>
      </c>
      <c r="AP220">
        <v>200000</v>
      </c>
      <c r="AQ220" t="s">
        <v>97</v>
      </c>
      <c r="AS220">
        <v>10000</v>
      </c>
      <c r="AT220" t="s">
        <v>1539</v>
      </c>
      <c r="AU220" t="s">
        <v>75</v>
      </c>
      <c r="AV220" t="s">
        <v>76</v>
      </c>
    </row>
    <row r="221" spans="1:48" x14ac:dyDescent="0.15">
      <c r="A221" s="4" t="str">
        <f>HYPERLINK("https://ibp.a2mac1.com/costing(costing:projects/details/9760/assembly/8411462)","Lane Assist System")</f>
        <v>Lane Assist System</v>
      </c>
      <c r="B221">
        <v>8411462</v>
      </c>
      <c r="D221">
        <v>8411445</v>
      </c>
      <c r="F221">
        <v>1</v>
      </c>
      <c r="G221">
        <v>0</v>
      </c>
      <c r="H221">
        <v>75.218515817016851</v>
      </c>
      <c r="I221">
        <v>0</v>
      </c>
      <c r="J221" t="s">
        <v>90</v>
      </c>
      <c r="K221">
        <v>0</v>
      </c>
      <c r="L221">
        <v>75.218515817016851</v>
      </c>
      <c r="M221">
        <v>0</v>
      </c>
      <c r="N221">
        <v>0</v>
      </c>
      <c r="O221">
        <v>75.218515817016851</v>
      </c>
      <c r="P221" t="s">
        <v>90</v>
      </c>
      <c r="Q221">
        <v>0</v>
      </c>
      <c r="R221" t="s">
        <v>90</v>
      </c>
      <c r="S221">
        <v>0</v>
      </c>
      <c r="T221" t="s">
        <v>90</v>
      </c>
      <c r="U221">
        <v>0</v>
      </c>
      <c r="V221" t="s">
        <v>90</v>
      </c>
      <c r="W221">
        <v>0</v>
      </c>
      <c r="X221" t="s">
        <v>90</v>
      </c>
      <c r="Y221">
        <v>0</v>
      </c>
      <c r="Z221">
        <v>75.218515817016851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L221">
        <v>0.11899999999999999</v>
      </c>
      <c r="AN221" t="s">
        <v>185</v>
      </c>
      <c r="AO221" t="s">
        <v>73</v>
      </c>
      <c r="AP221">
        <v>200000</v>
      </c>
      <c r="AQ221" t="s">
        <v>73</v>
      </c>
      <c r="AS221">
        <v>10000</v>
      </c>
      <c r="AT221" t="s">
        <v>1540</v>
      </c>
      <c r="AU221" t="s">
        <v>75</v>
      </c>
      <c r="AV221" t="s">
        <v>76</v>
      </c>
    </row>
    <row r="222" spans="1:48" x14ac:dyDescent="0.15">
      <c r="A222" s="4" t="str">
        <f>HYPERLINK("https://ibp.a2mac1.com/costing(costing:projects/details/9760/assembly/8411540)","Blind Spot Detection Radar")</f>
        <v>Blind Spot Detection Radar</v>
      </c>
      <c r="B222">
        <v>8411540</v>
      </c>
      <c r="D222">
        <v>8411463</v>
      </c>
      <c r="F222">
        <v>2</v>
      </c>
      <c r="G222">
        <v>0</v>
      </c>
      <c r="H222">
        <v>43.849409432782686</v>
      </c>
      <c r="I222">
        <v>0.220348791119511</v>
      </c>
      <c r="J222" t="s">
        <v>176</v>
      </c>
      <c r="K222">
        <v>1.5347293301473941</v>
      </c>
      <c r="L222">
        <v>45.604487554049591</v>
      </c>
      <c r="M222">
        <v>0</v>
      </c>
      <c r="N222">
        <v>4.1441885414930111</v>
      </c>
      <c r="O222">
        <v>49.748676095542606</v>
      </c>
      <c r="P222" t="s">
        <v>177</v>
      </c>
      <c r="Q222">
        <v>2.7362692532429755</v>
      </c>
      <c r="R222" t="s">
        <v>177</v>
      </c>
      <c r="S222">
        <v>0.24865131248958069</v>
      </c>
      <c r="T222" t="s">
        <v>178</v>
      </c>
      <c r="U222">
        <v>5.9698411314651123</v>
      </c>
      <c r="V222" t="s">
        <v>90</v>
      </c>
      <c r="W222">
        <v>0</v>
      </c>
      <c r="X222" t="s">
        <v>90</v>
      </c>
      <c r="Y222">
        <v>0</v>
      </c>
      <c r="Z222">
        <v>58.703437792740274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27</v>
      </c>
      <c r="AI222">
        <v>69</v>
      </c>
      <c r="AJ222">
        <v>103</v>
      </c>
      <c r="AL222">
        <v>0.26800000000000002</v>
      </c>
      <c r="AN222" t="s">
        <v>365</v>
      </c>
      <c r="AO222" t="s">
        <v>73</v>
      </c>
      <c r="AP222">
        <v>400000</v>
      </c>
      <c r="AQ222" t="s">
        <v>97</v>
      </c>
      <c r="AS222">
        <v>20000</v>
      </c>
      <c r="AT222" t="s">
        <v>1545</v>
      </c>
      <c r="AU222" t="s">
        <v>75</v>
      </c>
      <c r="AV222" t="s">
        <v>76</v>
      </c>
    </row>
    <row r="223" spans="1:48" x14ac:dyDescent="0.15">
      <c r="A223" s="4" t="str">
        <f>HYPERLINK("https://ibp.a2mac1.com/costing(costing:projects/details/9760/assembly/8411541)","Blind Spot Detection Camera")</f>
        <v>Blind Spot Detection Camera</v>
      </c>
      <c r="B223">
        <v>8411541</v>
      </c>
      <c r="D223">
        <v>8411463</v>
      </c>
      <c r="F223">
        <v>2</v>
      </c>
      <c r="G223">
        <v>0</v>
      </c>
      <c r="H223">
        <v>42.530699657879701</v>
      </c>
      <c r="I223">
        <v>0.21372210883356632</v>
      </c>
      <c r="J223" t="s">
        <v>176</v>
      </c>
      <c r="K223">
        <v>1.4885744880257896</v>
      </c>
      <c r="L223">
        <v>44.232996254739056</v>
      </c>
      <c r="M223">
        <v>0</v>
      </c>
      <c r="N223">
        <v>4.9790659358545959</v>
      </c>
      <c r="O223">
        <v>49.212062190593649</v>
      </c>
      <c r="P223" t="s">
        <v>177</v>
      </c>
      <c r="Q223">
        <v>2.6539797752843435</v>
      </c>
      <c r="R223" t="s">
        <v>177</v>
      </c>
      <c r="S223">
        <v>0.29874395615127575</v>
      </c>
      <c r="T223" t="s">
        <v>178</v>
      </c>
      <c r="U223">
        <v>5.9054474628712379</v>
      </c>
      <c r="V223" t="s">
        <v>90</v>
      </c>
      <c r="W223">
        <v>0</v>
      </c>
      <c r="X223" t="s">
        <v>90</v>
      </c>
      <c r="Y223">
        <v>0</v>
      </c>
      <c r="Z223">
        <v>58.070233384900511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48</v>
      </c>
      <c r="AI223">
        <v>25</v>
      </c>
      <c r="AJ223">
        <v>25</v>
      </c>
      <c r="AL223">
        <v>6.9000000000000006E-2</v>
      </c>
      <c r="AN223" t="s">
        <v>365</v>
      </c>
      <c r="AO223" t="s">
        <v>73</v>
      </c>
      <c r="AP223">
        <v>400000</v>
      </c>
      <c r="AQ223" t="s">
        <v>97</v>
      </c>
      <c r="AS223">
        <v>20000</v>
      </c>
      <c r="AT223" t="s">
        <v>1548</v>
      </c>
      <c r="AU223" t="s">
        <v>75</v>
      </c>
      <c r="AV223" t="s">
        <v>76</v>
      </c>
    </row>
    <row r="224" spans="1:48" x14ac:dyDescent="0.15">
      <c r="A224" s="4" t="str">
        <f>HYPERLINK("https://ibp.a2mac1.com/costing(costing:projects/details/9760/assembly/8411544)","Right Side Camera")</f>
        <v>Right Side Camera</v>
      </c>
      <c r="B224">
        <v>8411544</v>
      </c>
      <c r="D224">
        <v>8411463</v>
      </c>
      <c r="F224">
        <v>1</v>
      </c>
      <c r="G224">
        <v>0</v>
      </c>
      <c r="H224">
        <v>22.183217794543644</v>
      </c>
      <c r="I224">
        <v>6.6261559646039458</v>
      </c>
      <c r="J224" t="s">
        <v>176</v>
      </c>
      <c r="K224">
        <v>0.77641262280902756</v>
      </c>
      <c r="L224">
        <v>29.58578638195662</v>
      </c>
      <c r="M224">
        <v>0</v>
      </c>
      <c r="N224">
        <v>2.4896133417582353</v>
      </c>
      <c r="O224">
        <v>32.075399723714852</v>
      </c>
      <c r="P224" t="s">
        <v>322</v>
      </c>
      <c r="Q224">
        <v>2.9585786381956618</v>
      </c>
      <c r="R224" t="s">
        <v>322</v>
      </c>
      <c r="S224">
        <v>0.24896133417582353</v>
      </c>
      <c r="T224" t="s">
        <v>178</v>
      </c>
      <c r="U224">
        <v>3.8490479668457827</v>
      </c>
      <c r="V224" t="s">
        <v>90</v>
      </c>
      <c r="W224">
        <v>0</v>
      </c>
      <c r="X224" t="s">
        <v>90</v>
      </c>
      <c r="Y224">
        <v>0</v>
      </c>
      <c r="Z224">
        <v>39.131987662932126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35</v>
      </c>
      <c r="AI224">
        <v>25</v>
      </c>
      <c r="AJ224">
        <v>25</v>
      </c>
      <c r="AL224">
        <v>3.1E-2</v>
      </c>
      <c r="AN224" t="s">
        <v>1551</v>
      </c>
      <c r="AO224" t="s">
        <v>73</v>
      </c>
      <c r="AP224">
        <v>200000</v>
      </c>
      <c r="AQ224" t="s">
        <v>97</v>
      </c>
      <c r="AS224">
        <v>10000</v>
      </c>
      <c r="AT224" t="s">
        <v>1552</v>
      </c>
      <c r="AU224" t="s">
        <v>75</v>
      </c>
      <c r="AV224" t="s">
        <v>76</v>
      </c>
    </row>
    <row r="225" spans="1:48" x14ac:dyDescent="0.15">
      <c r="A225" s="4" t="str">
        <f>HYPERLINK("https://ibp.a2mac1.com/costing(costing:projects/details/9760/assembly/8411463)","Blind Spot Detection System")</f>
        <v>Blind Spot Detection System</v>
      </c>
      <c r="B225">
        <v>8411463</v>
      </c>
      <c r="D225">
        <v>8411445</v>
      </c>
      <c r="F225">
        <v>1</v>
      </c>
      <c r="G225">
        <v>0</v>
      </c>
      <c r="H225">
        <v>156.75565884057289</v>
      </c>
      <c r="I225">
        <v>0</v>
      </c>
      <c r="J225" t="s">
        <v>90</v>
      </c>
      <c r="K225">
        <v>0</v>
      </c>
      <c r="L225">
        <v>156.75565884057289</v>
      </c>
      <c r="M225">
        <v>0</v>
      </c>
      <c r="N225">
        <v>0</v>
      </c>
      <c r="O225">
        <v>156.75565884057289</v>
      </c>
      <c r="P225" t="s">
        <v>90</v>
      </c>
      <c r="Q225">
        <v>0</v>
      </c>
      <c r="R225" t="s">
        <v>90</v>
      </c>
      <c r="S225">
        <v>0</v>
      </c>
      <c r="T225" t="s">
        <v>90</v>
      </c>
      <c r="U225">
        <v>0</v>
      </c>
      <c r="V225" t="s">
        <v>90</v>
      </c>
      <c r="W225">
        <v>0</v>
      </c>
      <c r="X225" t="s">
        <v>90</v>
      </c>
      <c r="Y225">
        <v>0</v>
      </c>
      <c r="Z225">
        <v>156.75565884057289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L225">
        <v>0.83740000000000003</v>
      </c>
      <c r="AN225" t="s">
        <v>185</v>
      </c>
      <c r="AO225" t="s">
        <v>73</v>
      </c>
      <c r="AP225">
        <v>200000</v>
      </c>
      <c r="AQ225" t="s">
        <v>73</v>
      </c>
      <c r="AS225">
        <v>10000</v>
      </c>
      <c r="AT225" t="s">
        <v>1556</v>
      </c>
      <c r="AU225" t="s">
        <v>75</v>
      </c>
      <c r="AV225" t="s">
        <v>76</v>
      </c>
    </row>
    <row r="226" spans="1:48" x14ac:dyDescent="0.15">
      <c r="A226" s="4" t="str">
        <f>HYPERLINK("https://ibp.a2mac1.com/costing(costing:projects/details/9760/assembly/8411546)","LiDAR")</f>
        <v>LiDAR</v>
      </c>
      <c r="B226">
        <v>8411546</v>
      </c>
      <c r="D226">
        <v>8411464</v>
      </c>
      <c r="F226">
        <v>1</v>
      </c>
      <c r="G226">
        <v>0</v>
      </c>
      <c r="H226">
        <v>299.41999648086863</v>
      </c>
      <c r="I226">
        <v>1.5046230978938122</v>
      </c>
      <c r="J226" t="s">
        <v>176</v>
      </c>
      <c r="K226">
        <v>10.479699876830402</v>
      </c>
      <c r="L226">
        <v>311.40431945559283</v>
      </c>
      <c r="M226">
        <v>0</v>
      </c>
      <c r="N226">
        <v>4.2507304043331278</v>
      </c>
      <c r="O226">
        <v>315.65504985992595</v>
      </c>
      <c r="P226" t="s">
        <v>177</v>
      </c>
      <c r="Q226">
        <v>18.684259167335568</v>
      </c>
      <c r="R226" t="s">
        <v>177</v>
      </c>
      <c r="S226">
        <v>0.25504382425998767</v>
      </c>
      <c r="T226" t="s">
        <v>178</v>
      </c>
      <c r="U226">
        <v>37.878605983191115</v>
      </c>
      <c r="V226" t="s">
        <v>90</v>
      </c>
      <c r="W226">
        <v>0</v>
      </c>
      <c r="X226" t="s">
        <v>90</v>
      </c>
      <c r="Y226">
        <v>0</v>
      </c>
      <c r="Z226">
        <v>372.47295883471264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151</v>
      </c>
      <c r="AI226">
        <v>286</v>
      </c>
      <c r="AJ226">
        <v>73</v>
      </c>
      <c r="AL226">
        <v>1.19</v>
      </c>
      <c r="AN226" t="s">
        <v>365</v>
      </c>
      <c r="AO226" t="s">
        <v>73</v>
      </c>
      <c r="AP226">
        <v>200000</v>
      </c>
      <c r="AQ226" t="s">
        <v>97</v>
      </c>
      <c r="AS226">
        <v>10000</v>
      </c>
      <c r="AT226" t="s">
        <v>1561</v>
      </c>
      <c r="AU226" t="s">
        <v>75</v>
      </c>
      <c r="AV226" t="s">
        <v>76</v>
      </c>
    </row>
    <row r="227" spans="1:48" x14ac:dyDescent="0.15">
      <c r="A227" s="4" t="str">
        <f>HYPERLINK("https://ibp.a2mac1.com/costing(costing:projects/details/9760/assembly/8411548)","Driver Monitoring Camera")</f>
        <v>Driver Monitoring Camera</v>
      </c>
      <c r="B227">
        <v>8411548</v>
      </c>
      <c r="D227">
        <v>8411464</v>
      </c>
      <c r="F227">
        <v>1</v>
      </c>
      <c r="G227">
        <v>0</v>
      </c>
      <c r="H227">
        <v>12.971423750855449</v>
      </c>
      <c r="I227">
        <v>6.5183033923896724E-2</v>
      </c>
      <c r="J227" t="s">
        <v>176</v>
      </c>
      <c r="K227">
        <v>0.45399983127994065</v>
      </c>
      <c r="L227">
        <v>13.490606616059285</v>
      </c>
      <c r="M227">
        <v>0</v>
      </c>
      <c r="N227">
        <v>1.5636584134662963</v>
      </c>
      <c r="O227">
        <v>15.054265029525581</v>
      </c>
      <c r="P227" t="s">
        <v>177</v>
      </c>
      <c r="Q227">
        <v>0.80943639696355707</v>
      </c>
      <c r="R227" t="s">
        <v>177</v>
      </c>
      <c r="S227">
        <v>9.381950480797778E-2</v>
      </c>
      <c r="T227" t="s">
        <v>178</v>
      </c>
      <c r="U227">
        <v>1.8065118035430698</v>
      </c>
      <c r="V227" t="s">
        <v>90</v>
      </c>
      <c r="W227">
        <v>0</v>
      </c>
      <c r="X227" t="s">
        <v>90</v>
      </c>
      <c r="Y227">
        <v>0</v>
      </c>
      <c r="Z227">
        <v>17.764032734840185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34</v>
      </c>
      <c r="AI227">
        <v>66</v>
      </c>
      <c r="AJ227">
        <v>26</v>
      </c>
      <c r="AL227">
        <v>3.5999999999999997E-2</v>
      </c>
      <c r="AN227" t="s">
        <v>365</v>
      </c>
      <c r="AO227" t="s">
        <v>73</v>
      </c>
      <c r="AP227">
        <v>200000</v>
      </c>
      <c r="AQ227" t="s">
        <v>97</v>
      </c>
      <c r="AS227">
        <v>10000</v>
      </c>
      <c r="AT227" t="s">
        <v>1564</v>
      </c>
      <c r="AU227" t="s">
        <v>75</v>
      </c>
      <c r="AV227" t="s">
        <v>76</v>
      </c>
    </row>
    <row r="228" spans="1:48" x14ac:dyDescent="0.15">
      <c r="A228" s="4" t="str">
        <f>HYPERLINK("https://ibp.a2mac1.com/costing(costing:projects/details/9760/assembly/8411464)","Autonomous Driving System")</f>
        <v>Autonomous Driving System</v>
      </c>
      <c r="B228">
        <v>8411464</v>
      </c>
      <c r="D228">
        <v>8411445</v>
      </c>
      <c r="F228">
        <v>1</v>
      </c>
      <c r="G228">
        <v>0</v>
      </c>
      <c r="H228">
        <v>391.47788156955284</v>
      </c>
      <c r="I228">
        <v>0</v>
      </c>
      <c r="J228" t="s">
        <v>90</v>
      </c>
      <c r="K228">
        <v>0</v>
      </c>
      <c r="L228">
        <v>391.47788156955284</v>
      </c>
      <c r="M228">
        <v>0</v>
      </c>
      <c r="N228">
        <v>0</v>
      </c>
      <c r="O228">
        <v>391.47788156955284</v>
      </c>
      <c r="P228" t="s">
        <v>90</v>
      </c>
      <c r="Q228">
        <v>0</v>
      </c>
      <c r="R228" t="s">
        <v>90</v>
      </c>
      <c r="S228">
        <v>0</v>
      </c>
      <c r="T228" t="s">
        <v>90</v>
      </c>
      <c r="U228">
        <v>0</v>
      </c>
      <c r="V228" t="s">
        <v>90</v>
      </c>
      <c r="W228">
        <v>0</v>
      </c>
      <c r="X228" t="s">
        <v>90</v>
      </c>
      <c r="Y228">
        <v>0</v>
      </c>
      <c r="Z228">
        <v>391.47788156955284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L228">
        <v>1.46</v>
      </c>
      <c r="AN228" t="s">
        <v>185</v>
      </c>
      <c r="AO228" t="s">
        <v>73</v>
      </c>
      <c r="AP228">
        <v>200000</v>
      </c>
      <c r="AQ228" t="s">
        <v>73</v>
      </c>
      <c r="AS228">
        <v>10000</v>
      </c>
      <c r="AT228" t="s">
        <v>1571</v>
      </c>
      <c r="AU228" t="s">
        <v>75</v>
      </c>
      <c r="AV228" t="s">
        <v>76</v>
      </c>
    </row>
    <row r="229" spans="1:48" x14ac:dyDescent="0.15">
      <c r="A229" s="4" t="str">
        <f>HYPERLINK("https://ibp.a2mac1.com/costing(costing:projects/details/9760/assembly/8411551)","360 Surveillance Camera")</f>
        <v>360 Surveillance Camera</v>
      </c>
      <c r="B229">
        <v>8411551</v>
      </c>
      <c r="D229">
        <v>8411465</v>
      </c>
      <c r="F229">
        <v>1</v>
      </c>
      <c r="G229">
        <v>0</v>
      </c>
      <c r="H229">
        <v>22.183217794543644</v>
      </c>
      <c r="I229">
        <v>0.11147345625398816</v>
      </c>
      <c r="J229" t="s">
        <v>176</v>
      </c>
      <c r="K229">
        <v>0.77641262280902756</v>
      </c>
      <c r="L229">
        <v>23.07110387360666</v>
      </c>
      <c r="M229">
        <v>0</v>
      </c>
      <c r="N229">
        <v>2.4896133417582353</v>
      </c>
      <c r="O229">
        <v>25.560717215364896</v>
      </c>
      <c r="P229" t="s">
        <v>177</v>
      </c>
      <c r="Q229">
        <v>1.3842662324163997</v>
      </c>
      <c r="R229" t="s">
        <v>177</v>
      </c>
      <c r="S229">
        <v>0.14937680050549412</v>
      </c>
      <c r="T229" t="s">
        <v>178</v>
      </c>
      <c r="U229">
        <v>3.0672860658437875</v>
      </c>
      <c r="V229" t="s">
        <v>90</v>
      </c>
      <c r="W229">
        <v>0</v>
      </c>
      <c r="X229" t="s">
        <v>90</v>
      </c>
      <c r="Y229">
        <v>0</v>
      </c>
      <c r="Z229">
        <v>30.161646314130579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36</v>
      </c>
      <c r="AI229">
        <v>44</v>
      </c>
      <c r="AJ229">
        <v>25</v>
      </c>
      <c r="AL229">
        <v>3.1E-2</v>
      </c>
      <c r="AN229" t="s">
        <v>365</v>
      </c>
      <c r="AO229" t="s">
        <v>73</v>
      </c>
      <c r="AP229">
        <v>200000</v>
      </c>
      <c r="AQ229" t="s">
        <v>97</v>
      </c>
      <c r="AS229">
        <v>10000</v>
      </c>
      <c r="AT229" t="s">
        <v>1575</v>
      </c>
      <c r="AU229" t="s">
        <v>75</v>
      </c>
      <c r="AV229" t="s">
        <v>76</v>
      </c>
    </row>
    <row r="230" spans="1:48" x14ac:dyDescent="0.15">
      <c r="A230" s="4" t="str">
        <f>HYPERLINK("https://ibp.a2mac1.com/costing(costing:projects/details/9760/assembly/8411465)","360 Camera Surveillance System")</f>
        <v>360 Camera Surveillance System</v>
      </c>
      <c r="B230">
        <v>8411465</v>
      </c>
      <c r="D230">
        <v>8411445</v>
      </c>
      <c r="F230">
        <v>1</v>
      </c>
      <c r="G230">
        <v>0</v>
      </c>
      <c r="H230">
        <v>31.461646314130579</v>
      </c>
      <c r="I230">
        <v>0</v>
      </c>
      <c r="J230" t="s">
        <v>90</v>
      </c>
      <c r="K230">
        <v>0</v>
      </c>
      <c r="L230">
        <v>31.461646314130579</v>
      </c>
      <c r="M230">
        <v>0</v>
      </c>
      <c r="N230">
        <v>0</v>
      </c>
      <c r="O230">
        <v>31.461646314130579</v>
      </c>
      <c r="P230" t="s">
        <v>90</v>
      </c>
      <c r="Q230">
        <v>0</v>
      </c>
      <c r="R230" t="s">
        <v>90</v>
      </c>
      <c r="S230">
        <v>0</v>
      </c>
      <c r="T230" t="s">
        <v>90</v>
      </c>
      <c r="U230">
        <v>0</v>
      </c>
      <c r="V230" t="s">
        <v>90</v>
      </c>
      <c r="W230">
        <v>0</v>
      </c>
      <c r="X230" t="s">
        <v>90</v>
      </c>
      <c r="Y230">
        <v>0</v>
      </c>
      <c r="Z230">
        <v>31.461646314130579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L230">
        <v>0.24199999999999999</v>
      </c>
      <c r="AN230" t="s">
        <v>185</v>
      </c>
      <c r="AO230" t="s">
        <v>73</v>
      </c>
      <c r="AP230">
        <v>200000</v>
      </c>
      <c r="AQ230" t="s">
        <v>73</v>
      </c>
      <c r="AS230">
        <v>10000</v>
      </c>
      <c r="AT230" t="s">
        <v>1577</v>
      </c>
      <c r="AU230" t="s">
        <v>75</v>
      </c>
      <c r="AV230" t="s">
        <v>76</v>
      </c>
    </row>
    <row r="231" spans="1:48" x14ac:dyDescent="0.15">
      <c r="A231" s="4" t="str">
        <f>HYPERLINK("https://ibp.a2mac1.com/costing(costing:projects/details/9760/assembly/8411445)","Accessories")</f>
        <v>Accessories</v>
      </c>
      <c r="B231">
        <v>8411445</v>
      </c>
      <c r="C231">
        <v>9760</v>
      </c>
      <c r="F231">
        <v>1</v>
      </c>
      <c r="G231">
        <v>0</v>
      </c>
      <c r="H231">
        <v>1682.7353733366201</v>
      </c>
      <c r="I231">
        <v>0</v>
      </c>
      <c r="J231" t="s">
        <v>90</v>
      </c>
      <c r="K231">
        <v>0</v>
      </c>
      <c r="L231">
        <v>1682.7353733366201</v>
      </c>
      <c r="M231">
        <v>0</v>
      </c>
      <c r="N231">
        <v>0</v>
      </c>
      <c r="O231">
        <v>1682.7353733366201</v>
      </c>
      <c r="P231" t="s">
        <v>90</v>
      </c>
      <c r="Q231">
        <v>0</v>
      </c>
      <c r="R231" t="s">
        <v>90</v>
      </c>
      <c r="S231">
        <v>0</v>
      </c>
      <c r="T231" t="s">
        <v>90</v>
      </c>
      <c r="U231">
        <v>0</v>
      </c>
      <c r="V231" t="s">
        <v>90</v>
      </c>
      <c r="W231">
        <v>0</v>
      </c>
      <c r="X231" t="s">
        <v>90</v>
      </c>
      <c r="Y231">
        <v>0</v>
      </c>
      <c r="Z231">
        <v>1682.7353733366201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L231">
        <v>16.1206</v>
      </c>
      <c r="AN231" t="s">
        <v>185</v>
      </c>
      <c r="AO231" t="s">
        <v>73</v>
      </c>
      <c r="AP231">
        <v>200000</v>
      </c>
      <c r="AQ231" t="s">
        <v>73</v>
      </c>
      <c r="AS231">
        <v>10000</v>
      </c>
      <c r="AT231" t="s">
        <v>1579</v>
      </c>
      <c r="AU231" t="s">
        <v>75</v>
      </c>
      <c r="AV231" t="s">
        <v>76</v>
      </c>
    </row>
    <row r="232" spans="1:48" x14ac:dyDescent="0.15">
      <c r="A232" s="4" t="str">
        <f>HYPERLINK("https://ibp.a2mac1.com/costing(costing:projects/details/9760/assembly/8411609)","Horn Control")</f>
        <v>Horn Control</v>
      </c>
      <c r="B232">
        <v>8411609</v>
      </c>
      <c r="D232">
        <v>8411591</v>
      </c>
      <c r="F232">
        <v>1</v>
      </c>
      <c r="G232">
        <v>0</v>
      </c>
      <c r="H232">
        <v>0.3</v>
      </c>
      <c r="I232">
        <v>0</v>
      </c>
      <c r="J232" t="s">
        <v>90</v>
      </c>
      <c r="K232">
        <v>0</v>
      </c>
      <c r="L232">
        <v>0.3</v>
      </c>
      <c r="M232">
        <v>0</v>
      </c>
      <c r="N232">
        <v>0</v>
      </c>
      <c r="O232">
        <v>0.3</v>
      </c>
      <c r="P232" t="s">
        <v>90</v>
      </c>
      <c r="Q232">
        <v>0</v>
      </c>
      <c r="R232" t="s">
        <v>90</v>
      </c>
      <c r="S232">
        <v>0</v>
      </c>
      <c r="T232" t="s">
        <v>90</v>
      </c>
      <c r="U232">
        <v>0</v>
      </c>
      <c r="V232" t="s">
        <v>90</v>
      </c>
      <c r="W232">
        <v>0</v>
      </c>
      <c r="X232" t="s">
        <v>90</v>
      </c>
      <c r="Y232">
        <v>0</v>
      </c>
      <c r="Z232">
        <v>0.3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L232">
        <v>1.4999999999999999E-2</v>
      </c>
      <c r="AN232" t="s">
        <v>185</v>
      </c>
      <c r="AO232" t="s">
        <v>73</v>
      </c>
      <c r="AP232">
        <v>200000</v>
      </c>
      <c r="AQ232" t="s">
        <v>73</v>
      </c>
      <c r="AS232">
        <v>10000</v>
      </c>
      <c r="AT232" t="s">
        <v>1585</v>
      </c>
      <c r="AU232" t="s">
        <v>75</v>
      </c>
      <c r="AV232" t="s">
        <v>76</v>
      </c>
    </row>
    <row r="233" spans="1:48" x14ac:dyDescent="0.15">
      <c r="A233" s="4" t="str">
        <f>HYPERLINK("https://ibp.a2mac1.com/costing(costing:projects/details/9760/assembly/8411591)","Steering Wheel Controls")</f>
        <v>Steering Wheel Controls</v>
      </c>
      <c r="B233">
        <v>8411591</v>
      </c>
      <c r="D233">
        <v>8411554</v>
      </c>
      <c r="F233">
        <v>1</v>
      </c>
      <c r="G233">
        <v>0</v>
      </c>
      <c r="H233">
        <v>4.5199999999999996</v>
      </c>
      <c r="I233">
        <v>0</v>
      </c>
      <c r="J233" t="s">
        <v>90</v>
      </c>
      <c r="K233">
        <v>0</v>
      </c>
      <c r="L233">
        <v>4.5199999999999996</v>
      </c>
      <c r="M233">
        <v>0</v>
      </c>
      <c r="N233">
        <v>0</v>
      </c>
      <c r="O233">
        <v>4.5199999999999996</v>
      </c>
      <c r="P233" t="s">
        <v>90</v>
      </c>
      <c r="Q233">
        <v>0</v>
      </c>
      <c r="R233" t="s">
        <v>90</v>
      </c>
      <c r="S233">
        <v>0</v>
      </c>
      <c r="T233" t="s">
        <v>90</v>
      </c>
      <c r="U233">
        <v>0</v>
      </c>
      <c r="V233" t="s">
        <v>90</v>
      </c>
      <c r="W233">
        <v>0</v>
      </c>
      <c r="X233" t="s">
        <v>90</v>
      </c>
      <c r="Y233">
        <v>0</v>
      </c>
      <c r="Z233">
        <v>4.5199999999999996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L233">
        <v>0.16300000000000001</v>
      </c>
      <c r="AN233" t="s">
        <v>185</v>
      </c>
      <c r="AO233" t="s">
        <v>73</v>
      </c>
      <c r="AP233">
        <v>200000</v>
      </c>
      <c r="AQ233" t="s">
        <v>73</v>
      </c>
      <c r="AS233">
        <v>10000</v>
      </c>
      <c r="AT233" t="s">
        <v>1590</v>
      </c>
      <c r="AU233" t="s">
        <v>75</v>
      </c>
      <c r="AV233" t="s">
        <v>76</v>
      </c>
    </row>
    <row r="234" spans="1:48" x14ac:dyDescent="0.15">
      <c r="A234" s="4" t="str">
        <f>HYPERLINK("https://ibp.a2mac1.com/costing(costing:projects/details/9760/assembly/8411592)","Steering Wheel")</f>
        <v>Steering Wheel</v>
      </c>
      <c r="B234">
        <v>8411592</v>
      </c>
      <c r="D234">
        <v>8411554</v>
      </c>
      <c r="E234" t="s">
        <v>1613</v>
      </c>
      <c r="F234">
        <v>1</v>
      </c>
      <c r="G234">
        <v>0</v>
      </c>
      <c r="H234">
        <v>22.55842322778064</v>
      </c>
      <c r="I234">
        <v>0.11335891069236502</v>
      </c>
      <c r="J234" t="s">
        <v>176</v>
      </c>
      <c r="K234">
        <v>0.78954481297232237</v>
      </c>
      <c r="L234">
        <v>23.461326951445326</v>
      </c>
      <c r="M234">
        <v>0</v>
      </c>
      <c r="N234">
        <v>0</v>
      </c>
      <c r="O234">
        <v>23.461326951445326</v>
      </c>
      <c r="P234" t="s">
        <v>90</v>
      </c>
      <c r="Q234">
        <v>0</v>
      </c>
      <c r="R234" t="s">
        <v>90</v>
      </c>
      <c r="S234">
        <v>0</v>
      </c>
      <c r="T234" t="s">
        <v>90</v>
      </c>
      <c r="U234">
        <v>0</v>
      </c>
      <c r="V234" t="s">
        <v>90</v>
      </c>
      <c r="W234">
        <v>0</v>
      </c>
      <c r="X234" t="s">
        <v>90</v>
      </c>
      <c r="Y234">
        <v>0</v>
      </c>
      <c r="Z234">
        <v>23.461326951445326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128</v>
      </c>
      <c r="AI234">
        <v>365</v>
      </c>
      <c r="AJ234">
        <v>345</v>
      </c>
      <c r="AK234">
        <v>0</v>
      </c>
      <c r="AL234">
        <v>1.0309999999999999</v>
      </c>
      <c r="AN234" t="s">
        <v>740</v>
      </c>
      <c r="AO234" t="s">
        <v>73</v>
      </c>
      <c r="AP234">
        <v>200000</v>
      </c>
      <c r="AQ234" t="s">
        <v>73</v>
      </c>
      <c r="AS234">
        <v>10000</v>
      </c>
      <c r="AT234" t="s">
        <v>1614</v>
      </c>
      <c r="AU234" t="s">
        <v>75</v>
      </c>
      <c r="AV234" t="s">
        <v>76</v>
      </c>
    </row>
    <row r="235" spans="1:48" x14ac:dyDescent="0.15">
      <c r="A235" s="4" t="str">
        <f>HYPERLINK("https://ibp.a2mac1.com/costing(costing:projects/details/9760/assembly/8411593)","Steering Wheel Cover")</f>
        <v>Steering Wheel Cover</v>
      </c>
      <c r="B235">
        <v>8411593</v>
      </c>
      <c r="D235">
        <v>8411554</v>
      </c>
      <c r="F235">
        <v>1</v>
      </c>
      <c r="G235">
        <v>0</v>
      </c>
      <c r="H235">
        <v>2.3067631979820189</v>
      </c>
      <c r="I235">
        <v>0</v>
      </c>
      <c r="J235" t="s">
        <v>90</v>
      </c>
      <c r="K235">
        <v>0</v>
      </c>
      <c r="L235">
        <v>2.3067631979820189</v>
      </c>
      <c r="M235">
        <v>0</v>
      </c>
      <c r="N235">
        <v>0</v>
      </c>
      <c r="O235">
        <v>2.3067631979820189</v>
      </c>
      <c r="P235" t="s">
        <v>90</v>
      </c>
      <c r="Q235">
        <v>0</v>
      </c>
      <c r="R235" t="s">
        <v>90</v>
      </c>
      <c r="S235">
        <v>0</v>
      </c>
      <c r="T235" t="s">
        <v>90</v>
      </c>
      <c r="U235">
        <v>0</v>
      </c>
      <c r="V235" t="s">
        <v>90</v>
      </c>
      <c r="W235">
        <v>0</v>
      </c>
      <c r="X235" t="s">
        <v>90</v>
      </c>
      <c r="Y235">
        <v>0</v>
      </c>
      <c r="Z235">
        <v>2.3067631979820189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L235">
        <v>0.191</v>
      </c>
      <c r="AN235" t="s">
        <v>185</v>
      </c>
      <c r="AO235" t="s">
        <v>73</v>
      </c>
      <c r="AP235">
        <v>200000</v>
      </c>
      <c r="AQ235" t="s">
        <v>73</v>
      </c>
      <c r="AS235">
        <v>10000</v>
      </c>
      <c r="AT235" t="s">
        <v>1673</v>
      </c>
      <c r="AU235" t="s">
        <v>75</v>
      </c>
      <c r="AV235" t="s">
        <v>76</v>
      </c>
    </row>
    <row r="236" spans="1:48" x14ac:dyDescent="0.15">
      <c r="A236" s="4" t="str">
        <f>HYPERLINK("https://ibp.a2mac1.com/costing(costing:projects/details/9760/assembly/8411554)","Steering Wheel System")</f>
        <v>Steering Wheel System</v>
      </c>
      <c r="B236">
        <v>8411554</v>
      </c>
      <c r="D236">
        <v>8411553</v>
      </c>
      <c r="F236">
        <v>1</v>
      </c>
      <c r="G236">
        <v>0</v>
      </c>
      <c r="H236">
        <v>30.588090149427344</v>
      </c>
      <c r="I236">
        <v>0.15370899572576555</v>
      </c>
      <c r="J236" t="s">
        <v>176</v>
      </c>
      <c r="K236">
        <v>1.0705831552299572</v>
      </c>
      <c r="L236">
        <v>31.812382300383067</v>
      </c>
      <c r="M236">
        <v>0</v>
      </c>
      <c r="N236">
        <v>0.91372562659001311</v>
      </c>
      <c r="O236">
        <v>32.726107926973079</v>
      </c>
      <c r="P236" t="s">
        <v>177</v>
      </c>
      <c r="Q236">
        <v>1.9087429380229841</v>
      </c>
      <c r="R236" t="s">
        <v>177</v>
      </c>
      <c r="S236">
        <v>5.482353759540079E-2</v>
      </c>
      <c r="T236" t="s">
        <v>178</v>
      </c>
      <c r="U236">
        <v>3.9271329512367696</v>
      </c>
      <c r="V236" t="s">
        <v>90</v>
      </c>
      <c r="W236">
        <v>0</v>
      </c>
      <c r="X236" t="s">
        <v>90</v>
      </c>
      <c r="Y236">
        <v>0</v>
      </c>
      <c r="Z236">
        <v>38.616807353828236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128</v>
      </c>
      <c r="AI236">
        <v>365</v>
      </c>
      <c r="AJ236">
        <v>345</v>
      </c>
      <c r="AL236">
        <v>1.4481999999999999</v>
      </c>
      <c r="AN236" t="s">
        <v>772</v>
      </c>
      <c r="AO236" t="s">
        <v>73</v>
      </c>
      <c r="AP236">
        <v>200000</v>
      </c>
      <c r="AQ236" t="s">
        <v>97</v>
      </c>
      <c r="AS236">
        <v>10000</v>
      </c>
      <c r="AT236" t="s">
        <v>1675</v>
      </c>
      <c r="AU236" t="s">
        <v>75</v>
      </c>
      <c r="AV236" t="s">
        <v>76</v>
      </c>
    </row>
    <row r="237" spans="1:48" x14ac:dyDescent="0.15">
      <c r="A237" s="4" t="str">
        <f>HYPERLINK("https://ibp.a2mac1.com/costing(costing:projects/details/9760/assembly/8411618)","Support")</f>
        <v>Support</v>
      </c>
      <c r="B237">
        <v>8411618</v>
      </c>
      <c r="D237">
        <v>8411597</v>
      </c>
      <c r="F237">
        <v>1</v>
      </c>
      <c r="G237">
        <v>0</v>
      </c>
      <c r="H237">
        <v>2.75</v>
      </c>
      <c r="I237">
        <v>0</v>
      </c>
      <c r="J237" t="s">
        <v>90</v>
      </c>
      <c r="K237">
        <v>0</v>
      </c>
      <c r="L237">
        <v>2.75</v>
      </c>
      <c r="M237">
        <v>0</v>
      </c>
      <c r="N237">
        <v>0</v>
      </c>
      <c r="O237">
        <v>2.75</v>
      </c>
      <c r="P237" t="s">
        <v>90</v>
      </c>
      <c r="Q237">
        <v>0</v>
      </c>
      <c r="R237" t="s">
        <v>90</v>
      </c>
      <c r="S237">
        <v>0</v>
      </c>
      <c r="T237" t="s">
        <v>90</v>
      </c>
      <c r="U237">
        <v>0</v>
      </c>
      <c r="V237" t="s">
        <v>90</v>
      </c>
      <c r="W237">
        <v>0</v>
      </c>
      <c r="X237" t="s">
        <v>90</v>
      </c>
      <c r="Y237">
        <v>0</v>
      </c>
      <c r="Z237">
        <v>2.75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0.69299999999999995</v>
      </c>
      <c r="AN237" t="s">
        <v>1015</v>
      </c>
      <c r="AO237" t="s">
        <v>73</v>
      </c>
      <c r="AP237">
        <v>200000</v>
      </c>
      <c r="AQ237" t="s">
        <v>73</v>
      </c>
      <c r="AS237">
        <v>10000</v>
      </c>
      <c r="AT237" t="s">
        <v>9</v>
      </c>
      <c r="AU237" t="s">
        <v>75</v>
      </c>
      <c r="AV237" t="s">
        <v>76</v>
      </c>
    </row>
    <row r="238" spans="1:48" x14ac:dyDescent="0.15">
      <c r="A238" s="4" t="str">
        <f>HYPERLINK("https://ibp.a2mac1.com/costing(costing:projects/details/9760/assembly/8411629)","Depth Adjustment")</f>
        <v>Depth Adjustment</v>
      </c>
      <c r="B238">
        <v>8411629</v>
      </c>
      <c r="D238">
        <v>8411619</v>
      </c>
      <c r="F238">
        <v>1</v>
      </c>
      <c r="G238">
        <v>0</v>
      </c>
      <c r="H238">
        <v>7.61</v>
      </c>
      <c r="I238">
        <v>3.8241206030150757E-2</v>
      </c>
      <c r="J238" t="s">
        <v>176</v>
      </c>
      <c r="K238">
        <v>0.26634999999999998</v>
      </c>
      <c r="L238">
        <v>7.9145912060301509</v>
      </c>
      <c r="M238">
        <v>0</v>
      </c>
      <c r="N238">
        <v>1.0684534939770154</v>
      </c>
      <c r="O238">
        <v>8.9830447000071665</v>
      </c>
      <c r="P238" t="s">
        <v>90</v>
      </c>
      <c r="Q238">
        <v>0</v>
      </c>
      <c r="R238" t="s">
        <v>90</v>
      </c>
      <c r="S238">
        <v>0</v>
      </c>
      <c r="T238" t="s">
        <v>90</v>
      </c>
      <c r="U238">
        <v>0</v>
      </c>
      <c r="V238" t="s">
        <v>90</v>
      </c>
      <c r="W238">
        <v>0</v>
      </c>
      <c r="X238" t="s">
        <v>90</v>
      </c>
      <c r="Y238">
        <v>0</v>
      </c>
      <c r="Z238">
        <v>8.9830447000071665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0.70899999999999996</v>
      </c>
      <c r="AN238" t="s">
        <v>1688</v>
      </c>
      <c r="AO238" t="s">
        <v>73</v>
      </c>
      <c r="AP238">
        <v>200000</v>
      </c>
      <c r="AQ238" t="s">
        <v>73</v>
      </c>
      <c r="AS238">
        <v>10000</v>
      </c>
      <c r="AT238" t="s">
        <v>9</v>
      </c>
      <c r="AU238" t="s">
        <v>75</v>
      </c>
      <c r="AV238" t="s">
        <v>76</v>
      </c>
    </row>
    <row r="239" spans="1:48" x14ac:dyDescent="0.15">
      <c r="A239" s="4" t="str">
        <f>HYPERLINK("https://ibp.a2mac1.com/costing(costing:projects/details/9760/assembly/8411630)","Height Adjustment")</f>
        <v>Height Adjustment</v>
      </c>
      <c r="B239">
        <v>8411630</v>
      </c>
      <c r="D239">
        <v>8411619</v>
      </c>
      <c r="F239">
        <v>1</v>
      </c>
      <c r="G239">
        <v>0</v>
      </c>
      <c r="H239">
        <v>6.94</v>
      </c>
      <c r="I239">
        <v>3.4874371859296482E-2</v>
      </c>
      <c r="J239" t="s">
        <v>176</v>
      </c>
      <c r="K239">
        <v>0.2429</v>
      </c>
      <c r="L239">
        <v>7.2177743718592966</v>
      </c>
      <c r="M239">
        <v>0</v>
      </c>
      <c r="N239">
        <v>1.0684534939770154</v>
      </c>
      <c r="O239">
        <v>8.2862278658363113</v>
      </c>
      <c r="P239" t="s">
        <v>90</v>
      </c>
      <c r="Q239">
        <v>0</v>
      </c>
      <c r="R239" t="s">
        <v>90</v>
      </c>
      <c r="S239">
        <v>0</v>
      </c>
      <c r="T239" t="s">
        <v>90</v>
      </c>
      <c r="U239">
        <v>0</v>
      </c>
      <c r="V239" t="s">
        <v>90</v>
      </c>
      <c r="W239">
        <v>0</v>
      </c>
      <c r="X239" t="s">
        <v>90</v>
      </c>
      <c r="Y239">
        <v>0</v>
      </c>
      <c r="Z239">
        <v>8.2862278658363113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0.49199999999999999</v>
      </c>
      <c r="AN239" t="s">
        <v>1688</v>
      </c>
      <c r="AO239" t="s">
        <v>73</v>
      </c>
      <c r="AP239">
        <v>200000</v>
      </c>
      <c r="AQ239" t="s">
        <v>73</v>
      </c>
      <c r="AS239">
        <v>10000</v>
      </c>
      <c r="AT239" t="s">
        <v>9</v>
      </c>
      <c r="AU239" t="s">
        <v>75</v>
      </c>
      <c r="AV239" t="s">
        <v>76</v>
      </c>
    </row>
    <row r="240" spans="1:48" x14ac:dyDescent="0.15">
      <c r="A240" s="4" t="str">
        <f>HYPERLINK("https://ibp.a2mac1.com/costing(costing:projects/details/9760/assembly/8411619)","Electric Adjustment Mechanism")</f>
        <v>Electric Adjustment Mechanism</v>
      </c>
      <c r="B240">
        <v>8411619</v>
      </c>
      <c r="D240">
        <v>8411597</v>
      </c>
      <c r="F240">
        <v>1</v>
      </c>
      <c r="G240">
        <v>0</v>
      </c>
      <c r="H240">
        <v>17.26927256584348</v>
      </c>
      <c r="I240">
        <v>0</v>
      </c>
      <c r="J240" t="s">
        <v>90</v>
      </c>
      <c r="K240">
        <v>0</v>
      </c>
      <c r="L240">
        <v>17.26927256584348</v>
      </c>
      <c r="M240">
        <v>0</v>
      </c>
      <c r="N240">
        <v>0</v>
      </c>
      <c r="O240">
        <v>17.26927256584348</v>
      </c>
      <c r="P240" t="s">
        <v>90</v>
      </c>
      <c r="Q240">
        <v>0</v>
      </c>
      <c r="R240" t="s">
        <v>90</v>
      </c>
      <c r="S240">
        <v>0</v>
      </c>
      <c r="T240" t="s">
        <v>90</v>
      </c>
      <c r="U240">
        <v>0</v>
      </c>
      <c r="V240" t="s">
        <v>90</v>
      </c>
      <c r="W240">
        <v>0</v>
      </c>
      <c r="X240" t="s">
        <v>90</v>
      </c>
      <c r="Y240">
        <v>0</v>
      </c>
      <c r="Z240">
        <v>17.26927256584348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1.2010000000000001</v>
      </c>
      <c r="AN240" t="s">
        <v>1015</v>
      </c>
      <c r="AO240" t="s">
        <v>73</v>
      </c>
      <c r="AP240">
        <v>200000</v>
      </c>
      <c r="AQ240" t="s">
        <v>73</v>
      </c>
      <c r="AS240">
        <v>10000</v>
      </c>
      <c r="AT240" t="s">
        <v>9</v>
      </c>
      <c r="AU240" t="s">
        <v>75</v>
      </c>
      <c r="AV240" t="s">
        <v>76</v>
      </c>
    </row>
    <row r="241" spans="1:48" x14ac:dyDescent="0.15">
      <c r="A241" s="4" t="str">
        <f>HYPERLINK("https://ibp.a2mac1.com/costing(costing:projects/details/9760/assembly/8411597)","Steering Column Assy")</f>
        <v>Steering Column Assy</v>
      </c>
      <c r="B241">
        <v>8411597</v>
      </c>
      <c r="D241">
        <v>8411555</v>
      </c>
      <c r="E241" t="s">
        <v>970</v>
      </c>
      <c r="F241">
        <v>1</v>
      </c>
      <c r="G241">
        <v>0</v>
      </c>
      <c r="H241">
        <v>38.977359659720484</v>
      </c>
      <c r="I241">
        <v>0.19586612894331901</v>
      </c>
      <c r="J241" t="s">
        <v>176</v>
      </c>
      <c r="K241">
        <v>1.3642075880902169</v>
      </c>
      <c r="L241">
        <v>40.537433376754024</v>
      </c>
      <c r="M241">
        <v>0</v>
      </c>
      <c r="N241">
        <v>5.9315413119017677</v>
      </c>
      <c r="O241">
        <v>46.468974688655791</v>
      </c>
      <c r="P241" t="s">
        <v>177</v>
      </c>
      <c r="Q241">
        <v>2.432246002605241</v>
      </c>
      <c r="R241" t="s">
        <v>177</v>
      </c>
      <c r="S241">
        <v>0.35589247871410606</v>
      </c>
      <c r="T241" t="s">
        <v>178</v>
      </c>
      <c r="U241">
        <v>5.576276962638695</v>
      </c>
      <c r="V241" t="s">
        <v>90</v>
      </c>
      <c r="W241">
        <v>0</v>
      </c>
      <c r="X241" t="s">
        <v>90</v>
      </c>
      <c r="Y241">
        <v>0</v>
      </c>
      <c r="Z241">
        <v>54.833390132613829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N241" t="s">
        <v>95</v>
      </c>
      <c r="AO241" t="s">
        <v>73</v>
      </c>
      <c r="AP241">
        <v>200000</v>
      </c>
      <c r="AQ241" t="s">
        <v>97</v>
      </c>
      <c r="AS241">
        <v>10000</v>
      </c>
      <c r="AT241" t="s">
        <v>1698</v>
      </c>
      <c r="AU241" t="s">
        <v>75</v>
      </c>
      <c r="AV241" t="s">
        <v>76</v>
      </c>
    </row>
    <row r="242" spans="1:48" x14ac:dyDescent="0.15">
      <c r="A242" s="4" t="str">
        <f>HYPERLINK("https://ibp.a2mac1.com/costing(costing:projects/details/9760/assembly/8411598)","Column Coupling")</f>
        <v>Column Coupling</v>
      </c>
      <c r="B242">
        <v>8411598</v>
      </c>
      <c r="D242">
        <v>8411555</v>
      </c>
      <c r="E242" t="s">
        <v>1704</v>
      </c>
      <c r="F242">
        <v>1</v>
      </c>
      <c r="G242">
        <v>0</v>
      </c>
      <c r="H242">
        <v>17.997392599235305</v>
      </c>
      <c r="I242">
        <v>9.0439158790127164E-2</v>
      </c>
      <c r="J242" t="s">
        <v>176</v>
      </c>
      <c r="K242">
        <v>0.62990874097323568</v>
      </c>
      <c r="L242">
        <v>18.717740498998669</v>
      </c>
      <c r="M242">
        <v>0</v>
      </c>
      <c r="N242">
        <v>2.7826526414892534</v>
      </c>
      <c r="O242">
        <v>21.500393140487922</v>
      </c>
      <c r="P242" t="s">
        <v>177</v>
      </c>
      <c r="Q242">
        <v>1.1230644299399202</v>
      </c>
      <c r="R242" t="s">
        <v>177</v>
      </c>
      <c r="S242">
        <v>0.16695915848935519</v>
      </c>
      <c r="T242" t="s">
        <v>178</v>
      </c>
      <c r="U242">
        <v>2.5800471768585505</v>
      </c>
      <c r="V242" t="s">
        <v>90</v>
      </c>
      <c r="W242">
        <v>0</v>
      </c>
      <c r="X242" t="s">
        <v>90</v>
      </c>
      <c r="Y242">
        <v>0</v>
      </c>
      <c r="Z242">
        <v>25.370463905775747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675</v>
      </c>
      <c r="AI242">
        <v>46</v>
      </c>
      <c r="AJ242">
        <v>46</v>
      </c>
      <c r="AK242">
        <v>0</v>
      </c>
      <c r="AL242">
        <v>2.044</v>
      </c>
      <c r="AN242" t="s">
        <v>95</v>
      </c>
      <c r="AO242" t="s">
        <v>73</v>
      </c>
      <c r="AP242">
        <v>200000</v>
      </c>
      <c r="AQ242" t="s">
        <v>97</v>
      </c>
      <c r="AS242">
        <v>10000</v>
      </c>
      <c r="AT242" t="s">
        <v>1707</v>
      </c>
      <c r="AU242" t="s">
        <v>75</v>
      </c>
      <c r="AV242" t="s">
        <v>76</v>
      </c>
    </row>
    <row r="243" spans="1:48" x14ac:dyDescent="0.15">
      <c r="A243" s="4" t="str">
        <f>HYPERLINK("https://ibp.a2mac1.com/costing(costing:projects/details/9760/assembly/8411632)","Steering Switch Covers Lower")</f>
        <v>Steering Switch Covers Lower</v>
      </c>
      <c r="B243">
        <v>8411632</v>
      </c>
      <c r="D243">
        <v>8411621</v>
      </c>
      <c r="F243">
        <v>1</v>
      </c>
      <c r="G243">
        <v>0</v>
      </c>
      <c r="H243">
        <v>0.511303765211094</v>
      </c>
      <c r="I243">
        <v>0</v>
      </c>
      <c r="J243" t="s">
        <v>90</v>
      </c>
      <c r="K243">
        <v>0</v>
      </c>
      <c r="L243">
        <v>0.511303765211094</v>
      </c>
      <c r="M243">
        <v>0</v>
      </c>
      <c r="N243">
        <v>0</v>
      </c>
      <c r="O243">
        <v>0.511303765211094</v>
      </c>
      <c r="P243" t="s">
        <v>90</v>
      </c>
      <c r="Q243">
        <v>0</v>
      </c>
      <c r="R243" t="s">
        <v>90</v>
      </c>
      <c r="S243">
        <v>0</v>
      </c>
      <c r="T243" t="s">
        <v>90</v>
      </c>
      <c r="U243">
        <v>0</v>
      </c>
      <c r="V243" t="s">
        <v>90</v>
      </c>
      <c r="W243">
        <v>0</v>
      </c>
      <c r="X243" t="s">
        <v>90</v>
      </c>
      <c r="Y243">
        <v>0</v>
      </c>
      <c r="Z243">
        <v>0.511303765211094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N243" t="s">
        <v>185</v>
      </c>
      <c r="AO243" t="s">
        <v>73</v>
      </c>
      <c r="AP243">
        <v>200000</v>
      </c>
      <c r="AQ243" t="s">
        <v>73</v>
      </c>
      <c r="AR243">
        <v>0</v>
      </c>
      <c r="AS243">
        <v>10000</v>
      </c>
      <c r="AT243" t="s">
        <v>1714</v>
      </c>
      <c r="AU243" t="s">
        <v>75</v>
      </c>
      <c r="AV243" t="s">
        <v>76</v>
      </c>
    </row>
    <row r="244" spans="1:48" x14ac:dyDescent="0.15">
      <c r="A244" s="4" t="str">
        <f>HYPERLINK("https://ibp.a2mac1.com/costing(costing:projects/details/9760/assembly/8411621)","Steering Switch Cover")</f>
        <v>Steering Switch Cover</v>
      </c>
      <c r="B244">
        <v>8411621</v>
      </c>
      <c r="D244">
        <v>8411600</v>
      </c>
      <c r="F244">
        <v>1</v>
      </c>
      <c r="G244">
        <v>0</v>
      </c>
      <c r="H244">
        <v>0.73802359822263208</v>
      </c>
      <c r="I244">
        <v>0</v>
      </c>
      <c r="J244" t="s">
        <v>90</v>
      </c>
      <c r="K244">
        <v>0</v>
      </c>
      <c r="L244">
        <v>0.73802359822263208</v>
      </c>
      <c r="M244">
        <v>0</v>
      </c>
      <c r="N244">
        <v>0</v>
      </c>
      <c r="O244">
        <v>0.73802359822263208</v>
      </c>
      <c r="P244" t="s">
        <v>90</v>
      </c>
      <c r="Q244">
        <v>0</v>
      </c>
      <c r="R244" t="s">
        <v>90</v>
      </c>
      <c r="S244">
        <v>0</v>
      </c>
      <c r="T244" t="s">
        <v>90</v>
      </c>
      <c r="U244">
        <v>0</v>
      </c>
      <c r="V244" t="s">
        <v>90</v>
      </c>
      <c r="W244">
        <v>0</v>
      </c>
      <c r="X244" t="s">
        <v>90</v>
      </c>
      <c r="Y244">
        <v>0</v>
      </c>
      <c r="Z244">
        <v>0.73802359822263208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N244" t="s">
        <v>185</v>
      </c>
      <c r="AO244" t="s">
        <v>73</v>
      </c>
      <c r="AP244">
        <v>200000</v>
      </c>
      <c r="AQ244" t="s">
        <v>73</v>
      </c>
      <c r="AR244">
        <v>0</v>
      </c>
      <c r="AS244">
        <v>10000</v>
      </c>
      <c r="AT244" t="s">
        <v>1718</v>
      </c>
      <c r="AU244" t="s">
        <v>75</v>
      </c>
      <c r="AV244" t="s">
        <v>76</v>
      </c>
    </row>
    <row r="245" spans="1:48" x14ac:dyDescent="0.15">
      <c r="A245" s="4" t="str">
        <f>HYPERLINK("https://ibp.a2mac1.com/costing(costing:projects/details/9760/assembly/8411600)","Column Covers")</f>
        <v>Column Covers</v>
      </c>
      <c r="B245">
        <v>8411600</v>
      </c>
      <c r="D245">
        <v>8411555</v>
      </c>
      <c r="F245">
        <v>1</v>
      </c>
      <c r="G245">
        <v>0</v>
      </c>
      <c r="H245">
        <v>0.73802359822263208</v>
      </c>
      <c r="I245">
        <v>0</v>
      </c>
      <c r="J245" t="s">
        <v>90</v>
      </c>
      <c r="K245">
        <v>0</v>
      </c>
      <c r="L245">
        <v>0.73802359822263208</v>
      </c>
      <c r="M245">
        <v>0</v>
      </c>
      <c r="N245">
        <v>0</v>
      </c>
      <c r="O245">
        <v>0.73802359822263208</v>
      </c>
      <c r="P245" t="s">
        <v>90</v>
      </c>
      <c r="Q245">
        <v>0</v>
      </c>
      <c r="R245" t="s">
        <v>90</v>
      </c>
      <c r="S245">
        <v>0</v>
      </c>
      <c r="T245" t="s">
        <v>90</v>
      </c>
      <c r="U245">
        <v>0</v>
      </c>
      <c r="V245" t="s">
        <v>90</v>
      </c>
      <c r="W245">
        <v>0</v>
      </c>
      <c r="X245" t="s">
        <v>90</v>
      </c>
      <c r="Y245">
        <v>0</v>
      </c>
      <c r="Z245">
        <v>0.73802359822263208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N245" t="s">
        <v>185</v>
      </c>
      <c r="AO245" t="s">
        <v>73</v>
      </c>
      <c r="AP245">
        <v>200000</v>
      </c>
      <c r="AQ245" t="s">
        <v>73</v>
      </c>
      <c r="AR245">
        <v>0</v>
      </c>
      <c r="AS245">
        <v>10000</v>
      </c>
      <c r="AT245" t="s">
        <v>1719</v>
      </c>
      <c r="AU245" t="s">
        <v>75</v>
      </c>
      <c r="AV245" t="s">
        <v>76</v>
      </c>
    </row>
    <row r="246" spans="1:48" x14ac:dyDescent="0.15">
      <c r="A246" s="4" t="str">
        <f>HYPERLINK("https://ibp.a2mac1.com/costing(costing:projects/details/9760/assembly/8411603)","Ignition Switch Assembly System")</f>
        <v>Ignition Switch Assembly System</v>
      </c>
      <c r="B246">
        <v>8411603</v>
      </c>
      <c r="D246">
        <v>8411555</v>
      </c>
      <c r="F246">
        <v>1</v>
      </c>
      <c r="G246">
        <v>0</v>
      </c>
      <c r="H246">
        <v>1</v>
      </c>
      <c r="I246">
        <v>0</v>
      </c>
      <c r="J246" t="s">
        <v>90</v>
      </c>
      <c r="K246">
        <v>0</v>
      </c>
      <c r="L246">
        <v>1</v>
      </c>
      <c r="M246">
        <v>0</v>
      </c>
      <c r="N246">
        <v>0</v>
      </c>
      <c r="O246">
        <v>1</v>
      </c>
      <c r="P246" t="s">
        <v>90</v>
      </c>
      <c r="Q246">
        <v>0</v>
      </c>
      <c r="R246" t="s">
        <v>90</v>
      </c>
      <c r="S246">
        <v>0</v>
      </c>
      <c r="T246" t="s">
        <v>90</v>
      </c>
      <c r="U246">
        <v>0</v>
      </c>
      <c r="V246" t="s">
        <v>90</v>
      </c>
      <c r="W246">
        <v>0</v>
      </c>
      <c r="X246" t="s">
        <v>90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N246" t="s">
        <v>185</v>
      </c>
      <c r="AO246" t="s">
        <v>73</v>
      </c>
      <c r="AP246">
        <v>200000</v>
      </c>
      <c r="AQ246" t="s">
        <v>73</v>
      </c>
      <c r="AR246">
        <v>0</v>
      </c>
      <c r="AS246">
        <v>10000</v>
      </c>
      <c r="AT246" t="s">
        <v>1722</v>
      </c>
      <c r="AU246" t="s">
        <v>75</v>
      </c>
      <c r="AV246" t="s">
        <v>76</v>
      </c>
    </row>
    <row r="247" spans="1:48" x14ac:dyDescent="0.15">
      <c r="A247" s="4" t="str">
        <f>HYPERLINK("https://ibp.a2mac1.com/costing(costing:projects/details/9760/assembly/8411555)","Steering Shaft Assembly")</f>
        <v>Steering Shaft Assembly</v>
      </c>
      <c r="B247">
        <v>8411555</v>
      </c>
      <c r="D247">
        <v>8411553</v>
      </c>
      <c r="F247">
        <v>1</v>
      </c>
      <c r="G247">
        <v>0</v>
      </c>
      <c r="H247">
        <v>93.735839833771863</v>
      </c>
      <c r="I247">
        <v>0</v>
      </c>
      <c r="J247" t="s">
        <v>90</v>
      </c>
      <c r="K247">
        <v>0</v>
      </c>
      <c r="L247">
        <v>93.735839833771863</v>
      </c>
      <c r="M247">
        <v>0</v>
      </c>
      <c r="N247">
        <v>0</v>
      </c>
      <c r="O247">
        <v>93.735839833771863</v>
      </c>
      <c r="P247" t="s">
        <v>90</v>
      </c>
      <c r="Q247">
        <v>0</v>
      </c>
      <c r="R247" t="s">
        <v>90</v>
      </c>
      <c r="S247">
        <v>0</v>
      </c>
      <c r="T247" t="s">
        <v>90</v>
      </c>
      <c r="U247">
        <v>0</v>
      </c>
      <c r="V247" t="s">
        <v>90</v>
      </c>
      <c r="W247">
        <v>0</v>
      </c>
      <c r="X247" t="s">
        <v>90</v>
      </c>
      <c r="Y247">
        <v>0</v>
      </c>
      <c r="Z247">
        <v>93.735839833771863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1187</v>
      </c>
      <c r="AI247">
        <v>403</v>
      </c>
      <c r="AJ247">
        <v>225</v>
      </c>
      <c r="AK247">
        <v>0</v>
      </c>
      <c r="AL247">
        <v>7.3070000000000004</v>
      </c>
      <c r="AN247" t="s">
        <v>72</v>
      </c>
      <c r="AO247" t="s">
        <v>73</v>
      </c>
      <c r="AP247">
        <v>200000</v>
      </c>
      <c r="AQ247" t="s">
        <v>73</v>
      </c>
      <c r="AS247">
        <v>10000</v>
      </c>
      <c r="AT247" t="s">
        <v>1736</v>
      </c>
      <c r="AU247" t="s">
        <v>75</v>
      </c>
      <c r="AV247" t="s">
        <v>76</v>
      </c>
    </row>
    <row r="248" spans="1:48" x14ac:dyDescent="0.15">
      <c r="A248" s="4" t="str">
        <f>HYPERLINK("https://ibp.a2mac1.com/costing(costing:projects/details/9760/assembly/8411606)","Tie Rod End")</f>
        <v>Tie Rod End</v>
      </c>
      <c r="B248">
        <v>8411606</v>
      </c>
      <c r="D248">
        <v>8411556</v>
      </c>
      <c r="F248">
        <v>1</v>
      </c>
      <c r="G248">
        <v>0</v>
      </c>
      <c r="H248">
        <v>9.86</v>
      </c>
      <c r="I248">
        <v>0</v>
      </c>
      <c r="J248" t="s">
        <v>90</v>
      </c>
      <c r="K248">
        <v>0</v>
      </c>
      <c r="L248">
        <v>9.86</v>
      </c>
      <c r="M248">
        <v>0</v>
      </c>
      <c r="N248">
        <v>0</v>
      </c>
      <c r="O248">
        <v>9.86</v>
      </c>
      <c r="P248" t="s">
        <v>90</v>
      </c>
      <c r="Q248">
        <v>0</v>
      </c>
      <c r="R248" t="s">
        <v>90</v>
      </c>
      <c r="S248">
        <v>0</v>
      </c>
      <c r="T248" t="s">
        <v>90</v>
      </c>
      <c r="U248">
        <v>0</v>
      </c>
      <c r="V248" t="s">
        <v>90</v>
      </c>
      <c r="W248">
        <v>0</v>
      </c>
      <c r="X248" t="s">
        <v>90</v>
      </c>
      <c r="Y248">
        <v>0</v>
      </c>
      <c r="Z248">
        <v>9.86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1.331</v>
      </c>
      <c r="AN248" t="s">
        <v>72</v>
      </c>
      <c r="AO248" t="s">
        <v>73</v>
      </c>
      <c r="AP248">
        <v>200000</v>
      </c>
      <c r="AQ248" t="s">
        <v>73</v>
      </c>
      <c r="AS248">
        <v>10000</v>
      </c>
      <c r="AT248" t="s">
        <v>1742</v>
      </c>
      <c r="AU248" t="s">
        <v>75</v>
      </c>
      <c r="AV248" t="s">
        <v>76</v>
      </c>
    </row>
    <row r="249" spans="1:48" x14ac:dyDescent="0.15">
      <c r="A249" s="4" t="str">
        <f>HYPERLINK("https://ibp.a2mac1.com/costing(costing:projects/details/9760/assembly/8411556)","Steering Bar")</f>
        <v>Steering Bar</v>
      </c>
      <c r="B249">
        <v>8411556</v>
      </c>
      <c r="D249">
        <v>8411553</v>
      </c>
      <c r="E249" t="s">
        <v>1752</v>
      </c>
      <c r="F249">
        <v>1</v>
      </c>
      <c r="G249">
        <v>0</v>
      </c>
      <c r="H249">
        <v>203.83497177017153</v>
      </c>
      <c r="I249">
        <v>1.0242963405536258</v>
      </c>
      <c r="J249" t="s">
        <v>176</v>
      </c>
      <c r="K249">
        <v>7.134224011956003</v>
      </c>
      <c r="L249">
        <v>211.99349212268115</v>
      </c>
      <c r="M249">
        <v>0</v>
      </c>
      <c r="N249">
        <v>7.1615759487816568</v>
      </c>
      <c r="O249">
        <v>219.15506807146281</v>
      </c>
      <c r="P249" t="s">
        <v>177</v>
      </c>
      <c r="Q249">
        <v>12.71960952736087</v>
      </c>
      <c r="R249" t="s">
        <v>177</v>
      </c>
      <c r="S249">
        <v>0.4296945569268994</v>
      </c>
      <c r="T249" t="s">
        <v>178</v>
      </c>
      <c r="U249">
        <v>26.298608168575537</v>
      </c>
      <c r="V249" t="s">
        <v>90</v>
      </c>
      <c r="W249">
        <v>0</v>
      </c>
      <c r="X249" t="s">
        <v>90</v>
      </c>
      <c r="Y249">
        <v>0</v>
      </c>
      <c r="Z249">
        <v>258.6029803243261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16.661999999999999</v>
      </c>
      <c r="AN249" t="s">
        <v>95</v>
      </c>
      <c r="AO249" t="s">
        <v>73</v>
      </c>
      <c r="AP249">
        <v>200000</v>
      </c>
      <c r="AQ249" t="s">
        <v>97</v>
      </c>
      <c r="AS249">
        <v>10000</v>
      </c>
      <c r="AT249" t="s">
        <v>1753</v>
      </c>
      <c r="AU249" t="s">
        <v>75</v>
      </c>
      <c r="AV249" t="s">
        <v>76</v>
      </c>
    </row>
    <row r="250" spans="1:48" x14ac:dyDescent="0.15">
      <c r="A250" s="4" t="str">
        <f>HYPERLINK("https://ibp.a2mac1.com/costing(costing:projects/details/9760/assembly/8411553)","Steering System")</f>
        <v>Steering System</v>
      </c>
      <c r="B250">
        <v>8411553</v>
      </c>
      <c r="C250">
        <v>9760</v>
      </c>
      <c r="F250">
        <v>1</v>
      </c>
      <c r="G250">
        <v>0</v>
      </c>
      <c r="H250">
        <v>395.41562751192623</v>
      </c>
      <c r="I250">
        <v>0</v>
      </c>
      <c r="J250" t="s">
        <v>90</v>
      </c>
      <c r="K250">
        <v>0</v>
      </c>
      <c r="L250">
        <v>395.41562751192623</v>
      </c>
      <c r="M250">
        <v>0</v>
      </c>
      <c r="N250">
        <v>0</v>
      </c>
      <c r="O250">
        <v>395.41562751192623</v>
      </c>
      <c r="P250" t="s">
        <v>90</v>
      </c>
      <c r="Q250">
        <v>0</v>
      </c>
      <c r="R250" t="s">
        <v>90</v>
      </c>
      <c r="S250">
        <v>0</v>
      </c>
      <c r="T250" t="s">
        <v>90</v>
      </c>
      <c r="U250">
        <v>0</v>
      </c>
      <c r="V250" t="s">
        <v>90</v>
      </c>
      <c r="W250">
        <v>0</v>
      </c>
      <c r="X250" t="s">
        <v>90</v>
      </c>
      <c r="Y250">
        <v>0</v>
      </c>
      <c r="Z250">
        <v>395.41562751192623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L250">
        <v>26.0335</v>
      </c>
      <c r="AN250" t="s">
        <v>72</v>
      </c>
      <c r="AO250" t="s">
        <v>73</v>
      </c>
      <c r="AP250">
        <v>200000</v>
      </c>
      <c r="AQ250" t="s">
        <v>73</v>
      </c>
      <c r="AS250">
        <v>10000</v>
      </c>
      <c r="AT250" t="s">
        <v>1754</v>
      </c>
      <c r="AU250" t="s">
        <v>75</v>
      </c>
      <c r="AV250" t="s">
        <v>76</v>
      </c>
    </row>
    <row r="251" spans="1:48" x14ac:dyDescent="0.15">
      <c r="A251" s="4" t="str">
        <f>HYPERLINK("https://ibp.a2mac1.com/costing(costing:projects/details/9760/assembly/8411750)","Bearing Race")</f>
        <v>Bearing Race</v>
      </c>
      <c r="B251">
        <v>8411750</v>
      </c>
      <c r="D251">
        <v>8411688</v>
      </c>
      <c r="F251">
        <v>1</v>
      </c>
      <c r="G251">
        <v>0</v>
      </c>
      <c r="H251">
        <v>0.16</v>
      </c>
      <c r="I251">
        <v>0</v>
      </c>
      <c r="J251" t="s">
        <v>90</v>
      </c>
      <c r="K251">
        <v>0</v>
      </c>
      <c r="L251">
        <v>0.16</v>
      </c>
      <c r="M251">
        <v>0</v>
      </c>
      <c r="N251">
        <v>0</v>
      </c>
      <c r="O251">
        <v>0.16</v>
      </c>
      <c r="P251" t="s">
        <v>90</v>
      </c>
      <c r="Q251">
        <v>0</v>
      </c>
      <c r="R251" t="s">
        <v>90</v>
      </c>
      <c r="S251">
        <v>0</v>
      </c>
      <c r="T251" t="s">
        <v>90</v>
      </c>
      <c r="U251">
        <v>0</v>
      </c>
      <c r="V251" t="s">
        <v>90</v>
      </c>
      <c r="W251">
        <v>0</v>
      </c>
      <c r="X251" t="s">
        <v>90</v>
      </c>
      <c r="Y251">
        <v>0</v>
      </c>
      <c r="Z251">
        <v>0.16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L251">
        <v>0.2</v>
      </c>
      <c r="AN251" t="s">
        <v>1015</v>
      </c>
      <c r="AO251" t="s">
        <v>73</v>
      </c>
      <c r="AP251">
        <v>200000</v>
      </c>
      <c r="AQ251" t="s">
        <v>97</v>
      </c>
      <c r="AS251">
        <v>10000</v>
      </c>
      <c r="AT251" t="s">
        <v>1764</v>
      </c>
      <c r="AU251" t="s">
        <v>75</v>
      </c>
      <c r="AV251" t="s">
        <v>76</v>
      </c>
    </row>
    <row r="252" spans="1:48" x14ac:dyDescent="0.15">
      <c r="A252" s="4" t="str">
        <f>HYPERLINK("https://ibp.a2mac1.com/costing(costing:projects/details/9760/assembly/8411688)","Bearing")</f>
        <v>Bearing</v>
      </c>
      <c r="B252">
        <v>8411688</v>
      </c>
      <c r="D252">
        <v>8411656</v>
      </c>
      <c r="F252">
        <v>1</v>
      </c>
      <c r="G252">
        <v>0</v>
      </c>
      <c r="H252">
        <v>11.363</v>
      </c>
      <c r="I252">
        <v>0</v>
      </c>
      <c r="J252" t="s">
        <v>90</v>
      </c>
      <c r="K252">
        <v>0</v>
      </c>
      <c r="L252">
        <v>11.363</v>
      </c>
      <c r="M252">
        <v>0</v>
      </c>
      <c r="N252">
        <v>0</v>
      </c>
      <c r="O252">
        <v>11.363</v>
      </c>
      <c r="P252" t="s">
        <v>90</v>
      </c>
      <c r="Q252">
        <v>0</v>
      </c>
      <c r="R252" t="s">
        <v>90</v>
      </c>
      <c r="S252">
        <v>0</v>
      </c>
      <c r="T252" t="s">
        <v>90</v>
      </c>
      <c r="U252">
        <v>0</v>
      </c>
      <c r="V252" t="s">
        <v>90</v>
      </c>
      <c r="W252">
        <v>0</v>
      </c>
      <c r="X252" t="s">
        <v>90</v>
      </c>
      <c r="Y252">
        <v>0</v>
      </c>
      <c r="Z252">
        <v>11.363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0.48899999999999999</v>
      </c>
      <c r="AN252" t="s">
        <v>72</v>
      </c>
      <c r="AO252" t="s">
        <v>73</v>
      </c>
      <c r="AP252">
        <v>200000</v>
      </c>
      <c r="AQ252" t="s">
        <v>73</v>
      </c>
      <c r="AS252">
        <v>10000</v>
      </c>
      <c r="AT252" t="s">
        <v>1768</v>
      </c>
      <c r="AU252" t="s">
        <v>75</v>
      </c>
      <c r="AV252" t="s">
        <v>76</v>
      </c>
    </row>
    <row r="253" spans="1:48" x14ac:dyDescent="0.15">
      <c r="A253" s="4" t="str">
        <f>HYPERLINK("https://ibp.a2mac1.com/costing(costing:projects/details/9760/assembly/8411656)","Output Stage")</f>
        <v>Output Stage</v>
      </c>
      <c r="B253">
        <v>8411656</v>
      </c>
      <c r="D253">
        <v>8411652</v>
      </c>
      <c r="F253">
        <v>1</v>
      </c>
      <c r="G253">
        <v>0</v>
      </c>
      <c r="H253">
        <v>40.218116422665318</v>
      </c>
      <c r="I253">
        <v>0</v>
      </c>
      <c r="J253" t="s">
        <v>90</v>
      </c>
      <c r="K253">
        <v>0</v>
      </c>
      <c r="L253">
        <v>40.218116422665318</v>
      </c>
      <c r="M253">
        <v>0</v>
      </c>
      <c r="N253">
        <v>5.6249971701228514</v>
      </c>
      <c r="O253">
        <v>45.843113592788171</v>
      </c>
      <c r="P253" t="s">
        <v>90</v>
      </c>
      <c r="Q253">
        <v>0</v>
      </c>
      <c r="R253" t="s">
        <v>90</v>
      </c>
      <c r="S253">
        <v>0</v>
      </c>
      <c r="T253" t="s">
        <v>90</v>
      </c>
      <c r="U253">
        <v>0</v>
      </c>
      <c r="V253" t="s">
        <v>90</v>
      </c>
      <c r="W253">
        <v>0</v>
      </c>
      <c r="X253" t="s">
        <v>90</v>
      </c>
      <c r="Y253">
        <v>0</v>
      </c>
      <c r="Z253">
        <v>45.843113592788171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200</v>
      </c>
      <c r="AI253">
        <v>137</v>
      </c>
      <c r="AJ253">
        <v>200</v>
      </c>
      <c r="AK253">
        <v>0</v>
      </c>
      <c r="AL253">
        <v>8.3740000000000006</v>
      </c>
      <c r="AN253" t="s">
        <v>1015</v>
      </c>
      <c r="AO253" t="s">
        <v>73</v>
      </c>
      <c r="AP253">
        <v>200000</v>
      </c>
      <c r="AQ253" t="s">
        <v>73</v>
      </c>
      <c r="AS253">
        <v>10000</v>
      </c>
      <c r="AT253" t="s">
        <v>1792</v>
      </c>
      <c r="AU253" t="s">
        <v>75</v>
      </c>
      <c r="AV253" t="s">
        <v>76</v>
      </c>
    </row>
    <row r="254" spans="1:48" x14ac:dyDescent="0.15">
      <c r="A254" s="4" t="str">
        <f>HYPERLINK("https://ibp.a2mac1.com/costing(costing:projects/details/9760/assembly/8411695)","Ball Bearing")</f>
        <v>Ball Bearing</v>
      </c>
      <c r="B254">
        <v>8411695</v>
      </c>
      <c r="D254">
        <v>8411657</v>
      </c>
      <c r="F254">
        <v>1</v>
      </c>
      <c r="G254">
        <v>0</v>
      </c>
      <c r="H254">
        <v>7.492</v>
      </c>
      <c r="I254">
        <v>0</v>
      </c>
      <c r="J254" t="s">
        <v>90</v>
      </c>
      <c r="K254">
        <v>0</v>
      </c>
      <c r="L254">
        <v>7.492</v>
      </c>
      <c r="M254">
        <v>0</v>
      </c>
      <c r="N254">
        <v>0</v>
      </c>
      <c r="O254">
        <v>7.492</v>
      </c>
      <c r="P254" t="s">
        <v>90</v>
      </c>
      <c r="Q254">
        <v>0</v>
      </c>
      <c r="R254" t="s">
        <v>90</v>
      </c>
      <c r="S254">
        <v>0</v>
      </c>
      <c r="T254" t="s">
        <v>90</v>
      </c>
      <c r="U254">
        <v>0</v>
      </c>
      <c r="V254" t="s">
        <v>90</v>
      </c>
      <c r="W254">
        <v>0</v>
      </c>
      <c r="X254" t="s">
        <v>90</v>
      </c>
      <c r="Y254">
        <v>0</v>
      </c>
      <c r="Z254">
        <v>7.492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0.88500000000000001</v>
      </c>
      <c r="AN254" t="s">
        <v>72</v>
      </c>
      <c r="AO254" t="s">
        <v>73</v>
      </c>
      <c r="AP254">
        <v>200000</v>
      </c>
      <c r="AQ254" t="s">
        <v>73</v>
      </c>
      <c r="AS254">
        <v>10000</v>
      </c>
      <c r="AT254" t="s">
        <v>1797</v>
      </c>
      <c r="AU254" t="s">
        <v>75</v>
      </c>
      <c r="AV254" t="s">
        <v>76</v>
      </c>
    </row>
    <row r="255" spans="1:48" x14ac:dyDescent="0.15">
      <c r="A255" s="4" t="str">
        <f>HYPERLINK("https://ibp.a2mac1.com/costing(costing:projects/details/9760/assembly/8411657)","Input Stage")</f>
        <v>Input Stage</v>
      </c>
      <c r="B255">
        <v>8411657</v>
      </c>
      <c r="D255">
        <v>8411652</v>
      </c>
      <c r="F255">
        <v>1</v>
      </c>
      <c r="G255">
        <v>0</v>
      </c>
      <c r="H255">
        <v>13.197279999999999</v>
      </c>
      <c r="I255">
        <v>0</v>
      </c>
      <c r="J255" t="s">
        <v>90</v>
      </c>
      <c r="K255">
        <v>0</v>
      </c>
      <c r="L255">
        <v>13.197279999999999</v>
      </c>
      <c r="M255">
        <v>0</v>
      </c>
      <c r="N255">
        <v>0</v>
      </c>
      <c r="O255">
        <v>13.197279999999999</v>
      </c>
      <c r="P255" t="s">
        <v>90</v>
      </c>
      <c r="Q255">
        <v>0</v>
      </c>
      <c r="R255" t="s">
        <v>90</v>
      </c>
      <c r="S255">
        <v>0</v>
      </c>
      <c r="T255" t="s">
        <v>90</v>
      </c>
      <c r="U255">
        <v>0</v>
      </c>
      <c r="V255" t="s">
        <v>90</v>
      </c>
      <c r="W255">
        <v>0</v>
      </c>
      <c r="X255" t="s">
        <v>90</v>
      </c>
      <c r="Y255">
        <v>0</v>
      </c>
      <c r="Z255">
        <v>13.197279999999999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2.1110000000000002</v>
      </c>
      <c r="AN255" t="s">
        <v>72</v>
      </c>
      <c r="AO255" t="s">
        <v>73</v>
      </c>
      <c r="AP255">
        <v>200000</v>
      </c>
      <c r="AQ255" t="s">
        <v>73</v>
      </c>
      <c r="AS255">
        <v>10000</v>
      </c>
      <c r="AT255" t="s">
        <v>1801</v>
      </c>
      <c r="AU255" t="s">
        <v>75</v>
      </c>
      <c r="AV255" t="s">
        <v>76</v>
      </c>
    </row>
    <row r="256" spans="1:48" x14ac:dyDescent="0.15">
      <c r="A256" s="4" t="str">
        <f>HYPERLINK("https://ibp.a2mac1.com/costing(costing:projects/details/9760/assembly/8411658)","Intermediate Stage")</f>
        <v>Intermediate Stage</v>
      </c>
      <c r="B256">
        <v>8411658</v>
      </c>
      <c r="D256">
        <v>8411652</v>
      </c>
      <c r="F256">
        <v>1</v>
      </c>
      <c r="G256">
        <v>0</v>
      </c>
      <c r="H256">
        <v>24.187907843922428</v>
      </c>
      <c r="I256">
        <v>0</v>
      </c>
      <c r="J256" t="s">
        <v>90</v>
      </c>
      <c r="K256">
        <v>0</v>
      </c>
      <c r="L256">
        <v>24.187907843922428</v>
      </c>
      <c r="M256">
        <v>0</v>
      </c>
      <c r="N256">
        <v>0</v>
      </c>
      <c r="O256">
        <v>24.187907843922428</v>
      </c>
      <c r="P256" t="s">
        <v>90</v>
      </c>
      <c r="Q256">
        <v>0</v>
      </c>
      <c r="R256" t="s">
        <v>90</v>
      </c>
      <c r="S256">
        <v>0</v>
      </c>
      <c r="T256" t="s">
        <v>90</v>
      </c>
      <c r="U256">
        <v>0</v>
      </c>
      <c r="V256" t="s">
        <v>90</v>
      </c>
      <c r="W256">
        <v>0</v>
      </c>
      <c r="X256" t="s">
        <v>90</v>
      </c>
      <c r="Y256">
        <v>0</v>
      </c>
      <c r="Z256">
        <v>24.187907843922428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4.726</v>
      </c>
      <c r="AN256" t="s">
        <v>72</v>
      </c>
      <c r="AO256" t="s">
        <v>73</v>
      </c>
      <c r="AP256">
        <v>200000</v>
      </c>
      <c r="AQ256" t="s">
        <v>73</v>
      </c>
      <c r="AS256">
        <v>10000</v>
      </c>
      <c r="AT256" t="s">
        <v>1816</v>
      </c>
      <c r="AU256" t="s">
        <v>75</v>
      </c>
      <c r="AV256" t="s">
        <v>76</v>
      </c>
    </row>
    <row r="257" spans="1:48" x14ac:dyDescent="0.15">
      <c r="A257" s="4" t="str">
        <f>HYPERLINK("https://ibp.a2mac1.com/costing(costing:projects/details/9760/assembly/8411659)","Lubrication/ Degassing")</f>
        <v>Lubrication/ Degassing</v>
      </c>
      <c r="B257">
        <v>8411659</v>
      </c>
      <c r="D257">
        <v>8411652</v>
      </c>
      <c r="F257">
        <v>1</v>
      </c>
      <c r="G257">
        <v>0</v>
      </c>
      <c r="H257">
        <v>32.185960000000001</v>
      </c>
      <c r="I257">
        <v>0</v>
      </c>
      <c r="J257" t="s">
        <v>90</v>
      </c>
      <c r="K257">
        <v>0</v>
      </c>
      <c r="L257">
        <v>32.185960000000001</v>
      </c>
      <c r="M257">
        <v>0</v>
      </c>
      <c r="N257">
        <v>0</v>
      </c>
      <c r="O257">
        <v>32.185960000000001</v>
      </c>
      <c r="P257" t="s">
        <v>90</v>
      </c>
      <c r="Q257">
        <v>0</v>
      </c>
      <c r="R257" t="s">
        <v>90</v>
      </c>
      <c r="S257">
        <v>0</v>
      </c>
      <c r="T257" t="s">
        <v>90</v>
      </c>
      <c r="U257">
        <v>0</v>
      </c>
      <c r="V257" t="s">
        <v>90</v>
      </c>
      <c r="W257">
        <v>0</v>
      </c>
      <c r="X257" t="s">
        <v>90</v>
      </c>
      <c r="Y257">
        <v>0</v>
      </c>
      <c r="Z257">
        <v>32.185960000000001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0.79400000000000004</v>
      </c>
      <c r="AN257" t="s">
        <v>72</v>
      </c>
      <c r="AO257" t="s">
        <v>73</v>
      </c>
      <c r="AP257">
        <v>200000</v>
      </c>
      <c r="AQ257" t="s">
        <v>73</v>
      </c>
      <c r="AS257">
        <v>10000</v>
      </c>
      <c r="AT257" t="s">
        <v>1834</v>
      </c>
      <c r="AU257" t="s">
        <v>75</v>
      </c>
      <c r="AV257" t="s">
        <v>76</v>
      </c>
    </row>
    <row r="258" spans="1:48" x14ac:dyDescent="0.15">
      <c r="A258" s="4" t="str">
        <f>HYPERLINK("https://ibp.a2mac1.com/costing(costing:projects/details/9760/assembly/8411714)","Base Seal")</f>
        <v>Base Seal</v>
      </c>
      <c r="B258">
        <v>8411714</v>
      </c>
      <c r="D258">
        <v>8411660</v>
      </c>
      <c r="F258">
        <v>1</v>
      </c>
      <c r="G258">
        <v>0</v>
      </c>
      <c r="H258">
        <v>5.4234</v>
      </c>
      <c r="I258">
        <v>0</v>
      </c>
      <c r="J258" t="s">
        <v>90</v>
      </c>
      <c r="K258">
        <v>0</v>
      </c>
      <c r="L258">
        <v>5.4234</v>
      </c>
      <c r="M258">
        <v>0</v>
      </c>
      <c r="N258">
        <v>0</v>
      </c>
      <c r="O258">
        <v>5.4234</v>
      </c>
      <c r="P258" t="s">
        <v>90</v>
      </c>
      <c r="Q258">
        <v>0</v>
      </c>
      <c r="R258" t="s">
        <v>90</v>
      </c>
      <c r="S258">
        <v>0</v>
      </c>
      <c r="T258" t="s">
        <v>90</v>
      </c>
      <c r="U258">
        <v>0</v>
      </c>
      <c r="V258" t="s">
        <v>90</v>
      </c>
      <c r="W258">
        <v>0</v>
      </c>
      <c r="X258" t="s">
        <v>90</v>
      </c>
      <c r="Y258">
        <v>0</v>
      </c>
      <c r="Z258">
        <v>5.4234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3.7999999999999999E-2</v>
      </c>
      <c r="AN258" t="s">
        <v>72</v>
      </c>
      <c r="AO258" t="s">
        <v>73</v>
      </c>
      <c r="AP258">
        <v>200000</v>
      </c>
      <c r="AQ258" t="s">
        <v>73</v>
      </c>
      <c r="AS258">
        <v>10000</v>
      </c>
      <c r="AT258" t="s">
        <v>1840</v>
      </c>
      <c r="AU258" t="s">
        <v>75</v>
      </c>
      <c r="AV258" t="s">
        <v>76</v>
      </c>
    </row>
    <row r="259" spans="1:48" x14ac:dyDescent="0.15">
      <c r="A259" s="4" t="str">
        <f>HYPERLINK("https://ibp.a2mac1.com/costing(costing:projects/details/9760/assembly/8411660)","Housing System")</f>
        <v>Housing System</v>
      </c>
      <c r="B259">
        <v>8411660</v>
      </c>
      <c r="D259">
        <v>8411652</v>
      </c>
      <c r="F259">
        <v>1</v>
      </c>
      <c r="G259">
        <v>0</v>
      </c>
      <c r="H259">
        <v>28.60271241055348</v>
      </c>
      <c r="I259">
        <v>0</v>
      </c>
      <c r="J259" t="s">
        <v>90</v>
      </c>
      <c r="K259">
        <v>0</v>
      </c>
      <c r="L259">
        <v>28.60271241055348</v>
      </c>
      <c r="M259">
        <v>0</v>
      </c>
      <c r="N259">
        <v>0</v>
      </c>
      <c r="O259">
        <v>28.60271241055348</v>
      </c>
      <c r="P259" t="s">
        <v>90</v>
      </c>
      <c r="Q259">
        <v>0</v>
      </c>
      <c r="R259" t="s">
        <v>90</v>
      </c>
      <c r="S259">
        <v>0</v>
      </c>
      <c r="T259" t="s">
        <v>90</v>
      </c>
      <c r="U259">
        <v>0</v>
      </c>
      <c r="V259" t="s">
        <v>90</v>
      </c>
      <c r="W259">
        <v>0</v>
      </c>
      <c r="X259" t="s">
        <v>90</v>
      </c>
      <c r="Y259">
        <v>0</v>
      </c>
      <c r="Z259">
        <v>28.60271241055348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N259" t="s">
        <v>1015</v>
      </c>
      <c r="AO259" t="s">
        <v>73</v>
      </c>
      <c r="AP259">
        <v>200000</v>
      </c>
      <c r="AQ259" t="s">
        <v>73</v>
      </c>
      <c r="AS259">
        <v>10000</v>
      </c>
      <c r="AT259" t="s">
        <v>9</v>
      </c>
      <c r="AU259" t="s">
        <v>75</v>
      </c>
      <c r="AV259" t="s">
        <v>76</v>
      </c>
    </row>
    <row r="260" spans="1:48" x14ac:dyDescent="0.15">
      <c r="A260" s="4" t="str">
        <f>HYPERLINK("https://ibp.a2mac1.com/costing(costing:projects/details/9760/assembly/8411652)","Front Transmission")</f>
        <v>Front Transmission</v>
      </c>
      <c r="B260">
        <v>8411652</v>
      </c>
      <c r="D260">
        <v>8411650</v>
      </c>
      <c r="F260">
        <v>1</v>
      </c>
      <c r="G260">
        <v>0</v>
      </c>
      <c r="H260">
        <v>144.01697384726407</v>
      </c>
      <c r="I260">
        <v>0.72370338616715613</v>
      </c>
      <c r="J260" t="s">
        <v>176</v>
      </c>
      <c r="K260">
        <v>5.0405940846542432</v>
      </c>
      <c r="L260">
        <v>149.78127131808549</v>
      </c>
      <c r="M260">
        <v>0</v>
      </c>
      <c r="N260">
        <v>14.160841599156971</v>
      </c>
      <c r="O260">
        <v>163.94211291724244</v>
      </c>
      <c r="P260" t="s">
        <v>177</v>
      </c>
      <c r="Q260">
        <v>8.9868762790851289</v>
      </c>
      <c r="R260" t="s">
        <v>177</v>
      </c>
      <c r="S260">
        <v>0.84965049594941822</v>
      </c>
      <c r="T260" t="s">
        <v>178</v>
      </c>
      <c r="U260">
        <v>19.673053550069096</v>
      </c>
      <c r="V260" t="s">
        <v>90</v>
      </c>
      <c r="W260">
        <v>0</v>
      </c>
      <c r="X260" t="s">
        <v>90</v>
      </c>
      <c r="Y260">
        <v>0</v>
      </c>
      <c r="Z260">
        <v>193.4516932423461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425</v>
      </c>
      <c r="AI260">
        <v>216</v>
      </c>
      <c r="AJ260">
        <v>267</v>
      </c>
      <c r="AK260">
        <v>0</v>
      </c>
      <c r="AL260">
        <v>20.76</v>
      </c>
      <c r="AN260" t="s">
        <v>95</v>
      </c>
      <c r="AO260" t="s">
        <v>73</v>
      </c>
      <c r="AP260">
        <v>200000</v>
      </c>
      <c r="AQ260" t="s">
        <v>97</v>
      </c>
      <c r="AS260">
        <v>10000</v>
      </c>
      <c r="AT260" t="s">
        <v>1855</v>
      </c>
      <c r="AU260" t="s">
        <v>75</v>
      </c>
      <c r="AV260" t="s">
        <v>76</v>
      </c>
    </row>
    <row r="261" spans="1:48" x14ac:dyDescent="0.15">
      <c r="A261" s="4" t="str">
        <f>HYPERLINK("https://ibp.a2mac1.com/costing(costing:projects/details/9760/assembly/8411653)","Front Drive shaft system")</f>
        <v>Front Drive shaft system</v>
      </c>
      <c r="B261">
        <v>8411653</v>
      </c>
      <c r="D261">
        <v>8411650</v>
      </c>
      <c r="F261">
        <v>1</v>
      </c>
      <c r="G261">
        <v>0</v>
      </c>
      <c r="H261">
        <v>168.85220000000001</v>
      </c>
      <c r="I261">
        <v>0</v>
      </c>
      <c r="J261" t="s">
        <v>90</v>
      </c>
      <c r="K261">
        <v>0</v>
      </c>
      <c r="L261">
        <v>168.85220000000001</v>
      </c>
      <c r="M261">
        <v>0</v>
      </c>
      <c r="N261">
        <v>0</v>
      </c>
      <c r="O261">
        <v>168.85220000000001</v>
      </c>
      <c r="P261" t="s">
        <v>90</v>
      </c>
      <c r="Q261">
        <v>0</v>
      </c>
      <c r="R261" t="s">
        <v>90</v>
      </c>
      <c r="S261">
        <v>0</v>
      </c>
      <c r="T261" t="s">
        <v>90</v>
      </c>
      <c r="U261">
        <v>0</v>
      </c>
      <c r="V261" t="s">
        <v>90</v>
      </c>
      <c r="W261">
        <v>0</v>
      </c>
      <c r="X261" t="s">
        <v>90</v>
      </c>
      <c r="Y261">
        <v>0</v>
      </c>
      <c r="Z261">
        <v>168.85220000000001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N261" t="s">
        <v>1015</v>
      </c>
      <c r="AO261" t="s">
        <v>73</v>
      </c>
      <c r="AP261">
        <v>200000</v>
      </c>
      <c r="AQ261" t="s">
        <v>97</v>
      </c>
      <c r="AS261">
        <v>10000</v>
      </c>
      <c r="AT261" t="s">
        <v>9</v>
      </c>
      <c r="AU261" t="s">
        <v>75</v>
      </c>
      <c r="AV261" t="s">
        <v>76</v>
      </c>
    </row>
    <row r="262" spans="1:48" x14ac:dyDescent="0.15">
      <c r="A262" s="4" t="str">
        <f>HYPERLINK("https://ibp.a2mac1.com/costing(costing:projects/details/9760/assembly/8411650)","Front Drive Shaft/Differential")</f>
        <v>Front Drive Shaft/Differential</v>
      </c>
      <c r="B262">
        <v>8411650</v>
      </c>
      <c r="D262">
        <v>8411649</v>
      </c>
      <c r="F262">
        <v>1</v>
      </c>
      <c r="G262">
        <v>0</v>
      </c>
      <c r="H262">
        <v>362.30389324234608</v>
      </c>
      <c r="I262">
        <v>0</v>
      </c>
      <c r="J262" t="s">
        <v>90</v>
      </c>
      <c r="K262">
        <v>0</v>
      </c>
      <c r="L262">
        <v>362.30389324234608</v>
      </c>
      <c r="M262">
        <v>0</v>
      </c>
      <c r="N262">
        <v>0</v>
      </c>
      <c r="O262">
        <v>362.30389324234608</v>
      </c>
      <c r="P262" t="s">
        <v>90</v>
      </c>
      <c r="Q262">
        <v>0</v>
      </c>
      <c r="R262" t="s">
        <v>90</v>
      </c>
      <c r="S262">
        <v>0</v>
      </c>
      <c r="T262" t="s">
        <v>90</v>
      </c>
      <c r="U262">
        <v>0</v>
      </c>
      <c r="V262" t="s">
        <v>90</v>
      </c>
      <c r="W262">
        <v>0</v>
      </c>
      <c r="X262" t="s">
        <v>90</v>
      </c>
      <c r="Y262">
        <v>0</v>
      </c>
      <c r="Z262">
        <v>362.30389324234608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37.868000000000002</v>
      </c>
      <c r="AN262" t="s">
        <v>72</v>
      </c>
      <c r="AO262" t="s">
        <v>73</v>
      </c>
      <c r="AP262">
        <v>200000</v>
      </c>
      <c r="AQ262" t="s">
        <v>73</v>
      </c>
      <c r="AS262">
        <v>10000</v>
      </c>
      <c r="AT262" t="s">
        <v>1867</v>
      </c>
      <c r="AU262" t="s">
        <v>75</v>
      </c>
      <c r="AV262" t="s">
        <v>76</v>
      </c>
    </row>
    <row r="263" spans="1:48" x14ac:dyDescent="0.15">
      <c r="A263" s="4" t="str">
        <f>HYPERLINK("https://ibp.a2mac1.com/costing(costing:projects/details/9760/assembly/8411725)","Bearing Races")</f>
        <v>Bearing Races</v>
      </c>
      <c r="B263">
        <v>8411725</v>
      </c>
      <c r="D263">
        <v>8411670</v>
      </c>
      <c r="F263">
        <v>1</v>
      </c>
      <c r="G263">
        <v>0</v>
      </c>
      <c r="H263">
        <v>0.2</v>
      </c>
      <c r="I263">
        <v>0</v>
      </c>
      <c r="J263" t="s">
        <v>90</v>
      </c>
      <c r="K263">
        <v>0</v>
      </c>
      <c r="L263">
        <v>0.2</v>
      </c>
      <c r="M263">
        <v>0</v>
      </c>
      <c r="N263">
        <v>0</v>
      </c>
      <c r="O263">
        <v>0.2</v>
      </c>
      <c r="P263" t="s">
        <v>90</v>
      </c>
      <c r="Q263">
        <v>0</v>
      </c>
      <c r="R263" t="s">
        <v>90</v>
      </c>
      <c r="S263">
        <v>0</v>
      </c>
      <c r="T263" t="s">
        <v>90</v>
      </c>
      <c r="U263">
        <v>0</v>
      </c>
      <c r="V263" t="s">
        <v>90</v>
      </c>
      <c r="W263">
        <v>0</v>
      </c>
      <c r="X263" t="s">
        <v>90</v>
      </c>
      <c r="Y263">
        <v>0</v>
      </c>
      <c r="Z263">
        <v>0.2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L263">
        <v>0.31</v>
      </c>
      <c r="AN263" t="s">
        <v>1015</v>
      </c>
      <c r="AO263" t="s">
        <v>73</v>
      </c>
      <c r="AP263">
        <v>200000</v>
      </c>
      <c r="AQ263" t="s">
        <v>97</v>
      </c>
      <c r="AS263">
        <v>10000</v>
      </c>
      <c r="AT263" t="s">
        <v>1874</v>
      </c>
      <c r="AU263" t="s">
        <v>75</v>
      </c>
      <c r="AV263" t="s">
        <v>76</v>
      </c>
    </row>
    <row r="264" spans="1:48" x14ac:dyDescent="0.15">
      <c r="A264" s="4" t="str">
        <f>HYPERLINK("https://ibp.a2mac1.com/costing(costing:projects/details/9760/assembly/8411670)","Output Stage")</f>
        <v>Output Stage</v>
      </c>
      <c r="B264">
        <v>8411670</v>
      </c>
      <c r="D264">
        <v>8411654</v>
      </c>
      <c r="F264">
        <v>1</v>
      </c>
      <c r="G264">
        <v>0</v>
      </c>
      <c r="H264">
        <v>48.716312043425766</v>
      </c>
      <c r="I264">
        <v>0.24480558815791842</v>
      </c>
      <c r="J264" t="s">
        <v>176</v>
      </c>
      <c r="K264">
        <v>1.7050709215199018</v>
      </c>
      <c r="L264">
        <v>50.666188553103588</v>
      </c>
      <c r="M264">
        <v>0</v>
      </c>
      <c r="N264">
        <v>8.4900133566119358</v>
      </c>
      <c r="O264">
        <v>59.15620190971552</v>
      </c>
      <c r="P264" t="s">
        <v>90</v>
      </c>
      <c r="Q264">
        <v>0</v>
      </c>
      <c r="R264" t="s">
        <v>90</v>
      </c>
      <c r="S264">
        <v>0</v>
      </c>
      <c r="T264" t="s">
        <v>90</v>
      </c>
      <c r="U264">
        <v>0</v>
      </c>
      <c r="V264" t="s">
        <v>90</v>
      </c>
      <c r="W264">
        <v>0</v>
      </c>
      <c r="X264" t="s">
        <v>90</v>
      </c>
      <c r="Y264">
        <v>0</v>
      </c>
      <c r="Z264">
        <v>59.15620190971552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220</v>
      </c>
      <c r="AI264">
        <v>170</v>
      </c>
      <c r="AJ264">
        <v>220</v>
      </c>
      <c r="AK264">
        <v>0</v>
      </c>
      <c r="AL264">
        <v>11.895</v>
      </c>
      <c r="AN264" t="s">
        <v>1889</v>
      </c>
      <c r="AO264" t="s">
        <v>73</v>
      </c>
      <c r="AP264">
        <v>200000</v>
      </c>
      <c r="AQ264" t="s">
        <v>73</v>
      </c>
      <c r="AS264">
        <v>10000</v>
      </c>
      <c r="AT264" t="s">
        <v>1890</v>
      </c>
      <c r="AU264" t="s">
        <v>75</v>
      </c>
      <c r="AV264" t="s">
        <v>76</v>
      </c>
    </row>
    <row r="265" spans="1:48" x14ac:dyDescent="0.15">
      <c r="A265" s="4" t="str">
        <f>HYPERLINK("https://ibp.a2mac1.com/costing(costing:projects/details/9760/assembly/8411727)","Rolling Bearing")</f>
        <v>Rolling Bearing</v>
      </c>
      <c r="B265">
        <v>8411727</v>
      </c>
      <c r="D265">
        <v>8411671</v>
      </c>
      <c r="F265">
        <v>1</v>
      </c>
      <c r="G265">
        <v>0</v>
      </c>
      <c r="H265">
        <v>8.9345999999999997</v>
      </c>
      <c r="I265">
        <v>0</v>
      </c>
      <c r="J265" t="s">
        <v>90</v>
      </c>
      <c r="K265">
        <v>0</v>
      </c>
      <c r="L265">
        <v>8.9345999999999997</v>
      </c>
      <c r="M265">
        <v>0</v>
      </c>
      <c r="N265">
        <v>0</v>
      </c>
      <c r="O265">
        <v>8.9345999999999997</v>
      </c>
      <c r="P265" t="s">
        <v>90</v>
      </c>
      <c r="Q265">
        <v>0</v>
      </c>
      <c r="R265" t="s">
        <v>90</v>
      </c>
      <c r="S265">
        <v>0</v>
      </c>
      <c r="T265" t="s">
        <v>90</v>
      </c>
      <c r="U265">
        <v>0</v>
      </c>
      <c r="V265" t="s">
        <v>90</v>
      </c>
      <c r="W265">
        <v>0</v>
      </c>
      <c r="X265" t="s">
        <v>90</v>
      </c>
      <c r="Y265">
        <v>0</v>
      </c>
      <c r="Z265">
        <v>8.9345999999999997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1.23</v>
      </c>
      <c r="AN265" t="s">
        <v>72</v>
      </c>
      <c r="AO265" t="s">
        <v>73</v>
      </c>
      <c r="AP265">
        <v>200000</v>
      </c>
      <c r="AQ265" t="s">
        <v>73</v>
      </c>
      <c r="AS265">
        <v>10000</v>
      </c>
      <c r="AT265" t="s">
        <v>1896</v>
      </c>
      <c r="AU265" t="s">
        <v>75</v>
      </c>
      <c r="AV265" t="s">
        <v>76</v>
      </c>
    </row>
    <row r="266" spans="1:48" x14ac:dyDescent="0.15">
      <c r="A266" s="4" t="str">
        <f>HYPERLINK("https://ibp.a2mac1.com/costing(costing:projects/details/9760/assembly/8411671)","Input Stage")</f>
        <v>Input Stage</v>
      </c>
      <c r="B266">
        <v>8411671</v>
      </c>
      <c r="D266">
        <v>8411654</v>
      </c>
      <c r="F266">
        <v>1</v>
      </c>
      <c r="G266">
        <v>0</v>
      </c>
      <c r="H266">
        <v>14.0976</v>
      </c>
      <c r="I266">
        <v>0</v>
      </c>
      <c r="J266" t="s">
        <v>90</v>
      </c>
      <c r="K266">
        <v>0</v>
      </c>
      <c r="L266">
        <v>14.0976</v>
      </c>
      <c r="M266">
        <v>0</v>
      </c>
      <c r="N266">
        <v>0</v>
      </c>
      <c r="O266">
        <v>14.0976</v>
      </c>
      <c r="P266" t="s">
        <v>90</v>
      </c>
      <c r="Q266">
        <v>0</v>
      </c>
      <c r="R266" t="s">
        <v>90</v>
      </c>
      <c r="S266">
        <v>0</v>
      </c>
      <c r="T266" t="s">
        <v>90</v>
      </c>
      <c r="U266">
        <v>0</v>
      </c>
      <c r="V266" t="s">
        <v>90</v>
      </c>
      <c r="W266">
        <v>0</v>
      </c>
      <c r="X266" t="s">
        <v>90</v>
      </c>
      <c r="Y266">
        <v>0</v>
      </c>
      <c r="Z266">
        <v>14.0976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2.6190000000000002</v>
      </c>
      <c r="AN266" t="s">
        <v>72</v>
      </c>
      <c r="AO266" t="s">
        <v>73</v>
      </c>
      <c r="AP266">
        <v>200000</v>
      </c>
      <c r="AQ266" t="s">
        <v>73</v>
      </c>
      <c r="AS266">
        <v>10000</v>
      </c>
      <c r="AT266" t="s">
        <v>1898</v>
      </c>
      <c r="AU266" t="s">
        <v>75</v>
      </c>
      <c r="AV266" t="s">
        <v>76</v>
      </c>
    </row>
    <row r="267" spans="1:48" x14ac:dyDescent="0.15">
      <c r="A267" s="4" t="str">
        <f>HYPERLINK("https://ibp.a2mac1.com/costing(costing:projects/details/9760/assembly/8411672)","Intermediate Stage")</f>
        <v>Intermediate Stage</v>
      </c>
      <c r="B267">
        <v>8411672</v>
      </c>
      <c r="D267">
        <v>8411654</v>
      </c>
      <c r="F267">
        <v>1</v>
      </c>
      <c r="G267">
        <v>0</v>
      </c>
      <c r="H267">
        <v>26.949356171781236</v>
      </c>
      <c r="I267">
        <v>0</v>
      </c>
      <c r="J267" t="s">
        <v>90</v>
      </c>
      <c r="K267">
        <v>0</v>
      </c>
      <c r="L267">
        <v>26.949356171781236</v>
      </c>
      <c r="M267">
        <v>0</v>
      </c>
      <c r="N267">
        <v>0</v>
      </c>
      <c r="O267">
        <v>26.949356171781236</v>
      </c>
      <c r="P267" t="s">
        <v>90</v>
      </c>
      <c r="Q267">
        <v>0</v>
      </c>
      <c r="R267" t="s">
        <v>90</v>
      </c>
      <c r="S267">
        <v>0</v>
      </c>
      <c r="T267" t="s">
        <v>90</v>
      </c>
      <c r="U267">
        <v>0</v>
      </c>
      <c r="V267" t="s">
        <v>90</v>
      </c>
      <c r="W267">
        <v>0</v>
      </c>
      <c r="X267" t="s">
        <v>90</v>
      </c>
      <c r="Y267">
        <v>0</v>
      </c>
      <c r="Z267">
        <v>26.949356171781236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5.5949999999999998</v>
      </c>
      <c r="AN267" t="s">
        <v>72</v>
      </c>
      <c r="AO267" t="s">
        <v>73</v>
      </c>
      <c r="AP267">
        <v>200000</v>
      </c>
      <c r="AQ267" t="s">
        <v>73</v>
      </c>
      <c r="AS267">
        <v>10000</v>
      </c>
      <c r="AT267" t="s">
        <v>1911</v>
      </c>
      <c r="AU267" t="s">
        <v>75</v>
      </c>
      <c r="AV267" t="s">
        <v>76</v>
      </c>
    </row>
    <row r="268" spans="1:48" x14ac:dyDescent="0.15">
      <c r="A268" s="4" t="str">
        <f>HYPERLINK("https://ibp.a2mac1.com/costing(costing:projects/details/9760/assembly/8411673)","Lubrication/ Degassing")</f>
        <v>Lubrication/ Degassing</v>
      </c>
      <c r="B268">
        <v>8411673</v>
      </c>
      <c r="D268">
        <v>8411654</v>
      </c>
      <c r="F268">
        <v>1</v>
      </c>
      <c r="G268">
        <v>0</v>
      </c>
      <c r="H268">
        <v>33.268320000000003</v>
      </c>
      <c r="I268">
        <v>0</v>
      </c>
      <c r="J268" t="s">
        <v>90</v>
      </c>
      <c r="K268">
        <v>0</v>
      </c>
      <c r="L268">
        <v>33.268320000000003</v>
      </c>
      <c r="M268">
        <v>0</v>
      </c>
      <c r="N268">
        <v>0</v>
      </c>
      <c r="O268">
        <v>33.268320000000003</v>
      </c>
      <c r="P268" t="s">
        <v>90</v>
      </c>
      <c r="Q268">
        <v>0</v>
      </c>
      <c r="R268" t="s">
        <v>90</v>
      </c>
      <c r="S268">
        <v>0</v>
      </c>
      <c r="T268" t="s">
        <v>90</v>
      </c>
      <c r="U268">
        <v>0</v>
      </c>
      <c r="V268" t="s">
        <v>90</v>
      </c>
      <c r="W268">
        <v>0</v>
      </c>
      <c r="X268" t="s">
        <v>90</v>
      </c>
      <c r="Y268">
        <v>0</v>
      </c>
      <c r="Z268">
        <v>33.268320000000003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0.80300000000000005</v>
      </c>
      <c r="AN268" t="s">
        <v>72</v>
      </c>
      <c r="AO268" t="s">
        <v>73</v>
      </c>
      <c r="AP268">
        <v>200000</v>
      </c>
      <c r="AQ268" t="s">
        <v>73</v>
      </c>
      <c r="AS268">
        <v>10000</v>
      </c>
      <c r="AT268" t="s">
        <v>1923</v>
      </c>
      <c r="AU268" t="s">
        <v>75</v>
      </c>
      <c r="AV268" t="s">
        <v>76</v>
      </c>
    </row>
    <row r="269" spans="1:48" x14ac:dyDescent="0.15">
      <c r="A269" s="4" t="str">
        <f>HYPERLINK("https://ibp.a2mac1.com/costing(costing:projects/details/9760/assembly/8411747)","Base Seal")</f>
        <v>Base Seal</v>
      </c>
      <c r="B269">
        <v>8411747</v>
      </c>
      <c r="D269">
        <v>8411674</v>
      </c>
      <c r="F269">
        <v>1</v>
      </c>
      <c r="G269">
        <v>0</v>
      </c>
      <c r="H269">
        <v>5.14</v>
      </c>
      <c r="I269">
        <v>0</v>
      </c>
      <c r="J269" t="s">
        <v>90</v>
      </c>
      <c r="K269">
        <v>0</v>
      </c>
      <c r="L269">
        <v>5.14</v>
      </c>
      <c r="M269">
        <v>0</v>
      </c>
      <c r="N269">
        <v>0</v>
      </c>
      <c r="O269">
        <v>5.14</v>
      </c>
      <c r="P269" t="s">
        <v>90</v>
      </c>
      <c r="Q269">
        <v>0</v>
      </c>
      <c r="R269" t="s">
        <v>90</v>
      </c>
      <c r="S269">
        <v>0</v>
      </c>
      <c r="T269" t="s">
        <v>90</v>
      </c>
      <c r="U269">
        <v>0</v>
      </c>
      <c r="V269" t="s">
        <v>90</v>
      </c>
      <c r="W269">
        <v>0</v>
      </c>
      <c r="X269" t="s">
        <v>90</v>
      </c>
      <c r="Y269">
        <v>0</v>
      </c>
      <c r="Z269">
        <v>5.14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3.5999999999999997E-2</v>
      </c>
      <c r="AN269" t="s">
        <v>72</v>
      </c>
      <c r="AO269" t="s">
        <v>73</v>
      </c>
      <c r="AP269">
        <v>200000</v>
      </c>
      <c r="AQ269" t="s">
        <v>73</v>
      </c>
      <c r="AS269">
        <v>10000</v>
      </c>
      <c r="AT269" t="s">
        <v>1928</v>
      </c>
      <c r="AU269" t="s">
        <v>75</v>
      </c>
      <c r="AV269" t="s">
        <v>76</v>
      </c>
    </row>
    <row r="270" spans="1:48" x14ac:dyDescent="0.15">
      <c r="A270" s="4" t="str">
        <f>HYPERLINK("https://ibp.a2mac1.com/costing(costing:projects/details/9760/assembly/8411674)","Housing System")</f>
        <v>Housing System</v>
      </c>
      <c r="B270">
        <v>8411674</v>
      </c>
      <c r="D270">
        <v>8411654</v>
      </c>
      <c r="F270">
        <v>1</v>
      </c>
      <c r="G270">
        <v>0</v>
      </c>
      <c r="H270">
        <v>29.866858752029486</v>
      </c>
      <c r="I270">
        <v>0</v>
      </c>
      <c r="J270" t="s">
        <v>90</v>
      </c>
      <c r="K270">
        <v>0</v>
      </c>
      <c r="L270">
        <v>29.866858752029486</v>
      </c>
      <c r="M270">
        <v>0</v>
      </c>
      <c r="N270">
        <v>0</v>
      </c>
      <c r="O270">
        <v>29.866858752029486</v>
      </c>
      <c r="P270" t="s">
        <v>90</v>
      </c>
      <c r="Q270">
        <v>0</v>
      </c>
      <c r="R270" t="s">
        <v>90</v>
      </c>
      <c r="S270">
        <v>0</v>
      </c>
      <c r="T270" t="s">
        <v>90</v>
      </c>
      <c r="U270">
        <v>0</v>
      </c>
      <c r="V270" t="s">
        <v>90</v>
      </c>
      <c r="W270">
        <v>0</v>
      </c>
      <c r="X270" t="s">
        <v>90</v>
      </c>
      <c r="Y270">
        <v>0</v>
      </c>
      <c r="Z270">
        <v>29.866858752029486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N270" t="s">
        <v>1015</v>
      </c>
      <c r="AO270" t="s">
        <v>73</v>
      </c>
      <c r="AP270">
        <v>200000</v>
      </c>
      <c r="AQ270" t="s">
        <v>73</v>
      </c>
      <c r="AS270">
        <v>10000</v>
      </c>
      <c r="AT270" t="s">
        <v>9</v>
      </c>
      <c r="AU270" t="s">
        <v>75</v>
      </c>
      <c r="AV270" t="s">
        <v>76</v>
      </c>
    </row>
    <row r="271" spans="1:48" x14ac:dyDescent="0.15">
      <c r="A271" s="4" t="str">
        <f>HYPERLINK("https://ibp.a2mac1.com/costing(costing:projects/details/9760/assembly/8411654)","Rear Transmission")</f>
        <v>Rear Transmission</v>
      </c>
      <c r="B271">
        <v>8411654</v>
      </c>
      <c r="D271">
        <v>8411651</v>
      </c>
      <c r="F271">
        <v>1</v>
      </c>
      <c r="G271">
        <v>0</v>
      </c>
      <c r="H271">
        <v>163.33833683352626</v>
      </c>
      <c r="I271">
        <v>0.82079566248003133</v>
      </c>
      <c r="J271" t="s">
        <v>176</v>
      </c>
      <c r="K271">
        <v>5.7168417891734187</v>
      </c>
      <c r="L271">
        <v>169.87597428517969</v>
      </c>
      <c r="M271">
        <v>0</v>
      </c>
      <c r="N271">
        <v>14.160841599156971</v>
      </c>
      <c r="O271">
        <v>184.03681588433668</v>
      </c>
      <c r="P271" t="s">
        <v>177</v>
      </c>
      <c r="Q271">
        <v>10.192558457110781</v>
      </c>
      <c r="R271" t="s">
        <v>177</v>
      </c>
      <c r="S271">
        <v>0.84965049594941822</v>
      </c>
      <c r="T271" t="s">
        <v>178</v>
      </c>
      <c r="U271">
        <v>22.0844179061204</v>
      </c>
      <c r="V271" t="s">
        <v>90</v>
      </c>
      <c r="W271">
        <v>0</v>
      </c>
      <c r="X271" t="s">
        <v>90</v>
      </c>
      <c r="Y271">
        <v>0</v>
      </c>
      <c r="Z271">
        <v>217.16344274351727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480</v>
      </c>
      <c r="AI271">
        <v>255</v>
      </c>
      <c r="AJ271">
        <v>313</v>
      </c>
      <c r="AK271">
        <v>0</v>
      </c>
      <c r="AL271">
        <v>25.783999999999999</v>
      </c>
      <c r="AN271" t="s">
        <v>95</v>
      </c>
      <c r="AO271" t="s">
        <v>73</v>
      </c>
      <c r="AP271">
        <v>200000</v>
      </c>
      <c r="AQ271" t="s">
        <v>97</v>
      </c>
      <c r="AS271">
        <v>10000</v>
      </c>
      <c r="AT271" t="s">
        <v>1936</v>
      </c>
      <c r="AU271" t="s">
        <v>75</v>
      </c>
      <c r="AV271" t="s">
        <v>76</v>
      </c>
    </row>
    <row r="272" spans="1:48" x14ac:dyDescent="0.15">
      <c r="A272" s="4" t="str">
        <f>HYPERLINK("https://ibp.a2mac1.com/costing(costing:projects/details/9760/assembly/8411655)","Rear Drive Shaft Syatem")</f>
        <v>Rear Drive Shaft Syatem</v>
      </c>
      <c r="B272">
        <v>8411655</v>
      </c>
      <c r="D272">
        <v>8411651</v>
      </c>
      <c r="F272">
        <v>1</v>
      </c>
      <c r="G272">
        <v>0</v>
      </c>
      <c r="H272">
        <v>199.22039000000001</v>
      </c>
      <c r="I272">
        <v>0</v>
      </c>
      <c r="J272" t="s">
        <v>90</v>
      </c>
      <c r="K272">
        <v>0</v>
      </c>
      <c r="L272">
        <v>199.22039000000001</v>
      </c>
      <c r="M272">
        <v>0</v>
      </c>
      <c r="N272">
        <v>0</v>
      </c>
      <c r="O272">
        <v>199.22039000000001</v>
      </c>
      <c r="P272" t="s">
        <v>90</v>
      </c>
      <c r="Q272">
        <v>0</v>
      </c>
      <c r="R272" t="s">
        <v>90</v>
      </c>
      <c r="S272">
        <v>0</v>
      </c>
      <c r="T272" t="s">
        <v>90</v>
      </c>
      <c r="U272">
        <v>0</v>
      </c>
      <c r="V272" t="s">
        <v>90</v>
      </c>
      <c r="W272">
        <v>0</v>
      </c>
      <c r="X272" t="s">
        <v>90</v>
      </c>
      <c r="Y272">
        <v>0</v>
      </c>
      <c r="Z272">
        <v>199.22039000000001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N272" t="s">
        <v>1015</v>
      </c>
      <c r="AO272" t="s">
        <v>73</v>
      </c>
      <c r="AP272">
        <v>200000</v>
      </c>
      <c r="AQ272" t="s">
        <v>97</v>
      </c>
      <c r="AS272">
        <v>10000</v>
      </c>
      <c r="AT272" t="s">
        <v>9</v>
      </c>
      <c r="AU272" t="s">
        <v>75</v>
      </c>
      <c r="AV272" t="s">
        <v>76</v>
      </c>
    </row>
    <row r="273" spans="1:48" x14ac:dyDescent="0.15">
      <c r="A273" s="4" t="str">
        <f>HYPERLINK("https://ibp.a2mac1.com/costing(costing:projects/details/9760/assembly/8411651)","Rear Drive Shaft/Differential")</f>
        <v>Rear Drive Shaft/Differential</v>
      </c>
      <c r="B273">
        <v>8411651</v>
      </c>
      <c r="D273">
        <v>8411649</v>
      </c>
      <c r="F273">
        <v>1</v>
      </c>
      <c r="G273">
        <v>0</v>
      </c>
      <c r="H273">
        <v>416.38383274351725</v>
      </c>
      <c r="I273">
        <v>0</v>
      </c>
      <c r="J273" t="s">
        <v>90</v>
      </c>
      <c r="K273">
        <v>0</v>
      </c>
      <c r="L273">
        <v>416.38383274351725</v>
      </c>
      <c r="M273">
        <v>0</v>
      </c>
      <c r="N273">
        <v>0</v>
      </c>
      <c r="O273">
        <v>416.38383274351725</v>
      </c>
      <c r="P273" t="s">
        <v>90</v>
      </c>
      <c r="Q273">
        <v>0</v>
      </c>
      <c r="R273" t="s">
        <v>90</v>
      </c>
      <c r="S273">
        <v>0</v>
      </c>
      <c r="T273" t="s">
        <v>90</v>
      </c>
      <c r="U273">
        <v>0</v>
      </c>
      <c r="V273" t="s">
        <v>90</v>
      </c>
      <c r="W273">
        <v>0</v>
      </c>
      <c r="X273" t="s">
        <v>90</v>
      </c>
      <c r="Y273">
        <v>0</v>
      </c>
      <c r="Z273">
        <v>416.38383274351725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43.883000000000003</v>
      </c>
      <c r="AN273" t="s">
        <v>72</v>
      </c>
      <c r="AO273" t="s">
        <v>73</v>
      </c>
      <c r="AP273">
        <v>200000</v>
      </c>
      <c r="AQ273" t="s">
        <v>73</v>
      </c>
      <c r="AS273">
        <v>10000</v>
      </c>
      <c r="AT273" t="s">
        <v>1944</v>
      </c>
      <c r="AU273" t="s">
        <v>75</v>
      </c>
      <c r="AV273" t="s">
        <v>76</v>
      </c>
    </row>
    <row r="274" spans="1:48" x14ac:dyDescent="0.15">
      <c r="A274" s="4" t="str">
        <f>HYPERLINK("https://ibp.a2mac1.com/costing(costing:projects/details/9760/assembly/8411649)","Transmission System")</f>
        <v>Transmission System</v>
      </c>
      <c r="B274">
        <v>8411649</v>
      </c>
      <c r="C274">
        <v>9760</v>
      </c>
      <c r="F274">
        <v>1</v>
      </c>
      <c r="G274">
        <v>0</v>
      </c>
      <c r="H274">
        <v>778.68772598586338</v>
      </c>
      <c r="I274">
        <v>0</v>
      </c>
      <c r="J274" t="s">
        <v>90</v>
      </c>
      <c r="K274">
        <v>0</v>
      </c>
      <c r="L274">
        <v>778.68772598586338</v>
      </c>
      <c r="M274">
        <v>0</v>
      </c>
      <c r="N274">
        <v>0</v>
      </c>
      <c r="O274">
        <v>778.68772598586338</v>
      </c>
      <c r="P274" t="s">
        <v>90</v>
      </c>
      <c r="Q274">
        <v>0</v>
      </c>
      <c r="R274" t="s">
        <v>90</v>
      </c>
      <c r="S274">
        <v>0</v>
      </c>
      <c r="T274" t="s">
        <v>90</v>
      </c>
      <c r="U274">
        <v>0</v>
      </c>
      <c r="V274" t="s">
        <v>90</v>
      </c>
      <c r="W274">
        <v>0</v>
      </c>
      <c r="X274" t="s">
        <v>90</v>
      </c>
      <c r="Y274">
        <v>0</v>
      </c>
      <c r="Z274">
        <v>778.68772598586338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81.751000000000005</v>
      </c>
      <c r="AN274" t="s">
        <v>72</v>
      </c>
      <c r="AO274" t="s">
        <v>73</v>
      </c>
      <c r="AP274">
        <v>200000</v>
      </c>
      <c r="AQ274" t="s">
        <v>73</v>
      </c>
      <c r="AS274">
        <v>10000</v>
      </c>
      <c r="AT274" t="s">
        <v>1945</v>
      </c>
      <c r="AU274" t="s">
        <v>75</v>
      </c>
      <c r="AV274" t="s">
        <v>76</v>
      </c>
    </row>
    <row r="275" spans="1:48" x14ac:dyDescent="0.15">
      <c r="A275" s="4" t="str">
        <f>HYPERLINK("https://ibp.a2mac1.com/costing(costing:projects/details/9760/assembly/8412553)","Head Rest")</f>
        <v>Head Rest</v>
      </c>
      <c r="B275">
        <v>8412553</v>
      </c>
      <c r="D275">
        <v>8412549</v>
      </c>
      <c r="F275">
        <v>1</v>
      </c>
      <c r="G275">
        <v>0</v>
      </c>
      <c r="H275">
        <v>7.6430348102514527</v>
      </c>
      <c r="I275">
        <v>0</v>
      </c>
      <c r="J275" t="s">
        <v>90</v>
      </c>
      <c r="K275">
        <v>0</v>
      </c>
      <c r="L275">
        <v>7.6430348102514527</v>
      </c>
      <c r="M275">
        <v>0</v>
      </c>
      <c r="N275">
        <v>0</v>
      </c>
      <c r="O275">
        <v>7.6430348102514527</v>
      </c>
      <c r="P275" t="s">
        <v>90</v>
      </c>
      <c r="Q275">
        <v>0</v>
      </c>
      <c r="R275" t="s">
        <v>90</v>
      </c>
      <c r="S275">
        <v>0</v>
      </c>
      <c r="T275" t="s">
        <v>90</v>
      </c>
      <c r="U275">
        <v>0</v>
      </c>
      <c r="V275" t="s">
        <v>90</v>
      </c>
      <c r="W275">
        <v>0</v>
      </c>
      <c r="X275" t="s">
        <v>90</v>
      </c>
      <c r="Y275">
        <v>0</v>
      </c>
      <c r="Z275">
        <v>7.6430348102514527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110</v>
      </c>
      <c r="AI275">
        <v>200</v>
      </c>
      <c r="AJ275">
        <v>235</v>
      </c>
      <c r="AL275">
        <v>1.2142999999999999</v>
      </c>
      <c r="AN275" t="s">
        <v>185</v>
      </c>
      <c r="AO275" t="s">
        <v>73</v>
      </c>
      <c r="AP275">
        <v>200000</v>
      </c>
      <c r="AQ275" t="s">
        <v>73</v>
      </c>
      <c r="AS275">
        <v>10000</v>
      </c>
      <c r="AT275" t="s">
        <v>1976</v>
      </c>
      <c r="AU275" t="s">
        <v>75</v>
      </c>
      <c r="AV275" t="s">
        <v>76</v>
      </c>
    </row>
    <row r="276" spans="1:48" x14ac:dyDescent="0.15">
      <c r="A276" s="4" t="str">
        <f>HYPERLINK("https://ibp.a2mac1.com/costing(costing:projects/details/9760/assembly/8412604)","Head Rest Support Bracket")</f>
        <v>Head Rest Support Bracket</v>
      </c>
      <c r="B276">
        <v>8412604</v>
      </c>
      <c r="D276">
        <v>8412554</v>
      </c>
      <c r="F276">
        <v>1</v>
      </c>
      <c r="G276">
        <v>0</v>
      </c>
      <c r="H276">
        <v>0.26454015938863445</v>
      </c>
      <c r="I276">
        <v>1.3293475346162534E-3</v>
      </c>
      <c r="J276" t="s">
        <v>176</v>
      </c>
      <c r="K276">
        <v>9.2589055786022056E-3</v>
      </c>
      <c r="L276">
        <v>0.27512841250185288</v>
      </c>
      <c r="M276">
        <v>0</v>
      </c>
      <c r="N276">
        <v>0</v>
      </c>
      <c r="O276">
        <v>0.27512841250185288</v>
      </c>
      <c r="P276" t="s">
        <v>90</v>
      </c>
      <c r="Q276">
        <v>0</v>
      </c>
      <c r="R276" t="s">
        <v>90</v>
      </c>
      <c r="S276">
        <v>0</v>
      </c>
      <c r="T276" t="s">
        <v>90</v>
      </c>
      <c r="U276">
        <v>0</v>
      </c>
      <c r="V276" t="s">
        <v>90</v>
      </c>
      <c r="W276">
        <v>0</v>
      </c>
      <c r="X276" t="s">
        <v>90</v>
      </c>
      <c r="Y276">
        <v>0</v>
      </c>
      <c r="Z276">
        <v>0.27512841250185288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L276">
        <v>7.3999999999999996E-2</v>
      </c>
      <c r="AN276" t="s">
        <v>740</v>
      </c>
      <c r="AO276" t="s">
        <v>73</v>
      </c>
      <c r="AP276">
        <v>200000</v>
      </c>
      <c r="AQ276" t="s">
        <v>73</v>
      </c>
      <c r="AS276">
        <v>10000</v>
      </c>
      <c r="AT276" t="s">
        <v>1983</v>
      </c>
      <c r="AU276" t="s">
        <v>75</v>
      </c>
      <c r="AV276" t="s">
        <v>76</v>
      </c>
    </row>
    <row r="277" spans="1:48" x14ac:dyDescent="0.15">
      <c r="A277" s="4" t="str">
        <f>HYPERLINK("https://ibp.a2mac1.com/costing(costing:projects/details/9760/assembly/8412605)","Rear Shell System")</f>
        <v>Rear Shell System</v>
      </c>
      <c r="B277">
        <v>8412605</v>
      </c>
      <c r="D277">
        <v>8412554</v>
      </c>
      <c r="F277">
        <v>1</v>
      </c>
      <c r="G277">
        <v>0</v>
      </c>
      <c r="H277">
        <v>21.358899170553592</v>
      </c>
      <c r="I277">
        <v>0</v>
      </c>
      <c r="J277" t="s">
        <v>90</v>
      </c>
      <c r="K277">
        <v>0</v>
      </c>
      <c r="L277">
        <v>21.358899170553592</v>
      </c>
      <c r="M277">
        <v>0</v>
      </c>
      <c r="N277">
        <v>0</v>
      </c>
      <c r="O277">
        <v>21.358899170553592</v>
      </c>
      <c r="P277" t="s">
        <v>90</v>
      </c>
      <c r="Q277">
        <v>0</v>
      </c>
      <c r="R277" t="s">
        <v>90</v>
      </c>
      <c r="S277">
        <v>0</v>
      </c>
      <c r="T277" t="s">
        <v>90</v>
      </c>
      <c r="U277">
        <v>0</v>
      </c>
      <c r="V277" t="s">
        <v>90</v>
      </c>
      <c r="W277">
        <v>0</v>
      </c>
      <c r="X277" t="s">
        <v>90</v>
      </c>
      <c r="Y277">
        <v>0</v>
      </c>
      <c r="Z277">
        <v>21.358899170553592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L277">
        <v>1.9590000000000001</v>
      </c>
      <c r="AN277" t="s">
        <v>185</v>
      </c>
      <c r="AO277" t="s">
        <v>73</v>
      </c>
      <c r="AP277">
        <v>200000</v>
      </c>
      <c r="AQ277" t="s">
        <v>73</v>
      </c>
      <c r="AS277">
        <v>10000</v>
      </c>
      <c r="AT277" t="s">
        <v>2009</v>
      </c>
      <c r="AU277" t="s">
        <v>75</v>
      </c>
      <c r="AV277" t="s">
        <v>76</v>
      </c>
    </row>
    <row r="278" spans="1:48" x14ac:dyDescent="0.15">
      <c r="A278" s="4" t="str">
        <f>HYPERLINK("https://ibp.a2mac1.com/costing(costing:projects/details/9760/assembly/8412554)","Back")</f>
        <v>Back</v>
      </c>
      <c r="B278">
        <v>8412554</v>
      </c>
      <c r="D278">
        <v>8412549</v>
      </c>
      <c r="F278">
        <v>1</v>
      </c>
      <c r="G278">
        <v>0</v>
      </c>
      <c r="H278">
        <v>65.959011161183881</v>
      </c>
      <c r="I278">
        <v>0</v>
      </c>
      <c r="J278" t="s">
        <v>90</v>
      </c>
      <c r="K278">
        <v>0</v>
      </c>
      <c r="L278">
        <v>65.959011161183881</v>
      </c>
      <c r="M278">
        <v>0</v>
      </c>
      <c r="N278">
        <v>0</v>
      </c>
      <c r="O278">
        <v>65.959011161183881</v>
      </c>
      <c r="P278" t="s">
        <v>90</v>
      </c>
      <c r="Q278">
        <v>0</v>
      </c>
      <c r="R278" t="s">
        <v>90</v>
      </c>
      <c r="S278">
        <v>0</v>
      </c>
      <c r="T278" t="s">
        <v>90</v>
      </c>
      <c r="U278">
        <v>0</v>
      </c>
      <c r="V278" t="s">
        <v>90</v>
      </c>
      <c r="W278">
        <v>0</v>
      </c>
      <c r="X278" t="s">
        <v>90</v>
      </c>
      <c r="Y278">
        <v>0</v>
      </c>
      <c r="Z278">
        <v>65.959011161183881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L278">
        <v>7.6429999999999998</v>
      </c>
      <c r="AN278" t="s">
        <v>185</v>
      </c>
      <c r="AO278" t="s">
        <v>73</v>
      </c>
      <c r="AP278">
        <v>200000</v>
      </c>
      <c r="AQ278" t="s">
        <v>73</v>
      </c>
      <c r="AS278">
        <v>10000</v>
      </c>
      <c r="AT278" t="s">
        <v>2044</v>
      </c>
      <c r="AU278" t="s">
        <v>75</v>
      </c>
      <c r="AV278" t="s">
        <v>76</v>
      </c>
    </row>
    <row r="279" spans="1:48" x14ac:dyDescent="0.15">
      <c r="A279" s="4" t="str">
        <f>HYPERLINK("https://ibp.a2mac1.com/costing(costing:projects/details/9760/assembly/8412613)","Garnish")</f>
        <v>Garnish</v>
      </c>
      <c r="B279">
        <v>8412613</v>
      </c>
      <c r="D279">
        <v>8412555</v>
      </c>
      <c r="F279">
        <v>1</v>
      </c>
      <c r="G279">
        <v>0</v>
      </c>
      <c r="H279">
        <v>1.9467845532444317</v>
      </c>
      <c r="I279">
        <v>9.7828369509770433E-3</v>
      </c>
      <c r="J279" t="s">
        <v>176</v>
      </c>
      <c r="K279">
        <v>6.8137459363555114E-2</v>
      </c>
      <c r="L279">
        <v>2.0247048495589639</v>
      </c>
      <c r="M279">
        <v>0</v>
      </c>
      <c r="N279">
        <v>0</v>
      </c>
      <c r="O279">
        <v>2.0247048495589639</v>
      </c>
      <c r="P279" t="s">
        <v>90</v>
      </c>
      <c r="Q279">
        <v>0</v>
      </c>
      <c r="R279" t="s">
        <v>90</v>
      </c>
      <c r="S279">
        <v>0</v>
      </c>
      <c r="T279" t="s">
        <v>90</v>
      </c>
      <c r="U279">
        <v>0</v>
      </c>
      <c r="V279" t="s">
        <v>90</v>
      </c>
      <c r="W279">
        <v>0</v>
      </c>
      <c r="X279" t="s">
        <v>90</v>
      </c>
      <c r="Y279">
        <v>0</v>
      </c>
      <c r="Z279">
        <v>2.0247048495589639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L279">
        <v>0.73299999999999998</v>
      </c>
      <c r="AN279" t="s">
        <v>740</v>
      </c>
      <c r="AO279" t="s">
        <v>73</v>
      </c>
      <c r="AP279">
        <v>200000</v>
      </c>
      <c r="AQ279" t="s">
        <v>73</v>
      </c>
      <c r="AS279">
        <v>10000</v>
      </c>
      <c r="AT279" t="s">
        <v>2066</v>
      </c>
      <c r="AU279" t="s">
        <v>75</v>
      </c>
      <c r="AV279" t="s">
        <v>76</v>
      </c>
    </row>
    <row r="280" spans="1:48" x14ac:dyDescent="0.15">
      <c r="A280" s="4" t="str">
        <f>HYPERLINK("https://ibp.a2mac1.com/costing(costing:projects/details/9760/assembly/8412555)","Cushion")</f>
        <v>Cushion</v>
      </c>
      <c r="B280">
        <v>8412555</v>
      </c>
      <c r="D280">
        <v>8412549</v>
      </c>
      <c r="F280">
        <v>1</v>
      </c>
      <c r="G280">
        <v>0</v>
      </c>
      <c r="H280">
        <v>36.081421866613795</v>
      </c>
      <c r="I280">
        <v>0</v>
      </c>
      <c r="J280" t="s">
        <v>90</v>
      </c>
      <c r="K280">
        <v>0</v>
      </c>
      <c r="L280">
        <v>36.081421866613795</v>
      </c>
      <c r="M280">
        <v>0</v>
      </c>
      <c r="N280">
        <v>0</v>
      </c>
      <c r="O280">
        <v>36.081421866613795</v>
      </c>
      <c r="P280" t="s">
        <v>90</v>
      </c>
      <c r="Q280">
        <v>0</v>
      </c>
      <c r="R280" t="s">
        <v>90</v>
      </c>
      <c r="S280">
        <v>0</v>
      </c>
      <c r="T280" t="s">
        <v>90</v>
      </c>
      <c r="U280">
        <v>0</v>
      </c>
      <c r="V280" t="s">
        <v>90</v>
      </c>
      <c r="W280">
        <v>0</v>
      </c>
      <c r="X280" t="s">
        <v>90</v>
      </c>
      <c r="Y280">
        <v>0</v>
      </c>
      <c r="Z280">
        <v>36.081421866613795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L280">
        <v>6.1582999999999997</v>
      </c>
      <c r="AN280" t="s">
        <v>185</v>
      </c>
      <c r="AO280" t="s">
        <v>73</v>
      </c>
      <c r="AP280">
        <v>200000</v>
      </c>
      <c r="AQ280" t="s">
        <v>73</v>
      </c>
      <c r="AS280">
        <v>10000</v>
      </c>
      <c r="AT280" t="s">
        <v>2090</v>
      </c>
      <c r="AU280" t="s">
        <v>75</v>
      </c>
      <c r="AV280" t="s">
        <v>76</v>
      </c>
    </row>
    <row r="281" spans="1:48" x14ac:dyDescent="0.15">
      <c r="A281" s="4" t="str">
        <f>HYPERLINK("https://ibp.a2mac1.com/costing(costing:projects/details/9760/assembly/8412615)","Outer Side Airbag System")</f>
        <v>Outer Side Airbag System</v>
      </c>
      <c r="B281">
        <v>8412615</v>
      </c>
      <c r="D281">
        <v>8412556</v>
      </c>
      <c r="F281">
        <v>1</v>
      </c>
      <c r="G281">
        <v>0</v>
      </c>
      <c r="H281">
        <v>27.659926975973921</v>
      </c>
      <c r="I281">
        <v>0.13899460791946694</v>
      </c>
      <c r="J281" t="s">
        <v>176</v>
      </c>
      <c r="K281">
        <v>0.96809744415908727</v>
      </c>
      <c r="L281">
        <v>28.767019028052477</v>
      </c>
      <c r="M281">
        <v>0</v>
      </c>
      <c r="N281">
        <v>0.86787026350545782</v>
      </c>
      <c r="O281">
        <v>29.634889291557933</v>
      </c>
      <c r="P281" t="s">
        <v>177</v>
      </c>
      <c r="Q281">
        <v>1.7260211416831486</v>
      </c>
      <c r="R281" t="s">
        <v>177</v>
      </c>
      <c r="S281">
        <v>5.207221581032747E-2</v>
      </c>
      <c r="T281" t="s">
        <v>178</v>
      </c>
      <c r="U281">
        <v>3.5561867149869522</v>
      </c>
      <c r="V281" t="s">
        <v>90</v>
      </c>
      <c r="W281">
        <v>0</v>
      </c>
      <c r="X281" t="s">
        <v>90</v>
      </c>
      <c r="Y281">
        <v>0</v>
      </c>
      <c r="Z281">
        <v>34.969169364038365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86</v>
      </c>
      <c r="AI281">
        <v>48</v>
      </c>
      <c r="AJ281">
        <v>295</v>
      </c>
      <c r="AL281">
        <v>0.33800000000000002</v>
      </c>
      <c r="AN281" t="s">
        <v>772</v>
      </c>
      <c r="AO281" t="s">
        <v>73</v>
      </c>
      <c r="AP281">
        <v>200000</v>
      </c>
      <c r="AQ281" t="s">
        <v>97</v>
      </c>
      <c r="AS281">
        <v>10000</v>
      </c>
      <c r="AT281" t="s">
        <v>2102</v>
      </c>
      <c r="AU281" t="s">
        <v>75</v>
      </c>
      <c r="AV281" t="s">
        <v>76</v>
      </c>
    </row>
    <row r="282" spans="1:48" x14ac:dyDescent="0.15">
      <c r="A282" s="4" t="str">
        <f>HYPERLINK("https://ibp.a2mac1.com/costing(costing:projects/details/9760/assembly/8412616)","Inner Side Airbag Passenger Side Center")</f>
        <v>Inner Side Airbag Passenger Side Center</v>
      </c>
      <c r="B282">
        <v>8412616</v>
      </c>
      <c r="D282">
        <v>8412556</v>
      </c>
      <c r="F282">
        <v>1</v>
      </c>
      <c r="G282">
        <v>0</v>
      </c>
      <c r="H282">
        <v>28.084708995092264</v>
      </c>
      <c r="I282">
        <v>0.14112919093011189</v>
      </c>
      <c r="J282" t="s">
        <v>176</v>
      </c>
      <c r="K282">
        <v>0.98296481482822928</v>
      </c>
      <c r="L282">
        <v>29.208803000850608</v>
      </c>
      <c r="M282">
        <v>0</v>
      </c>
      <c r="N282">
        <v>0.86787026350545782</v>
      </c>
      <c r="O282">
        <v>30.076673264356064</v>
      </c>
      <c r="P282" t="s">
        <v>177</v>
      </c>
      <c r="Q282">
        <v>1.7525281800510364</v>
      </c>
      <c r="R282" t="s">
        <v>177</v>
      </c>
      <c r="S282">
        <v>5.207221581032747E-2</v>
      </c>
      <c r="T282" t="s">
        <v>178</v>
      </c>
      <c r="U282">
        <v>3.6092007917227278</v>
      </c>
      <c r="V282" t="s">
        <v>90</v>
      </c>
      <c r="W282">
        <v>0</v>
      </c>
      <c r="X282" t="s">
        <v>90</v>
      </c>
      <c r="Y282">
        <v>0</v>
      </c>
      <c r="Z282">
        <v>35.490474451940159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85</v>
      </c>
      <c r="AI282">
        <v>58</v>
      </c>
      <c r="AJ282">
        <v>505</v>
      </c>
      <c r="AL282">
        <v>0.79700000000000004</v>
      </c>
      <c r="AN282" t="s">
        <v>772</v>
      </c>
      <c r="AO282" t="s">
        <v>73</v>
      </c>
      <c r="AP282">
        <v>200000</v>
      </c>
      <c r="AQ282" t="s">
        <v>97</v>
      </c>
      <c r="AS282">
        <v>10000</v>
      </c>
      <c r="AT282" t="s">
        <v>2110</v>
      </c>
      <c r="AU282" t="s">
        <v>75</v>
      </c>
      <c r="AV282" t="s">
        <v>76</v>
      </c>
    </row>
    <row r="283" spans="1:48" x14ac:dyDescent="0.15">
      <c r="A283" s="4" t="str">
        <f>HYPERLINK("https://ibp.a2mac1.com/costing(costing:projects/details/9760/assembly/8412556)","Safety")</f>
        <v>Safety</v>
      </c>
      <c r="B283">
        <v>8412556</v>
      </c>
      <c r="D283">
        <v>8412549</v>
      </c>
      <c r="F283">
        <v>1</v>
      </c>
      <c r="G283">
        <v>0</v>
      </c>
      <c r="H283">
        <v>75.459643815978524</v>
      </c>
      <c r="I283">
        <v>0</v>
      </c>
      <c r="J283" t="s">
        <v>90</v>
      </c>
      <c r="K283">
        <v>0</v>
      </c>
      <c r="L283">
        <v>75.459643815978524</v>
      </c>
      <c r="M283">
        <v>0</v>
      </c>
      <c r="N283">
        <v>0</v>
      </c>
      <c r="O283">
        <v>75.459643815978524</v>
      </c>
      <c r="P283" t="s">
        <v>90</v>
      </c>
      <c r="Q283">
        <v>0</v>
      </c>
      <c r="R283" t="s">
        <v>90</v>
      </c>
      <c r="S283">
        <v>0</v>
      </c>
      <c r="T283" t="s">
        <v>90</v>
      </c>
      <c r="U283">
        <v>0</v>
      </c>
      <c r="V283" t="s">
        <v>90</v>
      </c>
      <c r="W283">
        <v>0</v>
      </c>
      <c r="X283" t="s">
        <v>90</v>
      </c>
      <c r="Y283">
        <v>0</v>
      </c>
      <c r="Z283">
        <v>75.459643815978524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L283">
        <v>1.151</v>
      </c>
      <c r="AN283" t="s">
        <v>185</v>
      </c>
      <c r="AO283" t="s">
        <v>73</v>
      </c>
      <c r="AP283">
        <v>200000</v>
      </c>
      <c r="AQ283" t="s">
        <v>73</v>
      </c>
      <c r="AS283">
        <v>10000</v>
      </c>
      <c r="AT283" t="s">
        <v>2112</v>
      </c>
      <c r="AU283" t="s">
        <v>75</v>
      </c>
      <c r="AV283" t="s">
        <v>76</v>
      </c>
    </row>
    <row r="284" spans="1:48" x14ac:dyDescent="0.15">
      <c r="A284" s="4" t="str">
        <f>HYPERLINK("https://ibp.a2mac1.com/costing(costing:projects/details/9760/assembly/8412720)","Rails")</f>
        <v>Rails</v>
      </c>
      <c r="B284">
        <v>8412720</v>
      </c>
      <c r="D284">
        <v>8412619</v>
      </c>
      <c r="F284">
        <v>1</v>
      </c>
      <c r="G284">
        <v>0</v>
      </c>
      <c r="H284">
        <v>11.234056122946347</v>
      </c>
      <c r="I284">
        <v>0</v>
      </c>
      <c r="J284" t="s">
        <v>90</v>
      </c>
      <c r="K284">
        <v>0</v>
      </c>
      <c r="L284">
        <v>11.234056122946347</v>
      </c>
      <c r="M284">
        <v>0</v>
      </c>
      <c r="N284">
        <v>0</v>
      </c>
      <c r="O284">
        <v>11.234056122946347</v>
      </c>
      <c r="P284" t="s">
        <v>90</v>
      </c>
      <c r="Q284">
        <v>0</v>
      </c>
      <c r="R284" t="s">
        <v>90</v>
      </c>
      <c r="S284">
        <v>0</v>
      </c>
      <c r="T284" t="s">
        <v>90</v>
      </c>
      <c r="U284">
        <v>0</v>
      </c>
      <c r="V284" t="s">
        <v>90</v>
      </c>
      <c r="W284">
        <v>0</v>
      </c>
      <c r="X284" t="s">
        <v>90</v>
      </c>
      <c r="Y284">
        <v>0</v>
      </c>
      <c r="Z284">
        <v>11.234056122946347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L284">
        <v>3.6419999999999999</v>
      </c>
      <c r="AN284" t="s">
        <v>185</v>
      </c>
      <c r="AO284" t="s">
        <v>73</v>
      </c>
      <c r="AP284">
        <v>200000</v>
      </c>
      <c r="AQ284" t="s">
        <v>73</v>
      </c>
      <c r="AS284">
        <v>10000</v>
      </c>
      <c r="AT284" t="s">
        <v>2123</v>
      </c>
      <c r="AU284" t="s">
        <v>75</v>
      </c>
      <c r="AV284" t="s">
        <v>76</v>
      </c>
    </row>
    <row r="285" spans="1:48" x14ac:dyDescent="0.15">
      <c r="A285" s="4" t="str">
        <f>HYPERLINK("https://ibp.a2mac1.com/costing(costing:projects/details/9760/assembly/8412619)","Longitudinal")</f>
        <v>Longitudinal</v>
      </c>
      <c r="B285">
        <v>8412619</v>
      </c>
      <c r="D285">
        <v>8412557</v>
      </c>
      <c r="F285">
        <v>1</v>
      </c>
      <c r="G285">
        <v>0</v>
      </c>
      <c r="H285">
        <v>16.183782486600006</v>
      </c>
      <c r="I285">
        <v>0</v>
      </c>
      <c r="J285" t="s">
        <v>90</v>
      </c>
      <c r="K285">
        <v>0</v>
      </c>
      <c r="L285">
        <v>16.183782486600006</v>
      </c>
      <c r="M285">
        <v>0</v>
      </c>
      <c r="N285">
        <v>0</v>
      </c>
      <c r="O285">
        <v>16.183782486600006</v>
      </c>
      <c r="P285" t="s">
        <v>90</v>
      </c>
      <c r="Q285">
        <v>0</v>
      </c>
      <c r="R285" t="s">
        <v>90</v>
      </c>
      <c r="S285">
        <v>0</v>
      </c>
      <c r="T285" t="s">
        <v>90</v>
      </c>
      <c r="U285">
        <v>0</v>
      </c>
      <c r="V285" t="s">
        <v>90</v>
      </c>
      <c r="W285">
        <v>0</v>
      </c>
      <c r="X285" t="s">
        <v>90</v>
      </c>
      <c r="Y285">
        <v>0</v>
      </c>
      <c r="Z285">
        <v>16.183782486600006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L285">
        <v>4.1562000000000001</v>
      </c>
      <c r="AN285" t="s">
        <v>185</v>
      </c>
      <c r="AO285" t="s">
        <v>73</v>
      </c>
      <c r="AP285">
        <v>200000</v>
      </c>
      <c r="AQ285" t="s">
        <v>73</v>
      </c>
      <c r="AS285">
        <v>10000</v>
      </c>
      <c r="AT285" t="s">
        <v>2134</v>
      </c>
      <c r="AU285" t="s">
        <v>75</v>
      </c>
      <c r="AV285" t="s">
        <v>76</v>
      </c>
    </row>
    <row r="286" spans="1:48" x14ac:dyDescent="0.15">
      <c r="A286" s="4" t="str">
        <f>HYPERLINK("https://ibp.a2mac1.com/costing(costing:projects/details/9760/assembly/8412620)","Longitudinal &amp; Height")</f>
        <v>Longitudinal &amp; Height</v>
      </c>
      <c r="B286">
        <v>8412620</v>
      </c>
      <c r="D286">
        <v>8412557</v>
      </c>
      <c r="F286">
        <v>1</v>
      </c>
      <c r="G286">
        <v>0</v>
      </c>
      <c r="H286">
        <v>7.7337046925107636E-2</v>
      </c>
      <c r="I286">
        <v>0</v>
      </c>
      <c r="J286" t="s">
        <v>90</v>
      </c>
      <c r="K286">
        <v>0</v>
      </c>
      <c r="L286">
        <v>7.7337046925107636E-2</v>
      </c>
      <c r="M286">
        <v>0</v>
      </c>
      <c r="N286">
        <v>0</v>
      </c>
      <c r="O286">
        <v>7.7337046925107636E-2</v>
      </c>
      <c r="P286" t="s">
        <v>90</v>
      </c>
      <c r="Q286">
        <v>0</v>
      </c>
      <c r="R286" t="s">
        <v>90</v>
      </c>
      <c r="S286">
        <v>0</v>
      </c>
      <c r="T286" t="s">
        <v>90</v>
      </c>
      <c r="U286">
        <v>0</v>
      </c>
      <c r="V286" t="s">
        <v>90</v>
      </c>
      <c r="W286">
        <v>0</v>
      </c>
      <c r="X286" t="s">
        <v>90</v>
      </c>
      <c r="Y286">
        <v>0</v>
      </c>
      <c r="Z286">
        <v>7.7337046925107636E-2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L286">
        <v>5.0000000000000001E-3</v>
      </c>
      <c r="AN286" t="s">
        <v>185</v>
      </c>
      <c r="AO286" t="s">
        <v>73</v>
      </c>
      <c r="AP286">
        <v>200000</v>
      </c>
      <c r="AQ286" t="s">
        <v>73</v>
      </c>
      <c r="AS286">
        <v>10000</v>
      </c>
      <c r="AT286" t="s">
        <v>2140</v>
      </c>
      <c r="AU286" t="s">
        <v>75</v>
      </c>
      <c r="AV286" t="s">
        <v>76</v>
      </c>
    </row>
    <row r="287" spans="1:48" x14ac:dyDescent="0.15">
      <c r="A287" s="4" t="str">
        <f>HYPERLINK("https://ibp.a2mac1.com/costing(costing:projects/details/9760/assembly/8412722)","Front")</f>
        <v>Front</v>
      </c>
      <c r="B287">
        <v>8412722</v>
      </c>
      <c r="D287">
        <v>8412621</v>
      </c>
      <c r="F287">
        <v>1</v>
      </c>
      <c r="G287">
        <v>0</v>
      </c>
      <c r="H287">
        <v>7.0493789586256579</v>
      </c>
      <c r="I287">
        <v>0</v>
      </c>
      <c r="J287" t="s">
        <v>90</v>
      </c>
      <c r="K287">
        <v>0</v>
      </c>
      <c r="L287">
        <v>7.0493789586256579</v>
      </c>
      <c r="M287">
        <v>0</v>
      </c>
      <c r="N287">
        <v>0</v>
      </c>
      <c r="O287">
        <v>7.0493789586256579</v>
      </c>
      <c r="P287" t="s">
        <v>90</v>
      </c>
      <c r="Q287">
        <v>0</v>
      </c>
      <c r="R287" t="s">
        <v>90</v>
      </c>
      <c r="S287">
        <v>0</v>
      </c>
      <c r="T287" t="s">
        <v>90</v>
      </c>
      <c r="U287">
        <v>0</v>
      </c>
      <c r="V287" t="s">
        <v>90</v>
      </c>
      <c r="W287">
        <v>0</v>
      </c>
      <c r="X287" t="s">
        <v>90</v>
      </c>
      <c r="Y287">
        <v>0</v>
      </c>
      <c r="Z287">
        <v>7.0493789586256579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L287">
        <v>0.878</v>
      </c>
      <c r="AN287" t="s">
        <v>185</v>
      </c>
      <c r="AO287" t="s">
        <v>73</v>
      </c>
      <c r="AP287">
        <v>200000</v>
      </c>
      <c r="AQ287" t="s">
        <v>73</v>
      </c>
      <c r="AS287">
        <v>10000</v>
      </c>
      <c r="AT287" t="s">
        <v>2155</v>
      </c>
      <c r="AU287" t="s">
        <v>75</v>
      </c>
      <c r="AV287" t="s">
        <v>76</v>
      </c>
    </row>
    <row r="288" spans="1:48" x14ac:dyDescent="0.15">
      <c r="A288" s="4" t="str">
        <f>HYPERLINK("https://ibp.a2mac1.com/costing(costing:projects/details/9760/assembly/8412723)","Rear")</f>
        <v>Rear</v>
      </c>
      <c r="B288">
        <v>8412723</v>
      </c>
      <c r="D288">
        <v>8412621</v>
      </c>
      <c r="F288">
        <v>1</v>
      </c>
      <c r="G288">
        <v>0</v>
      </c>
      <c r="H288">
        <v>7.12</v>
      </c>
      <c r="I288">
        <v>0</v>
      </c>
      <c r="J288" t="s">
        <v>90</v>
      </c>
      <c r="K288">
        <v>0</v>
      </c>
      <c r="L288">
        <v>7.12</v>
      </c>
      <c r="M288">
        <v>0</v>
      </c>
      <c r="N288">
        <v>0</v>
      </c>
      <c r="O288">
        <v>7.12</v>
      </c>
      <c r="P288" t="s">
        <v>90</v>
      </c>
      <c r="Q288">
        <v>0</v>
      </c>
      <c r="R288" t="s">
        <v>90</v>
      </c>
      <c r="S288">
        <v>0</v>
      </c>
      <c r="T288" t="s">
        <v>90</v>
      </c>
      <c r="U288">
        <v>0</v>
      </c>
      <c r="V288" t="s">
        <v>90</v>
      </c>
      <c r="W288">
        <v>0</v>
      </c>
      <c r="X288" t="s">
        <v>90</v>
      </c>
      <c r="Y288">
        <v>0</v>
      </c>
      <c r="Z288">
        <v>7.12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L288">
        <v>0.79600000000000004</v>
      </c>
      <c r="AN288" t="s">
        <v>185</v>
      </c>
      <c r="AO288" t="s">
        <v>73</v>
      </c>
      <c r="AP288">
        <v>200000</v>
      </c>
      <c r="AQ288" t="s">
        <v>73</v>
      </c>
      <c r="AS288">
        <v>10000</v>
      </c>
      <c r="AT288" t="s">
        <v>2161</v>
      </c>
      <c r="AU288" t="s">
        <v>75</v>
      </c>
      <c r="AV288" t="s">
        <v>76</v>
      </c>
    </row>
    <row r="289" spans="1:48" x14ac:dyDescent="0.15">
      <c r="A289" s="4" t="str">
        <f>HYPERLINK("https://ibp.a2mac1.com/costing(costing:projects/details/9760/assembly/8412621)","Height")</f>
        <v>Height</v>
      </c>
      <c r="B289">
        <v>8412621</v>
      </c>
      <c r="D289">
        <v>8412557</v>
      </c>
      <c r="F289">
        <v>1</v>
      </c>
      <c r="G289">
        <v>0</v>
      </c>
      <c r="H289">
        <v>14.169378958625659</v>
      </c>
      <c r="I289">
        <v>0</v>
      </c>
      <c r="J289" t="s">
        <v>90</v>
      </c>
      <c r="K289">
        <v>0</v>
      </c>
      <c r="L289">
        <v>14.169378958625659</v>
      </c>
      <c r="M289">
        <v>0</v>
      </c>
      <c r="N289">
        <v>0</v>
      </c>
      <c r="O289">
        <v>14.169378958625659</v>
      </c>
      <c r="P289" t="s">
        <v>90</v>
      </c>
      <c r="Q289">
        <v>0</v>
      </c>
      <c r="R289" t="s">
        <v>90</v>
      </c>
      <c r="S289">
        <v>0</v>
      </c>
      <c r="T289" t="s">
        <v>90</v>
      </c>
      <c r="U289">
        <v>0</v>
      </c>
      <c r="V289" t="s">
        <v>90</v>
      </c>
      <c r="W289">
        <v>0</v>
      </c>
      <c r="X289" t="s">
        <v>90</v>
      </c>
      <c r="Y289">
        <v>0</v>
      </c>
      <c r="Z289">
        <v>14.169378958625659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L289">
        <v>1.6739999999999999</v>
      </c>
      <c r="AN289" t="s">
        <v>185</v>
      </c>
      <c r="AO289" t="s">
        <v>73</v>
      </c>
      <c r="AP289">
        <v>200000</v>
      </c>
      <c r="AQ289" t="s">
        <v>73</v>
      </c>
      <c r="AS289">
        <v>10000</v>
      </c>
      <c r="AT289" t="s">
        <v>2162</v>
      </c>
      <c r="AU289" t="s">
        <v>75</v>
      </c>
      <c r="AV289" t="s">
        <v>76</v>
      </c>
    </row>
    <row r="290" spans="1:48" x14ac:dyDescent="0.15">
      <c r="A290" s="4" t="str">
        <f>HYPERLINK("https://ibp.a2mac1.com/costing(costing:projects/details/9760/assembly/8412726)","Mechanism")</f>
        <v>Mechanism</v>
      </c>
      <c r="B290">
        <v>8412726</v>
      </c>
      <c r="D290">
        <v>8412622</v>
      </c>
      <c r="F290">
        <v>1</v>
      </c>
      <c r="G290">
        <v>0</v>
      </c>
      <c r="H290">
        <v>2.6749999999999998</v>
      </c>
      <c r="I290">
        <v>0</v>
      </c>
      <c r="J290" t="s">
        <v>90</v>
      </c>
      <c r="K290">
        <v>0</v>
      </c>
      <c r="L290">
        <v>2.6749999999999998</v>
      </c>
      <c r="M290">
        <v>0</v>
      </c>
      <c r="N290">
        <v>0</v>
      </c>
      <c r="O290">
        <v>2.6749999999999998</v>
      </c>
      <c r="P290" t="s">
        <v>90</v>
      </c>
      <c r="Q290">
        <v>0</v>
      </c>
      <c r="R290" t="s">
        <v>90</v>
      </c>
      <c r="S290">
        <v>0</v>
      </c>
      <c r="T290" t="s">
        <v>90</v>
      </c>
      <c r="U290">
        <v>0</v>
      </c>
      <c r="V290" t="s">
        <v>90</v>
      </c>
      <c r="W290">
        <v>0</v>
      </c>
      <c r="X290" t="s">
        <v>90</v>
      </c>
      <c r="Y290">
        <v>0</v>
      </c>
      <c r="Z290">
        <v>2.6749999999999998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L290">
        <v>0.26900000000000002</v>
      </c>
      <c r="AN290" t="s">
        <v>185</v>
      </c>
      <c r="AO290" t="s">
        <v>73</v>
      </c>
      <c r="AP290">
        <v>200000</v>
      </c>
      <c r="AQ290" t="s">
        <v>73</v>
      </c>
      <c r="AS290">
        <v>10000</v>
      </c>
      <c r="AT290" t="s">
        <v>2170</v>
      </c>
      <c r="AU290" t="s">
        <v>75</v>
      </c>
      <c r="AV290" t="s">
        <v>76</v>
      </c>
    </row>
    <row r="291" spans="1:48" x14ac:dyDescent="0.15">
      <c r="A291" s="4" t="str">
        <f>HYPERLINK("https://ibp.a2mac1.com/costing(costing:projects/details/9760/assembly/8412622)","Recliner")</f>
        <v>Recliner</v>
      </c>
      <c r="B291">
        <v>8412622</v>
      </c>
      <c r="D291">
        <v>8412557</v>
      </c>
      <c r="F291">
        <v>1</v>
      </c>
      <c r="G291">
        <v>0</v>
      </c>
      <c r="H291">
        <v>6.1823370469251078</v>
      </c>
      <c r="I291">
        <v>0</v>
      </c>
      <c r="J291" t="s">
        <v>90</v>
      </c>
      <c r="K291">
        <v>0</v>
      </c>
      <c r="L291">
        <v>6.1823370469251078</v>
      </c>
      <c r="M291">
        <v>0</v>
      </c>
      <c r="N291">
        <v>0</v>
      </c>
      <c r="O291">
        <v>6.1823370469251078</v>
      </c>
      <c r="P291" t="s">
        <v>90</v>
      </c>
      <c r="Q291">
        <v>0</v>
      </c>
      <c r="R291" t="s">
        <v>90</v>
      </c>
      <c r="S291">
        <v>0</v>
      </c>
      <c r="T291" t="s">
        <v>90</v>
      </c>
      <c r="U291">
        <v>0</v>
      </c>
      <c r="V291" t="s">
        <v>90</v>
      </c>
      <c r="W291">
        <v>0</v>
      </c>
      <c r="X291" t="s">
        <v>90</v>
      </c>
      <c r="Y291">
        <v>0</v>
      </c>
      <c r="Z291">
        <v>6.1823370469251078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L291">
        <v>0.55000000000000004</v>
      </c>
      <c r="AN291" t="s">
        <v>185</v>
      </c>
      <c r="AO291" t="s">
        <v>73</v>
      </c>
      <c r="AP291">
        <v>200000</v>
      </c>
      <c r="AQ291" t="s">
        <v>73</v>
      </c>
      <c r="AS291">
        <v>10000</v>
      </c>
      <c r="AT291" t="s">
        <v>2175</v>
      </c>
      <c r="AU291" t="s">
        <v>75</v>
      </c>
      <c r="AV291" t="s">
        <v>76</v>
      </c>
    </row>
    <row r="292" spans="1:48" x14ac:dyDescent="0.15">
      <c r="A292" s="4" t="str">
        <f>HYPERLINK("https://ibp.a2mac1.com/costing(costing:projects/details/9760/assembly/8412727)","Air Distributor")</f>
        <v>Air Distributor</v>
      </c>
      <c r="B292">
        <v>8412727</v>
      </c>
      <c r="D292">
        <v>8412623</v>
      </c>
      <c r="F292">
        <v>1</v>
      </c>
      <c r="G292">
        <v>0</v>
      </c>
      <c r="H292">
        <v>12.944941650405582</v>
      </c>
      <c r="I292">
        <v>6.5049958042239106E-2</v>
      </c>
      <c r="J292" t="s">
        <v>176</v>
      </c>
      <c r="K292">
        <v>0.45307295776419537</v>
      </c>
      <c r="L292">
        <v>13.463064566212017</v>
      </c>
      <c r="M292">
        <v>0</v>
      </c>
      <c r="N292">
        <v>0.72119122461051566</v>
      </c>
      <c r="O292">
        <v>14.184255790822533</v>
      </c>
      <c r="P292" t="s">
        <v>177</v>
      </c>
      <c r="Q292">
        <v>0.807783873972721</v>
      </c>
      <c r="R292" t="s">
        <v>177</v>
      </c>
      <c r="S292">
        <v>4.3271473476630941E-2</v>
      </c>
      <c r="T292" t="s">
        <v>178</v>
      </c>
      <c r="U292">
        <v>1.7021106948987039</v>
      </c>
      <c r="V292" t="s">
        <v>90</v>
      </c>
      <c r="W292">
        <v>0</v>
      </c>
      <c r="X292" t="s">
        <v>90</v>
      </c>
      <c r="Y292">
        <v>0</v>
      </c>
      <c r="Z292">
        <v>16.73742183317059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30</v>
      </c>
      <c r="AI292">
        <v>191</v>
      </c>
      <c r="AJ292">
        <v>78</v>
      </c>
      <c r="AL292">
        <v>0.255</v>
      </c>
      <c r="AN292" t="s">
        <v>365</v>
      </c>
      <c r="AO292" t="s">
        <v>73</v>
      </c>
      <c r="AP292">
        <v>200000</v>
      </c>
      <c r="AQ292" t="s">
        <v>97</v>
      </c>
      <c r="AS292">
        <v>10000</v>
      </c>
      <c r="AT292" t="s">
        <v>2180</v>
      </c>
      <c r="AU292" t="s">
        <v>75</v>
      </c>
      <c r="AV292" t="s">
        <v>76</v>
      </c>
    </row>
    <row r="293" spans="1:48" x14ac:dyDescent="0.15">
      <c r="A293" s="4" t="str">
        <f>HYPERLINK("https://ibp.a2mac1.com/costing(costing:projects/details/9760/assembly/8412729)","Mechanism")</f>
        <v>Mechanism</v>
      </c>
      <c r="B293">
        <v>8412729</v>
      </c>
      <c r="D293">
        <v>8412623</v>
      </c>
      <c r="F293">
        <v>1</v>
      </c>
      <c r="G293">
        <v>0</v>
      </c>
      <c r="H293">
        <v>10.651270801019594</v>
      </c>
      <c r="I293">
        <v>5.3523973874470318E-2</v>
      </c>
      <c r="J293" t="s">
        <v>176</v>
      </c>
      <c r="K293">
        <v>0.37279447803568577</v>
      </c>
      <c r="L293">
        <v>11.07758925292975</v>
      </c>
      <c r="M293">
        <v>0</v>
      </c>
      <c r="N293">
        <v>0</v>
      </c>
      <c r="O293">
        <v>11.07758925292975</v>
      </c>
      <c r="P293" t="s">
        <v>177</v>
      </c>
      <c r="Q293">
        <v>0.664655355175785</v>
      </c>
      <c r="R293" t="s">
        <v>177</v>
      </c>
      <c r="S293">
        <v>0</v>
      </c>
      <c r="T293" t="s">
        <v>178</v>
      </c>
      <c r="U293">
        <v>1.32931071035157</v>
      </c>
      <c r="V293" t="s">
        <v>90</v>
      </c>
      <c r="W293">
        <v>0</v>
      </c>
      <c r="X293" t="s">
        <v>90</v>
      </c>
      <c r="Y293">
        <v>0</v>
      </c>
      <c r="Z293">
        <v>13.071555318457104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L293">
        <v>0.48899999999999999</v>
      </c>
      <c r="AN293" t="s">
        <v>740</v>
      </c>
      <c r="AO293" t="s">
        <v>73</v>
      </c>
      <c r="AP293">
        <v>200000</v>
      </c>
      <c r="AQ293" t="s">
        <v>97</v>
      </c>
      <c r="AS293">
        <v>10000</v>
      </c>
      <c r="AT293" t="s">
        <v>2194</v>
      </c>
      <c r="AU293" t="s">
        <v>75</v>
      </c>
      <c r="AV293" t="s">
        <v>76</v>
      </c>
    </row>
    <row r="294" spans="1:48" x14ac:dyDescent="0.15">
      <c r="A294" s="4" t="str">
        <f>HYPERLINK("https://ibp.a2mac1.com/costing(costing:projects/details/9760/assembly/8412623)","Lumbar")</f>
        <v>Lumbar</v>
      </c>
      <c r="B294">
        <v>8412623</v>
      </c>
      <c r="D294">
        <v>8412557</v>
      </c>
      <c r="F294">
        <v>1</v>
      </c>
      <c r="G294">
        <v>0</v>
      </c>
      <c r="H294">
        <v>29.938904905722179</v>
      </c>
      <c r="I294">
        <v>0</v>
      </c>
      <c r="J294" t="s">
        <v>90</v>
      </c>
      <c r="K294">
        <v>0</v>
      </c>
      <c r="L294">
        <v>29.938904905722179</v>
      </c>
      <c r="M294">
        <v>0</v>
      </c>
      <c r="N294">
        <v>0</v>
      </c>
      <c r="O294">
        <v>29.938904905722179</v>
      </c>
      <c r="P294" t="s">
        <v>90</v>
      </c>
      <c r="Q294">
        <v>0</v>
      </c>
      <c r="R294" t="s">
        <v>90</v>
      </c>
      <c r="S294">
        <v>0</v>
      </c>
      <c r="T294" t="s">
        <v>90</v>
      </c>
      <c r="U294">
        <v>0</v>
      </c>
      <c r="V294" t="s">
        <v>90</v>
      </c>
      <c r="W294">
        <v>0</v>
      </c>
      <c r="X294" t="s">
        <v>90</v>
      </c>
      <c r="Y294">
        <v>0</v>
      </c>
      <c r="Z294">
        <v>29.938904905722179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L294">
        <v>0.80310000000000004</v>
      </c>
      <c r="AN294" t="s">
        <v>185</v>
      </c>
      <c r="AO294" t="s">
        <v>73</v>
      </c>
      <c r="AP294">
        <v>200000</v>
      </c>
      <c r="AQ294" t="s">
        <v>73</v>
      </c>
      <c r="AS294">
        <v>10000</v>
      </c>
      <c r="AT294" t="s">
        <v>2198</v>
      </c>
      <c r="AU294" t="s">
        <v>75</v>
      </c>
      <c r="AV294" t="s">
        <v>76</v>
      </c>
    </row>
    <row r="295" spans="1:48" x14ac:dyDescent="0.15">
      <c r="A295" s="4" t="str">
        <f>HYPERLINK("https://ibp.a2mac1.com/costing(costing:projects/details/9760/assembly/8412624)","Bucket Retaining Adjustment")</f>
        <v>Bucket Retaining Adjustment</v>
      </c>
      <c r="B295">
        <v>8412624</v>
      </c>
      <c r="D295">
        <v>8412557</v>
      </c>
      <c r="F295">
        <v>1</v>
      </c>
      <c r="G295">
        <v>0</v>
      </c>
      <c r="H295">
        <v>1.7625840738227714</v>
      </c>
      <c r="I295">
        <v>0</v>
      </c>
      <c r="J295" t="s">
        <v>90</v>
      </c>
      <c r="K295">
        <v>0</v>
      </c>
      <c r="L295">
        <v>1.7625840738227714</v>
      </c>
      <c r="M295">
        <v>0</v>
      </c>
      <c r="N295">
        <v>0</v>
      </c>
      <c r="O295">
        <v>1.7625840738227714</v>
      </c>
      <c r="P295" t="s">
        <v>90</v>
      </c>
      <c r="Q295">
        <v>0</v>
      </c>
      <c r="R295" t="s">
        <v>90</v>
      </c>
      <c r="S295">
        <v>0</v>
      </c>
      <c r="T295" t="s">
        <v>90</v>
      </c>
      <c r="U295">
        <v>0</v>
      </c>
      <c r="V295" t="s">
        <v>90</v>
      </c>
      <c r="W295">
        <v>0</v>
      </c>
      <c r="X295" t="s">
        <v>90</v>
      </c>
      <c r="Y295">
        <v>0</v>
      </c>
      <c r="Z295">
        <v>1.7625840738227714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L295">
        <v>0.4672</v>
      </c>
      <c r="AN295" t="s">
        <v>185</v>
      </c>
      <c r="AO295" t="s">
        <v>73</v>
      </c>
      <c r="AP295">
        <v>200000</v>
      </c>
      <c r="AQ295" t="s">
        <v>73</v>
      </c>
      <c r="AS295">
        <v>10000</v>
      </c>
      <c r="AT295" t="s">
        <v>2208</v>
      </c>
      <c r="AU295" t="s">
        <v>75</v>
      </c>
      <c r="AV295" t="s">
        <v>76</v>
      </c>
    </row>
    <row r="296" spans="1:48" x14ac:dyDescent="0.15">
      <c r="A296" s="4" t="str">
        <f>HYPERLINK("https://ibp.a2mac1.com/costing(costing:projects/details/9760/assembly/8412557)","Power Adjusters")</f>
        <v>Power Adjusters</v>
      </c>
      <c r="B296">
        <v>8412557</v>
      </c>
      <c r="D296">
        <v>8412549</v>
      </c>
      <c r="F296">
        <v>1</v>
      </c>
      <c r="G296">
        <v>0</v>
      </c>
      <c r="H296">
        <v>72.113468663156141</v>
      </c>
      <c r="I296">
        <v>0</v>
      </c>
      <c r="J296" t="s">
        <v>90</v>
      </c>
      <c r="K296">
        <v>0</v>
      </c>
      <c r="L296">
        <v>72.113468663156141</v>
      </c>
      <c r="M296">
        <v>0</v>
      </c>
      <c r="N296">
        <v>0</v>
      </c>
      <c r="O296">
        <v>72.113468663156141</v>
      </c>
      <c r="P296" t="s">
        <v>90</v>
      </c>
      <c r="Q296">
        <v>0</v>
      </c>
      <c r="R296" t="s">
        <v>90</v>
      </c>
      <c r="S296">
        <v>0</v>
      </c>
      <c r="T296" t="s">
        <v>90</v>
      </c>
      <c r="U296">
        <v>0</v>
      </c>
      <c r="V296" t="s">
        <v>90</v>
      </c>
      <c r="W296">
        <v>0</v>
      </c>
      <c r="X296" t="s">
        <v>90</v>
      </c>
      <c r="Y296">
        <v>0</v>
      </c>
      <c r="Z296">
        <v>72.113468663156141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L296">
        <v>7.8314000000000004</v>
      </c>
      <c r="AN296" t="s">
        <v>185</v>
      </c>
      <c r="AO296" t="s">
        <v>73</v>
      </c>
      <c r="AP296">
        <v>200000</v>
      </c>
      <c r="AQ296" t="s">
        <v>73</v>
      </c>
      <c r="AS296">
        <v>10000</v>
      </c>
      <c r="AT296" t="s">
        <v>2214</v>
      </c>
      <c r="AU296" t="s">
        <v>75</v>
      </c>
      <c r="AV296" t="s">
        <v>76</v>
      </c>
    </row>
    <row r="297" spans="1:48" x14ac:dyDescent="0.15">
      <c r="A297" s="4" t="str">
        <f>HYPERLINK("https://ibp.a2mac1.com/costing(costing:projects/details/9760/assembly/8412558)","Support System")</f>
        <v>Support System</v>
      </c>
      <c r="B297">
        <v>8412558</v>
      </c>
      <c r="D297">
        <v>8412549</v>
      </c>
      <c r="F297">
        <v>1</v>
      </c>
      <c r="G297">
        <v>0</v>
      </c>
      <c r="H297">
        <v>0.34859975902291618</v>
      </c>
      <c r="I297">
        <v>0</v>
      </c>
      <c r="J297" t="s">
        <v>90</v>
      </c>
      <c r="K297">
        <v>0</v>
      </c>
      <c r="L297">
        <v>0.34859975902291618</v>
      </c>
      <c r="M297">
        <v>0</v>
      </c>
      <c r="N297">
        <v>0</v>
      </c>
      <c r="O297">
        <v>0.34859975902291618</v>
      </c>
      <c r="P297" t="s">
        <v>90</v>
      </c>
      <c r="Q297">
        <v>0</v>
      </c>
      <c r="R297" t="s">
        <v>90</v>
      </c>
      <c r="S297">
        <v>0</v>
      </c>
      <c r="T297" t="s">
        <v>90</v>
      </c>
      <c r="U297">
        <v>0</v>
      </c>
      <c r="V297" t="s">
        <v>90</v>
      </c>
      <c r="W297">
        <v>0</v>
      </c>
      <c r="X297" t="s">
        <v>90</v>
      </c>
      <c r="Y297">
        <v>0</v>
      </c>
      <c r="Z297">
        <v>0.34859975902291618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L297">
        <v>8.7999999999999995E-2</v>
      </c>
      <c r="AN297" t="s">
        <v>185</v>
      </c>
      <c r="AO297" t="s">
        <v>73</v>
      </c>
      <c r="AP297">
        <v>200000</v>
      </c>
      <c r="AQ297" t="s">
        <v>73</v>
      </c>
      <c r="AS297">
        <v>10000</v>
      </c>
      <c r="AT297" t="s">
        <v>2228</v>
      </c>
      <c r="AU297" t="s">
        <v>75</v>
      </c>
      <c r="AV297" t="s">
        <v>76</v>
      </c>
    </row>
    <row r="298" spans="1:48" x14ac:dyDescent="0.15">
      <c r="A298" s="4" t="str">
        <f>HYPERLINK("https://ibp.a2mac1.com/costing(costing:projects/details/9760/assembly/8412559)","Heating System")</f>
        <v>Heating System</v>
      </c>
      <c r="B298">
        <v>8412559</v>
      </c>
      <c r="D298">
        <v>8412549</v>
      </c>
      <c r="F298">
        <v>1</v>
      </c>
      <c r="G298">
        <v>0</v>
      </c>
      <c r="H298">
        <v>8</v>
      </c>
      <c r="I298">
        <v>0</v>
      </c>
      <c r="J298" t="s">
        <v>90</v>
      </c>
      <c r="K298">
        <v>0</v>
      </c>
      <c r="L298">
        <v>8</v>
      </c>
      <c r="M298">
        <v>0</v>
      </c>
      <c r="N298">
        <v>0</v>
      </c>
      <c r="O298">
        <v>8</v>
      </c>
      <c r="P298" t="s">
        <v>90</v>
      </c>
      <c r="Q298">
        <v>0</v>
      </c>
      <c r="R298" t="s">
        <v>90</v>
      </c>
      <c r="S298">
        <v>0</v>
      </c>
      <c r="T298" t="s">
        <v>90</v>
      </c>
      <c r="U298">
        <v>0</v>
      </c>
      <c r="V298" t="s">
        <v>90</v>
      </c>
      <c r="W298">
        <v>0</v>
      </c>
      <c r="X298" t="s">
        <v>90</v>
      </c>
      <c r="Y298">
        <v>0</v>
      </c>
      <c r="Z298">
        <v>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L298">
        <v>6.3E-2</v>
      </c>
      <c r="AN298" t="s">
        <v>185</v>
      </c>
      <c r="AO298" t="s">
        <v>73</v>
      </c>
      <c r="AP298">
        <v>200000</v>
      </c>
      <c r="AQ298" t="s">
        <v>73</v>
      </c>
      <c r="AS298">
        <v>10000</v>
      </c>
      <c r="AT298" t="s">
        <v>2233</v>
      </c>
      <c r="AU298" t="s">
        <v>75</v>
      </c>
      <c r="AV298" t="s">
        <v>76</v>
      </c>
    </row>
    <row r="299" spans="1:48" x14ac:dyDescent="0.15">
      <c r="A299" s="4" t="str">
        <f>HYPERLINK("https://ibp.a2mac1.com/costing(costing:projects/details/9760/assembly/8412560)","Ventilation System")</f>
        <v>Ventilation System</v>
      </c>
      <c r="B299">
        <v>8412560</v>
      </c>
      <c r="D299">
        <v>8412549</v>
      </c>
      <c r="F299">
        <v>1</v>
      </c>
      <c r="G299">
        <v>0</v>
      </c>
      <c r="H299">
        <v>13.993588194483465</v>
      </c>
      <c r="I299">
        <v>0</v>
      </c>
      <c r="J299" t="s">
        <v>90</v>
      </c>
      <c r="K299">
        <v>0</v>
      </c>
      <c r="L299">
        <v>13.993588194483465</v>
      </c>
      <c r="M299">
        <v>0</v>
      </c>
      <c r="N299">
        <v>0</v>
      </c>
      <c r="O299">
        <v>13.993588194483465</v>
      </c>
      <c r="P299" t="s">
        <v>90</v>
      </c>
      <c r="Q299">
        <v>0</v>
      </c>
      <c r="R299" t="s">
        <v>90</v>
      </c>
      <c r="S299">
        <v>0</v>
      </c>
      <c r="T299" t="s">
        <v>90</v>
      </c>
      <c r="U299">
        <v>0</v>
      </c>
      <c r="V299" t="s">
        <v>90</v>
      </c>
      <c r="W299">
        <v>0</v>
      </c>
      <c r="X299" t="s">
        <v>90</v>
      </c>
      <c r="Y299">
        <v>0</v>
      </c>
      <c r="Z299">
        <v>13.993588194483465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L299">
        <v>0.59240000000000004</v>
      </c>
      <c r="AN299" t="s">
        <v>185</v>
      </c>
      <c r="AO299" t="s">
        <v>73</v>
      </c>
      <c r="AP299">
        <v>200000</v>
      </c>
      <c r="AQ299" t="s">
        <v>73</v>
      </c>
      <c r="AS299">
        <v>10000</v>
      </c>
      <c r="AT299" t="s">
        <v>2248</v>
      </c>
      <c r="AU299" t="s">
        <v>75</v>
      </c>
      <c r="AV299" t="s">
        <v>76</v>
      </c>
    </row>
    <row r="300" spans="1:48" x14ac:dyDescent="0.15">
      <c r="A300" s="4" t="str">
        <f>HYPERLINK("https://ibp.a2mac1.com/costing(costing:projects/details/9760/assembly/8412561)","Speakers System")</f>
        <v>Speakers System</v>
      </c>
      <c r="B300">
        <v>8412561</v>
      </c>
      <c r="D300">
        <v>8412549</v>
      </c>
      <c r="F300">
        <v>1</v>
      </c>
      <c r="G300">
        <v>0</v>
      </c>
      <c r="H300">
        <v>7</v>
      </c>
      <c r="I300">
        <v>0</v>
      </c>
      <c r="J300" t="s">
        <v>90</v>
      </c>
      <c r="K300">
        <v>0</v>
      </c>
      <c r="L300">
        <v>7</v>
      </c>
      <c r="M300">
        <v>0</v>
      </c>
      <c r="N300">
        <v>0</v>
      </c>
      <c r="O300">
        <v>7</v>
      </c>
      <c r="P300" t="s">
        <v>90</v>
      </c>
      <c r="Q300">
        <v>0</v>
      </c>
      <c r="R300" t="s">
        <v>90</v>
      </c>
      <c r="S300">
        <v>0</v>
      </c>
      <c r="T300" t="s">
        <v>90</v>
      </c>
      <c r="U300">
        <v>0</v>
      </c>
      <c r="V300" t="s">
        <v>90</v>
      </c>
      <c r="W300">
        <v>0</v>
      </c>
      <c r="X300" t="s">
        <v>90</v>
      </c>
      <c r="Y300">
        <v>0</v>
      </c>
      <c r="Z300">
        <v>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L300">
        <v>0.26279999999999998</v>
      </c>
      <c r="AN300" t="s">
        <v>185</v>
      </c>
      <c r="AO300" t="s">
        <v>73</v>
      </c>
      <c r="AP300">
        <v>200000</v>
      </c>
      <c r="AQ300" t="s">
        <v>73</v>
      </c>
      <c r="AS300">
        <v>10000</v>
      </c>
      <c r="AT300" t="s">
        <v>2251</v>
      </c>
      <c r="AU300" t="s">
        <v>75</v>
      </c>
      <c r="AV300" t="s">
        <v>76</v>
      </c>
    </row>
    <row r="301" spans="1:48" x14ac:dyDescent="0.15">
      <c r="A301" s="4" t="str">
        <f>HYPERLINK("https://ibp.a2mac1.com/costing(costing:projects/details/9760/assembly/8412562)","Wiring Harness")</f>
        <v>Wiring Harness</v>
      </c>
      <c r="B301">
        <v>8412562</v>
      </c>
      <c r="D301">
        <v>8412549</v>
      </c>
      <c r="F301">
        <v>1</v>
      </c>
      <c r="G301">
        <v>0</v>
      </c>
      <c r="H301">
        <v>14.380497452439576</v>
      </c>
      <c r="I301">
        <v>0.14525755002464219</v>
      </c>
      <c r="J301" t="s">
        <v>176</v>
      </c>
      <c r="K301">
        <v>0.50331741083538517</v>
      </c>
      <c r="L301">
        <v>15.029072413299604</v>
      </c>
      <c r="M301">
        <v>0</v>
      </c>
      <c r="N301">
        <v>0.966714824045804</v>
      </c>
      <c r="O301">
        <v>15.995787237345407</v>
      </c>
      <c r="P301" t="s">
        <v>177</v>
      </c>
      <c r="Q301">
        <v>0.90174434479797627</v>
      </c>
      <c r="R301" t="s">
        <v>177</v>
      </c>
      <c r="S301">
        <v>5.8002889442748243E-2</v>
      </c>
      <c r="T301" t="s">
        <v>322</v>
      </c>
      <c r="U301">
        <v>1.5995787237345407</v>
      </c>
      <c r="V301" t="s">
        <v>90</v>
      </c>
      <c r="W301">
        <v>0</v>
      </c>
      <c r="X301" t="s">
        <v>90</v>
      </c>
      <c r="Y301">
        <v>0</v>
      </c>
      <c r="Z301">
        <v>18.555113195320672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L301">
        <v>0.53700000000000003</v>
      </c>
      <c r="AN301" t="s">
        <v>323</v>
      </c>
      <c r="AO301" t="s">
        <v>73</v>
      </c>
      <c r="AP301">
        <v>200000</v>
      </c>
      <c r="AQ301" t="s">
        <v>97</v>
      </c>
      <c r="AS301">
        <v>10000</v>
      </c>
      <c r="AT301" t="s">
        <v>2254</v>
      </c>
      <c r="AU301" t="s">
        <v>75</v>
      </c>
      <c r="AV301" t="s">
        <v>76</v>
      </c>
    </row>
    <row r="302" spans="1:48" x14ac:dyDescent="0.15">
      <c r="A302" s="4" t="str">
        <f>HYPERLINK("https://ibp.a2mac1.com/costing(costing:projects/details/9760/assembly/8412549)","Driver")</f>
        <v>Driver</v>
      </c>
      <c r="B302">
        <v>8412549</v>
      </c>
      <c r="D302">
        <v>8412548</v>
      </c>
      <c r="F302">
        <v>1</v>
      </c>
      <c r="G302">
        <v>0</v>
      </c>
      <c r="H302">
        <v>311.68640613205429</v>
      </c>
      <c r="I302">
        <v>1.5662633473972578</v>
      </c>
      <c r="J302" t="s">
        <v>176</v>
      </c>
      <c r="K302">
        <v>10.909024214621901</v>
      </c>
      <c r="L302">
        <v>324.16169369407345</v>
      </c>
      <c r="M302">
        <v>0</v>
      </c>
      <c r="N302">
        <v>11.076175853789977</v>
      </c>
      <c r="O302">
        <v>335.23786954786345</v>
      </c>
      <c r="P302" t="s">
        <v>177</v>
      </c>
      <c r="Q302">
        <v>19.449701621644408</v>
      </c>
      <c r="R302" t="s">
        <v>177</v>
      </c>
      <c r="S302">
        <v>0.6645705512273985</v>
      </c>
      <c r="T302" t="s">
        <v>178</v>
      </c>
      <c r="U302">
        <v>40.228544345743614</v>
      </c>
      <c r="V302" t="s">
        <v>90</v>
      </c>
      <c r="W302">
        <v>0</v>
      </c>
      <c r="X302" t="s">
        <v>90</v>
      </c>
      <c r="Y302">
        <v>0</v>
      </c>
      <c r="Z302">
        <v>395.58068606647885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750</v>
      </c>
      <c r="AI302">
        <v>545</v>
      </c>
      <c r="AJ302">
        <v>1015</v>
      </c>
      <c r="AL302">
        <v>25.767900000000001</v>
      </c>
      <c r="AN302" t="s">
        <v>772</v>
      </c>
      <c r="AO302" t="s">
        <v>73</v>
      </c>
      <c r="AP302">
        <v>200000</v>
      </c>
      <c r="AQ302" t="s">
        <v>97</v>
      </c>
      <c r="AS302">
        <v>10000</v>
      </c>
      <c r="AT302" t="s">
        <v>2259</v>
      </c>
      <c r="AU302" t="s">
        <v>75</v>
      </c>
      <c r="AV302" t="s">
        <v>76</v>
      </c>
    </row>
    <row r="303" spans="1:48" x14ac:dyDescent="0.15">
      <c r="A303" s="4" t="str">
        <f>HYPERLINK("https://ibp.a2mac1.com/costing(costing:projects/details/9760/assembly/8412564)","Wiring Harness")</f>
        <v>Wiring Harness</v>
      </c>
      <c r="B303">
        <v>8412564</v>
      </c>
      <c r="D303">
        <v>8412550</v>
      </c>
      <c r="F303">
        <v>1</v>
      </c>
      <c r="G303">
        <v>0</v>
      </c>
      <c r="H303">
        <v>8.81301252232271</v>
      </c>
      <c r="I303">
        <v>8.9020328508310195E-2</v>
      </c>
      <c r="J303" t="s">
        <v>176</v>
      </c>
      <c r="K303">
        <v>0.30845543828129485</v>
      </c>
      <c r="L303">
        <v>9.2104882891123143</v>
      </c>
      <c r="M303">
        <v>0</v>
      </c>
      <c r="N303">
        <v>0.57528245194397742</v>
      </c>
      <c r="O303">
        <v>9.7857707410562931</v>
      </c>
      <c r="P303" t="s">
        <v>177</v>
      </c>
      <c r="Q303">
        <v>0.55262929734673893</v>
      </c>
      <c r="R303" t="s">
        <v>177</v>
      </c>
      <c r="S303">
        <v>3.4516947116638649E-2</v>
      </c>
      <c r="T303" t="s">
        <v>322</v>
      </c>
      <c r="U303">
        <v>0.97857707410562922</v>
      </c>
      <c r="V303" t="s">
        <v>90</v>
      </c>
      <c r="W303">
        <v>0</v>
      </c>
      <c r="X303" t="s">
        <v>90</v>
      </c>
      <c r="Y303">
        <v>0</v>
      </c>
      <c r="Z303">
        <v>11.351494059625299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L303">
        <v>0.32600000000000001</v>
      </c>
      <c r="AN303" t="s">
        <v>323</v>
      </c>
      <c r="AO303" t="s">
        <v>73</v>
      </c>
      <c r="AP303">
        <v>200000</v>
      </c>
      <c r="AQ303" t="s">
        <v>97</v>
      </c>
      <c r="AS303">
        <v>10000</v>
      </c>
      <c r="AT303" t="s">
        <v>2263</v>
      </c>
      <c r="AU303" t="s">
        <v>75</v>
      </c>
      <c r="AV303" t="s">
        <v>76</v>
      </c>
    </row>
    <row r="304" spans="1:48" x14ac:dyDescent="0.15">
      <c r="A304" s="4" t="str">
        <f>HYPERLINK("https://ibp.a2mac1.com/costing(costing:projects/details/9760/assembly/8412567)","Head Rest")</f>
        <v>Head Rest</v>
      </c>
      <c r="B304">
        <v>8412567</v>
      </c>
      <c r="D304">
        <v>8412550</v>
      </c>
      <c r="F304">
        <v>1</v>
      </c>
      <c r="G304">
        <v>0</v>
      </c>
      <c r="H304">
        <v>7.4069595867726825</v>
      </c>
      <c r="I304">
        <v>0</v>
      </c>
      <c r="J304" t="s">
        <v>90</v>
      </c>
      <c r="K304">
        <v>0</v>
      </c>
      <c r="L304">
        <v>7.4069595867726825</v>
      </c>
      <c r="M304">
        <v>0</v>
      </c>
      <c r="N304">
        <v>0</v>
      </c>
      <c r="O304">
        <v>7.4069595867726825</v>
      </c>
      <c r="P304" t="s">
        <v>90</v>
      </c>
      <c r="Q304">
        <v>0</v>
      </c>
      <c r="R304" t="s">
        <v>90</v>
      </c>
      <c r="S304">
        <v>0</v>
      </c>
      <c r="T304" t="s">
        <v>90</v>
      </c>
      <c r="U304">
        <v>0</v>
      </c>
      <c r="V304" t="s">
        <v>90</v>
      </c>
      <c r="W304">
        <v>0</v>
      </c>
      <c r="X304" t="s">
        <v>90</v>
      </c>
      <c r="Y304">
        <v>0</v>
      </c>
      <c r="Z304">
        <v>7.4069595867726825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110</v>
      </c>
      <c r="AI304">
        <v>200</v>
      </c>
      <c r="AJ304">
        <v>235</v>
      </c>
      <c r="AL304">
        <v>1.1553</v>
      </c>
      <c r="AN304" t="s">
        <v>185</v>
      </c>
      <c r="AO304" t="s">
        <v>73</v>
      </c>
      <c r="AP304">
        <v>200000</v>
      </c>
      <c r="AQ304" t="s">
        <v>73</v>
      </c>
      <c r="AS304">
        <v>10000</v>
      </c>
      <c r="AT304" t="s">
        <v>2285</v>
      </c>
      <c r="AU304" t="s">
        <v>75</v>
      </c>
      <c r="AV304" t="s">
        <v>76</v>
      </c>
    </row>
    <row r="305" spans="1:48" x14ac:dyDescent="0.15">
      <c r="A305" s="4" t="str">
        <f>HYPERLINK("https://ibp.a2mac1.com/costing(costing:projects/details/9760/assembly/8412647)","Rear Shell System")</f>
        <v>Rear Shell System</v>
      </c>
      <c r="B305">
        <v>8412647</v>
      </c>
      <c r="D305">
        <v>8412568</v>
      </c>
      <c r="F305">
        <v>1</v>
      </c>
      <c r="G305">
        <v>0</v>
      </c>
      <c r="H305">
        <v>21.358899170553592</v>
      </c>
      <c r="I305">
        <v>0</v>
      </c>
      <c r="J305" t="s">
        <v>90</v>
      </c>
      <c r="K305">
        <v>0</v>
      </c>
      <c r="L305">
        <v>21.358899170553592</v>
      </c>
      <c r="M305">
        <v>0</v>
      </c>
      <c r="N305">
        <v>0</v>
      </c>
      <c r="O305">
        <v>21.358899170553592</v>
      </c>
      <c r="P305" t="s">
        <v>90</v>
      </c>
      <c r="Q305">
        <v>0</v>
      </c>
      <c r="R305" t="s">
        <v>90</v>
      </c>
      <c r="S305">
        <v>0</v>
      </c>
      <c r="T305" t="s">
        <v>90</v>
      </c>
      <c r="U305">
        <v>0</v>
      </c>
      <c r="V305" t="s">
        <v>90</v>
      </c>
      <c r="W305">
        <v>0</v>
      </c>
      <c r="X305" t="s">
        <v>90</v>
      </c>
      <c r="Y305">
        <v>0</v>
      </c>
      <c r="Z305">
        <v>21.358899170553592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L305">
        <v>1.988</v>
      </c>
      <c r="AN305" t="s">
        <v>185</v>
      </c>
      <c r="AO305" t="s">
        <v>73</v>
      </c>
      <c r="AP305">
        <v>200000</v>
      </c>
      <c r="AQ305" t="s">
        <v>73</v>
      </c>
      <c r="AS305">
        <v>10000</v>
      </c>
      <c r="AT305" t="s">
        <v>2306</v>
      </c>
      <c r="AU305" t="s">
        <v>75</v>
      </c>
      <c r="AV305" t="s">
        <v>76</v>
      </c>
    </row>
    <row r="306" spans="1:48" x14ac:dyDescent="0.15">
      <c r="A306" s="4" t="str">
        <f>HYPERLINK("https://ibp.a2mac1.com/costing(costing:projects/details/9760/assembly/8412648)","Head Rest Support Bracket")</f>
        <v>Head Rest Support Bracket</v>
      </c>
      <c r="B306">
        <v>8412648</v>
      </c>
      <c r="D306">
        <v>8412568</v>
      </c>
      <c r="F306">
        <v>1</v>
      </c>
      <c r="G306">
        <v>0</v>
      </c>
      <c r="H306">
        <v>0.26454015938863445</v>
      </c>
      <c r="I306">
        <v>0</v>
      </c>
      <c r="J306" t="s">
        <v>90</v>
      </c>
      <c r="K306">
        <v>0</v>
      </c>
      <c r="L306">
        <v>0.26454015938863445</v>
      </c>
      <c r="M306">
        <v>0</v>
      </c>
      <c r="N306">
        <v>0</v>
      </c>
      <c r="O306">
        <v>0.26454015938863445</v>
      </c>
      <c r="P306" t="s">
        <v>90</v>
      </c>
      <c r="Q306">
        <v>0</v>
      </c>
      <c r="R306" t="s">
        <v>90</v>
      </c>
      <c r="S306">
        <v>0</v>
      </c>
      <c r="T306" t="s">
        <v>90</v>
      </c>
      <c r="U306">
        <v>0</v>
      </c>
      <c r="V306" t="s">
        <v>90</v>
      </c>
      <c r="W306">
        <v>0</v>
      </c>
      <c r="X306" t="s">
        <v>90</v>
      </c>
      <c r="Y306">
        <v>0</v>
      </c>
      <c r="Z306">
        <v>0.26454015938863445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L306">
        <v>7.3999999999999996E-2</v>
      </c>
      <c r="AN306" t="s">
        <v>185</v>
      </c>
      <c r="AO306" t="s">
        <v>73</v>
      </c>
      <c r="AP306">
        <v>200000</v>
      </c>
      <c r="AQ306" t="s">
        <v>73</v>
      </c>
      <c r="AS306">
        <v>10000</v>
      </c>
      <c r="AT306" t="s">
        <v>2311</v>
      </c>
      <c r="AU306" t="s">
        <v>75</v>
      </c>
      <c r="AV306" t="s">
        <v>76</v>
      </c>
    </row>
    <row r="307" spans="1:48" x14ac:dyDescent="0.15">
      <c r="A307" s="4" t="str">
        <f>HYPERLINK("https://ibp.a2mac1.com/costing(costing:projects/details/9760/assembly/8412568)","Back")</f>
        <v>Back</v>
      </c>
      <c r="B307">
        <v>8412568</v>
      </c>
      <c r="D307">
        <v>8412550</v>
      </c>
      <c r="F307">
        <v>1</v>
      </c>
      <c r="G307">
        <v>0</v>
      </c>
      <c r="H307">
        <v>65.855122340508174</v>
      </c>
      <c r="I307">
        <v>0</v>
      </c>
      <c r="J307" t="s">
        <v>90</v>
      </c>
      <c r="K307">
        <v>0</v>
      </c>
      <c r="L307">
        <v>65.855122340508174</v>
      </c>
      <c r="M307">
        <v>0</v>
      </c>
      <c r="N307">
        <v>0</v>
      </c>
      <c r="O307">
        <v>65.855122340508174</v>
      </c>
      <c r="P307" t="s">
        <v>90</v>
      </c>
      <c r="Q307">
        <v>0</v>
      </c>
      <c r="R307" t="s">
        <v>90</v>
      </c>
      <c r="S307">
        <v>0</v>
      </c>
      <c r="T307" t="s">
        <v>90</v>
      </c>
      <c r="U307">
        <v>0</v>
      </c>
      <c r="V307" t="s">
        <v>90</v>
      </c>
      <c r="W307">
        <v>0</v>
      </c>
      <c r="X307" t="s">
        <v>90</v>
      </c>
      <c r="Y307">
        <v>0</v>
      </c>
      <c r="Z307">
        <v>65.855122340508174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L307">
        <v>7.5941999999999998</v>
      </c>
      <c r="AN307" t="s">
        <v>185</v>
      </c>
      <c r="AO307" t="s">
        <v>73</v>
      </c>
      <c r="AP307">
        <v>200000</v>
      </c>
      <c r="AQ307" t="s">
        <v>73</v>
      </c>
      <c r="AS307">
        <v>10000</v>
      </c>
      <c r="AT307" t="s">
        <v>2334</v>
      </c>
      <c r="AU307" t="s">
        <v>75</v>
      </c>
      <c r="AV307" t="s">
        <v>76</v>
      </c>
    </row>
    <row r="308" spans="1:48" x14ac:dyDescent="0.15">
      <c r="A308" s="4" t="str">
        <f>HYPERLINK("https://ibp.a2mac1.com/costing(costing:projects/details/9760/assembly/8412659)","Garnish")</f>
        <v>Garnish</v>
      </c>
      <c r="B308">
        <v>8412659</v>
      </c>
      <c r="D308">
        <v>8412569</v>
      </c>
      <c r="F308">
        <v>1</v>
      </c>
      <c r="G308">
        <v>0</v>
      </c>
      <c r="H308">
        <v>1.9467845532444317</v>
      </c>
      <c r="I308">
        <v>0</v>
      </c>
      <c r="J308" t="s">
        <v>90</v>
      </c>
      <c r="K308">
        <v>0</v>
      </c>
      <c r="L308">
        <v>1.9467845532444317</v>
      </c>
      <c r="M308">
        <v>0</v>
      </c>
      <c r="N308">
        <v>0</v>
      </c>
      <c r="O308">
        <v>1.9467845532444317</v>
      </c>
      <c r="P308" t="s">
        <v>90</v>
      </c>
      <c r="Q308">
        <v>0</v>
      </c>
      <c r="R308" t="s">
        <v>90</v>
      </c>
      <c r="S308">
        <v>0</v>
      </c>
      <c r="T308" t="s">
        <v>90</v>
      </c>
      <c r="U308">
        <v>0</v>
      </c>
      <c r="V308" t="s">
        <v>90</v>
      </c>
      <c r="W308">
        <v>0</v>
      </c>
      <c r="X308" t="s">
        <v>90</v>
      </c>
      <c r="Y308">
        <v>0</v>
      </c>
      <c r="Z308">
        <v>1.9467845532444317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L308">
        <v>0.73299999999999998</v>
      </c>
      <c r="AN308" t="s">
        <v>185</v>
      </c>
      <c r="AO308" t="s">
        <v>73</v>
      </c>
      <c r="AP308">
        <v>200000</v>
      </c>
      <c r="AQ308" t="s">
        <v>73</v>
      </c>
      <c r="AS308">
        <v>10000</v>
      </c>
      <c r="AT308" t="s">
        <v>2355</v>
      </c>
      <c r="AU308" t="s">
        <v>75</v>
      </c>
      <c r="AV308" t="s">
        <v>76</v>
      </c>
    </row>
    <row r="309" spans="1:48" x14ac:dyDescent="0.15">
      <c r="A309" s="4" t="str">
        <f>HYPERLINK("https://ibp.a2mac1.com/costing(costing:projects/details/9760/assembly/8412569)","Cushion")</f>
        <v>Cushion</v>
      </c>
      <c r="B309">
        <v>8412569</v>
      </c>
      <c r="D309">
        <v>8412550</v>
      </c>
      <c r="F309">
        <v>1</v>
      </c>
      <c r="G309">
        <v>0</v>
      </c>
      <c r="H309">
        <v>37.086291688254747</v>
      </c>
      <c r="I309">
        <v>0</v>
      </c>
      <c r="J309" t="s">
        <v>90</v>
      </c>
      <c r="K309">
        <v>0</v>
      </c>
      <c r="L309">
        <v>37.086291688254747</v>
      </c>
      <c r="M309">
        <v>0</v>
      </c>
      <c r="N309">
        <v>0</v>
      </c>
      <c r="O309">
        <v>37.086291688254747</v>
      </c>
      <c r="P309" t="s">
        <v>90</v>
      </c>
      <c r="Q309">
        <v>0</v>
      </c>
      <c r="R309" t="s">
        <v>90</v>
      </c>
      <c r="S309">
        <v>0</v>
      </c>
      <c r="T309" t="s">
        <v>90</v>
      </c>
      <c r="U309">
        <v>0</v>
      </c>
      <c r="V309" t="s">
        <v>90</v>
      </c>
      <c r="W309">
        <v>0</v>
      </c>
      <c r="X309" t="s">
        <v>90</v>
      </c>
      <c r="Y309">
        <v>0</v>
      </c>
      <c r="Z309">
        <v>37.086291688254747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L309">
        <v>6.4855</v>
      </c>
      <c r="AN309" t="s">
        <v>185</v>
      </c>
      <c r="AO309" t="s">
        <v>73</v>
      </c>
      <c r="AP309">
        <v>200000</v>
      </c>
      <c r="AQ309" t="s">
        <v>73</v>
      </c>
      <c r="AS309">
        <v>10000</v>
      </c>
      <c r="AT309" t="s">
        <v>2369</v>
      </c>
      <c r="AU309" t="s">
        <v>75</v>
      </c>
      <c r="AV309" t="s">
        <v>76</v>
      </c>
    </row>
    <row r="310" spans="1:48" x14ac:dyDescent="0.15">
      <c r="A310" s="4" t="str">
        <f>HYPERLINK("https://ibp.a2mac1.com/costing(costing:projects/details/9760/assembly/8412660)","Side Airbag")</f>
        <v>Side Airbag</v>
      </c>
      <c r="B310">
        <v>8412660</v>
      </c>
      <c r="D310">
        <v>8412570</v>
      </c>
      <c r="F310">
        <v>1</v>
      </c>
      <c r="G310">
        <v>0</v>
      </c>
      <c r="H310">
        <v>11.102171775973922</v>
      </c>
      <c r="I310">
        <v>5.5789807919466944E-2</v>
      </c>
      <c r="J310" t="s">
        <v>176</v>
      </c>
      <c r="K310">
        <v>0.38857601215908727</v>
      </c>
      <c r="L310">
        <v>11.546537596052476</v>
      </c>
      <c r="M310">
        <v>0</v>
      </c>
      <c r="N310">
        <v>0.86787026350545782</v>
      </c>
      <c r="O310">
        <v>12.414407859557935</v>
      </c>
      <c r="P310" t="s">
        <v>177</v>
      </c>
      <c r="Q310">
        <v>0.69279225576314862</v>
      </c>
      <c r="R310" t="s">
        <v>177</v>
      </c>
      <c r="S310">
        <v>5.207221581032747E-2</v>
      </c>
      <c r="T310" t="s">
        <v>178</v>
      </c>
      <c r="U310">
        <v>1.489728943146952</v>
      </c>
      <c r="V310" t="s">
        <v>90</v>
      </c>
      <c r="W310">
        <v>0</v>
      </c>
      <c r="X310" t="s">
        <v>90</v>
      </c>
      <c r="Y310">
        <v>0</v>
      </c>
      <c r="Z310">
        <v>14.649001274278362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86</v>
      </c>
      <c r="AI310">
        <v>48</v>
      </c>
      <c r="AJ310">
        <v>295</v>
      </c>
      <c r="AL310">
        <v>0.34</v>
      </c>
      <c r="AN310" t="s">
        <v>772</v>
      </c>
      <c r="AO310" t="s">
        <v>73</v>
      </c>
      <c r="AP310">
        <v>200000</v>
      </c>
      <c r="AQ310" t="s">
        <v>97</v>
      </c>
      <c r="AS310">
        <v>10000</v>
      </c>
      <c r="AT310" t="s">
        <v>2378</v>
      </c>
      <c r="AU310" t="s">
        <v>75</v>
      </c>
      <c r="AV310" t="s">
        <v>76</v>
      </c>
    </row>
    <row r="311" spans="1:48" x14ac:dyDescent="0.15">
      <c r="A311" s="4" t="str">
        <f>HYPERLINK("https://ibp.a2mac1.com/costing(costing:projects/details/9760/assembly/8412661)","Detection System")</f>
        <v>Detection System</v>
      </c>
      <c r="B311">
        <v>8412661</v>
      </c>
      <c r="D311">
        <v>8412570</v>
      </c>
      <c r="F311">
        <v>1</v>
      </c>
      <c r="G311">
        <v>0</v>
      </c>
      <c r="H311">
        <v>5</v>
      </c>
      <c r="I311">
        <v>0</v>
      </c>
      <c r="J311" t="s">
        <v>90</v>
      </c>
      <c r="K311">
        <v>0</v>
      </c>
      <c r="L311">
        <v>5</v>
      </c>
      <c r="M311">
        <v>0</v>
      </c>
      <c r="N311">
        <v>0</v>
      </c>
      <c r="O311">
        <v>5</v>
      </c>
      <c r="P311" t="s">
        <v>90</v>
      </c>
      <c r="Q311">
        <v>0</v>
      </c>
      <c r="R311" t="s">
        <v>90</v>
      </c>
      <c r="S311">
        <v>0</v>
      </c>
      <c r="T311" t="s">
        <v>90</v>
      </c>
      <c r="U311">
        <v>0</v>
      </c>
      <c r="V311" t="s">
        <v>90</v>
      </c>
      <c r="W311">
        <v>0</v>
      </c>
      <c r="X311" t="s">
        <v>90</v>
      </c>
      <c r="Y311">
        <v>0</v>
      </c>
      <c r="Z311">
        <v>5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L311">
        <v>1.6E-2</v>
      </c>
      <c r="AN311" t="s">
        <v>185</v>
      </c>
      <c r="AO311" t="s">
        <v>73</v>
      </c>
      <c r="AP311">
        <v>200000</v>
      </c>
      <c r="AQ311" t="s">
        <v>97</v>
      </c>
      <c r="AS311">
        <v>10000</v>
      </c>
      <c r="AT311" t="s">
        <v>2381</v>
      </c>
      <c r="AU311" t="s">
        <v>75</v>
      </c>
      <c r="AV311" t="s">
        <v>76</v>
      </c>
    </row>
    <row r="312" spans="1:48" x14ac:dyDescent="0.15">
      <c r="A312" s="4" t="str">
        <f>HYPERLINK("https://ibp.a2mac1.com/costing(costing:projects/details/9760/assembly/8412570)","Safety")</f>
        <v>Safety</v>
      </c>
      <c r="B312">
        <v>8412570</v>
      </c>
      <c r="D312">
        <v>8412550</v>
      </c>
      <c r="F312">
        <v>1</v>
      </c>
      <c r="G312">
        <v>0</v>
      </c>
      <c r="H312">
        <v>19.649001274278362</v>
      </c>
      <c r="I312">
        <v>0</v>
      </c>
      <c r="J312" t="s">
        <v>90</v>
      </c>
      <c r="K312">
        <v>0</v>
      </c>
      <c r="L312">
        <v>19.649001274278362</v>
      </c>
      <c r="M312">
        <v>0</v>
      </c>
      <c r="N312">
        <v>0</v>
      </c>
      <c r="O312">
        <v>19.649001274278362</v>
      </c>
      <c r="P312" t="s">
        <v>90</v>
      </c>
      <c r="Q312">
        <v>0</v>
      </c>
      <c r="R312" t="s">
        <v>90</v>
      </c>
      <c r="S312">
        <v>0</v>
      </c>
      <c r="T312" t="s">
        <v>90</v>
      </c>
      <c r="U312">
        <v>0</v>
      </c>
      <c r="V312" t="s">
        <v>90</v>
      </c>
      <c r="W312">
        <v>0</v>
      </c>
      <c r="X312" t="s">
        <v>90</v>
      </c>
      <c r="Y312">
        <v>0</v>
      </c>
      <c r="Z312">
        <v>19.649001274278362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L312">
        <v>0.35599999999999998</v>
      </c>
      <c r="AN312" t="s">
        <v>185</v>
      </c>
      <c r="AO312" t="s">
        <v>73</v>
      </c>
      <c r="AP312">
        <v>200000</v>
      </c>
      <c r="AQ312" t="s">
        <v>73</v>
      </c>
      <c r="AS312">
        <v>10000</v>
      </c>
      <c r="AT312" t="s">
        <v>2382</v>
      </c>
      <c r="AU312" t="s">
        <v>75</v>
      </c>
      <c r="AV312" t="s">
        <v>76</v>
      </c>
    </row>
    <row r="313" spans="1:48" x14ac:dyDescent="0.15">
      <c r="A313" s="4" t="str">
        <f>HYPERLINK("https://ibp.a2mac1.com/costing(costing:projects/details/9760/assembly/8412754)","Rails")</f>
        <v>Rails</v>
      </c>
      <c r="B313">
        <v>8412754</v>
      </c>
      <c r="D313">
        <v>8412664</v>
      </c>
      <c r="F313">
        <v>1</v>
      </c>
      <c r="G313">
        <v>0</v>
      </c>
      <c r="H313">
        <v>11.234056122946347</v>
      </c>
      <c r="I313">
        <v>5.6452543331388681E-2</v>
      </c>
      <c r="J313" t="s">
        <v>176</v>
      </c>
      <c r="K313">
        <v>0.3931919643031222</v>
      </c>
      <c r="L313">
        <v>11.683700630580859</v>
      </c>
      <c r="M313">
        <v>0</v>
      </c>
      <c r="N313">
        <v>0</v>
      </c>
      <c r="O313">
        <v>11.683700630580859</v>
      </c>
      <c r="P313" t="s">
        <v>90</v>
      </c>
      <c r="Q313">
        <v>0</v>
      </c>
      <c r="R313" t="s">
        <v>90</v>
      </c>
      <c r="S313">
        <v>0</v>
      </c>
      <c r="T313" t="s">
        <v>90</v>
      </c>
      <c r="U313">
        <v>0</v>
      </c>
      <c r="V313" t="s">
        <v>90</v>
      </c>
      <c r="W313">
        <v>0</v>
      </c>
      <c r="X313" t="s">
        <v>90</v>
      </c>
      <c r="Y313">
        <v>0</v>
      </c>
      <c r="Z313">
        <v>11.683700630580859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L313">
        <v>3.65</v>
      </c>
      <c r="AN313" t="s">
        <v>740</v>
      </c>
      <c r="AO313" t="s">
        <v>73</v>
      </c>
      <c r="AP313">
        <v>200000</v>
      </c>
      <c r="AQ313" t="s">
        <v>73</v>
      </c>
      <c r="AS313">
        <v>10000</v>
      </c>
      <c r="AT313" t="s">
        <v>2392</v>
      </c>
      <c r="AU313" t="s">
        <v>75</v>
      </c>
      <c r="AV313" t="s">
        <v>76</v>
      </c>
    </row>
    <row r="314" spans="1:48" x14ac:dyDescent="0.15">
      <c r="A314" s="4" t="str">
        <f>HYPERLINK("https://ibp.a2mac1.com/costing(costing:projects/details/9760/assembly/8412664)","Longitudinal")</f>
        <v>Longitudinal</v>
      </c>
      <c r="B314">
        <v>8412664</v>
      </c>
      <c r="D314">
        <v>8412571</v>
      </c>
      <c r="F314">
        <v>1</v>
      </c>
      <c r="G314">
        <v>0</v>
      </c>
      <c r="H314">
        <v>16.612426994234518</v>
      </c>
      <c r="I314">
        <v>0</v>
      </c>
      <c r="J314" t="s">
        <v>90</v>
      </c>
      <c r="K314">
        <v>0</v>
      </c>
      <c r="L314">
        <v>16.612426994234518</v>
      </c>
      <c r="M314">
        <v>0</v>
      </c>
      <c r="N314">
        <v>0</v>
      </c>
      <c r="O314">
        <v>16.612426994234518</v>
      </c>
      <c r="P314" t="s">
        <v>90</v>
      </c>
      <c r="Q314">
        <v>0</v>
      </c>
      <c r="R314" t="s">
        <v>90</v>
      </c>
      <c r="S314">
        <v>0</v>
      </c>
      <c r="T314" t="s">
        <v>90</v>
      </c>
      <c r="U314">
        <v>0</v>
      </c>
      <c r="V314" t="s">
        <v>90</v>
      </c>
      <c r="W314">
        <v>0</v>
      </c>
      <c r="X314" t="s">
        <v>90</v>
      </c>
      <c r="Y314">
        <v>0</v>
      </c>
      <c r="Z314">
        <v>16.612426994234518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L314">
        <v>4.1592000000000002</v>
      </c>
      <c r="AN314" t="s">
        <v>185</v>
      </c>
      <c r="AO314" t="s">
        <v>73</v>
      </c>
      <c r="AP314">
        <v>200000</v>
      </c>
      <c r="AQ314" t="s">
        <v>73</v>
      </c>
      <c r="AS314">
        <v>10000</v>
      </c>
      <c r="AT314" t="s">
        <v>2401</v>
      </c>
      <c r="AU314" t="s">
        <v>75</v>
      </c>
      <c r="AV314" t="s">
        <v>76</v>
      </c>
    </row>
    <row r="315" spans="1:48" x14ac:dyDescent="0.15">
      <c r="A315" s="4" t="str">
        <f>HYPERLINK("https://ibp.a2mac1.com/costing(costing:projects/details/9760/assembly/8412665)","Longitudinal and Height")</f>
        <v>Longitudinal and Height</v>
      </c>
      <c r="B315">
        <v>8412665</v>
      </c>
      <c r="D315">
        <v>8412571</v>
      </c>
      <c r="F315">
        <v>1</v>
      </c>
      <c r="G315">
        <v>0</v>
      </c>
      <c r="H315">
        <v>7.7337046925107636E-2</v>
      </c>
      <c r="I315">
        <v>0</v>
      </c>
      <c r="J315" t="s">
        <v>90</v>
      </c>
      <c r="K315">
        <v>0</v>
      </c>
      <c r="L315">
        <v>7.7337046925107636E-2</v>
      </c>
      <c r="M315">
        <v>0</v>
      </c>
      <c r="N315">
        <v>0</v>
      </c>
      <c r="O315">
        <v>7.7337046925107636E-2</v>
      </c>
      <c r="P315" t="s">
        <v>90</v>
      </c>
      <c r="Q315">
        <v>0</v>
      </c>
      <c r="R315" t="s">
        <v>90</v>
      </c>
      <c r="S315">
        <v>0</v>
      </c>
      <c r="T315" t="s">
        <v>90</v>
      </c>
      <c r="U315">
        <v>0</v>
      </c>
      <c r="V315" t="s">
        <v>90</v>
      </c>
      <c r="W315">
        <v>0</v>
      </c>
      <c r="X315" t="s">
        <v>90</v>
      </c>
      <c r="Y315">
        <v>0</v>
      </c>
      <c r="Z315">
        <v>7.7337046925107636E-2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L315">
        <v>5.0000000000000001E-3</v>
      </c>
      <c r="AN315" t="s">
        <v>185</v>
      </c>
      <c r="AO315" t="s">
        <v>73</v>
      </c>
      <c r="AP315">
        <v>200000</v>
      </c>
      <c r="AQ315" t="s">
        <v>73</v>
      </c>
      <c r="AS315">
        <v>10000</v>
      </c>
      <c r="AT315" t="s">
        <v>2406</v>
      </c>
      <c r="AU315" t="s">
        <v>75</v>
      </c>
      <c r="AV315" t="s">
        <v>76</v>
      </c>
    </row>
    <row r="316" spans="1:48" x14ac:dyDescent="0.15">
      <c r="A316" s="4" t="str">
        <f>HYPERLINK("https://ibp.a2mac1.com/costing(costing:projects/details/9760/assembly/8412666)","Height")</f>
        <v>Height</v>
      </c>
      <c r="B316">
        <v>8412666</v>
      </c>
      <c r="D316">
        <v>8412571</v>
      </c>
      <c r="F316">
        <v>1</v>
      </c>
      <c r="G316">
        <v>0</v>
      </c>
      <c r="H316">
        <v>8.0250000000000004</v>
      </c>
      <c r="I316">
        <v>0</v>
      </c>
      <c r="J316" t="s">
        <v>90</v>
      </c>
      <c r="K316">
        <v>0</v>
      </c>
      <c r="L316">
        <v>8.0250000000000004</v>
      </c>
      <c r="M316">
        <v>0</v>
      </c>
      <c r="N316">
        <v>0</v>
      </c>
      <c r="O316">
        <v>8.0250000000000004</v>
      </c>
      <c r="P316" t="s">
        <v>90</v>
      </c>
      <c r="Q316">
        <v>0</v>
      </c>
      <c r="R316" t="s">
        <v>90</v>
      </c>
      <c r="S316">
        <v>0</v>
      </c>
      <c r="T316" t="s">
        <v>90</v>
      </c>
      <c r="U316">
        <v>0</v>
      </c>
      <c r="V316" t="s">
        <v>90</v>
      </c>
      <c r="W316">
        <v>0</v>
      </c>
      <c r="X316" t="s">
        <v>90</v>
      </c>
      <c r="Y316">
        <v>0</v>
      </c>
      <c r="Z316">
        <v>8.0250000000000004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L316">
        <v>0.82799999999999996</v>
      </c>
      <c r="AN316" t="s">
        <v>185</v>
      </c>
      <c r="AO316" t="s">
        <v>73</v>
      </c>
      <c r="AP316">
        <v>200000</v>
      </c>
      <c r="AQ316" t="s">
        <v>73</v>
      </c>
      <c r="AS316">
        <v>10000</v>
      </c>
      <c r="AT316" t="s">
        <v>2412</v>
      </c>
      <c r="AU316" t="s">
        <v>75</v>
      </c>
      <c r="AV316" t="s">
        <v>76</v>
      </c>
    </row>
    <row r="317" spans="1:48" x14ac:dyDescent="0.15">
      <c r="A317" s="4" t="str">
        <f>HYPERLINK("https://ibp.a2mac1.com/costing(costing:projects/details/9760/assembly/8412760)","Mechanism")</f>
        <v>Mechanism</v>
      </c>
      <c r="B317">
        <v>8412760</v>
      </c>
      <c r="D317">
        <v>8412667</v>
      </c>
      <c r="F317">
        <v>1</v>
      </c>
      <c r="G317">
        <v>0</v>
      </c>
      <c r="H317">
        <v>2.6749999999999998</v>
      </c>
      <c r="I317">
        <v>0</v>
      </c>
      <c r="J317" t="s">
        <v>90</v>
      </c>
      <c r="K317">
        <v>0</v>
      </c>
      <c r="L317">
        <v>2.6749999999999998</v>
      </c>
      <c r="M317">
        <v>0</v>
      </c>
      <c r="N317">
        <v>0</v>
      </c>
      <c r="O317">
        <v>2.6749999999999998</v>
      </c>
      <c r="P317" t="s">
        <v>90</v>
      </c>
      <c r="Q317">
        <v>0</v>
      </c>
      <c r="R317" t="s">
        <v>90</v>
      </c>
      <c r="S317">
        <v>0</v>
      </c>
      <c r="T317" t="s">
        <v>90</v>
      </c>
      <c r="U317">
        <v>0</v>
      </c>
      <c r="V317" t="s">
        <v>90</v>
      </c>
      <c r="W317">
        <v>0</v>
      </c>
      <c r="X317" t="s">
        <v>90</v>
      </c>
      <c r="Y317">
        <v>0</v>
      </c>
      <c r="Z317">
        <v>2.6749999999999998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L317">
        <v>0.26800000000000002</v>
      </c>
      <c r="AN317" t="s">
        <v>185</v>
      </c>
      <c r="AO317" t="s">
        <v>73</v>
      </c>
      <c r="AP317">
        <v>200000</v>
      </c>
      <c r="AQ317" t="s">
        <v>73</v>
      </c>
      <c r="AS317">
        <v>10000</v>
      </c>
      <c r="AT317" t="s">
        <v>2417</v>
      </c>
      <c r="AU317" t="s">
        <v>75</v>
      </c>
      <c r="AV317" t="s">
        <v>76</v>
      </c>
    </row>
    <row r="318" spans="1:48" x14ac:dyDescent="0.15">
      <c r="A318" s="4" t="str">
        <f>HYPERLINK("https://ibp.a2mac1.com/costing(costing:projects/details/9760/assembly/8412667)","Recliner")</f>
        <v>Recliner</v>
      </c>
      <c r="B318">
        <v>8412667</v>
      </c>
      <c r="D318">
        <v>8412571</v>
      </c>
      <c r="F318">
        <v>1</v>
      </c>
      <c r="G318">
        <v>0</v>
      </c>
      <c r="H318">
        <v>6.1523370469251075</v>
      </c>
      <c r="I318">
        <v>0</v>
      </c>
      <c r="J318" t="s">
        <v>90</v>
      </c>
      <c r="K318">
        <v>0</v>
      </c>
      <c r="L318">
        <v>6.1523370469251075</v>
      </c>
      <c r="M318">
        <v>0</v>
      </c>
      <c r="N318">
        <v>0</v>
      </c>
      <c r="O318">
        <v>6.1523370469251075</v>
      </c>
      <c r="P318" t="s">
        <v>90</v>
      </c>
      <c r="Q318">
        <v>0</v>
      </c>
      <c r="R318" t="s">
        <v>90</v>
      </c>
      <c r="S318">
        <v>0</v>
      </c>
      <c r="T318" t="s">
        <v>90</v>
      </c>
      <c r="U318">
        <v>0</v>
      </c>
      <c r="V318" t="s">
        <v>90</v>
      </c>
      <c r="W318">
        <v>0</v>
      </c>
      <c r="X318" t="s">
        <v>90</v>
      </c>
      <c r="Y318">
        <v>0</v>
      </c>
      <c r="Z318">
        <v>6.1523370469251075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L318">
        <v>0.54600000000000004</v>
      </c>
      <c r="AN318" t="s">
        <v>185</v>
      </c>
      <c r="AO318" t="s">
        <v>73</v>
      </c>
      <c r="AP318">
        <v>200000</v>
      </c>
      <c r="AQ318" t="s">
        <v>73</v>
      </c>
      <c r="AS318">
        <v>10000</v>
      </c>
      <c r="AT318" t="s">
        <v>2423</v>
      </c>
      <c r="AU318" t="s">
        <v>75</v>
      </c>
      <c r="AV318" t="s">
        <v>76</v>
      </c>
    </row>
    <row r="319" spans="1:48" x14ac:dyDescent="0.15">
      <c r="A319" s="4" t="str">
        <f>HYPERLINK("https://ibp.a2mac1.com/costing(costing:projects/details/9760/assembly/8412571)","Power Adjusters")</f>
        <v>Power Adjusters</v>
      </c>
      <c r="B319">
        <v>8412571</v>
      </c>
      <c r="D319">
        <v>8412550</v>
      </c>
      <c r="F319">
        <v>1</v>
      </c>
      <c r="G319">
        <v>0</v>
      </c>
      <c r="H319">
        <v>34.666245232620049</v>
      </c>
      <c r="I319">
        <v>0</v>
      </c>
      <c r="J319" t="s">
        <v>90</v>
      </c>
      <c r="K319">
        <v>0</v>
      </c>
      <c r="L319">
        <v>34.666245232620049</v>
      </c>
      <c r="M319">
        <v>0</v>
      </c>
      <c r="N319">
        <v>0</v>
      </c>
      <c r="O319">
        <v>34.666245232620049</v>
      </c>
      <c r="P319" t="s">
        <v>90</v>
      </c>
      <c r="Q319">
        <v>0</v>
      </c>
      <c r="R319" t="s">
        <v>90</v>
      </c>
      <c r="S319">
        <v>0</v>
      </c>
      <c r="T319" t="s">
        <v>90</v>
      </c>
      <c r="U319">
        <v>0</v>
      </c>
      <c r="V319" t="s">
        <v>90</v>
      </c>
      <c r="W319">
        <v>0</v>
      </c>
      <c r="X319" t="s">
        <v>90</v>
      </c>
      <c r="Y319">
        <v>0</v>
      </c>
      <c r="Z319">
        <v>34.666245232620049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L319">
        <v>5.7020999999999997</v>
      </c>
      <c r="AN319" t="s">
        <v>185</v>
      </c>
      <c r="AO319" t="s">
        <v>73</v>
      </c>
      <c r="AP319">
        <v>200000</v>
      </c>
      <c r="AQ319" t="s">
        <v>73</v>
      </c>
      <c r="AS319">
        <v>10000</v>
      </c>
      <c r="AT319" t="s">
        <v>2428</v>
      </c>
      <c r="AU319" t="s">
        <v>75</v>
      </c>
      <c r="AV319" t="s">
        <v>76</v>
      </c>
    </row>
    <row r="320" spans="1:48" x14ac:dyDescent="0.15">
      <c r="A320" s="4" t="str">
        <f>HYPERLINK("https://ibp.a2mac1.com/costing(costing:projects/details/9760/assembly/8412572)","Support System")</f>
        <v>Support System</v>
      </c>
      <c r="B320">
        <v>8412572</v>
      </c>
      <c r="D320">
        <v>8412550</v>
      </c>
      <c r="F320">
        <v>1</v>
      </c>
      <c r="G320">
        <v>0</v>
      </c>
      <c r="H320">
        <v>0.34859975902291618</v>
      </c>
      <c r="I320">
        <v>0</v>
      </c>
      <c r="J320" t="s">
        <v>90</v>
      </c>
      <c r="K320">
        <v>0</v>
      </c>
      <c r="L320">
        <v>0.34859975902291618</v>
      </c>
      <c r="M320">
        <v>0</v>
      </c>
      <c r="N320">
        <v>0</v>
      </c>
      <c r="O320">
        <v>0.34859975902291618</v>
      </c>
      <c r="P320" t="s">
        <v>90</v>
      </c>
      <c r="Q320">
        <v>0</v>
      </c>
      <c r="R320" t="s">
        <v>90</v>
      </c>
      <c r="S320">
        <v>0</v>
      </c>
      <c r="T320" t="s">
        <v>90</v>
      </c>
      <c r="U320">
        <v>0</v>
      </c>
      <c r="V320" t="s">
        <v>90</v>
      </c>
      <c r="W320">
        <v>0</v>
      </c>
      <c r="X320" t="s">
        <v>90</v>
      </c>
      <c r="Y320">
        <v>0</v>
      </c>
      <c r="Z320">
        <v>0.34859975902291618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L320">
        <v>9.1999999999999998E-2</v>
      </c>
      <c r="AN320" t="s">
        <v>185</v>
      </c>
      <c r="AO320" t="s">
        <v>73</v>
      </c>
      <c r="AP320">
        <v>200000</v>
      </c>
      <c r="AQ320" t="s">
        <v>73</v>
      </c>
      <c r="AS320">
        <v>10000</v>
      </c>
      <c r="AT320" t="s">
        <v>2442</v>
      </c>
      <c r="AU320" t="s">
        <v>75</v>
      </c>
      <c r="AV320" t="s">
        <v>76</v>
      </c>
    </row>
    <row r="321" spans="1:48" x14ac:dyDescent="0.15">
      <c r="A321" s="4" t="str">
        <f>HYPERLINK("https://ibp.a2mac1.com/costing(costing:projects/details/9760/assembly/8412573)","Heating System")</f>
        <v>Heating System</v>
      </c>
      <c r="B321">
        <v>8412573</v>
      </c>
      <c r="D321">
        <v>8412550</v>
      </c>
      <c r="F321">
        <v>1</v>
      </c>
      <c r="G321">
        <v>0</v>
      </c>
      <c r="H321">
        <v>8</v>
      </c>
      <c r="I321">
        <v>0</v>
      </c>
      <c r="J321" t="s">
        <v>90</v>
      </c>
      <c r="K321">
        <v>0</v>
      </c>
      <c r="L321">
        <v>8</v>
      </c>
      <c r="M321">
        <v>0</v>
      </c>
      <c r="N321">
        <v>0</v>
      </c>
      <c r="O321">
        <v>8</v>
      </c>
      <c r="P321" t="s">
        <v>90</v>
      </c>
      <c r="Q321">
        <v>0</v>
      </c>
      <c r="R321" t="s">
        <v>90</v>
      </c>
      <c r="S321">
        <v>0</v>
      </c>
      <c r="T321" t="s">
        <v>90</v>
      </c>
      <c r="U321">
        <v>0</v>
      </c>
      <c r="V321" t="s">
        <v>90</v>
      </c>
      <c r="W321">
        <v>0</v>
      </c>
      <c r="X321" t="s">
        <v>90</v>
      </c>
      <c r="Y321">
        <v>0</v>
      </c>
      <c r="Z321">
        <v>8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L321">
        <v>6.5000000000000002E-2</v>
      </c>
      <c r="AN321" t="s">
        <v>185</v>
      </c>
      <c r="AO321" t="s">
        <v>73</v>
      </c>
      <c r="AP321">
        <v>200000</v>
      </c>
      <c r="AQ321" t="s">
        <v>73</v>
      </c>
      <c r="AS321">
        <v>10000</v>
      </c>
      <c r="AT321" t="s">
        <v>2446</v>
      </c>
      <c r="AU321" t="s">
        <v>75</v>
      </c>
      <c r="AV321" t="s">
        <v>76</v>
      </c>
    </row>
    <row r="322" spans="1:48" x14ac:dyDescent="0.15">
      <c r="A322" s="4" t="str">
        <f>HYPERLINK("https://ibp.a2mac1.com/costing(costing:projects/details/9760/assembly/8412678)","Blower Unit System")</f>
        <v>Blower Unit System</v>
      </c>
      <c r="B322">
        <v>8412678</v>
      </c>
      <c r="D322">
        <v>8412574</v>
      </c>
      <c r="F322">
        <v>1</v>
      </c>
      <c r="G322">
        <v>0</v>
      </c>
      <c r="H322">
        <v>0.15357344492510763</v>
      </c>
      <c r="I322">
        <v>0</v>
      </c>
      <c r="J322" t="s">
        <v>90</v>
      </c>
      <c r="K322">
        <v>0</v>
      </c>
      <c r="L322">
        <v>0.15357344492510763</v>
      </c>
      <c r="M322">
        <v>0</v>
      </c>
      <c r="N322">
        <v>0</v>
      </c>
      <c r="O322">
        <v>0.15357344492510763</v>
      </c>
      <c r="P322" t="s">
        <v>90</v>
      </c>
      <c r="Q322">
        <v>0</v>
      </c>
      <c r="R322" t="s">
        <v>90</v>
      </c>
      <c r="S322">
        <v>0</v>
      </c>
      <c r="T322" t="s">
        <v>90</v>
      </c>
      <c r="U322">
        <v>0</v>
      </c>
      <c r="V322" t="s">
        <v>90</v>
      </c>
      <c r="W322">
        <v>0</v>
      </c>
      <c r="X322" t="s">
        <v>90</v>
      </c>
      <c r="Y322">
        <v>0</v>
      </c>
      <c r="Z322">
        <v>0.15357344492510763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L322">
        <v>8.3199999999999996E-2</v>
      </c>
      <c r="AN322" t="s">
        <v>185</v>
      </c>
      <c r="AO322" t="s">
        <v>73</v>
      </c>
      <c r="AP322">
        <v>200000</v>
      </c>
      <c r="AQ322" t="s">
        <v>73</v>
      </c>
      <c r="AS322">
        <v>10000</v>
      </c>
      <c r="AT322" t="s">
        <v>2452</v>
      </c>
      <c r="AU322" t="s">
        <v>75</v>
      </c>
      <c r="AV322" t="s">
        <v>76</v>
      </c>
    </row>
    <row r="323" spans="1:48" x14ac:dyDescent="0.15">
      <c r="A323" s="4" t="str">
        <f>HYPERLINK("https://ibp.a2mac1.com/costing(costing:projects/details/9760/assembly/8412574)","Ventilation System")</f>
        <v>Ventilation System</v>
      </c>
      <c r="B323">
        <v>8412574</v>
      </c>
      <c r="D323">
        <v>8412550</v>
      </c>
      <c r="F323">
        <v>1</v>
      </c>
      <c r="G323">
        <v>0</v>
      </c>
      <c r="H323">
        <v>13.965944974396946</v>
      </c>
      <c r="I323">
        <v>0</v>
      </c>
      <c r="J323" t="s">
        <v>90</v>
      </c>
      <c r="K323">
        <v>0</v>
      </c>
      <c r="L323">
        <v>13.965944974396946</v>
      </c>
      <c r="M323">
        <v>0</v>
      </c>
      <c r="N323">
        <v>0</v>
      </c>
      <c r="O323">
        <v>13.965944974396946</v>
      </c>
      <c r="P323" t="s">
        <v>90</v>
      </c>
      <c r="Q323">
        <v>0</v>
      </c>
      <c r="R323" t="s">
        <v>90</v>
      </c>
      <c r="S323">
        <v>0</v>
      </c>
      <c r="T323" t="s">
        <v>90</v>
      </c>
      <c r="U323">
        <v>0</v>
      </c>
      <c r="V323" t="s">
        <v>90</v>
      </c>
      <c r="W323">
        <v>0</v>
      </c>
      <c r="X323" t="s">
        <v>90</v>
      </c>
      <c r="Y323">
        <v>0</v>
      </c>
      <c r="Z323">
        <v>13.965944974396946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L323">
        <v>0.58940000000000003</v>
      </c>
      <c r="AN323" t="s">
        <v>185</v>
      </c>
      <c r="AO323" t="s">
        <v>73</v>
      </c>
      <c r="AP323">
        <v>200000</v>
      </c>
      <c r="AQ323" t="s">
        <v>73</v>
      </c>
      <c r="AS323">
        <v>10000</v>
      </c>
      <c r="AT323" t="s">
        <v>2461</v>
      </c>
      <c r="AU323" t="s">
        <v>75</v>
      </c>
      <c r="AV323" t="s">
        <v>76</v>
      </c>
    </row>
    <row r="324" spans="1:48" x14ac:dyDescent="0.15">
      <c r="A324" s="4" t="str">
        <f>HYPERLINK("https://ibp.a2mac1.com/costing(costing:projects/details/9760/assembly/8412550)","Passenger")</f>
        <v>Passenger</v>
      </c>
      <c r="B324">
        <v>8412550</v>
      </c>
      <c r="D324">
        <v>8412548</v>
      </c>
      <c r="F324">
        <v>1</v>
      </c>
      <c r="G324">
        <v>0</v>
      </c>
      <c r="H324">
        <v>203.59206735951503</v>
      </c>
      <c r="I324">
        <v>1.0230757153744474</v>
      </c>
      <c r="J324" t="s">
        <v>176</v>
      </c>
      <c r="K324">
        <v>7.125722357583026</v>
      </c>
      <c r="L324">
        <v>211.7408654324725</v>
      </c>
      <c r="M324">
        <v>0</v>
      </c>
      <c r="N324">
        <v>9.2958926023096904</v>
      </c>
      <c r="O324">
        <v>221.0367580347822</v>
      </c>
      <c r="P324" t="s">
        <v>177</v>
      </c>
      <c r="Q324">
        <v>12.704451925948351</v>
      </c>
      <c r="R324" t="s">
        <v>177</v>
      </c>
      <c r="S324">
        <v>0.55775355613858146</v>
      </c>
      <c r="T324" t="s">
        <v>178</v>
      </c>
      <c r="U324">
        <v>26.524410964173864</v>
      </c>
      <c r="V324" t="s">
        <v>90</v>
      </c>
      <c r="W324">
        <v>0</v>
      </c>
      <c r="X324" t="s">
        <v>90</v>
      </c>
      <c r="Y324">
        <v>0</v>
      </c>
      <c r="Z324">
        <v>260.823374481043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750</v>
      </c>
      <c r="AI324">
        <v>545</v>
      </c>
      <c r="AJ324">
        <v>1015</v>
      </c>
      <c r="AL324">
        <v>22.611499999999999</v>
      </c>
      <c r="AN324" t="s">
        <v>772</v>
      </c>
      <c r="AO324" t="s">
        <v>73</v>
      </c>
      <c r="AP324">
        <v>200000</v>
      </c>
      <c r="AQ324" t="s">
        <v>97</v>
      </c>
      <c r="AS324">
        <v>10000</v>
      </c>
      <c r="AT324" t="s">
        <v>2469</v>
      </c>
      <c r="AU324" t="s">
        <v>75</v>
      </c>
      <c r="AV324" t="s">
        <v>76</v>
      </c>
    </row>
    <row r="325" spans="1:48" x14ac:dyDescent="0.15">
      <c r="A325" s="4" t="str">
        <f>HYPERLINK("https://ibp.a2mac1.com/costing(costing:projects/details/9760/assembly/8412679)","Head Rest")</f>
        <v>Head Rest</v>
      </c>
      <c r="B325">
        <v>8412679</v>
      </c>
      <c r="D325">
        <v>8412578</v>
      </c>
      <c r="F325">
        <v>1</v>
      </c>
      <c r="G325">
        <v>0</v>
      </c>
      <c r="H325">
        <v>12.291839396547685</v>
      </c>
      <c r="I325">
        <v>0</v>
      </c>
      <c r="J325" t="s">
        <v>90</v>
      </c>
      <c r="K325">
        <v>0</v>
      </c>
      <c r="L325">
        <v>12.291839396547685</v>
      </c>
      <c r="M325">
        <v>0</v>
      </c>
      <c r="N325">
        <v>0</v>
      </c>
      <c r="O325">
        <v>12.291839396547685</v>
      </c>
      <c r="P325" t="s">
        <v>90</v>
      </c>
      <c r="Q325">
        <v>0</v>
      </c>
      <c r="R325" t="s">
        <v>90</v>
      </c>
      <c r="S325">
        <v>0</v>
      </c>
      <c r="T325" t="s">
        <v>90</v>
      </c>
      <c r="U325">
        <v>0</v>
      </c>
      <c r="V325" t="s">
        <v>90</v>
      </c>
      <c r="W325">
        <v>0</v>
      </c>
      <c r="X325" t="s">
        <v>90</v>
      </c>
      <c r="Y325">
        <v>0</v>
      </c>
      <c r="Z325">
        <v>12.291839396547685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115</v>
      </c>
      <c r="AI325">
        <v>215</v>
      </c>
      <c r="AJ325">
        <v>260</v>
      </c>
      <c r="AL325">
        <v>0.55800000000000005</v>
      </c>
      <c r="AN325" t="s">
        <v>185</v>
      </c>
      <c r="AO325" t="s">
        <v>73</v>
      </c>
      <c r="AP325">
        <v>200000</v>
      </c>
      <c r="AQ325" t="s">
        <v>73</v>
      </c>
      <c r="AS325">
        <v>10000</v>
      </c>
      <c r="AT325" t="s">
        <v>2480</v>
      </c>
      <c r="AU325" t="s">
        <v>75</v>
      </c>
      <c r="AV325" t="s">
        <v>76</v>
      </c>
    </row>
    <row r="326" spans="1:48" x14ac:dyDescent="0.15">
      <c r="A326" s="4" t="str">
        <f>HYPERLINK("https://ibp.a2mac1.com/costing(costing:projects/details/9760/assembly/8412770)","Head Rest Support")</f>
        <v>Head Rest Support</v>
      </c>
      <c r="B326">
        <v>8412770</v>
      </c>
      <c r="D326">
        <v>8412680</v>
      </c>
      <c r="F326">
        <v>1</v>
      </c>
      <c r="G326">
        <v>0</v>
      </c>
      <c r="H326">
        <v>0.29078659951145808</v>
      </c>
      <c r="I326">
        <v>1.4612391935249149E-3</v>
      </c>
      <c r="J326" t="s">
        <v>176</v>
      </c>
      <c r="K326">
        <v>1.0177530982901032E-2</v>
      </c>
      <c r="L326">
        <v>0.30242536968788403</v>
      </c>
      <c r="M326">
        <v>0</v>
      </c>
      <c r="N326">
        <v>0</v>
      </c>
      <c r="O326">
        <v>0.30242536968788403</v>
      </c>
      <c r="P326" t="s">
        <v>90</v>
      </c>
      <c r="Q326">
        <v>0</v>
      </c>
      <c r="R326" t="s">
        <v>90</v>
      </c>
      <c r="S326">
        <v>0</v>
      </c>
      <c r="T326" t="s">
        <v>90</v>
      </c>
      <c r="U326">
        <v>0</v>
      </c>
      <c r="V326" t="s">
        <v>90</v>
      </c>
      <c r="W326">
        <v>0</v>
      </c>
      <c r="X326" t="s">
        <v>90</v>
      </c>
      <c r="Y326">
        <v>0</v>
      </c>
      <c r="Z326">
        <v>0.30242536968788403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L326">
        <v>4.2000000000000003E-2</v>
      </c>
      <c r="AN326" t="s">
        <v>740</v>
      </c>
      <c r="AO326" t="s">
        <v>73</v>
      </c>
      <c r="AP326">
        <v>200000</v>
      </c>
      <c r="AQ326" t="s">
        <v>73</v>
      </c>
      <c r="AS326">
        <v>10000</v>
      </c>
      <c r="AT326" t="s">
        <v>2490</v>
      </c>
      <c r="AU326" t="s">
        <v>75</v>
      </c>
      <c r="AV326" t="s">
        <v>76</v>
      </c>
    </row>
    <row r="327" spans="1:48" x14ac:dyDescent="0.15">
      <c r="A327" s="4" t="str">
        <f>HYPERLINK("https://ibp.a2mac1.com/costing(costing:projects/details/9760/assembly/8412823)","Handle")</f>
        <v>Handle</v>
      </c>
      <c r="B327">
        <v>8412823</v>
      </c>
      <c r="D327">
        <v>8412771</v>
      </c>
      <c r="F327">
        <v>1</v>
      </c>
      <c r="G327">
        <v>0</v>
      </c>
      <c r="H327">
        <v>1.1554270479447015</v>
      </c>
      <c r="I327">
        <v>5.806166070073877E-3</v>
      </c>
      <c r="J327" t="s">
        <v>176</v>
      </c>
      <c r="K327">
        <v>4.0439946678064553E-2</v>
      </c>
      <c r="L327">
        <v>1.2016731606928399</v>
      </c>
      <c r="M327">
        <v>0</v>
      </c>
      <c r="N327">
        <v>0</v>
      </c>
      <c r="O327">
        <v>1.2016731606928399</v>
      </c>
      <c r="P327" t="s">
        <v>90</v>
      </c>
      <c r="Q327">
        <v>0</v>
      </c>
      <c r="R327" t="s">
        <v>90</v>
      </c>
      <c r="S327">
        <v>0</v>
      </c>
      <c r="T327" t="s">
        <v>90</v>
      </c>
      <c r="U327">
        <v>0</v>
      </c>
      <c r="V327" t="s">
        <v>90</v>
      </c>
      <c r="W327">
        <v>0</v>
      </c>
      <c r="X327" t="s">
        <v>90</v>
      </c>
      <c r="Y327">
        <v>0</v>
      </c>
      <c r="Z327">
        <v>1.2016731606928399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L327">
        <v>0.25</v>
      </c>
      <c r="AN327" t="s">
        <v>740</v>
      </c>
      <c r="AO327" t="s">
        <v>73</v>
      </c>
      <c r="AP327">
        <v>200000</v>
      </c>
      <c r="AQ327" t="s">
        <v>73</v>
      </c>
      <c r="AS327">
        <v>10000</v>
      </c>
      <c r="AT327" t="s">
        <v>2506</v>
      </c>
      <c r="AU327" t="s">
        <v>75</v>
      </c>
      <c r="AV327" t="s">
        <v>76</v>
      </c>
    </row>
    <row r="328" spans="1:48" x14ac:dyDescent="0.15">
      <c r="A328" s="4" t="str">
        <f>HYPERLINK("https://ibp.a2mac1.com/costing(costing:projects/details/9760/assembly/8412771)","Locking System")</f>
        <v>Locking System</v>
      </c>
      <c r="B328">
        <v>8412771</v>
      </c>
      <c r="D328">
        <v>8412680</v>
      </c>
      <c r="F328">
        <v>1</v>
      </c>
      <c r="G328">
        <v>0</v>
      </c>
      <c r="H328">
        <v>3.2516731606928397</v>
      </c>
      <c r="I328">
        <v>0</v>
      </c>
      <c r="J328" t="s">
        <v>90</v>
      </c>
      <c r="K328">
        <v>0</v>
      </c>
      <c r="L328">
        <v>3.2516731606928397</v>
      </c>
      <c r="M328">
        <v>0</v>
      </c>
      <c r="N328">
        <v>0</v>
      </c>
      <c r="O328">
        <v>3.2516731606928397</v>
      </c>
      <c r="P328" t="s">
        <v>90</v>
      </c>
      <c r="Q328">
        <v>0</v>
      </c>
      <c r="R328" t="s">
        <v>90</v>
      </c>
      <c r="S328">
        <v>0</v>
      </c>
      <c r="T328" t="s">
        <v>90</v>
      </c>
      <c r="U328">
        <v>0</v>
      </c>
      <c r="V328" t="s">
        <v>90</v>
      </c>
      <c r="W328">
        <v>0</v>
      </c>
      <c r="X328" t="s">
        <v>90</v>
      </c>
      <c r="Y328">
        <v>0</v>
      </c>
      <c r="Z328">
        <v>3.2516731606928397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L328">
        <v>0.56100000000000005</v>
      </c>
      <c r="AN328" t="s">
        <v>185</v>
      </c>
      <c r="AO328" t="s">
        <v>73</v>
      </c>
      <c r="AP328">
        <v>200000</v>
      </c>
      <c r="AQ328" t="s">
        <v>73</v>
      </c>
      <c r="AS328">
        <v>10000</v>
      </c>
      <c r="AT328" t="s">
        <v>2511</v>
      </c>
      <c r="AU328" t="s">
        <v>75</v>
      </c>
      <c r="AV328" t="s">
        <v>76</v>
      </c>
    </row>
    <row r="329" spans="1:48" x14ac:dyDescent="0.15">
      <c r="A329" s="4" t="str">
        <f>HYPERLINK("https://ibp.a2mac1.com/costing(costing:projects/details/9760/assembly/8412680)","Back")</f>
        <v>Back</v>
      </c>
      <c r="B329">
        <v>8412680</v>
      </c>
      <c r="D329">
        <v>8412578</v>
      </c>
      <c r="F329">
        <v>1</v>
      </c>
      <c r="G329">
        <v>0</v>
      </c>
      <c r="H329">
        <v>49.627161889347192</v>
      </c>
      <c r="I329">
        <v>0</v>
      </c>
      <c r="J329" t="s">
        <v>90</v>
      </c>
      <c r="K329">
        <v>0</v>
      </c>
      <c r="L329">
        <v>49.627161889347192</v>
      </c>
      <c r="M329">
        <v>0</v>
      </c>
      <c r="N329">
        <v>0</v>
      </c>
      <c r="O329">
        <v>49.627161889347192</v>
      </c>
      <c r="P329" t="s">
        <v>90</v>
      </c>
      <c r="Q329">
        <v>0</v>
      </c>
      <c r="R329" t="s">
        <v>90</v>
      </c>
      <c r="S329">
        <v>0</v>
      </c>
      <c r="T329" t="s">
        <v>90</v>
      </c>
      <c r="U329">
        <v>0</v>
      </c>
      <c r="V329" t="s">
        <v>90</v>
      </c>
      <c r="W329">
        <v>0</v>
      </c>
      <c r="X329" t="s">
        <v>90</v>
      </c>
      <c r="Y329">
        <v>0</v>
      </c>
      <c r="Z329">
        <v>49.627161889347192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210</v>
      </c>
      <c r="AI329">
        <v>490</v>
      </c>
      <c r="AJ329">
        <v>730</v>
      </c>
      <c r="AL329">
        <v>5.7178000000000004</v>
      </c>
      <c r="AN329" t="s">
        <v>185</v>
      </c>
      <c r="AO329" t="s">
        <v>73</v>
      </c>
      <c r="AP329">
        <v>200000</v>
      </c>
      <c r="AQ329" t="s">
        <v>73</v>
      </c>
      <c r="AS329">
        <v>10000</v>
      </c>
      <c r="AT329" t="s">
        <v>2527</v>
      </c>
      <c r="AU329" t="s">
        <v>75</v>
      </c>
      <c r="AV329" t="s">
        <v>76</v>
      </c>
    </row>
    <row r="330" spans="1:48" x14ac:dyDescent="0.15">
      <c r="A330" s="4" t="str">
        <f>HYPERLINK("https://ibp.a2mac1.com/costing(costing:projects/details/9760/assembly/8412681)","Support System")</f>
        <v>Support System</v>
      </c>
      <c r="B330">
        <v>8412681</v>
      </c>
      <c r="D330">
        <v>8412578</v>
      </c>
      <c r="F330">
        <v>1</v>
      </c>
      <c r="G330">
        <v>0</v>
      </c>
      <c r="H330">
        <v>0.2896446412638648</v>
      </c>
      <c r="I330">
        <v>0</v>
      </c>
      <c r="J330" t="s">
        <v>90</v>
      </c>
      <c r="K330">
        <v>0</v>
      </c>
      <c r="L330">
        <v>0.2896446412638648</v>
      </c>
      <c r="M330">
        <v>0</v>
      </c>
      <c r="N330">
        <v>0</v>
      </c>
      <c r="O330">
        <v>0.2896446412638648</v>
      </c>
      <c r="P330" t="s">
        <v>90</v>
      </c>
      <c r="Q330">
        <v>0</v>
      </c>
      <c r="R330" t="s">
        <v>90</v>
      </c>
      <c r="S330">
        <v>0</v>
      </c>
      <c r="T330" t="s">
        <v>90</v>
      </c>
      <c r="U330">
        <v>0</v>
      </c>
      <c r="V330" t="s">
        <v>90</v>
      </c>
      <c r="W330">
        <v>0</v>
      </c>
      <c r="X330" t="s">
        <v>90</v>
      </c>
      <c r="Y330">
        <v>0</v>
      </c>
      <c r="Z330">
        <v>0.2896446412638648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L330">
        <v>0.22600000000000001</v>
      </c>
      <c r="AN330" t="s">
        <v>185</v>
      </c>
      <c r="AO330" t="s">
        <v>73</v>
      </c>
      <c r="AP330">
        <v>200000</v>
      </c>
      <c r="AQ330" t="s">
        <v>73</v>
      </c>
      <c r="AS330">
        <v>10000</v>
      </c>
      <c r="AT330" t="s">
        <v>2532</v>
      </c>
      <c r="AU330" t="s">
        <v>75</v>
      </c>
      <c r="AV330" t="s">
        <v>76</v>
      </c>
    </row>
    <row r="331" spans="1:48" x14ac:dyDescent="0.15">
      <c r="A331" s="4" t="str">
        <f>HYPERLINK("https://ibp.a2mac1.com/costing(costing:projects/details/9760/assembly/8412578)","Seat 1-3")</f>
        <v>Seat 1-3</v>
      </c>
      <c r="B331">
        <v>8412578</v>
      </c>
      <c r="D331">
        <v>8412551</v>
      </c>
      <c r="F331">
        <v>1</v>
      </c>
      <c r="G331">
        <v>0</v>
      </c>
      <c r="H331">
        <v>62.208645927158742</v>
      </c>
      <c r="I331">
        <v>0</v>
      </c>
      <c r="J331" t="s">
        <v>90</v>
      </c>
      <c r="K331">
        <v>0</v>
      </c>
      <c r="L331">
        <v>62.208645927158742</v>
      </c>
      <c r="M331">
        <v>0</v>
      </c>
      <c r="N331">
        <v>0</v>
      </c>
      <c r="O331">
        <v>62.208645927158742</v>
      </c>
      <c r="P331" t="s">
        <v>90</v>
      </c>
      <c r="Q331">
        <v>0</v>
      </c>
      <c r="R331" t="s">
        <v>90</v>
      </c>
      <c r="S331">
        <v>0</v>
      </c>
      <c r="T331" t="s">
        <v>90</v>
      </c>
      <c r="U331">
        <v>0</v>
      </c>
      <c r="V331" t="s">
        <v>90</v>
      </c>
      <c r="W331">
        <v>0</v>
      </c>
      <c r="X331" t="s">
        <v>90</v>
      </c>
      <c r="Y331">
        <v>0</v>
      </c>
      <c r="Z331">
        <v>62.208645927158742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L331">
        <v>6.5018000000000002</v>
      </c>
      <c r="AN331" t="s">
        <v>185</v>
      </c>
      <c r="AO331" t="s">
        <v>73</v>
      </c>
      <c r="AP331">
        <v>200000</v>
      </c>
      <c r="AQ331" t="s">
        <v>73</v>
      </c>
      <c r="AS331">
        <v>10000</v>
      </c>
      <c r="AT331" t="s">
        <v>2533</v>
      </c>
      <c r="AU331" t="s">
        <v>75</v>
      </c>
      <c r="AV331" t="s">
        <v>76</v>
      </c>
    </row>
    <row r="332" spans="1:48" x14ac:dyDescent="0.15">
      <c r="A332" s="4" t="str">
        <f>HYPERLINK("https://ibp.a2mac1.com/costing(costing:projects/details/9760/assembly/8412773)","Inner Side")</f>
        <v>Inner Side</v>
      </c>
      <c r="B332">
        <v>8412773</v>
      </c>
      <c r="D332">
        <v>8412682</v>
      </c>
      <c r="F332">
        <v>1</v>
      </c>
      <c r="G332">
        <v>0</v>
      </c>
      <c r="H332">
        <v>6.6397852540933666</v>
      </c>
      <c r="I332">
        <v>0</v>
      </c>
      <c r="J332" t="s">
        <v>90</v>
      </c>
      <c r="K332">
        <v>0</v>
      </c>
      <c r="L332">
        <v>6.6397852540933666</v>
      </c>
      <c r="M332">
        <v>0</v>
      </c>
      <c r="N332">
        <v>0</v>
      </c>
      <c r="O332">
        <v>6.6397852540933666</v>
      </c>
      <c r="P332" t="s">
        <v>90</v>
      </c>
      <c r="Q332">
        <v>0</v>
      </c>
      <c r="R332" t="s">
        <v>90</v>
      </c>
      <c r="S332">
        <v>0</v>
      </c>
      <c r="T332" t="s">
        <v>90</v>
      </c>
      <c r="U332">
        <v>0</v>
      </c>
      <c r="V332" t="s">
        <v>90</v>
      </c>
      <c r="W332">
        <v>0</v>
      </c>
      <c r="X332" t="s">
        <v>90</v>
      </c>
      <c r="Y332">
        <v>0</v>
      </c>
      <c r="Z332">
        <v>6.6397852540933666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145</v>
      </c>
      <c r="AI332">
        <v>185</v>
      </c>
      <c r="AJ332">
        <v>160</v>
      </c>
      <c r="AL332">
        <v>0.35</v>
      </c>
      <c r="AN332" t="s">
        <v>185</v>
      </c>
      <c r="AO332" t="s">
        <v>73</v>
      </c>
      <c r="AP332">
        <v>200000</v>
      </c>
      <c r="AQ332" t="s">
        <v>73</v>
      </c>
      <c r="AS332">
        <v>10000</v>
      </c>
      <c r="AT332" t="s">
        <v>2546</v>
      </c>
      <c r="AU332" t="s">
        <v>75</v>
      </c>
      <c r="AV332" t="s">
        <v>76</v>
      </c>
    </row>
    <row r="333" spans="1:48" x14ac:dyDescent="0.15">
      <c r="A333" s="4" t="str">
        <f>HYPERLINK("https://ibp.a2mac1.com/costing(costing:projects/details/9760/assembly/8412774)","Outer Side")</f>
        <v>Outer Side</v>
      </c>
      <c r="B333">
        <v>8412774</v>
      </c>
      <c r="D333">
        <v>8412682</v>
      </c>
      <c r="F333">
        <v>1</v>
      </c>
      <c r="G333">
        <v>0</v>
      </c>
      <c r="H333">
        <v>10.416813047921767</v>
      </c>
      <c r="I333">
        <v>0</v>
      </c>
      <c r="J333" t="s">
        <v>90</v>
      </c>
      <c r="K333">
        <v>0</v>
      </c>
      <c r="L333">
        <v>10.416813047921767</v>
      </c>
      <c r="M333">
        <v>0</v>
      </c>
      <c r="N333">
        <v>0</v>
      </c>
      <c r="O333">
        <v>10.416813047921767</v>
      </c>
      <c r="P333" t="s">
        <v>90</v>
      </c>
      <c r="Q333">
        <v>0</v>
      </c>
      <c r="R333" t="s">
        <v>90</v>
      </c>
      <c r="S333">
        <v>0</v>
      </c>
      <c r="T333" t="s">
        <v>90</v>
      </c>
      <c r="U333">
        <v>0</v>
      </c>
      <c r="V333" t="s">
        <v>90</v>
      </c>
      <c r="W333">
        <v>0</v>
      </c>
      <c r="X333" t="s">
        <v>90</v>
      </c>
      <c r="Y333">
        <v>0</v>
      </c>
      <c r="Z333">
        <v>10.416813047921767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115</v>
      </c>
      <c r="AI333">
        <v>215</v>
      </c>
      <c r="AJ333">
        <v>260</v>
      </c>
      <c r="AL333">
        <v>0.55800000000000005</v>
      </c>
      <c r="AN333" t="s">
        <v>185</v>
      </c>
      <c r="AO333" t="s">
        <v>73</v>
      </c>
      <c r="AP333">
        <v>200000</v>
      </c>
      <c r="AQ333" t="s">
        <v>73</v>
      </c>
      <c r="AS333">
        <v>10000</v>
      </c>
      <c r="AT333" t="s">
        <v>2557</v>
      </c>
      <c r="AU333" t="s">
        <v>75</v>
      </c>
      <c r="AV333" t="s">
        <v>76</v>
      </c>
    </row>
    <row r="334" spans="1:48" x14ac:dyDescent="0.15">
      <c r="A334" s="4" t="str">
        <f>HYPERLINK("https://ibp.a2mac1.com/costing(costing:projects/details/9760/assembly/8412682)","Head Rest")</f>
        <v>Head Rest</v>
      </c>
      <c r="B334">
        <v>8412682</v>
      </c>
      <c r="D334">
        <v>8412579</v>
      </c>
      <c r="F334">
        <v>1</v>
      </c>
      <c r="G334">
        <v>0</v>
      </c>
      <c r="H334">
        <v>17.056598302015132</v>
      </c>
      <c r="I334">
        <v>0</v>
      </c>
      <c r="J334" t="s">
        <v>90</v>
      </c>
      <c r="K334">
        <v>0</v>
      </c>
      <c r="L334">
        <v>17.056598302015132</v>
      </c>
      <c r="M334">
        <v>0</v>
      </c>
      <c r="N334">
        <v>0</v>
      </c>
      <c r="O334">
        <v>17.056598302015132</v>
      </c>
      <c r="P334" t="s">
        <v>90</v>
      </c>
      <c r="Q334">
        <v>0</v>
      </c>
      <c r="R334" t="s">
        <v>90</v>
      </c>
      <c r="S334">
        <v>0</v>
      </c>
      <c r="T334" t="s">
        <v>90</v>
      </c>
      <c r="U334">
        <v>0</v>
      </c>
      <c r="V334" t="s">
        <v>90</v>
      </c>
      <c r="W334">
        <v>0</v>
      </c>
      <c r="X334" t="s">
        <v>90</v>
      </c>
      <c r="Y334">
        <v>0</v>
      </c>
      <c r="Z334">
        <v>17.056598302015132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L334">
        <v>0.90800000000000003</v>
      </c>
      <c r="AN334" t="s">
        <v>185</v>
      </c>
      <c r="AO334" t="s">
        <v>73</v>
      </c>
      <c r="AP334">
        <v>200000</v>
      </c>
      <c r="AQ334" t="s">
        <v>73</v>
      </c>
      <c r="AS334">
        <v>10000</v>
      </c>
      <c r="AT334" t="s">
        <v>2558</v>
      </c>
      <c r="AU334" t="s">
        <v>75</v>
      </c>
      <c r="AV334" t="s">
        <v>76</v>
      </c>
    </row>
    <row r="335" spans="1:48" x14ac:dyDescent="0.15">
      <c r="A335" s="4" t="str">
        <f>HYPERLINK("https://ibp.a2mac1.com/costing(costing:projects/details/9760/assembly/8412780)","Head Rest Support")</f>
        <v>Head Rest Support</v>
      </c>
      <c r="B335">
        <v>8412780</v>
      </c>
      <c r="D335">
        <v>8412683</v>
      </c>
      <c r="F335">
        <v>1</v>
      </c>
      <c r="G335">
        <v>0</v>
      </c>
      <c r="H335">
        <v>0.55326565012980899</v>
      </c>
      <c r="I335">
        <v>0</v>
      </c>
      <c r="J335" t="s">
        <v>90</v>
      </c>
      <c r="K335">
        <v>0</v>
      </c>
      <c r="L335">
        <v>0.55326565012980899</v>
      </c>
      <c r="M335">
        <v>0</v>
      </c>
      <c r="N335">
        <v>0</v>
      </c>
      <c r="O335">
        <v>0.55326565012980899</v>
      </c>
      <c r="P335" t="s">
        <v>90</v>
      </c>
      <c r="Q335">
        <v>0</v>
      </c>
      <c r="R335" t="s">
        <v>90</v>
      </c>
      <c r="S335">
        <v>0</v>
      </c>
      <c r="T335" t="s">
        <v>90</v>
      </c>
      <c r="U335">
        <v>0</v>
      </c>
      <c r="V335" t="s">
        <v>90</v>
      </c>
      <c r="W335">
        <v>0</v>
      </c>
      <c r="X335" t="s">
        <v>90</v>
      </c>
      <c r="Y335">
        <v>0</v>
      </c>
      <c r="Z335">
        <v>0.55326565012980899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L335">
        <v>0.21</v>
      </c>
      <c r="AN335" t="s">
        <v>185</v>
      </c>
      <c r="AO335" t="s">
        <v>73</v>
      </c>
      <c r="AP335">
        <v>200000</v>
      </c>
      <c r="AQ335" t="s">
        <v>73</v>
      </c>
      <c r="AS335">
        <v>10000</v>
      </c>
      <c r="AT335" t="s">
        <v>2567</v>
      </c>
      <c r="AU335" t="s">
        <v>75</v>
      </c>
      <c r="AV335" t="s">
        <v>76</v>
      </c>
    </row>
    <row r="336" spans="1:48" x14ac:dyDescent="0.15">
      <c r="A336" s="4" t="str">
        <f>HYPERLINK("https://ibp.a2mac1.com/costing(costing:projects/details/9760/assembly/8412833)","Handle")</f>
        <v>Handle</v>
      </c>
      <c r="B336">
        <v>8412833</v>
      </c>
      <c r="D336">
        <v>8412781</v>
      </c>
      <c r="F336">
        <v>1</v>
      </c>
      <c r="G336">
        <v>0</v>
      </c>
      <c r="H336">
        <v>1.2054270479447016</v>
      </c>
      <c r="I336">
        <v>6.0574223514809119E-3</v>
      </c>
      <c r="J336" t="s">
        <v>176</v>
      </c>
      <c r="K336">
        <v>4.2189946678064555E-2</v>
      </c>
      <c r="L336">
        <v>1.2536744169742469</v>
      </c>
      <c r="M336">
        <v>0</v>
      </c>
      <c r="N336">
        <v>0</v>
      </c>
      <c r="O336">
        <v>1.2536744169742469</v>
      </c>
      <c r="P336" t="s">
        <v>90</v>
      </c>
      <c r="Q336">
        <v>0</v>
      </c>
      <c r="R336" t="s">
        <v>90</v>
      </c>
      <c r="S336">
        <v>0</v>
      </c>
      <c r="T336" t="s">
        <v>90</v>
      </c>
      <c r="U336">
        <v>0</v>
      </c>
      <c r="V336" t="s">
        <v>90</v>
      </c>
      <c r="W336">
        <v>0</v>
      </c>
      <c r="X336" t="s">
        <v>90</v>
      </c>
      <c r="Y336">
        <v>0</v>
      </c>
      <c r="Z336">
        <v>1.2536744169742469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L336">
        <v>0.24390000000000001</v>
      </c>
      <c r="AN336" t="s">
        <v>740</v>
      </c>
      <c r="AO336" t="s">
        <v>73</v>
      </c>
      <c r="AP336">
        <v>200000</v>
      </c>
      <c r="AQ336" t="s">
        <v>73</v>
      </c>
      <c r="AS336">
        <v>10000</v>
      </c>
      <c r="AT336" t="s">
        <v>2584</v>
      </c>
      <c r="AU336" t="s">
        <v>75</v>
      </c>
      <c r="AV336" t="s">
        <v>76</v>
      </c>
    </row>
    <row r="337" spans="1:48" x14ac:dyDescent="0.15">
      <c r="A337" s="4" t="str">
        <f>HYPERLINK("https://ibp.a2mac1.com/costing(costing:projects/details/9760/assembly/8412781)","Unlocking System")</f>
        <v>Unlocking System</v>
      </c>
      <c r="B337">
        <v>8412781</v>
      </c>
      <c r="D337">
        <v>8412683</v>
      </c>
      <c r="F337">
        <v>1</v>
      </c>
      <c r="G337">
        <v>0</v>
      </c>
      <c r="H337">
        <v>3.2536744169742469</v>
      </c>
      <c r="I337">
        <v>1.635012269836305E-2</v>
      </c>
      <c r="J337" t="s">
        <v>176</v>
      </c>
      <c r="K337">
        <v>0.11387860459409864</v>
      </c>
      <c r="L337">
        <v>3.3839031442667085</v>
      </c>
      <c r="M337">
        <v>0</v>
      </c>
      <c r="N337">
        <v>0</v>
      </c>
      <c r="O337">
        <v>3.3839031442667085</v>
      </c>
      <c r="P337" t="s">
        <v>177</v>
      </c>
      <c r="Q337">
        <v>0.20303418865600251</v>
      </c>
      <c r="R337" t="s">
        <v>177</v>
      </c>
      <c r="S337">
        <v>0</v>
      </c>
      <c r="T337" t="s">
        <v>178</v>
      </c>
      <c r="U337">
        <v>0.40606837731200501</v>
      </c>
      <c r="V337" t="s">
        <v>90</v>
      </c>
      <c r="W337">
        <v>0</v>
      </c>
      <c r="X337" t="s">
        <v>90</v>
      </c>
      <c r="Y337">
        <v>0</v>
      </c>
      <c r="Z337">
        <v>3.9930057102347161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L337">
        <v>0.55689999999999995</v>
      </c>
      <c r="AN337" t="s">
        <v>772</v>
      </c>
      <c r="AO337" t="s">
        <v>73</v>
      </c>
      <c r="AP337">
        <v>200000</v>
      </c>
      <c r="AQ337" t="s">
        <v>97</v>
      </c>
      <c r="AS337">
        <v>10000</v>
      </c>
      <c r="AT337" t="s">
        <v>2587</v>
      </c>
      <c r="AU337" t="s">
        <v>75</v>
      </c>
      <c r="AV337" t="s">
        <v>76</v>
      </c>
    </row>
    <row r="338" spans="1:48" x14ac:dyDescent="0.15">
      <c r="A338" s="4" t="str">
        <f>HYPERLINK("https://ibp.a2mac1.com/costing(costing:projects/details/9760/assembly/8412834)","Center safety belt")</f>
        <v>Center safety belt</v>
      </c>
      <c r="B338">
        <v>8412834</v>
      </c>
      <c r="D338">
        <v>8412782</v>
      </c>
      <c r="F338">
        <v>1</v>
      </c>
      <c r="G338">
        <v>0</v>
      </c>
      <c r="H338">
        <v>0.15584073813171584</v>
      </c>
      <c r="I338">
        <v>0</v>
      </c>
      <c r="J338" t="s">
        <v>90</v>
      </c>
      <c r="K338">
        <v>0</v>
      </c>
      <c r="L338">
        <v>0.15584073813171584</v>
      </c>
      <c r="M338">
        <v>0</v>
      </c>
      <c r="N338">
        <v>0</v>
      </c>
      <c r="O338">
        <v>0.15584073813171584</v>
      </c>
      <c r="P338" t="s">
        <v>90</v>
      </c>
      <c r="Q338">
        <v>0</v>
      </c>
      <c r="R338" t="s">
        <v>90</v>
      </c>
      <c r="S338">
        <v>0</v>
      </c>
      <c r="T338" t="s">
        <v>90</v>
      </c>
      <c r="U338">
        <v>0</v>
      </c>
      <c r="V338" t="s">
        <v>90</v>
      </c>
      <c r="W338">
        <v>0</v>
      </c>
      <c r="X338" t="s">
        <v>90</v>
      </c>
      <c r="Y338">
        <v>0</v>
      </c>
      <c r="Z338">
        <v>0.15584073813171584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L338">
        <v>2.5999999999999999E-2</v>
      </c>
      <c r="AN338" t="s">
        <v>185</v>
      </c>
      <c r="AO338" t="s">
        <v>73</v>
      </c>
      <c r="AP338">
        <v>200000</v>
      </c>
      <c r="AQ338" t="s">
        <v>73</v>
      </c>
      <c r="AS338">
        <v>10000</v>
      </c>
      <c r="AT338" t="s">
        <v>2593</v>
      </c>
      <c r="AU338" t="s">
        <v>75</v>
      </c>
      <c r="AV338" t="s">
        <v>76</v>
      </c>
    </row>
    <row r="339" spans="1:48" x14ac:dyDescent="0.15">
      <c r="A339" s="4" t="str">
        <f>HYPERLINK("https://ibp.a2mac1.com/costing(costing:projects/details/9760/assembly/8412782)","Seat Belt Sleeve")</f>
        <v>Seat Belt Sleeve</v>
      </c>
      <c r="B339">
        <v>8412782</v>
      </c>
      <c r="D339">
        <v>8412683</v>
      </c>
      <c r="F339">
        <v>1</v>
      </c>
      <c r="G339">
        <v>0</v>
      </c>
      <c r="H339">
        <v>0.15584073813171584</v>
      </c>
      <c r="I339">
        <v>0</v>
      </c>
      <c r="J339" t="s">
        <v>90</v>
      </c>
      <c r="K339">
        <v>0</v>
      </c>
      <c r="L339">
        <v>0.15584073813171584</v>
      </c>
      <c r="M339">
        <v>0</v>
      </c>
      <c r="N339">
        <v>0</v>
      </c>
      <c r="O339">
        <v>0.15584073813171584</v>
      </c>
      <c r="P339" t="s">
        <v>90</v>
      </c>
      <c r="Q339">
        <v>0</v>
      </c>
      <c r="R339" t="s">
        <v>90</v>
      </c>
      <c r="S339">
        <v>0</v>
      </c>
      <c r="T339" t="s">
        <v>90</v>
      </c>
      <c r="U339">
        <v>0</v>
      </c>
      <c r="V339" t="s">
        <v>90</v>
      </c>
      <c r="W339">
        <v>0</v>
      </c>
      <c r="X339" t="s">
        <v>90</v>
      </c>
      <c r="Y339">
        <v>0</v>
      </c>
      <c r="Z339">
        <v>0.15584073813171584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L339">
        <v>2.5999999999999999E-2</v>
      </c>
      <c r="AN339" t="s">
        <v>185</v>
      </c>
      <c r="AO339" t="s">
        <v>73</v>
      </c>
      <c r="AP339">
        <v>200000</v>
      </c>
      <c r="AQ339" t="s">
        <v>73</v>
      </c>
      <c r="AS339">
        <v>10000</v>
      </c>
      <c r="AT339" t="s">
        <v>2594</v>
      </c>
      <c r="AU339" t="s">
        <v>75</v>
      </c>
      <c r="AV339" t="s">
        <v>76</v>
      </c>
    </row>
    <row r="340" spans="1:48" x14ac:dyDescent="0.15">
      <c r="A340" s="4" t="str">
        <f>HYPERLINK("https://ibp.a2mac1.com/costing(costing:projects/details/9760/assembly/8412839)","Mounting Bracket")</f>
        <v>Mounting Bracket</v>
      </c>
      <c r="B340">
        <v>8412839</v>
      </c>
      <c r="D340">
        <v>8412783</v>
      </c>
      <c r="F340">
        <v>1</v>
      </c>
      <c r="G340">
        <v>0</v>
      </c>
      <c r="H340">
        <v>0.12333693951145808</v>
      </c>
      <c r="I340">
        <v>6.1978361563546779E-4</v>
      </c>
      <c r="J340" t="s">
        <v>176</v>
      </c>
      <c r="K340">
        <v>4.3167928829010325E-3</v>
      </c>
      <c r="L340">
        <v>0.12827351600999459</v>
      </c>
      <c r="M340">
        <v>0</v>
      </c>
      <c r="N340">
        <v>0</v>
      </c>
      <c r="O340">
        <v>0.12827351600999459</v>
      </c>
      <c r="P340" t="s">
        <v>90</v>
      </c>
      <c r="Q340">
        <v>0</v>
      </c>
      <c r="R340" t="s">
        <v>90</v>
      </c>
      <c r="S340">
        <v>0</v>
      </c>
      <c r="T340" t="s">
        <v>90</v>
      </c>
      <c r="U340">
        <v>0</v>
      </c>
      <c r="V340" t="s">
        <v>90</v>
      </c>
      <c r="W340">
        <v>0</v>
      </c>
      <c r="X340" t="s">
        <v>90</v>
      </c>
      <c r="Y340">
        <v>0</v>
      </c>
      <c r="Z340">
        <v>0.12827351600999459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L340">
        <v>2.4E-2</v>
      </c>
      <c r="AN340" t="s">
        <v>740</v>
      </c>
      <c r="AO340" t="s">
        <v>73</v>
      </c>
      <c r="AP340">
        <v>200000</v>
      </c>
      <c r="AQ340" t="s">
        <v>73</v>
      </c>
      <c r="AS340">
        <v>10000</v>
      </c>
      <c r="AT340" t="s">
        <v>2603</v>
      </c>
      <c r="AU340" t="s">
        <v>75</v>
      </c>
      <c r="AV340" t="s">
        <v>76</v>
      </c>
    </row>
    <row r="341" spans="1:48" x14ac:dyDescent="0.15">
      <c r="A341" s="4" t="str">
        <f>HYPERLINK("https://ibp.a2mac1.com/costing(costing:projects/details/9760/assembly/8412840)","Mounting Bracket Cover")</f>
        <v>Mounting Bracket Cover</v>
      </c>
      <c r="B341">
        <v>8412840</v>
      </c>
      <c r="D341">
        <v>8412783</v>
      </c>
      <c r="F341">
        <v>1</v>
      </c>
      <c r="G341">
        <v>0</v>
      </c>
      <c r="H341">
        <v>0.13330438453531476</v>
      </c>
      <c r="I341">
        <v>6.6987127907193347E-4</v>
      </c>
      <c r="J341" t="s">
        <v>176</v>
      </c>
      <c r="K341">
        <v>4.6656534587360167E-3</v>
      </c>
      <c r="L341">
        <v>0.13863990927312272</v>
      </c>
      <c r="M341">
        <v>0</v>
      </c>
      <c r="N341">
        <v>0</v>
      </c>
      <c r="O341">
        <v>0.13863990927312272</v>
      </c>
      <c r="P341" t="s">
        <v>90</v>
      </c>
      <c r="Q341">
        <v>0</v>
      </c>
      <c r="R341" t="s">
        <v>90</v>
      </c>
      <c r="S341">
        <v>0</v>
      </c>
      <c r="T341" t="s">
        <v>90</v>
      </c>
      <c r="U341">
        <v>0</v>
      </c>
      <c r="V341" t="s">
        <v>90</v>
      </c>
      <c r="W341">
        <v>0</v>
      </c>
      <c r="X341" t="s">
        <v>90</v>
      </c>
      <c r="Y341">
        <v>0</v>
      </c>
      <c r="Z341">
        <v>0.13863990927312272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L341">
        <v>4.2999999999999997E-2</v>
      </c>
      <c r="AN341" t="s">
        <v>740</v>
      </c>
      <c r="AO341" t="s">
        <v>73</v>
      </c>
      <c r="AP341">
        <v>200000</v>
      </c>
      <c r="AQ341" t="s">
        <v>73</v>
      </c>
      <c r="AS341">
        <v>10000</v>
      </c>
      <c r="AT341" t="s">
        <v>2608</v>
      </c>
      <c r="AU341" t="s">
        <v>75</v>
      </c>
      <c r="AV341" t="s">
        <v>76</v>
      </c>
    </row>
    <row r="342" spans="1:48" x14ac:dyDescent="0.15">
      <c r="A342" s="4" t="str">
        <f>HYPERLINK("https://ibp.a2mac1.com/costing(costing:projects/details/9760/assembly/8412841)","Cup Holder")</f>
        <v>Cup Holder</v>
      </c>
      <c r="B342">
        <v>8412841</v>
      </c>
      <c r="D342">
        <v>8412783</v>
      </c>
      <c r="F342">
        <v>1</v>
      </c>
      <c r="G342">
        <v>0</v>
      </c>
      <c r="H342">
        <v>1.1523239468187734</v>
      </c>
      <c r="I342">
        <v>0</v>
      </c>
      <c r="J342" t="s">
        <v>90</v>
      </c>
      <c r="K342">
        <v>0</v>
      </c>
      <c r="L342">
        <v>1.1523239468187734</v>
      </c>
      <c r="M342">
        <v>0</v>
      </c>
      <c r="N342">
        <v>0</v>
      </c>
      <c r="O342">
        <v>1.1523239468187734</v>
      </c>
      <c r="P342" t="s">
        <v>90</v>
      </c>
      <c r="Q342">
        <v>0</v>
      </c>
      <c r="R342" t="s">
        <v>90</v>
      </c>
      <c r="S342">
        <v>0</v>
      </c>
      <c r="T342" t="s">
        <v>90</v>
      </c>
      <c r="U342">
        <v>0</v>
      </c>
      <c r="V342" t="s">
        <v>90</v>
      </c>
      <c r="W342">
        <v>0</v>
      </c>
      <c r="X342" t="s">
        <v>90</v>
      </c>
      <c r="Y342">
        <v>0</v>
      </c>
      <c r="Z342">
        <v>1.1523239468187734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L342">
        <v>0.2858</v>
      </c>
      <c r="AN342" t="s">
        <v>185</v>
      </c>
      <c r="AO342" t="s">
        <v>73</v>
      </c>
      <c r="AP342">
        <v>200000</v>
      </c>
      <c r="AQ342" t="s">
        <v>73</v>
      </c>
      <c r="AS342">
        <v>10000</v>
      </c>
      <c r="AT342" t="s">
        <v>2623</v>
      </c>
      <c r="AU342" t="s">
        <v>75</v>
      </c>
      <c r="AV342" t="s">
        <v>76</v>
      </c>
    </row>
    <row r="343" spans="1:48" x14ac:dyDescent="0.15">
      <c r="A343" s="4" t="str">
        <f>HYPERLINK("https://ibp.a2mac1.com/costing(costing:projects/details/9760/assembly/8412783)","Armrest")</f>
        <v>Armrest</v>
      </c>
      <c r="B343">
        <v>8412783</v>
      </c>
      <c r="D343">
        <v>8412683</v>
      </c>
      <c r="F343">
        <v>1</v>
      </c>
      <c r="G343">
        <v>0</v>
      </c>
      <c r="H343">
        <v>16.757096499524209</v>
      </c>
      <c r="I343">
        <v>0</v>
      </c>
      <c r="J343" t="s">
        <v>90</v>
      </c>
      <c r="K343">
        <v>0</v>
      </c>
      <c r="L343">
        <v>16.757096499524209</v>
      </c>
      <c r="M343">
        <v>0</v>
      </c>
      <c r="N343">
        <v>0</v>
      </c>
      <c r="O343">
        <v>16.757096499524209</v>
      </c>
      <c r="P343" t="s">
        <v>90</v>
      </c>
      <c r="Q343">
        <v>0</v>
      </c>
      <c r="R343" t="s">
        <v>90</v>
      </c>
      <c r="S343">
        <v>0</v>
      </c>
      <c r="T343" t="s">
        <v>90</v>
      </c>
      <c r="U343">
        <v>0</v>
      </c>
      <c r="V343" t="s">
        <v>90</v>
      </c>
      <c r="W343">
        <v>0</v>
      </c>
      <c r="X343" t="s">
        <v>90</v>
      </c>
      <c r="Y343">
        <v>0</v>
      </c>
      <c r="Z343">
        <v>16.757096499524209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120</v>
      </c>
      <c r="AI343">
        <v>270</v>
      </c>
      <c r="AJ343">
        <v>420</v>
      </c>
      <c r="AL343">
        <v>2.2347999999999999</v>
      </c>
      <c r="AN343" t="s">
        <v>185</v>
      </c>
      <c r="AO343" t="s">
        <v>73</v>
      </c>
      <c r="AP343">
        <v>200000</v>
      </c>
      <c r="AQ343" t="s">
        <v>73</v>
      </c>
      <c r="AS343">
        <v>10000</v>
      </c>
      <c r="AT343" t="s">
        <v>2637</v>
      </c>
      <c r="AU343" t="s">
        <v>75</v>
      </c>
      <c r="AV343" t="s">
        <v>76</v>
      </c>
    </row>
    <row r="344" spans="1:48" x14ac:dyDescent="0.15">
      <c r="A344" s="4" t="str">
        <f>HYPERLINK("https://ibp.a2mac1.com/costing(costing:projects/details/9760/assembly/8412683)","Back")</f>
        <v>Back</v>
      </c>
      <c r="B344">
        <v>8412683</v>
      </c>
      <c r="D344">
        <v>8412579</v>
      </c>
      <c r="F344">
        <v>1</v>
      </c>
      <c r="G344">
        <v>0</v>
      </c>
      <c r="H344">
        <v>92.325475765782002</v>
      </c>
      <c r="I344">
        <v>0</v>
      </c>
      <c r="J344" t="s">
        <v>90</v>
      </c>
      <c r="K344">
        <v>0</v>
      </c>
      <c r="L344">
        <v>92.325475765782002</v>
      </c>
      <c r="M344">
        <v>0</v>
      </c>
      <c r="N344">
        <v>0</v>
      </c>
      <c r="O344">
        <v>92.325475765782002</v>
      </c>
      <c r="P344" t="s">
        <v>90</v>
      </c>
      <c r="Q344">
        <v>0</v>
      </c>
      <c r="R344" t="s">
        <v>90</v>
      </c>
      <c r="S344">
        <v>0</v>
      </c>
      <c r="T344" t="s">
        <v>90</v>
      </c>
      <c r="U344">
        <v>0</v>
      </c>
      <c r="V344" t="s">
        <v>90</v>
      </c>
      <c r="W344">
        <v>0</v>
      </c>
      <c r="X344" t="s">
        <v>90</v>
      </c>
      <c r="Y344">
        <v>0</v>
      </c>
      <c r="Z344">
        <v>92.325475765782002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210</v>
      </c>
      <c r="AI344">
        <v>770</v>
      </c>
      <c r="AJ344">
        <v>730</v>
      </c>
      <c r="AL344">
        <v>11.5885</v>
      </c>
      <c r="AN344" t="s">
        <v>185</v>
      </c>
      <c r="AO344" t="s">
        <v>73</v>
      </c>
      <c r="AP344">
        <v>200000</v>
      </c>
      <c r="AQ344" t="s">
        <v>73</v>
      </c>
      <c r="AS344">
        <v>10000</v>
      </c>
      <c r="AT344" t="s">
        <v>2653</v>
      </c>
      <c r="AU344" t="s">
        <v>75</v>
      </c>
      <c r="AV344" t="s">
        <v>76</v>
      </c>
    </row>
    <row r="345" spans="1:48" x14ac:dyDescent="0.15">
      <c r="A345" s="4" t="str">
        <f>HYPERLINK("https://ibp.a2mac1.com/costing(costing:projects/details/9760/assembly/8412684)","Support System")</f>
        <v>Support System</v>
      </c>
      <c r="B345">
        <v>8412684</v>
      </c>
      <c r="D345">
        <v>8412579</v>
      </c>
      <c r="F345">
        <v>1</v>
      </c>
      <c r="G345">
        <v>0</v>
      </c>
      <c r="H345">
        <v>0.2896446412638648</v>
      </c>
      <c r="I345">
        <v>0</v>
      </c>
      <c r="J345" t="s">
        <v>90</v>
      </c>
      <c r="K345">
        <v>0</v>
      </c>
      <c r="L345">
        <v>0.2896446412638648</v>
      </c>
      <c r="M345">
        <v>0</v>
      </c>
      <c r="N345">
        <v>0</v>
      </c>
      <c r="O345">
        <v>0.2896446412638648</v>
      </c>
      <c r="P345" t="s">
        <v>90</v>
      </c>
      <c r="Q345">
        <v>0</v>
      </c>
      <c r="R345" t="s">
        <v>90</v>
      </c>
      <c r="S345">
        <v>0</v>
      </c>
      <c r="T345" t="s">
        <v>90</v>
      </c>
      <c r="U345">
        <v>0</v>
      </c>
      <c r="V345" t="s">
        <v>90</v>
      </c>
      <c r="W345">
        <v>0</v>
      </c>
      <c r="X345" t="s">
        <v>90</v>
      </c>
      <c r="Y345">
        <v>0</v>
      </c>
      <c r="Z345">
        <v>0.2896446412638648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L345">
        <v>0.22600000000000001</v>
      </c>
      <c r="AN345" t="s">
        <v>185</v>
      </c>
      <c r="AO345" t="s">
        <v>73</v>
      </c>
      <c r="AP345">
        <v>200000</v>
      </c>
      <c r="AQ345" t="s">
        <v>73</v>
      </c>
      <c r="AS345">
        <v>10000</v>
      </c>
      <c r="AT345" t="s">
        <v>2658</v>
      </c>
      <c r="AU345" t="s">
        <v>75</v>
      </c>
      <c r="AV345" t="s">
        <v>76</v>
      </c>
    </row>
    <row r="346" spans="1:48" x14ac:dyDescent="0.15">
      <c r="A346" s="4" t="str">
        <f>HYPERLINK("https://ibp.a2mac1.com/costing(costing:projects/details/9760/assembly/8412579)","Seat 2-3")</f>
        <v>Seat 2-3</v>
      </c>
      <c r="B346">
        <v>8412579</v>
      </c>
      <c r="D346">
        <v>8412551</v>
      </c>
      <c r="F346">
        <v>1</v>
      </c>
      <c r="G346">
        <v>0</v>
      </c>
      <c r="H346">
        <v>109.671718709061</v>
      </c>
      <c r="I346">
        <v>0</v>
      </c>
      <c r="J346" t="s">
        <v>90</v>
      </c>
      <c r="K346">
        <v>0</v>
      </c>
      <c r="L346">
        <v>109.671718709061</v>
      </c>
      <c r="M346">
        <v>0</v>
      </c>
      <c r="N346">
        <v>0</v>
      </c>
      <c r="O346">
        <v>109.671718709061</v>
      </c>
      <c r="P346" t="s">
        <v>90</v>
      </c>
      <c r="Q346">
        <v>0</v>
      </c>
      <c r="R346" t="s">
        <v>90</v>
      </c>
      <c r="S346">
        <v>0</v>
      </c>
      <c r="T346" t="s">
        <v>90</v>
      </c>
      <c r="U346">
        <v>0</v>
      </c>
      <c r="V346" t="s">
        <v>90</v>
      </c>
      <c r="W346">
        <v>0</v>
      </c>
      <c r="X346" t="s">
        <v>90</v>
      </c>
      <c r="Y346">
        <v>0</v>
      </c>
      <c r="Z346">
        <v>109.671718709061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L346">
        <v>12.7225</v>
      </c>
      <c r="AN346" t="s">
        <v>185</v>
      </c>
      <c r="AO346" t="s">
        <v>73</v>
      </c>
      <c r="AP346">
        <v>200000</v>
      </c>
      <c r="AQ346" t="s">
        <v>73</v>
      </c>
      <c r="AS346">
        <v>10000</v>
      </c>
      <c r="AT346" t="s">
        <v>2659</v>
      </c>
      <c r="AU346" t="s">
        <v>75</v>
      </c>
      <c r="AV346" t="s">
        <v>76</v>
      </c>
    </row>
    <row r="347" spans="1:48" x14ac:dyDescent="0.15">
      <c r="A347" s="4" t="str">
        <f>HYPERLINK("https://ibp.a2mac1.com/costing(costing:projects/details/9760/assembly/8412689)","Heating System")</f>
        <v>Heating System</v>
      </c>
      <c r="B347">
        <v>8412689</v>
      </c>
      <c r="D347">
        <v>8412580</v>
      </c>
      <c r="F347">
        <v>1</v>
      </c>
      <c r="G347">
        <v>0</v>
      </c>
      <c r="H347">
        <v>8</v>
      </c>
      <c r="I347">
        <v>0</v>
      </c>
      <c r="J347" t="s">
        <v>90</v>
      </c>
      <c r="K347">
        <v>0</v>
      </c>
      <c r="L347">
        <v>8</v>
      </c>
      <c r="M347">
        <v>0</v>
      </c>
      <c r="N347">
        <v>0</v>
      </c>
      <c r="O347">
        <v>8</v>
      </c>
      <c r="P347" t="s">
        <v>90</v>
      </c>
      <c r="Q347">
        <v>0</v>
      </c>
      <c r="R347" t="s">
        <v>90</v>
      </c>
      <c r="S347">
        <v>0</v>
      </c>
      <c r="T347" t="s">
        <v>90</v>
      </c>
      <c r="U347">
        <v>0</v>
      </c>
      <c r="V347" t="s">
        <v>90</v>
      </c>
      <c r="W347">
        <v>0</v>
      </c>
      <c r="X347" t="s">
        <v>90</v>
      </c>
      <c r="Y347">
        <v>0</v>
      </c>
      <c r="Z347">
        <v>8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L347">
        <v>7.6999999999999999E-2</v>
      </c>
      <c r="AN347" t="s">
        <v>185</v>
      </c>
      <c r="AO347" t="s">
        <v>73</v>
      </c>
      <c r="AP347">
        <v>200000</v>
      </c>
      <c r="AQ347" t="s">
        <v>73</v>
      </c>
      <c r="AS347">
        <v>10000</v>
      </c>
      <c r="AT347" t="s">
        <v>2664</v>
      </c>
      <c r="AU347" t="s">
        <v>75</v>
      </c>
      <c r="AV347" t="s">
        <v>76</v>
      </c>
    </row>
    <row r="348" spans="1:48" x14ac:dyDescent="0.15">
      <c r="A348" s="4" t="str">
        <f>HYPERLINK("https://ibp.a2mac1.com/costing(costing:projects/details/9760/assembly/8412690)","Anti-Submarining System")</f>
        <v>Anti-Submarining System</v>
      </c>
      <c r="B348">
        <v>8412690</v>
      </c>
      <c r="D348">
        <v>8412580</v>
      </c>
      <c r="F348">
        <v>1</v>
      </c>
      <c r="G348">
        <v>0</v>
      </c>
      <c r="H348">
        <v>1.8252077807535081</v>
      </c>
      <c r="I348">
        <v>9.1718983957462721E-3</v>
      </c>
      <c r="J348" t="s">
        <v>176</v>
      </c>
      <c r="K348">
        <v>6.388227232637278E-2</v>
      </c>
      <c r="L348">
        <v>1.8982619514756272</v>
      </c>
      <c r="M348">
        <v>0</v>
      </c>
      <c r="N348">
        <v>0</v>
      </c>
      <c r="O348">
        <v>1.8982619514756272</v>
      </c>
      <c r="P348" t="s">
        <v>90</v>
      </c>
      <c r="Q348">
        <v>0</v>
      </c>
      <c r="R348" t="s">
        <v>90</v>
      </c>
      <c r="S348">
        <v>0</v>
      </c>
      <c r="T348" t="s">
        <v>90</v>
      </c>
      <c r="U348">
        <v>0</v>
      </c>
      <c r="V348" t="s">
        <v>90</v>
      </c>
      <c r="W348">
        <v>0</v>
      </c>
      <c r="X348" t="s">
        <v>90</v>
      </c>
      <c r="Y348">
        <v>0</v>
      </c>
      <c r="Z348">
        <v>1.8982619514756272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L348">
        <v>0.27700000000000002</v>
      </c>
      <c r="AN348" t="s">
        <v>740</v>
      </c>
      <c r="AO348" t="s">
        <v>73</v>
      </c>
      <c r="AP348">
        <v>200000</v>
      </c>
      <c r="AQ348" t="s">
        <v>73</v>
      </c>
      <c r="AS348">
        <v>10000</v>
      </c>
      <c r="AT348" t="s">
        <v>2671</v>
      </c>
      <c r="AU348" t="s">
        <v>75</v>
      </c>
      <c r="AV348" t="s">
        <v>76</v>
      </c>
    </row>
    <row r="349" spans="1:48" x14ac:dyDescent="0.15">
      <c r="A349" s="4" t="str">
        <f>HYPERLINK("https://ibp.a2mac1.com/costing(costing:projects/details/9760/assembly/8412580)","Cushion")</f>
        <v>Cushion</v>
      </c>
      <c r="B349">
        <v>8412580</v>
      </c>
      <c r="D349">
        <v>8412551</v>
      </c>
      <c r="F349">
        <v>1</v>
      </c>
      <c r="G349">
        <v>0</v>
      </c>
      <c r="H349">
        <v>65.631482336825243</v>
      </c>
      <c r="I349">
        <v>0</v>
      </c>
      <c r="J349" t="s">
        <v>90</v>
      </c>
      <c r="K349">
        <v>0</v>
      </c>
      <c r="L349">
        <v>65.631482336825243</v>
      </c>
      <c r="M349">
        <v>0</v>
      </c>
      <c r="N349">
        <v>0</v>
      </c>
      <c r="O349">
        <v>65.631482336825243</v>
      </c>
      <c r="P349" t="s">
        <v>90</v>
      </c>
      <c r="Q349">
        <v>0</v>
      </c>
      <c r="R349" t="s">
        <v>90</v>
      </c>
      <c r="S349">
        <v>0</v>
      </c>
      <c r="T349" t="s">
        <v>90</v>
      </c>
      <c r="U349">
        <v>0</v>
      </c>
      <c r="V349" t="s">
        <v>90</v>
      </c>
      <c r="W349">
        <v>0</v>
      </c>
      <c r="X349" t="s">
        <v>90</v>
      </c>
      <c r="Y349">
        <v>0</v>
      </c>
      <c r="Z349">
        <v>65.631482336825243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595</v>
      </c>
      <c r="AI349">
        <v>1310</v>
      </c>
      <c r="AJ349">
        <v>150</v>
      </c>
      <c r="AL349">
        <v>6.5898000000000003</v>
      </c>
      <c r="AN349" t="s">
        <v>185</v>
      </c>
      <c r="AO349" t="s">
        <v>73</v>
      </c>
      <c r="AP349">
        <v>200000</v>
      </c>
      <c r="AQ349" t="s">
        <v>73</v>
      </c>
      <c r="AS349">
        <v>10000</v>
      </c>
      <c r="AT349" t="s">
        <v>2686</v>
      </c>
      <c r="AU349" t="s">
        <v>75</v>
      </c>
      <c r="AV349" t="s">
        <v>76</v>
      </c>
    </row>
    <row r="350" spans="1:48" x14ac:dyDescent="0.15">
      <c r="A350" s="4" t="str">
        <f>HYPERLINK("https://ibp.a2mac1.com/costing(costing:projects/details/9760/assembly/8412691)","Wiring Harness")</f>
        <v>Wiring Harness</v>
      </c>
      <c r="B350">
        <v>8412691</v>
      </c>
      <c r="D350">
        <v>8412581</v>
      </c>
      <c r="F350">
        <v>1</v>
      </c>
      <c r="G350">
        <v>0</v>
      </c>
      <c r="H350">
        <v>3.3790978465006645</v>
      </c>
      <c r="I350">
        <v>3.4132301479804693E-2</v>
      </c>
      <c r="J350" t="s">
        <v>176</v>
      </c>
      <c r="K350">
        <v>0.11826842462752325</v>
      </c>
      <c r="L350">
        <v>3.5314985726079922</v>
      </c>
      <c r="M350">
        <v>0</v>
      </c>
      <c r="N350">
        <v>0.19183849559933103</v>
      </c>
      <c r="O350">
        <v>3.7233370682073232</v>
      </c>
      <c r="P350" t="s">
        <v>177</v>
      </c>
      <c r="Q350">
        <v>0.21188991435647953</v>
      </c>
      <c r="R350" t="s">
        <v>177</v>
      </c>
      <c r="S350">
        <v>1.1510309735959862E-2</v>
      </c>
      <c r="T350" t="s">
        <v>322</v>
      </c>
      <c r="U350">
        <v>0.37233370682073236</v>
      </c>
      <c r="V350" t="s">
        <v>90</v>
      </c>
      <c r="W350">
        <v>0</v>
      </c>
      <c r="X350" t="s">
        <v>90</v>
      </c>
      <c r="Y350">
        <v>0</v>
      </c>
      <c r="Z350">
        <v>4.3190709991204947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L350">
        <v>0.14299999999999999</v>
      </c>
      <c r="AN350" t="s">
        <v>323</v>
      </c>
      <c r="AO350" t="s">
        <v>73</v>
      </c>
      <c r="AP350">
        <v>200000</v>
      </c>
      <c r="AQ350" t="s">
        <v>97</v>
      </c>
      <c r="AS350">
        <v>10000</v>
      </c>
      <c r="AT350" t="s">
        <v>2690</v>
      </c>
      <c r="AU350" t="s">
        <v>75</v>
      </c>
      <c r="AV350" t="s">
        <v>76</v>
      </c>
    </row>
    <row r="351" spans="1:48" x14ac:dyDescent="0.15">
      <c r="A351" s="4" t="str">
        <f>HYPERLINK("https://ibp.a2mac1.com/costing(costing:projects/details/9760/assembly/8412581)","Back")</f>
        <v>Back</v>
      </c>
      <c r="B351">
        <v>8412581</v>
      </c>
      <c r="D351">
        <v>8412551</v>
      </c>
      <c r="F351">
        <v>1</v>
      </c>
      <c r="G351">
        <v>0</v>
      </c>
      <c r="H351">
        <v>4.3190709991204947</v>
      </c>
      <c r="I351">
        <v>0</v>
      </c>
      <c r="J351" t="s">
        <v>90</v>
      </c>
      <c r="K351">
        <v>0</v>
      </c>
      <c r="L351">
        <v>4.3190709991204947</v>
      </c>
      <c r="M351">
        <v>0</v>
      </c>
      <c r="N351">
        <v>0</v>
      </c>
      <c r="O351">
        <v>4.3190709991204947</v>
      </c>
      <c r="P351" t="s">
        <v>90</v>
      </c>
      <c r="Q351">
        <v>0</v>
      </c>
      <c r="R351" t="s">
        <v>90</v>
      </c>
      <c r="S351">
        <v>0</v>
      </c>
      <c r="T351" t="s">
        <v>90</v>
      </c>
      <c r="U351">
        <v>0</v>
      </c>
      <c r="V351" t="s">
        <v>90</v>
      </c>
      <c r="W351">
        <v>0</v>
      </c>
      <c r="X351" t="s">
        <v>90</v>
      </c>
      <c r="Y351">
        <v>0</v>
      </c>
      <c r="Z351">
        <v>4.3190709991204947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L351">
        <v>0.15079999999999999</v>
      </c>
      <c r="AN351" t="s">
        <v>185</v>
      </c>
      <c r="AO351" t="s">
        <v>73</v>
      </c>
      <c r="AP351">
        <v>200000</v>
      </c>
      <c r="AQ351" t="s">
        <v>73</v>
      </c>
      <c r="AS351">
        <v>10000</v>
      </c>
      <c r="AT351" t="s">
        <v>2691</v>
      </c>
      <c r="AU351" t="s">
        <v>75</v>
      </c>
      <c r="AV351" t="s">
        <v>76</v>
      </c>
    </row>
    <row r="352" spans="1:48" x14ac:dyDescent="0.15">
      <c r="A352" s="4" t="str">
        <f>HYPERLINK("https://ibp.a2mac1.com/costing(costing:projects/details/9760/assembly/8412692)","Plastic Garnish")</f>
        <v>Plastic Garnish</v>
      </c>
      <c r="B352">
        <v>8412692</v>
      </c>
      <c r="D352">
        <v>8412582</v>
      </c>
      <c r="F352">
        <v>1</v>
      </c>
      <c r="G352">
        <v>0</v>
      </c>
      <c r="H352">
        <v>0.381798978629801</v>
      </c>
      <c r="I352">
        <v>0</v>
      </c>
      <c r="J352" t="s">
        <v>90</v>
      </c>
      <c r="K352">
        <v>0</v>
      </c>
      <c r="L352">
        <v>0.381798978629801</v>
      </c>
      <c r="M352">
        <v>0</v>
      </c>
      <c r="N352">
        <v>0</v>
      </c>
      <c r="O352">
        <v>0.381798978629801</v>
      </c>
      <c r="P352" t="s">
        <v>90</v>
      </c>
      <c r="Q352">
        <v>0</v>
      </c>
      <c r="R352" t="s">
        <v>90</v>
      </c>
      <c r="S352">
        <v>0</v>
      </c>
      <c r="T352" t="s">
        <v>90</v>
      </c>
      <c r="U352">
        <v>0</v>
      </c>
      <c r="V352" t="s">
        <v>90</v>
      </c>
      <c r="W352">
        <v>0</v>
      </c>
      <c r="X352" t="s">
        <v>90</v>
      </c>
      <c r="Y352">
        <v>0</v>
      </c>
      <c r="Z352">
        <v>0.381798978629801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L352">
        <v>0.124</v>
      </c>
      <c r="AN352" t="s">
        <v>185</v>
      </c>
      <c r="AO352" t="s">
        <v>73</v>
      </c>
      <c r="AP352">
        <v>200000</v>
      </c>
      <c r="AQ352" t="s">
        <v>73</v>
      </c>
      <c r="AS352">
        <v>10000</v>
      </c>
      <c r="AT352" t="s">
        <v>2700</v>
      </c>
      <c r="AU352" t="s">
        <v>75</v>
      </c>
      <c r="AV352" t="s">
        <v>76</v>
      </c>
    </row>
    <row r="353" spans="1:48" x14ac:dyDescent="0.15">
      <c r="A353" s="4" t="str">
        <f>HYPERLINK("https://ibp.a2mac1.com/costing(costing:projects/details/9760/assembly/8412790)","Left")</f>
        <v>Left</v>
      </c>
      <c r="B353">
        <v>8412790</v>
      </c>
      <c r="D353">
        <v>8412693</v>
      </c>
      <c r="F353">
        <v>1</v>
      </c>
      <c r="G353">
        <v>0</v>
      </c>
      <c r="H353">
        <v>4.7059198187229887</v>
      </c>
      <c r="I353">
        <v>0</v>
      </c>
      <c r="J353" t="s">
        <v>90</v>
      </c>
      <c r="K353">
        <v>0</v>
      </c>
      <c r="L353">
        <v>4.7059198187229887</v>
      </c>
      <c r="M353">
        <v>0</v>
      </c>
      <c r="N353">
        <v>0</v>
      </c>
      <c r="O353">
        <v>4.7059198187229887</v>
      </c>
      <c r="P353" t="s">
        <v>90</v>
      </c>
      <c r="Q353">
        <v>0</v>
      </c>
      <c r="R353" t="s">
        <v>90</v>
      </c>
      <c r="S353">
        <v>0</v>
      </c>
      <c r="T353" t="s">
        <v>90</v>
      </c>
      <c r="U353">
        <v>0</v>
      </c>
      <c r="V353" t="s">
        <v>90</v>
      </c>
      <c r="W353">
        <v>0</v>
      </c>
      <c r="X353" t="s">
        <v>90</v>
      </c>
      <c r="Y353">
        <v>0</v>
      </c>
      <c r="Z353">
        <v>4.7059198187229887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L353">
        <v>1.7589999999999999</v>
      </c>
      <c r="AN353" t="s">
        <v>185</v>
      </c>
      <c r="AO353" t="s">
        <v>73</v>
      </c>
      <c r="AP353">
        <v>200000</v>
      </c>
      <c r="AQ353" t="s">
        <v>73</v>
      </c>
      <c r="AS353">
        <v>10000</v>
      </c>
      <c r="AT353" t="s">
        <v>2709</v>
      </c>
      <c r="AU353" t="s">
        <v>75</v>
      </c>
      <c r="AV353" t="s">
        <v>76</v>
      </c>
    </row>
    <row r="354" spans="1:48" x14ac:dyDescent="0.15">
      <c r="A354" s="4" t="str">
        <f>HYPERLINK("https://ibp.a2mac1.com/costing(costing:projects/details/9760/assembly/8412791)","Right")</f>
        <v>Right</v>
      </c>
      <c r="B354">
        <v>8412791</v>
      </c>
      <c r="D354">
        <v>8412693</v>
      </c>
      <c r="F354">
        <v>1</v>
      </c>
      <c r="G354">
        <v>0</v>
      </c>
      <c r="H354">
        <v>1.6499029298828352</v>
      </c>
      <c r="I354">
        <v>0</v>
      </c>
      <c r="J354" t="s">
        <v>90</v>
      </c>
      <c r="K354">
        <v>0</v>
      </c>
      <c r="L354">
        <v>1.6499029298828352</v>
      </c>
      <c r="M354">
        <v>0</v>
      </c>
      <c r="N354">
        <v>0</v>
      </c>
      <c r="O354">
        <v>1.6499029298828352</v>
      </c>
      <c r="P354" t="s">
        <v>90</v>
      </c>
      <c r="Q354">
        <v>0</v>
      </c>
      <c r="R354" t="s">
        <v>90</v>
      </c>
      <c r="S354">
        <v>0</v>
      </c>
      <c r="T354" t="s">
        <v>90</v>
      </c>
      <c r="U354">
        <v>0</v>
      </c>
      <c r="V354" t="s">
        <v>90</v>
      </c>
      <c r="W354">
        <v>0</v>
      </c>
      <c r="X354" t="s">
        <v>90</v>
      </c>
      <c r="Y354">
        <v>0</v>
      </c>
      <c r="Z354">
        <v>1.6499029298828352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L354">
        <v>0.95899999999999996</v>
      </c>
      <c r="AN354" t="s">
        <v>185</v>
      </c>
      <c r="AO354" t="s">
        <v>73</v>
      </c>
      <c r="AP354">
        <v>200000</v>
      </c>
      <c r="AQ354" t="s">
        <v>73</v>
      </c>
      <c r="AS354">
        <v>10000</v>
      </c>
      <c r="AT354" t="s">
        <v>2717</v>
      </c>
      <c r="AU354" t="s">
        <v>75</v>
      </c>
      <c r="AV354" t="s">
        <v>76</v>
      </c>
    </row>
    <row r="355" spans="1:48" x14ac:dyDescent="0.15">
      <c r="A355" s="4" t="str">
        <f>HYPERLINK("https://ibp.a2mac1.com/costing(costing:projects/details/9760/assembly/8412693)","Storage")</f>
        <v>Storage</v>
      </c>
      <c r="B355">
        <v>8412693</v>
      </c>
      <c r="D355">
        <v>8412582</v>
      </c>
      <c r="F355">
        <v>1</v>
      </c>
      <c r="G355">
        <v>0</v>
      </c>
      <c r="H355">
        <v>6.3558227486058234</v>
      </c>
      <c r="I355">
        <v>0</v>
      </c>
      <c r="J355" t="s">
        <v>90</v>
      </c>
      <c r="K355">
        <v>0</v>
      </c>
      <c r="L355">
        <v>6.3558227486058234</v>
      </c>
      <c r="M355">
        <v>0</v>
      </c>
      <c r="N355">
        <v>0</v>
      </c>
      <c r="O355">
        <v>6.3558227486058234</v>
      </c>
      <c r="P355" t="s">
        <v>90</v>
      </c>
      <c r="Q355">
        <v>0</v>
      </c>
      <c r="R355" t="s">
        <v>90</v>
      </c>
      <c r="S355">
        <v>0</v>
      </c>
      <c r="T355" t="s">
        <v>90</v>
      </c>
      <c r="U355">
        <v>0</v>
      </c>
      <c r="V355" t="s">
        <v>90</v>
      </c>
      <c r="W355">
        <v>0</v>
      </c>
      <c r="X355" t="s">
        <v>90</v>
      </c>
      <c r="Y355">
        <v>0</v>
      </c>
      <c r="Z355">
        <v>6.3558227486058234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L355">
        <v>2.718</v>
      </c>
      <c r="AN355" t="s">
        <v>185</v>
      </c>
      <c r="AO355" t="s">
        <v>73</v>
      </c>
      <c r="AP355">
        <v>200000</v>
      </c>
      <c r="AQ355" t="s">
        <v>73</v>
      </c>
      <c r="AS355">
        <v>10000</v>
      </c>
      <c r="AT355" t="s">
        <v>2718</v>
      </c>
      <c r="AU355" t="s">
        <v>75</v>
      </c>
      <c r="AV355" t="s">
        <v>76</v>
      </c>
    </row>
    <row r="356" spans="1:48" x14ac:dyDescent="0.15">
      <c r="A356" s="4" t="str">
        <f>HYPERLINK("https://ibp.a2mac1.com/costing(costing:projects/details/9760/assembly/8412582)","Storage Under Cushion")</f>
        <v>Storage Under Cushion</v>
      </c>
      <c r="B356">
        <v>8412582</v>
      </c>
      <c r="D356">
        <v>8412551</v>
      </c>
      <c r="F356">
        <v>1</v>
      </c>
      <c r="G356">
        <v>0</v>
      </c>
      <c r="H356">
        <v>6.7376217272356245</v>
      </c>
      <c r="I356">
        <v>0</v>
      </c>
      <c r="J356" t="s">
        <v>90</v>
      </c>
      <c r="K356">
        <v>0</v>
      </c>
      <c r="L356">
        <v>6.7376217272356245</v>
      </c>
      <c r="M356">
        <v>0</v>
      </c>
      <c r="N356">
        <v>0</v>
      </c>
      <c r="O356">
        <v>6.7376217272356245</v>
      </c>
      <c r="P356" t="s">
        <v>90</v>
      </c>
      <c r="Q356">
        <v>0</v>
      </c>
      <c r="R356" t="s">
        <v>90</v>
      </c>
      <c r="S356">
        <v>0</v>
      </c>
      <c r="T356" t="s">
        <v>90</v>
      </c>
      <c r="U356">
        <v>0</v>
      </c>
      <c r="V356" t="s">
        <v>90</v>
      </c>
      <c r="W356">
        <v>0</v>
      </c>
      <c r="X356" t="s">
        <v>90</v>
      </c>
      <c r="Y356">
        <v>0</v>
      </c>
      <c r="Z356">
        <v>6.7376217272356245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L356">
        <v>2.8420000000000001</v>
      </c>
      <c r="AN356" t="s">
        <v>185</v>
      </c>
      <c r="AO356" t="s">
        <v>73</v>
      </c>
      <c r="AP356">
        <v>200000</v>
      </c>
      <c r="AQ356" t="s">
        <v>73</v>
      </c>
      <c r="AS356">
        <v>10000</v>
      </c>
      <c r="AT356" t="s">
        <v>2719</v>
      </c>
      <c r="AU356" t="s">
        <v>75</v>
      </c>
      <c r="AV356" t="s">
        <v>76</v>
      </c>
    </row>
    <row r="357" spans="1:48" x14ac:dyDescent="0.15">
      <c r="A357" s="4" t="str">
        <f>HYPERLINK("https://ibp.a2mac1.com/costing(costing:projects/details/9760/assembly/8412583)","Isofix Cover")</f>
        <v>Isofix Cover</v>
      </c>
      <c r="B357">
        <v>8412583</v>
      </c>
      <c r="D357">
        <v>8412551</v>
      </c>
      <c r="F357">
        <v>1</v>
      </c>
      <c r="G357">
        <v>0</v>
      </c>
      <c r="H357">
        <v>0.57562518315795663</v>
      </c>
      <c r="I357">
        <v>2.8925888600902345E-3</v>
      </c>
      <c r="J357" t="s">
        <v>176</v>
      </c>
      <c r="K357">
        <v>2.0146881410528485E-2</v>
      </c>
      <c r="L357">
        <v>0.59866465342857544</v>
      </c>
      <c r="M357">
        <v>0</v>
      </c>
      <c r="N357">
        <v>0</v>
      </c>
      <c r="O357">
        <v>0.59866465342857544</v>
      </c>
      <c r="P357" t="s">
        <v>90</v>
      </c>
      <c r="Q357">
        <v>0</v>
      </c>
      <c r="R357" t="s">
        <v>90</v>
      </c>
      <c r="S357">
        <v>0</v>
      </c>
      <c r="T357" t="s">
        <v>90</v>
      </c>
      <c r="U357">
        <v>0</v>
      </c>
      <c r="V357" t="s">
        <v>90</v>
      </c>
      <c r="W357">
        <v>0</v>
      </c>
      <c r="X357" t="s">
        <v>90</v>
      </c>
      <c r="Y357">
        <v>0</v>
      </c>
      <c r="Z357">
        <v>0.59866465342857544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L357">
        <v>0.35</v>
      </c>
      <c r="AN357" t="s">
        <v>740</v>
      </c>
      <c r="AO357" t="s">
        <v>73</v>
      </c>
      <c r="AP357">
        <v>200000</v>
      </c>
      <c r="AQ357" t="s">
        <v>73</v>
      </c>
      <c r="AS357">
        <v>10000</v>
      </c>
      <c r="AT357" t="s">
        <v>2727</v>
      </c>
      <c r="AU357" t="s">
        <v>75</v>
      </c>
      <c r="AV357" t="s">
        <v>76</v>
      </c>
    </row>
    <row r="358" spans="1:48" x14ac:dyDescent="0.15">
      <c r="A358" s="4" t="str">
        <f>HYPERLINK("https://ibp.a2mac1.com/costing(costing:projects/details/9760/assembly/8412551)","Rear Seat")</f>
        <v>Rear Seat</v>
      </c>
      <c r="B358">
        <v>8412551</v>
      </c>
      <c r="D358">
        <v>8412548</v>
      </c>
      <c r="F358">
        <v>1</v>
      </c>
      <c r="G358">
        <v>0</v>
      </c>
      <c r="H358">
        <v>270.90720435282969</v>
      </c>
      <c r="I358">
        <v>1.3613427354413552</v>
      </c>
      <c r="J358" t="s">
        <v>176</v>
      </c>
      <c r="K358">
        <v>9.4817521523490385</v>
      </c>
      <c r="L358">
        <v>281.75029924062011</v>
      </c>
      <c r="M358">
        <v>0</v>
      </c>
      <c r="N358">
        <v>9.6349941740202212</v>
      </c>
      <c r="O358">
        <v>291.38529341464027</v>
      </c>
      <c r="P358" t="s">
        <v>177</v>
      </c>
      <c r="Q358">
        <v>16.905017954437206</v>
      </c>
      <c r="R358" t="s">
        <v>177</v>
      </c>
      <c r="S358">
        <v>0.57809965044121325</v>
      </c>
      <c r="T358" t="s">
        <v>178</v>
      </c>
      <c r="U358">
        <v>34.966235209756839</v>
      </c>
      <c r="V358" t="s">
        <v>90</v>
      </c>
      <c r="W358">
        <v>0</v>
      </c>
      <c r="X358" t="s">
        <v>90</v>
      </c>
      <c r="Y358">
        <v>0</v>
      </c>
      <c r="Z358">
        <v>343.83464622927556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L358">
        <v>29.238900000000001</v>
      </c>
      <c r="AN358" t="s">
        <v>772</v>
      </c>
      <c r="AO358" t="s">
        <v>73</v>
      </c>
      <c r="AP358">
        <v>200000</v>
      </c>
      <c r="AQ358" t="s">
        <v>97</v>
      </c>
      <c r="AS358">
        <v>10000</v>
      </c>
      <c r="AT358" t="s">
        <v>2731</v>
      </c>
      <c r="AU358" t="s">
        <v>75</v>
      </c>
      <c r="AV358" t="s">
        <v>76</v>
      </c>
    </row>
    <row r="359" spans="1:48" x14ac:dyDescent="0.15">
      <c r="A359" s="4" t="str">
        <f>HYPERLINK("https://ibp.a2mac1.com/costing(costing:projects/details/9760/assembly/8412548)","Seats")</f>
        <v>Seats</v>
      </c>
      <c r="B359">
        <v>8412548</v>
      </c>
      <c r="C359">
        <v>9760</v>
      </c>
      <c r="F359">
        <v>1</v>
      </c>
      <c r="G359">
        <v>0</v>
      </c>
      <c r="H359">
        <v>1000.2387067767974</v>
      </c>
      <c r="I359">
        <v>0</v>
      </c>
      <c r="J359" t="s">
        <v>90</v>
      </c>
      <c r="K359">
        <v>0</v>
      </c>
      <c r="L359">
        <v>1000.2387067767974</v>
      </c>
      <c r="M359">
        <v>0</v>
      </c>
      <c r="N359">
        <v>0</v>
      </c>
      <c r="O359">
        <v>1000.2387067767974</v>
      </c>
      <c r="P359" t="s">
        <v>90</v>
      </c>
      <c r="Q359">
        <v>0</v>
      </c>
      <c r="R359" t="s">
        <v>90</v>
      </c>
      <c r="S359">
        <v>0</v>
      </c>
      <c r="T359" t="s">
        <v>90</v>
      </c>
      <c r="U359">
        <v>0</v>
      </c>
      <c r="V359" t="s">
        <v>90</v>
      </c>
      <c r="W359">
        <v>0</v>
      </c>
      <c r="X359" t="s">
        <v>90</v>
      </c>
      <c r="Y359">
        <v>0</v>
      </c>
      <c r="Z359">
        <v>1000.2387067767974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L359">
        <v>77.618300000000005</v>
      </c>
      <c r="AN359" t="s">
        <v>185</v>
      </c>
      <c r="AO359" t="s">
        <v>73</v>
      </c>
      <c r="AP359">
        <v>200000</v>
      </c>
      <c r="AQ359" t="s">
        <v>73</v>
      </c>
      <c r="AS359">
        <v>10000</v>
      </c>
      <c r="AT359" t="s">
        <v>2732</v>
      </c>
      <c r="AU359" t="s">
        <v>75</v>
      </c>
      <c r="AV359" t="s">
        <v>76</v>
      </c>
    </row>
    <row r="360" spans="1:48" x14ac:dyDescent="0.15">
      <c r="A360" s="4" t="str">
        <f>HYPERLINK("https://ibp.a2mac1.com/costing(costing:projects/details/9760/assembly/8412886)","Support Sytem")</f>
        <v>Support Sytem</v>
      </c>
      <c r="B360">
        <v>8412886</v>
      </c>
      <c r="D360">
        <v>8412866</v>
      </c>
      <c r="F360">
        <v>1</v>
      </c>
      <c r="G360">
        <v>0</v>
      </c>
      <c r="H360">
        <v>5.01</v>
      </c>
      <c r="I360">
        <v>2.5175879396984926E-2</v>
      </c>
      <c r="J360" t="s">
        <v>176</v>
      </c>
      <c r="K360">
        <v>0.17535000000000001</v>
      </c>
      <c r="L360">
        <v>5.2105258793969851</v>
      </c>
      <c r="M360">
        <v>0</v>
      </c>
      <c r="N360">
        <v>0</v>
      </c>
      <c r="O360">
        <v>5.2105258793969851</v>
      </c>
      <c r="P360" t="s">
        <v>177</v>
      </c>
      <c r="Q360">
        <v>0.3126315527638191</v>
      </c>
      <c r="R360" t="s">
        <v>177</v>
      </c>
      <c r="S360">
        <v>0</v>
      </c>
      <c r="T360" t="s">
        <v>178</v>
      </c>
      <c r="U360">
        <v>0.6252631055276382</v>
      </c>
      <c r="V360" t="s">
        <v>90</v>
      </c>
      <c r="W360">
        <v>0</v>
      </c>
      <c r="X360" t="s">
        <v>90</v>
      </c>
      <c r="Y360">
        <v>0</v>
      </c>
      <c r="Z360">
        <v>6.148420537688442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L360">
        <v>3.7799</v>
      </c>
      <c r="AN360" t="s">
        <v>107</v>
      </c>
      <c r="AO360" t="s">
        <v>73</v>
      </c>
      <c r="AP360">
        <v>200000</v>
      </c>
      <c r="AQ360" t="s">
        <v>97</v>
      </c>
      <c r="AS360">
        <v>10000</v>
      </c>
      <c r="AT360" t="s">
        <v>2742</v>
      </c>
      <c r="AU360" t="s">
        <v>75</v>
      </c>
      <c r="AV360" t="s">
        <v>76</v>
      </c>
    </row>
    <row r="361" spans="1:48" x14ac:dyDescent="0.15">
      <c r="A361" s="4" t="str">
        <f>HYPERLINK("https://ibp.a2mac1.com/costing(costing:projects/details/9760/assembly/8413327)","HV Connectors")</f>
        <v>HV Connectors</v>
      </c>
      <c r="B361">
        <v>8413327</v>
      </c>
      <c r="D361">
        <v>8413206</v>
      </c>
      <c r="F361">
        <v>1</v>
      </c>
      <c r="G361">
        <v>0</v>
      </c>
      <c r="H361">
        <v>5.27806</v>
      </c>
      <c r="I361">
        <v>0</v>
      </c>
      <c r="J361" t="s">
        <v>90</v>
      </c>
      <c r="K361">
        <v>0</v>
      </c>
      <c r="L361">
        <v>5.27806</v>
      </c>
      <c r="M361">
        <v>0</v>
      </c>
      <c r="N361">
        <v>0</v>
      </c>
      <c r="O361">
        <v>5.27806</v>
      </c>
      <c r="P361" t="s">
        <v>90</v>
      </c>
      <c r="Q361">
        <v>0</v>
      </c>
      <c r="R361" t="s">
        <v>90</v>
      </c>
      <c r="S361">
        <v>0</v>
      </c>
      <c r="T361" t="s">
        <v>90</v>
      </c>
      <c r="U361">
        <v>0</v>
      </c>
      <c r="V361" t="s">
        <v>90</v>
      </c>
      <c r="W361">
        <v>0</v>
      </c>
      <c r="X361" t="s">
        <v>90</v>
      </c>
      <c r="Y361">
        <v>0</v>
      </c>
      <c r="Z361">
        <v>5.27806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6.3E-2</v>
      </c>
      <c r="AN361" t="s">
        <v>1015</v>
      </c>
      <c r="AO361" t="s">
        <v>73</v>
      </c>
      <c r="AP361">
        <v>200000</v>
      </c>
      <c r="AQ361" t="s">
        <v>73</v>
      </c>
      <c r="AS361">
        <v>10000</v>
      </c>
      <c r="AT361" t="s">
        <v>9</v>
      </c>
      <c r="AU361" t="s">
        <v>75</v>
      </c>
      <c r="AV361" t="s">
        <v>76</v>
      </c>
    </row>
    <row r="362" spans="1:48" x14ac:dyDescent="0.15">
      <c r="A362" s="4" t="str">
        <f>HYPERLINK("https://ibp.a2mac1.com/costing(costing:projects/details/9760/assembly/8413206)","Connectors")</f>
        <v>Connectors</v>
      </c>
      <c r="B362">
        <v>8413206</v>
      </c>
      <c r="D362">
        <v>8413076</v>
      </c>
      <c r="F362">
        <v>1</v>
      </c>
      <c r="G362">
        <v>0</v>
      </c>
      <c r="H362">
        <v>5.27806</v>
      </c>
      <c r="I362">
        <v>0</v>
      </c>
      <c r="J362" t="s">
        <v>90</v>
      </c>
      <c r="K362">
        <v>0</v>
      </c>
      <c r="L362">
        <v>5.27806</v>
      </c>
      <c r="M362">
        <v>0</v>
      </c>
      <c r="N362">
        <v>0</v>
      </c>
      <c r="O362">
        <v>5.27806</v>
      </c>
      <c r="P362" t="s">
        <v>90</v>
      </c>
      <c r="Q362">
        <v>0</v>
      </c>
      <c r="R362" t="s">
        <v>90</v>
      </c>
      <c r="S362">
        <v>0</v>
      </c>
      <c r="T362" t="s">
        <v>90</v>
      </c>
      <c r="U362">
        <v>0</v>
      </c>
      <c r="V362" t="s">
        <v>90</v>
      </c>
      <c r="W362">
        <v>0</v>
      </c>
      <c r="X362" t="s">
        <v>90</v>
      </c>
      <c r="Y362">
        <v>0</v>
      </c>
      <c r="Z362">
        <v>5.27806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6.3E-2</v>
      </c>
      <c r="AN362" t="s">
        <v>1015</v>
      </c>
      <c r="AO362" t="s">
        <v>73</v>
      </c>
      <c r="AP362">
        <v>200000</v>
      </c>
      <c r="AQ362" t="s">
        <v>73</v>
      </c>
      <c r="AS362">
        <v>10000</v>
      </c>
      <c r="AT362" t="s">
        <v>9</v>
      </c>
      <c r="AU362" t="s">
        <v>75</v>
      </c>
      <c r="AV362" t="s">
        <v>76</v>
      </c>
    </row>
    <row r="363" spans="1:48" x14ac:dyDescent="0.15">
      <c r="A363" s="4" t="str">
        <f>HYPERLINK("https://ibp.a2mac1.com/costing(costing:projects/details/9760/assembly/8413076)","Connectors &amp; Wire Harnesses")</f>
        <v>Connectors &amp; Wire Harnesses</v>
      </c>
      <c r="B363">
        <v>8413076</v>
      </c>
      <c r="D363">
        <v>8412991</v>
      </c>
      <c r="F363">
        <v>1</v>
      </c>
      <c r="G363">
        <v>0</v>
      </c>
      <c r="H363">
        <v>5.27806</v>
      </c>
      <c r="I363">
        <v>0</v>
      </c>
      <c r="J363" t="s">
        <v>90</v>
      </c>
      <c r="K363">
        <v>0</v>
      </c>
      <c r="L363">
        <v>5.27806</v>
      </c>
      <c r="M363">
        <v>0</v>
      </c>
      <c r="N363">
        <v>0</v>
      </c>
      <c r="O363">
        <v>5.27806</v>
      </c>
      <c r="P363" t="s">
        <v>90</v>
      </c>
      <c r="Q363">
        <v>0</v>
      </c>
      <c r="R363" t="s">
        <v>90</v>
      </c>
      <c r="S363">
        <v>0</v>
      </c>
      <c r="T363" t="s">
        <v>90</v>
      </c>
      <c r="U363">
        <v>0</v>
      </c>
      <c r="V363" t="s">
        <v>90</v>
      </c>
      <c r="W363">
        <v>0</v>
      </c>
      <c r="X363" t="s">
        <v>90</v>
      </c>
      <c r="Y363">
        <v>0</v>
      </c>
      <c r="Z363">
        <v>5.27806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6.3E-2</v>
      </c>
      <c r="AN363" t="s">
        <v>1015</v>
      </c>
      <c r="AO363" t="s">
        <v>73</v>
      </c>
      <c r="AP363">
        <v>200000</v>
      </c>
      <c r="AQ363" t="s">
        <v>73</v>
      </c>
      <c r="AS363">
        <v>10000</v>
      </c>
      <c r="AT363" t="s">
        <v>9</v>
      </c>
      <c r="AU363" t="s">
        <v>75</v>
      </c>
      <c r="AV363" t="s">
        <v>76</v>
      </c>
    </row>
    <row r="364" spans="1:48" x14ac:dyDescent="0.15">
      <c r="A364" s="4" t="str">
        <f>HYPERLINK("https://ibp.a2mac1.com/costing(costing:projects/details/9760/assembly/8413207)","Ferrites &amp; Cores")</f>
        <v>Ferrites &amp; Cores</v>
      </c>
      <c r="B364">
        <v>8413207</v>
      </c>
      <c r="D364">
        <v>8413077</v>
      </c>
      <c r="F364">
        <v>1</v>
      </c>
      <c r="G364">
        <v>0</v>
      </c>
      <c r="H364">
        <v>0.16</v>
      </c>
      <c r="I364">
        <v>0</v>
      </c>
      <c r="J364" t="s">
        <v>90</v>
      </c>
      <c r="K364">
        <v>0</v>
      </c>
      <c r="L364">
        <v>0.16</v>
      </c>
      <c r="M364">
        <v>0</v>
      </c>
      <c r="N364">
        <v>0</v>
      </c>
      <c r="O364">
        <v>0.16</v>
      </c>
      <c r="P364" t="s">
        <v>90</v>
      </c>
      <c r="Q364">
        <v>0</v>
      </c>
      <c r="R364" t="s">
        <v>90</v>
      </c>
      <c r="S364">
        <v>0</v>
      </c>
      <c r="T364" t="s">
        <v>90</v>
      </c>
      <c r="U364">
        <v>0</v>
      </c>
      <c r="V364" t="s">
        <v>90</v>
      </c>
      <c r="W364">
        <v>0</v>
      </c>
      <c r="X364" t="s">
        <v>90</v>
      </c>
      <c r="Y364">
        <v>0</v>
      </c>
      <c r="Z364">
        <v>0.16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0.02</v>
      </c>
      <c r="AN364" t="s">
        <v>1015</v>
      </c>
      <c r="AO364" t="s">
        <v>73</v>
      </c>
      <c r="AP364">
        <v>200000</v>
      </c>
      <c r="AQ364" t="s">
        <v>73</v>
      </c>
      <c r="AS364">
        <v>10000</v>
      </c>
      <c r="AT364" t="s">
        <v>9</v>
      </c>
      <c r="AU364" t="s">
        <v>75</v>
      </c>
      <c r="AV364" t="s">
        <v>76</v>
      </c>
    </row>
    <row r="365" spans="1:48" x14ac:dyDescent="0.15">
      <c r="A365" s="4" t="str">
        <f>HYPERLINK("https://ibp.a2mac1.com/costing(costing:projects/details/9760/assembly/8413208)","Inductors")</f>
        <v>Inductors</v>
      </c>
      <c r="B365">
        <v>8413208</v>
      </c>
      <c r="D365">
        <v>8413077</v>
      </c>
      <c r="F365">
        <v>1</v>
      </c>
      <c r="G365">
        <v>0</v>
      </c>
      <c r="H365">
        <v>25.8</v>
      </c>
      <c r="I365">
        <v>0</v>
      </c>
      <c r="J365" t="s">
        <v>90</v>
      </c>
      <c r="K365">
        <v>0</v>
      </c>
      <c r="L365">
        <v>25.8</v>
      </c>
      <c r="M365">
        <v>0</v>
      </c>
      <c r="N365">
        <v>0</v>
      </c>
      <c r="O365">
        <v>25.8</v>
      </c>
      <c r="P365" t="s">
        <v>90</v>
      </c>
      <c r="Q365">
        <v>0</v>
      </c>
      <c r="R365" t="s">
        <v>90</v>
      </c>
      <c r="S365">
        <v>0</v>
      </c>
      <c r="T365" t="s">
        <v>90</v>
      </c>
      <c r="U365">
        <v>0</v>
      </c>
      <c r="V365" t="s">
        <v>90</v>
      </c>
      <c r="W365">
        <v>0</v>
      </c>
      <c r="X365" t="s">
        <v>90</v>
      </c>
      <c r="Y365">
        <v>0</v>
      </c>
      <c r="Z365">
        <v>25.8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1.1359999999999999</v>
      </c>
      <c r="AN365" t="s">
        <v>1015</v>
      </c>
      <c r="AO365" t="s">
        <v>73</v>
      </c>
      <c r="AP365">
        <v>200000</v>
      </c>
      <c r="AQ365" t="s">
        <v>73</v>
      </c>
      <c r="AS365">
        <v>10000</v>
      </c>
      <c r="AT365" t="s">
        <v>9</v>
      </c>
      <c r="AU365" t="s">
        <v>75</v>
      </c>
      <c r="AV365" t="s">
        <v>76</v>
      </c>
    </row>
    <row r="366" spans="1:48" x14ac:dyDescent="0.15">
      <c r="A366" s="4" t="str">
        <f>HYPERLINK("https://ibp.a2mac1.com/costing(costing:projects/details/9760/assembly/8413209)","Transformers")</f>
        <v>Transformers</v>
      </c>
      <c r="B366">
        <v>8413209</v>
      </c>
      <c r="D366">
        <v>8413077</v>
      </c>
      <c r="F366">
        <v>1</v>
      </c>
      <c r="G366">
        <v>0</v>
      </c>
      <c r="H366">
        <v>6.2789999999999999</v>
      </c>
      <c r="I366">
        <v>0</v>
      </c>
      <c r="J366" t="s">
        <v>90</v>
      </c>
      <c r="K366">
        <v>0</v>
      </c>
      <c r="L366">
        <v>6.2789999999999999</v>
      </c>
      <c r="M366">
        <v>0</v>
      </c>
      <c r="N366">
        <v>0</v>
      </c>
      <c r="O366">
        <v>6.2789999999999999</v>
      </c>
      <c r="P366" t="s">
        <v>90</v>
      </c>
      <c r="Q366">
        <v>0</v>
      </c>
      <c r="R366" t="s">
        <v>90</v>
      </c>
      <c r="S366">
        <v>0</v>
      </c>
      <c r="T366" t="s">
        <v>90</v>
      </c>
      <c r="U366">
        <v>0</v>
      </c>
      <c r="V366" t="s">
        <v>90</v>
      </c>
      <c r="W366">
        <v>0</v>
      </c>
      <c r="X366" t="s">
        <v>90</v>
      </c>
      <c r="Y366">
        <v>0</v>
      </c>
      <c r="Z366">
        <v>6.2789999999999999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0.16800000000000001</v>
      </c>
      <c r="AN366" t="s">
        <v>1015</v>
      </c>
      <c r="AO366" t="s">
        <v>73</v>
      </c>
      <c r="AP366">
        <v>200000</v>
      </c>
      <c r="AQ366" t="s">
        <v>73</v>
      </c>
      <c r="AS366">
        <v>10000</v>
      </c>
      <c r="AT366" t="s">
        <v>9</v>
      </c>
      <c r="AU366" t="s">
        <v>75</v>
      </c>
      <c r="AV366" t="s">
        <v>76</v>
      </c>
    </row>
    <row r="367" spans="1:48" x14ac:dyDescent="0.15">
      <c r="A367" s="4" t="str">
        <f>HYPERLINK("https://ibp.a2mac1.com/costing(costing:projects/details/9760/assembly/8413077)","Electrical Parts")</f>
        <v>Electrical Parts</v>
      </c>
      <c r="B367">
        <v>8413077</v>
      </c>
      <c r="D367">
        <v>8412991</v>
      </c>
      <c r="F367">
        <v>1</v>
      </c>
      <c r="G367">
        <v>0</v>
      </c>
      <c r="H367">
        <v>32.238999999999997</v>
      </c>
      <c r="I367">
        <v>0</v>
      </c>
      <c r="J367" t="s">
        <v>90</v>
      </c>
      <c r="K367">
        <v>0</v>
      </c>
      <c r="L367">
        <v>32.238999999999997</v>
      </c>
      <c r="M367">
        <v>0</v>
      </c>
      <c r="N367">
        <v>0</v>
      </c>
      <c r="O367">
        <v>32.238999999999997</v>
      </c>
      <c r="P367" t="s">
        <v>90</v>
      </c>
      <c r="Q367">
        <v>0</v>
      </c>
      <c r="R367" t="s">
        <v>90</v>
      </c>
      <c r="S367">
        <v>0</v>
      </c>
      <c r="T367" t="s">
        <v>90</v>
      </c>
      <c r="U367">
        <v>0</v>
      </c>
      <c r="V367" t="s">
        <v>90</v>
      </c>
      <c r="W367">
        <v>0</v>
      </c>
      <c r="X367" t="s">
        <v>90</v>
      </c>
      <c r="Y367">
        <v>0</v>
      </c>
      <c r="Z367">
        <v>32.238999999999997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1.3240000000000001</v>
      </c>
      <c r="AN367" t="s">
        <v>1015</v>
      </c>
      <c r="AO367" t="s">
        <v>73</v>
      </c>
      <c r="AP367">
        <v>200000</v>
      </c>
      <c r="AQ367" t="s">
        <v>73</v>
      </c>
      <c r="AS367">
        <v>10000</v>
      </c>
      <c r="AT367" t="s">
        <v>9</v>
      </c>
      <c r="AU367" t="s">
        <v>75</v>
      </c>
      <c r="AV367" t="s">
        <v>76</v>
      </c>
    </row>
    <row r="368" spans="1:48" x14ac:dyDescent="0.15">
      <c r="A368" s="4" t="str">
        <f>HYPERLINK("https://ibp.a2mac1.com/costing(costing:projects/details/9760/assembly/8413078)","Electronic Parts")</f>
        <v>Electronic Parts</v>
      </c>
      <c r="B368">
        <v>8413078</v>
      </c>
      <c r="D368">
        <v>8412991</v>
      </c>
      <c r="F368">
        <v>1</v>
      </c>
      <c r="G368">
        <v>0</v>
      </c>
      <c r="H368">
        <v>244.63929999999999</v>
      </c>
      <c r="I368">
        <v>0</v>
      </c>
      <c r="J368" t="s">
        <v>90</v>
      </c>
      <c r="K368">
        <v>0</v>
      </c>
      <c r="L368">
        <v>244.63929999999999</v>
      </c>
      <c r="M368">
        <v>0</v>
      </c>
      <c r="N368">
        <v>0</v>
      </c>
      <c r="O368">
        <v>244.63929999999999</v>
      </c>
      <c r="P368" t="s">
        <v>90</v>
      </c>
      <c r="Q368">
        <v>0</v>
      </c>
      <c r="R368" t="s">
        <v>90</v>
      </c>
      <c r="S368">
        <v>0</v>
      </c>
      <c r="T368" t="s">
        <v>90</v>
      </c>
      <c r="U368">
        <v>0</v>
      </c>
      <c r="V368" t="s">
        <v>90</v>
      </c>
      <c r="W368">
        <v>0</v>
      </c>
      <c r="X368" t="s">
        <v>90</v>
      </c>
      <c r="Y368">
        <v>0</v>
      </c>
      <c r="Z368">
        <v>244.63929999999999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N368" t="s">
        <v>1015</v>
      </c>
      <c r="AO368" t="s">
        <v>73</v>
      </c>
      <c r="AP368">
        <v>200000</v>
      </c>
      <c r="AQ368" t="s">
        <v>73</v>
      </c>
      <c r="AS368">
        <v>10000</v>
      </c>
      <c r="AT368" t="s">
        <v>9</v>
      </c>
      <c r="AU368" t="s">
        <v>75</v>
      </c>
      <c r="AV368" t="s">
        <v>76</v>
      </c>
    </row>
    <row r="369" spans="1:48" x14ac:dyDescent="0.15">
      <c r="A369" s="4" t="str">
        <f>HYPERLINK("https://ibp.a2mac1.com/costing(costing:projects/details/9760/assembly/8413218)","Brackets")</f>
        <v>Brackets</v>
      </c>
      <c r="B369">
        <v>8413218</v>
      </c>
      <c r="D369">
        <v>8413079</v>
      </c>
      <c r="F369">
        <v>1</v>
      </c>
      <c r="G369">
        <v>0</v>
      </c>
      <c r="H369">
        <v>1.1860299999999999</v>
      </c>
      <c r="I369">
        <v>0</v>
      </c>
      <c r="J369" t="s">
        <v>90</v>
      </c>
      <c r="K369">
        <v>0</v>
      </c>
      <c r="L369">
        <v>1.1860299999999999</v>
      </c>
      <c r="M369">
        <v>0</v>
      </c>
      <c r="N369">
        <v>0</v>
      </c>
      <c r="O369">
        <v>1.1860299999999999</v>
      </c>
      <c r="P369" t="s">
        <v>90</v>
      </c>
      <c r="Q369">
        <v>0</v>
      </c>
      <c r="R369" t="s">
        <v>90</v>
      </c>
      <c r="S369">
        <v>0</v>
      </c>
      <c r="T369" t="s">
        <v>90</v>
      </c>
      <c r="U369">
        <v>0</v>
      </c>
      <c r="V369" t="s">
        <v>90</v>
      </c>
      <c r="W369">
        <v>0</v>
      </c>
      <c r="X369" t="s">
        <v>90</v>
      </c>
      <c r="Y369">
        <v>0</v>
      </c>
      <c r="Z369">
        <v>1.1860299999999999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0.188</v>
      </c>
      <c r="AN369" t="s">
        <v>1015</v>
      </c>
      <c r="AO369" t="s">
        <v>73</v>
      </c>
      <c r="AP369">
        <v>200000</v>
      </c>
      <c r="AQ369" t="s">
        <v>73</v>
      </c>
      <c r="AS369">
        <v>10000</v>
      </c>
      <c r="AT369" t="s">
        <v>9</v>
      </c>
      <c r="AU369" t="s">
        <v>75</v>
      </c>
      <c r="AV369" t="s">
        <v>76</v>
      </c>
    </row>
    <row r="370" spans="1:48" x14ac:dyDescent="0.15">
      <c r="A370" s="4" t="str">
        <f>HYPERLINK("https://ibp.a2mac1.com/costing(costing:projects/details/9760/assembly/8413219)","Housing Parts")</f>
        <v>Housing Parts</v>
      </c>
      <c r="B370">
        <v>8413219</v>
      </c>
      <c r="D370">
        <v>8413079</v>
      </c>
      <c r="F370">
        <v>1</v>
      </c>
      <c r="G370">
        <v>0</v>
      </c>
      <c r="H370">
        <v>22.186030629394953</v>
      </c>
      <c r="I370">
        <v>0</v>
      </c>
      <c r="J370" t="s">
        <v>90</v>
      </c>
      <c r="K370">
        <v>0</v>
      </c>
      <c r="L370">
        <v>22.186030629394953</v>
      </c>
      <c r="M370">
        <v>0</v>
      </c>
      <c r="N370">
        <v>0</v>
      </c>
      <c r="O370">
        <v>22.186030629394953</v>
      </c>
      <c r="P370" t="s">
        <v>90</v>
      </c>
      <c r="Q370">
        <v>0</v>
      </c>
      <c r="R370" t="s">
        <v>90</v>
      </c>
      <c r="S370">
        <v>0</v>
      </c>
      <c r="T370" t="s">
        <v>90</v>
      </c>
      <c r="U370">
        <v>0</v>
      </c>
      <c r="V370" t="s">
        <v>90</v>
      </c>
      <c r="W370">
        <v>0</v>
      </c>
      <c r="X370" t="s">
        <v>90</v>
      </c>
      <c r="Y370">
        <v>0</v>
      </c>
      <c r="Z370">
        <v>22.186030629394953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3.6890000000000001</v>
      </c>
      <c r="AN370" t="s">
        <v>1015</v>
      </c>
      <c r="AO370" t="s">
        <v>73</v>
      </c>
      <c r="AP370">
        <v>200000</v>
      </c>
      <c r="AQ370" t="s">
        <v>73</v>
      </c>
      <c r="AS370">
        <v>10000</v>
      </c>
      <c r="AT370" t="s">
        <v>9</v>
      </c>
      <c r="AU370" t="s">
        <v>75</v>
      </c>
      <c r="AV370" t="s">
        <v>76</v>
      </c>
    </row>
    <row r="371" spans="1:48" x14ac:dyDescent="0.15">
      <c r="A371" s="4" t="str">
        <f>HYPERLINK("https://ibp.a2mac1.com/costing(costing:projects/details/9760/assembly/8413220)","Insulation Sheets")</f>
        <v>Insulation Sheets</v>
      </c>
      <c r="B371">
        <v>8413220</v>
      </c>
      <c r="D371">
        <v>8413079</v>
      </c>
      <c r="F371">
        <v>1</v>
      </c>
      <c r="G371">
        <v>0</v>
      </c>
      <c r="H371">
        <v>0.72816999999999998</v>
      </c>
      <c r="I371">
        <v>0</v>
      </c>
      <c r="J371" t="s">
        <v>90</v>
      </c>
      <c r="K371">
        <v>0</v>
      </c>
      <c r="L371">
        <v>0.72816999999999998</v>
      </c>
      <c r="M371">
        <v>0</v>
      </c>
      <c r="N371">
        <v>0</v>
      </c>
      <c r="O371">
        <v>0.72816999999999998</v>
      </c>
      <c r="P371" t="s">
        <v>90</v>
      </c>
      <c r="Q371">
        <v>0</v>
      </c>
      <c r="R371" t="s">
        <v>90</v>
      </c>
      <c r="S371">
        <v>0</v>
      </c>
      <c r="T371" t="s">
        <v>90</v>
      </c>
      <c r="U371">
        <v>0</v>
      </c>
      <c r="V371" t="s">
        <v>90</v>
      </c>
      <c r="W371">
        <v>0</v>
      </c>
      <c r="X371" t="s">
        <v>90</v>
      </c>
      <c r="Y371">
        <v>0</v>
      </c>
      <c r="Z371">
        <v>0.72816999999999998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1.9E-2</v>
      </c>
      <c r="AN371" t="s">
        <v>1015</v>
      </c>
      <c r="AO371" t="s">
        <v>73</v>
      </c>
      <c r="AP371">
        <v>200000</v>
      </c>
      <c r="AQ371" t="s">
        <v>73</v>
      </c>
      <c r="AS371">
        <v>10000</v>
      </c>
      <c r="AT371" t="s">
        <v>9</v>
      </c>
      <c r="AU371" t="s">
        <v>75</v>
      </c>
      <c r="AV371" t="s">
        <v>76</v>
      </c>
    </row>
    <row r="372" spans="1:48" x14ac:dyDescent="0.15">
      <c r="A372" s="4" t="str">
        <f>HYPERLINK("https://ibp.a2mac1.com/costing(costing:projects/details/9760/assembly/8413221)","Shields")</f>
        <v>Shields</v>
      </c>
      <c r="B372">
        <v>8413221</v>
      </c>
      <c r="D372">
        <v>8413079</v>
      </c>
      <c r="F372">
        <v>1</v>
      </c>
      <c r="G372">
        <v>0</v>
      </c>
      <c r="H372">
        <v>0.15676999999999999</v>
      </c>
      <c r="I372">
        <v>0</v>
      </c>
      <c r="J372" t="s">
        <v>90</v>
      </c>
      <c r="K372">
        <v>0</v>
      </c>
      <c r="L372">
        <v>0.15676999999999999</v>
      </c>
      <c r="M372">
        <v>0</v>
      </c>
      <c r="N372">
        <v>0</v>
      </c>
      <c r="O372">
        <v>0.15676999999999999</v>
      </c>
      <c r="P372" t="s">
        <v>90</v>
      </c>
      <c r="Q372">
        <v>0</v>
      </c>
      <c r="R372" t="s">
        <v>90</v>
      </c>
      <c r="S372">
        <v>0</v>
      </c>
      <c r="T372" t="s">
        <v>90</v>
      </c>
      <c r="U372">
        <v>0</v>
      </c>
      <c r="V372" t="s">
        <v>90</v>
      </c>
      <c r="W372">
        <v>0</v>
      </c>
      <c r="X372" t="s">
        <v>90</v>
      </c>
      <c r="Y372">
        <v>0</v>
      </c>
      <c r="Z372">
        <v>0.15676999999999999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6.7000000000000004E-2</v>
      </c>
      <c r="AN372" t="s">
        <v>1015</v>
      </c>
      <c r="AO372" t="s">
        <v>73</v>
      </c>
      <c r="AP372">
        <v>200000</v>
      </c>
      <c r="AQ372" t="s">
        <v>73</v>
      </c>
      <c r="AS372">
        <v>10000</v>
      </c>
      <c r="AT372" t="s">
        <v>9</v>
      </c>
      <c r="AU372" t="s">
        <v>75</v>
      </c>
      <c r="AV372" t="s">
        <v>76</v>
      </c>
    </row>
    <row r="373" spans="1:48" x14ac:dyDescent="0.15">
      <c r="A373" s="4" t="str">
        <f>HYPERLINK("https://ibp.a2mac1.com/costing(costing:projects/details/9760/assembly/8413222)","Thermal Paste / Gap Pad")</f>
        <v>Thermal Paste / Gap Pad</v>
      </c>
      <c r="B373">
        <v>8413222</v>
      </c>
      <c r="D373">
        <v>8413079</v>
      </c>
      <c r="F373">
        <v>1</v>
      </c>
      <c r="G373">
        <v>0</v>
      </c>
      <c r="H373">
        <v>11.898400000000001</v>
      </c>
      <c r="I373">
        <v>0</v>
      </c>
      <c r="J373" t="s">
        <v>90</v>
      </c>
      <c r="K373">
        <v>0</v>
      </c>
      <c r="L373">
        <v>11.898400000000001</v>
      </c>
      <c r="M373">
        <v>0</v>
      </c>
      <c r="N373">
        <v>0</v>
      </c>
      <c r="O373">
        <v>11.898400000000001</v>
      </c>
      <c r="P373" t="s">
        <v>90</v>
      </c>
      <c r="Q373">
        <v>0</v>
      </c>
      <c r="R373" t="s">
        <v>90</v>
      </c>
      <c r="S373">
        <v>0</v>
      </c>
      <c r="T373" t="s">
        <v>90</v>
      </c>
      <c r="U373">
        <v>0</v>
      </c>
      <c r="V373" t="s">
        <v>90</v>
      </c>
      <c r="W373">
        <v>0</v>
      </c>
      <c r="X373" t="s">
        <v>90</v>
      </c>
      <c r="Y373">
        <v>0</v>
      </c>
      <c r="Z373">
        <v>11.898400000000001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0.85099999999999998</v>
      </c>
      <c r="AN373" t="s">
        <v>1015</v>
      </c>
      <c r="AO373" t="s">
        <v>73</v>
      </c>
      <c r="AP373">
        <v>200000</v>
      </c>
      <c r="AQ373" t="s">
        <v>73</v>
      </c>
      <c r="AS373">
        <v>10000</v>
      </c>
      <c r="AT373" t="s">
        <v>9</v>
      </c>
      <c r="AU373" t="s">
        <v>75</v>
      </c>
      <c r="AV373" t="s">
        <v>76</v>
      </c>
    </row>
    <row r="374" spans="1:48" x14ac:dyDescent="0.15">
      <c r="A374" s="4" t="str">
        <f>HYPERLINK("https://ibp.a2mac1.com/costing(costing:projects/details/9760/assembly/8413223)","Foam Pads")</f>
        <v>Foam Pads</v>
      </c>
      <c r="B374">
        <v>8413223</v>
      </c>
      <c r="D374">
        <v>8413079</v>
      </c>
      <c r="F374">
        <v>1</v>
      </c>
      <c r="G374">
        <v>0</v>
      </c>
      <c r="H374">
        <v>1.38219</v>
      </c>
      <c r="I374">
        <v>0</v>
      </c>
      <c r="J374" t="s">
        <v>90</v>
      </c>
      <c r="K374">
        <v>0</v>
      </c>
      <c r="L374">
        <v>1.38219</v>
      </c>
      <c r="M374">
        <v>0</v>
      </c>
      <c r="N374">
        <v>0</v>
      </c>
      <c r="O374">
        <v>1.38219</v>
      </c>
      <c r="P374" t="s">
        <v>90</v>
      </c>
      <c r="Q374">
        <v>0</v>
      </c>
      <c r="R374" t="s">
        <v>90</v>
      </c>
      <c r="S374">
        <v>0</v>
      </c>
      <c r="T374" t="s">
        <v>90</v>
      </c>
      <c r="U374">
        <v>0</v>
      </c>
      <c r="V374" t="s">
        <v>90</v>
      </c>
      <c r="W374">
        <v>0</v>
      </c>
      <c r="X374" t="s">
        <v>90</v>
      </c>
      <c r="Y374">
        <v>0</v>
      </c>
      <c r="Z374">
        <v>1.38219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1.4E-2</v>
      </c>
      <c r="AN374" t="s">
        <v>1015</v>
      </c>
      <c r="AO374" t="s">
        <v>73</v>
      </c>
      <c r="AP374">
        <v>200000</v>
      </c>
      <c r="AQ374" t="s">
        <v>73</v>
      </c>
      <c r="AS374">
        <v>10000</v>
      </c>
      <c r="AT374" t="s">
        <v>9</v>
      </c>
      <c r="AU374" t="s">
        <v>75</v>
      </c>
      <c r="AV374" t="s">
        <v>76</v>
      </c>
    </row>
    <row r="375" spans="1:48" x14ac:dyDescent="0.15">
      <c r="A375" s="4" t="str">
        <f>HYPERLINK("https://ibp.a2mac1.com/costing(costing:projects/details/9760/assembly/8413224)","Spacers")</f>
        <v>Spacers</v>
      </c>
      <c r="B375">
        <v>8413224</v>
      </c>
      <c r="D375">
        <v>8413079</v>
      </c>
      <c r="F375">
        <v>1</v>
      </c>
      <c r="G375">
        <v>0</v>
      </c>
      <c r="H375">
        <v>0.40407999999999999</v>
      </c>
      <c r="I375">
        <v>0</v>
      </c>
      <c r="J375" t="s">
        <v>90</v>
      </c>
      <c r="K375">
        <v>0</v>
      </c>
      <c r="L375">
        <v>0.40407999999999999</v>
      </c>
      <c r="M375">
        <v>0</v>
      </c>
      <c r="N375">
        <v>0</v>
      </c>
      <c r="O375">
        <v>0.40407999999999999</v>
      </c>
      <c r="P375" t="s">
        <v>90</v>
      </c>
      <c r="Q375">
        <v>0</v>
      </c>
      <c r="R375" t="s">
        <v>90</v>
      </c>
      <c r="S375">
        <v>0</v>
      </c>
      <c r="T375" t="s">
        <v>90</v>
      </c>
      <c r="U375">
        <v>0</v>
      </c>
      <c r="V375" t="s">
        <v>90</v>
      </c>
      <c r="W375">
        <v>0</v>
      </c>
      <c r="X375" t="s">
        <v>90</v>
      </c>
      <c r="Y375">
        <v>0</v>
      </c>
      <c r="Z375">
        <v>0.40407999999999999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3.5000000000000003E-2</v>
      </c>
      <c r="AN375" t="s">
        <v>1015</v>
      </c>
      <c r="AO375" t="s">
        <v>73</v>
      </c>
      <c r="AP375">
        <v>200000</v>
      </c>
      <c r="AQ375" t="s">
        <v>73</v>
      </c>
      <c r="AS375">
        <v>10000</v>
      </c>
      <c r="AT375" t="s">
        <v>9</v>
      </c>
      <c r="AU375" t="s">
        <v>75</v>
      </c>
      <c r="AV375" t="s">
        <v>76</v>
      </c>
    </row>
    <row r="376" spans="1:48" x14ac:dyDescent="0.15">
      <c r="A376" s="4" t="str">
        <f>HYPERLINK("https://ibp.a2mac1.com/costing(costing:projects/details/9760/assembly/8413079)","Mechanical Parts")</f>
        <v>Mechanical Parts</v>
      </c>
      <c r="B376">
        <v>8413079</v>
      </c>
      <c r="D376">
        <v>8412991</v>
      </c>
      <c r="F376">
        <v>1</v>
      </c>
      <c r="G376">
        <v>0</v>
      </c>
      <c r="H376">
        <v>37.941670629394956</v>
      </c>
      <c r="I376">
        <v>0</v>
      </c>
      <c r="J376" t="s">
        <v>90</v>
      </c>
      <c r="K376">
        <v>0</v>
      </c>
      <c r="L376">
        <v>37.941670629394956</v>
      </c>
      <c r="M376">
        <v>0</v>
      </c>
      <c r="N376">
        <v>0</v>
      </c>
      <c r="O376">
        <v>37.941670629394956</v>
      </c>
      <c r="P376" t="s">
        <v>90</v>
      </c>
      <c r="Q376">
        <v>0</v>
      </c>
      <c r="R376" t="s">
        <v>90</v>
      </c>
      <c r="S376">
        <v>0</v>
      </c>
      <c r="T376" t="s">
        <v>90</v>
      </c>
      <c r="U376">
        <v>0</v>
      </c>
      <c r="V376" t="s">
        <v>90</v>
      </c>
      <c r="W376">
        <v>0</v>
      </c>
      <c r="X376" t="s">
        <v>90</v>
      </c>
      <c r="Y376">
        <v>0</v>
      </c>
      <c r="Z376">
        <v>37.941670629394956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4.8630000000000004</v>
      </c>
      <c r="AN376" t="s">
        <v>1015</v>
      </c>
      <c r="AO376" t="s">
        <v>73</v>
      </c>
      <c r="AP376">
        <v>200000</v>
      </c>
      <c r="AQ376" t="s">
        <v>73</v>
      </c>
      <c r="AS376">
        <v>10000</v>
      </c>
      <c r="AT376" t="s">
        <v>9</v>
      </c>
      <c r="AU376" t="s">
        <v>75</v>
      </c>
      <c r="AV376" t="s">
        <v>76</v>
      </c>
    </row>
    <row r="377" spans="1:48" x14ac:dyDescent="0.15">
      <c r="A377" s="4" t="str">
        <f>HYPERLINK("https://ibp.a2mac1.com/costing(costing:projects/details/9760/assembly/8412991)","Onboard Charger")</f>
        <v>Onboard Charger</v>
      </c>
      <c r="B377">
        <v>8412991</v>
      </c>
      <c r="D377">
        <v>8412887</v>
      </c>
      <c r="F377">
        <v>1</v>
      </c>
      <c r="G377">
        <v>0</v>
      </c>
      <c r="H377">
        <v>320.09803062939494</v>
      </c>
      <c r="I377">
        <v>0</v>
      </c>
      <c r="J377" t="s">
        <v>90</v>
      </c>
      <c r="K377">
        <v>0</v>
      </c>
      <c r="L377">
        <v>320.09803062939494</v>
      </c>
      <c r="M377">
        <v>0</v>
      </c>
      <c r="N377">
        <v>0</v>
      </c>
      <c r="O377">
        <v>320.09803062939494</v>
      </c>
      <c r="P377" t="s">
        <v>90</v>
      </c>
      <c r="Q377">
        <v>0</v>
      </c>
      <c r="R377" t="s">
        <v>90</v>
      </c>
      <c r="S377">
        <v>0</v>
      </c>
      <c r="T377" t="s">
        <v>90</v>
      </c>
      <c r="U377">
        <v>0</v>
      </c>
      <c r="V377" t="s">
        <v>90</v>
      </c>
      <c r="W377">
        <v>0</v>
      </c>
      <c r="X377" t="s">
        <v>90</v>
      </c>
      <c r="Y377">
        <v>0</v>
      </c>
      <c r="Z377">
        <v>320.09803062939494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6.25</v>
      </c>
      <c r="AN377" t="s">
        <v>1015</v>
      </c>
      <c r="AO377" t="s">
        <v>73</v>
      </c>
      <c r="AP377">
        <v>200000</v>
      </c>
      <c r="AQ377" t="s">
        <v>73</v>
      </c>
      <c r="AS377">
        <v>10000</v>
      </c>
      <c r="AT377" t="s">
        <v>9</v>
      </c>
      <c r="AU377" t="s">
        <v>75</v>
      </c>
      <c r="AV377" t="s">
        <v>76</v>
      </c>
    </row>
    <row r="378" spans="1:48" x14ac:dyDescent="0.15">
      <c r="A378" s="4" t="str">
        <f>HYPERLINK("https://ibp.a2mac1.com/costing(costing:projects/details/9760/assembly/8413225)","Busbars")</f>
        <v>Busbars</v>
      </c>
      <c r="B378">
        <v>8413225</v>
      </c>
      <c r="D378">
        <v>8413080</v>
      </c>
      <c r="F378">
        <v>1</v>
      </c>
      <c r="G378">
        <v>0</v>
      </c>
      <c r="H378">
        <v>0.61787999999999998</v>
      </c>
      <c r="I378">
        <v>0</v>
      </c>
      <c r="J378" t="s">
        <v>90</v>
      </c>
      <c r="K378">
        <v>0</v>
      </c>
      <c r="L378">
        <v>0.61787999999999998</v>
      </c>
      <c r="M378">
        <v>0</v>
      </c>
      <c r="N378">
        <v>0</v>
      </c>
      <c r="O378">
        <v>0.61787999999999998</v>
      </c>
      <c r="P378" t="s">
        <v>90</v>
      </c>
      <c r="Q378">
        <v>0</v>
      </c>
      <c r="R378" t="s">
        <v>90</v>
      </c>
      <c r="S378">
        <v>0</v>
      </c>
      <c r="T378" t="s">
        <v>90</v>
      </c>
      <c r="U378">
        <v>0</v>
      </c>
      <c r="V378" t="s">
        <v>90</v>
      </c>
      <c r="W378">
        <v>0</v>
      </c>
      <c r="X378" t="s">
        <v>90</v>
      </c>
      <c r="Y378">
        <v>0</v>
      </c>
      <c r="Z378">
        <v>0.61787999999999998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5.6000000000000001E-2</v>
      </c>
      <c r="AN378" t="s">
        <v>1015</v>
      </c>
      <c r="AO378" t="s">
        <v>73</v>
      </c>
      <c r="AP378">
        <v>200000</v>
      </c>
      <c r="AQ378" t="s">
        <v>73</v>
      </c>
      <c r="AS378">
        <v>10000</v>
      </c>
      <c r="AT378" t="s">
        <v>9</v>
      </c>
      <c r="AU378" t="s">
        <v>75</v>
      </c>
      <c r="AV378" t="s">
        <v>76</v>
      </c>
    </row>
    <row r="379" spans="1:48" x14ac:dyDescent="0.15">
      <c r="A379" s="4" t="str">
        <f>HYPERLINK("https://ibp.a2mac1.com/costing(costing:projects/details/9760/assembly/8413365)","12V Power Connectors")</f>
        <v>12V Power Connectors</v>
      </c>
      <c r="B379">
        <v>8413365</v>
      </c>
      <c r="D379">
        <v>8413226</v>
      </c>
      <c r="F379">
        <v>1</v>
      </c>
      <c r="G379">
        <v>0</v>
      </c>
      <c r="H379">
        <v>2.375</v>
      </c>
      <c r="I379">
        <v>0</v>
      </c>
      <c r="J379" t="s">
        <v>90</v>
      </c>
      <c r="K379">
        <v>0</v>
      </c>
      <c r="L379">
        <v>2.375</v>
      </c>
      <c r="M379">
        <v>0</v>
      </c>
      <c r="N379">
        <v>0</v>
      </c>
      <c r="O379">
        <v>2.375</v>
      </c>
      <c r="P379" t="s">
        <v>90</v>
      </c>
      <c r="Q379">
        <v>0</v>
      </c>
      <c r="R379" t="s">
        <v>90</v>
      </c>
      <c r="S379">
        <v>0</v>
      </c>
      <c r="T379" t="s">
        <v>90</v>
      </c>
      <c r="U379">
        <v>0</v>
      </c>
      <c r="V379" t="s">
        <v>90</v>
      </c>
      <c r="W379">
        <v>0</v>
      </c>
      <c r="X379" t="s">
        <v>90</v>
      </c>
      <c r="Y379">
        <v>0</v>
      </c>
      <c r="Z379">
        <v>2.375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3.9E-2</v>
      </c>
      <c r="AN379" t="s">
        <v>1015</v>
      </c>
      <c r="AO379" t="s">
        <v>73</v>
      </c>
      <c r="AP379">
        <v>200000</v>
      </c>
      <c r="AQ379" t="s">
        <v>73</v>
      </c>
      <c r="AS379">
        <v>10000</v>
      </c>
      <c r="AT379" t="s">
        <v>9</v>
      </c>
      <c r="AU379" t="s">
        <v>75</v>
      </c>
      <c r="AV379" t="s">
        <v>76</v>
      </c>
    </row>
    <row r="380" spans="1:48" x14ac:dyDescent="0.15">
      <c r="A380" s="4" t="str">
        <f>HYPERLINK("https://ibp.a2mac1.com/costing(costing:projects/details/9760/assembly/8413226)","Connectors")</f>
        <v>Connectors</v>
      </c>
      <c r="B380">
        <v>8413226</v>
      </c>
      <c r="D380">
        <v>8413080</v>
      </c>
      <c r="F380">
        <v>1</v>
      </c>
      <c r="G380">
        <v>0</v>
      </c>
      <c r="H380">
        <v>2.375</v>
      </c>
      <c r="I380">
        <v>0</v>
      </c>
      <c r="J380" t="s">
        <v>90</v>
      </c>
      <c r="K380">
        <v>0</v>
      </c>
      <c r="L380">
        <v>2.375</v>
      </c>
      <c r="M380">
        <v>0</v>
      </c>
      <c r="N380">
        <v>0</v>
      </c>
      <c r="O380">
        <v>2.375</v>
      </c>
      <c r="P380" t="s">
        <v>90</v>
      </c>
      <c r="Q380">
        <v>0</v>
      </c>
      <c r="R380" t="s">
        <v>90</v>
      </c>
      <c r="S380">
        <v>0</v>
      </c>
      <c r="T380" t="s">
        <v>90</v>
      </c>
      <c r="U380">
        <v>0</v>
      </c>
      <c r="V380" t="s">
        <v>90</v>
      </c>
      <c r="W380">
        <v>0</v>
      </c>
      <c r="X380" t="s">
        <v>90</v>
      </c>
      <c r="Y380">
        <v>0</v>
      </c>
      <c r="Z380">
        <v>2.375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3.9E-2</v>
      </c>
      <c r="AN380" t="s">
        <v>1015</v>
      </c>
      <c r="AO380" t="s">
        <v>73</v>
      </c>
      <c r="AP380">
        <v>200000</v>
      </c>
      <c r="AQ380" t="s">
        <v>73</v>
      </c>
      <c r="AS380">
        <v>10000</v>
      </c>
      <c r="AT380" t="s">
        <v>9</v>
      </c>
      <c r="AU380" t="s">
        <v>75</v>
      </c>
      <c r="AV380" t="s">
        <v>76</v>
      </c>
    </row>
    <row r="381" spans="1:48" x14ac:dyDescent="0.15">
      <c r="A381" s="4" t="str">
        <f>HYPERLINK("https://ibp.a2mac1.com/costing(costing:projects/details/9760/assembly/8413080)","Connectors &amp; Wire Harnesses")</f>
        <v>Connectors &amp; Wire Harnesses</v>
      </c>
      <c r="B381">
        <v>8413080</v>
      </c>
      <c r="D381">
        <v>8412992</v>
      </c>
      <c r="F381">
        <v>1</v>
      </c>
      <c r="G381">
        <v>0</v>
      </c>
      <c r="H381">
        <v>2.99288</v>
      </c>
      <c r="I381">
        <v>0</v>
      </c>
      <c r="J381" t="s">
        <v>90</v>
      </c>
      <c r="K381">
        <v>0</v>
      </c>
      <c r="L381">
        <v>2.99288</v>
      </c>
      <c r="M381">
        <v>0</v>
      </c>
      <c r="N381">
        <v>0</v>
      </c>
      <c r="O381">
        <v>2.99288</v>
      </c>
      <c r="P381" t="s">
        <v>90</v>
      </c>
      <c r="Q381">
        <v>0</v>
      </c>
      <c r="R381" t="s">
        <v>90</v>
      </c>
      <c r="S381">
        <v>0</v>
      </c>
      <c r="T381" t="s">
        <v>90</v>
      </c>
      <c r="U381">
        <v>0</v>
      </c>
      <c r="V381" t="s">
        <v>90</v>
      </c>
      <c r="W381">
        <v>0</v>
      </c>
      <c r="X381" t="s">
        <v>90</v>
      </c>
      <c r="Y381">
        <v>0</v>
      </c>
      <c r="Z381">
        <v>2.99288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9.5000000000000001E-2</v>
      </c>
      <c r="AN381" t="s">
        <v>1015</v>
      </c>
      <c r="AO381" t="s">
        <v>73</v>
      </c>
      <c r="AP381">
        <v>200000</v>
      </c>
      <c r="AQ381" t="s">
        <v>73</v>
      </c>
      <c r="AS381">
        <v>10000</v>
      </c>
      <c r="AT381" t="s">
        <v>9</v>
      </c>
      <c r="AU381" t="s">
        <v>75</v>
      </c>
      <c r="AV381" t="s">
        <v>76</v>
      </c>
    </row>
    <row r="382" spans="1:48" x14ac:dyDescent="0.15">
      <c r="A382" s="4" t="str">
        <f>HYPERLINK("https://ibp.a2mac1.com/costing(costing:projects/details/9760/assembly/8413227)","Ferrites &amp; Cores")</f>
        <v>Ferrites &amp; Cores</v>
      </c>
      <c r="B382">
        <v>8413227</v>
      </c>
      <c r="D382">
        <v>8413081</v>
      </c>
      <c r="F382">
        <v>1</v>
      </c>
      <c r="G382">
        <v>0</v>
      </c>
      <c r="H382">
        <v>0.52</v>
      </c>
      <c r="I382">
        <v>0</v>
      </c>
      <c r="J382" t="s">
        <v>90</v>
      </c>
      <c r="K382">
        <v>0</v>
      </c>
      <c r="L382">
        <v>0.52</v>
      </c>
      <c r="M382">
        <v>0</v>
      </c>
      <c r="N382">
        <v>0</v>
      </c>
      <c r="O382">
        <v>0.52</v>
      </c>
      <c r="P382" t="s">
        <v>90</v>
      </c>
      <c r="Q382">
        <v>0</v>
      </c>
      <c r="R382" t="s">
        <v>90</v>
      </c>
      <c r="S382">
        <v>0</v>
      </c>
      <c r="T382" t="s">
        <v>90</v>
      </c>
      <c r="U382">
        <v>0</v>
      </c>
      <c r="V382" t="s">
        <v>90</v>
      </c>
      <c r="W382">
        <v>0</v>
      </c>
      <c r="X382" t="s">
        <v>90</v>
      </c>
      <c r="Y382">
        <v>0</v>
      </c>
      <c r="Z382">
        <v>0.52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6.5000000000000002E-2</v>
      </c>
      <c r="AN382" t="s">
        <v>1015</v>
      </c>
      <c r="AO382" t="s">
        <v>73</v>
      </c>
      <c r="AP382">
        <v>200000</v>
      </c>
      <c r="AQ382" t="s">
        <v>73</v>
      </c>
      <c r="AS382">
        <v>10000</v>
      </c>
      <c r="AT382" t="s">
        <v>9</v>
      </c>
      <c r="AU382" t="s">
        <v>75</v>
      </c>
      <c r="AV382" t="s">
        <v>76</v>
      </c>
    </row>
    <row r="383" spans="1:48" x14ac:dyDescent="0.15">
      <c r="A383" s="4" t="str">
        <f>HYPERLINK("https://ibp.a2mac1.com/costing(costing:projects/details/9760/assembly/8413081)","Electrical Parts")</f>
        <v>Electrical Parts</v>
      </c>
      <c r="B383">
        <v>8413081</v>
      </c>
      <c r="D383">
        <v>8412992</v>
      </c>
      <c r="F383">
        <v>1</v>
      </c>
      <c r="G383">
        <v>0</v>
      </c>
      <c r="H383">
        <v>0.52</v>
      </c>
      <c r="I383">
        <v>0</v>
      </c>
      <c r="J383" t="s">
        <v>90</v>
      </c>
      <c r="K383">
        <v>0</v>
      </c>
      <c r="L383">
        <v>0.52</v>
      </c>
      <c r="M383">
        <v>0</v>
      </c>
      <c r="N383">
        <v>0</v>
      </c>
      <c r="O383">
        <v>0.52</v>
      </c>
      <c r="P383" t="s">
        <v>90</v>
      </c>
      <c r="Q383">
        <v>0</v>
      </c>
      <c r="R383" t="s">
        <v>90</v>
      </c>
      <c r="S383">
        <v>0</v>
      </c>
      <c r="T383" t="s">
        <v>90</v>
      </c>
      <c r="U383">
        <v>0</v>
      </c>
      <c r="V383" t="s">
        <v>90</v>
      </c>
      <c r="W383">
        <v>0</v>
      </c>
      <c r="X383" t="s">
        <v>90</v>
      </c>
      <c r="Y383">
        <v>0</v>
      </c>
      <c r="Z383">
        <v>0.52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6.5000000000000002E-2</v>
      </c>
      <c r="AN383" t="s">
        <v>1015</v>
      </c>
      <c r="AO383" t="s">
        <v>73</v>
      </c>
      <c r="AP383">
        <v>200000</v>
      </c>
      <c r="AQ383" t="s">
        <v>73</v>
      </c>
      <c r="AS383">
        <v>10000</v>
      </c>
      <c r="AT383" t="s">
        <v>9</v>
      </c>
      <c r="AU383" t="s">
        <v>75</v>
      </c>
      <c r="AV383" t="s">
        <v>76</v>
      </c>
    </row>
    <row r="384" spans="1:48" x14ac:dyDescent="0.15">
      <c r="A384" s="4" t="str">
        <f>HYPERLINK("https://ibp.a2mac1.com/costing(costing:projects/details/9760/assembly/8413082)","Electronic Parts")</f>
        <v>Electronic Parts</v>
      </c>
      <c r="B384">
        <v>8413082</v>
      </c>
      <c r="D384">
        <v>8412992</v>
      </c>
      <c r="F384">
        <v>1</v>
      </c>
      <c r="G384">
        <v>0</v>
      </c>
      <c r="H384">
        <v>1.7794000000000001</v>
      </c>
      <c r="I384">
        <v>0</v>
      </c>
      <c r="J384" t="s">
        <v>90</v>
      </c>
      <c r="K384">
        <v>0</v>
      </c>
      <c r="L384">
        <v>1.7794000000000001</v>
      </c>
      <c r="M384">
        <v>0</v>
      </c>
      <c r="N384">
        <v>0</v>
      </c>
      <c r="O384">
        <v>1.7794000000000001</v>
      </c>
      <c r="P384" t="s">
        <v>90</v>
      </c>
      <c r="Q384">
        <v>0</v>
      </c>
      <c r="R384" t="s">
        <v>90</v>
      </c>
      <c r="S384">
        <v>0</v>
      </c>
      <c r="T384" t="s">
        <v>90</v>
      </c>
      <c r="U384">
        <v>0</v>
      </c>
      <c r="V384" t="s">
        <v>90</v>
      </c>
      <c r="W384">
        <v>0</v>
      </c>
      <c r="X384" t="s">
        <v>90</v>
      </c>
      <c r="Y384">
        <v>0</v>
      </c>
      <c r="Z384">
        <v>1.7794000000000001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N384" t="s">
        <v>1015</v>
      </c>
      <c r="AO384" t="s">
        <v>73</v>
      </c>
      <c r="AP384">
        <v>200000</v>
      </c>
      <c r="AQ384" t="s">
        <v>73</v>
      </c>
      <c r="AS384">
        <v>10000</v>
      </c>
      <c r="AT384" t="s">
        <v>9</v>
      </c>
      <c r="AU384" t="s">
        <v>75</v>
      </c>
      <c r="AV384" t="s">
        <v>76</v>
      </c>
    </row>
    <row r="385" spans="1:48" x14ac:dyDescent="0.15">
      <c r="A385" s="4" t="str">
        <f>HYPERLINK("https://ibp.a2mac1.com/costing(costing:projects/details/9760/assembly/8412992)","DC-DC Converter")</f>
        <v>DC-DC Converter</v>
      </c>
      <c r="B385">
        <v>8412992</v>
      </c>
      <c r="D385">
        <v>8412887</v>
      </c>
      <c r="F385">
        <v>1</v>
      </c>
      <c r="G385">
        <v>0</v>
      </c>
      <c r="H385">
        <v>5.2922799999999999</v>
      </c>
      <c r="I385">
        <v>0</v>
      </c>
      <c r="J385" t="s">
        <v>90</v>
      </c>
      <c r="K385">
        <v>0</v>
      </c>
      <c r="L385">
        <v>5.2922799999999999</v>
      </c>
      <c r="M385">
        <v>0</v>
      </c>
      <c r="N385">
        <v>0</v>
      </c>
      <c r="O385">
        <v>5.2922799999999999</v>
      </c>
      <c r="P385" t="s">
        <v>90</v>
      </c>
      <c r="Q385">
        <v>0</v>
      </c>
      <c r="R385" t="s">
        <v>90</v>
      </c>
      <c r="S385">
        <v>0</v>
      </c>
      <c r="T385" t="s">
        <v>90</v>
      </c>
      <c r="U385">
        <v>0</v>
      </c>
      <c r="V385" t="s">
        <v>90</v>
      </c>
      <c r="W385">
        <v>0</v>
      </c>
      <c r="X385" t="s">
        <v>90</v>
      </c>
      <c r="Y385">
        <v>0</v>
      </c>
      <c r="Z385">
        <v>5.2922799999999999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0.16</v>
      </c>
      <c r="AN385" t="s">
        <v>1015</v>
      </c>
      <c r="AO385" t="s">
        <v>73</v>
      </c>
      <c r="AP385">
        <v>200000</v>
      </c>
      <c r="AQ385" t="s">
        <v>73</v>
      </c>
      <c r="AS385">
        <v>10000</v>
      </c>
      <c r="AT385" t="s">
        <v>9</v>
      </c>
      <c r="AU385" t="s">
        <v>75</v>
      </c>
      <c r="AV385" t="s">
        <v>76</v>
      </c>
    </row>
    <row r="386" spans="1:48" x14ac:dyDescent="0.15">
      <c r="A386" s="4" t="str">
        <f>HYPERLINK("https://ibp.a2mac1.com/costing(costing:projects/details/9760/assembly/8412887)","Power Electronics Combination Module")</f>
        <v>Power Electronics Combination Module</v>
      </c>
      <c r="B386">
        <v>8412887</v>
      </c>
      <c r="D386">
        <v>8412866</v>
      </c>
      <c r="F386">
        <v>1</v>
      </c>
      <c r="G386">
        <v>0</v>
      </c>
      <c r="H386">
        <v>325.39031062939495</v>
      </c>
      <c r="I386">
        <v>1.635127189092437</v>
      </c>
      <c r="J386" t="s">
        <v>176</v>
      </c>
      <c r="K386">
        <v>11.388660872028824</v>
      </c>
      <c r="L386">
        <v>338.4140986905162</v>
      </c>
      <c r="M386">
        <v>0</v>
      </c>
      <c r="N386">
        <v>15.04646653771049</v>
      </c>
      <c r="O386">
        <v>353.4605652282267</v>
      </c>
      <c r="P386" t="s">
        <v>177</v>
      </c>
      <c r="Q386">
        <v>20.304845921430974</v>
      </c>
      <c r="R386" t="s">
        <v>177</v>
      </c>
      <c r="S386">
        <v>0.9027879922626294</v>
      </c>
      <c r="T386" t="s">
        <v>178</v>
      </c>
      <c r="U386">
        <v>42.415267827387204</v>
      </c>
      <c r="V386" t="s">
        <v>90</v>
      </c>
      <c r="W386">
        <v>0</v>
      </c>
      <c r="X386" t="s">
        <v>90</v>
      </c>
      <c r="Y386">
        <v>0</v>
      </c>
      <c r="Z386">
        <v>417.08346696930749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10.89</v>
      </c>
      <c r="AN386" t="s">
        <v>95</v>
      </c>
      <c r="AO386" t="s">
        <v>73</v>
      </c>
      <c r="AP386">
        <v>200000</v>
      </c>
      <c r="AQ386" t="s">
        <v>97</v>
      </c>
      <c r="AS386">
        <v>10000</v>
      </c>
      <c r="AT386" t="s">
        <v>9</v>
      </c>
      <c r="AU386" t="s">
        <v>75</v>
      </c>
      <c r="AV386" t="s">
        <v>76</v>
      </c>
    </row>
    <row r="387" spans="1:48" x14ac:dyDescent="0.15">
      <c r="A387" s="4" t="str">
        <f>HYPERLINK("https://ibp.a2mac1.com/costing(costing:projects/details/9760/assembly/8412993)","Battery Cells")</f>
        <v>Battery Cells</v>
      </c>
      <c r="B387">
        <v>8412993</v>
      </c>
      <c r="D387">
        <v>8412888</v>
      </c>
      <c r="F387">
        <v>1</v>
      </c>
      <c r="G387">
        <v>0</v>
      </c>
      <c r="H387">
        <v>8862.48</v>
      </c>
      <c r="I387">
        <v>44.535075376884421</v>
      </c>
      <c r="J387" t="s">
        <v>2784</v>
      </c>
      <c r="K387">
        <v>44.312399999999997</v>
      </c>
      <c r="L387">
        <v>8951.3274753768837</v>
      </c>
      <c r="M387">
        <v>0</v>
      </c>
      <c r="N387">
        <v>0</v>
      </c>
      <c r="O387">
        <v>8951.3274753768837</v>
      </c>
      <c r="P387" t="s">
        <v>90</v>
      </c>
      <c r="Q387">
        <v>0</v>
      </c>
      <c r="R387" t="s">
        <v>90</v>
      </c>
      <c r="S387">
        <v>0</v>
      </c>
      <c r="T387" t="s">
        <v>2785</v>
      </c>
      <c r="U387">
        <v>268.53982426130653</v>
      </c>
      <c r="V387" t="s">
        <v>90</v>
      </c>
      <c r="W387">
        <v>0</v>
      </c>
      <c r="X387" t="s">
        <v>90</v>
      </c>
      <c r="Y387">
        <v>0</v>
      </c>
      <c r="Z387">
        <v>9219.8672996381902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N387" t="s">
        <v>2786</v>
      </c>
      <c r="AO387" t="s">
        <v>73</v>
      </c>
      <c r="AP387">
        <v>200000</v>
      </c>
      <c r="AQ387" t="s">
        <v>97</v>
      </c>
      <c r="AR387">
        <v>0</v>
      </c>
      <c r="AS387">
        <v>10000</v>
      </c>
      <c r="AT387" t="s">
        <v>9</v>
      </c>
      <c r="AU387" t="s">
        <v>75</v>
      </c>
      <c r="AV387" t="s">
        <v>76</v>
      </c>
    </row>
    <row r="388" spans="1:48" x14ac:dyDescent="0.15">
      <c r="A388" s="4" t="str">
        <f>HYPERLINK("https://ibp.a2mac1.com/costing(costing:projects/details/9760/assembly/8413229)","Cell Module, Large")</f>
        <v>Cell Module, Large</v>
      </c>
      <c r="B388">
        <v>8413229</v>
      </c>
      <c r="D388">
        <v>8413084</v>
      </c>
      <c r="F388">
        <v>1</v>
      </c>
      <c r="G388">
        <v>0</v>
      </c>
      <c r="H388">
        <v>250.351</v>
      </c>
      <c r="I388">
        <v>1.2580452261306532</v>
      </c>
      <c r="J388" t="s">
        <v>176</v>
      </c>
      <c r="K388">
        <v>8.7622850000000003</v>
      </c>
      <c r="L388">
        <v>260.37133022613068</v>
      </c>
      <c r="M388">
        <v>0</v>
      </c>
      <c r="N388">
        <v>0</v>
      </c>
      <c r="O388">
        <v>260.37133022613068</v>
      </c>
      <c r="P388" t="s">
        <v>177</v>
      </c>
      <c r="Q388">
        <v>15.62227981356784</v>
      </c>
      <c r="R388" t="s">
        <v>177</v>
      </c>
      <c r="S388">
        <v>0</v>
      </c>
      <c r="T388" t="s">
        <v>2809</v>
      </c>
      <c r="U388">
        <v>41.659412836180906</v>
      </c>
      <c r="V388" t="s">
        <v>90</v>
      </c>
      <c r="W388">
        <v>0</v>
      </c>
      <c r="X388" t="s">
        <v>90</v>
      </c>
      <c r="Y388">
        <v>0</v>
      </c>
      <c r="Z388">
        <v>317.6530228758794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L388">
        <v>450.05700000000002</v>
      </c>
      <c r="AN388" t="s">
        <v>2810</v>
      </c>
      <c r="AO388" t="s">
        <v>73</v>
      </c>
      <c r="AP388">
        <v>200000</v>
      </c>
      <c r="AQ388" t="s">
        <v>97</v>
      </c>
      <c r="AS388">
        <v>10000</v>
      </c>
      <c r="AT388" t="s">
        <v>2811</v>
      </c>
      <c r="AU388" t="s">
        <v>75</v>
      </c>
      <c r="AV388" t="s">
        <v>76</v>
      </c>
    </row>
    <row r="389" spans="1:48" x14ac:dyDescent="0.15">
      <c r="A389" s="4" t="str">
        <f>HYPERLINK("https://ibp.a2mac1.com/costing(costing:projects/details/9760/assembly/8413084)","Sub-Pack #1")</f>
        <v>Sub-Pack #1</v>
      </c>
      <c r="B389">
        <v>8413084</v>
      </c>
      <c r="D389">
        <v>8412994</v>
      </c>
      <c r="F389">
        <v>1</v>
      </c>
      <c r="G389">
        <v>0</v>
      </c>
      <c r="H389">
        <v>317.6530228758794</v>
      </c>
      <c r="I389">
        <v>0</v>
      </c>
      <c r="J389" t="s">
        <v>90</v>
      </c>
      <c r="K389">
        <v>0</v>
      </c>
      <c r="L389">
        <v>317.6530228758794</v>
      </c>
      <c r="M389">
        <v>0</v>
      </c>
      <c r="N389">
        <v>0</v>
      </c>
      <c r="O389">
        <v>317.6530228758794</v>
      </c>
      <c r="P389" t="s">
        <v>90</v>
      </c>
      <c r="Q389">
        <v>0</v>
      </c>
      <c r="R389" t="s">
        <v>90</v>
      </c>
      <c r="S389">
        <v>0</v>
      </c>
      <c r="T389" t="s">
        <v>90</v>
      </c>
      <c r="U389">
        <v>0</v>
      </c>
      <c r="V389" t="s">
        <v>90</v>
      </c>
      <c r="W389">
        <v>0</v>
      </c>
      <c r="X389" t="s">
        <v>90</v>
      </c>
      <c r="Y389">
        <v>0</v>
      </c>
      <c r="Z389">
        <v>317.6530228758794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L389">
        <v>450.05700000000002</v>
      </c>
      <c r="AN389" t="s">
        <v>72</v>
      </c>
      <c r="AO389" t="s">
        <v>73</v>
      </c>
      <c r="AP389">
        <v>200000</v>
      </c>
      <c r="AQ389" t="s">
        <v>73</v>
      </c>
      <c r="AS389">
        <v>10000</v>
      </c>
      <c r="AT389" t="s">
        <v>2812</v>
      </c>
      <c r="AU389" t="s">
        <v>75</v>
      </c>
      <c r="AV389" t="s">
        <v>76</v>
      </c>
    </row>
    <row r="390" spans="1:48" x14ac:dyDescent="0.15">
      <c r="A390" s="4" t="str">
        <f>HYPERLINK("https://ibp.a2mac1.com/costing(costing:projects/details/9760/assembly/8413617)","Cross Member Assy 01")</f>
        <v>Cross Member Assy 01</v>
      </c>
      <c r="B390">
        <v>8413617</v>
      </c>
      <c r="D390">
        <v>8413581</v>
      </c>
      <c r="F390">
        <v>1</v>
      </c>
      <c r="G390">
        <v>0</v>
      </c>
      <c r="H390">
        <v>37.925047388842671</v>
      </c>
      <c r="I390">
        <v>0</v>
      </c>
      <c r="J390" t="s">
        <v>90</v>
      </c>
      <c r="K390">
        <v>0</v>
      </c>
      <c r="L390">
        <v>37.925047388842671</v>
      </c>
      <c r="M390">
        <v>0</v>
      </c>
      <c r="N390">
        <v>0</v>
      </c>
      <c r="O390">
        <v>37.925047388842671</v>
      </c>
      <c r="P390" t="s">
        <v>90</v>
      </c>
      <c r="Q390">
        <v>0</v>
      </c>
      <c r="R390" t="s">
        <v>90</v>
      </c>
      <c r="S390">
        <v>0</v>
      </c>
      <c r="T390" t="s">
        <v>90</v>
      </c>
      <c r="U390">
        <v>0</v>
      </c>
      <c r="V390" t="s">
        <v>90</v>
      </c>
      <c r="W390">
        <v>0</v>
      </c>
      <c r="X390" t="s">
        <v>90</v>
      </c>
      <c r="Y390">
        <v>0</v>
      </c>
      <c r="Z390">
        <v>37.925047388842671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L390">
        <v>3.6280000000000001</v>
      </c>
      <c r="AN390" t="s">
        <v>1015</v>
      </c>
      <c r="AO390" t="s">
        <v>73</v>
      </c>
      <c r="AP390">
        <v>200000</v>
      </c>
      <c r="AQ390" t="s">
        <v>73</v>
      </c>
      <c r="AS390">
        <v>10000</v>
      </c>
      <c r="AT390" t="s">
        <v>2828</v>
      </c>
      <c r="AU390" t="s">
        <v>75</v>
      </c>
      <c r="AV390" t="s">
        <v>76</v>
      </c>
    </row>
    <row r="391" spans="1:48" x14ac:dyDescent="0.15">
      <c r="A391" s="4" t="str">
        <f>HYPERLINK("https://ibp.a2mac1.com/costing(costing:projects/details/9760/assembly/8413581)","Cross Members")</f>
        <v>Cross Members</v>
      </c>
      <c r="B391">
        <v>8413581</v>
      </c>
      <c r="D391">
        <v>8413533</v>
      </c>
      <c r="F391">
        <v>1</v>
      </c>
      <c r="G391">
        <v>0</v>
      </c>
      <c r="H391">
        <v>37.925047388842671</v>
      </c>
      <c r="I391">
        <v>0</v>
      </c>
      <c r="J391" t="s">
        <v>90</v>
      </c>
      <c r="K391">
        <v>0</v>
      </c>
      <c r="L391">
        <v>37.925047388842671</v>
      </c>
      <c r="M391">
        <v>0</v>
      </c>
      <c r="N391">
        <v>0</v>
      </c>
      <c r="O391">
        <v>37.925047388842671</v>
      </c>
      <c r="P391" t="s">
        <v>90</v>
      </c>
      <c r="Q391">
        <v>0</v>
      </c>
      <c r="R391" t="s">
        <v>90</v>
      </c>
      <c r="S391">
        <v>0</v>
      </c>
      <c r="T391" t="s">
        <v>90</v>
      </c>
      <c r="U391">
        <v>0</v>
      </c>
      <c r="V391" t="s">
        <v>90</v>
      </c>
      <c r="W391">
        <v>0</v>
      </c>
      <c r="X391" t="s">
        <v>90</v>
      </c>
      <c r="Y391">
        <v>0</v>
      </c>
      <c r="Z391">
        <v>37.925047388842671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L391">
        <v>3.6280000000000001</v>
      </c>
      <c r="AN391" t="s">
        <v>72</v>
      </c>
      <c r="AO391" t="s">
        <v>73</v>
      </c>
      <c r="AP391">
        <v>200000</v>
      </c>
      <c r="AQ391" t="s">
        <v>73</v>
      </c>
      <c r="AS391">
        <v>10000</v>
      </c>
      <c r="AT391" t="s">
        <v>2829</v>
      </c>
      <c r="AU391" t="s">
        <v>75</v>
      </c>
      <c r="AV391" t="s">
        <v>76</v>
      </c>
    </row>
    <row r="392" spans="1:48" x14ac:dyDescent="0.15">
      <c r="A392" s="4" t="str">
        <f>HYPERLINK("https://ibp.a2mac1.com/costing(costing:projects/details/9760/assembly/8413618)","Longitudinal Assy 01")</f>
        <v>Longitudinal Assy 01</v>
      </c>
      <c r="B392">
        <v>8413618</v>
      </c>
      <c r="D392">
        <v>8413582</v>
      </c>
      <c r="F392">
        <v>1</v>
      </c>
      <c r="G392">
        <v>0</v>
      </c>
      <c r="H392">
        <v>2.1800000000000002</v>
      </c>
      <c r="I392">
        <v>0</v>
      </c>
      <c r="J392" t="s">
        <v>90</v>
      </c>
      <c r="K392">
        <v>0</v>
      </c>
      <c r="L392">
        <v>2.1800000000000002</v>
      </c>
      <c r="M392">
        <v>0</v>
      </c>
      <c r="N392">
        <v>0</v>
      </c>
      <c r="O392">
        <v>2.1800000000000002</v>
      </c>
      <c r="P392" t="s">
        <v>90</v>
      </c>
      <c r="Q392">
        <v>0</v>
      </c>
      <c r="R392" t="s">
        <v>90</v>
      </c>
      <c r="S392">
        <v>0</v>
      </c>
      <c r="T392" t="s">
        <v>90</v>
      </c>
      <c r="U392">
        <v>0</v>
      </c>
      <c r="V392" t="s">
        <v>90</v>
      </c>
      <c r="W392">
        <v>0</v>
      </c>
      <c r="X392" t="s">
        <v>90</v>
      </c>
      <c r="Y392">
        <v>0</v>
      </c>
      <c r="Z392">
        <v>2.1800000000000002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L392">
        <v>0.14199999999999999</v>
      </c>
      <c r="AN392" t="s">
        <v>72</v>
      </c>
      <c r="AO392" t="s">
        <v>73</v>
      </c>
      <c r="AP392">
        <v>200000</v>
      </c>
      <c r="AQ392" t="s">
        <v>73</v>
      </c>
      <c r="AS392">
        <v>10000</v>
      </c>
      <c r="AT392" t="s">
        <v>2833</v>
      </c>
      <c r="AU392" t="s">
        <v>75</v>
      </c>
      <c r="AV392" t="s">
        <v>76</v>
      </c>
    </row>
    <row r="393" spans="1:48" x14ac:dyDescent="0.15">
      <c r="A393" s="4" t="str">
        <f>HYPERLINK("https://ibp.a2mac1.com/costing(costing:projects/details/9760/assembly/8413619)","Longitudinal Assy 02")</f>
        <v>Longitudinal Assy 02</v>
      </c>
      <c r="B393">
        <v>8413619</v>
      </c>
      <c r="D393">
        <v>8413582</v>
      </c>
      <c r="F393">
        <v>1</v>
      </c>
      <c r="G393">
        <v>0</v>
      </c>
      <c r="H393">
        <v>2.16</v>
      </c>
      <c r="I393">
        <v>0</v>
      </c>
      <c r="J393" t="s">
        <v>90</v>
      </c>
      <c r="K393">
        <v>0</v>
      </c>
      <c r="L393">
        <v>2.16</v>
      </c>
      <c r="M393">
        <v>0</v>
      </c>
      <c r="N393">
        <v>0</v>
      </c>
      <c r="O393">
        <v>2.16</v>
      </c>
      <c r="P393" t="s">
        <v>90</v>
      </c>
      <c r="Q393">
        <v>0</v>
      </c>
      <c r="R393" t="s">
        <v>90</v>
      </c>
      <c r="S393">
        <v>0</v>
      </c>
      <c r="T393" t="s">
        <v>90</v>
      </c>
      <c r="U393">
        <v>0</v>
      </c>
      <c r="V393" t="s">
        <v>90</v>
      </c>
      <c r="W393">
        <v>0</v>
      </c>
      <c r="X393" t="s">
        <v>90</v>
      </c>
      <c r="Y393">
        <v>0</v>
      </c>
      <c r="Z393">
        <v>2.16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L393">
        <v>0.14499999999999999</v>
      </c>
      <c r="AN393" t="s">
        <v>1015</v>
      </c>
      <c r="AO393" t="s">
        <v>73</v>
      </c>
      <c r="AP393">
        <v>200000</v>
      </c>
      <c r="AQ393" t="s">
        <v>73</v>
      </c>
      <c r="AS393">
        <v>10000</v>
      </c>
      <c r="AT393" t="s">
        <v>2836</v>
      </c>
      <c r="AU393" t="s">
        <v>75</v>
      </c>
      <c r="AV393" t="s">
        <v>76</v>
      </c>
    </row>
    <row r="394" spans="1:48" x14ac:dyDescent="0.15">
      <c r="A394" s="4" t="str">
        <f>HYPERLINK("https://ibp.a2mac1.com/costing(costing:projects/details/9760/assembly/8413582)","Longitudinal Members")</f>
        <v>Longitudinal Members</v>
      </c>
      <c r="B394">
        <v>8413582</v>
      </c>
      <c r="D394">
        <v>8413533</v>
      </c>
      <c r="F394">
        <v>1</v>
      </c>
      <c r="G394">
        <v>0</v>
      </c>
      <c r="H394">
        <v>4.34</v>
      </c>
      <c r="I394">
        <v>0</v>
      </c>
      <c r="J394" t="s">
        <v>90</v>
      </c>
      <c r="K394">
        <v>0</v>
      </c>
      <c r="L394">
        <v>4.34</v>
      </c>
      <c r="M394">
        <v>0</v>
      </c>
      <c r="N394">
        <v>0</v>
      </c>
      <c r="O394">
        <v>4.34</v>
      </c>
      <c r="P394" t="s">
        <v>90</v>
      </c>
      <c r="Q394">
        <v>0</v>
      </c>
      <c r="R394" t="s">
        <v>90</v>
      </c>
      <c r="S394">
        <v>0</v>
      </c>
      <c r="T394" t="s">
        <v>90</v>
      </c>
      <c r="U394">
        <v>0</v>
      </c>
      <c r="V394" t="s">
        <v>90</v>
      </c>
      <c r="W394">
        <v>0</v>
      </c>
      <c r="X394" t="s">
        <v>90</v>
      </c>
      <c r="Y394">
        <v>0</v>
      </c>
      <c r="Z394">
        <v>4.34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L394">
        <v>0.28699999999999998</v>
      </c>
      <c r="AN394" t="s">
        <v>72</v>
      </c>
      <c r="AO394" t="s">
        <v>73</v>
      </c>
      <c r="AP394">
        <v>200000</v>
      </c>
      <c r="AQ394" t="s">
        <v>73</v>
      </c>
      <c r="AS394">
        <v>10000</v>
      </c>
      <c r="AT394" t="s">
        <v>2837</v>
      </c>
      <c r="AU394" t="s">
        <v>75</v>
      </c>
      <c r="AV394" t="s">
        <v>76</v>
      </c>
    </row>
    <row r="395" spans="1:48" x14ac:dyDescent="0.15">
      <c r="A395" s="4" t="str">
        <f>HYPERLINK("https://ibp.a2mac1.com/costing(costing:projects/details/9760/assembly/8413533)","Internal Assy")</f>
        <v>Internal Assy</v>
      </c>
      <c r="B395">
        <v>8413533</v>
      </c>
      <c r="D395">
        <v>8413380</v>
      </c>
      <c r="F395">
        <v>1</v>
      </c>
      <c r="G395">
        <v>0</v>
      </c>
      <c r="H395">
        <v>42.265047388842675</v>
      </c>
      <c r="I395">
        <v>0</v>
      </c>
      <c r="J395" t="s">
        <v>90</v>
      </c>
      <c r="K395">
        <v>0</v>
      </c>
      <c r="L395">
        <v>42.265047388842675</v>
      </c>
      <c r="M395">
        <v>0</v>
      </c>
      <c r="N395">
        <v>0</v>
      </c>
      <c r="O395">
        <v>42.265047388842675</v>
      </c>
      <c r="P395" t="s">
        <v>90</v>
      </c>
      <c r="Q395">
        <v>0</v>
      </c>
      <c r="R395" t="s">
        <v>90</v>
      </c>
      <c r="S395">
        <v>0</v>
      </c>
      <c r="T395" t="s">
        <v>90</v>
      </c>
      <c r="U395">
        <v>0</v>
      </c>
      <c r="V395" t="s">
        <v>90</v>
      </c>
      <c r="W395">
        <v>0</v>
      </c>
      <c r="X395" t="s">
        <v>90</v>
      </c>
      <c r="Y395">
        <v>0</v>
      </c>
      <c r="Z395">
        <v>42.265047388842675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L395">
        <v>3.915</v>
      </c>
      <c r="AN395" t="s">
        <v>72</v>
      </c>
      <c r="AO395" t="s">
        <v>73</v>
      </c>
      <c r="AP395">
        <v>200000</v>
      </c>
      <c r="AQ395" t="s">
        <v>73</v>
      </c>
      <c r="AS395">
        <v>10000</v>
      </c>
      <c r="AT395" t="s">
        <v>2838</v>
      </c>
      <c r="AU395" t="s">
        <v>75</v>
      </c>
      <c r="AV395" t="s">
        <v>76</v>
      </c>
    </row>
    <row r="396" spans="1:48" x14ac:dyDescent="0.15">
      <c r="A396" s="4" t="str">
        <f>HYPERLINK("https://ibp.a2mac1.com/costing(costing:projects/details/9760/assembly/8413583)","Outer Front Assy")</f>
        <v>Outer Front Assy</v>
      </c>
      <c r="B396">
        <v>8413583</v>
      </c>
      <c r="D396">
        <v>8413534</v>
      </c>
      <c r="F396">
        <v>1</v>
      </c>
      <c r="G396">
        <v>0</v>
      </c>
      <c r="H396">
        <v>82.979199932436458</v>
      </c>
      <c r="I396">
        <v>0</v>
      </c>
      <c r="J396" t="s">
        <v>90</v>
      </c>
      <c r="K396">
        <v>0</v>
      </c>
      <c r="L396">
        <v>82.979199932436458</v>
      </c>
      <c r="M396">
        <v>0</v>
      </c>
      <c r="N396">
        <v>0</v>
      </c>
      <c r="O396">
        <v>82.979199932436458</v>
      </c>
      <c r="P396" t="s">
        <v>90</v>
      </c>
      <c r="Q396">
        <v>0</v>
      </c>
      <c r="R396" t="s">
        <v>90</v>
      </c>
      <c r="S396">
        <v>0</v>
      </c>
      <c r="T396" t="s">
        <v>90</v>
      </c>
      <c r="U396">
        <v>0</v>
      </c>
      <c r="V396" t="s">
        <v>90</v>
      </c>
      <c r="W396">
        <v>0</v>
      </c>
      <c r="X396" t="s">
        <v>90</v>
      </c>
      <c r="Y396">
        <v>0</v>
      </c>
      <c r="Z396">
        <v>82.979199932436458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L396">
        <v>8.8650000000000002</v>
      </c>
      <c r="AN396" t="s">
        <v>1015</v>
      </c>
      <c r="AO396" t="s">
        <v>73</v>
      </c>
      <c r="AP396">
        <v>200000</v>
      </c>
      <c r="AQ396" t="s">
        <v>73</v>
      </c>
      <c r="AS396">
        <v>10000</v>
      </c>
      <c r="AT396" t="s">
        <v>2854</v>
      </c>
      <c r="AU396" t="s">
        <v>75</v>
      </c>
      <c r="AV396" t="s">
        <v>76</v>
      </c>
    </row>
    <row r="397" spans="1:48" x14ac:dyDescent="0.15">
      <c r="A397" s="4" t="str">
        <f>HYPERLINK("https://ibp.a2mac1.com/costing(costing:projects/details/9760/assembly/8413584)","Outer Side Member Assy")</f>
        <v>Outer Side Member Assy</v>
      </c>
      <c r="B397">
        <v>8413584</v>
      </c>
      <c r="D397">
        <v>8413534</v>
      </c>
      <c r="F397">
        <v>1</v>
      </c>
      <c r="G397">
        <v>0</v>
      </c>
      <c r="H397">
        <v>206.66093035676499</v>
      </c>
      <c r="I397">
        <v>0</v>
      </c>
      <c r="J397" t="s">
        <v>90</v>
      </c>
      <c r="K397">
        <v>0</v>
      </c>
      <c r="L397">
        <v>206.66093035676499</v>
      </c>
      <c r="M397">
        <v>0</v>
      </c>
      <c r="N397">
        <v>0</v>
      </c>
      <c r="O397">
        <v>206.66093035676499</v>
      </c>
      <c r="P397" t="s">
        <v>90</v>
      </c>
      <c r="Q397">
        <v>0</v>
      </c>
      <c r="R397" t="s">
        <v>90</v>
      </c>
      <c r="S397">
        <v>0</v>
      </c>
      <c r="T397" t="s">
        <v>90</v>
      </c>
      <c r="U397">
        <v>0</v>
      </c>
      <c r="V397" t="s">
        <v>90</v>
      </c>
      <c r="W397">
        <v>0</v>
      </c>
      <c r="X397" t="s">
        <v>90</v>
      </c>
      <c r="Y397">
        <v>0</v>
      </c>
      <c r="Z397">
        <v>206.66093035676499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L397">
        <v>22.184000000000001</v>
      </c>
      <c r="AN397" t="s">
        <v>72</v>
      </c>
      <c r="AO397" t="s">
        <v>73</v>
      </c>
      <c r="AP397">
        <v>200000</v>
      </c>
      <c r="AQ397" t="s">
        <v>73</v>
      </c>
      <c r="AS397">
        <v>10000</v>
      </c>
      <c r="AT397" t="s">
        <v>2868</v>
      </c>
      <c r="AU397" t="s">
        <v>75</v>
      </c>
      <c r="AV397" t="s">
        <v>76</v>
      </c>
    </row>
    <row r="398" spans="1:48" x14ac:dyDescent="0.15">
      <c r="A398" s="4" t="str">
        <f>HYPERLINK("https://ibp.a2mac1.com/costing(costing:projects/details/9760/assembly/8413585)","Outer Rear Assy")</f>
        <v>Outer Rear Assy</v>
      </c>
      <c r="B398">
        <v>8413585</v>
      </c>
      <c r="D398">
        <v>8413534</v>
      </c>
      <c r="F398">
        <v>1</v>
      </c>
      <c r="G398">
        <v>0</v>
      </c>
      <c r="H398">
        <v>51.113342608045265</v>
      </c>
      <c r="I398">
        <v>0</v>
      </c>
      <c r="J398" t="s">
        <v>90</v>
      </c>
      <c r="K398">
        <v>0</v>
      </c>
      <c r="L398">
        <v>51.113342608045265</v>
      </c>
      <c r="M398">
        <v>0</v>
      </c>
      <c r="N398">
        <v>0</v>
      </c>
      <c r="O398">
        <v>51.113342608045265</v>
      </c>
      <c r="P398" t="s">
        <v>90</v>
      </c>
      <c r="Q398">
        <v>0</v>
      </c>
      <c r="R398" t="s">
        <v>90</v>
      </c>
      <c r="S398">
        <v>0</v>
      </c>
      <c r="T398" t="s">
        <v>90</v>
      </c>
      <c r="U398">
        <v>0</v>
      </c>
      <c r="V398" t="s">
        <v>90</v>
      </c>
      <c r="W398">
        <v>0</v>
      </c>
      <c r="X398" t="s">
        <v>90</v>
      </c>
      <c r="Y398">
        <v>0</v>
      </c>
      <c r="Z398">
        <v>51.113342608045265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L398">
        <v>5.3689999999999998</v>
      </c>
      <c r="AN398" t="s">
        <v>72</v>
      </c>
      <c r="AO398" t="s">
        <v>73</v>
      </c>
      <c r="AP398">
        <v>200000</v>
      </c>
      <c r="AQ398" t="s">
        <v>73</v>
      </c>
      <c r="AS398">
        <v>10000</v>
      </c>
      <c r="AT398" t="s">
        <v>2879</v>
      </c>
      <c r="AU398" t="s">
        <v>75</v>
      </c>
      <c r="AV398" t="s">
        <v>76</v>
      </c>
    </row>
    <row r="399" spans="1:48" x14ac:dyDescent="0.15">
      <c r="A399" s="4" t="str">
        <f>HYPERLINK("https://ibp.a2mac1.com/costing(costing:projects/details/9760/assembly/8413534)","Outer Structure")</f>
        <v>Outer Structure</v>
      </c>
      <c r="B399">
        <v>8413534</v>
      </c>
      <c r="D399">
        <v>8413380</v>
      </c>
      <c r="F399">
        <v>1</v>
      </c>
      <c r="G399">
        <v>0</v>
      </c>
      <c r="H399">
        <v>340.7534728972467</v>
      </c>
      <c r="I399">
        <v>0</v>
      </c>
      <c r="J399" t="s">
        <v>90</v>
      </c>
      <c r="K399">
        <v>0</v>
      </c>
      <c r="L399">
        <v>340.7534728972467</v>
      </c>
      <c r="M399">
        <v>0</v>
      </c>
      <c r="N399">
        <v>0</v>
      </c>
      <c r="O399">
        <v>340.7534728972467</v>
      </c>
      <c r="P399" t="s">
        <v>90</v>
      </c>
      <c r="Q399">
        <v>0</v>
      </c>
      <c r="R399" t="s">
        <v>90</v>
      </c>
      <c r="S399">
        <v>0</v>
      </c>
      <c r="T399" t="s">
        <v>90</v>
      </c>
      <c r="U399">
        <v>0</v>
      </c>
      <c r="V399" t="s">
        <v>90</v>
      </c>
      <c r="W399">
        <v>0</v>
      </c>
      <c r="X399" t="s">
        <v>90</v>
      </c>
      <c r="Y399">
        <v>0</v>
      </c>
      <c r="Z399">
        <v>340.7534728972467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L399">
        <v>36.417999999999999</v>
      </c>
      <c r="AN399" t="s">
        <v>72</v>
      </c>
      <c r="AO399" t="s">
        <v>73</v>
      </c>
      <c r="AP399">
        <v>200000</v>
      </c>
      <c r="AQ399" t="s">
        <v>73</v>
      </c>
      <c r="AS399">
        <v>10000</v>
      </c>
      <c r="AT399" t="s">
        <v>2880</v>
      </c>
      <c r="AU399" t="s">
        <v>75</v>
      </c>
      <c r="AV399" t="s">
        <v>76</v>
      </c>
    </row>
    <row r="400" spans="1:48" x14ac:dyDescent="0.15">
      <c r="A400" s="4" t="str">
        <f>HYPERLINK("https://ibp.a2mac1.com/costing(costing:projects/details/9760/assembly/8413380)","Enclosure Bottom")</f>
        <v>Enclosure Bottom</v>
      </c>
      <c r="B400">
        <v>8413380</v>
      </c>
      <c r="D400">
        <v>8413230</v>
      </c>
      <c r="F400">
        <v>1</v>
      </c>
      <c r="G400">
        <v>0</v>
      </c>
      <c r="H400">
        <v>390.8585202860894</v>
      </c>
      <c r="I400">
        <v>1.9641131672667809</v>
      </c>
      <c r="J400" t="s">
        <v>176</v>
      </c>
      <c r="K400">
        <v>13.680048210013128</v>
      </c>
      <c r="L400">
        <v>406.50268166336929</v>
      </c>
      <c r="M400">
        <v>0</v>
      </c>
      <c r="N400">
        <v>26.1</v>
      </c>
      <c r="O400">
        <v>432.60268166336931</v>
      </c>
      <c r="P400" t="s">
        <v>177</v>
      </c>
      <c r="Q400">
        <v>24.390160899802158</v>
      </c>
      <c r="R400" t="s">
        <v>177</v>
      </c>
      <c r="S400">
        <v>1.5660000000000001</v>
      </c>
      <c r="T400" t="s">
        <v>178</v>
      </c>
      <c r="U400">
        <v>51.912321799604314</v>
      </c>
      <c r="V400" t="s">
        <v>90</v>
      </c>
      <c r="W400">
        <v>0</v>
      </c>
      <c r="X400" t="s">
        <v>90</v>
      </c>
      <c r="Y400">
        <v>0</v>
      </c>
      <c r="Z400">
        <v>510.47116436277577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2275</v>
      </c>
      <c r="AI400">
        <v>1546</v>
      </c>
      <c r="AJ400">
        <v>190</v>
      </c>
      <c r="AL400">
        <v>40.333100000000002</v>
      </c>
      <c r="AN400" t="s">
        <v>2882</v>
      </c>
      <c r="AO400" t="s">
        <v>73</v>
      </c>
      <c r="AP400">
        <v>200000</v>
      </c>
      <c r="AQ400" t="s">
        <v>97</v>
      </c>
      <c r="AS400">
        <v>10000</v>
      </c>
      <c r="AT400" t="s">
        <v>2883</v>
      </c>
      <c r="AU400" t="s">
        <v>75</v>
      </c>
      <c r="AV400" t="s">
        <v>76</v>
      </c>
    </row>
    <row r="401" spans="1:50" x14ac:dyDescent="0.15">
      <c r="A401" s="4" t="str">
        <f>HYPERLINK("https://ibp.a2mac1.com/costing(costing:projects/details/9760/assembly/8413536)","Fixing Parts")</f>
        <v>Fixing Parts</v>
      </c>
      <c r="B401">
        <v>8413536</v>
      </c>
      <c r="D401">
        <v>8413381</v>
      </c>
      <c r="F401">
        <v>1</v>
      </c>
      <c r="G401">
        <v>0</v>
      </c>
      <c r="H401">
        <v>2.54</v>
      </c>
      <c r="I401">
        <v>0</v>
      </c>
      <c r="J401" t="s">
        <v>90</v>
      </c>
      <c r="K401">
        <v>0</v>
      </c>
      <c r="L401">
        <v>2.54</v>
      </c>
      <c r="M401">
        <v>0</v>
      </c>
      <c r="N401">
        <v>0</v>
      </c>
      <c r="O401">
        <v>2.54</v>
      </c>
      <c r="P401" t="s">
        <v>90</v>
      </c>
      <c r="Q401">
        <v>0</v>
      </c>
      <c r="R401" t="s">
        <v>90</v>
      </c>
      <c r="S401">
        <v>0</v>
      </c>
      <c r="T401" t="s">
        <v>90</v>
      </c>
      <c r="U401">
        <v>0</v>
      </c>
      <c r="V401" t="s">
        <v>90</v>
      </c>
      <c r="W401">
        <v>0</v>
      </c>
      <c r="X401" t="s">
        <v>90</v>
      </c>
      <c r="Y401">
        <v>0</v>
      </c>
      <c r="Z401">
        <v>2.54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L401">
        <v>1.3720000000000001</v>
      </c>
      <c r="AN401" t="s">
        <v>1015</v>
      </c>
      <c r="AO401" t="s">
        <v>73</v>
      </c>
      <c r="AP401">
        <v>200000</v>
      </c>
      <c r="AQ401" t="s">
        <v>73</v>
      </c>
      <c r="AS401">
        <v>10000</v>
      </c>
      <c r="AT401" t="s">
        <v>2892</v>
      </c>
      <c r="AU401" t="s">
        <v>75</v>
      </c>
      <c r="AV401" t="s">
        <v>76</v>
      </c>
    </row>
    <row r="402" spans="1:50" x14ac:dyDescent="0.15">
      <c r="A402" s="4" t="str">
        <f>HYPERLINK("https://ibp.a2mac1.com/costing(costing:projects/details/9760/assembly/8413537)","Cross Members")</f>
        <v>Cross Members</v>
      </c>
      <c r="B402">
        <v>8413537</v>
      </c>
      <c r="D402">
        <v>8413381</v>
      </c>
      <c r="F402">
        <v>1</v>
      </c>
      <c r="G402">
        <v>0</v>
      </c>
      <c r="H402">
        <v>7.71</v>
      </c>
      <c r="I402">
        <v>0</v>
      </c>
      <c r="J402" t="s">
        <v>90</v>
      </c>
      <c r="K402">
        <v>0</v>
      </c>
      <c r="L402">
        <v>7.71</v>
      </c>
      <c r="M402">
        <v>0</v>
      </c>
      <c r="N402">
        <v>0</v>
      </c>
      <c r="O402">
        <v>7.71</v>
      </c>
      <c r="P402" t="s">
        <v>90</v>
      </c>
      <c r="Q402">
        <v>0</v>
      </c>
      <c r="R402" t="s">
        <v>90</v>
      </c>
      <c r="S402">
        <v>0</v>
      </c>
      <c r="T402" t="s">
        <v>90</v>
      </c>
      <c r="U402">
        <v>0</v>
      </c>
      <c r="V402" t="s">
        <v>90</v>
      </c>
      <c r="W402">
        <v>0</v>
      </c>
      <c r="X402" t="s">
        <v>90</v>
      </c>
      <c r="Y402">
        <v>0</v>
      </c>
      <c r="Z402">
        <v>7.71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L402">
        <v>4.7610000000000001</v>
      </c>
      <c r="AN402" t="s">
        <v>1015</v>
      </c>
      <c r="AO402" t="s">
        <v>73</v>
      </c>
      <c r="AP402">
        <v>200000</v>
      </c>
      <c r="AQ402" t="s">
        <v>73</v>
      </c>
      <c r="AS402">
        <v>10000</v>
      </c>
      <c r="AT402" t="s">
        <v>2897</v>
      </c>
      <c r="AU402" t="s">
        <v>75</v>
      </c>
      <c r="AV402" t="s">
        <v>76</v>
      </c>
    </row>
    <row r="403" spans="1:50" x14ac:dyDescent="0.15">
      <c r="A403" s="4" t="str">
        <f>HYPERLINK("https://ibp.a2mac1.com/costing(costing:projects/details/9760/assembly/8413538)","Reinforcements")</f>
        <v>Reinforcements</v>
      </c>
      <c r="B403">
        <v>8413538</v>
      </c>
      <c r="D403">
        <v>8413381</v>
      </c>
      <c r="F403">
        <v>1</v>
      </c>
      <c r="G403">
        <v>0</v>
      </c>
      <c r="H403">
        <v>4.32</v>
      </c>
      <c r="I403">
        <v>0</v>
      </c>
      <c r="J403" t="s">
        <v>90</v>
      </c>
      <c r="K403">
        <v>0</v>
      </c>
      <c r="L403">
        <v>4.32</v>
      </c>
      <c r="M403">
        <v>0</v>
      </c>
      <c r="N403">
        <v>0</v>
      </c>
      <c r="O403">
        <v>4.32</v>
      </c>
      <c r="P403" t="s">
        <v>90</v>
      </c>
      <c r="Q403">
        <v>0</v>
      </c>
      <c r="R403" t="s">
        <v>90</v>
      </c>
      <c r="S403">
        <v>0</v>
      </c>
      <c r="T403" t="s">
        <v>90</v>
      </c>
      <c r="U403">
        <v>0</v>
      </c>
      <c r="V403" t="s">
        <v>90</v>
      </c>
      <c r="W403">
        <v>0</v>
      </c>
      <c r="X403" t="s">
        <v>90</v>
      </c>
      <c r="Y403">
        <v>0</v>
      </c>
      <c r="Z403">
        <v>4.32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L403">
        <v>2.3130000000000002</v>
      </c>
      <c r="AN403" t="s">
        <v>1015</v>
      </c>
      <c r="AO403" t="s">
        <v>73</v>
      </c>
      <c r="AP403">
        <v>200000</v>
      </c>
      <c r="AQ403" t="s">
        <v>73</v>
      </c>
      <c r="AS403">
        <v>10000</v>
      </c>
      <c r="AT403" t="s">
        <v>2905</v>
      </c>
      <c r="AU403" t="s">
        <v>75</v>
      </c>
      <c r="AV403" t="s">
        <v>76</v>
      </c>
    </row>
    <row r="404" spans="1:50" x14ac:dyDescent="0.15">
      <c r="A404" s="4" t="str">
        <f>HYPERLINK("https://ibp.a2mac1.com/costing(costing:projects/details/9760/assembly/8413539)","Front Seats Support")</f>
        <v>Front Seats Support</v>
      </c>
      <c r="B404">
        <v>8413539</v>
      </c>
      <c r="D404">
        <v>8413381</v>
      </c>
      <c r="F404">
        <v>1</v>
      </c>
      <c r="G404">
        <v>0</v>
      </c>
      <c r="H404">
        <v>21.96</v>
      </c>
      <c r="I404">
        <v>0</v>
      </c>
      <c r="J404" t="s">
        <v>90</v>
      </c>
      <c r="K404">
        <v>0</v>
      </c>
      <c r="L404">
        <v>21.96</v>
      </c>
      <c r="M404">
        <v>0</v>
      </c>
      <c r="N404">
        <v>0</v>
      </c>
      <c r="O404">
        <v>21.96</v>
      </c>
      <c r="P404" t="s">
        <v>90</v>
      </c>
      <c r="Q404">
        <v>0</v>
      </c>
      <c r="R404" t="s">
        <v>90</v>
      </c>
      <c r="S404">
        <v>0</v>
      </c>
      <c r="T404" t="s">
        <v>90</v>
      </c>
      <c r="U404">
        <v>0</v>
      </c>
      <c r="V404" t="s">
        <v>90</v>
      </c>
      <c r="W404">
        <v>0</v>
      </c>
      <c r="X404" t="s">
        <v>90</v>
      </c>
      <c r="Y404">
        <v>0</v>
      </c>
      <c r="Z404">
        <v>21.96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L404">
        <v>12.67</v>
      </c>
      <c r="AN404" t="s">
        <v>1015</v>
      </c>
      <c r="AO404" t="s">
        <v>73</v>
      </c>
      <c r="AP404">
        <v>200000</v>
      </c>
      <c r="AQ404" t="s">
        <v>73</v>
      </c>
      <c r="AS404">
        <v>10000</v>
      </c>
      <c r="AT404" t="s">
        <v>2921</v>
      </c>
      <c r="AU404" t="s">
        <v>75</v>
      </c>
      <c r="AV404" t="s">
        <v>76</v>
      </c>
    </row>
    <row r="405" spans="1:50" x14ac:dyDescent="0.15">
      <c r="A405" s="4" t="str">
        <f>HYPERLINK("https://ibp.a2mac1.com/costing(costing:projects/details/9760/assembly/8413381)","Enclosure Top")</f>
        <v>Enclosure Top</v>
      </c>
      <c r="B405">
        <v>8413381</v>
      </c>
      <c r="D405">
        <v>8413230</v>
      </c>
      <c r="F405">
        <v>1</v>
      </c>
      <c r="G405">
        <v>0</v>
      </c>
      <c r="H405">
        <v>89.566271690398011</v>
      </c>
      <c r="I405">
        <v>0.45008176728843224</v>
      </c>
      <c r="J405" t="s">
        <v>176</v>
      </c>
      <c r="K405">
        <v>3.1348195091639304</v>
      </c>
      <c r="L405">
        <v>93.151172966850382</v>
      </c>
      <c r="M405">
        <v>0</v>
      </c>
      <c r="N405">
        <v>38.921999999999997</v>
      </c>
      <c r="O405">
        <v>132.07317296685036</v>
      </c>
      <c r="P405" t="s">
        <v>177</v>
      </c>
      <c r="Q405">
        <v>5.5890703780110229</v>
      </c>
      <c r="R405" t="s">
        <v>177</v>
      </c>
      <c r="S405">
        <v>2.3353199999999998</v>
      </c>
      <c r="T405" t="s">
        <v>178</v>
      </c>
      <c r="U405">
        <v>15.848780756022045</v>
      </c>
      <c r="V405" t="s">
        <v>90</v>
      </c>
      <c r="W405">
        <v>0</v>
      </c>
      <c r="X405" t="s">
        <v>90</v>
      </c>
      <c r="Y405">
        <v>0</v>
      </c>
      <c r="Z405">
        <v>155.84634410088344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2185</v>
      </c>
      <c r="AI405">
        <v>1530</v>
      </c>
      <c r="AJ405">
        <v>197</v>
      </c>
      <c r="AL405">
        <v>44.338999999999999</v>
      </c>
      <c r="AN405" t="s">
        <v>2791</v>
      </c>
      <c r="AO405" t="s">
        <v>73</v>
      </c>
      <c r="AP405">
        <v>200000</v>
      </c>
      <c r="AQ405" t="s">
        <v>97</v>
      </c>
      <c r="AS405">
        <v>10000</v>
      </c>
      <c r="AT405" t="s">
        <v>2940</v>
      </c>
      <c r="AU405" t="s">
        <v>75</v>
      </c>
      <c r="AV405" t="s">
        <v>76</v>
      </c>
    </row>
    <row r="406" spans="1:50" x14ac:dyDescent="0.15">
      <c r="A406" s="4" t="str">
        <f>HYPERLINK("https://ibp.a2mac1.com/costing(costing:projects/details/9760/assembly/8413382)","Second Enclosure Top")</f>
        <v>Second Enclosure Top</v>
      </c>
      <c r="B406">
        <v>8413382</v>
      </c>
      <c r="D406">
        <v>8413230</v>
      </c>
      <c r="F406">
        <v>1</v>
      </c>
      <c r="G406">
        <v>0</v>
      </c>
      <c r="H406">
        <v>6.5</v>
      </c>
      <c r="I406">
        <v>0</v>
      </c>
      <c r="J406" t="s">
        <v>71</v>
      </c>
      <c r="K406">
        <v>0</v>
      </c>
      <c r="L406">
        <v>6.5</v>
      </c>
      <c r="M406">
        <v>0</v>
      </c>
      <c r="N406">
        <v>0</v>
      </c>
      <c r="O406">
        <v>6.5</v>
      </c>
      <c r="P406" t="s">
        <v>71</v>
      </c>
      <c r="Q406">
        <v>0</v>
      </c>
      <c r="R406" t="s">
        <v>71</v>
      </c>
      <c r="S406">
        <v>0</v>
      </c>
      <c r="T406" t="s">
        <v>71</v>
      </c>
      <c r="U406">
        <v>0</v>
      </c>
      <c r="V406" t="s">
        <v>71</v>
      </c>
      <c r="W406">
        <v>0</v>
      </c>
      <c r="X406" t="s">
        <v>71</v>
      </c>
      <c r="Y406">
        <v>0</v>
      </c>
      <c r="Z406">
        <v>6.5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1170</v>
      </c>
      <c r="AI406">
        <v>465</v>
      </c>
      <c r="AJ406">
        <v>103</v>
      </c>
      <c r="AL406">
        <v>3.4510000000000001</v>
      </c>
      <c r="AN406" t="s">
        <v>2791</v>
      </c>
      <c r="AO406" t="s">
        <v>73</v>
      </c>
      <c r="AP406">
        <v>200000</v>
      </c>
      <c r="AQ406" t="s">
        <v>97</v>
      </c>
      <c r="AS406">
        <v>10000</v>
      </c>
      <c r="AT406" t="s">
        <v>2941</v>
      </c>
      <c r="AU406" t="s">
        <v>75</v>
      </c>
      <c r="AV406" t="s">
        <v>76</v>
      </c>
      <c r="AX406">
        <v>6.5</v>
      </c>
    </row>
    <row r="407" spans="1:50" x14ac:dyDescent="0.15">
      <c r="A407" s="4" t="str">
        <f>HYPERLINK("https://ibp.a2mac1.com/costing(costing:projects/details/9760/assembly/8413230)","Enclosures")</f>
        <v>Enclosures</v>
      </c>
      <c r="B407">
        <v>8413230</v>
      </c>
      <c r="D407">
        <v>8413085</v>
      </c>
      <c r="F407">
        <v>1</v>
      </c>
      <c r="G407">
        <v>0</v>
      </c>
      <c r="H407">
        <v>726.32422025533992</v>
      </c>
      <c r="I407">
        <v>0</v>
      </c>
      <c r="J407" t="s">
        <v>90</v>
      </c>
      <c r="K407">
        <v>0</v>
      </c>
      <c r="L407">
        <v>726.32422025533992</v>
      </c>
      <c r="M407">
        <v>0</v>
      </c>
      <c r="N407">
        <v>0</v>
      </c>
      <c r="O407">
        <v>726.32422025533992</v>
      </c>
      <c r="P407" t="s">
        <v>90</v>
      </c>
      <c r="Q407">
        <v>0</v>
      </c>
      <c r="R407" t="s">
        <v>90</v>
      </c>
      <c r="S407">
        <v>0</v>
      </c>
      <c r="T407" t="s">
        <v>90</v>
      </c>
      <c r="U407">
        <v>0</v>
      </c>
      <c r="V407" t="s">
        <v>90</v>
      </c>
      <c r="W407">
        <v>0</v>
      </c>
      <c r="X407" t="s">
        <v>90</v>
      </c>
      <c r="Y407">
        <v>0</v>
      </c>
      <c r="Z407">
        <v>726.32422025533992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L407">
        <v>117.92310000000001</v>
      </c>
      <c r="AN407" t="s">
        <v>72</v>
      </c>
      <c r="AO407" t="s">
        <v>73</v>
      </c>
      <c r="AP407">
        <v>200000</v>
      </c>
      <c r="AQ407" t="s">
        <v>73</v>
      </c>
      <c r="AS407">
        <v>10000</v>
      </c>
      <c r="AT407" t="s">
        <v>2958</v>
      </c>
      <c r="AU407" t="s">
        <v>75</v>
      </c>
      <c r="AV407" t="s">
        <v>76</v>
      </c>
    </row>
    <row r="408" spans="1:50" x14ac:dyDescent="0.15">
      <c r="A408" s="4" t="str">
        <f>HYPERLINK("https://ibp.a2mac1.com/costing(costing:projects/details/9760/assembly/8413231)","Brackets")</f>
        <v>Brackets</v>
      </c>
      <c r="B408">
        <v>8413231</v>
      </c>
      <c r="D408">
        <v>8413085</v>
      </c>
      <c r="F408">
        <v>1</v>
      </c>
      <c r="G408">
        <v>0</v>
      </c>
      <c r="H408">
        <v>39.417400000000001</v>
      </c>
      <c r="I408">
        <v>0</v>
      </c>
      <c r="J408" t="s">
        <v>90</v>
      </c>
      <c r="K408">
        <v>0</v>
      </c>
      <c r="L408">
        <v>39.417400000000001</v>
      </c>
      <c r="M408">
        <v>0</v>
      </c>
      <c r="N408">
        <v>0</v>
      </c>
      <c r="O408">
        <v>39.417400000000001</v>
      </c>
      <c r="P408" t="s">
        <v>90</v>
      </c>
      <c r="Q408">
        <v>0</v>
      </c>
      <c r="R408" t="s">
        <v>90</v>
      </c>
      <c r="S408">
        <v>0</v>
      </c>
      <c r="T408" t="s">
        <v>90</v>
      </c>
      <c r="U408">
        <v>0</v>
      </c>
      <c r="V408" t="s">
        <v>90</v>
      </c>
      <c r="W408">
        <v>0</v>
      </c>
      <c r="X408" t="s">
        <v>90</v>
      </c>
      <c r="Y408">
        <v>0</v>
      </c>
      <c r="Z408">
        <v>39.417400000000001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L408">
        <v>7.7169999999999996</v>
      </c>
      <c r="AN408" t="s">
        <v>72</v>
      </c>
      <c r="AO408" t="s">
        <v>73</v>
      </c>
      <c r="AP408">
        <v>200000</v>
      </c>
      <c r="AQ408" t="s">
        <v>73</v>
      </c>
      <c r="AS408">
        <v>10000</v>
      </c>
      <c r="AT408" t="s">
        <v>2977</v>
      </c>
      <c r="AU408" t="s">
        <v>75</v>
      </c>
      <c r="AV408" t="s">
        <v>76</v>
      </c>
    </row>
    <row r="409" spans="1:50" x14ac:dyDescent="0.15">
      <c r="A409" s="4" t="str">
        <f>HYPERLINK("https://ibp.a2mac1.com/costing(costing:projects/details/9760/assembly/8413232)","Seal (on top cover)")</f>
        <v>Seal (on top cover)</v>
      </c>
      <c r="B409">
        <v>8413232</v>
      </c>
      <c r="D409">
        <v>8413085</v>
      </c>
      <c r="F409">
        <v>1</v>
      </c>
      <c r="G409">
        <v>0</v>
      </c>
      <c r="H409">
        <v>0.36</v>
      </c>
      <c r="I409">
        <v>0</v>
      </c>
      <c r="J409" t="s">
        <v>90</v>
      </c>
      <c r="K409">
        <v>0</v>
      </c>
      <c r="L409">
        <v>0.36</v>
      </c>
      <c r="M409">
        <v>0</v>
      </c>
      <c r="N409">
        <v>0</v>
      </c>
      <c r="O409">
        <v>0.36</v>
      </c>
      <c r="P409" t="s">
        <v>90</v>
      </c>
      <c r="Q409">
        <v>0</v>
      </c>
      <c r="R409" t="s">
        <v>90</v>
      </c>
      <c r="S409">
        <v>0</v>
      </c>
      <c r="T409" t="s">
        <v>90</v>
      </c>
      <c r="U409">
        <v>0</v>
      </c>
      <c r="V409" t="s">
        <v>90</v>
      </c>
      <c r="W409">
        <v>0</v>
      </c>
      <c r="X409" t="s">
        <v>90</v>
      </c>
      <c r="Y409">
        <v>0</v>
      </c>
      <c r="Z409">
        <v>0.36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L409">
        <v>2.3E-2</v>
      </c>
      <c r="AN409" t="s">
        <v>72</v>
      </c>
      <c r="AO409" t="s">
        <v>73</v>
      </c>
      <c r="AP409">
        <v>200000</v>
      </c>
      <c r="AQ409" t="s">
        <v>73</v>
      </c>
      <c r="AS409">
        <v>10000</v>
      </c>
      <c r="AT409" t="s">
        <v>2981</v>
      </c>
      <c r="AU409" t="s">
        <v>75</v>
      </c>
      <c r="AV409" t="s">
        <v>76</v>
      </c>
    </row>
    <row r="410" spans="1:50" x14ac:dyDescent="0.15">
      <c r="A410" s="4" t="str">
        <f>HYPERLINK("https://ibp.a2mac1.com/costing(costing:projects/details/9760/assembly/8413233)","Insulations")</f>
        <v>Insulations</v>
      </c>
      <c r="B410">
        <v>8413233</v>
      </c>
      <c r="D410">
        <v>8413085</v>
      </c>
      <c r="F410">
        <v>1</v>
      </c>
      <c r="G410">
        <v>0</v>
      </c>
      <c r="H410">
        <v>25.189</v>
      </c>
      <c r="I410">
        <v>0</v>
      </c>
      <c r="J410" t="s">
        <v>90</v>
      </c>
      <c r="K410">
        <v>0</v>
      </c>
      <c r="L410">
        <v>25.189</v>
      </c>
      <c r="M410">
        <v>0</v>
      </c>
      <c r="N410">
        <v>0</v>
      </c>
      <c r="O410">
        <v>25.189</v>
      </c>
      <c r="P410" t="s">
        <v>90</v>
      </c>
      <c r="Q410">
        <v>0</v>
      </c>
      <c r="R410" t="s">
        <v>90</v>
      </c>
      <c r="S410">
        <v>0</v>
      </c>
      <c r="T410" t="s">
        <v>90</v>
      </c>
      <c r="U410">
        <v>0</v>
      </c>
      <c r="V410" t="s">
        <v>90</v>
      </c>
      <c r="W410">
        <v>0</v>
      </c>
      <c r="X410" t="s">
        <v>90</v>
      </c>
      <c r="Y410">
        <v>0</v>
      </c>
      <c r="Z410">
        <v>25.189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L410">
        <v>3.927</v>
      </c>
      <c r="AN410" t="s">
        <v>72</v>
      </c>
      <c r="AO410" t="s">
        <v>73</v>
      </c>
      <c r="AP410">
        <v>200000</v>
      </c>
      <c r="AQ410" t="s">
        <v>73</v>
      </c>
      <c r="AS410">
        <v>10000</v>
      </c>
      <c r="AT410" t="s">
        <v>2992</v>
      </c>
      <c r="AU410" t="s">
        <v>75</v>
      </c>
      <c r="AV410" t="s">
        <v>76</v>
      </c>
    </row>
    <row r="411" spans="1:50" x14ac:dyDescent="0.15">
      <c r="A411" s="4" t="str">
        <f>HYPERLINK("https://ibp.a2mac1.com/costing(costing:projects/details/9760/assembly/8413234)","Insulation Sheet")</f>
        <v>Insulation Sheet</v>
      </c>
      <c r="B411">
        <v>8413234</v>
      </c>
      <c r="D411">
        <v>8413085</v>
      </c>
      <c r="F411">
        <v>1</v>
      </c>
      <c r="G411">
        <v>0</v>
      </c>
      <c r="H411">
        <v>0.39</v>
      </c>
      <c r="I411">
        <v>0</v>
      </c>
      <c r="J411" t="s">
        <v>90</v>
      </c>
      <c r="K411">
        <v>0</v>
      </c>
      <c r="L411">
        <v>0.39</v>
      </c>
      <c r="M411">
        <v>0</v>
      </c>
      <c r="N411">
        <v>0</v>
      </c>
      <c r="O411">
        <v>0.39</v>
      </c>
      <c r="P411" t="s">
        <v>90</v>
      </c>
      <c r="Q411">
        <v>0</v>
      </c>
      <c r="R411" t="s">
        <v>90</v>
      </c>
      <c r="S411">
        <v>0</v>
      </c>
      <c r="T411" t="s">
        <v>90</v>
      </c>
      <c r="U411">
        <v>0</v>
      </c>
      <c r="V411" t="s">
        <v>90</v>
      </c>
      <c r="W411">
        <v>0</v>
      </c>
      <c r="X411" t="s">
        <v>90</v>
      </c>
      <c r="Y411">
        <v>0</v>
      </c>
      <c r="Z411">
        <v>0.39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L411">
        <v>0.219</v>
      </c>
      <c r="AN411" t="s">
        <v>72</v>
      </c>
      <c r="AO411" t="s">
        <v>73</v>
      </c>
      <c r="AP411">
        <v>200000</v>
      </c>
      <c r="AQ411" t="s">
        <v>73</v>
      </c>
      <c r="AS411">
        <v>10000</v>
      </c>
      <c r="AT411" t="s">
        <v>2998</v>
      </c>
      <c r="AU411" t="s">
        <v>75</v>
      </c>
      <c r="AV411" t="s">
        <v>76</v>
      </c>
    </row>
    <row r="412" spans="1:50" x14ac:dyDescent="0.15">
      <c r="A412" s="4" t="str">
        <f>HYPERLINK("https://ibp.a2mac1.com/costing(costing:projects/details/9760/assembly/8413235)","Covers")</f>
        <v>Covers</v>
      </c>
      <c r="B412">
        <v>8413235</v>
      </c>
      <c r="D412">
        <v>8413085</v>
      </c>
      <c r="F412">
        <v>1</v>
      </c>
      <c r="G412">
        <v>0</v>
      </c>
      <c r="H412">
        <v>1.08</v>
      </c>
      <c r="I412">
        <v>0</v>
      </c>
      <c r="J412" t="s">
        <v>90</v>
      </c>
      <c r="K412">
        <v>0</v>
      </c>
      <c r="L412">
        <v>1.08</v>
      </c>
      <c r="M412">
        <v>0</v>
      </c>
      <c r="N412">
        <v>0</v>
      </c>
      <c r="O412">
        <v>1.08</v>
      </c>
      <c r="P412" t="s">
        <v>90</v>
      </c>
      <c r="Q412">
        <v>0</v>
      </c>
      <c r="R412" t="s">
        <v>90</v>
      </c>
      <c r="S412">
        <v>0</v>
      </c>
      <c r="T412" t="s">
        <v>90</v>
      </c>
      <c r="U412">
        <v>0</v>
      </c>
      <c r="V412" t="s">
        <v>90</v>
      </c>
      <c r="W412">
        <v>0</v>
      </c>
      <c r="X412" t="s">
        <v>90</v>
      </c>
      <c r="Y412">
        <v>0</v>
      </c>
      <c r="Z412">
        <v>1.08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L412">
        <v>9.0999999999999998E-2</v>
      </c>
      <c r="AN412" t="s">
        <v>72</v>
      </c>
      <c r="AO412" t="s">
        <v>73</v>
      </c>
      <c r="AP412">
        <v>200000</v>
      </c>
      <c r="AQ412" t="s">
        <v>73</v>
      </c>
      <c r="AS412">
        <v>10000</v>
      </c>
      <c r="AT412" t="s">
        <v>3005</v>
      </c>
      <c r="AU412" t="s">
        <v>75</v>
      </c>
      <c r="AV412" t="s">
        <v>76</v>
      </c>
    </row>
    <row r="413" spans="1:50" x14ac:dyDescent="0.15">
      <c r="A413" s="4" t="str">
        <f>HYPERLINK("https://ibp.a2mac1.com/costing(costing:projects/details/9760/assembly/8413236)","Sealing")</f>
        <v>Sealing</v>
      </c>
      <c r="B413">
        <v>8413236</v>
      </c>
      <c r="D413">
        <v>8413085</v>
      </c>
      <c r="F413">
        <v>1</v>
      </c>
      <c r="G413">
        <v>0</v>
      </c>
      <c r="H413">
        <v>10.1478</v>
      </c>
      <c r="I413">
        <v>0</v>
      </c>
      <c r="J413" t="s">
        <v>90</v>
      </c>
      <c r="K413">
        <v>0</v>
      </c>
      <c r="L413">
        <v>10.1478</v>
      </c>
      <c r="M413">
        <v>0</v>
      </c>
      <c r="N413">
        <v>0</v>
      </c>
      <c r="O413">
        <v>10.1478</v>
      </c>
      <c r="P413" t="s">
        <v>90</v>
      </c>
      <c r="Q413">
        <v>0</v>
      </c>
      <c r="R413" t="s">
        <v>90</v>
      </c>
      <c r="S413">
        <v>0</v>
      </c>
      <c r="T413" t="s">
        <v>90</v>
      </c>
      <c r="U413">
        <v>0</v>
      </c>
      <c r="V413" t="s">
        <v>90</v>
      </c>
      <c r="W413">
        <v>0</v>
      </c>
      <c r="X413" t="s">
        <v>90</v>
      </c>
      <c r="Y413">
        <v>0</v>
      </c>
      <c r="Z413">
        <v>10.1478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N413" t="s">
        <v>1015</v>
      </c>
      <c r="AO413" t="s">
        <v>73</v>
      </c>
      <c r="AP413">
        <v>200000</v>
      </c>
      <c r="AQ413" t="s">
        <v>73</v>
      </c>
      <c r="AR413">
        <v>0</v>
      </c>
      <c r="AS413">
        <v>10000</v>
      </c>
      <c r="AT413" t="s">
        <v>9</v>
      </c>
      <c r="AU413" t="s">
        <v>75</v>
      </c>
      <c r="AV413" t="s">
        <v>76</v>
      </c>
    </row>
    <row r="414" spans="1:50" x14ac:dyDescent="0.15">
      <c r="A414" s="4" t="str">
        <f>HYPERLINK("https://ibp.a2mac1.com/costing(costing:projects/details/9760/assembly/8413237)","Vent Valve protection")</f>
        <v>Vent Valve protection</v>
      </c>
      <c r="B414">
        <v>8413237</v>
      </c>
      <c r="D414">
        <v>8413085</v>
      </c>
      <c r="F414">
        <v>1</v>
      </c>
      <c r="G414">
        <v>0</v>
      </c>
      <c r="H414">
        <v>0.37</v>
      </c>
      <c r="I414">
        <v>1.8592964824120603E-3</v>
      </c>
      <c r="J414" t="s">
        <v>176</v>
      </c>
      <c r="K414">
        <v>1.295E-2</v>
      </c>
      <c r="L414">
        <v>0.38480929648241208</v>
      </c>
      <c r="M414">
        <v>0</v>
      </c>
      <c r="N414">
        <v>0</v>
      </c>
      <c r="O414">
        <v>0.38480929648241208</v>
      </c>
      <c r="P414" t="s">
        <v>177</v>
      </c>
      <c r="Q414">
        <v>2.3088557788944725E-2</v>
      </c>
      <c r="R414" t="s">
        <v>177</v>
      </c>
      <c r="S414">
        <v>0</v>
      </c>
      <c r="T414" t="s">
        <v>178</v>
      </c>
      <c r="U414">
        <v>4.6177115577889449E-2</v>
      </c>
      <c r="V414" t="s">
        <v>90</v>
      </c>
      <c r="W414">
        <v>0</v>
      </c>
      <c r="X414" t="s">
        <v>90</v>
      </c>
      <c r="Y414">
        <v>0</v>
      </c>
      <c r="Z414">
        <v>0.45407496984924622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N414" t="s">
        <v>3013</v>
      </c>
      <c r="AO414" t="s">
        <v>73</v>
      </c>
      <c r="AP414">
        <v>200000</v>
      </c>
      <c r="AQ414" t="s">
        <v>97</v>
      </c>
      <c r="AR414">
        <v>0</v>
      </c>
      <c r="AS414">
        <v>10000</v>
      </c>
      <c r="AT414" t="s">
        <v>9</v>
      </c>
      <c r="AU414" t="s">
        <v>75</v>
      </c>
      <c r="AV414" t="s">
        <v>76</v>
      </c>
    </row>
    <row r="415" spans="1:50" x14ac:dyDescent="0.15">
      <c r="A415" s="4" t="str">
        <f>HYPERLINK("https://ibp.a2mac1.com/costing(costing:projects/details/9760/assembly/8413085)","Structural Components")</f>
        <v>Structural Components</v>
      </c>
      <c r="B415">
        <v>8413085</v>
      </c>
      <c r="D415">
        <v>8412994</v>
      </c>
      <c r="F415">
        <v>1</v>
      </c>
      <c r="G415">
        <v>0</v>
      </c>
      <c r="H415">
        <v>803.36249522518915</v>
      </c>
      <c r="I415">
        <v>0</v>
      </c>
      <c r="J415" t="s">
        <v>90</v>
      </c>
      <c r="K415">
        <v>0</v>
      </c>
      <c r="L415">
        <v>803.36249522518915</v>
      </c>
      <c r="M415">
        <v>0</v>
      </c>
      <c r="N415">
        <v>0</v>
      </c>
      <c r="O415">
        <v>803.36249522518915</v>
      </c>
      <c r="P415" t="s">
        <v>90</v>
      </c>
      <c r="Q415">
        <v>0</v>
      </c>
      <c r="R415" t="s">
        <v>90</v>
      </c>
      <c r="S415">
        <v>0</v>
      </c>
      <c r="T415" t="s">
        <v>90</v>
      </c>
      <c r="U415">
        <v>0</v>
      </c>
      <c r="V415" t="s">
        <v>90</v>
      </c>
      <c r="W415">
        <v>0</v>
      </c>
      <c r="X415" t="s">
        <v>90</v>
      </c>
      <c r="Y415">
        <v>0</v>
      </c>
      <c r="Z415">
        <v>803.36249522518915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L415">
        <v>138.61709999999999</v>
      </c>
      <c r="AN415" t="s">
        <v>72</v>
      </c>
      <c r="AO415" t="s">
        <v>73</v>
      </c>
      <c r="AP415">
        <v>200000</v>
      </c>
      <c r="AQ415" t="s">
        <v>73</v>
      </c>
      <c r="AS415">
        <v>10000</v>
      </c>
      <c r="AT415" t="s">
        <v>3014</v>
      </c>
      <c r="AU415" t="s">
        <v>75</v>
      </c>
      <c r="AV415" t="s">
        <v>76</v>
      </c>
    </row>
    <row r="416" spans="1:50" x14ac:dyDescent="0.15">
      <c r="A416" s="4" t="str">
        <f>HYPERLINK("https://ibp.a2mac1.com/costing(costing:projects/details/9760/assembly/8413238)","Hose")</f>
        <v>Hose</v>
      </c>
      <c r="B416">
        <v>8413238</v>
      </c>
      <c r="D416">
        <v>8413086</v>
      </c>
      <c r="F416">
        <v>1</v>
      </c>
      <c r="G416">
        <v>0</v>
      </c>
      <c r="H416">
        <v>5.69</v>
      </c>
      <c r="I416">
        <v>0</v>
      </c>
      <c r="J416" t="s">
        <v>90</v>
      </c>
      <c r="K416">
        <v>0</v>
      </c>
      <c r="L416">
        <v>5.69</v>
      </c>
      <c r="M416">
        <v>0</v>
      </c>
      <c r="N416">
        <v>0</v>
      </c>
      <c r="O416">
        <v>5.69</v>
      </c>
      <c r="P416" t="s">
        <v>90</v>
      </c>
      <c r="Q416">
        <v>0</v>
      </c>
      <c r="R416" t="s">
        <v>90</v>
      </c>
      <c r="S416">
        <v>0</v>
      </c>
      <c r="T416" t="s">
        <v>90</v>
      </c>
      <c r="U416">
        <v>0</v>
      </c>
      <c r="V416" t="s">
        <v>90</v>
      </c>
      <c r="W416">
        <v>0</v>
      </c>
      <c r="X416" t="s">
        <v>90</v>
      </c>
      <c r="Y416">
        <v>0</v>
      </c>
      <c r="Z416">
        <v>5.69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L416">
        <v>0.47299999999999998</v>
      </c>
      <c r="AN416" t="s">
        <v>1015</v>
      </c>
      <c r="AO416" t="s">
        <v>73</v>
      </c>
      <c r="AP416">
        <v>200000</v>
      </c>
      <c r="AQ416" t="s">
        <v>73</v>
      </c>
      <c r="AS416">
        <v>10000</v>
      </c>
      <c r="AT416" t="s">
        <v>3020</v>
      </c>
      <c r="AU416" t="s">
        <v>75</v>
      </c>
      <c r="AV416" t="s">
        <v>76</v>
      </c>
    </row>
    <row r="417" spans="1:50" x14ac:dyDescent="0.15">
      <c r="A417" s="4" t="str">
        <f>HYPERLINK("https://ibp.a2mac1.com/costing(costing:projects/details/9760/assembly/8413239)","Hose Connector")</f>
        <v>Hose Connector</v>
      </c>
      <c r="B417">
        <v>8413239</v>
      </c>
      <c r="D417">
        <v>8413086</v>
      </c>
      <c r="F417">
        <v>1</v>
      </c>
      <c r="G417">
        <v>0</v>
      </c>
      <c r="H417">
        <v>9.9</v>
      </c>
      <c r="I417">
        <v>0</v>
      </c>
      <c r="J417" t="s">
        <v>90</v>
      </c>
      <c r="K417">
        <v>0</v>
      </c>
      <c r="L417">
        <v>9.9</v>
      </c>
      <c r="M417">
        <v>0</v>
      </c>
      <c r="N417">
        <v>0</v>
      </c>
      <c r="O417">
        <v>9.9</v>
      </c>
      <c r="P417" t="s">
        <v>90</v>
      </c>
      <c r="Q417">
        <v>0</v>
      </c>
      <c r="R417" t="s">
        <v>90</v>
      </c>
      <c r="S417">
        <v>0</v>
      </c>
      <c r="T417" t="s">
        <v>90</v>
      </c>
      <c r="U417">
        <v>0</v>
      </c>
      <c r="V417" t="s">
        <v>90</v>
      </c>
      <c r="W417">
        <v>0</v>
      </c>
      <c r="X417" t="s">
        <v>90</v>
      </c>
      <c r="Y417">
        <v>0</v>
      </c>
      <c r="Z417">
        <v>9.9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L417">
        <v>0.48399999999999999</v>
      </c>
      <c r="AN417" t="s">
        <v>1015</v>
      </c>
      <c r="AO417" t="s">
        <v>73</v>
      </c>
      <c r="AP417">
        <v>200000</v>
      </c>
      <c r="AQ417" t="s">
        <v>73</v>
      </c>
      <c r="AS417">
        <v>10000</v>
      </c>
      <c r="AT417" t="s">
        <v>3023</v>
      </c>
      <c r="AU417" t="s">
        <v>75</v>
      </c>
      <c r="AV417" t="s">
        <v>76</v>
      </c>
    </row>
    <row r="418" spans="1:50" x14ac:dyDescent="0.15">
      <c r="A418" s="4" t="str">
        <f>HYPERLINK("https://ibp.a2mac1.com/costing(costing:projects/details/9760/assembly/8413240)","Cooling Plate")</f>
        <v>Cooling Plate</v>
      </c>
      <c r="B418">
        <v>8413240</v>
      </c>
      <c r="D418">
        <v>8413086</v>
      </c>
      <c r="F418">
        <v>1</v>
      </c>
      <c r="G418">
        <v>0</v>
      </c>
      <c r="H418">
        <v>163.4</v>
      </c>
      <c r="I418">
        <v>0</v>
      </c>
      <c r="J418" t="s">
        <v>90</v>
      </c>
      <c r="K418">
        <v>0</v>
      </c>
      <c r="L418">
        <v>163.4</v>
      </c>
      <c r="M418">
        <v>0</v>
      </c>
      <c r="N418">
        <v>0</v>
      </c>
      <c r="O418">
        <v>163.4</v>
      </c>
      <c r="P418" t="s">
        <v>90</v>
      </c>
      <c r="Q418">
        <v>0</v>
      </c>
      <c r="R418" t="s">
        <v>90</v>
      </c>
      <c r="S418">
        <v>0</v>
      </c>
      <c r="T418" t="s">
        <v>90</v>
      </c>
      <c r="U418">
        <v>0</v>
      </c>
      <c r="V418" t="s">
        <v>90</v>
      </c>
      <c r="W418">
        <v>0</v>
      </c>
      <c r="X418" t="s">
        <v>90</v>
      </c>
      <c r="Y418">
        <v>0</v>
      </c>
      <c r="Z418">
        <v>163.4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L418">
        <v>15.426</v>
      </c>
      <c r="AN418" t="s">
        <v>72</v>
      </c>
      <c r="AO418" t="s">
        <v>73</v>
      </c>
      <c r="AP418">
        <v>200000</v>
      </c>
      <c r="AQ418" t="s">
        <v>73</v>
      </c>
      <c r="AS418">
        <v>10000</v>
      </c>
      <c r="AT418" t="s">
        <v>3028</v>
      </c>
      <c r="AU418" t="s">
        <v>75</v>
      </c>
      <c r="AV418" t="s">
        <v>76</v>
      </c>
    </row>
    <row r="419" spans="1:50" x14ac:dyDescent="0.15">
      <c r="A419" s="4" t="str">
        <f>HYPERLINK("https://ibp.a2mac1.com/costing(costing:projects/details/9760/assembly/8413241)","Cooling Quick Disconnect")</f>
        <v>Cooling Quick Disconnect</v>
      </c>
      <c r="B419">
        <v>8413241</v>
      </c>
      <c r="D419">
        <v>8413086</v>
      </c>
      <c r="F419">
        <v>1</v>
      </c>
      <c r="G419">
        <v>0</v>
      </c>
      <c r="H419">
        <v>2.16</v>
      </c>
      <c r="I419">
        <v>0</v>
      </c>
      <c r="J419" t="s">
        <v>90</v>
      </c>
      <c r="K419">
        <v>0</v>
      </c>
      <c r="L419">
        <v>2.16</v>
      </c>
      <c r="M419">
        <v>0</v>
      </c>
      <c r="N419">
        <v>0</v>
      </c>
      <c r="O419">
        <v>2.16</v>
      </c>
      <c r="P419" t="s">
        <v>90</v>
      </c>
      <c r="Q419">
        <v>0</v>
      </c>
      <c r="R419" t="s">
        <v>90</v>
      </c>
      <c r="S419">
        <v>0</v>
      </c>
      <c r="T419" t="s">
        <v>90</v>
      </c>
      <c r="U419">
        <v>0</v>
      </c>
      <c r="V419" t="s">
        <v>90</v>
      </c>
      <c r="W419">
        <v>0</v>
      </c>
      <c r="X419" t="s">
        <v>90</v>
      </c>
      <c r="Y419">
        <v>0</v>
      </c>
      <c r="Z419">
        <v>2.16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N419" t="s">
        <v>1015</v>
      </c>
      <c r="AO419" t="s">
        <v>73</v>
      </c>
      <c r="AP419">
        <v>200000</v>
      </c>
      <c r="AQ419" t="s">
        <v>73</v>
      </c>
      <c r="AR419">
        <v>0</v>
      </c>
      <c r="AS419">
        <v>10000</v>
      </c>
      <c r="AT419" t="s">
        <v>9</v>
      </c>
      <c r="AU419" t="s">
        <v>75</v>
      </c>
      <c r="AV419" t="s">
        <v>76</v>
      </c>
    </row>
    <row r="420" spans="1:50" x14ac:dyDescent="0.15">
      <c r="A420" s="4" t="str">
        <f>HYPERLINK("https://ibp.a2mac1.com/costing(costing:projects/details/9760/assembly/8413242)","Thermal Paste")</f>
        <v>Thermal Paste</v>
      </c>
      <c r="B420">
        <v>8413242</v>
      </c>
      <c r="D420">
        <v>8413086</v>
      </c>
      <c r="F420">
        <v>1</v>
      </c>
      <c r="G420">
        <v>0</v>
      </c>
      <c r="H420">
        <v>93.977999999999994</v>
      </c>
      <c r="I420">
        <v>0</v>
      </c>
      <c r="J420" t="s">
        <v>90</v>
      </c>
      <c r="K420">
        <v>0</v>
      </c>
      <c r="L420">
        <v>93.977999999999994</v>
      </c>
      <c r="M420">
        <v>0</v>
      </c>
      <c r="N420">
        <v>0</v>
      </c>
      <c r="O420">
        <v>93.977999999999994</v>
      </c>
      <c r="P420" t="s">
        <v>90</v>
      </c>
      <c r="Q420">
        <v>0</v>
      </c>
      <c r="R420" t="s">
        <v>90</v>
      </c>
      <c r="S420">
        <v>0</v>
      </c>
      <c r="T420" t="s">
        <v>90</v>
      </c>
      <c r="U420">
        <v>0</v>
      </c>
      <c r="V420" t="s">
        <v>90</v>
      </c>
      <c r="W420">
        <v>0</v>
      </c>
      <c r="X420" t="s">
        <v>90</v>
      </c>
      <c r="Y420">
        <v>0</v>
      </c>
      <c r="Z420">
        <v>93.977999999999994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N420" t="s">
        <v>1015</v>
      </c>
      <c r="AO420" t="s">
        <v>73</v>
      </c>
      <c r="AP420">
        <v>200000</v>
      </c>
      <c r="AQ420" t="s">
        <v>73</v>
      </c>
      <c r="AR420">
        <v>0</v>
      </c>
      <c r="AS420">
        <v>10000</v>
      </c>
      <c r="AT420" t="s">
        <v>9</v>
      </c>
      <c r="AU420" t="s">
        <v>75</v>
      </c>
      <c r="AV420" t="s">
        <v>76</v>
      </c>
    </row>
    <row r="421" spans="1:50" x14ac:dyDescent="0.15">
      <c r="A421" s="4" t="str">
        <f>HYPERLINK("https://ibp.a2mac1.com/costing(costing:projects/details/9760/assembly/8413086)","Thermal Control System (air/liquid)")</f>
        <v>Thermal Control System (air/liquid)</v>
      </c>
      <c r="B421">
        <v>8413086</v>
      </c>
      <c r="D421">
        <v>8412994</v>
      </c>
      <c r="F421">
        <v>1</v>
      </c>
      <c r="G421">
        <v>0</v>
      </c>
      <c r="H421">
        <v>275.12799999999999</v>
      </c>
      <c r="I421">
        <v>0</v>
      </c>
      <c r="J421" t="s">
        <v>90</v>
      </c>
      <c r="K421">
        <v>0</v>
      </c>
      <c r="L421">
        <v>275.12799999999999</v>
      </c>
      <c r="M421">
        <v>0</v>
      </c>
      <c r="N421">
        <v>0</v>
      </c>
      <c r="O421">
        <v>275.12799999999999</v>
      </c>
      <c r="P421" t="s">
        <v>90</v>
      </c>
      <c r="Q421">
        <v>0</v>
      </c>
      <c r="R421" t="s">
        <v>90</v>
      </c>
      <c r="S421">
        <v>0</v>
      </c>
      <c r="T421" t="s">
        <v>90</v>
      </c>
      <c r="U421">
        <v>0</v>
      </c>
      <c r="V421" t="s">
        <v>90</v>
      </c>
      <c r="W421">
        <v>0</v>
      </c>
      <c r="X421" t="s">
        <v>90</v>
      </c>
      <c r="Y421">
        <v>0</v>
      </c>
      <c r="Z421">
        <v>275.12799999999999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L421">
        <v>26.041</v>
      </c>
      <c r="AN421" t="s">
        <v>72</v>
      </c>
      <c r="AO421" t="s">
        <v>73</v>
      </c>
      <c r="AP421">
        <v>200000</v>
      </c>
      <c r="AQ421" t="s">
        <v>73</v>
      </c>
      <c r="AS421">
        <v>10000</v>
      </c>
      <c r="AT421" t="s">
        <v>3037</v>
      </c>
      <c r="AU421" t="s">
        <v>75</v>
      </c>
      <c r="AV421" t="s">
        <v>76</v>
      </c>
    </row>
    <row r="422" spans="1:50" x14ac:dyDescent="0.15">
      <c r="A422" s="4" t="str">
        <f>HYPERLINK("https://ibp.a2mac1.com/costing(costing:projects/details/9760/assembly/8413087)","Off-Gas Vent System")</f>
        <v>Off-Gas Vent System</v>
      </c>
      <c r="B422">
        <v>8413087</v>
      </c>
      <c r="D422">
        <v>8412994</v>
      </c>
      <c r="F422">
        <v>1</v>
      </c>
      <c r="G422">
        <v>0</v>
      </c>
      <c r="H422">
        <v>4.84</v>
      </c>
      <c r="I422">
        <v>0</v>
      </c>
      <c r="J422" t="s">
        <v>90</v>
      </c>
      <c r="K422">
        <v>0</v>
      </c>
      <c r="L422">
        <v>4.84</v>
      </c>
      <c r="M422">
        <v>0</v>
      </c>
      <c r="N422">
        <v>0</v>
      </c>
      <c r="O422">
        <v>4.84</v>
      </c>
      <c r="P422" t="s">
        <v>90</v>
      </c>
      <c r="Q422">
        <v>0</v>
      </c>
      <c r="R422" t="s">
        <v>90</v>
      </c>
      <c r="S422">
        <v>0</v>
      </c>
      <c r="T422" t="s">
        <v>90</v>
      </c>
      <c r="U422">
        <v>0</v>
      </c>
      <c r="V422" t="s">
        <v>90</v>
      </c>
      <c r="W422">
        <v>0</v>
      </c>
      <c r="X422" t="s">
        <v>90</v>
      </c>
      <c r="Y422">
        <v>0</v>
      </c>
      <c r="Z422">
        <v>4.84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L422">
        <v>0.76800000000000002</v>
      </c>
      <c r="AN422" t="s">
        <v>72</v>
      </c>
      <c r="AO422" t="s">
        <v>73</v>
      </c>
      <c r="AP422">
        <v>200000</v>
      </c>
      <c r="AQ422" t="s">
        <v>73</v>
      </c>
      <c r="AS422">
        <v>10000</v>
      </c>
      <c r="AT422" t="s">
        <v>3042</v>
      </c>
      <c r="AU422" t="s">
        <v>75</v>
      </c>
      <c r="AV422" t="s">
        <v>76</v>
      </c>
    </row>
    <row r="423" spans="1:50" x14ac:dyDescent="0.15">
      <c r="A423" s="4" t="str">
        <f>HYPERLINK("https://ibp.a2mac1.com/costing(costing:projects/details/9760/assembly/8413246)","BMS Master ECU")</f>
        <v>BMS Master ECU</v>
      </c>
      <c r="B423">
        <v>8413246</v>
      </c>
      <c r="D423">
        <v>8413088</v>
      </c>
      <c r="F423">
        <v>1</v>
      </c>
      <c r="G423">
        <v>0</v>
      </c>
      <c r="H423">
        <v>60.007899999999999</v>
      </c>
      <c r="I423">
        <v>0.30154723618090451</v>
      </c>
      <c r="J423" t="s">
        <v>176</v>
      </c>
      <c r="K423">
        <v>2.1002765000000001</v>
      </c>
      <c r="L423">
        <v>62.409723736180908</v>
      </c>
      <c r="M423">
        <v>0</v>
      </c>
      <c r="N423">
        <v>3.0779999999999998</v>
      </c>
      <c r="O423">
        <v>65.487723736180911</v>
      </c>
      <c r="P423" t="s">
        <v>177</v>
      </c>
      <c r="Q423">
        <v>3.7445834241708544</v>
      </c>
      <c r="R423" t="s">
        <v>177</v>
      </c>
      <c r="S423">
        <v>0.18468000000000001</v>
      </c>
      <c r="T423" t="s">
        <v>178</v>
      </c>
      <c r="U423">
        <v>7.8585268483417083</v>
      </c>
      <c r="V423" t="s">
        <v>90</v>
      </c>
      <c r="W423">
        <v>0</v>
      </c>
      <c r="X423" t="s">
        <v>90</v>
      </c>
      <c r="Y423">
        <v>0</v>
      </c>
      <c r="Z423">
        <v>77.275514008693463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308</v>
      </c>
      <c r="AI423">
        <v>93</v>
      </c>
      <c r="AJ423">
        <v>30</v>
      </c>
      <c r="AL423">
        <v>0.23599999999999999</v>
      </c>
      <c r="AN423" t="s">
        <v>3048</v>
      </c>
      <c r="AO423" t="s">
        <v>73</v>
      </c>
      <c r="AP423">
        <v>200000</v>
      </c>
      <c r="AQ423" t="s">
        <v>97</v>
      </c>
      <c r="AS423">
        <v>10000</v>
      </c>
      <c r="AT423" t="s">
        <v>3049</v>
      </c>
      <c r="AU423" t="s">
        <v>75</v>
      </c>
      <c r="AV423" t="s">
        <v>76</v>
      </c>
    </row>
    <row r="424" spans="1:50" x14ac:dyDescent="0.15">
      <c r="A424" s="4" t="str">
        <f>HYPERLINK("https://ibp.a2mac1.com/costing(costing:projects/details/9760/assembly/8413247)","Slave BMS ECU")</f>
        <v>Slave BMS ECU</v>
      </c>
      <c r="B424">
        <v>8413247</v>
      </c>
      <c r="D424">
        <v>8413088</v>
      </c>
      <c r="F424">
        <v>1</v>
      </c>
      <c r="G424">
        <v>0</v>
      </c>
      <c r="H424">
        <v>33.356499999999997</v>
      </c>
      <c r="I424">
        <v>0.16762060301507536</v>
      </c>
      <c r="J424" t="s">
        <v>176</v>
      </c>
      <c r="K424">
        <v>1.1674774999999999</v>
      </c>
      <c r="L424">
        <v>34.691598103015075</v>
      </c>
      <c r="M424">
        <v>0</v>
      </c>
      <c r="N424">
        <v>2.25</v>
      </c>
      <c r="O424">
        <v>36.941598103015075</v>
      </c>
      <c r="P424" t="s">
        <v>177</v>
      </c>
      <c r="Q424">
        <v>2.0814958861809045</v>
      </c>
      <c r="R424" t="s">
        <v>177</v>
      </c>
      <c r="S424">
        <v>0.13500000000000001</v>
      </c>
      <c r="T424" t="s">
        <v>178</v>
      </c>
      <c r="U424">
        <v>4.4329917723618086</v>
      </c>
      <c r="V424" t="s">
        <v>90</v>
      </c>
      <c r="W424">
        <v>0</v>
      </c>
      <c r="X424" t="s">
        <v>90</v>
      </c>
      <c r="Y424">
        <v>0</v>
      </c>
      <c r="Z424">
        <v>43.591085761557792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280</v>
      </c>
      <c r="AI424">
        <v>91</v>
      </c>
      <c r="AJ424">
        <v>29</v>
      </c>
      <c r="AL424">
        <v>0.17799999999999999</v>
      </c>
      <c r="AN424" t="s">
        <v>3048</v>
      </c>
      <c r="AO424" t="s">
        <v>73</v>
      </c>
      <c r="AP424">
        <v>200000</v>
      </c>
      <c r="AQ424" t="s">
        <v>97</v>
      </c>
      <c r="AS424">
        <v>10000</v>
      </c>
      <c r="AT424" t="s">
        <v>3051</v>
      </c>
      <c r="AU424" t="s">
        <v>75</v>
      </c>
      <c r="AV424" t="s">
        <v>76</v>
      </c>
    </row>
    <row r="425" spans="1:50" x14ac:dyDescent="0.15">
      <c r="A425" s="4" t="str">
        <f>HYPERLINK("https://ibp.a2mac1.com/costing(costing:projects/details/9760/assembly/8413248)","HV Bus Bars")</f>
        <v>HV Bus Bars</v>
      </c>
      <c r="B425">
        <v>8413248</v>
      </c>
      <c r="D425">
        <v>8413088</v>
      </c>
      <c r="F425">
        <v>1</v>
      </c>
      <c r="G425">
        <v>0</v>
      </c>
      <c r="H425">
        <v>47.743005486471674</v>
      </c>
      <c r="I425">
        <v>0</v>
      </c>
      <c r="J425" t="s">
        <v>90</v>
      </c>
      <c r="K425">
        <v>0</v>
      </c>
      <c r="L425">
        <v>47.743005486471674</v>
      </c>
      <c r="M425">
        <v>0</v>
      </c>
      <c r="N425">
        <v>0</v>
      </c>
      <c r="O425">
        <v>47.743005486471674</v>
      </c>
      <c r="P425" t="s">
        <v>90</v>
      </c>
      <c r="Q425">
        <v>0</v>
      </c>
      <c r="R425" t="s">
        <v>90</v>
      </c>
      <c r="S425">
        <v>0</v>
      </c>
      <c r="T425" t="s">
        <v>90</v>
      </c>
      <c r="U425">
        <v>0</v>
      </c>
      <c r="V425" t="s">
        <v>90</v>
      </c>
      <c r="W425">
        <v>0</v>
      </c>
      <c r="X425" t="s">
        <v>90</v>
      </c>
      <c r="Y425">
        <v>0</v>
      </c>
      <c r="Z425">
        <v>47.743005486471674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L425">
        <v>2.7480000000000002</v>
      </c>
      <c r="AN425" t="s">
        <v>72</v>
      </c>
      <c r="AO425" t="s">
        <v>73</v>
      </c>
      <c r="AP425">
        <v>200000</v>
      </c>
      <c r="AQ425" t="s">
        <v>73</v>
      </c>
      <c r="AS425">
        <v>10000</v>
      </c>
      <c r="AT425" t="s">
        <v>3069</v>
      </c>
      <c r="AU425" t="s">
        <v>75</v>
      </c>
      <c r="AV425" t="s">
        <v>76</v>
      </c>
    </row>
    <row r="426" spans="1:50" x14ac:dyDescent="0.15">
      <c r="A426" s="4" t="str">
        <f>HYPERLINK("https://ibp.a2mac1.com/costing(costing:projects/details/9760/assembly/8413249)","Pressure Sensor")</f>
        <v>Pressure Sensor</v>
      </c>
      <c r="B426">
        <v>8413249</v>
      </c>
      <c r="D426">
        <v>8413088</v>
      </c>
      <c r="F426">
        <v>1</v>
      </c>
      <c r="G426">
        <v>0</v>
      </c>
      <c r="H426">
        <v>9.6759000000000004</v>
      </c>
      <c r="I426">
        <v>0</v>
      </c>
      <c r="J426" t="s">
        <v>71</v>
      </c>
      <c r="K426">
        <v>0</v>
      </c>
      <c r="L426">
        <v>9.6759000000000004</v>
      </c>
      <c r="M426">
        <v>0</v>
      </c>
      <c r="N426">
        <v>0</v>
      </c>
      <c r="O426">
        <v>9.6759000000000004</v>
      </c>
      <c r="P426" t="s">
        <v>71</v>
      </c>
      <c r="Q426">
        <v>0</v>
      </c>
      <c r="R426" t="s">
        <v>71</v>
      </c>
      <c r="S426">
        <v>0</v>
      </c>
      <c r="T426" t="s">
        <v>71</v>
      </c>
      <c r="U426">
        <v>0</v>
      </c>
      <c r="V426" t="s">
        <v>71</v>
      </c>
      <c r="W426">
        <v>0</v>
      </c>
      <c r="X426" t="s">
        <v>71</v>
      </c>
      <c r="Y426">
        <v>0</v>
      </c>
      <c r="Z426">
        <v>9.6759000000000004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63</v>
      </c>
      <c r="AI426">
        <v>61</v>
      </c>
      <c r="AJ426">
        <v>18</v>
      </c>
      <c r="AL426">
        <v>0.02</v>
      </c>
      <c r="AN426" t="s">
        <v>1015</v>
      </c>
      <c r="AO426" t="s">
        <v>73</v>
      </c>
      <c r="AP426">
        <v>200000</v>
      </c>
      <c r="AQ426" t="s">
        <v>97</v>
      </c>
      <c r="AS426">
        <v>10000</v>
      </c>
      <c r="AT426" t="s">
        <v>3070</v>
      </c>
      <c r="AU426" t="s">
        <v>75</v>
      </c>
      <c r="AV426" t="s">
        <v>76</v>
      </c>
      <c r="AX426">
        <v>9.6759000000000004</v>
      </c>
    </row>
    <row r="427" spans="1:50" x14ac:dyDescent="0.15">
      <c r="A427" s="4" t="str">
        <f>HYPERLINK("https://ibp.a2mac1.com/costing(costing:projects/details/9760/assembly/8413250)","Wire Harnesses")</f>
        <v>Wire Harnesses</v>
      </c>
      <c r="B427">
        <v>8413250</v>
      </c>
      <c r="D427">
        <v>8413088</v>
      </c>
      <c r="F427">
        <v>1</v>
      </c>
      <c r="G427">
        <v>0</v>
      </c>
      <c r="H427">
        <v>25.8066</v>
      </c>
      <c r="I427">
        <v>0</v>
      </c>
      <c r="J427" t="s">
        <v>90</v>
      </c>
      <c r="K427">
        <v>0</v>
      </c>
      <c r="L427">
        <v>25.8066</v>
      </c>
      <c r="M427">
        <v>0</v>
      </c>
      <c r="N427">
        <v>0</v>
      </c>
      <c r="O427">
        <v>25.8066</v>
      </c>
      <c r="P427" t="s">
        <v>90</v>
      </c>
      <c r="Q427">
        <v>0</v>
      </c>
      <c r="R427" t="s">
        <v>90</v>
      </c>
      <c r="S427">
        <v>0</v>
      </c>
      <c r="T427" t="s">
        <v>90</v>
      </c>
      <c r="U427">
        <v>0</v>
      </c>
      <c r="V427" t="s">
        <v>90</v>
      </c>
      <c r="W427">
        <v>0</v>
      </c>
      <c r="X427" t="s">
        <v>90</v>
      </c>
      <c r="Y427">
        <v>0</v>
      </c>
      <c r="Z427">
        <v>25.8066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L427">
        <v>0.67900000000000005</v>
      </c>
      <c r="AN427" t="s">
        <v>72</v>
      </c>
      <c r="AO427" t="s">
        <v>73</v>
      </c>
      <c r="AP427">
        <v>200000</v>
      </c>
      <c r="AQ427" t="s">
        <v>97</v>
      </c>
      <c r="AS427">
        <v>10000</v>
      </c>
      <c r="AT427" t="s">
        <v>3084</v>
      </c>
      <c r="AU427" t="s">
        <v>75</v>
      </c>
      <c r="AV427" t="s">
        <v>76</v>
      </c>
    </row>
    <row r="428" spans="1:50" x14ac:dyDescent="0.15">
      <c r="A428" s="4" t="str">
        <f>HYPERLINK("https://ibp.a2mac1.com/costing(costing:projects/details/9760/assembly/8413458)","Bus Bars")</f>
        <v>Bus Bars</v>
      </c>
      <c r="B428">
        <v>8413458</v>
      </c>
      <c r="D428">
        <v>8413251</v>
      </c>
      <c r="F428">
        <v>1</v>
      </c>
      <c r="G428">
        <v>0</v>
      </c>
      <c r="H428">
        <v>40.866999999999997</v>
      </c>
      <c r="I428">
        <v>0</v>
      </c>
      <c r="J428" t="s">
        <v>90</v>
      </c>
      <c r="K428">
        <v>0</v>
      </c>
      <c r="L428">
        <v>40.866999999999997</v>
      </c>
      <c r="M428">
        <v>0</v>
      </c>
      <c r="N428">
        <v>0</v>
      </c>
      <c r="O428">
        <v>40.866999999999997</v>
      </c>
      <c r="P428" t="s">
        <v>90</v>
      </c>
      <c r="Q428">
        <v>0</v>
      </c>
      <c r="R428" t="s">
        <v>90</v>
      </c>
      <c r="S428">
        <v>0</v>
      </c>
      <c r="T428" t="s">
        <v>90</v>
      </c>
      <c r="U428">
        <v>0</v>
      </c>
      <c r="V428" t="s">
        <v>90</v>
      </c>
      <c r="W428">
        <v>0</v>
      </c>
      <c r="X428" t="s">
        <v>90</v>
      </c>
      <c r="Y428">
        <v>0</v>
      </c>
      <c r="Z428">
        <v>40.866999999999997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L428">
        <v>3.008</v>
      </c>
      <c r="AN428" t="s">
        <v>72</v>
      </c>
      <c r="AO428" t="s">
        <v>73</v>
      </c>
      <c r="AP428">
        <v>200000</v>
      </c>
      <c r="AQ428" t="s">
        <v>73</v>
      </c>
      <c r="AS428">
        <v>10000</v>
      </c>
      <c r="AT428" t="s">
        <v>3106</v>
      </c>
      <c r="AU428" t="s">
        <v>75</v>
      </c>
      <c r="AV428" t="s">
        <v>76</v>
      </c>
    </row>
    <row r="429" spans="1:50" x14ac:dyDescent="0.15">
      <c r="A429" s="4" t="str">
        <f>HYPERLINK("https://ibp.a2mac1.com/costing(costing:projects/details/9760/assembly/8413459)","Wire Harnesses")</f>
        <v>Wire Harnesses</v>
      </c>
      <c r="B429">
        <v>8413459</v>
      </c>
      <c r="D429">
        <v>8413251</v>
      </c>
      <c r="F429">
        <v>1</v>
      </c>
      <c r="G429">
        <v>0</v>
      </c>
      <c r="H429">
        <v>9.5359999999999996</v>
      </c>
      <c r="I429">
        <v>0</v>
      </c>
      <c r="J429" t="s">
        <v>90</v>
      </c>
      <c r="K429">
        <v>0</v>
      </c>
      <c r="L429">
        <v>9.5359999999999996</v>
      </c>
      <c r="M429">
        <v>0</v>
      </c>
      <c r="N429">
        <v>0</v>
      </c>
      <c r="O429">
        <v>9.5359999999999996</v>
      </c>
      <c r="P429" t="s">
        <v>90</v>
      </c>
      <c r="Q429">
        <v>0</v>
      </c>
      <c r="R429" t="s">
        <v>90</v>
      </c>
      <c r="S429">
        <v>0</v>
      </c>
      <c r="T429" t="s">
        <v>90</v>
      </c>
      <c r="U429">
        <v>0</v>
      </c>
      <c r="V429" t="s">
        <v>90</v>
      </c>
      <c r="W429">
        <v>0</v>
      </c>
      <c r="X429" t="s">
        <v>90</v>
      </c>
      <c r="Y429">
        <v>0</v>
      </c>
      <c r="Z429">
        <v>9.5359999999999996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L429">
        <v>0.26400000000000001</v>
      </c>
      <c r="AN429" t="s">
        <v>72</v>
      </c>
      <c r="AO429" t="s">
        <v>73</v>
      </c>
      <c r="AP429">
        <v>200000</v>
      </c>
      <c r="AQ429" t="s">
        <v>73</v>
      </c>
      <c r="AS429">
        <v>10000</v>
      </c>
      <c r="AT429" t="s">
        <v>3114</v>
      </c>
      <c r="AU429" t="s">
        <v>75</v>
      </c>
      <c r="AV429" t="s">
        <v>76</v>
      </c>
    </row>
    <row r="430" spans="1:50" x14ac:dyDescent="0.15">
      <c r="A430" s="4" t="str">
        <f>HYPERLINK("https://ibp.a2mac1.com/costing(costing:projects/details/9760/assembly/8413572)","PCB 1")</f>
        <v>PCB 1</v>
      </c>
      <c r="B430">
        <v>8413572</v>
      </c>
      <c r="D430">
        <v>8413460</v>
      </c>
      <c r="E430" t="s">
        <v>284</v>
      </c>
      <c r="F430">
        <v>1</v>
      </c>
      <c r="G430">
        <v>0</v>
      </c>
      <c r="H430">
        <v>4.5</v>
      </c>
      <c r="I430">
        <v>0</v>
      </c>
      <c r="J430" t="s">
        <v>71</v>
      </c>
      <c r="K430">
        <v>0</v>
      </c>
      <c r="L430">
        <v>4.5</v>
      </c>
      <c r="M430">
        <v>0</v>
      </c>
      <c r="N430">
        <v>0</v>
      </c>
      <c r="O430">
        <v>4.5</v>
      </c>
      <c r="P430" t="s">
        <v>71</v>
      </c>
      <c r="Q430">
        <v>0</v>
      </c>
      <c r="R430" t="s">
        <v>71</v>
      </c>
      <c r="S430">
        <v>0</v>
      </c>
      <c r="T430" t="s">
        <v>71</v>
      </c>
      <c r="U430">
        <v>0</v>
      </c>
      <c r="V430" t="s">
        <v>71</v>
      </c>
      <c r="W430">
        <v>0</v>
      </c>
      <c r="X430" t="s">
        <v>71</v>
      </c>
      <c r="Y430">
        <v>0</v>
      </c>
      <c r="Z430">
        <v>4.5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84</v>
      </c>
      <c r="AI430">
        <v>36</v>
      </c>
      <c r="AJ430">
        <v>12</v>
      </c>
      <c r="AK430">
        <v>1.58</v>
      </c>
      <c r="AL430">
        <v>0</v>
      </c>
      <c r="AN430" t="s">
        <v>3116</v>
      </c>
      <c r="AO430" t="s">
        <v>73</v>
      </c>
      <c r="AP430">
        <v>200000</v>
      </c>
      <c r="AQ430" t="s">
        <v>73</v>
      </c>
      <c r="AS430">
        <v>10000</v>
      </c>
      <c r="AT430" t="s">
        <v>3117</v>
      </c>
      <c r="AU430" t="s">
        <v>75</v>
      </c>
      <c r="AV430" t="s">
        <v>76</v>
      </c>
      <c r="AX430">
        <v>4.5</v>
      </c>
    </row>
    <row r="431" spans="1:50" x14ac:dyDescent="0.15">
      <c r="A431" s="4" t="str">
        <f>HYPERLINK("https://ibp.a2mac1.com/costing(costing:projects/details/9760/assembly/8413614)","Connector")</f>
        <v>Connector</v>
      </c>
      <c r="B431">
        <v>8413614</v>
      </c>
      <c r="D431">
        <v>8413572</v>
      </c>
      <c r="E431" t="s">
        <v>284</v>
      </c>
      <c r="F431">
        <v>1</v>
      </c>
      <c r="G431">
        <v>0</v>
      </c>
      <c r="H431">
        <v>0.12740000000000001</v>
      </c>
      <c r="I431">
        <v>0</v>
      </c>
      <c r="J431" t="s">
        <v>90</v>
      </c>
      <c r="K431">
        <v>0</v>
      </c>
      <c r="L431">
        <v>0.12740000000000001</v>
      </c>
      <c r="M431">
        <v>0</v>
      </c>
      <c r="N431">
        <v>0</v>
      </c>
      <c r="O431">
        <v>0.12740000000000001</v>
      </c>
      <c r="P431" t="s">
        <v>90</v>
      </c>
      <c r="Q431">
        <v>0</v>
      </c>
      <c r="R431" t="s">
        <v>90</v>
      </c>
      <c r="S431">
        <v>0</v>
      </c>
      <c r="T431" t="s">
        <v>90</v>
      </c>
      <c r="U431">
        <v>0</v>
      </c>
      <c r="V431" t="s">
        <v>90</v>
      </c>
      <c r="W431">
        <v>0</v>
      </c>
      <c r="X431" t="s">
        <v>90</v>
      </c>
      <c r="Y431">
        <v>0</v>
      </c>
      <c r="Z431">
        <v>0.12740000000000001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L431">
        <v>0</v>
      </c>
      <c r="AN431" t="s">
        <v>1015</v>
      </c>
      <c r="AO431" t="s">
        <v>73</v>
      </c>
      <c r="AP431">
        <v>200000</v>
      </c>
      <c r="AQ431" t="s">
        <v>97</v>
      </c>
      <c r="AS431">
        <v>10000</v>
      </c>
      <c r="AT431" t="s">
        <v>3120</v>
      </c>
      <c r="AU431" t="s">
        <v>75</v>
      </c>
      <c r="AV431" t="s">
        <v>76</v>
      </c>
    </row>
    <row r="432" spans="1:50" x14ac:dyDescent="0.15">
      <c r="A432" s="4" t="str">
        <f>HYPERLINK("https://ibp.a2mac1.com/costing(costing:projects/details/9760/assembly/8413615)","Resistor")</f>
        <v>Resistor</v>
      </c>
      <c r="B432">
        <v>8413615</v>
      </c>
      <c r="D432">
        <v>8413572</v>
      </c>
      <c r="E432" t="s">
        <v>284</v>
      </c>
      <c r="F432">
        <v>1</v>
      </c>
      <c r="G432">
        <v>0</v>
      </c>
      <c r="H432">
        <v>3.7972999999999999</v>
      </c>
      <c r="I432">
        <v>0</v>
      </c>
      <c r="J432" t="s">
        <v>90</v>
      </c>
      <c r="K432">
        <v>0</v>
      </c>
      <c r="L432">
        <v>3.7972999999999999</v>
      </c>
      <c r="M432">
        <v>0</v>
      </c>
      <c r="N432">
        <v>0</v>
      </c>
      <c r="O432">
        <v>3.7972999999999999</v>
      </c>
      <c r="P432" t="s">
        <v>90</v>
      </c>
      <c r="Q432">
        <v>0</v>
      </c>
      <c r="R432" t="s">
        <v>90</v>
      </c>
      <c r="S432">
        <v>0</v>
      </c>
      <c r="T432" t="s">
        <v>90</v>
      </c>
      <c r="U432">
        <v>0</v>
      </c>
      <c r="V432" t="s">
        <v>90</v>
      </c>
      <c r="W432">
        <v>0</v>
      </c>
      <c r="X432" t="s">
        <v>90</v>
      </c>
      <c r="Y432">
        <v>0</v>
      </c>
      <c r="Z432">
        <v>3.7972999999999999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L432">
        <v>0</v>
      </c>
      <c r="AN432" t="s">
        <v>1015</v>
      </c>
      <c r="AO432" t="s">
        <v>73</v>
      </c>
      <c r="AP432">
        <v>200000</v>
      </c>
      <c r="AQ432" t="s">
        <v>97</v>
      </c>
      <c r="AS432">
        <v>10000</v>
      </c>
      <c r="AT432" t="s">
        <v>3122</v>
      </c>
      <c r="AU432" t="s">
        <v>75</v>
      </c>
      <c r="AV432" t="s">
        <v>76</v>
      </c>
    </row>
    <row r="433" spans="1:48" x14ac:dyDescent="0.15">
      <c r="A433" s="4" t="str">
        <f>HYPERLINK("https://ibp.a2mac1.com/costing(costing:projects/details/9760/assembly/8413460)","Current Sensor")</f>
        <v>Current Sensor</v>
      </c>
      <c r="B433">
        <v>8413460</v>
      </c>
      <c r="D433">
        <v>8413251</v>
      </c>
      <c r="F433">
        <v>1</v>
      </c>
      <c r="G433">
        <v>0</v>
      </c>
      <c r="H433">
        <v>4.5</v>
      </c>
      <c r="I433">
        <v>0</v>
      </c>
      <c r="J433" t="s">
        <v>90</v>
      </c>
      <c r="K433">
        <v>0</v>
      </c>
      <c r="L433">
        <v>4.5</v>
      </c>
      <c r="M433">
        <v>0</v>
      </c>
      <c r="N433">
        <v>0</v>
      </c>
      <c r="O433">
        <v>4.5</v>
      </c>
      <c r="P433" t="s">
        <v>90</v>
      </c>
      <c r="Q433">
        <v>0</v>
      </c>
      <c r="R433" t="s">
        <v>90</v>
      </c>
      <c r="S433">
        <v>0</v>
      </c>
      <c r="T433" t="s">
        <v>90</v>
      </c>
      <c r="U433">
        <v>0</v>
      </c>
      <c r="V433" t="s">
        <v>90</v>
      </c>
      <c r="W433">
        <v>0</v>
      </c>
      <c r="X433" t="s">
        <v>90</v>
      </c>
      <c r="Y433">
        <v>0</v>
      </c>
      <c r="Z433">
        <v>4.5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N433" t="s">
        <v>1015</v>
      </c>
      <c r="AO433" t="s">
        <v>73</v>
      </c>
      <c r="AP433">
        <v>200000</v>
      </c>
      <c r="AQ433" t="s">
        <v>73</v>
      </c>
      <c r="AR433">
        <v>0</v>
      </c>
      <c r="AS433">
        <v>10000</v>
      </c>
      <c r="AT433" t="s">
        <v>9</v>
      </c>
      <c r="AU433" t="s">
        <v>75</v>
      </c>
      <c r="AV433" t="s">
        <v>76</v>
      </c>
    </row>
    <row r="434" spans="1:48" x14ac:dyDescent="0.15">
      <c r="A434" s="4" t="str">
        <f>HYPERLINK("https://ibp.a2mac1.com/costing(costing:projects/details/9760/assembly/8413461)","P.S.S Switch")</f>
        <v>P.S.S Switch</v>
      </c>
      <c r="B434">
        <v>8413461</v>
      </c>
      <c r="D434">
        <v>8413251</v>
      </c>
      <c r="F434">
        <v>1</v>
      </c>
      <c r="G434">
        <v>0</v>
      </c>
      <c r="H434">
        <v>9.3829999999999991</v>
      </c>
      <c r="I434">
        <v>0</v>
      </c>
      <c r="J434" t="s">
        <v>90</v>
      </c>
      <c r="K434">
        <v>0</v>
      </c>
      <c r="L434">
        <v>9.3829999999999991</v>
      </c>
      <c r="M434">
        <v>0</v>
      </c>
      <c r="N434">
        <v>0</v>
      </c>
      <c r="O434">
        <v>9.3829999999999991</v>
      </c>
      <c r="P434" t="s">
        <v>90</v>
      </c>
      <c r="Q434">
        <v>0</v>
      </c>
      <c r="R434" t="s">
        <v>90</v>
      </c>
      <c r="S434">
        <v>0</v>
      </c>
      <c r="T434" t="s">
        <v>90</v>
      </c>
      <c r="U434">
        <v>0</v>
      </c>
      <c r="V434" t="s">
        <v>90</v>
      </c>
      <c r="W434">
        <v>0</v>
      </c>
      <c r="X434" t="s">
        <v>90</v>
      </c>
      <c r="Y434">
        <v>0</v>
      </c>
      <c r="Z434">
        <v>9.3829999999999991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100</v>
      </c>
      <c r="AI434">
        <v>78</v>
      </c>
      <c r="AJ434">
        <v>54</v>
      </c>
      <c r="AL434">
        <v>0.34899999999999998</v>
      </c>
      <c r="AN434" t="s">
        <v>1015</v>
      </c>
      <c r="AO434" t="s">
        <v>73</v>
      </c>
      <c r="AP434">
        <v>200000</v>
      </c>
      <c r="AQ434" t="s">
        <v>73</v>
      </c>
      <c r="AS434">
        <v>10000</v>
      </c>
      <c r="AT434" t="s">
        <v>3130</v>
      </c>
      <c r="AU434" t="s">
        <v>75</v>
      </c>
      <c r="AV434" t="s">
        <v>76</v>
      </c>
    </row>
    <row r="435" spans="1:48" x14ac:dyDescent="0.15">
      <c r="A435" s="4" t="str">
        <f>HYPERLINK("https://ibp.a2mac1.com/costing(costing:projects/details/9760/assembly/8413462)","Terminal Lids")</f>
        <v>Terminal Lids</v>
      </c>
      <c r="B435">
        <v>8413462</v>
      </c>
      <c r="D435">
        <v>8413251</v>
      </c>
      <c r="F435">
        <v>1</v>
      </c>
      <c r="G435">
        <v>0</v>
      </c>
      <c r="H435">
        <v>0.34100000000000003</v>
      </c>
      <c r="I435">
        <v>1.7135678391959799E-3</v>
      </c>
      <c r="J435" t="s">
        <v>176</v>
      </c>
      <c r="K435">
        <v>1.1934999999999999E-2</v>
      </c>
      <c r="L435">
        <v>0.35464856783919596</v>
      </c>
      <c r="M435">
        <v>0</v>
      </c>
      <c r="N435">
        <v>0</v>
      </c>
      <c r="O435">
        <v>0.35464856783919596</v>
      </c>
      <c r="P435" t="s">
        <v>177</v>
      </c>
      <c r="Q435">
        <v>2.1278914070351759E-2</v>
      </c>
      <c r="R435" t="s">
        <v>177</v>
      </c>
      <c r="S435">
        <v>0</v>
      </c>
      <c r="T435" t="s">
        <v>178</v>
      </c>
      <c r="U435">
        <v>4.2557828140703517E-2</v>
      </c>
      <c r="V435" t="s">
        <v>90</v>
      </c>
      <c r="W435">
        <v>0</v>
      </c>
      <c r="X435" t="s">
        <v>90</v>
      </c>
      <c r="Y435">
        <v>0</v>
      </c>
      <c r="Z435">
        <v>0.41848531005025125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L435">
        <v>0.03</v>
      </c>
      <c r="AN435" t="s">
        <v>2791</v>
      </c>
      <c r="AO435" t="s">
        <v>73</v>
      </c>
      <c r="AP435">
        <v>200000</v>
      </c>
      <c r="AQ435" t="s">
        <v>97</v>
      </c>
      <c r="AS435">
        <v>10000</v>
      </c>
      <c r="AT435" t="s">
        <v>3136</v>
      </c>
      <c r="AU435" t="s">
        <v>75</v>
      </c>
      <c r="AV435" t="s">
        <v>76</v>
      </c>
    </row>
    <row r="436" spans="1:48" x14ac:dyDescent="0.15">
      <c r="A436" s="4" t="str">
        <f>HYPERLINK("https://ibp.a2mac1.com/costing(costing:projects/details/9760/assembly/8413251)","Relay Box")</f>
        <v>Relay Box</v>
      </c>
      <c r="B436">
        <v>8413251</v>
      </c>
      <c r="D436">
        <v>8413088</v>
      </c>
      <c r="F436">
        <v>1</v>
      </c>
      <c r="G436">
        <v>0</v>
      </c>
      <c r="H436">
        <v>168.75387176434364</v>
      </c>
      <c r="I436">
        <v>0.84800940585097306</v>
      </c>
      <c r="J436" t="s">
        <v>176</v>
      </c>
      <c r="K436">
        <v>5.9063855117520276</v>
      </c>
      <c r="L436">
        <v>175.50826668194665</v>
      </c>
      <c r="M436">
        <v>0</v>
      </c>
      <c r="N436">
        <v>6.5559000000000003</v>
      </c>
      <c r="O436">
        <v>182.06416668194666</v>
      </c>
      <c r="P436" t="s">
        <v>177</v>
      </c>
      <c r="Q436">
        <v>10.530496000916798</v>
      </c>
      <c r="R436" t="s">
        <v>177</v>
      </c>
      <c r="S436">
        <v>0.39335399999999998</v>
      </c>
      <c r="T436" t="s">
        <v>178</v>
      </c>
      <c r="U436">
        <v>21.847700001833598</v>
      </c>
      <c r="V436" t="s">
        <v>90</v>
      </c>
      <c r="W436">
        <v>0</v>
      </c>
      <c r="X436" t="s">
        <v>90</v>
      </c>
      <c r="Y436">
        <v>0</v>
      </c>
      <c r="Z436">
        <v>214.83571668469705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N436" t="s">
        <v>3155</v>
      </c>
      <c r="AO436" t="s">
        <v>73</v>
      </c>
      <c r="AP436">
        <v>200000</v>
      </c>
      <c r="AQ436" t="s">
        <v>97</v>
      </c>
      <c r="AR436">
        <v>0</v>
      </c>
      <c r="AS436">
        <v>10000</v>
      </c>
      <c r="AT436" t="s">
        <v>9</v>
      </c>
      <c r="AU436" t="s">
        <v>75</v>
      </c>
      <c r="AV436" t="s">
        <v>76</v>
      </c>
    </row>
    <row r="437" spans="1:48" x14ac:dyDescent="0.15">
      <c r="A437" s="4" t="str">
        <f>HYPERLINK("https://ibp.a2mac1.com/costing(costing:projects/details/9760/assembly/8413252)","Slave BMS ECU 2 Assembly")</f>
        <v>Slave BMS ECU 2 Assembly</v>
      </c>
      <c r="B437">
        <v>8413252</v>
      </c>
      <c r="D437">
        <v>8413088</v>
      </c>
      <c r="F437">
        <v>2</v>
      </c>
      <c r="G437">
        <v>0</v>
      </c>
      <c r="H437">
        <v>66.712999999999994</v>
      </c>
      <c r="I437">
        <v>0.33524120603015073</v>
      </c>
      <c r="J437" t="s">
        <v>176</v>
      </c>
      <c r="K437">
        <v>2.3349549999999999</v>
      </c>
      <c r="L437">
        <v>69.383196206030149</v>
      </c>
      <c r="M437">
        <v>0</v>
      </c>
      <c r="N437">
        <v>4.5</v>
      </c>
      <c r="O437">
        <v>73.883196206030149</v>
      </c>
      <c r="P437" t="s">
        <v>177</v>
      </c>
      <c r="Q437">
        <v>4.1629917723618091</v>
      </c>
      <c r="R437" t="s">
        <v>177</v>
      </c>
      <c r="S437">
        <v>0.27</v>
      </c>
      <c r="T437" t="s">
        <v>178</v>
      </c>
      <c r="U437">
        <v>8.8659835447236173</v>
      </c>
      <c r="V437" t="s">
        <v>90</v>
      </c>
      <c r="W437">
        <v>0</v>
      </c>
      <c r="X437" t="s">
        <v>90</v>
      </c>
      <c r="Y437">
        <v>0</v>
      </c>
      <c r="Z437">
        <v>87.182171523115585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280</v>
      </c>
      <c r="AI437">
        <v>91</v>
      </c>
      <c r="AJ437">
        <v>29</v>
      </c>
      <c r="AL437">
        <v>0.17799999999999999</v>
      </c>
      <c r="AN437" t="s">
        <v>3048</v>
      </c>
      <c r="AO437" t="s">
        <v>73</v>
      </c>
      <c r="AP437">
        <v>400000</v>
      </c>
      <c r="AQ437" t="s">
        <v>97</v>
      </c>
      <c r="AS437">
        <v>20000</v>
      </c>
      <c r="AT437" t="s">
        <v>9</v>
      </c>
      <c r="AU437" t="s">
        <v>75</v>
      </c>
      <c r="AV437" t="s">
        <v>76</v>
      </c>
    </row>
    <row r="438" spans="1:48" x14ac:dyDescent="0.15">
      <c r="A438" s="4" t="str">
        <f>HYPERLINK("https://ibp.a2mac1.com/costing(costing:projects/details/9760/assembly/8413253)","Connectors")</f>
        <v>Connectors</v>
      </c>
      <c r="B438">
        <v>8413253</v>
      </c>
      <c r="D438">
        <v>8413088</v>
      </c>
      <c r="F438">
        <v>1</v>
      </c>
      <c r="G438">
        <v>0</v>
      </c>
      <c r="H438">
        <v>37.063000000000002</v>
      </c>
      <c r="I438">
        <v>0</v>
      </c>
      <c r="J438" t="s">
        <v>90</v>
      </c>
      <c r="K438">
        <v>0</v>
      </c>
      <c r="L438">
        <v>37.063000000000002</v>
      </c>
      <c r="M438">
        <v>0</v>
      </c>
      <c r="N438">
        <v>0</v>
      </c>
      <c r="O438">
        <v>37.063000000000002</v>
      </c>
      <c r="P438" t="s">
        <v>90</v>
      </c>
      <c r="Q438">
        <v>0</v>
      </c>
      <c r="R438" t="s">
        <v>90</v>
      </c>
      <c r="S438">
        <v>0</v>
      </c>
      <c r="T438" t="s">
        <v>90</v>
      </c>
      <c r="U438">
        <v>0</v>
      </c>
      <c r="V438" t="s">
        <v>90</v>
      </c>
      <c r="W438">
        <v>0</v>
      </c>
      <c r="X438" t="s">
        <v>90</v>
      </c>
      <c r="Y438">
        <v>0</v>
      </c>
      <c r="Z438">
        <v>37.063000000000002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N438" t="s">
        <v>1015</v>
      </c>
      <c r="AO438" t="s">
        <v>73</v>
      </c>
      <c r="AP438">
        <v>200000</v>
      </c>
      <c r="AQ438" t="s">
        <v>97</v>
      </c>
      <c r="AR438">
        <v>0</v>
      </c>
      <c r="AS438">
        <v>10000</v>
      </c>
      <c r="AT438" t="s">
        <v>9</v>
      </c>
      <c r="AU438" t="s">
        <v>75</v>
      </c>
      <c r="AV438" t="s">
        <v>76</v>
      </c>
    </row>
    <row r="439" spans="1:48" x14ac:dyDescent="0.15">
      <c r="A439" s="4" t="str">
        <f>HYPERLINK("https://ibp.a2mac1.com/costing(costing:projects/details/9760/assembly/8413088)","Electrical Components")</f>
        <v>Electrical Components</v>
      </c>
      <c r="B439">
        <v>8413088</v>
      </c>
      <c r="D439">
        <v>8412994</v>
      </c>
      <c r="F439">
        <v>1</v>
      </c>
      <c r="G439">
        <v>0</v>
      </c>
      <c r="H439">
        <v>543.17299346453558</v>
      </c>
      <c r="I439">
        <v>0</v>
      </c>
      <c r="J439" t="s">
        <v>90</v>
      </c>
      <c r="K439">
        <v>0</v>
      </c>
      <c r="L439">
        <v>543.17299346453558</v>
      </c>
      <c r="M439">
        <v>0</v>
      </c>
      <c r="N439">
        <v>0</v>
      </c>
      <c r="O439">
        <v>543.17299346453558</v>
      </c>
      <c r="P439" t="s">
        <v>90</v>
      </c>
      <c r="Q439">
        <v>0</v>
      </c>
      <c r="R439" t="s">
        <v>90</v>
      </c>
      <c r="S439">
        <v>0</v>
      </c>
      <c r="T439" t="s">
        <v>90</v>
      </c>
      <c r="U439">
        <v>0</v>
      </c>
      <c r="V439" t="s">
        <v>90</v>
      </c>
      <c r="W439">
        <v>0</v>
      </c>
      <c r="X439" t="s">
        <v>90</v>
      </c>
      <c r="Y439">
        <v>0</v>
      </c>
      <c r="Z439">
        <v>543.17299346453558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N439" t="s">
        <v>1015</v>
      </c>
      <c r="AO439" t="s">
        <v>73</v>
      </c>
      <c r="AP439">
        <v>200000</v>
      </c>
      <c r="AQ439" t="s">
        <v>73</v>
      </c>
      <c r="AR439">
        <v>0</v>
      </c>
      <c r="AS439">
        <v>10000</v>
      </c>
      <c r="AT439" t="s">
        <v>9</v>
      </c>
      <c r="AU439" t="s">
        <v>75</v>
      </c>
      <c r="AV439" t="s">
        <v>76</v>
      </c>
    </row>
    <row r="440" spans="1:48" x14ac:dyDescent="0.15">
      <c r="A440" s="4" t="str">
        <f>HYPERLINK("https://ibp.a2mac1.com/costing(costing:projects/details/9760/assembly/8412994)","Battery pack excluding cells")</f>
        <v>Battery pack excluding cells</v>
      </c>
      <c r="B440">
        <v>8412994</v>
      </c>
      <c r="D440">
        <v>8412888</v>
      </c>
      <c r="F440">
        <v>1</v>
      </c>
      <c r="G440">
        <v>0</v>
      </c>
      <c r="H440">
        <v>1944.1565115656042</v>
      </c>
      <c r="I440">
        <v>9.769630711384945</v>
      </c>
      <c r="J440" t="s">
        <v>176</v>
      </c>
      <c r="K440">
        <v>68.045477904796144</v>
      </c>
      <c r="L440">
        <v>2021.9716201817853</v>
      </c>
      <c r="M440">
        <v>0</v>
      </c>
      <c r="N440">
        <v>0</v>
      </c>
      <c r="O440">
        <v>2021.9716201817853</v>
      </c>
      <c r="P440" t="s">
        <v>90</v>
      </c>
      <c r="Q440">
        <v>0</v>
      </c>
      <c r="R440" t="s">
        <v>90</v>
      </c>
      <c r="S440">
        <v>0</v>
      </c>
      <c r="T440" t="s">
        <v>90</v>
      </c>
      <c r="U440">
        <v>0</v>
      </c>
      <c r="V440" t="s">
        <v>90</v>
      </c>
      <c r="W440">
        <v>0</v>
      </c>
      <c r="X440" t="s">
        <v>90</v>
      </c>
      <c r="Y440">
        <v>0</v>
      </c>
      <c r="Z440">
        <v>2021.9716201817853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N440" t="s">
        <v>3166</v>
      </c>
      <c r="AO440" t="s">
        <v>73</v>
      </c>
      <c r="AP440">
        <v>200000</v>
      </c>
      <c r="AQ440" t="s">
        <v>73</v>
      </c>
      <c r="AR440">
        <v>0</v>
      </c>
      <c r="AS440">
        <v>10000</v>
      </c>
      <c r="AT440" t="s">
        <v>9</v>
      </c>
      <c r="AU440" t="s">
        <v>75</v>
      </c>
      <c r="AV440" t="s">
        <v>76</v>
      </c>
    </row>
    <row r="441" spans="1:48" x14ac:dyDescent="0.15">
      <c r="A441" s="4" t="str">
        <f>HYPERLINK("https://ibp.a2mac1.com/costing(costing:projects/details/9760/assembly/8412888)","HV Battery Pack")</f>
        <v>HV Battery Pack</v>
      </c>
      <c r="B441">
        <v>8412888</v>
      </c>
      <c r="D441">
        <v>8412866</v>
      </c>
      <c r="F441">
        <v>1</v>
      </c>
      <c r="G441">
        <v>0</v>
      </c>
      <c r="H441">
        <v>11241.838919819977</v>
      </c>
      <c r="I441">
        <v>0</v>
      </c>
      <c r="J441" t="s">
        <v>90</v>
      </c>
      <c r="K441">
        <v>0</v>
      </c>
      <c r="L441">
        <v>11241.838919819977</v>
      </c>
      <c r="M441">
        <v>0</v>
      </c>
      <c r="N441">
        <v>129.34</v>
      </c>
      <c r="O441">
        <v>11371.178919819977</v>
      </c>
      <c r="P441" t="s">
        <v>90</v>
      </c>
      <c r="Q441">
        <v>0</v>
      </c>
      <c r="R441" t="s">
        <v>90</v>
      </c>
      <c r="S441">
        <v>0</v>
      </c>
      <c r="T441" t="s">
        <v>90</v>
      </c>
      <c r="U441">
        <v>0</v>
      </c>
      <c r="V441" t="s">
        <v>90</v>
      </c>
      <c r="W441">
        <v>0</v>
      </c>
      <c r="X441" t="s">
        <v>90</v>
      </c>
      <c r="Y441">
        <v>0</v>
      </c>
      <c r="Z441">
        <v>11371.178919819977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2284</v>
      </c>
      <c r="AI441">
        <v>1547</v>
      </c>
      <c r="AJ441">
        <v>318</v>
      </c>
      <c r="AK441">
        <v>0</v>
      </c>
      <c r="AL441">
        <v>651</v>
      </c>
      <c r="AN441" t="s">
        <v>3116</v>
      </c>
      <c r="AO441" t="s">
        <v>73</v>
      </c>
      <c r="AP441">
        <v>200000</v>
      </c>
      <c r="AQ441" t="s">
        <v>97</v>
      </c>
      <c r="AR441">
        <v>0</v>
      </c>
      <c r="AS441">
        <v>10000</v>
      </c>
      <c r="AT441" t="s">
        <v>3167</v>
      </c>
      <c r="AU441" t="s">
        <v>75</v>
      </c>
      <c r="AV441" t="s">
        <v>76</v>
      </c>
    </row>
    <row r="442" spans="1:48" x14ac:dyDescent="0.15">
      <c r="A442" s="4" t="str">
        <f>HYPERLINK("https://ibp.a2mac1.com/costing(costing:projects/details/9760/assembly/8412866)","Battery System")</f>
        <v>Battery System</v>
      </c>
      <c r="B442">
        <v>8412866</v>
      </c>
      <c r="D442">
        <v>8412864</v>
      </c>
      <c r="F442">
        <v>1</v>
      </c>
      <c r="G442">
        <v>0</v>
      </c>
      <c r="H442">
        <v>11803.156807326972</v>
      </c>
      <c r="I442">
        <v>0</v>
      </c>
      <c r="J442" t="s">
        <v>90</v>
      </c>
      <c r="K442">
        <v>0</v>
      </c>
      <c r="L442">
        <v>11803.156807326972</v>
      </c>
      <c r="M442">
        <v>0</v>
      </c>
      <c r="N442">
        <v>0</v>
      </c>
      <c r="O442">
        <v>11803.156807326972</v>
      </c>
      <c r="P442" t="s">
        <v>90</v>
      </c>
      <c r="Q442">
        <v>0</v>
      </c>
      <c r="R442" t="s">
        <v>90</v>
      </c>
      <c r="S442">
        <v>0</v>
      </c>
      <c r="T442" t="s">
        <v>90</v>
      </c>
      <c r="U442">
        <v>0</v>
      </c>
      <c r="V442" t="s">
        <v>90</v>
      </c>
      <c r="W442">
        <v>0</v>
      </c>
      <c r="X442" t="s">
        <v>90</v>
      </c>
      <c r="Y442">
        <v>0</v>
      </c>
      <c r="Z442">
        <v>11803.156807326972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L442">
        <v>656.89229999999998</v>
      </c>
      <c r="AN442" t="s">
        <v>185</v>
      </c>
      <c r="AO442" t="s">
        <v>73</v>
      </c>
      <c r="AP442">
        <v>200000</v>
      </c>
      <c r="AQ442" t="s">
        <v>97</v>
      </c>
      <c r="AS442">
        <v>10000</v>
      </c>
      <c r="AT442" t="s">
        <v>3178</v>
      </c>
      <c r="AU442" t="s">
        <v>75</v>
      </c>
      <c r="AV442" t="s">
        <v>76</v>
      </c>
    </row>
    <row r="443" spans="1:48" x14ac:dyDescent="0.15">
      <c r="A443" s="4" t="str">
        <f>HYPERLINK("https://ibp.a2mac1.com/costing(costing:projects/details/9760/assembly/8412890)","Cable Battery/Junction Box (1)")</f>
        <v>Cable Battery/Junction Box (1)</v>
      </c>
      <c r="B443">
        <v>8412890</v>
      </c>
      <c r="D443">
        <v>8412867</v>
      </c>
      <c r="E443" t="s">
        <v>3182</v>
      </c>
      <c r="F443">
        <v>1</v>
      </c>
      <c r="G443">
        <v>0</v>
      </c>
      <c r="H443">
        <v>56.278199999999998</v>
      </c>
      <c r="I443">
        <v>0.28280502512562816</v>
      </c>
      <c r="J443" t="s">
        <v>176</v>
      </c>
      <c r="K443">
        <v>1.9697370000000001</v>
      </c>
      <c r="L443">
        <v>58.530742025125626</v>
      </c>
      <c r="M443">
        <v>0</v>
      </c>
      <c r="N443">
        <v>2.2310450404953128</v>
      </c>
      <c r="O443">
        <v>60.761787065620943</v>
      </c>
      <c r="P443" t="s">
        <v>177</v>
      </c>
      <c r="Q443">
        <v>3.5118445215075376</v>
      </c>
      <c r="R443" t="s">
        <v>177</v>
      </c>
      <c r="S443">
        <v>0.13386270242971876</v>
      </c>
      <c r="T443" t="s">
        <v>178</v>
      </c>
      <c r="U443">
        <v>7.2914144478745131</v>
      </c>
      <c r="V443" t="s">
        <v>90</v>
      </c>
      <c r="W443">
        <v>0</v>
      </c>
      <c r="X443" t="s">
        <v>90</v>
      </c>
      <c r="Y443">
        <v>0</v>
      </c>
      <c r="Z443">
        <v>71.698908737432717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3.6469999999999998</v>
      </c>
      <c r="AN443" t="s">
        <v>95</v>
      </c>
      <c r="AO443" t="s">
        <v>73</v>
      </c>
      <c r="AP443">
        <v>200000</v>
      </c>
      <c r="AQ443" t="s">
        <v>97</v>
      </c>
      <c r="AS443">
        <v>10000</v>
      </c>
      <c r="AT443" t="s">
        <v>3183</v>
      </c>
      <c r="AU443" t="s">
        <v>75</v>
      </c>
      <c r="AV443" t="s">
        <v>76</v>
      </c>
    </row>
    <row r="444" spans="1:48" x14ac:dyDescent="0.15">
      <c r="A444" s="4" t="str">
        <f>HYPERLINK("https://ibp.a2mac1.com/costing(costing:projects/details/9760/assembly/8412891)","Auxiliary Heating Cable")</f>
        <v>Auxiliary Heating Cable</v>
      </c>
      <c r="B444">
        <v>8412891</v>
      </c>
      <c r="D444">
        <v>8412867</v>
      </c>
      <c r="E444" t="s">
        <v>3182</v>
      </c>
      <c r="F444">
        <v>1</v>
      </c>
      <c r="G444">
        <v>0</v>
      </c>
      <c r="H444">
        <v>34.393700000000003</v>
      </c>
      <c r="I444">
        <v>0.17283266331658292</v>
      </c>
      <c r="J444" t="s">
        <v>176</v>
      </c>
      <c r="K444">
        <v>1.2037795</v>
      </c>
      <c r="L444">
        <v>35.770312163316582</v>
      </c>
      <c r="M444">
        <v>0</v>
      </c>
      <c r="N444">
        <v>9.9661086375706134</v>
      </c>
      <c r="O444">
        <v>45.736420800887196</v>
      </c>
      <c r="P444" t="s">
        <v>177</v>
      </c>
      <c r="Q444">
        <v>2.1462187297989952</v>
      </c>
      <c r="R444" t="s">
        <v>177</v>
      </c>
      <c r="S444">
        <v>0.59796651825423686</v>
      </c>
      <c r="T444" t="s">
        <v>178</v>
      </c>
      <c r="U444">
        <v>5.4883704961064632</v>
      </c>
      <c r="V444" t="s">
        <v>90</v>
      </c>
      <c r="W444">
        <v>0</v>
      </c>
      <c r="X444" t="s">
        <v>90</v>
      </c>
      <c r="Y444">
        <v>0</v>
      </c>
      <c r="Z444">
        <v>53.968976545046893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1.5369999999999999</v>
      </c>
      <c r="AN444" t="s">
        <v>95</v>
      </c>
      <c r="AO444" t="s">
        <v>73</v>
      </c>
      <c r="AP444">
        <v>200000</v>
      </c>
      <c r="AQ444" t="s">
        <v>97</v>
      </c>
      <c r="AS444">
        <v>10000</v>
      </c>
      <c r="AT444" t="s">
        <v>3186</v>
      </c>
      <c r="AU444" t="s">
        <v>75</v>
      </c>
      <c r="AV444" t="s">
        <v>76</v>
      </c>
    </row>
    <row r="445" spans="1:48" x14ac:dyDescent="0.15">
      <c r="A445" s="4" t="str">
        <f>HYPERLINK("https://ibp.a2mac1.com/costing(costing:projects/details/9760/assembly/8412892)","Junction Box/ 2nd Power Inverter")</f>
        <v>Junction Box/ 2nd Power Inverter</v>
      </c>
      <c r="B445">
        <v>8412892</v>
      </c>
      <c r="D445">
        <v>8412867</v>
      </c>
      <c r="E445" t="s">
        <v>3182</v>
      </c>
      <c r="F445">
        <v>1</v>
      </c>
      <c r="G445">
        <v>0</v>
      </c>
      <c r="H445">
        <v>17.43618</v>
      </c>
      <c r="I445">
        <v>8.7618994974874367E-2</v>
      </c>
      <c r="J445" t="s">
        <v>176</v>
      </c>
      <c r="K445">
        <v>0.61026630000000004</v>
      </c>
      <c r="L445">
        <v>18.134065294974874</v>
      </c>
      <c r="M445">
        <v>0</v>
      </c>
      <c r="N445">
        <v>0.89972159497745063</v>
      </c>
      <c r="O445">
        <v>19.033786889952324</v>
      </c>
      <c r="P445" t="s">
        <v>177</v>
      </c>
      <c r="Q445">
        <v>1.0880439176984924</v>
      </c>
      <c r="R445" t="s">
        <v>177</v>
      </c>
      <c r="S445">
        <v>5.3983295698647037E-2</v>
      </c>
      <c r="T445" t="s">
        <v>178</v>
      </c>
      <c r="U445">
        <v>2.2840544267942788</v>
      </c>
      <c r="V445" t="s">
        <v>90</v>
      </c>
      <c r="W445">
        <v>0</v>
      </c>
      <c r="X445" t="s">
        <v>90</v>
      </c>
      <c r="Y445">
        <v>0</v>
      </c>
      <c r="Z445">
        <v>22.459868530143744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0.88100000000000001</v>
      </c>
      <c r="AN445" t="s">
        <v>95</v>
      </c>
      <c r="AO445" t="s">
        <v>73</v>
      </c>
      <c r="AP445">
        <v>200000</v>
      </c>
      <c r="AQ445" t="s">
        <v>97</v>
      </c>
      <c r="AS445">
        <v>10000</v>
      </c>
      <c r="AT445" t="s">
        <v>3189</v>
      </c>
      <c r="AU445" t="s">
        <v>75</v>
      </c>
      <c r="AV445" t="s">
        <v>76</v>
      </c>
    </row>
    <row r="446" spans="1:48" x14ac:dyDescent="0.15">
      <c r="A446" s="4" t="str">
        <f>HYPERLINK("https://ibp.a2mac1.com/costing(costing:projects/details/9760/assembly/8412893)","HV Battery /2nd Power Inverter Cable")</f>
        <v>HV Battery /2nd Power Inverter Cable</v>
      </c>
      <c r="B446">
        <v>8412893</v>
      </c>
      <c r="D446">
        <v>8412867</v>
      </c>
      <c r="E446" t="s">
        <v>3182</v>
      </c>
      <c r="F446">
        <v>1</v>
      </c>
      <c r="G446">
        <v>0</v>
      </c>
      <c r="H446">
        <v>22.570900000000002</v>
      </c>
      <c r="I446">
        <v>0.113421608040201</v>
      </c>
      <c r="J446" t="s">
        <v>176</v>
      </c>
      <c r="K446">
        <v>0.7899815</v>
      </c>
      <c r="L446">
        <v>23.4743031080402</v>
      </c>
      <c r="M446">
        <v>0</v>
      </c>
      <c r="N446">
        <v>1.2006047505176722</v>
      </c>
      <c r="O446">
        <v>24.674907858557873</v>
      </c>
      <c r="P446" t="s">
        <v>177</v>
      </c>
      <c r="Q446">
        <v>1.4084581864824122</v>
      </c>
      <c r="R446" t="s">
        <v>177</v>
      </c>
      <c r="S446">
        <v>7.2036285031060326E-2</v>
      </c>
      <c r="T446" t="s">
        <v>178</v>
      </c>
      <c r="U446">
        <v>2.9609889430269449</v>
      </c>
      <c r="V446" t="s">
        <v>90</v>
      </c>
      <c r="W446">
        <v>0</v>
      </c>
      <c r="X446" t="s">
        <v>90</v>
      </c>
      <c r="Y446">
        <v>0</v>
      </c>
      <c r="Z446">
        <v>29.116391273098291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1.409</v>
      </c>
      <c r="AN446" t="s">
        <v>95</v>
      </c>
      <c r="AO446" t="s">
        <v>73</v>
      </c>
      <c r="AP446">
        <v>200000</v>
      </c>
      <c r="AQ446" t="s">
        <v>97</v>
      </c>
      <c r="AS446">
        <v>10000</v>
      </c>
      <c r="AT446" t="s">
        <v>3192</v>
      </c>
      <c r="AU446" t="s">
        <v>75</v>
      </c>
      <c r="AV446" t="s">
        <v>76</v>
      </c>
    </row>
    <row r="447" spans="1:48" x14ac:dyDescent="0.15">
      <c r="A447" s="4" t="str">
        <f>HYPERLINK("https://ibp.a2mac1.com/costing(costing:projects/details/9760/assembly/8412894)","HV Battery / Power Inverter Cable")</f>
        <v>HV Battery / Power Inverter Cable</v>
      </c>
      <c r="B447">
        <v>8412894</v>
      </c>
      <c r="D447">
        <v>8412867</v>
      </c>
      <c r="E447" t="s">
        <v>3195</v>
      </c>
      <c r="F447">
        <v>1</v>
      </c>
      <c r="G447">
        <v>0</v>
      </c>
      <c r="H447">
        <v>31.78697</v>
      </c>
      <c r="I447">
        <v>0.15973351758793969</v>
      </c>
      <c r="J447" t="s">
        <v>176</v>
      </c>
      <c r="K447">
        <v>1.1125439500000001</v>
      </c>
      <c r="L447">
        <v>33.059247467587937</v>
      </c>
      <c r="M447">
        <v>0</v>
      </c>
      <c r="N447">
        <v>4.6827356516813605</v>
      </c>
      <c r="O447">
        <v>37.7419831192693</v>
      </c>
      <c r="P447" t="s">
        <v>177</v>
      </c>
      <c r="Q447">
        <v>1.9835548480552765</v>
      </c>
      <c r="R447" t="s">
        <v>177</v>
      </c>
      <c r="S447">
        <v>0.28096413910088164</v>
      </c>
      <c r="T447" t="s">
        <v>178</v>
      </c>
      <c r="U447">
        <v>4.5290379743123159</v>
      </c>
      <c r="V447" t="s">
        <v>90</v>
      </c>
      <c r="W447">
        <v>0</v>
      </c>
      <c r="X447" t="s">
        <v>90</v>
      </c>
      <c r="Y447">
        <v>0</v>
      </c>
      <c r="Z447">
        <v>44.535540080737775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2.343</v>
      </c>
      <c r="AN447" t="s">
        <v>95</v>
      </c>
      <c r="AO447" t="s">
        <v>73</v>
      </c>
      <c r="AP447">
        <v>200000</v>
      </c>
      <c r="AQ447" t="s">
        <v>97</v>
      </c>
      <c r="AS447">
        <v>10000</v>
      </c>
      <c r="AT447" t="s">
        <v>3196</v>
      </c>
      <c r="AU447" t="s">
        <v>75</v>
      </c>
      <c r="AV447" t="s">
        <v>76</v>
      </c>
    </row>
    <row r="448" spans="1:48" x14ac:dyDescent="0.15">
      <c r="A448" s="4" t="str">
        <f>HYPERLINK("https://ibp.a2mac1.com/costing(costing:projects/details/9760/assembly/8412867)","Cables System")</f>
        <v>Cables System</v>
      </c>
      <c r="B448">
        <v>8412867</v>
      </c>
      <c r="D448">
        <v>8412864</v>
      </c>
      <c r="F448">
        <v>1</v>
      </c>
      <c r="G448">
        <v>0</v>
      </c>
      <c r="H448">
        <v>221.9846851664594</v>
      </c>
      <c r="I448">
        <v>0</v>
      </c>
      <c r="J448" t="s">
        <v>90</v>
      </c>
      <c r="K448">
        <v>0</v>
      </c>
      <c r="L448">
        <v>221.9846851664594</v>
      </c>
      <c r="M448">
        <v>0</v>
      </c>
      <c r="N448">
        <v>0</v>
      </c>
      <c r="O448">
        <v>221.9846851664594</v>
      </c>
      <c r="P448" t="s">
        <v>90</v>
      </c>
      <c r="Q448">
        <v>0</v>
      </c>
      <c r="R448" t="s">
        <v>90</v>
      </c>
      <c r="S448">
        <v>0</v>
      </c>
      <c r="T448" t="s">
        <v>90</v>
      </c>
      <c r="U448">
        <v>0</v>
      </c>
      <c r="V448" t="s">
        <v>90</v>
      </c>
      <c r="W448">
        <v>0</v>
      </c>
      <c r="X448" t="s">
        <v>90</v>
      </c>
      <c r="Y448">
        <v>0</v>
      </c>
      <c r="Z448">
        <v>221.9846851664594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9.8759999999999994</v>
      </c>
      <c r="AN448" t="s">
        <v>72</v>
      </c>
      <c r="AO448" t="s">
        <v>73</v>
      </c>
      <c r="AP448">
        <v>200000</v>
      </c>
      <c r="AQ448" t="s">
        <v>73</v>
      </c>
      <c r="AS448">
        <v>10000</v>
      </c>
      <c r="AT448" t="s">
        <v>3199</v>
      </c>
      <c r="AU448" t="s">
        <v>75</v>
      </c>
      <c r="AV448" t="s">
        <v>76</v>
      </c>
    </row>
    <row r="449" spans="1:48" x14ac:dyDescent="0.15">
      <c r="A449" s="4" t="str">
        <f>HYPERLINK("https://ibp.a2mac1.com/costing(costing:projects/details/9760/assembly/8412912)","Charging Inlet")</f>
        <v>Charging Inlet</v>
      </c>
      <c r="B449">
        <v>8412912</v>
      </c>
      <c r="D449">
        <v>8412868</v>
      </c>
      <c r="F449">
        <v>1</v>
      </c>
      <c r="G449">
        <v>0</v>
      </c>
      <c r="H449">
        <v>32.409759999999999</v>
      </c>
      <c r="I449">
        <v>0.16286311557788943</v>
      </c>
      <c r="J449" t="s">
        <v>176</v>
      </c>
      <c r="K449">
        <v>1.1343415999999999</v>
      </c>
      <c r="L449">
        <v>33.70696471557789</v>
      </c>
      <c r="M449">
        <v>0</v>
      </c>
      <c r="N449">
        <v>2.0538958567813004</v>
      </c>
      <c r="O449">
        <v>35.760860572359192</v>
      </c>
      <c r="P449" t="s">
        <v>177</v>
      </c>
      <c r="Q449">
        <v>2.0224178829346733</v>
      </c>
      <c r="R449" t="s">
        <v>177</v>
      </c>
      <c r="S449">
        <v>0.12323375140687803</v>
      </c>
      <c r="T449" t="s">
        <v>178</v>
      </c>
      <c r="U449">
        <v>4.2913032686831025</v>
      </c>
      <c r="V449" t="s">
        <v>90</v>
      </c>
      <c r="W449">
        <v>0</v>
      </c>
      <c r="X449" t="s">
        <v>90</v>
      </c>
      <c r="Y449">
        <v>0</v>
      </c>
      <c r="Z449">
        <v>42.197815475383841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88</v>
      </c>
      <c r="AI449">
        <v>61</v>
      </c>
      <c r="AJ449">
        <v>85</v>
      </c>
      <c r="AK449">
        <v>0</v>
      </c>
      <c r="AL449">
        <v>1E-3</v>
      </c>
      <c r="AN449" t="s">
        <v>95</v>
      </c>
      <c r="AO449" t="s">
        <v>73</v>
      </c>
      <c r="AP449">
        <v>200000</v>
      </c>
      <c r="AQ449" t="s">
        <v>97</v>
      </c>
      <c r="AS449">
        <v>10000</v>
      </c>
      <c r="AT449" t="s">
        <v>3203</v>
      </c>
      <c r="AU449" t="s">
        <v>75</v>
      </c>
      <c r="AV449" t="s">
        <v>76</v>
      </c>
    </row>
    <row r="450" spans="1:48" x14ac:dyDescent="0.15">
      <c r="A450" s="4" t="str">
        <f>HYPERLINK("https://ibp.a2mac1.com/costing(costing:projects/details/9760/assembly/8412913)","Quick Charging Inlet")</f>
        <v>Quick Charging Inlet</v>
      </c>
      <c r="B450">
        <v>8412913</v>
      </c>
      <c r="D450">
        <v>8412868</v>
      </c>
      <c r="F450">
        <v>1</v>
      </c>
      <c r="G450">
        <v>0</v>
      </c>
      <c r="H450">
        <v>45.996699999999997</v>
      </c>
      <c r="I450">
        <v>0.23113919597989949</v>
      </c>
      <c r="J450" t="s">
        <v>176</v>
      </c>
      <c r="K450">
        <v>1.6098844999999999</v>
      </c>
      <c r="L450">
        <v>47.837723695979896</v>
      </c>
      <c r="M450">
        <v>0</v>
      </c>
      <c r="N450">
        <v>2.0538958567813004</v>
      </c>
      <c r="O450">
        <v>49.891619552761199</v>
      </c>
      <c r="P450" t="s">
        <v>177</v>
      </c>
      <c r="Q450">
        <v>2.8702634217587941</v>
      </c>
      <c r="R450" t="s">
        <v>177</v>
      </c>
      <c r="S450">
        <v>0.12323375140687803</v>
      </c>
      <c r="T450" t="s">
        <v>178</v>
      </c>
      <c r="U450">
        <v>5.9869943463313442</v>
      </c>
      <c r="V450" t="s">
        <v>90</v>
      </c>
      <c r="W450">
        <v>0</v>
      </c>
      <c r="X450" t="s">
        <v>90</v>
      </c>
      <c r="Y450">
        <v>0</v>
      </c>
      <c r="Z450">
        <v>58.872111072258214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130</v>
      </c>
      <c r="AI450">
        <v>75</v>
      </c>
      <c r="AJ450">
        <v>100</v>
      </c>
      <c r="AK450">
        <v>0</v>
      </c>
      <c r="AL450">
        <v>3.6030000000000002</v>
      </c>
      <c r="AN450" t="s">
        <v>95</v>
      </c>
      <c r="AO450" t="s">
        <v>73</v>
      </c>
      <c r="AP450">
        <v>200000</v>
      </c>
      <c r="AQ450" t="s">
        <v>97</v>
      </c>
      <c r="AS450">
        <v>10000</v>
      </c>
      <c r="AT450" t="s">
        <v>3206</v>
      </c>
      <c r="AU450" t="s">
        <v>75</v>
      </c>
      <c r="AV450" t="s">
        <v>76</v>
      </c>
    </row>
    <row r="451" spans="1:48" x14ac:dyDescent="0.15">
      <c r="A451" s="4" t="str">
        <f>HYPERLINK("https://ibp.a2mac1.com/costing(costing:projects/details/9760/assembly/8412868)","Plug-In System")</f>
        <v>Plug-In System</v>
      </c>
      <c r="B451">
        <v>8412868</v>
      </c>
      <c r="D451">
        <v>8412864</v>
      </c>
      <c r="F451">
        <v>1</v>
      </c>
      <c r="G451">
        <v>0</v>
      </c>
      <c r="H451">
        <v>116.73632654764207</v>
      </c>
      <c r="I451">
        <v>0</v>
      </c>
      <c r="J451" t="s">
        <v>90</v>
      </c>
      <c r="K451">
        <v>0</v>
      </c>
      <c r="L451">
        <v>116.73632654764207</v>
      </c>
      <c r="M451">
        <v>0</v>
      </c>
      <c r="N451">
        <v>0</v>
      </c>
      <c r="O451">
        <v>116.73632654764207</v>
      </c>
      <c r="P451" t="s">
        <v>90</v>
      </c>
      <c r="Q451">
        <v>0</v>
      </c>
      <c r="R451" t="s">
        <v>90</v>
      </c>
      <c r="S451">
        <v>0</v>
      </c>
      <c r="T451" t="s">
        <v>90</v>
      </c>
      <c r="U451">
        <v>0</v>
      </c>
      <c r="V451" t="s">
        <v>90</v>
      </c>
      <c r="W451">
        <v>0</v>
      </c>
      <c r="X451" t="s">
        <v>90</v>
      </c>
      <c r="Y451">
        <v>0</v>
      </c>
      <c r="Z451">
        <v>116.73632654764207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4.891</v>
      </c>
      <c r="AN451" t="s">
        <v>72</v>
      </c>
      <c r="AO451" t="s">
        <v>73</v>
      </c>
      <c r="AP451">
        <v>200000</v>
      </c>
      <c r="AQ451" t="s">
        <v>73</v>
      </c>
      <c r="AS451">
        <v>10000</v>
      </c>
      <c r="AT451" t="s">
        <v>3231</v>
      </c>
      <c r="AU451" t="s">
        <v>75</v>
      </c>
      <c r="AV451" t="s">
        <v>76</v>
      </c>
    </row>
    <row r="452" spans="1:48" x14ac:dyDescent="0.15">
      <c r="A452" s="4" t="str">
        <f>HYPERLINK("https://ibp.a2mac1.com/costing(costing:projects/details/9760/assembly/8412917)","On Front e-motor")</f>
        <v>On Front e-motor</v>
      </c>
      <c r="B452">
        <v>8412917</v>
      </c>
      <c r="D452">
        <v>8412869</v>
      </c>
      <c r="F452">
        <v>1</v>
      </c>
      <c r="G452">
        <v>0</v>
      </c>
      <c r="H452">
        <v>3.1504099999999999</v>
      </c>
      <c r="I452">
        <v>0</v>
      </c>
      <c r="J452" t="s">
        <v>90</v>
      </c>
      <c r="K452">
        <v>0</v>
      </c>
      <c r="L452">
        <v>3.1504099999999999</v>
      </c>
      <c r="M452">
        <v>0</v>
      </c>
      <c r="N452">
        <v>0</v>
      </c>
      <c r="O452">
        <v>3.1504099999999999</v>
      </c>
      <c r="P452" t="s">
        <v>90</v>
      </c>
      <c r="Q452">
        <v>0</v>
      </c>
      <c r="R452" t="s">
        <v>90</v>
      </c>
      <c r="S452">
        <v>0</v>
      </c>
      <c r="T452" t="s">
        <v>90</v>
      </c>
      <c r="U452">
        <v>0</v>
      </c>
      <c r="V452" t="s">
        <v>90</v>
      </c>
      <c r="W452">
        <v>0</v>
      </c>
      <c r="X452" t="s">
        <v>90</v>
      </c>
      <c r="Y452">
        <v>0</v>
      </c>
      <c r="Z452">
        <v>3.1504099999999999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1.131</v>
      </c>
      <c r="AN452" t="s">
        <v>72</v>
      </c>
      <c r="AO452" t="s">
        <v>73</v>
      </c>
      <c r="AP452">
        <v>200000</v>
      </c>
      <c r="AQ452" t="s">
        <v>73</v>
      </c>
      <c r="AS452">
        <v>10000</v>
      </c>
      <c r="AT452" t="s">
        <v>3237</v>
      </c>
      <c r="AU452" t="s">
        <v>75</v>
      </c>
      <c r="AV452" t="s">
        <v>76</v>
      </c>
    </row>
    <row r="453" spans="1:48" x14ac:dyDescent="0.15">
      <c r="A453" s="4" t="str">
        <f>HYPERLINK("https://ibp.a2mac1.com/costing(costing:projects/details/9760/assembly/8412869)","Noise Insulation System")</f>
        <v>Noise Insulation System</v>
      </c>
      <c r="B453">
        <v>8412869</v>
      </c>
      <c r="D453">
        <v>8412864</v>
      </c>
      <c r="F453">
        <v>1</v>
      </c>
      <c r="G453">
        <v>0</v>
      </c>
      <c r="H453">
        <v>4.18391</v>
      </c>
      <c r="I453">
        <v>0</v>
      </c>
      <c r="J453" t="s">
        <v>90</v>
      </c>
      <c r="K453">
        <v>0</v>
      </c>
      <c r="L453">
        <v>4.18391</v>
      </c>
      <c r="M453">
        <v>0</v>
      </c>
      <c r="N453">
        <v>0</v>
      </c>
      <c r="O453">
        <v>4.18391</v>
      </c>
      <c r="P453" t="s">
        <v>90</v>
      </c>
      <c r="Q453">
        <v>0</v>
      </c>
      <c r="R453" t="s">
        <v>90</v>
      </c>
      <c r="S453">
        <v>0</v>
      </c>
      <c r="T453" t="s">
        <v>90</v>
      </c>
      <c r="U453">
        <v>0</v>
      </c>
      <c r="V453" t="s">
        <v>90</v>
      </c>
      <c r="W453">
        <v>0</v>
      </c>
      <c r="X453" t="s">
        <v>90</v>
      </c>
      <c r="Y453">
        <v>0</v>
      </c>
      <c r="Z453">
        <v>4.18391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1.29</v>
      </c>
      <c r="AN453" t="s">
        <v>72</v>
      </c>
      <c r="AO453" t="s">
        <v>73</v>
      </c>
      <c r="AP453">
        <v>200000</v>
      </c>
      <c r="AQ453" t="s">
        <v>73</v>
      </c>
      <c r="AS453">
        <v>10000</v>
      </c>
      <c r="AT453" t="s">
        <v>3241</v>
      </c>
      <c r="AU453" t="s">
        <v>75</v>
      </c>
      <c r="AV453" t="s">
        <v>76</v>
      </c>
    </row>
    <row r="454" spans="1:48" x14ac:dyDescent="0.15">
      <c r="A454" s="4" t="str">
        <f>HYPERLINK("https://ibp.a2mac1.com/costing(costing:projects/details/9760/assembly/8412925)","Expansion Bottle System")</f>
        <v>Expansion Bottle System</v>
      </c>
      <c r="B454">
        <v>8412925</v>
      </c>
      <c r="D454">
        <v>8412870</v>
      </c>
      <c r="F454">
        <v>1</v>
      </c>
      <c r="G454">
        <v>0</v>
      </c>
      <c r="H454">
        <v>0.78</v>
      </c>
      <c r="I454">
        <v>0</v>
      </c>
      <c r="J454" t="s">
        <v>90</v>
      </c>
      <c r="K454">
        <v>0</v>
      </c>
      <c r="L454">
        <v>0.78</v>
      </c>
      <c r="M454">
        <v>0</v>
      </c>
      <c r="N454">
        <v>0</v>
      </c>
      <c r="O454">
        <v>0.78</v>
      </c>
      <c r="P454" t="s">
        <v>90</v>
      </c>
      <c r="Q454">
        <v>0</v>
      </c>
      <c r="R454" t="s">
        <v>90</v>
      </c>
      <c r="S454">
        <v>0</v>
      </c>
      <c r="T454" t="s">
        <v>90</v>
      </c>
      <c r="U454">
        <v>0</v>
      </c>
      <c r="V454" t="s">
        <v>90</v>
      </c>
      <c r="W454">
        <v>0</v>
      </c>
      <c r="X454" t="s">
        <v>90</v>
      </c>
      <c r="Y454">
        <v>0</v>
      </c>
      <c r="Z454">
        <v>0.78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2.5000000000000001E-2</v>
      </c>
      <c r="AN454" t="s">
        <v>72</v>
      </c>
      <c r="AO454" t="s">
        <v>73</v>
      </c>
      <c r="AP454">
        <v>200000</v>
      </c>
      <c r="AQ454" t="s">
        <v>73</v>
      </c>
      <c r="AS454">
        <v>10000</v>
      </c>
      <c r="AT454" t="s">
        <v>3247</v>
      </c>
      <c r="AU454" t="s">
        <v>75</v>
      </c>
      <c r="AV454" t="s">
        <v>76</v>
      </c>
    </row>
    <row r="455" spans="1:48" x14ac:dyDescent="0.15">
      <c r="A455" s="4" t="str">
        <f>HYPERLINK("https://ibp.a2mac1.com/costing(costing:projects/details/9760/assembly/8413025)","Electric Pump")</f>
        <v>Electric Pump</v>
      </c>
      <c r="B455">
        <v>8413025</v>
      </c>
      <c r="D455">
        <v>8412926</v>
      </c>
      <c r="F455">
        <v>1</v>
      </c>
      <c r="G455">
        <v>0</v>
      </c>
      <c r="H455">
        <v>12.30716</v>
      </c>
      <c r="I455">
        <v>6.1845025125628138E-2</v>
      </c>
      <c r="J455" t="s">
        <v>176</v>
      </c>
      <c r="K455">
        <v>0.43075059999999998</v>
      </c>
      <c r="L455">
        <v>12.799755625125629</v>
      </c>
      <c r="M455">
        <v>0</v>
      </c>
      <c r="N455">
        <v>0</v>
      </c>
      <c r="O455">
        <v>12.799755625125629</v>
      </c>
      <c r="P455" t="s">
        <v>177</v>
      </c>
      <c r="Q455">
        <v>0.76798533750753772</v>
      </c>
      <c r="R455" t="s">
        <v>177</v>
      </c>
      <c r="S455">
        <v>0</v>
      </c>
      <c r="T455" t="s">
        <v>178</v>
      </c>
      <c r="U455">
        <v>1.5359706750150754</v>
      </c>
      <c r="V455" t="s">
        <v>90</v>
      </c>
      <c r="W455">
        <v>0</v>
      </c>
      <c r="X455" t="s">
        <v>90</v>
      </c>
      <c r="Y455">
        <v>0</v>
      </c>
      <c r="Z455">
        <v>15.103711637648241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0.433</v>
      </c>
      <c r="AN455" t="s">
        <v>95</v>
      </c>
      <c r="AO455" t="s">
        <v>73</v>
      </c>
      <c r="AP455">
        <v>200000</v>
      </c>
      <c r="AQ455" t="s">
        <v>97</v>
      </c>
      <c r="AS455">
        <v>10000</v>
      </c>
      <c r="AT455" t="s">
        <v>3251</v>
      </c>
      <c r="AU455" t="s">
        <v>75</v>
      </c>
      <c r="AV455" t="s">
        <v>76</v>
      </c>
    </row>
    <row r="456" spans="1:48" x14ac:dyDescent="0.15">
      <c r="A456" s="4" t="str">
        <f>HYPERLINK("https://ibp.a2mac1.com/costing(costing:projects/details/9760/assembly/8412926)","Cooling System for Battery")</f>
        <v>Cooling System for Battery</v>
      </c>
      <c r="B456">
        <v>8412926</v>
      </c>
      <c r="D456">
        <v>8412870</v>
      </c>
      <c r="F456">
        <v>1</v>
      </c>
      <c r="G456">
        <v>0</v>
      </c>
      <c r="H456">
        <v>33.449791637648239</v>
      </c>
      <c r="I456">
        <v>0</v>
      </c>
      <c r="J456" t="s">
        <v>90</v>
      </c>
      <c r="K456">
        <v>0</v>
      </c>
      <c r="L456">
        <v>33.449791637648239</v>
      </c>
      <c r="M456">
        <v>0</v>
      </c>
      <c r="N456">
        <v>0</v>
      </c>
      <c r="O456">
        <v>33.449791637648239</v>
      </c>
      <c r="P456" t="s">
        <v>90</v>
      </c>
      <c r="Q456">
        <v>0</v>
      </c>
      <c r="R456" t="s">
        <v>90</v>
      </c>
      <c r="S456">
        <v>0</v>
      </c>
      <c r="T456" t="s">
        <v>90</v>
      </c>
      <c r="U456">
        <v>0</v>
      </c>
      <c r="V456" t="s">
        <v>90</v>
      </c>
      <c r="W456">
        <v>0</v>
      </c>
      <c r="X456" t="s">
        <v>90</v>
      </c>
      <c r="Y456">
        <v>0</v>
      </c>
      <c r="Z456">
        <v>33.449791637648239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1.85</v>
      </c>
      <c r="AN456" t="s">
        <v>72</v>
      </c>
      <c r="AO456" t="s">
        <v>73</v>
      </c>
      <c r="AP456">
        <v>200000</v>
      </c>
      <c r="AQ456" t="s">
        <v>73</v>
      </c>
      <c r="AS456">
        <v>10000</v>
      </c>
      <c r="AT456" t="s">
        <v>3255</v>
      </c>
      <c r="AU456" t="s">
        <v>75</v>
      </c>
      <c r="AV456" t="s">
        <v>76</v>
      </c>
    </row>
    <row r="457" spans="1:48" x14ac:dyDescent="0.15">
      <c r="A457" s="4" t="str">
        <f>HYPERLINK("https://ibp.a2mac1.com/costing(costing:projects/details/9760/assembly/8412927)","Pipe System/Duct")</f>
        <v>Pipe System/Duct</v>
      </c>
      <c r="B457">
        <v>8412927</v>
      </c>
      <c r="D457">
        <v>8412870</v>
      </c>
      <c r="F457">
        <v>1</v>
      </c>
      <c r="G457">
        <v>0</v>
      </c>
      <c r="H457">
        <v>31.698319999999999</v>
      </c>
      <c r="I457">
        <v>0</v>
      </c>
      <c r="J457" t="s">
        <v>90</v>
      </c>
      <c r="K457">
        <v>0</v>
      </c>
      <c r="L457">
        <v>31.698319999999999</v>
      </c>
      <c r="M457">
        <v>0</v>
      </c>
      <c r="N457">
        <v>0</v>
      </c>
      <c r="O457">
        <v>31.698319999999999</v>
      </c>
      <c r="P457" t="s">
        <v>90</v>
      </c>
      <c r="Q457">
        <v>0</v>
      </c>
      <c r="R457" t="s">
        <v>90</v>
      </c>
      <c r="S457">
        <v>0</v>
      </c>
      <c r="T457" t="s">
        <v>90</v>
      </c>
      <c r="U457">
        <v>0</v>
      </c>
      <c r="V457" t="s">
        <v>90</v>
      </c>
      <c r="W457">
        <v>0</v>
      </c>
      <c r="X457" t="s">
        <v>90</v>
      </c>
      <c r="Y457">
        <v>0</v>
      </c>
      <c r="Z457">
        <v>31.698319999999999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2.9750000000000001</v>
      </c>
      <c r="AN457" t="s">
        <v>72</v>
      </c>
      <c r="AO457" t="s">
        <v>73</v>
      </c>
      <c r="AP457">
        <v>200000</v>
      </c>
      <c r="AQ457" t="s">
        <v>73</v>
      </c>
      <c r="AS457">
        <v>10000</v>
      </c>
      <c r="AT457" t="s">
        <v>3271</v>
      </c>
      <c r="AU457" t="s">
        <v>75</v>
      </c>
      <c r="AV457" t="s">
        <v>76</v>
      </c>
    </row>
    <row r="458" spans="1:48" x14ac:dyDescent="0.15">
      <c r="A458" s="4" t="str">
        <f>HYPERLINK("https://ibp.a2mac1.com/costing(costing:projects/details/9760/assembly/8413046)","Radiator Fan")</f>
        <v>Radiator Fan</v>
      </c>
      <c r="B458">
        <v>8413046</v>
      </c>
      <c r="D458">
        <v>8412928</v>
      </c>
      <c r="F458">
        <v>1</v>
      </c>
      <c r="G458">
        <v>0</v>
      </c>
      <c r="H458">
        <v>2.2188699999999999</v>
      </c>
      <c r="I458">
        <v>0</v>
      </c>
      <c r="J458" t="s">
        <v>90</v>
      </c>
      <c r="K458">
        <v>0</v>
      </c>
      <c r="L458">
        <v>2.2188699999999999</v>
      </c>
      <c r="M458">
        <v>0</v>
      </c>
      <c r="N458">
        <v>0</v>
      </c>
      <c r="O458">
        <v>2.2188699999999999</v>
      </c>
      <c r="P458" t="s">
        <v>90</v>
      </c>
      <c r="Q458">
        <v>0</v>
      </c>
      <c r="R458" t="s">
        <v>90</v>
      </c>
      <c r="S458">
        <v>0</v>
      </c>
      <c r="T458" t="s">
        <v>90</v>
      </c>
      <c r="U458">
        <v>0</v>
      </c>
      <c r="V458" t="s">
        <v>90</v>
      </c>
      <c r="W458">
        <v>0</v>
      </c>
      <c r="X458" t="s">
        <v>90</v>
      </c>
      <c r="Y458">
        <v>0</v>
      </c>
      <c r="Z458">
        <v>2.2188699999999999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0.51800000000000002</v>
      </c>
      <c r="AN458" t="s">
        <v>72</v>
      </c>
      <c r="AO458" t="s">
        <v>73</v>
      </c>
      <c r="AP458">
        <v>200000</v>
      </c>
      <c r="AQ458" t="s">
        <v>73</v>
      </c>
      <c r="AS458">
        <v>10000</v>
      </c>
      <c r="AT458" t="s">
        <v>3276</v>
      </c>
      <c r="AU458" t="s">
        <v>75</v>
      </c>
      <c r="AV458" t="s">
        <v>76</v>
      </c>
    </row>
    <row r="459" spans="1:48" x14ac:dyDescent="0.15">
      <c r="A459" s="4" t="str">
        <f>HYPERLINK("https://ibp.a2mac1.com/costing(costing:projects/details/9760/assembly/8413047)","Motor System")</f>
        <v>Motor System</v>
      </c>
      <c r="B459">
        <v>8413047</v>
      </c>
      <c r="D459">
        <v>8412928</v>
      </c>
      <c r="F459">
        <v>1</v>
      </c>
      <c r="G459">
        <v>0</v>
      </c>
      <c r="H459">
        <v>17.79</v>
      </c>
      <c r="I459">
        <v>0</v>
      </c>
      <c r="J459" t="s">
        <v>90</v>
      </c>
      <c r="K459">
        <v>0</v>
      </c>
      <c r="L459">
        <v>17.79</v>
      </c>
      <c r="M459">
        <v>0</v>
      </c>
      <c r="N459">
        <v>0</v>
      </c>
      <c r="O459">
        <v>17.79</v>
      </c>
      <c r="P459" t="s">
        <v>90</v>
      </c>
      <c r="Q459">
        <v>0</v>
      </c>
      <c r="R459" t="s">
        <v>90</v>
      </c>
      <c r="S459">
        <v>0</v>
      </c>
      <c r="T459" t="s">
        <v>90</v>
      </c>
      <c r="U459">
        <v>0</v>
      </c>
      <c r="V459" t="s">
        <v>90</v>
      </c>
      <c r="W459">
        <v>0</v>
      </c>
      <c r="X459" t="s">
        <v>90</v>
      </c>
      <c r="Y459">
        <v>0</v>
      </c>
      <c r="Z459">
        <v>17.79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1.25</v>
      </c>
      <c r="AN459" t="s">
        <v>72</v>
      </c>
      <c r="AO459" t="s">
        <v>73</v>
      </c>
      <c r="AP459">
        <v>200000</v>
      </c>
      <c r="AQ459" t="s">
        <v>73</v>
      </c>
      <c r="AS459">
        <v>10000</v>
      </c>
      <c r="AT459" t="s">
        <v>3279</v>
      </c>
      <c r="AU459" t="s">
        <v>75</v>
      </c>
      <c r="AV459" t="s">
        <v>76</v>
      </c>
    </row>
    <row r="460" spans="1:48" x14ac:dyDescent="0.15">
      <c r="A460" s="4" t="str">
        <f>HYPERLINK("https://ibp.a2mac1.com/costing(costing:projects/details/9760/assembly/8412928)","Fan System")</f>
        <v>Fan System</v>
      </c>
      <c r="B460">
        <v>8412928</v>
      </c>
      <c r="D460">
        <v>8412870</v>
      </c>
      <c r="F460">
        <v>1</v>
      </c>
      <c r="G460">
        <v>0</v>
      </c>
      <c r="H460">
        <v>29.03707</v>
      </c>
      <c r="I460">
        <v>0</v>
      </c>
      <c r="J460" t="s">
        <v>90</v>
      </c>
      <c r="K460">
        <v>0</v>
      </c>
      <c r="L460">
        <v>29.03707</v>
      </c>
      <c r="M460">
        <v>0</v>
      </c>
      <c r="N460">
        <v>0</v>
      </c>
      <c r="O460">
        <v>29.03707</v>
      </c>
      <c r="P460" t="s">
        <v>90</v>
      </c>
      <c r="Q460">
        <v>0</v>
      </c>
      <c r="R460" t="s">
        <v>90</v>
      </c>
      <c r="S460">
        <v>0</v>
      </c>
      <c r="T460" t="s">
        <v>90</v>
      </c>
      <c r="U460">
        <v>0</v>
      </c>
      <c r="V460" t="s">
        <v>90</v>
      </c>
      <c r="W460">
        <v>0</v>
      </c>
      <c r="X460" t="s">
        <v>90</v>
      </c>
      <c r="Y460">
        <v>0</v>
      </c>
      <c r="Z460">
        <v>29.03707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3.7690000000000001</v>
      </c>
      <c r="AN460" t="s">
        <v>72</v>
      </c>
      <c r="AO460" t="s">
        <v>73</v>
      </c>
      <c r="AP460">
        <v>200000</v>
      </c>
      <c r="AQ460" t="s">
        <v>73</v>
      </c>
      <c r="AS460">
        <v>10000</v>
      </c>
      <c r="AT460" t="s">
        <v>3288</v>
      </c>
      <c r="AU460" t="s">
        <v>75</v>
      </c>
      <c r="AV460" t="s">
        <v>76</v>
      </c>
    </row>
    <row r="461" spans="1:48" x14ac:dyDescent="0.15">
      <c r="A461" s="4" t="str">
        <f>HYPERLINK("https://ibp.a2mac1.com/costing(costing:projects/details/9760/assembly/8413048)","Dynamics Flaps Upper / Single")</f>
        <v>Dynamics Flaps Upper / Single</v>
      </c>
      <c r="B461">
        <v>8413048</v>
      </c>
      <c r="D461">
        <v>8412929</v>
      </c>
      <c r="F461">
        <v>1</v>
      </c>
      <c r="G461">
        <v>0</v>
      </c>
      <c r="H461">
        <v>20.144629999999999</v>
      </c>
      <c r="I461">
        <v>0</v>
      </c>
      <c r="J461" t="s">
        <v>90</v>
      </c>
      <c r="K461">
        <v>0</v>
      </c>
      <c r="L461">
        <v>20.144629999999999</v>
      </c>
      <c r="M461">
        <v>0</v>
      </c>
      <c r="N461">
        <v>0</v>
      </c>
      <c r="O461">
        <v>20.144629999999999</v>
      </c>
      <c r="P461" t="s">
        <v>90</v>
      </c>
      <c r="Q461">
        <v>0</v>
      </c>
      <c r="R461" t="s">
        <v>90</v>
      </c>
      <c r="S461">
        <v>0</v>
      </c>
      <c r="T461" t="s">
        <v>90</v>
      </c>
      <c r="U461">
        <v>0</v>
      </c>
      <c r="V461" t="s">
        <v>90</v>
      </c>
      <c r="W461">
        <v>0</v>
      </c>
      <c r="X461" t="s">
        <v>90</v>
      </c>
      <c r="Y461">
        <v>0</v>
      </c>
      <c r="Z461">
        <v>20.144629999999999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2.5129999999999999</v>
      </c>
      <c r="AN461" t="s">
        <v>72</v>
      </c>
      <c r="AO461" t="s">
        <v>73</v>
      </c>
      <c r="AP461">
        <v>200000</v>
      </c>
      <c r="AQ461" t="s">
        <v>73</v>
      </c>
      <c r="AS461">
        <v>10000</v>
      </c>
      <c r="AT461" t="s">
        <v>3306</v>
      </c>
      <c r="AU461" t="s">
        <v>75</v>
      </c>
      <c r="AV461" t="s">
        <v>76</v>
      </c>
    </row>
    <row r="462" spans="1:48" x14ac:dyDescent="0.15">
      <c r="A462" s="4" t="str">
        <f>HYPERLINK("https://ibp.a2mac1.com/costing(costing:projects/details/9760/assembly/8412929)","Dynamic Flaps System")</f>
        <v>Dynamic Flaps System</v>
      </c>
      <c r="B462">
        <v>8412929</v>
      </c>
      <c r="D462">
        <v>8412870</v>
      </c>
      <c r="F462">
        <v>1</v>
      </c>
      <c r="G462">
        <v>0</v>
      </c>
      <c r="H462">
        <v>20.144629999999999</v>
      </c>
      <c r="I462">
        <v>0</v>
      </c>
      <c r="J462" t="s">
        <v>90</v>
      </c>
      <c r="K462">
        <v>0</v>
      </c>
      <c r="L462">
        <v>20.144629999999999</v>
      </c>
      <c r="M462">
        <v>0</v>
      </c>
      <c r="N462">
        <v>0</v>
      </c>
      <c r="O462">
        <v>20.144629999999999</v>
      </c>
      <c r="P462" t="s">
        <v>90</v>
      </c>
      <c r="Q462">
        <v>0</v>
      </c>
      <c r="R462" t="s">
        <v>90</v>
      </c>
      <c r="S462">
        <v>0</v>
      </c>
      <c r="T462" t="s">
        <v>90</v>
      </c>
      <c r="U462">
        <v>0</v>
      </c>
      <c r="V462" t="s">
        <v>90</v>
      </c>
      <c r="W462">
        <v>0</v>
      </c>
      <c r="X462" t="s">
        <v>90</v>
      </c>
      <c r="Y462">
        <v>0</v>
      </c>
      <c r="Z462">
        <v>20.144629999999999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2.5129999999999999</v>
      </c>
      <c r="AN462" t="s">
        <v>72</v>
      </c>
      <c r="AO462" t="s">
        <v>73</v>
      </c>
      <c r="AP462">
        <v>200000</v>
      </c>
      <c r="AQ462" t="s">
        <v>73</v>
      </c>
      <c r="AS462">
        <v>10000</v>
      </c>
      <c r="AT462" t="s">
        <v>3307</v>
      </c>
      <c r="AU462" t="s">
        <v>75</v>
      </c>
      <c r="AV462" t="s">
        <v>76</v>
      </c>
    </row>
    <row r="463" spans="1:48" x14ac:dyDescent="0.15">
      <c r="A463" s="4" t="str">
        <f>HYPERLINK("https://ibp.a2mac1.com/costing(costing:projects/details/9760/assembly/8412930)","Electric Pump")</f>
        <v>Electric Pump</v>
      </c>
      <c r="B463">
        <v>8412930</v>
      </c>
      <c r="D463">
        <v>8412870</v>
      </c>
      <c r="F463">
        <v>1</v>
      </c>
      <c r="G463">
        <v>0</v>
      </c>
      <c r="H463">
        <v>12.29391</v>
      </c>
      <c r="I463">
        <v>6.1778442211055273E-2</v>
      </c>
      <c r="J463" t="s">
        <v>176</v>
      </c>
      <c r="K463">
        <v>0.43028685</v>
      </c>
      <c r="L463">
        <v>12.785975292211056</v>
      </c>
      <c r="M463">
        <v>0</v>
      </c>
      <c r="N463">
        <v>0</v>
      </c>
      <c r="O463">
        <v>12.785975292211056</v>
      </c>
      <c r="P463" t="s">
        <v>177</v>
      </c>
      <c r="Q463">
        <v>0.76715851753266329</v>
      </c>
      <c r="R463" t="s">
        <v>177</v>
      </c>
      <c r="S463">
        <v>0</v>
      </c>
      <c r="T463" t="s">
        <v>178</v>
      </c>
      <c r="U463">
        <v>1.5343170350653266</v>
      </c>
      <c r="V463" t="s">
        <v>90</v>
      </c>
      <c r="W463">
        <v>0</v>
      </c>
      <c r="X463" t="s">
        <v>90</v>
      </c>
      <c r="Y463">
        <v>0</v>
      </c>
      <c r="Z463">
        <v>15.087450844809045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0.432</v>
      </c>
      <c r="AN463" t="s">
        <v>95</v>
      </c>
      <c r="AO463" t="s">
        <v>73</v>
      </c>
      <c r="AP463">
        <v>200000</v>
      </c>
      <c r="AQ463" t="s">
        <v>97</v>
      </c>
      <c r="AS463">
        <v>10000</v>
      </c>
      <c r="AT463" t="s">
        <v>3310</v>
      </c>
      <c r="AU463" t="s">
        <v>75</v>
      </c>
      <c r="AV463" t="s">
        <v>76</v>
      </c>
    </row>
    <row r="464" spans="1:48" x14ac:dyDescent="0.15">
      <c r="A464" s="4" t="str">
        <f>HYPERLINK("https://ibp.a2mac1.com/costing(costing:projects/details/9760/assembly/8412931)","Air Intake radiator")</f>
        <v>Air Intake radiator</v>
      </c>
      <c r="B464">
        <v>8412931</v>
      </c>
      <c r="D464">
        <v>8412870</v>
      </c>
      <c r="F464">
        <v>1</v>
      </c>
      <c r="G464">
        <v>0</v>
      </c>
      <c r="H464">
        <v>2.9912999999999998</v>
      </c>
      <c r="I464">
        <v>0</v>
      </c>
      <c r="J464" t="s">
        <v>90</v>
      </c>
      <c r="K464">
        <v>0</v>
      </c>
      <c r="L464">
        <v>2.9912999999999998</v>
      </c>
      <c r="M464">
        <v>0</v>
      </c>
      <c r="N464">
        <v>0</v>
      </c>
      <c r="O464">
        <v>2.9912999999999998</v>
      </c>
      <c r="P464" t="s">
        <v>90</v>
      </c>
      <c r="Q464">
        <v>0</v>
      </c>
      <c r="R464" t="s">
        <v>90</v>
      </c>
      <c r="S464">
        <v>0</v>
      </c>
      <c r="T464" t="s">
        <v>90</v>
      </c>
      <c r="U464">
        <v>0</v>
      </c>
      <c r="V464" t="s">
        <v>90</v>
      </c>
      <c r="W464">
        <v>0</v>
      </c>
      <c r="X464" t="s">
        <v>90</v>
      </c>
      <c r="Y464">
        <v>0</v>
      </c>
      <c r="Z464">
        <v>2.9912999999999998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1.302</v>
      </c>
      <c r="AN464" t="s">
        <v>72</v>
      </c>
      <c r="AO464" t="s">
        <v>73</v>
      </c>
      <c r="AP464">
        <v>200000</v>
      </c>
      <c r="AQ464" t="s">
        <v>73</v>
      </c>
      <c r="AS464">
        <v>10000</v>
      </c>
      <c r="AT464" t="s">
        <v>3315</v>
      </c>
      <c r="AU464" t="s">
        <v>75</v>
      </c>
      <c r="AV464" t="s">
        <v>76</v>
      </c>
    </row>
    <row r="465" spans="1:48" x14ac:dyDescent="0.15">
      <c r="A465" s="4" t="str">
        <f>HYPERLINK("https://ibp.a2mac1.com/costing(costing:projects/details/9760/assembly/8412870)","Cooling system")</f>
        <v>Cooling system</v>
      </c>
      <c r="B465">
        <v>8412870</v>
      </c>
      <c r="D465">
        <v>8412864</v>
      </c>
      <c r="F465">
        <v>1</v>
      </c>
      <c r="G465">
        <v>0</v>
      </c>
      <c r="H465">
        <v>215.19693154237237</v>
      </c>
      <c r="I465">
        <v>0</v>
      </c>
      <c r="J465" t="s">
        <v>90</v>
      </c>
      <c r="K465">
        <v>0</v>
      </c>
      <c r="L465">
        <v>215.19693154237237</v>
      </c>
      <c r="M465">
        <v>0</v>
      </c>
      <c r="N465">
        <v>0</v>
      </c>
      <c r="O465">
        <v>215.19693154237237</v>
      </c>
      <c r="P465" t="s">
        <v>90</v>
      </c>
      <c r="Q465">
        <v>0</v>
      </c>
      <c r="R465" t="s">
        <v>90</v>
      </c>
      <c r="S465">
        <v>0</v>
      </c>
      <c r="T465" t="s">
        <v>90</v>
      </c>
      <c r="U465">
        <v>0</v>
      </c>
      <c r="V465" t="s">
        <v>90</v>
      </c>
      <c r="W465">
        <v>0</v>
      </c>
      <c r="X465" t="s">
        <v>90</v>
      </c>
      <c r="Y465">
        <v>0</v>
      </c>
      <c r="Z465">
        <v>215.19693154237237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17.024000000000001</v>
      </c>
      <c r="AN465" t="s">
        <v>72</v>
      </c>
      <c r="AO465" t="s">
        <v>73</v>
      </c>
      <c r="AP465">
        <v>200000</v>
      </c>
      <c r="AQ465" t="s">
        <v>73</v>
      </c>
      <c r="AS465">
        <v>10000</v>
      </c>
      <c r="AT465" t="s">
        <v>3328</v>
      </c>
      <c r="AU465" t="s">
        <v>75</v>
      </c>
      <c r="AV465" t="s">
        <v>76</v>
      </c>
    </row>
    <row r="466" spans="1:48" x14ac:dyDescent="0.15">
      <c r="A466" s="4" t="str">
        <f>HYPERLINK("https://ibp.a2mac1.com/costing(costing:projects/details/9760/assembly/8413108)","Wire Winding")</f>
        <v>Wire Winding</v>
      </c>
      <c r="B466">
        <v>8413108</v>
      </c>
      <c r="D466">
        <v>8413053</v>
      </c>
      <c r="F466">
        <v>1</v>
      </c>
      <c r="G466">
        <v>0</v>
      </c>
      <c r="H466">
        <v>58.34</v>
      </c>
      <c r="I466">
        <v>0</v>
      </c>
      <c r="J466" t="s">
        <v>90</v>
      </c>
      <c r="K466">
        <v>0</v>
      </c>
      <c r="L466">
        <v>58.34</v>
      </c>
      <c r="M466">
        <v>0</v>
      </c>
      <c r="N466">
        <v>0</v>
      </c>
      <c r="O466">
        <v>58.34</v>
      </c>
      <c r="P466" t="s">
        <v>90</v>
      </c>
      <c r="Q466">
        <v>0</v>
      </c>
      <c r="R466" t="s">
        <v>90</v>
      </c>
      <c r="S466">
        <v>0</v>
      </c>
      <c r="T466" t="s">
        <v>90</v>
      </c>
      <c r="U466">
        <v>0</v>
      </c>
      <c r="V466" t="s">
        <v>90</v>
      </c>
      <c r="W466">
        <v>0</v>
      </c>
      <c r="X466" t="s">
        <v>90</v>
      </c>
      <c r="Y466">
        <v>0</v>
      </c>
      <c r="Z466">
        <v>58.34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5.0979999999999999</v>
      </c>
      <c r="AN466" t="s">
        <v>1015</v>
      </c>
      <c r="AO466" t="s">
        <v>73</v>
      </c>
      <c r="AP466">
        <v>200000</v>
      </c>
      <c r="AQ466" t="s">
        <v>73</v>
      </c>
      <c r="AS466">
        <v>10000</v>
      </c>
      <c r="AT466" t="s">
        <v>9</v>
      </c>
      <c r="AU466" t="s">
        <v>75</v>
      </c>
      <c r="AV466" t="s">
        <v>316</v>
      </c>
    </row>
    <row r="467" spans="1:48" x14ac:dyDescent="0.15">
      <c r="A467" s="4" t="str">
        <f>HYPERLINK("https://ibp.a2mac1.com/costing(costing:projects/details/9760/assembly/8413053)","Stator Assembly")</f>
        <v>Stator Assembly</v>
      </c>
      <c r="B467">
        <v>8413053</v>
      </c>
      <c r="D467">
        <v>8412932</v>
      </c>
      <c r="F467">
        <v>1</v>
      </c>
      <c r="G467">
        <v>0</v>
      </c>
      <c r="H467">
        <v>106.2822968944748</v>
      </c>
      <c r="I467">
        <v>0.5340818939420845</v>
      </c>
      <c r="J467" t="s">
        <v>176</v>
      </c>
      <c r="K467">
        <v>3.7198803913066181</v>
      </c>
      <c r="L467">
        <v>110.5362591797235</v>
      </c>
      <c r="M467">
        <v>0</v>
      </c>
      <c r="N467">
        <v>7.7396922281152039</v>
      </c>
      <c r="O467">
        <v>118.2759514078387</v>
      </c>
      <c r="P467" t="s">
        <v>90</v>
      </c>
      <c r="Q467">
        <v>0</v>
      </c>
      <c r="R467" t="s">
        <v>90</v>
      </c>
      <c r="S467">
        <v>0</v>
      </c>
      <c r="T467" t="s">
        <v>90</v>
      </c>
      <c r="U467">
        <v>0</v>
      </c>
      <c r="V467" t="s">
        <v>90</v>
      </c>
      <c r="W467">
        <v>0</v>
      </c>
      <c r="X467" t="s">
        <v>90</v>
      </c>
      <c r="Y467">
        <v>0</v>
      </c>
      <c r="Z467">
        <v>118.2759514078387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470</v>
      </c>
      <c r="AI467">
        <v>438</v>
      </c>
      <c r="AJ467">
        <v>328</v>
      </c>
      <c r="AK467">
        <v>0</v>
      </c>
      <c r="AL467">
        <v>34.582999999999998</v>
      </c>
      <c r="AN467" t="s">
        <v>1688</v>
      </c>
      <c r="AO467" t="s">
        <v>73</v>
      </c>
      <c r="AP467">
        <v>200000</v>
      </c>
      <c r="AQ467" t="s">
        <v>73</v>
      </c>
      <c r="AS467">
        <v>10000</v>
      </c>
      <c r="AT467" t="s">
        <v>9</v>
      </c>
      <c r="AU467" t="s">
        <v>75</v>
      </c>
      <c r="AV467" t="s">
        <v>76</v>
      </c>
    </row>
    <row r="468" spans="1:48" x14ac:dyDescent="0.15">
      <c r="A468" s="4" t="str">
        <f>HYPERLINK("https://ibp.a2mac1.com/costing(costing:projects/details/9760/assembly/8413054)","Rotor Assembly")</f>
        <v>Rotor Assembly</v>
      </c>
      <c r="B468">
        <v>8413054</v>
      </c>
      <c r="D468">
        <v>8412932</v>
      </c>
      <c r="F468">
        <v>1</v>
      </c>
      <c r="G468">
        <v>0</v>
      </c>
      <c r="H468">
        <v>43.713696962593708</v>
      </c>
      <c r="I468">
        <v>0.21966681890750608</v>
      </c>
      <c r="J468" t="s">
        <v>176</v>
      </c>
      <c r="K468">
        <v>1.52997939369078</v>
      </c>
      <c r="L468">
        <v>45.463343175192001</v>
      </c>
      <c r="M468">
        <v>0</v>
      </c>
      <c r="N468">
        <v>2.5735467532196723</v>
      </c>
      <c r="O468">
        <v>48.036889928411668</v>
      </c>
      <c r="P468" t="s">
        <v>90</v>
      </c>
      <c r="Q468">
        <v>0</v>
      </c>
      <c r="R468" t="s">
        <v>90</v>
      </c>
      <c r="S468">
        <v>0</v>
      </c>
      <c r="T468" t="s">
        <v>90</v>
      </c>
      <c r="U468">
        <v>0</v>
      </c>
      <c r="V468" t="s">
        <v>90</v>
      </c>
      <c r="W468">
        <v>0</v>
      </c>
      <c r="X468" t="s">
        <v>90</v>
      </c>
      <c r="Y468">
        <v>0</v>
      </c>
      <c r="Z468">
        <v>48.036889928411668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18.23</v>
      </c>
      <c r="AN468" t="s">
        <v>1889</v>
      </c>
      <c r="AO468" t="s">
        <v>73</v>
      </c>
      <c r="AP468">
        <v>200000</v>
      </c>
      <c r="AQ468" t="s">
        <v>73</v>
      </c>
      <c r="AS468">
        <v>10000</v>
      </c>
      <c r="AT468" t="s">
        <v>3361</v>
      </c>
      <c r="AU468" t="s">
        <v>75</v>
      </c>
      <c r="AV468" t="s">
        <v>76</v>
      </c>
    </row>
    <row r="469" spans="1:48" x14ac:dyDescent="0.15">
      <c r="A469" s="4" t="str">
        <f>HYPERLINK("https://ibp.a2mac1.com/costing(costing:projects/details/9760/assembly/8413055)","Housings")</f>
        <v>Housings</v>
      </c>
      <c r="B469">
        <v>8413055</v>
      </c>
      <c r="D469">
        <v>8412932</v>
      </c>
      <c r="F469">
        <v>1</v>
      </c>
      <c r="G469">
        <v>0</v>
      </c>
      <c r="H469">
        <v>89.853138703975446</v>
      </c>
      <c r="I469">
        <v>0</v>
      </c>
      <c r="J469" t="s">
        <v>90</v>
      </c>
      <c r="K469">
        <v>0</v>
      </c>
      <c r="L469">
        <v>89.853138703975446</v>
      </c>
      <c r="M469">
        <v>0</v>
      </c>
      <c r="N469">
        <v>0</v>
      </c>
      <c r="O469">
        <v>89.853138703975446</v>
      </c>
      <c r="P469" t="s">
        <v>90</v>
      </c>
      <c r="Q469">
        <v>0</v>
      </c>
      <c r="R469" t="s">
        <v>90</v>
      </c>
      <c r="S469">
        <v>0</v>
      </c>
      <c r="T469" t="s">
        <v>90</v>
      </c>
      <c r="U469">
        <v>0</v>
      </c>
      <c r="V469" t="s">
        <v>90</v>
      </c>
      <c r="W469">
        <v>0</v>
      </c>
      <c r="X469" t="s">
        <v>90</v>
      </c>
      <c r="Y469">
        <v>0</v>
      </c>
      <c r="Z469">
        <v>89.853138703975446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N469" t="s">
        <v>1015</v>
      </c>
      <c r="AO469" t="s">
        <v>73</v>
      </c>
      <c r="AP469">
        <v>200000</v>
      </c>
      <c r="AQ469" t="s">
        <v>73</v>
      </c>
      <c r="AS469">
        <v>10000</v>
      </c>
      <c r="AT469" t="s">
        <v>9</v>
      </c>
      <c r="AU469" t="s">
        <v>75</v>
      </c>
      <c r="AV469" t="s">
        <v>76</v>
      </c>
    </row>
    <row r="470" spans="1:48" x14ac:dyDescent="0.15">
      <c r="A470" s="4" t="str">
        <f>HYPERLINK("https://ibp.a2mac1.com/costing(costing:projects/details/9760/assembly/8413056)","Assembly parts")</f>
        <v>Assembly parts</v>
      </c>
      <c r="B470">
        <v>8413056</v>
      </c>
      <c r="D470">
        <v>8412932</v>
      </c>
      <c r="F470">
        <v>1</v>
      </c>
      <c r="G470">
        <v>0</v>
      </c>
      <c r="H470">
        <v>37.267679999999999</v>
      </c>
      <c r="I470">
        <v>0</v>
      </c>
      <c r="J470" t="s">
        <v>90</v>
      </c>
      <c r="K470">
        <v>0</v>
      </c>
      <c r="L470">
        <v>37.267679999999999</v>
      </c>
      <c r="M470">
        <v>0</v>
      </c>
      <c r="N470">
        <v>0</v>
      </c>
      <c r="O470">
        <v>37.267679999999999</v>
      </c>
      <c r="P470" t="s">
        <v>90</v>
      </c>
      <c r="Q470">
        <v>0</v>
      </c>
      <c r="R470" t="s">
        <v>90</v>
      </c>
      <c r="S470">
        <v>0</v>
      </c>
      <c r="T470" t="s">
        <v>90</v>
      </c>
      <c r="U470">
        <v>0</v>
      </c>
      <c r="V470" t="s">
        <v>90</v>
      </c>
      <c r="W470">
        <v>0</v>
      </c>
      <c r="X470" t="s">
        <v>90</v>
      </c>
      <c r="Y470">
        <v>0</v>
      </c>
      <c r="Z470">
        <v>37.267679999999999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N470" t="s">
        <v>72</v>
      </c>
      <c r="AO470" t="s">
        <v>73</v>
      </c>
      <c r="AP470">
        <v>200000</v>
      </c>
      <c r="AQ470" t="s">
        <v>73</v>
      </c>
      <c r="AS470">
        <v>10000</v>
      </c>
      <c r="AT470" t="s">
        <v>9</v>
      </c>
      <c r="AU470" t="s">
        <v>75</v>
      </c>
      <c r="AV470" t="s">
        <v>76</v>
      </c>
    </row>
    <row r="471" spans="1:48" x14ac:dyDescent="0.15">
      <c r="A471" s="4" t="str">
        <f>HYPERLINK("https://ibp.a2mac1.com/costing(costing:projects/details/9760/assembly/8412932)","Motor/Generator 1")</f>
        <v>Motor/Generator 1</v>
      </c>
      <c r="B471">
        <v>8412932</v>
      </c>
      <c r="D471">
        <v>8412871</v>
      </c>
      <c r="F471">
        <v>1</v>
      </c>
      <c r="G471">
        <v>0</v>
      </c>
      <c r="H471">
        <v>293.43366004022585</v>
      </c>
      <c r="I471">
        <v>1.4745410052272654</v>
      </c>
      <c r="J471" t="s">
        <v>176</v>
      </c>
      <c r="K471">
        <v>10.270178101407904</v>
      </c>
      <c r="L471">
        <v>305.178379146861</v>
      </c>
      <c r="M471">
        <v>0</v>
      </c>
      <c r="N471">
        <v>6.6695620940297013</v>
      </c>
      <c r="O471">
        <v>311.84794124089069</v>
      </c>
      <c r="P471" t="s">
        <v>177</v>
      </c>
      <c r="Q471">
        <v>18.310702748811661</v>
      </c>
      <c r="R471" t="s">
        <v>177</v>
      </c>
      <c r="S471">
        <v>0.40017372564178205</v>
      </c>
      <c r="T471" t="s">
        <v>178</v>
      </c>
      <c r="U471">
        <v>37.421752948906885</v>
      </c>
      <c r="V471" t="s">
        <v>90</v>
      </c>
      <c r="W471">
        <v>0</v>
      </c>
      <c r="X471" t="s">
        <v>90</v>
      </c>
      <c r="Y471">
        <v>0</v>
      </c>
      <c r="Z471">
        <v>367.98057066425105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456</v>
      </c>
      <c r="AI471">
        <v>484</v>
      </c>
      <c r="AJ471">
        <v>383</v>
      </c>
      <c r="AK471">
        <v>0</v>
      </c>
      <c r="AL471">
        <v>58.850999999999999</v>
      </c>
      <c r="AN471" t="s">
        <v>95</v>
      </c>
      <c r="AO471" t="s">
        <v>73</v>
      </c>
      <c r="AP471">
        <v>200000</v>
      </c>
      <c r="AQ471" t="s">
        <v>97</v>
      </c>
      <c r="AS471">
        <v>10000</v>
      </c>
      <c r="AT471" t="s">
        <v>3414</v>
      </c>
      <c r="AU471" t="s">
        <v>75</v>
      </c>
      <c r="AV471" t="s">
        <v>76</v>
      </c>
    </row>
    <row r="472" spans="1:48" x14ac:dyDescent="0.15">
      <c r="A472" s="4" t="str">
        <f>HYPERLINK("https://ibp.a2mac1.com/costing(costing:projects/details/9760/assembly/8413138)","Wire Winding")</f>
        <v>Wire Winding</v>
      </c>
      <c r="B472">
        <v>8413138</v>
      </c>
      <c r="D472">
        <v>8413057</v>
      </c>
      <c r="F472">
        <v>1</v>
      </c>
      <c r="G472">
        <v>0</v>
      </c>
      <c r="H472">
        <v>61.98</v>
      </c>
      <c r="I472">
        <v>0</v>
      </c>
      <c r="J472" t="s">
        <v>90</v>
      </c>
      <c r="K472">
        <v>0</v>
      </c>
      <c r="L472">
        <v>61.98</v>
      </c>
      <c r="M472">
        <v>0</v>
      </c>
      <c r="N472">
        <v>0</v>
      </c>
      <c r="O472">
        <v>61.98</v>
      </c>
      <c r="P472" t="s">
        <v>90</v>
      </c>
      <c r="Q472">
        <v>0</v>
      </c>
      <c r="R472" t="s">
        <v>90</v>
      </c>
      <c r="S472">
        <v>0</v>
      </c>
      <c r="T472" t="s">
        <v>90</v>
      </c>
      <c r="U472">
        <v>0</v>
      </c>
      <c r="V472" t="s">
        <v>90</v>
      </c>
      <c r="W472">
        <v>0</v>
      </c>
      <c r="X472" t="s">
        <v>90</v>
      </c>
      <c r="Y472">
        <v>0</v>
      </c>
      <c r="Z472">
        <v>61.98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5.3810000000000002</v>
      </c>
      <c r="AN472" t="s">
        <v>72</v>
      </c>
      <c r="AO472" t="s">
        <v>73</v>
      </c>
      <c r="AP472">
        <v>200000</v>
      </c>
      <c r="AQ472" t="s">
        <v>73</v>
      </c>
      <c r="AS472">
        <v>10000</v>
      </c>
      <c r="AT472" t="s">
        <v>9</v>
      </c>
      <c r="AU472" t="s">
        <v>75</v>
      </c>
      <c r="AV472" t="s">
        <v>316</v>
      </c>
    </row>
    <row r="473" spans="1:48" x14ac:dyDescent="0.15">
      <c r="A473" s="4" t="str">
        <f>HYPERLINK("https://ibp.a2mac1.com/costing(costing:projects/details/9760/assembly/8413057)","Stator Assembly")</f>
        <v>Stator Assembly</v>
      </c>
      <c r="B473">
        <v>8413057</v>
      </c>
      <c r="D473">
        <v>8412933</v>
      </c>
      <c r="F473">
        <v>1</v>
      </c>
      <c r="G473">
        <v>0</v>
      </c>
      <c r="H473">
        <v>116.48541547918775</v>
      </c>
      <c r="I473">
        <v>0.58535384662908418</v>
      </c>
      <c r="J473" t="s">
        <v>176</v>
      </c>
      <c r="K473">
        <v>4.0769895417715709</v>
      </c>
      <c r="L473">
        <v>121.14775886758841</v>
      </c>
      <c r="M473">
        <v>0</v>
      </c>
      <c r="N473">
        <v>9.1886922281152046</v>
      </c>
      <c r="O473">
        <v>130.33645109570361</v>
      </c>
      <c r="P473" t="s">
        <v>90</v>
      </c>
      <c r="Q473">
        <v>0</v>
      </c>
      <c r="R473" t="s">
        <v>90</v>
      </c>
      <c r="S473">
        <v>0</v>
      </c>
      <c r="T473" t="s">
        <v>90</v>
      </c>
      <c r="U473">
        <v>0</v>
      </c>
      <c r="V473" t="s">
        <v>90</v>
      </c>
      <c r="W473">
        <v>0</v>
      </c>
      <c r="X473" t="s">
        <v>90</v>
      </c>
      <c r="Y473">
        <v>0</v>
      </c>
      <c r="Z473">
        <v>130.33645109570361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470</v>
      </c>
      <c r="AI473">
        <v>452</v>
      </c>
      <c r="AJ473">
        <v>324</v>
      </c>
      <c r="AK473">
        <v>0</v>
      </c>
      <c r="AL473">
        <v>33.965000000000003</v>
      </c>
      <c r="AN473" t="s">
        <v>1688</v>
      </c>
      <c r="AO473" t="s">
        <v>73</v>
      </c>
      <c r="AP473">
        <v>200000</v>
      </c>
      <c r="AQ473" t="s">
        <v>73</v>
      </c>
      <c r="AS473">
        <v>10000</v>
      </c>
      <c r="AT473" t="s">
        <v>9</v>
      </c>
      <c r="AU473" t="s">
        <v>75</v>
      </c>
      <c r="AV473" t="s">
        <v>76</v>
      </c>
    </row>
    <row r="474" spans="1:48" x14ac:dyDescent="0.15">
      <c r="A474" s="4" t="str">
        <f>HYPERLINK("https://ibp.a2mac1.com/costing(costing:projects/details/9760/assembly/8413058)","Rotor Assembly")</f>
        <v>Rotor Assembly</v>
      </c>
      <c r="B474">
        <v>8413058</v>
      </c>
      <c r="D474">
        <v>8412933</v>
      </c>
      <c r="F474">
        <v>1</v>
      </c>
      <c r="G474">
        <v>0</v>
      </c>
      <c r="H474">
        <v>182.872171450396</v>
      </c>
      <c r="I474">
        <v>0.91895563542912562</v>
      </c>
      <c r="J474" t="s">
        <v>176</v>
      </c>
      <c r="K474">
        <v>6.4005260007638602</v>
      </c>
      <c r="L474">
        <v>190.19165308658899</v>
      </c>
      <c r="M474">
        <v>0</v>
      </c>
      <c r="N474">
        <v>2.6104477923260689</v>
      </c>
      <c r="O474">
        <v>192.80210087891507</v>
      </c>
      <c r="P474" t="s">
        <v>90</v>
      </c>
      <c r="Q474">
        <v>0</v>
      </c>
      <c r="R474" t="s">
        <v>90</v>
      </c>
      <c r="S474">
        <v>0</v>
      </c>
      <c r="T474" t="s">
        <v>90</v>
      </c>
      <c r="U474">
        <v>0</v>
      </c>
      <c r="V474" t="s">
        <v>90</v>
      </c>
      <c r="W474">
        <v>0</v>
      </c>
      <c r="X474" t="s">
        <v>90</v>
      </c>
      <c r="Y474">
        <v>0</v>
      </c>
      <c r="Z474">
        <v>192.80210087891507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17.600000000000001</v>
      </c>
      <c r="AN474" t="s">
        <v>1889</v>
      </c>
      <c r="AO474" t="s">
        <v>73</v>
      </c>
      <c r="AP474">
        <v>200000</v>
      </c>
      <c r="AQ474" t="s">
        <v>73</v>
      </c>
      <c r="AS474">
        <v>10000</v>
      </c>
      <c r="AT474" t="s">
        <v>3436</v>
      </c>
      <c r="AU474" t="s">
        <v>75</v>
      </c>
      <c r="AV474" t="s">
        <v>76</v>
      </c>
    </row>
    <row r="475" spans="1:48" x14ac:dyDescent="0.15">
      <c r="A475" s="4" t="str">
        <f>HYPERLINK("https://ibp.a2mac1.com/costing(costing:projects/details/9760/assembly/8413059)","Housings")</f>
        <v>Housings</v>
      </c>
      <c r="B475">
        <v>8413059</v>
      </c>
      <c r="D475">
        <v>8412933</v>
      </c>
      <c r="F475">
        <v>1</v>
      </c>
      <c r="G475">
        <v>0</v>
      </c>
      <c r="H475">
        <v>82.711134216529985</v>
      </c>
      <c r="I475">
        <v>0</v>
      </c>
      <c r="J475" t="s">
        <v>90</v>
      </c>
      <c r="K475">
        <v>0</v>
      </c>
      <c r="L475">
        <v>82.711134216529985</v>
      </c>
      <c r="M475">
        <v>0</v>
      </c>
      <c r="N475">
        <v>0</v>
      </c>
      <c r="O475">
        <v>82.711134216529985</v>
      </c>
      <c r="P475" t="s">
        <v>90</v>
      </c>
      <c r="Q475">
        <v>0</v>
      </c>
      <c r="R475" t="s">
        <v>90</v>
      </c>
      <c r="S475">
        <v>0</v>
      </c>
      <c r="T475" t="s">
        <v>90</v>
      </c>
      <c r="U475">
        <v>0</v>
      </c>
      <c r="V475" t="s">
        <v>90</v>
      </c>
      <c r="W475">
        <v>0</v>
      </c>
      <c r="X475" t="s">
        <v>90</v>
      </c>
      <c r="Y475">
        <v>0</v>
      </c>
      <c r="Z475">
        <v>82.711134216529985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N475" t="s">
        <v>72</v>
      </c>
      <c r="AO475" t="s">
        <v>73</v>
      </c>
      <c r="AP475">
        <v>200000</v>
      </c>
      <c r="AQ475" t="s">
        <v>73</v>
      </c>
      <c r="AS475">
        <v>10000</v>
      </c>
      <c r="AT475" t="s">
        <v>9</v>
      </c>
      <c r="AU475" t="s">
        <v>75</v>
      </c>
      <c r="AV475" t="s">
        <v>76</v>
      </c>
    </row>
    <row r="476" spans="1:48" x14ac:dyDescent="0.15">
      <c r="A476" s="4" t="str">
        <f>HYPERLINK("https://ibp.a2mac1.com/costing(costing:projects/details/9760/assembly/8413060)","Assembly parts")</f>
        <v>Assembly parts</v>
      </c>
      <c r="B476">
        <v>8413060</v>
      </c>
      <c r="D476">
        <v>8412933</v>
      </c>
      <c r="F476">
        <v>1</v>
      </c>
      <c r="G476">
        <v>0</v>
      </c>
      <c r="H476">
        <v>41.840139999999998</v>
      </c>
      <c r="I476">
        <v>0</v>
      </c>
      <c r="J476" t="s">
        <v>90</v>
      </c>
      <c r="K476">
        <v>0</v>
      </c>
      <c r="L476">
        <v>41.840139999999998</v>
      </c>
      <c r="M476">
        <v>0</v>
      </c>
      <c r="N476">
        <v>0</v>
      </c>
      <c r="O476">
        <v>41.840139999999998</v>
      </c>
      <c r="P476" t="s">
        <v>90</v>
      </c>
      <c r="Q476">
        <v>0</v>
      </c>
      <c r="R476" t="s">
        <v>90</v>
      </c>
      <c r="S476">
        <v>0</v>
      </c>
      <c r="T476" t="s">
        <v>90</v>
      </c>
      <c r="U476">
        <v>0</v>
      </c>
      <c r="V476" t="s">
        <v>90</v>
      </c>
      <c r="W476">
        <v>0</v>
      </c>
      <c r="X476" t="s">
        <v>90</v>
      </c>
      <c r="Y476">
        <v>0</v>
      </c>
      <c r="Z476">
        <v>41.840139999999998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N476" t="s">
        <v>72</v>
      </c>
      <c r="AO476" t="s">
        <v>73</v>
      </c>
      <c r="AP476">
        <v>200000</v>
      </c>
      <c r="AQ476" t="s">
        <v>73</v>
      </c>
      <c r="AS476">
        <v>10000</v>
      </c>
      <c r="AT476" t="s">
        <v>9</v>
      </c>
      <c r="AU476" t="s">
        <v>75</v>
      </c>
      <c r="AV476" t="s">
        <v>76</v>
      </c>
    </row>
    <row r="477" spans="1:48" x14ac:dyDescent="0.15">
      <c r="A477" s="4" t="str">
        <f>HYPERLINK("https://ibp.a2mac1.com/costing(costing:projects/details/9760/assembly/8412933)","Motor/Generator 2")</f>
        <v>Motor/Generator 2</v>
      </c>
      <c r="B477">
        <v>8412933</v>
      </c>
      <c r="D477">
        <v>8412871</v>
      </c>
      <c r="F477">
        <v>1</v>
      </c>
      <c r="G477">
        <v>0</v>
      </c>
      <c r="H477">
        <v>447.68982619114865</v>
      </c>
      <c r="I477">
        <v>2.2496976190509983</v>
      </c>
      <c r="J477" t="s">
        <v>176</v>
      </c>
      <c r="K477">
        <v>15.669143916690203</v>
      </c>
      <c r="L477">
        <v>465.60866772688985</v>
      </c>
      <c r="M477">
        <v>0</v>
      </c>
      <c r="N477">
        <v>6.6695620940297013</v>
      </c>
      <c r="O477">
        <v>472.27822982091953</v>
      </c>
      <c r="P477" t="s">
        <v>177</v>
      </c>
      <c r="Q477">
        <v>27.93652006361339</v>
      </c>
      <c r="R477" t="s">
        <v>177</v>
      </c>
      <c r="S477">
        <v>0.40017372564178205</v>
      </c>
      <c r="T477" t="s">
        <v>178</v>
      </c>
      <c r="U477">
        <v>56.673387578510344</v>
      </c>
      <c r="V477" t="s">
        <v>90</v>
      </c>
      <c r="W477">
        <v>0</v>
      </c>
      <c r="X477" t="s">
        <v>90</v>
      </c>
      <c r="Y477">
        <v>0</v>
      </c>
      <c r="Z477">
        <v>557.28831118868504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488</v>
      </c>
      <c r="AI477">
        <v>465</v>
      </c>
      <c r="AJ477">
        <v>335</v>
      </c>
      <c r="AK477">
        <v>0</v>
      </c>
      <c r="AL477">
        <v>58.692999999999998</v>
      </c>
      <c r="AN477" t="s">
        <v>95</v>
      </c>
      <c r="AO477" t="s">
        <v>73</v>
      </c>
      <c r="AP477">
        <v>200000</v>
      </c>
      <c r="AQ477" t="s">
        <v>97</v>
      </c>
      <c r="AS477">
        <v>10000</v>
      </c>
      <c r="AT477" t="s">
        <v>3474</v>
      </c>
      <c r="AU477" t="s">
        <v>75</v>
      </c>
      <c r="AV477" t="s">
        <v>76</v>
      </c>
    </row>
    <row r="478" spans="1:48" x14ac:dyDescent="0.15">
      <c r="A478" s="4" t="str">
        <f>HYPERLINK("https://ibp.a2mac1.com/costing(costing:projects/details/9760/assembly/8412871)","e-Motor System")</f>
        <v>e-Motor System</v>
      </c>
      <c r="B478">
        <v>8412871</v>
      </c>
      <c r="D478">
        <v>8412864</v>
      </c>
      <c r="F478">
        <v>1</v>
      </c>
      <c r="G478">
        <v>0</v>
      </c>
      <c r="H478">
        <v>925.26888185293615</v>
      </c>
      <c r="I478">
        <v>0</v>
      </c>
      <c r="J478" t="s">
        <v>90</v>
      </c>
      <c r="K478">
        <v>0</v>
      </c>
      <c r="L478">
        <v>925.26888185293615</v>
      </c>
      <c r="M478">
        <v>0</v>
      </c>
      <c r="N478">
        <v>0</v>
      </c>
      <c r="O478">
        <v>925.26888185293615</v>
      </c>
      <c r="P478" t="s">
        <v>90</v>
      </c>
      <c r="Q478">
        <v>0</v>
      </c>
      <c r="R478" t="s">
        <v>90</v>
      </c>
      <c r="S478">
        <v>0</v>
      </c>
      <c r="T478" t="s">
        <v>90</v>
      </c>
      <c r="U478">
        <v>0</v>
      </c>
      <c r="V478" t="s">
        <v>90</v>
      </c>
      <c r="W478">
        <v>0</v>
      </c>
      <c r="X478" t="s">
        <v>90</v>
      </c>
      <c r="Y478">
        <v>0</v>
      </c>
      <c r="Z478">
        <v>925.26888185293615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135.047</v>
      </c>
      <c r="AN478" t="s">
        <v>72</v>
      </c>
      <c r="AO478" t="s">
        <v>73</v>
      </c>
      <c r="AP478">
        <v>200000</v>
      </c>
      <c r="AQ478" t="s">
        <v>73</v>
      </c>
      <c r="AS478">
        <v>10000</v>
      </c>
      <c r="AT478" t="s">
        <v>3475</v>
      </c>
      <c r="AU478" t="s">
        <v>75</v>
      </c>
      <c r="AV478" t="s">
        <v>76</v>
      </c>
    </row>
    <row r="479" spans="1:48" x14ac:dyDescent="0.15">
      <c r="A479" s="4" t="str">
        <f>HYPERLINK("https://ibp.a2mac1.com/costing(costing:projects/details/9760/assembly/8413166)","Busbars")</f>
        <v>Busbars</v>
      </c>
      <c r="B479">
        <v>8413166</v>
      </c>
      <c r="D479">
        <v>8413061</v>
      </c>
      <c r="F479">
        <v>1</v>
      </c>
      <c r="G479">
        <v>0</v>
      </c>
      <c r="H479">
        <v>16.134255748651366</v>
      </c>
      <c r="I479">
        <v>0</v>
      </c>
      <c r="J479" t="s">
        <v>90</v>
      </c>
      <c r="K479">
        <v>0</v>
      </c>
      <c r="L479">
        <v>16.134255748651366</v>
      </c>
      <c r="M479">
        <v>0</v>
      </c>
      <c r="N479">
        <v>0</v>
      </c>
      <c r="O479">
        <v>16.134255748651366</v>
      </c>
      <c r="P479" t="s">
        <v>90</v>
      </c>
      <c r="Q479">
        <v>0</v>
      </c>
      <c r="R479" t="s">
        <v>90</v>
      </c>
      <c r="S479">
        <v>0</v>
      </c>
      <c r="T479" t="s">
        <v>90</v>
      </c>
      <c r="U479">
        <v>0</v>
      </c>
      <c r="V479" t="s">
        <v>90</v>
      </c>
      <c r="W479">
        <v>0</v>
      </c>
      <c r="X479" t="s">
        <v>90</v>
      </c>
      <c r="Y479">
        <v>0</v>
      </c>
      <c r="Z479">
        <v>16.134255748651366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1.1259999999999999</v>
      </c>
      <c r="AN479" t="s">
        <v>1015</v>
      </c>
      <c r="AO479" t="s">
        <v>73</v>
      </c>
      <c r="AP479">
        <v>200000</v>
      </c>
      <c r="AQ479" t="s">
        <v>73</v>
      </c>
      <c r="AS479">
        <v>10000</v>
      </c>
      <c r="AT479" t="s">
        <v>3497</v>
      </c>
      <c r="AU479" t="s">
        <v>75</v>
      </c>
      <c r="AV479" t="s">
        <v>76</v>
      </c>
    </row>
    <row r="480" spans="1:48" x14ac:dyDescent="0.15">
      <c r="A480" s="4" t="str">
        <f>HYPERLINK("https://ibp.a2mac1.com/costing(costing:projects/details/9760/assembly/8413261)","HV Connectors")</f>
        <v>HV Connectors</v>
      </c>
      <c r="B480">
        <v>8413261</v>
      </c>
      <c r="D480">
        <v>8413167</v>
      </c>
      <c r="F480">
        <v>1</v>
      </c>
      <c r="G480">
        <v>0</v>
      </c>
      <c r="H480">
        <v>6.2061409133421357</v>
      </c>
      <c r="I480">
        <v>0</v>
      </c>
      <c r="J480" t="s">
        <v>90</v>
      </c>
      <c r="K480">
        <v>0</v>
      </c>
      <c r="L480">
        <v>6.2061409133421357</v>
      </c>
      <c r="M480">
        <v>0</v>
      </c>
      <c r="N480">
        <v>0</v>
      </c>
      <c r="O480">
        <v>6.2061409133421357</v>
      </c>
      <c r="P480" t="s">
        <v>90</v>
      </c>
      <c r="Q480">
        <v>0</v>
      </c>
      <c r="R480" t="s">
        <v>90</v>
      </c>
      <c r="S480">
        <v>0</v>
      </c>
      <c r="T480" t="s">
        <v>90</v>
      </c>
      <c r="U480">
        <v>0</v>
      </c>
      <c r="V480" t="s">
        <v>90</v>
      </c>
      <c r="W480">
        <v>0</v>
      </c>
      <c r="X480" t="s">
        <v>90</v>
      </c>
      <c r="Y480">
        <v>0</v>
      </c>
      <c r="Z480">
        <v>6.2061409133421357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0.14399999999999999</v>
      </c>
      <c r="AN480" t="s">
        <v>1015</v>
      </c>
      <c r="AO480" t="s">
        <v>73</v>
      </c>
      <c r="AP480">
        <v>200000</v>
      </c>
      <c r="AQ480" t="s">
        <v>73</v>
      </c>
      <c r="AS480">
        <v>10000</v>
      </c>
      <c r="AT480" t="s">
        <v>3515</v>
      </c>
      <c r="AU480" t="s">
        <v>75</v>
      </c>
      <c r="AV480" t="s">
        <v>76</v>
      </c>
    </row>
    <row r="481" spans="1:48" x14ac:dyDescent="0.15">
      <c r="A481" s="4" t="str">
        <f>HYPERLINK("https://ibp.a2mac1.com/costing(costing:projects/details/9760/assembly/8413167)","Connectors")</f>
        <v>Connectors</v>
      </c>
      <c r="B481">
        <v>8413167</v>
      </c>
      <c r="D481">
        <v>8413061</v>
      </c>
      <c r="F481">
        <v>1</v>
      </c>
      <c r="G481">
        <v>0</v>
      </c>
      <c r="H481">
        <v>6.2061409133421357</v>
      </c>
      <c r="I481">
        <v>0</v>
      </c>
      <c r="J481" t="s">
        <v>90</v>
      </c>
      <c r="K481">
        <v>0</v>
      </c>
      <c r="L481">
        <v>6.2061409133421357</v>
      </c>
      <c r="M481">
        <v>0</v>
      </c>
      <c r="N481">
        <v>0</v>
      </c>
      <c r="O481">
        <v>6.2061409133421357</v>
      </c>
      <c r="P481" t="s">
        <v>90</v>
      </c>
      <c r="Q481">
        <v>0</v>
      </c>
      <c r="R481" t="s">
        <v>90</v>
      </c>
      <c r="S481">
        <v>0</v>
      </c>
      <c r="T481" t="s">
        <v>90</v>
      </c>
      <c r="U481">
        <v>0</v>
      </c>
      <c r="V481" t="s">
        <v>90</v>
      </c>
      <c r="W481">
        <v>0</v>
      </c>
      <c r="X481" t="s">
        <v>90</v>
      </c>
      <c r="Y481">
        <v>0</v>
      </c>
      <c r="Z481">
        <v>6.2061409133421357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0.14399999999999999</v>
      </c>
      <c r="AN481" t="s">
        <v>1015</v>
      </c>
      <c r="AO481" t="s">
        <v>73</v>
      </c>
      <c r="AP481">
        <v>200000</v>
      </c>
      <c r="AQ481" t="s">
        <v>73</v>
      </c>
      <c r="AS481">
        <v>10000</v>
      </c>
      <c r="AT481" t="s">
        <v>3516</v>
      </c>
      <c r="AU481" t="s">
        <v>75</v>
      </c>
      <c r="AV481" t="s">
        <v>76</v>
      </c>
    </row>
    <row r="482" spans="1:48" x14ac:dyDescent="0.15">
      <c r="A482" s="4" t="str">
        <f>HYPERLINK("https://ibp.a2mac1.com/costing(costing:projects/details/9760/assembly/8413168)","Wire Harnesses")</f>
        <v>Wire Harnesses</v>
      </c>
      <c r="B482">
        <v>8413168</v>
      </c>
      <c r="D482">
        <v>8413061</v>
      </c>
      <c r="F482">
        <v>1</v>
      </c>
      <c r="G482">
        <v>0</v>
      </c>
      <c r="H482">
        <v>1.1996929205246587</v>
      </c>
      <c r="I482">
        <v>0</v>
      </c>
      <c r="J482" t="s">
        <v>90</v>
      </c>
      <c r="K482">
        <v>0</v>
      </c>
      <c r="L482">
        <v>1.1996929205246587</v>
      </c>
      <c r="M482">
        <v>0</v>
      </c>
      <c r="N482">
        <v>0</v>
      </c>
      <c r="O482">
        <v>1.1996929205246587</v>
      </c>
      <c r="P482" t="s">
        <v>90</v>
      </c>
      <c r="Q482">
        <v>0</v>
      </c>
      <c r="R482" t="s">
        <v>90</v>
      </c>
      <c r="S482">
        <v>0</v>
      </c>
      <c r="T482" t="s">
        <v>90</v>
      </c>
      <c r="U482">
        <v>0</v>
      </c>
      <c r="V482" t="s">
        <v>90</v>
      </c>
      <c r="W482">
        <v>0</v>
      </c>
      <c r="X482" t="s">
        <v>90</v>
      </c>
      <c r="Y482">
        <v>0</v>
      </c>
      <c r="Z482">
        <v>1.1996929205246587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1.4E-2</v>
      </c>
      <c r="AN482" t="s">
        <v>1015</v>
      </c>
      <c r="AO482" t="s">
        <v>73</v>
      </c>
      <c r="AP482">
        <v>200000</v>
      </c>
      <c r="AQ482" t="s">
        <v>97</v>
      </c>
      <c r="AS482">
        <v>10000</v>
      </c>
      <c r="AT482" t="s">
        <v>3520</v>
      </c>
      <c r="AU482" t="s">
        <v>75</v>
      </c>
      <c r="AV482" t="s">
        <v>76</v>
      </c>
    </row>
    <row r="483" spans="1:48" x14ac:dyDescent="0.15">
      <c r="A483" s="4" t="str">
        <f>HYPERLINK("https://ibp.a2mac1.com/costing(costing:projects/details/9760/assembly/8413061)","Connectors &amp; Wire Harnesses")</f>
        <v>Connectors &amp; Wire Harnesses</v>
      </c>
      <c r="B483">
        <v>8413061</v>
      </c>
      <c r="D483">
        <v>8412938</v>
      </c>
      <c r="F483">
        <v>1</v>
      </c>
      <c r="G483">
        <v>0</v>
      </c>
      <c r="H483">
        <v>23.54008958251816</v>
      </c>
      <c r="I483">
        <v>0</v>
      </c>
      <c r="J483" t="s">
        <v>90</v>
      </c>
      <c r="K483">
        <v>0</v>
      </c>
      <c r="L483">
        <v>23.54008958251816</v>
      </c>
      <c r="M483">
        <v>0</v>
      </c>
      <c r="N483">
        <v>0</v>
      </c>
      <c r="O483">
        <v>23.54008958251816</v>
      </c>
      <c r="P483" t="s">
        <v>90</v>
      </c>
      <c r="Q483">
        <v>0</v>
      </c>
      <c r="R483" t="s">
        <v>90</v>
      </c>
      <c r="S483">
        <v>0</v>
      </c>
      <c r="T483" t="s">
        <v>90</v>
      </c>
      <c r="U483">
        <v>0</v>
      </c>
      <c r="V483" t="s">
        <v>90</v>
      </c>
      <c r="W483">
        <v>0</v>
      </c>
      <c r="X483" t="s">
        <v>90</v>
      </c>
      <c r="Y483">
        <v>0</v>
      </c>
      <c r="Z483">
        <v>23.54008958251816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1.284</v>
      </c>
      <c r="AN483" t="s">
        <v>1015</v>
      </c>
      <c r="AO483" t="s">
        <v>73</v>
      </c>
      <c r="AP483">
        <v>200000</v>
      </c>
      <c r="AQ483" t="s">
        <v>97</v>
      </c>
      <c r="AS483">
        <v>10000</v>
      </c>
      <c r="AT483" t="s">
        <v>3521</v>
      </c>
      <c r="AU483" t="s">
        <v>75</v>
      </c>
      <c r="AV483" t="s">
        <v>76</v>
      </c>
    </row>
    <row r="484" spans="1:48" x14ac:dyDescent="0.15">
      <c r="A484" s="4" t="str">
        <f>HYPERLINK("https://ibp.a2mac1.com/costing(costing:projects/details/9760/assembly/8413169)","Capacitors")</f>
        <v>Capacitors</v>
      </c>
      <c r="B484">
        <v>8413169</v>
      </c>
      <c r="D484">
        <v>8413062</v>
      </c>
      <c r="F484">
        <v>1</v>
      </c>
      <c r="G484">
        <v>0</v>
      </c>
      <c r="H484">
        <v>28.206</v>
      </c>
      <c r="I484">
        <v>0</v>
      </c>
      <c r="J484" t="s">
        <v>90</v>
      </c>
      <c r="K484">
        <v>0</v>
      </c>
      <c r="L484">
        <v>28.206</v>
      </c>
      <c r="M484">
        <v>0</v>
      </c>
      <c r="N484">
        <v>0</v>
      </c>
      <c r="O484">
        <v>28.206</v>
      </c>
      <c r="P484" t="s">
        <v>90</v>
      </c>
      <c r="Q484">
        <v>0</v>
      </c>
      <c r="R484" t="s">
        <v>90</v>
      </c>
      <c r="S484">
        <v>0</v>
      </c>
      <c r="T484" t="s">
        <v>90</v>
      </c>
      <c r="U484">
        <v>0</v>
      </c>
      <c r="V484" t="s">
        <v>90</v>
      </c>
      <c r="W484">
        <v>0</v>
      </c>
      <c r="X484" t="s">
        <v>90</v>
      </c>
      <c r="Y484">
        <v>0</v>
      </c>
      <c r="Z484">
        <v>28.206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1.542</v>
      </c>
      <c r="AN484" t="s">
        <v>1015</v>
      </c>
      <c r="AO484" t="s">
        <v>73</v>
      </c>
      <c r="AP484">
        <v>200000</v>
      </c>
      <c r="AQ484" t="s">
        <v>73</v>
      </c>
      <c r="AS484">
        <v>10000</v>
      </c>
      <c r="AT484" t="s">
        <v>3526</v>
      </c>
      <c r="AU484" t="s">
        <v>75</v>
      </c>
      <c r="AV484" t="s">
        <v>76</v>
      </c>
    </row>
    <row r="485" spans="1:48" x14ac:dyDescent="0.15">
      <c r="A485" s="4" t="str">
        <f>HYPERLINK("https://ibp.a2mac1.com/costing(costing:projects/details/9760/assembly/8413170)","Power Modules")</f>
        <v>Power Modules</v>
      </c>
      <c r="B485">
        <v>8413170</v>
      </c>
      <c r="D485">
        <v>8413062</v>
      </c>
      <c r="F485">
        <v>1</v>
      </c>
      <c r="G485">
        <v>0</v>
      </c>
      <c r="H485">
        <v>259.95499999999998</v>
      </c>
      <c r="I485">
        <v>0</v>
      </c>
      <c r="J485" t="s">
        <v>90</v>
      </c>
      <c r="K485">
        <v>0</v>
      </c>
      <c r="L485">
        <v>259.95499999999998</v>
      </c>
      <c r="M485">
        <v>0</v>
      </c>
      <c r="N485">
        <v>0</v>
      </c>
      <c r="O485">
        <v>259.95499999999998</v>
      </c>
      <c r="P485" t="s">
        <v>90</v>
      </c>
      <c r="Q485">
        <v>0</v>
      </c>
      <c r="R485" t="s">
        <v>90</v>
      </c>
      <c r="S485">
        <v>0</v>
      </c>
      <c r="T485" t="s">
        <v>90</v>
      </c>
      <c r="U485">
        <v>0</v>
      </c>
      <c r="V485" t="s">
        <v>90</v>
      </c>
      <c r="W485">
        <v>0</v>
      </c>
      <c r="X485" t="s">
        <v>90</v>
      </c>
      <c r="Y485">
        <v>0</v>
      </c>
      <c r="Z485">
        <v>259.95499999999998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0.74199999999999999</v>
      </c>
      <c r="AN485" t="s">
        <v>1015</v>
      </c>
      <c r="AO485" t="s">
        <v>73</v>
      </c>
      <c r="AP485">
        <v>200000</v>
      </c>
      <c r="AQ485" t="s">
        <v>73</v>
      </c>
      <c r="AS485">
        <v>10000</v>
      </c>
      <c r="AT485" t="s">
        <v>3530</v>
      </c>
      <c r="AU485" t="s">
        <v>75</v>
      </c>
      <c r="AV485" t="s">
        <v>76</v>
      </c>
    </row>
    <row r="486" spans="1:48" x14ac:dyDescent="0.15">
      <c r="A486" s="4" t="str">
        <f>HYPERLINK("https://ibp.a2mac1.com/costing(costing:projects/details/9760/assembly/8413062)","Electrical Parts")</f>
        <v>Electrical Parts</v>
      </c>
      <c r="B486">
        <v>8413062</v>
      </c>
      <c r="D486">
        <v>8412938</v>
      </c>
      <c r="F486">
        <v>1</v>
      </c>
      <c r="G486">
        <v>0</v>
      </c>
      <c r="H486">
        <v>288.161</v>
      </c>
      <c r="I486">
        <v>0</v>
      </c>
      <c r="J486" t="s">
        <v>90</v>
      </c>
      <c r="K486">
        <v>0</v>
      </c>
      <c r="L486">
        <v>288.161</v>
      </c>
      <c r="M486">
        <v>0</v>
      </c>
      <c r="N486">
        <v>0</v>
      </c>
      <c r="O486">
        <v>288.161</v>
      </c>
      <c r="P486" t="s">
        <v>90</v>
      </c>
      <c r="Q486">
        <v>0</v>
      </c>
      <c r="R486" t="s">
        <v>90</v>
      </c>
      <c r="S486">
        <v>0</v>
      </c>
      <c r="T486" t="s">
        <v>90</v>
      </c>
      <c r="U486">
        <v>0</v>
      </c>
      <c r="V486" t="s">
        <v>90</v>
      </c>
      <c r="W486">
        <v>0</v>
      </c>
      <c r="X486" t="s">
        <v>90</v>
      </c>
      <c r="Y486">
        <v>0</v>
      </c>
      <c r="Z486">
        <v>288.161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2.2839999999999998</v>
      </c>
      <c r="AN486" t="s">
        <v>1015</v>
      </c>
      <c r="AO486" t="s">
        <v>73</v>
      </c>
      <c r="AP486">
        <v>200000</v>
      </c>
      <c r="AQ486" t="s">
        <v>73</v>
      </c>
      <c r="AS486">
        <v>10000</v>
      </c>
      <c r="AT486" t="s">
        <v>3531</v>
      </c>
      <c r="AU486" t="s">
        <v>75</v>
      </c>
      <c r="AV486" t="s">
        <v>76</v>
      </c>
    </row>
    <row r="487" spans="1:48" x14ac:dyDescent="0.15">
      <c r="A487" s="4" t="str">
        <f>HYPERLINK("https://ibp.a2mac1.com/costing(costing:projects/details/9760/assembly/8413063)","Electronic Parts")</f>
        <v>Electronic Parts</v>
      </c>
      <c r="B487">
        <v>8413063</v>
      </c>
      <c r="D487">
        <v>8412938</v>
      </c>
      <c r="F487">
        <v>1</v>
      </c>
      <c r="G487">
        <v>0</v>
      </c>
      <c r="H487">
        <v>58.886000000000003</v>
      </c>
      <c r="I487">
        <v>0</v>
      </c>
      <c r="J487" t="s">
        <v>90</v>
      </c>
      <c r="K487">
        <v>0</v>
      </c>
      <c r="L487">
        <v>58.886000000000003</v>
      </c>
      <c r="M487">
        <v>0</v>
      </c>
      <c r="N487">
        <v>0</v>
      </c>
      <c r="O487">
        <v>58.886000000000003</v>
      </c>
      <c r="P487" t="s">
        <v>90</v>
      </c>
      <c r="Q487">
        <v>0</v>
      </c>
      <c r="R487" t="s">
        <v>90</v>
      </c>
      <c r="S487">
        <v>0</v>
      </c>
      <c r="T487" t="s">
        <v>90</v>
      </c>
      <c r="U487">
        <v>0</v>
      </c>
      <c r="V487" t="s">
        <v>90</v>
      </c>
      <c r="W487">
        <v>0</v>
      </c>
      <c r="X487" t="s">
        <v>90</v>
      </c>
      <c r="Y487">
        <v>0</v>
      </c>
      <c r="Z487">
        <v>58.886000000000003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N487" t="s">
        <v>1015</v>
      </c>
      <c r="AO487" t="s">
        <v>73</v>
      </c>
      <c r="AP487">
        <v>200000</v>
      </c>
      <c r="AQ487" t="s">
        <v>73</v>
      </c>
      <c r="AS487">
        <v>10000</v>
      </c>
      <c r="AT487" t="s">
        <v>3536</v>
      </c>
      <c r="AU487" t="s">
        <v>75</v>
      </c>
      <c r="AV487" t="s">
        <v>76</v>
      </c>
    </row>
    <row r="488" spans="1:48" x14ac:dyDescent="0.15">
      <c r="A488" s="4" t="str">
        <f>HYPERLINK("https://ibp.a2mac1.com/costing(costing:projects/details/9760/assembly/8413174)","Brackets")</f>
        <v>Brackets</v>
      </c>
      <c r="B488">
        <v>8413174</v>
      </c>
      <c r="D488">
        <v>8413064</v>
      </c>
      <c r="F488">
        <v>1</v>
      </c>
      <c r="G488">
        <v>0</v>
      </c>
      <c r="H488">
        <v>7.9329999999999998</v>
      </c>
      <c r="I488">
        <v>0</v>
      </c>
      <c r="J488" t="s">
        <v>90</v>
      </c>
      <c r="K488">
        <v>0</v>
      </c>
      <c r="L488">
        <v>7.9329999999999998</v>
      </c>
      <c r="M488">
        <v>0</v>
      </c>
      <c r="N488">
        <v>0</v>
      </c>
      <c r="O488">
        <v>7.9329999999999998</v>
      </c>
      <c r="P488" t="s">
        <v>90</v>
      </c>
      <c r="Q488">
        <v>0</v>
      </c>
      <c r="R488" t="s">
        <v>90</v>
      </c>
      <c r="S488">
        <v>0</v>
      </c>
      <c r="T488" t="s">
        <v>90</v>
      </c>
      <c r="U488">
        <v>0</v>
      </c>
      <c r="V488" t="s">
        <v>90</v>
      </c>
      <c r="W488">
        <v>0</v>
      </c>
      <c r="X488" t="s">
        <v>90</v>
      </c>
      <c r="Y488">
        <v>0</v>
      </c>
      <c r="Z488">
        <v>7.9329999999999998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0.79400000000000004</v>
      </c>
      <c r="AN488" t="s">
        <v>1015</v>
      </c>
      <c r="AO488" t="s">
        <v>73</v>
      </c>
      <c r="AP488">
        <v>200000</v>
      </c>
      <c r="AQ488" t="s">
        <v>97</v>
      </c>
      <c r="AS488">
        <v>10000</v>
      </c>
      <c r="AT488" t="s">
        <v>3545</v>
      </c>
      <c r="AU488" t="s">
        <v>75</v>
      </c>
      <c r="AV488" t="s">
        <v>76</v>
      </c>
    </row>
    <row r="489" spans="1:48" x14ac:dyDescent="0.15">
      <c r="A489" s="4" t="str">
        <f>HYPERLINK("https://ibp.a2mac1.com/costing(costing:projects/details/9760/assembly/8413175)","Covers")</f>
        <v>Covers</v>
      </c>
      <c r="B489">
        <v>8413175</v>
      </c>
      <c r="D489">
        <v>8413064</v>
      </c>
      <c r="F489">
        <v>1</v>
      </c>
      <c r="G489">
        <v>0</v>
      </c>
      <c r="H489">
        <v>0.17100000000000001</v>
      </c>
      <c r="I489">
        <v>0</v>
      </c>
      <c r="J489" t="s">
        <v>90</v>
      </c>
      <c r="K489">
        <v>0</v>
      </c>
      <c r="L489">
        <v>0.17100000000000001</v>
      </c>
      <c r="M489">
        <v>0</v>
      </c>
      <c r="N489">
        <v>0</v>
      </c>
      <c r="O489">
        <v>0.17100000000000001</v>
      </c>
      <c r="P489" t="s">
        <v>90</v>
      </c>
      <c r="Q489">
        <v>0</v>
      </c>
      <c r="R489" t="s">
        <v>90</v>
      </c>
      <c r="S489">
        <v>0</v>
      </c>
      <c r="T489" t="s">
        <v>90</v>
      </c>
      <c r="U489">
        <v>0</v>
      </c>
      <c r="V489" t="s">
        <v>90</v>
      </c>
      <c r="W489">
        <v>0</v>
      </c>
      <c r="X489" t="s">
        <v>90</v>
      </c>
      <c r="Y489">
        <v>0</v>
      </c>
      <c r="Z489">
        <v>0.17100000000000001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1.0999999999999999E-2</v>
      </c>
      <c r="AN489" t="s">
        <v>1015</v>
      </c>
      <c r="AO489" t="s">
        <v>73</v>
      </c>
      <c r="AP489">
        <v>200000</v>
      </c>
      <c r="AQ489" t="s">
        <v>73</v>
      </c>
      <c r="AS489">
        <v>10000</v>
      </c>
      <c r="AT489" t="s">
        <v>3549</v>
      </c>
      <c r="AU489" t="s">
        <v>75</v>
      </c>
      <c r="AV489" t="s">
        <v>76</v>
      </c>
    </row>
    <row r="490" spans="1:48" x14ac:dyDescent="0.15">
      <c r="A490" s="4" t="str">
        <f>HYPERLINK("https://ibp.a2mac1.com/costing(costing:projects/details/9760/assembly/8413176)","Housing Parts")</f>
        <v>Housing Parts</v>
      </c>
      <c r="B490">
        <v>8413176</v>
      </c>
      <c r="D490">
        <v>8413064</v>
      </c>
      <c r="F490">
        <v>1</v>
      </c>
      <c r="G490">
        <v>0</v>
      </c>
      <c r="H490">
        <v>9.4822078874576512</v>
      </c>
      <c r="I490">
        <v>0</v>
      </c>
      <c r="J490" t="s">
        <v>90</v>
      </c>
      <c r="K490">
        <v>0</v>
      </c>
      <c r="L490">
        <v>9.4822078874576512</v>
      </c>
      <c r="M490">
        <v>0</v>
      </c>
      <c r="N490">
        <v>0</v>
      </c>
      <c r="O490">
        <v>9.4822078874576512</v>
      </c>
      <c r="P490" t="s">
        <v>90</v>
      </c>
      <c r="Q490">
        <v>0</v>
      </c>
      <c r="R490" t="s">
        <v>90</v>
      </c>
      <c r="S490">
        <v>0</v>
      </c>
      <c r="T490" t="s">
        <v>90</v>
      </c>
      <c r="U490">
        <v>0</v>
      </c>
      <c r="V490" t="s">
        <v>90</v>
      </c>
      <c r="W490">
        <v>0</v>
      </c>
      <c r="X490" t="s">
        <v>90</v>
      </c>
      <c r="Y490">
        <v>0</v>
      </c>
      <c r="Z490">
        <v>9.4822078874576512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1.5740000000000001</v>
      </c>
      <c r="AN490" t="s">
        <v>1015</v>
      </c>
      <c r="AO490" t="s">
        <v>73</v>
      </c>
      <c r="AP490">
        <v>200000</v>
      </c>
      <c r="AQ490" t="s">
        <v>73</v>
      </c>
      <c r="AS490">
        <v>10000</v>
      </c>
      <c r="AT490" t="s">
        <v>3557</v>
      </c>
      <c r="AU490" t="s">
        <v>75</v>
      </c>
      <c r="AV490" t="s">
        <v>76</v>
      </c>
    </row>
    <row r="491" spans="1:48" x14ac:dyDescent="0.15">
      <c r="A491" s="4" t="str">
        <f>HYPERLINK("https://ibp.a2mac1.com/costing(costing:projects/details/9760/assembly/8413177)","Pressure Vents")</f>
        <v>Pressure Vents</v>
      </c>
      <c r="B491">
        <v>8413177</v>
      </c>
      <c r="D491">
        <v>8413064</v>
      </c>
      <c r="F491">
        <v>1</v>
      </c>
      <c r="G491">
        <v>0</v>
      </c>
      <c r="H491">
        <v>0.185</v>
      </c>
      <c r="I491">
        <v>0</v>
      </c>
      <c r="J491" t="s">
        <v>90</v>
      </c>
      <c r="K491">
        <v>0</v>
      </c>
      <c r="L491">
        <v>0.185</v>
      </c>
      <c r="M491">
        <v>0</v>
      </c>
      <c r="N491">
        <v>0</v>
      </c>
      <c r="O491">
        <v>0.185</v>
      </c>
      <c r="P491" t="s">
        <v>90</v>
      </c>
      <c r="Q491">
        <v>0</v>
      </c>
      <c r="R491" t="s">
        <v>90</v>
      </c>
      <c r="S491">
        <v>0</v>
      </c>
      <c r="T491" t="s">
        <v>90</v>
      </c>
      <c r="U491">
        <v>0</v>
      </c>
      <c r="V491" t="s">
        <v>90</v>
      </c>
      <c r="W491">
        <v>0</v>
      </c>
      <c r="X491" t="s">
        <v>90</v>
      </c>
      <c r="Y491">
        <v>0</v>
      </c>
      <c r="Z491">
        <v>0.185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1E-3</v>
      </c>
      <c r="AN491" t="s">
        <v>1015</v>
      </c>
      <c r="AO491" t="s">
        <v>73</v>
      </c>
      <c r="AP491">
        <v>200000</v>
      </c>
      <c r="AQ491" t="s">
        <v>73</v>
      </c>
      <c r="AS491">
        <v>10000</v>
      </c>
      <c r="AT491" t="s">
        <v>3560</v>
      </c>
      <c r="AU491" t="s">
        <v>75</v>
      </c>
      <c r="AV491" t="s">
        <v>76</v>
      </c>
    </row>
    <row r="492" spans="1:48" x14ac:dyDescent="0.15">
      <c r="A492" s="4" t="str">
        <f>HYPERLINK("https://ibp.a2mac1.com/costing(costing:projects/details/9760/assembly/8413178)","Seals")</f>
        <v>Seals</v>
      </c>
      <c r="B492">
        <v>8413178</v>
      </c>
      <c r="D492">
        <v>8413064</v>
      </c>
      <c r="F492">
        <v>1</v>
      </c>
      <c r="G492">
        <v>0</v>
      </c>
      <c r="H492">
        <v>7.5999999999999998E-2</v>
      </c>
      <c r="I492">
        <v>0</v>
      </c>
      <c r="J492" t="s">
        <v>90</v>
      </c>
      <c r="K492">
        <v>0</v>
      </c>
      <c r="L492">
        <v>7.5999999999999998E-2</v>
      </c>
      <c r="M492">
        <v>0</v>
      </c>
      <c r="N492">
        <v>0</v>
      </c>
      <c r="O492">
        <v>7.5999999999999998E-2</v>
      </c>
      <c r="P492" t="s">
        <v>90</v>
      </c>
      <c r="Q492">
        <v>0</v>
      </c>
      <c r="R492" t="s">
        <v>90</v>
      </c>
      <c r="S492">
        <v>0</v>
      </c>
      <c r="T492" t="s">
        <v>90</v>
      </c>
      <c r="U492">
        <v>0</v>
      </c>
      <c r="V492" t="s">
        <v>90</v>
      </c>
      <c r="W492">
        <v>0</v>
      </c>
      <c r="X492" t="s">
        <v>90</v>
      </c>
      <c r="Y492">
        <v>0</v>
      </c>
      <c r="Z492">
        <v>7.5999999999999998E-2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5.0000000000000001E-3</v>
      </c>
      <c r="AN492" t="s">
        <v>1015</v>
      </c>
      <c r="AO492" t="s">
        <v>73</v>
      </c>
      <c r="AP492">
        <v>200000</v>
      </c>
      <c r="AQ492" t="s">
        <v>73</v>
      </c>
      <c r="AS492">
        <v>10000</v>
      </c>
      <c r="AT492" t="s">
        <v>3564</v>
      </c>
      <c r="AU492" t="s">
        <v>75</v>
      </c>
      <c r="AV492" t="s">
        <v>76</v>
      </c>
    </row>
    <row r="493" spans="1:48" x14ac:dyDescent="0.15">
      <c r="A493" s="4" t="str">
        <f>HYPERLINK("https://ibp.a2mac1.com/costing(costing:projects/details/9760/assembly/8413064)","Mechanical Parts")</f>
        <v>Mechanical Parts</v>
      </c>
      <c r="B493">
        <v>8413064</v>
      </c>
      <c r="D493">
        <v>8412938</v>
      </c>
      <c r="F493">
        <v>1</v>
      </c>
      <c r="G493">
        <v>0</v>
      </c>
      <c r="H493">
        <v>17.84720788745765</v>
      </c>
      <c r="I493">
        <v>0</v>
      </c>
      <c r="J493" t="s">
        <v>90</v>
      </c>
      <c r="K493">
        <v>0</v>
      </c>
      <c r="L493">
        <v>17.84720788745765</v>
      </c>
      <c r="M493">
        <v>0</v>
      </c>
      <c r="N493">
        <v>0</v>
      </c>
      <c r="O493">
        <v>17.84720788745765</v>
      </c>
      <c r="P493" t="s">
        <v>90</v>
      </c>
      <c r="Q493">
        <v>0</v>
      </c>
      <c r="R493" t="s">
        <v>90</v>
      </c>
      <c r="S493">
        <v>0</v>
      </c>
      <c r="T493" t="s">
        <v>90</v>
      </c>
      <c r="U493">
        <v>0</v>
      </c>
      <c r="V493" t="s">
        <v>90</v>
      </c>
      <c r="W493">
        <v>0</v>
      </c>
      <c r="X493" t="s">
        <v>90</v>
      </c>
      <c r="Y493">
        <v>0</v>
      </c>
      <c r="Z493">
        <v>17.84720788745765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2.3849999999999998</v>
      </c>
      <c r="AN493" t="s">
        <v>1015</v>
      </c>
      <c r="AO493" t="s">
        <v>73</v>
      </c>
      <c r="AP493">
        <v>200000</v>
      </c>
      <c r="AQ493" t="s">
        <v>73</v>
      </c>
      <c r="AS493">
        <v>10000</v>
      </c>
      <c r="AT493" t="s">
        <v>3565</v>
      </c>
      <c r="AU493" t="s">
        <v>75</v>
      </c>
      <c r="AV493" t="s">
        <v>76</v>
      </c>
    </row>
    <row r="494" spans="1:48" x14ac:dyDescent="0.15">
      <c r="A494" s="4" t="str">
        <f>HYPERLINK("https://ibp.a2mac1.com/costing(costing:projects/details/9760/assembly/8412938)","AC DC Inverter")</f>
        <v>AC DC Inverter</v>
      </c>
      <c r="B494">
        <v>8412938</v>
      </c>
      <c r="D494">
        <v>8412872</v>
      </c>
      <c r="F494">
        <v>1</v>
      </c>
      <c r="G494">
        <v>0</v>
      </c>
      <c r="H494">
        <v>388.43429746997583</v>
      </c>
      <c r="I494">
        <v>1.9519311430652051</v>
      </c>
      <c r="J494" t="s">
        <v>176</v>
      </c>
      <c r="K494">
        <v>13.595200411449154</v>
      </c>
      <c r="L494">
        <v>403.98142902449018</v>
      </c>
      <c r="M494">
        <v>0</v>
      </c>
      <c r="N494">
        <v>12.881605576801885</v>
      </c>
      <c r="O494">
        <v>416.86303460129204</v>
      </c>
      <c r="P494" t="s">
        <v>177</v>
      </c>
      <c r="Q494">
        <v>24.23888574146941</v>
      </c>
      <c r="R494" t="s">
        <v>177</v>
      </c>
      <c r="S494">
        <v>0.77289633460811313</v>
      </c>
      <c r="T494" t="s">
        <v>178</v>
      </c>
      <c r="U494">
        <v>50.023564152155046</v>
      </c>
      <c r="V494" t="s">
        <v>90</v>
      </c>
      <c r="W494">
        <v>0</v>
      </c>
      <c r="X494" t="s">
        <v>90</v>
      </c>
      <c r="Y494">
        <v>0</v>
      </c>
      <c r="Z494">
        <v>491.89838082952463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470</v>
      </c>
      <c r="AI494">
        <v>438</v>
      </c>
      <c r="AJ494">
        <v>357</v>
      </c>
      <c r="AK494">
        <v>0</v>
      </c>
      <c r="AL494">
        <v>5.9530000000000003</v>
      </c>
      <c r="AN494" t="s">
        <v>95</v>
      </c>
      <c r="AO494" t="s">
        <v>73</v>
      </c>
      <c r="AP494">
        <v>200000</v>
      </c>
      <c r="AQ494" t="s">
        <v>97</v>
      </c>
      <c r="AS494">
        <v>10000</v>
      </c>
      <c r="AT494" t="s">
        <v>3568</v>
      </c>
      <c r="AU494" t="s">
        <v>75</v>
      </c>
      <c r="AV494" t="s">
        <v>76</v>
      </c>
    </row>
    <row r="495" spans="1:48" x14ac:dyDescent="0.15">
      <c r="A495" s="4" t="str">
        <f>HYPERLINK("https://ibp.a2mac1.com/costing(costing:projects/details/9760/assembly/8413179)","Busbars")</f>
        <v>Busbars</v>
      </c>
      <c r="B495">
        <v>8413179</v>
      </c>
      <c r="D495">
        <v>8413065</v>
      </c>
      <c r="F495">
        <v>1</v>
      </c>
      <c r="G495">
        <v>0</v>
      </c>
      <c r="H495">
        <v>9.8957488213559657</v>
      </c>
      <c r="I495">
        <v>0</v>
      </c>
      <c r="J495" t="s">
        <v>90</v>
      </c>
      <c r="K495">
        <v>0</v>
      </c>
      <c r="L495">
        <v>9.8957488213559657</v>
      </c>
      <c r="M495">
        <v>0</v>
      </c>
      <c r="N495">
        <v>0</v>
      </c>
      <c r="O495">
        <v>9.8957488213559657</v>
      </c>
      <c r="P495" t="s">
        <v>90</v>
      </c>
      <c r="Q495">
        <v>0</v>
      </c>
      <c r="R495" t="s">
        <v>90</v>
      </c>
      <c r="S495">
        <v>0</v>
      </c>
      <c r="T495" t="s">
        <v>90</v>
      </c>
      <c r="U495">
        <v>0</v>
      </c>
      <c r="V495" t="s">
        <v>90</v>
      </c>
      <c r="W495">
        <v>0</v>
      </c>
      <c r="X495" t="s">
        <v>90</v>
      </c>
      <c r="Y495">
        <v>0</v>
      </c>
      <c r="Z495">
        <v>9.8957488213559657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0.876</v>
      </c>
      <c r="AN495" t="s">
        <v>1015</v>
      </c>
      <c r="AO495" t="s">
        <v>73</v>
      </c>
      <c r="AP495">
        <v>200000</v>
      </c>
      <c r="AQ495" t="s">
        <v>73</v>
      </c>
      <c r="AS495">
        <v>10000</v>
      </c>
      <c r="AT495" t="s">
        <v>3580</v>
      </c>
      <c r="AU495" t="s">
        <v>75</v>
      </c>
      <c r="AV495" t="s">
        <v>76</v>
      </c>
    </row>
    <row r="496" spans="1:48" x14ac:dyDescent="0.15">
      <c r="A496" s="4" t="str">
        <f>HYPERLINK("https://ibp.a2mac1.com/costing(costing:projects/details/9760/assembly/8413275)","Vehicle Connectors")</f>
        <v>Vehicle Connectors</v>
      </c>
      <c r="B496">
        <v>8413275</v>
      </c>
      <c r="D496">
        <v>8413180</v>
      </c>
      <c r="F496">
        <v>1</v>
      </c>
      <c r="G496">
        <v>0</v>
      </c>
      <c r="H496">
        <v>1.6971501299209544</v>
      </c>
      <c r="I496">
        <v>0</v>
      </c>
      <c r="J496" t="s">
        <v>90</v>
      </c>
      <c r="K496">
        <v>0</v>
      </c>
      <c r="L496">
        <v>1.6971501299209544</v>
      </c>
      <c r="M496">
        <v>0</v>
      </c>
      <c r="N496">
        <v>0</v>
      </c>
      <c r="O496">
        <v>1.6971501299209544</v>
      </c>
      <c r="P496" t="s">
        <v>90</v>
      </c>
      <c r="Q496">
        <v>0</v>
      </c>
      <c r="R496" t="s">
        <v>90</v>
      </c>
      <c r="S496">
        <v>0</v>
      </c>
      <c r="T496" t="s">
        <v>90</v>
      </c>
      <c r="U496">
        <v>0</v>
      </c>
      <c r="V496" t="s">
        <v>90</v>
      </c>
      <c r="W496">
        <v>0</v>
      </c>
      <c r="X496" t="s">
        <v>90</v>
      </c>
      <c r="Y496">
        <v>0</v>
      </c>
      <c r="Z496">
        <v>1.6971501299209544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3.4000000000000002E-2</v>
      </c>
      <c r="AN496" t="s">
        <v>1015</v>
      </c>
      <c r="AO496" t="s">
        <v>73</v>
      </c>
      <c r="AP496">
        <v>200000</v>
      </c>
      <c r="AQ496" t="s">
        <v>73</v>
      </c>
      <c r="AS496">
        <v>10000</v>
      </c>
      <c r="AT496" t="s">
        <v>3584</v>
      </c>
      <c r="AU496" t="s">
        <v>75</v>
      </c>
      <c r="AV496" t="s">
        <v>76</v>
      </c>
    </row>
    <row r="497" spans="1:48" x14ac:dyDescent="0.15">
      <c r="A497" s="4" t="str">
        <f>HYPERLINK("https://ibp.a2mac1.com/costing(costing:projects/details/9760/assembly/8413180)","Connectors")</f>
        <v>Connectors</v>
      </c>
      <c r="B497">
        <v>8413180</v>
      </c>
      <c r="D497">
        <v>8413065</v>
      </c>
      <c r="F497">
        <v>1</v>
      </c>
      <c r="G497">
        <v>0</v>
      </c>
      <c r="H497">
        <v>1.6971501299209544</v>
      </c>
      <c r="I497">
        <v>0</v>
      </c>
      <c r="J497" t="s">
        <v>90</v>
      </c>
      <c r="K497">
        <v>0</v>
      </c>
      <c r="L497">
        <v>1.6971501299209544</v>
      </c>
      <c r="M497">
        <v>0</v>
      </c>
      <c r="N497">
        <v>0</v>
      </c>
      <c r="O497">
        <v>1.6971501299209544</v>
      </c>
      <c r="P497" t="s">
        <v>90</v>
      </c>
      <c r="Q497">
        <v>0</v>
      </c>
      <c r="R497" t="s">
        <v>90</v>
      </c>
      <c r="S497">
        <v>0</v>
      </c>
      <c r="T497" t="s">
        <v>90</v>
      </c>
      <c r="U497">
        <v>0</v>
      </c>
      <c r="V497" t="s">
        <v>90</v>
      </c>
      <c r="W497">
        <v>0</v>
      </c>
      <c r="X497" t="s">
        <v>90</v>
      </c>
      <c r="Y497">
        <v>0</v>
      </c>
      <c r="Z497">
        <v>1.6971501299209544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3.4000000000000002E-2</v>
      </c>
      <c r="AN497" t="s">
        <v>1015</v>
      </c>
      <c r="AO497" t="s">
        <v>73</v>
      </c>
      <c r="AP497">
        <v>200000</v>
      </c>
      <c r="AQ497" t="s">
        <v>73</v>
      </c>
      <c r="AS497">
        <v>10000</v>
      </c>
      <c r="AT497" t="s">
        <v>3585</v>
      </c>
      <c r="AU497" t="s">
        <v>75</v>
      </c>
      <c r="AV497" t="s">
        <v>76</v>
      </c>
    </row>
    <row r="498" spans="1:48" x14ac:dyDescent="0.15">
      <c r="A498" s="4" t="str">
        <f>HYPERLINK("https://ibp.a2mac1.com/costing(costing:projects/details/9760/assembly/8413181)","Wire Harnesses")</f>
        <v>Wire Harnesses</v>
      </c>
      <c r="B498">
        <v>8413181</v>
      </c>
      <c r="D498">
        <v>8413065</v>
      </c>
      <c r="F498">
        <v>1</v>
      </c>
      <c r="G498">
        <v>0</v>
      </c>
      <c r="H498">
        <v>0.72155443770686001</v>
      </c>
      <c r="I498">
        <v>0</v>
      </c>
      <c r="J498" t="s">
        <v>90</v>
      </c>
      <c r="K498">
        <v>0</v>
      </c>
      <c r="L498">
        <v>0.72155443770686001</v>
      </c>
      <c r="M498">
        <v>0</v>
      </c>
      <c r="N498">
        <v>0</v>
      </c>
      <c r="O498">
        <v>0.72155443770686001</v>
      </c>
      <c r="P498" t="s">
        <v>90</v>
      </c>
      <c r="Q498">
        <v>0</v>
      </c>
      <c r="R498" t="s">
        <v>90</v>
      </c>
      <c r="S498">
        <v>0</v>
      </c>
      <c r="T498" t="s">
        <v>90</v>
      </c>
      <c r="U498">
        <v>0</v>
      </c>
      <c r="V498" t="s">
        <v>90</v>
      </c>
      <c r="W498">
        <v>0</v>
      </c>
      <c r="X498" t="s">
        <v>90</v>
      </c>
      <c r="Y498">
        <v>0</v>
      </c>
      <c r="Z498">
        <v>0.72155443770686001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6.0000000000000001E-3</v>
      </c>
      <c r="AN498" t="s">
        <v>1015</v>
      </c>
      <c r="AO498" t="s">
        <v>73</v>
      </c>
      <c r="AP498">
        <v>200000</v>
      </c>
      <c r="AQ498" t="s">
        <v>73</v>
      </c>
      <c r="AS498">
        <v>10000</v>
      </c>
      <c r="AT498" t="s">
        <v>3589</v>
      </c>
      <c r="AU498" t="s">
        <v>75</v>
      </c>
      <c r="AV498" t="s">
        <v>76</v>
      </c>
    </row>
    <row r="499" spans="1:48" x14ac:dyDescent="0.15">
      <c r="A499" s="4" t="str">
        <f>HYPERLINK("https://ibp.a2mac1.com/costing(costing:projects/details/9760/assembly/8413065)","Connectors &amp; Wire Harnesses")</f>
        <v>Connectors &amp; Wire Harnesses</v>
      </c>
      <c r="B499">
        <v>8413065</v>
      </c>
      <c r="D499">
        <v>8412939</v>
      </c>
      <c r="F499">
        <v>1</v>
      </c>
      <c r="G499">
        <v>0</v>
      </c>
      <c r="H499">
        <v>12.314453388983781</v>
      </c>
      <c r="I499">
        <v>0</v>
      </c>
      <c r="J499" t="s">
        <v>90</v>
      </c>
      <c r="K499">
        <v>0</v>
      </c>
      <c r="L499">
        <v>12.314453388983781</v>
      </c>
      <c r="M499">
        <v>0</v>
      </c>
      <c r="N499">
        <v>0</v>
      </c>
      <c r="O499">
        <v>12.314453388983781</v>
      </c>
      <c r="P499" t="s">
        <v>90</v>
      </c>
      <c r="Q499">
        <v>0</v>
      </c>
      <c r="R499" t="s">
        <v>90</v>
      </c>
      <c r="S499">
        <v>0</v>
      </c>
      <c r="T499" t="s">
        <v>90</v>
      </c>
      <c r="U499">
        <v>0</v>
      </c>
      <c r="V499" t="s">
        <v>90</v>
      </c>
      <c r="W499">
        <v>0</v>
      </c>
      <c r="X499" t="s">
        <v>90</v>
      </c>
      <c r="Y499">
        <v>0</v>
      </c>
      <c r="Z499">
        <v>12.314453388983781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0.91600000000000004</v>
      </c>
      <c r="AN499" t="s">
        <v>1015</v>
      </c>
      <c r="AO499" t="s">
        <v>73</v>
      </c>
      <c r="AP499">
        <v>200000</v>
      </c>
      <c r="AQ499" t="s">
        <v>73</v>
      </c>
      <c r="AS499">
        <v>10000</v>
      </c>
      <c r="AT499" t="s">
        <v>3590</v>
      </c>
      <c r="AU499" t="s">
        <v>75</v>
      </c>
      <c r="AV499" t="s">
        <v>76</v>
      </c>
    </row>
    <row r="500" spans="1:48" x14ac:dyDescent="0.15">
      <c r="A500" s="4" t="str">
        <f>HYPERLINK("https://ibp.a2mac1.com/costing(costing:projects/details/9760/assembly/8413182)","Capacitors")</f>
        <v>Capacitors</v>
      </c>
      <c r="B500">
        <v>8413182</v>
      </c>
      <c r="D500">
        <v>8413066</v>
      </c>
      <c r="F500">
        <v>1</v>
      </c>
      <c r="G500">
        <v>0</v>
      </c>
      <c r="H500">
        <v>28.506</v>
      </c>
      <c r="I500">
        <v>0</v>
      </c>
      <c r="J500" t="s">
        <v>90</v>
      </c>
      <c r="K500">
        <v>0</v>
      </c>
      <c r="L500">
        <v>28.506</v>
      </c>
      <c r="M500">
        <v>0</v>
      </c>
      <c r="N500">
        <v>0</v>
      </c>
      <c r="O500">
        <v>28.506</v>
      </c>
      <c r="P500" t="s">
        <v>90</v>
      </c>
      <c r="Q500">
        <v>0</v>
      </c>
      <c r="R500" t="s">
        <v>90</v>
      </c>
      <c r="S500">
        <v>0</v>
      </c>
      <c r="T500" t="s">
        <v>90</v>
      </c>
      <c r="U500">
        <v>0</v>
      </c>
      <c r="V500" t="s">
        <v>90</v>
      </c>
      <c r="W500">
        <v>0</v>
      </c>
      <c r="X500" t="s">
        <v>90</v>
      </c>
      <c r="Y500">
        <v>0</v>
      </c>
      <c r="Z500">
        <v>28.506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1.573</v>
      </c>
      <c r="AN500" t="s">
        <v>1015</v>
      </c>
      <c r="AO500" t="s">
        <v>73</v>
      </c>
      <c r="AP500">
        <v>200000</v>
      </c>
      <c r="AQ500" t="s">
        <v>73</v>
      </c>
      <c r="AS500">
        <v>10000</v>
      </c>
      <c r="AT500" t="s">
        <v>3594</v>
      </c>
      <c r="AU500" t="s">
        <v>75</v>
      </c>
      <c r="AV500" t="s">
        <v>76</v>
      </c>
    </row>
    <row r="501" spans="1:48" x14ac:dyDescent="0.15">
      <c r="A501" s="4" t="str">
        <f>HYPERLINK("https://ibp.a2mac1.com/costing(costing:projects/details/9760/assembly/8413183)","Ferrites &amp; Cores")</f>
        <v>Ferrites &amp; Cores</v>
      </c>
      <c r="B501">
        <v>8413183</v>
      </c>
      <c r="D501">
        <v>8413066</v>
      </c>
      <c r="F501">
        <v>1</v>
      </c>
      <c r="G501">
        <v>0</v>
      </c>
      <c r="H501">
        <v>1.8320000000000001</v>
      </c>
      <c r="I501">
        <v>0</v>
      </c>
      <c r="J501" t="s">
        <v>90</v>
      </c>
      <c r="K501">
        <v>0</v>
      </c>
      <c r="L501">
        <v>1.8320000000000001</v>
      </c>
      <c r="M501">
        <v>0</v>
      </c>
      <c r="N501">
        <v>0</v>
      </c>
      <c r="O501">
        <v>1.8320000000000001</v>
      </c>
      <c r="P501" t="s">
        <v>90</v>
      </c>
      <c r="Q501">
        <v>0</v>
      </c>
      <c r="R501" t="s">
        <v>90</v>
      </c>
      <c r="S501">
        <v>0</v>
      </c>
      <c r="T501" t="s">
        <v>90</v>
      </c>
      <c r="U501">
        <v>0</v>
      </c>
      <c r="V501" t="s">
        <v>90</v>
      </c>
      <c r="W501">
        <v>0</v>
      </c>
      <c r="X501" t="s">
        <v>90</v>
      </c>
      <c r="Y501">
        <v>0</v>
      </c>
      <c r="Z501">
        <v>1.8320000000000001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0.22900000000000001</v>
      </c>
      <c r="AN501" t="s">
        <v>1015</v>
      </c>
      <c r="AO501" t="s">
        <v>73</v>
      </c>
      <c r="AP501">
        <v>200000</v>
      </c>
      <c r="AQ501" t="s">
        <v>73</v>
      </c>
      <c r="AS501">
        <v>10000</v>
      </c>
      <c r="AT501" t="s">
        <v>3598</v>
      </c>
      <c r="AU501" t="s">
        <v>75</v>
      </c>
      <c r="AV501" t="s">
        <v>76</v>
      </c>
    </row>
    <row r="502" spans="1:48" x14ac:dyDescent="0.15">
      <c r="A502" s="4" t="str">
        <f>HYPERLINK("https://ibp.a2mac1.com/costing(costing:projects/details/9760/assembly/8413184)","Power Modules")</f>
        <v>Power Modules</v>
      </c>
      <c r="B502">
        <v>8413184</v>
      </c>
      <c r="D502">
        <v>8413066</v>
      </c>
      <c r="F502">
        <v>1</v>
      </c>
      <c r="G502">
        <v>0</v>
      </c>
      <c r="H502">
        <v>259.95499999999998</v>
      </c>
      <c r="I502">
        <v>0</v>
      </c>
      <c r="J502" t="s">
        <v>90</v>
      </c>
      <c r="K502">
        <v>0</v>
      </c>
      <c r="L502">
        <v>259.95499999999998</v>
      </c>
      <c r="M502">
        <v>0</v>
      </c>
      <c r="N502">
        <v>0</v>
      </c>
      <c r="O502">
        <v>259.95499999999998</v>
      </c>
      <c r="P502" t="s">
        <v>90</v>
      </c>
      <c r="Q502">
        <v>0</v>
      </c>
      <c r="R502" t="s">
        <v>90</v>
      </c>
      <c r="S502">
        <v>0</v>
      </c>
      <c r="T502" t="s">
        <v>90</v>
      </c>
      <c r="U502">
        <v>0</v>
      </c>
      <c r="V502" t="s">
        <v>90</v>
      </c>
      <c r="W502">
        <v>0</v>
      </c>
      <c r="X502" t="s">
        <v>90</v>
      </c>
      <c r="Y502">
        <v>0</v>
      </c>
      <c r="Z502">
        <v>259.95499999999998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0.73899999999999999</v>
      </c>
      <c r="AN502" t="s">
        <v>1015</v>
      </c>
      <c r="AO502" t="s">
        <v>73</v>
      </c>
      <c r="AP502">
        <v>200000</v>
      </c>
      <c r="AQ502" t="s">
        <v>73</v>
      </c>
      <c r="AS502">
        <v>10000</v>
      </c>
      <c r="AT502" t="s">
        <v>3601</v>
      </c>
      <c r="AU502" t="s">
        <v>75</v>
      </c>
      <c r="AV502" t="s">
        <v>76</v>
      </c>
    </row>
    <row r="503" spans="1:48" x14ac:dyDescent="0.15">
      <c r="A503" s="4" t="str">
        <f>HYPERLINK("https://ibp.a2mac1.com/costing(costing:projects/details/9760/assembly/8413066)","Electrical Parts")</f>
        <v>Electrical Parts</v>
      </c>
      <c r="B503">
        <v>8413066</v>
      </c>
      <c r="D503">
        <v>8412939</v>
      </c>
      <c r="F503">
        <v>1</v>
      </c>
      <c r="G503">
        <v>0</v>
      </c>
      <c r="H503">
        <v>290.29300000000001</v>
      </c>
      <c r="I503">
        <v>0</v>
      </c>
      <c r="J503" t="s">
        <v>90</v>
      </c>
      <c r="K503">
        <v>0</v>
      </c>
      <c r="L503">
        <v>290.29300000000001</v>
      </c>
      <c r="M503">
        <v>0</v>
      </c>
      <c r="N503">
        <v>0</v>
      </c>
      <c r="O503">
        <v>290.29300000000001</v>
      </c>
      <c r="P503" t="s">
        <v>90</v>
      </c>
      <c r="Q503">
        <v>0</v>
      </c>
      <c r="R503" t="s">
        <v>90</v>
      </c>
      <c r="S503">
        <v>0</v>
      </c>
      <c r="T503" t="s">
        <v>90</v>
      </c>
      <c r="U503">
        <v>0</v>
      </c>
      <c r="V503" t="s">
        <v>90</v>
      </c>
      <c r="W503">
        <v>0</v>
      </c>
      <c r="X503" t="s">
        <v>90</v>
      </c>
      <c r="Y503">
        <v>0</v>
      </c>
      <c r="Z503">
        <v>290.29300000000001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2.5409999999999999</v>
      </c>
      <c r="AN503" t="s">
        <v>1015</v>
      </c>
      <c r="AO503" t="s">
        <v>73</v>
      </c>
      <c r="AP503">
        <v>200000</v>
      </c>
      <c r="AQ503" t="s">
        <v>73</v>
      </c>
      <c r="AS503">
        <v>10000</v>
      </c>
      <c r="AT503" t="s">
        <v>3602</v>
      </c>
      <c r="AU503" t="s">
        <v>75</v>
      </c>
      <c r="AV503" t="s">
        <v>76</v>
      </c>
    </row>
    <row r="504" spans="1:48" x14ac:dyDescent="0.15">
      <c r="A504" s="4" t="str">
        <f>HYPERLINK("https://ibp.a2mac1.com/costing(costing:projects/details/9760/assembly/8413067)","Electronic Parts")</f>
        <v>Electronic Parts</v>
      </c>
      <c r="B504">
        <v>8413067</v>
      </c>
      <c r="D504">
        <v>8412939</v>
      </c>
      <c r="F504">
        <v>1</v>
      </c>
      <c r="G504">
        <v>0</v>
      </c>
      <c r="H504">
        <v>64.855999999999995</v>
      </c>
      <c r="I504">
        <v>0</v>
      </c>
      <c r="J504" t="s">
        <v>90</v>
      </c>
      <c r="K504">
        <v>0</v>
      </c>
      <c r="L504">
        <v>64.855999999999995</v>
      </c>
      <c r="M504">
        <v>0</v>
      </c>
      <c r="N504">
        <v>0</v>
      </c>
      <c r="O504">
        <v>64.855999999999995</v>
      </c>
      <c r="P504" t="s">
        <v>90</v>
      </c>
      <c r="Q504">
        <v>0</v>
      </c>
      <c r="R504" t="s">
        <v>90</v>
      </c>
      <c r="S504">
        <v>0</v>
      </c>
      <c r="T504" t="s">
        <v>90</v>
      </c>
      <c r="U504">
        <v>0</v>
      </c>
      <c r="V504" t="s">
        <v>90</v>
      </c>
      <c r="W504">
        <v>0</v>
      </c>
      <c r="X504" t="s">
        <v>90</v>
      </c>
      <c r="Y504">
        <v>0</v>
      </c>
      <c r="Z504">
        <v>64.855999999999995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 t="s">
        <v>1015</v>
      </c>
      <c r="AO504" t="s">
        <v>73</v>
      </c>
      <c r="AP504">
        <v>200000</v>
      </c>
      <c r="AQ504" t="s">
        <v>73</v>
      </c>
      <c r="AS504">
        <v>10000</v>
      </c>
      <c r="AT504" t="s">
        <v>3607</v>
      </c>
      <c r="AU504" t="s">
        <v>75</v>
      </c>
      <c r="AV504" t="s">
        <v>76</v>
      </c>
    </row>
    <row r="505" spans="1:48" x14ac:dyDescent="0.15">
      <c r="A505" s="4" t="str">
        <f>HYPERLINK("https://ibp.a2mac1.com/costing(costing:projects/details/9760/assembly/8413188)","Brackets")</f>
        <v>Brackets</v>
      </c>
      <c r="B505">
        <v>8413188</v>
      </c>
      <c r="D505">
        <v>8413068</v>
      </c>
      <c r="F505">
        <v>1</v>
      </c>
      <c r="G505">
        <v>0</v>
      </c>
      <c r="H505">
        <v>7.9329999999999998</v>
      </c>
      <c r="I505">
        <v>0</v>
      </c>
      <c r="J505" t="s">
        <v>90</v>
      </c>
      <c r="K505">
        <v>0</v>
      </c>
      <c r="L505">
        <v>7.9329999999999998</v>
      </c>
      <c r="M505">
        <v>0</v>
      </c>
      <c r="N505">
        <v>0</v>
      </c>
      <c r="O505">
        <v>7.9329999999999998</v>
      </c>
      <c r="P505" t="s">
        <v>90</v>
      </c>
      <c r="Q505">
        <v>0</v>
      </c>
      <c r="R505" t="s">
        <v>90</v>
      </c>
      <c r="S505">
        <v>0</v>
      </c>
      <c r="T505" t="s">
        <v>90</v>
      </c>
      <c r="U505">
        <v>0</v>
      </c>
      <c r="V505" t="s">
        <v>90</v>
      </c>
      <c r="W505">
        <v>0</v>
      </c>
      <c r="X505" t="s">
        <v>90</v>
      </c>
      <c r="Y505">
        <v>0</v>
      </c>
      <c r="Z505">
        <v>7.9329999999999998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0.79200000000000004</v>
      </c>
      <c r="AN505" t="s">
        <v>1015</v>
      </c>
      <c r="AO505" t="s">
        <v>73</v>
      </c>
      <c r="AP505">
        <v>200000</v>
      </c>
      <c r="AQ505" t="s">
        <v>73</v>
      </c>
      <c r="AS505">
        <v>10000</v>
      </c>
      <c r="AT505" t="s">
        <v>3613</v>
      </c>
      <c r="AU505" t="s">
        <v>75</v>
      </c>
      <c r="AV505" t="s">
        <v>76</v>
      </c>
    </row>
    <row r="506" spans="1:48" x14ac:dyDescent="0.15">
      <c r="A506" s="4" t="str">
        <f>HYPERLINK("https://ibp.a2mac1.com/costing(costing:projects/details/9760/assembly/8413189)","Covers")</f>
        <v>Covers</v>
      </c>
      <c r="B506">
        <v>8413189</v>
      </c>
      <c r="D506">
        <v>8413068</v>
      </c>
      <c r="F506">
        <v>1</v>
      </c>
      <c r="G506">
        <v>0</v>
      </c>
      <c r="H506">
        <v>0.16800000000000001</v>
      </c>
      <c r="I506">
        <v>0</v>
      </c>
      <c r="J506" t="s">
        <v>90</v>
      </c>
      <c r="K506">
        <v>0</v>
      </c>
      <c r="L506">
        <v>0.16800000000000001</v>
      </c>
      <c r="M506">
        <v>0</v>
      </c>
      <c r="N506">
        <v>0</v>
      </c>
      <c r="O506">
        <v>0.16800000000000001</v>
      </c>
      <c r="P506" t="s">
        <v>90</v>
      </c>
      <c r="Q506">
        <v>0</v>
      </c>
      <c r="R506" t="s">
        <v>90</v>
      </c>
      <c r="S506">
        <v>0</v>
      </c>
      <c r="T506" t="s">
        <v>90</v>
      </c>
      <c r="U506">
        <v>0</v>
      </c>
      <c r="V506" t="s">
        <v>90</v>
      </c>
      <c r="W506">
        <v>0</v>
      </c>
      <c r="X506" t="s">
        <v>90</v>
      </c>
      <c r="Y506">
        <v>0</v>
      </c>
      <c r="Z506">
        <v>0.16800000000000001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1.6E-2</v>
      </c>
      <c r="AN506" t="s">
        <v>1015</v>
      </c>
      <c r="AO506" t="s">
        <v>73</v>
      </c>
      <c r="AP506">
        <v>200000</v>
      </c>
      <c r="AQ506" t="s">
        <v>73</v>
      </c>
      <c r="AS506">
        <v>10000</v>
      </c>
      <c r="AT506" t="s">
        <v>3616</v>
      </c>
      <c r="AU506" t="s">
        <v>75</v>
      </c>
      <c r="AV506" t="s">
        <v>76</v>
      </c>
    </row>
    <row r="507" spans="1:48" x14ac:dyDescent="0.15">
      <c r="A507" s="4" t="str">
        <f>HYPERLINK("https://ibp.a2mac1.com/costing(costing:projects/details/9760/assembly/8413190)","Housing Parts")</f>
        <v>Housing Parts</v>
      </c>
      <c r="B507">
        <v>8413190</v>
      </c>
      <c r="D507">
        <v>8413068</v>
      </c>
      <c r="F507">
        <v>1</v>
      </c>
      <c r="G507">
        <v>0</v>
      </c>
      <c r="H507">
        <v>3.2789999999999999</v>
      </c>
      <c r="I507">
        <v>0</v>
      </c>
      <c r="J507" t="s">
        <v>90</v>
      </c>
      <c r="K507">
        <v>0</v>
      </c>
      <c r="L507">
        <v>3.2789999999999999</v>
      </c>
      <c r="M507">
        <v>0</v>
      </c>
      <c r="N507">
        <v>0</v>
      </c>
      <c r="O507">
        <v>3.2789999999999999</v>
      </c>
      <c r="P507" t="s">
        <v>90</v>
      </c>
      <c r="Q507">
        <v>0</v>
      </c>
      <c r="R507" t="s">
        <v>90</v>
      </c>
      <c r="S507">
        <v>0</v>
      </c>
      <c r="T507" t="s">
        <v>90</v>
      </c>
      <c r="U507">
        <v>0</v>
      </c>
      <c r="V507" t="s">
        <v>90</v>
      </c>
      <c r="W507">
        <v>0</v>
      </c>
      <c r="X507" t="s">
        <v>90</v>
      </c>
      <c r="Y507">
        <v>0</v>
      </c>
      <c r="Z507">
        <v>3.2789999999999999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0.61499999999999999</v>
      </c>
      <c r="AN507" t="s">
        <v>1015</v>
      </c>
      <c r="AO507" t="s">
        <v>73</v>
      </c>
      <c r="AP507">
        <v>200000</v>
      </c>
      <c r="AQ507" t="s">
        <v>73</v>
      </c>
      <c r="AS507">
        <v>10000</v>
      </c>
      <c r="AT507" t="s">
        <v>3620</v>
      </c>
      <c r="AU507" t="s">
        <v>75</v>
      </c>
      <c r="AV507" t="s">
        <v>76</v>
      </c>
    </row>
    <row r="508" spans="1:48" x14ac:dyDescent="0.15">
      <c r="A508" s="4" t="str">
        <f>HYPERLINK("https://ibp.a2mac1.com/costing(costing:projects/details/9760/assembly/8413191)","Seals")</f>
        <v>Seals</v>
      </c>
      <c r="B508">
        <v>8413191</v>
      </c>
      <c r="D508">
        <v>8413068</v>
      </c>
      <c r="F508">
        <v>1</v>
      </c>
      <c r="G508">
        <v>0</v>
      </c>
      <c r="H508">
        <v>0.20022000000000001</v>
      </c>
      <c r="I508">
        <v>0</v>
      </c>
      <c r="J508" t="s">
        <v>90</v>
      </c>
      <c r="K508">
        <v>0</v>
      </c>
      <c r="L508">
        <v>0.20022000000000001</v>
      </c>
      <c r="M508">
        <v>0</v>
      </c>
      <c r="N508">
        <v>0</v>
      </c>
      <c r="O508">
        <v>0.20022000000000001</v>
      </c>
      <c r="P508" t="s">
        <v>90</v>
      </c>
      <c r="Q508">
        <v>0</v>
      </c>
      <c r="R508" t="s">
        <v>90</v>
      </c>
      <c r="S508">
        <v>0</v>
      </c>
      <c r="T508" t="s">
        <v>90</v>
      </c>
      <c r="U508">
        <v>0</v>
      </c>
      <c r="V508" t="s">
        <v>90</v>
      </c>
      <c r="W508">
        <v>0</v>
      </c>
      <c r="X508" t="s">
        <v>90</v>
      </c>
      <c r="Y508">
        <v>0</v>
      </c>
      <c r="Z508">
        <v>0.20022000000000001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7.0000000000000001E-3</v>
      </c>
      <c r="AN508" t="s">
        <v>1015</v>
      </c>
      <c r="AO508" t="s">
        <v>73</v>
      </c>
      <c r="AP508">
        <v>200000</v>
      </c>
      <c r="AQ508" t="s">
        <v>73</v>
      </c>
      <c r="AS508">
        <v>10000</v>
      </c>
      <c r="AT508" t="s">
        <v>3625</v>
      </c>
      <c r="AU508" t="s">
        <v>75</v>
      </c>
      <c r="AV508" t="s">
        <v>76</v>
      </c>
    </row>
    <row r="509" spans="1:48" x14ac:dyDescent="0.15">
      <c r="A509" s="4" t="str">
        <f>HYPERLINK("https://ibp.a2mac1.com/costing(costing:projects/details/9760/assembly/8413068)","Mechanical Parts")</f>
        <v>Mechanical Parts</v>
      </c>
      <c r="B509">
        <v>8413068</v>
      </c>
      <c r="D509">
        <v>8412939</v>
      </c>
      <c r="F509">
        <v>1</v>
      </c>
      <c r="G509">
        <v>0</v>
      </c>
      <c r="H509">
        <v>11.580220000000001</v>
      </c>
      <c r="I509">
        <v>0</v>
      </c>
      <c r="J509" t="s">
        <v>90</v>
      </c>
      <c r="K509">
        <v>0</v>
      </c>
      <c r="L509">
        <v>11.580220000000001</v>
      </c>
      <c r="M509">
        <v>0</v>
      </c>
      <c r="N509">
        <v>0</v>
      </c>
      <c r="O509">
        <v>11.580220000000001</v>
      </c>
      <c r="P509" t="s">
        <v>90</v>
      </c>
      <c r="Q509">
        <v>0</v>
      </c>
      <c r="R509" t="s">
        <v>90</v>
      </c>
      <c r="S509">
        <v>0</v>
      </c>
      <c r="T509" t="s">
        <v>90</v>
      </c>
      <c r="U509">
        <v>0</v>
      </c>
      <c r="V509" t="s">
        <v>90</v>
      </c>
      <c r="W509">
        <v>0</v>
      </c>
      <c r="X509" t="s">
        <v>90</v>
      </c>
      <c r="Y509">
        <v>0</v>
      </c>
      <c r="Z509">
        <v>11.580220000000001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1.43</v>
      </c>
      <c r="AN509" t="s">
        <v>1015</v>
      </c>
      <c r="AO509" t="s">
        <v>73</v>
      </c>
      <c r="AP509">
        <v>200000</v>
      </c>
      <c r="AQ509" t="s">
        <v>73</v>
      </c>
      <c r="AS509">
        <v>10000</v>
      </c>
      <c r="AT509" t="s">
        <v>3626</v>
      </c>
      <c r="AU509" t="s">
        <v>75</v>
      </c>
      <c r="AV509" t="s">
        <v>76</v>
      </c>
    </row>
    <row r="510" spans="1:48" x14ac:dyDescent="0.15">
      <c r="A510" s="4" t="str">
        <f>HYPERLINK("https://ibp.a2mac1.com/costing(costing:projects/details/9760/assembly/8412939)","Second AC DC Inverter")</f>
        <v>Second AC DC Inverter</v>
      </c>
      <c r="B510">
        <v>8412939</v>
      </c>
      <c r="D510">
        <v>8412872</v>
      </c>
      <c r="F510">
        <v>1</v>
      </c>
      <c r="G510">
        <v>0</v>
      </c>
      <c r="H510">
        <v>379.04367338898379</v>
      </c>
      <c r="I510">
        <v>1.9047420773315769</v>
      </c>
      <c r="J510" t="s">
        <v>176</v>
      </c>
      <c r="K510">
        <v>13.266528568614433</v>
      </c>
      <c r="L510">
        <v>394.21494403492977</v>
      </c>
      <c r="M510">
        <v>0</v>
      </c>
      <c r="N510">
        <v>12.881605576801885</v>
      </c>
      <c r="O510">
        <v>407.09654961173169</v>
      </c>
      <c r="P510" t="s">
        <v>177</v>
      </c>
      <c r="Q510">
        <v>23.652896642095786</v>
      </c>
      <c r="R510" t="s">
        <v>177</v>
      </c>
      <c r="S510">
        <v>0.77289633460811313</v>
      </c>
      <c r="T510" t="s">
        <v>178</v>
      </c>
      <c r="U510">
        <v>48.851585953407799</v>
      </c>
      <c r="V510" t="s">
        <v>90</v>
      </c>
      <c r="W510">
        <v>0</v>
      </c>
      <c r="X510" t="s">
        <v>90</v>
      </c>
      <c r="Y510">
        <v>0</v>
      </c>
      <c r="Z510">
        <v>480.37392854184338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470</v>
      </c>
      <c r="AI510">
        <v>452</v>
      </c>
      <c r="AJ510">
        <v>333</v>
      </c>
      <c r="AK510">
        <v>0</v>
      </c>
      <c r="AL510">
        <v>4.8869999999999996</v>
      </c>
      <c r="AN510" t="s">
        <v>95</v>
      </c>
      <c r="AO510" t="s">
        <v>73</v>
      </c>
      <c r="AP510">
        <v>200000</v>
      </c>
      <c r="AQ510" t="s">
        <v>97</v>
      </c>
      <c r="AS510">
        <v>10000</v>
      </c>
      <c r="AT510" t="s">
        <v>3628</v>
      </c>
      <c r="AU510" t="s">
        <v>75</v>
      </c>
      <c r="AV510" t="s">
        <v>76</v>
      </c>
    </row>
    <row r="511" spans="1:48" x14ac:dyDescent="0.15">
      <c r="A511" s="4" t="str">
        <f>HYPERLINK("https://ibp.a2mac1.com/costing(costing:projects/details/9760/assembly/8412872)","Power Inverter Module/Converter Module")</f>
        <v>Power Inverter Module/Converter Module</v>
      </c>
      <c r="B511">
        <v>8412872</v>
      </c>
      <c r="D511">
        <v>8412864</v>
      </c>
      <c r="F511">
        <v>1</v>
      </c>
      <c r="G511">
        <v>0</v>
      </c>
      <c r="H511">
        <v>973.82130937136799</v>
      </c>
      <c r="I511">
        <v>0</v>
      </c>
      <c r="J511" t="s">
        <v>90</v>
      </c>
      <c r="K511">
        <v>0</v>
      </c>
      <c r="L511">
        <v>973.82130937136799</v>
      </c>
      <c r="M511">
        <v>0</v>
      </c>
      <c r="N511">
        <v>0</v>
      </c>
      <c r="O511">
        <v>973.82130937136799</v>
      </c>
      <c r="P511" t="s">
        <v>90</v>
      </c>
      <c r="Q511">
        <v>0</v>
      </c>
      <c r="R511" t="s">
        <v>90</v>
      </c>
      <c r="S511">
        <v>0</v>
      </c>
      <c r="T511" t="s">
        <v>90</v>
      </c>
      <c r="U511">
        <v>0</v>
      </c>
      <c r="V511" t="s">
        <v>90</v>
      </c>
      <c r="W511">
        <v>0</v>
      </c>
      <c r="X511" t="s">
        <v>90</v>
      </c>
      <c r="Y511">
        <v>0</v>
      </c>
      <c r="Z511">
        <v>973.82130937136799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N511" t="s">
        <v>72</v>
      </c>
      <c r="AO511" t="s">
        <v>73</v>
      </c>
      <c r="AP511">
        <v>200000</v>
      </c>
      <c r="AQ511" t="s">
        <v>73</v>
      </c>
      <c r="AS511">
        <v>10000</v>
      </c>
      <c r="AT511" t="s">
        <v>3634</v>
      </c>
      <c r="AU511" t="s">
        <v>75</v>
      </c>
      <c r="AV511" t="s">
        <v>76</v>
      </c>
    </row>
    <row r="512" spans="1:48" x14ac:dyDescent="0.15">
      <c r="A512" s="4" t="str">
        <f>HYPERLINK("https://ibp.a2mac1.com/costing(costing:projects/details/9760/assembly/8413192)","Busbars")</f>
        <v>Busbars</v>
      </c>
      <c r="B512">
        <v>8413192</v>
      </c>
      <c r="D512">
        <v>8413069</v>
      </c>
      <c r="F512">
        <v>1</v>
      </c>
      <c r="G512">
        <v>0</v>
      </c>
      <c r="H512">
        <v>13.27586</v>
      </c>
      <c r="I512">
        <v>0</v>
      </c>
      <c r="J512" t="s">
        <v>90</v>
      </c>
      <c r="K512">
        <v>0</v>
      </c>
      <c r="L512">
        <v>13.27586</v>
      </c>
      <c r="M512">
        <v>0</v>
      </c>
      <c r="N512">
        <v>0</v>
      </c>
      <c r="O512">
        <v>13.27586</v>
      </c>
      <c r="P512" t="s">
        <v>90</v>
      </c>
      <c r="Q512">
        <v>0</v>
      </c>
      <c r="R512" t="s">
        <v>90</v>
      </c>
      <c r="S512">
        <v>0</v>
      </c>
      <c r="T512" t="s">
        <v>90</v>
      </c>
      <c r="U512">
        <v>0</v>
      </c>
      <c r="V512" t="s">
        <v>90</v>
      </c>
      <c r="W512">
        <v>0</v>
      </c>
      <c r="X512" t="s">
        <v>90</v>
      </c>
      <c r="Y512">
        <v>0</v>
      </c>
      <c r="Z512">
        <v>13.27586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1.165</v>
      </c>
      <c r="AN512" t="s">
        <v>1015</v>
      </c>
      <c r="AO512" t="s">
        <v>73</v>
      </c>
      <c r="AP512">
        <v>200000</v>
      </c>
      <c r="AQ512" t="s">
        <v>73</v>
      </c>
      <c r="AS512">
        <v>10000</v>
      </c>
      <c r="AT512" t="s">
        <v>9</v>
      </c>
      <c r="AU512" t="s">
        <v>75</v>
      </c>
      <c r="AV512" t="s">
        <v>76</v>
      </c>
    </row>
    <row r="513" spans="1:48" x14ac:dyDescent="0.15">
      <c r="A513" s="4" t="str">
        <f>HYPERLINK("https://ibp.a2mac1.com/costing(costing:projects/details/9760/assembly/8413307)","HV Connectors")</f>
        <v>HV Connectors</v>
      </c>
      <c r="B513">
        <v>8413307</v>
      </c>
      <c r="D513">
        <v>8413193</v>
      </c>
      <c r="F513">
        <v>1</v>
      </c>
      <c r="G513">
        <v>0</v>
      </c>
      <c r="H513">
        <v>21.59721</v>
      </c>
      <c r="I513">
        <v>0</v>
      </c>
      <c r="J513" t="s">
        <v>90</v>
      </c>
      <c r="K513">
        <v>0</v>
      </c>
      <c r="L513">
        <v>21.59721</v>
      </c>
      <c r="M513">
        <v>0</v>
      </c>
      <c r="N513">
        <v>0</v>
      </c>
      <c r="O513">
        <v>21.59721</v>
      </c>
      <c r="P513" t="s">
        <v>90</v>
      </c>
      <c r="Q513">
        <v>0</v>
      </c>
      <c r="R513" t="s">
        <v>90</v>
      </c>
      <c r="S513">
        <v>0</v>
      </c>
      <c r="T513" t="s">
        <v>90</v>
      </c>
      <c r="U513">
        <v>0</v>
      </c>
      <c r="V513" t="s">
        <v>90</v>
      </c>
      <c r="W513">
        <v>0</v>
      </c>
      <c r="X513" t="s">
        <v>90</v>
      </c>
      <c r="Y513">
        <v>0</v>
      </c>
      <c r="Z513">
        <v>21.59721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0.56799999999999995</v>
      </c>
      <c r="AN513" t="s">
        <v>1015</v>
      </c>
      <c r="AO513" t="s">
        <v>73</v>
      </c>
      <c r="AP513">
        <v>200000</v>
      </c>
      <c r="AQ513" t="s">
        <v>73</v>
      </c>
      <c r="AS513">
        <v>10000</v>
      </c>
      <c r="AT513" t="s">
        <v>9</v>
      </c>
      <c r="AU513" t="s">
        <v>75</v>
      </c>
      <c r="AV513" t="s">
        <v>76</v>
      </c>
    </row>
    <row r="514" spans="1:48" x14ac:dyDescent="0.15">
      <c r="A514" s="4" t="str">
        <f>HYPERLINK("https://ibp.a2mac1.com/costing(costing:projects/details/9760/assembly/8413193)","Connectors")</f>
        <v>Connectors</v>
      </c>
      <c r="B514">
        <v>8413193</v>
      </c>
      <c r="D514">
        <v>8413069</v>
      </c>
      <c r="F514">
        <v>1</v>
      </c>
      <c r="G514">
        <v>0</v>
      </c>
      <c r="H514">
        <v>21.59721</v>
      </c>
      <c r="I514">
        <v>0</v>
      </c>
      <c r="J514" t="s">
        <v>90</v>
      </c>
      <c r="K514">
        <v>0</v>
      </c>
      <c r="L514">
        <v>21.59721</v>
      </c>
      <c r="M514">
        <v>0</v>
      </c>
      <c r="N514">
        <v>0</v>
      </c>
      <c r="O514">
        <v>21.59721</v>
      </c>
      <c r="P514" t="s">
        <v>90</v>
      </c>
      <c r="Q514">
        <v>0</v>
      </c>
      <c r="R514" t="s">
        <v>90</v>
      </c>
      <c r="S514">
        <v>0</v>
      </c>
      <c r="T514" t="s">
        <v>90</v>
      </c>
      <c r="U514">
        <v>0</v>
      </c>
      <c r="V514" t="s">
        <v>90</v>
      </c>
      <c r="W514">
        <v>0</v>
      </c>
      <c r="X514" t="s">
        <v>90</v>
      </c>
      <c r="Y514">
        <v>0</v>
      </c>
      <c r="Z514">
        <v>21.59721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0.56799999999999995</v>
      </c>
      <c r="AN514" t="s">
        <v>1015</v>
      </c>
      <c r="AO514" t="s">
        <v>73</v>
      </c>
      <c r="AP514">
        <v>200000</v>
      </c>
      <c r="AQ514" t="s">
        <v>73</v>
      </c>
      <c r="AS514">
        <v>10000</v>
      </c>
      <c r="AT514" t="s">
        <v>9</v>
      </c>
      <c r="AU514" t="s">
        <v>75</v>
      </c>
      <c r="AV514" t="s">
        <v>76</v>
      </c>
    </row>
    <row r="515" spans="1:48" x14ac:dyDescent="0.15">
      <c r="A515" s="4" t="str">
        <f>HYPERLINK("https://ibp.a2mac1.com/costing(costing:projects/details/9760/assembly/8413194)","Wire Harnesses")</f>
        <v>Wire Harnesses</v>
      </c>
      <c r="B515">
        <v>8413194</v>
      </c>
      <c r="D515">
        <v>8413069</v>
      </c>
      <c r="F515">
        <v>1</v>
      </c>
      <c r="G515">
        <v>0</v>
      </c>
      <c r="H515">
        <v>1.89585</v>
      </c>
      <c r="I515">
        <v>0</v>
      </c>
      <c r="J515" t="s">
        <v>90</v>
      </c>
      <c r="K515">
        <v>0</v>
      </c>
      <c r="L515">
        <v>1.89585</v>
      </c>
      <c r="M515">
        <v>0</v>
      </c>
      <c r="N515">
        <v>0</v>
      </c>
      <c r="O515">
        <v>1.89585</v>
      </c>
      <c r="P515" t="s">
        <v>90</v>
      </c>
      <c r="Q515">
        <v>0</v>
      </c>
      <c r="R515" t="s">
        <v>90</v>
      </c>
      <c r="S515">
        <v>0</v>
      </c>
      <c r="T515" t="s">
        <v>90</v>
      </c>
      <c r="U515">
        <v>0</v>
      </c>
      <c r="V515" t="s">
        <v>90</v>
      </c>
      <c r="W515">
        <v>0</v>
      </c>
      <c r="X515" t="s">
        <v>90</v>
      </c>
      <c r="Y515">
        <v>0</v>
      </c>
      <c r="Z515">
        <v>1.89585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4.5999999999999999E-2</v>
      </c>
      <c r="AN515" t="s">
        <v>1015</v>
      </c>
      <c r="AO515" t="s">
        <v>73</v>
      </c>
      <c r="AP515">
        <v>200000</v>
      </c>
      <c r="AQ515" t="s">
        <v>73</v>
      </c>
      <c r="AS515">
        <v>10000</v>
      </c>
      <c r="AT515" t="s">
        <v>9</v>
      </c>
      <c r="AU515" t="s">
        <v>75</v>
      </c>
      <c r="AV515" t="s">
        <v>76</v>
      </c>
    </row>
    <row r="516" spans="1:48" x14ac:dyDescent="0.15">
      <c r="A516" s="4" t="str">
        <f>HYPERLINK("https://ibp.a2mac1.com/costing(costing:projects/details/9760/assembly/8413069)","Connectors &amp; Wire Harnesses")</f>
        <v>Connectors &amp; Wire Harnesses</v>
      </c>
      <c r="B516">
        <v>8413069</v>
      </c>
      <c r="D516">
        <v>8412940</v>
      </c>
      <c r="F516">
        <v>1</v>
      </c>
      <c r="G516">
        <v>0</v>
      </c>
      <c r="H516">
        <v>36.768920000000001</v>
      </c>
      <c r="I516">
        <v>0</v>
      </c>
      <c r="J516" t="s">
        <v>90</v>
      </c>
      <c r="K516">
        <v>0</v>
      </c>
      <c r="L516">
        <v>36.768920000000001</v>
      </c>
      <c r="M516">
        <v>0</v>
      </c>
      <c r="N516">
        <v>0</v>
      </c>
      <c r="O516">
        <v>36.768920000000001</v>
      </c>
      <c r="P516" t="s">
        <v>90</v>
      </c>
      <c r="Q516">
        <v>0</v>
      </c>
      <c r="R516" t="s">
        <v>90</v>
      </c>
      <c r="S516">
        <v>0</v>
      </c>
      <c r="T516" t="s">
        <v>90</v>
      </c>
      <c r="U516">
        <v>0</v>
      </c>
      <c r="V516" t="s">
        <v>90</v>
      </c>
      <c r="W516">
        <v>0</v>
      </c>
      <c r="X516" t="s">
        <v>90</v>
      </c>
      <c r="Y516">
        <v>0</v>
      </c>
      <c r="Z516">
        <v>36.768920000000001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1.7789999999999999</v>
      </c>
      <c r="AN516" t="s">
        <v>1015</v>
      </c>
      <c r="AO516" t="s">
        <v>73</v>
      </c>
      <c r="AP516">
        <v>200000</v>
      </c>
      <c r="AQ516" t="s">
        <v>73</v>
      </c>
      <c r="AS516">
        <v>10000</v>
      </c>
      <c r="AT516" t="s">
        <v>9</v>
      </c>
      <c r="AU516" t="s">
        <v>75</v>
      </c>
      <c r="AV516" t="s">
        <v>76</v>
      </c>
    </row>
    <row r="517" spans="1:48" x14ac:dyDescent="0.15">
      <c r="A517" s="4" t="str">
        <f>HYPERLINK("https://ibp.a2mac1.com/costing(costing:projects/details/9760/assembly/8413195)","Ferrites &amp; Cores")</f>
        <v>Ferrites &amp; Cores</v>
      </c>
      <c r="B517">
        <v>8413195</v>
      </c>
      <c r="D517">
        <v>8413070</v>
      </c>
      <c r="F517">
        <v>1</v>
      </c>
      <c r="G517">
        <v>0</v>
      </c>
      <c r="H517">
        <v>21.563649999999999</v>
      </c>
      <c r="I517">
        <v>0</v>
      </c>
      <c r="J517" t="s">
        <v>90</v>
      </c>
      <c r="K517">
        <v>0</v>
      </c>
      <c r="L517">
        <v>21.563649999999999</v>
      </c>
      <c r="M517">
        <v>0</v>
      </c>
      <c r="N517">
        <v>0</v>
      </c>
      <c r="O517">
        <v>21.563649999999999</v>
      </c>
      <c r="P517" t="s">
        <v>90</v>
      </c>
      <c r="Q517">
        <v>0</v>
      </c>
      <c r="R517" t="s">
        <v>90</v>
      </c>
      <c r="S517">
        <v>0</v>
      </c>
      <c r="T517" t="s">
        <v>90</v>
      </c>
      <c r="U517">
        <v>0</v>
      </c>
      <c r="V517" t="s">
        <v>90</v>
      </c>
      <c r="W517">
        <v>0</v>
      </c>
      <c r="X517" t="s">
        <v>90</v>
      </c>
      <c r="Y517">
        <v>0</v>
      </c>
      <c r="Z517">
        <v>21.563649999999999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1.5880000000000001</v>
      </c>
      <c r="AN517" t="s">
        <v>1015</v>
      </c>
      <c r="AO517" t="s">
        <v>73</v>
      </c>
      <c r="AP517">
        <v>200000</v>
      </c>
      <c r="AQ517" t="s">
        <v>73</v>
      </c>
      <c r="AS517">
        <v>10000</v>
      </c>
      <c r="AT517" t="s">
        <v>9</v>
      </c>
      <c r="AU517" t="s">
        <v>75</v>
      </c>
      <c r="AV517" t="s">
        <v>76</v>
      </c>
    </row>
    <row r="518" spans="1:48" x14ac:dyDescent="0.15">
      <c r="A518" s="4" t="str">
        <f>HYPERLINK("https://ibp.a2mac1.com/costing(costing:projects/details/9760/assembly/8413196)","Inductors")</f>
        <v>Inductors</v>
      </c>
      <c r="B518">
        <v>8413196</v>
      </c>
      <c r="D518">
        <v>8413070</v>
      </c>
      <c r="F518">
        <v>1</v>
      </c>
      <c r="G518">
        <v>0</v>
      </c>
      <c r="H518">
        <v>43.77</v>
      </c>
      <c r="I518">
        <v>0</v>
      </c>
      <c r="J518" t="s">
        <v>90</v>
      </c>
      <c r="K518">
        <v>0</v>
      </c>
      <c r="L518">
        <v>43.77</v>
      </c>
      <c r="M518">
        <v>0</v>
      </c>
      <c r="N518">
        <v>0</v>
      </c>
      <c r="O518">
        <v>43.77</v>
      </c>
      <c r="P518" t="s">
        <v>90</v>
      </c>
      <c r="Q518">
        <v>0</v>
      </c>
      <c r="R518" t="s">
        <v>90</v>
      </c>
      <c r="S518">
        <v>0</v>
      </c>
      <c r="T518" t="s">
        <v>90</v>
      </c>
      <c r="U518">
        <v>0</v>
      </c>
      <c r="V518" t="s">
        <v>90</v>
      </c>
      <c r="W518">
        <v>0</v>
      </c>
      <c r="X518" t="s">
        <v>90</v>
      </c>
      <c r="Y518">
        <v>0</v>
      </c>
      <c r="Z518">
        <v>43.77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2.1960000000000002</v>
      </c>
      <c r="AN518" t="s">
        <v>1015</v>
      </c>
      <c r="AO518" t="s">
        <v>73</v>
      </c>
      <c r="AP518">
        <v>200000</v>
      </c>
      <c r="AQ518" t="s">
        <v>73</v>
      </c>
      <c r="AS518">
        <v>10000</v>
      </c>
      <c r="AT518" t="s">
        <v>9</v>
      </c>
      <c r="AU518" t="s">
        <v>75</v>
      </c>
      <c r="AV518" t="s">
        <v>76</v>
      </c>
    </row>
    <row r="519" spans="1:48" x14ac:dyDescent="0.15">
      <c r="A519" s="4" t="str">
        <f>HYPERLINK("https://ibp.a2mac1.com/costing(costing:projects/details/9760/assembly/8413197)","Relays")</f>
        <v>Relays</v>
      </c>
      <c r="B519">
        <v>8413197</v>
      </c>
      <c r="D519">
        <v>8413070</v>
      </c>
      <c r="F519">
        <v>1</v>
      </c>
      <c r="G519">
        <v>0</v>
      </c>
      <c r="H519">
        <v>31.292999999999999</v>
      </c>
      <c r="I519">
        <v>0</v>
      </c>
      <c r="J519" t="s">
        <v>90</v>
      </c>
      <c r="K519">
        <v>0</v>
      </c>
      <c r="L519">
        <v>31.292999999999999</v>
      </c>
      <c r="M519">
        <v>0</v>
      </c>
      <c r="N519">
        <v>0</v>
      </c>
      <c r="O519">
        <v>31.292999999999999</v>
      </c>
      <c r="P519" t="s">
        <v>90</v>
      </c>
      <c r="Q519">
        <v>0</v>
      </c>
      <c r="R519" t="s">
        <v>90</v>
      </c>
      <c r="S519">
        <v>0</v>
      </c>
      <c r="T519" t="s">
        <v>90</v>
      </c>
      <c r="U519">
        <v>0</v>
      </c>
      <c r="V519" t="s">
        <v>90</v>
      </c>
      <c r="W519">
        <v>0</v>
      </c>
      <c r="X519" t="s">
        <v>90</v>
      </c>
      <c r="Y519">
        <v>0</v>
      </c>
      <c r="Z519">
        <v>31.292999999999999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1.091</v>
      </c>
      <c r="AN519" t="s">
        <v>1015</v>
      </c>
      <c r="AO519" t="s">
        <v>73</v>
      </c>
      <c r="AP519">
        <v>200000</v>
      </c>
      <c r="AQ519" t="s">
        <v>73</v>
      </c>
      <c r="AS519">
        <v>10000</v>
      </c>
      <c r="AT519" t="s">
        <v>9</v>
      </c>
      <c r="AU519" t="s">
        <v>75</v>
      </c>
      <c r="AV519" t="s">
        <v>76</v>
      </c>
    </row>
    <row r="520" spans="1:48" x14ac:dyDescent="0.15">
      <c r="A520" s="4" t="str">
        <f>HYPERLINK("https://ibp.a2mac1.com/costing(costing:projects/details/9760/assembly/8413070)","Electrical Parts")</f>
        <v>Electrical Parts</v>
      </c>
      <c r="B520">
        <v>8413070</v>
      </c>
      <c r="D520">
        <v>8412940</v>
      </c>
      <c r="F520">
        <v>1</v>
      </c>
      <c r="G520">
        <v>0</v>
      </c>
      <c r="H520">
        <v>96.626649999999998</v>
      </c>
      <c r="I520">
        <v>0</v>
      </c>
      <c r="J520" t="s">
        <v>90</v>
      </c>
      <c r="K520">
        <v>0</v>
      </c>
      <c r="L520">
        <v>96.626649999999998</v>
      </c>
      <c r="M520">
        <v>0</v>
      </c>
      <c r="N520">
        <v>0</v>
      </c>
      <c r="O520">
        <v>96.626649999999998</v>
      </c>
      <c r="P520" t="s">
        <v>90</v>
      </c>
      <c r="Q520">
        <v>0</v>
      </c>
      <c r="R520" t="s">
        <v>90</v>
      </c>
      <c r="S520">
        <v>0</v>
      </c>
      <c r="T520" t="s">
        <v>90</v>
      </c>
      <c r="U520">
        <v>0</v>
      </c>
      <c r="V520" t="s">
        <v>90</v>
      </c>
      <c r="W520">
        <v>0</v>
      </c>
      <c r="X520" t="s">
        <v>90</v>
      </c>
      <c r="Y520">
        <v>0</v>
      </c>
      <c r="Z520">
        <v>96.626649999999998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4.875</v>
      </c>
      <c r="AN520" t="s">
        <v>1015</v>
      </c>
      <c r="AO520" t="s">
        <v>73</v>
      </c>
      <c r="AP520">
        <v>200000</v>
      </c>
      <c r="AQ520" t="s">
        <v>73</v>
      </c>
      <c r="AS520">
        <v>10000</v>
      </c>
      <c r="AT520" t="s">
        <v>9</v>
      </c>
      <c r="AU520" t="s">
        <v>75</v>
      </c>
      <c r="AV520" t="s">
        <v>76</v>
      </c>
    </row>
    <row r="521" spans="1:48" x14ac:dyDescent="0.15">
      <c r="A521" s="4" t="str">
        <f>HYPERLINK("https://ibp.a2mac1.com/costing(costing:projects/details/9760/assembly/8413071)","Electronic Parts")</f>
        <v>Electronic Parts</v>
      </c>
      <c r="B521">
        <v>8413071</v>
      </c>
      <c r="D521">
        <v>8412940</v>
      </c>
      <c r="F521">
        <v>1</v>
      </c>
      <c r="G521">
        <v>0</v>
      </c>
      <c r="H521">
        <v>31.78</v>
      </c>
      <c r="I521">
        <v>0</v>
      </c>
      <c r="J521" t="s">
        <v>90</v>
      </c>
      <c r="K521">
        <v>0</v>
      </c>
      <c r="L521">
        <v>31.78</v>
      </c>
      <c r="M521">
        <v>0</v>
      </c>
      <c r="N521">
        <v>0</v>
      </c>
      <c r="O521">
        <v>31.78</v>
      </c>
      <c r="P521" t="s">
        <v>90</v>
      </c>
      <c r="Q521">
        <v>0</v>
      </c>
      <c r="R521" t="s">
        <v>90</v>
      </c>
      <c r="S521">
        <v>0</v>
      </c>
      <c r="T521" t="s">
        <v>90</v>
      </c>
      <c r="U521">
        <v>0</v>
      </c>
      <c r="V521" t="s">
        <v>90</v>
      </c>
      <c r="W521">
        <v>0</v>
      </c>
      <c r="X521" t="s">
        <v>90</v>
      </c>
      <c r="Y521">
        <v>0</v>
      </c>
      <c r="Z521">
        <v>31.78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N521" t="s">
        <v>1015</v>
      </c>
      <c r="AO521" t="s">
        <v>73</v>
      </c>
      <c r="AP521">
        <v>200000</v>
      </c>
      <c r="AQ521" t="s">
        <v>73</v>
      </c>
      <c r="AS521">
        <v>10000</v>
      </c>
      <c r="AT521" t="s">
        <v>9</v>
      </c>
      <c r="AU521" t="s">
        <v>75</v>
      </c>
      <c r="AV521" t="s">
        <v>76</v>
      </c>
    </row>
    <row r="522" spans="1:48" x14ac:dyDescent="0.15">
      <c r="A522" s="4" t="str">
        <f>HYPERLINK("https://ibp.a2mac1.com/costing(costing:projects/details/9760/assembly/8413200)","Brackets")</f>
        <v>Brackets</v>
      </c>
      <c r="B522">
        <v>8413200</v>
      </c>
      <c r="D522">
        <v>8413072</v>
      </c>
      <c r="F522">
        <v>1</v>
      </c>
      <c r="G522">
        <v>0</v>
      </c>
      <c r="H522">
        <v>0.66718</v>
      </c>
      <c r="I522">
        <v>0</v>
      </c>
      <c r="J522" t="s">
        <v>90</v>
      </c>
      <c r="K522">
        <v>0</v>
      </c>
      <c r="L522">
        <v>0.66718</v>
      </c>
      <c r="M522">
        <v>0</v>
      </c>
      <c r="N522">
        <v>0</v>
      </c>
      <c r="O522">
        <v>0.66718</v>
      </c>
      <c r="P522" t="s">
        <v>90</v>
      </c>
      <c r="Q522">
        <v>0</v>
      </c>
      <c r="R522" t="s">
        <v>90</v>
      </c>
      <c r="S522">
        <v>0</v>
      </c>
      <c r="T522" t="s">
        <v>90</v>
      </c>
      <c r="U522">
        <v>0</v>
      </c>
      <c r="V522" t="s">
        <v>90</v>
      </c>
      <c r="W522">
        <v>0</v>
      </c>
      <c r="X522" t="s">
        <v>90</v>
      </c>
      <c r="Y522">
        <v>0</v>
      </c>
      <c r="Z522">
        <v>0.66718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0.14000000000000001</v>
      </c>
      <c r="AN522" t="s">
        <v>1015</v>
      </c>
      <c r="AO522" t="s">
        <v>73</v>
      </c>
      <c r="AP522">
        <v>200000</v>
      </c>
      <c r="AQ522" t="s">
        <v>73</v>
      </c>
      <c r="AS522">
        <v>10000</v>
      </c>
      <c r="AT522" t="s">
        <v>9</v>
      </c>
      <c r="AU522" t="s">
        <v>75</v>
      </c>
      <c r="AV522" t="s">
        <v>76</v>
      </c>
    </row>
    <row r="523" spans="1:48" x14ac:dyDescent="0.15">
      <c r="A523" s="4" t="str">
        <f>HYPERLINK("https://ibp.a2mac1.com/costing(costing:projects/details/9760/assembly/8413201)","Housing Parts")</f>
        <v>Housing Parts</v>
      </c>
      <c r="B523">
        <v>8413201</v>
      </c>
      <c r="D523">
        <v>8413072</v>
      </c>
      <c r="F523">
        <v>1</v>
      </c>
      <c r="G523">
        <v>0</v>
      </c>
      <c r="H523">
        <v>30.836849999999998</v>
      </c>
      <c r="I523">
        <v>0</v>
      </c>
      <c r="J523" t="s">
        <v>90</v>
      </c>
      <c r="K523">
        <v>0</v>
      </c>
      <c r="L523">
        <v>30.836849999999998</v>
      </c>
      <c r="M523">
        <v>0</v>
      </c>
      <c r="N523">
        <v>0</v>
      </c>
      <c r="O523">
        <v>30.836849999999998</v>
      </c>
      <c r="P523" t="s">
        <v>90</v>
      </c>
      <c r="Q523">
        <v>0</v>
      </c>
      <c r="R523" t="s">
        <v>90</v>
      </c>
      <c r="S523">
        <v>0</v>
      </c>
      <c r="T523" t="s">
        <v>90</v>
      </c>
      <c r="U523">
        <v>0</v>
      </c>
      <c r="V523" t="s">
        <v>90</v>
      </c>
      <c r="W523">
        <v>0</v>
      </c>
      <c r="X523" t="s">
        <v>90</v>
      </c>
      <c r="Y523">
        <v>0</v>
      </c>
      <c r="Z523">
        <v>30.836849999999998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4.5380000000000003</v>
      </c>
      <c r="AN523" t="s">
        <v>1015</v>
      </c>
      <c r="AO523" t="s">
        <v>73</v>
      </c>
      <c r="AP523">
        <v>200000</v>
      </c>
      <c r="AQ523" t="s">
        <v>73</v>
      </c>
      <c r="AS523">
        <v>10000</v>
      </c>
      <c r="AT523" t="s">
        <v>9</v>
      </c>
      <c r="AU523" t="s">
        <v>75</v>
      </c>
      <c r="AV523" t="s">
        <v>76</v>
      </c>
    </row>
    <row r="524" spans="1:48" x14ac:dyDescent="0.15">
      <c r="A524" s="4" t="str">
        <f>HYPERLINK("https://ibp.a2mac1.com/costing(costing:projects/details/9760/assembly/8413202)","Pressure Vents")</f>
        <v>Pressure Vents</v>
      </c>
      <c r="B524">
        <v>8413202</v>
      </c>
      <c r="D524">
        <v>8413072</v>
      </c>
      <c r="F524">
        <v>1</v>
      </c>
      <c r="G524">
        <v>0</v>
      </c>
      <c r="H524">
        <v>0.14249999999999999</v>
      </c>
      <c r="I524">
        <v>0</v>
      </c>
      <c r="J524" t="s">
        <v>90</v>
      </c>
      <c r="K524">
        <v>0</v>
      </c>
      <c r="L524">
        <v>0.14249999999999999</v>
      </c>
      <c r="M524">
        <v>0</v>
      </c>
      <c r="N524">
        <v>0</v>
      </c>
      <c r="O524">
        <v>0.14249999999999999</v>
      </c>
      <c r="P524" t="s">
        <v>90</v>
      </c>
      <c r="Q524">
        <v>0</v>
      </c>
      <c r="R524" t="s">
        <v>90</v>
      </c>
      <c r="S524">
        <v>0</v>
      </c>
      <c r="T524" t="s">
        <v>90</v>
      </c>
      <c r="U524">
        <v>0</v>
      </c>
      <c r="V524" t="s">
        <v>90</v>
      </c>
      <c r="W524">
        <v>0</v>
      </c>
      <c r="X524" t="s">
        <v>90</v>
      </c>
      <c r="Y524">
        <v>0</v>
      </c>
      <c r="Z524">
        <v>0.14249999999999999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1E-3</v>
      </c>
      <c r="AN524" t="s">
        <v>1015</v>
      </c>
      <c r="AO524" t="s">
        <v>73</v>
      </c>
      <c r="AP524">
        <v>200000</v>
      </c>
      <c r="AQ524" t="s">
        <v>73</v>
      </c>
      <c r="AS524">
        <v>10000</v>
      </c>
      <c r="AT524" t="s">
        <v>9</v>
      </c>
      <c r="AU524" t="s">
        <v>75</v>
      </c>
      <c r="AV524" t="s">
        <v>76</v>
      </c>
    </row>
    <row r="525" spans="1:48" x14ac:dyDescent="0.15">
      <c r="A525" s="4" t="str">
        <f>HYPERLINK("https://ibp.a2mac1.com/costing(costing:projects/details/9760/assembly/8413203)","Seals")</f>
        <v>Seals</v>
      </c>
      <c r="B525">
        <v>8413203</v>
      </c>
      <c r="D525">
        <v>8413072</v>
      </c>
      <c r="F525">
        <v>1</v>
      </c>
      <c r="G525">
        <v>0</v>
      </c>
      <c r="H525">
        <v>0.128</v>
      </c>
      <c r="I525">
        <v>0</v>
      </c>
      <c r="J525" t="s">
        <v>90</v>
      </c>
      <c r="K525">
        <v>0</v>
      </c>
      <c r="L525">
        <v>0.128</v>
      </c>
      <c r="M525">
        <v>0</v>
      </c>
      <c r="N525">
        <v>0</v>
      </c>
      <c r="O525">
        <v>0.128</v>
      </c>
      <c r="P525" t="s">
        <v>90</v>
      </c>
      <c r="Q525">
        <v>0</v>
      </c>
      <c r="R525" t="s">
        <v>90</v>
      </c>
      <c r="S525">
        <v>0</v>
      </c>
      <c r="T525" t="s">
        <v>90</v>
      </c>
      <c r="U525">
        <v>0</v>
      </c>
      <c r="V525" t="s">
        <v>90</v>
      </c>
      <c r="W525">
        <v>0</v>
      </c>
      <c r="X525" t="s">
        <v>90</v>
      </c>
      <c r="Y525">
        <v>0</v>
      </c>
      <c r="Z525">
        <v>0.128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1.6E-2</v>
      </c>
      <c r="AN525" t="s">
        <v>1015</v>
      </c>
      <c r="AO525" t="s">
        <v>73</v>
      </c>
      <c r="AP525">
        <v>200000</v>
      </c>
      <c r="AQ525" t="s">
        <v>73</v>
      </c>
      <c r="AS525">
        <v>10000</v>
      </c>
      <c r="AT525" t="s">
        <v>9</v>
      </c>
      <c r="AU525" t="s">
        <v>75</v>
      </c>
      <c r="AV525" t="s">
        <v>76</v>
      </c>
    </row>
    <row r="526" spans="1:48" x14ac:dyDescent="0.15">
      <c r="A526" s="4" t="str">
        <f>HYPERLINK("https://ibp.a2mac1.com/costing(costing:projects/details/9760/assembly/8413204)","Shields")</f>
        <v>Shields</v>
      </c>
      <c r="B526">
        <v>8413204</v>
      </c>
      <c r="D526">
        <v>8413072</v>
      </c>
      <c r="F526">
        <v>1</v>
      </c>
      <c r="G526">
        <v>0</v>
      </c>
      <c r="H526">
        <v>0.26727000000000001</v>
      </c>
      <c r="I526">
        <v>0</v>
      </c>
      <c r="J526" t="s">
        <v>90</v>
      </c>
      <c r="K526">
        <v>0</v>
      </c>
      <c r="L526">
        <v>0.26727000000000001</v>
      </c>
      <c r="M526">
        <v>0</v>
      </c>
      <c r="N526">
        <v>0</v>
      </c>
      <c r="O526">
        <v>0.26727000000000001</v>
      </c>
      <c r="P526" t="s">
        <v>90</v>
      </c>
      <c r="Q526">
        <v>0</v>
      </c>
      <c r="R526" t="s">
        <v>90</v>
      </c>
      <c r="S526">
        <v>0</v>
      </c>
      <c r="T526" t="s">
        <v>90</v>
      </c>
      <c r="U526">
        <v>0</v>
      </c>
      <c r="V526" t="s">
        <v>90</v>
      </c>
      <c r="W526">
        <v>0</v>
      </c>
      <c r="X526" t="s">
        <v>90</v>
      </c>
      <c r="Y526">
        <v>0</v>
      </c>
      <c r="Z526">
        <v>0.26727000000000001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0.01</v>
      </c>
      <c r="AN526" t="s">
        <v>1015</v>
      </c>
      <c r="AO526" t="s">
        <v>73</v>
      </c>
      <c r="AP526">
        <v>200000</v>
      </c>
      <c r="AQ526" t="s">
        <v>73</v>
      </c>
      <c r="AS526">
        <v>10000</v>
      </c>
      <c r="AT526" t="s">
        <v>9</v>
      </c>
      <c r="AU526" t="s">
        <v>75</v>
      </c>
      <c r="AV526" t="s">
        <v>76</v>
      </c>
    </row>
    <row r="527" spans="1:48" x14ac:dyDescent="0.15">
      <c r="A527" s="4" t="str">
        <f>HYPERLINK("https://ibp.a2mac1.com/costing(costing:projects/details/9760/assembly/8413205)","Thermal Paste/Gap Pads")</f>
        <v>Thermal Paste/Gap Pads</v>
      </c>
      <c r="B527">
        <v>8413205</v>
      </c>
      <c r="D527">
        <v>8413072</v>
      </c>
      <c r="F527">
        <v>1</v>
      </c>
      <c r="G527">
        <v>0</v>
      </c>
      <c r="H527">
        <v>0.41599999999999998</v>
      </c>
      <c r="I527">
        <v>0</v>
      </c>
      <c r="J527" t="s">
        <v>90</v>
      </c>
      <c r="K527">
        <v>0</v>
      </c>
      <c r="L527">
        <v>0.41599999999999998</v>
      </c>
      <c r="M527">
        <v>0</v>
      </c>
      <c r="N527">
        <v>0</v>
      </c>
      <c r="O527">
        <v>0.41599999999999998</v>
      </c>
      <c r="P527" t="s">
        <v>90</v>
      </c>
      <c r="Q527">
        <v>0</v>
      </c>
      <c r="R527" t="s">
        <v>90</v>
      </c>
      <c r="S527">
        <v>0</v>
      </c>
      <c r="T527" t="s">
        <v>90</v>
      </c>
      <c r="U527">
        <v>0</v>
      </c>
      <c r="V527" t="s">
        <v>90</v>
      </c>
      <c r="W527">
        <v>0</v>
      </c>
      <c r="X527" t="s">
        <v>90</v>
      </c>
      <c r="Y527">
        <v>0</v>
      </c>
      <c r="Z527">
        <v>0.41599999999999998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5.1999999999999998E-2</v>
      </c>
      <c r="AN527" t="s">
        <v>1015</v>
      </c>
      <c r="AO527" t="s">
        <v>73</v>
      </c>
      <c r="AP527">
        <v>200000</v>
      </c>
      <c r="AQ527" t="s">
        <v>73</v>
      </c>
      <c r="AS527">
        <v>10000</v>
      </c>
      <c r="AT527" t="s">
        <v>9</v>
      </c>
      <c r="AU527" t="s">
        <v>75</v>
      </c>
      <c r="AV527" t="s">
        <v>76</v>
      </c>
    </row>
    <row r="528" spans="1:48" x14ac:dyDescent="0.15">
      <c r="A528" s="4" t="str">
        <f>HYPERLINK("https://ibp.a2mac1.com/costing(costing:projects/details/9760/assembly/8413072)","Mechanical Parts")</f>
        <v>Mechanical Parts</v>
      </c>
      <c r="B528">
        <v>8413072</v>
      </c>
      <c r="D528">
        <v>8412940</v>
      </c>
      <c r="F528">
        <v>1</v>
      </c>
      <c r="G528">
        <v>0</v>
      </c>
      <c r="H528">
        <v>32.457799999999999</v>
      </c>
      <c r="I528">
        <v>0</v>
      </c>
      <c r="J528" t="s">
        <v>90</v>
      </c>
      <c r="K528">
        <v>0</v>
      </c>
      <c r="L528">
        <v>32.457799999999999</v>
      </c>
      <c r="M528">
        <v>0</v>
      </c>
      <c r="N528">
        <v>0</v>
      </c>
      <c r="O528">
        <v>32.457799999999999</v>
      </c>
      <c r="P528" t="s">
        <v>90</v>
      </c>
      <c r="Q528">
        <v>0</v>
      </c>
      <c r="R528" t="s">
        <v>90</v>
      </c>
      <c r="S528">
        <v>0</v>
      </c>
      <c r="T528" t="s">
        <v>90</v>
      </c>
      <c r="U528">
        <v>0</v>
      </c>
      <c r="V528" t="s">
        <v>90</v>
      </c>
      <c r="W528">
        <v>0</v>
      </c>
      <c r="X528" t="s">
        <v>90</v>
      </c>
      <c r="Y528">
        <v>0</v>
      </c>
      <c r="Z528">
        <v>32.457799999999999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4.7569999999999997</v>
      </c>
      <c r="AN528" t="s">
        <v>1015</v>
      </c>
      <c r="AO528" t="s">
        <v>73</v>
      </c>
      <c r="AP528">
        <v>200000</v>
      </c>
      <c r="AQ528" t="s">
        <v>73</v>
      </c>
      <c r="AS528">
        <v>10000</v>
      </c>
      <c r="AT528" t="s">
        <v>9</v>
      </c>
      <c r="AU528" t="s">
        <v>75</v>
      </c>
      <c r="AV528" t="s">
        <v>76</v>
      </c>
    </row>
    <row r="529" spans="1:48" x14ac:dyDescent="0.15">
      <c r="A529" s="4" t="str">
        <f>HYPERLINK("https://ibp.a2mac1.com/costing(costing:projects/details/9760/assembly/8412940)","High Voltage Booster")</f>
        <v>High Voltage Booster</v>
      </c>
      <c r="B529">
        <v>8412940</v>
      </c>
      <c r="D529">
        <v>8412873</v>
      </c>
      <c r="F529">
        <v>1</v>
      </c>
      <c r="G529">
        <v>0</v>
      </c>
      <c r="H529">
        <v>197.63337000000001</v>
      </c>
      <c r="I529">
        <v>0.9931325125628141</v>
      </c>
      <c r="J529" t="s">
        <v>176</v>
      </c>
      <c r="K529">
        <v>6.9171679499999996</v>
      </c>
      <c r="L529">
        <v>205.5436704625628</v>
      </c>
      <c r="M529">
        <v>0</v>
      </c>
      <c r="N529">
        <v>11.454396831492467</v>
      </c>
      <c r="O529">
        <v>216.99806729405529</v>
      </c>
      <c r="P529" t="s">
        <v>177</v>
      </c>
      <c r="Q529">
        <v>12.332620227753768</v>
      </c>
      <c r="R529" t="s">
        <v>177</v>
      </c>
      <c r="S529">
        <v>0.68726380988954805</v>
      </c>
      <c r="T529" t="s">
        <v>178</v>
      </c>
      <c r="U529">
        <v>26.039768075286634</v>
      </c>
      <c r="V529" t="s">
        <v>90</v>
      </c>
      <c r="W529">
        <v>0</v>
      </c>
      <c r="X529" t="s">
        <v>90</v>
      </c>
      <c r="Y529">
        <v>0</v>
      </c>
      <c r="Z529">
        <v>256.05771940698526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283</v>
      </c>
      <c r="AI529">
        <v>484</v>
      </c>
      <c r="AJ529">
        <v>225</v>
      </c>
      <c r="AK529">
        <v>0</v>
      </c>
      <c r="AL529">
        <v>0</v>
      </c>
      <c r="AN529" t="s">
        <v>95</v>
      </c>
      <c r="AO529" t="s">
        <v>73</v>
      </c>
      <c r="AP529">
        <v>200000</v>
      </c>
      <c r="AQ529" t="s">
        <v>97</v>
      </c>
      <c r="AS529">
        <v>10000</v>
      </c>
      <c r="AT529" t="s">
        <v>3663</v>
      </c>
      <c r="AU529" t="s">
        <v>75</v>
      </c>
      <c r="AV529" t="s">
        <v>76</v>
      </c>
    </row>
    <row r="530" spans="1:48" x14ac:dyDescent="0.15">
      <c r="A530" s="4" t="str">
        <f>HYPERLINK("https://ibp.a2mac1.com/costing(costing:projects/details/9760/assembly/8412941)","Cable 12v")</f>
        <v>Cable 12v</v>
      </c>
      <c r="B530">
        <v>8412941</v>
      </c>
      <c r="D530">
        <v>8412873</v>
      </c>
      <c r="F530">
        <v>1</v>
      </c>
      <c r="G530">
        <v>0</v>
      </c>
      <c r="H530">
        <v>13.87992</v>
      </c>
      <c r="I530">
        <v>6.9748341708542716E-2</v>
      </c>
      <c r="J530" t="s">
        <v>176</v>
      </c>
      <c r="K530">
        <v>0.48579719999999998</v>
      </c>
      <c r="L530">
        <v>14.435465541708544</v>
      </c>
      <c r="M530">
        <v>0</v>
      </c>
      <c r="N530">
        <v>1.5597172484204884</v>
      </c>
      <c r="O530">
        <v>15.99518279012903</v>
      </c>
      <c r="P530" t="s">
        <v>177</v>
      </c>
      <c r="Q530">
        <v>0.86612793250251252</v>
      </c>
      <c r="R530" t="s">
        <v>177</v>
      </c>
      <c r="S530">
        <v>9.3583034905229304E-2</v>
      </c>
      <c r="T530" t="s">
        <v>178</v>
      </c>
      <c r="U530">
        <v>1.9194219348154837</v>
      </c>
      <c r="V530" t="s">
        <v>90</v>
      </c>
      <c r="W530">
        <v>0</v>
      </c>
      <c r="X530" t="s">
        <v>90</v>
      </c>
      <c r="Y530">
        <v>0</v>
      </c>
      <c r="Z530">
        <v>18.874315692352258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0.93400000000000005</v>
      </c>
      <c r="AN530" t="s">
        <v>95</v>
      </c>
      <c r="AO530" t="s">
        <v>73</v>
      </c>
      <c r="AP530">
        <v>200000</v>
      </c>
      <c r="AQ530" t="s">
        <v>97</v>
      </c>
      <c r="AS530">
        <v>10000</v>
      </c>
      <c r="AT530" t="s">
        <v>3666</v>
      </c>
      <c r="AU530" t="s">
        <v>75</v>
      </c>
      <c r="AV530" t="s">
        <v>76</v>
      </c>
    </row>
    <row r="531" spans="1:48" x14ac:dyDescent="0.15">
      <c r="A531" s="4" t="str">
        <f>HYPERLINK("https://ibp.a2mac1.com/costing(costing:projects/details/9760/assembly/8412873)","DC-DC converter/Junction Box system")</f>
        <v>DC-DC converter/Junction Box system</v>
      </c>
      <c r="B531">
        <v>8412873</v>
      </c>
      <c r="D531">
        <v>8412864</v>
      </c>
      <c r="F531">
        <v>1</v>
      </c>
      <c r="G531">
        <v>0</v>
      </c>
      <c r="H531">
        <v>274.9320350993375</v>
      </c>
      <c r="I531">
        <v>0</v>
      </c>
      <c r="J531" t="s">
        <v>90</v>
      </c>
      <c r="K531">
        <v>0</v>
      </c>
      <c r="L531">
        <v>274.9320350993375</v>
      </c>
      <c r="M531">
        <v>0</v>
      </c>
      <c r="N531">
        <v>0</v>
      </c>
      <c r="O531">
        <v>274.9320350993375</v>
      </c>
      <c r="P531" t="s">
        <v>90</v>
      </c>
      <c r="Q531">
        <v>0</v>
      </c>
      <c r="R531" t="s">
        <v>90</v>
      </c>
      <c r="S531">
        <v>0</v>
      </c>
      <c r="T531" t="s">
        <v>90</v>
      </c>
      <c r="U531">
        <v>0</v>
      </c>
      <c r="V531" t="s">
        <v>90</v>
      </c>
      <c r="W531">
        <v>0</v>
      </c>
      <c r="X531" t="s">
        <v>90</v>
      </c>
      <c r="Y531">
        <v>0</v>
      </c>
      <c r="Z531">
        <v>274.9320350993375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13.333</v>
      </c>
      <c r="AN531" t="s">
        <v>72</v>
      </c>
      <c r="AO531" t="s">
        <v>73</v>
      </c>
      <c r="AP531">
        <v>200000</v>
      </c>
      <c r="AQ531" t="s">
        <v>73</v>
      </c>
      <c r="AS531">
        <v>10000</v>
      </c>
      <c r="AT531" t="s">
        <v>3667</v>
      </c>
      <c r="AU531" t="s">
        <v>75</v>
      </c>
      <c r="AV531" t="s">
        <v>76</v>
      </c>
    </row>
    <row r="532" spans="1:48" x14ac:dyDescent="0.15">
      <c r="A532" s="4" t="str">
        <f>HYPERLINK("https://ibp.a2mac1.com/costing(costing:projects/details/9760/assembly/8412874)","HV cable bracket system")</f>
        <v>HV cable bracket system</v>
      </c>
      <c r="B532">
        <v>8412874</v>
      </c>
      <c r="D532">
        <v>8412864</v>
      </c>
      <c r="F532">
        <v>1</v>
      </c>
      <c r="G532">
        <v>0</v>
      </c>
      <c r="H532">
        <v>7.9176000000000002</v>
      </c>
      <c r="I532">
        <v>0</v>
      </c>
      <c r="J532" t="s">
        <v>90</v>
      </c>
      <c r="K532">
        <v>0</v>
      </c>
      <c r="L532">
        <v>7.9176000000000002</v>
      </c>
      <c r="M532">
        <v>0</v>
      </c>
      <c r="N532">
        <v>0</v>
      </c>
      <c r="O532">
        <v>7.9176000000000002</v>
      </c>
      <c r="P532" t="s">
        <v>90</v>
      </c>
      <c r="Q532">
        <v>0</v>
      </c>
      <c r="R532" t="s">
        <v>90</v>
      </c>
      <c r="S532">
        <v>0</v>
      </c>
      <c r="T532" t="s">
        <v>90</v>
      </c>
      <c r="U532">
        <v>0</v>
      </c>
      <c r="V532" t="s">
        <v>90</v>
      </c>
      <c r="W532">
        <v>0</v>
      </c>
      <c r="X532" t="s">
        <v>90</v>
      </c>
      <c r="Y532">
        <v>0</v>
      </c>
      <c r="Z532">
        <v>7.9176000000000002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0.97</v>
      </c>
      <c r="AN532" t="s">
        <v>72</v>
      </c>
      <c r="AO532" t="s">
        <v>73</v>
      </c>
      <c r="AP532">
        <v>200000</v>
      </c>
      <c r="AQ532" t="s">
        <v>73</v>
      </c>
      <c r="AS532">
        <v>10000</v>
      </c>
      <c r="AT532" t="s">
        <v>3692</v>
      </c>
      <c r="AU532" t="s">
        <v>75</v>
      </c>
      <c r="AV532" t="s">
        <v>76</v>
      </c>
    </row>
    <row r="533" spans="1:48" x14ac:dyDescent="0.15">
      <c r="A533" s="4" t="str">
        <f>HYPERLINK("https://ibp.a2mac1.com/costing(costing:projects/details/9760/assembly/8412875)","Cable Guide")</f>
        <v>Cable Guide</v>
      </c>
      <c r="B533">
        <v>8412875</v>
      </c>
      <c r="D533">
        <v>8412864</v>
      </c>
      <c r="F533">
        <v>1</v>
      </c>
      <c r="G533">
        <v>0</v>
      </c>
      <c r="H533">
        <v>3.1141800000000002</v>
      </c>
      <c r="I533">
        <v>0</v>
      </c>
      <c r="J533" t="s">
        <v>90</v>
      </c>
      <c r="K533">
        <v>0</v>
      </c>
      <c r="L533">
        <v>3.1141800000000002</v>
      </c>
      <c r="M533">
        <v>0</v>
      </c>
      <c r="N533">
        <v>0</v>
      </c>
      <c r="O533">
        <v>3.1141800000000002</v>
      </c>
      <c r="P533" t="s">
        <v>90</v>
      </c>
      <c r="Q533">
        <v>0</v>
      </c>
      <c r="R533" t="s">
        <v>90</v>
      </c>
      <c r="S533">
        <v>0</v>
      </c>
      <c r="T533" t="s">
        <v>90</v>
      </c>
      <c r="U533">
        <v>0</v>
      </c>
      <c r="V533" t="s">
        <v>90</v>
      </c>
      <c r="W533">
        <v>0</v>
      </c>
      <c r="X533" t="s">
        <v>90</v>
      </c>
      <c r="Y533">
        <v>0</v>
      </c>
      <c r="Z533">
        <v>3.1141800000000002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N533" t="s">
        <v>72</v>
      </c>
      <c r="AO533" t="s">
        <v>73</v>
      </c>
      <c r="AP533">
        <v>200000</v>
      </c>
      <c r="AQ533" t="s">
        <v>73</v>
      </c>
      <c r="AS533">
        <v>10000</v>
      </c>
      <c r="AT533" t="s">
        <v>3701</v>
      </c>
      <c r="AU533" t="s">
        <v>75</v>
      </c>
      <c r="AV533" t="s">
        <v>76</v>
      </c>
    </row>
    <row r="534" spans="1:48" x14ac:dyDescent="0.15">
      <c r="A534" s="4" t="str">
        <f>HYPERLINK("https://ibp.a2mac1.com/costing(costing:projects/details/9760/assembly/8412864)","Hybrid Electric System")</f>
        <v>Hybrid Electric System</v>
      </c>
      <c r="B534">
        <v>8412864</v>
      </c>
      <c r="D534">
        <v>8412863</v>
      </c>
      <c r="F534">
        <v>1</v>
      </c>
      <c r="G534">
        <v>0</v>
      </c>
      <c r="H534">
        <v>14546.312666907088</v>
      </c>
      <c r="I534">
        <v>0</v>
      </c>
      <c r="J534" t="s">
        <v>90</v>
      </c>
      <c r="K534">
        <v>0</v>
      </c>
      <c r="L534">
        <v>14546.312666907088</v>
      </c>
      <c r="M534">
        <v>0</v>
      </c>
      <c r="N534">
        <v>0</v>
      </c>
      <c r="O534">
        <v>14546.312666907088</v>
      </c>
      <c r="P534" t="s">
        <v>90</v>
      </c>
      <c r="Q534">
        <v>0</v>
      </c>
      <c r="R534" t="s">
        <v>90</v>
      </c>
      <c r="S534">
        <v>0</v>
      </c>
      <c r="T534" t="s">
        <v>90</v>
      </c>
      <c r="U534">
        <v>0</v>
      </c>
      <c r="V534" t="s">
        <v>90</v>
      </c>
      <c r="W534">
        <v>0</v>
      </c>
      <c r="X534" t="s">
        <v>90</v>
      </c>
      <c r="Y534">
        <v>0</v>
      </c>
      <c r="Z534">
        <v>14546.312666907088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L534">
        <v>842.64160000000004</v>
      </c>
      <c r="AN534" t="s">
        <v>72</v>
      </c>
      <c r="AO534" t="s">
        <v>73</v>
      </c>
      <c r="AP534">
        <v>200000</v>
      </c>
      <c r="AQ534" t="s">
        <v>73</v>
      </c>
      <c r="AS534">
        <v>10000</v>
      </c>
      <c r="AT534" t="s">
        <v>3702</v>
      </c>
      <c r="AU534" t="s">
        <v>75</v>
      </c>
      <c r="AV534" t="s">
        <v>76</v>
      </c>
    </row>
    <row r="535" spans="1:48" x14ac:dyDescent="0.15">
      <c r="A535" s="4" t="str">
        <f>HYPERLINK("https://ibp.a2mac1.com/costing(costing:projects/details/9760/assembly/8412876)","E-motor Support System")</f>
        <v>E-motor Support System</v>
      </c>
      <c r="B535">
        <v>8412876</v>
      </c>
      <c r="D535">
        <v>8412865</v>
      </c>
      <c r="F535">
        <v>1</v>
      </c>
      <c r="G535">
        <v>0</v>
      </c>
      <c r="H535">
        <v>10.81767</v>
      </c>
      <c r="I535">
        <v>0</v>
      </c>
      <c r="J535" t="s">
        <v>90</v>
      </c>
      <c r="K535">
        <v>0</v>
      </c>
      <c r="L535">
        <v>10.81767</v>
      </c>
      <c r="M535">
        <v>0</v>
      </c>
      <c r="N535">
        <v>0</v>
      </c>
      <c r="O535">
        <v>10.81767</v>
      </c>
      <c r="P535" t="s">
        <v>90</v>
      </c>
      <c r="Q535">
        <v>0</v>
      </c>
      <c r="R535" t="s">
        <v>90</v>
      </c>
      <c r="S535">
        <v>0</v>
      </c>
      <c r="T535" t="s">
        <v>90</v>
      </c>
      <c r="U535">
        <v>0</v>
      </c>
      <c r="V535" t="s">
        <v>90</v>
      </c>
      <c r="W535">
        <v>0</v>
      </c>
      <c r="X535" t="s">
        <v>90</v>
      </c>
      <c r="Y535">
        <v>0</v>
      </c>
      <c r="Z535">
        <v>10.81767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L535">
        <v>2.3980000000000001</v>
      </c>
      <c r="AN535" t="s">
        <v>1015</v>
      </c>
      <c r="AO535" t="s">
        <v>73</v>
      </c>
      <c r="AP535">
        <v>200000</v>
      </c>
      <c r="AQ535" t="s">
        <v>97</v>
      </c>
      <c r="AS535">
        <v>10000</v>
      </c>
      <c r="AT535" t="s">
        <v>3717</v>
      </c>
      <c r="AU535" t="s">
        <v>75</v>
      </c>
      <c r="AV535" t="s">
        <v>76</v>
      </c>
    </row>
    <row r="536" spans="1:48" x14ac:dyDescent="0.15">
      <c r="A536" s="4" t="str">
        <f>HYPERLINK("https://ibp.a2mac1.com/costing(costing:projects/details/9760/assembly/8412865)","Engine mounts")</f>
        <v>Engine mounts</v>
      </c>
      <c r="B536">
        <v>8412865</v>
      </c>
      <c r="D536">
        <v>8412863</v>
      </c>
      <c r="F536">
        <v>1</v>
      </c>
      <c r="G536">
        <v>0</v>
      </c>
      <c r="H536">
        <v>10.81767</v>
      </c>
      <c r="I536">
        <v>0</v>
      </c>
      <c r="J536" t="s">
        <v>90</v>
      </c>
      <c r="K536">
        <v>0</v>
      </c>
      <c r="L536">
        <v>10.81767</v>
      </c>
      <c r="M536">
        <v>0</v>
      </c>
      <c r="N536">
        <v>0</v>
      </c>
      <c r="O536">
        <v>10.81767</v>
      </c>
      <c r="P536" t="s">
        <v>90</v>
      </c>
      <c r="Q536">
        <v>0</v>
      </c>
      <c r="R536" t="s">
        <v>90</v>
      </c>
      <c r="S536">
        <v>0</v>
      </c>
      <c r="T536" t="s">
        <v>90</v>
      </c>
      <c r="U536">
        <v>0</v>
      </c>
      <c r="V536" t="s">
        <v>90</v>
      </c>
      <c r="W536">
        <v>0</v>
      </c>
      <c r="X536" t="s">
        <v>90</v>
      </c>
      <c r="Y536">
        <v>0</v>
      </c>
      <c r="Z536">
        <v>10.81767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2.3980000000000001</v>
      </c>
      <c r="AN536" t="s">
        <v>72</v>
      </c>
      <c r="AO536" t="s">
        <v>73</v>
      </c>
      <c r="AP536">
        <v>200000</v>
      </c>
      <c r="AQ536" t="s">
        <v>73</v>
      </c>
      <c r="AS536">
        <v>10000</v>
      </c>
      <c r="AT536" t="s">
        <v>3718</v>
      </c>
      <c r="AU536" t="s">
        <v>75</v>
      </c>
      <c r="AV536" t="s">
        <v>76</v>
      </c>
    </row>
    <row r="537" spans="1:48" x14ac:dyDescent="0.15">
      <c r="A537" s="4" t="str">
        <f>HYPERLINK("https://ibp.a2mac1.com/costing(costing:projects/details/9760/assembly/8412863)","Engine")</f>
        <v>Engine</v>
      </c>
      <c r="B537">
        <v>8412863</v>
      </c>
      <c r="C537">
        <v>9760</v>
      </c>
      <c r="F537">
        <v>1</v>
      </c>
      <c r="G537">
        <v>0</v>
      </c>
      <c r="H537">
        <v>14557.130336907088</v>
      </c>
      <c r="I537">
        <v>0</v>
      </c>
      <c r="J537" t="s">
        <v>90</v>
      </c>
      <c r="K537">
        <v>0</v>
      </c>
      <c r="L537">
        <v>14557.130336907088</v>
      </c>
      <c r="M537">
        <v>0</v>
      </c>
      <c r="N537">
        <v>0</v>
      </c>
      <c r="O537">
        <v>14557.130336907088</v>
      </c>
      <c r="P537" t="s">
        <v>90</v>
      </c>
      <c r="Q537">
        <v>0</v>
      </c>
      <c r="R537" t="s">
        <v>90</v>
      </c>
      <c r="S537">
        <v>0</v>
      </c>
      <c r="T537" t="s">
        <v>90</v>
      </c>
      <c r="U537">
        <v>0</v>
      </c>
      <c r="V537" t="s">
        <v>90</v>
      </c>
      <c r="W537">
        <v>0</v>
      </c>
      <c r="X537" t="s">
        <v>90</v>
      </c>
      <c r="Y537">
        <v>0</v>
      </c>
      <c r="Z537">
        <v>14557.130336907088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L537">
        <v>845.65650000000005</v>
      </c>
      <c r="AN537" t="s">
        <v>72</v>
      </c>
      <c r="AO537" t="s">
        <v>73</v>
      </c>
      <c r="AP537">
        <v>200000</v>
      </c>
      <c r="AQ537" t="s">
        <v>73</v>
      </c>
      <c r="AS537">
        <v>10000</v>
      </c>
      <c r="AT537" t="s">
        <v>3719</v>
      </c>
      <c r="AU537" t="s">
        <v>75</v>
      </c>
      <c r="AV537" t="s">
        <v>76</v>
      </c>
    </row>
    <row r="538" spans="1:48" x14ac:dyDescent="0.15">
      <c r="A538" s="4" t="str">
        <f>HYPERLINK("https://ibp.a2mac1.com/costing(costing:projects/details/9760/assembly/8414797)","Support on Tunnel")</f>
        <v>Support on Tunnel</v>
      </c>
      <c r="B538">
        <v>8414797</v>
      </c>
      <c r="D538">
        <v>8414738</v>
      </c>
      <c r="F538">
        <v>1</v>
      </c>
      <c r="G538">
        <v>0</v>
      </c>
      <c r="H538">
        <v>5.6084008030653978</v>
      </c>
      <c r="I538">
        <v>0</v>
      </c>
      <c r="J538" t="s">
        <v>90</v>
      </c>
      <c r="K538">
        <v>0</v>
      </c>
      <c r="L538">
        <v>5.6084008030653978</v>
      </c>
      <c r="M538">
        <v>0</v>
      </c>
      <c r="N538">
        <v>0</v>
      </c>
      <c r="O538">
        <v>5.6084008030653978</v>
      </c>
      <c r="P538" t="s">
        <v>90</v>
      </c>
      <c r="Q538">
        <v>0</v>
      </c>
      <c r="R538" t="s">
        <v>90</v>
      </c>
      <c r="S538">
        <v>0</v>
      </c>
      <c r="T538" t="s">
        <v>90</v>
      </c>
      <c r="U538">
        <v>0</v>
      </c>
      <c r="V538" t="s">
        <v>90</v>
      </c>
      <c r="W538">
        <v>0</v>
      </c>
      <c r="X538" t="s">
        <v>90</v>
      </c>
      <c r="Y538">
        <v>0</v>
      </c>
      <c r="Z538">
        <v>5.6084008030653978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L538">
        <v>1.367</v>
      </c>
      <c r="AN538" t="s">
        <v>185</v>
      </c>
      <c r="AO538" t="s">
        <v>73</v>
      </c>
      <c r="AP538">
        <v>200000</v>
      </c>
      <c r="AQ538" t="s">
        <v>73</v>
      </c>
      <c r="AS538">
        <v>10000</v>
      </c>
      <c r="AT538" t="s">
        <v>3734</v>
      </c>
      <c r="AU538" t="s">
        <v>75</v>
      </c>
      <c r="AV538" t="s">
        <v>76</v>
      </c>
    </row>
    <row r="539" spans="1:48" x14ac:dyDescent="0.15">
      <c r="A539" s="4" t="str">
        <f>HYPERLINK("https://ibp.a2mac1.com/costing(costing:projects/details/9760/assembly/8414738)","Cross Car Beam")</f>
        <v>Cross Car Beam</v>
      </c>
      <c r="B539">
        <v>8414738</v>
      </c>
      <c r="D539">
        <v>8414733</v>
      </c>
      <c r="F539">
        <v>1</v>
      </c>
      <c r="G539">
        <v>0</v>
      </c>
      <c r="H539">
        <v>62.519709904522827</v>
      </c>
      <c r="I539">
        <v>0</v>
      </c>
      <c r="J539" t="s">
        <v>90</v>
      </c>
      <c r="K539">
        <v>0</v>
      </c>
      <c r="L539">
        <v>62.519709904522827</v>
      </c>
      <c r="M539">
        <v>0</v>
      </c>
      <c r="N539">
        <v>0</v>
      </c>
      <c r="O539">
        <v>62.519709904522827</v>
      </c>
      <c r="P539" t="s">
        <v>90</v>
      </c>
      <c r="Q539">
        <v>0</v>
      </c>
      <c r="R539" t="s">
        <v>90</v>
      </c>
      <c r="S539">
        <v>0</v>
      </c>
      <c r="T539" t="s">
        <v>90</v>
      </c>
      <c r="U539">
        <v>0</v>
      </c>
      <c r="V539" t="s">
        <v>90</v>
      </c>
      <c r="W539">
        <v>0</v>
      </c>
      <c r="X539" t="s">
        <v>90</v>
      </c>
      <c r="Y539">
        <v>0</v>
      </c>
      <c r="Z539">
        <v>62.519709904522827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L539">
        <v>6.8150000000000004</v>
      </c>
      <c r="AN539" t="s">
        <v>185</v>
      </c>
      <c r="AO539" t="s">
        <v>73</v>
      </c>
      <c r="AP539">
        <v>200000</v>
      </c>
      <c r="AQ539" t="s">
        <v>73</v>
      </c>
      <c r="AS539">
        <v>10000</v>
      </c>
      <c r="AT539" t="s">
        <v>3744</v>
      </c>
      <c r="AU539" t="s">
        <v>75</v>
      </c>
      <c r="AV539" t="s">
        <v>76</v>
      </c>
    </row>
    <row r="540" spans="1:48" x14ac:dyDescent="0.15">
      <c r="A540" s="4" t="str">
        <f>HYPERLINK("https://ibp.a2mac1.com/costing(costing:projects/details/9760/assembly/8414803)","Driver Side Trim")</f>
        <v>Driver Side Trim</v>
      </c>
      <c r="B540">
        <v>8414803</v>
      </c>
      <c r="D540">
        <v>8414739</v>
      </c>
      <c r="F540">
        <v>1</v>
      </c>
      <c r="G540">
        <v>0</v>
      </c>
      <c r="H540">
        <v>0.7678905971107578</v>
      </c>
      <c r="I540">
        <v>0</v>
      </c>
      <c r="J540" t="s">
        <v>90</v>
      </c>
      <c r="K540">
        <v>0</v>
      </c>
      <c r="L540">
        <v>0.7678905971107578</v>
      </c>
      <c r="M540">
        <v>0</v>
      </c>
      <c r="N540">
        <v>0</v>
      </c>
      <c r="O540">
        <v>0.7678905971107578</v>
      </c>
      <c r="P540" t="s">
        <v>90</v>
      </c>
      <c r="Q540">
        <v>0</v>
      </c>
      <c r="R540" t="s">
        <v>90</v>
      </c>
      <c r="S540">
        <v>0</v>
      </c>
      <c r="T540" t="s">
        <v>90</v>
      </c>
      <c r="U540">
        <v>0</v>
      </c>
      <c r="V540" t="s">
        <v>90</v>
      </c>
      <c r="W540">
        <v>0</v>
      </c>
      <c r="X540" t="s">
        <v>90</v>
      </c>
      <c r="Y540">
        <v>0</v>
      </c>
      <c r="Z540">
        <v>0.7678905971107578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L540">
        <v>0.32119999999999999</v>
      </c>
      <c r="AN540" t="s">
        <v>185</v>
      </c>
      <c r="AO540" t="s">
        <v>73</v>
      </c>
      <c r="AP540">
        <v>200000</v>
      </c>
      <c r="AQ540" t="s">
        <v>73</v>
      </c>
      <c r="AS540">
        <v>10000</v>
      </c>
      <c r="AT540" t="s">
        <v>3750</v>
      </c>
      <c r="AU540" t="s">
        <v>75</v>
      </c>
      <c r="AV540" t="s">
        <v>76</v>
      </c>
    </row>
    <row r="541" spans="1:48" x14ac:dyDescent="0.15">
      <c r="A541" s="4" t="str">
        <f>HYPERLINK("https://ibp.a2mac1.com/costing(costing:projects/details/9760/assembly/8414804)","Passenger Side Trim")</f>
        <v>Passenger Side Trim</v>
      </c>
      <c r="B541">
        <v>8414804</v>
      </c>
      <c r="D541">
        <v>8414739</v>
      </c>
      <c r="F541">
        <v>1</v>
      </c>
      <c r="G541">
        <v>0</v>
      </c>
      <c r="H541">
        <v>8.3938016777022746</v>
      </c>
      <c r="I541">
        <v>0</v>
      </c>
      <c r="J541" t="s">
        <v>90</v>
      </c>
      <c r="K541">
        <v>0</v>
      </c>
      <c r="L541">
        <v>8.3938016777022746</v>
      </c>
      <c r="M541">
        <v>0</v>
      </c>
      <c r="N541">
        <v>0</v>
      </c>
      <c r="O541">
        <v>8.3938016777022746</v>
      </c>
      <c r="P541" t="s">
        <v>90</v>
      </c>
      <c r="Q541">
        <v>0</v>
      </c>
      <c r="R541" t="s">
        <v>90</v>
      </c>
      <c r="S541">
        <v>0</v>
      </c>
      <c r="T541" t="s">
        <v>90</v>
      </c>
      <c r="U541">
        <v>0</v>
      </c>
      <c r="V541" t="s">
        <v>90</v>
      </c>
      <c r="W541">
        <v>0</v>
      </c>
      <c r="X541" t="s">
        <v>90</v>
      </c>
      <c r="Y541">
        <v>0</v>
      </c>
      <c r="Z541">
        <v>8.3938016777022746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L541">
        <v>1.2310000000000001</v>
      </c>
      <c r="AN541" t="s">
        <v>185</v>
      </c>
      <c r="AO541" t="s">
        <v>73</v>
      </c>
      <c r="AP541">
        <v>200000</v>
      </c>
      <c r="AQ541" t="s">
        <v>73</v>
      </c>
      <c r="AS541">
        <v>10000</v>
      </c>
      <c r="AT541" t="s">
        <v>3760</v>
      </c>
      <c r="AU541" t="s">
        <v>75</v>
      </c>
      <c r="AV541" t="s">
        <v>76</v>
      </c>
    </row>
    <row r="542" spans="1:48" x14ac:dyDescent="0.15">
      <c r="A542" s="4" t="str">
        <f>HYPERLINK("https://ibp.a2mac1.com/costing(costing:projects/details/9760/assembly/8414805)","Central Trim")</f>
        <v>Central Trim</v>
      </c>
      <c r="B542">
        <v>8414805</v>
      </c>
      <c r="D542">
        <v>8414739</v>
      </c>
      <c r="F542">
        <v>1</v>
      </c>
      <c r="G542">
        <v>0</v>
      </c>
      <c r="H542">
        <v>24.932314837737565</v>
      </c>
      <c r="I542">
        <v>0</v>
      </c>
      <c r="J542" t="s">
        <v>90</v>
      </c>
      <c r="K542">
        <v>0</v>
      </c>
      <c r="L542">
        <v>24.932314837737565</v>
      </c>
      <c r="M542">
        <v>0</v>
      </c>
      <c r="N542">
        <v>0</v>
      </c>
      <c r="O542">
        <v>24.932314837737565</v>
      </c>
      <c r="P542" t="s">
        <v>90</v>
      </c>
      <c r="Q542">
        <v>0</v>
      </c>
      <c r="R542" t="s">
        <v>90</v>
      </c>
      <c r="S542">
        <v>0</v>
      </c>
      <c r="T542" t="s">
        <v>90</v>
      </c>
      <c r="U542">
        <v>0</v>
      </c>
      <c r="V542" t="s">
        <v>90</v>
      </c>
      <c r="W542">
        <v>0</v>
      </c>
      <c r="X542" t="s">
        <v>90</v>
      </c>
      <c r="Y542">
        <v>0</v>
      </c>
      <c r="Z542">
        <v>24.932314837737565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L542">
        <v>3.0988000000000002</v>
      </c>
      <c r="AN542" t="s">
        <v>185</v>
      </c>
      <c r="AO542" t="s">
        <v>73</v>
      </c>
      <c r="AP542">
        <v>200000</v>
      </c>
      <c r="AQ542" t="s">
        <v>73</v>
      </c>
      <c r="AS542">
        <v>10000</v>
      </c>
      <c r="AT542" t="s">
        <v>3771</v>
      </c>
      <c r="AU542" t="s">
        <v>75</v>
      </c>
      <c r="AV542" t="s">
        <v>76</v>
      </c>
    </row>
    <row r="543" spans="1:48" x14ac:dyDescent="0.15">
      <c r="A543" s="4" t="str">
        <f>HYPERLINK("https://ibp.a2mac1.com/costing(costing:projects/details/9760/assembly/8414739)","Dashboard Covers")</f>
        <v>Dashboard Covers</v>
      </c>
      <c r="B543">
        <v>8414739</v>
      </c>
      <c r="D543">
        <v>8414733</v>
      </c>
      <c r="F543">
        <v>1</v>
      </c>
      <c r="G543">
        <v>0</v>
      </c>
      <c r="H543">
        <v>35.599041814090334</v>
      </c>
      <c r="I543">
        <v>0</v>
      </c>
      <c r="J543" t="s">
        <v>90</v>
      </c>
      <c r="K543">
        <v>0</v>
      </c>
      <c r="L543">
        <v>35.599041814090334</v>
      </c>
      <c r="M543">
        <v>0</v>
      </c>
      <c r="N543">
        <v>0</v>
      </c>
      <c r="O543">
        <v>35.599041814090334</v>
      </c>
      <c r="P543" t="s">
        <v>90</v>
      </c>
      <c r="Q543">
        <v>0</v>
      </c>
      <c r="R543" t="s">
        <v>90</v>
      </c>
      <c r="S543">
        <v>0</v>
      </c>
      <c r="T543" t="s">
        <v>90</v>
      </c>
      <c r="U543">
        <v>0</v>
      </c>
      <c r="V543" t="s">
        <v>90</v>
      </c>
      <c r="W543">
        <v>0</v>
      </c>
      <c r="X543" t="s">
        <v>90</v>
      </c>
      <c r="Y543">
        <v>0</v>
      </c>
      <c r="Z543">
        <v>35.599041814090334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L543">
        <v>5.2460000000000004</v>
      </c>
      <c r="AN543" t="s">
        <v>185</v>
      </c>
      <c r="AO543" t="s">
        <v>73</v>
      </c>
      <c r="AP543">
        <v>200000</v>
      </c>
      <c r="AQ543" t="s">
        <v>73</v>
      </c>
      <c r="AS543">
        <v>10000</v>
      </c>
      <c r="AT543" t="s">
        <v>3787</v>
      </c>
      <c r="AU543" t="s">
        <v>75</v>
      </c>
      <c r="AV543" t="s">
        <v>76</v>
      </c>
    </row>
    <row r="544" spans="1:48" x14ac:dyDescent="0.15">
      <c r="A544" s="4" t="str">
        <f>HYPERLINK("https://ibp.a2mac1.com/costing(costing:projects/details/9760/assembly/8414963)","Oscillating Front System")</f>
        <v>Oscillating Front System</v>
      </c>
      <c r="B544">
        <v>8414963</v>
      </c>
      <c r="D544">
        <v>8414806</v>
      </c>
      <c r="F544">
        <v>1</v>
      </c>
      <c r="G544">
        <v>0</v>
      </c>
      <c r="H544">
        <v>4.1679511397557292</v>
      </c>
      <c r="I544">
        <v>0</v>
      </c>
      <c r="J544" t="s">
        <v>90</v>
      </c>
      <c r="K544">
        <v>0</v>
      </c>
      <c r="L544">
        <v>4.1679511397557292</v>
      </c>
      <c r="M544">
        <v>0</v>
      </c>
      <c r="N544">
        <v>0</v>
      </c>
      <c r="O544">
        <v>4.1679511397557292</v>
      </c>
      <c r="P544" t="s">
        <v>90</v>
      </c>
      <c r="Q544">
        <v>0</v>
      </c>
      <c r="R544" t="s">
        <v>90</v>
      </c>
      <c r="S544">
        <v>0</v>
      </c>
      <c r="T544" t="s">
        <v>90</v>
      </c>
      <c r="U544">
        <v>0</v>
      </c>
      <c r="V544" t="s">
        <v>90</v>
      </c>
      <c r="W544">
        <v>0</v>
      </c>
      <c r="X544" t="s">
        <v>90</v>
      </c>
      <c r="Y544">
        <v>0</v>
      </c>
      <c r="Z544">
        <v>4.1679511397557292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L544">
        <v>0.37309999999999999</v>
      </c>
      <c r="AN544" t="s">
        <v>185</v>
      </c>
      <c r="AO544" t="s">
        <v>73</v>
      </c>
      <c r="AP544">
        <v>200000</v>
      </c>
      <c r="AQ544" t="s">
        <v>73</v>
      </c>
      <c r="AS544">
        <v>10000</v>
      </c>
      <c r="AT544" t="s">
        <v>3798</v>
      </c>
      <c r="AU544" t="s">
        <v>75</v>
      </c>
      <c r="AV544" t="s">
        <v>76</v>
      </c>
    </row>
    <row r="545" spans="1:48" x14ac:dyDescent="0.15">
      <c r="A545" s="4" t="str">
        <f>HYPERLINK("https://ibp.a2mac1.com/costing(costing:projects/details/9760/assembly/8414806)","Left Air Vent")</f>
        <v>Left Air Vent</v>
      </c>
      <c r="B545">
        <v>8414806</v>
      </c>
      <c r="D545">
        <v>8414740</v>
      </c>
      <c r="F545">
        <v>1</v>
      </c>
      <c r="G545">
        <v>0</v>
      </c>
      <c r="H545">
        <v>13.921942700757775</v>
      </c>
      <c r="I545">
        <v>0</v>
      </c>
      <c r="J545" t="s">
        <v>90</v>
      </c>
      <c r="K545">
        <v>0</v>
      </c>
      <c r="L545">
        <v>13.921942700757775</v>
      </c>
      <c r="M545">
        <v>0</v>
      </c>
      <c r="N545">
        <v>0</v>
      </c>
      <c r="O545">
        <v>13.921942700757775</v>
      </c>
      <c r="P545" t="s">
        <v>90</v>
      </c>
      <c r="Q545">
        <v>0</v>
      </c>
      <c r="R545" t="s">
        <v>90</v>
      </c>
      <c r="S545">
        <v>0</v>
      </c>
      <c r="T545" t="s">
        <v>90</v>
      </c>
      <c r="U545">
        <v>0</v>
      </c>
      <c r="V545" t="s">
        <v>90</v>
      </c>
      <c r="W545">
        <v>0</v>
      </c>
      <c r="X545" t="s">
        <v>90</v>
      </c>
      <c r="Y545">
        <v>0</v>
      </c>
      <c r="Z545">
        <v>13.921942700757775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L545">
        <v>0.79510000000000003</v>
      </c>
      <c r="AN545" t="s">
        <v>185</v>
      </c>
      <c r="AO545" t="s">
        <v>73</v>
      </c>
      <c r="AP545">
        <v>200000</v>
      </c>
      <c r="AQ545" t="s">
        <v>73</v>
      </c>
      <c r="AS545">
        <v>10000</v>
      </c>
      <c r="AT545" t="s">
        <v>3808</v>
      </c>
      <c r="AU545" t="s">
        <v>75</v>
      </c>
      <c r="AV545" t="s">
        <v>76</v>
      </c>
    </row>
    <row r="546" spans="1:48" x14ac:dyDescent="0.15">
      <c r="A546" s="4" t="str">
        <f>HYPERLINK("https://ibp.a2mac1.com/costing(costing:projects/details/9760/assembly/8414967)","Oscillating Front System")</f>
        <v>Oscillating Front System</v>
      </c>
      <c r="B546">
        <v>8414967</v>
      </c>
      <c r="D546">
        <v>8414807</v>
      </c>
      <c r="F546">
        <v>1</v>
      </c>
      <c r="G546">
        <v>0</v>
      </c>
      <c r="H546">
        <v>4.0599999999999996</v>
      </c>
      <c r="I546">
        <v>0</v>
      </c>
      <c r="J546" t="s">
        <v>90</v>
      </c>
      <c r="K546">
        <v>0</v>
      </c>
      <c r="L546">
        <v>4.0599999999999996</v>
      </c>
      <c r="M546">
        <v>0</v>
      </c>
      <c r="N546">
        <v>0</v>
      </c>
      <c r="O546">
        <v>4.0599999999999996</v>
      </c>
      <c r="P546" t="s">
        <v>90</v>
      </c>
      <c r="Q546">
        <v>0</v>
      </c>
      <c r="R546" t="s">
        <v>90</v>
      </c>
      <c r="S546">
        <v>0</v>
      </c>
      <c r="T546" t="s">
        <v>90</v>
      </c>
      <c r="U546">
        <v>0</v>
      </c>
      <c r="V546" t="s">
        <v>90</v>
      </c>
      <c r="W546">
        <v>0</v>
      </c>
      <c r="X546" t="s">
        <v>90</v>
      </c>
      <c r="Y546">
        <v>0</v>
      </c>
      <c r="Z546">
        <v>4.0599999999999996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L546">
        <v>0.34499999999999997</v>
      </c>
      <c r="AN546" t="s">
        <v>185</v>
      </c>
      <c r="AO546" t="s">
        <v>73</v>
      </c>
      <c r="AP546">
        <v>200000</v>
      </c>
      <c r="AQ546" t="s">
        <v>73</v>
      </c>
      <c r="AS546">
        <v>10000</v>
      </c>
      <c r="AT546" t="s">
        <v>3814</v>
      </c>
      <c r="AU546" t="s">
        <v>75</v>
      </c>
      <c r="AV546" t="s">
        <v>76</v>
      </c>
    </row>
    <row r="547" spans="1:48" x14ac:dyDescent="0.15">
      <c r="A547" s="4" t="str">
        <f>HYPERLINK("https://ibp.a2mac1.com/costing(costing:projects/details/9760/assembly/8414807)","Center Air Vent")</f>
        <v>Center Air Vent</v>
      </c>
      <c r="B547">
        <v>8414807</v>
      </c>
      <c r="D547">
        <v>8414740</v>
      </c>
      <c r="F547">
        <v>1</v>
      </c>
      <c r="G547">
        <v>0</v>
      </c>
      <c r="H547">
        <v>16.38159482794595</v>
      </c>
      <c r="I547">
        <v>0</v>
      </c>
      <c r="J547" t="s">
        <v>90</v>
      </c>
      <c r="K547">
        <v>0</v>
      </c>
      <c r="L547">
        <v>16.38159482794595</v>
      </c>
      <c r="M547">
        <v>0</v>
      </c>
      <c r="N547">
        <v>0</v>
      </c>
      <c r="O547">
        <v>16.38159482794595</v>
      </c>
      <c r="P547" t="s">
        <v>90</v>
      </c>
      <c r="Q547">
        <v>0</v>
      </c>
      <c r="R547" t="s">
        <v>90</v>
      </c>
      <c r="S547">
        <v>0</v>
      </c>
      <c r="T547" t="s">
        <v>90</v>
      </c>
      <c r="U547">
        <v>0</v>
      </c>
      <c r="V547" t="s">
        <v>90</v>
      </c>
      <c r="W547">
        <v>0</v>
      </c>
      <c r="X547" t="s">
        <v>90</v>
      </c>
      <c r="Y547">
        <v>0</v>
      </c>
      <c r="Z547">
        <v>16.38159482794595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L547">
        <v>0.96199999999999997</v>
      </c>
      <c r="AN547" t="s">
        <v>185</v>
      </c>
      <c r="AO547" t="s">
        <v>73</v>
      </c>
      <c r="AP547">
        <v>200000</v>
      </c>
      <c r="AQ547" t="s">
        <v>73</v>
      </c>
      <c r="AS547">
        <v>10000</v>
      </c>
      <c r="AT547" t="s">
        <v>3824</v>
      </c>
      <c r="AU547" t="s">
        <v>75</v>
      </c>
      <c r="AV547" t="s">
        <v>76</v>
      </c>
    </row>
    <row r="548" spans="1:48" x14ac:dyDescent="0.15">
      <c r="A548" s="4" t="str">
        <f>HYPERLINK("https://ibp.a2mac1.com/costing(costing:projects/details/9760/assembly/8415088)","Motor Harness")</f>
        <v>Motor Harness</v>
      </c>
      <c r="B548">
        <v>8415088</v>
      </c>
      <c r="D548">
        <v>8414973</v>
      </c>
      <c r="F548">
        <v>1</v>
      </c>
      <c r="G548">
        <v>0</v>
      </c>
      <c r="H548">
        <v>1.8608875402793272</v>
      </c>
      <c r="I548">
        <v>9.351193669745364E-3</v>
      </c>
      <c r="J548" t="s">
        <v>176</v>
      </c>
      <c r="K548">
        <v>6.5131063909776452E-2</v>
      </c>
      <c r="L548">
        <v>1.9353697978588491</v>
      </c>
      <c r="M548">
        <v>0</v>
      </c>
      <c r="N548">
        <v>0.15758578272184362</v>
      </c>
      <c r="O548">
        <v>2.0929555805806928</v>
      </c>
      <c r="P548" t="s">
        <v>90</v>
      </c>
      <c r="Q548">
        <v>0</v>
      </c>
      <c r="R548" t="s">
        <v>90</v>
      </c>
      <c r="S548">
        <v>0</v>
      </c>
      <c r="T548" t="s">
        <v>90</v>
      </c>
      <c r="U548">
        <v>0</v>
      </c>
      <c r="V548" t="s">
        <v>90</v>
      </c>
      <c r="W548">
        <v>0</v>
      </c>
      <c r="X548" t="s">
        <v>90</v>
      </c>
      <c r="Y548">
        <v>0</v>
      </c>
      <c r="Z548">
        <v>2.0929555805806928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L548">
        <v>2.7E-2</v>
      </c>
      <c r="AN548" t="s">
        <v>740</v>
      </c>
      <c r="AO548" t="s">
        <v>73</v>
      </c>
      <c r="AP548">
        <v>200000</v>
      </c>
      <c r="AQ548" t="s">
        <v>73</v>
      </c>
      <c r="AS548">
        <v>10000</v>
      </c>
      <c r="AT548" t="s">
        <v>3829</v>
      </c>
      <c r="AU548" t="s">
        <v>75</v>
      </c>
      <c r="AV548" t="s">
        <v>76</v>
      </c>
    </row>
    <row r="549" spans="1:48" x14ac:dyDescent="0.15">
      <c r="A549" s="4" t="str">
        <f>HYPERLINK("https://ibp.a2mac1.com/costing(costing:projects/details/9760/assembly/8414973)","Oscillating Front System")</f>
        <v>Oscillating Front System</v>
      </c>
      <c r="B549">
        <v>8414973</v>
      </c>
      <c r="D549">
        <v>8414808</v>
      </c>
      <c r="F549">
        <v>1</v>
      </c>
      <c r="G549">
        <v>0</v>
      </c>
      <c r="H549">
        <v>10.372530024152036</v>
      </c>
      <c r="I549">
        <v>0</v>
      </c>
      <c r="J549" t="s">
        <v>90</v>
      </c>
      <c r="K549">
        <v>0</v>
      </c>
      <c r="L549">
        <v>10.372530024152036</v>
      </c>
      <c r="M549">
        <v>0</v>
      </c>
      <c r="N549">
        <v>0</v>
      </c>
      <c r="O549">
        <v>10.372530024152036</v>
      </c>
      <c r="P549" t="s">
        <v>90</v>
      </c>
      <c r="Q549">
        <v>0</v>
      </c>
      <c r="R549" t="s">
        <v>90</v>
      </c>
      <c r="S549">
        <v>0</v>
      </c>
      <c r="T549" t="s">
        <v>90</v>
      </c>
      <c r="U549">
        <v>0</v>
      </c>
      <c r="V549" t="s">
        <v>90</v>
      </c>
      <c r="W549">
        <v>0</v>
      </c>
      <c r="X549" t="s">
        <v>90</v>
      </c>
      <c r="Y549">
        <v>0</v>
      </c>
      <c r="Z549">
        <v>10.372530024152036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L549">
        <v>1.4692000000000001</v>
      </c>
      <c r="AN549" t="s">
        <v>185</v>
      </c>
      <c r="AO549" t="s">
        <v>73</v>
      </c>
      <c r="AP549">
        <v>200000</v>
      </c>
      <c r="AQ549" t="s">
        <v>73</v>
      </c>
      <c r="AS549">
        <v>10000</v>
      </c>
      <c r="AT549" t="s">
        <v>3840</v>
      </c>
      <c r="AU549" t="s">
        <v>75</v>
      </c>
      <c r="AV549" t="s">
        <v>76</v>
      </c>
    </row>
    <row r="550" spans="1:48" x14ac:dyDescent="0.15">
      <c r="A550" s="4" t="str">
        <f>HYPERLINK("https://ibp.a2mac1.com/costing(costing:projects/details/9760/assembly/8414808)","Right Air Vent")</f>
        <v>Right Air Vent</v>
      </c>
      <c r="B550">
        <v>8414808</v>
      </c>
      <c r="D550">
        <v>8414740</v>
      </c>
      <c r="F550">
        <v>1</v>
      </c>
      <c r="G550">
        <v>0</v>
      </c>
      <c r="H550">
        <v>22.009627139964557</v>
      </c>
      <c r="I550">
        <v>0</v>
      </c>
      <c r="J550" t="s">
        <v>90</v>
      </c>
      <c r="K550">
        <v>0</v>
      </c>
      <c r="L550">
        <v>22.009627139964557</v>
      </c>
      <c r="M550">
        <v>0</v>
      </c>
      <c r="N550">
        <v>0</v>
      </c>
      <c r="O550">
        <v>22.009627139964557</v>
      </c>
      <c r="P550" t="s">
        <v>90</v>
      </c>
      <c r="Q550">
        <v>0</v>
      </c>
      <c r="R550" t="s">
        <v>90</v>
      </c>
      <c r="S550">
        <v>0</v>
      </c>
      <c r="T550" t="s">
        <v>90</v>
      </c>
      <c r="U550">
        <v>0</v>
      </c>
      <c r="V550" t="s">
        <v>90</v>
      </c>
      <c r="W550">
        <v>0</v>
      </c>
      <c r="X550" t="s">
        <v>90</v>
      </c>
      <c r="Y550">
        <v>0</v>
      </c>
      <c r="Z550">
        <v>22.009627139964557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L550">
        <v>2.39</v>
      </c>
      <c r="AN550" t="s">
        <v>185</v>
      </c>
      <c r="AO550" t="s">
        <v>73</v>
      </c>
      <c r="AP550">
        <v>200000</v>
      </c>
      <c r="AQ550" t="s">
        <v>73</v>
      </c>
      <c r="AS550">
        <v>10000</v>
      </c>
      <c r="AT550" t="s">
        <v>3856</v>
      </c>
      <c r="AU550" t="s">
        <v>75</v>
      </c>
      <c r="AV550" t="s">
        <v>76</v>
      </c>
    </row>
    <row r="551" spans="1:48" x14ac:dyDescent="0.15">
      <c r="A551" s="4" t="str">
        <f>HYPERLINK("https://ibp.a2mac1.com/costing(costing:projects/details/9760/assembly/8414740)","Air Vent")</f>
        <v>Air Vent</v>
      </c>
      <c r="B551">
        <v>8414740</v>
      </c>
      <c r="D551">
        <v>8414733</v>
      </c>
      <c r="F551">
        <v>1</v>
      </c>
      <c r="G551">
        <v>0</v>
      </c>
      <c r="H551">
        <v>52.313164668668286</v>
      </c>
      <c r="I551">
        <v>0</v>
      </c>
      <c r="J551" t="s">
        <v>90</v>
      </c>
      <c r="K551">
        <v>0</v>
      </c>
      <c r="L551">
        <v>52.313164668668286</v>
      </c>
      <c r="M551">
        <v>0</v>
      </c>
      <c r="N551">
        <v>0</v>
      </c>
      <c r="O551">
        <v>52.313164668668286</v>
      </c>
      <c r="P551" t="s">
        <v>90</v>
      </c>
      <c r="Q551">
        <v>0</v>
      </c>
      <c r="R551" t="s">
        <v>90</v>
      </c>
      <c r="S551">
        <v>0</v>
      </c>
      <c r="T551" t="s">
        <v>90</v>
      </c>
      <c r="U551">
        <v>0</v>
      </c>
      <c r="V551" t="s">
        <v>90</v>
      </c>
      <c r="W551">
        <v>0</v>
      </c>
      <c r="X551" t="s">
        <v>90</v>
      </c>
      <c r="Y551">
        <v>0</v>
      </c>
      <c r="Z551">
        <v>52.313164668668286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L551">
        <v>4.1471</v>
      </c>
      <c r="AN551" t="s">
        <v>185</v>
      </c>
      <c r="AO551" t="s">
        <v>73</v>
      </c>
      <c r="AP551">
        <v>200000</v>
      </c>
      <c r="AQ551" t="s">
        <v>73</v>
      </c>
      <c r="AS551">
        <v>10000</v>
      </c>
      <c r="AT551" t="s">
        <v>3857</v>
      </c>
      <c r="AU551" t="s">
        <v>75</v>
      </c>
      <c r="AV551" t="s">
        <v>76</v>
      </c>
    </row>
    <row r="552" spans="1:48" x14ac:dyDescent="0.15">
      <c r="A552" s="4" t="str">
        <f>HYPERLINK("https://ibp.a2mac1.com/costing(costing:projects/details/9760/assembly/8414813)","Speaker Grille")</f>
        <v>Speaker Grille</v>
      </c>
      <c r="B552">
        <v>8414813</v>
      </c>
      <c r="D552">
        <v>8414741</v>
      </c>
      <c r="F552">
        <v>1</v>
      </c>
      <c r="G552">
        <v>0</v>
      </c>
      <c r="H552">
        <v>1.0434434487822075</v>
      </c>
      <c r="I552">
        <v>0</v>
      </c>
      <c r="J552" t="s">
        <v>90</v>
      </c>
      <c r="K552">
        <v>0</v>
      </c>
      <c r="L552">
        <v>1.0434434487822075</v>
      </c>
      <c r="M552">
        <v>0</v>
      </c>
      <c r="N552">
        <v>0</v>
      </c>
      <c r="O552">
        <v>1.0434434487822075</v>
      </c>
      <c r="P552" t="s">
        <v>90</v>
      </c>
      <c r="Q552">
        <v>0</v>
      </c>
      <c r="R552" t="s">
        <v>90</v>
      </c>
      <c r="S552">
        <v>0</v>
      </c>
      <c r="T552" t="s">
        <v>90</v>
      </c>
      <c r="U552">
        <v>0</v>
      </c>
      <c r="V552" t="s">
        <v>90</v>
      </c>
      <c r="W552">
        <v>0</v>
      </c>
      <c r="X552" t="s">
        <v>90</v>
      </c>
      <c r="Y552">
        <v>0</v>
      </c>
      <c r="Z552">
        <v>1.0434434487822075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L552">
        <v>0.25690000000000002</v>
      </c>
      <c r="AN552" t="s">
        <v>185</v>
      </c>
      <c r="AO552" t="s">
        <v>73</v>
      </c>
      <c r="AP552">
        <v>200000</v>
      </c>
      <c r="AQ552" t="s">
        <v>73</v>
      </c>
      <c r="AS552">
        <v>10000</v>
      </c>
      <c r="AT552" t="s">
        <v>3866</v>
      </c>
      <c r="AU552" t="s">
        <v>75</v>
      </c>
      <c r="AV552" t="s">
        <v>76</v>
      </c>
    </row>
    <row r="553" spans="1:48" x14ac:dyDescent="0.15">
      <c r="A553" s="4" t="str">
        <f>HYPERLINK("https://ibp.a2mac1.com/costing(costing:projects/details/9760/assembly/8414741)","Speakers System")</f>
        <v>Speakers System</v>
      </c>
      <c r="B553">
        <v>8414741</v>
      </c>
      <c r="D553">
        <v>8414733</v>
      </c>
      <c r="F553">
        <v>1</v>
      </c>
      <c r="G553">
        <v>0</v>
      </c>
      <c r="H553">
        <v>16.143443448782207</v>
      </c>
      <c r="I553">
        <v>0</v>
      </c>
      <c r="J553" t="s">
        <v>90</v>
      </c>
      <c r="K553">
        <v>0</v>
      </c>
      <c r="L553">
        <v>16.143443448782207</v>
      </c>
      <c r="M553">
        <v>0</v>
      </c>
      <c r="N553">
        <v>0</v>
      </c>
      <c r="O553">
        <v>16.143443448782207</v>
      </c>
      <c r="P553" t="s">
        <v>90</v>
      </c>
      <c r="Q553">
        <v>0</v>
      </c>
      <c r="R553" t="s">
        <v>90</v>
      </c>
      <c r="S553">
        <v>0</v>
      </c>
      <c r="T553" t="s">
        <v>90</v>
      </c>
      <c r="U553">
        <v>0</v>
      </c>
      <c r="V553" t="s">
        <v>90</v>
      </c>
      <c r="W553">
        <v>0</v>
      </c>
      <c r="X553" t="s">
        <v>90</v>
      </c>
      <c r="Y553">
        <v>0</v>
      </c>
      <c r="Z553">
        <v>16.143443448782207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L553">
        <v>0.60189999999999999</v>
      </c>
      <c r="AN553" t="s">
        <v>185</v>
      </c>
      <c r="AO553" t="s">
        <v>73</v>
      </c>
      <c r="AP553">
        <v>200000</v>
      </c>
      <c r="AQ553" t="s">
        <v>73</v>
      </c>
      <c r="AS553">
        <v>10000</v>
      </c>
      <c r="AT553" t="s">
        <v>3872</v>
      </c>
      <c r="AU553" t="s">
        <v>75</v>
      </c>
      <c r="AV553" t="s">
        <v>76</v>
      </c>
    </row>
    <row r="554" spans="1:48" x14ac:dyDescent="0.15">
      <c r="A554" s="4" t="str">
        <f>HYPERLINK("https://ibp.a2mac1.com/costing(costing:projects/details/9760/assembly/8414742)","Lighting System Under Dashboard")</f>
        <v>Lighting System Under Dashboard</v>
      </c>
      <c r="B554">
        <v>8414742</v>
      </c>
      <c r="D554">
        <v>8414733</v>
      </c>
      <c r="F554">
        <v>1</v>
      </c>
      <c r="G554">
        <v>0</v>
      </c>
      <c r="H554">
        <v>4.38</v>
      </c>
      <c r="I554">
        <v>0</v>
      </c>
      <c r="J554" t="s">
        <v>90</v>
      </c>
      <c r="K554">
        <v>0</v>
      </c>
      <c r="L554">
        <v>4.38</v>
      </c>
      <c r="M554">
        <v>0</v>
      </c>
      <c r="N554">
        <v>0</v>
      </c>
      <c r="O554">
        <v>4.38</v>
      </c>
      <c r="P554" t="s">
        <v>90</v>
      </c>
      <c r="Q554">
        <v>0</v>
      </c>
      <c r="R554" t="s">
        <v>90</v>
      </c>
      <c r="S554">
        <v>0</v>
      </c>
      <c r="T554" t="s">
        <v>90</v>
      </c>
      <c r="U554">
        <v>0</v>
      </c>
      <c r="V554" t="s">
        <v>90</v>
      </c>
      <c r="W554">
        <v>0</v>
      </c>
      <c r="X554" t="s">
        <v>90</v>
      </c>
      <c r="Y554">
        <v>0</v>
      </c>
      <c r="Z554">
        <v>4.38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L554">
        <v>3.5999999999999997E-2</v>
      </c>
      <c r="AN554" t="s">
        <v>185</v>
      </c>
      <c r="AO554" t="s">
        <v>73</v>
      </c>
      <c r="AP554">
        <v>200000</v>
      </c>
      <c r="AQ554" t="s">
        <v>73</v>
      </c>
      <c r="AS554">
        <v>10000</v>
      </c>
      <c r="AT554" t="s">
        <v>3876</v>
      </c>
      <c r="AU554" t="s">
        <v>75</v>
      </c>
      <c r="AV554" t="s">
        <v>76</v>
      </c>
    </row>
    <row r="555" spans="1:48" x14ac:dyDescent="0.15">
      <c r="A555" s="4" t="str">
        <f>HYPERLINK("https://ibp.a2mac1.com/costing(costing:projects/details/9760/assembly/8414976)","Cluster")</f>
        <v>Cluster</v>
      </c>
      <c r="B555">
        <v>8414976</v>
      </c>
      <c r="D555">
        <v>8414817</v>
      </c>
      <c r="F555">
        <v>1</v>
      </c>
      <c r="G555">
        <v>0</v>
      </c>
      <c r="H555">
        <v>21.330620904931603</v>
      </c>
      <c r="I555">
        <v>0.10718904977352565</v>
      </c>
      <c r="J555" t="s">
        <v>176</v>
      </c>
      <c r="K555">
        <v>0.74657173167260615</v>
      </c>
      <c r="L555">
        <v>22.184381686377737</v>
      </c>
      <c r="M555">
        <v>0</v>
      </c>
      <c r="N555">
        <v>1.2018669091281418</v>
      </c>
      <c r="O555">
        <v>23.386248595505879</v>
      </c>
      <c r="P555" t="s">
        <v>177</v>
      </c>
      <c r="Q555">
        <v>1.3310629011826642</v>
      </c>
      <c r="R555" t="s">
        <v>177</v>
      </c>
      <c r="S555">
        <v>7.2112014547688508E-2</v>
      </c>
      <c r="T555" t="s">
        <v>178</v>
      </c>
      <c r="U555">
        <v>2.8063498314607052</v>
      </c>
      <c r="V555" t="s">
        <v>90</v>
      </c>
      <c r="W555">
        <v>0</v>
      </c>
      <c r="X555" t="s">
        <v>90</v>
      </c>
      <c r="Y555">
        <v>0</v>
      </c>
      <c r="Z555">
        <v>27.595773342696937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53</v>
      </c>
      <c r="AI555">
        <v>217</v>
      </c>
      <c r="AJ555">
        <v>61</v>
      </c>
      <c r="AL555">
        <v>0.34200000000000003</v>
      </c>
      <c r="AN555" t="s">
        <v>365</v>
      </c>
      <c r="AO555" t="s">
        <v>73</v>
      </c>
      <c r="AP555">
        <v>200000</v>
      </c>
      <c r="AQ555" t="s">
        <v>97</v>
      </c>
      <c r="AS555">
        <v>10000</v>
      </c>
      <c r="AT555" t="s">
        <v>3883</v>
      </c>
      <c r="AU555" t="s">
        <v>75</v>
      </c>
      <c r="AV555" t="s">
        <v>76</v>
      </c>
    </row>
    <row r="556" spans="1:48" x14ac:dyDescent="0.15">
      <c r="A556" s="4" t="str">
        <f>HYPERLINK("https://ibp.a2mac1.com/costing(costing:projects/details/9760/assembly/8414979)","Cluster Rotation Motor")</f>
        <v>Cluster Rotation Motor</v>
      </c>
      <c r="B556">
        <v>8414979</v>
      </c>
      <c r="D556">
        <v>8414817</v>
      </c>
      <c r="F556">
        <v>1</v>
      </c>
      <c r="G556">
        <v>0</v>
      </c>
      <c r="H556">
        <v>11.453550292774334</v>
      </c>
      <c r="I556">
        <v>5.7555529109418767E-2</v>
      </c>
      <c r="J556" t="s">
        <v>176</v>
      </c>
      <c r="K556">
        <v>0.40087426024710171</v>
      </c>
      <c r="L556">
        <v>11.911980082130857</v>
      </c>
      <c r="M556">
        <v>0</v>
      </c>
      <c r="N556">
        <v>0.79548044474855717</v>
      </c>
      <c r="O556">
        <v>12.707460526879412</v>
      </c>
      <c r="P556" t="s">
        <v>1326</v>
      </c>
      <c r="Q556">
        <v>0.47647920328523424</v>
      </c>
      <c r="R556" t="s">
        <v>1326</v>
      </c>
      <c r="S556">
        <v>3.1819217789942282E-2</v>
      </c>
      <c r="T556" t="s">
        <v>177</v>
      </c>
      <c r="U556">
        <v>0.76244763161276474</v>
      </c>
      <c r="V556" t="s">
        <v>90</v>
      </c>
      <c r="W556">
        <v>0</v>
      </c>
      <c r="X556" t="s">
        <v>90</v>
      </c>
      <c r="Y556">
        <v>0</v>
      </c>
      <c r="Z556">
        <v>13.978206579567354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118</v>
      </c>
      <c r="AI556">
        <v>96</v>
      </c>
      <c r="AJ556">
        <v>104</v>
      </c>
      <c r="AL556">
        <v>0.36299999999999999</v>
      </c>
      <c r="AN556" t="s">
        <v>284</v>
      </c>
      <c r="AO556" t="s">
        <v>73</v>
      </c>
      <c r="AP556">
        <v>200000</v>
      </c>
      <c r="AQ556" t="s">
        <v>97</v>
      </c>
      <c r="AS556">
        <v>10000</v>
      </c>
      <c r="AT556" t="s">
        <v>3887</v>
      </c>
      <c r="AU556" t="s">
        <v>75</v>
      </c>
      <c r="AV556" t="s">
        <v>76</v>
      </c>
    </row>
    <row r="557" spans="1:48" x14ac:dyDescent="0.15">
      <c r="A557" s="4" t="str">
        <f>HYPERLINK("https://ibp.a2mac1.com/costing(costing:projects/details/9760/assembly/8414980)","Bezels System")</f>
        <v>Bezels System</v>
      </c>
      <c r="B557">
        <v>8414980</v>
      </c>
      <c r="D557">
        <v>8414817</v>
      </c>
      <c r="F557">
        <v>1</v>
      </c>
      <c r="G557">
        <v>0</v>
      </c>
      <c r="H557">
        <v>0.9267375146217437</v>
      </c>
      <c r="I557">
        <v>0</v>
      </c>
      <c r="J557" t="s">
        <v>90</v>
      </c>
      <c r="K557">
        <v>0</v>
      </c>
      <c r="L557">
        <v>0.9267375146217437</v>
      </c>
      <c r="M557">
        <v>0</v>
      </c>
      <c r="N557">
        <v>0</v>
      </c>
      <c r="O557">
        <v>0.9267375146217437</v>
      </c>
      <c r="P557" t="s">
        <v>90</v>
      </c>
      <c r="Q557">
        <v>0</v>
      </c>
      <c r="R557" t="s">
        <v>90</v>
      </c>
      <c r="S557">
        <v>0</v>
      </c>
      <c r="T557" t="s">
        <v>90</v>
      </c>
      <c r="U557">
        <v>0</v>
      </c>
      <c r="V557" t="s">
        <v>90</v>
      </c>
      <c r="W557">
        <v>0</v>
      </c>
      <c r="X557" t="s">
        <v>90</v>
      </c>
      <c r="Y557">
        <v>0</v>
      </c>
      <c r="Z557">
        <v>0.9267375146217437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L557">
        <v>7.4999999999999997E-2</v>
      </c>
      <c r="AN557" t="s">
        <v>185</v>
      </c>
      <c r="AO557" t="s">
        <v>73</v>
      </c>
      <c r="AP557">
        <v>200000</v>
      </c>
      <c r="AQ557" t="s">
        <v>73</v>
      </c>
      <c r="AS557">
        <v>10000</v>
      </c>
      <c r="AT557" t="s">
        <v>3895</v>
      </c>
      <c r="AU557" t="s">
        <v>75</v>
      </c>
      <c r="AV557" t="s">
        <v>76</v>
      </c>
    </row>
    <row r="558" spans="1:48" x14ac:dyDescent="0.15">
      <c r="A558" s="4" t="str">
        <f>HYPERLINK("https://ibp.a2mac1.com/costing(costing:projects/details/9760/assembly/8414817)","Cluster system")</f>
        <v>Cluster system</v>
      </c>
      <c r="B558">
        <v>8414817</v>
      </c>
      <c r="D558">
        <v>8414744</v>
      </c>
      <c r="F558">
        <v>1</v>
      </c>
      <c r="G558">
        <v>0</v>
      </c>
      <c r="H558">
        <v>42.626724150278655</v>
      </c>
      <c r="I558">
        <v>0</v>
      </c>
      <c r="J558" t="s">
        <v>90</v>
      </c>
      <c r="K558">
        <v>0</v>
      </c>
      <c r="L558">
        <v>42.626724150278655</v>
      </c>
      <c r="M558">
        <v>0</v>
      </c>
      <c r="N558">
        <v>0</v>
      </c>
      <c r="O558">
        <v>42.626724150278655</v>
      </c>
      <c r="P558" t="s">
        <v>90</v>
      </c>
      <c r="Q558">
        <v>0</v>
      </c>
      <c r="R558" t="s">
        <v>90</v>
      </c>
      <c r="S558">
        <v>0</v>
      </c>
      <c r="T558" t="s">
        <v>90</v>
      </c>
      <c r="U558">
        <v>0</v>
      </c>
      <c r="V558" t="s">
        <v>90</v>
      </c>
      <c r="W558">
        <v>0</v>
      </c>
      <c r="X558" t="s">
        <v>90</v>
      </c>
      <c r="Y558">
        <v>0</v>
      </c>
      <c r="Z558">
        <v>42.626724150278655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L558">
        <v>0.85099999999999998</v>
      </c>
      <c r="AN558" t="s">
        <v>185</v>
      </c>
      <c r="AO558" t="s">
        <v>73</v>
      </c>
      <c r="AP558">
        <v>200000</v>
      </c>
      <c r="AQ558" t="s">
        <v>73</v>
      </c>
      <c r="AS558">
        <v>10000</v>
      </c>
      <c r="AT558" t="s">
        <v>3904</v>
      </c>
      <c r="AU558" t="s">
        <v>75</v>
      </c>
      <c r="AV558" t="s">
        <v>76</v>
      </c>
    </row>
    <row r="559" spans="1:48" x14ac:dyDescent="0.15">
      <c r="A559" s="4" t="str">
        <f>HYPERLINK("https://ibp.a2mac1.com/costing(costing:projects/details/9760/assembly/8414981)","Screen")</f>
        <v>Screen</v>
      </c>
      <c r="B559">
        <v>8414981</v>
      </c>
      <c r="D559">
        <v>8414818</v>
      </c>
      <c r="F559">
        <v>1</v>
      </c>
      <c r="G559">
        <v>0</v>
      </c>
      <c r="H559">
        <v>242.41432989052433</v>
      </c>
      <c r="I559">
        <v>1.2181624617614288</v>
      </c>
      <c r="J559" t="s">
        <v>176</v>
      </c>
      <c r="K559">
        <v>8.4845015461683513</v>
      </c>
      <c r="L559">
        <v>252.11699389845413</v>
      </c>
      <c r="M559">
        <v>0</v>
      </c>
      <c r="N559">
        <v>13.690480597973224</v>
      </c>
      <c r="O559">
        <v>265.80747449642735</v>
      </c>
      <c r="P559" t="s">
        <v>177</v>
      </c>
      <c r="Q559">
        <v>15.127019633907247</v>
      </c>
      <c r="R559" t="s">
        <v>177</v>
      </c>
      <c r="S559">
        <v>0.82142883587839344</v>
      </c>
      <c r="T559" t="s">
        <v>178</v>
      </c>
      <c r="U559">
        <v>31.896896939571281</v>
      </c>
      <c r="V559" t="s">
        <v>90</v>
      </c>
      <c r="W559">
        <v>0</v>
      </c>
      <c r="X559" t="s">
        <v>90</v>
      </c>
      <c r="Y559">
        <v>0</v>
      </c>
      <c r="Z559">
        <v>313.65281990578427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78</v>
      </c>
      <c r="AI559">
        <v>361</v>
      </c>
      <c r="AJ559">
        <v>235</v>
      </c>
      <c r="AL559">
        <v>2.044</v>
      </c>
      <c r="AN559" t="s">
        <v>365</v>
      </c>
      <c r="AO559" t="s">
        <v>73</v>
      </c>
      <c r="AP559">
        <v>200000</v>
      </c>
      <c r="AQ559" t="s">
        <v>97</v>
      </c>
      <c r="AS559">
        <v>10000</v>
      </c>
      <c r="AT559" t="s">
        <v>3910</v>
      </c>
      <c r="AU559" t="s">
        <v>75</v>
      </c>
      <c r="AV559" t="s">
        <v>76</v>
      </c>
    </row>
    <row r="560" spans="1:48" x14ac:dyDescent="0.15">
      <c r="A560" s="4" t="str">
        <f>HYPERLINK("https://ibp.a2mac1.com/costing(costing:projects/details/9760/assembly/8414818)","LCD Screen System")</f>
        <v>LCD Screen System</v>
      </c>
      <c r="B560">
        <v>8414818</v>
      </c>
      <c r="D560">
        <v>8414744</v>
      </c>
      <c r="F560">
        <v>1</v>
      </c>
      <c r="G560">
        <v>0</v>
      </c>
      <c r="H560">
        <v>314.76098422621192</v>
      </c>
      <c r="I560">
        <v>0</v>
      </c>
      <c r="J560" t="s">
        <v>90</v>
      </c>
      <c r="K560">
        <v>0</v>
      </c>
      <c r="L560">
        <v>314.76098422621192</v>
      </c>
      <c r="M560">
        <v>0</v>
      </c>
      <c r="N560">
        <v>0</v>
      </c>
      <c r="O560">
        <v>314.76098422621192</v>
      </c>
      <c r="P560" t="s">
        <v>90</v>
      </c>
      <c r="Q560">
        <v>0</v>
      </c>
      <c r="R560" t="s">
        <v>90</v>
      </c>
      <c r="S560">
        <v>0</v>
      </c>
      <c r="T560" t="s">
        <v>90</v>
      </c>
      <c r="U560">
        <v>0</v>
      </c>
      <c r="V560" t="s">
        <v>90</v>
      </c>
      <c r="W560">
        <v>0</v>
      </c>
      <c r="X560" t="s">
        <v>90</v>
      </c>
      <c r="Y560">
        <v>0</v>
      </c>
      <c r="Z560">
        <v>314.76098422621192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L560">
        <v>2.6179999999999999</v>
      </c>
      <c r="AN560" t="s">
        <v>185</v>
      </c>
      <c r="AO560" t="s">
        <v>73</v>
      </c>
      <c r="AP560">
        <v>200000</v>
      </c>
      <c r="AQ560" t="s">
        <v>73</v>
      </c>
      <c r="AS560">
        <v>10000</v>
      </c>
      <c r="AT560" t="s">
        <v>3926</v>
      </c>
      <c r="AU560" t="s">
        <v>75</v>
      </c>
      <c r="AV560" t="s">
        <v>76</v>
      </c>
    </row>
    <row r="561" spans="1:48" x14ac:dyDescent="0.15">
      <c r="A561" s="4" t="str">
        <f>HYPERLINK("https://ibp.a2mac1.com/costing(costing:projects/details/9760/assembly/8414987)","Heating Control")</f>
        <v>Heating Control</v>
      </c>
      <c r="B561">
        <v>8414987</v>
      </c>
      <c r="D561">
        <v>8414819</v>
      </c>
      <c r="F561">
        <v>1</v>
      </c>
      <c r="G561">
        <v>0</v>
      </c>
      <c r="H561">
        <v>11.952315459277509</v>
      </c>
      <c r="I561">
        <v>6.0061886730037733E-2</v>
      </c>
      <c r="J561" t="s">
        <v>176</v>
      </c>
      <c r="K561">
        <v>0.41833104107471281</v>
      </c>
      <c r="L561">
        <v>12.430708387082259</v>
      </c>
      <c r="M561">
        <v>0</v>
      </c>
      <c r="N561">
        <v>1.1386299217913078</v>
      </c>
      <c r="O561">
        <v>13.569338308873567</v>
      </c>
      <c r="P561" t="s">
        <v>177</v>
      </c>
      <c r="Q561">
        <v>0.7458425032249355</v>
      </c>
      <c r="R561" t="s">
        <v>177</v>
      </c>
      <c r="S561">
        <v>6.8317795307478474E-2</v>
      </c>
      <c r="T561" t="s">
        <v>178</v>
      </c>
      <c r="U561">
        <v>1.628320597064828</v>
      </c>
      <c r="V561" t="s">
        <v>90</v>
      </c>
      <c r="W561">
        <v>0</v>
      </c>
      <c r="X561" t="s">
        <v>90</v>
      </c>
      <c r="Y561">
        <v>0</v>
      </c>
      <c r="Z561">
        <v>16.011819204470807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39</v>
      </c>
      <c r="AI561">
        <v>361</v>
      </c>
      <c r="AJ561">
        <v>58</v>
      </c>
      <c r="AL561">
        <v>0.21299999999999999</v>
      </c>
      <c r="AN561" t="s">
        <v>365</v>
      </c>
      <c r="AO561" t="s">
        <v>73</v>
      </c>
      <c r="AP561">
        <v>200000</v>
      </c>
      <c r="AQ561" t="s">
        <v>97</v>
      </c>
      <c r="AS561">
        <v>10000</v>
      </c>
      <c r="AT561" t="s">
        <v>3930</v>
      </c>
      <c r="AU561" t="s">
        <v>75</v>
      </c>
      <c r="AV561" t="s">
        <v>76</v>
      </c>
    </row>
    <row r="562" spans="1:48" x14ac:dyDescent="0.15">
      <c r="A562" s="4" t="str">
        <f>HYPERLINK("https://ibp.a2mac1.com/costing(costing:projects/details/9760/assembly/8414819)","Heating System")</f>
        <v>Heating System</v>
      </c>
      <c r="B562">
        <v>8414819</v>
      </c>
      <c r="D562">
        <v>8414744</v>
      </c>
      <c r="F562">
        <v>1</v>
      </c>
      <c r="G562">
        <v>0</v>
      </c>
      <c r="H562">
        <v>16.011819204470807</v>
      </c>
      <c r="I562">
        <v>0</v>
      </c>
      <c r="J562" t="s">
        <v>90</v>
      </c>
      <c r="K562">
        <v>0</v>
      </c>
      <c r="L562">
        <v>16.011819204470807</v>
      </c>
      <c r="M562">
        <v>0</v>
      </c>
      <c r="N562">
        <v>0</v>
      </c>
      <c r="O562">
        <v>16.011819204470807</v>
      </c>
      <c r="P562" t="s">
        <v>90</v>
      </c>
      <c r="Q562">
        <v>0</v>
      </c>
      <c r="R562" t="s">
        <v>90</v>
      </c>
      <c r="S562">
        <v>0</v>
      </c>
      <c r="T562" t="s">
        <v>90</v>
      </c>
      <c r="U562">
        <v>0</v>
      </c>
      <c r="V562" t="s">
        <v>90</v>
      </c>
      <c r="W562">
        <v>0</v>
      </c>
      <c r="X562" t="s">
        <v>90</v>
      </c>
      <c r="Y562">
        <v>0</v>
      </c>
      <c r="Z562">
        <v>16.011819204470807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L562">
        <v>0.23899999999999999</v>
      </c>
      <c r="AN562" t="s">
        <v>185</v>
      </c>
      <c r="AO562" t="s">
        <v>73</v>
      </c>
      <c r="AP562">
        <v>200000</v>
      </c>
      <c r="AQ562" t="s">
        <v>73</v>
      </c>
      <c r="AS562">
        <v>10000</v>
      </c>
      <c r="AT562" t="s">
        <v>3931</v>
      </c>
      <c r="AU562" t="s">
        <v>75</v>
      </c>
      <c r="AV562" t="s">
        <v>76</v>
      </c>
    </row>
    <row r="563" spans="1:48" x14ac:dyDescent="0.15">
      <c r="A563" s="4" t="str">
        <f>HYPERLINK("https://ibp.a2mac1.com/costing(costing:projects/details/9760/assembly/8414988)","Clock")</f>
        <v>Clock</v>
      </c>
      <c r="B563">
        <v>8414988</v>
      </c>
      <c r="D563">
        <v>8414820</v>
      </c>
      <c r="F563">
        <v>1</v>
      </c>
      <c r="G563">
        <v>0</v>
      </c>
      <c r="H563">
        <v>14.133702236314241</v>
      </c>
      <c r="I563">
        <v>7.1023629328212268E-2</v>
      </c>
      <c r="J563" t="s">
        <v>176</v>
      </c>
      <c r="K563">
        <v>0.4946795782709984</v>
      </c>
      <c r="L563">
        <v>14.69940544391345</v>
      </c>
      <c r="M563">
        <v>0</v>
      </c>
      <c r="N563">
        <v>0.99757563755569001</v>
      </c>
      <c r="O563">
        <v>15.69698108146914</v>
      </c>
      <c r="P563" t="s">
        <v>90</v>
      </c>
      <c r="Q563">
        <v>0</v>
      </c>
      <c r="R563" t="s">
        <v>90</v>
      </c>
      <c r="S563">
        <v>0</v>
      </c>
      <c r="T563" t="s">
        <v>90</v>
      </c>
      <c r="U563">
        <v>0</v>
      </c>
      <c r="V563" t="s">
        <v>90</v>
      </c>
      <c r="W563">
        <v>0</v>
      </c>
      <c r="X563" t="s">
        <v>90</v>
      </c>
      <c r="Y563">
        <v>0</v>
      </c>
      <c r="Z563">
        <v>15.69698108146914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34</v>
      </c>
      <c r="AI563">
        <v>93</v>
      </c>
      <c r="AJ563">
        <v>95</v>
      </c>
      <c r="AL563">
        <v>7.3999999999999996E-2</v>
      </c>
      <c r="AN563" t="s">
        <v>740</v>
      </c>
      <c r="AO563" t="s">
        <v>73</v>
      </c>
      <c r="AP563">
        <v>200000</v>
      </c>
      <c r="AQ563" t="s">
        <v>73</v>
      </c>
      <c r="AS563">
        <v>10000</v>
      </c>
      <c r="AT563" t="s">
        <v>3935</v>
      </c>
      <c r="AU563" t="s">
        <v>75</v>
      </c>
      <c r="AV563" t="s">
        <v>76</v>
      </c>
    </row>
    <row r="564" spans="1:48" x14ac:dyDescent="0.15">
      <c r="A564" s="4" t="str">
        <f>HYPERLINK("https://ibp.a2mac1.com/costing(costing:projects/details/9760/assembly/8414820)","Clock System")</f>
        <v>Clock System</v>
      </c>
      <c r="B564">
        <v>8414820</v>
      </c>
      <c r="D564">
        <v>8414744</v>
      </c>
      <c r="F564">
        <v>1</v>
      </c>
      <c r="G564">
        <v>0</v>
      </c>
      <c r="H564">
        <v>15.69698108146914</v>
      </c>
      <c r="I564">
        <v>7.887930191693035E-2</v>
      </c>
      <c r="J564" t="s">
        <v>176</v>
      </c>
      <c r="K564">
        <v>0.54939433785141989</v>
      </c>
      <c r="L564">
        <v>16.325254721237492</v>
      </c>
      <c r="M564">
        <v>0</v>
      </c>
      <c r="N564">
        <v>0</v>
      </c>
      <c r="O564">
        <v>16.325254721237492</v>
      </c>
      <c r="P564" t="s">
        <v>90</v>
      </c>
      <c r="Q564">
        <v>0</v>
      </c>
      <c r="R564" t="s">
        <v>90</v>
      </c>
      <c r="S564">
        <v>0</v>
      </c>
      <c r="T564" t="s">
        <v>90</v>
      </c>
      <c r="U564">
        <v>0</v>
      </c>
      <c r="V564" t="s">
        <v>90</v>
      </c>
      <c r="W564">
        <v>0</v>
      </c>
      <c r="X564" t="s">
        <v>90</v>
      </c>
      <c r="Y564">
        <v>0</v>
      </c>
      <c r="Z564">
        <v>16.325254721237492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L564">
        <v>7.5999999999999998E-2</v>
      </c>
      <c r="AN564" t="s">
        <v>740</v>
      </c>
      <c r="AO564" t="s">
        <v>73</v>
      </c>
      <c r="AP564">
        <v>200000</v>
      </c>
      <c r="AQ564" t="s">
        <v>73</v>
      </c>
      <c r="AS564">
        <v>10000</v>
      </c>
      <c r="AT564" t="s">
        <v>3936</v>
      </c>
      <c r="AU564" t="s">
        <v>75</v>
      </c>
      <c r="AV564" t="s">
        <v>76</v>
      </c>
    </row>
    <row r="565" spans="1:48" x14ac:dyDescent="0.15">
      <c r="A565" s="4" t="str">
        <f>HYPERLINK("https://ibp.a2mac1.com/costing(costing:projects/details/9760/assembly/8414989)","Combination Switch Double")</f>
        <v>Combination Switch Double</v>
      </c>
      <c r="B565">
        <v>8414989</v>
      </c>
      <c r="D565">
        <v>8414821</v>
      </c>
      <c r="F565">
        <v>1</v>
      </c>
      <c r="G565">
        <v>0</v>
      </c>
      <c r="H565">
        <v>7.6586026963789084</v>
      </c>
      <c r="I565">
        <v>3.8485440685321143E-2</v>
      </c>
      <c r="J565" t="s">
        <v>176</v>
      </c>
      <c r="K565">
        <v>0.2680510943732618</v>
      </c>
      <c r="L565">
        <v>7.9651392314374911</v>
      </c>
      <c r="M565">
        <v>0</v>
      </c>
      <c r="N565">
        <v>0.75914019708149671</v>
      </c>
      <c r="O565">
        <v>8.7242794285189884</v>
      </c>
      <c r="P565" t="s">
        <v>177</v>
      </c>
      <c r="Q565">
        <v>0.47790835388624947</v>
      </c>
      <c r="R565" t="s">
        <v>177</v>
      </c>
      <c r="S565">
        <v>4.5548411824889806E-2</v>
      </c>
      <c r="T565" t="s">
        <v>178</v>
      </c>
      <c r="U565">
        <v>1.0469135314222786</v>
      </c>
      <c r="V565" t="s">
        <v>90</v>
      </c>
      <c r="W565">
        <v>0</v>
      </c>
      <c r="X565" t="s">
        <v>90</v>
      </c>
      <c r="Y565">
        <v>0</v>
      </c>
      <c r="Z565">
        <v>10.294649725652405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132</v>
      </c>
      <c r="AI565">
        <v>365</v>
      </c>
      <c r="AJ565">
        <v>128</v>
      </c>
      <c r="AL565">
        <v>0.373</v>
      </c>
      <c r="AN565" t="s">
        <v>365</v>
      </c>
      <c r="AO565" t="s">
        <v>73</v>
      </c>
      <c r="AP565">
        <v>200000</v>
      </c>
      <c r="AQ565" t="s">
        <v>97</v>
      </c>
      <c r="AS565">
        <v>10000</v>
      </c>
      <c r="AT565" t="s">
        <v>3940</v>
      </c>
      <c r="AU565" t="s">
        <v>75</v>
      </c>
      <c r="AV565" t="s">
        <v>76</v>
      </c>
    </row>
    <row r="566" spans="1:48" x14ac:dyDescent="0.15">
      <c r="A566" s="4" t="str">
        <f>HYPERLINK("https://ibp.a2mac1.com/costing(costing:projects/details/9760/assembly/8414821)","Column Switch System")</f>
        <v>Column Switch System</v>
      </c>
      <c r="B566">
        <v>8414821</v>
      </c>
      <c r="D566">
        <v>8414744</v>
      </c>
      <c r="F566">
        <v>1</v>
      </c>
      <c r="G566">
        <v>0</v>
      </c>
      <c r="H566">
        <v>10.294649725652405</v>
      </c>
      <c r="I566">
        <v>0</v>
      </c>
      <c r="J566" t="s">
        <v>90</v>
      </c>
      <c r="K566">
        <v>0</v>
      </c>
      <c r="L566">
        <v>10.294649725652405</v>
      </c>
      <c r="M566">
        <v>0</v>
      </c>
      <c r="N566">
        <v>0</v>
      </c>
      <c r="O566">
        <v>10.294649725652405</v>
      </c>
      <c r="P566" t="s">
        <v>90</v>
      </c>
      <c r="Q566">
        <v>0</v>
      </c>
      <c r="R566" t="s">
        <v>90</v>
      </c>
      <c r="S566">
        <v>0</v>
      </c>
      <c r="T566" t="s">
        <v>90</v>
      </c>
      <c r="U566">
        <v>0</v>
      </c>
      <c r="V566" t="s">
        <v>90</v>
      </c>
      <c r="W566">
        <v>0</v>
      </c>
      <c r="X566" t="s">
        <v>90</v>
      </c>
      <c r="Y566">
        <v>0</v>
      </c>
      <c r="Z566">
        <v>10.294649725652405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L566">
        <v>0.40400000000000003</v>
      </c>
      <c r="AN566" t="s">
        <v>185</v>
      </c>
      <c r="AO566" t="s">
        <v>73</v>
      </c>
      <c r="AP566">
        <v>200000</v>
      </c>
      <c r="AQ566" t="s">
        <v>73</v>
      </c>
      <c r="AS566">
        <v>10000</v>
      </c>
      <c r="AT566" t="s">
        <v>3941</v>
      </c>
      <c r="AU566" t="s">
        <v>75</v>
      </c>
      <c r="AV566" t="s">
        <v>76</v>
      </c>
    </row>
    <row r="567" spans="1:48" x14ac:dyDescent="0.15">
      <c r="A567" s="4" t="str">
        <f>HYPERLINK("https://ibp.a2mac1.com/costing(costing:projects/details/9760/assembly/8414822)","Ambiance Light System")</f>
        <v>Ambiance Light System</v>
      </c>
      <c r="B567">
        <v>8414822</v>
      </c>
      <c r="D567">
        <v>8414744</v>
      </c>
      <c r="F567">
        <v>1</v>
      </c>
      <c r="G567">
        <v>0</v>
      </c>
      <c r="H567">
        <v>7.04</v>
      </c>
      <c r="I567">
        <v>0</v>
      </c>
      <c r="J567" t="s">
        <v>90</v>
      </c>
      <c r="K567">
        <v>0</v>
      </c>
      <c r="L567">
        <v>7.04</v>
      </c>
      <c r="M567">
        <v>0</v>
      </c>
      <c r="N567">
        <v>0</v>
      </c>
      <c r="O567">
        <v>7.04</v>
      </c>
      <c r="P567" t="s">
        <v>90</v>
      </c>
      <c r="Q567">
        <v>0</v>
      </c>
      <c r="R567" t="s">
        <v>90</v>
      </c>
      <c r="S567">
        <v>0</v>
      </c>
      <c r="T567" t="s">
        <v>90</v>
      </c>
      <c r="U567">
        <v>0</v>
      </c>
      <c r="V567" t="s">
        <v>90</v>
      </c>
      <c r="W567">
        <v>0</v>
      </c>
      <c r="X567" t="s">
        <v>90</v>
      </c>
      <c r="Y567">
        <v>0</v>
      </c>
      <c r="Z567">
        <v>7.04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L567">
        <v>0.159</v>
      </c>
      <c r="AN567" t="s">
        <v>185</v>
      </c>
      <c r="AO567" t="s">
        <v>73</v>
      </c>
      <c r="AP567">
        <v>200000</v>
      </c>
      <c r="AQ567" t="s">
        <v>73</v>
      </c>
      <c r="AS567">
        <v>10000</v>
      </c>
      <c r="AT567" t="s">
        <v>3946</v>
      </c>
      <c r="AU567" t="s">
        <v>75</v>
      </c>
      <c r="AV567" t="s">
        <v>76</v>
      </c>
    </row>
    <row r="568" spans="1:48" x14ac:dyDescent="0.15">
      <c r="A568" s="4" t="str">
        <f>HYPERLINK("https://ibp.a2mac1.com/costing(costing:projects/details/9760/assembly/8414992)","Head-Up Display")</f>
        <v>Head-Up Display</v>
      </c>
      <c r="B568">
        <v>8414992</v>
      </c>
      <c r="D568">
        <v>8414823</v>
      </c>
      <c r="F568">
        <v>1</v>
      </c>
      <c r="G568">
        <v>0</v>
      </c>
      <c r="H568">
        <v>62.372675719344883</v>
      </c>
      <c r="I568">
        <v>0.31343053125298936</v>
      </c>
      <c r="J568" t="s">
        <v>176</v>
      </c>
      <c r="K568">
        <v>2.1830436501770709</v>
      </c>
      <c r="L568">
        <v>64.869149900774943</v>
      </c>
      <c r="M568">
        <v>0</v>
      </c>
      <c r="N568">
        <v>3.4455581626051819</v>
      </c>
      <c r="O568">
        <v>68.314708063380124</v>
      </c>
      <c r="P568" t="s">
        <v>177</v>
      </c>
      <c r="Q568">
        <v>3.8921489940464964</v>
      </c>
      <c r="R568" t="s">
        <v>177</v>
      </c>
      <c r="S568">
        <v>0.2067334897563109</v>
      </c>
      <c r="T568" t="s">
        <v>178</v>
      </c>
      <c r="U568">
        <v>8.1977649676056146</v>
      </c>
      <c r="V568" t="s">
        <v>90</v>
      </c>
      <c r="W568">
        <v>0</v>
      </c>
      <c r="X568" t="s">
        <v>90</v>
      </c>
      <c r="Y568">
        <v>0</v>
      </c>
      <c r="Z568">
        <v>80.611355514788542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305</v>
      </c>
      <c r="AI568">
        <v>490</v>
      </c>
      <c r="AJ568">
        <v>285</v>
      </c>
      <c r="AL568">
        <v>3.21</v>
      </c>
      <c r="AN568" t="s">
        <v>365</v>
      </c>
      <c r="AO568" t="s">
        <v>73</v>
      </c>
      <c r="AP568">
        <v>200000</v>
      </c>
      <c r="AQ568" t="s">
        <v>97</v>
      </c>
      <c r="AS568">
        <v>10000</v>
      </c>
      <c r="AT568" t="s">
        <v>3951</v>
      </c>
      <c r="AU568" t="s">
        <v>75</v>
      </c>
      <c r="AV568" t="s">
        <v>76</v>
      </c>
    </row>
    <row r="569" spans="1:48" x14ac:dyDescent="0.15">
      <c r="A569" s="4" t="str">
        <f>HYPERLINK("https://ibp.a2mac1.com/costing(costing:projects/details/9760/assembly/8414823)","Head-Up Display System")</f>
        <v>Head-Up Display System</v>
      </c>
      <c r="B569">
        <v>8414823</v>
      </c>
      <c r="D569">
        <v>8414744</v>
      </c>
      <c r="F569">
        <v>1</v>
      </c>
      <c r="G569">
        <v>0</v>
      </c>
      <c r="H569">
        <v>82.866255514788548</v>
      </c>
      <c r="I569">
        <v>0</v>
      </c>
      <c r="J569" t="s">
        <v>90</v>
      </c>
      <c r="K569">
        <v>0</v>
      </c>
      <c r="L569">
        <v>82.866255514788548</v>
      </c>
      <c r="M569">
        <v>0</v>
      </c>
      <c r="N569">
        <v>0</v>
      </c>
      <c r="O569">
        <v>82.866255514788548</v>
      </c>
      <c r="P569" t="s">
        <v>90</v>
      </c>
      <c r="Q569">
        <v>0</v>
      </c>
      <c r="R569" t="s">
        <v>90</v>
      </c>
      <c r="S569">
        <v>0</v>
      </c>
      <c r="T569" t="s">
        <v>90</v>
      </c>
      <c r="U569">
        <v>0</v>
      </c>
      <c r="V569" t="s">
        <v>90</v>
      </c>
      <c r="W569">
        <v>0</v>
      </c>
      <c r="X569" t="s">
        <v>90</v>
      </c>
      <c r="Y569">
        <v>0</v>
      </c>
      <c r="Z569">
        <v>82.866255514788548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L569">
        <v>3.5541</v>
      </c>
      <c r="AN569" t="s">
        <v>185</v>
      </c>
      <c r="AO569" t="s">
        <v>73</v>
      </c>
      <c r="AP569">
        <v>200000</v>
      </c>
      <c r="AQ569" t="s">
        <v>73</v>
      </c>
      <c r="AS569">
        <v>10000</v>
      </c>
      <c r="AT569" t="s">
        <v>3953</v>
      </c>
      <c r="AU569" t="s">
        <v>75</v>
      </c>
      <c r="AV569" t="s">
        <v>76</v>
      </c>
    </row>
    <row r="570" spans="1:48" x14ac:dyDescent="0.15">
      <c r="A570" s="4" t="str">
        <f>HYPERLINK("https://ibp.a2mac1.com/costing(costing:projects/details/9760/assembly/8414824)","Sport Mode Switch Dynamic Drive")</f>
        <v>Sport Mode Switch Dynamic Drive</v>
      </c>
      <c r="B570">
        <v>8414824</v>
      </c>
      <c r="D570">
        <v>8414744</v>
      </c>
      <c r="F570">
        <v>1</v>
      </c>
      <c r="G570">
        <v>0</v>
      </c>
      <c r="H570">
        <v>1.33</v>
      </c>
      <c r="I570">
        <v>0</v>
      </c>
      <c r="J570" t="s">
        <v>90</v>
      </c>
      <c r="K570">
        <v>0</v>
      </c>
      <c r="L570">
        <v>1.33</v>
      </c>
      <c r="M570">
        <v>0</v>
      </c>
      <c r="N570">
        <v>0</v>
      </c>
      <c r="O570">
        <v>1.33</v>
      </c>
      <c r="P570" t="s">
        <v>90</v>
      </c>
      <c r="Q570">
        <v>0</v>
      </c>
      <c r="R570" t="s">
        <v>90</v>
      </c>
      <c r="S570">
        <v>0</v>
      </c>
      <c r="T570" t="s">
        <v>90</v>
      </c>
      <c r="U570">
        <v>0</v>
      </c>
      <c r="V570" t="s">
        <v>90</v>
      </c>
      <c r="W570">
        <v>0</v>
      </c>
      <c r="X570" t="s">
        <v>90</v>
      </c>
      <c r="Y570">
        <v>0</v>
      </c>
      <c r="Z570">
        <v>1.33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L570">
        <v>4.5999999999999999E-2</v>
      </c>
      <c r="AN570" t="s">
        <v>185</v>
      </c>
      <c r="AO570" t="s">
        <v>73</v>
      </c>
      <c r="AP570">
        <v>200000</v>
      </c>
      <c r="AQ570" t="s">
        <v>73</v>
      </c>
      <c r="AS570">
        <v>10000</v>
      </c>
      <c r="AT570" t="s">
        <v>3956</v>
      </c>
      <c r="AU570" t="s">
        <v>75</v>
      </c>
      <c r="AV570" t="s">
        <v>76</v>
      </c>
    </row>
    <row r="571" spans="1:48" x14ac:dyDescent="0.15">
      <c r="A571" s="4" t="str">
        <f>HYPERLINK("https://ibp.a2mac1.com/costing(costing:projects/details/9760/assembly/8414744)","Instrumentation")</f>
        <v>Instrumentation</v>
      </c>
      <c r="B571">
        <v>8414744</v>
      </c>
      <c r="D571">
        <v>8414733</v>
      </c>
      <c r="F571">
        <v>1</v>
      </c>
      <c r="G571">
        <v>0</v>
      </c>
      <c r="H571">
        <v>492.48397426516755</v>
      </c>
      <c r="I571">
        <v>0</v>
      </c>
      <c r="J571" t="s">
        <v>90</v>
      </c>
      <c r="K571">
        <v>0</v>
      </c>
      <c r="L571">
        <v>492.48397426516755</v>
      </c>
      <c r="M571">
        <v>0</v>
      </c>
      <c r="N571">
        <v>0</v>
      </c>
      <c r="O571">
        <v>492.48397426516755</v>
      </c>
      <c r="P571" t="s">
        <v>90</v>
      </c>
      <c r="Q571">
        <v>0</v>
      </c>
      <c r="R571" t="s">
        <v>90</v>
      </c>
      <c r="S571">
        <v>0</v>
      </c>
      <c r="T571" t="s">
        <v>90</v>
      </c>
      <c r="U571">
        <v>0</v>
      </c>
      <c r="V571" t="s">
        <v>90</v>
      </c>
      <c r="W571">
        <v>0</v>
      </c>
      <c r="X571" t="s">
        <v>90</v>
      </c>
      <c r="Y571">
        <v>0</v>
      </c>
      <c r="Z571">
        <v>492.48397426516755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L571">
        <v>8.2150999999999996</v>
      </c>
      <c r="AN571" t="s">
        <v>185</v>
      </c>
      <c r="AO571" t="s">
        <v>73</v>
      </c>
      <c r="AP571">
        <v>200000</v>
      </c>
      <c r="AQ571" t="s">
        <v>73</v>
      </c>
      <c r="AS571">
        <v>10000</v>
      </c>
      <c r="AT571" t="s">
        <v>3963</v>
      </c>
      <c r="AU571" t="s">
        <v>75</v>
      </c>
      <c r="AV571" t="s">
        <v>76</v>
      </c>
    </row>
    <row r="572" spans="1:48" x14ac:dyDescent="0.15">
      <c r="A572" s="4" t="str">
        <f>HYPERLINK("https://ibp.a2mac1.com/costing(costing:projects/details/9760/assembly/8414827)","Bezels Driver Side")</f>
        <v>Bezels Driver Side</v>
      </c>
      <c r="B572">
        <v>8414827</v>
      </c>
      <c r="D572">
        <v>8414745</v>
      </c>
      <c r="F572">
        <v>1</v>
      </c>
      <c r="G572">
        <v>0</v>
      </c>
      <c r="H572">
        <v>2.0311359987676743</v>
      </c>
      <c r="I572">
        <v>0</v>
      </c>
      <c r="J572" t="s">
        <v>90</v>
      </c>
      <c r="K572">
        <v>0</v>
      </c>
      <c r="L572">
        <v>2.0311359987676743</v>
      </c>
      <c r="M572">
        <v>0</v>
      </c>
      <c r="N572">
        <v>0</v>
      </c>
      <c r="O572">
        <v>2.0311359987676743</v>
      </c>
      <c r="P572" t="s">
        <v>90</v>
      </c>
      <c r="Q572">
        <v>0</v>
      </c>
      <c r="R572" t="s">
        <v>90</v>
      </c>
      <c r="S572">
        <v>0</v>
      </c>
      <c r="T572" t="s">
        <v>90</v>
      </c>
      <c r="U572">
        <v>0</v>
      </c>
      <c r="V572" t="s">
        <v>90</v>
      </c>
      <c r="W572">
        <v>0</v>
      </c>
      <c r="X572" t="s">
        <v>90</v>
      </c>
      <c r="Y572">
        <v>0</v>
      </c>
      <c r="Z572">
        <v>2.0311359987676743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L572">
        <v>0.218</v>
      </c>
      <c r="AN572" t="s">
        <v>185</v>
      </c>
      <c r="AO572" t="s">
        <v>73</v>
      </c>
      <c r="AP572">
        <v>200000</v>
      </c>
      <c r="AQ572" t="s">
        <v>73</v>
      </c>
      <c r="AS572">
        <v>10000</v>
      </c>
      <c r="AT572" t="s">
        <v>3986</v>
      </c>
      <c r="AU572" t="s">
        <v>75</v>
      </c>
      <c r="AV572" t="s">
        <v>76</v>
      </c>
    </row>
    <row r="573" spans="1:48" x14ac:dyDescent="0.15">
      <c r="A573" s="4" t="str">
        <f>HYPERLINK("https://ibp.a2mac1.com/costing(costing:projects/details/9760/assembly/8414828)","Bezels Passenger Side")</f>
        <v>Bezels Passenger Side</v>
      </c>
      <c r="B573">
        <v>8414828</v>
      </c>
      <c r="D573">
        <v>8414745</v>
      </c>
      <c r="F573">
        <v>1</v>
      </c>
      <c r="G573">
        <v>0</v>
      </c>
      <c r="H573">
        <v>2.0632239248603224</v>
      </c>
      <c r="I573">
        <v>0</v>
      </c>
      <c r="J573" t="s">
        <v>90</v>
      </c>
      <c r="K573">
        <v>0</v>
      </c>
      <c r="L573">
        <v>2.0632239248603224</v>
      </c>
      <c r="M573">
        <v>0</v>
      </c>
      <c r="N573">
        <v>0</v>
      </c>
      <c r="O573">
        <v>2.0632239248603224</v>
      </c>
      <c r="P573" t="s">
        <v>90</v>
      </c>
      <c r="Q573">
        <v>0</v>
      </c>
      <c r="R573" t="s">
        <v>90</v>
      </c>
      <c r="S573">
        <v>0</v>
      </c>
      <c r="T573" t="s">
        <v>90</v>
      </c>
      <c r="U573">
        <v>0</v>
      </c>
      <c r="V573" t="s">
        <v>90</v>
      </c>
      <c r="W573">
        <v>0</v>
      </c>
      <c r="X573" t="s">
        <v>90</v>
      </c>
      <c r="Y573">
        <v>0</v>
      </c>
      <c r="Z573">
        <v>2.0632239248603224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L573">
        <v>0.21099999999999999</v>
      </c>
      <c r="AN573" t="s">
        <v>185</v>
      </c>
      <c r="AO573" t="s">
        <v>73</v>
      </c>
      <c r="AP573">
        <v>200000</v>
      </c>
      <c r="AQ573" t="s">
        <v>73</v>
      </c>
      <c r="AS573">
        <v>10000</v>
      </c>
      <c r="AT573" t="s">
        <v>3994</v>
      </c>
      <c r="AU573" t="s">
        <v>75</v>
      </c>
      <c r="AV573" t="s">
        <v>76</v>
      </c>
    </row>
    <row r="574" spans="1:48" x14ac:dyDescent="0.15">
      <c r="A574" s="4" t="str">
        <f>HYPERLINK("https://ibp.a2mac1.com/costing(costing:projects/details/9760/assembly/8414745)","Bezels System")</f>
        <v>Bezels System</v>
      </c>
      <c r="B574">
        <v>8414745</v>
      </c>
      <c r="D574">
        <v>8414733</v>
      </c>
      <c r="F574">
        <v>1</v>
      </c>
      <c r="G574">
        <v>0</v>
      </c>
      <c r="H574">
        <v>5.8100182225490737</v>
      </c>
      <c r="I574">
        <v>0</v>
      </c>
      <c r="J574" t="s">
        <v>90</v>
      </c>
      <c r="K574">
        <v>0</v>
      </c>
      <c r="L574">
        <v>5.8100182225490737</v>
      </c>
      <c r="M574">
        <v>0</v>
      </c>
      <c r="N574">
        <v>0</v>
      </c>
      <c r="O574">
        <v>5.8100182225490737</v>
      </c>
      <c r="P574" t="s">
        <v>90</v>
      </c>
      <c r="Q574">
        <v>0</v>
      </c>
      <c r="R574" t="s">
        <v>90</v>
      </c>
      <c r="S574">
        <v>0</v>
      </c>
      <c r="T574" t="s">
        <v>90</v>
      </c>
      <c r="U574">
        <v>0</v>
      </c>
      <c r="V574" t="s">
        <v>90</v>
      </c>
      <c r="W574">
        <v>0</v>
      </c>
      <c r="X574" t="s">
        <v>90</v>
      </c>
      <c r="Y574">
        <v>0</v>
      </c>
      <c r="Z574">
        <v>5.8100182225490737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L574">
        <v>0.61519999999999997</v>
      </c>
      <c r="AN574" t="s">
        <v>185</v>
      </c>
      <c r="AO574" t="s">
        <v>73</v>
      </c>
      <c r="AP574">
        <v>200000</v>
      </c>
      <c r="AQ574" t="s">
        <v>73</v>
      </c>
      <c r="AS574">
        <v>10000</v>
      </c>
      <c r="AT574" t="s">
        <v>4002</v>
      </c>
      <c r="AU574" t="s">
        <v>75</v>
      </c>
      <c r="AV574" t="s">
        <v>76</v>
      </c>
    </row>
    <row r="575" spans="1:48" x14ac:dyDescent="0.15">
      <c r="A575" s="4" t="str">
        <f>HYPERLINK("https://ibp.a2mac1.com/costing(costing:projects/details/9760/assembly/8415009)","Opening System")</f>
        <v>Opening System</v>
      </c>
      <c r="B575">
        <v>8415009</v>
      </c>
      <c r="D575">
        <v>8414829</v>
      </c>
      <c r="F575">
        <v>1</v>
      </c>
      <c r="G575">
        <v>0</v>
      </c>
      <c r="H575">
        <v>1.2919911425210659</v>
      </c>
      <c r="I575">
        <v>0</v>
      </c>
      <c r="J575" t="s">
        <v>90</v>
      </c>
      <c r="K575">
        <v>0</v>
      </c>
      <c r="L575">
        <v>1.2919911425210659</v>
      </c>
      <c r="M575">
        <v>0</v>
      </c>
      <c r="N575">
        <v>0</v>
      </c>
      <c r="O575">
        <v>1.2919911425210659</v>
      </c>
      <c r="P575" t="s">
        <v>90</v>
      </c>
      <c r="Q575">
        <v>0</v>
      </c>
      <c r="R575" t="s">
        <v>90</v>
      </c>
      <c r="S575">
        <v>0</v>
      </c>
      <c r="T575" t="s">
        <v>90</v>
      </c>
      <c r="U575">
        <v>0</v>
      </c>
      <c r="V575" t="s">
        <v>90</v>
      </c>
      <c r="W575">
        <v>0</v>
      </c>
      <c r="X575" t="s">
        <v>90</v>
      </c>
      <c r="Y575">
        <v>0</v>
      </c>
      <c r="Z575">
        <v>1.2919911425210659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L575">
        <v>0.14599999999999999</v>
      </c>
      <c r="AN575" t="s">
        <v>185</v>
      </c>
      <c r="AO575" t="s">
        <v>73</v>
      </c>
      <c r="AP575">
        <v>200000</v>
      </c>
      <c r="AQ575" t="s">
        <v>73</v>
      </c>
      <c r="AS575">
        <v>10000</v>
      </c>
      <c r="AT575" t="s">
        <v>4033</v>
      </c>
      <c r="AU575" t="s">
        <v>75</v>
      </c>
      <c r="AV575" t="s">
        <v>76</v>
      </c>
    </row>
    <row r="576" spans="1:48" x14ac:dyDescent="0.15">
      <c r="A576" s="4" t="str">
        <f>HYPERLINK("https://ibp.a2mac1.com/costing(costing:projects/details/9760/assembly/8414829)","Glove Box System")</f>
        <v>Glove Box System</v>
      </c>
      <c r="B576">
        <v>8414829</v>
      </c>
      <c r="D576">
        <v>8414746</v>
      </c>
      <c r="F576">
        <v>1</v>
      </c>
      <c r="G576">
        <v>0</v>
      </c>
      <c r="H576">
        <v>12.807458796494011</v>
      </c>
      <c r="I576">
        <v>0</v>
      </c>
      <c r="J576" t="s">
        <v>90</v>
      </c>
      <c r="K576">
        <v>0</v>
      </c>
      <c r="L576">
        <v>12.807458796494011</v>
      </c>
      <c r="M576">
        <v>0</v>
      </c>
      <c r="N576">
        <v>0</v>
      </c>
      <c r="O576">
        <v>12.807458796494011</v>
      </c>
      <c r="P576" t="s">
        <v>90</v>
      </c>
      <c r="Q576">
        <v>0</v>
      </c>
      <c r="R576" t="s">
        <v>90</v>
      </c>
      <c r="S576">
        <v>0</v>
      </c>
      <c r="T576" t="s">
        <v>90</v>
      </c>
      <c r="U576">
        <v>0</v>
      </c>
      <c r="V576" t="s">
        <v>90</v>
      </c>
      <c r="W576">
        <v>0</v>
      </c>
      <c r="X576" t="s">
        <v>90</v>
      </c>
      <c r="Y576">
        <v>0</v>
      </c>
      <c r="Z576">
        <v>12.807458796494011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245</v>
      </c>
      <c r="AI576">
        <v>480</v>
      </c>
      <c r="AJ576">
        <v>245</v>
      </c>
      <c r="AL576">
        <v>2.476</v>
      </c>
      <c r="AN576" t="s">
        <v>185</v>
      </c>
      <c r="AO576" t="s">
        <v>73</v>
      </c>
      <c r="AP576">
        <v>200000</v>
      </c>
      <c r="AQ576" t="s">
        <v>73</v>
      </c>
      <c r="AS576">
        <v>10000</v>
      </c>
      <c r="AT576" t="s">
        <v>4052</v>
      </c>
      <c r="AU576" t="s">
        <v>75</v>
      </c>
      <c r="AV576" t="s">
        <v>76</v>
      </c>
    </row>
    <row r="577" spans="1:48" x14ac:dyDescent="0.15">
      <c r="A577" s="4" t="str">
        <f>HYPERLINK("https://ibp.a2mac1.com/costing(costing:projects/details/9760/assembly/8415010)","Tilting Storage Box System")</f>
        <v>Tilting Storage Box System</v>
      </c>
      <c r="B577">
        <v>8415010</v>
      </c>
      <c r="D577">
        <v>8414830</v>
      </c>
      <c r="F577">
        <v>1</v>
      </c>
      <c r="G577">
        <v>0</v>
      </c>
      <c r="H577">
        <v>2.4837685387568302</v>
      </c>
      <c r="I577">
        <v>0</v>
      </c>
      <c r="J577" t="s">
        <v>90</v>
      </c>
      <c r="K577">
        <v>0</v>
      </c>
      <c r="L577">
        <v>2.4837685387568302</v>
      </c>
      <c r="M577">
        <v>0</v>
      </c>
      <c r="N577">
        <v>0</v>
      </c>
      <c r="O577">
        <v>2.4837685387568302</v>
      </c>
      <c r="P577" t="s">
        <v>90</v>
      </c>
      <c r="Q577">
        <v>0</v>
      </c>
      <c r="R577" t="s">
        <v>90</v>
      </c>
      <c r="S577">
        <v>0</v>
      </c>
      <c r="T577" t="s">
        <v>90</v>
      </c>
      <c r="U577">
        <v>0</v>
      </c>
      <c r="V577" t="s">
        <v>90</v>
      </c>
      <c r="W577">
        <v>0</v>
      </c>
      <c r="X577" t="s">
        <v>90</v>
      </c>
      <c r="Y577">
        <v>0</v>
      </c>
      <c r="Z577">
        <v>2.4837685387568302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L577">
        <v>0.49330000000000002</v>
      </c>
      <c r="AN577" t="s">
        <v>185</v>
      </c>
      <c r="AO577" t="s">
        <v>73</v>
      </c>
      <c r="AP577">
        <v>200000</v>
      </c>
      <c r="AQ577" t="s">
        <v>73</v>
      </c>
      <c r="AS577">
        <v>10000</v>
      </c>
      <c r="AT577" t="s">
        <v>4067</v>
      </c>
      <c r="AU577" t="s">
        <v>75</v>
      </c>
      <c r="AV577" t="s">
        <v>76</v>
      </c>
    </row>
    <row r="578" spans="1:48" x14ac:dyDescent="0.15">
      <c r="A578" s="4" t="str">
        <f>HYPERLINK("https://ibp.a2mac1.com/costing(costing:projects/details/9760/assembly/8414830)","Driver Side")</f>
        <v>Driver Side</v>
      </c>
      <c r="B578">
        <v>8414830</v>
      </c>
      <c r="D578">
        <v>8414746</v>
      </c>
      <c r="F578">
        <v>1</v>
      </c>
      <c r="G578">
        <v>0</v>
      </c>
      <c r="H578">
        <v>2.4837685387568302</v>
      </c>
      <c r="I578">
        <v>0</v>
      </c>
      <c r="J578" t="s">
        <v>90</v>
      </c>
      <c r="K578">
        <v>0</v>
      </c>
      <c r="L578">
        <v>2.4837685387568302</v>
      </c>
      <c r="M578">
        <v>0</v>
      </c>
      <c r="N578">
        <v>0</v>
      </c>
      <c r="O578">
        <v>2.4837685387568302</v>
      </c>
      <c r="P578" t="s">
        <v>90</v>
      </c>
      <c r="Q578">
        <v>0</v>
      </c>
      <c r="R578" t="s">
        <v>90</v>
      </c>
      <c r="S578">
        <v>0</v>
      </c>
      <c r="T578" t="s">
        <v>90</v>
      </c>
      <c r="U578">
        <v>0</v>
      </c>
      <c r="V578" t="s">
        <v>90</v>
      </c>
      <c r="W578">
        <v>0</v>
      </c>
      <c r="X578" t="s">
        <v>90</v>
      </c>
      <c r="Y578">
        <v>0</v>
      </c>
      <c r="Z578">
        <v>2.4837685387568302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L578">
        <v>0.49330000000000002</v>
      </c>
      <c r="AN578" t="s">
        <v>185</v>
      </c>
      <c r="AO578" t="s">
        <v>73</v>
      </c>
      <c r="AP578">
        <v>200000</v>
      </c>
      <c r="AQ578" t="s">
        <v>73</v>
      </c>
      <c r="AS578">
        <v>10000</v>
      </c>
      <c r="AT578" t="s">
        <v>4068</v>
      </c>
      <c r="AU578" t="s">
        <v>75</v>
      </c>
      <c r="AV578" t="s">
        <v>76</v>
      </c>
    </row>
    <row r="579" spans="1:48" x14ac:dyDescent="0.15">
      <c r="A579" s="4" t="str">
        <f>HYPERLINK("https://ibp.a2mac1.com/costing(costing:projects/details/9760/assembly/8414746)","Storage Compartments")</f>
        <v>Storage Compartments</v>
      </c>
      <c r="B579">
        <v>8414746</v>
      </c>
      <c r="D579">
        <v>8414733</v>
      </c>
      <c r="F579">
        <v>1</v>
      </c>
      <c r="G579">
        <v>0</v>
      </c>
      <c r="H579">
        <v>15.29122733525084</v>
      </c>
      <c r="I579">
        <v>0</v>
      </c>
      <c r="J579" t="s">
        <v>90</v>
      </c>
      <c r="K579">
        <v>0</v>
      </c>
      <c r="L579">
        <v>15.29122733525084</v>
      </c>
      <c r="M579">
        <v>0</v>
      </c>
      <c r="N579">
        <v>0</v>
      </c>
      <c r="O579">
        <v>15.29122733525084</v>
      </c>
      <c r="P579" t="s">
        <v>90</v>
      </c>
      <c r="Q579">
        <v>0</v>
      </c>
      <c r="R579" t="s">
        <v>90</v>
      </c>
      <c r="S579">
        <v>0</v>
      </c>
      <c r="T579" t="s">
        <v>90</v>
      </c>
      <c r="U579">
        <v>0</v>
      </c>
      <c r="V579" t="s">
        <v>90</v>
      </c>
      <c r="W579">
        <v>0</v>
      </c>
      <c r="X579" t="s">
        <v>90</v>
      </c>
      <c r="Y579">
        <v>0</v>
      </c>
      <c r="Z579">
        <v>15.29122733525084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L579">
        <v>2.9693000000000001</v>
      </c>
      <c r="AN579" t="s">
        <v>185</v>
      </c>
      <c r="AO579" t="s">
        <v>73</v>
      </c>
      <c r="AP579">
        <v>200000</v>
      </c>
      <c r="AQ579" t="s">
        <v>73</v>
      </c>
      <c r="AS579">
        <v>10000</v>
      </c>
      <c r="AT579" t="s">
        <v>4069</v>
      </c>
      <c r="AU579" t="s">
        <v>75</v>
      </c>
      <c r="AV579" t="s">
        <v>76</v>
      </c>
    </row>
    <row r="580" spans="1:48" x14ac:dyDescent="0.15">
      <c r="A580" s="4" t="str">
        <f>HYPERLINK("https://ibp.a2mac1.com/costing(costing:projects/details/9760/assembly/8414733)","Instrument Panel")</f>
        <v>Instrument Panel</v>
      </c>
      <c r="B580">
        <v>8414733</v>
      </c>
      <c r="D580">
        <v>8414732</v>
      </c>
      <c r="F580">
        <v>1</v>
      </c>
      <c r="G580">
        <v>0</v>
      </c>
      <c r="H580">
        <v>705.26329932932083</v>
      </c>
      <c r="I580">
        <v>3.5440366800468386</v>
      </c>
      <c r="J580" t="s">
        <v>176</v>
      </c>
      <c r="K580">
        <v>24.68421547652623</v>
      </c>
      <c r="L580">
        <v>733.49155148589398</v>
      </c>
      <c r="M580">
        <v>0</v>
      </c>
      <c r="N580">
        <v>0</v>
      </c>
      <c r="O580">
        <v>733.49155148589398</v>
      </c>
      <c r="P580" t="s">
        <v>177</v>
      </c>
      <c r="Q580">
        <v>44.009493089153636</v>
      </c>
      <c r="R580" t="s">
        <v>177</v>
      </c>
      <c r="S580">
        <v>0</v>
      </c>
      <c r="T580" t="s">
        <v>178</v>
      </c>
      <c r="U580">
        <v>88.018986178307273</v>
      </c>
      <c r="V580" t="s">
        <v>90</v>
      </c>
      <c r="W580">
        <v>0</v>
      </c>
      <c r="X580" t="s">
        <v>90</v>
      </c>
      <c r="Y580">
        <v>0</v>
      </c>
      <c r="Z580">
        <v>865.52003075335483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710</v>
      </c>
      <c r="AI580">
        <v>1560</v>
      </c>
      <c r="AJ580">
        <v>745</v>
      </c>
      <c r="AL580">
        <v>31.2636</v>
      </c>
      <c r="AN580" t="s">
        <v>772</v>
      </c>
      <c r="AO580" t="s">
        <v>73</v>
      </c>
      <c r="AP580">
        <v>200000</v>
      </c>
      <c r="AQ580" t="s">
        <v>97</v>
      </c>
      <c r="AS580">
        <v>10000</v>
      </c>
      <c r="AT580" t="s">
        <v>4073</v>
      </c>
      <c r="AU580" t="s">
        <v>75</v>
      </c>
      <c r="AV580" t="s">
        <v>76</v>
      </c>
    </row>
    <row r="581" spans="1:48" x14ac:dyDescent="0.15">
      <c r="A581" s="4" t="str">
        <f>HYPERLINK("https://ibp.a2mac1.com/costing(costing:projects/details/9760/assembly/8414761)","Trunk Area Sound Insulation System")</f>
        <v>Trunk Area Sound Insulation System</v>
      </c>
      <c r="B581">
        <v>8414761</v>
      </c>
      <c r="D581">
        <v>8414734</v>
      </c>
      <c r="F581">
        <v>1</v>
      </c>
      <c r="G581">
        <v>0</v>
      </c>
      <c r="H581">
        <v>28.220896567947435</v>
      </c>
      <c r="I581">
        <v>0</v>
      </c>
      <c r="J581" t="s">
        <v>90</v>
      </c>
      <c r="K581">
        <v>0</v>
      </c>
      <c r="L581">
        <v>28.220896567947435</v>
      </c>
      <c r="M581">
        <v>0</v>
      </c>
      <c r="N581">
        <v>0</v>
      </c>
      <c r="O581">
        <v>28.220896567947435</v>
      </c>
      <c r="P581" t="s">
        <v>90</v>
      </c>
      <c r="Q581">
        <v>0</v>
      </c>
      <c r="R581" t="s">
        <v>90</v>
      </c>
      <c r="S581">
        <v>0</v>
      </c>
      <c r="T581" t="s">
        <v>90</v>
      </c>
      <c r="U581">
        <v>0</v>
      </c>
      <c r="V581" t="s">
        <v>90</v>
      </c>
      <c r="W581">
        <v>0</v>
      </c>
      <c r="X581" t="s">
        <v>90</v>
      </c>
      <c r="Y581">
        <v>0</v>
      </c>
      <c r="Z581">
        <v>28.220896567947435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L581">
        <v>4.4859999999999998</v>
      </c>
      <c r="AN581" t="s">
        <v>185</v>
      </c>
      <c r="AO581" t="s">
        <v>73</v>
      </c>
      <c r="AP581">
        <v>200000</v>
      </c>
      <c r="AQ581" t="s">
        <v>73</v>
      </c>
      <c r="AS581">
        <v>10000</v>
      </c>
      <c r="AT581" t="s">
        <v>4121</v>
      </c>
      <c r="AU581" t="s">
        <v>75</v>
      </c>
      <c r="AV581" t="s">
        <v>76</v>
      </c>
    </row>
    <row r="582" spans="1:48" x14ac:dyDescent="0.15">
      <c r="A582" s="4" t="str">
        <f>HYPERLINK("https://ibp.a2mac1.com/costing(costing:projects/details/9760/assembly/8414762)","Sound Insulation on Inner Panels")</f>
        <v>Sound Insulation on Inner Panels</v>
      </c>
      <c r="B582">
        <v>8414762</v>
      </c>
      <c r="D582">
        <v>8414734</v>
      </c>
      <c r="F582">
        <v>1</v>
      </c>
      <c r="G582">
        <v>0</v>
      </c>
      <c r="H582">
        <v>7.3627750754576935</v>
      </c>
      <c r="I582">
        <v>0</v>
      </c>
      <c r="J582" t="s">
        <v>90</v>
      </c>
      <c r="K582">
        <v>0</v>
      </c>
      <c r="L582">
        <v>7.3627750754576935</v>
      </c>
      <c r="M582">
        <v>0</v>
      </c>
      <c r="N582">
        <v>0</v>
      </c>
      <c r="O582">
        <v>7.3627750754576935</v>
      </c>
      <c r="P582" t="s">
        <v>90</v>
      </c>
      <c r="Q582">
        <v>0</v>
      </c>
      <c r="R582" t="s">
        <v>90</v>
      </c>
      <c r="S582">
        <v>0</v>
      </c>
      <c r="T582" t="s">
        <v>90</v>
      </c>
      <c r="U582">
        <v>0</v>
      </c>
      <c r="V582" t="s">
        <v>90</v>
      </c>
      <c r="W582">
        <v>0</v>
      </c>
      <c r="X582" t="s">
        <v>90</v>
      </c>
      <c r="Y582">
        <v>0</v>
      </c>
      <c r="Z582">
        <v>7.3627750754576935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L582">
        <v>0.29199999999999998</v>
      </c>
      <c r="AN582" t="s">
        <v>185</v>
      </c>
      <c r="AO582" t="s">
        <v>73</v>
      </c>
      <c r="AP582">
        <v>200000</v>
      </c>
      <c r="AQ582" t="s">
        <v>73</v>
      </c>
      <c r="AS582">
        <v>10000</v>
      </c>
      <c r="AT582" t="s">
        <v>4153</v>
      </c>
      <c r="AU582" t="s">
        <v>75</v>
      </c>
      <c r="AV582" t="s">
        <v>76</v>
      </c>
    </row>
    <row r="583" spans="1:48" x14ac:dyDescent="0.15">
      <c r="A583" s="4" t="str">
        <f>HYPERLINK("https://ibp.a2mac1.com/costing(costing:projects/details/9760/assembly/8414854)","Driver Side")</f>
        <v>Driver Side</v>
      </c>
      <c r="B583">
        <v>8414854</v>
      </c>
      <c r="D583">
        <v>8414763</v>
      </c>
      <c r="F583">
        <v>1</v>
      </c>
      <c r="G583">
        <v>0</v>
      </c>
      <c r="H583">
        <v>0.32443916737162698</v>
      </c>
      <c r="I583">
        <v>0</v>
      </c>
      <c r="J583" t="s">
        <v>90</v>
      </c>
      <c r="K583">
        <v>0</v>
      </c>
      <c r="L583">
        <v>0.32443916737162698</v>
      </c>
      <c r="M583">
        <v>0</v>
      </c>
      <c r="N583">
        <v>0</v>
      </c>
      <c r="O583">
        <v>0.32443916737162698</v>
      </c>
      <c r="P583" t="s">
        <v>90</v>
      </c>
      <c r="Q583">
        <v>0</v>
      </c>
      <c r="R583" t="s">
        <v>90</v>
      </c>
      <c r="S583">
        <v>0</v>
      </c>
      <c r="T583" t="s">
        <v>90</v>
      </c>
      <c r="U583">
        <v>0</v>
      </c>
      <c r="V583" t="s">
        <v>90</v>
      </c>
      <c r="W583">
        <v>0</v>
      </c>
      <c r="X583" t="s">
        <v>90</v>
      </c>
      <c r="Y583">
        <v>0</v>
      </c>
      <c r="Z583">
        <v>0.32443916737162698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L583">
        <v>8.0000000000000002E-3</v>
      </c>
      <c r="AN583" t="s">
        <v>185</v>
      </c>
      <c r="AO583" t="s">
        <v>73</v>
      </c>
      <c r="AP583">
        <v>200000</v>
      </c>
      <c r="AQ583" t="s">
        <v>73</v>
      </c>
      <c r="AS583">
        <v>10000</v>
      </c>
      <c r="AT583" t="s">
        <v>4159</v>
      </c>
      <c r="AU583" t="s">
        <v>75</v>
      </c>
      <c r="AV583" t="s">
        <v>76</v>
      </c>
    </row>
    <row r="584" spans="1:48" x14ac:dyDescent="0.15">
      <c r="A584" s="4" t="str">
        <f>HYPERLINK("https://ibp.a2mac1.com/costing(costing:projects/details/9760/assembly/8414763)","Instrument Panel Insulation System")</f>
        <v>Instrument Panel Insulation System</v>
      </c>
      <c r="B584">
        <v>8414763</v>
      </c>
      <c r="D584">
        <v>8414734</v>
      </c>
      <c r="F584">
        <v>1</v>
      </c>
      <c r="G584">
        <v>0</v>
      </c>
      <c r="H584">
        <v>1.7029871983064635</v>
      </c>
      <c r="I584">
        <v>0</v>
      </c>
      <c r="J584" t="s">
        <v>90</v>
      </c>
      <c r="K584">
        <v>0</v>
      </c>
      <c r="L584">
        <v>1.7029871983064635</v>
      </c>
      <c r="M584">
        <v>0</v>
      </c>
      <c r="N584">
        <v>0</v>
      </c>
      <c r="O584">
        <v>1.7029871983064635</v>
      </c>
      <c r="P584" t="s">
        <v>90</v>
      </c>
      <c r="Q584">
        <v>0</v>
      </c>
      <c r="R584" t="s">
        <v>90</v>
      </c>
      <c r="S584">
        <v>0</v>
      </c>
      <c r="T584" t="s">
        <v>90</v>
      </c>
      <c r="U584">
        <v>0</v>
      </c>
      <c r="V584" t="s">
        <v>90</v>
      </c>
      <c r="W584">
        <v>0</v>
      </c>
      <c r="X584" t="s">
        <v>90</v>
      </c>
      <c r="Y584">
        <v>0</v>
      </c>
      <c r="Z584">
        <v>1.7029871983064635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L584">
        <v>4.8000000000000001E-2</v>
      </c>
      <c r="AN584" t="s">
        <v>185</v>
      </c>
      <c r="AO584" t="s">
        <v>73</v>
      </c>
      <c r="AP584">
        <v>200000</v>
      </c>
      <c r="AQ584" t="s">
        <v>73</v>
      </c>
      <c r="AS584">
        <v>10000</v>
      </c>
      <c r="AT584" t="s">
        <v>4169</v>
      </c>
      <c r="AU584" t="s">
        <v>75</v>
      </c>
      <c r="AV584" t="s">
        <v>76</v>
      </c>
    </row>
    <row r="585" spans="1:48" x14ac:dyDescent="0.15">
      <c r="A585" s="4" t="str">
        <f>HYPERLINK("https://ibp.a2mac1.com/costing(costing:projects/details/9760/assembly/8414764)","Roof sound insulation")</f>
        <v>Roof sound insulation</v>
      </c>
      <c r="B585">
        <v>8414764</v>
      </c>
      <c r="D585">
        <v>8414734</v>
      </c>
      <c r="F585">
        <v>1</v>
      </c>
      <c r="G585">
        <v>0</v>
      </c>
      <c r="H585">
        <v>0.31705288910334284</v>
      </c>
      <c r="I585">
        <v>0</v>
      </c>
      <c r="J585" t="s">
        <v>90</v>
      </c>
      <c r="K585">
        <v>0</v>
      </c>
      <c r="L585">
        <v>0.31705288910334284</v>
      </c>
      <c r="M585">
        <v>0</v>
      </c>
      <c r="N585">
        <v>0</v>
      </c>
      <c r="O585">
        <v>0.31705288910334284</v>
      </c>
      <c r="P585" t="s">
        <v>90</v>
      </c>
      <c r="Q585">
        <v>0</v>
      </c>
      <c r="R585" t="s">
        <v>90</v>
      </c>
      <c r="S585">
        <v>0</v>
      </c>
      <c r="T585" t="s">
        <v>90</v>
      </c>
      <c r="U585">
        <v>0</v>
      </c>
      <c r="V585" t="s">
        <v>90</v>
      </c>
      <c r="W585">
        <v>0</v>
      </c>
      <c r="X585" t="s">
        <v>90</v>
      </c>
      <c r="Y585">
        <v>0</v>
      </c>
      <c r="Z585">
        <v>0.31705288910334284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L585">
        <v>5.0000000000000001E-3</v>
      </c>
      <c r="AN585" t="s">
        <v>185</v>
      </c>
      <c r="AO585" t="s">
        <v>73</v>
      </c>
      <c r="AP585">
        <v>200000</v>
      </c>
      <c r="AQ585" t="s">
        <v>73</v>
      </c>
      <c r="AS585">
        <v>10000</v>
      </c>
      <c r="AT585" t="s">
        <v>4177</v>
      </c>
      <c r="AU585" t="s">
        <v>75</v>
      </c>
      <c r="AV585" t="s">
        <v>76</v>
      </c>
    </row>
    <row r="586" spans="1:48" x14ac:dyDescent="0.15">
      <c r="A586" s="4" t="str">
        <f>HYPERLINK("https://ibp.a2mac1.com/costing(costing:projects/details/9760/assembly/8414765)","Noise Insulation on Center Console System")</f>
        <v>Noise Insulation on Center Console System</v>
      </c>
      <c r="B586">
        <v>8414765</v>
      </c>
      <c r="D586">
        <v>8414734</v>
      </c>
      <c r="F586">
        <v>1</v>
      </c>
      <c r="G586">
        <v>0</v>
      </c>
      <c r="H586">
        <v>0.72251458274325397</v>
      </c>
      <c r="I586">
        <v>0</v>
      </c>
      <c r="J586" t="s">
        <v>90</v>
      </c>
      <c r="K586">
        <v>0</v>
      </c>
      <c r="L586">
        <v>0.72251458274325397</v>
      </c>
      <c r="M586">
        <v>0</v>
      </c>
      <c r="N586">
        <v>0</v>
      </c>
      <c r="O586">
        <v>0.72251458274325397</v>
      </c>
      <c r="P586" t="s">
        <v>90</v>
      </c>
      <c r="Q586">
        <v>0</v>
      </c>
      <c r="R586" t="s">
        <v>90</v>
      </c>
      <c r="S586">
        <v>0</v>
      </c>
      <c r="T586" t="s">
        <v>90</v>
      </c>
      <c r="U586">
        <v>0</v>
      </c>
      <c r="V586" t="s">
        <v>90</v>
      </c>
      <c r="W586">
        <v>0</v>
      </c>
      <c r="X586" t="s">
        <v>90</v>
      </c>
      <c r="Y586">
        <v>0</v>
      </c>
      <c r="Z586">
        <v>0.72251458274325397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L586">
        <v>1.9E-2</v>
      </c>
      <c r="AN586" t="s">
        <v>185</v>
      </c>
      <c r="AO586" t="s">
        <v>73</v>
      </c>
      <c r="AP586">
        <v>200000</v>
      </c>
      <c r="AQ586" t="s">
        <v>73</v>
      </c>
      <c r="AS586">
        <v>10000</v>
      </c>
      <c r="AT586" t="s">
        <v>4185</v>
      </c>
      <c r="AU586" t="s">
        <v>75</v>
      </c>
      <c r="AV586" t="s">
        <v>76</v>
      </c>
    </row>
    <row r="587" spans="1:48" x14ac:dyDescent="0.15">
      <c r="A587" s="4" t="str">
        <f>HYPERLINK("https://ibp.a2mac1.com/costing(costing:projects/details/9760/assembly/8414734)","Noise Insulation")</f>
        <v>Noise Insulation</v>
      </c>
      <c r="B587">
        <v>8414734</v>
      </c>
      <c r="D587">
        <v>8414732</v>
      </c>
      <c r="F587">
        <v>1</v>
      </c>
      <c r="G587">
        <v>0</v>
      </c>
      <c r="H587">
        <v>82.928355571821641</v>
      </c>
      <c r="I587">
        <v>0</v>
      </c>
      <c r="J587" t="s">
        <v>90</v>
      </c>
      <c r="K587">
        <v>0</v>
      </c>
      <c r="L587">
        <v>82.928355571821641</v>
      </c>
      <c r="M587">
        <v>0</v>
      </c>
      <c r="N587">
        <v>0</v>
      </c>
      <c r="O587">
        <v>82.928355571821641</v>
      </c>
      <c r="P587" t="s">
        <v>90</v>
      </c>
      <c r="Q587">
        <v>0</v>
      </c>
      <c r="R587" t="s">
        <v>90</v>
      </c>
      <c r="S587">
        <v>0</v>
      </c>
      <c r="T587" t="s">
        <v>90</v>
      </c>
      <c r="U587">
        <v>0</v>
      </c>
      <c r="V587" t="s">
        <v>90</v>
      </c>
      <c r="W587">
        <v>0</v>
      </c>
      <c r="X587" t="s">
        <v>90</v>
      </c>
      <c r="Y587">
        <v>0</v>
      </c>
      <c r="Z587">
        <v>82.928355571821641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L587">
        <v>8.7007999999999992</v>
      </c>
      <c r="AN587" t="s">
        <v>185</v>
      </c>
      <c r="AO587" t="s">
        <v>73</v>
      </c>
      <c r="AP587">
        <v>200000</v>
      </c>
      <c r="AQ587" t="s">
        <v>73</v>
      </c>
      <c r="AS587">
        <v>10000</v>
      </c>
      <c r="AT587" t="s">
        <v>4228</v>
      </c>
      <c r="AU587" t="s">
        <v>75</v>
      </c>
      <c r="AV587" t="s">
        <v>76</v>
      </c>
    </row>
    <row r="588" spans="1:48" x14ac:dyDescent="0.15">
      <c r="A588" s="4" t="str">
        <f>HYPERLINK("https://ibp.a2mac1.com/costing(costing:projects/details/9760/assembly/8414772)","Center Console")</f>
        <v>Center Console</v>
      </c>
      <c r="B588">
        <v>8414772</v>
      </c>
      <c r="D588">
        <v>8414735</v>
      </c>
      <c r="F588">
        <v>1</v>
      </c>
      <c r="G588">
        <v>0</v>
      </c>
      <c r="H588">
        <v>11.256345997859484</v>
      </c>
      <c r="I588">
        <v>0</v>
      </c>
      <c r="J588" t="s">
        <v>90</v>
      </c>
      <c r="K588">
        <v>0</v>
      </c>
      <c r="L588">
        <v>11.256345997859484</v>
      </c>
      <c r="M588">
        <v>0</v>
      </c>
      <c r="N588">
        <v>0</v>
      </c>
      <c r="O588">
        <v>11.256345997859484</v>
      </c>
      <c r="P588" t="s">
        <v>90</v>
      </c>
      <c r="Q588">
        <v>0</v>
      </c>
      <c r="R588" t="s">
        <v>90</v>
      </c>
      <c r="S588">
        <v>0</v>
      </c>
      <c r="T588" t="s">
        <v>90</v>
      </c>
      <c r="U588">
        <v>0</v>
      </c>
      <c r="V588" t="s">
        <v>90</v>
      </c>
      <c r="W588">
        <v>0</v>
      </c>
      <c r="X588" t="s">
        <v>90</v>
      </c>
      <c r="Y588">
        <v>0</v>
      </c>
      <c r="Z588">
        <v>11.256345997859484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L588">
        <v>3.2238000000000002</v>
      </c>
      <c r="AN588" t="s">
        <v>185</v>
      </c>
      <c r="AO588" t="s">
        <v>73</v>
      </c>
      <c r="AP588">
        <v>200000</v>
      </c>
      <c r="AQ588" t="s">
        <v>73</v>
      </c>
      <c r="AS588">
        <v>10000</v>
      </c>
      <c r="AT588" t="s">
        <v>4261</v>
      </c>
      <c r="AU588" t="s">
        <v>75</v>
      </c>
      <c r="AV588" t="s">
        <v>76</v>
      </c>
    </row>
    <row r="589" spans="1:48" x14ac:dyDescent="0.15">
      <c r="A589" s="4" t="str">
        <f>HYPERLINK("https://ibp.a2mac1.com/costing(costing:projects/details/9760/assembly/8414864)","Left Side")</f>
        <v>Left Side</v>
      </c>
      <c r="B589">
        <v>8414864</v>
      </c>
      <c r="D589">
        <v>8414773</v>
      </c>
      <c r="F589">
        <v>1</v>
      </c>
      <c r="G589">
        <v>0</v>
      </c>
      <c r="H589">
        <v>4.8157840867348547</v>
      </c>
      <c r="I589">
        <v>0</v>
      </c>
      <c r="J589" t="s">
        <v>90</v>
      </c>
      <c r="K589">
        <v>0</v>
      </c>
      <c r="L589">
        <v>4.8157840867348547</v>
      </c>
      <c r="M589">
        <v>0</v>
      </c>
      <c r="N589">
        <v>0</v>
      </c>
      <c r="O589">
        <v>4.8157840867348547</v>
      </c>
      <c r="P589" t="s">
        <v>90</v>
      </c>
      <c r="Q589">
        <v>0</v>
      </c>
      <c r="R589" t="s">
        <v>90</v>
      </c>
      <c r="S589">
        <v>0</v>
      </c>
      <c r="T589" t="s">
        <v>90</v>
      </c>
      <c r="U589">
        <v>0</v>
      </c>
      <c r="V589" t="s">
        <v>90</v>
      </c>
      <c r="W589">
        <v>0</v>
      </c>
      <c r="X589" t="s">
        <v>90</v>
      </c>
      <c r="Y589">
        <v>0</v>
      </c>
      <c r="Z589">
        <v>4.8157840867348547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L589">
        <v>1.141</v>
      </c>
      <c r="AN589" t="s">
        <v>185</v>
      </c>
      <c r="AO589" t="s">
        <v>73</v>
      </c>
      <c r="AP589">
        <v>200000</v>
      </c>
      <c r="AQ589" t="s">
        <v>73</v>
      </c>
      <c r="AS589">
        <v>10000</v>
      </c>
      <c r="AT589" t="s">
        <v>4281</v>
      </c>
      <c r="AU589" t="s">
        <v>75</v>
      </c>
      <c r="AV589" t="s">
        <v>76</v>
      </c>
    </row>
    <row r="590" spans="1:48" x14ac:dyDescent="0.15">
      <c r="A590" s="4" t="str">
        <f>HYPERLINK("https://ibp.a2mac1.com/costing(costing:projects/details/9760/assembly/8414865)","Right Side")</f>
        <v>Right Side</v>
      </c>
      <c r="B590">
        <v>8414865</v>
      </c>
      <c r="D590">
        <v>8414773</v>
      </c>
      <c r="F590">
        <v>1</v>
      </c>
      <c r="G590">
        <v>0</v>
      </c>
      <c r="H590">
        <v>4.9057840867348546</v>
      </c>
      <c r="I590">
        <v>0</v>
      </c>
      <c r="J590" t="s">
        <v>90</v>
      </c>
      <c r="K590">
        <v>0</v>
      </c>
      <c r="L590">
        <v>4.9057840867348546</v>
      </c>
      <c r="M590">
        <v>0</v>
      </c>
      <c r="N590">
        <v>0</v>
      </c>
      <c r="O590">
        <v>4.9057840867348546</v>
      </c>
      <c r="P590" t="s">
        <v>90</v>
      </c>
      <c r="Q590">
        <v>0</v>
      </c>
      <c r="R590" t="s">
        <v>90</v>
      </c>
      <c r="S590">
        <v>0</v>
      </c>
      <c r="T590" t="s">
        <v>90</v>
      </c>
      <c r="U590">
        <v>0</v>
      </c>
      <c r="V590" t="s">
        <v>90</v>
      </c>
      <c r="W590">
        <v>0</v>
      </c>
      <c r="X590" t="s">
        <v>90</v>
      </c>
      <c r="Y590">
        <v>0</v>
      </c>
      <c r="Z590">
        <v>4.9057840867348546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L590">
        <v>1.044</v>
      </c>
      <c r="AN590" t="s">
        <v>185</v>
      </c>
      <c r="AO590" t="s">
        <v>73</v>
      </c>
      <c r="AP590">
        <v>200000</v>
      </c>
      <c r="AQ590" t="s">
        <v>73</v>
      </c>
      <c r="AS590">
        <v>10000</v>
      </c>
      <c r="AT590" t="s">
        <v>4292</v>
      </c>
      <c r="AU590" t="s">
        <v>75</v>
      </c>
      <c r="AV590" t="s">
        <v>76</v>
      </c>
    </row>
    <row r="591" spans="1:48" x14ac:dyDescent="0.15">
      <c r="A591" s="4" t="str">
        <f>HYPERLINK("https://ibp.a2mac1.com/costing(costing:projects/details/9760/assembly/8414773)","Side Covers")</f>
        <v>Side Covers</v>
      </c>
      <c r="B591">
        <v>8414773</v>
      </c>
      <c r="D591">
        <v>8414735</v>
      </c>
      <c r="F591">
        <v>1</v>
      </c>
      <c r="G591">
        <v>0</v>
      </c>
      <c r="H591">
        <v>9.7215681734697093</v>
      </c>
      <c r="I591">
        <v>0</v>
      </c>
      <c r="J591" t="s">
        <v>90</v>
      </c>
      <c r="K591">
        <v>0</v>
      </c>
      <c r="L591">
        <v>9.7215681734697093</v>
      </c>
      <c r="M591">
        <v>0</v>
      </c>
      <c r="N591">
        <v>0</v>
      </c>
      <c r="O591">
        <v>9.7215681734697093</v>
      </c>
      <c r="P591" t="s">
        <v>90</v>
      </c>
      <c r="Q591">
        <v>0</v>
      </c>
      <c r="R591" t="s">
        <v>90</v>
      </c>
      <c r="S591">
        <v>0</v>
      </c>
      <c r="T591" t="s">
        <v>90</v>
      </c>
      <c r="U591">
        <v>0</v>
      </c>
      <c r="V591" t="s">
        <v>90</v>
      </c>
      <c r="W591">
        <v>0</v>
      </c>
      <c r="X591" t="s">
        <v>90</v>
      </c>
      <c r="Y591">
        <v>0</v>
      </c>
      <c r="Z591">
        <v>9.7215681734697093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L591">
        <v>2.1850000000000001</v>
      </c>
      <c r="AN591" t="s">
        <v>185</v>
      </c>
      <c r="AO591" t="s">
        <v>73</v>
      </c>
      <c r="AP591">
        <v>200000</v>
      </c>
      <c r="AQ591" t="s">
        <v>73</v>
      </c>
      <c r="AS591">
        <v>10000</v>
      </c>
      <c r="AT591" t="s">
        <v>4293</v>
      </c>
      <c r="AU591" t="s">
        <v>75</v>
      </c>
      <c r="AV591" t="s">
        <v>76</v>
      </c>
    </row>
    <row r="592" spans="1:48" x14ac:dyDescent="0.15">
      <c r="A592" s="4" t="str">
        <f>HYPERLINK("https://ibp.a2mac1.com/costing(costing:projects/details/9760/assembly/8414774)","Mounting Bracket")</f>
        <v>Mounting Bracket</v>
      </c>
      <c r="B592">
        <v>8414774</v>
      </c>
      <c r="D592">
        <v>8414735</v>
      </c>
      <c r="F592">
        <v>1</v>
      </c>
      <c r="G592">
        <v>0</v>
      </c>
      <c r="H592">
        <v>1.502091718061944</v>
      </c>
      <c r="I592">
        <v>0</v>
      </c>
      <c r="J592" t="s">
        <v>90</v>
      </c>
      <c r="K592">
        <v>0</v>
      </c>
      <c r="L592">
        <v>1.502091718061944</v>
      </c>
      <c r="M592">
        <v>0</v>
      </c>
      <c r="N592">
        <v>0</v>
      </c>
      <c r="O592">
        <v>1.502091718061944</v>
      </c>
      <c r="P592" t="s">
        <v>90</v>
      </c>
      <c r="Q592">
        <v>0</v>
      </c>
      <c r="R592" t="s">
        <v>90</v>
      </c>
      <c r="S592">
        <v>0</v>
      </c>
      <c r="T592" t="s">
        <v>90</v>
      </c>
      <c r="U592">
        <v>0</v>
      </c>
      <c r="V592" t="s">
        <v>90</v>
      </c>
      <c r="W592">
        <v>0</v>
      </c>
      <c r="X592" t="s">
        <v>90</v>
      </c>
      <c r="Y592">
        <v>0</v>
      </c>
      <c r="Z592">
        <v>1.502091718061944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L592">
        <v>0.37480000000000002</v>
      </c>
      <c r="AN592" t="s">
        <v>185</v>
      </c>
      <c r="AO592" t="s">
        <v>73</v>
      </c>
      <c r="AP592">
        <v>200000</v>
      </c>
      <c r="AQ592" t="s">
        <v>73</v>
      </c>
      <c r="AS592">
        <v>10000</v>
      </c>
      <c r="AT592" t="s">
        <v>4300</v>
      </c>
      <c r="AU592" t="s">
        <v>75</v>
      </c>
      <c r="AV592" t="s">
        <v>76</v>
      </c>
    </row>
    <row r="593" spans="1:48" x14ac:dyDescent="0.15">
      <c r="A593" s="4" t="str">
        <f>HYPERLINK("https://ibp.a2mac1.com/costing(costing:projects/details/9760/assembly/8414775)","Instrumentation")</f>
        <v>Instrumentation</v>
      </c>
      <c r="B593">
        <v>8414775</v>
      </c>
      <c r="D593">
        <v>8414735</v>
      </c>
      <c r="F593">
        <v>1</v>
      </c>
      <c r="G593">
        <v>0</v>
      </c>
      <c r="H593">
        <v>4.2758399999999996</v>
      </c>
      <c r="I593">
        <v>0</v>
      </c>
      <c r="J593" t="s">
        <v>90</v>
      </c>
      <c r="K593">
        <v>0</v>
      </c>
      <c r="L593">
        <v>4.2758399999999996</v>
      </c>
      <c r="M593">
        <v>0</v>
      </c>
      <c r="N593">
        <v>0</v>
      </c>
      <c r="O593">
        <v>4.2758399999999996</v>
      </c>
      <c r="P593" t="s">
        <v>90</v>
      </c>
      <c r="Q593">
        <v>0</v>
      </c>
      <c r="R593" t="s">
        <v>90</v>
      </c>
      <c r="S593">
        <v>0</v>
      </c>
      <c r="T593" t="s">
        <v>90</v>
      </c>
      <c r="U593">
        <v>0</v>
      </c>
      <c r="V593" t="s">
        <v>90</v>
      </c>
      <c r="W593">
        <v>0</v>
      </c>
      <c r="X593" t="s">
        <v>90</v>
      </c>
      <c r="Y593">
        <v>0</v>
      </c>
      <c r="Z593">
        <v>4.2758399999999996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L593">
        <v>0.22600000000000001</v>
      </c>
      <c r="AN593" t="s">
        <v>185</v>
      </c>
      <c r="AO593" t="s">
        <v>73</v>
      </c>
      <c r="AP593">
        <v>200000</v>
      </c>
      <c r="AQ593" t="s">
        <v>73</v>
      </c>
      <c r="AS593">
        <v>10000</v>
      </c>
      <c r="AT593" t="s">
        <v>4305</v>
      </c>
      <c r="AU593" t="s">
        <v>75</v>
      </c>
      <c r="AV593" t="s">
        <v>76</v>
      </c>
    </row>
    <row r="594" spans="1:48" x14ac:dyDescent="0.15">
      <c r="A594" s="4" t="str">
        <f>HYPERLINK("https://ibp.a2mac1.com/costing(costing:projects/details/9760/assembly/8414776)","Front Storage")</f>
        <v>Front Storage</v>
      </c>
      <c r="B594">
        <v>8414776</v>
      </c>
      <c r="D594">
        <v>8414735</v>
      </c>
      <c r="F594">
        <v>1</v>
      </c>
      <c r="G594">
        <v>0</v>
      </c>
      <c r="H594">
        <v>0.58500911317529314</v>
      </c>
      <c r="I594">
        <v>0</v>
      </c>
      <c r="J594" t="s">
        <v>90</v>
      </c>
      <c r="K594">
        <v>0</v>
      </c>
      <c r="L594">
        <v>0.58500911317529314</v>
      </c>
      <c r="M594">
        <v>0</v>
      </c>
      <c r="N594">
        <v>0</v>
      </c>
      <c r="O594">
        <v>0.58500911317529314</v>
      </c>
      <c r="P594" t="s">
        <v>90</v>
      </c>
      <c r="Q594">
        <v>0</v>
      </c>
      <c r="R594" t="s">
        <v>90</v>
      </c>
      <c r="S594">
        <v>0</v>
      </c>
      <c r="T594" t="s">
        <v>90</v>
      </c>
      <c r="U594">
        <v>0</v>
      </c>
      <c r="V594" t="s">
        <v>90</v>
      </c>
      <c r="W594">
        <v>0</v>
      </c>
      <c r="X594" t="s">
        <v>90</v>
      </c>
      <c r="Y594">
        <v>0</v>
      </c>
      <c r="Z594">
        <v>0.58500911317529314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L594">
        <v>0.14319999999999999</v>
      </c>
      <c r="AN594" t="s">
        <v>185</v>
      </c>
      <c r="AO594" t="s">
        <v>73</v>
      </c>
      <c r="AP594">
        <v>200000</v>
      </c>
      <c r="AQ594" t="s">
        <v>73</v>
      </c>
      <c r="AS594">
        <v>10000</v>
      </c>
      <c r="AT594" t="s">
        <v>4317</v>
      </c>
      <c r="AU594" t="s">
        <v>75</v>
      </c>
      <c r="AV594" t="s">
        <v>76</v>
      </c>
    </row>
    <row r="595" spans="1:48" x14ac:dyDescent="0.15">
      <c r="A595" s="4" t="str">
        <f>HYPERLINK("https://ibp.a2mac1.com/costing(costing:projects/details/9760/assembly/8414777)","Center Storage")</f>
        <v>Center Storage</v>
      </c>
      <c r="B595">
        <v>8414777</v>
      </c>
      <c r="D595">
        <v>8414735</v>
      </c>
      <c r="F595">
        <v>1</v>
      </c>
      <c r="G595">
        <v>0</v>
      </c>
      <c r="H595">
        <v>0.41964427911274838</v>
      </c>
      <c r="I595">
        <v>0</v>
      </c>
      <c r="J595" t="s">
        <v>90</v>
      </c>
      <c r="K595">
        <v>0</v>
      </c>
      <c r="L595">
        <v>0.41964427911274838</v>
      </c>
      <c r="M595">
        <v>0</v>
      </c>
      <c r="N595">
        <v>0</v>
      </c>
      <c r="O595">
        <v>0.41964427911274838</v>
      </c>
      <c r="P595" t="s">
        <v>90</v>
      </c>
      <c r="Q595">
        <v>0</v>
      </c>
      <c r="R595" t="s">
        <v>90</v>
      </c>
      <c r="S595">
        <v>0</v>
      </c>
      <c r="T595" t="s">
        <v>90</v>
      </c>
      <c r="U595">
        <v>0</v>
      </c>
      <c r="V595" t="s">
        <v>90</v>
      </c>
      <c r="W595">
        <v>0</v>
      </c>
      <c r="X595" t="s">
        <v>90</v>
      </c>
      <c r="Y595">
        <v>0</v>
      </c>
      <c r="Z595">
        <v>0.41964427911274838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L595">
        <v>0.121</v>
      </c>
      <c r="AN595" t="s">
        <v>185</v>
      </c>
      <c r="AO595" t="s">
        <v>73</v>
      </c>
      <c r="AP595">
        <v>200000</v>
      </c>
      <c r="AQ595" t="s">
        <v>73</v>
      </c>
      <c r="AS595">
        <v>10000</v>
      </c>
      <c r="AT595" t="s">
        <v>4329</v>
      </c>
      <c r="AU595" t="s">
        <v>75</v>
      </c>
      <c r="AV595" t="s">
        <v>76</v>
      </c>
    </row>
    <row r="596" spans="1:48" x14ac:dyDescent="0.15">
      <c r="A596" s="4" t="str">
        <f>HYPERLINK("https://ibp.a2mac1.com/costing(costing:projects/details/9760/assembly/8414778)","Rear Storage Compartment Armrest")</f>
        <v>Rear Storage Compartment Armrest</v>
      </c>
      <c r="B596">
        <v>8414778</v>
      </c>
      <c r="D596">
        <v>8414735</v>
      </c>
      <c r="F596">
        <v>1</v>
      </c>
      <c r="G596">
        <v>0</v>
      </c>
      <c r="H596">
        <v>8.2738245330196563</v>
      </c>
      <c r="I596">
        <v>0</v>
      </c>
      <c r="J596" t="s">
        <v>90</v>
      </c>
      <c r="K596">
        <v>0</v>
      </c>
      <c r="L596">
        <v>8.2738245330196563</v>
      </c>
      <c r="M596">
        <v>0</v>
      </c>
      <c r="N596">
        <v>0</v>
      </c>
      <c r="O596">
        <v>8.2738245330196563</v>
      </c>
      <c r="P596" t="s">
        <v>90</v>
      </c>
      <c r="Q596">
        <v>0</v>
      </c>
      <c r="R596" t="s">
        <v>90</v>
      </c>
      <c r="S596">
        <v>0</v>
      </c>
      <c r="T596" t="s">
        <v>90</v>
      </c>
      <c r="U596">
        <v>0</v>
      </c>
      <c r="V596" t="s">
        <v>90</v>
      </c>
      <c r="W596">
        <v>0</v>
      </c>
      <c r="X596" t="s">
        <v>90</v>
      </c>
      <c r="Y596">
        <v>0</v>
      </c>
      <c r="Z596">
        <v>8.2738245330196563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L596">
        <v>1.4890000000000001</v>
      </c>
      <c r="AN596" t="s">
        <v>185</v>
      </c>
      <c r="AO596" t="s">
        <v>73</v>
      </c>
      <c r="AP596">
        <v>200000</v>
      </c>
      <c r="AQ596" t="s">
        <v>73</v>
      </c>
      <c r="AS596">
        <v>10000</v>
      </c>
      <c r="AT596" t="s">
        <v>4386</v>
      </c>
      <c r="AU596" t="s">
        <v>75</v>
      </c>
      <c r="AV596" t="s">
        <v>76</v>
      </c>
    </row>
    <row r="597" spans="1:48" x14ac:dyDescent="0.15">
      <c r="A597" s="4" t="str">
        <f>HYPERLINK("https://ibp.a2mac1.com/costing(costing:projects/details/9760/assembly/8414779)","2nd Row Storage")</f>
        <v>2nd Row Storage</v>
      </c>
      <c r="B597">
        <v>8414779</v>
      </c>
      <c r="D597">
        <v>8414735</v>
      </c>
      <c r="F597">
        <v>1</v>
      </c>
      <c r="G597">
        <v>0</v>
      </c>
      <c r="H597">
        <v>1.3485751568560698</v>
      </c>
      <c r="I597">
        <v>0</v>
      </c>
      <c r="J597" t="s">
        <v>90</v>
      </c>
      <c r="K597">
        <v>0</v>
      </c>
      <c r="L597">
        <v>1.3485751568560698</v>
      </c>
      <c r="M597">
        <v>0</v>
      </c>
      <c r="N597">
        <v>0</v>
      </c>
      <c r="O597">
        <v>1.3485751568560698</v>
      </c>
      <c r="P597" t="s">
        <v>90</v>
      </c>
      <c r="Q597">
        <v>0</v>
      </c>
      <c r="R597" t="s">
        <v>90</v>
      </c>
      <c r="S597">
        <v>0</v>
      </c>
      <c r="T597" t="s">
        <v>90</v>
      </c>
      <c r="U597">
        <v>0</v>
      </c>
      <c r="V597" t="s">
        <v>90</v>
      </c>
      <c r="W597">
        <v>0</v>
      </c>
      <c r="X597" t="s">
        <v>90</v>
      </c>
      <c r="Y597">
        <v>0</v>
      </c>
      <c r="Z597">
        <v>1.3485751568560698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L597">
        <v>0.2172</v>
      </c>
      <c r="AN597" t="s">
        <v>185</v>
      </c>
      <c r="AO597" t="s">
        <v>73</v>
      </c>
      <c r="AP597">
        <v>200000</v>
      </c>
      <c r="AQ597" t="s">
        <v>73</v>
      </c>
      <c r="AS597">
        <v>10000</v>
      </c>
      <c r="AT597" t="s">
        <v>4404</v>
      </c>
      <c r="AU597" t="s">
        <v>75</v>
      </c>
      <c r="AV597" t="s">
        <v>76</v>
      </c>
    </row>
    <row r="598" spans="1:48" x14ac:dyDescent="0.15">
      <c r="A598" s="4" t="str">
        <f>HYPERLINK("https://ibp.a2mac1.com/costing(costing:projects/details/9760/assembly/8414780)","Lower storage")</f>
        <v>Lower storage</v>
      </c>
      <c r="B598">
        <v>8414780</v>
      </c>
      <c r="D598">
        <v>8414735</v>
      </c>
      <c r="F598">
        <v>1</v>
      </c>
      <c r="G598">
        <v>0</v>
      </c>
      <c r="H598">
        <v>5.0226568345776315</v>
      </c>
      <c r="I598">
        <v>0</v>
      </c>
      <c r="J598" t="s">
        <v>90</v>
      </c>
      <c r="K598">
        <v>0</v>
      </c>
      <c r="L598">
        <v>5.0226568345776315</v>
      </c>
      <c r="M598">
        <v>0</v>
      </c>
      <c r="N598">
        <v>0</v>
      </c>
      <c r="O598">
        <v>5.0226568345776315</v>
      </c>
      <c r="P598" t="s">
        <v>90</v>
      </c>
      <c r="Q598">
        <v>0</v>
      </c>
      <c r="R598" t="s">
        <v>90</v>
      </c>
      <c r="S598">
        <v>0</v>
      </c>
      <c r="T598" t="s">
        <v>90</v>
      </c>
      <c r="U598">
        <v>0</v>
      </c>
      <c r="V598" t="s">
        <v>90</v>
      </c>
      <c r="W598">
        <v>0</v>
      </c>
      <c r="X598" t="s">
        <v>90</v>
      </c>
      <c r="Y598">
        <v>0</v>
      </c>
      <c r="Z598">
        <v>5.0226568345776315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L598">
        <v>0.89600000000000002</v>
      </c>
      <c r="AN598" t="s">
        <v>185</v>
      </c>
      <c r="AO598" t="s">
        <v>73</v>
      </c>
      <c r="AP598">
        <v>200000</v>
      </c>
      <c r="AQ598" t="s">
        <v>73</v>
      </c>
      <c r="AS598">
        <v>10000</v>
      </c>
      <c r="AT598" t="s">
        <v>4422</v>
      </c>
      <c r="AU598" t="s">
        <v>75</v>
      </c>
      <c r="AV598" t="s">
        <v>76</v>
      </c>
    </row>
    <row r="599" spans="1:48" x14ac:dyDescent="0.15">
      <c r="A599" s="4" t="str">
        <f>HYPERLINK("https://ibp.a2mac1.com/costing(costing:projects/details/9760/assembly/8414781)","Air Vent System")</f>
        <v>Air Vent System</v>
      </c>
      <c r="B599">
        <v>8414781</v>
      </c>
      <c r="D599">
        <v>8414735</v>
      </c>
      <c r="F599">
        <v>1</v>
      </c>
      <c r="G599">
        <v>0</v>
      </c>
      <c r="H599">
        <v>2.1418289474896488</v>
      </c>
      <c r="I599">
        <v>0</v>
      </c>
      <c r="J599" t="s">
        <v>90</v>
      </c>
      <c r="K599">
        <v>0</v>
      </c>
      <c r="L599">
        <v>2.1418289474896488</v>
      </c>
      <c r="M599">
        <v>0</v>
      </c>
      <c r="N599">
        <v>0</v>
      </c>
      <c r="O599">
        <v>2.1418289474896488</v>
      </c>
      <c r="P599" t="s">
        <v>90</v>
      </c>
      <c r="Q599">
        <v>0</v>
      </c>
      <c r="R599" t="s">
        <v>90</v>
      </c>
      <c r="S599">
        <v>0</v>
      </c>
      <c r="T599" t="s">
        <v>90</v>
      </c>
      <c r="U599">
        <v>0</v>
      </c>
      <c r="V599" t="s">
        <v>90</v>
      </c>
      <c r="W599">
        <v>0</v>
      </c>
      <c r="X599" t="s">
        <v>90</v>
      </c>
      <c r="Y599">
        <v>0</v>
      </c>
      <c r="Z599">
        <v>2.1418289474896488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L599">
        <v>0.33300000000000002</v>
      </c>
      <c r="AN599" t="s">
        <v>185</v>
      </c>
      <c r="AO599" t="s">
        <v>73</v>
      </c>
      <c r="AP599">
        <v>200000</v>
      </c>
      <c r="AQ599" t="s">
        <v>73</v>
      </c>
      <c r="AS599">
        <v>10000</v>
      </c>
      <c r="AT599" t="s">
        <v>4440</v>
      </c>
      <c r="AU599" t="s">
        <v>75</v>
      </c>
      <c r="AV599" t="s">
        <v>76</v>
      </c>
    </row>
    <row r="600" spans="1:48" x14ac:dyDescent="0.15">
      <c r="A600" s="4" t="str">
        <f>HYPERLINK("https://ibp.a2mac1.com/costing(costing:projects/details/9760/assembly/8414894)","Front Cup Holder")</f>
        <v>Front Cup Holder</v>
      </c>
      <c r="B600">
        <v>8414894</v>
      </c>
      <c r="D600">
        <v>8414782</v>
      </c>
      <c r="F600">
        <v>1</v>
      </c>
      <c r="G600">
        <v>0</v>
      </c>
      <c r="H600">
        <v>2.4055570732981066</v>
      </c>
      <c r="I600">
        <v>0</v>
      </c>
      <c r="J600" t="s">
        <v>90</v>
      </c>
      <c r="K600">
        <v>0</v>
      </c>
      <c r="L600">
        <v>2.4055570732981066</v>
      </c>
      <c r="M600">
        <v>0</v>
      </c>
      <c r="N600">
        <v>0</v>
      </c>
      <c r="O600">
        <v>2.4055570732981066</v>
      </c>
      <c r="P600" t="s">
        <v>90</v>
      </c>
      <c r="Q600">
        <v>0</v>
      </c>
      <c r="R600" t="s">
        <v>90</v>
      </c>
      <c r="S600">
        <v>0</v>
      </c>
      <c r="T600" t="s">
        <v>90</v>
      </c>
      <c r="U600">
        <v>0</v>
      </c>
      <c r="V600" t="s">
        <v>90</v>
      </c>
      <c r="W600">
        <v>0</v>
      </c>
      <c r="X600" t="s">
        <v>90</v>
      </c>
      <c r="Y600">
        <v>0</v>
      </c>
      <c r="Z600">
        <v>2.4055570732981066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L600">
        <v>0.25590000000000002</v>
      </c>
      <c r="AN600" t="s">
        <v>185</v>
      </c>
      <c r="AO600" t="s">
        <v>73</v>
      </c>
      <c r="AP600">
        <v>200000</v>
      </c>
      <c r="AQ600" t="s">
        <v>73</v>
      </c>
      <c r="AS600">
        <v>10000</v>
      </c>
      <c r="AT600" t="s">
        <v>4458</v>
      </c>
      <c r="AU600" t="s">
        <v>75</v>
      </c>
      <c r="AV600" t="s">
        <v>76</v>
      </c>
    </row>
    <row r="601" spans="1:48" x14ac:dyDescent="0.15">
      <c r="A601" s="4" t="str">
        <f>HYPERLINK("https://ibp.a2mac1.com/costing(costing:projects/details/9760/assembly/8414782)","Cup Holder")</f>
        <v>Cup Holder</v>
      </c>
      <c r="B601">
        <v>8414782</v>
      </c>
      <c r="D601">
        <v>8414735</v>
      </c>
      <c r="F601">
        <v>1</v>
      </c>
      <c r="G601">
        <v>0</v>
      </c>
      <c r="H601">
        <v>2.4055570732981066</v>
      </c>
      <c r="I601">
        <v>0</v>
      </c>
      <c r="J601" t="s">
        <v>90</v>
      </c>
      <c r="K601">
        <v>0</v>
      </c>
      <c r="L601">
        <v>2.4055570732981066</v>
      </c>
      <c r="M601">
        <v>0</v>
      </c>
      <c r="N601">
        <v>0</v>
      </c>
      <c r="O601">
        <v>2.4055570732981066</v>
      </c>
      <c r="P601" t="s">
        <v>90</v>
      </c>
      <c r="Q601">
        <v>0</v>
      </c>
      <c r="R601" t="s">
        <v>90</v>
      </c>
      <c r="S601">
        <v>0</v>
      </c>
      <c r="T601" t="s">
        <v>90</v>
      </c>
      <c r="U601">
        <v>0</v>
      </c>
      <c r="V601" t="s">
        <v>90</v>
      </c>
      <c r="W601">
        <v>0</v>
      </c>
      <c r="X601" t="s">
        <v>90</v>
      </c>
      <c r="Y601">
        <v>0</v>
      </c>
      <c r="Z601">
        <v>2.4055570732981066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L601">
        <v>0.25590000000000002</v>
      </c>
      <c r="AN601" t="s">
        <v>185</v>
      </c>
      <c r="AO601" t="s">
        <v>73</v>
      </c>
      <c r="AP601">
        <v>200000</v>
      </c>
      <c r="AQ601" t="s">
        <v>73</v>
      </c>
      <c r="AS601">
        <v>10000</v>
      </c>
      <c r="AT601" t="s">
        <v>4459</v>
      </c>
      <c r="AU601" t="s">
        <v>75</v>
      </c>
      <c r="AV601" t="s">
        <v>76</v>
      </c>
    </row>
    <row r="602" spans="1:48" x14ac:dyDescent="0.15">
      <c r="A602" s="4" t="str">
        <f>HYPERLINK("https://ibp.a2mac1.com/costing(costing:projects/details/9760/assembly/8414783)","Ambience light system")</f>
        <v>Ambience light system</v>
      </c>
      <c r="B602">
        <v>8414783</v>
      </c>
      <c r="D602">
        <v>8414735</v>
      </c>
      <c r="F602">
        <v>1</v>
      </c>
      <c r="G602">
        <v>0</v>
      </c>
      <c r="H602">
        <v>4.9360400000000002</v>
      </c>
      <c r="I602">
        <v>0</v>
      </c>
      <c r="J602" t="s">
        <v>90</v>
      </c>
      <c r="K602">
        <v>0</v>
      </c>
      <c r="L602">
        <v>4.9360400000000002</v>
      </c>
      <c r="M602">
        <v>0</v>
      </c>
      <c r="N602">
        <v>0</v>
      </c>
      <c r="O602">
        <v>4.9360400000000002</v>
      </c>
      <c r="P602" t="s">
        <v>90</v>
      </c>
      <c r="Q602">
        <v>0</v>
      </c>
      <c r="R602" t="s">
        <v>90</v>
      </c>
      <c r="S602">
        <v>0</v>
      </c>
      <c r="T602" t="s">
        <v>90</v>
      </c>
      <c r="U602">
        <v>0</v>
      </c>
      <c r="V602" t="s">
        <v>90</v>
      </c>
      <c r="W602">
        <v>0</v>
      </c>
      <c r="X602" t="s">
        <v>90</v>
      </c>
      <c r="Y602">
        <v>0</v>
      </c>
      <c r="Z602">
        <v>4.9360400000000002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L602">
        <v>0.128</v>
      </c>
      <c r="AN602" t="s">
        <v>185</v>
      </c>
      <c r="AO602" t="s">
        <v>73</v>
      </c>
      <c r="AP602">
        <v>200000</v>
      </c>
      <c r="AQ602" t="s">
        <v>73</v>
      </c>
      <c r="AS602">
        <v>10000</v>
      </c>
      <c r="AT602" t="s">
        <v>4465</v>
      </c>
      <c r="AU602" t="s">
        <v>75</v>
      </c>
      <c r="AV602" t="s">
        <v>76</v>
      </c>
    </row>
    <row r="603" spans="1:48" x14ac:dyDescent="0.15">
      <c r="A603" s="4" t="str">
        <f>HYPERLINK("https://ibp.a2mac1.com/costing(costing:projects/details/9760/assembly/8414917)","Main Housing")</f>
        <v>Main Housing</v>
      </c>
      <c r="B603">
        <v>8414917</v>
      </c>
      <c r="D603">
        <v>8414784</v>
      </c>
      <c r="F603">
        <v>1</v>
      </c>
      <c r="G603">
        <v>0</v>
      </c>
      <c r="H603">
        <v>10.052268985402362</v>
      </c>
      <c r="I603">
        <v>5.0513914499509358E-2</v>
      </c>
      <c r="J603" t="s">
        <v>176</v>
      </c>
      <c r="K603">
        <v>0.35182941448908267</v>
      </c>
      <c r="L603">
        <v>10.454612314390955</v>
      </c>
      <c r="M603">
        <v>0</v>
      </c>
      <c r="N603">
        <v>0.43600883894830411</v>
      </c>
      <c r="O603">
        <v>10.890621153339259</v>
      </c>
      <c r="P603" t="s">
        <v>90</v>
      </c>
      <c r="Q603">
        <v>0</v>
      </c>
      <c r="R603" t="s">
        <v>90</v>
      </c>
      <c r="S603">
        <v>0</v>
      </c>
      <c r="T603" t="s">
        <v>90</v>
      </c>
      <c r="U603">
        <v>0</v>
      </c>
      <c r="V603" t="s">
        <v>90</v>
      </c>
      <c r="W603">
        <v>0</v>
      </c>
      <c r="X603" t="s">
        <v>90</v>
      </c>
      <c r="Y603">
        <v>0</v>
      </c>
      <c r="Z603">
        <v>10.890621153339259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380</v>
      </c>
      <c r="AI603">
        <v>201</v>
      </c>
      <c r="AJ603">
        <v>278</v>
      </c>
      <c r="AL603">
        <v>1.7729999999999999</v>
      </c>
      <c r="AN603" t="s">
        <v>740</v>
      </c>
      <c r="AO603" t="s">
        <v>73</v>
      </c>
      <c r="AP603">
        <v>200000</v>
      </c>
      <c r="AQ603" t="s">
        <v>73</v>
      </c>
      <c r="AS603">
        <v>10000</v>
      </c>
      <c r="AT603" t="s">
        <v>4470</v>
      </c>
      <c r="AU603" t="s">
        <v>75</v>
      </c>
      <c r="AV603" t="s">
        <v>76</v>
      </c>
    </row>
    <row r="604" spans="1:48" x14ac:dyDescent="0.15">
      <c r="A604" s="4" t="str">
        <f>HYPERLINK("https://ibp.a2mac1.com/costing(costing:projects/details/9760/assembly/8414784)","Refrigerated Compartment")</f>
        <v>Refrigerated Compartment</v>
      </c>
      <c r="B604">
        <v>8414784</v>
      </c>
      <c r="D604">
        <v>8414735</v>
      </c>
      <c r="F604">
        <v>1</v>
      </c>
      <c r="G604">
        <v>0</v>
      </c>
      <c r="H604">
        <v>45.050771077806672</v>
      </c>
      <c r="I604">
        <v>0</v>
      </c>
      <c r="J604" t="s">
        <v>90</v>
      </c>
      <c r="K604">
        <v>0</v>
      </c>
      <c r="L604">
        <v>45.050771077806672</v>
      </c>
      <c r="M604">
        <v>0</v>
      </c>
      <c r="N604">
        <v>0</v>
      </c>
      <c r="O604">
        <v>45.050771077806672</v>
      </c>
      <c r="P604" t="s">
        <v>90</v>
      </c>
      <c r="Q604">
        <v>0</v>
      </c>
      <c r="R604" t="s">
        <v>90</v>
      </c>
      <c r="S604">
        <v>0</v>
      </c>
      <c r="T604" t="s">
        <v>90</v>
      </c>
      <c r="U604">
        <v>0</v>
      </c>
      <c r="V604" t="s">
        <v>90</v>
      </c>
      <c r="W604">
        <v>0</v>
      </c>
      <c r="X604" t="s">
        <v>90</v>
      </c>
      <c r="Y604">
        <v>0</v>
      </c>
      <c r="Z604">
        <v>45.050771077806672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L604">
        <v>5.5910000000000002</v>
      </c>
      <c r="AN604" t="s">
        <v>185</v>
      </c>
      <c r="AO604" t="s">
        <v>73</v>
      </c>
      <c r="AP604">
        <v>200000</v>
      </c>
      <c r="AQ604" t="s">
        <v>73</v>
      </c>
      <c r="AS604">
        <v>10000</v>
      </c>
      <c r="AT604" t="s">
        <v>4577</v>
      </c>
      <c r="AU604" t="s">
        <v>75</v>
      </c>
      <c r="AV604" t="s">
        <v>76</v>
      </c>
    </row>
    <row r="605" spans="1:48" x14ac:dyDescent="0.15">
      <c r="A605" s="4" t="str">
        <f>HYPERLINK("https://ibp.a2mac1.com/costing(costing:projects/details/9760/assembly/8414735)","Center Console")</f>
        <v>Center Console</v>
      </c>
      <c r="B605">
        <v>8414735</v>
      </c>
      <c r="D605">
        <v>8414732</v>
      </c>
      <c r="F605">
        <v>1</v>
      </c>
      <c r="G605">
        <v>0</v>
      </c>
      <c r="H605">
        <v>102.83849657504527</v>
      </c>
      <c r="I605">
        <v>0.5167763646987199</v>
      </c>
      <c r="J605" t="s">
        <v>176</v>
      </c>
      <c r="K605">
        <v>3.5993473801265843</v>
      </c>
      <c r="L605">
        <v>106.95462031987057</v>
      </c>
      <c r="M605">
        <v>0</v>
      </c>
      <c r="N605">
        <v>0</v>
      </c>
      <c r="O605">
        <v>106.95462031987057</v>
      </c>
      <c r="P605" t="s">
        <v>177</v>
      </c>
      <c r="Q605">
        <v>6.4172772191922345</v>
      </c>
      <c r="R605" t="s">
        <v>177</v>
      </c>
      <c r="S605">
        <v>0</v>
      </c>
      <c r="T605" t="s">
        <v>178</v>
      </c>
      <c r="U605">
        <v>12.834554438384469</v>
      </c>
      <c r="V605" t="s">
        <v>90</v>
      </c>
      <c r="W605">
        <v>0</v>
      </c>
      <c r="X605" t="s">
        <v>90</v>
      </c>
      <c r="Y605">
        <v>0</v>
      </c>
      <c r="Z605">
        <v>126.20645197744727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1375</v>
      </c>
      <c r="AI605">
        <v>435</v>
      </c>
      <c r="AJ605">
        <v>425</v>
      </c>
      <c r="AL605">
        <v>15.629899999999999</v>
      </c>
      <c r="AN605" t="s">
        <v>772</v>
      </c>
      <c r="AO605" t="s">
        <v>73</v>
      </c>
      <c r="AP605">
        <v>200000</v>
      </c>
      <c r="AQ605" t="s">
        <v>97</v>
      </c>
      <c r="AS605">
        <v>10000</v>
      </c>
      <c r="AT605" t="s">
        <v>4606</v>
      </c>
      <c r="AU605" t="s">
        <v>75</v>
      </c>
      <c r="AV605" t="s">
        <v>76</v>
      </c>
    </row>
    <row r="606" spans="1:48" x14ac:dyDescent="0.15">
      <c r="A606" s="4" t="str">
        <f>HYPERLINK("https://ibp.a2mac1.com/costing(costing:projects/details/9760/assembly/8414785)","Headliner Filler")</f>
        <v>Headliner Filler</v>
      </c>
      <c r="B606">
        <v>8414785</v>
      </c>
      <c r="D606">
        <v>8414736</v>
      </c>
      <c r="F606">
        <v>1</v>
      </c>
      <c r="G606">
        <v>0</v>
      </c>
      <c r="H606">
        <v>65.900849988324993</v>
      </c>
      <c r="I606">
        <v>0</v>
      </c>
      <c r="J606" t="s">
        <v>90</v>
      </c>
      <c r="K606">
        <v>0</v>
      </c>
      <c r="L606">
        <v>65.900849988324993</v>
      </c>
      <c r="M606">
        <v>0</v>
      </c>
      <c r="N606">
        <v>0</v>
      </c>
      <c r="O606">
        <v>65.900849988324993</v>
      </c>
      <c r="P606" t="s">
        <v>90</v>
      </c>
      <c r="Q606">
        <v>0</v>
      </c>
      <c r="R606" t="s">
        <v>90</v>
      </c>
      <c r="S606">
        <v>0</v>
      </c>
      <c r="T606" t="s">
        <v>90</v>
      </c>
      <c r="U606">
        <v>0</v>
      </c>
      <c r="V606" t="s">
        <v>90</v>
      </c>
      <c r="W606">
        <v>0</v>
      </c>
      <c r="X606" t="s">
        <v>90</v>
      </c>
      <c r="Y606">
        <v>0</v>
      </c>
      <c r="Z606">
        <v>65.900849988324993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1785</v>
      </c>
      <c r="AI606">
        <v>1378</v>
      </c>
      <c r="AJ606">
        <v>195</v>
      </c>
      <c r="AL606">
        <v>2.7440000000000002</v>
      </c>
      <c r="AN606" t="s">
        <v>185</v>
      </c>
      <c r="AO606" t="s">
        <v>73</v>
      </c>
      <c r="AP606">
        <v>200000</v>
      </c>
      <c r="AQ606" t="s">
        <v>73</v>
      </c>
      <c r="AS606">
        <v>10000</v>
      </c>
      <c r="AT606" t="s">
        <v>4614</v>
      </c>
      <c r="AU606" t="s">
        <v>75</v>
      </c>
      <c r="AV606" t="s">
        <v>76</v>
      </c>
    </row>
    <row r="607" spans="1:48" x14ac:dyDescent="0.15">
      <c r="A607" s="4" t="str">
        <f>HYPERLINK("https://ibp.a2mac1.com/costing(costing:projects/details/9760/assembly/8414928)","Sun Visors")</f>
        <v>Sun Visors</v>
      </c>
      <c r="B607">
        <v>8414928</v>
      </c>
      <c r="D607">
        <v>8414786</v>
      </c>
      <c r="F607">
        <v>1</v>
      </c>
      <c r="G607">
        <v>0</v>
      </c>
      <c r="H607">
        <v>36.986865327948514</v>
      </c>
      <c r="I607">
        <v>0</v>
      </c>
      <c r="J607" t="s">
        <v>90</v>
      </c>
      <c r="K607">
        <v>0</v>
      </c>
      <c r="L607">
        <v>36.986865327948514</v>
      </c>
      <c r="M607">
        <v>0</v>
      </c>
      <c r="N607">
        <v>0</v>
      </c>
      <c r="O607">
        <v>36.986865327948514</v>
      </c>
      <c r="P607" t="s">
        <v>90</v>
      </c>
      <c r="Q607">
        <v>0</v>
      </c>
      <c r="R607" t="s">
        <v>90</v>
      </c>
      <c r="S607">
        <v>0</v>
      </c>
      <c r="T607" t="s">
        <v>90</v>
      </c>
      <c r="U607">
        <v>0</v>
      </c>
      <c r="V607" t="s">
        <v>90</v>
      </c>
      <c r="W607">
        <v>0</v>
      </c>
      <c r="X607" t="s">
        <v>90</v>
      </c>
      <c r="Y607">
        <v>0</v>
      </c>
      <c r="Z607">
        <v>36.986865327948514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L607">
        <v>1.2929999999999999</v>
      </c>
      <c r="AN607" t="s">
        <v>185</v>
      </c>
      <c r="AO607" t="s">
        <v>73</v>
      </c>
      <c r="AP607">
        <v>200000</v>
      </c>
      <c r="AQ607" t="s">
        <v>73</v>
      </c>
      <c r="AS607">
        <v>10000</v>
      </c>
      <c r="AT607" t="s">
        <v>4627</v>
      </c>
      <c r="AU607" t="s">
        <v>75</v>
      </c>
      <c r="AV607" t="s">
        <v>76</v>
      </c>
    </row>
    <row r="608" spans="1:48" x14ac:dyDescent="0.15">
      <c r="A608" s="4" t="str">
        <f>HYPERLINK("https://ibp.a2mac1.com/costing(costing:projects/details/9760/assembly/8414929)","Side Upper Handle")</f>
        <v>Side Upper Handle</v>
      </c>
      <c r="B608">
        <v>8414929</v>
      </c>
      <c r="D608">
        <v>8414786</v>
      </c>
      <c r="F608">
        <v>1</v>
      </c>
      <c r="G608">
        <v>0</v>
      </c>
      <c r="H608">
        <v>4.9991717958891364</v>
      </c>
      <c r="I608">
        <v>0</v>
      </c>
      <c r="J608" t="s">
        <v>90</v>
      </c>
      <c r="K608">
        <v>0</v>
      </c>
      <c r="L608">
        <v>4.9991717958891364</v>
      </c>
      <c r="M608">
        <v>0</v>
      </c>
      <c r="N608">
        <v>0</v>
      </c>
      <c r="O608">
        <v>4.9991717958891364</v>
      </c>
      <c r="P608" t="s">
        <v>90</v>
      </c>
      <c r="Q608">
        <v>0</v>
      </c>
      <c r="R608" t="s">
        <v>90</v>
      </c>
      <c r="S608">
        <v>0</v>
      </c>
      <c r="T608" t="s">
        <v>90</v>
      </c>
      <c r="U608">
        <v>0</v>
      </c>
      <c r="V608" t="s">
        <v>90</v>
      </c>
      <c r="W608">
        <v>0</v>
      </c>
      <c r="X608" t="s">
        <v>90</v>
      </c>
      <c r="Y608">
        <v>0</v>
      </c>
      <c r="Z608">
        <v>4.9991717958891364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L608">
        <v>0.67979999999999996</v>
      </c>
      <c r="AN608" t="s">
        <v>185</v>
      </c>
      <c r="AO608" t="s">
        <v>73</v>
      </c>
      <c r="AP608">
        <v>200000</v>
      </c>
      <c r="AQ608" t="s">
        <v>73</v>
      </c>
      <c r="AS608">
        <v>10000</v>
      </c>
      <c r="AT608" t="s">
        <v>4643</v>
      </c>
      <c r="AU608" t="s">
        <v>75</v>
      </c>
      <c r="AV608" t="s">
        <v>76</v>
      </c>
    </row>
    <row r="609" spans="1:48" x14ac:dyDescent="0.15">
      <c r="A609" s="4" t="str">
        <f>HYPERLINK("https://ibp.a2mac1.com/costing(costing:projects/details/9760/assembly/8415027)","Front")</f>
        <v>Front</v>
      </c>
      <c r="B609">
        <v>8415027</v>
      </c>
      <c r="D609">
        <v>8414930</v>
      </c>
      <c r="F609">
        <v>1</v>
      </c>
      <c r="G609">
        <v>0</v>
      </c>
      <c r="H609">
        <v>4.2491971498982837</v>
      </c>
      <c r="I609">
        <v>2.1352749496976301E-2</v>
      </c>
      <c r="J609" t="s">
        <v>176</v>
      </c>
      <c r="K609">
        <v>0.14872190024643994</v>
      </c>
      <c r="L609">
        <v>4.4192717996417006</v>
      </c>
      <c r="M609">
        <v>0</v>
      </c>
      <c r="N609">
        <v>0.22026478799356505</v>
      </c>
      <c r="O609">
        <v>4.6395365876352654</v>
      </c>
      <c r="P609" t="s">
        <v>177</v>
      </c>
      <c r="Q609">
        <v>0.26515630797850198</v>
      </c>
      <c r="R609" t="s">
        <v>177</v>
      </c>
      <c r="S609">
        <v>1.3215887279613904E-2</v>
      </c>
      <c r="T609" t="s">
        <v>178</v>
      </c>
      <c r="U609">
        <v>0.55674439051623181</v>
      </c>
      <c r="V609" t="s">
        <v>90</v>
      </c>
      <c r="W609">
        <v>0</v>
      </c>
      <c r="X609" t="s">
        <v>90</v>
      </c>
      <c r="Y609">
        <v>0</v>
      </c>
      <c r="Z609">
        <v>5.4746531734096129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52</v>
      </c>
      <c r="AI609">
        <v>223</v>
      </c>
      <c r="AJ609">
        <v>105</v>
      </c>
      <c r="AL609">
        <v>0.22700000000000001</v>
      </c>
      <c r="AN609" t="s">
        <v>365</v>
      </c>
      <c r="AO609" t="s">
        <v>73</v>
      </c>
      <c r="AP609">
        <v>200000</v>
      </c>
      <c r="AQ609" t="s">
        <v>97</v>
      </c>
      <c r="AS609">
        <v>10000</v>
      </c>
      <c r="AT609" t="s">
        <v>4647</v>
      </c>
      <c r="AU609" t="s">
        <v>75</v>
      </c>
      <c r="AV609" t="s">
        <v>76</v>
      </c>
    </row>
    <row r="610" spans="1:48" x14ac:dyDescent="0.15">
      <c r="A610" s="4" t="str">
        <f>HYPERLINK("https://ibp.a2mac1.com/costing(costing:projects/details/9760/assembly/8414930)","Reading Light")</f>
        <v>Reading Light</v>
      </c>
      <c r="B610">
        <v>8414930</v>
      </c>
      <c r="D610">
        <v>8414786</v>
      </c>
      <c r="F610">
        <v>1</v>
      </c>
      <c r="G610">
        <v>0</v>
      </c>
      <c r="H610">
        <v>10.593653173409614</v>
      </c>
      <c r="I610">
        <v>0</v>
      </c>
      <c r="J610" t="s">
        <v>90</v>
      </c>
      <c r="K610">
        <v>0</v>
      </c>
      <c r="L610">
        <v>10.593653173409614</v>
      </c>
      <c r="M610">
        <v>0</v>
      </c>
      <c r="N610">
        <v>0</v>
      </c>
      <c r="O610">
        <v>10.593653173409614</v>
      </c>
      <c r="P610" t="s">
        <v>90</v>
      </c>
      <c r="Q610">
        <v>0</v>
      </c>
      <c r="R610" t="s">
        <v>90</v>
      </c>
      <c r="S610">
        <v>0</v>
      </c>
      <c r="T610" t="s">
        <v>90</v>
      </c>
      <c r="U610">
        <v>0</v>
      </c>
      <c r="V610" t="s">
        <v>90</v>
      </c>
      <c r="W610">
        <v>0</v>
      </c>
      <c r="X610" t="s">
        <v>90</v>
      </c>
      <c r="Y610">
        <v>0</v>
      </c>
      <c r="Z610">
        <v>10.593653173409614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L610">
        <v>0.33300000000000002</v>
      </c>
      <c r="AN610" t="s">
        <v>185</v>
      </c>
      <c r="AO610" t="s">
        <v>73</v>
      </c>
      <c r="AP610">
        <v>200000</v>
      </c>
      <c r="AQ610" t="s">
        <v>73</v>
      </c>
      <c r="AS610">
        <v>10000</v>
      </c>
      <c r="AT610" t="s">
        <v>4649</v>
      </c>
      <c r="AU610" t="s">
        <v>75</v>
      </c>
      <c r="AV610" t="s">
        <v>76</v>
      </c>
    </row>
    <row r="611" spans="1:48" x14ac:dyDescent="0.15">
      <c r="A611" s="4" t="str">
        <f>HYPERLINK("https://ibp.a2mac1.com/costing(costing:projects/details/9760/assembly/8414786)","Roof Elements")</f>
        <v>Roof Elements</v>
      </c>
      <c r="B611">
        <v>8414786</v>
      </c>
      <c r="D611">
        <v>8414736</v>
      </c>
      <c r="F611">
        <v>1</v>
      </c>
      <c r="G611">
        <v>0</v>
      </c>
      <c r="H611">
        <v>55.91003908006428</v>
      </c>
      <c r="I611">
        <v>0</v>
      </c>
      <c r="J611" t="s">
        <v>90</v>
      </c>
      <c r="K611">
        <v>0</v>
      </c>
      <c r="L611">
        <v>55.91003908006428</v>
      </c>
      <c r="M611">
        <v>0</v>
      </c>
      <c r="N611">
        <v>0</v>
      </c>
      <c r="O611">
        <v>55.91003908006428</v>
      </c>
      <c r="P611" t="s">
        <v>90</v>
      </c>
      <c r="Q611">
        <v>0</v>
      </c>
      <c r="R611" t="s">
        <v>90</v>
      </c>
      <c r="S611">
        <v>0</v>
      </c>
      <c r="T611" t="s">
        <v>90</v>
      </c>
      <c r="U611">
        <v>0</v>
      </c>
      <c r="V611" t="s">
        <v>90</v>
      </c>
      <c r="W611">
        <v>0</v>
      </c>
      <c r="X611" t="s">
        <v>90</v>
      </c>
      <c r="Y611">
        <v>0</v>
      </c>
      <c r="Z611">
        <v>55.91003908006428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L611">
        <v>2.3348</v>
      </c>
      <c r="AN611" t="s">
        <v>185</v>
      </c>
      <c r="AO611" t="s">
        <v>73</v>
      </c>
      <c r="AP611">
        <v>200000</v>
      </c>
      <c r="AQ611" t="s">
        <v>73</v>
      </c>
      <c r="AS611">
        <v>10000</v>
      </c>
      <c r="AT611" t="s">
        <v>4655</v>
      </c>
      <c r="AU611" t="s">
        <v>75</v>
      </c>
      <c r="AV611" t="s">
        <v>76</v>
      </c>
    </row>
    <row r="612" spans="1:48" x14ac:dyDescent="0.15">
      <c r="A612" s="4" t="str">
        <f>HYPERLINK("https://ibp.a2mac1.com/costing(costing:projects/details/9760/assembly/8415040)","Door Step Inner Panel")</f>
        <v>Door Step Inner Panel</v>
      </c>
      <c r="B612">
        <v>8415040</v>
      </c>
      <c r="D612">
        <v>8414931</v>
      </c>
      <c r="F612">
        <v>1</v>
      </c>
      <c r="G612">
        <v>0</v>
      </c>
      <c r="H612">
        <v>0.97441463028753106</v>
      </c>
      <c r="I612">
        <v>0</v>
      </c>
      <c r="J612" t="s">
        <v>90</v>
      </c>
      <c r="K612">
        <v>0</v>
      </c>
      <c r="L612">
        <v>0.97441463028753106</v>
      </c>
      <c r="M612">
        <v>0</v>
      </c>
      <c r="N612">
        <v>0</v>
      </c>
      <c r="O612">
        <v>0.97441463028753106</v>
      </c>
      <c r="P612" t="s">
        <v>90</v>
      </c>
      <c r="Q612">
        <v>0</v>
      </c>
      <c r="R612" t="s">
        <v>90</v>
      </c>
      <c r="S612">
        <v>0</v>
      </c>
      <c r="T612" t="s">
        <v>90</v>
      </c>
      <c r="U612">
        <v>0</v>
      </c>
      <c r="V612" t="s">
        <v>90</v>
      </c>
      <c r="W612">
        <v>0</v>
      </c>
      <c r="X612" t="s">
        <v>90</v>
      </c>
      <c r="Y612">
        <v>0</v>
      </c>
      <c r="Z612">
        <v>0.97441463028753106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L612">
        <v>0.24099999999999999</v>
      </c>
      <c r="AN612" t="s">
        <v>185</v>
      </c>
      <c r="AO612" t="s">
        <v>73</v>
      </c>
      <c r="AP612">
        <v>200000</v>
      </c>
      <c r="AQ612" t="s">
        <v>73</v>
      </c>
      <c r="AS612">
        <v>10000</v>
      </c>
      <c r="AT612" t="s">
        <v>4664</v>
      </c>
      <c r="AU612" t="s">
        <v>75</v>
      </c>
      <c r="AV612" t="s">
        <v>76</v>
      </c>
    </row>
    <row r="613" spans="1:48" x14ac:dyDescent="0.15">
      <c r="A613" s="4" t="str">
        <f>HYPERLINK("https://ibp.a2mac1.com/costing(costing:projects/details/9760/assembly/8414931)","Left Side")</f>
        <v>Left Side</v>
      </c>
      <c r="B613">
        <v>8414931</v>
      </c>
      <c r="D613">
        <v>8414787</v>
      </c>
      <c r="F613">
        <v>1</v>
      </c>
      <c r="G613">
        <v>0</v>
      </c>
      <c r="H613">
        <v>24.376875957941909</v>
      </c>
      <c r="I613">
        <v>0</v>
      </c>
      <c r="J613" t="s">
        <v>90</v>
      </c>
      <c r="K613">
        <v>0</v>
      </c>
      <c r="L613">
        <v>24.376875957941909</v>
      </c>
      <c r="M613">
        <v>0</v>
      </c>
      <c r="N613">
        <v>0</v>
      </c>
      <c r="O613">
        <v>24.376875957941909</v>
      </c>
      <c r="P613" t="s">
        <v>90</v>
      </c>
      <c r="Q613">
        <v>0</v>
      </c>
      <c r="R613" t="s">
        <v>90</v>
      </c>
      <c r="S613">
        <v>0</v>
      </c>
      <c r="T613" t="s">
        <v>90</v>
      </c>
      <c r="U613">
        <v>0</v>
      </c>
      <c r="V613" t="s">
        <v>90</v>
      </c>
      <c r="W613">
        <v>0</v>
      </c>
      <c r="X613" t="s">
        <v>90</v>
      </c>
      <c r="Y613">
        <v>0</v>
      </c>
      <c r="Z613">
        <v>24.376875957941909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L613">
        <v>4.0872999999999999</v>
      </c>
      <c r="AN613" t="s">
        <v>185</v>
      </c>
      <c r="AO613" t="s">
        <v>73</v>
      </c>
      <c r="AP613">
        <v>200000</v>
      </c>
      <c r="AQ613" t="s">
        <v>73</v>
      </c>
      <c r="AS613">
        <v>10000</v>
      </c>
      <c r="AT613" t="s">
        <v>4712</v>
      </c>
      <c r="AU613" t="s">
        <v>75</v>
      </c>
      <c r="AV613" t="s">
        <v>76</v>
      </c>
    </row>
    <row r="614" spans="1:48" x14ac:dyDescent="0.15">
      <c r="A614" s="4" t="str">
        <f>HYPERLINK("https://ibp.a2mac1.com/costing(costing:projects/details/9760/assembly/8415044)","Left Side Compartments")</f>
        <v>Left Side Compartments</v>
      </c>
      <c r="B614">
        <v>8415044</v>
      </c>
      <c r="D614">
        <v>8414932</v>
      </c>
      <c r="F614">
        <v>1</v>
      </c>
      <c r="G614">
        <v>0</v>
      </c>
      <c r="H614">
        <v>6.7884452099144141</v>
      </c>
      <c r="I614">
        <v>0</v>
      </c>
      <c r="J614" t="s">
        <v>90</v>
      </c>
      <c r="K614">
        <v>0</v>
      </c>
      <c r="L614">
        <v>6.7884452099144141</v>
      </c>
      <c r="M614">
        <v>0</v>
      </c>
      <c r="N614">
        <v>0</v>
      </c>
      <c r="O614">
        <v>6.7884452099144141</v>
      </c>
      <c r="P614" t="s">
        <v>90</v>
      </c>
      <c r="Q614">
        <v>0</v>
      </c>
      <c r="R614" t="s">
        <v>90</v>
      </c>
      <c r="S614">
        <v>0</v>
      </c>
      <c r="T614" t="s">
        <v>90</v>
      </c>
      <c r="U614">
        <v>0</v>
      </c>
      <c r="V614" t="s">
        <v>90</v>
      </c>
      <c r="W614">
        <v>0</v>
      </c>
      <c r="X614" t="s">
        <v>90</v>
      </c>
      <c r="Y614">
        <v>0</v>
      </c>
      <c r="Z614">
        <v>6.7884452099144141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L614">
        <v>1.0041</v>
      </c>
      <c r="AN614" t="s">
        <v>185</v>
      </c>
      <c r="AO614" t="s">
        <v>73</v>
      </c>
      <c r="AP614">
        <v>200000</v>
      </c>
      <c r="AQ614" t="s">
        <v>73</v>
      </c>
      <c r="AS614">
        <v>10000</v>
      </c>
      <c r="AT614" t="s">
        <v>4723</v>
      </c>
      <c r="AU614" t="s">
        <v>75</v>
      </c>
      <c r="AV614" t="s">
        <v>76</v>
      </c>
    </row>
    <row r="615" spans="1:48" x14ac:dyDescent="0.15">
      <c r="A615" s="4" t="str">
        <f>HYPERLINK("https://ibp.a2mac1.com/costing(costing:projects/details/9760/assembly/8415109)","Storage")</f>
        <v>Storage</v>
      </c>
      <c r="B615">
        <v>8415109</v>
      </c>
      <c r="D615">
        <v>8415045</v>
      </c>
      <c r="F615">
        <v>1</v>
      </c>
      <c r="G615">
        <v>0</v>
      </c>
      <c r="H615">
        <v>0.57999999999999996</v>
      </c>
      <c r="I615">
        <v>0</v>
      </c>
      <c r="J615" t="s">
        <v>90</v>
      </c>
      <c r="K615">
        <v>0</v>
      </c>
      <c r="L615">
        <v>0.57999999999999996</v>
      </c>
      <c r="M615">
        <v>0</v>
      </c>
      <c r="N615">
        <v>0</v>
      </c>
      <c r="O615">
        <v>0.57999999999999996</v>
      </c>
      <c r="P615" t="s">
        <v>90</v>
      </c>
      <c r="Q615">
        <v>0</v>
      </c>
      <c r="R615" t="s">
        <v>90</v>
      </c>
      <c r="S615">
        <v>0</v>
      </c>
      <c r="T615" t="s">
        <v>90</v>
      </c>
      <c r="U615">
        <v>0</v>
      </c>
      <c r="V615" t="s">
        <v>90</v>
      </c>
      <c r="W615">
        <v>0</v>
      </c>
      <c r="X615" t="s">
        <v>90</v>
      </c>
      <c r="Y615">
        <v>0</v>
      </c>
      <c r="Z615">
        <v>0.57999999999999996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L615">
        <v>0.108</v>
      </c>
      <c r="AN615" t="s">
        <v>185</v>
      </c>
      <c r="AO615" t="s">
        <v>73</v>
      </c>
      <c r="AP615">
        <v>200000</v>
      </c>
      <c r="AQ615" t="s">
        <v>97</v>
      </c>
      <c r="AS615">
        <v>10000</v>
      </c>
      <c r="AT615" t="s">
        <v>4728</v>
      </c>
      <c r="AU615" t="s">
        <v>75</v>
      </c>
      <c r="AV615" t="s">
        <v>76</v>
      </c>
    </row>
    <row r="616" spans="1:48" x14ac:dyDescent="0.15">
      <c r="A616" s="4" t="str">
        <f>HYPERLINK("https://ibp.a2mac1.com/costing(costing:projects/details/9760/assembly/8415045)","Right Side Compartments")</f>
        <v>Right Side Compartments</v>
      </c>
      <c r="B616">
        <v>8415045</v>
      </c>
      <c r="D616">
        <v>8414932</v>
      </c>
      <c r="F616">
        <v>1</v>
      </c>
      <c r="G616">
        <v>0</v>
      </c>
      <c r="H616">
        <v>7.0194836280829209</v>
      </c>
      <c r="I616">
        <v>0</v>
      </c>
      <c r="J616" t="s">
        <v>90</v>
      </c>
      <c r="K616">
        <v>0</v>
      </c>
      <c r="L616">
        <v>7.0194836280829209</v>
      </c>
      <c r="M616">
        <v>0</v>
      </c>
      <c r="N616">
        <v>0</v>
      </c>
      <c r="O616">
        <v>7.0194836280829209</v>
      </c>
      <c r="P616" t="s">
        <v>90</v>
      </c>
      <c r="Q616">
        <v>0</v>
      </c>
      <c r="R616" t="s">
        <v>90</v>
      </c>
      <c r="S616">
        <v>0</v>
      </c>
      <c r="T616" t="s">
        <v>90</v>
      </c>
      <c r="U616">
        <v>0</v>
      </c>
      <c r="V616" t="s">
        <v>90</v>
      </c>
      <c r="W616">
        <v>0</v>
      </c>
      <c r="X616" t="s">
        <v>90</v>
      </c>
      <c r="Y616">
        <v>0</v>
      </c>
      <c r="Z616">
        <v>7.0194836280829209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L616">
        <v>1.23</v>
      </c>
      <c r="AN616" t="s">
        <v>185</v>
      </c>
      <c r="AO616" t="s">
        <v>73</v>
      </c>
      <c r="AP616">
        <v>200000</v>
      </c>
      <c r="AQ616" t="s">
        <v>73</v>
      </c>
      <c r="AS616">
        <v>10000</v>
      </c>
      <c r="AT616" t="s">
        <v>4732</v>
      </c>
      <c r="AU616" t="s">
        <v>75</v>
      </c>
      <c r="AV616" t="s">
        <v>76</v>
      </c>
    </row>
    <row r="617" spans="1:48" x14ac:dyDescent="0.15">
      <c r="A617" s="4" t="str">
        <f>HYPERLINK("https://ibp.a2mac1.com/costing(costing:projects/details/9760/assembly/8414932)","Trunk")</f>
        <v>Trunk</v>
      </c>
      <c r="B617">
        <v>8414932</v>
      </c>
      <c r="D617">
        <v>8414787</v>
      </c>
      <c r="F617">
        <v>1</v>
      </c>
      <c r="G617">
        <v>0</v>
      </c>
      <c r="H617">
        <v>16.636925129906842</v>
      </c>
      <c r="I617">
        <v>0</v>
      </c>
      <c r="J617" t="s">
        <v>90</v>
      </c>
      <c r="K617">
        <v>0</v>
      </c>
      <c r="L617">
        <v>16.636925129906842</v>
      </c>
      <c r="M617">
        <v>0</v>
      </c>
      <c r="N617">
        <v>0</v>
      </c>
      <c r="O617">
        <v>16.636925129906842</v>
      </c>
      <c r="P617" t="s">
        <v>90</v>
      </c>
      <c r="Q617">
        <v>0</v>
      </c>
      <c r="R617" t="s">
        <v>90</v>
      </c>
      <c r="S617">
        <v>0</v>
      </c>
      <c r="T617" t="s">
        <v>90</v>
      </c>
      <c r="U617">
        <v>0</v>
      </c>
      <c r="V617" t="s">
        <v>90</v>
      </c>
      <c r="W617">
        <v>0</v>
      </c>
      <c r="X617" t="s">
        <v>90</v>
      </c>
      <c r="Y617">
        <v>0</v>
      </c>
      <c r="Z617">
        <v>16.636925129906842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L617">
        <v>3.0581</v>
      </c>
      <c r="AN617" t="s">
        <v>185</v>
      </c>
      <c r="AO617" t="s">
        <v>73</v>
      </c>
      <c r="AP617">
        <v>200000</v>
      </c>
      <c r="AQ617" t="s">
        <v>73</v>
      </c>
      <c r="AS617">
        <v>10000</v>
      </c>
      <c r="AT617" t="s">
        <v>4743</v>
      </c>
      <c r="AU617" t="s">
        <v>75</v>
      </c>
      <c r="AV617" t="s">
        <v>76</v>
      </c>
    </row>
    <row r="618" spans="1:48" x14ac:dyDescent="0.15">
      <c r="A618" s="4" t="str">
        <f>HYPERLINK("https://ibp.a2mac1.com/costing(costing:projects/details/9760/assembly/8415056)","Door Step Inner Panel")</f>
        <v>Door Step Inner Panel</v>
      </c>
      <c r="B618">
        <v>8415056</v>
      </c>
      <c r="D618">
        <v>8414933</v>
      </c>
      <c r="F618">
        <v>1</v>
      </c>
      <c r="G618">
        <v>0</v>
      </c>
      <c r="H618">
        <v>0.97441463028753106</v>
      </c>
      <c r="I618">
        <v>0</v>
      </c>
      <c r="J618" t="s">
        <v>90</v>
      </c>
      <c r="K618">
        <v>0</v>
      </c>
      <c r="L618">
        <v>0.97441463028753106</v>
      </c>
      <c r="M618">
        <v>0</v>
      </c>
      <c r="N618">
        <v>0</v>
      </c>
      <c r="O618">
        <v>0.97441463028753106</v>
      </c>
      <c r="P618" t="s">
        <v>90</v>
      </c>
      <c r="Q618">
        <v>0</v>
      </c>
      <c r="R618" t="s">
        <v>90</v>
      </c>
      <c r="S618">
        <v>0</v>
      </c>
      <c r="T618" t="s">
        <v>90</v>
      </c>
      <c r="U618">
        <v>0</v>
      </c>
      <c r="V618" t="s">
        <v>90</v>
      </c>
      <c r="W618">
        <v>0</v>
      </c>
      <c r="X618" t="s">
        <v>90</v>
      </c>
      <c r="Y618">
        <v>0</v>
      </c>
      <c r="Z618">
        <v>0.97441463028753106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L618">
        <v>0.24099999999999999</v>
      </c>
      <c r="AN618" t="s">
        <v>185</v>
      </c>
      <c r="AO618" t="s">
        <v>73</v>
      </c>
      <c r="AP618">
        <v>200000</v>
      </c>
      <c r="AQ618" t="s">
        <v>73</v>
      </c>
      <c r="AS618">
        <v>10000</v>
      </c>
      <c r="AT618" t="s">
        <v>4749</v>
      </c>
      <c r="AU618" t="s">
        <v>75</v>
      </c>
      <c r="AV618" t="s">
        <v>76</v>
      </c>
    </row>
    <row r="619" spans="1:48" x14ac:dyDescent="0.15">
      <c r="A619" s="4" t="str">
        <f>HYPERLINK("https://ibp.a2mac1.com/costing(costing:projects/details/9760/assembly/8414933)","Right Side")</f>
        <v>Right Side</v>
      </c>
      <c r="B619">
        <v>8414933</v>
      </c>
      <c r="D619">
        <v>8414787</v>
      </c>
      <c r="F619">
        <v>1</v>
      </c>
      <c r="G619">
        <v>0</v>
      </c>
      <c r="H619">
        <v>24.153275957941911</v>
      </c>
      <c r="I619">
        <v>0</v>
      </c>
      <c r="J619" t="s">
        <v>90</v>
      </c>
      <c r="K619">
        <v>0</v>
      </c>
      <c r="L619">
        <v>24.153275957941911</v>
      </c>
      <c r="M619">
        <v>0</v>
      </c>
      <c r="N619">
        <v>0</v>
      </c>
      <c r="O619">
        <v>24.153275957941911</v>
      </c>
      <c r="P619" t="s">
        <v>90</v>
      </c>
      <c r="Q619">
        <v>0</v>
      </c>
      <c r="R619" t="s">
        <v>90</v>
      </c>
      <c r="S619">
        <v>0</v>
      </c>
      <c r="T619" t="s">
        <v>90</v>
      </c>
      <c r="U619">
        <v>0</v>
      </c>
      <c r="V619" t="s">
        <v>90</v>
      </c>
      <c r="W619">
        <v>0</v>
      </c>
      <c r="X619" t="s">
        <v>90</v>
      </c>
      <c r="Y619">
        <v>0</v>
      </c>
      <c r="Z619">
        <v>24.153275957941911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L619">
        <v>4.0872999999999999</v>
      </c>
      <c r="AN619" t="s">
        <v>185</v>
      </c>
      <c r="AO619" t="s">
        <v>73</v>
      </c>
      <c r="AP619">
        <v>200000</v>
      </c>
      <c r="AQ619" t="s">
        <v>73</v>
      </c>
      <c r="AS619">
        <v>10000</v>
      </c>
      <c r="AT619" t="s">
        <v>4783</v>
      </c>
      <c r="AU619" t="s">
        <v>75</v>
      </c>
      <c r="AV619" t="s">
        <v>76</v>
      </c>
    </row>
    <row r="620" spans="1:48" x14ac:dyDescent="0.15">
      <c r="A620" s="4" t="str">
        <f>HYPERLINK("https://ibp.a2mac1.com/costing(costing:projects/details/9760/assembly/8414787)","Panels")</f>
        <v>Panels</v>
      </c>
      <c r="B620">
        <v>8414787</v>
      </c>
      <c r="D620">
        <v>8414736</v>
      </c>
      <c r="F620">
        <v>1</v>
      </c>
      <c r="G620">
        <v>0</v>
      </c>
      <c r="H620">
        <v>65.167077045790663</v>
      </c>
      <c r="I620">
        <v>0</v>
      </c>
      <c r="J620" t="s">
        <v>90</v>
      </c>
      <c r="K620">
        <v>0</v>
      </c>
      <c r="L620">
        <v>65.167077045790663</v>
      </c>
      <c r="M620">
        <v>0</v>
      </c>
      <c r="N620">
        <v>0</v>
      </c>
      <c r="O620">
        <v>65.167077045790663</v>
      </c>
      <c r="P620" t="s">
        <v>90</v>
      </c>
      <c r="Q620">
        <v>0</v>
      </c>
      <c r="R620" t="s">
        <v>90</v>
      </c>
      <c r="S620">
        <v>0</v>
      </c>
      <c r="T620" t="s">
        <v>90</v>
      </c>
      <c r="U620">
        <v>0</v>
      </c>
      <c r="V620" t="s">
        <v>90</v>
      </c>
      <c r="W620">
        <v>0</v>
      </c>
      <c r="X620" t="s">
        <v>90</v>
      </c>
      <c r="Y620">
        <v>0</v>
      </c>
      <c r="Z620">
        <v>65.167077045790663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L620">
        <v>11.1913</v>
      </c>
      <c r="AN620" t="s">
        <v>185</v>
      </c>
      <c r="AO620" t="s">
        <v>73</v>
      </c>
      <c r="AP620">
        <v>200000</v>
      </c>
      <c r="AQ620" t="s">
        <v>73</v>
      </c>
      <c r="AS620">
        <v>10000</v>
      </c>
      <c r="AT620" t="s">
        <v>4784</v>
      </c>
      <c r="AU620" t="s">
        <v>75</v>
      </c>
      <c r="AV620" t="s">
        <v>76</v>
      </c>
    </row>
    <row r="621" spans="1:48" x14ac:dyDescent="0.15">
      <c r="A621" s="4" t="str">
        <f>HYPERLINK("https://ibp.a2mac1.com/costing(costing:projects/details/9760/assembly/8414788)","Mirror System")</f>
        <v>Mirror System</v>
      </c>
      <c r="B621">
        <v>8414788</v>
      </c>
      <c r="D621">
        <v>8414736</v>
      </c>
      <c r="F621">
        <v>1</v>
      </c>
      <c r="G621">
        <v>0</v>
      </c>
      <c r="H621">
        <v>8.0604789108675572</v>
      </c>
      <c r="I621">
        <v>0</v>
      </c>
      <c r="J621" t="s">
        <v>90</v>
      </c>
      <c r="K621">
        <v>0</v>
      </c>
      <c r="L621">
        <v>8.0604789108675572</v>
      </c>
      <c r="M621">
        <v>0</v>
      </c>
      <c r="N621">
        <v>0</v>
      </c>
      <c r="O621">
        <v>8.0604789108675572</v>
      </c>
      <c r="P621" t="s">
        <v>90</v>
      </c>
      <c r="Q621">
        <v>0</v>
      </c>
      <c r="R621" t="s">
        <v>90</v>
      </c>
      <c r="S621">
        <v>0</v>
      </c>
      <c r="T621" t="s">
        <v>90</v>
      </c>
      <c r="U621">
        <v>0</v>
      </c>
      <c r="V621" t="s">
        <v>90</v>
      </c>
      <c r="W621">
        <v>0</v>
      </c>
      <c r="X621" t="s">
        <v>90</v>
      </c>
      <c r="Y621">
        <v>0</v>
      </c>
      <c r="Z621">
        <v>8.0604789108675572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L621">
        <v>0.628</v>
      </c>
      <c r="AN621" t="s">
        <v>185</v>
      </c>
      <c r="AO621" t="s">
        <v>73</v>
      </c>
      <c r="AP621">
        <v>200000</v>
      </c>
      <c r="AQ621" t="s">
        <v>73</v>
      </c>
      <c r="AS621">
        <v>10000</v>
      </c>
      <c r="AT621" t="s">
        <v>4805</v>
      </c>
      <c r="AU621" t="s">
        <v>75</v>
      </c>
      <c r="AV621" t="s">
        <v>76</v>
      </c>
    </row>
    <row r="622" spans="1:48" x14ac:dyDescent="0.15">
      <c r="A622" s="4" t="str">
        <f>HYPERLINK("https://ibp.a2mac1.com/costing(costing:projects/details/9760/assembly/8414789)","Parcel Tray System")</f>
        <v>Parcel Tray System</v>
      </c>
      <c r="B622">
        <v>8414789</v>
      </c>
      <c r="D622">
        <v>8414736</v>
      </c>
      <c r="F622">
        <v>1</v>
      </c>
      <c r="G622">
        <v>0</v>
      </c>
      <c r="H622">
        <v>6.5713194100004326</v>
      </c>
      <c r="I622">
        <v>0</v>
      </c>
      <c r="J622" t="s">
        <v>90</v>
      </c>
      <c r="K622">
        <v>0</v>
      </c>
      <c r="L622">
        <v>6.5713194100004326</v>
      </c>
      <c r="M622">
        <v>0</v>
      </c>
      <c r="N622">
        <v>0</v>
      </c>
      <c r="O622">
        <v>6.5713194100004326</v>
      </c>
      <c r="P622" t="s">
        <v>90</v>
      </c>
      <c r="Q622">
        <v>0</v>
      </c>
      <c r="R622" t="s">
        <v>90</v>
      </c>
      <c r="S622">
        <v>0</v>
      </c>
      <c r="T622" t="s">
        <v>90</v>
      </c>
      <c r="U622">
        <v>0</v>
      </c>
      <c r="V622" t="s">
        <v>90</v>
      </c>
      <c r="W622">
        <v>0</v>
      </c>
      <c r="X622" t="s">
        <v>90</v>
      </c>
      <c r="Y622">
        <v>0</v>
      </c>
      <c r="Z622">
        <v>6.5713194100004326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L622">
        <v>1.0032000000000001</v>
      </c>
      <c r="AN622" t="s">
        <v>185</v>
      </c>
      <c r="AO622" t="s">
        <v>73</v>
      </c>
      <c r="AP622">
        <v>200000</v>
      </c>
      <c r="AQ622" t="s">
        <v>73</v>
      </c>
      <c r="AS622">
        <v>10000</v>
      </c>
      <c r="AT622" t="s">
        <v>4811</v>
      </c>
      <c r="AU622" t="s">
        <v>75</v>
      </c>
      <c r="AV622" t="s">
        <v>76</v>
      </c>
    </row>
    <row r="623" spans="1:48" x14ac:dyDescent="0.15">
      <c r="A623" s="4" t="str">
        <f>HYPERLINK("https://ibp.a2mac1.com/costing(costing:projects/details/9760/assembly/8414944)","Front Trunk System")</f>
        <v>Front Trunk System</v>
      </c>
      <c r="B623">
        <v>8414944</v>
      </c>
      <c r="D623">
        <v>8414790</v>
      </c>
      <c r="F623">
        <v>1</v>
      </c>
      <c r="G623">
        <v>0</v>
      </c>
      <c r="H623">
        <v>14.457508741397497</v>
      </c>
      <c r="I623">
        <v>0</v>
      </c>
      <c r="J623" t="s">
        <v>90</v>
      </c>
      <c r="K623">
        <v>0</v>
      </c>
      <c r="L623">
        <v>14.457508741397497</v>
      </c>
      <c r="M623">
        <v>0</v>
      </c>
      <c r="N623">
        <v>0.10796103500784267</v>
      </c>
      <c r="O623">
        <v>14.56546977640534</v>
      </c>
      <c r="P623" t="s">
        <v>90</v>
      </c>
      <c r="Q623">
        <v>0</v>
      </c>
      <c r="R623" t="s">
        <v>90</v>
      </c>
      <c r="S623">
        <v>0</v>
      </c>
      <c r="T623" t="s">
        <v>90</v>
      </c>
      <c r="U623">
        <v>0</v>
      </c>
      <c r="V623" t="s">
        <v>90</v>
      </c>
      <c r="W623">
        <v>0</v>
      </c>
      <c r="X623" t="s">
        <v>90</v>
      </c>
      <c r="Y623">
        <v>0</v>
      </c>
      <c r="Z623">
        <v>14.56546977640534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L623">
        <v>4.6372</v>
      </c>
      <c r="AN623" t="s">
        <v>185</v>
      </c>
      <c r="AO623" t="s">
        <v>73</v>
      </c>
      <c r="AP623">
        <v>200000</v>
      </c>
      <c r="AQ623" t="s">
        <v>73</v>
      </c>
      <c r="AS623">
        <v>10000</v>
      </c>
      <c r="AT623" t="s">
        <v>4831</v>
      </c>
      <c r="AU623" t="s">
        <v>75</v>
      </c>
      <c r="AV623" t="s">
        <v>76</v>
      </c>
    </row>
    <row r="624" spans="1:48" x14ac:dyDescent="0.15">
      <c r="A624" s="4" t="str">
        <f>HYPERLINK("https://ibp.a2mac1.com/costing(costing:projects/details/9760/assembly/8414790)","Storage")</f>
        <v>Storage</v>
      </c>
      <c r="B624">
        <v>8414790</v>
      </c>
      <c r="D624">
        <v>8414736</v>
      </c>
      <c r="F624">
        <v>1</v>
      </c>
      <c r="G624">
        <v>0</v>
      </c>
      <c r="H624">
        <v>18.775995036860703</v>
      </c>
      <c r="I624">
        <v>0</v>
      </c>
      <c r="J624" t="s">
        <v>90</v>
      </c>
      <c r="K624">
        <v>0</v>
      </c>
      <c r="L624">
        <v>18.775995036860703</v>
      </c>
      <c r="M624">
        <v>0</v>
      </c>
      <c r="N624">
        <v>0</v>
      </c>
      <c r="O624">
        <v>18.775995036860703</v>
      </c>
      <c r="P624" t="s">
        <v>90</v>
      </c>
      <c r="Q624">
        <v>0</v>
      </c>
      <c r="R624" t="s">
        <v>90</v>
      </c>
      <c r="S624">
        <v>0</v>
      </c>
      <c r="T624" t="s">
        <v>90</v>
      </c>
      <c r="U624">
        <v>0</v>
      </c>
      <c r="V624" t="s">
        <v>90</v>
      </c>
      <c r="W624">
        <v>0</v>
      </c>
      <c r="X624" t="s">
        <v>90</v>
      </c>
      <c r="Y624">
        <v>0</v>
      </c>
      <c r="Z624">
        <v>18.775995036860703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L624">
        <v>5.8992000000000004</v>
      </c>
      <c r="AN624" t="s">
        <v>185</v>
      </c>
      <c r="AO624" t="s">
        <v>73</v>
      </c>
      <c r="AP624">
        <v>200000</v>
      </c>
      <c r="AQ624" t="s">
        <v>73</v>
      </c>
      <c r="AS624">
        <v>10000</v>
      </c>
      <c r="AT624" t="s">
        <v>4847</v>
      </c>
      <c r="AU624" t="s">
        <v>75</v>
      </c>
      <c r="AV624" t="s">
        <v>76</v>
      </c>
    </row>
    <row r="625" spans="1:48" x14ac:dyDescent="0.15">
      <c r="A625" s="4" t="str">
        <f>HYPERLINK("https://ibp.a2mac1.com/costing(costing:projects/details/9760/assembly/8415065)","Floor Mats")</f>
        <v>Floor Mats</v>
      </c>
      <c r="B625">
        <v>8415065</v>
      </c>
      <c r="D625">
        <v>8414945</v>
      </c>
      <c r="F625">
        <v>1</v>
      </c>
      <c r="G625">
        <v>0</v>
      </c>
      <c r="H625">
        <v>25.277062336257647</v>
      </c>
      <c r="I625">
        <v>0</v>
      </c>
      <c r="J625" t="s">
        <v>90</v>
      </c>
      <c r="K625">
        <v>0</v>
      </c>
      <c r="L625">
        <v>25.277062336257647</v>
      </c>
      <c r="M625">
        <v>0</v>
      </c>
      <c r="N625">
        <v>0</v>
      </c>
      <c r="O625">
        <v>25.277062336257647</v>
      </c>
      <c r="P625" t="s">
        <v>90</v>
      </c>
      <c r="Q625">
        <v>0</v>
      </c>
      <c r="R625" t="s">
        <v>90</v>
      </c>
      <c r="S625">
        <v>0</v>
      </c>
      <c r="T625" t="s">
        <v>90</v>
      </c>
      <c r="U625">
        <v>0</v>
      </c>
      <c r="V625" t="s">
        <v>90</v>
      </c>
      <c r="W625">
        <v>0</v>
      </c>
      <c r="X625" t="s">
        <v>90</v>
      </c>
      <c r="Y625">
        <v>0</v>
      </c>
      <c r="Z625">
        <v>25.277062336257647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L625">
        <v>2.431</v>
      </c>
      <c r="AN625" t="s">
        <v>185</v>
      </c>
      <c r="AO625" t="s">
        <v>73</v>
      </c>
      <c r="AP625">
        <v>200000</v>
      </c>
      <c r="AQ625" t="s">
        <v>73</v>
      </c>
      <c r="AS625">
        <v>10000</v>
      </c>
      <c r="AT625" t="s">
        <v>4862</v>
      </c>
      <c r="AU625" t="s">
        <v>75</v>
      </c>
      <c r="AV625" t="s">
        <v>76</v>
      </c>
    </row>
    <row r="626" spans="1:48" x14ac:dyDescent="0.15">
      <c r="A626" s="4" t="str">
        <f>HYPERLINK("https://ibp.a2mac1.com/costing(costing:projects/details/9760/assembly/8414945)","Interior")</f>
        <v>Interior</v>
      </c>
      <c r="B626">
        <v>8414945</v>
      </c>
      <c r="D626">
        <v>8414791</v>
      </c>
      <c r="F626">
        <v>1</v>
      </c>
      <c r="G626">
        <v>0</v>
      </c>
      <c r="H626">
        <v>102.88282432316919</v>
      </c>
      <c r="I626">
        <v>0</v>
      </c>
      <c r="J626" t="s">
        <v>90</v>
      </c>
      <c r="K626">
        <v>0</v>
      </c>
      <c r="L626">
        <v>102.88282432316919</v>
      </c>
      <c r="M626">
        <v>0</v>
      </c>
      <c r="N626">
        <v>0</v>
      </c>
      <c r="O626">
        <v>102.88282432316919</v>
      </c>
      <c r="P626" t="s">
        <v>90</v>
      </c>
      <c r="Q626">
        <v>0</v>
      </c>
      <c r="R626" t="s">
        <v>90</v>
      </c>
      <c r="S626">
        <v>0</v>
      </c>
      <c r="T626" t="s">
        <v>90</v>
      </c>
      <c r="U626">
        <v>0</v>
      </c>
      <c r="V626" t="s">
        <v>90</v>
      </c>
      <c r="W626">
        <v>0</v>
      </c>
      <c r="X626" t="s">
        <v>90</v>
      </c>
      <c r="Y626">
        <v>0</v>
      </c>
      <c r="Z626">
        <v>102.88282432316919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L626">
        <v>10.563000000000001</v>
      </c>
      <c r="AN626" t="s">
        <v>185</v>
      </c>
      <c r="AO626" t="s">
        <v>73</v>
      </c>
      <c r="AP626">
        <v>200000</v>
      </c>
      <c r="AQ626" t="s">
        <v>73</v>
      </c>
      <c r="AS626">
        <v>10000</v>
      </c>
      <c r="AT626" t="s">
        <v>4882</v>
      </c>
      <c r="AU626" t="s">
        <v>75</v>
      </c>
      <c r="AV626" t="s">
        <v>76</v>
      </c>
    </row>
    <row r="627" spans="1:48" x14ac:dyDescent="0.15">
      <c r="A627" s="4" t="str">
        <f>HYPERLINK("https://ibp.a2mac1.com/costing(costing:projects/details/9760/assembly/8415116)","Front")</f>
        <v>Front</v>
      </c>
      <c r="B627">
        <v>8415116</v>
      </c>
      <c r="D627">
        <v>8415067</v>
      </c>
      <c r="F627">
        <v>1</v>
      </c>
      <c r="G627">
        <v>0</v>
      </c>
      <c r="H627">
        <v>13.656256747406207</v>
      </c>
      <c r="I627">
        <v>0</v>
      </c>
      <c r="J627" t="s">
        <v>90</v>
      </c>
      <c r="K627">
        <v>0</v>
      </c>
      <c r="L627">
        <v>13.656256747406207</v>
      </c>
      <c r="M627">
        <v>0</v>
      </c>
      <c r="N627">
        <v>0</v>
      </c>
      <c r="O627">
        <v>13.656256747406207</v>
      </c>
      <c r="P627" t="s">
        <v>90</v>
      </c>
      <c r="Q627">
        <v>0</v>
      </c>
      <c r="R627" t="s">
        <v>90</v>
      </c>
      <c r="S627">
        <v>0</v>
      </c>
      <c r="T627" t="s">
        <v>90</v>
      </c>
      <c r="U627">
        <v>0</v>
      </c>
      <c r="V627" t="s">
        <v>90</v>
      </c>
      <c r="W627">
        <v>0</v>
      </c>
      <c r="X627" t="s">
        <v>90</v>
      </c>
      <c r="Y627">
        <v>0</v>
      </c>
      <c r="Z627">
        <v>13.656256747406207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L627">
        <v>2.125</v>
      </c>
      <c r="AN627" t="s">
        <v>185</v>
      </c>
      <c r="AO627" t="s">
        <v>73</v>
      </c>
      <c r="AP627">
        <v>200000</v>
      </c>
      <c r="AQ627" t="s">
        <v>73</v>
      </c>
      <c r="AS627">
        <v>10000</v>
      </c>
      <c r="AT627" t="s">
        <v>4891</v>
      </c>
      <c r="AU627" t="s">
        <v>75</v>
      </c>
      <c r="AV627" t="s">
        <v>76</v>
      </c>
    </row>
    <row r="628" spans="1:48" x14ac:dyDescent="0.15">
      <c r="A628" s="4" t="str">
        <f>HYPERLINK("https://ibp.a2mac1.com/costing(costing:projects/details/9760/assembly/8415067)","Removable Floor System")</f>
        <v>Removable Floor System</v>
      </c>
      <c r="B628">
        <v>8415067</v>
      </c>
      <c r="D628">
        <v>8414946</v>
      </c>
      <c r="F628">
        <v>1</v>
      </c>
      <c r="G628">
        <v>0</v>
      </c>
      <c r="H628">
        <v>24.193211821049172</v>
      </c>
      <c r="I628">
        <v>0.1215739287489908</v>
      </c>
      <c r="J628" t="s">
        <v>176</v>
      </c>
      <c r="K628">
        <v>0.8467624137367209</v>
      </c>
      <c r="L628">
        <v>25.161548163534881</v>
      </c>
      <c r="M628">
        <v>0</v>
      </c>
      <c r="N628">
        <v>0</v>
      </c>
      <c r="O628">
        <v>25.161548163534881</v>
      </c>
      <c r="P628" t="s">
        <v>177</v>
      </c>
      <c r="Q628">
        <v>1.5096928898120929</v>
      </c>
      <c r="R628" t="s">
        <v>177</v>
      </c>
      <c r="S628">
        <v>0</v>
      </c>
      <c r="T628" t="s">
        <v>178</v>
      </c>
      <c r="U628">
        <v>3.0193857796241859</v>
      </c>
      <c r="V628" t="s">
        <v>90</v>
      </c>
      <c r="W628">
        <v>0</v>
      </c>
      <c r="X628" t="s">
        <v>90</v>
      </c>
      <c r="Y628">
        <v>0</v>
      </c>
      <c r="Z628">
        <v>29.690626832971159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L628">
        <v>3.5019999999999998</v>
      </c>
      <c r="AN628" t="s">
        <v>772</v>
      </c>
      <c r="AO628" t="s">
        <v>73</v>
      </c>
      <c r="AP628">
        <v>200000</v>
      </c>
      <c r="AQ628" t="s">
        <v>97</v>
      </c>
      <c r="AS628">
        <v>10000</v>
      </c>
      <c r="AT628" t="s">
        <v>4903</v>
      </c>
      <c r="AU628" t="s">
        <v>75</v>
      </c>
      <c r="AV628" t="s">
        <v>76</v>
      </c>
    </row>
    <row r="629" spans="1:48" x14ac:dyDescent="0.15">
      <c r="A629" s="4" t="str">
        <f>HYPERLINK("https://ibp.a2mac1.com/costing(costing:projects/details/9760/assembly/8414946)","Trunk")</f>
        <v>Trunk</v>
      </c>
      <c r="B629">
        <v>8414946</v>
      </c>
      <c r="D629">
        <v>8414791</v>
      </c>
      <c r="F629">
        <v>1</v>
      </c>
      <c r="G629">
        <v>0</v>
      </c>
      <c r="H629">
        <v>35.152644438316614</v>
      </c>
      <c r="I629">
        <v>0</v>
      </c>
      <c r="J629" t="s">
        <v>90</v>
      </c>
      <c r="K629">
        <v>0</v>
      </c>
      <c r="L629">
        <v>35.152644438316614</v>
      </c>
      <c r="M629">
        <v>0</v>
      </c>
      <c r="N629">
        <v>0</v>
      </c>
      <c r="O629">
        <v>35.152644438316614</v>
      </c>
      <c r="P629" t="s">
        <v>90</v>
      </c>
      <c r="Q629">
        <v>0</v>
      </c>
      <c r="R629" t="s">
        <v>90</v>
      </c>
      <c r="S629">
        <v>0</v>
      </c>
      <c r="T629" t="s">
        <v>90</v>
      </c>
      <c r="U629">
        <v>0</v>
      </c>
      <c r="V629" t="s">
        <v>90</v>
      </c>
      <c r="W629">
        <v>0</v>
      </c>
      <c r="X629" t="s">
        <v>90</v>
      </c>
      <c r="Y629">
        <v>0</v>
      </c>
      <c r="Z629">
        <v>35.152644438316614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L629">
        <v>4.7720000000000002</v>
      </c>
      <c r="AN629" t="s">
        <v>185</v>
      </c>
      <c r="AO629" t="s">
        <v>73</v>
      </c>
      <c r="AP629">
        <v>200000</v>
      </c>
      <c r="AQ629" t="s">
        <v>73</v>
      </c>
      <c r="AS629">
        <v>10000</v>
      </c>
      <c r="AT629" t="s">
        <v>4909</v>
      </c>
      <c r="AU629" t="s">
        <v>75</v>
      </c>
      <c r="AV629" t="s">
        <v>76</v>
      </c>
    </row>
    <row r="630" spans="1:48" x14ac:dyDescent="0.15">
      <c r="A630" s="4" t="str">
        <f>HYPERLINK("https://ibp.a2mac1.com/costing(costing:projects/details/9760/assembly/8414791)","Floor Carpeting")</f>
        <v>Floor Carpeting</v>
      </c>
      <c r="B630">
        <v>8414791</v>
      </c>
      <c r="D630">
        <v>8414736</v>
      </c>
      <c r="F630">
        <v>1</v>
      </c>
      <c r="G630">
        <v>0</v>
      </c>
      <c r="H630">
        <v>138.03546876148579</v>
      </c>
      <c r="I630">
        <v>0</v>
      </c>
      <c r="J630" t="s">
        <v>90</v>
      </c>
      <c r="K630">
        <v>0</v>
      </c>
      <c r="L630">
        <v>138.03546876148579</v>
      </c>
      <c r="M630">
        <v>0</v>
      </c>
      <c r="N630">
        <v>0</v>
      </c>
      <c r="O630">
        <v>138.03546876148579</v>
      </c>
      <c r="P630" t="s">
        <v>90</v>
      </c>
      <c r="Q630">
        <v>0</v>
      </c>
      <c r="R630" t="s">
        <v>90</v>
      </c>
      <c r="S630">
        <v>0</v>
      </c>
      <c r="T630" t="s">
        <v>90</v>
      </c>
      <c r="U630">
        <v>0</v>
      </c>
      <c r="V630" t="s">
        <v>90</v>
      </c>
      <c r="W630">
        <v>0</v>
      </c>
      <c r="X630" t="s">
        <v>90</v>
      </c>
      <c r="Y630">
        <v>0</v>
      </c>
      <c r="Z630">
        <v>138.03546876148579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L630">
        <v>15.335000000000001</v>
      </c>
      <c r="AN630" t="s">
        <v>185</v>
      </c>
      <c r="AO630" t="s">
        <v>73</v>
      </c>
      <c r="AP630">
        <v>200000</v>
      </c>
      <c r="AQ630" t="s">
        <v>73</v>
      </c>
      <c r="AS630">
        <v>10000</v>
      </c>
      <c r="AT630" t="s">
        <v>4910</v>
      </c>
      <c r="AU630" t="s">
        <v>75</v>
      </c>
      <c r="AV630" t="s">
        <v>76</v>
      </c>
    </row>
    <row r="631" spans="1:48" x14ac:dyDescent="0.15">
      <c r="A631" s="4" t="str">
        <f>HYPERLINK("https://ibp.a2mac1.com/costing(costing:projects/details/9760/assembly/8414947)","Front Speaker System")</f>
        <v>Front Speaker System</v>
      </c>
      <c r="B631">
        <v>8414947</v>
      </c>
      <c r="D631">
        <v>8414792</v>
      </c>
      <c r="F631">
        <v>1</v>
      </c>
      <c r="G631">
        <v>0</v>
      </c>
      <c r="H631">
        <v>5.5060545656277968</v>
      </c>
      <c r="I631">
        <v>0</v>
      </c>
      <c r="J631" t="s">
        <v>90</v>
      </c>
      <c r="K631">
        <v>0</v>
      </c>
      <c r="L631">
        <v>5.5060545656277968</v>
      </c>
      <c r="M631">
        <v>0</v>
      </c>
      <c r="N631">
        <v>0</v>
      </c>
      <c r="O631">
        <v>5.5060545656277968</v>
      </c>
      <c r="P631" t="s">
        <v>90</v>
      </c>
      <c r="Q631">
        <v>0</v>
      </c>
      <c r="R631" t="s">
        <v>90</v>
      </c>
      <c r="S631">
        <v>0</v>
      </c>
      <c r="T631" t="s">
        <v>90</v>
      </c>
      <c r="U631">
        <v>0</v>
      </c>
      <c r="V631" t="s">
        <v>90</v>
      </c>
      <c r="W631">
        <v>0</v>
      </c>
      <c r="X631" t="s">
        <v>90</v>
      </c>
      <c r="Y631">
        <v>0</v>
      </c>
      <c r="Z631">
        <v>5.5060545656277968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L631">
        <v>0.124</v>
      </c>
      <c r="AN631" t="s">
        <v>185</v>
      </c>
      <c r="AO631" t="s">
        <v>73</v>
      </c>
      <c r="AP631">
        <v>200000</v>
      </c>
      <c r="AQ631" t="s">
        <v>73</v>
      </c>
      <c r="AS631">
        <v>10000</v>
      </c>
      <c r="AT631" t="s">
        <v>4917</v>
      </c>
      <c r="AU631" t="s">
        <v>75</v>
      </c>
      <c r="AV631" t="s">
        <v>76</v>
      </c>
    </row>
    <row r="632" spans="1:48" x14ac:dyDescent="0.15">
      <c r="A632" s="4" t="str">
        <f>HYPERLINK("https://ibp.a2mac1.com/costing(costing:projects/details/9760/assembly/8414948)","Rear Speaker System")</f>
        <v>Rear Speaker System</v>
      </c>
      <c r="B632">
        <v>8414948</v>
      </c>
      <c r="D632">
        <v>8414792</v>
      </c>
      <c r="F632">
        <v>1</v>
      </c>
      <c r="G632">
        <v>0</v>
      </c>
      <c r="H632">
        <v>5.6121223081088916</v>
      </c>
      <c r="I632">
        <v>0</v>
      </c>
      <c r="J632" t="s">
        <v>90</v>
      </c>
      <c r="K632">
        <v>0</v>
      </c>
      <c r="L632">
        <v>5.6121223081088916</v>
      </c>
      <c r="M632">
        <v>0</v>
      </c>
      <c r="N632">
        <v>0</v>
      </c>
      <c r="O632">
        <v>5.6121223081088916</v>
      </c>
      <c r="P632" t="s">
        <v>90</v>
      </c>
      <c r="Q632">
        <v>0</v>
      </c>
      <c r="R632" t="s">
        <v>90</v>
      </c>
      <c r="S632">
        <v>0</v>
      </c>
      <c r="T632" t="s">
        <v>90</v>
      </c>
      <c r="U632">
        <v>0</v>
      </c>
      <c r="V632" t="s">
        <v>90</v>
      </c>
      <c r="W632">
        <v>0</v>
      </c>
      <c r="X632" t="s">
        <v>90</v>
      </c>
      <c r="Y632">
        <v>0</v>
      </c>
      <c r="Z632">
        <v>5.6121223081088916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L632">
        <v>0.16800000000000001</v>
      </c>
      <c r="AN632" t="s">
        <v>185</v>
      </c>
      <c r="AO632" t="s">
        <v>73</v>
      </c>
      <c r="AP632">
        <v>200000</v>
      </c>
      <c r="AQ632" t="s">
        <v>73</v>
      </c>
      <c r="AS632">
        <v>10000</v>
      </c>
      <c r="AT632" t="s">
        <v>4925</v>
      </c>
      <c r="AU632" t="s">
        <v>75</v>
      </c>
      <c r="AV632" t="s">
        <v>76</v>
      </c>
    </row>
    <row r="633" spans="1:48" x14ac:dyDescent="0.15">
      <c r="A633" s="4" t="str">
        <f>HYPERLINK("https://ibp.a2mac1.com/costing(costing:projects/details/9760/assembly/8414949)","Tweeter System")</f>
        <v>Tweeter System</v>
      </c>
      <c r="B633">
        <v>8414949</v>
      </c>
      <c r="D633">
        <v>8414792</v>
      </c>
      <c r="F633">
        <v>1</v>
      </c>
      <c r="G633">
        <v>0</v>
      </c>
      <c r="H633">
        <v>19.743285626682098</v>
      </c>
      <c r="I633">
        <v>0</v>
      </c>
      <c r="J633" t="s">
        <v>90</v>
      </c>
      <c r="K633">
        <v>0</v>
      </c>
      <c r="L633">
        <v>19.743285626682098</v>
      </c>
      <c r="M633">
        <v>0</v>
      </c>
      <c r="N633">
        <v>0</v>
      </c>
      <c r="O633">
        <v>19.743285626682098</v>
      </c>
      <c r="P633" t="s">
        <v>90</v>
      </c>
      <c r="Q633">
        <v>0</v>
      </c>
      <c r="R633" t="s">
        <v>90</v>
      </c>
      <c r="S633">
        <v>0</v>
      </c>
      <c r="T633" t="s">
        <v>90</v>
      </c>
      <c r="U633">
        <v>0</v>
      </c>
      <c r="V633" t="s">
        <v>90</v>
      </c>
      <c r="W633">
        <v>0</v>
      </c>
      <c r="X633" t="s">
        <v>90</v>
      </c>
      <c r="Y633">
        <v>0</v>
      </c>
      <c r="Z633">
        <v>19.743285626682098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L633">
        <v>0.94199999999999995</v>
      </c>
      <c r="AN633" t="s">
        <v>185</v>
      </c>
      <c r="AO633" t="s">
        <v>73</v>
      </c>
      <c r="AP633">
        <v>200000</v>
      </c>
      <c r="AQ633" t="s">
        <v>73</v>
      </c>
      <c r="AS633">
        <v>10000</v>
      </c>
      <c r="AT633" t="s">
        <v>4938</v>
      </c>
      <c r="AU633" t="s">
        <v>75</v>
      </c>
      <c r="AV633" t="s">
        <v>76</v>
      </c>
    </row>
    <row r="634" spans="1:48" x14ac:dyDescent="0.15">
      <c r="A634" s="4" t="str">
        <f>HYPERLINK("https://ibp.a2mac1.com/costing(costing:projects/details/9760/assembly/8414792)","Speakers System")</f>
        <v>Speakers System</v>
      </c>
      <c r="B634">
        <v>8414792</v>
      </c>
      <c r="D634">
        <v>8414736</v>
      </c>
      <c r="F634">
        <v>1</v>
      </c>
      <c r="G634">
        <v>0</v>
      </c>
      <c r="H634">
        <v>30.861462500418785</v>
      </c>
      <c r="I634">
        <v>0</v>
      </c>
      <c r="J634" t="s">
        <v>90</v>
      </c>
      <c r="K634">
        <v>0</v>
      </c>
      <c r="L634">
        <v>30.861462500418785</v>
      </c>
      <c r="M634">
        <v>0</v>
      </c>
      <c r="N634">
        <v>0</v>
      </c>
      <c r="O634">
        <v>30.861462500418785</v>
      </c>
      <c r="P634" t="s">
        <v>90</v>
      </c>
      <c r="Q634">
        <v>0</v>
      </c>
      <c r="R634" t="s">
        <v>90</v>
      </c>
      <c r="S634">
        <v>0</v>
      </c>
      <c r="T634" t="s">
        <v>90</v>
      </c>
      <c r="U634">
        <v>0</v>
      </c>
      <c r="V634" t="s">
        <v>90</v>
      </c>
      <c r="W634">
        <v>0</v>
      </c>
      <c r="X634" t="s">
        <v>90</v>
      </c>
      <c r="Y634">
        <v>0</v>
      </c>
      <c r="Z634">
        <v>30.861462500418785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L634">
        <v>1.234</v>
      </c>
      <c r="AN634" t="s">
        <v>185</v>
      </c>
      <c r="AO634" t="s">
        <v>73</v>
      </c>
      <c r="AP634">
        <v>200000</v>
      </c>
      <c r="AQ634" t="s">
        <v>73</v>
      </c>
      <c r="AS634">
        <v>10000</v>
      </c>
      <c r="AT634" t="s">
        <v>4939</v>
      </c>
      <c r="AU634" t="s">
        <v>75</v>
      </c>
      <c r="AV634" t="s">
        <v>76</v>
      </c>
    </row>
    <row r="635" spans="1:48" x14ac:dyDescent="0.15">
      <c r="A635" s="4" t="str">
        <f>HYPERLINK("https://ibp.a2mac1.com/costing(costing:projects/details/9760/assembly/8414793)","Tie Bracket System")</f>
        <v>Tie Bracket System</v>
      </c>
      <c r="B635">
        <v>8414793</v>
      </c>
      <c r="D635">
        <v>8414736</v>
      </c>
      <c r="F635">
        <v>1</v>
      </c>
      <c r="G635">
        <v>0</v>
      </c>
      <c r="H635">
        <v>8.7046720871300901E-2</v>
      </c>
      <c r="I635">
        <v>0</v>
      </c>
      <c r="J635" t="s">
        <v>90</v>
      </c>
      <c r="K635">
        <v>0</v>
      </c>
      <c r="L635">
        <v>8.7046720871300901E-2</v>
      </c>
      <c r="M635">
        <v>0</v>
      </c>
      <c r="N635">
        <v>0</v>
      </c>
      <c r="O635">
        <v>8.7046720871300901E-2</v>
      </c>
      <c r="P635" t="s">
        <v>90</v>
      </c>
      <c r="Q635">
        <v>0</v>
      </c>
      <c r="R635" t="s">
        <v>90</v>
      </c>
      <c r="S635">
        <v>0</v>
      </c>
      <c r="T635" t="s">
        <v>90</v>
      </c>
      <c r="U635">
        <v>0</v>
      </c>
      <c r="V635" t="s">
        <v>90</v>
      </c>
      <c r="W635">
        <v>0</v>
      </c>
      <c r="X635" t="s">
        <v>90</v>
      </c>
      <c r="Y635">
        <v>0</v>
      </c>
      <c r="Z635">
        <v>8.7046720871300901E-2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L635">
        <v>1.2E-2</v>
      </c>
      <c r="AN635" t="s">
        <v>185</v>
      </c>
      <c r="AO635" t="s">
        <v>73</v>
      </c>
      <c r="AP635">
        <v>200000</v>
      </c>
      <c r="AQ635" t="s">
        <v>73</v>
      </c>
      <c r="AS635">
        <v>10000</v>
      </c>
      <c r="AT635" t="s">
        <v>4946</v>
      </c>
      <c r="AU635" t="s">
        <v>75</v>
      </c>
      <c r="AV635" t="s">
        <v>76</v>
      </c>
    </row>
    <row r="636" spans="1:48" x14ac:dyDescent="0.15">
      <c r="A636" s="4" t="str">
        <f>HYPERLINK("https://ibp.a2mac1.com/costing(costing:projects/details/9760/assembly/8414794)","Interior Lighting System")</f>
        <v>Interior Lighting System</v>
      </c>
      <c r="B636">
        <v>8414794</v>
      </c>
      <c r="D636">
        <v>8414736</v>
      </c>
      <c r="F636">
        <v>1</v>
      </c>
      <c r="G636">
        <v>0</v>
      </c>
      <c r="H636">
        <v>0.56999999999999995</v>
      </c>
      <c r="I636">
        <v>0</v>
      </c>
      <c r="J636" t="s">
        <v>90</v>
      </c>
      <c r="K636">
        <v>0</v>
      </c>
      <c r="L636">
        <v>0.56999999999999995</v>
      </c>
      <c r="M636">
        <v>0</v>
      </c>
      <c r="N636">
        <v>0</v>
      </c>
      <c r="O636">
        <v>0.56999999999999995</v>
      </c>
      <c r="P636" t="s">
        <v>90</v>
      </c>
      <c r="Q636">
        <v>0</v>
      </c>
      <c r="R636" t="s">
        <v>90</v>
      </c>
      <c r="S636">
        <v>0</v>
      </c>
      <c r="T636" t="s">
        <v>90</v>
      </c>
      <c r="U636">
        <v>0</v>
      </c>
      <c r="V636" t="s">
        <v>90</v>
      </c>
      <c r="W636">
        <v>0</v>
      </c>
      <c r="X636" t="s">
        <v>90</v>
      </c>
      <c r="Y636">
        <v>0</v>
      </c>
      <c r="Z636">
        <v>0.56999999999999995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L636">
        <v>1.7999999999999999E-2</v>
      </c>
      <c r="AN636" t="s">
        <v>185</v>
      </c>
      <c r="AO636" t="s">
        <v>73</v>
      </c>
      <c r="AP636">
        <v>200000</v>
      </c>
      <c r="AQ636" t="s">
        <v>73</v>
      </c>
      <c r="AS636">
        <v>10000</v>
      </c>
      <c r="AT636" t="s">
        <v>4949</v>
      </c>
      <c r="AU636" t="s">
        <v>75</v>
      </c>
      <c r="AV636" t="s">
        <v>76</v>
      </c>
    </row>
    <row r="637" spans="1:48" x14ac:dyDescent="0.15">
      <c r="A637" s="4" t="str">
        <f>HYPERLINK("https://ibp.a2mac1.com/costing(costing:projects/details/9760/assembly/8414736)","Trims Parts")</f>
        <v>Trims Parts</v>
      </c>
      <c r="B637">
        <v>8414736</v>
      </c>
      <c r="D637">
        <v>8414732</v>
      </c>
      <c r="F637">
        <v>1</v>
      </c>
      <c r="G637">
        <v>0</v>
      </c>
      <c r="H637">
        <v>389.93973745468452</v>
      </c>
      <c r="I637">
        <v>0</v>
      </c>
      <c r="J637" t="s">
        <v>90</v>
      </c>
      <c r="K637">
        <v>0</v>
      </c>
      <c r="L637">
        <v>389.93973745468452</v>
      </c>
      <c r="M637">
        <v>0</v>
      </c>
      <c r="N637">
        <v>0</v>
      </c>
      <c r="O637">
        <v>389.93973745468452</v>
      </c>
      <c r="P637" t="s">
        <v>90</v>
      </c>
      <c r="Q637">
        <v>0</v>
      </c>
      <c r="R637" t="s">
        <v>90</v>
      </c>
      <c r="S637">
        <v>0</v>
      </c>
      <c r="T637" t="s">
        <v>90</v>
      </c>
      <c r="U637">
        <v>0</v>
      </c>
      <c r="V637" t="s">
        <v>90</v>
      </c>
      <c r="W637">
        <v>0</v>
      </c>
      <c r="X637" t="s">
        <v>90</v>
      </c>
      <c r="Y637">
        <v>0</v>
      </c>
      <c r="Z637">
        <v>389.93973745468452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L637">
        <v>40.399500000000003</v>
      </c>
      <c r="AN637" t="s">
        <v>185</v>
      </c>
      <c r="AO637" t="s">
        <v>73</v>
      </c>
      <c r="AP637">
        <v>200000</v>
      </c>
      <c r="AQ637" t="s">
        <v>73</v>
      </c>
      <c r="AS637">
        <v>10000</v>
      </c>
      <c r="AT637" t="s">
        <v>4950</v>
      </c>
      <c r="AU637" t="s">
        <v>75</v>
      </c>
      <c r="AV637" t="s">
        <v>76</v>
      </c>
    </row>
    <row r="638" spans="1:48" x14ac:dyDescent="0.15">
      <c r="A638" s="4" t="str">
        <f>HYPERLINK("https://ibp.a2mac1.com/costing(costing:projects/details/9760/assembly/8414732)","Interior")</f>
        <v>Interior</v>
      </c>
      <c r="B638">
        <v>8414732</v>
      </c>
      <c r="C638">
        <v>9760</v>
      </c>
      <c r="F638">
        <v>1</v>
      </c>
      <c r="G638">
        <v>0</v>
      </c>
      <c r="H638">
        <v>1464.5945757573083</v>
      </c>
      <c r="I638">
        <v>0</v>
      </c>
      <c r="J638" t="s">
        <v>90</v>
      </c>
      <c r="K638">
        <v>0</v>
      </c>
      <c r="L638">
        <v>1464.5945757573083</v>
      </c>
      <c r="M638">
        <v>0</v>
      </c>
      <c r="N638">
        <v>0</v>
      </c>
      <c r="O638">
        <v>1464.5945757573083</v>
      </c>
      <c r="P638" t="s">
        <v>90</v>
      </c>
      <c r="Q638">
        <v>0</v>
      </c>
      <c r="R638" t="s">
        <v>90</v>
      </c>
      <c r="S638">
        <v>0</v>
      </c>
      <c r="T638" t="s">
        <v>90</v>
      </c>
      <c r="U638">
        <v>0</v>
      </c>
      <c r="V638" t="s">
        <v>90</v>
      </c>
      <c r="W638">
        <v>0</v>
      </c>
      <c r="X638" t="s">
        <v>90</v>
      </c>
      <c r="Y638">
        <v>0</v>
      </c>
      <c r="Z638">
        <v>1464.5945757573083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L638">
        <v>95.993799999999993</v>
      </c>
      <c r="AN638" t="s">
        <v>185</v>
      </c>
      <c r="AO638" t="s">
        <v>73</v>
      </c>
      <c r="AP638">
        <v>200000</v>
      </c>
      <c r="AQ638" t="s">
        <v>73</v>
      </c>
      <c r="AS638">
        <v>10000</v>
      </c>
      <c r="AT638" t="s">
        <v>4951</v>
      </c>
      <c r="AU638" t="s">
        <v>75</v>
      </c>
      <c r="AV638" t="s">
        <v>76</v>
      </c>
    </row>
    <row r="639" spans="1:48" x14ac:dyDescent="0.15">
      <c r="A639" s="4" t="str">
        <f>HYPERLINK("https://ibp.a2mac1.com/costing(costing:projects/details/9760/assembly/8416159)","Panel")</f>
        <v>Panel</v>
      </c>
      <c r="B639">
        <v>8416159</v>
      </c>
      <c r="D639">
        <v>8415806</v>
      </c>
      <c r="F639">
        <v>1</v>
      </c>
      <c r="G639">
        <v>0</v>
      </c>
      <c r="H639">
        <v>4.6720850126835556</v>
      </c>
      <c r="I639">
        <v>0</v>
      </c>
      <c r="J639" t="s">
        <v>90</v>
      </c>
      <c r="K639">
        <v>0</v>
      </c>
      <c r="L639">
        <v>4.6720850126835556</v>
      </c>
      <c r="M639">
        <v>0</v>
      </c>
      <c r="N639">
        <v>0</v>
      </c>
      <c r="O639">
        <v>4.6720850126835556</v>
      </c>
      <c r="P639" t="s">
        <v>90</v>
      </c>
      <c r="Q639">
        <v>0</v>
      </c>
      <c r="R639" t="s">
        <v>90</v>
      </c>
      <c r="S639">
        <v>0</v>
      </c>
      <c r="T639" t="s">
        <v>90</v>
      </c>
      <c r="U639">
        <v>0</v>
      </c>
      <c r="V639" t="s">
        <v>90</v>
      </c>
      <c r="W639">
        <v>0</v>
      </c>
      <c r="X639" t="s">
        <v>90</v>
      </c>
      <c r="Y639">
        <v>0</v>
      </c>
      <c r="Z639">
        <v>4.6720850126835556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L639">
        <v>4.2590000000000003</v>
      </c>
      <c r="AN639" t="s">
        <v>185</v>
      </c>
      <c r="AO639" t="s">
        <v>73</v>
      </c>
      <c r="AP639">
        <v>200000</v>
      </c>
      <c r="AQ639" t="s">
        <v>73</v>
      </c>
      <c r="AS639">
        <v>10000</v>
      </c>
      <c r="AT639" t="s">
        <v>4965</v>
      </c>
      <c r="AU639" t="s">
        <v>75</v>
      </c>
      <c r="AV639" t="s">
        <v>76</v>
      </c>
    </row>
    <row r="640" spans="1:48" x14ac:dyDescent="0.15">
      <c r="A640" s="4" t="str">
        <f>HYPERLINK("https://ibp.a2mac1.com/costing(costing:projects/details/9760/assembly/8415806)","Outer panel")</f>
        <v>Outer panel</v>
      </c>
      <c r="B640">
        <v>8415806</v>
      </c>
      <c r="D640">
        <v>8415618</v>
      </c>
      <c r="F640">
        <v>1</v>
      </c>
      <c r="G640">
        <v>0</v>
      </c>
      <c r="H640">
        <v>4.6720850126835556</v>
      </c>
      <c r="I640">
        <v>0</v>
      </c>
      <c r="J640" t="s">
        <v>90</v>
      </c>
      <c r="K640">
        <v>0</v>
      </c>
      <c r="L640">
        <v>4.6720850126835556</v>
      </c>
      <c r="M640">
        <v>0</v>
      </c>
      <c r="N640">
        <v>0</v>
      </c>
      <c r="O640">
        <v>4.6720850126835556</v>
      </c>
      <c r="P640" t="s">
        <v>90</v>
      </c>
      <c r="Q640">
        <v>0</v>
      </c>
      <c r="R640" t="s">
        <v>90</v>
      </c>
      <c r="S640">
        <v>0</v>
      </c>
      <c r="T640" t="s">
        <v>90</v>
      </c>
      <c r="U640">
        <v>0</v>
      </c>
      <c r="V640" t="s">
        <v>90</v>
      </c>
      <c r="W640">
        <v>0</v>
      </c>
      <c r="X640" t="s">
        <v>90</v>
      </c>
      <c r="Y640">
        <v>0</v>
      </c>
      <c r="Z640">
        <v>4.6720850126835556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L640">
        <v>4.2590000000000003</v>
      </c>
      <c r="AN640" t="s">
        <v>185</v>
      </c>
      <c r="AO640" t="s">
        <v>73</v>
      </c>
      <c r="AP640">
        <v>200000</v>
      </c>
      <c r="AQ640" t="s">
        <v>73</v>
      </c>
      <c r="AS640">
        <v>10000</v>
      </c>
      <c r="AT640" t="s">
        <v>4966</v>
      </c>
      <c r="AU640" t="s">
        <v>75</v>
      </c>
      <c r="AV640" t="s">
        <v>76</v>
      </c>
    </row>
    <row r="641" spans="1:48" x14ac:dyDescent="0.15">
      <c r="A641" s="4" t="str">
        <f>HYPERLINK("https://ibp.a2mac1.com/costing(costing:projects/details/9760/assembly/8416477)","Cross member")</f>
        <v>Cross member</v>
      </c>
      <c r="B641">
        <v>8416477</v>
      </c>
      <c r="D641">
        <v>8416160</v>
      </c>
      <c r="F641">
        <v>1</v>
      </c>
      <c r="G641">
        <v>0</v>
      </c>
      <c r="H641">
        <v>1.8119896281781263</v>
      </c>
      <c r="I641">
        <v>0</v>
      </c>
      <c r="J641" t="s">
        <v>90</v>
      </c>
      <c r="K641">
        <v>0</v>
      </c>
      <c r="L641">
        <v>1.8119896281781263</v>
      </c>
      <c r="M641">
        <v>0</v>
      </c>
      <c r="N641">
        <v>0</v>
      </c>
      <c r="O641">
        <v>1.8119896281781263</v>
      </c>
      <c r="P641" t="s">
        <v>90</v>
      </c>
      <c r="Q641">
        <v>0</v>
      </c>
      <c r="R641" t="s">
        <v>90</v>
      </c>
      <c r="S641">
        <v>0</v>
      </c>
      <c r="T641" t="s">
        <v>90</v>
      </c>
      <c r="U641">
        <v>0</v>
      </c>
      <c r="V641" t="s">
        <v>90</v>
      </c>
      <c r="W641">
        <v>0</v>
      </c>
      <c r="X641" t="s">
        <v>90</v>
      </c>
      <c r="Y641">
        <v>0</v>
      </c>
      <c r="Z641">
        <v>1.8119896281781263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L641">
        <v>1.76</v>
      </c>
      <c r="AN641" t="s">
        <v>185</v>
      </c>
      <c r="AO641" t="s">
        <v>73</v>
      </c>
      <c r="AP641">
        <v>200000</v>
      </c>
      <c r="AQ641" t="s">
        <v>97</v>
      </c>
      <c r="AS641">
        <v>10000</v>
      </c>
      <c r="AT641" t="s">
        <v>4974</v>
      </c>
      <c r="AU641" t="s">
        <v>75</v>
      </c>
      <c r="AV641" t="s">
        <v>76</v>
      </c>
    </row>
    <row r="642" spans="1:48" x14ac:dyDescent="0.15">
      <c r="A642" s="4" t="str">
        <f>HYPERLINK("https://ibp.a2mac1.com/costing(costing:projects/details/9760/assembly/8416520)","Fixing parts")</f>
        <v>Fixing parts</v>
      </c>
      <c r="B642">
        <v>8416520</v>
      </c>
      <c r="D642">
        <v>8416160</v>
      </c>
      <c r="F642">
        <v>1</v>
      </c>
      <c r="G642">
        <v>0</v>
      </c>
      <c r="H642">
        <v>9.5966841232470124E-2</v>
      </c>
      <c r="I642">
        <v>0</v>
      </c>
      <c r="J642" t="s">
        <v>90</v>
      </c>
      <c r="K642">
        <v>0</v>
      </c>
      <c r="L642">
        <v>9.5966841232470124E-2</v>
      </c>
      <c r="M642">
        <v>0</v>
      </c>
      <c r="N642">
        <v>0</v>
      </c>
      <c r="O642">
        <v>9.5966841232470124E-2</v>
      </c>
      <c r="P642" t="s">
        <v>90</v>
      </c>
      <c r="Q642">
        <v>0</v>
      </c>
      <c r="R642" t="s">
        <v>90</v>
      </c>
      <c r="S642">
        <v>0</v>
      </c>
      <c r="T642" t="s">
        <v>90</v>
      </c>
      <c r="U642">
        <v>0</v>
      </c>
      <c r="V642" t="s">
        <v>90</v>
      </c>
      <c r="W642">
        <v>0</v>
      </c>
      <c r="X642" t="s">
        <v>90</v>
      </c>
      <c r="Y642">
        <v>0</v>
      </c>
      <c r="Z642">
        <v>9.5966841232470124E-2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N642" t="s">
        <v>185</v>
      </c>
      <c r="AO642" t="s">
        <v>73</v>
      </c>
      <c r="AP642">
        <v>200000</v>
      </c>
      <c r="AQ642" t="s">
        <v>97</v>
      </c>
      <c r="AS642">
        <v>10000</v>
      </c>
      <c r="AT642" t="s">
        <v>4979</v>
      </c>
      <c r="AU642" t="s">
        <v>75</v>
      </c>
      <c r="AV642" t="s">
        <v>76</v>
      </c>
    </row>
    <row r="643" spans="1:48" x14ac:dyDescent="0.15">
      <c r="A643" s="4" t="str">
        <f>HYPERLINK("https://ibp.a2mac1.com/costing(costing:projects/details/9760/assembly/8416160)","Cross member 01 (outer)")</f>
        <v>Cross member 01 (outer)</v>
      </c>
      <c r="B643">
        <v>8416160</v>
      </c>
      <c r="D643">
        <v>8415807</v>
      </c>
      <c r="F643">
        <v>1</v>
      </c>
      <c r="G643">
        <v>0</v>
      </c>
      <c r="H643">
        <v>1.9079564694105964</v>
      </c>
      <c r="I643">
        <v>0</v>
      </c>
      <c r="J643" t="s">
        <v>90</v>
      </c>
      <c r="K643">
        <v>0</v>
      </c>
      <c r="L643">
        <v>1.9079564694105964</v>
      </c>
      <c r="M643">
        <v>0</v>
      </c>
      <c r="N643">
        <v>0</v>
      </c>
      <c r="O643">
        <v>1.9079564694105964</v>
      </c>
      <c r="P643" t="s">
        <v>90</v>
      </c>
      <c r="Q643">
        <v>0</v>
      </c>
      <c r="R643" t="s">
        <v>90</v>
      </c>
      <c r="S643">
        <v>0</v>
      </c>
      <c r="T643" t="s">
        <v>90</v>
      </c>
      <c r="U643">
        <v>0</v>
      </c>
      <c r="V643" t="s">
        <v>90</v>
      </c>
      <c r="W643">
        <v>0</v>
      </c>
      <c r="X643" t="s">
        <v>90</v>
      </c>
      <c r="Y643">
        <v>0</v>
      </c>
      <c r="Z643">
        <v>1.9079564694105964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N643" t="s">
        <v>185</v>
      </c>
      <c r="AO643" t="s">
        <v>73</v>
      </c>
      <c r="AP643">
        <v>200000</v>
      </c>
      <c r="AQ643" t="s">
        <v>97</v>
      </c>
      <c r="AS643">
        <v>10000</v>
      </c>
      <c r="AT643" t="s">
        <v>4980</v>
      </c>
      <c r="AU643" t="s">
        <v>75</v>
      </c>
      <c r="AV643" t="s">
        <v>76</v>
      </c>
    </row>
    <row r="644" spans="1:48" x14ac:dyDescent="0.15">
      <c r="A644" s="4" t="str">
        <f>HYPERLINK("https://ibp.a2mac1.com/costing(costing:projects/details/9760/assembly/8416521)","Cross member")</f>
        <v>Cross member</v>
      </c>
      <c r="B644">
        <v>8416521</v>
      </c>
      <c r="D644">
        <v>8416161</v>
      </c>
      <c r="F644">
        <v>1</v>
      </c>
      <c r="G644">
        <v>0</v>
      </c>
      <c r="H644">
        <v>1.1064417625726477</v>
      </c>
      <c r="I644">
        <v>0</v>
      </c>
      <c r="J644" t="s">
        <v>90</v>
      </c>
      <c r="K644">
        <v>0</v>
      </c>
      <c r="L644">
        <v>1.1064417625726477</v>
      </c>
      <c r="M644">
        <v>0</v>
      </c>
      <c r="N644">
        <v>0</v>
      </c>
      <c r="O644">
        <v>1.1064417625726477</v>
      </c>
      <c r="P644" t="s">
        <v>90</v>
      </c>
      <c r="Q644">
        <v>0</v>
      </c>
      <c r="R644" t="s">
        <v>90</v>
      </c>
      <c r="S644">
        <v>0</v>
      </c>
      <c r="T644" t="s">
        <v>90</v>
      </c>
      <c r="U644">
        <v>0</v>
      </c>
      <c r="V644" t="s">
        <v>90</v>
      </c>
      <c r="W644">
        <v>0</v>
      </c>
      <c r="X644" t="s">
        <v>90</v>
      </c>
      <c r="Y644">
        <v>0</v>
      </c>
      <c r="Z644">
        <v>1.1064417625726477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L644">
        <v>1.147</v>
      </c>
      <c r="AN644" t="s">
        <v>185</v>
      </c>
      <c r="AO644" t="s">
        <v>73</v>
      </c>
      <c r="AP644">
        <v>200000</v>
      </c>
      <c r="AQ644" t="s">
        <v>97</v>
      </c>
      <c r="AS644">
        <v>10000</v>
      </c>
      <c r="AT644" t="s">
        <v>4987</v>
      </c>
      <c r="AU644" t="s">
        <v>75</v>
      </c>
      <c r="AV644" t="s">
        <v>76</v>
      </c>
    </row>
    <row r="645" spans="1:48" x14ac:dyDescent="0.15">
      <c r="A645" s="4" t="str">
        <f>HYPERLINK("https://ibp.a2mac1.com/costing(costing:projects/details/9760/assembly/8416522)","Brackets")</f>
        <v>Brackets</v>
      </c>
      <c r="B645">
        <v>8416522</v>
      </c>
      <c r="D645">
        <v>8416161</v>
      </c>
      <c r="F645">
        <v>1</v>
      </c>
      <c r="G645">
        <v>0</v>
      </c>
      <c r="H645">
        <v>0.43848097011247356</v>
      </c>
      <c r="I645">
        <v>0</v>
      </c>
      <c r="J645" t="s">
        <v>90</v>
      </c>
      <c r="K645">
        <v>0</v>
      </c>
      <c r="L645">
        <v>0.43848097011247356</v>
      </c>
      <c r="M645">
        <v>0</v>
      </c>
      <c r="N645">
        <v>0</v>
      </c>
      <c r="O645">
        <v>0.43848097011247356</v>
      </c>
      <c r="P645" t="s">
        <v>90</v>
      </c>
      <c r="Q645">
        <v>0</v>
      </c>
      <c r="R645" t="s">
        <v>90</v>
      </c>
      <c r="S645">
        <v>0</v>
      </c>
      <c r="T645" t="s">
        <v>90</v>
      </c>
      <c r="U645">
        <v>0</v>
      </c>
      <c r="V645" t="s">
        <v>90</v>
      </c>
      <c r="W645">
        <v>0</v>
      </c>
      <c r="X645" t="s">
        <v>90</v>
      </c>
      <c r="Y645">
        <v>0</v>
      </c>
      <c r="Z645">
        <v>0.43848097011247356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L645">
        <v>0.36499999999999999</v>
      </c>
      <c r="AN645" t="s">
        <v>185</v>
      </c>
      <c r="AO645" t="s">
        <v>73</v>
      </c>
      <c r="AP645">
        <v>200000</v>
      </c>
      <c r="AQ645" t="s">
        <v>97</v>
      </c>
      <c r="AS645">
        <v>10000</v>
      </c>
      <c r="AT645" t="s">
        <v>4993</v>
      </c>
      <c r="AU645" t="s">
        <v>75</v>
      </c>
      <c r="AV645" t="s">
        <v>76</v>
      </c>
    </row>
    <row r="646" spans="1:48" x14ac:dyDescent="0.15">
      <c r="A646" s="4" t="str">
        <f>HYPERLINK("https://ibp.a2mac1.com/costing(costing:projects/details/9760/assembly/8416161)","Cross member 02 (inner)")</f>
        <v>Cross member 02 (inner)</v>
      </c>
      <c r="B646">
        <v>8416161</v>
      </c>
      <c r="D646">
        <v>8415807</v>
      </c>
      <c r="F646">
        <v>1</v>
      </c>
      <c r="G646">
        <v>0</v>
      </c>
      <c r="H646">
        <v>1.5449227326851211</v>
      </c>
      <c r="I646">
        <v>0</v>
      </c>
      <c r="J646" t="s">
        <v>90</v>
      </c>
      <c r="K646">
        <v>0</v>
      </c>
      <c r="L646">
        <v>1.5449227326851211</v>
      </c>
      <c r="M646">
        <v>0</v>
      </c>
      <c r="N646">
        <v>0</v>
      </c>
      <c r="O646">
        <v>1.5449227326851211</v>
      </c>
      <c r="P646" t="s">
        <v>90</v>
      </c>
      <c r="Q646">
        <v>0</v>
      </c>
      <c r="R646" t="s">
        <v>90</v>
      </c>
      <c r="S646">
        <v>0</v>
      </c>
      <c r="T646" t="s">
        <v>90</v>
      </c>
      <c r="U646">
        <v>0</v>
      </c>
      <c r="V646" t="s">
        <v>90</v>
      </c>
      <c r="W646">
        <v>0</v>
      </c>
      <c r="X646" t="s">
        <v>90</v>
      </c>
      <c r="Y646">
        <v>0</v>
      </c>
      <c r="Z646">
        <v>1.5449227326851211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L646">
        <v>1.512</v>
      </c>
      <c r="AN646" t="s">
        <v>185</v>
      </c>
      <c r="AO646" t="s">
        <v>73</v>
      </c>
      <c r="AP646">
        <v>200000</v>
      </c>
      <c r="AQ646" t="s">
        <v>73</v>
      </c>
      <c r="AS646">
        <v>10000</v>
      </c>
      <c r="AT646" t="s">
        <v>4994</v>
      </c>
      <c r="AU646" t="s">
        <v>75</v>
      </c>
      <c r="AV646" t="s">
        <v>76</v>
      </c>
    </row>
    <row r="647" spans="1:48" x14ac:dyDescent="0.15">
      <c r="A647" s="4" t="str">
        <f>HYPERLINK("https://ibp.a2mac1.com/costing(costing:projects/details/9760/assembly/8415807)","Top roll assy")</f>
        <v>Top roll assy</v>
      </c>
      <c r="B647">
        <v>8415807</v>
      </c>
      <c r="D647">
        <v>8415618</v>
      </c>
      <c r="F647">
        <v>1</v>
      </c>
      <c r="G647">
        <v>0</v>
      </c>
      <c r="H647">
        <v>3.4528792020957177</v>
      </c>
      <c r="I647">
        <v>0</v>
      </c>
      <c r="J647" t="s">
        <v>90</v>
      </c>
      <c r="K647">
        <v>0</v>
      </c>
      <c r="L647">
        <v>3.4528792020957177</v>
      </c>
      <c r="M647">
        <v>0</v>
      </c>
      <c r="N647">
        <v>0</v>
      </c>
      <c r="O647">
        <v>3.4528792020957177</v>
      </c>
      <c r="P647" t="s">
        <v>90</v>
      </c>
      <c r="Q647">
        <v>0</v>
      </c>
      <c r="R647" t="s">
        <v>90</v>
      </c>
      <c r="S647">
        <v>0</v>
      </c>
      <c r="T647" t="s">
        <v>90</v>
      </c>
      <c r="U647">
        <v>0</v>
      </c>
      <c r="V647" t="s">
        <v>90</v>
      </c>
      <c r="W647">
        <v>0</v>
      </c>
      <c r="X647" t="s">
        <v>90</v>
      </c>
      <c r="Y647">
        <v>0</v>
      </c>
      <c r="Z647">
        <v>3.4528792020957177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N647" t="s">
        <v>185</v>
      </c>
      <c r="AO647" t="s">
        <v>73</v>
      </c>
      <c r="AP647">
        <v>200000</v>
      </c>
      <c r="AQ647" t="s">
        <v>73</v>
      </c>
      <c r="AS647">
        <v>10000</v>
      </c>
      <c r="AT647" t="s">
        <v>4995</v>
      </c>
      <c r="AU647" t="s">
        <v>75</v>
      </c>
      <c r="AV647" t="s">
        <v>76</v>
      </c>
    </row>
    <row r="648" spans="1:48" x14ac:dyDescent="0.15">
      <c r="A648" s="4" t="str">
        <f>HYPERLINK("https://ibp.a2mac1.com/costing(costing:projects/details/9760/assembly/8416162)","Reinforcements")</f>
        <v>Reinforcements</v>
      </c>
      <c r="B648">
        <v>8416162</v>
      </c>
      <c r="D648">
        <v>8415808</v>
      </c>
      <c r="F648">
        <v>1</v>
      </c>
      <c r="G648">
        <v>0</v>
      </c>
      <c r="H648">
        <v>0.11947093775292308</v>
      </c>
      <c r="I648">
        <v>0</v>
      </c>
      <c r="J648" t="s">
        <v>90</v>
      </c>
      <c r="K648">
        <v>0</v>
      </c>
      <c r="L648">
        <v>0.11947093775292308</v>
      </c>
      <c r="M648">
        <v>0</v>
      </c>
      <c r="N648">
        <v>0</v>
      </c>
      <c r="O648">
        <v>0.11947093775292308</v>
      </c>
      <c r="P648" t="s">
        <v>90</v>
      </c>
      <c r="Q648">
        <v>0</v>
      </c>
      <c r="R648" t="s">
        <v>90</v>
      </c>
      <c r="S648">
        <v>0</v>
      </c>
      <c r="T648" t="s">
        <v>90</v>
      </c>
      <c r="U648">
        <v>0</v>
      </c>
      <c r="V648" t="s">
        <v>90</v>
      </c>
      <c r="W648">
        <v>0</v>
      </c>
      <c r="X648" t="s">
        <v>90</v>
      </c>
      <c r="Y648">
        <v>0</v>
      </c>
      <c r="Z648">
        <v>0.11947093775292308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L648">
        <v>8.6999999999999994E-2</v>
      </c>
      <c r="AN648" t="s">
        <v>185</v>
      </c>
      <c r="AO648" t="s">
        <v>73</v>
      </c>
      <c r="AP648">
        <v>200000</v>
      </c>
      <c r="AQ648" t="s">
        <v>97</v>
      </c>
      <c r="AS648">
        <v>10000</v>
      </c>
      <c r="AT648" t="s">
        <v>5002</v>
      </c>
      <c r="AU648" t="s">
        <v>75</v>
      </c>
      <c r="AV648" t="s">
        <v>76</v>
      </c>
    </row>
    <row r="649" spans="1:48" x14ac:dyDescent="0.15">
      <c r="A649" s="4" t="str">
        <f>HYPERLINK("https://ibp.a2mac1.com/costing(costing:projects/details/9760/assembly/8416828)","slide")</f>
        <v>slide</v>
      </c>
      <c r="B649">
        <v>8416828</v>
      </c>
      <c r="D649">
        <v>8416524</v>
      </c>
      <c r="F649">
        <v>1</v>
      </c>
      <c r="G649">
        <v>0</v>
      </c>
      <c r="H649">
        <v>0.45397729215144161</v>
      </c>
      <c r="I649">
        <v>0</v>
      </c>
      <c r="J649" t="s">
        <v>90</v>
      </c>
      <c r="K649">
        <v>0</v>
      </c>
      <c r="L649">
        <v>0.45397729215144161</v>
      </c>
      <c r="M649">
        <v>0</v>
      </c>
      <c r="N649">
        <v>0</v>
      </c>
      <c r="O649">
        <v>0.45397729215144161</v>
      </c>
      <c r="P649" t="s">
        <v>90</v>
      </c>
      <c r="Q649">
        <v>0</v>
      </c>
      <c r="R649" t="s">
        <v>90</v>
      </c>
      <c r="S649">
        <v>0</v>
      </c>
      <c r="T649" t="s">
        <v>90</v>
      </c>
      <c r="U649">
        <v>0</v>
      </c>
      <c r="V649" t="s">
        <v>90</v>
      </c>
      <c r="W649">
        <v>0</v>
      </c>
      <c r="X649" t="s">
        <v>90</v>
      </c>
      <c r="Y649">
        <v>0</v>
      </c>
      <c r="Z649">
        <v>0.45397729215144161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L649">
        <v>0.187</v>
      </c>
      <c r="AN649" t="s">
        <v>185</v>
      </c>
      <c r="AO649" t="s">
        <v>73</v>
      </c>
      <c r="AP649">
        <v>200000</v>
      </c>
      <c r="AQ649" t="s">
        <v>97</v>
      </c>
      <c r="AS649">
        <v>10000</v>
      </c>
      <c r="AT649" t="s">
        <v>5009</v>
      </c>
      <c r="AU649" t="s">
        <v>75</v>
      </c>
      <c r="AV649" t="s">
        <v>76</v>
      </c>
    </row>
    <row r="650" spans="1:48" x14ac:dyDescent="0.15">
      <c r="A650" s="4" t="str">
        <f>HYPERLINK("https://ibp.a2mac1.com/costing(costing:projects/details/9760/assembly/8416829)","Fixing parts")</f>
        <v>Fixing parts</v>
      </c>
      <c r="B650">
        <v>8416829</v>
      </c>
      <c r="D650">
        <v>8416524</v>
      </c>
      <c r="F650">
        <v>1</v>
      </c>
      <c r="G650">
        <v>0</v>
      </c>
      <c r="H650">
        <v>0.10527557432943634</v>
      </c>
      <c r="I650">
        <v>0</v>
      </c>
      <c r="J650" t="s">
        <v>90</v>
      </c>
      <c r="K650">
        <v>0</v>
      </c>
      <c r="L650">
        <v>0.10527557432943634</v>
      </c>
      <c r="M650">
        <v>0</v>
      </c>
      <c r="N650">
        <v>0</v>
      </c>
      <c r="O650">
        <v>0.10527557432943634</v>
      </c>
      <c r="P650" t="s">
        <v>90</v>
      </c>
      <c r="Q650">
        <v>0</v>
      </c>
      <c r="R650" t="s">
        <v>90</v>
      </c>
      <c r="S650">
        <v>0</v>
      </c>
      <c r="T650" t="s">
        <v>90</v>
      </c>
      <c r="U650">
        <v>0</v>
      </c>
      <c r="V650" t="s">
        <v>90</v>
      </c>
      <c r="W650">
        <v>0</v>
      </c>
      <c r="X650" t="s">
        <v>90</v>
      </c>
      <c r="Y650">
        <v>0</v>
      </c>
      <c r="Z650">
        <v>0.10527557432943634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L650">
        <v>8.1000000000000003E-2</v>
      </c>
      <c r="AN650" t="s">
        <v>185</v>
      </c>
      <c r="AO650" t="s">
        <v>73</v>
      </c>
      <c r="AP650">
        <v>200000</v>
      </c>
      <c r="AQ650" t="s">
        <v>97</v>
      </c>
      <c r="AS650">
        <v>10000</v>
      </c>
      <c r="AT650" t="s">
        <v>5014</v>
      </c>
      <c r="AU650" t="s">
        <v>75</v>
      </c>
      <c r="AV650" t="s">
        <v>76</v>
      </c>
    </row>
    <row r="651" spans="1:48" x14ac:dyDescent="0.15">
      <c r="A651" s="4" t="str">
        <f>HYPERLINK("https://ibp.a2mac1.com/costing(costing:projects/details/9760/assembly/8416524)","Front")</f>
        <v>Front</v>
      </c>
      <c r="B651">
        <v>8416524</v>
      </c>
      <c r="D651">
        <v>8416163</v>
      </c>
      <c r="F651">
        <v>1</v>
      </c>
      <c r="G651">
        <v>0</v>
      </c>
      <c r="H651">
        <v>0.55925286648087791</v>
      </c>
      <c r="I651">
        <v>0</v>
      </c>
      <c r="J651" t="s">
        <v>90</v>
      </c>
      <c r="K651">
        <v>0</v>
      </c>
      <c r="L651">
        <v>0.55925286648087791</v>
      </c>
      <c r="M651">
        <v>0</v>
      </c>
      <c r="N651">
        <v>0</v>
      </c>
      <c r="O651">
        <v>0.55925286648087791</v>
      </c>
      <c r="P651" t="s">
        <v>90</v>
      </c>
      <c r="Q651">
        <v>0</v>
      </c>
      <c r="R651" t="s">
        <v>90</v>
      </c>
      <c r="S651">
        <v>0</v>
      </c>
      <c r="T651" t="s">
        <v>90</v>
      </c>
      <c r="U651">
        <v>0</v>
      </c>
      <c r="V651" t="s">
        <v>90</v>
      </c>
      <c r="W651">
        <v>0</v>
      </c>
      <c r="X651" t="s">
        <v>90</v>
      </c>
      <c r="Y651">
        <v>0</v>
      </c>
      <c r="Z651">
        <v>0.55925286648087791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L651">
        <v>0.26800000000000002</v>
      </c>
      <c r="AN651" t="s">
        <v>185</v>
      </c>
      <c r="AO651" t="s">
        <v>73</v>
      </c>
      <c r="AP651">
        <v>200000</v>
      </c>
      <c r="AQ651" t="s">
        <v>97</v>
      </c>
      <c r="AS651">
        <v>10000</v>
      </c>
      <c r="AT651" t="s">
        <v>5015</v>
      </c>
      <c r="AU651" t="s">
        <v>75</v>
      </c>
      <c r="AV651" t="s">
        <v>76</v>
      </c>
    </row>
    <row r="652" spans="1:48" x14ac:dyDescent="0.15">
      <c r="A652" s="4" t="str">
        <f>HYPERLINK("https://ibp.a2mac1.com/costing(costing:projects/details/9760/assembly/8416163)","Glass slides")</f>
        <v>Glass slides</v>
      </c>
      <c r="B652">
        <v>8416163</v>
      </c>
      <c r="D652">
        <v>8415808</v>
      </c>
      <c r="F652">
        <v>1</v>
      </c>
      <c r="G652">
        <v>0</v>
      </c>
      <c r="H652">
        <v>0.55925286648087791</v>
      </c>
      <c r="I652">
        <v>0</v>
      </c>
      <c r="J652" t="s">
        <v>90</v>
      </c>
      <c r="K652">
        <v>0</v>
      </c>
      <c r="L652">
        <v>0.55925286648087791</v>
      </c>
      <c r="M652">
        <v>0</v>
      </c>
      <c r="N652">
        <v>0</v>
      </c>
      <c r="O652">
        <v>0.55925286648087791</v>
      </c>
      <c r="P652" t="s">
        <v>90</v>
      </c>
      <c r="Q652">
        <v>0</v>
      </c>
      <c r="R652" t="s">
        <v>90</v>
      </c>
      <c r="S652">
        <v>0</v>
      </c>
      <c r="T652" t="s">
        <v>90</v>
      </c>
      <c r="U652">
        <v>0</v>
      </c>
      <c r="V652" t="s">
        <v>90</v>
      </c>
      <c r="W652">
        <v>0</v>
      </c>
      <c r="X652" t="s">
        <v>90</v>
      </c>
      <c r="Y652">
        <v>0</v>
      </c>
      <c r="Z652">
        <v>0.55925286648087791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L652">
        <v>0.26800000000000002</v>
      </c>
      <c r="AN652" t="s">
        <v>185</v>
      </c>
      <c r="AO652" t="s">
        <v>73</v>
      </c>
      <c r="AP652">
        <v>200000</v>
      </c>
      <c r="AQ652" t="s">
        <v>97</v>
      </c>
      <c r="AS652">
        <v>10000</v>
      </c>
      <c r="AT652" t="s">
        <v>5016</v>
      </c>
      <c r="AU652" t="s">
        <v>75</v>
      </c>
      <c r="AV652" t="s">
        <v>76</v>
      </c>
    </row>
    <row r="653" spans="1:48" x14ac:dyDescent="0.15">
      <c r="A653" s="4" t="str">
        <f>HYPERLINK("https://ibp.a2mac1.com/costing(costing:projects/details/9760/assembly/8415808)","Window frame assy")</f>
        <v>Window frame assy</v>
      </c>
      <c r="B653">
        <v>8415808</v>
      </c>
      <c r="D653">
        <v>8415618</v>
      </c>
      <c r="F653">
        <v>1</v>
      </c>
      <c r="G653">
        <v>0</v>
      </c>
      <c r="H653">
        <v>0.67872380423380108</v>
      </c>
      <c r="I653">
        <v>0</v>
      </c>
      <c r="J653" t="s">
        <v>90</v>
      </c>
      <c r="K653">
        <v>0</v>
      </c>
      <c r="L653">
        <v>0.67872380423380108</v>
      </c>
      <c r="M653">
        <v>0</v>
      </c>
      <c r="N653">
        <v>0</v>
      </c>
      <c r="O653">
        <v>0.67872380423380108</v>
      </c>
      <c r="P653" t="s">
        <v>90</v>
      </c>
      <c r="Q653">
        <v>0</v>
      </c>
      <c r="R653" t="s">
        <v>90</v>
      </c>
      <c r="S653">
        <v>0</v>
      </c>
      <c r="T653" t="s">
        <v>90</v>
      </c>
      <c r="U653">
        <v>0</v>
      </c>
      <c r="V653" t="s">
        <v>90</v>
      </c>
      <c r="W653">
        <v>0</v>
      </c>
      <c r="X653" t="s">
        <v>90</v>
      </c>
      <c r="Y653">
        <v>0</v>
      </c>
      <c r="Z653">
        <v>0.67872380423380108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L653">
        <v>0.35499999999999998</v>
      </c>
      <c r="AN653" t="s">
        <v>185</v>
      </c>
      <c r="AO653" t="s">
        <v>73</v>
      </c>
      <c r="AP653">
        <v>200000</v>
      </c>
      <c r="AQ653" t="s">
        <v>73</v>
      </c>
      <c r="AS653">
        <v>10000</v>
      </c>
      <c r="AT653" t="s">
        <v>5017</v>
      </c>
      <c r="AU653" t="s">
        <v>75</v>
      </c>
      <c r="AV653" t="s">
        <v>76</v>
      </c>
    </row>
    <row r="654" spans="1:48" x14ac:dyDescent="0.15">
      <c r="A654" s="4" t="str">
        <f>HYPERLINK("https://ibp.a2mac1.com/costing(costing:projects/details/9760/assembly/8416525)","Beam")</f>
        <v>Beam</v>
      </c>
      <c r="B654">
        <v>8416525</v>
      </c>
      <c r="D654">
        <v>8416164</v>
      </c>
      <c r="F654">
        <v>1</v>
      </c>
      <c r="G654">
        <v>0</v>
      </c>
      <c r="H654">
        <v>1.6604185050675373</v>
      </c>
      <c r="I654">
        <v>0</v>
      </c>
      <c r="J654" t="s">
        <v>90</v>
      </c>
      <c r="K654">
        <v>0</v>
      </c>
      <c r="L654">
        <v>1.6604185050675373</v>
      </c>
      <c r="M654">
        <v>0</v>
      </c>
      <c r="N654">
        <v>0</v>
      </c>
      <c r="O654">
        <v>1.6604185050675373</v>
      </c>
      <c r="P654" t="s">
        <v>90</v>
      </c>
      <c r="Q654">
        <v>0</v>
      </c>
      <c r="R654" t="s">
        <v>90</v>
      </c>
      <c r="S654">
        <v>0</v>
      </c>
      <c r="T654" t="s">
        <v>90</v>
      </c>
      <c r="U654">
        <v>0</v>
      </c>
      <c r="V654" t="s">
        <v>90</v>
      </c>
      <c r="W654">
        <v>0</v>
      </c>
      <c r="X654" t="s">
        <v>90</v>
      </c>
      <c r="Y654">
        <v>0</v>
      </c>
      <c r="Z654">
        <v>1.6604185050675373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L654">
        <v>1.7170000000000001</v>
      </c>
      <c r="AN654" t="s">
        <v>185</v>
      </c>
      <c r="AO654" t="s">
        <v>73</v>
      </c>
      <c r="AP654">
        <v>200000</v>
      </c>
      <c r="AQ654" t="s">
        <v>97</v>
      </c>
      <c r="AS654">
        <v>10000</v>
      </c>
      <c r="AT654" t="s">
        <v>5025</v>
      </c>
      <c r="AU654" t="s">
        <v>75</v>
      </c>
      <c r="AV654" t="s">
        <v>76</v>
      </c>
    </row>
    <row r="655" spans="1:48" x14ac:dyDescent="0.15">
      <c r="A655" s="4" t="str">
        <f>HYPERLINK("https://ibp.a2mac1.com/costing(costing:projects/details/9760/assembly/8416164)","Beam 01 (single/upper)")</f>
        <v>Beam 01 (single/upper)</v>
      </c>
      <c r="B655">
        <v>8416164</v>
      </c>
      <c r="D655">
        <v>8415809</v>
      </c>
      <c r="F655">
        <v>1</v>
      </c>
      <c r="G655">
        <v>0</v>
      </c>
      <c r="H655">
        <v>1.6604185050675373</v>
      </c>
      <c r="I655">
        <v>0</v>
      </c>
      <c r="J655" t="s">
        <v>90</v>
      </c>
      <c r="K655">
        <v>0</v>
      </c>
      <c r="L655">
        <v>1.6604185050675373</v>
      </c>
      <c r="M655">
        <v>0</v>
      </c>
      <c r="N655">
        <v>0</v>
      </c>
      <c r="O655">
        <v>1.6604185050675373</v>
      </c>
      <c r="P655" t="s">
        <v>90</v>
      </c>
      <c r="Q655">
        <v>0</v>
      </c>
      <c r="R655" t="s">
        <v>90</v>
      </c>
      <c r="S655">
        <v>0</v>
      </c>
      <c r="T655" t="s">
        <v>90</v>
      </c>
      <c r="U655">
        <v>0</v>
      </c>
      <c r="V655" t="s">
        <v>90</v>
      </c>
      <c r="W655">
        <v>0</v>
      </c>
      <c r="X655" t="s">
        <v>90</v>
      </c>
      <c r="Y655">
        <v>0</v>
      </c>
      <c r="Z655">
        <v>1.6604185050675373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L655">
        <v>1.7170000000000001</v>
      </c>
      <c r="AN655" t="s">
        <v>185</v>
      </c>
      <c r="AO655" t="s">
        <v>73</v>
      </c>
      <c r="AP655">
        <v>200000</v>
      </c>
      <c r="AQ655" t="s">
        <v>97</v>
      </c>
      <c r="AS655">
        <v>10000</v>
      </c>
      <c r="AT655" t="s">
        <v>5026</v>
      </c>
      <c r="AU655" t="s">
        <v>75</v>
      </c>
      <c r="AV655" t="s">
        <v>76</v>
      </c>
    </row>
    <row r="656" spans="1:48" x14ac:dyDescent="0.15">
      <c r="A656" s="4" t="str">
        <f>HYPERLINK("https://ibp.a2mac1.com/costing(costing:projects/details/9760/assembly/8415809)","Anti-intrusion beam")</f>
        <v>Anti-intrusion beam</v>
      </c>
      <c r="B656">
        <v>8415809</v>
      </c>
      <c r="D656">
        <v>8415618</v>
      </c>
      <c r="F656">
        <v>1</v>
      </c>
      <c r="G656">
        <v>0</v>
      </c>
      <c r="H656">
        <v>1.6604185050675373</v>
      </c>
      <c r="I656">
        <v>0</v>
      </c>
      <c r="J656" t="s">
        <v>90</v>
      </c>
      <c r="K656">
        <v>0</v>
      </c>
      <c r="L656">
        <v>1.6604185050675373</v>
      </c>
      <c r="M656">
        <v>0</v>
      </c>
      <c r="N656">
        <v>0</v>
      </c>
      <c r="O656">
        <v>1.6604185050675373</v>
      </c>
      <c r="P656" t="s">
        <v>90</v>
      </c>
      <c r="Q656">
        <v>0</v>
      </c>
      <c r="R656" t="s">
        <v>90</v>
      </c>
      <c r="S656">
        <v>0</v>
      </c>
      <c r="T656" t="s">
        <v>90</v>
      </c>
      <c r="U656">
        <v>0</v>
      </c>
      <c r="V656" t="s">
        <v>90</v>
      </c>
      <c r="W656">
        <v>0</v>
      </c>
      <c r="X656" t="s">
        <v>90</v>
      </c>
      <c r="Y656">
        <v>0</v>
      </c>
      <c r="Z656">
        <v>1.6604185050675373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L656">
        <v>1.7170000000000001</v>
      </c>
      <c r="AN656" t="s">
        <v>185</v>
      </c>
      <c r="AO656" t="s">
        <v>73</v>
      </c>
      <c r="AP656">
        <v>200000</v>
      </c>
      <c r="AQ656" t="s">
        <v>73</v>
      </c>
      <c r="AS656">
        <v>10000</v>
      </c>
      <c r="AT656" t="s">
        <v>5027</v>
      </c>
      <c r="AU656" t="s">
        <v>75</v>
      </c>
      <c r="AV656" t="s">
        <v>76</v>
      </c>
    </row>
    <row r="657" spans="1:48" x14ac:dyDescent="0.15">
      <c r="A657" s="4" t="str">
        <f>HYPERLINK("https://ibp.a2mac1.com/costing(costing:projects/details/9760/assembly/8416165)","Housing")</f>
        <v>Housing</v>
      </c>
      <c r="B657">
        <v>8416165</v>
      </c>
      <c r="D657">
        <v>8415810</v>
      </c>
      <c r="F657">
        <v>1</v>
      </c>
      <c r="G657">
        <v>0</v>
      </c>
      <c r="H657">
        <v>4.811406961136055</v>
      </c>
      <c r="I657">
        <v>0</v>
      </c>
      <c r="J657" t="s">
        <v>90</v>
      </c>
      <c r="K657">
        <v>0</v>
      </c>
      <c r="L657">
        <v>4.811406961136055</v>
      </c>
      <c r="M657">
        <v>0</v>
      </c>
      <c r="N657">
        <v>0</v>
      </c>
      <c r="O657">
        <v>4.811406961136055</v>
      </c>
      <c r="P657" t="s">
        <v>90</v>
      </c>
      <c r="Q657">
        <v>0</v>
      </c>
      <c r="R657" t="s">
        <v>90</v>
      </c>
      <c r="S657">
        <v>0</v>
      </c>
      <c r="T657" t="s">
        <v>90</v>
      </c>
      <c r="U657">
        <v>0</v>
      </c>
      <c r="V657" t="s">
        <v>90</v>
      </c>
      <c r="W657">
        <v>0</v>
      </c>
      <c r="X657" t="s">
        <v>90</v>
      </c>
      <c r="Y657">
        <v>0</v>
      </c>
      <c r="Z657">
        <v>4.811406961136055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L657">
        <v>4.4459999999999997</v>
      </c>
      <c r="AN657" t="s">
        <v>185</v>
      </c>
      <c r="AO657" t="s">
        <v>73</v>
      </c>
      <c r="AP657">
        <v>200000</v>
      </c>
      <c r="AQ657" t="s">
        <v>73</v>
      </c>
      <c r="AS657">
        <v>10000</v>
      </c>
      <c r="AT657" t="s">
        <v>5036</v>
      </c>
      <c r="AU657" t="s">
        <v>75</v>
      </c>
      <c r="AV657" t="s">
        <v>76</v>
      </c>
    </row>
    <row r="658" spans="1:48" x14ac:dyDescent="0.15">
      <c r="A658" s="4" t="str">
        <f>HYPERLINK("https://ibp.a2mac1.com/costing(costing:projects/details/9760/assembly/8416166)","Reinforcements")</f>
        <v>Reinforcements</v>
      </c>
      <c r="B658">
        <v>8416166</v>
      </c>
      <c r="D658">
        <v>8415810</v>
      </c>
      <c r="F658">
        <v>1</v>
      </c>
      <c r="G658">
        <v>0</v>
      </c>
      <c r="H658">
        <v>1.9485535918027244</v>
      </c>
      <c r="I658">
        <v>0</v>
      </c>
      <c r="J658" t="s">
        <v>90</v>
      </c>
      <c r="K658">
        <v>0</v>
      </c>
      <c r="L658">
        <v>1.9485535918027244</v>
      </c>
      <c r="M658">
        <v>0</v>
      </c>
      <c r="N658">
        <v>0</v>
      </c>
      <c r="O658">
        <v>1.9485535918027244</v>
      </c>
      <c r="P658" t="s">
        <v>90</v>
      </c>
      <c r="Q658">
        <v>0</v>
      </c>
      <c r="R658" t="s">
        <v>90</v>
      </c>
      <c r="S658">
        <v>0</v>
      </c>
      <c r="T658" t="s">
        <v>90</v>
      </c>
      <c r="U658">
        <v>0</v>
      </c>
      <c r="V658" t="s">
        <v>90</v>
      </c>
      <c r="W658">
        <v>0</v>
      </c>
      <c r="X658" t="s">
        <v>90</v>
      </c>
      <c r="Y658">
        <v>0</v>
      </c>
      <c r="Z658">
        <v>1.9485535918027244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L658">
        <v>1.625</v>
      </c>
      <c r="AN658" t="s">
        <v>185</v>
      </c>
      <c r="AO658" t="s">
        <v>73</v>
      </c>
      <c r="AP658">
        <v>200000</v>
      </c>
      <c r="AQ658" t="s">
        <v>97</v>
      </c>
      <c r="AS658">
        <v>10000</v>
      </c>
      <c r="AT658" t="s">
        <v>5056</v>
      </c>
      <c r="AU658" t="s">
        <v>75</v>
      </c>
      <c r="AV658" t="s">
        <v>76</v>
      </c>
    </row>
    <row r="659" spans="1:48" x14ac:dyDescent="0.15">
      <c r="A659" s="4" t="str">
        <f>HYPERLINK("https://ibp.a2mac1.com/costing(costing:projects/details/9760/assembly/8416532)","Front")</f>
        <v>Front</v>
      </c>
      <c r="B659">
        <v>8416532</v>
      </c>
      <c r="D659">
        <v>8416167</v>
      </c>
      <c r="F659">
        <v>1</v>
      </c>
      <c r="G659">
        <v>0</v>
      </c>
      <c r="H659">
        <v>0.11294343397472158</v>
      </c>
      <c r="I659">
        <v>0</v>
      </c>
      <c r="J659" t="s">
        <v>90</v>
      </c>
      <c r="K659">
        <v>0</v>
      </c>
      <c r="L659">
        <v>0.11294343397472158</v>
      </c>
      <c r="M659">
        <v>0</v>
      </c>
      <c r="N659">
        <v>0</v>
      </c>
      <c r="O659">
        <v>0.11294343397472158</v>
      </c>
      <c r="P659" t="s">
        <v>90</v>
      </c>
      <c r="Q659">
        <v>0</v>
      </c>
      <c r="R659" t="s">
        <v>90</v>
      </c>
      <c r="S659">
        <v>0</v>
      </c>
      <c r="T659" t="s">
        <v>90</v>
      </c>
      <c r="U659">
        <v>0</v>
      </c>
      <c r="V659" t="s">
        <v>90</v>
      </c>
      <c r="W659">
        <v>0</v>
      </c>
      <c r="X659" t="s">
        <v>90</v>
      </c>
      <c r="Y659">
        <v>0</v>
      </c>
      <c r="Z659">
        <v>0.11294343397472158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L659">
        <v>0.09</v>
      </c>
      <c r="AN659" t="s">
        <v>185</v>
      </c>
      <c r="AO659" t="s">
        <v>73</v>
      </c>
      <c r="AP659">
        <v>200000</v>
      </c>
      <c r="AQ659" t="s">
        <v>97</v>
      </c>
      <c r="AS659">
        <v>10000</v>
      </c>
      <c r="AT659" t="s">
        <v>5065</v>
      </c>
      <c r="AU659" t="s">
        <v>75</v>
      </c>
      <c r="AV659" t="s">
        <v>76</v>
      </c>
    </row>
    <row r="660" spans="1:48" x14ac:dyDescent="0.15">
      <c r="A660" s="4" t="str">
        <f>HYPERLINK("https://ibp.a2mac1.com/costing(costing:projects/details/9760/assembly/8416167)","Fixing parts")</f>
        <v>Fixing parts</v>
      </c>
      <c r="B660">
        <v>8416167</v>
      </c>
      <c r="D660">
        <v>8415810</v>
      </c>
      <c r="F660">
        <v>1</v>
      </c>
      <c r="G660">
        <v>0</v>
      </c>
      <c r="H660">
        <v>0.11294343397472158</v>
      </c>
      <c r="I660">
        <v>0</v>
      </c>
      <c r="J660" t="s">
        <v>90</v>
      </c>
      <c r="K660">
        <v>0</v>
      </c>
      <c r="L660">
        <v>0.11294343397472158</v>
      </c>
      <c r="M660">
        <v>0</v>
      </c>
      <c r="N660">
        <v>0</v>
      </c>
      <c r="O660">
        <v>0.11294343397472158</v>
      </c>
      <c r="P660" t="s">
        <v>90</v>
      </c>
      <c r="Q660">
        <v>0</v>
      </c>
      <c r="R660" t="s">
        <v>90</v>
      </c>
      <c r="S660">
        <v>0</v>
      </c>
      <c r="T660" t="s">
        <v>90</v>
      </c>
      <c r="U660">
        <v>0</v>
      </c>
      <c r="V660" t="s">
        <v>90</v>
      </c>
      <c r="W660">
        <v>0</v>
      </c>
      <c r="X660" t="s">
        <v>90</v>
      </c>
      <c r="Y660">
        <v>0</v>
      </c>
      <c r="Z660">
        <v>0.11294343397472158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L660">
        <v>0.09</v>
      </c>
      <c r="AN660" t="s">
        <v>185</v>
      </c>
      <c r="AO660" t="s">
        <v>73</v>
      </c>
      <c r="AP660">
        <v>200000</v>
      </c>
      <c r="AQ660" t="s">
        <v>97</v>
      </c>
      <c r="AS660">
        <v>10000</v>
      </c>
      <c r="AT660" t="s">
        <v>5066</v>
      </c>
      <c r="AU660" t="s">
        <v>75</v>
      </c>
      <c r="AV660" t="s">
        <v>76</v>
      </c>
    </row>
    <row r="661" spans="1:48" x14ac:dyDescent="0.15">
      <c r="A661" s="4" t="str">
        <f>HYPERLINK("https://ibp.a2mac1.com/costing(costing:projects/details/9760/assembly/8415810)","Housing assy")</f>
        <v>Housing assy</v>
      </c>
      <c r="B661">
        <v>8415810</v>
      </c>
      <c r="D661">
        <v>8415618</v>
      </c>
      <c r="F661">
        <v>1</v>
      </c>
      <c r="G661">
        <v>0</v>
      </c>
      <c r="H661">
        <v>6.8729039869135011</v>
      </c>
      <c r="I661">
        <v>0</v>
      </c>
      <c r="J661" t="s">
        <v>90</v>
      </c>
      <c r="K661">
        <v>0</v>
      </c>
      <c r="L661">
        <v>6.8729039869135011</v>
      </c>
      <c r="M661">
        <v>0</v>
      </c>
      <c r="N661">
        <v>0</v>
      </c>
      <c r="O661">
        <v>6.8729039869135011</v>
      </c>
      <c r="P661" t="s">
        <v>90</v>
      </c>
      <c r="Q661">
        <v>0</v>
      </c>
      <c r="R661" t="s">
        <v>90</v>
      </c>
      <c r="S661">
        <v>0</v>
      </c>
      <c r="T661" t="s">
        <v>90</v>
      </c>
      <c r="U661">
        <v>0</v>
      </c>
      <c r="V661" t="s">
        <v>90</v>
      </c>
      <c r="W661">
        <v>0</v>
      </c>
      <c r="X661" t="s">
        <v>90</v>
      </c>
      <c r="Y661">
        <v>0</v>
      </c>
      <c r="Z661">
        <v>6.8729039869135011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L661">
        <v>6.1609999999999996</v>
      </c>
      <c r="AN661" t="s">
        <v>185</v>
      </c>
      <c r="AO661" t="s">
        <v>73</v>
      </c>
      <c r="AP661">
        <v>200000</v>
      </c>
      <c r="AQ661" t="s">
        <v>73</v>
      </c>
      <c r="AS661">
        <v>10000</v>
      </c>
      <c r="AT661" t="s">
        <v>5067</v>
      </c>
      <c r="AU661" t="s">
        <v>75</v>
      </c>
      <c r="AV661" t="s">
        <v>76</v>
      </c>
    </row>
    <row r="662" spans="1:48" x14ac:dyDescent="0.15">
      <c r="A662" s="4" t="str">
        <f>HYPERLINK("https://ibp.a2mac1.com/costing(costing:projects/details/9760/assembly/8415618)","Driver Door")</f>
        <v>Driver Door</v>
      </c>
      <c r="B662">
        <v>8415618</v>
      </c>
      <c r="D662">
        <v>8415582</v>
      </c>
      <c r="F662">
        <v>1</v>
      </c>
      <c r="G662">
        <v>0</v>
      </c>
      <c r="H662">
        <v>17.337010510994112</v>
      </c>
      <c r="I662">
        <v>0</v>
      </c>
      <c r="J662" t="s">
        <v>90</v>
      </c>
      <c r="K662">
        <v>0</v>
      </c>
      <c r="L662">
        <v>17.337010510994112</v>
      </c>
      <c r="M662">
        <v>0</v>
      </c>
      <c r="N662">
        <v>0.6579133898279117</v>
      </c>
      <c r="O662">
        <v>17.994923900822023</v>
      </c>
      <c r="P662" t="s">
        <v>90</v>
      </c>
      <c r="Q662">
        <v>0</v>
      </c>
      <c r="R662" t="s">
        <v>90</v>
      </c>
      <c r="S662">
        <v>0</v>
      </c>
      <c r="T662" t="s">
        <v>90</v>
      </c>
      <c r="U662">
        <v>0</v>
      </c>
      <c r="V662" t="s">
        <v>90</v>
      </c>
      <c r="W662">
        <v>0</v>
      </c>
      <c r="X662" t="s">
        <v>90</v>
      </c>
      <c r="Y662">
        <v>0</v>
      </c>
      <c r="Z662">
        <v>17.994923900822023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175</v>
      </c>
      <c r="AI662">
        <v>1196</v>
      </c>
      <c r="AJ662">
        <v>763</v>
      </c>
      <c r="AL662">
        <v>16.239999999999998</v>
      </c>
      <c r="AN662" t="s">
        <v>185</v>
      </c>
      <c r="AO662" t="s">
        <v>73</v>
      </c>
      <c r="AP662">
        <v>200000</v>
      </c>
      <c r="AQ662" t="s">
        <v>73</v>
      </c>
      <c r="AS662">
        <v>10000</v>
      </c>
      <c r="AT662" t="s">
        <v>5070</v>
      </c>
      <c r="AU662" t="s">
        <v>75</v>
      </c>
      <c r="AV662" t="s">
        <v>76</v>
      </c>
    </row>
    <row r="663" spans="1:48" x14ac:dyDescent="0.15">
      <c r="A663" s="4" t="str">
        <f>HYPERLINK("https://ibp.a2mac1.com/costing(costing:projects/details/9760/assembly/8415823)","Door handle")</f>
        <v>Door handle</v>
      </c>
      <c r="B663">
        <v>8415823</v>
      </c>
      <c r="D663">
        <v>8415622</v>
      </c>
      <c r="F663">
        <v>1</v>
      </c>
      <c r="G663">
        <v>0</v>
      </c>
      <c r="H663">
        <v>2.7551236764415119</v>
      </c>
      <c r="I663">
        <v>0</v>
      </c>
      <c r="J663" t="s">
        <v>90</v>
      </c>
      <c r="K663">
        <v>0</v>
      </c>
      <c r="L663">
        <v>2.7551236764415119</v>
      </c>
      <c r="M663">
        <v>0</v>
      </c>
      <c r="N663">
        <v>0</v>
      </c>
      <c r="O663">
        <v>2.7551236764415119</v>
      </c>
      <c r="P663" t="s">
        <v>90</v>
      </c>
      <c r="Q663">
        <v>0</v>
      </c>
      <c r="R663" t="s">
        <v>90</v>
      </c>
      <c r="S663">
        <v>0</v>
      </c>
      <c r="T663" t="s">
        <v>90</v>
      </c>
      <c r="U663">
        <v>0</v>
      </c>
      <c r="V663" t="s">
        <v>90</v>
      </c>
      <c r="W663">
        <v>0</v>
      </c>
      <c r="X663" t="s">
        <v>90</v>
      </c>
      <c r="Y663">
        <v>0</v>
      </c>
      <c r="Z663">
        <v>2.7551236764415119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L663">
        <v>0.35439999999999999</v>
      </c>
      <c r="AN663" t="s">
        <v>185</v>
      </c>
      <c r="AO663" t="s">
        <v>73</v>
      </c>
      <c r="AP663">
        <v>200000</v>
      </c>
      <c r="AQ663" t="s">
        <v>73</v>
      </c>
      <c r="AS663">
        <v>10000</v>
      </c>
      <c r="AT663" t="s">
        <v>5091</v>
      </c>
      <c r="AU663" t="s">
        <v>75</v>
      </c>
      <c r="AV663" t="s">
        <v>76</v>
      </c>
    </row>
    <row r="664" spans="1:48" x14ac:dyDescent="0.15">
      <c r="A664" s="4" t="str">
        <f>HYPERLINK("https://ibp.a2mac1.com/costing(costing:projects/details/9760/assembly/8415824)","Speaker Grill System")</f>
        <v>Speaker Grill System</v>
      </c>
      <c r="B664">
        <v>8415824</v>
      </c>
      <c r="D664">
        <v>8415622</v>
      </c>
      <c r="F664">
        <v>1</v>
      </c>
      <c r="G664">
        <v>0</v>
      </c>
      <c r="H664">
        <v>1.4975778045249053</v>
      </c>
      <c r="I664">
        <v>0</v>
      </c>
      <c r="J664" t="s">
        <v>90</v>
      </c>
      <c r="K664">
        <v>0</v>
      </c>
      <c r="L664">
        <v>1.4975778045249053</v>
      </c>
      <c r="M664">
        <v>0</v>
      </c>
      <c r="N664">
        <v>0</v>
      </c>
      <c r="O664">
        <v>1.4975778045249053</v>
      </c>
      <c r="P664" t="s">
        <v>90</v>
      </c>
      <c r="Q664">
        <v>0</v>
      </c>
      <c r="R664" t="s">
        <v>90</v>
      </c>
      <c r="S664">
        <v>0</v>
      </c>
      <c r="T664" t="s">
        <v>90</v>
      </c>
      <c r="U664">
        <v>0</v>
      </c>
      <c r="V664" t="s">
        <v>90</v>
      </c>
      <c r="W664">
        <v>0</v>
      </c>
      <c r="X664" t="s">
        <v>90</v>
      </c>
      <c r="Y664">
        <v>0</v>
      </c>
      <c r="Z664">
        <v>1.4975778045249053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L664">
        <v>0.20100000000000001</v>
      </c>
      <c r="AN664" t="s">
        <v>185</v>
      </c>
      <c r="AO664" t="s">
        <v>73</v>
      </c>
      <c r="AP664">
        <v>200000</v>
      </c>
      <c r="AQ664" t="s">
        <v>73</v>
      </c>
      <c r="AS664">
        <v>10000</v>
      </c>
      <c r="AT664" t="s">
        <v>5118</v>
      </c>
      <c r="AU664" t="s">
        <v>75</v>
      </c>
      <c r="AV664" t="s">
        <v>76</v>
      </c>
    </row>
    <row r="665" spans="1:48" x14ac:dyDescent="0.15">
      <c r="A665" s="4" t="str">
        <f>HYPERLINK("https://ibp.a2mac1.com/costing(costing:projects/details/9760/assembly/8415622)","Door Panel")</f>
        <v>Door Panel</v>
      </c>
      <c r="B665">
        <v>8415622</v>
      </c>
      <c r="D665">
        <v>8415582</v>
      </c>
      <c r="F665">
        <v>1</v>
      </c>
      <c r="G665">
        <v>0</v>
      </c>
      <c r="H665">
        <v>25.930553177035101</v>
      </c>
      <c r="I665">
        <v>0.13030428732178442</v>
      </c>
      <c r="J665" t="s">
        <v>176</v>
      </c>
      <c r="K665">
        <v>0.90756936119622855</v>
      </c>
      <c r="L665">
        <v>26.968426825553113</v>
      </c>
      <c r="M665">
        <v>0</v>
      </c>
      <c r="N665">
        <v>0</v>
      </c>
      <c r="O665">
        <v>26.968426825553113</v>
      </c>
      <c r="P665" t="s">
        <v>177</v>
      </c>
      <c r="Q665">
        <v>1.6181056095331869</v>
      </c>
      <c r="R665" t="s">
        <v>177</v>
      </c>
      <c r="S665">
        <v>0</v>
      </c>
      <c r="T665" t="s">
        <v>178</v>
      </c>
      <c r="U665">
        <v>3.2362112190663739</v>
      </c>
      <c r="V665" t="s">
        <v>90</v>
      </c>
      <c r="W665">
        <v>0</v>
      </c>
      <c r="X665" t="s">
        <v>90</v>
      </c>
      <c r="Y665">
        <v>0</v>
      </c>
      <c r="Z665">
        <v>31.822743654152674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143</v>
      </c>
      <c r="AI665">
        <v>945</v>
      </c>
      <c r="AJ665">
        <v>630</v>
      </c>
      <c r="AL665">
        <v>4.0435999999999996</v>
      </c>
      <c r="AN665" t="s">
        <v>772</v>
      </c>
      <c r="AO665" t="s">
        <v>73</v>
      </c>
      <c r="AP665">
        <v>200000</v>
      </c>
      <c r="AQ665" t="s">
        <v>97</v>
      </c>
      <c r="AS665">
        <v>10000</v>
      </c>
      <c r="AT665" t="s">
        <v>5181</v>
      </c>
      <c r="AU665" t="s">
        <v>75</v>
      </c>
      <c r="AV665" t="s">
        <v>76</v>
      </c>
    </row>
    <row r="666" spans="1:48" x14ac:dyDescent="0.15">
      <c r="A666" s="4" t="str">
        <f>HYPERLINK("https://ibp.a2mac1.com/costing(costing:projects/details/9760/assembly/8415623)","Power Controls")</f>
        <v>Power Controls</v>
      </c>
      <c r="B666">
        <v>8415623</v>
      </c>
      <c r="D666">
        <v>8415582</v>
      </c>
      <c r="F666">
        <v>1</v>
      </c>
      <c r="G666">
        <v>0</v>
      </c>
      <c r="H666">
        <v>4.7300000000000004</v>
      </c>
      <c r="I666">
        <v>0</v>
      </c>
      <c r="J666" t="s">
        <v>90</v>
      </c>
      <c r="K666">
        <v>0</v>
      </c>
      <c r="L666">
        <v>4.7300000000000004</v>
      </c>
      <c r="M666">
        <v>0</v>
      </c>
      <c r="N666">
        <v>0</v>
      </c>
      <c r="O666">
        <v>4.7300000000000004</v>
      </c>
      <c r="P666" t="s">
        <v>90</v>
      </c>
      <c r="Q666">
        <v>0</v>
      </c>
      <c r="R666" t="s">
        <v>90</v>
      </c>
      <c r="S666">
        <v>0</v>
      </c>
      <c r="T666" t="s">
        <v>90</v>
      </c>
      <c r="U666">
        <v>0</v>
      </c>
      <c r="V666" t="s">
        <v>90</v>
      </c>
      <c r="W666">
        <v>0</v>
      </c>
      <c r="X666" t="s">
        <v>90</v>
      </c>
      <c r="Y666">
        <v>0</v>
      </c>
      <c r="Z666">
        <v>4.7300000000000004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L666">
        <v>0.104</v>
      </c>
      <c r="AN666" t="s">
        <v>185</v>
      </c>
      <c r="AO666" t="s">
        <v>73</v>
      </c>
      <c r="AP666">
        <v>200000</v>
      </c>
      <c r="AQ666" t="s">
        <v>73</v>
      </c>
      <c r="AS666">
        <v>10000</v>
      </c>
      <c r="AT666" t="s">
        <v>5184</v>
      </c>
      <c r="AU666" t="s">
        <v>75</v>
      </c>
      <c r="AV666" t="s">
        <v>76</v>
      </c>
    </row>
    <row r="667" spans="1:48" x14ac:dyDescent="0.15">
      <c r="A667" s="4" t="str">
        <f>HYPERLINK("https://ibp.a2mac1.com/costing(costing:projects/details/9760/assembly/8415624)","Speaker System")</f>
        <v>Speaker System</v>
      </c>
      <c r="B667">
        <v>8415624</v>
      </c>
      <c r="D667">
        <v>8415582</v>
      </c>
      <c r="F667">
        <v>1</v>
      </c>
      <c r="G667">
        <v>0</v>
      </c>
      <c r="H667">
        <v>9.5893300000000004</v>
      </c>
      <c r="I667">
        <v>0</v>
      </c>
      <c r="J667" t="s">
        <v>90</v>
      </c>
      <c r="K667">
        <v>0</v>
      </c>
      <c r="L667">
        <v>9.5893300000000004</v>
      </c>
      <c r="M667">
        <v>0</v>
      </c>
      <c r="N667">
        <v>0</v>
      </c>
      <c r="O667">
        <v>9.5893300000000004</v>
      </c>
      <c r="P667" t="s">
        <v>90</v>
      </c>
      <c r="Q667">
        <v>0</v>
      </c>
      <c r="R667" t="s">
        <v>90</v>
      </c>
      <c r="S667">
        <v>0</v>
      </c>
      <c r="T667" t="s">
        <v>90</v>
      </c>
      <c r="U667">
        <v>0</v>
      </c>
      <c r="V667" t="s">
        <v>90</v>
      </c>
      <c r="W667">
        <v>0</v>
      </c>
      <c r="X667" t="s">
        <v>90</v>
      </c>
      <c r="Y667">
        <v>0</v>
      </c>
      <c r="Z667">
        <v>9.5893300000000004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L667">
        <v>0.93600000000000005</v>
      </c>
      <c r="AN667" t="s">
        <v>185</v>
      </c>
      <c r="AO667" t="s">
        <v>73</v>
      </c>
      <c r="AP667">
        <v>200000</v>
      </c>
      <c r="AQ667" t="s">
        <v>73</v>
      </c>
      <c r="AS667">
        <v>10000</v>
      </c>
      <c r="AT667" t="s">
        <v>5190</v>
      </c>
      <c r="AU667" t="s">
        <v>75</v>
      </c>
      <c r="AV667" t="s">
        <v>76</v>
      </c>
    </row>
    <row r="668" spans="1:48" x14ac:dyDescent="0.15">
      <c r="A668" s="4" t="str">
        <f>HYPERLINK("https://ibp.a2mac1.com/costing(costing:projects/details/9760/assembly/8416188)","Folding Motor")</f>
        <v>Folding Motor</v>
      </c>
      <c r="B668">
        <v>8416188</v>
      </c>
      <c r="D668">
        <v>8415831</v>
      </c>
      <c r="F668">
        <v>1</v>
      </c>
      <c r="G668">
        <v>0</v>
      </c>
      <c r="H668">
        <v>7.0579170557212088</v>
      </c>
      <c r="I668">
        <v>3.5466919877996023E-2</v>
      </c>
      <c r="J668" t="s">
        <v>176</v>
      </c>
      <c r="K668">
        <v>0.2470270969502423</v>
      </c>
      <c r="L668">
        <v>7.3404110725494469</v>
      </c>
      <c r="M668">
        <v>0</v>
      </c>
      <c r="N668">
        <v>0.57743923806586916</v>
      </c>
      <c r="O668">
        <v>7.9178503106153162</v>
      </c>
      <c r="P668" t="s">
        <v>90</v>
      </c>
      <c r="Q668">
        <v>0</v>
      </c>
      <c r="R668" t="s">
        <v>90</v>
      </c>
      <c r="S668">
        <v>0</v>
      </c>
      <c r="T668" t="s">
        <v>90</v>
      </c>
      <c r="U668">
        <v>0</v>
      </c>
      <c r="V668" t="s">
        <v>90</v>
      </c>
      <c r="W668">
        <v>0</v>
      </c>
      <c r="X668" t="s">
        <v>90</v>
      </c>
      <c r="Y668">
        <v>0</v>
      </c>
      <c r="Z668">
        <v>7.9178503106153162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82</v>
      </c>
      <c r="AI668">
        <v>108</v>
      </c>
      <c r="AJ668">
        <v>77</v>
      </c>
      <c r="AL668">
        <v>0.36499999999999999</v>
      </c>
      <c r="AN668" t="s">
        <v>5035</v>
      </c>
      <c r="AO668" t="s">
        <v>73</v>
      </c>
      <c r="AP668">
        <v>200000</v>
      </c>
      <c r="AQ668" t="s">
        <v>97</v>
      </c>
      <c r="AS668">
        <v>10000</v>
      </c>
      <c r="AT668" t="s">
        <v>5195</v>
      </c>
      <c r="AU668" t="s">
        <v>75</v>
      </c>
      <c r="AV668" t="s">
        <v>76</v>
      </c>
    </row>
    <row r="669" spans="1:48" x14ac:dyDescent="0.15">
      <c r="A669" s="4" t="str">
        <f>HYPERLINK("https://ibp.a2mac1.com/costing(costing:projects/details/9760/assembly/8416190)","360 View Camera side")</f>
        <v>360 View Camera side</v>
      </c>
      <c r="B669">
        <v>8416190</v>
      </c>
      <c r="D669">
        <v>8415831</v>
      </c>
      <c r="F669">
        <v>1</v>
      </c>
      <c r="G669">
        <v>0</v>
      </c>
      <c r="H669">
        <v>22.183217794543644</v>
      </c>
      <c r="I669">
        <v>0.11147345625398816</v>
      </c>
      <c r="J669" t="s">
        <v>176</v>
      </c>
      <c r="K669">
        <v>0.77641262280902756</v>
      </c>
      <c r="L669">
        <v>23.07110387360666</v>
      </c>
      <c r="M669">
        <v>0</v>
      </c>
      <c r="N669">
        <v>2.4896133417582353</v>
      </c>
      <c r="O669">
        <v>25.560717215364896</v>
      </c>
      <c r="P669" t="s">
        <v>177</v>
      </c>
      <c r="Q669">
        <v>1.3842662324163997</v>
      </c>
      <c r="R669" t="s">
        <v>177</v>
      </c>
      <c r="S669">
        <v>0.14937680050549412</v>
      </c>
      <c r="T669" t="s">
        <v>178</v>
      </c>
      <c r="U669">
        <v>3.0672860658437875</v>
      </c>
      <c r="V669" t="s">
        <v>90</v>
      </c>
      <c r="W669">
        <v>0</v>
      </c>
      <c r="X669" t="s">
        <v>90</v>
      </c>
      <c r="Y669">
        <v>0</v>
      </c>
      <c r="Z669">
        <v>30.161646314130579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31</v>
      </c>
      <c r="AI669">
        <v>23</v>
      </c>
      <c r="AJ669">
        <v>23</v>
      </c>
      <c r="AL669">
        <v>0.02</v>
      </c>
      <c r="AN669" t="s">
        <v>365</v>
      </c>
      <c r="AO669" t="s">
        <v>73</v>
      </c>
      <c r="AP669">
        <v>200000</v>
      </c>
      <c r="AQ669" t="s">
        <v>97</v>
      </c>
      <c r="AS669">
        <v>10000</v>
      </c>
      <c r="AT669" t="s">
        <v>5198</v>
      </c>
      <c r="AU669" t="s">
        <v>75</v>
      </c>
      <c r="AV669" t="s">
        <v>76</v>
      </c>
    </row>
    <row r="670" spans="1:48" x14ac:dyDescent="0.15">
      <c r="A670" s="4" t="str">
        <f>HYPERLINK("https://ibp.a2mac1.com/costing(costing:projects/details/9760/assembly/8415831)","Outside Rear View Mirror")</f>
        <v>Outside Rear View Mirror</v>
      </c>
      <c r="B670">
        <v>8415831</v>
      </c>
      <c r="D670">
        <v>8415625</v>
      </c>
      <c r="F670">
        <v>1</v>
      </c>
      <c r="G670">
        <v>0</v>
      </c>
      <c r="H670">
        <v>67.327481476925755</v>
      </c>
      <c r="I670">
        <v>0.33832905264786811</v>
      </c>
      <c r="J670" t="s">
        <v>176</v>
      </c>
      <c r="K670">
        <v>2.3564618516924014</v>
      </c>
      <c r="L670">
        <v>70.022272381266021</v>
      </c>
      <c r="M670">
        <v>0</v>
      </c>
      <c r="N670">
        <v>0.26334801609320468</v>
      </c>
      <c r="O670">
        <v>70.285620397359224</v>
      </c>
      <c r="P670" t="s">
        <v>177</v>
      </c>
      <c r="Q670">
        <v>4.2013363428759618</v>
      </c>
      <c r="R670" t="s">
        <v>177</v>
      </c>
      <c r="S670">
        <v>1.5800880965592283E-2</v>
      </c>
      <c r="T670" t="s">
        <v>178</v>
      </c>
      <c r="U670">
        <v>8.4342744476831069</v>
      </c>
      <c r="V670" t="s">
        <v>90</v>
      </c>
      <c r="W670">
        <v>0</v>
      </c>
      <c r="X670" t="s">
        <v>90</v>
      </c>
      <c r="Y670">
        <v>0</v>
      </c>
      <c r="Z670">
        <v>82.937032068883894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145</v>
      </c>
      <c r="AI670">
        <v>300</v>
      </c>
      <c r="AJ670">
        <v>210</v>
      </c>
      <c r="AL670">
        <v>1.6020000000000001</v>
      </c>
      <c r="AN670" t="s">
        <v>5281</v>
      </c>
      <c r="AO670" t="s">
        <v>73</v>
      </c>
      <c r="AP670">
        <v>200000</v>
      </c>
      <c r="AQ670" t="s">
        <v>97</v>
      </c>
      <c r="AS670">
        <v>10000</v>
      </c>
      <c r="AT670" t="s">
        <v>5282</v>
      </c>
      <c r="AU670" t="s">
        <v>75</v>
      </c>
      <c r="AV670" t="s">
        <v>76</v>
      </c>
    </row>
    <row r="671" spans="1:48" x14ac:dyDescent="0.15">
      <c r="A671" s="4" t="str">
        <f>HYPERLINK("https://ibp.a2mac1.com/costing(costing:projects/details/9760/assembly/8415625)","Rear View Mirror System")</f>
        <v>Rear View Mirror System</v>
      </c>
      <c r="B671">
        <v>8415625</v>
      </c>
      <c r="D671">
        <v>8415582</v>
      </c>
      <c r="F671">
        <v>1</v>
      </c>
      <c r="G671">
        <v>0</v>
      </c>
      <c r="H671">
        <v>83.351818652119206</v>
      </c>
      <c r="I671">
        <v>0</v>
      </c>
      <c r="J671" t="s">
        <v>90</v>
      </c>
      <c r="K671">
        <v>0</v>
      </c>
      <c r="L671">
        <v>83.351818652119206</v>
      </c>
      <c r="M671">
        <v>0</v>
      </c>
      <c r="N671">
        <v>0</v>
      </c>
      <c r="O671">
        <v>83.351818652119206</v>
      </c>
      <c r="P671" t="s">
        <v>90</v>
      </c>
      <c r="Q671">
        <v>0</v>
      </c>
      <c r="R671" t="s">
        <v>90</v>
      </c>
      <c r="S671">
        <v>0</v>
      </c>
      <c r="T671" t="s">
        <v>90</v>
      </c>
      <c r="U671">
        <v>0</v>
      </c>
      <c r="V671" t="s">
        <v>90</v>
      </c>
      <c r="W671">
        <v>0</v>
      </c>
      <c r="X671" t="s">
        <v>90</v>
      </c>
      <c r="Y671">
        <v>0</v>
      </c>
      <c r="Z671">
        <v>83.351818652119206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L671">
        <v>1.643</v>
      </c>
      <c r="AN671" t="s">
        <v>185</v>
      </c>
      <c r="AO671" t="s">
        <v>73</v>
      </c>
      <c r="AP671">
        <v>200000</v>
      </c>
      <c r="AQ671" t="s">
        <v>97</v>
      </c>
      <c r="AS671">
        <v>10000</v>
      </c>
      <c r="AT671" t="s">
        <v>5297</v>
      </c>
      <c r="AU671" t="s">
        <v>75</v>
      </c>
      <c r="AV671" t="s">
        <v>76</v>
      </c>
    </row>
    <row r="672" spans="1:48" x14ac:dyDescent="0.15">
      <c r="A672" s="4" t="str">
        <f>HYPERLINK("https://ibp.a2mac1.com/costing(costing:projects/details/9760/assembly/8415626)","Molding System")</f>
        <v>Molding System</v>
      </c>
      <c r="B672">
        <v>8415626</v>
      </c>
      <c r="D672">
        <v>8415582</v>
      </c>
      <c r="F672">
        <v>1</v>
      </c>
      <c r="G672">
        <v>0</v>
      </c>
      <c r="H672">
        <v>0.31382560518953756</v>
      </c>
      <c r="I672">
        <v>0</v>
      </c>
      <c r="J672" t="s">
        <v>90</v>
      </c>
      <c r="K672">
        <v>0</v>
      </c>
      <c r="L672">
        <v>0.31382560518953756</v>
      </c>
      <c r="M672">
        <v>0</v>
      </c>
      <c r="N672">
        <v>0</v>
      </c>
      <c r="O672">
        <v>0.31382560518953756</v>
      </c>
      <c r="P672" t="s">
        <v>90</v>
      </c>
      <c r="Q672">
        <v>0</v>
      </c>
      <c r="R672" t="s">
        <v>90</v>
      </c>
      <c r="S672">
        <v>0</v>
      </c>
      <c r="T672" t="s">
        <v>90</v>
      </c>
      <c r="U672">
        <v>0</v>
      </c>
      <c r="V672" t="s">
        <v>90</v>
      </c>
      <c r="W672">
        <v>0</v>
      </c>
      <c r="X672" t="s">
        <v>90</v>
      </c>
      <c r="Y672">
        <v>0</v>
      </c>
      <c r="Z672">
        <v>0.31382560518953756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L672">
        <v>2.5000000000000001E-2</v>
      </c>
      <c r="AN672" t="s">
        <v>185</v>
      </c>
      <c r="AO672" t="s">
        <v>73</v>
      </c>
      <c r="AP672">
        <v>200000</v>
      </c>
      <c r="AQ672" t="s">
        <v>73</v>
      </c>
      <c r="AS672">
        <v>10000</v>
      </c>
      <c r="AT672" t="s">
        <v>5314</v>
      </c>
      <c r="AU672" t="s">
        <v>75</v>
      </c>
      <c r="AV672" t="s">
        <v>76</v>
      </c>
    </row>
    <row r="673" spans="1:48" x14ac:dyDescent="0.15">
      <c r="A673" s="4" t="str">
        <f>HYPERLINK("https://ibp.a2mac1.com/costing(costing:projects/details/9760/assembly/8415837)","Ambiant Light")</f>
        <v>Ambiant Light</v>
      </c>
      <c r="B673">
        <v>8415837</v>
      </c>
      <c r="D673">
        <v>8415627</v>
      </c>
      <c r="F673">
        <v>1</v>
      </c>
      <c r="G673">
        <v>0</v>
      </c>
      <c r="H673">
        <v>2.281317124628536</v>
      </c>
      <c r="I673">
        <v>0</v>
      </c>
      <c r="J673" t="s">
        <v>90</v>
      </c>
      <c r="K673">
        <v>0</v>
      </c>
      <c r="L673">
        <v>2.281317124628536</v>
      </c>
      <c r="M673">
        <v>0</v>
      </c>
      <c r="N673">
        <v>0</v>
      </c>
      <c r="O673">
        <v>2.281317124628536</v>
      </c>
      <c r="P673" t="s">
        <v>90</v>
      </c>
      <c r="Q673">
        <v>0</v>
      </c>
      <c r="R673" t="s">
        <v>90</v>
      </c>
      <c r="S673">
        <v>0</v>
      </c>
      <c r="T673" t="s">
        <v>90</v>
      </c>
      <c r="U673">
        <v>0</v>
      </c>
      <c r="V673" t="s">
        <v>90</v>
      </c>
      <c r="W673">
        <v>0</v>
      </c>
      <c r="X673" t="s">
        <v>90</v>
      </c>
      <c r="Y673">
        <v>0</v>
      </c>
      <c r="Z673">
        <v>2.281317124628536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L673">
        <v>5.2999999999999999E-2</v>
      </c>
      <c r="AN673" t="s">
        <v>185</v>
      </c>
      <c r="AO673" t="s">
        <v>73</v>
      </c>
      <c r="AP673">
        <v>200000</v>
      </c>
      <c r="AQ673" t="s">
        <v>73</v>
      </c>
      <c r="AS673">
        <v>10000</v>
      </c>
      <c r="AT673" t="s">
        <v>5334</v>
      </c>
      <c r="AU673" t="s">
        <v>75</v>
      </c>
      <c r="AV673" t="s">
        <v>76</v>
      </c>
    </row>
    <row r="674" spans="1:48" x14ac:dyDescent="0.15">
      <c r="A674" s="4" t="str">
        <f>HYPERLINK("https://ibp.a2mac1.com/costing(costing:projects/details/9760/assembly/8415627)","Power System")</f>
        <v>Power System</v>
      </c>
      <c r="B674">
        <v>8415627</v>
      </c>
      <c r="D674">
        <v>8415582</v>
      </c>
      <c r="F674">
        <v>1</v>
      </c>
      <c r="G674">
        <v>0</v>
      </c>
      <c r="H674">
        <v>17.003008070550159</v>
      </c>
      <c r="I674">
        <v>0</v>
      </c>
      <c r="J674" t="s">
        <v>90</v>
      </c>
      <c r="K674">
        <v>0</v>
      </c>
      <c r="L674">
        <v>17.003008070550159</v>
      </c>
      <c r="M674">
        <v>0</v>
      </c>
      <c r="N674">
        <v>0</v>
      </c>
      <c r="O674">
        <v>17.003008070550159</v>
      </c>
      <c r="P674" t="s">
        <v>90</v>
      </c>
      <c r="Q674">
        <v>0</v>
      </c>
      <c r="R674" t="s">
        <v>90</v>
      </c>
      <c r="S674">
        <v>0</v>
      </c>
      <c r="T674" t="s">
        <v>90</v>
      </c>
      <c r="U674">
        <v>0</v>
      </c>
      <c r="V674" t="s">
        <v>90</v>
      </c>
      <c r="W674">
        <v>0</v>
      </c>
      <c r="X674" t="s">
        <v>90</v>
      </c>
      <c r="Y674">
        <v>0</v>
      </c>
      <c r="Z674">
        <v>17.003008070550159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L674">
        <v>0.88690000000000002</v>
      </c>
      <c r="AN674" t="s">
        <v>185</v>
      </c>
      <c r="AO674" t="s">
        <v>73</v>
      </c>
      <c r="AP674">
        <v>200000</v>
      </c>
      <c r="AQ674" t="s">
        <v>73</v>
      </c>
      <c r="AS674">
        <v>10000</v>
      </c>
      <c r="AT674" t="s">
        <v>5341</v>
      </c>
      <c r="AU674" t="s">
        <v>75</v>
      </c>
      <c r="AV674" t="s">
        <v>76</v>
      </c>
    </row>
    <row r="675" spans="1:48" x14ac:dyDescent="0.15">
      <c r="A675" s="4" t="str">
        <f>HYPERLINK("https://ibp.a2mac1.com/costing(costing:projects/details/9760/assembly/8415840)","Upper")</f>
        <v>Upper</v>
      </c>
      <c r="B675">
        <v>8415840</v>
      </c>
      <c r="D675">
        <v>8415628</v>
      </c>
      <c r="F675">
        <v>1</v>
      </c>
      <c r="G675">
        <v>0</v>
      </c>
      <c r="H675">
        <v>2.8353451840374486</v>
      </c>
      <c r="I675">
        <v>1.4247965748931902E-2</v>
      </c>
      <c r="J675" t="s">
        <v>176</v>
      </c>
      <c r="K675">
        <v>9.9237081441310701E-2</v>
      </c>
      <c r="L675">
        <v>2.9488302312276913</v>
      </c>
      <c r="M675">
        <v>0</v>
      </c>
      <c r="N675">
        <v>0</v>
      </c>
      <c r="O675">
        <v>2.9488302312276913</v>
      </c>
      <c r="P675" t="s">
        <v>177</v>
      </c>
      <c r="Q675">
        <v>0.17692981387366147</v>
      </c>
      <c r="R675" t="s">
        <v>177</v>
      </c>
      <c r="S675">
        <v>0</v>
      </c>
      <c r="T675" t="s">
        <v>178</v>
      </c>
      <c r="U675">
        <v>0.35385962774732294</v>
      </c>
      <c r="V675" t="s">
        <v>90</v>
      </c>
      <c r="W675">
        <v>0</v>
      </c>
      <c r="X675" t="s">
        <v>90</v>
      </c>
      <c r="Y675">
        <v>0</v>
      </c>
      <c r="Z675">
        <v>3.4796196728486755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L675">
        <v>0.378</v>
      </c>
      <c r="AN675" t="s">
        <v>5281</v>
      </c>
      <c r="AO675" t="s">
        <v>73</v>
      </c>
      <c r="AP675">
        <v>200000</v>
      </c>
      <c r="AQ675" t="s">
        <v>97</v>
      </c>
      <c r="AS675">
        <v>10000</v>
      </c>
      <c r="AT675" t="s">
        <v>5354</v>
      </c>
      <c r="AU675" t="s">
        <v>75</v>
      </c>
      <c r="AV675" t="s">
        <v>76</v>
      </c>
    </row>
    <row r="676" spans="1:48" x14ac:dyDescent="0.15">
      <c r="A676" s="4" t="str">
        <f>HYPERLINK("https://ibp.a2mac1.com/costing(costing:projects/details/9760/assembly/8415841)","Lower")</f>
        <v>Lower</v>
      </c>
      <c r="B676">
        <v>8415841</v>
      </c>
      <c r="D676">
        <v>8415628</v>
      </c>
      <c r="F676">
        <v>1</v>
      </c>
      <c r="G676">
        <v>0</v>
      </c>
      <c r="H676">
        <v>3.088027661576866</v>
      </c>
      <c r="I676">
        <v>1.5517726942597317E-2</v>
      </c>
      <c r="J676" t="s">
        <v>176</v>
      </c>
      <c r="K676">
        <v>0.1080809681551903</v>
      </c>
      <c r="L676">
        <v>3.2116263566746537</v>
      </c>
      <c r="M676">
        <v>0</v>
      </c>
      <c r="N676">
        <v>0</v>
      </c>
      <c r="O676">
        <v>3.2116263566746537</v>
      </c>
      <c r="P676" t="s">
        <v>177</v>
      </c>
      <c r="Q676">
        <v>0.19269758140047921</v>
      </c>
      <c r="R676" t="s">
        <v>177</v>
      </c>
      <c r="S676">
        <v>0</v>
      </c>
      <c r="T676" t="s">
        <v>178</v>
      </c>
      <c r="U676">
        <v>0.38539516280095842</v>
      </c>
      <c r="V676" t="s">
        <v>90</v>
      </c>
      <c r="W676">
        <v>0</v>
      </c>
      <c r="X676" t="s">
        <v>90</v>
      </c>
      <c r="Y676">
        <v>0</v>
      </c>
      <c r="Z676">
        <v>3.7897191008760913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L676">
        <v>0.4</v>
      </c>
      <c r="AN676" t="s">
        <v>5281</v>
      </c>
      <c r="AO676" t="s">
        <v>73</v>
      </c>
      <c r="AP676">
        <v>200000</v>
      </c>
      <c r="AQ676" t="s">
        <v>97</v>
      </c>
      <c r="AS676">
        <v>10000</v>
      </c>
      <c r="AT676" t="s">
        <v>5362</v>
      </c>
      <c r="AU676" t="s">
        <v>75</v>
      </c>
      <c r="AV676" t="s">
        <v>76</v>
      </c>
    </row>
    <row r="677" spans="1:48" x14ac:dyDescent="0.15">
      <c r="A677" s="4" t="str">
        <f>HYPERLINK("https://ibp.a2mac1.com/costing(costing:projects/details/9760/assembly/8415628)","Hinges")</f>
        <v>Hinges</v>
      </c>
      <c r="B677">
        <v>8415628</v>
      </c>
      <c r="D677">
        <v>8415582</v>
      </c>
      <c r="F677">
        <v>1</v>
      </c>
      <c r="G677">
        <v>0</v>
      </c>
      <c r="H677">
        <v>9.4860085556094909</v>
      </c>
      <c r="I677">
        <v>0</v>
      </c>
      <c r="J677" t="s">
        <v>90</v>
      </c>
      <c r="K677">
        <v>0</v>
      </c>
      <c r="L677">
        <v>9.4860085556094909</v>
      </c>
      <c r="M677">
        <v>0</v>
      </c>
      <c r="N677">
        <v>0</v>
      </c>
      <c r="O677">
        <v>9.4860085556094909</v>
      </c>
      <c r="P677" t="s">
        <v>90</v>
      </c>
      <c r="Q677">
        <v>0</v>
      </c>
      <c r="R677" t="s">
        <v>90</v>
      </c>
      <c r="S677">
        <v>0</v>
      </c>
      <c r="T677" t="s">
        <v>90</v>
      </c>
      <c r="U677">
        <v>0</v>
      </c>
      <c r="V677" t="s">
        <v>90</v>
      </c>
      <c r="W677">
        <v>0</v>
      </c>
      <c r="X677" t="s">
        <v>90</v>
      </c>
      <c r="Y677">
        <v>0</v>
      </c>
      <c r="Z677">
        <v>9.4860085556094909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L677">
        <v>0.99299999999999999</v>
      </c>
      <c r="AN677" t="s">
        <v>185</v>
      </c>
      <c r="AO677" t="s">
        <v>73</v>
      </c>
      <c r="AP677">
        <v>200000</v>
      </c>
      <c r="AQ677" t="s">
        <v>73</v>
      </c>
      <c r="AS677">
        <v>10000</v>
      </c>
      <c r="AT677" t="s">
        <v>5372</v>
      </c>
      <c r="AU677" t="s">
        <v>75</v>
      </c>
      <c r="AV677" t="s">
        <v>76</v>
      </c>
    </row>
    <row r="678" spans="1:48" x14ac:dyDescent="0.15">
      <c r="A678" s="4" t="str">
        <f>HYPERLINK("https://ibp.a2mac1.com/costing(costing:projects/details/9760/assembly/8415845)","Door Weatherstripping")</f>
        <v>Door Weatherstripping</v>
      </c>
      <c r="B678">
        <v>8415845</v>
      </c>
      <c r="D678">
        <v>8415629</v>
      </c>
      <c r="F678">
        <v>1</v>
      </c>
      <c r="G678">
        <v>0</v>
      </c>
      <c r="H678">
        <v>8.2853885691633096</v>
      </c>
      <c r="I678">
        <v>0</v>
      </c>
      <c r="J678" t="s">
        <v>90</v>
      </c>
      <c r="K678">
        <v>0</v>
      </c>
      <c r="L678">
        <v>8.2853885691633096</v>
      </c>
      <c r="M678">
        <v>0</v>
      </c>
      <c r="N678">
        <v>0</v>
      </c>
      <c r="O678">
        <v>8.2853885691633096</v>
      </c>
      <c r="P678" t="s">
        <v>90</v>
      </c>
      <c r="Q678">
        <v>0</v>
      </c>
      <c r="R678" t="s">
        <v>90</v>
      </c>
      <c r="S678">
        <v>0</v>
      </c>
      <c r="T678" t="s">
        <v>90</v>
      </c>
      <c r="U678">
        <v>0</v>
      </c>
      <c r="V678" t="s">
        <v>90</v>
      </c>
      <c r="W678">
        <v>0</v>
      </c>
      <c r="X678" t="s">
        <v>90</v>
      </c>
      <c r="Y678">
        <v>0</v>
      </c>
      <c r="Z678">
        <v>8.2853885691633096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L678">
        <v>1.7423999999999999</v>
      </c>
      <c r="AN678" t="s">
        <v>185</v>
      </c>
      <c r="AO678" t="s">
        <v>73</v>
      </c>
      <c r="AP678">
        <v>200000</v>
      </c>
      <c r="AQ678" t="s">
        <v>73</v>
      </c>
      <c r="AS678">
        <v>10000</v>
      </c>
      <c r="AT678" t="s">
        <v>5392</v>
      </c>
      <c r="AU678" t="s">
        <v>75</v>
      </c>
      <c r="AV678" t="s">
        <v>76</v>
      </c>
    </row>
    <row r="679" spans="1:48" x14ac:dyDescent="0.15">
      <c r="A679" s="4" t="str">
        <f>HYPERLINK("https://ibp.a2mac1.com/costing(costing:projects/details/9760/assembly/8415629)","Sealing System")</f>
        <v>Sealing System</v>
      </c>
      <c r="B679">
        <v>8415629</v>
      </c>
      <c r="D679">
        <v>8415582</v>
      </c>
      <c r="F679">
        <v>1</v>
      </c>
      <c r="G679">
        <v>0</v>
      </c>
      <c r="H679">
        <v>12.354489636996606</v>
      </c>
      <c r="I679">
        <v>0</v>
      </c>
      <c r="J679" t="s">
        <v>90</v>
      </c>
      <c r="K679">
        <v>0</v>
      </c>
      <c r="L679">
        <v>12.354489636996606</v>
      </c>
      <c r="M679">
        <v>0</v>
      </c>
      <c r="N679">
        <v>0</v>
      </c>
      <c r="O679">
        <v>12.354489636996606</v>
      </c>
      <c r="P679" t="s">
        <v>90</v>
      </c>
      <c r="Q679">
        <v>0</v>
      </c>
      <c r="R679" t="s">
        <v>90</v>
      </c>
      <c r="S679">
        <v>0</v>
      </c>
      <c r="T679" t="s">
        <v>90</v>
      </c>
      <c r="U679">
        <v>0</v>
      </c>
      <c r="V679" t="s">
        <v>90</v>
      </c>
      <c r="W679">
        <v>0</v>
      </c>
      <c r="X679" t="s">
        <v>90</v>
      </c>
      <c r="Y679">
        <v>0</v>
      </c>
      <c r="Z679">
        <v>12.354489636996606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L679">
        <v>2.6823999999999999</v>
      </c>
      <c r="AN679" t="s">
        <v>185</v>
      </c>
      <c r="AO679" t="s">
        <v>73</v>
      </c>
      <c r="AP679">
        <v>200000</v>
      </c>
      <c r="AQ679" t="s">
        <v>73</v>
      </c>
      <c r="AS679">
        <v>10000</v>
      </c>
      <c r="AT679" t="s">
        <v>5416</v>
      </c>
      <c r="AU679" t="s">
        <v>75</v>
      </c>
      <c r="AV679" t="s">
        <v>76</v>
      </c>
    </row>
    <row r="680" spans="1:48" x14ac:dyDescent="0.15">
      <c r="A680" s="4" t="str">
        <f>HYPERLINK("https://ibp.a2mac1.com/costing(costing:projects/details/9760/assembly/8415847)","Window Regulator Motor")</f>
        <v>Window Regulator Motor</v>
      </c>
      <c r="B680">
        <v>8415847</v>
      </c>
      <c r="D680">
        <v>8415630</v>
      </c>
      <c r="F680">
        <v>1</v>
      </c>
      <c r="G680">
        <v>0</v>
      </c>
      <c r="H680">
        <v>6.8191527621095007</v>
      </c>
      <c r="I680">
        <v>3.4267099307082917E-2</v>
      </c>
      <c r="J680" t="s">
        <v>176</v>
      </c>
      <c r="K680">
        <v>0.23867034667383252</v>
      </c>
      <c r="L680">
        <v>7.0920902080904158</v>
      </c>
      <c r="M680">
        <v>0</v>
      </c>
      <c r="N680">
        <v>0.60734430719757238</v>
      </c>
      <c r="O680">
        <v>7.6994345152879884</v>
      </c>
      <c r="P680" t="s">
        <v>177</v>
      </c>
      <c r="Q680">
        <v>0.42552541248542497</v>
      </c>
      <c r="R680" t="s">
        <v>177</v>
      </c>
      <c r="S680">
        <v>3.6440658431854338E-2</v>
      </c>
      <c r="T680" t="s">
        <v>178</v>
      </c>
      <c r="U680">
        <v>0.92393214183455863</v>
      </c>
      <c r="V680" t="s">
        <v>90</v>
      </c>
      <c r="W680">
        <v>0</v>
      </c>
      <c r="X680" t="s">
        <v>90</v>
      </c>
      <c r="Y680">
        <v>0</v>
      </c>
      <c r="Z680">
        <v>9.0853327280398268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50</v>
      </c>
      <c r="AI680">
        <v>193</v>
      </c>
      <c r="AJ680">
        <v>130</v>
      </c>
      <c r="AL680">
        <v>0.61799999999999999</v>
      </c>
      <c r="AN680" t="s">
        <v>365</v>
      </c>
      <c r="AO680" t="s">
        <v>73</v>
      </c>
      <c r="AP680">
        <v>200000</v>
      </c>
      <c r="AQ680" t="s">
        <v>97</v>
      </c>
      <c r="AS680">
        <v>10000</v>
      </c>
      <c r="AT680" t="s">
        <v>5420</v>
      </c>
      <c r="AU680" t="s">
        <v>75</v>
      </c>
      <c r="AV680" t="s">
        <v>76</v>
      </c>
    </row>
    <row r="681" spans="1:48" x14ac:dyDescent="0.15">
      <c r="A681" s="4" t="str">
        <f>HYPERLINK("https://ibp.a2mac1.com/costing(costing:projects/details/9760/assembly/8415848)","Window")</f>
        <v>Window</v>
      </c>
      <c r="B681">
        <v>8415848</v>
      </c>
      <c r="D681">
        <v>8415630</v>
      </c>
      <c r="E681" t="e">
        <v>#VALUE!</v>
      </c>
      <c r="F681">
        <v>1</v>
      </c>
      <c r="G681">
        <v>0</v>
      </c>
      <c r="H681">
        <v>29.540466638976628</v>
      </c>
      <c r="I681">
        <v>0.14844455597475692</v>
      </c>
      <c r="J681" t="s">
        <v>176</v>
      </c>
      <c r="K681">
        <v>1.033916332364182</v>
      </c>
      <c r="L681">
        <v>30.722827527315566</v>
      </c>
      <c r="M681">
        <v>0</v>
      </c>
      <c r="N681">
        <v>0</v>
      </c>
      <c r="O681">
        <v>30.722827527315566</v>
      </c>
      <c r="P681" t="s">
        <v>177</v>
      </c>
      <c r="Q681">
        <v>1.843369651638934</v>
      </c>
      <c r="R681" t="s">
        <v>177</v>
      </c>
      <c r="S681">
        <v>0</v>
      </c>
      <c r="T681" t="s">
        <v>178</v>
      </c>
      <c r="U681">
        <v>3.6867393032778679</v>
      </c>
      <c r="V681" t="s">
        <v>90</v>
      </c>
      <c r="W681">
        <v>0</v>
      </c>
      <c r="X681" t="s">
        <v>90</v>
      </c>
      <c r="Y681">
        <v>0</v>
      </c>
      <c r="Z681">
        <v>36.252936482232371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990</v>
      </c>
      <c r="AJ681">
        <v>600</v>
      </c>
      <c r="AK681">
        <v>0</v>
      </c>
      <c r="AL681">
        <v>4.2610000000000001</v>
      </c>
      <c r="AN681" t="s">
        <v>5305</v>
      </c>
      <c r="AO681" t="s">
        <v>73</v>
      </c>
      <c r="AP681">
        <v>200000</v>
      </c>
      <c r="AQ681" t="s">
        <v>97</v>
      </c>
      <c r="AS681">
        <v>10000</v>
      </c>
      <c r="AT681" t="s">
        <v>5425</v>
      </c>
      <c r="AU681" t="s">
        <v>75</v>
      </c>
      <c r="AV681" t="s">
        <v>76</v>
      </c>
    </row>
    <row r="682" spans="1:48" x14ac:dyDescent="0.15">
      <c r="A682" s="4" t="str">
        <f>HYPERLINK("https://ibp.a2mac1.com/costing(costing:projects/details/9760/assembly/8415630)","Window System")</f>
        <v>Window System</v>
      </c>
      <c r="B682">
        <v>8415630</v>
      </c>
      <c r="D682">
        <v>8415582</v>
      </c>
      <c r="F682">
        <v>1</v>
      </c>
      <c r="G682">
        <v>0</v>
      </c>
      <c r="H682">
        <v>52.988269210272193</v>
      </c>
      <c r="I682">
        <v>0</v>
      </c>
      <c r="J682" t="s">
        <v>90</v>
      </c>
      <c r="K682">
        <v>0</v>
      </c>
      <c r="L682">
        <v>52.988269210272193</v>
      </c>
      <c r="M682">
        <v>0</v>
      </c>
      <c r="N682">
        <v>0</v>
      </c>
      <c r="O682">
        <v>52.988269210272193</v>
      </c>
      <c r="P682" t="s">
        <v>90</v>
      </c>
      <c r="Q682">
        <v>0</v>
      </c>
      <c r="R682" t="s">
        <v>90</v>
      </c>
      <c r="S682">
        <v>0</v>
      </c>
      <c r="T682" t="s">
        <v>90</v>
      </c>
      <c r="U682">
        <v>0</v>
      </c>
      <c r="V682" t="s">
        <v>90</v>
      </c>
      <c r="W682">
        <v>0</v>
      </c>
      <c r="X682" t="s">
        <v>90</v>
      </c>
      <c r="Y682">
        <v>0</v>
      </c>
      <c r="Z682">
        <v>52.988269210272193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L682">
        <v>5.9469000000000003</v>
      </c>
      <c r="AN682" t="s">
        <v>185</v>
      </c>
      <c r="AO682" t="s">
        <v>73</v>
      </c>
      <c r="AP682">
        <v>200000</v>
      </c>
      <c r="AQ682" t="s">
        <v>73</v>
      </c>
      <c r="AS682">
        <v>10000</v>
      </c>
      <c r="AT682" t="s">
        <v>5428</v>
      </c>
      <c r="AU682" t="s">
        <v>75</v>
      </c>
      <c r="AV682" t="s">
        <v>76</v>
      </c>
    </row>
    <row r="683" spans="1:48" x14ac:dyDescent="0.15">
      <c r="A683" s="4" t="str">
        <f>HYPERLINK("https://ibp.a2mac1.com/costing(costing:projects/details/9760/assembly/8415853)","Interior Side")</f>
        <v>Interior Side</v>
      </c>
      <c r="B683">
        <v>8415853</v>
      </c>
      <c r="D683">
        <v>8415631</v>
      </c>
      <c r="F683">
        <v>1</v>
      </c>
      <c r="G683">
        <v>0</v>
      </c>
      <c r="H683">
        <v>2.0059355191261328</v>
      </c>
      <c r="I683">
        <v>0</v>
      </c>
      <c r="J683" t="s">
        <v>90</v>
      </c>
      <c r="K683">
        <v>0</v>
      </c>
      <c r="L683">
        <v>2.0059355191261328</v>
      </c>
      <c r="M683">
        <v>0</v>
      </c>
      <c r="N683">
        <v>0</v>
      </c>
      <c r="O683">
        <v>2.0059355191261328</v>
      </c>
      <c r="P683" t="s">
        <v>90</v>
      </c>
      <c r="Q683">
        <v>0</v>
      </c>
      <c r="R683" t="s">
        <v>90</v>
      </c>
      <c r="S683">
        <v>0</v>
      </c>
      <c r="T683" t="s">
        <v>90</v>
      </c>
      <c r="U683">
        <v>0</v>
      </c>
      <c r="V683" t="s">
        <v>90</v>
      </c>
      <c r="W683">
        <v>0</v>
      </c>
      <c r="X683" t="s">
        <v>90</v>
      </c>
      <c r="Y683">
        <v>0</v>
      </c>
      <c r="Z683">
        <v>2.0059355191261328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L683">
        <v>0.11700000000000001</v>
      </c>
      <c r="AN683" t="s">
        <v>185</v>
      </c>
      <c r="AO683" t="s">
        <v>73</v>
      </c>
      <c r="AP683">
        <v>200000</v>
      </c>
      <c r="AQ683" t="s">
        <v>97</v>
      </c>
      <c r="AS683">
        <v>10000</v>
      </c>
      <c r="AT683" t="s">
        <v>5452</v>
      </c>
      <c r="AU683" t="s">
        <v>75</v>
      </c>
      <c r="AV683" t="s">
        <v>76</v>
      </c>
    </row>
    <row r="684" spans="1:48" x14ac:dyDescent="0.15">
      <c r="A684" s="4" t="str">
        <f>HYPERLINK("https://ibp.a2mac1.com/costing(costing:projects/details/9760/assembly/8415854)","Exterior Side")</f>
        <v>Exterior Side</v>
      </c>
      <c r="B684">
        <v>8415854</v>
      </c>
      <c r="D684">
        <v>8415631</v>
      </c>
      <c r="E684" t="s">
        <v>5485</v>
      </c>
      <c r="F684">
        <v>1</v>
      </c>
      <c r="G684">
        <v>0</v>
      </c>
      <c r="H684">
        <v>5.4881850254329683</v>
      </c>
      <c r="I684">
        <v>0</v>
      </c>
      <c r="J684" t="s">
        <v>90</v>
      </c>
      <c r="K684">
        <v>0</v>
      </c>
      <c r="L684">
        <v>5.4881850254329683</v>
      </c>
      <c r="M684">
        <v>0</v>
      </c>
      <c r="N684">
        <v>0</v>
      </c>
      <c r="O684">
        <v>5.4881850254329683</v>
      </c>
      <c r="P684" t="s">
        <v>90</v>
      </c>
      <c r="Q684">
        <v>0</v>
      </c>
      <c r="R684" t="s">
        <v>90</v>
      </c>
      <c r="S684">
        <v>0</v>
      </c>
      <c r="T684" t="s">
        <v>90</v>
      </c>
      <c r="U684">
        <v>0</v>
      </c>
      <c r="V684" t="s">
        <v>90</v>
      </c>
      <c r="W684">
        <v>0</v>
      </c>
      <c r="X684" t="s">
        <v>90</v>
      </c>
      <c r="Y684">
        <v>0</v>
      </c>
      <c r="Z684">
        <v>5.4881850254329683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L684">
        <v>0.52300000000000002</v>
      </c>
      <c r="AN684" t="s">
        <v>185</v>
      </c>
      <c r="AO684" t="s">
        <v>73</v>
      </c>
      <c r="AP684">
        <v>200000</v>
      </c>
      <c r="AQ684" t="s">
        <v>97</v>
      </c>
      <c r="AS684">
        <v>10000</v>
      </c>
      <c r="AT684" t="s">
        <v>5486</v>
      </c>
      <c r="AU684" t="s">
        <v>75</v>
      </c>
      <c r="AV684" t="s">
        <v>76</v>
      </c>
    </row>
    <row r="685" spans="1:48" x14ac:dyDescent="0.15">
      <c r="A685" s="4" t="str">
        <f>HYPERLINK("https://ibp.a2mac1.com/costing(costing:projects/details/9760/assembly/8415631)","Door Mechanism")</f>
        <v>Door Mechanism</v>
      </c>
      <c r="B685">
        <v>8415631</v>
      </c>
      <c r="D685">
        <v>8415582</v>
      </c>
      <c r="F685">
        <v>1</v>
      </c>
      <c r="G685">
        <v>0</v>
      </c>
      <c r="H685">
        <v>21.062709766871031</v>
      </c>
      <c r="I685">
        <v>0</v>
      </c>
      <c r="J685" t="s">
        <v>90</v>
      </c>
      <c r="K685">
        <v>0</v>
      </c>
      <c r="L685">
        <v>21.062709766871031</v>
      </c>
      <c r="M685">
        <v>0</v>
      </c>
      <c r="N685">
        <v>0.21945668007767058</v>
      </c>
      <c r="O685">
        <v>21.2821664469487</v>
      </c>
      <c r="P685" t="s">
        <v>90</v>
      </c>
      <c r="Q685">
        <v>0</v>
      </c>
      <c r="R685" t="s">
        <v>90</v>
      </c>
      <c r="S685">
        <v>0</v>
      </c>
      <c r="T685" t="s">
        <v>90</v>
      </c>
      <c r="U685">
        <v>0</v>
      </c>
      <c r="V685" t="s">
        <v>90</v>
      </c>
      <c r="W685">
        <v>0</v>
      </c>
      <c r="X685" t="s">
        <v>90</v>
      </c>
      <c r="Y685">
        <v>0</v>
      </c>
      <c r="Z685">
        <v>21.2821664469487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L685">
        <v>1.609</v>
      </c>
      <c r="AN685" t="s">
        <v>185</v>
      </c>
      <c r="AO685" t="s">
        <v>73</v>
      </c>
      <c r="AP685">
        <v>200000</v>
      </c>
      <c r="AQ685" t="s">
        <v>73</v>
      </c>
      <c r="AS685">
        <v>10000</v>
      </c>
      <c r="AT685" t="s">
        <v>5506</v>
      </c>
      <c r="AU685" t="s">
        <v>75</v>
      </c>
      <c r="AV685" t="s">
        <v>76</v>
      </c>
    </row>
    <row r="686" spans="1:48" x14ac:dyDescent="0.15">
      <c r="A686" s="4" t="str">
        <f>HYPERLINK("https://ibp.a2mac1.com/costing(costing:projects/details/9760/assembly/8415582)","Driver Door")</f>
        <v>Driver Door</v>
      </c>
      <c r="B686">
        <v>8415582</v>
      </c>
      <c r="D686">
        <v>8415576</v>
      </c>
      <c r="F686">
        <v>1</v>
      </c>
      <c r="G686">
        <v>0</v>
      </c>
      <c r="H686">
        <v>261.76849057546508</v>
      </c>
      <c r="I686">
        <v>0</v>
      </c>
      <c r="J686" t="s">
        <v>90</v>
      </c>
      <c r="K686">
        <v>0</v>
      </c>
      <c r="L686">
        <v>261.76849057546508</v>
      </c>
      <c r="M686">
        <v>0</v>
      </c>
      <c r="N686">
        <v>0.6579133898279117</v>
      </c>
      <c r="O686">
        <v>262.42640396529299</v>
      </c>
      <c r="P686" t="s">
        <v>90</v>
      </c>
      <c r="Q686">
        <v>0</v>
      </c>
      <c r="R686" t="s">
        <v>90</v>
      </c>
      <c r="S686">
        <v>0</v>
      </c>
      <c r="T686" t="s">
        <v>90</v>
      </c>
      <c r="U686">
        <v>0</v>
      </c>
      <c r="V686" t="s">
        <v>90</v>
      </c>
      <c r="W686">
        <v>0</v>
      </c>
      <c r="X686" t="s">
        <v>90</v>
      </c>
      <c r="Y686">
        <v>0</v>
      </c>
      <c r="Z686">
        <v>262.42640396529299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413</v>
      </c>
      <c r="AI686">
        <v>1255</v>
      </c>
      <c r="AJ686">
        <v>1065</v>
      </c>
      <c r="AL686">
        <v>35.193899999999999</v>
      </c>
      <c r="AN686" t="s">
        <v>185</v>
      </c>
      <c r="AO686" t="s">
        <v>73</v>
      </c>
      <c r="AP686">
        <v>200000</v>
      </c>
      <c r="AQ686" t="s">
        <v>73</v>
      </c>
      <c r="AS686">
        <v>10000</v>
      </c>
      <c r="AT686" t="s">
        <v>5520</v>
      </c>
      <c r="AU686" t="s">
        <v>75</v>
      </c>
      <c r="AV686" t="s">
        <v>76</v>
      </c>
    </row>
    <row r="687" spans="1:48" x14ac:dyDescent="0.15">
      <c r="A687" s="4" t="str">
        <f>HYPERLINK("https://ibp.a2mac1.com/costing(costing:projects/details/9760/assembly/8415855)","Left")</f>
        <v>Left</v>
      </c>
      <c r="B687">
        <v>8415855</v>
      </c>
      <c r="D687">
        <v>8415634</v>
      </c>
      <c r="F687">
        <v>1</v>
      </c>
      <c r="G687">
        <v>0</v>
      </c>
      <c r="H687">
        <v>1.2180965943741733</v>
      </c>
      <c r="I687">
        <v>6.1210884139405687E-3</v>
      </c>
      <c r="J687" t="s">
        <v>176</v>
      </c>
      <c r="K687">
        <v>4.263338080309606E-2</v>
      </c>
      <c r="L687">
        <v>1.2668510635912098</v>
      </c>
      <c r="M687">
        <v>0</v>
      </c>
      <c r="N687">
        <v>0</v>
      </c>
      <c r="O687">
        <v>1.2668510635912098</v>
      </c>
      <c r="P687" t="s">
        <v>90</v>
      </c>
      <c r="Q687">
        <v>0</v>
      </c>
      <c r="R687" t="s">
        <v>90</v>
      </c>
      <c r="S687">
        <v>0</v>
      </c>
      <c r="T687" t="s">
        <v>90</v>
      </c>
      <c r="U687">
        <v>0</v>
      </c>
      <c r="V687" t="s">
        <v>90</v>
      </c>
      <c r="W687">
        <v>0</v>
      </c>
      <c r="X687" t="s">
        <v>90</v>
      </c>
      <c r="Y687">
        <v>0</v>
      </c>
      <c r="Z687">
        <v>1.2668510635912098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382</v>
      </c>
      <c r="AI687">
        <v>154</v>
      </c>
      <c r="AJ687">
        <v>110</v>
      </c>
      <c r="AL687">
        <v>1.387</v>
      </c>
      <c r="AN687" t="s">
        <v>5035</v>
      </c>
      <c r="AO687" t="s">
        <v>73</v>
      </c>
      <c r="AP687">
        <v>200000</v>
      </c>
      <c r="AQ687" t="s">
        <v>97</v>
      </c>
      <c r="AS687">
        <v>10000</v>
      </c>
      <c r="AT687" t="s">
        <v>5537</v>
      </c>
      <c r="AU687" t="s">
        <v>75</v>
      </c>
      <c r="AV687" t="s">
        <v>76</v>
      </c>
    </row>
    <row r="688" spans="1:48" x14ac:dyDescent="0.15">
      <c r="A688" s="4" t="str">
        <f>HYPERLINK("https://ibp.a2mac1.com/costing(costing:projects/details/9760/assembly/8415856)","Right")</f>
        <v>Right</v>
      </c>
      <c r="B688">
        <v>8415856</v>
      </c>
      <c r="D688">
        <v>8415634</v>
      </c>
      <c r="F688">
        <v>1</v>
      </c>
      <c r="G688">
        <v>0</v>
      </c>
      <c r="H688">
        <v>1.2180965943741733</v>
      </c>
      <c r="I688">
        <v>6.1210884139405687E-3</v>
      </c>
      <c r="J688" t="s">
        <v>176</v>
      </c>
      <c r="K688">
        <v>4.263338080309606E-2</v>
      </c>
      <c r="L688">
        <v>1.2668510635912098</v>
      </c>
      <c r="M688">
        <v>0</v>
      </c>
      <c r="N688">
        <v>0</v>
      </c>
      <c r="O688">
        <v>1.2668510635912098</v>
      </c>
      <c r="P688" t="s">
        <v>90</v>
      </c>
      <c r="Q688">
        <v>0</v>
      </c>
      <c r="R688" t="s">
        <v>90</v>
      </c>
      <c r="S688">
        <v>0</v>
      </c>
      <c r="T688" t="s">
        <v>90</v>
      </c>
      <c r="U688">
        <v>0</v>
      </c>
      <c r="V688" t="s">
        <v>90</v>
      </c>
      <c r="W688">
        <v>0</v>
      </c>
      <c r="X688" t="s">
        <v>90</v>
      </c>
      <c r="Y688">
        <v>0</v>
      </c>
      <c r="Z688">
        <v>1.2668510635912098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382</v>
      </c>
      <c r="AI688">
        <v>154</v>
      </c>
      <c r="AJ688">
        <v>110</v>
      </c>
      <c r="AL688">
        <v>1.377</v>
      </c>
      <c r="AN688" t="s">
        <v>5035</v>
      </c>
      <c r="AO688" t="s">
        <v>73</v>
      </c>
      <c r="AP688">
        <v>200000</v>
      </c>
      <c r="AQ688" t="s">
        <v>97</v>
      </c>
      <c r="AS688">
        <v>10000</v>
      </c>
      <c r="AT688" t="s">
        <v>5545</v>
      </c>
      <c r="AU688" t="s">
        <v>75</v>
      </c>
      <c r="AV688" t="s">
        <v>76</v>
      </c>
    </row>
    <row r="689" spans="1:48" x14ac:dyDescent="0.15">
      <c r="A689" s="4" t="str">
        <f>HYPERLINK("https://ibp.a2mac1.com/costing(costing:projects/details/9760/assembly/8415634)","Hinges System")</f>
        <v>Hinges System</v>
      </c>
      <c r="B689">
        <v>8415634</v>
      </c>
      <c r="D689">
        <v>8415583</v>
      </c>
      <c r="F689">
        <v>1</v>
      </c>
      <c r="G689">
        <v>0</v>
      </c>
      <c r="H689">
        <v>2.7337021271824198</v>
      </c>
      <c r="I689">
        <v>1.3737196619007134E-2</v>
      </c>
      <c r="J689" t="s">
        <v>176</v>
      </c>
      <c r="K689">
        <v>9.5679574451384683E-2</v>
      </c>
      <c r="L689">
        <v>2.8431188982528113</v>
      </c>
      <c r="M689">
        <v>0</v>
      </c>
      <c r="N689">
        <v>0</v>
      </c>
      <c r="O689">
        <v>2.8431188982528113</v>
      </c>
      <c r="P689" t="s">
        <v>177</v>
      </c>
      <c r="Q689">
        <v>0.17058713389516869</v>
      </c>
      <c r="R689" t="s">
        <v>177</v>
      </c>
      <c r="S689">
        <v>0</v>
      </c>
      <c r="T689" t="s">
        <v>178</v>
      </c>
      <c r="U689">
        <v>0.34117426779033738</v>
      </c>
      <c r="V689" t="s">
        <v>90</v>
      </c>
      <c r="W689">
        <v>0</v>
      </c>
      <c r="X689" t="s">
        <v>90</v>
      </c>
      <c r="Y689">
        <v>0</v>
      </c>
      <c r="Z689">
        <v>3.3548802999383174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L689">
        <v>2.8460000000000001</v>
      </c>
      <c r="AN689" t="s">
        <v>5281</v>
      </c>
      <c r="AO689" t="s">
        <v>73</v>
      </c>
      <c r="AP689">
        <v>200000</v>
      </c>
      <c r="AQ689" t="s">
        <v>97</v>
      </c>
      <c r="AS689">
        <v>10000</v>
      </c>
      <c r="AT689" t="s">
        <v>5546</v>
      </c>
      <c r="AU689" t="s">
        <v>75</v>
      </c>
      <c r="AV689" t="s">
        <v>76</v>
      </c>
    </row>
    <row r="690" spans="1:48" x14ac:dyDescent="0.15">
      <c r="A690" s="4" t="str">
        <f>HYPERLINK("https://ibp.a2mac1.com/costing(costing:projects/details/9760/assembly/8415858)","Cable On Front End Module")</f>
        <v>Cable On Front End Module</v>
      </c>
      <c r="B690">
        <v>8415858</v>
      </c>
      <c r="D690">
        <v>8415635</v>
      </c>
      <c r="F690">
        <v>1</v>
      </c>
      <c r="G690">
        <v>0</v>
      </c>
      <c r="H690">
        <v>0.30997888951224056</v>
      </c>
      <c r="I690">
        <v>1.5576828618705557E-3</v>
      </c>
      <c r="J690" t="s">
        <v>176</v>
      </c>
      <c r="K690">
        <v>1.0849261132928421E-2</v>
      </c>
      <c r="L690">
        <v>0.32238583350703959</v>
      </c>
      <c r="M690">
        <v>0</v>
      </c>
      <c r="N690">
        <v>5.2888795413088989E-2</v>
      </c>
      <c r="O690">
        <v>0.37527462892012853</v>
      </c>
      <c r="P690" t="s">
        <v>177</v>
      </c>
      <c r="Q690">
        <v>1.9343150010422375E-2</v>
      </c>
      <c r="R690" t="s">
        <v>177</v>
      </c>
      <c r="S690">
        <v>3.173327724785339E-3</v>
      </c>
      <c r="T690" t="s">
        <v>178</v>
      </c>
      <c r="U690">
        <v>4.5032955470415428E-2</v>
      </c>
      <c r="V690" t="s">
        <v>90</v>
      </c>
      <c r="W690">
        <v>0</v>
      </c>
      <c r="X690" t="s">
        <v>90</v>
      </c>
      <c r="Y690">
        <v>0</v>
      </c>
      <c r="Z690">
        <v>0.44282406212575171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L690">
        <v>3.5999999999999997E-2</v>
      </c>
      <c r="AN690" t="s">
        <v>5305</v>
      </c>
      <c r="AO690" t="s">
        <v>73</v>
      </c>
      <c r="AP690">
        <v>200000</v>
      </c>
      <c r="AQ690" t="s">
        <v>97</v>
      </c>
      <c r="AS690">
        <v>10000</v>
      </c>
      <c r="AT690" t="s">
        <v>5562</v>
      </c>
      <c r="AU690" t="s">
        <v>75</v>
      </c>
      <c r="AV690" t="s">
        <v>76</v>
      </c>
    </row>
    <row r="691" spans="1:48" x14ac:dyDescent="0.15">
      <c r="A691" s="4" t="str">
        <f>HYPERLINK("https://ibp.a2mac1.com/costing(costing:projects/details/9760/assembly/8415635)","Hood Opening Closing Mechanism")</f>
        <v>Hood Opening Closing Mechanism</v>
      </c>
      <c r="B691">
        <v>8415635</v>
      </c>
      <c r="D691">
        <v>8415583</v>
      </c>
      <c r="F691">
        <v>1</v>
      </c>
      <c r="G691">
        <v>0</v>
      </c>
      <c r="H691">
        <v>12.364508798983024</v>
      </c>
      <c r="I691">
        <v>0</v>
      </c>
      <c r="J691" t="s">
        <v>90</v>
      </c>
      <c r="K691">
        <v>0</v>
      </c>
      <c r="L691">
        <v>12.364508798983024</v>
      </c>
      <c r="M691">
        <v>0</v>
      </c>
      <c r="N691">
        <v>0</v>
      </c>
      <c r="O691">
        <v>12.364508798983024</v>
      </c>
      <c r="P691" t="s">
        <v>90</v>
      </c>
      <c r="Q691">
        <v>0</v>
      </c>
      <c r="R691" t="s">
        <v>90</v>
      </c>
      <c r="S691">
        <v>0</v>
      </c>
      <c r="T691" t="s">
        <v>90</v>
      </c>
      <c r="U691">
        <v>0</v>
      </c>
      <c r="V691" t="s">
        <v>90</v>
      </c>
      <c r="W691">
        <v>0</v>
      </c>
      <c r="X691" t="s">
        <v>90</v>
      </c>
      <c r="Y691">
        <v>0</v>
      </c>
      <c r="Z691">
        <v>12.364508798983024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L691">
        <v>0.71399999999999997</v>
      </c>
      <c r="AN691" t="s">
        <v>185</v>
      </c>
      <c r="AO691" t="s">
        <v>73</v>
      </c>
      <c r="AP691">
        <v>200000</v>
      </c>
      <c r="AQ691" t="s">
        <v>73</v>
      </c>
      <c r="AS691">
        <v>10000</v>
      </c>
      <c r="AT691" t="s">
        <v>5579</v>
      </c>
      <c r="AU691" t="s">
        <v>75</v>
      </c>
      <c r="AV691" t="s">
        <v>76</v>
      </c>
    </row>
    <row r="692" spans="1:48" x14ac:dyDescent="0.15">
      <c r="A692" s="4" t="str">
        <f>HYPERLINK("https://ibp.a2mac1.com/costing(costing:projects/details/9760/assembly/8415636)","Struts System")</f>
        <v>Struts System</v>
      </c>
      <c r="B692">
        <v>8415636</v>
      </c>
      <c r="D692">
        <v>8415583</v>
      </c>
      <c r="F692">
        <v>1</v>
      </c>
      <c r="G692">
        <v>0</v>
      </c>
      <c r="H692">
        <v>19.5</v>
      </c>
      <c r="I692">
        <v>0</v>
      </c>
      <c r="J692" t="s">
        <v>90</v>
      </c>
      <c r="K692">
        <v>0</v>
      </c>
      <c r="L692">
        <v>19.5</v>
      </c>
      <c r="M692">
        <v>0</v>
      </c>
      <c r="N692">
        <v>0</v>
      </c>
      <c r="O692">
        <v>19.5</v>
      </c>
      <c r="P692" t="s">
        <v>90</v>
      </c>
      <c r="Q692">
        <v>0</v>
      </c>
      <c r="R692" t="s">
        <v>90</v>
      </c>
      <c r="S692">
        <v>0</v>
      </c>
      <c r="T692" t="s">
        <v>90</v>
      </c>
      <c r="U692">
        <v>0</v>
      </c>
      <c r="V692" t="s">
        <v>90</v>
      </c>
      <c r="W692">
        <v>0</v>
      </c>
      <c r="X692" t="s">
        <v>90</v>
      </c>
      <c r="Y692">
        <v>0</v>
      </c>
      <c r="Z692">
        <v>19.5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L692">
        <v>0.79120000000000001</v>
      </c>
      <c r="AN692" t="s">
        <v>185</v>
      </c>
      <c r="AO692" t="s">
        <v>73</v>
      </c>
      <c r="AP692">
        <v>200000</v>
      </c>
      <c r="AQ692" t="s">
        <v>73</v>
      </c>
      <c r="AS692">
        <v>10000</v>
      </c>
      <c r="AT692" t="s">
        <v>5585</v>
      </c>
      <c r="AU692" t="s">
        <v>75</v>
      </c>
      <c r="AV692" t="s">
        <v>76</v>
      </c>
    </row>
    <row r="693" spans="1:48" x14ac:dyDescent="0.15">
      <c r="A693" s="4" t="str">
        <f>HYPERLINK("https://ibp.a2mac1.com/costing(costing:projects/details/9760/assembly/8415637)","Sealing")</f>
        <v>Sealing</v>
      </c>
      <c r="B693">
        <v>8415637</v>
      </c>
      <c r="D693">
        <v>8415583</v>
      </c>
      <c r="F693">
        <v>1</v>
      </c>
      <c r="G693">
        <v>0</v>
      </c>
      <c r="H693">
        <v>1.793450575874985</v>
      </c>
      <c r="I693">
        <v>0</v>
      </c>
      <c r="J693" t="s">
        <v>90</v>
      </c>
      <c r="K693">
        <v>0</v>
      </c>
      <c r="L693">
        <v>1.793450575874985</v>
      </c>
      <c r="M693">
        <v>0</v>
      </c>
      <c r="N693">
        <v>0</v>
      </c>
      <c r="O693">
        <v>1.793450575874985</v>
      </c>
      <c r="P693" t="s">
        <v>90</v>
      </c>
      <c r="Q693">
        <v>0</v>
      </c>
      <c r="R693" t="s">
        <v>90</v>
      </c>
      <c r="S693">
        <v>0</v>
      </c>
      <c r="T693" t="s">
        <v>90</v>
      </c>
      <c r="U693">
        <v>0</v>
      </c>
      <c r="V693" t="s">
        <v>90</v>
      </c>
      <c r="W693">
        <v>0</v>
      </c>
      <c r="X693" t="s">
        <v>90</v>
      </c>
      <c r="Y693">
        <v>0</v>
      </c>
      <c r="Z693">
        <v>1.793450575874985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L693">
        <v>4.2000000000000003E-2</v>
      </c>
      <c r="AN693" t="s">
        <v>185</v>
      </c>
      <c r="AO693" t="s">
        <v>73</v>
      </c>
      <c r="AP693">
        <v>200000</v>
      </c>
      <c r="AQ693" t="s">
        <v>73</v>
      </c>
      <c r="AS693">
        <v>10000</v>
      </c>
      <c r="AT693" t="s">
        <v>5595</v>
      </c>
      <c r="AU693" t="s">
        <v>75</v>
      </c>
      <c r="AV693" t="s">
        <v>76</v>
      </c>
    </row>
    <row r="694" spans="1:48" x14ac:dyDescent="0.15">
      <c r="A694" s="4" t="str">
        <f>HYPERLINK("https://ibp.a2mac1.com/costing(costing:projects/details/9760/assembly/8415638)","Stoppers")</f>
        <v>Stoppers</v>
      </c>
      <c r="B694">
        <v>8415638</v>
      </c>
      <c r="D694">
        <v>8415583</v>
      </c>
      <c r="F694">
        <v>1</v>
      </c>
      <c r="G694">
        <v>0</v>
      </c>
      <c r="H694">
        <v>0.48601962464741388</v>
      </c>
      <c r="I694">
        <v>0</v>
      </c>
      <c r="J694" t="s">
        <v>90</v>
      </c>
      <c r="K694">
        <v>0</v>
      </c>
      <c r="L694">
        <v>0.48601962464741388</v>
      </c>
      <c r="M694">
        <v>0</v>
      </c>
      <c r="N694">
        <v>0</v>
      </c>
      <c r="O694">
        <v>0.48601962464741388</v>
      </c>
      <c r="P694" t="s">
        <v>90</v>
      </c>
      <c r="Q694">
        <v>0</v>
      </c>
      <c r="R694" t="s">
        <v>90</v>
      </c>
      <c r="S694">
        <v>0</v>
      </c>
      <c r="T694" t="s">
        <v>90</v>
      </c>
      <c r="U694">
        <v>0</v>
      </c>
      <c r="V694" t="s">
        <v>90</v>
      </c>
      <c r="W694">
        <v>0</v>
      </c>
      <c r="X694" t="s">
        <v>90</v>
      </c>
      <c r="Y694">
        <v>0</v>
      </c>
      <c r="Z694">
        <v>0.48601962464741388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L694">
        <v>0.124</v>
      </c>
      <c r="AN694" t="s">
        <v>185</v>
      </c>
      <c r="AO694" t="s">
        <v>73</v>
      </c>
      <c r="AP694">
        <v>200000</v>
      </c>
      <c r="AQ694" t="s">
        <v>73</v>
      </c>
      <c r="AS694">
        <v>10000</v>
      </c>
      <c r="AT694" t="s">
        <v>5603</v>
      </c>
      <c r="AU694" t="s">
        <v>75</v>
      </c>
      <c r="AV694" t="s">
        <v>76</v>
      </c>
    </row>
    <row r="695" spans="1:48" x14ac:dyDescent="0.15">
      <c r="A695" s="4" t="str">
        <f>HYPERLINK("https://ibp.a2mac1.com/costing(costing:projects/details/9760/assembly/8416225)","Lining")</f>
        <v>Lining</v>
      </c>
      <c r="B695">
        <v>8416225</v>
      </c>
      <c r="D695">
        <v>8415869</v>
      </c>
      <c r="F695">
        <v>1</v>
      </c>
      <c r="G695">
        <v>0</v>
      </c>
      <c r="H695">
        <v>37.512543965918994</v>
      </c>
      <c r="I695">
        <v>0</v>
      </c>
      <c r="J695" t="s">
        <v>90</v>
      </c>
      <c r="K695">
        <v>0</v>
      </c>
      <c r="L695">
        <v>37.512543965918994</v>
      </c>
      <c r="M695">
        <v>0</v>
      </c>
      <c r="N695">
        <v>0</v>
      </c>
      <c r="O695">
        <v>37.512543965918994</v>
      </c>
      <c r="P695" t="s">
        <v>90</v>
      </c>
      <c r="Q695">
        <v>0</v>
      </c>
      <c r="R695" t="s">
        <v>90</v>
      </c>
      <c r="S695">
        <v>0</v>
      </c>
      <c r="T695" t="s">
        <v>90</v>
      </c>
      <c r="U695">
        <v>0</v>
      </c>
      <c r="V695" t="s">
        <v>90</v>
      </c>
      <c r="W695">
        <v>0</v>
      </c>
      <c r="X695" t="s">
        <v>90</v>
      </c>
      <c r="Y695">
        <v>0</v>
      </c>
      <c r="Z695">
        <v>37.512543965918994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L695">
        <v>2.0350000000000001</v>
      </c>
      <c r="AN695" t="s">
        <v>185</v>
      </c>
      <c r="AO695" t="s">
        <v>73</v>
      </c>
      <c r="AP695">
        <v>200000</v>
      </c>
      <c r="AQ695" t="s">
        <v>73</v>
      </c>
      <c r="AS695">
        <v>10000</v>
      </c>
      <c r="AT695" t="s">
        <v>5613</v>
      </c>
      <c r="AU695" t="s">
        <v>75</v>
      </c>
      <c r="AV695" t="s">
        <v>76</v>
      </c>
    </row>
    <row r="696" spans="1:48" x14ac:dyDescent="0.15">
      <c r="A696" s="4" t="str">
        <f>HYPERLINK("https://ibp.a2mac1.com/costing(costing:projects/details/9760/assembly/8416226)","Spacers")</f>
        <v>Spacers</v>
      </c>
      <c r="B696">
        <v>8416226</v>
      </c>
      <c r="D696">
        <v>8415869</v>
      </c>
      <c r="F696">
        <v>1</v>
      </c>
      <c r="G696">
        <v>0</v>
      </c>
      <c r="H696">
        <v>0.81459172440276917</v>
      </c>
      <c r="I696">
        <v>0</v>
      </c>
      <c r="J696" t="s">
        <v>90</v>
      </c>
      <c r="K696">
        <v>0</v>
      </c>
      <c r="L696">
        <v>0.81459172440276917</v>
      </c>
      <c r="M696">
        <v>0</v>
      </c>
      <c r="N696">
        <v>0</v>
      </c>
      <c r="O696">
        <v>0.81459172440276917</v>
      </c>
      <c r="P696" t="s">
        <v>90</v>
      </c>
      <c r="Q696">
        <v>0</v>
      </c>
      <c r="R696" t="s">
        <v>90</v>
      </c>
      <c r="S696">
        <v>0</v>
      </c>
      <c r="T696" t="s">
        <v>90</v>
      </c>
      <c r="U696">
        <v>0</v>
      </c>
      <c r="V696" t="s">
        <v>90</v>
      </c>
      <c r="W696">
        <v>0</v>
      </c>
      <c r="X696" t="s">
        <v>90</v>
      </c>
      <c r="Y696">
        <v>0</v>
      </c>
      <c r="Z696">
        <v>0.81459172440276917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L696">
        <v>6.8000000000000005E-2</v>
      </c>
      <c r="AN696" t="s">
        <v>185</v>
      </c>
      <c r="AO696" t="s">
        <v>73</v>
      </c>
      <c r="AP696">
        <v>200000</v>
      </c>
      <c r="AQ696" t="s">
        <v>97</v>
      </c>
      <c r="AS696">
        <v>10000</v>
      </c>
      <c r="AT696" t="s">
        <v>5619</v>
      </c>
      <c r="AU696" t="s">
        <v>75</v>
      </c>
      <c r="AV696" t="s">
        <v>76</v>
      </c>
    </row>
    <row r="697" spans="1:48" x14ac:dyDescent="0.15">
      <c r="A697" s="4" t="str">
        <f>HYPERLINK("https://ibp.a2mac1.com/costing(costing:projects/details/9760/assembly/8416227)","Fixing parts")</f>
        <v>Fixing parts</v>
      </c>
      <c r="B697">
        <v>8416227</v>
      </c>
      <c r="D697">
        <v>8415869</v>
      </c>
      <c r="F697">
        <v>1</v>
      </c>
      <c r="G697">
        <v>0</v>
      </c>
      <c r="H697">
        <v>2.8209853424586515</v>
      </c>
      <c r="I697">
        <v>0</v>
      </c>
      <c r="J697" t="s">
        <v>90</v>
      </c>
      <c r="K697">
        <v>0</v>
      </c>
      <c r="L697">
        <v>2.8209853424586515</v>
      </c>
      <c r="M697">
        <v>0</v>
      </c>
      <c r="N697">
        <v>0</v>
      </c>
      <c r="O697">
        <v>2.8209853424586515</v>
      </c>
      <c r="P697" t="s">
        <v>90</v>
      </c>
      <c r="Q697">
        <v>0</v>
      </c>
      <c r="R697" t="s">
        <v>90</v>
      </c>
      <c r="S697">
        <v>0</v>
      </c>
      <c r="T697" t="s">
        <v>90</v>
      </c>
      <c r="U697">
        <v>0</v>
      </c>
      <c r="V697" t="s">
        <v>90</v>
      </c>
      <c r="W697">
        <v>0</v>
      </c>
      <c r="X697" t="s">
        <v>90</v>
      </c>
      <c r="Y697">
        <v>0</v>
      </c>
      <c r="Z697">
        <v>2.8209853424586515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L697">
        <v>0.41</v>
      </c>
      <c r="AN697" t="s">
        <v>185</v>
      </c>
      <c r="AO697" t="s">
        <v>73</v>
      </c>
      <c r="AP697">
        <v>200000</v>
      </c>
      <c r="AQ697" t="s">
        <v>97</v>
      </c>
      <c r="AS697">
        <v>10000</v>
      </c>
      <c r="AT697" t="s">
        <v>5629</v>
      </c>
      <c r="AU697" t="s">
        <v>75</v>
      </c>
      <c r="AV697" t="s">
        <v>76</v>
      </c>
    </row>
    <row r="698" spans="1:48" x14ac:dyDescent="0.15">
      <c r="A698" s="4" t="str">
        <f>HYPERLINK("https://ibp.a2mac1.com/costing(costing:projects/details/9760/assembly/8416228)","Striker")</f>
        <v>Striker</v>
      </c>
      <c r="B698">
        <v>8416228</v>
      </c>
      <c r="D698">
        <v>8415869</v>
      </c>
      <c r="F698">
        <v>1</v>
      </c>
      <c r="G698">
        <v>0</v>
      </c>
      <c r="H698">
        <v>0.33865839594350933</v>
      </c>
      <c r="I698">
        <v>0</v>
      </c>
      <c r="J698" t="s">
        <v>90</v>
      </c>
      <c r="K698">
        <v>0</v>
      </c>
      <c r="L698">
        <v>0.33865839594350933</v>
      </c>
      <c r="M698">
        <v>0</v>
      </c>
      <c r="N698">
        <v>0</v>
      </c>
      <c r="O698">
        <v>0.33865839594350933</v>
      </c>
      <c r="P698" t="s">
        <v>90</v>
      </c>
      <c r="Q698">
        <v>0</v>
      </c>
      <c r="R698" t="s">
        <v>90</v>
      </c>
      <c r="S698">
        <v>0</v>
      </c>
      <c r="T698" t="s">
        <v>90</v>
      </c>
      <c r="U698">
        <v>0</v>
      </c>
      <c r="V698" t="s">
        <v>90</v>
      </c>
      <c r="W698">
        <v>0</v>
      </c>
      <c r="X698" t="s">
        <v>90</v>
      </c>
      <c r="Y698">
        <v>0</v>
      </c>
      <c r="Z698">
        <v>0.33865839594350933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L698">
        <v>2.4E-2</v>
      </c>
      <c r="AN698" t="s">
        <v>185</v>
      </c>
      <c r="AO698" t="s">
        <v>73</v>
      </c>
      <c r="AP698">
        <v>200000</v>
      </c>
      <c r="AQ698" t="s">
        <v>97</v>
      </c>
      <c r="AS698">
        <v>10000</v>
      </c>
      <c r="AT698" t="s">
        <v>5636</v>
      </c>
      <c r="AU698" t="s">
        <v>75</v>
      </c>
      <c r="AV698" t="s">
        <v>76</v>
      </c>
    </row>
    <row r="699" spans="1:48" x14ac:dyDescent="0.15">
      <c r="A699" s="4" t="str">
        <f>HYPERLINK("https://ibp.a2mac1.com/costing(costing:projects/details/9760/assembly/8415869)","Lining assy")</f>
        <v>Lining assy</v>
      </c>
      <c r="B699">
        <v>8415869</v>
      </c>
      <c r="D699">
        <v>8415639</v>
      </c>
      <c r="F699">
        <v>1</v>
      </c>
      <c r="G699">
        <v>0</v>
      </c>
      <c r="H699">
        <v>41.486779428723921</v>
      </c>
      <c r="I699">
        <v>0</v>
      </c>
      <c r="J699" t="s">
        <v>90</v>
      </c>
      <c r="K699">
        <v>0</v>
      </c>
      <c r="L699">
        <v>41.486779428723921</v>
      </c>
      <c r="M699">
        <v>0</v>
      </c>
      <c r="N699">
        <v>0</v>
      </c>
      <c r="O699">
        <v>41.486779428723921</v>
      </c>
      <c r="P699" t="s">
        <v>90</v>
      </c>
      <c r="Q699">
        <v>0</v>
      </c>
      <c r="R699" t="s">
        <v>90</v>
      </c>
      <c r="S699">
        <v>0</v>
      </c>
      <c r="T699" t="s">
        <v>90</v>
      </c>
      <c r="U699">
        <v>0</v>
      </c>
      <c r="V699" t="s">
        <v>90</v>
      </c>
      <c r="W699">
        <v>0</v>
      </c>
      <c r="X699" t="s">
        <v>90</v>
      </c>
      <c r="Y699">
        <v>0</v>
      </c>
      <c r="Z699">
        <v>41.486779428723921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L699">
        <v>2.5369999999999999</v>
      </c>
      <c r="AN699" t="s">
        <v>185</v>
      </c>
      <c r="AO699" t="s">
        <v>73</v>
      </c>
      <c r="AP699">
        <v>200000</v>
      </c>
      <c r="AQ699" t="s">
        <v>97</v>
      </c>
      <c r="AS699">
        <v>10000</v>
      </c>
      <c r="AT699" t="s">
        <v>5637</v>
      </c>
      <c r="AU699" t="s">
        <v>75</v>
      </c>
      <c r="AV699" t="s">
        <v>76</v>
      </c>
    </row>
    <row r="700" spans="1:48" x14ac:dyDescent="0.15">
      <c r="A700" s="4" t="str">
        <f>HYPERLINK("https://ibp.a2mac1.com/costing(costing:projects/details/9760/assembly/8415870)","Outer panel")</f>
        <v>Outer panel</v>
      </c>
      <c r="B700">
        <v>8415870</v>
      </c>
      <c r="D700">
        <v>8415639</v>
      </c>
      <c r="F700">
        <v>1</v>
      </c>
      <c r="G700">
        <v>0</v>
      </c>
      <c r="H700">
        <v>22.292299272437056</v>
      </c>
      <c r="I700">
        <v>0</v>
      </c>
      <c r="J700" t="s">
        <v>90</v>
      </c>
      <c r="K700">
        <v>0</v>
      </c>
      <c r="L700">
        <v>22.292299272437056</v>
      </c>
      <c r="M700">
        <v>0</v>
      </c>
      <c r="N700">
        <v>0</v>
      </c>
      <c r="O700">
        <v>22.292299272437056</v>
      </c>
      <c r="P700" t="s">
        <v>90</v>
      </c>
      <c r="Q700">
        <v>0</v>
      </c>
      <c r="R700" t="s">
        <v>90</v>
      </c>
      <c r="S700">
        <v>0</v>
      </c>
      <c r="T700" t="s">
        <v>90</v>
      </c>
      <c r="U700">
        <v>0</v>
      </c>
      <c r="V700" t="s">
        <v>90</v>
      </c>
      <c r="W700">
        <v>0</v>
      </c>
      <c r="X700" t="s">
        <v>90</v>
      </c>
      <c r="Y700">
        <v>0</v>
      </c>
      <c r="Z700">
        <v>22.292299272437056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L700">
        <v>2.2469999999999999</v>
      </c>
      <c r="AN700" t="s">
        <v>185</v>
      </c>
      <c r="AO700" t="s">
        <v>73</v>
      </c>
      <c r="AP700">
        <v>200000</v>
      </c>
      <c r="AQ700" t="s">
        <v>73</v>
      </c>
      <c r="AS700">
        <v>10000</v>
      </c>
      <c r="AT700" t="s">
        <v>5643</v>
      </c>
      <c r="AU700" t="s">
        <v>75</v>
      </c>
      <c r="AV700" t="s">
        <v>76</v>
      </c>
    </row>
    <row r="701" spans="1:48" x14ac:dyDescent="0.15">
      <c r="A701" s="4" t="str">
        <f>HYPERLINK("https://ibp.a2mac1.com/costing(costing:projects/details/9760/assembly/8415639)","Hood")</f>
        <v>Hood</v>
      </c>
      <c r="B701">
        <v>8415639</v>
      </c>
      <c r="D701">
        <v>8415583</v>
      </c>
      <c r="F701">
        <v>1</v>
      </c>
      <c r="G701">
        <v>0</v>
      </c>
      <c r="H701">
        <v>63.779078701160977</v>
      </c>
      <c r="I701">
        <v>0</v>
      </c>
      <c r="J701" t="s">
        <v>90</v>
      </c>
      <c r="K701">
        <v>0</v>
      </c>
      <c r="L701">
        <v>63.779078701160977</v>
      </c>
      <c r="M701">
        <v>0</v>
      </c>
      <c r="N701">
        <v>1.9646068803148939</v>
      </c>
      <c r="O701">
        <v>65.743685581475873</v>
      </c>
      <c r="P701" t="s">
        <v>90</v>
      </c>
      <c r="Q701">
        <v>0</v>
      </c>
      <c r="R701" t="s">
        <v>90</v>
      </c>
      <c r="S701">
        <v>0</v>
      </c>
      <c r="T701" t="s">
        <v>90</v>
      </c>
      <c r="U701">
        <v>0</v>
      </c>
      <c r="V701" t="s">
        <v>90</v>
      </c>
      <c r="W701">
        <v>0</v>
      </c>
      <c r="X701" t="s">
        <v>90</v>
      </c>
      <c r="Y701">
        <v>0</v>
      </c>
      <c r="Z701">
        <v>65.743685581475873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1330</v>
      </c>
      <c r="AI701">
        <v>1570</v>
      </c>
      <c r="AJ701">
        <v>140</v>
      </c>
      <c r="AK701">
        <v>0</v>
      </c>
      <c r="AL701">
        <v>10.173999999999999</v>
      </c>
      <c r="AN701" t="s">
        <v>185</v>
      </c>
      <c r="AO701" t="s">
        <v>73</v>
      </c>
      <c r="AP701">
        <v>200000</v>
      </c>
      <c r="AQ701" t="s">
        <v>73</v>
      </c>
      <c r="AS701">
        <v>10000</v>
      </c>
      <c r="AT701" t="s">
        <v>5645</v>
      </c>
      <c r="AU701" t="s">
        <v>75</v>
      </c>
      <c r="AV701" t="s">
        <v>76</v>
      </c>
    </row>
    <row r="702" spans="1:48" x14ac:dyDescent="0.15">
      <c r="A702" s="4" t="str">
        <f>HYPERLINK("https://ibp.a2mac1.com/costing(costing:projects/details/9760/assembly/8415583)","Hood")</f>
        <v>Hood</v>
      </c>
      <c r="B702">
        <v>8415583</v>
      </c>
      <c r="D702">
        <v>8415576</v>
      </c>
      <c r="F702">
        <v>1</v>
      </c>
      <c r="G702">
        <v>0</v>
      </c>
      <c r="H702">
        <v>106.28163653432436</v>
      </c>
      <c r="I702">
        <v>0</v>
      </c>
      <c r="J702" t="s">
        <v>90</v>
      </c>
      <c r="K702">
        <v>0</v>
      </c>
      <c r="L702">
        <v>106.28163653432436</v>
      </c>
      <c r="M702">
        <v>0</v>
      </c>
      <c r="N702">
        <v>0.43868503495279115</v>
      </c>
      <c r="O702">
        <v>106.72032156927716</v>
      </c>
      <c r="P702" t="s">
        <v>90</v>
      </c>
      <c r="Q702">
        <v>0</v>
      </c>
      <c r="R702" t="s">
        <v>90</v>
      </c>
      <c r="S702">
        <v>0</v>
      </c>
      <c r="T702" t="s">
        <v>90</v>
      </c>
      <c r="U702">
        <v>0</v>
      </c>
      <c r="V702" t="s">
        <v>90</v>
      </c>
      <c r="W702">
        <v>0</v>
      </c>
      <c r="X702" t="s">
        <v>90</v>
      </c>
      <c r="Y702">
        <v>0</v>
      </c>
      <c r="Z702">
        <v>106.72032156927716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1330</v>
      </c>
      <c r="AI702">
        <v>1570</v>
      </c>
      <c r="AJ702">
        <v>140</v>
      </c>
      <c r="AL702">
        <v>14.7638</v>
      </c>
      <c r="AN702" t="s">
        <v>185</v>
      </c>
      <c r="AO702" t="s">
        <v>73</v>
      </c>
      <c r="AP702">
        <v>200000</v>
      </c>
      <c r="AQ702" t="s">
        <v>73</v>
      </c>
      <c r="AS702">
        <v>10000</v>
      </c>
      <c r="AT702" t="s">
        <v>5657</v>
      </c>
      <c r="AU702" t="s">
        <v>75</v>
      </c>
      <c r="AV702" t="s">
        <v>76</v>
      </c>
    </row>
    <row r="703" spans="1:48" x14ac:dyDescent="0.15">
      <c r="A703" s="4" t="str">
        <f>HYPERLINK("https://ibp.a2mac1.com/costing(costing:projects/details/9760/assembly/8416538)","Lining")</f>
        <v>Lining</v>
      </c>
      <c r="B703">
        <v>8416538</v>
      </c>
      <c r="D703">
        <v>8416230</v>
      </c>
      <c r="F703">
        <v>1</v>
      </c>
      <c r="G703">
        <v>0</v>
      </c>
      <c r="H703">
        <v>4.5304526179124007</v>
      </c>
      <c r="I703">
        <v>0</v>
      </c>
      <c r="J703" t="s">
        <v>90</v>
      </c>
      <c r="K703">
        <v>0</v>
      </c>
      <c r="L703">
        <v>4.5304526179124007</v>
      </c>
      <c r="M703">
        <v>0</v>
      </c>
      <c r="N703">
        <v>0</v>
      </c>
      <c r="O703">
        <v>4.5304526179124007</v>
      </c>
      <c r="P703" t="s">
        <v>90</v>
      </c>
      <c r="Q703">
        <v>0</v>
      </c>
      <c r="R703" t="s">
        <v>90</v>
      </c>
      <c r="S703">
        <v>0</v>
      </c>
      <c r="T703" t="s">
        <v>90</v>
      </c>
      <c r="U703">
        <v>0</v>
      </c>
      <c r="V703" t="s">
        <v>90</v>
      </c>
      <c r="W703">
        <v>0</v>
      </c>
      <c r="X703" t="s">
        <v>90</v>
      </c>
      <c r="Y703">
        <v>0</v>
      </c>
      <c r="Z703">
        <v>4.5304526179124007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L703">
        <v>1.984</v>
      </c>
      <c r="AN703" t="s">
        <v>185</v>
      </c>
      <c r="AO703" t="s">
        <v>73</v>
      </c>
      <c r="AP703">
        <v>200000</v>
      </c>
      <c r="AQ703" t="s">
        <v>73</v>
      </c>
      <c r="AS703">
        <v>10000</v>
      </c>
      <c r="AT703" t="s">
        <v>5671</v>
      </c>
      <c r="AU703" t="s">
        <v>75</v>
      </c>
      <c r="AV703" t="s">
        <v>76</v>
      </c>
    </row>
    <row r="704" spans="1:48" x14ac:dyDescent="0.15">
      <c r="A704" s="4" t="str">
        <f>HYPERLINK("https://ibp.a2mac1.com/costing(costing:projects/details/9760/assembly/8416539)","Spacers")</f>
        <v>Spacers</v>
      </c>
      <c r="B704">
        <v>8416539</v>
      </c>
      <c r="D704">
        <v>8416230</v>
      </c>
      <c r="F704">
        <v>1</v>
      </c>
      <c r="G704">
        <v>0</v>
      </c>
      <c r="H704">
        <v>0.2117171959274653</v>
      </c>
      <c r="I704">
        <v>0</v>
      </c>
      <c r="J704" t="s">
        <v>90</v>
      </c>
      <c r="K704">
        <v>0</v>
      </c>
      <c r="L704">
        <v>0.2117171959274653</v>
      </c>
      <c r="M704">
        <v>0</v>
      </c>
      <c r="N704">
        <v>0</v>
      </c>
      <c r="O704">
        <v>0.2117171959274653</v>
      </c>
      <c r="P704" t="s">
        <v>90</v>
      </c>
      <c r="Q704">
        <v>0</v>
      </c>
      <c r="R704" t="s">
        <v>90</v>
      </c>
      <c r="S704">
        <v>0</v>
      </c>
      <c r="T704" t="s">
        <v>90</v>
      </c>
      <c r="U704">
        <v>0</v>
      </c>
      <c r="V704" t="s">
        <v>90</v>
      </c>
      <c r="W704">
        <v>0</v>
      </c>
      <c r="X704" t="s">
        <v>90</v>
      </c>
      <c r="Y704">
        <v>0</v>
      </c>
      <c r="Z704">
        <v>0.2117171959274653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8.7999999999999995E-2</v>
      </c>
      <c r="AN704" t="s">
        <v>185</v>
      </c>
      <c r="AO704" t="s">
        <v>73</v>
      </c>
      <c r="AP704">
        <v>200000</v>
      </c>
      <c r="AQ704" t="s">
        <v>73</v>
      </c>
      <c r="AS704">
        <v>10000</v>
      </c>
      <c r="AT704" t="s">
        <v>5677</v>
      </c>
      <c r="AU704" t="s">
        <v>75</v>
      </c>
      <c r="AV704" t="s">
        <v>76</v>
      </c>
    </row>
    <row r="705" spans="1:48" x14ac:dyDescent="0.15">
      <c r="A705" s="4" t="str">
        <f>HYPERLINK("https://ibp.a2mac1.com/costing(costing:projects/details/9760/assembly/8416540)","Fixing parts")</f>
        <v>Fixing parts</v>
      </c>
      <c r="B705">
        <v>8416540</v>
      </c>
      <c r="D705">
        <v>8416230</v>
      </c>
      <c r="F705">
        <v>1</v>
      </c>
      <c r="G705">
        <v>0</v>
      </c>
      <c r="H705">
        <v>1.7569899821902142</v>
      </c>
      <c r="I705">
        <v>0</v>
      </c>
      <c r="J705" t="s">
        <v>90</v>
      </c>
      <c r="K705">
        <v>0</v>
      </c>
      <c r="L705">
        <v>1.7569899821902142</v>
      </c>
      <c r="M705">
        <v>0</v>
      </c>
      <c r="N705">
        <v>0</v>
      </c>
      <c r="O705">
        <v>1.7569899821902142</v>
      </c>
      <c r="P705" t="s">
        <v>90</v>
      </c>
      <c r="Q705">
        <v>0</v>
      </c>
      <c r="R705" t="s">
        <v>90</v>
      </c>
      <c r="S705">
        <v>0</v>
      </c>
      <c r="T705" t="s">
        <v>90</v>
      </c>
      <c r="U705">
        <v>0</v>
      </c>
      <c r="V705" t="s">
        <v>90</v>
      </c>
      <c r="W705">
        <v>0</v>
      </c>
      <c r="X705" t="s">
        <v>90</v>
      </c>
      <c r="Y705">
        <v>0</v>
      </c>
      <c r="Z705">
        <v>1.7569899821902142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L705">
        <v>0.82899999999999996</v>
      </c>
      <c r="AN705" t="s">
        <v>185</v>
      </c>
      <c r="AO705" t="s">
        <v>73</v>
      </c>
      <c r="AP705">
        <v>200000</v>
      </c>
      <c r="AQ705" t="s">
        <v>73</v>
      </c>
      <c r="AS705">
        <v>10000</v>
      </c>
      <c r="AT705" t="s">
        <v>5687</v>
      </c>
      <c r="AU705" t="s">
        <v>75</v>
      </c>
      <c r="AV705" t="s">
        <v>76</v>
      </c>
    </row>
    <row r="706" spans="1:48" x14ac:dyDescent="0.15">
      <c r="A706" s="4" t="str">
        <f>HYPERLINK("https://ibp.a2mac1.com/costing(costing:projects/details/9760/assembly/8416230)","Lining assy")</f>
        <v>Lining assy</v>
      </c>
      <c r="B706">
        <v>8416230</v>
      </c>
      <c r="D706">
        <v>8415871</v>
      </c>
      <c r="F706">
        <v>1</v>
      </c>
      <c r="G706">
        <v>0</v>
      </c>
      <c r="H706">
        <v>6.4991597960300806</v>
      </c>
      <c r="I706">
        <v>0</v>
      </c>
      <c r="J706" t="s">
        <v>90</v>
      </c>
      <c r="K706">
        <v>0</v>
      </c>
      <c r="L706">
        <v>6.4991597960300806</v>
      </c>
      <c r="M706">
        <v>0</v>
      </c>
      <c r="N706">
        <v>0</v>
      </c>
      <c r="O706">
        <v>6.4991597960300806</v>
      </c>
      <c r="P706" t="s">
        <v>90</v>
      </c>
      <c r="Q706">
        <v>0</v>
      </c>
      <c r="R706" t="s">
        <v>90</v>
      </c>
      <c r="S706">
        <v>0</v>
      </c>
      <c r="T706" t="s">
        <v>90</v>
      </c>
      <c r="U706">
        <v>0</v>
      </c>
      <c r="V706" t="s">
        <v>90</v>
      </c>
      <c r="W706">
        <v>0</v>
      </c>
      <c r="X706" t="s">
        <v>90</v>
      </c>
      <c r="Y706">
        <v>0</v>
      </c>
      <c r="Z706">
        <v>6.4991597960300806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N706" t="s">
        <v>185</v>
      </c>
      <c r="AO706" t="s">
        <v>73</v>
      </c>
      <c r="AP706">
        <v>200000</v>
      </c>
      <c r="AQ706" t="s">
        <v>73</v>
      </c>
      <c r="AS706">
        <v>10000</v>
      </c>
      <c r="AT706" t="s">
        <v>5688</v>
      </c>
      <c r="AU706" t="s">
        <v>75</v>
      </c>
      <c r="AV706" t="s">
        <v>76</v>
      </c>
    </row>
    <row r="707" spans="1:48" x14ac:dyDescent="0.15">
      <c r="A707" s="4" t="str">
        <f>HYPERLINK("https://ibp.a2mac1.com/costing(costing:projects/details/9760/assembly/8416541)","Outer panel")</f>
        <v>Outer panel</v>
      </c>
      <c r="B707">
        <v>8416541</v>
      </c>
      <c r="D707">
        <v>8416231</v>
      </c>
      <c r="F707">
        <v>1</v>
      </c>
      <c r="G707">
        <v>0</v>
      </c>
      <c r="H707">
        <v>6.7115436944891771</v>
      </c>
      <c r="I707">
        <v>0</v>
      </c>
      <c r="J707" t="s">
        <v>90</v>
      </c>
      <c r="K707">
        <v>0</v>
      </c>
      <c r="L707">
        <v>6.7115436944891771</v>
      </c>
      <c r="M707">
        <v>0</v>
      </c>
      <c r="N707">
        <v>0</v>
      </c>
      <c r="O707">
        <v>6.7115436944891771</v>
      </c>
      <c r="P707" t="s">
        <v>90</v>
      </c>
      <c r="Q707">
        <v>0</v>
      </c>
      <c r="R707" t="s">
        <v>90</v>
      </c>
      <c r="S707">
        <v>0</v>
      </c>
      <c r="T707" t="s">
        <v>90</v>
      </c>
      <c r="U707">
        <v>0</v>
      </c>
      <c r="V707" t="s">
        <v>90</v>
      </c>
      <c r="W707">
        <v>0</v>
      </c>
      <c r="X707" t="s">
        <v>90</v>
      </c>
      <c r="Y707">
        <v>0</v>
      </c>
      <c r="Z707">
        <v>6.7115436944891771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L707">
        <v>3.0230000000000001</v>
      </c>
      <c r="AN707" t="s">
        <v>185</v>
      </c>
      <c r="AO707" t="s">
        <v>73</v>
      </c>
      <c r="AP707">
        <v>200000</v>
      </c>
      <c r="AQ707" t="s">
        <v>73</v>
      </c>
      <c r="AS707">
        <v>10000</v>
      </c>
      <c r="AT707" t="s">
        <v>5703</v>
      </c>
      <c r="AU707" t="s">
        <v>75</v>
      </c>
      <c r="AV707" t="s">
        <v>76</v>
      </c>
    </row>
    <row r="708" spans="1:48" x14ac:dyDescent="0.15">
      <c r="A708" s="4" t="str">
        <f>HYPERLINK("https://ibp.a2mac1.com/costing(costing:projects/details/9760/assembly/8416231)","Outer panel assy")</f>
        <v>Outer panel assy</v>
      </c>
      <c r="B708">
        <v>8416231</v>
      </c>
      <c r="D708">
        <v>8415871</v>
      </c>
      <c r="F708">
        <v>1</v>
      </c>
      <c r="G708">
        <v>0</v>
      </c>
      <c r="H708">
        <v>6.7115436944891771</v>
      </c>
      <c r="I708">
        <v>0</v>
      </c>
      <c r="J708" t="s">
        <v>90</v>
      </c>
      <c r="K708">
        <v>0</v>
      </c>
      <c r="L708">
        <v>6.7115436944891771</v>
      </c>
      <c r="M708">
        <v>0</v>
      </c>
      <c r="N708">
        <v>0</v>
      </c>
      <c r="O708">
        <v>6.7115436944891771</v>
      </c>
      <c r="P708" t="s">
        <v>90</v>
      </c>
      <c r="Q708">
        <v>0</v>
      </c>
      <c r="R708" t="s">
        <v>90</v>
      </c>
      <c r="S708">
        <v>0</v>
      </c>
      <c r="T708" t="s">
        <v>90</v>
      </c>
      <c r="U708">
        <v>0</v>
      </c>
      <c r="V708" t="s">
        <v>90</v>
      </c>
      <c r="W708">
        <v>0</v>
      </c>
      <c r="X708" t="s">
        <v>90</v>
      </c>
      <c r="Y708">
        <v>0</v>
      </c>
      <c r="Z708">
        <v>6.7115436944891771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L708">
        <v>3.0230000000000001</v>
      </c>
      <c r="AN708" t="s">
        <v>185</v>
      </c>
      <c r="AO708" t="s">
        <v>73</v>
      </c>
      <c r="AP708">
        <v>200000</v>
      </c>
      <c r="AQ708" t="s">
        <v>73</v>
      </c>
      <c r="AS708">
        <v>10000</v>
      </c>
      <c r="AT708" t="s">
        <v>5704</v>
      </c>
      <c r="AU708" t="s">
        <v>75</v>
      </c>
      <c r="AV708" t="s">
        <v>76</v>
      </c>
    </row>
    <row r="709" spans="1:48" x14ac:dyDescent="0.15">
      <c r="A709" s="4" t="str">
        <f>HYPERLINK("https://ibp.a2mac1.com/costing(costing:projects/details/9760/assembly/8415871)","Trunk Frame")</f>
        <v>Trunk Frame</v>
      </c>
      <c r="B709">
        <v>8415871</v>
      </c>
      <c r="D709">
        <v>8415640</v>
      </c>
      <c r="F709">
        <v>1</v>
      </c>
      <c r="G709">
        <v>0</v>
      </c>
      <c r="H709">
        <v>13.210703490519258</v>
      </c>
      <c r="I709">
        <v>0</v>
      </c>
      <c r="J709" t="s">
        <v>90</v>
      </c>
      <c r="K709">
        <v>0</v>
      </c>
      <c r="L709">
        <v>13.210703490519258</v>
      </c>
      <c r="M709">
        <v>0</v>
      </c>
      <c r="N709">
        <v>0</v>
      </c>
      <c r="O709">
        <v>13.210703490519258</v>
      </c>
      <c r="P709" t="s">
        <v>90</v>
      </c>
      <c r="Q709">
        <v>0</v>
      </c>
      <c r="R709" t="s">
        <v>90</v>
      </c>
      <c r="S709">
        <v>0</v>
      </c>
      <c r="T709" t="s">
        <v>90</v>
      </c>
      <c r="U709">
        <v>0</v>
      </c>
      <c r="V709" t="s">
        <v>90</v>
      </c>
      <c r="W709">
        <v>0</v>
      </c>
      <c r="X709" t="s">
        <v>90</v>
      </c>
      <c r="Y709">
        <v>0</v>
      </c>
      <c r="Z709">
        <v>13.210703490519258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N709" t="s">
        <v>185</v>
      </c>
      <c r="AO709" t="s">
        <v>73</v>
      </c>
      <c r="AP709">
        <v>200000</v>
      </c>
      <c r="AQ709" t="s">
        <v>73</v>
      </c>
      <c r="AS709">
        <v>10000</v>
      </c>
      <c r="AT709" t="s">
        <v>5705</v>
      </c>
      <c r="AU709" t="s">
        <v>75</v>
      </c>
      <c r="AV709" t="s">
        <v>76</v>
      </c>
    </row>
    <row r="710" spans="1:48" x14ac:dyDescent="0.15">
      <c r="A710" s="4" t="str">
        <f>HYPERLINK("https://ibp.a2mac1.com/costing(costing:projects/details/9760/assembly/8415640)","Trunk Frame")</f>
        <v>Trunk Frame</v>
      </c>
      <c r="B710">
        <v>8415640</v>
      </c>
      <c r="D710">
        <v>8415584</v>
      </c>
      <c r="F710">
        <v>1</v>
      </c>
      <c r="G710">
        <v>0</v>
      </c>
      <c r="H710">
        <v>13.210703490519258</v>
      </c>
      <c r="I710">
        <v>6.6385444675976166E-2</v>
      </c>
      <c r="J710" t="s">
        <v>176</v>
      </c>
      <c r="K710">
        <v>0.46237462216817399</v>
      </c>
      <c r="L710">
        <v>13.739463557363408</v>
      </c>
      <c r="M710">
        <v>0</v>
      </c>
      <c r="N710">
        <v>2.357528256377873</v>
      </c>
      <c r="O710">
        <v>16.09699181374128</v>
      </c>
      <c r="P710" t="s">
        <v>90</v>
      </c>
      <c r="Q710">
        <v>0</v>
      </c>
      <c r="R710" t="s">
        <v>90</v>
      </c>
      <c r="S710">
        <v>0</v>
      </c>
      <c r="T710" t="s">
        <v>90</v>
      </c>
      <c r="U710">
        <v>0</v>
      </c>
      <c r="V710" t="s">
        <v>90</v>
      </c>
      <c r="W710">
        <v>0</v>
      </c>
      <c r="X710" t="s">
        <v>90</v>
      </c>
      <c r="Y710">
        <v>0</v>
      </c>
      <c r="Z710">
        <v>16.09699181374128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610</v>
      </c>
      <c r="AI710">
        <v>1310</v>
      </c>
      <c r="AJ710">
        <v>540</v>
      </c>
      <c r="AL710">
        <v>12.112</v>
      </c>
      <c r="AN710" t="s">
        <v>4964</v>
      </c>
      <c r="AO710" t="s">
        <v>73</v>
      </c>
      <c r="AP710">
        <v>200000</v>
      </c>
      <c r="AQ710" t="s">
        <v>73</v>
      </c>
      <c r="AS710">
        <v>10000</v>
      </c>
      <c r="AT710" t="s">
        <v>5707</v>
      </c>
      <c r="AU710" t="s">
        <v>75</v>
      </c>
      <c r="AV710" t="s">
        <v>76</v>
      </c>
    </row>
    <row r="711" spans="1:48" x14ac:dyDescent="0.15">
      <c r="A711" s="4" t="str">
        <f>HYPERLINK("https://ibp.a2mac1.com/costing(costing:projects/details/9760/assembly/8415643)","Symbol")</f>
        <v>Symbol</v>
      </c>
      <c r="B711">
        <v>8415643</v>
      </c>
      <c r="D711">
        <v>8415584</v>
      </c>
      <c r="F711">
        <v>1</v>
      </c>
      <c r="G711">
        <v>0</v>
      </c>
      <c r="H711">
        <v>6.2542879169261684E-2</v>
      </c>
      <c r="I711">
        <v>3.1428582497116422E-4</v>
      </c>
      <c r="J711" t="s">
        <v>176</v>
      </c>
      <c r="K711">
        <v>2.1890007709241587E-3</v>
      </c>
      <c r="L711">
        <v>6.5046165765156996E-2</v>
      </c>
      <c r="M711">
        <v>0</v>
      </c>
      <c r="N711">
        <v>7.8739921241254701E-2</v>
      </c>
      <c r="O711">
        <v>0.14378608700641171</v>
      </c>
      <c r="P711" t="s">
        <v>177</v>
      </c>
      <c r="Q711">
        <v>3.9027699459094202E-3</v>
      </c>
      <c r="R711" t="s">
        <v>177</v>
      </c>
      <c r="S711">
        <v>4.7243952744752821E-3</v>
      </c>
      <c r="T711" t="s">
        <v>178</v>
      </c>
      <c r="U711">
        <v>1.7254330440769405E-2</v>
      </c>
      <c r="V711" t="s">
        <v>90</v>
      </c>
      <c r="W711">
        <v>0</v>
      </c>
      <c r="X711" t="s">
        <v>90</v>
      </c>
      <c r="Y711">
        <v>0</v>
      </c>
      <c r="Z711">
        <v>0.16966758266756579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190</v>
      </c>
      <c r="AJ711">
        <v>25</v>
      </c>
      <c r="AL711">
        <v>6.0000000000000001E-3</v>
      </c>
      <c r="AN711" t="s">
        <v>5305</v>
      </c>
      <c r="AO711" t="s">
        <v>73</v>
      </c>
      <c r="AP711">
        <v>200000</v>
      </c>
      <c r="AQ711" t="s">
        <v>97</v>
      </c>
      <c r="AS711">
        <v>10000</v>
      </c>
      <c r="AT711" t="s">
        <v>5724</v>
      </c>
      <c r="AU711" t="s">
        <v>75</v>
      </c>
      <c r="AV711" t="s">
        <v>76</v>
      </c>
    </row>
    <row r="712" spans="1:48" x14ac:dyDescent="0.15">
      <c r="A712" s="4" t="str">
        <f>HYPERLINK("https://ibp.a2mac1.com/costing(costing:projects/details/9760/assembly/8415878)","Hinges")</f>
        <v>Hinges</v>
      </c>
      <c r="B712">
        <v>8415878</v>
      </c>
      <c r="D712">
        <v>8415645</v>
      </c>
      <c r="F712">
        <v>1</v>
      </c>
      <c r="G712">
        <v>0</v>
      </c>
      <c r="H712">
        <v>1.7839500328214035</v>
      </c>
      <c r="I712">
        <v>8.9645730292532838E-3</v>
      </c>
      <c r="J712" t="s">
        <v>176</v>
      </c>
      <c r="K712">
        <v>6.2438251148749124E-2</v>
      </c>
      <c r="L712">
        <v>1.855352856999406</v>
      </c>
      <c r="M712">
        <v>0</v>
      </c>
      <c r="N712">
        <v>0</v>
      </c>
      <c r="O712">
        <v>1.855352856999406</v>
      </c>
      <c r="P712" t="s">
        <v>177</v>
      </c>
      <c r="Q712">
        <v>0.11132117141996435</v>
      </c>
      <c r="R712" t="s">
        <v>177</v>
      </c>
      <c r="S712">
        <v>0</v>
      </c>
      <c r="T712" t="s">
        <v>178</v>
      </c>
      <c r="U712">
        <v>0.2226423428399287</v>
      </c>
      <c r="V712" t="s">
        <v>90</v>
      </c>
      <c r="W712">
        <v>0</v>
      </c>
      <c r="X712" t="s">
        <v>90</v>
      </c>
      <c r="Y712">
        <v>0</v>
      </c>
      <c r="Z712">
        <v>2.1893163712592991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500</v>
      </c>
      <c r="AI712">
        <v>66</v>
      </c>
      <c r="AJ712">
        <v>245</v>
      </c>
      <c r="AL712">
        <v>1.7609999999999999</v>
      </c>
      <c r="AN712" t="s">
        <v>5305</v>
      </c>
      <c r="AO712" t="s">
        <v>73</v>
      </c>
      <c r="AP712">
        <v>200000</v>
      </c>
      <c r="AQ712" t="s">
        <v>97</v>
      </c>
      <c r="AS712">
        <v>10000</v>
      </c>
      <c r="AT712" t="s">
        <v>5743</v>
      </c>
      <c r="AU712" t="s">
        <v>75</v>
      </c>
      <c r="AV712" t="s">
        <v>76</v>
      </c>
    </row>
    <row r="713" spans="1:48" x14ac:dyDescent="0.15">
      <c r="A713" s="4" t="str">
        <f>HYPERLINK("https://ibp.a2mac1.com/costing(costing:projects/details/9760/assembly/8415879)","hinges Right if diferent")</f>
        <v>hinges Right if diferent</v>
      </c>
      <c r="B713">
        <v>8415879</v>
      </c>
      <c r="D713">
        <v>8415645</v>
      </c>
      <c r="F713">
        <v>1</v>
      </c>
      <c r="G713">
        <v>0</v>
      </c>
      <c r="H713">
        <v>1.7839500328214035</v>
      </c>
      <c r="I713">
        <v>8.9645730292532838E-3</v>
      </c>
      <c r="J713" t="s">
        <v>176</v>
      </c>
      <c r="K713">
        <v>6.2438251148749124E-2</v>
      </c>
      <c r="L713">
        <v>1.855352856999406</v>
      </c>
      <c r="M713">
        <v>0</v>
      </c>
      <c r="N713">
        <v>0</v>
      </c>
      <c r="O713">
        <v>1.855352856999406</v>
      </c>
      <c r="P713" t="s">
        <v>177</v>
      </c>
      <c r="Q713">
        <v>0.11132117141996435</v>
      </c>
      <c r="R713" t="s">
        <v>177</v>
      </c>
      <c r="S713">
        <v>0</v>
      </c>
      <c r="T713" t="s">
        <v>178</v>
      </c>
      <c r="U713">
        <v>0.2226423428399287</v>
      </c>
      <c r="V713" t="s">
        <v>90</v>
      </c>
      <c r="W713">
        <v>0</v>
      </c>
      <c r="X713" t="s">
        <v>90</v>
      </c>
      <c r="Y713">
        <v>0</v>
      </c>
      <c r="Z713">
        <v>2.1893163712592991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500</v>
      </c>
      <c r="AI713">
        <v>66</v>
      </c>
      <c r="AJ713">
        <v>245</v>
      </c>
      <c r="AL713">
        <v>1.7470000000000001</v>
      </c>
      <c r="AN713" t="s">
        <v>5305</v>
      </c>
      <c r="AO713" t="s">
        <v>73</v>
      </c>
      <c r="AP713">
        <v>200000</v>
      </c>
      <c r="AQ713" t="s">
        <v>97</v>
      </c>
      <c r="AS713">
        <v>10000</v>
      </c>
      <c r="AT713" t="s">
        <v>5753</v>
      </c>
      <c r="AU713" t="s">
        <v>75</v>
      </c>
      <c r="AV713" t="s">
        <v>76</v>
      </c>
    </row>
    <row r="714" spans="1:48" x14ac:dyDescent="0.15">
      <c r="A714" s="4" t="str">
        <f>HYPERLINK("https://ibp.a2mac1.com/costing(costing:projects/details/9760/assembly/8415645)","Hinges")</f>
        <v>Hinges</v>
      </c>
      <c r="B714">
        <v>8415645</v>
      </c>
      <c r="D714">
        <v>8415584</v>
      </c>
      <c r="F714">
        <v>1</v>
      </c>
      <c r="G714">
        <v>0</v>
      </c>
      <c r="H714">
        <v>6.8721790508468903</v>
      </c>
      <c r="I714">
        <v>0</v>
      </c>
      <c r="J714" t="s">
        <v>90</v>
      </c>
      <c r="K714">
        <v>0</v>
      </c>
      <c r="L714">
        <v>6.8721790508468903</v>
      </c>
      <c r="M714">
        <v>0</v>
      </c>
      <c r="N714">
        <v>0</v>
      </c>
      <c r="O714">
        <v>6.8721790508468903</v>
      </c>
      <c r="P714" t="s">
        <v>90</v>
      </c>
      <c r="Q714">
        <v>0</v>
      </c>
      <c r="R714" t="s">
        <v>90</v>
      </c>
      <c r="S714">
        <v>0</v>
      </c>
      <c r="T714" t="s">
        <v>90</v>
      </c>
      <c r="U714">
        <v>0</v>
      </c>
      <c r="V714" t="s">
        <v>90</v>
      </c>
      <c r="W714">
        <v>0</v>
      </c>
      <c r="X714" t="s">
        <v>90</v>
      </c>
      <c r="Y714">
        <v>0</v>
      </c>
      <c r="Z714">
        <v>6.8721790508468903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L714">
        <v>4.9800000000000004</v>
      </c>
      <c r="AN714" t="s">
        <v>185</v>
      </c>
      <c r="AO714" t="s">
        <v>73</v>
      </c>
      <c r="AP714">
        <v>200000</v>
      </c>
      <c r="AQ714" t="s">
        <v>73</v>
      </c>
      <c r="AS714">
        <v>10000</v>
      </c>
      <c r="AT714" t="s">
        <v>5771</v>
      </c>
      <c r="AU714" t="s">
        <v>75</v>
      </c>
      <c r="AV714" t="s">
        <v>76</v>
      </c>
    </row>
    <row r="715" spans="1:48" x14ac:dyDescent="0.15">
      <c r="A715" s="4" t="str">
        <f>HYPERLINK("https://ibp.a2mac1.com/costing(costing:projects/details/9760/assembly/8415646)","Weatherstripping")</f>
        <v>Weatherstripping</v>
      </c>
      <c r="B715">
        <v>8415646</v>
      </c>
      <c r="D715">
        <v>8415584</v>
      </c>
      <c r="F715">
        <v>1</v>
      </c>
      <c r="G715">
        <v>0</v>
      </c>
      <c r="H715">
        <v>3.339820665081783</v>
      </c>
      <c r="I715">
        <v>0</v>
      </c>
      <c r="J715" t="s">
        <v>90</v>
      </c>
      <c r="K715">
        <v>0</v>
      </c>
      <c r="L715">
        <v>3.339820665081783</v>
      </c>
      <c r="M715">
        <v>0</v>
      </c>
      <c r="N715">
        <v>0</v>
      </c>
      <c r="O715">
        <v>3.339820665081783</v>
      </c>
      <c r="P715" t="s">
        <v>90</v>
      </c>
      <c r="Q715">
        <v>0</v>
      </c>
      <c r="R715" t="s">
        <v>90</v>
      </c>
      <c r="S715">
        <v>0</v>
      </c>
      <c r="T715" t="s">
        <v>90</v>
      </c>
      <c r="U715">
        <v>0</v>
      </c>
      <c r="V715" t="s">
        <v>90</v>
      </c>
      <c r="W715">
        <v>0</v>
      </c>
      <c r="X715" t="s">
        <v>90</v>
      </c>
      <c r="Y715">
        <v>0</v>
      </c>
      <c r="Z715">
        <v>3.339820665081783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L715">
        <v>0.98799999999999999</v>
      </c>
      <c r="AN715" t="s">
        <v>185</v>
      </c>
      <c r="AO715" t="s">
        <v>73</v>
      </c>
      <c r="AP715">
        <v>200000</v>
      </c>
      <c r="AQ715" t="s">
        <v>73</v>
      </c>
      <c r="AS715">
        <v>10000</v>
      </c>
      <c r="AT715" t="s">
        <v>5781</v>
      </c>
      <c r="AU715" t="s">
        <v>75</v>
      </c>
      <c r="AV715" t="s">
        <v>76</v>
      </c>
    </row>
    <row r="716" spans="1:48" x14ac:dyDescent="0.15">
      <c r="A716" s="4" t="str">
        <f>HYPERLINK("https://ibp.a2mac1.com/costing(costing:projects/details/9760/assembly/8415889)","Electric Opening System")</f>
        <v>Electric Opening System</v>
      </c>
      <c r="B716">
        <v>8415889</v>
      </c>
      <c r="D716">
        <v>8415647</v>
      </c>
      <c r="F716">
        <v>1</v>
      </c>
      <c r="G716">
        <v>0</v>
      </c>
      <c r="H716">
        <v>2.1094456428904755</v>
      </c>
      <c r="I716">
        <v>0</v>
      </c>
      <c r="J716" t="s">
        <v>90</v>
      </c>
      <c r="K716">
        <v>0</v>
      </c>
      <c r="L716">
        <v>2.1094456428904755</v>
      </c>
      <c r="M716">
        <v>0</v>
      </c>
      <c r="N716">
        <v>0</v>
      </c>
      <c r="O716">
        <v>2.1094456428904755</v>
      </c>
      <c r="P716" t="s">
        <v>90</v>
      </c>
      <c r="Q716">
        <v>0</v>
      </c>
      <c r="R716" t="s">
        <v>90</v>
      </c>
      <c r="S716">
        <v>0</v>
      </c>
      <c r="T716" t="s">
        <v>90</v>
      </c>
      <c r="U716">
        <v>0</v>
      </c>
      <c r="V716" t="s">
        <v>90</v>
      </c>
      <c r="W716">
        <v>0</v>
      </c>
      <c r="X716" t="s">
        <v>90</v>
      </c>
      <c r="Y716">
        <v>0</v>
      </c>
      <c r="Z716">
        <v>2.1094456428904755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L716">
        <v>3.5999999999999997E-2</v>
      </c>
      <c r="AN716" t="s">
        <v>185</v>
      </c>
      <c r="AO716" t="s">
        <v>73</v>
      </c>
      <c r="AP716">
        <v>200000</v>
      </c>
      <c r="AQ716" t="s">
        <v>73</v>
      </c>
      <c r="AS716">
        <v>10000</v>
      </c>
      <c r="AT716" t="s">
        <v>5792</v>
      </c>
      <c r="AU716" t="s">
        <v>75</v>
      </c>
      <c r="AV716" t="s">
        <v>76</v>
      </c>
    </row>
    <row r="717" spans="1:48" x14ac:dyDescent="0.15">
      <c r="A717" s="4" t="str">
        <f>HYPERLINK("https://ibp.a2mac1.com/costing(costing:projects/details/9760/assembly/8415647)","Door Mechanism")</f>
        <v>Door Mechanism</v>
      </c>
      <c r="B717">
        <v>8415647</v>
      </c>
      <c r="D717">
        <v>8415584</v>
      </c>
      <c r="F717">
        <v>1</v>
      </c>
      <c r="G717">
        <v>0</v>
      </c>
      <c r="H717">
        <v>10.94852643134255</v>
      </c>
      <c r="I717">
        <v>0</v>
      </c>
      <c r="J717" t="s">
        <v>90</v>
      </c>
      <c r="K717">
        <v>0</v>
      </c>
      <c r="L717">
        <v>10.94852643134255</v>
      </c>
      <c r="M717">
        <v>0</v>
      </c>
      <c r="N717">
        <v>0</v>
      </c>
      <c r="O717">
        <v>10.94852643134255</v>
      </c>
      <c r="P717" t="s">
        <v>90</v>
      </c>
      <c r="Q717">
        <v>0</v>
      </c>
      <c r="R717" t="s">
        <v>90</v>
      </c>
      <c r="S717">
        <v>0</v>
      </c>
      <c r="T717" t="s">
        <v>90</v>
      </c>
      <c r="U717">
        <v>0</v>
      </c>
      <c r="V717" t="s">
        <v>90</v>
      </c>
      <c r="W717">
        <v>0</v>
      </c>
      <c r="X717" t="s">
        <v>90</v>
      </c>
      <c r="Y717">
        <v>0</v>
      </c>
      <c r="Z717">
        <v>10.94852643134255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L717">
        <v>0.87</v>
      </c>
      <c r="AN717" t="s">
        <v>185</v>
      </c>
      <c r="AO717" t="s">
        <v>73</v>
      </c>
      <c r="AP717">
        <v>200000</v>
      </c>
      <c r="AQ717" t="s">
        <v>73</v>
      </c>
      <c r="AS717">
        <v>10000</v>
      </c>
      <c r="AT717" t="s">
        <v>5813</v>
      </c>
      <c r="AU717" t="s">
        <v>75</v>
      </c>
      <c r="AV717" t="s">
        <v>76</v>
      </c>
    </row>
    <row r="718" spans="1:48" x14ac:dyDescent="0.15">
      <c r="A718" s="4" t="str">
        <f>HYPERLINK("https://ibp.a2mac1.com/costing(costing:projects/details/9760/assembly/8415648)","Strut System")</f>
        <v>Strut System</v>
      </c>
      <c r="B718">
        <v>8415648</v>
      </c>
      <c r="D718">
        <v>8415584</v>
      </c>
      <c r="F718">
        <v>1</v>
      </c>
      <c r="G718">
        <v>0</v>
      </c>
      <c r="H718">
        <v>38.1</v>
      </c>
      <c r="I718">
        <v>0</v>
      </c>
      <c r="J718" t="s">
        <v>90</v>
      </c>
      <c r="K718">
        <v>0</v>
      </c>
      <c r="L718">
        <v>38.1</v>
      </c>
      <c r="M718">
        <v>0</v>
      </c>
      <c r="N718">
        <v>0</v>
      </c>
      <c r="O718">
        <v>38.1</v>
      </c>
      <c r="P718" t="s">
        <v>90</v>
      </c>
      <c r="Q718">
        <v>0</v>
      </c>
      <c r="R718" t="s">
        <v>90</v>
      </c>
      <c r="S718">
        <v>0</v>
      </c>
      <c r="T718" t="s">
        <v>90</v>
      </c>
      <c r="U718">
        <v>0</v>
      </c>
      <c r="V718" t="s">
        <v>90</v>
      </c>
      <c r="W718">
        <v>0</v>
      </c>
      <c r="X718" t="s">
        <v>90</v>
      </c>
      <c r="Y718">
        <v>0</v>
      </c>
      <c r="Z718">
        <v>38.1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L718">
        <v>2.0019999999999998</v>
      </c>
      <c r="AN718" t="s">
        <v>185</v>
      </c>
      <c r="AO718" t="s">
        <v>73</v>
      </c>
      <c r="AP718">
        <v>200000</v>
      </c>
      <c r="AQ718" t="s">
        <v>73</v>
      </c>
      <c r="AS718">
        <v>10000</v>
      </c>
      <c r="AT718" t="s">
        <v>5820</v>
      </c>
      <c r="AU718" t="s">
        <v>75</v>
      </c>
      <c r="AV718" t="s">
        <v>76</v>
      </c>
    </row>
    <row r="719" spans="1:48" x14ac:dyDescent="0.15">
      <c r="A719" s="4" t="str">
        <f>HYPERLINK("https://ibp.a2mac1.com/costing(costing:projects/details/9760/assembly/8415649)","Stoppers   Guides")</f>
        <v>Stoppers   Guides</v>
      </c>
      <c r="B719">
        <v>8415649</v>
      </c>
      <c r="D719">
        <v>8415584</v>
      </c>
      <c r="F719">
        <v>1</v>
      </c>
      <c r="G719">
        <v>0</v>
      </c>
      <c r="H719">
        <v>0.4235353078361116</v>
      </c>
      <c r="I719">
        <v>2.1283181298297066E-3</v>
      </c>
      <c r="J719" t="s">
        <v>176</v>
      </c>
      <c r="K719">
        <v>1.4823735774263906E-2</v>
      </c>
      <c r="L719">
        <v>0.4404873617402052</v>
      </c>
      <c r="M719">
        <v>0</v>
      </c>
      <c r="N719">
        <v>0</v>
      </c>
      <c r="O719">
        <v>0.4404873617402052</v>
      </c>
      <c r="P719" t="s">
        <v>177</v>
      </c>
      <c r="Q719">
        <v>2.6429241704412312E-2</v>
      </c>
      <c r="R719" t="s">
        <v>177</v>
      </c>
      <c r="S719">
        <v>0</v>
      </c>
      <c r="T719" t="s">
        <v>178</v>
      </c>
      <c r="U719">
        <v>5.2858483408824625E-2</v>
      </c>
      <c r="V719" t="s">
        <v>90</v>
      </c>
      <c r="W719">
        <v>0</v>
      </c>
      <c r="X719" t="s">
        <v>90</v>
      </c>
      <c r="Y719">
        <v>0</v>
      </c>
      <c r="Z719">
        <v>0.5197750868534422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L719">
        <v>0.20599999999999999</v>
      </c>
      <c r="AN719" t="s">
        <v>5305</v>
      </c>
      <c r="AO719" t="s">
        <v>73</v>
      </c>
      <c r="AP719">
        <v>200000</v>
      </c>
      <c r="AQ719" t="s">
        <v>97</v>
      </c>
      <c r="AS719">
        <v>10000</v>
      </c>
      <c r="AT719" t="s">
        <v>5836</v>
      </c>
      <c r="AU719" t="s">
        <v>75</v>
      </c>
      <c r="AV719" t="s">
        <v>76</v>
      </c>
    </row>
    <row r="720" spans="1:48" x14ac:dyDescent="0.15">
      <c r="A720" s="4" t="str">
        <f>HYPERLINK("https://ibp.a2mac1.com/costing(costing:projects/details/9760/assembly/8415901)","Hinge")</f>
        <v>Hinge</v>
      </c>
      <c r="B720">
        <v>8415901</v>
      </c>
      <c r="D720">
        <v>8415650</v>
      </c>
      <c r="F720">
        <v>1</v>
      </c>
      <c r="G720">
        <v>0</v>
      </c>
      <c r="H720">
        <v>1.4482166616538608</v>
      </c>
      <c r="I720">
        <v>7.27747066157719E-3</v>
      </c>
      <c r="J720" t="s">
        <v>176</v>
      </c>
      <c r="K720">
        <v>5.068758315788513E-2</v>
      </c>
      <c r="L720">
        <v>1.506181715473323</v>
      </c>
      <c r="M720">
        <v>0</v>
      </c>
      <c r="N720">
        <v>1.2698761385955262</v>
      </c>
      <c r="O720">
        <v>2.7760578540688492</v>
      </c>
      <c r="P720" t="s">
        <v>177</v>
      </c>
      <c r="Q720">
        <v>9.0370902928399388E-2</v>
      </c>
      <c r="R720" t="s">
        <v>177</v>
      </c>
      <c r="S720">
        <v>7.6192568315731582E-2</v>
      </c>
      <c r="T720" t="s">
        <v>178</v>
      </c>
      <c r="U720">
        <v>0.33312694248826191</v>
      </c>
      <c r="V720" t="s">
        <v>90</v>
      </c>
      <c r="W720">
        <v>0</v>
      </c>
      <c r="X720" t="s">
        <v>90</v>
      </c>
      <c r="Y720">
        <v>0</v>
      </c>
      <c r="Z720">
        <v>3.2757482678012422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56</v>
      </c>
      <c r="AI720">
        <v>142</v>
      </c>
      <c r="AJ720">
        <v>123</v>
      </c>
      <c r="AL720">
        <v>0.42699999999999999</v>
      </c>
      <c r="AN720" t="s">
        <v>5305</v>
      </c>
      <c r="AO720" t="s">
        <v>73</v>
      </c>
      <c r="AP720">
        <v>200000</v>
      </c>
      <c r="AQ720" t="s">
        <v>97</v>
      </c>
      <c r="AS720">
        <v>10000</v>
      </c>
      <c r="AT720" t="s">
        <v>5863</v>
      </c>
      <c r="AU720" t="s">
        <v>75</v>
      </c>
      <c r="AV720" t="s">
        <v>76</v>
      </c>
    </row>
    <row r="721" spans="1:48" x14ac:dyDescent="0.15">
      <c r="A721" s="4" t="str">
        <f>HYPERLINK("https://ibp.a2mac1.com/costing(costing:projects/details/9760/assembly/8415902)","Hinge 2")</f>
        <v>Hinge 2</v>
      </c>
      <c r="B721">
        <v>8415902</v>
      </c>
      <c r="D721">
        <v>8415650</v>
      </c>
      <c r="F721">
        <v>1</v>
      </c>
      <c r="G721">
        <v>0</v>
      </c>
      <c r="H721">
        <v>1.4482166616538608</v>
      </c>
      <c r="I721">
        <v>7.27747066157719E-3</v>
      </c>
      <c r="J721" t="s">
        <v>176</v>
      </c>
      <c r="K721">
        <v>5.068758315788513E-2</v>
      </c>
      <c r="L721">
        <v>1.506181715473323</v>
      </c>
      <c r="M721">
        <v>0</v>
      </c>
      <c r="N721">
        <v>1.2698761385955262</v>
      </c>
      <c r="O721">
        <v>2.7760578540688492</v>
      </c>
      <c r="P721" t="s">
        <v>177</v>
      </c>
      <c r="Q721">
        <v>9.0370902928399388E-2</v>
      </c>
      <c r="R721" t="s">
        <v>177</v>
      </c>
      <c r="S721">
        <v>7.6192568315731582E-2</v>
      </c>
      <c r="T721" t="s">
        <v>178</v>
      </c>
      <c r="U721">
        <v>0.33312694248826191</v>
      </c>
      <c r="V721" t="s">
        <v>90</v>
      </c>
      <c r="W721">
        <v>0</v>
      </c>
      <c r="X721" t="s">
        <v>90</v>
      </c>
      <c r="Y721">
        <v>0</v>
      </c>
      <c r="Z721">
        <v>3.2757482678012422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56</v>
      </c>
      <c r="AI721">
        <v>142</v>
      </c>
      <c r="AJ721">
        <v>123</v>
      </c>
      <c r="AL721">
        <v>0.42699999999999999</v>
      </c>
      <c r="AN721" t="s">
        <v>5305</v>
      </c>
      <c r="AO721" t="s">
        <v>73</v>
      </c>
      <c r="AP721">
        <v>200000</v>
      </c>
      <c r="AQ721" t="s">
        <v>97</v>
      </c>
      <c r="AS721">
        <v>10000</v>
      </c>
      <c r="AT721" t="s">
        <v>5877</v>
      </c>
      <c r="AU721" t="s">
        <v>75</v>
      </c>
      <c r="AV721" t="s">
        <v>76</v>
      </c>
    </row>
    <row r="722" spans="1:48" x14ac:dyDescent="0.15">
      <c r="A722" s="4" t="str">
        <f>HYPERLINK("https://ibp.a2mac1.com/costing(costing:projects/details/9760/assembly/8415908)","Motor")</f>
        <v>Motor</v>
      </c>
      <c r="B722">
        <v>8415908</v>
      </c>
      <c r="D722">
        <v>8415650</v>
      </c>
      <c r="F722">
        <v>1</v>
      </c>
      <c r="G722">
        <v>0</v>
      </c>
      <c r="H722">
        <v>8.0378291207393442</v>
      </c>
      <c r="I722">
        <v>4.0391101109242933E-2</v>
      </c>
      <c r="J722" t="s">
        <v>176</v>
      </c>
      <c r="K722">
        <v>0.28132401922587702</v>
      </c>
      <c r="L722">
        <v>8.3595442410744649</v>
      </c>
      <c r="M722">
        <v>0</v>
      </c>
      <c r="N722">
        <v>0.36574902705917339</v>
      </c>
      <c r="O722">
        <v>8.7252932681336368</v>
      </c>
      <c r="P722" t="s">
        <v>177</v>
      </c>
      <c r="Q722">
        <v>0.50157265446446786</v>
      </c>
      <c r="R722" t="s">
        <v>177</v>
      </c>
      <c r="S722">
        <v>2.1944941623550401E-2</v>
      </c>
      <c r="T722" t="s">
        <v>178</v>
      </c>
      <c r="U722">
        <v>1.0470351921760366</v>
      </c>
      <c r="V722" t="s">
        <v>90</v>
      </c>
      <c r="W722">
        <v>0</v>
      </c>
      <c r="X722" t="s">
        <v>90</v>
      </c>
      <c r="Y722">
        <v>0</v>
      </c>
      <c r="Z722">
        <v>10.295846056397693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80</v>
      </c>
      <c r="AI722">
        <v>425</v>
      </c>
      <c r="AJ722">
        <v>62</v>
      </c>
      <c r="AL722">
        <v>0.94299999999999995</v>
      </c>
      <c r="AN722" t="s">
        <v>5281</v>
      </c>
      <c r="AO722" t="s">
        <v>73</v>
      </c>
      <c r="AP722">
        <v>200000</v>
      </c>
      <c r="AQ722" t="s">
        <v>97</v>
      </c>
      <c r="AS722">
        <v>10000</v>
      </c>
      <c r="AT722" t="s">
        <v>5880</v>
      </c>
      <c r="AU722" t="s">
        <v>75</v>
      </c>
      <c r="AV722" t="s">
        <v>76</v>
      </c>
    </row>
    <row r="723" spans="1:48" x14ac:dyDescent="0.15">
      <c r="A723" s="4" t="str">
        <f>HYPERLINK("https://ibp.a2mac1.com/costing(costing:projects/details/9760/assembly/8415650)","Spoiler")</f>
        <v>Spoiler</v>
      </c>
      <c r="B723">
        <v>8415650</v>
      </c>
      <c r="D723">
        <v>8415584</v>
      </c>
      <c r="F723">
        <v>1</v>
      </c>
      <c r="G723">
        <v>0</v>
      </c>
      <c r="H723">
        <v>47.951041517214684</v>
      </c>
      <c r="I723">
        <v>0</v>
      </c>
      <c r="J723" t="s">
        <v>90</v>
      </c>
      <c r="K723">
        <v>0</v>
      </c>
      <c r="L723">
        <v>47.951041517214684</v>
      </c>
      <c r="M723">
        <v>0</v>
      </c>
      <c r="N723">
        <v>0.26330235105269467</v>
      </c>
      <c r="O723">
        <v>48.214343868267378</v>
      </c>
      <c r="P723" t="s">
        <v>90</v>
      </c>
      <c r="Q723">
        <v>0</v>
      </c>
      <c r="R723" t="s">
        <v>90</v>
      </c>
      <c r="S723">
        <v>0</v>
      </c>
      <c r="T723" t="s">
        <v>90</v>
      </c>
      <c r="U723">
        <v>0</v>
      </c>
      <c r="V723" t="s">
        <v>90</v>
      </c>
      <c r="W723">
        <v>0</v>
      </c>
      <c r="X723" t="s">
        <v>90</v>
      </c>
      <c r="Y723">
        <v>0</v>
      </c>
      <c r="Z723">
        <v>48.214343868267378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337</v>
      </c>
      <c r="AI723">
        <v>1278</v>
      </c>
      <c r="AJ723">
        <v>105</v>
      </c>
      <c r="AL723">
        <v>7.44</v>
      </c>
      <c r="AN723" t="s">
        <v>185</v>
      </c>
      <c r="AO723" t="s">
        <v>73</v>
      </c>
      <c r="AP723">
        <v>200000</v>
      </c>
      <c r="AQ723" t="s">
        <v>73</v>
      </c>
      <c r="AS723">
        <v>10000</v>
      </c>
      <c r="AT723" t="s">
        <v>5943</v>
      </c>
      <c r="AU723" t="s">
        <v>75</v>
      </c>
      <c r="AV723" t="s">
        <v>76</v>
      </c>
    </row>
    <row r="724" spans="1:48" x14ac:dyDescent="0.15">
      <c r="A724" s="4" t="str">
        <f>HYPERLINK("https://ibp.a2mac1.com/costing(costing:projects/details/9760/assembly/8415584)","Trunk")</f>
        <v>Trunk</v>
      </c>
      <c r="B724">
        <v>8415584</v>
      </c>
      <c r="D724">
        <v>8415576</v>
      </c>
      <c r="F724">
        <v>1</v>
      </c>
      <c r="G724">
        <v>0</v>
      </c>
      <c r="H724">
        <v>131.5928005103535</v>
      </c>
      <c r="I724">
        <v>0</v>
      </c>
      <c r="J724" t="s">
        <v>90</v>
      </c>
      <c r="K724">
        <v>0</v>
      </c>
      <c r="L724">
        <v>131.5928005103535</v>
      </c>
      <c r="M724">
        <v>0</v>
      </c>
      <c r="N724">
        <v>0.87714174470303219</v>
      </c>
      <c r="O724">
        <v>132.46994225505654</v>
      </c>
      <c r="P724" t="s">
        <v>90</v>
      </c>
      <c r="Q724">
        <v>0</v>
      </c>
      <c r="R724" t="s">
        <v>90</v>
      </c>
      <c r="S724">
        <v>0</v>
      </c>
      <c r="T724" t="s">
        <v>90</v>
      </c>
      <c r="U724">
        <v>0</v>
      </c>
      <c r="V724" t="s">
        <v>90</v>
      </c>
      <c r="W724">
        <v>0</v>
      </c>
      <c r="X724" t="s">
        <v>90</v>
      </c>
      <c r="Y724">
        <v>0</v>
      </c>
      <c r="Z724">
        <v>132.46994225505654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700</v>
      </c>
      <c r="AI724">
        <v>1310</v>
      </c>
      <c r="AJ724">
        <v>540</v>
      </c>
      <c r="AL724">
        <v>30.6158</v>
      </c>
      <c r="AN724" t="s">
        <v>185</v>
      </c>
      <c r="AO724" t="s">
        <v>73</v>
      </c>
      <c r="AP724">
        <v>200000</v>
      </c>
      <c r="AQ724" t="s">
        <v>73</v>
      </c>
      <c r="AS724">
        <v>10000</v>
      </c>
      <c r="AT724" t="s">
        <v>5964</v>
      </c>
      <c r="AU724" t="s">
        <v>75</v>
      </c>
      <c r="AV724" t="s">
        <v>76</v>
      </c>
    </row>
    <row r="725" spans="1:48" x14ac:dyDescent="0.15">
      <c r="A725" s="4" t="str">
        <f>HYPERLINK("https://ibp.a2mac1.com/costing(costing:projects/details/9760/assembly/8416253)","Housing")</f>
        <v>Housing</v>
      </c>
      <c r="B725">
        <v>8416253</v>
      </c>
      <c r="D725">
        <v>8415913</v>
      </c>
      <c r="F725">
        <v>1</v>
      </c>
      <c r="G725">
        <v>0</v>
      </c>
      <c r="H725">
        <v>4.3240849280910556</v>
      </c>
      <c r="I725">
        <v>0</v>
      </c>
      <c r="J725" t="s">
        <v>90</v>
      </c>
      <c r="K725">
        <v>0</v>
      </c>
      <c r="L725">
        <v>4.3240849280910556</v>
      </c>
      <c r="M725">
        <v>0</v>
      </c>
      <c r="N725">
        <v>0</v>
      </c>
      <c r="O725">
        <v>4.3240849280910556</v>
      </c>
      <c r="P725" t="s">
        <v>90</v>
      </c>
      <c r="Q725">
        <v>0</v>
      </c>
      <c r="R725" t="s">
        <v>90</v>
      </c>
      <c r="S725">
        <v>0</v>
      </c>
      <c r="T725" t="s">
        <v>90</v>
      </c>
      <c r="U725">
        <v>0</v>
      </c>
      <c r="V725" t="s">
        <v>90</v>
      </c>
      <c r="W725">
        <v>0</v>
      </c>
      <c r="X725" t="s">
        <v>90</v>
      </c>
      <c r="Y725">
        <v>0</v>
      </c>
      <c r="Z725">
        <v>4.3240849280910556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L725">
        <v>3.23</v>
      </c>
      <c r="AN725" t="s">
        <v>185</v>
      </c>
      <c r="AO725" t="s">
        <v>73</v>
      </c>
      <c r="AP725">
        <v>200000</v>
      </c>
      <c r="AQ725" t="s">
        <v>73</v>
      </c>
      <c r="AS725">
        <v>10000</v>
      </c>
      <c r="AT725" t="s">
        <v>9</v>
      </c>
      <c r="AU725" t="s">
        <v>75</v>
      </c>
      <c r="AV725" t="s">
        <v>76</v>
      </c>
    </row>
    <row r="726" spans="1:48" x14ac:dyDescent="0.15">
      <c r="A726" s="4" t="str">
        <f>HYPERLINK("https://ibp.a2mac1.com/costing(costing:projects/details/9760/assembly/8416254)","Reinforcements")</f>
        <v>Reinforcements</v>
      </c>
      <c r="B726">
        <v>8416254</v>
      </c>
      <c r="D726">
        <v>8415913</v>
      </c>
      <c r="F726">
        <v>1</v>
      </c>
      <c r="G726">
        <v>0</v>
      </c>
      <c r="H726">
        <v>1.8115842241980529</v>
      </c>
      <c r="I726">
        <v>0</v>
      </c>
      <c r="J726" t="s">
        <v>90</v>
      </c>
      <c r="K726">
        <v>0</v>
      </c>
      <c r="L726">
        <v>1.8115842241980529</v>
      </c>
      <c r="M726">
        <v>0</v>
      </c>
      <c r="N726">
        <v>0</v>
      </c>
      <c r="O726">
        <v>1.8115842241980529</v>
      </c>
      <c r="P726" t="s">
        <v>90</v>
      </c>
      <c r="Q726">
        <v>0</v>
      </c>
      <c r="R726" t="s">
        <v>90</v>
      </c>
      <c r="S726">
        <v>0</v>
      </c>
      <c r="T726" t="s">
        <v>90</v>
      </c>
      <c r="U726">
        <v>0</v>
      </c>
      <c r="V726" t="s">
        <v>90</v>
      </c>
      <c r="W726">
        <v>0</v>
      </c>
      <c r="X726" t="s">
        <v>90</v>
      </c>
      <c r="Y726">
        <v>0</v>
      </c>
      <c r="Z726">
        <v>1.8115842241980529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L726">
        <v>1.585</v>
      </c>
      <c r="AN726" t="s">
        <v>185</v>
      </c>
      <c r="AO726" t="s">
        <v>73</v>
      </c>
      <c r="AP726">
        <v>200000</v>
      </c>
      <c r="AQ726" t="s">
        <v>97</v>
      </c>
      <c r="AS726">
        <v>10000</v>
      </c>
      <c r="AT726" t="s">
        <v>9</v>
      </c>
      <c r="AU726" t="s">
        <v>75</v>
      </c>
      <c r="AV726" t="s">
        <v>76</v>
      </c>
    </row>
    <row r="727" spans="1:48" x14ac:dyDescent="0.15">
      <c r="A727" s="4" t="str">
        <f>HYPERLINK("https://ibp.a2mac1.com/costing(costing:projects/details/9760/assembly/8416547)","Front")</f>
        <v>Front</v>
      </c>
      <c r="B727">
        <v>8416547</v>
      </c>
      <c r="D727">
        <v>8416255</v>
      </c>
      <c r="F727">
        <v>1</v>
      </c>
      <c r="G727">
        <v>0</v>
      </c>
      <c r="H727">
        <v>0.11294343397472158</v>
      </c>
      <c r="I727">
        <v>0</v>
      </c>
      <c r="J727" t="s">
        <v>90</v>
      </c>
      <c r="K727">
        <v>0</v>
      </c>
      <c r="L727">
        <v>0.11294343397472158</v>
      </c>
      <c r="M727">
        <v>0</v>
      </c>
      <c r="N727">
        <v>0</v>
      </c>
      <c r="O727">
        <v>0.11294343397472158</v>
      </c>
      <c r="P727" t="s">
        <v>90</v>
      </c>
      <c r="Q727">
        <v>0</v>
      </c>
      <c r="R727" t="s">
        <v>90</v>
      </c>
      <c r="S727">
        <v>0</v>
      </c>
      <c r="T727" t="s">
        <v>90</v>
      </c>
      <c r="U727">
        <v>0</v>
      </c>
      <c r="V727" t="s">
        <v>90</v>
      </c>
      <c r="W727">
        <v>0</v>
      </c>
      <c r="X727" t="s">
        <v>90</v>
      </c>
      <c r="Y727">
        <v>0</v>
      </c>
      <c r="Z727">
        <v>0.11294343397472158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L727">
        <v>0.09</v>
      </c>
      <c r="AN727" t="s">
        <v>185</v>
      </c>
      <c r="AO727" t="s">
        <v>73</v>
      </c>
      <c r="AP727">
        <v>200000</v>
      </c>
      <c r="AQ727" t="s">
        <v>97</v>
      </c>
      <c r="AS727">
        <v>10000</v>
      </c>
      <c r="AT727" t="s">
        <v>9</v>
      </c>
      <c r="AU727" t="s">
        <v>75</v>
      </c>
      <c r="AV727" t="s">
        <v>76</v>
      </c>
    </row>
    <row r="728" spans="1:48" x14ac:dyDescent="0.15">
      <c r="A728" s="4" t="str">
        <f>HYPERLINK("https://ibp.a2mac1.com/costing(costing:projects/details/9760/assembly/8416255)","Fixing parts")</f>
        <v>Fixing parts</v>
      </c>
      <c r="B728">
        <v>8416255</v>
      </c>
      <c r="D728">
        <v>8415913</v>
      </c>
      <c r="F728">
        <v>1</v>
      </c>
      <c r="G728">
        <v>0</v>
      </c>
      <c r="H728">
        <v>0.11294343397472158</v>
      </c>
      <c r="I728">
        <v>0</v>
      </c>
      <c r="J728" t="s">
        <v>90</v>
      </c>
      <c r="K728">
        <v>0</v>
      </c>
      <c r="L728">
        <v>0.11294343397472158</v>
      </c>
      <c r="M728">
        <v>0</v>
      </c>
      <c r="N728">
        <v>0</v>
      </c>
      <c r="O728">
        <v>0.11294343397472158</v>
      </c>
      <c r="P728" t="s">
        <v>90</v>
      </c>
      <c r="Q728">
        <v>0</v>
      </c>
      <c r="R728" t="s">
        <v>90</v>
      </c>
      <c r="S728">
        <v>0</v>
      </c>
      <c r="T728" t="s">
        <v>90</v>
      </c>
      <c r="U728">
        <v>0</v>
      </c>
      <c r="V728" t="s">
        <v>90</v>
      </c>
      <c r="W728">
        <v>0</v>
      </c>
      <c r="X728" t="s">
        <v>90</v>
      </c>
      <c r="Y728">
        <v>0</v>
      </c>
      <c r="Z728">
        <v>0.11294343397472158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L728">
        <v>0.09</v>
      </c>
      <c r="AN728" t="s">
        <v>185</v>
      </c>
      <c r="AO728" t="s">
        <v>73</v>
      </c>
      <c r="AP728">
        <v>200000</v>
      </c>
      <c r="AQ728" t="s">
        <v>97</v>
      </c>
      <c r="AS728">
        <v>10000</v>
      </c>
      <c r="AT728" t="s">
        <v>9</v>
      </c>
      <c r="AU728" t="s">
        <v>75</v>
      </c>
      <c r="AV728" t="s">
        <v>76</v>
      </c>
    </row>
    <row r="729" spans="1:48" x14ac:dyDescent="0.15">
      <c r="A729" s="4" t="str">
        <f>HYPERLINK("https://ibp.a2mac1.com/costing(costing:projects/details/9760/assembly/8415913)","Housing assy")</f>
        <v>Housing assy</v>
      </c>
      <c r="B729">
        <v>8415913</v>
      </c>
      <c r="D729">
        <v>8415651</v>
      </c>
      <c r="F729">
        <v>1</v>
      </c>
      <c r="G729">
        <v>0</v>
      </c>
      <c r="H729">
        <v>6.24861258626383</v>
      </c>
      <c r="I729">
        <v>0</v>
      </c>
      <c r="J729" t="s">
        <v>90</v>
      </c>
      <c r="K729">
        <v>0</v>
      </c>
      <c r="L729">
        <v>6.24861258626383</v>
      </c>
      <c r="M729">
        <v>0</v>
      </c>
      <c r="N729">
        <v>0</v>
      </c>
      <c r="O729">
        <v>6.24861258626383</v>
      </c>
      <c r="P729" t="s">
        <v>90</v>
      </c>
      <c r="Q729">
        <v>0</v>
      </c>
      <c r="R729" t="s">
        <v>90</v>
      </c>
      <c r="S729">
        <v>0</v>
      </c>
      <c r="T729" t="s">
        <v>90</v>
      </c>
      <c r="U729">
        <v>0</v>
      </c>
      <c r="V729" t="s">
        <v>90</v>
      </c>
      <c r="W729">
        <v>0</v>
      </c>
      <c r="X729" t="s">
        <v>90</v>
      </c>
      <c r="Y729">
        <v>0</v>
      </c>
      <c r="Z729">
        <v>6.24861258626383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L729">
        <v>4.9050000000000002</v>
      </c>
      <c r="AN729" t="s">
        <v>185</v>
      </c>
      <c r="AO729" t="s">
        <v>73</v>
      </c>
      <c r="AP729">
        <v>200000</v>
      </c>
      <c r="AQ729" t="s">
        <v>97</v>
      </c>
      <c r="AS729">
        <v>10000</v>
      </c>
      <c r="AT729" t="s">
        <v>9</v>
      </c>
      <c r="AU729" t="s">
        <v>75</v>
      </c>
      <c r="AV729" t="s">
        <v>76</v>
      </c>
    </row>
    <row r="730" spans="1:48" x14ac:dyDescent="0.15">
      <c r="A730" s="4" t="str">
        <f>HYPERLINK("https://ibp.a2mac1.com/costing(costing:projects/details/9760/assembly/8416548)","Beam")</f>
        <v>Beam</v>
      </c>
      <c r="B730">
        <v>8416548</v>
      </c>
      <c r="D730">
        <v>8416256</v>
      </c>
      <c r="F730">
        <v>1</v>
      </c>
      <c r="G730">
        <v>0</v>
      </c>
      <c r="H730">
        <v>1.3394148817228977</v>
      </c>
      <c r="I730">
        <v>0</v>
      </c>
      <c r="J730" t="s">
        <v>90</v>
      </c>
      <c r="K730">
        <v>0</v>
      </c>
      <c r="L730">
        <v>1.3394148817228977</v>
      </c>
      <c r="M730">
        <v>0</v>
      </c>
      <c r="N730">
        <v>0</v>
      </c>
      <c r="O730">
        <v>1.3394148817228977</v>
      </c>
      <c r="P730" t="s">
        <v>90</v>
      </c>
      <c r="Q730">
        <v>0</v>
      </c>
      <c r="R730" t="s">
        <v>90</v>
      </c>
      <c r="S730">
        <v>0</v>
      </c>
      <c r="T730" t="s">
        <v>90</v>
      </c>
      <c r="U730">
        <v>0</v>
      </c>
      <c r="V730" t="s">
        <v>90</v>
      </c>
      <c r="W730">
        <v>0</v>
      </c>
      <c r="X730" t="s">
        <v>90</v>
      </c>
      <c r="Y730">
        <v>0</v>
      </c>
      <c r="Z730">
        <v>1.3394148817228977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L730">
        <v>1.4119999999999999</v>
      </c>
      <c r="AN730" t="s">
        <v>185</v>
      </c>
      <c r="AO730" t="s">
        <v>73</v>
      </c>
      <c r="AP730">
        <v>200000</v>
      </c>
      <c r="AQ730" t="s">
        <v>97</v>
      </c>
      <c r="AS730">
        <v>10000</v>
      </c>
      <c r="AT730" t="s">
        <v>9</v>
      </c>
      <c r="AU730" t="s">
        <v>75</v>
      </c>
      <c r="AV730" t="s">
        <v>76</v>
      </c>
    </row>
    <row r="731" spans="1:48" x14ac:dyDescent="0.15">
      <c r="A731" s="4" t="str">
        <f>HYPERLINK("https://ibp.a2mac1.com/costing(costing:projects/details/9760/assembly/8416256)","Beam 01 (single/upper)")</f>
        <v>Beam 01 (single/upper)</v>
      </c>
      <c r="B731">
        <v>8416256</v>
      </c>
      <c r="D731">
        <v>8415914</v>
      </c>
      <c r="F731">
        <v>1</v>
      </c>
      <c r="G731">
        <v>0</v>
      </c>
      <c r="H731">
        <v>1.3394148817228977</v>
      </c>
      <c r="I731">
        <v>0</v>
      </c>
      <c r="J731" t="s">
        <v>90</v>
      </c>
      <c r="K731">
        <v>0</v>
      </c>
      <c r="L731">
        <v>1.3394148817228977</v>
      </c>
      <c r="M731">
        <v>0</v>
      </c>
      <c r="N731">
        <v>0</v>
      </c>
      <c r="O731">
        <v>1.3394148817228977</v>
      </c>
      <c r="P731" t="s">
        <v>90</v>
      </c>
      <c r="Q731">
        <v>0</v>
      </c>
      <c r="R731" t="s">
        <v>90</v>
      </c>
      <c r="S731">
        <v>0</v>
      </c>
      <c r="T731" t="s">
        <v>90</v>
      </c>
      <c r="U731">
        <v>0</v>
      </c>
      <c r="V731" t="s">
        <v>90</v>
      </c>
      <c r="W731">
        <v>0</v>
      </c>
      <c r="X731" t="s">
        <v>90</v>
      </c>
      <c r="Y731">
        <v>0</v>
      </c>
      <c r="Z731">
        <v>1.3394148817228977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L731">
        <v>1.4119999999999999</v>
      </c>
      <c r="AN731" t="s">
        <v>185</v>
      </c>
      <c r="AO731" t="s">
        <v>73</v>
      </c>
      <c r="AP731">
        <v>200000</v>
      </c>
      <c r="AQ731" t="s">
        <v>97</v>
      </c>
      <c r="AS731">
        <v>10000</v>
      </c>
      <c r="AT731" t="s">
        <v>9</v>
      </c>
      <c r="AU731" t="s">
        <v>75</v>
      </c>
      <c r="AV731" t="s">
        <v>76</v>
      </c>
    </row>
    <row r="732" spans="1:48" x14ac:dyDescent="0.15">
      <c r="A732" s="4" t="str">
        <f>HYPERLINK("https://ibp.a2mac1.com/costing(costing:projects/details/9760/assembly/8415914)","Anti-intrusion beams")</f>
        <v>Anti-intrusion beams</v>
      </c>
      <c r="B732">
        <v>8415914</v>
      </c>
      <c r="D732">
        <v>8415651</v>
      </c>
      <c r="F732">
        <v>1</v>
      </c>
      <c r="G732">
        <v>0</v>
      </c>
      <c r="H732">
        <v>1.3394148817228977</v>
      </c>
      <c r="I732">
        <v>0</v>
      </c>
      <c r="J732" t="s">
        <v>90</v>
      </c>
      <c r="K732">
        <v>0</v>
      </c>
      <c r="L732">
        <v>1.3394148817228977</v>
      </c>
      <c r="M732">
        <v>0</v>
      </c>
      <c r="N732">
        <v>0</v>
      </c>
      <c r="O732">
        <v>1.3394148817228977</v>
      </c>
      <c r="P732" t="s">
        <v>90</v>
      </c>
      <c r="Q732">
        <v>0</v>
      </c>
      <c r="R732" t="s">
        <v>90</v>
      </c>
      <c r="S732">
        <v>0</v>
      </c>
      <c r="T732" t="s">
        <v>90</v>
      </c>
      <c r="U732">
        <v>0</v>
      </c>
      <c r="V732" t="s">
        <v>90</v>
      </c>
      <c r="W732">
        <v>0</v>
      </c>
      <c r="X732" t="s">
        <v>90</v>
      </c>
      <c r="Y732">
        <v>0</v>
      </c>
      <c r="Z732">
        <v>1.3394148817228977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L732">
        <v>1.4119999999999999</v>
      </c>
      <c r="AN732" t="s">
        <v>185</v>
      </c>
      <c r="AO732" t="s">
        <v>73</v>
      </c>
      <c r="AP732">
        <v>200000</v>
      </c>
      <c r="AQ732" t="s">
        <v>97</v>
      </c>
      <c r="AS732">
        <v>10000</v>
      </c>
      <c r="AT732" t="s">
        <v>9</v>
      </c>
      <c r="AU732" t="s">
        <v>75</v>
      </c>
      <c r="AV732" t="s">
        <v>76</v>
      </c>
    </row>
    <row r="733" spans="1:48" x14ac:dyDescent="0.15">
      <c r="A733" s="4" t="str">
        <f>HYPERLINK("https://ibp.a2mac1.com/costing(costing:projects/details/9760/assembly/8416549)","Cross member")</f>
        <v>Cross member</v>
      </c>
      <c r="B733">
        <v>8416549</v>
      </c>
      <c r="D733">
        <v>8416257</v>
      </c>
      <c r="F733">
        <v>1</v>
      </c>
      <c r="G733">
        <v>0</v>
      </c>
      <c r="H733">
        <v>1.875288026298412</v>
      </c>
      <c r="I733">
        <v>0</v>
      </c>
      <c r="J733" t="s">
        <v>90</v>
      </c>
      <c r="K733">
        <v>0</v>
      </c>
      <c r="L733">
        <v>1.875288026298412</v>
      </c>
      <c r="M733">
        <v>0</v>
      </c>
      <c r="N733">
        <v>0</v>
      </c>
      <c r="O733">
        <v>1.875288026298412</v>
      </c>
      <c r="P733" t="s">
        <v>90</v>
      </c>
      <c r="Q733">
        <v>0</v>
      </c>
      <c r="R733" t="s">
        <v>90</v>
      </c>
      <c r="S733">
        <v>0</v>
      </c>
      <c r="T733" t="s">
        <v>90</v>
      </c>
      <c r="U733">
        <v>0</v>
      </c>
      <c r="V733" t="s">
        <v>90</v>
      </c>
      <c r="W733">
        <v>0</v>
      </c>
      <c r="X733" t="s">
        <v>90</v>
      </c>
      <c r="Y733">
        <v>0</v>
      </c>
      <c r="Z733">
        <v>1.875288026298412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L733">
        <v>1.825</v>
      </c>
      <c r="AN733" t="s">
        <v>185</v>
      </c>
      <c r="AO733" t="s">
        <v>73</v>
      </c>
      <c r="AP733">
        <v>200000</v>
      </c>
      <c r="AQ733" t="s">
        <v>97</v>
      </c>
      <c r="AS733">
        <v>10000</v>
      </c>
      <c r="AT733" t="s">
        <v>9</v>
      </c>
      <c r="AU733" t="s">
        <v>75</v>
      </c>
      <c r="AV733" t="s">
        <v>76</v>
      </c>
    </row>
    <row r="734" spans="1:48" x14ac:dyDescent="0.15">
      <c r="A734" s="4" t="str">
        <f>HYPERLINK("https://ibp.a2mac1.com/costing(costing:projects/details/9760/assembly/8416257)","Cross member 01 (outer)")</f>
        <v>Cross member 01 (outer)</v>
      </c>
      <c r="B734">
        <v>8416257</v>
      </c>
      <c r="D734">
        <v>8415915</v>
      </c>
      <c r="F734">
        <v>1</v>
      </c>
      <c r="G734">
        <v>0</v>
      </c>
      <c r="H734">
        <v>1.875288026298412</v>
      </c>
      <c r="I734">
        <v>0</v>
      </c>
      <c r="J734" t="s">
        <v>90</v>
      </c>
      <c r="K734">
        <v>0</v>
      </c>
      <c r="L734">
        <v>1.875288026298412</v>
      </c>
      <c r="M734">
        <v>0</v>
      </c>
      <c r="N734">
        <v>0</v>
      </c>
      <c r="O734">
        <v>1.875288026298412</v>
      </c>
      <c r="P734" t="s">
        <v>90</v>
      </c>
      <c r="Q734">
        <v>0</v>
      </c>
      <c r="R734" t="s">
        <v>90</v>
      </c>
      <c r="S734">
        <v>0</v>
      </c>
      <c r="T734" t="s">
        <v>90</v>
      </c>
      <c r="U734">
        <v>0</v>
      </c>
      <c r="V734" t="s">
        <v>90</v>
      </c>
      <c r="W734">
        <v>0</v>
      </c>
      <c r="X734" t="s">
        <v>90</v>
      </c>
      <c r="Y734">
        <v>0</v>
      </c>
      <c r="Z734">
        <v>1.875288026298412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L734">
        <v>1.825</v>
      </c>
      <c r="AN734" t="s">
        <v>185</v>
      </c>
      <c r="AO734" t="s">
        <v>73</v>
      </c>
      <c r="AP734">
        <v>200000</v>
      </c>
      <c r="AQ734" t="s">
        <v>97</v>
      </c>
      <c r="AS734">
        <v>10000</v>
      </c>
      <c r="AT734" t="s">
        <v>9</v>
      </c>
      <c r="AU734" t="s">
        <v>75</v>
      </c>
      <c r="AV734" t="s">
        <v>76</v>
      </c>
    </row>
    <row r="735" spans="1:48" x14ac:dyDescent="0.15">
      <c r="A735" s="4" t="str">
        <f>HYPERLINK("https://ibp.a2mac1.com/costing(costing:projects/details/9760/assembly/8416550)","Cross member")</f>
        <v>Cross member</v>
      </c>
      <c r="B735">
        <v>8416550</v>
      </c>
      <c r="D735">
        <v>8416258</v>
      </c>
      <c r="F735">
        <v>1</v>
      </c>
      <c r="G735">
        <v>0</v>
      </c>
      <c r="H735">
        <v>0.89368895187694763</v>
      </c>
      <c r="I735">
        <v>0</v>
      </c>
      <c r="J735" t="s">
        <v>90</v>
      </c>
      <c r="K735">
        <v>0</v>
      </c>
      <c r="L735">
        <v>0.89368895187694763</v>
      </c>
      <c r="M735">
        <v>0</v>
      </c>
      <c r="N735">
        <v>0</v>
      </c>
      <c r="O735">
        <v>0.89368895187694763</v>
      </c>
      <c r="P735" t="s">
        <v>90</v>
      </c>
      <c r="Q735">
        <v>0</v>
      </c>
      <c r="R735" t="s">
        <v>90</v>
      </c>
      <c r="S735">
        <v>0</v>
      </c>
      <c r="T735" t="s">
        <v>90</v>
      </c>
      <c r="U735">
        <v>0</v>
      </c>
      <c r="V735" t="s">
        <v>90</v>
      </c>
      <c r="W735">
        <v>0</v>
      </c>
      <c r="X735" t="s">
        <v>90</v>
      </c>
      <c r="Y735">
        <v>0</v>
      </c>
      <c r="Z735">
        <v>0.89368895187694763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L735">
        <v>0.90500000000000003</v>
      </c>
      <c r="AN735" t="s">
        <v>185</v>
      </c>
      <c r="AO735" t="s">
        <v>73</v>
      </c>
      <c r="AP735">
        <v>200000</v>
      </c>
      <c r="AQ735" t="s">
        <v>97</v>
      </c>
      <c r="AS735">
        <v>10000</v>
      </c>
      <c r="AT735" t="s">
        <v>9</v>
      </c>
      <c r="AU735" t="s">
        <v>75</v>
      </c>
      <c r="AV735" t="s">
        <v>76</v>
      </c>
    </row>
    <row r="736" spans="1:48" x14ac:dyDescent="0.15">
      <c r="A736" s="4" t="str">
        <f>HYPERLINK("https://ibp.a2mac1.com/costing(costing:projects/details/9760/assembly/8416258)","Cross member 02 (inner)")</f>
        <v>Cross member 02 (inner)</v>
      </c>
      <c r="B736">
        <v>8416258</v>
      </c>
      <c r="D736">
        <v>8415915</v>
      </c>
      <c r="F736">
        <v>1</v>
      </c>
      <c r="G736">
        <v>0</v>
      </c>
      <c r="H736">
        <v>0.89368895187694763</v>
      </c>
      <c r="I736">
        <v>0</v>
      </c>
      <c r="J736" t="s">
        <v>90</v>
      </c>
      <c r="K736">
        <v>0</v>
      </c>
      <c r="L736">
        <v>0.89368895187694763</v>
      </c>
      <c r="M736">
        <v>0</v>
      </c>
      <c r="N736">
        <v>0</v>
      </c>
      <c r="O736">
        <v>0.89368895187694763</v>
      </c>
      <c r="P736" t="s">
        <v>90</v>
      </c>
      <c r="Q736">
        <v>0</v>
      </c>
      <c r="R736" t="s">
        <v>90</v>
      </c>
      <c r="S736">
        <v>0</v>
      </c>
      <c r="T736" t="s">
        <v>90</v>
      </c>
      <c r="U736">
        <v>0</v>
      </c>
      <c r="V736" t="s">
        <v>90</v>
      </c>
      <c r="W736">
        <v>0</v>
      </c>
      <c r="X736" t="s">
        <v>90</v>
      </c>
      <c r="Y736">
        <v>0</v>
      </c>
      <c r="Z736">
        <v>0.89368895187694763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L736">
        <v>0.90500000000000003</v>
      </c>
      <c r="AN736" t="s">
        <v>185</v>
      </c>
      <c r="AO736" t="s">
        <v>73</v>
      </c>
      <c r="AP736">
        <v>200000</v>
      </c>
      <c r="AQ736" t="s">
        <v>97</v>
      </c>
      <c r="AS736">
        <v>10000</v>
      </c>
      <c r="AT736" t="s">
        <v>9</v>
      </c>
      <c r="AU736" t="s">
        <v>75</v>
      </c>
      <c r="AV736" t="s">
        <v>76</v>
      </c>
    </row>
    <row r="737" spans="1:48" x14ac:dyDescent="0.15">
      <c r="A737" s="4" t="str">
        <f>HYPERLINK("https://ibp.a2mac1.com/costing(costing:projects/details/9760/assembly/8415915)","Top roll assy")</f>
        <v>Top roll assy</v>
      </c>
      <c r="B737">
        <v>8415915</v>
      </c>
      <c r="D737">
        <v>8415651</v>
      </c>
      <c r="F737">
        <v>1</v>
      </c>
      <c r="G737">
        <v>0</v>
      </c>
      <c r="H737">
        <v>2.7689769781753597</v>
      </c>
      <c r="I737">
        <v>0</v>
      </c>
      <c r="J737" t="s">
        <v>90</v>
      </c>
      <c r="K737">
        <v>0</v>
      </c>
      <c r="L737">
        <v>2.7689769781753597</v>
      </c>
      <c r="M737">
        <v>0</v>
      </c>
      <c r="N737">
        <v>0</v>
      </c>
      <c r="O737">
        <v>2.7689769781753597</v>
      </c>
      <c r="P737" t="s">
        <v>90</v>
      </c>
      <c r="Q737">
        <v>0</v>
      </c>
      <c r="R737" t="s">
        <v>90</v>
      </c>
      <c r="S737">
        <v>0</v>
      </c>
      <c r="T737" t="s">
        <v>90</v>
      </c>
      <c r="U737">
        <v>0</v>
      </c>
      <c r="V737" t="s">
        <v>90</v>
      </c>
      <c r="W737">
        <v>0</v>
      </c>
      <c r="X737" t="s">
        <v>90</v>
      </c>
      <c r="Y737">
        <v>0</v>
      </c>
      <c r="Z737">
        <v>2.7689769781753597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L737">
        <v>2.73</v>
      </c>
      <c r="AN737" t="s">
        <v>185</v>
      </c>
      <c r="AO737" t="s">
        <v>73</v>
      </c>
      <c r="AP737">
        <v>200000</v>
      </c>
      <c r="AQ737" t="s">
        <v>97</v>
      </c>
      <c r="AS737">
        <v>10000</v>
      </c>
      <c r="AT737" t="s">
        <v>9</v>
      </c>
      <c r="AU737" t="s">
        <v>75</v>
      </c>
      <c r="AV737" t="s">
        <v>76</v>
      </c>
    </row>
    <row r="738" spans="1:48" x14ac:dyDescent="0.15">
      <c r="A738" s="4" t="str">
        <f>HYPERLINK("https://ibp.a2mac1.com/costing(costing:projects/details/9760/assembly/8416259)","Panel")</f>
        <v>Panel</v>
      </c>
      <c r="B738">
        <v>8416259</v>
      </c>
      <c r="D738">
        <v>8415916</v>
      </c>
      <c r="F738">
        <v>1</v>
      </c>
      <c r="G738">
        <v>0</v>
      </c>
      <c r="H738">
        <v>4.2623145760585555</v>
      </c>
      <c r="I738">
        <v>0</v>
      </c>
      <c r="J738" t="s">
        <v>90</v>
      </c>
      <c r="K738">
        <v>0</v>
      </c>
      <c r="L738">
        <v>4.2623145760585555</v>
      </c>
      <c r="M738">
        <v>0</v>
      </c>
      <c r="N738">
        <v>0</v>
      </c>
      <c r="O738">
        <v>4.2623145760585555</v>
      </c>
      <c r="P738" t="s">
        <v>90</v>
      </c>
      <c r="Q738">
        <v>0</v>
      </c>
      <c r="R738" t="s">
        <v>90</v>
      </c>
      <c r="S738">
        <v>0</v>
      </c>
      <c r="T738" t="s">
        <v>90</v>
      </c>
      <c r="U738">
        <v>0</v>
      </c>
      <c r="V738" t="s">
        <v>90</v>
      </c>
      <c r="W738">
        <v>0</v>
      </c>
      <c r="X738" t="s">
        <v>90</v>
      </c>
      <c r="Y738">
        <v>0</v>
      </c>
      <c r="Z738">
        <v>4.2623145760585555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L738">
        <v>3.7090000000000001</v>
      </c>
      <c r="AN738" t="s">
        <v>185</v>
      </c>
      <c r="AO738" t="s">
        <v>73</v>
      </c>
      <c r="AP738">
        <v>200000</v>
      </c>
      <c r="AQ738" t="s">
        <v>73</v>
      </c>
      <c r="AS738">
        <v>10000</v>
      </c>
      <c r="AT738" t="s">
        <v>9</v>
      </c>
      <c r="AU738" t="s">
        <v>75</v>
      </c>
      <c r="AV738" t="s">
        <v>76</v>
      </c>
    </row>
    <row r="739" spans="1:48" x14ac:dyDescent="0.15">
      <c r="A739" s="4" t="str">
        <f>HYPERLINK("https://ibp.a2mac1.com/costing(costing:projects/details/9760/assembly/8415916)","Outer panel")</f>
        <v>Outer panel</v>
      </c>
      <c r="B739">
        <v>8415916</v>
      </c>
      <c r="D739">
        <v>8415651</v>
      </c>
      <c r="F739">
        <v>1</v>
      </c>
      <c r="G739">
        <v>0</v>
      </c>
      <c r="H739">
        <v>4.2623145760585555</v>
      </c>
      <c r="I739">
        <v>0</v>
      </c>
      <c r="J739" t="s">
        <v>90</v>
      </c>
      <c r="K739">
        <v>0</v>
      </c>
      <c r="L739">
        <v>4.2623145760585555</v>
      </c>
      <c r="M739">
        <v>0</v>
      </c>
      <c r="N739">
        <v>0</v>
      </c>
      <c r="O739">
        <v>4.2623145760585555</v>
      </c>
      <c r="P739" t="s">
        <v>90</v>
      </c>
      <c r="Q739">
        <v>0</v>
      </c>
      <c r="R739" t="s">
        <v>90</v>
      </c>
      <c r="S739">
        <v>0</v>
      </c>
      <c r="T739" t="s">
        <v>90</v>
      </c>
      <c r="U739">
        <v>0</v>
      </c>
      <c r="V739" t="s">
        <v>90</v>
      </c>
      <c r="W739">
        <v>0</v>
      </c>
      <c r="X739" t="s">
        <v>90</v>
      </c>
      <c r="Y739">
        <v>0</v>
      </c>
      <c r="Z739">
        <v>4.2623145760585555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L739">
        <v>3.7090000000000001</v>
      </c>
      <c r="AN739" t="s">
        <v>185</v>
      </c>
      <c r="AO739" t="s">
        <v>73</v>
      </c>
      <c r="AP739">
        <v>200000</v>
      </c>
      <c r="AQ739" t="s">
        <v>73</v>
      </c>
      <c r="AS739">
        <v>10000</v>
      </c>
      <c r="AT739" t="s">
        <v>9</v>
      </c>
      <c r="AU739" t="s">
        <v>75</v>
      </c>
      <c r="AV739" t="s">
        <v>76</v>
      </c>
    </row>
    <row r="740" spans="1:48" x14ac:dyDescent="0.15">
      <c r="A740" s="4" t="str">
        <f>HYPERLINK("https://ibp.a2mac1.com/costing(costing:projects/details/9760/assembly/8415651)","Rear Door Right")</f>
        <v>Rear Door Right</v>
      </c>
      <c r="B740">
        <v>8415651</v>
      </c>
      <c r="D740">
        <v>8415585</v>
      </c>
      <c r="F740">
        <v>1</v>
      </c>
      <c r="G740">
        <v>0</v>
      </c>
      <c r="H740">
        <v>14.619319022220642</v>
      </c>
      <c r="I740">
        <v>7.3463914684525844E-2</v>
      </c>
      <c r="J740" t="s">
        <v>176</v>
      </c>
      <c r="K740">
        <v>0.51167616577772246</v>
      </c>
      <c r="L740">
        <v>15.204459102682891</v>
      </c>
      <c r="M740">
        <v>0</v>
      </c>
      <c r="N740">
        <v>0.78949606779349402</v>
      </c>
      <c r="O740">
        <v>15.993955170476385</v>
      </c>
      <c r="P740" t="s">
        <v>90</v>
      </c>
      <c r="Q740">
        <v>0</v>
      </c>
      <c r="R740" t="s">
        <v>90</v>
      </c>
      <c r="S740">
        <v>0</v>
      </c>
      <c r="T740" t="s">
        <v>90</v>
      </c>
      <c r="U740">
        <v>0</v>
      </c>
      <c r="V740" t="s">
        <v>90</v>
      </c>
      <c r="W740">
        <v>0</v>
      </c>
      <c r="X740" t="s">
        <v>90</v>
      </c>
      <c r="Y740">
        <v>0</v>
      </c>
      <c r="Z740">
        <v>15.993955170476385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235</v>
      </c>
      <c r="AI740">
        <v>1108</v>
      </c>
      <c r="AJ740">
        <v>782</v>
      </c>
      <c r="AL740">
        <v>13.125999999999999</v>
      </c>
      <c r="AN740" t="s">
        <v>4964</v>
      </c>
      <c r="AO740" t="s">
        <v>73</v>
      </c>
      <c r="AP740">
        <v>200000</v>
      </c>
      <c r="AQ740" t="s">
        <v>73</v>
      </c>
      <c r="AS740">
        <v>10000</v>
      </c>
      <c r="AT740" t="s">
        <v>6022</v>
      </c>
      <c r="AU740" t="s">
        <v>75</v>
      </c>
      <c r="AV740" t="s">
        <v>76</v>
      </c>
    </row>
    <row r="741" spans="1:48" x14ac:dyDescent="0.15">
      <c r="A741" s="4" t="str">
        <f>HYPERLINK("https://ibp.a2mac1.com/costing(costing:projects/details/9760/assembly/8415926)","Inner Door Handle")</f>
        <v>Inner Door Handle</v>
      </c>
      <c r="B741">
        <v>8415926</v>
      </c>
      <c r="D741">
        <v>8415652</v>
      </c>
      <c r="F741">
        <v>1</v>
      </c>
      <c r="G741">
        <v>0</v>
      </c>
      <c r="H741">
        <v>2.902148238161538</v>
      </c>
      <c r="I741">
        <v>0</v>
      </c>
      <c r="J741" t="s">
        <v>90</v>
      </c>
      <c r="K741">
        <v>0</v>
      </c>
      <c r="L741">
        <v>2.902148238161538</v>
      </c>
      <c r="M741">
        <v>0</v>
      </c>
      <c r="N741">
        <v>0</v>
      </c>
      <c r="O741">
        <v>2.902148238161538</v>
      </c>
      <c r="P741" t="s">
        <v>90</v>
      </c>
      <c r="Q741">
        <v>0</v>
      </c>
      <c r="R741" t="s">
        <v>90</v>
      </c>
      <c r="S741">
        <v>0</v>
      </c>
      <c r="T741" t="s">
        <v>90</v>
      </c>
      <c r="U741">
        <v>0</v>
      </c>
      <c r="V741" t="s">
        <v>90</v>
      </c>
      <c r="W741">
        <v>0</v>
      </c>
      <c r="X741" t="s">
        <v>90</v>
      </c>
      <c r="Y741">
        <v>0</v>
      </c>
      <c r="Z741">
        <v>2.902148238161538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L741">
        <v>0.30520000000000003</v>
      </c>
      <c r="AN741" t="s">
        <v>185</v>
      </c>
      <c r="AO741" t="s">
        <v>73</v>
      </c>
      <c r="AP741">
        <v>200000</v>
      </c>
      <c r="AQ741" t="s">
        <v>73</v>
      </c>
      <c r="AS741">
        <v>10000</v>
      </c>
      <c r="AT741" t="s">
        <v>6035</v>
      </c>
      <c r="AU741" t="s">
        <v>75</v>
      </c>
      <c r="AV741" t="s">
        <v>76</v>
      </c>
    </row>
    <row r="742" spans="1:48" x14ac:dyDescent="0.15">
      <c r="A742" s="4" t="str">
        <f>HYPERLINK("https://ibp.a2mac1.com/costing(costing:projects/details/9760/assembly/8415927)","Speaker Grille System")</f>
        <v>Speaker Grille System</v>
      </c>
      <c r="B742">
        <v>8415927</v>
      </c>
      <c r="D742">
        <v>8415652</v>
      </c>
      <c r="F742">
        <v>1</v>
      </c>
      <c r="G742">
        <v>0</v>
      </c>
      <c r="H742">
        <v>1.4489893796907312</v>
      </c>
      <c r="I742">
        <v>0</v>
      </c>
      <c r="J742" t="s">
        <v>90</v>
      </c>
      <c r="K742">
        <v>0</v>
      </c>
      <c r="L742">
        <v>1.4489893796907312</v>
      </c>
      <c r="M742">
        <v>0</v>
      </c>
      <c r="N742">
        <v>0</v>
      </c>
      <c r="O742">
        <v>1.4489893796907312</v>
      </c>
      <c r="P742" t="s">
        <v>90</v>
      </c>
      <c r="Q742">
        <v>0</v>
      </c>
      <c r="R742" t="s">
        <v>90</v>
      </c>
      <c r="S742">
        <v>0</v>
      </c>
      <c r="T742" t="s">
        <v>90</v>
      </c>
      <c r="U742">
        <v>0</v>
      </c>
      <c r="V742" t="s">
        <v>90</v>
      </c>
      <c r="W742">
        <v>0</v>
      </c>
      <c r="X742" t="s">
        <v>90</v>
      </c>
      <c r="Y742">
        <v>0</v>
      </c>
      <c r="Z742">
        <v>1.4489893796907312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L742">
        <v>0.17699999999999999</v>
      </c>
      <c r="AN742" t="s">
        <v>185</v>
      </c>
      <c r="AO742" t="s">
        <v>73</v>
      </c>
      <c r="AP742">
        <v>200000</v>
      </c>
      <c r="AQ742" t="s">
        <v>73</v>
      </c>
      <c r="AS742">
        <v>10000</v>
      </c>
      <c r="AT742" t="s">
        <v>6059</v>
      </c>
      <c r="AU742" t="s">
        <v>75</v>
      </c>
      <c r="AV742" t="s">
        <v>76</v>
      </c>
    </row>
    <row r="743" spans="1:48" x14ac:dyDescent="0.15">
      <c r="A743" s="4" t="str">
        <f>HYPERLINK("https://ibp.a2mac1.com/costing(costing:projects/details/9760/assembly/8415652)","Door Panel")</f>
        <v>Door Panel</v>
      </c>
      <c r="B743">
        <v>8415652</v>
      </c>
      <c r="D743">
        <v>8415585</v>
      </c>
      <c r="F743">
        <v>1</v>
      </c>
      <c r="G743">
        <v>0</v>
      </c>
      <c r="H743">
        <v>22.375011314247736</v>
      </c>
      <c r="I743">
        <v>0.11243724278516451</v>
      </c>
      <c r="J743" t="s">
        <v>176</v>
      </c>
      <c r="K743">
        <v>0.78312539599867081</v>
      </c>
      <c r="L743">
        <v>23.270573953031573</v>
      </c>
      <c r="M743">
        <v>0</v>
      </c>
      <c r="N743">
        <v>0</v>
      </c>
      <c r="O743">
        <v>23.270573953031573</v>
      </c>
      <c r="P743" t="s">
        <v>177</v>
      </c>
      <c r="Q743">
        <v>1.3962344371818942</v>
      </c>
      <c r="R743" t="s">
        <v>177</v>
      </c>
      <c r="S743">
        <v>0</v>
      </c>
      <c r="T743" t="s">
        <v>178</v>
      </c>
      <c r="U743">
        <v>2.7924688743637884</v>
      </c>
      <c r="V743" t="s">
        <v>90</v>
      </c>
      <c r="W743">
        <v>0</v>
      </c>
      <c r="X743" t="s">
        <v>90</v>
      </c>
      <c r="Y743">
        <v>0</v>
      </c>
      <c r="Z743">
        <v>27.459277264577256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130</v>
      </c>
      <c r="AI743">
        <v>865</v>
      </c>
      <c r="AJ743">
        <v>615</v>
      </c>
      <c r="AL743">
        <v>3.2841999999999998</v>
      </c>
      <c r="AN743" t="s">
        <v>772</v>
      </c>
      <c r="AO743" t="s">
        <v>73</v>
      </c>
      <c r="AP743">
        <v>200000</v>
      </c>
      <c r="AQ743" t="s">
        <v>97</v>
      </c>
      <c r="AS743">
        <v>10000</v>
      </c>
      <c r="AT743" t="s">
        <v>6105</v>
      </c>
      <c r="AU743" t="s">
        <v>75</v>
      </c>
      <c r="AV743" t="s">
        <v>76</v>
      </c>
    </row>
    <row r="744" spans="1:48" x14ac:dyDescent="0.15">
      <c r="A744" s="4" t="str">
        <f>HYPERLINK("https://ibp.a2mac1.com/costing(costing:projects/details/9760/assembly/8415930)","Interior Side")</f>
        <v>Interior Side</v>
      </c>
      <c r="B744">
        <v>8415930</v>
      </c>
      <c r="D744">
        <v>8415653</v>
      </c>
      <c r="F744">
        <v>1</v>
      </c>
      <c r="G744">
        <v>0</v>
      </c>
      <c r="H744">
        <v>1.9059355191261327</v>
      </c>
      <c r="I744">
        <v>0</v>
      </c>
      <c r="J744" t="s">
        <v>90</v>
      </c>
      <c r="K744">
        <v>0</v>
      </c>
      <c r="L744">
        <v>1.9059355191261327</v>
      </c>
      <c r="M744">
        <v>0</v>
      </c>
      <c r="N744">
        <v>0</v>
      </c>
      <c r="O744">
        <v>1.9059355191261327</v>
      </c>
      <c r="P744" t="s">
        <v>90</v>
      </c>
      <c r="Q744">
        <v>0</v>
      </c>
      <c r="R744" t="s">
        <v>90</v>
      </c>
      <c r="S744">
        <v>0</v>
      </c>
      <c r="T744" t="s">
        <v>90</v>
      </c>
      <c r="U744">
        <v>0</v>
      </c>
      <c r="V744" t="s">
        <v>90</v>
      </c>
      <c r="W744">
        <v>0</v>
      </c>
      <c r="X744" t="s">
        <v>90</v>
      </c>
      <c r="Y744">
        <v>0</v>
      </c>
      <c r="Z744">
        <v>1.9059355191261327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L744">
        <v>0.112</v>
      </c>
      <c r="AN744" t="s">
        <v>185</v>
      </c>
      <c r="AO744" t="s">
        <v>73</v>
      </c>
      <c r="AP744">
        <v>200000</v>
      </c>
      <c r="AQ744" t="s">
        <v>97</v>
      </c>
      <c r="AS744">
        <v>10000</v>
      </c>
      <c r="AT744" t="s">
        <v>6120</v>
      </c>
      <c r="AU744" t="s">
        <v>75</v>
      </c>
      <c r="AV744" t="s">
        <v>76</v>
      </c>
    </row>
    <row r="745" spans="1:48" x14ac:dyDescent="0.15">
      <c r="A745" s="4" t="str">
        <f>HYPERLINK("https://ibp.a2mac1.com/costing(costing:projects/details/9760/assembly/8415931)","Exterior side")</f>
        <v>Exterior side</v>
      </c>
      <c r="B745">
        <v>8415931</v>
      </c>
      <c r="D745">
        <v>8415653</v>
      </c>
      <c r="E745" t="s">
        <v>5485</v>
      </c>
      <c r="F745">
        <v>1</v>
      </c>
      <c r="G745">
        <v>0</v>
      </c>
      <c r="H745">
        <v>5.4881850254329683</v>
      </c>
      <c r="I745">
        <v>0</v>
      </c>
      <c r="J745" t="s">
        <v>90</v>
      </c>
      <c r="K745">
        <v>0</v>
      </c>
      <c r="L745">
        <v>5.4881850254329683</v>
      </c>
      <c r="M745">
        <v>0</v>
      </c>
      <c r="N745">
        <v>0</v>
      </c>
      <c r="O745">
        <v>5.4881850254329683</v>
      </c>
      <c r="P745" t="s">
        <v>90</v>
      </c>
      <c r="Q745">
        <v>0</v>
      </c>
      <c r="R745" t="s">
        <v>90</v>
      </c>
      <c r="S745">
        <v>0</v>
      </c>
      <c r="T745" t="s">
        <v>90</v>
      </c>
      <c r="U745">
        <v>0</v>
      </c>
      <c r="V745" t="s">
        <v>90</v>
      </c>
      <c r="W745">
        <v>0</v>
      </c>
      <c r="X745" t="s">
        <v>90</v>
      </c>
      <c r="Y745">
        <v>0</v>
      </c>
      <c r="Z745">
        <v>5.4881850254329683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L745">
        <v>0.53010000000000002</v>
      </c>
      <c r="AN745" t="s">
        <v>185</v>
      </c>
      <c r="AO745" t="s">
        <v>73</v>
      </c>
      <c r="AP745">
        <v>200000</v>
      </c>
      <c r="AQ745" t="s">
        <v>97</v>
      </c>
      <c r="AS745">
        <v>10000</v>
      </c>
      <c r="AT745" t="s">
        <v>6146</v>
      </c>
      <c r="AU745" t="s">
        <v>75</v>
      </c>
      <c r="AV745" t="s">
        <v>76</v>
      </c>
    </row>
    <row r="746" spans="1:48" x14ac:dyDescent="0.15">
      <c r="A746" s="4" t="str">
        <f>HYPERLINK("https://ibp.a2mac1.com/costing(costing:projects/details/9760/assembly/8415932)","Locking System")</f>
        <v>Locking System</v>
      </c>
      <c r="B746">
        <v>8415932</v>
      </c>
      <c r="D746">
        <v>8415653</v>
      </c>
      <c r="F746">
        <v>1</v>
      </c>
      <c r="G746">
        <v>0</v>
      </c>
      <c r="H746">
        <v>3.65</v>
      </c>
      <c r="I746">
        <v>1.8341708542713567E-2</v>
      </c>
      <c r="J746" t="s">
        <v>176</v>
      </c>
      <c r="K746">
        <v>0.12775</v>
      </c>
      <c r="L746">
        <v>3.7960917085427135</v>
      </c>
      <c r="M746">
        <v>0</v>
      </c>
      <c r="N746">
        <v>0</v>
      </c>
      <c r="O746">
        <v>3.7960917085427135</v>
      </c>
      <c r="P746" t="s">
        <v>177</v>
      </c>
      <c r="Q746">
        <v>0.22776550251256281</v>
      </c>
      <c r="R746" t="s">
        <v>177</v>
      </c>
      <c r="S746">
        <v>0</v>
      </c>
      <c r="T746" t="s">
        <v>178</v>
      </c>
      <c r="U746">
        <v>0.45553100502512561</v>
      </c>
      <c r="V746" t="s">
        <v>90</v>
      </c>
      <c r="W746">
        <v>0</v>
      </c>
      <c r="X746" t="s">
        <v>90</v>
      </c>
      <c r="Y746">
        <v>0</v>
      </c>
      <c r="Z746">
        <v>4.4793882160804017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L746">
        <v>0.86990000000000001</v>
      </c>
      <c r="AN746" t="s">
        <v>5305</v>
      </c>
      <c r="AO746" t="s">
        <v>73</v>
      </c>
      <c r="AP746">
        <v>200000</v>
      </c>
      <c r="AQ746" t="s">
        <v>97</v>
      </c>
      <c r="AS746">
        <v>10000</v>
      </c>
      <c r="AT746" t="s">
        <v>9</v>
      </c>
      <c r="AU746" t="s">
        <v>75</v>
      </c>
      <c r="AV746" t="s">
        <v>76</v>
      </c>
    </row>
    <row r="747" spans="1:48" x14ac:dyDescent="0.15">
      <c r="A747" s="4" t="str">
        <f>HYPERLINK("https://ibp.a2mac1.com/costing(costing:projects/details/9760/assembly/8415653)","Door Mechanism")</f>
        <v>Door Mechanism</v>
      </c>
      <c r="B747">
        <v>8415653</v>
      </c>
      <c r="D747">
        <v>8415585</v>
      </c>
      <c r="F747">
        <v>1</v>
      </c>
      <c r="G747">
        <v>0</v>
      </c>
      <c r="H747">
        <v>21.786828345661164</v>
      </c>
      <c r="I747">
        <v>0</v>
      </c>
      <c r="J747" t="s">
        <v>90</v>
      </c>
      <c r="K747">
        <v>0</v>
      </c>
      <c r="L747">
        <v>21.786828345661164</v>
      </c>
      <c r="M747">
        <v>0</v>
      </c>
      <c r="N747">
        <v>0.21945668007767058</v>
      </c>
      <c r="O747">
        <v>22.006285025738833</v>
      </c>
      <c r="P747" t="s">
        <v>90</v>
      </c>
      <c r="Q747">
        <v>0</v>
      </c>
      <c r="R747" t="s">
        <v>90</v>
      </c>
      <c r="S747">
        <v>0</v>
      </c>
      <c r="T747" t="s">
        <v>90</v>
      </c>
      <c r="U747">
        <v>0</v>
      </c>
      <c r="V747" t="s">
        <v>90</v>
      </c>
      <c r="W747">
        <v>0</v>
      </c>
      <c r="X747" t="s">
        <v>90</v>
      </c>
      <c r="Y747">
        <v>0</v>
      </c>
      <c r="Z747">
        <v>22.006285025738833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L747">
        <v>1.645</v>
      </c>
      <c r="AN747" t="s">
        <v>185</v>
      </c>
      <c r="AO747" t="s">
        <v>73</v>
      </c>
      <c r="AP747">
        <v>200000</v>
      </c>
      <c r="AQ747" t="s">
        <v>73</v>
      </c>
      <c r="AS747">
        <v>10000</v>
      </c>
      <c r="AT747" t="s">
        <v>6158</v>
      </c>
      <c r="AU747" t="s">
        <v>75</v>
      </c>
      <c r="AV747" t="s">
        <v>76</v>
      </c>
    </row>
    <row r="748" spans="1:48" x14ac:dyDescent="0.15">
      <c r="A748" s="4" t="str">
        <f>HYPERLINK("https://ibp.a2mac1.com/costing(costing:projects/details/9760/assembly/8415934)","Window Regulator Motor")</f>
        <v>Window Regulator Motor</v>
      </c>
      <c r="B748">
        <v>8415934</v>
      </c>
      <c r="D748">
        <v>8415654</v>
      </c>
      <c r="F748">
        <v>1</v>
      </c>
      <c r="G748">
        <v>0</v>
      </c>
      <c r="H748">
        <v>6.8191527621095007</v>
      </c>
      <c r="I748">
        <v>3.4267099307082917E-2</v>
      </c>
      <c r="J748" t="s">
        <v>176</v>
      </c>
      <c r="K748">
        <v>0.23867034667383252</v>
      </c>
      <c r="L748">
        <v>7.0920902080904158</v>
      </c>
      <c r="M748">
        <v>0</v>
      </c>
      <c r="N748">
        <v>0.52058083474077632</v>
      </c>
      <c r="O748">
        <v>7.6126710428311926</v>
      </c>
      <c r="P748" t="s">
        <v>177</v>
      </c>
      <c r="Q748">
        <v>0.42552541248542497</v>
      </c>
      <c r="R748" t="s">
        <v>177</v>
      </c>
      <c r="S748">
        <v>3.1234850084446576E-2</v>
      </c>
      <c r="T748" t="s">
        <v>178</v>
      </c>
      <c r="U748">
        <v>0.91352052513974313</v>
      </c>
      <c r="V748" t="s">
        <v>90</v>
      </c>
      <c r="W748">
        <v>0</v>
      </c>
      <c r="X748" t="s">
        <v>90</v>
      </c>
      <c r="Y748">
        <v>0</v>
      </c>
      <c r="Z748">
        <v>8.9829518305408076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50</v>
      </c>
      <c r="AI748">
        <v>195</v>
      </c>
      <c r="AJ748">
        <v>130</v>
      </c>
      <c r="AL748">
        <v>0.61699999999999999</v>
      </c>
      <c r="AN748" t="s">
        <v>5281</v>
      </c>
      <c r="AO748" t="s">
        <v>73</v>
      </c>
      <c r="AP748">
        <v>200000</v>
      </c>
      <c r="AQ748" t="s">
        <v>97</v>
      </c>
      <c r="AS748">
        <v>10000</v>
      </c>
      <c r="AT748" t="s">
        <v>6162</v>
      </c>
      <c r="AU748" t="s">
        <v>75</v>
      </c>
      <c r="AV748" t="s">
        <v>76</v>
      </c>
    </row>
    <row r="749" spans="1:48" x14ac:dyDescent="0.15">
      <c r="A749" s="4" t="str">
        <f>HYPERLINK("https://ibp.a2mac1.com/costing(costing:projects/details/9760/assembly/8415935)","Window")</f>
        <v>Window</v>
      </c>
      <c r="B749">
        <v>8415935</v>
      </c>
      <c r="D749">
        <v>8415654</v>
      </c>
      <c r="E749" t="e">
        <v>#VALUE!</v>
      </c>
      <c r="F749">
        <v>1</v>
      </c>
      <c r="G749">
        <v>0</v>
      </c>
      <c r="H749">
        <v>19.292160391320792</v>
      </c>
      <c r="I749">
        <v>9.6945529604627087E-2</v>
      </c>
      <c r="J749" t="s">
        <v>176</v>
      </c>
      <c r="K749">
        <v>0.67522561369622769</v>
      </c>
      <c r="L749">
        <v>20.064331534621648</v>
      </c>
      <c r="M749">
        <v>0</v>
      </c>
      <c r="N749">
        <v>0</v>
      </c>
      <c r="O749">
        <v>20.064331534621648</v>
      </c>
      <c r="P749" t="s">
        <v>177</v>
      </c>
      <c r="Q749">
        <v>1.2038598920772987</v>
      </c>
      <c r="R749" t="s">
        <v>177</v>
      </c>
      <c r="S749">
        <v>0</v>
      </c>
      <c r="T749" t="s">
        <v>178</v>
      </c>
      <c r="U749">
        <v>2.4077197841545974</v>
      </c>
      <c r="V749" t="s">
        <v>90</v>
      </c>
      <c r="W749">
        <v>0</v>
      </c>
      <c r="X749" t="s">
        <v>90</v>
      </c>
      <c r="Y749">
        <v>0</v>
      </c>
      <c r="Z749">
        <v>23.675911210853542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810</v>
      </c>
      <c r="AJ749">
        <v>565</v>
      </c>
      <c r="AK749">
        <v>0</v>
      </c>
      <c r="AL749">
        <v>4.26</v>
      </c>
      <c r="AN749" t="s">
        <v>5305</v>
      </c>
      <c r="AO749" t="s">
        <v>73</v>
      </c>
      <c r="AP749">
        <v>200000</v>
      </c>
      <c r="AQ749" t="s">
        <v>97</v>
      </c>
      <c r="AS749">
        <v>10000</v>
      </c>
      <c r="AT749" t="s">
        <v>6166</v>
      </c>
      <c r="AU749" t="s">
        <v>75</v>
      </c>
      <c r="AV749" t="s">
        <v>76</v>
      </c>
    </row>
    <row r="750" spans="1:48" x14ac:dyDescent="0.15">
      <c r="A750" s="4" t="str">
        <f>HYPERLINK("https://ibp.a2mac1.com/costing(costing:projects/details/9760/assembly/8415654)","Window System")</f>
        <v>Window System</v>
      </c>
      <c r="B750">
        <v>8415654</v>
      </c>
      <c r="D750">
        <v>8415585</v>
      </c>
      <c r="F750">
        <v>1</v>
      </c>
      <c r="G750">
        <v>0</v>
      </c>
      <c r="H750">
        <v>40.258863041394349</v>
      </c>
      <c r="I750">
        <v>0</v>
      </c>
      <c r="J750" t="s">
        <v>90</v>
      </c>
      <c r="K750">
        <v>0</v>
      </c>
      <c r="L750">
        <v>40.258863041394349</v>
      </c>
      <c r="M750">
        <v>0</v>
      </c>
      <c r="N750">
        <v>0</v>
      </c>
      <c r="O750">
        <v>40.258863041394349</v>
      </c>
      <c r="P750" t="s">
        <v>90</v>
      </c>
      <c r="Q750">
        <v>0</v>
      </c>
      <c r="R750" t="s">
        <v>90</v>
      </c>
      <c r="S750">
        <v>0</v>
      </c>
      <c r="T750" t="s">
        <v>90</v>
      </c>
      <c r="U750">
        <v>0</v>
      </c>
      <c r="V750" t="s">
        <v>90</v>
      </c>
      <c r="W750">
        <v>0</v>
      </c>
      <c r="X750" t="s">
        <v>90</v>
      </c>
      <c r="Y750">
        <v>0</v>
      </c>
      <c r="Z750">
        <v>40.258863041394349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L750">
        <v>5.9469000000000003</v>
      </c>
      <c r="AN750" t="s">
        <v>185</v>
      </c>
      <c r="AO750" t="s">
        <v>73</v>
      </c>
      <c r="AP750">
        <v>200000</v>
      </c>
      <c r="AQ750" t="s">
        <v>73</v>
      </c>
      <c r="AS750">
        <v>10000</v>
      </c>
      <c r="AT750" t="s">
        <v>6170</v>
      </c>
      <c r="AU750" t="s">
        <v>75</v>
      </c>
      <c r="AV750" t="s">
        <v>76</v>
      </c>
    </row>
    <row r="751" spans="1:48" x14ac:dyDescent="0.15">
      <c r="A751" s="4" t="str">
        <f>HYPERLINK("https://ibp.a2mac1.com/costing(costing:projects/details/9760/assembly/8415939)","Door Weather Stripping")</f>
        <v>Door Weather Stripping</v>
      </c>
      <c r="B751">
        <v>8415939</v>
      </c>
      <c r="D751">
        <v>8415655</v>
      </c>
      <c r="F751">
        <v>1</v>
      </c>
      <c r="G751">
        <v>0</v>
      </c>
      <c r="H751">
        <v>9.492746911890297</v>
      </c>
      <c r="I751">
        <v>0</v>
      </c>
      <c r="J751" t="s">
        <v>90</v>
      </c>
      <c r="K751">
        <v>0</v>
      </c>
      <c r="L751">
        <v>9.492746911890297</v>
      </c>
      <c r="M751">
        <v>0</v>
      </c>
      <c r="N751">
        <v>0</v>
      </c>
      <c r="O751">
        <v>9.492746911890297</v>
      </c>
      <c r="P751" t="s">
        <v>90</v>
      </c>
      <c r="Q751">
        <v>0</v>
      </c>
      <c r="R751" t="s">
        <v>90</v>
      </c>
      <c r="S751">
        <v>0</v>
      </c>
      <c r="T751" t="s">
        <v>90</v>
      </c>
      <c r="U751">
        <v>0</v>
      </c>
      <c r="V751" t="s">
        <v>90</v>
      </c>
      <c r="W751">
        <v>0</v>
      </c>
      <c r="X751" t="s">
        <v>90</v>
      </c>
      <c r="Y751">
        <v>0</v>
      </c>
      <c r="Z751">
        <v>9.492746911890297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L751">
        <v>1.8076000000000001</v>
      </c>
      <c r="AN751" t="s">
        <v>185</v>
      </c>
      <c r="AO751" t="s">
        <v>73</v>
      </c>
      <c r="AP751">
        <v>200000</v>
      </c>
      <c r="AQ751" t="s">
        <v>73</v>
      </c>
      <c r="AS751">
        <v>10000</v>
      </c>
      <c r="AT751" t="s">
        <v>6192</v>
      </c>
      <c r="AU751" t="s">
        <v>75</v>
      </c>
      <c r="AV751" t="s">
        <v>76</v>
      </c>
    </row>
    <row r="752" spans="1:48" x14ac:dyDescent="0.15">
      <c r="A752" s="4" t="str">
        <f>HYPERLINK("https://ibp.a2mac1.com/costing(costing:projects/details/9760/assembly/8415655)","Sealing System")</f>
        <v>Sealing System</v>
      </c>
      <c r="B752">
        <v>8415655</v>
      </c>
      <c r="D752">
        <v>8415585</v>
      </c>
      <c r="F752">
        <v>1</v>
      </c>
      <c r="G752">
        <v>0</v>
      </c>
      <c r="H752">
        <v>12.741005811695208</v>
      </c>
      <c r="I752">
        <v>0</v>
      </c>
      <c r="J752" t="s">
        <v>90</v>
      </c>
      <c r="K752">
        <v>0</v>
      </c>
      <c r="L752">
        <v>12.741005811695208</v>
      </c>
      <c r="M752">
        <v>0</v>
      </c>
      <c r="N752">
        <v>0</v>
      </c>
      <c r="O752">
        <v>12.741005811695208</v>
      </c>
      <c r="P752" t="s">
        <v>90</v>
      </c>
      <c r="Q752">
        <v>0</v>
      </c>
      <c r="R752" t="s">
        <v>90</v>
      </c>
      <c r="S752">
        <v>0</v>
      </c>
      <c r="T752" t="s">
        <v>90</v>
      </c>
      <c r="U752">
        <v>0</v>
      </c>
      <c r="V752" t="s">
        <v>90</v>
      </c>
      <c r="W752">
        <v>0</v>
      </c>
      <c r="X752" t="s">
        <v>90</v>
      </c>
      <c r="Y752">
        <v>0</v>
      </c>
      <c r="Z752">
        <v>12.741005811695208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L752">
        <v>2.5455999999999999</v>
      </c>
      <c r="AN752" t="s">
        <v>185</v>
      </c>
      <c r="AO752" t="s">
        <v>73</v>
      </c>
      <c r="AP752">
        <v>200000</v>
      </c>
      <c r="AQ752" t="s">
        <v>73</v>
      </c>
      <c r="AS752">
        <v>10000</v>
      </c>
      <c r="AT752" t="s">
        <v>6208</v>
      </c>
      <c r="AU752" t="s">
        <v>75</v>
      </c>
      <c r="AV752" t="s">
        <v>76</v>
      </c>
    </row>
    <row r="753" spans="1:48" x14ac:dyDescent="0.15">
      <c r="A753" s="4" t="str">
        <f>HYPERLINK("https://ibp.a2mac1.com/costing(costing:projects/details/9760/assembly/8415942)","Lighting Band")</f>
        <v>Lighting Band</v>
      </c>
      <c r="B753">
        <v>8415942</v>
      </c>
      <c r="D753">
        <v>8415656</v>
      </c>
      <c r="F753">
        <v>1</v>
      </c>
      <c r="G753">
        <v>0</v>
      </c>
      <c r="H753">
        <v>2.1054291297824776</v>
      </c>
      <c r="I753">
        <v>1.0580045878303908E-2</v>
      </c>
      <c r="J753" t="s">
        <v>176</v>
      </c>
      <c r="K753">
        <v>7.3690019542386714E-2</v>
      </c>
      <c r="L753">
        <v>2.1896991952031684</v>
      </c>
      <c r="M753">
        <v>0</v>
      </c>
      <c r="N753">
        <v>0</v>
      </c>
      <c r="O753">
        <v>2.1896991952031684</v>
      </c>
      <c r="P753" t="s">
        <v>177</v>
      </c>
      <c r="Q753">
        <v>0.13138195171219011</v>
      </c>
      <c r="R753" t="s">
        <v>177</v>
      </c>
      <c r="S753">
        <v>0</v>
      </c>
      <c r="T753" t="s">
        <v>178</v>
      </c>
      <c r="U753">
        <v>0.26276390342438022</v>
      </c>
      <c r="V753" t="s">
        <v>90</v>
      </c>
      <c r="W753">
        <v>0</v>
      </c>
      <c r="X753" t="s">
        <v>90</v>
      </c>
      <c r="Y753">
        <v>0</v>
      </c>
      <c r="Z753">
        <v>2.5838450503397388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L753">
        <v>5.5E-2</v>
      </c>
      <c r="AN753" t="s">
        <v>288</v>
      </c>
      <c r="AO753" t="s">
        <v>73</v>
      </c>
      <c r="AP753">
        <v>200000</v>
      </c>
      <c r="AQ753" t="s">
        <v>97</v>
      </c>
      <c r="AS753">
        <v>10000</v>
      </c>
      <c r="AT753" t="s">
        <v>6223</v>
      </c>
      <c r="AU753" t="s">
        <v>75</v>
      </c>
      <c r="AV753" t="s">
        <v>76</v>
      </c>
    </row>
    <row r="754" spans="1:48" x14ac:dyDescent="0.15">
      <c r="A754" s="4" t="str">
        <f>HYPERLINK("https://ibp.a2mac1.com/costing(costing:projects/details/9760/assembly/8415656)","Power System")</f>
        <v>Power System</v>
      </c>
      <c r="B754">
        <v>8415656</v>
      </c>
      <c r="D754">
        <v>8415585</v>
      </c>
      <c r="F754">
        <v>1</v>
      </c>
      <c r="G754">
        <v>0</v>
      </c>
      <c r="H754">
        <v>12.413845050339738</v>
      </c>
      <c r="I754">
        <v>0</v>
      </c>
      <c r="J754" t="s">
        <v>90</v>
      </c>
      <c r="K754">
        <v>0</v>
      </c>
      <c r="L754">
        <v>12.413845050339738</v>
      </c>
      <c r="M754">
        <v>0</v>
      </c>
      <c r="N754">
        <v>0</v>
      </c>
      <c r="O754">
        <v>12.413845050339738</v>
      </c>
      <c r="P754" t="s">
        <v>90</v>
      </c>
      <c r="Q754">
        <v>0</v>
      </c>
      <c r="R754" t="s">
        <v>90</v>
      </c>
      <c r="S754">
        <v>0</v>
      </c>
      <c r="T754" t="s">
        <v>90</v>
      </c>
      <c r="U754">
        <v>0</v>
      </c>
      <c r="V754" t="s">
        <v>90</v>
      </c>
      <c r="W754">
        <v>0</v>
      </c>
      <c r="X754" t="s">
        <v>90</v>
      </c>
      <c r="Y754">
        <v>0</v>
      </c>
      <c r="Z754">
        <v>12.413845050339738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L754">
        <v>0.48299999999999998</v>
      </c>
      <c r="AN754" t="s">
        <v>185</v>
      </c>
      <c r="AO754" t="s">
        <v>73</v>
      </c>
      <c r="AP754">
        <v>200000</v>
      </c>
      <c r="AQ754" t="s">
        <v>73</v>
      </c>
      <c r="AS754">
        <v>10000</v>
      </c>
      <c r="AT754" t="s">
        <v>6226</v>
      </c>
      <c r="AU754" t="s">
        <v>75</v>
      </c>
      <c r="AV754" t="s">
        <v>76</v>
      </c>
    </row>
    <row r="755" spans="1:48" x14ac:dyDescent="0.15">
      <c r="A755" s="4" t="str">
        <f>HYPERLINK("https://ibp.a2mac1.com/costing(costing:projects/details/9760/assembly/8415943)","Window Control Switch")</f>
        <v>Window Control Switch</v>
      </c>
      <c r="B755">
        <v>8415943</v>
      </c>
      <c r="D755">
        <v>8415657</v>
      </c>
      <c r="F755">
        <v>1</v>
      </c>
      <c r="G755">
        <v>0</v>
      </c>
      <c r="H755">
        <v>1.6667233056762807</v>
      </c>
      <c r="I755">
        <v>0</v>
      </c>
      <c r="J755" t="s">
        <v>90</v>
      </c>
      <c r="K755">
        <v>0</v>
      </c>
      <c r="L755">
        <v>1.6667233056762807</v>
      </c>
      <c r="M755">
        <v>0</v>
      </c>
      <c r="N755">
        <v>0</v>
      </c>
      <c r="O755">
        <v>1.6667233056762807</v>
      </c>
      <c r="P755" t="s">
        <v>90</v>
      </c>
      <c r="Q755">
        <v>0</v>
      </c>
      <c r="R755" t="s">
        <v>90</v>
      </c>
      <c r="S755">
        <v>0</v>
      </c>
      <c r="T755" t="s">
        <v>90</v>
      </c>
      <c r="U755">
        <v>0</v>
      </c>
      <c r="V755" t="s">
        <v>90</v>
      </c>
      <c r="W755">
        <v>0</v>
      </c>
      <c r="X755" t="s">
        <v>90</v>
      </c>
      <c r="Y755">
        <v>0</v>
      </c>
      <c r="Z755">
        <v>1.6667233056762807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N755" t="s">
        <v>185</v>
      </c>
      <c r="AO755" t="s">
        <v>73</v>
      </c>
      <c r="AP755">
        <v>200000</v>
      </c>
      <c r="AQ755" t="s">
        <v>73</v>
      </c>
      <c r="AR755">
        <v>0</v>
      </c>
      <c r="AS755">
        <v>10000</v>
      </c>
      <c r="AT755" t="s">
        <v>6233</v>
      </c>
      <c r="AU755" t="s">
        <v>75</v>
      </c>
      <c r="AV755" t="s">
        <v>162</v>
      </c>
    </row>
    <row r="756" spans="1:48" x14ac:dyDescent="0.15">
      <c r="A756" s="4" t="str">
        <f>HYPERLINK("https://ibp.a2mac1.com/costing(costing:projects/details/9760/assembly/8415657)","Power Controls")</f>
        <v>Power Controls</v>
      </c>
      <c r="B756">
        <v>8415657</v>
      </c>
      <c r="D756">
        <v>8415585</v>
      </c>
      <c r="F756">
        <v>1</v>
      </c>
      <c r="G756">
        <v>0</v>
      </c>
      <c r="H756">
        <v>1.6667233056762807</v>
      </c>
      <c r="I756">
        <v>0</v>
      </c>
      <c r="J756" t="s">
        <v>90</v>
      </c>
      <c r="K756">
        <v>0</v>
      </c>
      <c r="L756">
        <v>1.6667233056762807</v>
      </c>
      <c r="M756">
        <v>0</v>
      </c>
      <c r="N756">
        <v>0</v>
      </c>
      <c r="O756">
        <v>1.6667233056762807</v>
      </c>
      <c r="P756" t="s">
        <v>90</v>
      </c>
      <c r="Q756">
        <v>0</v>
      </c>
      <c r="R756" t="s">
        <v>90</v>
      </c>
      <c r="S756">
        <v>0</v>
      </c>
      <c r="T756" t="s">
        <v>90</v>
      </c>
      <c r="U756">
        <v>0</v>
      </c>
      <c r="V756" t="s">
        <v>90</v>
      </c>
      <c r="W756">
        <v>0</v>
      </c>
      <c r="X756" t="s">
        <v>90</v>
      </c>
      <c r="Y756">
        <v>0</v>
      </c>
      <c r="Z756">
        <v>1.6667233056762807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L756">
        <v>3.3000000000000002E-2</v>
      </c>
      <c r="AN756" t="s">
        <v>185</v>
      </c>
      <c r="AO756" t="s">
        <v>73</v>
      </c>
      <c r="AP756">
        <v>200000</v>
      </c>
      <c r="AQ756" t="s">
        <v>73</v>
      </c>
      <c r="AS756">
        <v>10000</v>
      </c>
      <c r="AT756" t="s">
        <v>6234</v>
      </c>
      <c r="AU756" t="s">
        <v>75</v>
      </c>
      <c r="AV756" t="s">
        <v>76</v>
      </c>
    </row>
    <row r="757" spans="1:48" x14ac:dyDescent="0.15">
      <c r="A757" s="4" t="str">
        <f>HYPERLINK("https://ibp.a2mac1.com/costing(costing:projects/details/9760/assembly/8415658)","Speaker System")</f>
        <v>Speaker System</v>
      </c>
      <c r="B757">
        <v>8415658</v>
      </c>
      <c r="D757">
        <v>8415585</v>
      </c>
      <c r="F757">
        <v>1</v>
      </c>
      <c r="G757">
        <v>0</v>
      </c>
      <c r="H757">
        <v>9.5893300000000004</v>
      </c>
      <c r="I757">
        <v>0</v>
      </c>
      <c r="J757" t="s">
        <v>90</v>
      </c>
      <c r="K757">
        <v>0</v>
      </c>
      <c r="L757">
        <v>9.5893300000000004</v>
      </c>
      <c r="M757">
        <v>0</v>
      </c>
      <c r="N757">
        <v>0</v>
      </c>
      <c r="O757">
        <v>9.5893300000000004</v>
      </c>
      <c r="P757" t="s">
        <v>90</v>
      </c>
      <c r="Q757">
        <v>0</v>
      </c>
      <c r="R757" t="s">
        <v>90</v>
      </c>
      <c r="S757">
        <v>0</v>
      </c>
      <c r="T757" t="s">
        <v>90</v>
      </c>
      <c r="U757">
        <v>0</v>
      </c>
      <c r="V757" t="s">
        <v>90</v>
      </c>
      <c r="W757">
        <v>0</v>
      </c>
      <c r="X757" t="s">
        <v>90</v>
      </c>
      <c r="Y757">
        <v>0</v>
      </c>
      <c r="Z757">
        <v>9.5893300000000004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L757">
        <v>0.94599999999999995</v>
      </c>
      <c r="AN757" t="s">
        <v>185</v>
      </c>
      <c r="AO757" t="s">
        <v>73</v>
      </c>
      <c r="AP757">
        <v>200000</v>
      </c>
      <c r="AQ757" t="s">
        <v>73</v>
      </c>
      <c r="AS757">
        <v>10000</v>
      </c>
      <c r="AT757" t="s">
        <v>6239</v>
      </c>
      <c r="AU757" t="s">
        <v>75</v>
      </c>
      <c r="AV757" t="s">
        <v>76</v>
      </c>
    </row>
    <row r="758" spans="1:48" x14ac:dyDescent="0.15">
      <c r="A758" s="4" t="str">
        <f>HYPERLINK("https://ibp.a2mac1.com/costing(costing:projects/details/9760/assembly/8415659)","Reinforcement System")</f>
        <v>Reinforcement System</v>
      </c>
      <c r="B758">
        <v>8415659</v>
      </c>
      <c r="D758">
        <v>8415585</v>
      </c>
      <c r="F758">
        <v>1</v>
      </c>
      <c r="G758">
        <v>0</v>
      </c>
      <c r="H758">
        <v>0.16</v>
      </c>
      <c r="I758">
        <v>8.0402010050251258E-4</v>
      </c>
      <c r="J758" t="s">
        <v>176</v>
      </c>
      <c r="K758">
        <v>5.5999999999999999E-3</v>
      </c>
      <c r="L758">
        <v>0.16640402010050251</v>
      </c>
      <c r="M758">
        <v>0</v>
      </c>
      <c r="N758">
        <v>0</v>
      </c>
      <c r="O758">
        <v>0.16640402010050251</v>
      </c>
      <c r="P758" t="s">
        <v>177</v>
      </c>
      <c r="Q758">
        <v>9.9842412060301509E-3</v>
      </c>
      <c r="R758" t="s">
        <v>177</v>
      </c>
      <c r="S758">
        <v>0</v>
      </c>
      <c r="T758" t="s">
        <v>178</v>
      </c>
      <c r="U758">
        <v>1.9968482412060302E-2</v>
      </c>
      <c r="V758" t="s">
        <v>90</v>
      </c>
      <c r="W758">
        <v>0</v>
      </c>
      <c r="X758" t="s">
        <v>90</v>
      </c>
      <c r="Y758">
        <v>0</v>
      </c>
      <c r="Z758">
        <v>0.19635674371859296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L758">
        <v>3.7999999999999999E-2</v>
      </c>
      <c r="AN758" t="s">
        <v>5305</v>
      </c>
      <c r="AO758" t="s">
        <v>73</v>
      </c>
      <c r="AP758">
        <v>200000</v>
      </c>
      <c r="AQ758" t="s">
        <v>97</v>
      </c>
      <c r="AS758">
        <v>10000</v>
      </c>
      <c r="AT758" t="s">
        <v>6245</v>
      </c>
      <c r="AU758" t="s">
        <v>75</v>
      </c>
      <c r="AV758" t="s">
        <v>76</v>
      </c>
    </row>
    <row r="759" spans="1:48" x14ac:dyDescent="0.15">
      <c r="A759" s="4" t="str">
        <f>HYPERLINK("https://ibp.a2mac1.com/costing(costing:projects/details/9760/assembly/8415950)","Upper")</f>
        <v>Upper</v>
      </c>
      <c r="B759">
        <v>8415950</v>
      </c>
      <c r="D759">
        <v>8415663</v>
      </c>
      <c r="F759">
        <v>1</v>
      </c>
      <c r="G759">
        <v>0</v>
      </c>
      <c r="H759">
        <v>2.8353451840374486</v>
      </c>
      <c r="I759">
        <v>1.4247965748931902E-2</v>
      </c>
      <c r="J759" t="s">
        <v>176</v>
      </c>
      <c r="K759">
        <v>9.9237081441310701E-2</v>
      </c>
      <c r="L759">
        <v>2.9488302312276913</v>
      </c>
      <c r="M759">
        <v>0</v>
      </c>
      <c r="N759">
        <v>0</v>
      </c>
      <c r="O759">
        <v>2.9488302312276913</v>
      </c>
      <c r="P759" t="s">
        <v>177</v>
      </c>
      <c r="Q759">
        <v>0.17692981387366147</v>
      </c>
      <c r="R759" t="s">
        <v>177</v>
      </c>
      <c r="S759">
        <v>0</v>
      </c>
      <c r="T759" t="s">
        <v>178</v>
      </c>
      <c r="U759">
        <v>0.35385962774732294</v>
      </c>
      <c r="V759" t="s">
        <v>90</v>
      </c>
      <c r="W759">
        <v>0</v>
      </c>
      <c r="X759" t="s">
        <v>90</v>
      </c>
      <c r="Y759">
        <v>0</v>
      </c>
      <c r="Z759">
        <v>3.4796196728486755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L759">
        <v>0.378</v>
      </c>
      <c r="AN759" t="s">
        <v>5281</v>
      </c>
      <c r="AO759" t="s">
        <v>73</v>
      </c>
      <c r="AP759">
        <v>200000</v>
      </c>
      <c r="AQ759" t="s">
        <v>97</v>
      </c>
      <c r="AS759">
        <v>10000</v>
      </c>
      <c r="AT759" t="s">
        <v>6254</v>
      </c>
      <c r="AU759" t="s">
        <v>75</v>
      </c>
      <c r="AV759" t="s">
        <v>76</v>
      </c>
    </row>
    <row r="760" spans="1:48" x14ac:dyDescent="0.15">
      <c r="A760" s="4" t="str">
        <f>HYPERLINK("https://ibp.a2mac1.com/costing(costing:projects/details/9760/assembly/8415951)","Lower")</f>
        <v>Lower</v>
      </c>
      <c r="B760">
        <v>8415951</v>
      </c>
      <c r="D760">
        <v>8415663</v>
      </c>
      <c r="F760">
        <v>1</v>
      </c>
      <c r="G760">
        <v>0</v>
      </c>
      <c r="H760">
        <v>3.088027661576866</v>
      </c>
      <c r="I760">
        <v>1.5517726942597317E-2</v>
      </c>
      <c r="J760" t="s">
        <v>176</v>
      </c>
      <c r="K760">
        <v>0.1080809681551903</v>
      </c>
      <c r="L760">
        <v>3.2116263566746537</v>
      </c>
      <c r="M760">
        <v>0</v>
      </c>
      <c r="N760">
        <v>0</v>
      </c>
      <c r="O760">
        <v>3.2116263566746537</v>
      </c>
      <c r="P760" t="s">
        <v>177</v>
      </c>
      <c r="Q760">
        <v>0.19269758140047921</v>
      </c>
      <c r="R760" t="s">
        <v>177</v>
      </c>
      <c r="S760">
        <v>0</v>
      </c>
      <c r="T760" t="s">
        <v>178</v>
      </c>
      <c r="U760">
        <v>0.38539516280095842</v>
      </c>
      <c r="V760" t="s">
        <v>90</v>
      </c>
      <c r="W760">
        <v>0</v>
      </c>
      <c r="X760" t="s">
        <v>90</v>
      </c>
      <c r="Y760">
        <v>0</v>
      </c>
      <c r="Z760">
        <v>3.7897191008760913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L760">
        <v>0.4</v>
      </c>
      <c r="AN760" t="s">
        <v>5281</v>
      </c>
      <c r="AO760" t="s">
        <v>73</v>
      </c>
      <c r="AP760">
        <v>200000</v>
      </c>
      <c r="AQ760" t="s">
        <v>97</v>
      </c>
      <c r="AS760">
        <v>10000</v>
      </c>
      <c r="AT760" t="s">
        <v>6262</v>
      </c>
      <c r="AU760" t="s">
        <v>75</v>
      </c>
      <c r="AV760" t="s">
        <v>76</v>
      </c>
    </row>
    <row r="761" spans="1:48" x14ac:dyDescent="0.15">
      <c r="A761" s="4" t="str">
        <f>HYPERLINK("https://ibp.a2mac1.com/costing(costing:projects/details/9760/assembly/8415663)","Hinges")</f>
        <v>Hinges</v>
      </c>
      <c r="B761">
        <v>8415663</v>
      </c>
      <c r="D761">
        <v>8415585</v>
      </c>
      <c r="F761">
        <v>1</v>
      </c>
      <c r="G761">
        <v>0</v>
      </c>
      <c r="H761">
        <v>9.4860085556094909</v>
      </c>
      <c r="I761">
        <v>0</v>
      </c>
      <c r="J761" t="s">
        <v>90</v>
      </c>
      <c r="K761">
        <v>0</v>
      </c>
      <c r="L761">
        <v>9.4860085556094909</v>
      </c>
      <c r="M761">
        <v>0</v>
      </c>
      <c r="N761">
        <v>0</v>
      </c>
      <c r="O761">
        <v>9.4860085556094909</v>
      </c>
      <c r="P761" t="s">
        <v>90</v>
      </c>
      <c r="Q761">
        <v>0</v>
      </c>
      <c r="R761" t="s">
        <v>90</v>
      </c>
      <c r="S761">
        <v>0</v>
      </c>
      <c r="T761" t="s">
        <v>90</v>
      </c>
      <c r="U761">
        <v>0</v>
      </c>
      <c r="V761" t="s">
        <v>90</v>
      </c>
      <c r="W761">
        <v>0</v>
      </c>
      <c r="X761" t="s">
        <v>90</v>
      </c>
      <c r="Y761">
        <v>0</v>
      </c>
      <c r="Z761">
        <v>9.4860085556094909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L761">
        <v>0.99299999999999999</v>
      </c>
      <c r="AN761" t="s">
        <v>185</v>
      </c>
      <c r="AO761" t="s">
        <v>73</v>
      </c>
      <c r="AP761">
        <v>200000</v>
      </c>
      <c r="AQ761" t="s">
        <v>73</v>
      </c>
      <c r="AS761">
        <v>10000</v>
      </c>
      <c r="AT761" t="s">
        <v>6268</v>
      </c>
      <c r="AU761" t="s">
        <v>75</v>
      </c>
      <c r="AV761" t="s">
        <v>76</v>
      </c>
    </row>
    <row r="762" spans="1:48" x14ac:dyDescent="0.15">
      <c r="A762" s="4" t="str">
        <f>HYPERLINK("https://ibp.a2mac1.com/costing(costing:projects/details/9760/assembly/8415585)","Rear Door Right")</f>
        <v>Rear Door Right</v>
      </c>
      <c r="B762">
        <v>8415585</v>
      </c>
      <c r="D762">
        <v>8415576</v>
      </c>
      <c r="F762">
        <v>1</v>
      </c>
      <c r="G762">
        <v>0</v>
      </c>
      <c r="H762">
        <v>155.33766258750259</v>
      </c>
      <c r="I762">
        <v>0</v>
      </c>
      <c r="J762" t="s">
        <v>90</v>
      </c>
      <c r="K762">
        <v>0</v>
      </c>
      <c r="L762">
        <v>155.33766258750259</v>
      </c>
      <c r="M762">
        <v>0</v>
      </c>
      <c r="N762">
        <v>0.6579133898279117</v>
      </c>
      <c r="O762">
        <v>155.9955759773305</v>
      </c>
      <c r="P762" t="s">
        <v>90</v>
      </c>
      <c r="Q762">
        <v>0</v>
      </c>
      <c r="R762" t="s">
        <v>90</v>
      </c>
      <c r="S762">
        <v>0</v>
      </c>
      <c r="T762" t="s">
        <v>90</v>
      </c>
      <c r="U762">
        <v>0</v>
      </c>
      <c r="V762" t="s">
        <v>90</v>
      </c>
      <c r="W762">
        <v>0</v>
      </c>
      <c r="X762" t="s">
        <v>90</v>
      </c>
      <c r="Y762">
        <v>0</v>
      </c>
      <c r="Z762">
        <v>155.9955759773305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283</v>
      </c>
      <c r="AI762">
        <v>1112</v>
      </c>
      <c r="AJ762">
        <v>1073</v>
      </c>
      <c r="AL762">
        <v>29.7912</v>
      </c>
      <c r="AN762" t="s">
        <v>185</v>
      </c>
      <c r="AO762" t="s">
        <v>73</v>
      </c>
      <c r="AP762">
        <v>200000</v>
      </c>
      <c r="AQ762" t="s">
        <v>73</v>
      </c>
      <c r="AS762">
        <v>10000</v>
      </c>
      <c r="AT762" t="s">
        <v>6278</v>
      </c>
      <c r="AU762" t="s">
        <v>75</v>
      </c>
      <c r="AV762" t="s">
        <v>76</v>
      </c>
    </row>
    <row r="763" spans="1:48" x14ac:dyDescent="0.15">
      <c r="A763" s="4" t="str">
        <f>HYPERLINK("https://ibp.a2mac1.com/costing(costing:projects/details/9760/assembly/8415664)","Speaker System")</f>
        <v>Speaker System</v>
      </c>
      <c r="B763">
        <v>8415664</v>
      </c>
      <c r="D763">
        <v>8415586</v>
      </c>
      <c r="F763">
        <v>1</v>
      </c>
      <c r="G763">
        <v>0</v>
      </c>
      <c r="H763">
        <v>9.5893300000000004</v>
      </c>
      <c r="I763">
        <v>0</v>
      </c>
      <c r="J763" t="s">
        <v>90</v>
      </c>
      <c r="K763">
        <v>0</v>
      </c>
      <c r="L763">
        <v>9.5893300000000004</v>
      </c>
      <c r="M763">
        <v>0</v>
      </c>
      <c r="N763">
        <v>0</v>
      </c>
      <c r="O763">
        <v>9.5893300000000004</v>
      </c>
      <c r="P763" t="s">
        <v>90</v>
      </c>
      <c r="Q763">
        <v>0</v>
      </c>
      <c r="R763" t="s">
        <v>90</v>
      </c>
      <c r="S763">
        <v>0</v>
      </c>
      <c r="T763" t="s">
        <v>90</v>
      </c>
      <c r="U763">
        <v>0</v>
      </c>
      <c r="V763" t="s">
        <v>90</v>
      </c>
      <c r="W763">
        <v>0</v>
      </c>
      <c r="X763" t="s">
        <v>90</v>
      </c>
      <c r="Y763">
        <v>0</v>
      </c>
      <c r="Z763">
        <v>9.5893300000000004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L763">
        <v>0.94599999999999995</v>
      </c>
      <c r="AN763" t="s">
        <v>185</v>
      </c>
      <c r="AO763" t="s">
        <v>73</v>
      </c>
      <c r="AP763">
        <v>200000</v>
      </c>
      <c r="AQ763" t="s">
        <v>73</v>
      </c>
      <c r="AS763">
        <v>10000</v>
      </c>
      <c r="AT763" t="s">
        <v>6283</v>
      </c>
      <c r="AU763" t="s">
        <v>75</v>
      </c>
      <c r="AV763" t="s">
        <v>76</v>
      </c>
    </row>
    <row r="764" spans="1:48" x14ac:dyDescent="0.15">
      <c r="A764" s="4" t="str">
        <f>HYPERLINK("https://ibp.a2mac1.com/costing(costing:projects/details/9760/assembly/8415665)","Reinforcement System")</f>
        <v>Reinforcement System</v>
      </c>
      <c r="B764">
        <v>8415665</v>
      </c>
      <c r="D764">
        <v>8415586</v>
      </c>
      <c r="F764">
        <v>1</v>
      </c>
      <c r="G764">
        <v>0</v>
      </c>
      <c r="H764">
        <v>0.16</v>
      </c>
      <c r="I764">
        <v>0</v>
      </c>
      <c r="J764" t="s">
        <v>90</v>
      </c>
      <c r="K764">
        <v>0</v>
      </c>
      <c r="L764">
        <v>0.16</v>
      </c>
      <c r="M764">
        <v>0</v>
      </c>
      <c r="N764">
        <v>0</v>
      </c>
      <c r="O764">
        <v>0.16</v>
      </c>
      <c r="P764" t="s">
        <v>90</v>
      </c>
      <c r="Q764">
        <v>0</v>
      </c>
      <c r="R764" t="s">
        <v>90</v>
      </c>
      <c r="S764">
        <v>0</v>
      </c>
      <c r="T764" t="s">
        <v>90</v>
      </c>
      <c r="U764">
        <v>0</v>
      </c>
      <c r="V764" t="s">
        <v>90</v>
      </c>
      <c r="W764">
        <v>0</v>
      </c>
      <c r="X764" t="s">
        <v>90</v>
      </c>
      <c r="Y764">
        <v>0</v>
      </c>
      <c r="Z764">
        <v>0.16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L764">
        <v>3.7999999999999999E-2</v>
      </c>
      <c r="AN764" t="s">
        <v>185</v>
      </c>
      <c r="AO764" t="s">
        <v>73</v>
      </c>
      <c r="AP764">
        <v>200000</v>
      </c>
      <c r="AQ764" t="s">
        <v>73</v>
      </c>
      <c r="AS764">
        <v>10000</v>
      </c>
      <c r="AT764" t="s">
        <v>6287</v>
      </c>
      <c r="AU764" t="s">
        <v>75</v>
      </c>
      <c r="AV764" t="s">
        <v>76</v>
      </c>
    </row>
    <row r="765" spans="1:48" x14ac:dyDescent="0.15">
      <c r="A765" s="4" t="str">
        <f>HYPERLINK("https://ibp.a2mac1.com/costing(costing:projects/details/9760/assembly/8415958)","Upper")</f>
        <v>Upper</v>
      </c>
      <c r="B765">
        <v>8415958</v>
      </c>
      <c r="D765">
        <v>8415666</v>
      </c>
      <c r="F765">
        <v>1</v>
      </c>
      <c r="G765">
        <v>0</v>
      </c>
      <c r="H765">
        <v>2.8353451840374486</v>
      </c>
      <c r="I765">
        <v>1.4247965748931902E-2</v>
      </c>
      <c r="J765" t="s">
        <v>176</v>
      </c>
      <c r="K765">
        <v>9.9237081441310701E-2</v>
      </c>
      <c r="L765">
        <v>2.9488302312276913</v>
      </c>
      <c r="M765">
        <v>0</v>
      </c>
      <c r="N765">
        <v>0</v>
      </c>
      <c r="O765">
        <v>2.9488302312276913</v>
      </c>
      <c r="P765" t="s">
        <v>177</v>
      </c>
      <c r="Q765">
        <v>0.17692981387366147</v>
      </c>
      <c r="R765" t="s">
        <v>177</v>
      </c>
      <c r="S765">
        <v>0</v>
      </c>
      <c r="T765" t="s">
        <v>178</v>
      </c>
      <c r="U765">
        <v>0.35385962774732294</v>
      </c>
      <c r="V765" t="s">
        <v>90</v>
      </c>
      <c r="W765">
        <v>0</v>
      </c>
      <c r="X765" t="s">
        <v>90</v>
      </c>
      <c r="Y765">
        <v>0</v>
      </c>
      <c r="Z765">
        <v>3.4796196728486755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L765">
        <v>0.378</v>
      </c>
      <c r="AN765" t="s">
        <v>5281</v>
      </c>
      <c r="AO765" t="s">
        <v>73</v>
      </c>
      <c r="AP765">
        <v>200000</v>
      </c>
      <c r="AQ765" t="s">
        <v>97</v>
      </c>
      <c r="AS765">
        <v>10000</v>
      </c>
      <c r="AT765" t="s">
        <v>6296</v>
      </c>
      <c r="AU765" t="s">
        <v>75</v>
      </c>
      <c r="AV765" t="s">
        <v>76</v>
      </c>
    </row>
    <row r="766" spans="1:48" x14ac:dyDescent="0.15">
      <c r="A766" s="4" t="str">
        <f>HYPERLINK("https://ibp.a2mac1.com/costing(costing:projects/details/9760/assembly/8415959)","Lower")</f>
        <v>Lower</v>
      </c>
      <c r="B766">
        <v>8415959</v>
      </c>
      <c r="D766">
        <v>8415666</v>
      </c>
      <c r="F766">
        <v>1</v>
      </c>
      <c r="G766">
        <v>0</v>
      </c>
      <c r="H766">
        <v>3.088027661576866</v>
      </c>
      <c r="I766">
        <v>1.5517726942597317E-2</v>
      </c>
      <c r="J766" t="s">
        <v>176</v>
      </c>
      <c r="K766">
        <v>0.1080809681551903</v>
      </c>
      <c r="L766">
        <v>3.2116263566746537</v>
      </c>
      <c r="M766">
        <v>0</v>
      </c>
      <c r="N766">
        <v>0</v>
      </c>
      <c r="O766">
        <v>3.2116263566746537</v>
      </c>
      <c r="P766" t="s">
        <v>177</v>
      </c>
      <c r="Q766">
        <v>0.19269758140047921</v>
      </c>
      <c r="R766" t="s">
        <v>177</v>
      </c>
      <c r="S766">
        <v>0</v>
      </c>
      <c r="T766" t="s">
        <v>178</v>
      </c>
      <c r="U766">
        <v>0.38539516280095842</v>
      </c>
      <c r="V766" t="s">
        <v>90</v>
      </c>
      <c r="W766">
        <v>0</v>
      </c>
      <c r="X766" t="s">
        <v>90</v>
      </c>
      <c r="Y766">
        <v>0</v>
      </c>
      <c r="Z766">
        <v>3.7897191008760913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L766">
        <v>0.4</v>
      </c>
      <c r="AN766" t="s">
        <v>5281</v>
      </c>
      <c r="AO766" t="s">
        <v>73</v>
      </c>
      <c r="AP766">
        <v>200000</v>
      </c>
      <c r="AQ766" t="s">
        <v>97</v>
      </c>
      <c r="AS766">
        <v>10000</v>
      </c>
      <c r="AT766" t="s">
        <v>6304</v>
      </c>
      <c r="AU766" t="s">
        <v>75</v>
      </c>
      <c r="AV766" t="s">
        <v>76</v>
      </c>
    </row>
    <row r="767" spans="1:48" x14ac:dyDescent="0.15">
      <c r="A767" s="4" t="str">
        <f>HYPERLINK("https://ibp.a2mac1.com/costing(costing:projects/details/9760/assembly/8415666)","Hinges")</f>
        <v>Hinges</v>
      </c>
      <c r="B767">
        <v>8415666</v>
      </c>
      <c r="D767">
        <v>8415586</v>
      </c>
      <c r="F767">
        <v>1</v>
      </c>
      <c r="G767">
        <v>0</v>
      </c>
      <c r="H767">
        <v>9.4860085556094909</v>
      </c>
      <c r="I767">
        <v>0</v>
      </c>
      <c r="J767" t="s">
        <v>90</v>
      </c>
      <c r="K767">
        <v>0</v>
      </c>
      <c r="L767">
        <v>9.4860085556094909</v>
      </c>
      <c r="M767">
        <v>0</v>
      </c>
      <c r="N767">
        <v>0</v>
      </c>
      <c r="O767">
        <v>9.4860085556094909</v>
      </c>
      <c r="P767" t="s">
        <v>90</v>
      </c>
      <c r="Q767">
        <v>0</v>
      </c>
      <c r="R767" t="s">
        <v>90</v>
      </c>
      <c r="S767">
        <v>0</v>
      </c>
      <c r="T767" t="s">
        <v>90</v>
      </c>
      <c r="U767">
        <v>0</v>
      </c>
      <c r="V767" t="s">
        <v>90</v>
      </c>
      <c r="W767">
        <v>0</v>
      </c>
      <c r="X767" t="s">
        <v>90</v>
      </c>
      <c r="Y767">
        <v>0</v>
      </c>
      <c r="Z767">
        <v>9.4860085556094909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L767">
        <v>0.99299999999999999</v>
      </c>
      <c r="AN767" t="s">
        <v>185</v>
      </c>
      <c r="AO767" t="s">
        <v>73</v>
      </c>
      <c r="AP767">
        <v>200000</v>
      </c>
      <c r="AQ767" t="s">
        <v>73</v>
      </c>
      <c r="AS767">
        <v>10000</v>
      </c>
      <c r="AT767" t="s">
        <v>6310</v>
      </c>
      <c r="AU767" t="s">
        <v>75</v>
      </c>
      <c r="AV767" t="s">
        <v>76</v>
      </c>
    </row>
    <row r="768" spans="1:48" x14ac:dyDescent="0.15">
      <c r="A768" s="4" t="str">
        <f>HYPERLINK("https://ibp.a2mac1.com/costing(costing:projects/details/9760/assembly/8415667)","Power Controls")</f>
        <v>Power Controls</v>
      </c>
      <c r="B768">
        <v>8415667</v>
      </c>
      <c r="D768">
        <v>8415586</v>
      </c>
      <c r="F768">
        <v>1</v>
      </c>
      <c r="G768">
        <v>0</v>
      </c>
      <c r="H768">
        <v>1.6667233056762807</v>
      </c>
      <c r="I768">
        <v>8.375493998373269E-3</v>
      </c>
      <c r="J768" t="s">
        <v>176</v>
      </c>
      <c r="K768">
        <v>5.8335315698669822E-2</v>
      </c>
      <c r="L768">
        <v>1.7334341153733237</v>
      </c>
      <c r="M768">
        <v>0</v>
      </c>
      <c r="N768">
        <v>0</v>
      </c>
      <c r="O768">
        <v>1.7334341153733237</v>
      </c>
      <c r="P768" t="s">
        <v>177</v>
      </c>
      <c r="Q768">
        <v>0.10400604692239943</v>
      </c>
      <c r="R768" t="s">
        <v>177</v>
      </c>
      <c r="S768">
        <v>0</v>
      </c>
      <c r="T768" t="s">
        <v>178</v>
      </c>
      <c r="U768">
        <v>0.20801209384479885</v>
      </c>
      <c r="V768" t="s">
        <v>90</v>
      </c>
      <c r="W768">
        <v>0</v>
      </c>
      <c r="X768" t="s">
        <v>90</v>
      </c>
      <c r="Y768">
        <v>0</v>
      </c>
      <c r="Z768">
        <v>2.0454522561405217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L768">
        <v>3.3000000000000002E-2</v>
      </c>
      <c r="AN768" t="s">
        <v>5305</v>
      </c>
      <c r="AO768" t="s">
        <v>73</v>
      </c>
      <c r="AP768">
        <v>200000</v>
      </c>
      <c r="AQ768" t="s">
        <v>97</v>
      </c>
      <c r="AS768">
        <v>10000</v>
      </c>
      <c r="AT768" t="s">
        <v>6316</v>
      </c>
      <c r="AU768" t="s">
        <v>75</v>
      </c>
      <c r="AV768" t="s">
        <v>76</v>
      </c>
    </row>
    <row r="769" spans="1:48" x14ac:dyDescent="0.15">
      <c r="A769" s="4" t="str">
        <f>HYPERLINK("https://ibp.a2mac1.com/costing(costing:projects/details/9760/assembly/8415964)","Lighting Band")</f>
        <v>Lighting Band</v>
      </c>
      <c r="B769">
        <v>8415964</v>
      </c>
      <c r="D769">
        <v>8415668</v>
      </c>
      <c r="F769">
        <v>1</v>
      </c>
      <c r="G769">
        <v>0</v>
      </c>
      <c r="H769">
        <v>2.1368988714781829</v>
      </c>
      <c r="I769">
        <v>0</v>
      </c>
      <c r="J769" t="s">
        <v>90</v>
      </c>
      <c r="K769">
        <v>0</v>
      </c>
      <c r="L769">
        <v>2.1368988714781829</v>
      </c>
      <c r="M769">
        <v>0</v>
      </c>
      <c r="N769">
        <v>0</v>
      </c>
      <c r="O769">
        <v>2.1368988714781829</v>
      </c>
      <c r="P769" t="s">
        <v>90</v>
      </c>
      <c r="Q769">
        <v>0</v>
      </c>
      <c r="R769" t="s">
        <v>90</v>
      </c>
      <c r="S769">
        <v>0</v>
      </c>
      <c r="T769" t="s">
        <v>90</v>
      </c>
      <c r="U769">
        <v>0</v>
      </c>
      <c r="V769" t="s">
        <v>90</v>
      </c>
      <c r="W769">
        <v>0</v>
      </c>
      <c r="X769" t="s">
        <v>90</v>
      </c>
      <c r="Y769">
        <v>0</v>
      </c>
      <c r="Z769">
        <v>2.1368988714781829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L769">
        <v>5.5E-2</v>
      </c>
      <c r="AN769" t="s">
        <v>185</v>
      </c>
      <c r="AO769" t="s">
        <v>73</v>
      </c>
      <c r="AP769">
        <v>200000</v>
      </c>
      <c r="AQ769" t="s">
        <v>73</v>
      </c>
      <c r="AS769">
        <v>10000</v>
      </c>
      <c r="AT769" t="s">
        <v>6328</v>
      </c>
      <c r="AU769" t="s">
        <v>75</v>
      </c>
      <c r="AV769" t="s">
        <v>76</v>
      </c>
    </row>
    <row r="770" spans="1:48" x14ac:dyDescent="0.15">
      <c r="A770" s="4" t="str">
        <f>HYPERLINK("https://ibp.a2mac1.com/costing(costing:projects/details/9760/assembly/8415668)","Power System")</f>
        <v>Power System</v>
      </c>
      <c r="B770">
        <v>8415668</v>
      </c>
      <c r="D770">
        <v>8415586</v>
      </c>
      <c r="F770">
        <v>1</v>
      </c>
      <c r="G770">
        <v>0</v>
      </c>
      <c r="H770">
        <v>11.966898871478183</v>
      </c>
      <c r="I770">
        <v>0</v>
      </c>
      <c r="J770" t="s">
        <v>90</v>
      </c>
      <c r="K770">
        <v>0</v>
      </c>
      <c r="L770">
        <v>11.966898871478183</v>
      </c>
      <c r="M770">
        <v>0</v>
      </c>
      <c r="N770">
        <v>0</v>
      </c>
      <c r="O770">
        <v>11.966898871478183</v>
      </c>
      <c r="P770" t="s">
        <v>90</v>
      </c>
      <c r="Q770">
        <v>0</v>
      </c>
      <c r="R770" t="s">
        <v>90</v>
      </c>
      <c r="S770">
        <v>0</v>
      </c>
      <c r="T770" t="s">
        <v>90</v>
      </c>
      <c r="U770">
        <v>0</v>
      </c>
      <c r="V770" t="s">
        <v>90</v>
      </c>
      <c r="W770">
        <v>0</v>
      </c>
      <c r="X770" t="s">
        <v>90</v>
      </c>
      <c r="Y770">
        <v>0</v>
      </c>
      <c r="Z770">
        <v>11.966898871478183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L770">
        <v>0.48299999999999998</v>
      </c>
      <c r="AN770" t="s">
        <v>185</v>
      </c>
      <c r="AO770" t="s">
        <v>73</v>
      </c>
      <c r="AP770">
        <v>200000</v>
      </c>
      <c r="AQ770" t="s">
        <v>73</v>
      </c>
      <c r="AS770">
        <v>10000</v>
      </c>
      <c r="AT770" t="s">
        <v>6331</v>
      </c>
      <c r="AU770" t="s">
        <v>75</v>
      </c>
      <c r="AV770" t="s">
        <v>76</v>
      </c>
    </row>
    <row r="771" spans="1:48" x14ac:dyDescent="0.15">
      <c r="A771" s="4" t="str">
        <f>HYPERLINK("https://ibp.a2mac1.com/costing(costing:projects/details/9760/assembly/8415968)","Door Weather Stripping")</f>
        <v>Door Weather Stripping</v>
      </c>
      <c r="B771">
        <v>8415968</v>
      </c>
      <c r="D771">
        <v>8415669</v>
      </c>
      <c r="F771">
        <v>1</v>
      </c>
      <c r="G771">
        <v>0</v>
      </c>
      <c r="H771">
        <v>9.492746911890297</v>
      </c>
      <c r="I771">
        <v>0</v>
      </c>
      <c r="J771" t="s">
        <v>90</v>
      </c>
      <c r="K771">
        <v>0</v>
      </c>
      <c r="L771">
        <v>9.492746911890297</v>
      </c>
      <c r="M771">
        <v>0</v>
      </c>
      <c r="N771">
        <v>0</v>
      </c>
      <c r="O771">
        <v>9.492746911890297</v>
      </c>
      <c r="P771" t="s">
        <v>90</v>
      </c>
      <c r="Q771">
        <v>0</v>
      </c>
      <c r="R771" t="s">
        <v>90</v>
      </c>
      <c r="S771">
        <v>0</v>
      </c>
      <c r="T771" t="s">
        <v>90</v>
      </c>
      <c r="U771">
        <v>0</v>
      </c>
      <c r="V771" t="s">
        <v>90</v>
      </c>
      <c r="W771">
        <v>0</v>
      </c>
      <c r="X771" t="s">
        <v>90</v>
      </c>
      <c r="Y771">
        <v>0</v>
      </c>
      <c r="Z771">
        <v>9.492746911890297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L771">
        <v>1.8076000000000001</v>
      </c>
      <c r="AN771" t="s">
        <v>185</v>
      </c>
      <c r="AO771" t="s">
        <v>73</v>
      </c>
      <c r="AP771">
        <v>200000</v>
      </c>
      <c r="AQ771" t="s">
        <v>73</v>
      </c>
      <c r="AS771">
        <v>10000</v>
      </c>
      <c r="AT771" t="s">
        <v>6347</v>
      </c>
      <c r="AU771" t="s">
        <v>75</v>
      </c>
      <c r="AV771" t="s">
        <v>76</v>
      </c>
    </row>
    <row r="772" spans="1:48" x14ac:dyDescent="0.15">
      <c r="A772" s="4" t="str">
        <f>HYPERLINK("https://ibp.a2mac1.com/costing(costing:projects/details/9760/assembly/8415669)","Sealing System")</f>
        <v>Sealing System</v>
      </c>
      <c r="B772">
        <v>8415669</v>
      </c>
      <c r="D772">
        <v>8415586</v>
      </c>
      <c r="F772">
        <v>1</v>
      </c>
      <c r="G772">
        <v>0</v>
      </c>
      <c r="H772">
        <v>12.811363047046486</v>
      </c>
      <c r="I772">
        <v>0</v>
      </c>
      <c r="J772" t="s">
        <v>90</v>
      </c>
      <c r="K772">
        <v>0</v>
      </c>
      <c r="L772">
        <v>12.811363047046486</v>
      </c>
      <c r="M772">
        <v>0</v>
      </c>
      <c r="N772">
        <v>0</v>
      </c>
      <c r="O772">
        <v>12.811363047046486</v>
      </c>
      <c r="P772" t="s">
        <v>90</v>
      </c>
      <c r="Q772">
        <v>0</v>
      </c>
      <c r="R772" t="s">
        <v>90</v>
      </c>
      <c r="S772">
        <v>0</v>
      </c>
      <c r="T772" t="s">
        <v>90</v>
      </c>
      <c r="U772">
        <v>0</v>
      </c>
      <c r="V772" t="s">
        <v>90</v>
      </c>
      <c r="W772">
        <v>0</v>
      </c>
      <c r="X772" t="s">
        <v>90</v>
      </c>
      <c r="Y772">
        <v>0</v>
      </c>
      <c r="Z772">
        <v>12.811363047046486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L772">
        <v>2.5455999999999999</v>
      </c>
      <c r="AN772" t="s">
        <v>185</v>
      </c>
      <c r="AO772" t="s">
        <v>73</v>
      </c>
      <c r="AP772">
        <v>200000</v>
      </c>
      <c r="AQ772" t="s">
        <v>73</v>
      </c>
      <c r="AS772">
        <v>10000</v>
      </c>
      <c r="AT772" t="s">
        <v>6358</v>
      </c>
      <c r="AU772" t="s">
        <v>75</v>
      </c>
      <c r="AV772" t="s">
        <v>76</v>
      </c>
    </row>
    <row r="773" spans="1:48" x14ac:dyDescent="0.15">
      <c r="A773" s="4" t="str">
        <f>HYPERLINK("https://ibp.a2mac1.com/costing(costing:projects/details/9760/assembly/8415970)","Window Regulator Motor")</f>
        <v>Window Regulator Motor</v>
      </c>
      <c r="B773">
        <v>8415970</v>
      </c>
      <c r="D773">
        <v>8415670</v>
      </c>
      <c r="F773">
        <v>1</v>
      </c>
      <c r="G773">
        <v>0</v>
      </c>
      <c r="H773">
        <v>6.8191527621095007</v>
      </c>
      <c r="I773">
        <v>3.4267099307082917E-2</v>
      </c>
      <c r="J773" t="s">
        <v>176</v>
      </c>
      <c r="K773">
        <v>0.23867034667383252</v>
      </c>
      <c r="L773">
        <v>7.0920902080904158</v>
      </c>
      <c r="M773">
        <v>0</v>
      </c>
      <c r="N773">
        <v>0.60734430719757238</v>
      </c>
      <c r="O773">
        <v>7.6994345152879884</v>
      </c>
      <c r="P773" t="s">
        <v>177</v>
      </c>
      <c r="Q773">
        <v>0.42552541248542497</v>
      </c>
      <c r="R773" t="s">
        <v>177</v>
      </c>
      <c r="S773">
        <v>3.6440658431854338E-2</v>
      </c>
      <c r="T773" t="s">
        <v>178</v>
      </c>
      <c r="U773">
        <v>0.92393214183455863</v>
      </c>
      <c r="V773" t="s">
        <v>90</v>
      </c>
      <c r="W773">
        <v>0</v>
      </c>
      <c r="X773" t="s">
        <v>90</v>
      </c>
      <c r="Y773">
        <v>0</v>
      </c>
      <c r="Z773">
        <v>9.0853327280398268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50</v>
      </c>
      <c r="AI773">
        <v>195</v>
      </c>
      <c r="AJ773">
        <v>130</v>
      </c>
      <c r="AL773">
        <v>0.61699999999999999</v>
      </c>
      <c r="AN773" t="s">
        <v>365</v>
      </c>
      <c r="AO773" t="s">
        <v>73</v>
      </c>
      <c r="AP773">
        <v>200000</v>
      </c>
      <c r="AQ773" t="s">
        <v>97</v>
      </c>
      <c r="AS773">
        <v>10000</v>
      </c>
      <c r="AT773" t="s">
        <v>6362</v>
      </c>
      <c r="AU773" t="s">
        <v>75</v>
      </c>
      <c r="AV773" t="s">
        <v>76</v>
      </c>
    </row>
    <row r="774" spans="1:48" x14ac:dyDescent="0.15">
      <c r="A774" s="4" t="str">
        <f>HYPERLINK("https://ibp.a2mac1.com/costing(costing:projects/details/9760/assembly/8415971)","Window")</f>
        <v>Window</v>
      </c>
      <c r="B774">
        <v>8415971</v>
      </c>
      <c r="D774">
        <v>8415670</v>
      </c>
      <c r="E774" t="e">
        <v>#VALUE!</v>
      </c>
      <c r="F774">
        <v>1</v>
      </c>
      <c r="G774">
        <v>0</v>
      </c>
      <c r="H774">
        <v>19.292160391320792</v>
      </c>
      <c r="I774">
        <v>9.6945529604627087E-2</v>
      </c>
      <c r="J774" t="s">
        <v>176</v>
      </c>
      <c r="K774">
        <v>0.67522561369622769</v>
      </c>
      <c r="L774">
        <v>20.064331534621648</v>
      </c>
      <c r="M774">
        <v>0</v>
      </c>
      <c r="N774">
        <v>0</v>
      </c>
      <c r="O774">
        <v>20.064331534621648</v>
      </c>
      <c r="P774" t="s">
        <v>177</v>
      </c>
      <c r="Q774">
        <v>1.2038598920772987</v>
      </c>
      <c r="R774" t="s">
        <v>177</v>
      </c>
      <c r="S774">
        <v>0</v>
      </c>
      <c r="T774" t="s">
        <v>178</v>
      </c>
      <c r="U774">
        <v>2.4077197841545974</v>
      </c>
      <c r="V774" t="s">
        <v>90</v>
      </c>
      <c r="W774">
        <v>0</v>
      </c>
      <c r="X774" t="s">
        <v>90</v>
      </c>
      <c r="Y774">
        <v>0</v>
      </c>
      <c r="Z774">
        <v>23.675911210853542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810</v>
      </c>
      <c r="AJ774">
        <v>565</v>
      </c>
      <c r="AK774">
        <v>0</v>
      </c>
      <c r="AL774">
        <v>4.26</v>
      </c>
      <c r="AN774" t="s">
        <v>5305</v>
      </c>
      <c r="AO774" t="s">
        <v>73</v>
      </c>
      <c r="AP774">
        <v>200000</v>
      </c>
      <c r="AQ774" t="s">
        <v>97</v>
      </c>
      <c r="AS774">
        <v>10000</v>
      </c>
      <c r="AT774" t="s">
        <v>6366</v>
      </c>
      <c r="AU774" t="s">
        <v>75</v>
      </c>
      <c r="AV774" t="s">
        <v>76</v>
      </c>
    </row>
    <row r="775" spans="1:48" x14ac:dyDescent="0.15">
      <c r="A775" s="4" t="str">
        <f>HYPERLINK("https://ibp.a2mac1.com/costing(costing:projects/details/9760/assembly/8415670)","Window System")</f>
        <v>Window System</v>
      </c>
      <c r="B775">
        <v>8415670</v>
      </c>
      <c r="D775">
        <v>8415586</v>
      </c>
      <c r="F775">
        <v>1</v>
      </c>
      <c r="G775">
        <v>0</v>
      </c>
      <c r="H775">
        <v>40.361243938893367</v>
      </c>
      <c r="I775">
        <v>0</v>
      </c>
      <c r="J775" t="s">
        <v>90</v>
      </c>
      <c r="K775">
        <v>0</v>
      </c>
      <c r="L775">
        <v>40.361243938893367</v>
      </c>
      <c r="M775">
        <v>0</v>
      </c>
      <c r="N775">
        <v>0</v>
      </c>
      <c r="O775">
        <v>40.361243938893367</v>
      </c>
      <c r="P775" t="s">
        <v>90</v>
      </c>
      <c r="Q775">
        <v>0</v>
      </c>
      <c r="R775" t="s">
        <v>90</v>
      </c>
      <c r="S775">
        <v>0</v>
      </c>
      <c r="T775" t="s">
        <v>90</v>
      </c>
      <c r="U775">
        <v>0</v>
      </c>
      <c r="V775" t="s">
        <v>90</v>
      </c>
      <c r="W775">
        <v>0</v>
      </c>
      <c r="X775" t="s">
        <v>90</v>
      </c>
      <c r="Y775">
        <v>0</v>
      </c>
      <c r="Z775">
        <v>40.361243938893367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L775">
        <v>5.9469000000000003</v>
      </c>
      <c r="AN775" t="s">
        <v>185</v>
      </c>
      <c r="AO775" t="s">
        <v>73</v>
      </c>
      <c r="AP775">
        <v>200000</v>
      </c>
      <c r="AQ775" t="s">
        <v>73</v>
      </c>
      <c r="AS775">
        <v>10000</v>
      </c>
      <c r="AT775" t="s">
        <v>6368</v>
      </c>
      <c r="AU775" t="s">
        <v>75</v>
      </c>
      <c r="AV775" t="s">
        <v>76</v>
      </c>
    </row>
    <row r="776" spans="1:48" x14ac:dyDescent="0.15">
      <c r="A776" s="4" t="str">
        <f>HYPERLINK("https://ibp.a2mac1.com/costing(costing:projects/details/9760/assembly/8415974)","Interior Side")</f>
        <v>Interior Side</v>
      </c>
      <c r="B776">
        <v>8415974</v>
      </c>
      <c r="D776">
        <v>8415671</v>
      </c>
      <c r="F776">
        <v>1</v>
      </c>
      <c r="G776">
        <v>0</v>
      </c>
      <c r="H776">
        <v>1.9059355191261327</v>
      </c>
      <c r="I776">
        <v>0</v>
      </c>
      <c r="J776" t="s">
        <v>90</v>
      </c>
      <c r="K776">
        <v>0</v>
      </c>
      <c r="L776">
        <v>1.9059355191261327</v>
      </c>
      <c r="M776">
        <v>0</v>
      </c>
      <c r="N776">
        <v>0</v>
      </c>
      <c r="O776">
        <v>1.9059355191261327</v>
      </c>
      <c r="P776" t="s">
        <v>90</v>
      </c>
      <c r="Q776">
        <v>0</v>
      </c>
      <c r="R776" t="s">
        <v>90</v>
      </c>
      <c r="S776">
        <v>0</v>
      </c>
      <c r="T776" t="s">
        <v>90</v>
      </c>
      <c r="U776">
        <v>0</v>
      </c>
      <c r="V776" t="s">
        <v>90</v>
      </c>
      <c r="W776">
        <v>0</v>
      </c>
      <c r="X776" t="s">
        <v>90</v>
      </c>
      <c r="Y776">
        <v>0</v>
      </c>
      <c r="Z776">
        <v>1.9059355191261327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L776">
        <v>0.112</v>
      </c>
      <c r="AN776" t="s">
        <v>185</v>
      </c>
      <c r="AO776" t="s">
        <v>73</v>
      </c>
      <c r="AP776">
        <v>200000</v>
      </c>
      <c r="AQ776" t="s">
        <v>97</v>
      </c>
      <c r="AS776">
        <v>10000</v>
      </c>
      <c r="AT776" t="s">
        <v>6385</v>
      </c>
      <c r="AU776" t="s">
        <v>75</v>
      </c>
      <c r="AV776" t="s">
        <v>76</v>
      </c>
    </row>
    <row r="777" spans="1:48" x14ac:dyDescent="0.15">
      <c r="A777" s="4" t="str">
        <f>HYPERLINK("https://ibp.a2mac1.com/costing(costing:projects/details/9760/assembly/8415975)","Exterior side")</f>
        <v>Exterior side</v>
      </c>
      <c r="B777">
        <v>8415975</v>
      </c>
      <c r="D777">
        <v>8415671</v>
      </c>
      <c r="E777" t="s">
        <v>5485</v>
      </c>
      <c r="F777">
        <v>1</v>
      </c>
      <c r="G777">
        <v>0</v>
      </c>
      <c r="H777">
        <v>5.4881850254329683</v>
      </c>
      <c r="I777">
        <v>0</v>
      </c>
      <c r="J777" t="s">
        <v>90</v>
      </c>
      <c r="K777">
        <v>0</v>
      </c>
      <c r="L777">
        <v>5.4881850254329683</v>
      </c>
      <c r="M777">
        <v>0</v>
      </c>
      <c r="N777">
        <v>0</v>
      </c>
      <c r="O777">
        <v>5.4881850254329683</v>
      </c>
      <c r="P777" t="s">
        <v>90</v>
      </c>
      <c r="Q777">
        <v>0</v>
      </c>
      <c r="R777" t="s">
        <v>90</v>
      </c>
      <c r="S777">
        <v>0</v>
      </c>
      <c r="T777" t="s">
        <v>90</v>
      </c>
      <c r="U777">
        <v>0</v>
      </c>
      <c r="V777" t="s">
        <v>90</v>
      </c>
      <c r="W777">
        <v>0</v>
      </c>
      <c r="X777" t="s">
        <v>90</v>
      </c>
      <c r="Y777">
        <v>0</v>
      </c>
      <c r="Z777">
        <v>5.4881850254329683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L777">
        <v>0.53010000000000002</v>
      </c>
      <c r="AN777" t="s">
        <v>185</v>
      </c>
      <c r="AO777" t="s">
        <v>73</v>
      </c>
      <c r="AP777">
        <v>200000</v>
      </c>
      <c r="AQ777" t="s">
        <v>97</v>
      </c>
      <c r="AS777">
        <v>10000</v>
      </c>
      <c r="AT777" t="s">
        <v>6410</v>
      </c>
      <c r="AU777" t="s">
        <v>75</v>
      </c>
      <c r="AV777" t="s">
        <v>76</v>
      </c>
    </row>
    <row r="778" spans="1:48" x14ac:dyDescent="0.15">
      <c r="A778" s="4" t="str">
        <f>HYPERLINK("https://ibp.a2mac1.com/costing(costing:projects/details/9760/assembly/8415976)","Locking System")</f>
        <v>Locking System</v>
      </c>
      <c r="B778">
        <v>8415976</v>
      </c>
      <c r="D778">
        <v>8415671</v>
      </c>
      <c r="F778">
        <v>1</v>
      </c>
      <c r="G778">
        <v>0</v>
      </c>
      <c r="H778">
        <v>3.65</v>
      </c>
      <c r="I778">
        <v>1.8341708542713567E-2</v>
      </c>
      <c r="J778" t="s">
        <v>176</v>
      </c>
      <c r="K778">
        <v>0.12775</v>
      </c>
      <c r="L778">
        <v>3.7960917085427135</v>
      </c>
      <c r="M778">
        <v>0</v>
      </c>
      <c r="N778">
        <v>0</v>
      </c>
      <c r="O778">
        <v>3.7960917085427135</v>
      </c>
      <c r="P778" t="s">
        <v>177</v>
      </c>
      <c r="Q778">
        <v>0.22776550251256281</v>
      </c>
      <c r="R778" t="s">
        <v>177</v>
      </c>
      <c r="S778">
        <v>0</v>
      </c>
      <c r="T778" t="s">
        <v>178</v>
      </c>
      <c r="U778">
        <v>0.45553100502512561</v>
      </c>
      <c r="V778" t="s">
        <v>90</v>
      </c>
      <c r="W778">
        <v>0</v>
      </c>
      <c r="X778" t="s">
        <v>90</v>
      </c>
      <c r="Y778">
        <v>0</v>
      </c>
      <c r="Z778">
        <v>4.4793882160804017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L778">
        <v>0.86990000000000001</v>
      </c>
      <c r="AN778" t="s">
        <v>5305</v>
      </c>
      <c r="AO778" t="s">
        <v>73</v>
      </c>
      <c r="AP778">
        <v>200000</v>
      </c>
      <c r="AQ778" t="s">
        <v>97</v>
      </c>
      <c r="AS778">
        <v>10000</v>
      </c>
      <c r="AT778" t="s">
        <v>6413</v>
      </c>
      <c r="AU778" t="s">
        <v>75</v>
      </c>
      <c r="AV778" t="s">
        <v>76</v>
      </c>
    </row>
    <row r="779" spans="1:48" x14ac:dyDescent="0.15">
      <c r="A779" s="4" t="str">
        <f>HYPERLINK("https://ibp.a2mac1.com/costing(costing:projects/details/9760/assembly/8415671)","Door Mechanism")</f>
        <v>Door Mechanism</v>
      </c>
      <c r="B779">
        <v>8415671</v>
      </c>
      <c r="D779">
        <v>8415586</v>
      </c>
      <c r="F779">
        <v>1</v>
      </c>
      <c r="G779">
        <v>0</v>
      </c>
      <c r="H779">
        <v>21.786828345661164</v>
      </c>
      <c r="I779">
        <v>0</v>
      </c>
      <c r="J779" t="s">
        <v>90</v>
      </c>
      <c r="K779">
        <v>0</v>
      </c>
      <c r="L779">
        <v>21.786828345661164</v>
      </c>
      <c r="M779">
        <v>0</v>
      </c>
      <c r="N779">
        <v>0.21945668007767058</v>
      </c>
      <c r="O779">
        <v>22.006285025738833</v>
      </c>
      <c r="P779" t="s">
        <v>90</v>
      </c>
      <c r="Q779">
        <v>0</v>
      </c>
      <c r="R779" t="s">
        <v>90</v>
      </c>
      <c r="S779">
        <v>0</v>
      </c>
      <c r="T779" t="s">
        <v>90</v>
      </c>
      <c r="U779">
        <v>0</v>
      </c>
      <c r="V779" t="s">
        <v>90</v>
      </c>
      <c r="W779">
        <v>0</v>
      </c>
      <c r="X779" t="s">
        <v>90</v>
      </c>
      <c r="Y779">
        <v>0</v>
      </c>
      <c r="Z779">
        <v>22.006285025738833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L779">
        <v>1.645</v>
      </c>
      <c r="AN779" t="s">
        <v>185</v>
      </c>
      <c r="AO779" t="s">
        <v>73</v>
      </c>
      <c r="AP779">
        <v>200000</v>
      </c>
      <c r="AQ779" t="s">
        <v>73</v>
      </c>
      <c r="AS779">
        <v>10000</v>
      </c>
      <c r="AT779" t="s">
        <v>6422</v>
      </c>
      <c r="AU779" t="s">
        <v>75</v>
      </c>
      <c r="AV779" t="s">
        <v>76</v>
      </c>
    </row>
    <row r="780" spans="1:48" x14ac:dyDescent="0.15">
      <c r="A780" s="4" t="str">
        <f>HYPERLINK("https://ibp.a2mac1.com/costing(costing:projects/details/9760/assembly/8415986)","Inner Door Handle")</f>
        <v>Inner Door Handle</v>
      </c>
      <c r="B780">
        <v>8415986</v>
      </c>
      <c r="D780">
        <v>8415672</v>
      </c>
      <c r="F780">
        <v>1</v>
      </c>
      <c r="G780">
        <v>0</v>
      </c>
      <c r="H780">
        <v>2.7595688261947782</v>
      </c>
      <c r="I780">
        <v>0</v>
      </c>
      <c r="J780" t="s">
        <v>90</v>
      </c>
      <c r="K780">
        <v>0</v>
      </c>
      <c r="L780">
        <v>2.7595688261947782</v>
      </c>
      <c r="M780">
        <v>0</v>
      </c>
      <c r="N780">
        <v>0</v>
      </c>
      <c r="O780">
        <v>2.7595688261947782</v>
      </c>
      <c r="P780" t="s">
        <v>90</v>
      </c>
      <c r="Q780">
        <v>0</v>
      </c>
      <c r="R780" t="s">
        <v>90</v>
      </c>
      <c r="S780">
        <v>0</v>
      </c>
      <c r="T780" t="s">
        <v>90</v>
      </c>
      <c r="U780">
        <v>0</v>
      </c>
      <c r="V780" t="s">
        <v>90</v>
      </c>
      <c r="W780">
        <v>0</v>
      </c>
      <c r="X780" t="s">
        <v>90</v>
      </c>
      <c r="Y780">
        <v>0</v>
      </c>
      <c r="Z780">
        <v>2.7595688261947782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L780">
        <v>0.30520000000000003</v>
      </c>
      <c r="AN780" t="s">
        <v>185</v>
      </c>
      <c r="AO780" t="s">
        <v>73</v>
      </c>
      <c r="AP780">
        <v>200000</v>
      </c>
      <c r="AQ780" t="s">
        <v>73</v>
      </c>
      <c r="AS780">
        <v>10000</v>
      </c>
      <c r="AT780" t="s">
        <v>6431</v>
      </c>
      <c r="AU780" t="s">
        <v>75</v>
      </c>
      <c r="AV780" t="s">
        <v>76</v>
      </c>
    </row>
    <row r="781" spans="1:48" x14ac:dyDescent="0.15">
      <c r="A781" s="4" t="str">
        <f>HYPERLINK("https://ibp.a2mac1.com/costing(costing:projects/details/9760/assembly/8415987)","Speaker Grille System")</f>
        <v>Speaker Grille System</v>
      </c>
      <c r="B781">
        <v>8415987</v>
      </c>
      <c r="D781">
        <v>8415672</v>
      </c>
      <c r="F781">
        <v>1</v>
      </c>
      <c r="G781">
        <v>0</v>
      </c>
      <c r="H781">
        <v>1.4295543177411858</v>
      </c>
      <c r="I781">
        <v>0</v>
      </c>
      <c r="J781" t="s">
        <v>90</v>
      </c>
      <c r="K781">
        <v>0</v>
      </c>
      <c r="L781">
        <v>1.4295543177411858</v>
      </c>
      <c r="M781">
        <v>0</v>
      </c>
      <c r="N781">
        <v>0</v>
      </c>
      <c r="O781">
        <v>1.4295543177411858</v>
      </c>
      <c r="P781" t="s">
        <v>90</v>
      </c>
      <c r="Q781">
        <v>0</v>
      </c>
      <c r="R781" t="s">
        <v>90</v>
      </c>
      <c r="S781">
        <v>0</v>
      </c>
      <c r="T781" t="s">
        <v>90</v>
      </c>
      <c r="U781">
        <v>0</v>
      </c>
      <c r="V781" t="s">
        <v>90</v>
      </c>
      <c r="W781">
        <v>0</v>
      </c>
      <c r="X781" t="s">
        <v>90</v>
      </c>
      <c r="Y781">
        <v>0</v>
      </c>
      <c r="Z781">
        <v>1.4295543177411858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L781">
        <v>0.17699999999999999</v>
      </c>
      <c r="AN781" t="s">
        <v>185</v>
      </c>
      <c r="AO781" t="s">
        <v>73</v>
      </c>
      <c r="AP781">
        <v>200000</v>
      </c>
      <c r="AQ781" t="s">
        <v>73</v>
      </c>
      <c r="AS781">
        <v>10000</v>
      </c>
      <c r="AT781" t="s">
        <v>6448</v>
      </c>
      <c r="AU781" t="s">
        <v>75</v>
      </c>
      <c r="AV781" t="s">
        <v>76</v>
      </c>
    </row>
    <row r="782" spans="1:48" x14ac:dyDescent="0.15">
      <c r="A782" s="4" t="str">
        <f>HYPERLINK("https://ibp.a2mac1.com/costing(costing:projects/details/9760/assembly/8415672)","Door Panel")</f>
        <v>Door Panel</v>
      </c>
      <c r="B782">
        <v>8415672</v>
      </c>
      <c r="D782">
        <v>8415586</v>
      </c>
      <c r="F782">
        <v>1</v>
      </c>
      <c r="G782">
        <v>0</v>
      </c>
      <c r="H782">
        <v>22.749670306887726</v>
      </c>
      <c r="I782">
        <v>0.1143199512908931</v>
      </c>
      <c r="J782" t="s">
        <v>176</v>
      </c>
      <c r="K782">
        <v>0.79623846074107052</v>
      </c>
      <c r="L782">
        <v>23.66022871891969</v>
      </c>
      <c r="M782">
        <v>0</v>
      </c>
      <c r="N782">
        <v>0</v>
      </c>
      <c r="O782">
        <v>23.66022871891969</v>
      </c>
      <c r="P782" t="s">
        <v>177</v>
      </c>
      <c r="Q782">
        <v>1.4196137231351815</v>
      </c>
      <c r="R782" t="s">
        <v>177</v>
      </c>
      <c r="S782">
        <v>0</v>
      </c>
      <c r="T782" t="s">
        <v>178</v>
      </c>
      <c r="U782">
        <v>2.8392274462703631</v>
      </c>
      <c r="V782" t="s">
        <v>90</v>
      </c>
      <c r="W782">
        <v>0</v>
      </c>
      <c r="X782" t="s">
        <v>90</v>
      </c>
      <c r="Y782">
        <v>0</v>
      </c>
      <c r="Z782">
        <v>27.919069888325236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130</v>
      </c>
      <c r="AI782">
        <v>865</v>
      </c>
      <c r="AJ782">
        <v>615</v>
      </c>
      <c r="AL782">
        <v>3.2841999999999998</v>
      </c>
      <c r="AN782" t="s">
        <v>772</v>
      </c>
      <c r="AO782" t="s">
        <v>73</v>
      </c>
      <c r="AP782">
        <v>200000</v>
      </c>
      <c r="AQ782" t="s">
        <v>97</v>
      </c>
      <c r="AS782">
        <v>10000</v>
      </c>
      <c r="AT782" t="s">
        <v>6476</v>
      </c>
      <c r="AU782" t="s">
        <v>75</v>
      </c>
      <c r="AV782" t="s">
        <v>76</v>
      </c>
    </row>
    <row r="783" spans="1:48" x14ac:dyDescent="0.15">
      <c r="A783" s="4" t="str">
        <f>HYPERLINK("https://ibp.a2mac1.com/costing(costing:projects/details/9760/assembly/8416324)","Housing")</f>
        <v>Housing</v>
      </c>
      <c r="B783">
        <v>8416324</v>
      </c>
      <c r="D783">
        <v>8415988</v>
      </c>
      <c r="F783">
        <v>1</v>
      </c>
      <c r="G783">
        <v>0</v>
      </c>
      <c r="H783">
        <v>4.3240849280910556</v>
      </c>
      <c r="I783">
        <v>0</v>
      </c>
      <c r="J783" t="s">
        <v>90</v>
      </c>
      <c r="K783">
        <v>0</v>
      </c>
      <c r="L783">
        <v>4.3240849280910556</v>
      </c>
      <c r="M783">
        <v>0</v>
      </c>
      <c r="N783">
        <v>0</v>
      </c>
      <c r="O783">
        <v>4.3240849280910556</v>
      </c>
      <c r="P783" t="s">
        <v>90</v>
      </c>
      <c r="Q783">
        <v>0</v>
      </c>
      <c r="R783" t="s">
        <v>90</v>
      </c>
      <c r="S783">
        <v>0</v>
      </c>
      <c r="T783" t="s">
        <v>90</v>
      </c>
      <c r="U783">
        <v>0</v>
      </c>
      <c r="V783" t="s">
        <v>90</v>
      </c>
      <c r="W783">
        <v>0</v>
      </c>
      <c r="X783" t="s">
        <v>90</v>
      </c>
      <c r="Y783">
        <v>0</v>
      </c>
      <c r="Z783">
        <v>4.3240849280910556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L783">
        <v>3.23</v>
      </c>
      <c r="AN783" t="s">
        <v>185</v>
      </c>
      <c r="AO783" t="s">
        <v>73</v>
      </c>
      <c r="AP783">
        <v>200000</v>
      </c>
      <c r="AQ783" t="s">
        <v>73</v>
      </c>
      <c r="AS783">
        <v>10000</v>
      </c>
      <c r="AT783" t="s">
        <v>6482</v>
      </c>
      <c r="AU783" t="s">
        <v>75</v>
      </c>
      <c r="AV783" t="s">
        <v>76</v>
      </c>
    </row>
    <row r="784" spans="1:48" x14ac:dyDescent="0.15">
      <c r="A784" s="4" t="str">
        <f>HYPERLINK("https://ibp.a2mac1.com/costing(costing:projects/details/9760/assembly/8416325)","Reinforcements")</f>
        <v>Reinforcements</v>
      </c>
      <c r="B784">
        <v>8416325</v>
      </c>
      <c r="D784">
        <v>8415988</v>
      </c>
      <c r="F784">
        <v>1</v>
      </c>
      <c r="G784">
        <v>0</v>
      </c>
      <c r="H784">
        <v>1.8115842241980529</v>
      </c>
      <c r="I784">
        <v>0</v>
      </c>
      <c r="J784" t="s">
        <v>90</v>
      </c>
      <c r="K784">
        <v>0</v>
      </c>
      <c r="L784">
        <v>1.8115842241980529</v>
      </c>
      <c r="M784">
        <v>0</v>
      </c>
      <c r="N784">
        <v>0</v>
      </c>
      <c r="O784">
        <v>1.8115842241980529</v>
      </c>
      <c r="P784" t="s">
        <v>90</v>
      </c>
      <c r="Q784">
        <v>0</v>
      </c>
      <c r="R784" t="s">
        <v>90</v>
      </c>
      <c r="S784">
        <v>0</v>
      </c>
      <c r="T784" t="s">
        <v>90</v>
      </c>
      <c r="U784">
        <v>0</v>
      </c>
      <c r="V784" t="s">
        <v>90</v>
      </c>
      <c r="W784">
        <v>0</v>
      </c>
      <c r="X784" t="s">
        <v>90</v>
      </c>
      <c r="Y784">
        <v>0</v>
      </c>
      <c r="Z784">
        <v>1.8115842241980529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L784">
        <v>1.585</v>
      </c>
      <c r="AN784" t="s">
        <v>185</v>
      </c>
      <c r="AO784" t="s">
        <v>73</v>
      </c>
      <c r="AP784">
        <v>200000</v>
      </c>
      <c r="AQ784" t="s">
        <v>97</v>
      </c>
      <c r="AS784">
        <v>10000</v>
      </c>
      <c r="AT784" t="s">
        <v>6492</v>
      </c>
      <c r="AU784" t="s">
        <v>75</v>
      </c>
      <c r="AV784" t="s">
        <v>76</v>
      </c>
    </row>
    <row r="785" spans="1:48" x14ac:dyDescent="0.15">
      <c r="A785" s="4" t="str">
        <f>HYPERLINK("https://ibp.a2mac1.com/costing(costing:projects/details/9760/assembly/8416557)","Front")</f>
        <v>Front</v>
      </c>
      <c r="B785">
        <v>8416557</v>
      </c>
      <c r="D785">
        <v>8416326</v>
      </c>
      <c r="F785">
        <v>1</v>
      </c>
      <c r="G785">
        <v>0</v>
      </c>
      <c r="H785">
        <v>0.11294343397472158</v>
      </c>
      <c r="I785">
        <v>0</v>
      </c>
      <c r="J785" t="s">
        <v>90</v>
      </c>
      <c r="K785">
        <v>0</v>
      </c>
      <c r="L785">
        <v>0.11294343397472158</v>
      </c>
      <c r="M785">
        <v>0</v>
      </c>
      <c r="N785">
        <v>0</v>
      </c>
      <c r="O785">
        <v>0.11294343397472158</v>
      </c>
      <c r="P785" t="s">
        <v>90</v>
      </c>
      <c r="Q785">
        <v>0</v>
      </c>
      <c r="R785" t="s">
        <v>90</v>
      </c>
      <c r="S785">
        <v>0</v>
      </c>
      <c r="T785" t="s">
        <v>90</v>
      </c>
      <c r="U785">
        <v>0</v>
      </c>
      <c r="V785" t="s">
        <v>90</v>
      </c>
      <c r="W785">
        <v>0</v>
      </c>
      <c r="X785" t="s">
        <v>90</v>
      </c>
      <c r="Y785">
        <v>0</v>
      </c>
      <c r="Z785">
        <v>0.11294343397472158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L785">
        <v>0.09</v>
      </c>
      <c r="AN785" t="s">
        <v>185</v>
      </c>
      <c r="AO785" t="s">
        <v>73</v>
      </c>
      <c r="AP785">
        <v>200000</v>
      </c>
      <c r="AQ785" t="s">
        <v>97</v>
      </c>
      <c r="AS785">
        <v>10000</v>
      </c>
      <c r="AT785" t="s">
        <v>6499</v>
      </c>
      <c r="AU785" t="s">
        <v>75</v>
      </c>
      <c r="AV785" t="s">
        <v>76</v>
      </c>
    </row>
    <row r="786" spans="1:48" x14ac:dyDescent="0.15">
      <c r="A786" s="4" t="str">
        <f>HYPERLINK("https://ibp.a2mac1.com/costing(costing:projects/details/9760/assembly/8416326)","Fixing parts")</f>
        <v>Fixing parts</v>
      </c>
      <c r="B786">
        <v>8416326</v>
      </c>
      <c r="D786">
        <v>8415988</v>
      </c>
      <c r="F786">
        <v>1</v>
      </c>
      <c r="G786">
        <v>0</v>
      </c>
      <c r="H786">
        <v>0.11294343397472158</v>
      </c>
      <c r="I786">
        <v>0</v>
      </c>
      <c r="J786" t="s">
        <v>90</v>
      </c>
      <c r="K786">
        <v>0</v>
      </c>
      <c r="L786">
        <v>0.11294343397472158</v>
      </c>
      <c r="M786">
        <v>0</v>
      </c>
      <c r="N786">
        <v>0</v>
      </c>
      <c r="O786">
        <v>0.11294343397472158</v>
      </c>
      <c r="P786" t="s">
        <v>90</v>
      </c>
      <c r="Q786">
        <v>0</v>
      </c>
      <c r="R786" t="s">
        <v>90</v>
      </c>
      <c r="S786">
        <v>0</v>
      </c>
      <c r="T786" t="s">
        <v>90</v>
      </c>
      <c r="U786">
        <v>0</v>
      </c>
      <c r="V786" t="s">
        <v>90</v>
      </c>
      <c r="W786">
        <v>0</v>
      </c>
      <c r="X786" t="s">
        <v>90</v>
      </c>
      <c r="Y786">
        <v>0</v>
      </c>
      <c r="Z786">
        <v>0.11294343397472158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L786">
        <v>0.09</v>
      </c>
      <c r="AN786" t="s">
        <v>185</v>
      </c>
      <c r="AO786" t="s">
        <v>73</v>
      </c>
      <c r="AP786">
        <v>200000</v>
      </c>
      <c r="AQ786" t="s">
        <v>97</v>
      </c>
      <c r="AS786">
        <v>10000</v>
      </c>
      <c r="AT786" t="s">
        <v>6500</v>
      </c>
      <c r="AU786" t="s">
        <v>75</v>
      </c>
      <c r="AV786" t="s">
        <v>76</v>
      </c>
    </row>
    <row r="787" spans="1:48" x14ac:dyDescent="0.15">
      <c r="A787" s="4" t="str">
        <f>HYPERLINK("https://ibp.a2mac1.com/costing(costing:projects/details/9760/assembly/8415988)","Housing assy")</f>
        <v>Housing assy</v>
      </c>
      <c r="B787">
        <v>8415988</v>
      </c>
      <c r="D787">
        <v>8415676</v>
      </c>
      <c r="F787">
        <v>1</v>
      </c>
      <c r="G787">
        <v>0</v>
      </c>
      <c r="H787">
        <v>6.24861258626383</v>
      </c>
      <c r="I787">
        <v>0</v>
      </c>
      <c r="J787" t="s">
        <v>90</v>
      </c>
      <c r="K787">
        <v>0</v>
      </c>
      <c r="L787">
        <v>6.24861258626383</v>
      </c>
      <c r="M787">
        <v>0</v>
      </c>
      <c r="N787">
        <v>0</v>
      </c>
      <c r="O787">
        <v>6.24861258626383</v>
      </c>
      <c r="P787" t="s">
        <v>90</v>
      </c>
      <c r="Q787">
        <v>0</v>
      </c>
      <c r="R787" t="s">
        <v>90</v>
      </c>
      <c r="S787">
        <v>0</v>
      </c>
      <c r="T787" t="s">
        <v>90</v>
      </c>
      <c r="U787">
        <v>0</v>
      </c>
      <c r="V787" t="s">
        <v>90</v>
      </c>
      <c r="W787">
        <v>0</v>
      </c>
      <c r="X787" t="s">
        <v>90</v>
      </c>
      <c r="Y787">
        <v>0</v>
      </c>
      <c r="Z787">
        <v>6.24861258626383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L787">
        <v>4.9050000000000002</v>
      </c>
      <c r="AN787" t="s">
        <v>185</v>
      </c>
      <c r="AO787" t="s">
        <v>73</v>
      </c>
      <c r="AP787">
        <v>200000</v>
      </c>
      <c r="AQ787" t="s">
        <v>97</v>
      </c>
      <c r="AS787">
        <v>10000</v>
      </c>
      <c r="AT787" t="s">
        <v>6501</v>
      </c>
      <c r="AU787" t="s">
        <v>75</v>
      </c>
      <c r="AV787" t="s">
        <v>76</v>
      </c>
    </row>
    <row r="788" spans="1:48" x14ac:dyDescent="0.15">
      <c r="A788" s="4" t="str">
        <f>HYPERLINK("https://ibp.a2mac1.com/costing(costing:projects/details/9760/assembly/8416558)","Beam")</f>
        <v>Beam</v>
      </c>
      <c r="B788">
        <v>8416558</v>
      </c>
      <c r="D788">
        <v>8416327</v>
      </c>
      <c r="F788">
        <v>1</v>
      </c>
      <c r="G788">
        <v>0</v>
      </c>
      <c r="H788">
        <v>1.3394148817228977</v>
      </c>
      <c r="I788">
        <v>0</v>
      </c>
      <c r="J788" t="s">
        <v>90</v>
      </c>
      <c r="K788">
        <v>0</v>
      </c>
      <c r="L788">
        <v>1.3394148817228977</v>
      </c>
      <c r="M788">
        <v>0</v>
      </c>
      <c r="N788">
        <v>0</v>
      </c>
      <c r="O788">
        <v>1.3394148817228977</v>
      </c>
      <c r="P788" t="s">
        <v>90</v>
      </c>
      <c r="Q788">
        <v>0</v>
      </c>
      <c r="R788" t="s">
        <v>90</v>
      </c>
      <c r="S788">
        <v>0</v>
      </c>
      <c r="T788" t="s">
        <v>90</v>
      </c>
      <c r="U788">
        <v>0</v>
      </c>
      <c r="V788" t="s">
        <v>90</v>
      </c>
      <c r="W788">
        <v>0</v>
      </c>
      <c r="X788" t="s">
        <v>90</v>
      </c>
      <c r="Y788">
        <v>0</v>
      </c>
      <c r="Z788">
        <v>1.3394148817228977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L788">
        <v>1.4119999999999999</v>
      </c>
      <c r="AN788" t="s">
        <v>185</v>
      </c>
      <c r="AO788" t="s">
        <v>73</v>
      </c>
      <c r="AP788">
        <v>200000</v>
      </c>
      <c r="AQ788" t="s">
        <v>97</v>
      </c>
      <c r="AS788">
        <v>10000</v>
      </c>
      <c r="AT788" t="s">
        <v>6507</v>
      </c>
      <c r="AU788" t="s">
        <v>75</v>
      </c>
      <c r="AV788" t="s">
        <v>76</v>
      </c>
    </row>
    <row r="789" spans="1:48" x14ac:dyDescent="0.15">
      <c r="A789" s="4" t="str">
        <f>HYPERLINK("https://ibp.a2mac1.com/costing(costing:projects/details/9760/assembly/8416327)","Beam 01 (single/upper)")</f>
        <v>Beam 01 (single/upper)</v>
      </c>
      <c r="B789">
        <v>8416327</v>
      </c>
      <c r="D789">
        <v>8415989</v>
      </c>
      <c r="F789">
        <v>1</v>
      </c>
      <c r="G789">
        <v>0</v>
      </c>
      <c r="H789">
        <v>1.3394148817228977</v>
      </c>
      <c r="I789">
        <v>0</v>
      </c>
      <c r="J789" t="s">
        <v>90</v>
      </c>
      <c r="K789">
        <v>0</v>
      </c>
      <c r="L789">
        <v>1.3394148817228977</v>
      </c>
      <c r="M789">
        <v>0</v>
      </c>
      <c r="N789">
        <v>0</v>
      </c>
      <c r="O789">
        <v>1.3394148817228977</v>
      </c>
      <c r="P789" t="s">
        <v>90</v>
      </c>
      <c r="Q789">
        <v>0</v>
      </c>
      <c r="R789" t="s">
        <v>90</v>
      </c>
      <c r="S789">
        <v>0</v>
      </c>
      <c r="T789" t="s">
        <v>90</v>
      </c>
      <c r="U789">
        <v>0</v>
      </c>
      <c r="V789" t="s">
        <v>90</v>
      </c>
      <c r="W789">
        <v>0</v>
      </c>
      <c r="X789" t="s">
        <v>90</v>
      </c>
      <c r="Y789">
        <v>0</v>
      </c>
      <c r="Z789">
        <v>1.3394148817228977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L789">
        <v>1.4119999999999999</v>
      </c>
      <c r="AN789" t="s">
        <v>185</v>
      </c>
      <c r="AO789" t="s">
        <v>73</v>
      </c>
      <c r="AP789">
        <v>200000</v>
      </c>
      <c r="AQ789" t="s">
        <v>97</v>
      </c>
      <c r="AS789">
        <v>10000</v>
      </c>
      <c r="AT789" t="s">
        <v>6508</v>
      </c>
      <c r="AU789" t="s">
        <v>75</v>
      </c>
      <c r="AV789" t="s">
        <v>76</v>
      </c>
    </row>
    <row r="790" spans="1:48" x14ac:dyDescent="0.15">
      <c r="A790" s="4" t="str">
        <f>HYPERLINK("https://ibp.a2mac1.com/costing(costing:projects/details/9760/assembly/8415989)","Anti-intrusion beams")</f>
        <v>Anti-intrusion beams</v>
      </c>
      <c r="B790">
        <v>8415989</v>
      </c>
      <c r="D790">
        <v>8415676</v>
      </c>
      <c r="F790">
        <v>1</v>
      </c>
      <c r="G790">
        <v>0</v>
      </c>
      <c r="H790">
        <v>1.3394148817228977</v>
      </c>
      <c r="I790">
        <v>0</v>
      </c>
      <c r="J790" t="s">
        <v>90</v>
      </c>
      <c r="K790">
        <v>0</v>
      </c>
      <c r="L790">
        <v>1.3394148817228977</v>
      </c>
      <c r="M790">
        <v>0</v>
      </c>
      <c r="N790">
        <v>0</v>
      </c>
      <c r="O790">
        <v>1.3394148817228977</v>
      </c>
      <c r="P790" t="s">
        <v>90</v>
      </c>
      <c r="Q790">
        <v>0</v>
      </c>
      <c r="R790" t="s">
        <v>90</v>
      </c>
      <c r="S790">
        <v>0</v>
      </c>
      <c r="T790" t="s">
        <v>90</v>
      </c>
      <c r="U790">
        <v>0</v>
      </c>
      <c r="V790" t="s">
        <v>90</v>
      </c>
      <c r="W790">
        <v>0</v>
      </c>
      <c r="X790" t="s">
        <v>90</v>
      </c>
      <c r="Y790">
        <v>0</v>
      </c>
      <c r="Z790">
        <v>1.3394148817228977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L790">
        <v>1.4119999999999999</v>
      </c>
      <c r="AN790" t="s">
        <v>185</v>
      </c>
      <c r="AO790" t="s">
        <v>73</v>
      </c>
      <c r="AP790">
        <v>200000</v>
      </c>
      <c r="AQ790" t="s">
        <v>97</v>
      </c>
      <c r="AS790">
        <v>10000</v>
      </c>
      <c r="AT790" t="s">
        <v>6509</v>
      </c>
      <c r="AU790" t="s">
        <v>75</v>
      </c>
      <c r="AV790" t="s">
        <v>76</v>
      </c>
    </row>
    <row r="791" spans="1:48" x14ac:dyDescent="0.15">
      <c r="A791" s="4" t="str">
        <f>HYPERLINK("https://ibp.a2mac1.com/costing(costing:projects/details/9760/assembly/8416559)","Cross member")</f>
        <v>Cross member</v>
      </c>
      <c r="B791">
        <v>8416559</v>
      </c>
      <c r="D791">
        <v>8416328</v>
      </c>
      <c r="F791">
        <v>1</v>
      </c>
      <c r="G791">
        <v>0</v>
      </c>
      <c r="H791">
        <v>1.875288026298412</v>
      </c>
      <c r="I791">
        <v>0</v>
      </c>
      <c r="J791" t="s">
        <v>90</v>
      </c>
      <c r="K791">
        <v>0</v>
      </c>
      <c r="L791">
        <v>1.875288026298412</v>
      </c>
      <c r="M791">
        <v>0</v>
      </c>
      <c r="N791">
        <v>0</v>
      </c>
      <c r="O791">
        <v>1.875288026298412</v>
      </c>
      <c r="P791" t="s">
        <v>90</v>
      </c>
      <c r="Q791">
        <v>0</v>
      </c>
      <c r="R791" t="s">
        <v>90</v>
      </c>
      <c r="S791">
        <v>0</v>
      </c>
      <c r="T791" t="s">
        <v>90</v>
      </c>
      <c r="U791">
        <v>0</v>
      </c>
      <c r="V791" t="s">
        <v>90</v>
      </c>
      <c r="W791">
        <v>0</v>
      </c>
      <c r="X791" t="s">
        <v>90</v>
      </c>
      <c r="Y791">
        <v>0</v>
      </c>
      <c r="Z791">
        <v>1.875288026298412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L791">
        <v>1.825</v>
      </c>
      <c r="AN791" t="s">
        <v>185</v>
      </c>
      <c r="AO791" t="s">
        <v>73</v>
      </c>
      <c r="AP791">
        <v>200000</v>
      </c>
      <c r="AQ791" t="s">
        <v>97</v>
      </c>
      <c r="AS791">
        <v>10000</v>
      </c>
      <c r="AT791" t="s">
        <v>6515</v>
      </c>
      <c r="AU791" t="s">
        <v>75</v>
      </c>
      <c r="AV791" t="s">
        <v>76</v>
      </c>
    </row>
    <row r="792" spans="1:48" x14ac:dyDescent="0.15">
      <c r="A792" s="4" t="str">
        <f>HYPERLINK("https://ibp.a2mac1.com/costing(costing:projects/details/9760/assembly/8416328)","Cross member 01 (outer)")</f>
        <v>Cross member 01 (outer)</v>
      </c>
      <c r="B792">
        <v>8416328</v>
      </c>
      <c r="D792">
        <v>8415990</v>
      </c>
      <c r="F792">
        <v>1</v>
      </c>
      <c r="G792">
        <v>0</v>
      </c>
      <c r="H792">
        <v>1.875288026298412</v>
      </c>
      <c r="I792">
        <v>0</v>
      </c>
      <c r="J792" t="s">
        <v>90</v>
      </c>
      <c r="K792">
        <v>0</v>
      </c>
      <c r="L792">
        <v>1.875288026298412</v>
      </c>
      <c r="M792">
        <v>0</v>
      </c>
      <c r="N792">
        <v>0</v>
      </c>
      <c r="O792">
        <v>1.875288026298412</v>
      </c>
      <c r="P792" t="s">
        <v>90</v>
      </c>
      <c r="Q792">
        <v>0</v>
      </c>
      <c r="R792" t="s">
        <v>90</v>
      </c>
      <c r="S792">
        <v>0</v>
      </c>
      <c r="T792" t="s">
        <v>90</v>
      </c>
      <c r="U792">
        <v>0</v>
      </c>
      <c r="V792" t="s">
        <v>90</v>
      </c>
      <c r="W792">
        <v>0</v>
      </c>
      <c r="X792" t="s">
        <v>90</v>
      </c>
      <c r="Y792">
        <v>0</v>
      </c>
      <c r="Z792">
        <v>1.875288026298412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L792">
        <v>1.825</v>
      </c>
      <c r="AN792" t="s">
        <v>185</v>
      </c>
      <c r="AO792" t="s">
        <v>73</v>
      </c>
      <c r="AP792">
        <v>200000</v>
      </c>
      <c r="AQ792" t="s">
        <v>97</v>
      </c>
      <c r="AS792">
        <v>10000</v>
      </c>
      <c r="AT792" t="s">
        <v>6516</v>
      </c>
      <c r="AU792" t="s">
        <v>75</v>
      </c>
      <c r="AV792" t="s">
        <v>76</v>
      </c>
    </row>
    <row r="793" spans="1:48" x14ac:dyDescent="0.15">
      <c r="A793" s="4" t="str">
        <f>HYPERLINK("https://ibp.a2mac1.com/costing(costing:projects/details/9760/assembly/8416560)","Cross member")</f>
        <v>Cross member</v>
      </c>
      <c r="B793">
        <v>8416560</v>
      </c>
      <c r="D793">
        <v>8416329</v>
      </c>
      <c r="F793">
        <v>1</v>
      </c>
      <c r="G793">
        <v>0</v>
      </c>
      <c r="H793">
        <v>0.89368895187694763</v>
      </c>
      <c r="I793">
        <v>0</v>
      </c>
      <c r="J793" t="s">
        <v>90</v>
      </c>
      <c r="K793">
        <v>0</v>
      </c>
      <c r="L793">
        <v>0.89368895187694763</v>
      </c>
      <c r="M793">
        <v>0</v>
      </c>
      <c r="N793">
        <v>0</v>
      </c>
      <c r="O793">
        <v>0.89368895187694763</v>
      </c>
      <c r="P793" t="s">
        <v>90</v>
      </c>
      <c r="Q793">
        <v>0</v>
      </c>
      <c r="R793" t="s">
        <v>90</v>
      </c>
      <c r="S793">
        <v>0</v>
      </c>
      <c r="T793" t="s">
        <v>90</v>
      </c>
      <c r="U793">
        <v>0</v>
      </c>
      <c r="V793" t="s">
        <v>90</v>
      </c>
      <c r="W793">
        <v>0</v>
      </c>
      <c r="X793" t="s">
        <v>90</v>
      </c>
      <c r="Y793">
        <v>0</v>
      </c>
      <c r="Z793">
        <v>0.89368895187694763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L793">
        <v>0.90500000000000003</v>
      </c>
      <c r="AN793" t="s">
        <v>185</v>
      </c>
      <c r="AO793" t="s">
        <v>73</v>
      </c>
      <c r="AP793">
        <v>200000</v>
      </c>
      <c r="AQ793" t="s">
        <v>97</v>
      </c>
      <c r="AS793">
        <v>10000</v>
      </c>
      <c r="AT793" t="s">
        <v>6521</v>
      </c>
      <c r="AU793" t="s">
        <v>75</v>
      </c>
      <c r="AV793" t="s">
        <v>76</v>
      </c>
    </row>
    <row r="794" spans="1:48" x14ac:dyDescent="0.15">
      <c r="A794" s="4" t="str">
        <f>HYPERLINK("https://ibp.a2mac1.com/costing(costing:projects/details/9760/assembly/8416329)","Cross member 02 (inner)")</f>
        <v>Cross member 02 (inner)</v>
      </c>
      <c r="B794">
        <v>8416329</v>
      </c>
      <c r="D794">
        <v>8415990</v>
      </c>
      <c r="F794">
        <v>1</v>
      </c>
      <c r="G794">
        <v>0</v>
      </c>
      <c r="H794">
        <v>0.89368895187694763</v>
      </c>
      <c r="I794">
        <v>0</v>
      </c>
      <c r="J794" t="s">
        <v>90</v>
      </c>
      <c r="K794">
        <v>0</v>
      </c>
      <c r="L794">
        <v>0.89368895187694763</v>
      </c>
      <c r="M794">
        <v>0</v>
      </c>
      <c r="N794">
        <v>0</v>
      </c>
      <c r="O794">
        <v>0.89368895187694763</v>
      </c>
      <c r="P794" t="s">
        <v>90</v>
      </c>
      <c r="Q794">
        <v>0</v>
      </c>
      <c r="R794" t="s">
        <v>90</v>
      </c>
      <c r="S794">
        <v>0</v>
      </c>
      <c r="T794" t="s">
        <v>90</v>
      </c>
      <c r="U794">
        <v>0</v>
      </c>
      <c r="V794" t="s">
        <v>90</v>
      </c>
      <c r="W794">
        <v>0</v>
      </c>
      <c r="X794" t="s">
        <v>90</v>
      </c>
      <c r="Y794">
        <v>0</v>
      </c>
      <c r="Z794">
        <v>0.89368895187694763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L794">
        <v>0.90500000000000003</v>
      </c>
      <c r="AN794" t="s">
        <v>185</v>
      </c>
      <c r="AO794" t="s">
        <v>73</v>
      </c>
      <c r="AP794">
        <v>200000</v>
      </c>
      <c r="AQ794" t="s">
        <v>97</v>
      </c>
      <c r="AS794">
        <v>10000</v>
      </c>
      <c r="AT794" t="s">
        <v>6522</v>
      </c>
      <c r="AU794" t="s">
        <v>75</v>
      </c>
      <c r="AV794" t="s">
        <v>76</v>
      </c>
    </row>
    <row r="795" spans="1:48" x14ac:dyDescent="0.15">
      <c r="A795" s="4" t="str">
        <f>HYPERLINK("https://ibp.a2mac1.com/costing(costing:projects/details/9760/assembly/8415990)","Top roll assy")</f>
        <v>Top roll assy</v>
      </c>
      <c r="B795">
        <v>8415990</v>
      </c>
      <c r="D795">
        <v>8415676</v>
      </c>
      <c r="F795">
        <v>1</v>
      </c>
      <c r="G795">
        <v>0</v>
      </c>
      <c r="H795">
        <v>2.7689769781753597</v>
      </c>
      <c r="I795">
        <v>0</v>
      </c>
      <c r="J795" t="s">
        <v>90</v>
      </c>
      <c r="K795">
        <v>0</v>
      </c>
      <c r="L795">
        <v>2.7689769781753597</v>
      </c>
      <c r="M795">
        <v>0</v>
      </c>
      <c r="N795">
        <v>0</v>
      </c>
      <c r="O795">
        <v>2.7689769781753597</v>
      </c>
      <c r="P795" t="s">
        <v>90</v>
      </c>
      <c r="Q795">
        <v>0</v>
      </c>
      <c r="R795" t="s">
        <v>90</v>
      </c>
      <c r="S795">
        <v>0</v>
      </c>
      <c r="T795" t="s">
        <v>90</v>
      </c>
      <c r="U795">
        <v>0</v>
      </c>
      <c r="V795" t="s">
        <v>90</v>
      </c>
      <c r="W795">
        <v>0</v>
      </c>
      <c r="X795" t="s">
        <v>90</v>
      </c>
      <c r="Y795">
        <v>0</v>
      </c>
      <c r="Z795">
        <v>2.7689769781753597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L795">
        <v>2.73</v>
      </c>
      <c r="AN795" t="s">
        <v>185</v>
      </c>
      <c r="AO795" t="s">
        <v>73</v>
      </c>
      <c r="AP795">
        <v>200000</v>
      </c>
      <c r="AQ795" t="s">
        <v>97</v>
      </c>
      <c r="AS795">
        <v>10000</v>
      </c>
      <c r="AT795" t="s">
        <v>6523</v>
      </c>
      <c r="AU795" t="s">
        <v>75</v>
      </c>
      <c r="AV795" t="s">
        <v>76</v>
      </c>
    </row>
    <row r="796" spans="1:48" x14ac:dyDescent="0.15">
      <c r="A796" s="4" t="str">
        <f>HYPERLINK("https://ibp.a2mac1.com/costing(costing:projects/details/9760/assembly/8416330)","Panel")</f>
        <v>Panel</v>
      </c>
      <c r="B796">
        <v>8416330</v>
      </c>
      <c r="D796">
        <v>8415991</v>
      </c>
      <c r="F796">
        <v>1</v>
      </c>
      <c r="G796">
        <v>0</v>
      </c>
      <c r="H796">
        <v>4.2623145760585555</v>
      </c>
      <c r="I796">
        <v>0</v>
      </c>
      <c r="J796" t="s">
        <v>90</v>
      </c>
      <c r="K796">
        <v>0</v>
      </c>
      <c r="L796">
        <v>4.2623145760585555</v>
      </c>
      <c r="M796">
        <v>0</v>
      </c>
      <c r="N796">
        <v>0</v>
      </c>
      <c r="O796">
        <v>4.2623145760585555</v>
      </c>
      <c r="P796" t="s">
        <v>90</v>
      </c>
      <c r="Q796">
        <v>0</v>
      </c>
      <c r="R796" t="s">
        <v>90</v>
      </c>
      <c r="S796">
        <v>0</v>
      </c>
      <c r="T796" t="s">
        <v>90</v>
      </c>
      <c r="U796">
        <v>0</v>
      </c>
      <c r="V796" t="s">
        <v>90</v>
      </c>
      <c r="W796">
        <v>0</v>
      </c>
      <c r="X796" t="s">
        <v>90</v>
      </c>
      <c r="Y796">
        <v>0</v>
      </c>
      <c r="Z796">
        <v>4.2623145760585555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L796">
        <v>3.7090000000000001</v>
      </c>
      <c r="AN796" t="s">
        <v>185</v>
      </c>
      <c r="AO796" t="s">
        <v>73</v>
      </c>
      <c r="AP796">
        <v>200000</v>
      </c>
      <c r="AQ796" t="s">
        <v>73</v>
      </c>
      <c r="AS796">
        <v>10000</v>
      </c>
      <c r="AT796" t="s">
        <v>6528</v>
      </c>
      <c r="AU796" t="s">
        <v>75</v>
      </c>
      <c r="AV796" t="s">
        <v>76</v>
      </c>
    </row>
    <row r="797" spans="1:48" x14ac:dyDescent="0.15">
      <c r="A797" s="4" t="str">
        <f>HYPERLINK("https://ibp.a2mac1.com/costing(costing:projects/details/9760/assembly/8415991)","Outer panel")</f>
        <v>Outer panel</v>
      </c>
      <c r="B797">
        <v>8415991</v>
      </c>
      <c r="D797">
        <v>8415676</v>
      </c>
      <c r="F797">
        <v>1</v>
      </c>
      <c r="G797">
        <v>0</v>
      </c>
      <c r="H797">
        <v>4.2623145760585555</v>
      </c>
      <c r="I797">
        <v>0</v>
      </c>
      <c r="J797" t="s">
        <v>90</v>
      </c>
      <c r="K797">
        <v>0</v>
      </c>
      <c r="L797">
        <v>4.2623145760585555</v>
      </c>
      <c r="M797">
        <v>0</v>
      </c>
      <c r="N797">
        <v>0</v>
      </c>
      <c r="O797">
        <v>4.2623145760585555</v>
      </c>
      <c r="P797" t="s">
        <v>90</v>
      </c>
      <c r="Q797">
        <v>0</v>
      </c>
      <c r="R797" t="s">
        <v>90</v>
      </c>
      <c r="S797">
        <v>0</v>
      </c>
      <c r="T797" t="s">
        <v>90</v>
      </c>
      <c r="U797">
        <v>0</v>
      </c>
      <c r="V797" t="s">
        <v>90</v>
      </c>
      <c r="W797">
        <v>0</v>
      </c>
      <c r="X797" t="s">
        <v>90</v>
      </c>
      <c r="Y797">
        <v>0</v>
      </c>
      <c r="Z797">
        <v>4.2623145760585555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L797">
        <v>3.7090000000000001</v>
      </c>
      <c r="AN797" t="s">
        <v>185</v>
      </c>
      <c r="AO797" t="s">
        <v>73</v>
      </c>
      <c r="AP797">
        <v>200000</v>
      </c>
      <c r="AQ797" t="s">
        <v>73</v>
      </c>
      <c r="AS797">
        <v>10000</v>
      </c>
      <c r="AT797" t="s">
        <v>6529</v>
      </c>
      <c r="AU797" t="s">
        <v>75</v>
      </c>
      <c r="AV797" t="s">
        <v>76</v>
      </c>
    </row>
    <row r="798" spans="1:48" x14ac:dyDescent="0.15">
      <c r="A798" s="4" t="str">
        <f>HYPERLINK("https://ibp.a2mac1.com/costing(costing:projects/details/9760/assembly/8415676)","Rear Door Left")</f>
        <v>Rear Door Left</v>
      </c>
      <c r="B798">
        <v>8415676</v>
      </c>
      <c r="D798">
        <v>8415586</v>
      </c>
      <c r="F798">
        <v>1</v>
      </c>
      <c r="G798">
        <v>0</v>
      </c>
      <c r="H798">
        <v>14.619319022220642</v>
      </c>
      <c r="I798">
        <v>7.3463914684525844E-2</v>
      </c>
      <c r="J798" t="s">
        <v>176</v>
      </c>
      <c r="K798">
        <v>0.51167616577772246</v>
      </c>
      <c r="L798">
        <v>15.204459102682891</v>
      </c>
      <c r="M798">
        <v>0</v>
      </c>
      <c r="N798">
        <v>0.78949606779349402</v>
      </c>
      <c r="O798">
        <v>15.993955170476385</v>
      </c>
      <c r="P798" t="s">
        <v>90</v>
      </c>
      <c r="Q798">
        <v>0</v>
      </c>
      <c r="R798" t="s">
        <v>90</v>
      </c>
      <c r="S798">
        <v>0</v>
      </c>
      <c r="T798" t="s">
        <v>90</v>
      </c>
      <c r="U798">
        <v>0</v>
      </c>
      <c r="V798" t="s">
        <v>90</v>
      </c>
      <c r="W798">
        <v>0</v>
      </c>
      <c r="X798" t="s">
        <v>90</v>
      </c>
      <c r="Y798">
        <v>0</v>
      </c>
      <c r="Z798">
        <v>15.993955170476385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235</v>
      </c>
      <c r="AI798">
        <v>1108</v>
      </c>
      <c r="AJ798">
        <v>782</v>
      </c>
      <c r="AL798">
        <v>13.125999999999999</v>
      </c>
      <c r="AN798" t="s">
        <v>4964</v>
      </c>
      <c r="AO798" t="s">
        <v>73</v>
      </c>
      <c r="AP798">
        <v>200000</v>
      </c>
      <c r="AQ798" t="s">
        <v>73</v>
      </c>
      <c r="AS798">
        <v>10000</v>
      </c>
      <c r="AT798" t="s">
        <v>6531</v>
      </c>
      <c r="AU798" t="s">
        <v>75</v>
      </c>
      <c r="AV798" t="s">
        <v>76</v>
      </c>
    </row>
    <row r="799" spans="1:48" x14ac:dyDescent="0.15">
      <c r="A799" s="4" t="str">
        <f>HYPERLINK("https://ibp.a2mac1.com/costing(costing:projects/details/9760/assembly/8415586)","Rear Door Left")</f>
        <v>Rear Door Left</v>
      </c>
      <c r="B799">
        <v>8415586</v>
      </c>
      <c r="D799">
        <v>8415576</v>
      </c>
      <c r="F799">
        <v>1</v>
      </c>
      <c r="G799">
        <v>0</v>
      </c>
      <c r="H799">
        <v>155.86561937198496</v>
      </c>
      <c r="I799">
        <v>0</v>
      </c>
      <c r="J799" t="s">
        <v>90</v>
      </c>
      <c r="K799">
        <v>0</v>
      </c>
      <c r="L799">
        <v>155.86561937198496</v>
      </c>
      <c r="M799">
        <v>0</v>
      </c>
      <c r="N799">
        <v>0.6579133898279117</v>
      </c>
      <c r="O799">
        <v>156.52353276181287</v>
      </c>
      <c r="P799" t="s">
        <v>90</v>
      </c>
      <c r="Q799">
        <v>0</v>
      </c>
      <c r="R799" t="s">
        <v>90</v>
      </c>
      <c r="S799">
        <v>0</v>
      </c>
      <c r="T799" t="s">
        <v>90</v>
      </c>
      <c r="U799">
        <v>0</v>
      </c>
      <c r="V799" t="s">
        <v>90</v>
      </c>
      <c r="W799">
        <v>0</v>
      </c>
      <c r="X799" t="s">
        <v>90</v>
      </c>
      <c r="Y799">
        <v>0</v>
      </c>
      <c r="Z799">
        <v>156.52353276181287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283</v>
      </c>
      <c r="AI799">
        <v>1112</v>
      </c>
      <c r="AJ799">
        <v>1073</v>
      </c>
      <c r="AL799">
        <v>29.827300000000001</v>
      </c>
      <c r="AN799" t="s">
        <v>185</v>
      </c>
      <c r="AO799" t="s">
        <v>73</v>
      </c>
      <c r="AP799">
        <v>200000</v>
      </c>
      <c r="AQ799" t="s">
        <v>73</v>
      </c>
      <c r="AS799">
        <v>10000</v>
      </c>
      <c r="AT799" t="s">
        <v>6540</v>
      </c>
      <c r="AU799" t="s">
        <v>75</v>
      </c>
      <c r="AV799" t="s">
        <v>76</v>
      </c>
    </row>
    <row r="800" spans="1:48" x14ac:dyDescent="0.15">
      <c r="A800" s="4" t="str">
        <f>HYPERLINK("https://ibp.a2mac1.com/costing(costing:projects/details/9760/assembly/8416331)","Housing")</f>
        <v>Housing</v>
      </c>
      <c r="B800">
        <v>8416331</v>
      </c>
      <c r="D800">
        <v>8415992</v>
      </c>
      <c r="F800">
        <v>1</v>
      </c>
      <c r="G800">
        <v>0</v>
      </c>
      <c r="H800">
        <v>4.811406961136055</v>
      </c>
      <c r="I800">
        <v>0</v>
      </c>
      <c r="J800" t="s">
        <v>90</v>
      </c>
      <c r="K800">
        <v>0</v>
      </c>
      <c r="L800">
        <v>4.811406961136055</v>
      </c>
      <c r="M800">
        <v>0</v>
      </c>
      <c r="N800">
        <v>0</v>
      </c>
      <c r="O800">
        <v>4.811406961136055</v>
      </c>
      <c r="P800" t="s">
        <v>90</v>
      </c>
      <c r="Q800">
        <v>0</v>
      </c>
      <c r="R800" t="s">
        <v>90</v>
      </c>
      <c r="S800">
        <v>0</v>
      </c>
      <c r="T800" t="s">
        <v>90</v>
      </c>
      <c r="U800">
        <v>0</v>
      </c>
      <c r="V800" t="s">
        <v>90</v>
      </c>
      <c r="W800">
        <v>0</v>
      </c>
      <c r="X800" t="s">
        <v>90</v>
      </c>
      <c r="Y800">
        <v>0</v>
      </c>
      <c r="Z800">
        <v>4.811406961136055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L800">
        <v>4.4459999999999997</v>
      </c>
      <c r="AN800" t="s">
        <v>185</v>
      </c>
      <c r="AO800" t="s">
        <v>73</v>
      </c>
      <c r="AP800">
        <v>200000</v>
      </c>
      <c r="AQ800" t="s">
        <v>73</v>
      </c>
      <c r="AS800">
        <v>10000</v>
      </c>
      <c r="AT800" t="s">
        <v>9</v>
      </c>
      <c r="AU800" t="s">
        <v>75</v>
      </c>
      <c r="AV800" t="s">
        <v>76</v>
      </c>
    </row>
    <row r="801" spans="1:48" x14ac:dyDescent="0.15">
      <c r="A801" s="4" t="str">
        <f>HYPERLINK("https://ibp.a2mac1.com/costing(costing:projects/details/9760/assembly/8416332)","Reinforcements")</f>
        <v>Reinforcements</v>
      </c>
      <c r="B801">
        <v>8416332</v>
      </c>
      <c r="D801">
        <v>8415992</v>
      </c>
      <c r="F801">
        <v>1</v>
      </c>
      <c r="G801">
        <v>0</v>
      </c>
      <c r="H801">
        <v>1.9485535918027244</v>
      </c>
      <c r="I801">
        <v>0</v>
      </c>
      <c r="J801" t="s">
        <v>90</v>
      </c>
      <c r="K801">
        <v>0</v>
      </c>
      <c r="L801">
        <v>1.9485535918027244</v>
      </c>
      <c r="M801">
        <v>0</v>
      </c>
      <c r="N801">
        <v>0</v>
      </c>
      <c r="O801">
        <v>1.9485535918027244</v>
      </c>
      <c r="P801" t="s">
        <v>90</v>
      </c>
      <c r="Q801">
        <v>0</v>
      </c>
      <c r="R801" t="s">
        <v>90</v>
      </c>
      <c r="S801">
        <v>0</v>
      </c>
      <c r="T801" t="s">
        <v>90</v>
      </c>
      <c r="U801">
        <v>0</v>
      </c>
      <c r="V801" t="s">
        <v>90</v>
      </c>
      <c r="W801">
        <v>0</v>
      </c>
      <c r="X801" t="s">
        <v>90</v>
      </c>
      <c r="Y801">
        <v>0</v>
      </c>
      <c r="Z801">
        <v>1.9485535918027244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L801">
        <v>1.625</v>
      </c>
      <c r="AN801" t="s">
        <v>185</v>
      </c>
      <c r="AO801" t="s">
        <v>73</v>
      </c>
      <c r="AP801">
        <v>200000</v>
      </c>
      <c r="AQ801" t="s">
        <v>97</v>
      </c>
      <c r="AS801">
        <v>10000</v>
      </c>
      <c r="AT801" t="s">
        <v>9</v>
      </c>
      <c r="AU801" t="s">
        <v>75</v>
      </c>
      <c r="AV801" t="s">
        <v>76</v>
      </c>
    </row>
    <row r="802" spans="1:48" x14ac:dyDescent="0.15">
      <c r="A802" s="4" t="str">
        <f>HYPERLINK("https://ibp.a2mac1.com/costing(costing:projects/details/9760/assembly/8416568)","Front")</f>
        <v>Front</v>
      </c>
      <c r="B802">
        <v>8416568</v>
      </c>
      <c r="D802">
        <v>8416333</v>
      </c>
      <c r="F802">
        <v>1</v>
      </c>
      <c r="G802">
        <v>0</v>
      </c>
      <c r="H802">
        <v>0.11294343397472158</v>
      </c>
      <c r="I802">
        <v>0</v>
      </c>
      <c r="J802" t="s">
        <v>90</v>
      </c>
      <c r="K802">
        <v>0</v>
      </c>
      <c r="L802">
        <v>0.11294343397472158</v>
      </c>
      <c r="M802">
        <v>0</v>
      </c>
      <c r="N802">
        <v>0</v>
      </c>
      <c r="O802">
        <v>0.11294343397472158</v>
      </c>
      <c r="P802" t="s">
        <v>90</v>
      </c>
      <c r="Q802">
        <v>0</v>
      </c>
      <c r="R802" t="s">
        <v>90</v>
      </c>
      <c r="S802">
        <v>0</v>
      </c>
      <c r="T802" t="s">
        <v>90</v>
      </c>
      <c r="U802">
        <v>0</v>
      </c>
      <c r="V802" t="s">
        <v>90</v>
      </c>
      <c r="W802">
        <v>0</v>
      </c>
      <c r="X802" t="s">
        <v>90</v>
      </c>
      <c r="Y802">
        <v>0</v>
      </c>
      <c r="Z802">
        <v>0.11294343397472158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L802">
        <v>0.09</v>
      </c>
      <c r="AN802" t="s">
        <v>185</v>
      </c>
      <c r="AO802" t="s">
        <v>73</v>
      </c>
      <c r="AP802">
        <v>200000</v>
      </c>
      <c r="AQ802" t="s">
        <v>97</v>
      </c>
      <c r="AS802">
        <v>10000</v>
      </c>
      <c r="AT802" t="s">
        <v>9</v>
      </c>
      <c r="AU802" t="s">
        <v>75</v>
      </c>
      <c r="AV802" t="s">
        <v>76</v>
      </c>
    </row>
    <row r="803" spans="1:48" x14ac:dyDescent="0.15">
      <c r="A803" s="4" t="str">
        <f>HYPERLINK("https://ibp.a2mac1.com/costing(costing:projects/details/9760/assembly/8416333)","Fixing parts")</f>
        <v>Fixing parts</v>
      </c>
      <c r="B803">
        <v>8416333</v>
      </c>
      <c r="D803">
        <v>8415992</v>
      </c>
      <c r="F803">
        <v>1</v>
      </c>
      <c r="G803">
        <v>0</v>
      </c>
      <c r="H803">
        <v>0.11294343397472158</v>
      </c>
      <c r="I803">
        <v>0</v>
      </c>
      <c r="J803" t="s">
        <v>90</v>
      </c>
      <c r="K803">
        <v>0</v>
      </c>
      <c r="L803">
        <v>0.11294343397472158</v>
      </c>
      <c r="M803">
        <v>0</v>
      </c>
      <c r="N803">
        <v>0</v>
      </c>
      <c r="O803">
        <v>0.11294343397472158</v>
      </c>
      <c r="P803" t="s">
        <v>90</v>
      </c>
      <c r="Q803">
        <v>0</v>
      </c>
      <c r="R803" t="s">
        <v>90</v>
      </c>
      <c r="S803">
        <v>0</v>
      </c>
      <c r="T803" t="s">
        <v>90</v>
      </c>
      <c r="U803">
        <v>0</v>
      </c>
      <c r="V803" t="s">
        <v>90</v>
      </c>
      <c r="W803">
        <v>0</v>
      </c>
      <c r="X803" t="s">
        <v>90</v>
      </c>
      <c r="Y803">
        <v>0</v>
      </c>
      <c r="Z803">
        <v>0.11294343397472158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L803">
        <v>0.09</v>
      </c>
      <c r="AN803" t="s">
        <v>185</v>
      </c>
      <c r="AO803" t="s">
        <v>73</v>
      </c>
      <c r="AP803">
        <v>200000</v>
      </c>
      <c r="AQ803" t="s">
        <v>97</v>
      </c>
      <c r="AS803">
        <v>10000</v>
      </c>
      <c r="AT803" t="s">
        <v>9</v>
      </c>
      <c r="AU803" t="s">
        <v>75</v>
      </c>
      <c r="AV803" t="s">
        <v>76</v>
      </c>
    </row>
    <row r="804" spans="1:48" x14ac:dyDescent="0.15">
      <c r="A804" s="4" t="str">
        <f>HYPERLINK("https://ibp.a2mac1.com/costing(costing:projects/details/9760/assembly/8415992)","Housing assy")</f>
        <v>Housing assy</v>
      </c>
      <c r="B804">
        <v>8415992</v>
      </c>
      <c r="D804">
        <v>8415677</v>
      </c>
      <c r="F804">
        <v>1</v>
      </c>
      <c r="G804">
        <v>0</v>
      </c>
      <c r="H804">
        <v>6.8729039869135011</v>
      </c>
      <c r="I804">
        <v>0</v>
      </c>
      <c r="J804" t="s">
        <v>90</v>
      </c>
      <c r="K804">
        <v>0</v>
      </c>
      <c r="L804">
        <v>6.8729039869135011</v>
      </c>
      <c r="M804">
        <v>0</v>
      </c>
      <c r="N804">
        <v>0</v>
      </c>
      <c r="O804">
        <v>6.8729039869135011</v>
      </c>
      <c r="P804" t="s">
        <v>90</v>
      </c>
      <c r="Q804">
        <v>0</v>
      </c>
      <c r="R804" t="s">
        <v>90</v>
      </c>
      <c r="S804">
        <v>0</v>
      </c>
      <c r="T804" t="s">
        <v>90</v>
      </c>
      <c r="U804">
        <v>0</v>
      </c>
      <c r="V804" t="s">
        <v>90</v>
      </c>
      <c r="W804">
        <v>0</v>
      </c>
      <c r="X804" t="s">
        <v>90</v>
      </c>
      <c r="Y804">
        <v>0</v>
      </c>
      <c r="Z804">
        <v>6.8729039869135011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L804">
        <v>6.1609999999999996</v>
      </c>
      <c r="AN804" t="s">
        <v>185</v>
      </c>
      <c r="AO804" t="s">
        <v>73</v>
      </c>
      <c r="AP804">
        <v>200000</v>
      </c>
      <c r="AQ804" t="s">
        <v>73</v>
      </c>
      <c r="AS804">
        <v>10000</v>
      </c>
      <c r="AT804" t="s">
        <v>9</v>
      </c>
      <c r="AU804" t="s">
        <v>75</v>
      </c>
      <c r="AV804" t="s">
        <v>76</v>
      </c>
    </row>
    <row r="805" spans="1:48" x14ac:dyDescent="0.15">
      <c r="A805" s="4" t="str">
        <f>HYPERLINK("https://ibp.a2mac1.com/costing(costing:projects/details/9760/assembly/8416569)","Beam")</f>
        <v>Beam</v>
      </c>
      <c r="B805">
        <v>8416569</v>
      </c>
      <c r="D805">
        <v>8416334</v>
      </c>
      <c r="F805">
        <v>1</v>
      </c>
      <c r="G805">
        <v>0</v>
      </c>
      <c r="H805">
        <v>1.6604185050675373</v>
      </c>
      <c r="I805">
        <v>0</v>
      </c>
      <c r="J805" t="s">
        <v>90</v>
      </c>
      <c r="K805">
        <v>0</v>
      </c>
      <c r="L805">
        <v>1.6604185050675373</v>
      </c>
      <c r="M805">
        <v>0</v>
      </c>
      <c r="N805">
        <v>0</v>
      </c>
      <c r="O805">
        <v>1.6604185050675373</v>
      </c>
      <c r="P805" t="s">
        <v>90</v>
      </c>
      <c r="Q805">
        <v>0</v>
      </c>
      <c r="R805" t="s">
        <v>90</v>
      </c>
      <c r="S805">
        <v>0</v>
      </c>
      <c r="T805" t="s">
        <v>90</v>
      </c>
      <c r="U805">
        <v>0</v>
      </c>
      <c r="V805" t="s">
        <v>90</v>
      </c>
      <c r="W805">
        <v>0</v>
      </c>
      <c r="X805" t="s">
        <v>90</v>
      </c>
      <c r="Y805">
        <v>0</v>
      </c>
      <c r="Z805">
        <v>1.6604185050675373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L805">
        <v>1.7170000000000001</v>
      </c>
      <c r="AN805" t="s">
        <v>185</v>
      </c>
      <c r="AO805" t="s">
        <v>73</v>
      </c>
      <c r="AP805">
        <v>200000</v>
      </c>
      <c r="AQ805" t="s">
        <v>97</v>
      </c>
      <c r="AS805">
        <v>10000</v>
      </c>
      <c r="AT805" t="s">
        <v>9</v>
      </c>
      <c r="AU805" t="s">
        <v>75</v>
      </c>
      <c r="AV805" t="s">
        <v>76</v>
      </c>
    </row>
    <row r="806" spans="1:48" x14ac:dyDescent="0.15">
      <c r="A806" s="4" t="str">
        <f>HYPERLINK("https://ibp.a2mac1.com/costing(costing:projects/details/9760/assembly/8416334)","Beam 01 (single/upper)")</f>
        <v>Beam 01 (single/upper)</v>
      </c>
      <c r="B806">
        <v>8416334</v>
      </c>
      <c r="D806">
        <v>8415993</v>
      </c>
      <c r="F806">
        <v>1</v>
      </c>
      <c r="G806">
        <v>0</v>
      </c>
      <c r="H806">
        <v>1.6604185050675373</v>
      </c>
      <c r="I806">
        <v>0</v>
      </c>
      <c r="J806" t="s">
        <v>90</v>
      </c>
      <c r="K806">
        <v>0</v>
      </c>
      <c r="L806">
        <v>1.6604185050675373</v>
      </c>
      <c r="M806">
        <v>0</v>
      </c>
      <c r="N806">
        <v>0</v>
      </c>
      <c r="O806">
        <v>1.6604185050675373</v>
      </c>
      <c r="P806" t="s">
        <v>90</v>
      </c>
      <c r="Q806">
        <v>0</v>
      </c>
      <c r="R806" t="s">
        <v>90</v>
      </c>
      <c r="S806">
        <v>0</v>
      </c>
      <c r="T806" t="s">
        <v>90</v>
      </c>
      <c r="U806">
        <v>0</v>
      </c>
      <c r="V806" t="s">
        <v>90</v>
      </c>
      <c r="W806">
        <v>0</v>
      </c>
      <c r="X806" t="s">
        <v>90</v>
      </c>
      <c r="Y806">
        <v>0</v>
      </c>
      <c r="Z806">
        <v>1.6604185050675373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L806">
        <v>1.7170000000000001</v>
      </c>
      <c r="AN806" t="s">
        <v>185</v>
      </c>
      <c r="AO806" t="s">
        <v>73</v>
      </c>
      <c r="AP806">
        <v>200000</v>
      </c>
      <c r="AQ806" t="s">
        <v>97</v>
      </c>
      <c r="AS806">
        <v>10000</v>
      </c>
      <c r="AT806" t="s">
        <v>9</v>
      </c>
      <c r="AU806" t="s">
        <v>75</v>
      </c>
      <c r="AV806" t="s">
        <v>76</v>
      </c>
    </row>
    <row r="807" spans="1:48" x14ac:dyDescent="0.15">
      <c r="A807" s="4" t="str">
        <f>HYPERLINK("https://ibp.a2mac1.com/costing(costing:projects/details/9760/assembly/8415993)","Anti-intrusion beam")</f>
        <v>Anti-intrusion beam</v>
      </c>
      <c r="B807">
        <v>8415993</v>
      </c>
      <c r="D807">
        <v>8415677</v>
      </c>
      <c r="F807">
        <v>1</v>
      </c>
      <c r="G807">
        <v>0</v>
      </c>
      <c r="H807">
        <v>1.6604185050675373</v>
      </c>
      <c r="I807">
        <v>0</v>
      </c>
      <c r="J807" t="s">
        <v>90</v>
      </c>
      <c r="K807">
        <v>0</v>
      </c>
      <c r="L807">
        <v>1.6604185050675373</v>
      </c>
      <c r="M807">
        <v>0</v>
      </c>
      <c r="N807">
        <v>0</v>
      </c>
      <c r="O807">
        <v>1.6604185050675373</v>
      </c>
      <c r="P807" t="s">
        <v>90</v>
      </c>
      <c r="Q807">
        <v>0</v>
      </c>
      <c r="R807" t="s">
        <v>90</v>
      </c>
      <c r="S807">
        <v>0</v>
      </c>
      <c r="T807" t="s">
        <v>90</v>
      </c>
      <c r="U807">
        <v>0</v>
      </c>
      <c r="V807" t="s">
        <v>90</v>
      </c>
      <c r="W807">
        <v>0</v>
      </c>
      <c r="X807" t="s">
        <v>90</v>
      </c>
      <c r="Y807">
        <v>0</v>
      </c>
      <c r="Z807">
        <v>1.6604185050675373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L807">
        <v>1.7170000000000001</v>
      </c>
      <c r="AN807" t="s">
        <v>185</v>
      </c>
      <c r="AO807" t="s">
        <v>73</v>
      </c>
      <c r="AP807">
        <v>200000</v>
      </c>
      <c r="AQ807" t="s">
        <v>73</v>
      </c>
      <c r="AS807">
        <v>10000</v>
      </c>
      <c r="AT807" t="s">
        <v>9</v>
      </c>
      <c r="AU807" t="s">
        <v>75</v>
      </c>
      <c r="AV807" t="s">
        <v>76</v>
      </c>
    </row>
    <row r="808" spans="1:48" x14ac:dyDescent="0.15">
      <c r="A808" s="4" t="str">
        <f>HYPERLINK("https://ibp.a2mac1.com/costing(costing:projects/details/9760/assembly/8416335)","Reinforcements")</f>
        <v>Reinforcements</v>
      </c>
      <c r="B808">
        <v>8416335</v>
      </c>
      <c r="D808">
        <v>8415994</v>
      </c>
      <c r="F808">
        <v>1</v>
      </c>
      <c r="G808">
        <v>0</v>
      </c>
      <c r="H808">
        <v>0.11947093775292308</v>
      </c>
      <c r="I808">
        <v>0</v>
      </c>
      <c r="J808" t="s">
        <v>90</v>
      </c>
      <c r="K808">
        <v>0</v>
      </c>
      <c r="L808">
        <v>0.11947093775292308</v>
      </c>
      <c r="M808">
        <v>0</v>
      </c>
      <c r="N808">
        <v>0</v>
      </c>
      <c r="O808">
        <v>0.11947093775292308</v>
      </c>
      <c r="P808" t="s">
        <v>90</v>
      </c>
      <c r="Q808">
        <v>0</v>
      </c>
      <c r="R808" t="s">
        <v>90</v>
      </c>
      <c r="S808">
        <v>0</v>
      </c>
      <c r="T808" t="s">
        <v>90</v>
      </c>
      <c r="U808">
        <v>0</v>
      </c>
      <c r="V808" t="s">
        <v>90</v>
      </c>
      <c r="W808">
        <v>0</v>
      </c>
      <c r="X808" t="s">
        <v>90</v>
      </c>
      <c r="Y808">
        <v>0</v>
      </c>
      <c r="Z808">
        <v>0.11947093775292308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L808">
        <v>8.6999999999999994E-2</v>
      </c>
      <c r="AN808" t="s">
        <v>185</v>
      </c>
      <c r="AO808" t="s">
        <v>73</v>
      </c>
      <c r="AP808">
        <v>200000</v>
      </c>
      <c r="AQ808" t="s">
        <v>97</v>
      </c>
      <c r="AS808">
        <v>10000</v>
      </c>
      <c r="AT808" t="s">
        <v>9</v>
      </c>
      <c r="AU808" t="s">
        <v>75</v>
      </c>
      <c r="AV808" t="s">
        <v>76</v>
      </c>
    </row>
    <row r="809" spans="1:48" x14ac:dyDescent="0.15">
      <c r="A809" s="4" t="str">
        <f>HYPERLINK("https://ibp.a2mac1.com/costing(costing:projects/details/9760/assembly/8416854)","slide")</f>
        <v>slide</v>
      </c>
      <c r="B809">
        <v>8416854</v>
      </c>
      <c r="D809">
        <v>8416571</v>
      </c>
      <c r="F809">
        <v>1</v>
      </c>
      <c r="G809">
        <v>0</v>
      </c>
      <c r="H809">
        <v>0.45397729215144161</v>
      </c>
      <c r="I809">
        <v>0</v>
      </c>
      <c r="J809" t="s">
        <v>90</v>
      </c>
      <c r="K809">
        <v>0</v>
      </c>
      <c r="L809">
        <v>0.45397729215144161</v>
      </c>
      <c r="M809">
        <v>0</v>
      </c>
      <c r="N809">
        <v>0</v>
      </c>
      <c r="O809">
        <v>0.45397729215144161</v>
      </c>
      <c r="P809" t="s">
        <v>90</v>
      </c>
      <c r="Q809">
        <v>0</v>
      </c>
      <c r="R809" t="s">
        <v>90</v>
      </c>
      <c r="S809">
        <v>0</v>
      </c>
      <c r="T809" t="s">
        <v>90</v>
      </c>
      <c r="U809">
        <v>0</v>
      </c>
      <c r="V809" t="s">
        <v>90</v>
      </c>
      <c r="W809">
        <v>0</v>
      </c>
      <c r="X809" t="s">
        <v>90</v>
      </c>
      <c r="Y809">
        <v>0</v>
      </c>
      <c r="Z809">
        <v>0.45397729215144161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L809">
        <v>0.187</v>
      </c>
      <c r="AN809" t="s">
        <v>185</v>
      </c>
      <c r="AO809" t="s">
        <v>73</v>
      </c>
      <c r="AP809">
        <v>200000</v>
      </c>
      <c r="AQ809" t="s">
        <v>97</v>
      </c>
      <c r="AS809">
        <v>10000</v>
      </c>
      <c r="AT809" t="s">
        <v>9</v>
      </c>
      <c r="AU809" t="s">
        <v>75</v>
      </c>
      <c r="AV809" t="s">
        <v>76</v>
      </c>
    </row>
    <row r="810" spans="1:48" x14ac:dyDescent="0.15">
      <c r="A810" s="4" t="str">
        <f>HYPERLINK("https://ibp.a2mac1.com/costing(costing:projects/details/9760/assembly/8416855)","Fixing parts")</f>
        <v>Fixing parts</v>
      </c>
      <c r="B810">
        <v>8416855</v>
      </c>
      <c r="D810">
        <v>8416571</v>
      </c>
      <c r="F810">
        <v>1</v>
      </c>
      <c r="G810">
        <v>0</v>
      </c>
      <c r="H810">
        <v>0.10527557432943634</v>
      </c>
      <c r="I810">
        <v>0</v>
      </c>
      <c r="J810" t="s">
        <v>90</v>
      </c>
      <c r="K810">
        <v>0</v>
      </c>
      <c r="L810">
        <v>0.10527557432943634</v>
      </c>
      <c r="M810">
        <v>0</v>
      </c>
      <c r="N810">
        <v>0</v>
      </c>
      <c r="O810">
        <v>0.10527557432943634</v>
      </c>
      <c r="P810" t="s">
        <v>90</v>
      </c>
      <c r="Q810">
        <v>0</v>
      </c>
      <c r="R810" t="s">
        <v>90</v>
      </c>
      <c r="S810">
        <v>0</v>
      </c>
      <c r="T810" t="s">
        <v>90</v>
      </c>
      <c r="U810">
        <v>0</v>
      </c>
      <c r="V810" t="s">
        <v>90</v>
      </c>
      <c r="W810">
        <v>0</v>
      </c>
      <c r="X810" t="s">
        <v>90</v>
      </c>
      <c r="Y810">
        <v>0</v>
      </c>
      <c r="Z810">
        <v>0.10527557432943634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L810">
        <v>8.1000000000000003E-2</v>
      </c>
      <c r="AN810" t="s">
        <v>185</v>
      </c>
      <c r="AO810" t="s">
        <v>73</v>
      </c>
      <c r="AP810">
        <v>200000</v>
      </c>
      <c r="AQ810" t="s">
        <v>97</v>
      </c>
      <c r="AS810">
        <v>10000</v>
      </c>
      <c r="AT810" t="s">
        <v>9</v>
      </c>
      <c r="AU810" t="s">
        <v>75</v>
      </c>
      <c r="AV810" t="s">
        <v>76</v>
      </c>
    </row>
    <row r="811" spans="1:48" x14ac:dyDescent="0.15">
      <c r="A811" s="4" t="str">
        <f>HYPERLINK("https://ibp.a2mac1.com/costing(costing:projects/details/9760/assembly/8416571)","Front")</f>
        <v>Front</v>
      </c>
      <c r="B811">
        <v>8416571</v>
      </c>
      <c r="D811">
        <v>8416336</v>
      </c>
      <c r="F811">
        <v>1</v>
      </c>
      <c r="G811">
        <v>0</v>
      </c>
      <c r="H811">
        <v>0.55925286648087791</v>
      </c>
      <c r="I811">
        <v>0</v>
      </c>
      <c r="J811" t="s">
        <v>90</v>
      </c>
      <c r="K811">
        <v>0</v>
      </c>
      <c r="L811">
        <v>0.55925286648087791</v>
      </c>
      <c r="M811">
        <v>0</v>
      </c>
      <c r="N811">
        <v>0</v>
      </c>
      <c r="O811">
        <v>0.55925286648087791</v>
      </c>
      <c r="P811" t="s">
        <v>90</v>
      </c>
      <c r="Q811">
        <v>0</v>
      </c>
      <c r="R811" t="s">
        <v>90</v>
      </c>
      <c r="S811">
        <v>0</v>
      </c>
      <c r="T811" t="s">
        <v>90</v>
      </c>
      <c r="U811">
        <v>0</v>
      </c>
      <c r="V811" t="s">
        <v>90</v>
      </c>
      <c r="W811">
        <v>0</v>
      </c>
      <c r="X811" t="s">
        <v>90</v>
      </c>
      <c r="Y811">
        <v>0</v>
      </c>
      <c r="Z811">
        <v>0.55925286648087791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L811">
        <v>0.26800000000000002</v>
      </c>
      <c r="AN811" t="s">
        <v>185</v>
      </c>
      <c r="AO811" t="s">
        <v>73</v>
      </c>
      <c r="AP811">
        <v>200000</v>
      </c>
      <c r="AQ811" t="s">
        <v>97</v>
      </c>
      <c r="AS811">
        <v>10000</v>
      </c>
      <c r="AT811" t="s">
        <v>9</v>
      </c>
      <c r="AU811" t="s">
        <v>75</v>
      </c>
      <c r="AV811" t="s">
        <v>76</v>
      </c>
    </row>
    <row r="812" spans="1:48" x14ac:dyDescent="0.15">
      <c r="A812" s="4" t="str">
        <f>HYPERLINK("https://ibp.a2mac1.com/costing(costing:projects/details/9760/assembly/8416336)","Glass slides")</f>
        <v>Glass slides</v>
      </c>
      <c r="B812">
        <v>8416336</v>
      </c>
      <c r="D812">
        <v>8415994</v>
      </c>
      <c r="F812">
        <v>1</v>
      </c>
      <c r="G812">
        <v>0</v>
      </c>
      <c r="H812">
        <v>0.55925286648087791</v>
      </c>
      <c r="I812">
        <v>0</v>
      </c>
      <c r="J812" t="s">
        <v>90</v>
      </c>
      <c r="K812">
        <v>0</v>
      </c>
      <c r="L812">
        <v>0.55925286648087791</v>
      </c>
      <c r="M812">
        <v>0</v>
      </c>
      <c r="N812">
        <v>0</v>
      </c>
      <c r="O812">
        <v>0.55925286648087791</v>
      </c>
      <c r="P812" t="s">
        <v>90</v>
      </c>
      <c r="Q812">
        <v>0</v>
      </c>
      <c r="R812" t="s">
        <v>90</v>
      </c>
      <c r="S812">
        <v>0</v>
      </c>
      <c r="T812" t="s">
        <v>90</v>
      </c>
      <c r="U812">
        <v>0</v>
      </c>
      <c r="V812" t="s">
        <v>90</v>
      </c>
      <c r="W812">
        <v>0</v>
      </c>
      <c r="X812" t="s">
        <v>90</v>
      </c>
      <c r="Y812">
        <v>0</v>
      </c>
      <c r="Z812">
        <v>0.55925286648087791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L812">
        <v>0.26800000000000002</v>
      </c>
      <c r="AN812" t="s">
        <v>185</v>
      </c>
      <c r="AO812" t="s">
        <v>73</v>
      </c>
      <c r="AP812">
        <v>200000</v>
      </c>
      <c r="AQ812" t="s">
        <v>97</v>
      </c>
      <c r="AS812">
        <v>10000</v>
      </c>
      <c r="AT812" t="s">
        <v>9</v>
      </c>
      <c r="AU812" t="s">
        <v>75</v>
      </c>
      <c r="AV812" t="s">
        <v>76</v>
      </c>
    </row>
    <row r="813" spans="1:48" x14ac:dyDescent="0.15">
      <c r="A813" s="4" t="str">
        <f>HYPERLINK("https://ibp.a2mac1.com/costing(costing:projects/details/9760/assembly/8415994)","Window frame assy")</f>
        <v>Window frame assy</v>
      </c>
      <c r="B813">
        <v>8415994</v>
      </c>
      <c r="D813">
        <v>8415677</v>
      </c>
      <c r="F813">
        <v>1</v>
      </c>
      <c r="G813">
        <v>0</v>
      </c>
      <c r="H813">
        <v>0.67872380423380108</v>
      </c>
      <c r="I813">
        <v>0</v>
      </c>
      <c r="J813" t="s">
        <v>90</v>
      </c>
      <c r="K813">
        <v>0</v>
      </c>
      <c r="L813">
        <v>0.67872380423380108</v>
      </c>
      <c r="M813">
        <v>0</v>
      </c>
      <c r="N813">
        <v>0</v>
      </c>
      <c r="O813">
        <v>0.67872380423380108</v>
      </c>
      <c r="P813" t="s">
        <v>90</v>
      </c>
      <c r="Q813">
        <v>0</v>
      </c>
      <c r="R813" t="s">
        <v>90</v>
      </c>
      <c r="S813">
        <v>0</v>
      </c>
      <c r="T813" t="s">
        <v>90</v>
      </c>
      <c r="U813">
        <v>0</v>
      </c>
      <c r="V813" t="s">
        <v>90</v>
      </c>
      <c r="W813">
        <v>0</v>
      </c>
      <c r="X813" t="s">
        <v>90</v>
      </c>
      <c r="Y813">
        <v>0</v>
      </c>
      <c r="Z813">
        <v>0.67872380423380108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L813">
        <v>0.35499999999999998</v>
      </c>
      <c r="AN813" t="s">
        <v>185</v>
      </c>
      <c r="AO813" t="s">
        <v>73</v>
      </c>
      <c r="AP813">
        <v>200000</v>
      </c>
      <c r="AQ813" t="s">
        <v>73</v>
      </c>
      <c r="AS813">
        <v>10000</v>
      </c>
      <c r="AT813" t="s">
        <v>9</v>
      </c>
      <c r="AU813" t="s">
        <v>75</v>
      </c>
      <c r="AV813" t="s">
        <v>76</v>
      </c>
    </row>
    <row r="814" spans="1:48" x14ac:dyDescent="0.15">
      <c r="A814" s="4" t="str">
        <f>HYPERLINK("https://ibp.a2mac1.com/costing(costing:projects/details/9760/assembly/8416572)","Cross member")</f>
        <v>Cross member</v>
      </c>
      <c r="B814">
        <v>8416572</v>
      </c>
      <c r="D814">
        <v>8416337</v>
      </c>
      <c r="F814">
        <v>1</v>
      </c>
      <c r="G814">
        <v>0</v>
      </c>
      <c r="H814">
        <v>1.8119896281781263</v>
      </c>
      <c r="I814">
        <v>0</v>
      </c>
      <c r="J814" t="s">
        <v>90</v>
      </c>
      <c r="K814">
        <v>0</v>
      </c>
      <c r="L814">
        <v>1.8119896281781263</v>
      </c>
      <c r="M814">
        <v>0</v>
      </c>
      <c r="N814">
        <v>0</v>
      </c>
      <c r="O814">
        <v>1.8119896281781263</v>
      </c>
      <c r="P814" t="s">
        <v>90</v>
      </c>
      <c r="Q814">
        <v>0</v>
      </c>
      <c r="R814" t="s">
        <v>90</v>
      </c>
      <c r="S814">
        <v>0</v>
      </c>
      <c r="T814" t="s">
        <v>90</v>
      </c>
      <c r="U814">
        <v>0</v>
      </c>
      <c r="V814" t="s">
        <v>90</v>
      </c>
      <c r="W814">
        <v>0</v>
      </c>
      <c r="X814" t="s">
        <v>90</v>
      </c>
      <c r="Y814">
        <v>0</v>
      </c>
      <c r="Z814">
        <v>1.8119896281781263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L814">
        <v>1.76</v>
      </c>
      <c r="AN814" t="s">
        <v>185</v>
      </c>
      <c r="AO814" t="s">
        <v>73</v>
      </c>
      <c r="AP814">
        <v>200000</v>
      </c>
      <c r="AQ814" t="s">
        <v>97</v>
      </c>
      <c r="AS814">
        <v>10000</v>
      </c>
      <c r="AT814" t="s">
        <v>9</v>
      </c>
      <c r="AU814" t="s">
        <v>75</v>
      </c>
      <c r="AV814" t="s">
        <v>76</v>
      </c>
    </row>
    <row r="815" spans="1:48" x14ac:dyDescent="0.15">
      <c r="A815" s="4" t="str">
        <f>HYPERLINK("https://ibp.a2mac1.com/costing(costing:projects/details/9760/assembly/8416573)","Fixing parts")</f>
        <v>Fixing parts</v>
      </c>
      <c r="B815">
        <v>8416573</v>
      </c>
      <c r="D815">
        <v>8416337</v>
      </c>
      <c r="F815">
        <v>1</v>
      </c>
      <c r="G815">
        <v>0</v>
      </c>
      <c r="H815">
        <v>9.5966841232470124E-2</v>
      </c>
      <c r="I815">
        <v>0</v>
      </c>
      <c r="J815" t="s">
        <v>90</v>
      </c>
      <c r="K815">
        <v>0</v>
      </c>
      <c r="L815">
        <v>9.5966841232470124E-2</v>
      </c>
      <c r="M815">
        <v>0</v>
      </c>
      <c r="N815">
        <v>0</v>
      </c>
      <c r="O815">
        <v>9.5966841232470124E-2</v>
      </c>
      <c r="P815" t="s">
        <v>90</v>
      </c>
      <c r="Q815">
        <v>0</v>
      </c>
      <c r="R815" t="s">
        <v>90</v>
      </c>
      <c r="S815">
        <v>0</v>
      </c>
      <c r="T815" t="s">
        <v>90</v>
      </c>
      <c r="U815">
        <v>0</v>
      </c>
      <c r="V815" t="s">
        <v>90</v>
      </c>
      <c r="W815">
        <v>0</v>
      </c>
      <c r="X815" t="s">
        <v>90</v>
      </c>
      <c r="Y815">
        <v>0</v>
      </c>
      <c r="Z815">
        <v>9.5966841232470124E-2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N815" t="s">
        <v>185</v>
      </c>
      <c r="AO815" t="s">
        <v>73</v>
      </c>
      <c r="AP815">
        <v>200000</v>
      </c>
      <c r="AQ815" t="s">
        <v>97</v>
      </c>
      <c r="AS815">
        <v>10000</v>
      </c>
      <c r="AT815" t="s">
        <v>9</v>
      </c>
      <c r="AU815" t="s">
        <v>75</v>
      </c>
      <c r="AV815" t="s">
        <v>76</v>
      </c>
    </row>
    <row r="816" spans="1:48" x14ac:dyDescent="0.15">
      <c r="A816" s="4" t="str">
        <f>HYPERLINK("https://ibp.a2mac1.com/costing(costing:projects/details/9760/assembly/8416337)","Cross member 01 (outer)")</f>
        <v>Cross member 01 (outer)</v>
      </c>
      <c r="B816">
        <v>8416337</v>
      </c>
      <c r="D816">
        <v>8415995</v>
      </c>
      <c r="F816">
        <v>1</v>
      </c>
      <c r="G816">
        <v>0</v>
      </c>
      <c r="H816">
        <v>1.9079564694105964</v>
      </c>
      <c r="I816">
        <v>0</v>
      </c>
      <c r="J816" t="s">
        <v>90</v>
      </c>
      <c r="K816">
        <v>0</v>
      </c>
      <c r="L816">
        <v>1.9079564694105964</v>
      </c>
      <c r="M816">
        <v>0</v>
      </c>
      <c r="N816">
        <v>0</v>
      </c>
      <c r="O816">
        <v>1.9079564694105964</v>
      </c>
      <c r="P816" t="s">
        <v>90</v>
      </c>
      <c r="Q816">
        <v>0</v>
      </c>
      <c r="R816" t="s">
        <v>90</v>
      </c>
      <c r="S816">
        <v>0</v>
      </c>
      <c r="T816" t="s">
        <v>90</v>
      </c>
      <c r="U816">
        <v>0</v>
      </c>
      <c r="V816" t="s">
        <v>90</v>
      </c>
      <c r="W816">
        <v>0</v>
      </c>
      <c r="X816" t="s">
        <v>90</v>
      </c>
      <c r="Y816">
        <v>0</v>
      </c>
      <c r="Z816">
        <v>1.9079564694105964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N816" t="s">
        <v>185</v>
      </c>
      <c r="AO816" t="s">
        <v>73</v>
      </c>
      <c r="AP816">
        <v>200000</v>
      </c>
      <c r="AQ816" t="s">
        <v>97</v>
      </c>
      <c r="AS816">
        <v>10000</v>
      </c>
      <c r="AT816" t="s">
        <v>9</v>
      </c>
      <c r="AU816" t="s">
        <v>75</v>
      </c>
      <c r="AV816" t="s">
        <v>76</v>
      </c>
    </row>
    <row r="817" spans="1:48" x14ac:dyDescent="0.15">
      <c r="A817" s="4" t="str">
        <f>HYPERLINK("https://ibp.a2mac1.com/costing(costing:projects/details/9760/assembly/8416574)","Cross member")</f>
        <v>Cross member</v>
      </c>
      <c r="B817">
        <v>8416574</v>
      </c>
      <c r="D817">
        <v>8416338</v>
      </c>
      <c r="F817">
        <v>1</v>
      </c>
      <c r="G817">
        <v>0</v>
      </c>
      <c r="H817">
        <v>1.1064417625726477</v>
      </c>
      <c r="I817">
        <v>0</v>
      </c>
      <c r="J817" t="s">
        <v>90</v>
      </c>
      <c r="K817">
        <v>0</v>
      </c>
      <c r="L817">
        <v>1.1064417625726477</v>
      </c>
      <c r="M817">
        <v>0</v>
      </c>
      <c r="N817">
        <v>0</v>
      </c>
      <c r="O817">
        <v>1.1064417625726477</v>
      </c>
      <c r="P817" t="s">
        <v>90</v>
      </c>
      <c r="Q817">
        <v>0</v>
      </c>
      <c r="R817" t="s">
        <v>90</v>
      </c>
      <c r="S817">
        <v>0</v>
      </c>
      <c r="T817" t="s">
        <v>90</v>
      </c>
      <c r="U817">
        <v>0</v>
      </c>
      <c r="V817" t="s">
        <v>90</v>
      </c>
      <c r="W817">
        <v>0</v>
      </c>
      <c r="X817" t="s">
        <v>90</v>
      </c>
      <c r="Y817">
        <v>0</v>
      </c>
      <c r="Z817">
        <v>1.1064417625726477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L817">
        <v>1.147</v>
      </c>
      <c r="AN817" t="s">
        <v>185</v>
      </c>
      <c r="AO817" t="s">
        <v>73</v>
      </c>
      <c r="AP817">
        <v>200000</v>
      </c>
      <c r="AQ817" t="s">
        <v>97</v>
      </c>
      <c r="AS817">
        <v>10000</v>
      </c>
      <c r="AT817" t="s">
        <v>9</v>
      </c>
      <c r="AU817" t="s">
        <v>75</v>
      </c>
      <c r="AV817" t="s">
        <v>76</v>
      </c>
    </row>
    <row r="818" spans="1:48" x14ac:dyDescent="0.15">
      <c r="A818" s="4" t="str">
        <f>HYPERLINK("https://ibp.a2mac1.com/costing(costing:projects/details/9760/assembly/8416575)","Brackets")</f>
        <v>Brackets</v>
      </c>
      <c r="B818">
        <v>8416575</v>
      </c>
      <c r="D818">
        <v>8416338</v>
      </c>
      <c r="F818">
        <v>1</v>
      </c>
      <c r="G818">
        <v>0</v>
      </c>
      <c r="H818">
        <v>0.43848097011247356</v>
      </c>
      <c r="I818">
        <v>0</v>
      </c>
      <c r="J818" t="s">
        <v>90</v>
      </c>
      <c r="K818">
        <v>0</v>
      </c>
      <c r="L818">
        <v>0.43848097011247356</v>
      </c>
      <c r="M818">
        <v>0</v>
      </c>
      <c r="N818">
        <v>0</v>
      </c>
      <c r="O818">
        <v>0.43848097011247356</v>
      </c>
      <c r="P818" t="s">
        <v>90</v>
      </c>
      <c r="Q818">
        <v>0</v>
      </c>
      <c r="R818" t="s">
        <v>90</v>
      </c>
      <c r="S818">
        <v>0</v>
      </c>
      <c r="T818" t="s">
        <v>90</v>
      </c>
      <c r="U818">
        <v>0</v>
      </c>
      <c r="V818" t="s">
        <v>90</v>
      </c>
      <c r="W818">
        <v>0</v>
      </c>
      <c r="X818" t="s">
        <v>90</v>
      </c>
      <c r="Y818">
        <v>0</v>
      </c>
      <c r="Z818">
        <v>0.43848097011247356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L818">
        <v>0.36499999999999999</v>
      </c>
      <c r="AN818" t="s">
        <v>185</v>
      </c>
      <c r="AO818" t="s">
        <v>73</v>
      </c>
      <c r="AP818">
        <v>200000</v>
      </c>
      <c r="AQ818" t="s">
        <v>97</v>
      </c>
      <c r="AS818">
        <v>10000</v>
      </c>
      <c r="AT818" t="s">
        <v>9</v>
      </c>
      <c r="AU818" t="s">
        <v>75</v>
      </c>
      <c r="AV818" t="s">
        <v>76</v>
      </c>
    </row>
    <row r="819" spans="1:48" x14ac:dyDescent="0.15">
      <c r="A819" s="4" t="str">
        <f>HYPERLINK("https://ibp.a2mac1.com/costing(costing:projects/details/9760/assembly/8416338)","Cross member 02 (inner)")</f>
        <v>Cross member 02 (inner)</v>
      </c>
      <c r="B819">
        <v>8416338</v>
      </c>
      <c r="D819">
        <v>8415995</v>
      </c>
      <c r="F819">
        <v>1</v>
      </c>
      <c r="G819">
        <v>0</v>
      </c>
      <c r="H819">
        <v>1.5449227326851211</v>
      </c>
      <c r="I819">
        <v>0</v>
      </c>
      <c r="J819" t="s">
        <v>90</v>
      </c>
      <c r="K819">
        <v>0</v>
      </c>
      <c r="L819">
        <v>1.5449227326851211</v>
      </c>
      <c r="M819">
        <v>0</v>
      </c>
      <c r="N819">
        <v>0</v>
      </c>
      <c r="O819">
        <v>1.5449227326851211</v>
      </c>
      <c r="P819" t="s">
        <v>90</v>
      </c>
      <c r="Q819">
        <v>0</v>
      </c>
      <c r="R819" t="s">
        <v>90</v>
      </c>
      <c r="S819">
        <v>0</v>
      </c>
      <c r="T819" t="s">
        <v>90</v>
      </c>
      <c r="U819">
        <v>0</v>
      </c>
      <c r="V819" t="s">
        <v>90</v>
      </c>
      <c r="W819">
        <v>0</v>
      </c>
      <c r="X819" t="s">
        <v>90</v>
      </c>
      <c r="Y819">
        <v>0</v>
      </c>
      <c r="Z819">
        <v>1.5449227326851211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L819">
        <v>1.512</v>
      </c>
      <c r="AN819" t="s">
        <v>185</v>
      </c>
      <c r="AO819" t="s">
        <v>73</v>
      </c>
      <c r="AP819">
        <v>200000</v>
      </c>
      <c r="AQ819" t="s">
        <v>73</v>
      </c>
      <c r="AS819">
        <v>10000</v>
      </c>
      <c r="AT819" t="s">
        <v>9</v>
      </c>
      <c r="AU819" t="s">
        <v>75</v>
      </c>
      <c r="AV819" t="s">
        <v>76</v>
      </c>
    </row>
    <row r="820" spans="1:48" x14ac:dyDescent="0.15">
      <c r="A820" s="4" t="str">
        <f>HYPERLINK("https://ibp.a2mac1.com/costing(costing:projects/details/9760/assembly/8415995)","Top roll assy")</f>
        <v>Top roll assy</v>
      </c>
      <c r="B820">
        <v>8415995</v>
      </c>
      <c r="D820">
        <v>8415677</v>
      </c>
      <c r="F820">
        <v>1</v>
      </c>
      <c r="G820">
        <v>0</v>
      </c>
      <c r="H820">
        <v>3.4528792020957177</v>
      </c>
      <c r="I820">
        <v>0</v>
      </c>
      <c r="J820" t="s">
        <v>90</v>
      </c>
      <c r="K820">
        <v>0</v>
      </c>
      <c r="L820">
        <v>3.4528792020957177</v>
      </c>
      <c r="M820">
        <v>0</v>
      </c>
      <c r="N820">
        <v>0</v>
      </c>
      <c r="O820">
        <v>3.4528792020957177</v>
      </c>
      <c r="P820" t="s">
        <v>90</v>
      </c>
      <c r="Q820">
        <v>0</v>
      </c>
      <c r="R820" t="s">
        <v>90</v>
      </c>
      <c r="S820">
        <v>0</v>
      </c>
      <c r="T820" t="s">
        <v>90</v>
      </c>
      <c r="U820">
        <v>0</v>
      </c>
      <c r="V820" t="s">
        <v>90</v>
      </c>
      <c r="W820">
        <v>0</v>
      </c>
      <c r="X820" t="s">
        <v>90</v>
      </c>
      <c r="Y820">
        <v>0</v>
      </c>
      <c r="Z820">
        <v>3.4528792020957177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N820" t="s">
        <v>185</v>
      </c>
      <c r="AO820" t="s">
        <v>73</v>
      </c>
      <c r="AP820">
        <v>200000</v>
      </c>
      <c r="AQ820" t="s">
        <v>73</v>
      </c>
      <c r="AS820">
        <v>10000</v>
      </c>
      <c r="AT820" t="s">
        <v>9</v>
      </c>
      <c r="AU820" t="s">
        <v>75</v>
      </c>
      <c r="AV820" t="s">
        <v>76</v>
      </c>
    </row>
    <row r="821" spans="1:48" x14ac:dyDescent="0.15">
      <c r="A821" s="4" t="str">
        <f>HYPERLINK("https://ibp.a2mac1.com/costing(costing:projects/details/9760/assembly/8416339)","Panel")</f>
        <v>Panel</v>
      </c>
      <c r="B821">
        <v>8416339</v>
      </c>
      <c r="D821">
        <v>8415996</v>
      </c>
      <c r="F821">
        <v>1</v>
      </c>
      <c r="G821">
        <v>0</v>
      </c>
      <c r="H821">
        <v>4.6720850126835556</v>
      </c>
      <c r="I821">
        <v>0</v>
      </c>
      <c r="J821" t="s">
        <v>90</v>
      </c>
      <c r="K821">
        <v>0</v>
      </c>
      <c r="L821">
        <v>4.6720850126835556</v>
      </c>
      <c r="M821">
        <v>0</v>
      </c>
      <c r="N821">
        <v>0</v>
      </c>
      <c r="O821">
        <v>4.6720850126835556</v>
      </c>
      <c r="P821" t="s">
        <v>90</v>
      </c>
      <c r="Q821">
        <v>0</v>
      </c>
      <c r="R821" t="s">
        <v>90</v>
      </c>
      <c r="S821">
        <v>0</v>
      </c>
      <c r="T821" t="s">
        <v>90</v>
      </c>
      <c r="U821">
        <v>0</v>
      </c>
      <c r="V821" t="s">
        <v>90</v>
      </c>
      <c r="W821">
        <v>0</v>
      </c>
      <c r="X821" t="s">
        <v>90</v>
      </c>
      <c r="Y821">
        <v>0</v>
      </c>
      <c r="Z821">
        <v>4.6720850126835556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L821">
        <v>4.2590000000000003</v>
      </c>
      <c r="AN821" t="s">
        <v>185</v>
      </c>
      <c r="AO821" t="s">
        <v>73</v>
      </c>
      <c r="AP821">
        <v>200000</v>
      </c>
      <c r="AQ821" t="s">
        <v>73</v>
      </c>
      <c r="AS821">
        <v>10000</v>
      </c>
      <c r="AT821" t="s">
        <v>9</v>
      </c>
      <c r="AU821" t="s">
        <v>75</v>
      </c>
      <c r="AV821" t="s">
        <v>76</v>
      </c>
    </row>
    <row r="822" spans="1:48" x14ac:dyDescent="0.15">
      <c r="A822" s="4" t="str">
        <f>HYPERLINK("https://ibp.a2mac1.com/costing(costing:projects/details/9760/assembly/8415996)","Outer panel")</f>
        <v>Outer panel</v>
      </c>
      <c r="B822">
        <v>8415996</v>
      </c>
      <c r="D822">
        <v>8415677</v>
      </c>
      <c r="F822">
        <v>1</v>
      </c>
      <c r="G822">
        <v>0</v>
      </c>
      <c r="H822">
        <v>4.6720850126835556</v>
      </c>
      <c r="I822">
        <v>0</v>
      </c>
      <c r="J822" t="s">
        <v>90</v>
      </c>
      <c r="K822">
        <v>0</v>
      </c>
      <c r="L822">
        <v>4.6720850126835556</v>
      </c>
      <c r="M822">
        <v>0</v>
      </c>
      <c r="N822">
        <v>0</v>
      </c>
      <c r="O822">
        <v>4.6720850126835556</v>
      </c>
      <c r="P822" t="s">
        <v>90</v>
      </c>
      <c r="Q822">
        <v>0</v>
      </c>
      <c r="R822" t="s">
        <v>90</v>
      </c>
      <c r="S822">
        <v>0</v>
      </c>
      <c r="T822" t="s">
        <v>90</v>
      </c>
      <c r="U822">
        <v>0</v>
      </c>
      <c r="V822" t="s">
        <v>90</v>
      </c>
      <c r="W822">
        <v>0</v>
      </c>
      <c r="X822" t="s">
        <v>90</v>
      </c>
      <c r="Y822">
        <v>0</v>
      </c>
      <c r="Z822">
        <v>4.6720850126835556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L822">
        <v>4.2590000000000003</v>
      </c>
      <c r="AN822" t="s">
        <v>185</v>
      </c>
      <c r="AO822" t="s">
        <v>73</v>
      </c>
      <c r="AP822">
        <v>200000</v>
      </c>
      <c r="AQ822" t="s">
        <v>73</v>
      </c>
      <c r="AS822">
        <v>10000</v>
      </c>
      <c r="AT822" t="s">
        <v>9</v>
      </c>
      <c r="AU822" t="s">
        <v>75</v>
      </c>
      <c r="AV822" t="s">
        <v>76</v>
      </c>
    </row>
    <row r="823" spans="1:48" x14ac:dyDescent="0.15">
      <c r="A823" s="4" t="str">
        <f>HYPERLINK("https://ibp.a2mac1.com/costing(costing:projects/details/9760/assembly/8415677)","Front Passenger Door")</f>
        <v>Front Passenger Door</v>
      </c>
      <c r="B823">
        <v>8415677</v>
      </c>
      <c r="D823">
        <v>8415587</v>
      </c>
      <c r="F823">
        <v>1</v>
      </c>
      <c r="G823">
        <v>0</v>
      </c>
      <c r="H823">
        <v>17.337010510994112</v>
      </c>
      <c r="I823">
        <v>0</v>
      </c>
      <c r="J823" t="s">
        <v>90</v>
      </c>
      <c r="K823">
        <v>0</v>
      </c>
      <c r="L823">
        <v>17.337010510994112</v>
      </c>
      <c r="M823">
        <v>0</v>
      </c>
      <c r="N823">
        <v>0.6579133898279117</v>
      </c>
      <c r="O823">
        <v>17.994923900822023</v>
      </c>
      <c r="P823" t="s">
        <v>90</v>
      </c>
      <c r="Q823">
        <v>0</v>
      </c>
      <c r="R823" t="s">
        <v>90</v>
      </c>
      <c r="S823">
        <v>0</v>
      </c>
      <c r="T823" t="s">
        <v>90</v>
      </c>
      <c r="U823">
        <v>0</v>
      </c>
      <c r="V823" t="s">
        <v>90</v>
      </c>
      <c r="W823">
        <v>0</v>
      </c>
      <c r="X823" t="s">
        <v>90</v>
      </c>
      <c r="Y823">
        <v>0</v>
      </c>
      <c r="Z823">
        <v>17.994923900822023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175</v>
      </c>
      <c r="AI823">
        <v>1196</v>
      </c>
      <c r="AJ823">
        <v>763</v>
      </c>
      <c r="AL823">
        <v>16.239999999999998</v>
      </c>
      <c r="AN823" t="s">
        <v>185</v>
      </c>
      <c r="AO823" t="s">
        <v>73</v>
      </c>
      <c r="AP823">
        <v>200000</v>
      </c>
      <c r="AQ823" t="s">
        <v>73</v>
      </c>
      <c r="AS823">
        <v>10000</v>
      </c>
      <c r="AT823" t="s">
        <v>6601</v>
      </c>
      <c r="AU823" t="s">
        <v>75</v>
      </c>
      <c r="AV823" t="s">
        <v>76</v>
      </c>
    </row>
    <row r="824" spans="1:48" x14ac:dyDescent="0.15">
      <c r="A824" s="4" t="str">
        <f>HYPERLINK("https://ibp.a2mac1.com/costing(costing:projects/details/9760/assembly/8416009)","Door handle")</f>
        <v>Door handle</v>
      </c>
      <c r="B824">
        <v>8416009</v>
      </c>
      <c r="D824">
        <v>8415678</v>
      </c>
      <c r="F824">
        <v>1</v>
      </c>
      <c r="G824">
        <v>0</v>
      </c>
      <c r="H824">
        <v>2.7769892277879231</v>
      </c>
      <c r="I824">
        <v>0</v>
      </c>
      <c r="J824" t="s">
        <v>90</v>
      </c>
      <c r="K824">
        <v>0</v>
      </c>
      <c r="L824">
        <v>2.7769892277879231</v>
      </c>
      <c r="M824">
        <v>0</v>
      </c>
      <c r="N824">
        <v>0</v>
      </c>
      <c r="O824">
        <v>2.7769892277879231</v>
      </c>
      <c r="P824" t="s">
        <v>90</v>
      </c>
      <c r="Q824">
        <v>0</v>
      </c>
      <c r="R824" t="s">
        <v>90</v>
      </c>
      <c r="S824">
        <v>0</v>
      </c>
      <c r="T824" t="s">
        <v>90</v>
      </c>
      <c r="U824">
        <v>0</v>
      </c>
      <c r="V824" t="s">
        <v>90</v>
      </c>
      <c r="W824">
        <v>0</v>
      </c>
      <c r="X824" t="s">
        <v>90</v>
      </c>
      <c r="Y824">
        <v>0</v>
      </c>
      <c r="Z824">
        <v>2.7769892277879231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L824">
        <v>0.35439999999999999</v>
      </c>
      <c r="AN824" t="s">
        <v>185</v>
      </c>
      <c r="AO824" t="s">
        <v>73</v>
      </c>
      <c r="AP824">
        <v>200000</v>
      </c>
      <c r="AQ824" t="s">
        <v>73</v>
      </c>
      <c r="AS824">
        <v>10000</v>
      </c>
      <c r="AT824" t="s">
        <v>6613</v>
      </c>
      <c r="AU824" t="s">
        <v>75</v>
      </c>
      <c r="AV824" t="s">
        <v>76</v>
      </c>
    </row>
    <row r="825" spans="1:48" x14ac:dyDescent="0.15">
      <c r="A825" s="4" t="str">
        <f>HYPERLINK("https://ibp.a2mac1.com/costing(costing:projects/details/9760/assembly/8416010)","Speaker Grill System")</f>
        <v>Speaker Grill System</v>
      </c>
      <c r="B825">
        <v>8416010</v>
      </c>
      <c r="D825">
        <v>8415678</v>
      </c>
      <c r="F825">
        <v>1</v>
      </c>
      <c r="G825">
        <v>0</v>
      </c>
      <c r="H825">
        <v>1.5220755671151673</v>
      </c>
      <c r="I825">
        <v>0</v>
      </c>
      <c r="J825" t="s">
        <v>90</v>
      </c>
      <c r="K825">
        <v>0</v>
      </c>
      <c r="L825">
        <v>1.5220755671151673</v>
      </c>
      <c r="M825">
        <v>0</v>
      </c>
      <c r="N825">
        <v>0</v>
      </c>
      <c r="O825">
        <v>1.5220755671151673</v>
      </c>
      <c r="P825" t="s">
        <v>90</v>
      </c>
      <c r="Q825">
        <v>0</v>
      </c>
      <c r="R825" t="s">
        <v>90</v>
      </c>
      <c r="S825">
        <v>0</v>
      </c>
      <c r="T825" t="s">
        <v>90</v>
      </c>
      <c r="U825">
        <v>0</v>
      </c>
      <c r="V825" t="s">
        <v>90</v>
      </c>
      <c r="W825">
        <v>0</v>
      </c>
      <c r="X825" t="s">
        <v>90</v>
      </c>
      <c r="Y825">
        <v>0</v>
      </c>
      <c r="Z825">
        <v>1.5220755671151673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L825">
        <v>0.20100000000000001</v>
      </c>
      <c r="AN825" t="s">
        <v>185</v>
      </c>
      <c r="AO825" t="s">
        <v>73</v>
      </c>
      <c r="AP825">
        <v>200000</v>
      </c>
      <c r="AQ825" t="s">
        <v>73</v>
      </c>
      <c r="AS825">
        <v>10000</v>
      </c>
      <c r="AT825" t="s">
        <v>6630</v>
      </c>
      <c r="AU825" t="s">
        <v>75</v>
      </c>
      <c r="AV825" t="s">
        <v>76</v>
      </c>
    </row>
    <row r="826" spans="1:48" x14ac:dyDescent="0.15">
      <c r="A826" s="4" t="str">
        <f>HYPERLINK("https://ibp.a2mac1.com/costing(costing:projects/details/9760/assembly/8415678)","Door Panel")</f>
        <v>Door Panel</v>
      </c>
      <c r="B826">
        <v>8415678</v>
      </c>
      <c r="D826">
        <v>8415587</v>
      </c>
      <c r="F826">
        <v>1</v>
      </c>
      <c r="G826">
        <v>0</v>
      </c>
      <c r="H826">
        <v>26.529772951723174</v>
      </c>
      <c r="I826">
        <v>0.13331544196845815</v>
      </c>
      <c r="J826" t="s">
        <v>176</v>
      </c>
      <c r="K826">
        <v>0.92854205331031103</v>
      </c>
      <c r="L826">
        <v>27.591630447001943</v>
      </c>
      <c r="M826">
        <v>0</v>
      </c>
      <c r="N826">
        <v>0</v>
      </c>
      <c r="O826">
        <v>27.591630447001943</v>
      </c>
      <c r="P826" t="s">
        <v>177</v>
      </c>
      <c r="Q826">
        <v>1.6554978268201166</v>
      </c>
      <c r="R826" t="s">
        <v>177</v>
      </c>
      <c r="S826">
        <v>0</v>
      </c>
      <c r="T826" t="s">
        <v>178</v>
      </c>
      <c r="U826">
        <v>3.3109956536402332</v>
      </c>
      <c r="V826" t="s">
        <v>90</v>
      </c>
      <c r="W826">
        <v>0</v>
      </c>
      <c r="X826" t="s">
        <v>90</v>
      </c>
      <c r="Y826">
        <v>0</v>
      </c>
      <c r="Z826">
        <v>32.55812392746229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143</v>
      </c>
      <c r="AI826">
        <v>945</v>
      </c>
      <c r="AJ826">
        <v>630</v>
      </c>
      <c r="AL826">
        <v>4.0435999999999996</v>
      </c>
      <c r="AN826" t="s">
        <v>772</v>
      </c>
      <c r="AO826" t="s">
        <v>73</v>
      </c>
      <c r="AP826">
        <v>200000</v>
      </c>
      <c r="AQ826" t="s">
        <v>97</v>
      </c>
      <c r="AS826">
        <v>10000</v>
      </c>
      <c r="AT826" t="s">
        <v>6681</v>
      </c>
      <c r="AU826" t="s">
        <v>75</v>
      </c>
      <c r="AV826" t="s">
        <v>76</v>
      </c>
    </row>
    <row r="827" spans="1:48" x14ac:dyDescent="0.15">
      <c r="A827" s="4" t="str">
        <f>HYPERLINK("https://ibp.a2mac1.com/costing(costing:projects/details/9760/assembly/8416017)","Interior Side")</f>
        <v>Interior Side</v>
      </c>
      <c r="B827">
        <v>8416017</v>
      </c>
      <c r="D827">
        <v>8415679</v>
      </c>
      <c r="F827">
        <v>1</v>
      </c>
      <c r="G827">
        <v>0</v>
      </c>
      <c r="H827">
        <v>2.0059355191261328</v>
      </c>
      <c r="I827">
        <v>0</v>
      </c>
      <c r="J827" t="s">
        <v>90</v>
      </c>
      <c r="K827">
        <v>0</v>
      </c>
      <c r="L827">
        <v>2.0059355191261328</v>
      </c>
      <c r="M827">
        <v>0</v>
      </c>
      <c r="N827">
        <v>0</v>
      </c>
      <c r="O827">
        <v>2.0059355191261328</v>
      </c>
      <c r="P827" t="s">
        <v>90</v>
      </c>
      <c r="Q827">
        <v>0</v>
      </c>
      <c r="R827" t="s">
        <v>90</v>
      </c>
      <c r="S827">
        <v>0</v>
      </c>
      <c r="T827" t="s">
        <v>90</v>
      </c>
      <c r="U827">
        <v>0</v>
      </c>
      <c r="V827" t="s">
        <v>90</v>
      </c>
      <c r="W827">
        <v>0</v>
      </c>
      <c r="X827" t="s">
        <v>90</v>
      </c>
      <c r="Y827">
        <v>0</v>
      </c>
      <c r="Z827">
        <v>2.0059355191261328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L827">
        <v>0.11700000000000001</v>
      </c>
      <c r="AN827" t="s">
        <v>185</v>
      </c>
      <c r="AO827" t="s">
        <v>73</v>
      </c>
      <c r="AP827">
        <v>200000</v>
      </c>
      <c r="AQ827" t="s">
        <v>97</v>
      </c>
      <c r="AS827">
        <v>10000</v>
      </c>
      <c r="AT827" t="s">
        <v>6696</v>
      </c>
      <c r="AU827" t="s">
        <v>75</v>
      </c>
      <c r="AV827" t="s">
        <v>76</v>
      </c>
    </row>
    <row r="828" spans="1:48" x14ac:dyDescent="0.15">
      <c r="A828" s="4" t="str">
        <f>HYPERLINK("https://ibp.a2mac1.com/costing(costing:projects/details/9760/assembly/8416018)","Exterior Side")</f>
        <v>Exterior Side</v>
      </c>
      <c r="B828">
        <v>8416018</v>
      </c>
      <c r="D828">
        <v>8415679</v>
      </c>
      <c r="F828">
        <v>1</v>
      </c>
      <c r="G828">
        <v>0</v>
      </c>
      <c r="H828">
        <v>5.4881850254329683</v>
      </c>
      <c r="I828">
        <v>0</v>
      </c>
      <c r="J828" t="s">
        <v>90</v>
      </c>
      <c r="K828">
        <v>0</v>
      </c>
      <c r="L828">
        <v>5.4881850254329683</v>
      </c>
      <c r="M828">
        <v>0</v>
      </c>
      <c r="N828">
        <v>0</v>
      </c>
      <c r="O828">
        <v>5.4881850254329683</v>
      </c>
      <c r="P828" t="s">
        <v>90</v>
      </c>
      <c r="Q828">
        <v>0</v>
      </c>
      <c r="R828" t="s">
        <v>90</v>
      </c>
      <c r="S828">
        <v>0</v>
      </c>
      <c r="T828" t="s">
        <v>90</v>
      </c>
      <c r="U828">
        <v>0</v>
      </c>
      <c r="V828" t="s">
        <v>90</v>
      </c>
      <c r="W828">
        <v>0</v>
      </c>
      <c r="X828" t="s">
        <v>90</v>
      </c>
      <c r="Y828">
        <v>0</v>
      </c>
      <c r="Z828">
        <v>5.4881850254329683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L828">
        <v>0.52300000000000002</v>
      </c>
      <c r="AN828" t="s">
        <v>185</v>
      </c>
      <c r="AO828" t="s">
        <v>73</v>
      </c>
      <c r="AP828">
        <v>200000</v>
      </c>
      <c r="AQ828" t="s">
        <v>97</v>
      </c>
      <c r="AS828">
        <v>10000</v>
      </c>
      <c r="AT828" t="s">
        <v>6717</v>
      </c>
      <c r="AU828" t="s">
        <v>75</v>
      </c>
      <c r="AV828" t="s">
        <v>76</v>
      </c>
    </row>
    <row r="829" spans="1:48" x14ac:dyDescent="0.15">
      <c r="A829" s="4" t="str">
        <f>HYPERLINK("https://ibp.a2mac1.com/costing(costing:projects/details/9760/assembly/8415679)","Door Mechanism")</f>
        <v>Door Mechanism</v>
      </c>
      <c r="B829">
        <v>8415679</v>
      </c>
      <c r="D829">
        <v>8415587</v>
      </c>
      <c r="F829">
        <v>1</v>
      </c>
      <c r="G829">
        <v>0</v>
      </c>
      <c r="H829">
        <v>21.06190592389455</v>
      </c>
      <c r="I829">
        <v>0</v>
      </c>
      <c r="J829" t="s">
        <v>90</v>
      </c>
      <c r="K829">
        <v>0</v>
      </c>
      <c r="L829">
        <v>21.06190592389455</v>
      </c>
      <c r="M829">
        <v>0</v>
      </c>
      <c r="N829">
        <v>0.21945668007767058</v>
      </c>
      <c r="O829">
        <v>21.281362603972219</v>
      </c>
      <c r="P829" t="s">
        <v>90</v>
      </c>
      <c r="Q829">
        <v>0</v>
      </c>
      <c r="R829" t="s">
        <v>90</v>
      </c>
      <c r="S829">
        <v>0</v>
      </c>
      <c r="T829" t="s">
        <v>90</v>
      </c>
      <c r="U829">
        <v>0</v>
      </c>
      <c r="V829" t="s">
        <v>90</v>
      </c>
      <c r="W829">
        <v>0</v>
      </c>
      <c r="X829" t="s">
        <v>90</v>
      </c>
      <c r="Y829">
        <v>0</v>
      </c>
      <c r="Z829">
        <v>21.281362603972219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L829">
        <v>1.609</v>
      </c>
      <c r="AN829" t="s">
        <v>185</v>
      </c>
      <c r="AO829" t="s">
        <v>73</v>
      </c>
      <c r="AP829">
        <v>200000</v>
      </c>
      <c r="AQ829" t="s">
        <v>73</v>
      </c>
      <c r="AS829">
        <v>10000</v>
      </c>
      <c r="AT829" t="s">
        <v>6729</v>
      </c>
      <c r="AU829" t="s">
        <v>75</v>
      </c>
      <c r="AV829" t="s">
        <v>76</v>
      </c>
    </row>
    <row r="830" spans="1:48" x14ac:dyDescent="0.15">
      <c r="A830" s="4" t="str">
        <f>HYPERLINK("https://ibp.a2mac1.com/costing(costing:projects/details/9760/assembly/8416020)","Window Regulator Motor")</f>
        <v>Window Regulator Motor</v>
      </c>
      <c r="B830">
        <v>8416020</v>
      </c>
      <c r="D830">
        <v>8415680</v>
      </c>
      <c r="F830">
        <v>1</v>
      </c>
      <c r="G830">
        <v>0</v>
      </c>
      <c r="H830">
        <v>6.8191527621095007</v>
      </c>
      <c r="I830">
        <v>3.4267099307082917E-2</v>
      </c>
      <c r="J830" t="s">
        <v>176</v>
      </c>
      <c r="K830">
        <v>0.23867034667383252</v>
      </c>
      <c r="L830">
        <v>7.0920902080904158</v>
      </c>
      <c r="M830">
        <v>0</v>
      </c>
      <c r="N830">
        <v>0.60734430719757238</v>
      </c>
      <c r="O830">
        <v>7.6994345152879884</v>
      </c>
      <c r="P830" t="s">
        <v>177</v>
      </c>
      <c r="Q830">
        <v>0.42552541248542497</v>
      </c>
      <c r="R830" t="s">
        <v>177</v>
      </c>
      <c r="S830">
        <v>3.6440658431854338E-2</v>
      </c>
      <c r="T830" t="s">
        <v>178</v>
      </c>
      <c r="U830">
        <v>0.92393214183455863</v>
      </c>
      <c r="V830" t="s">
        <v>90</v>
      </c>
      <c r="W830">
        <v>0</v>
      </c>
      <c r="X830" t="s">
        <v>90</v>
      </c>
      <c r="Y830">
        <v>0</v>
      </c>
      <c r="Z830">
        <v>9.0853327280398268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50</v>
      </c>
      <c r="AI830">
        <v>193</v>
      </c>
      <c r="AJ830">
        <v>130</v>
      </c>
      <c r="AL830">
        <v>0.61799999999999999</v>
      </c>
      <c r="AN830" t="s">
        <v>365</v>
      </c>
      <c r="AO830" t="s">
        <v>73</v>
      </c>
      <c r="AP830">
        <v>200000</v>
      </c>
      <c r="AQ830" t="s">
        <v>97</v>
      </c>
      <c r="AS830">
        <v>10000</v>
      </c>
      <c r="AT830" t="s">
        <v>6733</v>
      </c>
      <c r="AU830" t="s">
        <v>75</v>
      </c>
      <c r="AV830" t="s">
        <v>76</v>
      </c>
    </row>
    <row r="831" spans="1:48" x14ac:dyDescent="0.15">
      <c r="A831" s="4" t="str">
        <f>HYPERLINK("https://ibp.a2mac1.com/costing(costing:projects/details/9760/assembly/8416021)","Window")</f>
        <v>Window</v>
      </c>
      <c r="B831">
        <v>8416021</v>
      </c>
      <c r="D831">
        <v>8415680</v>
      </c>
      <c r="E831" t="e">
        <v>#VALUE!</v>
      </c>
      <c r="F831">
        <v>1</v>
      </c>
      <c r="G831">
        <v>0</v>
      </c>
      <c r="H831">
        <v>29.540466638976628</v>
      </c>
      <c r="I831">
        <v>0.14844455597475692</v>
      </c>
      <c r="J831" t="s">
        <v>176</v>
      </c>
      <c r="K831">
        <v>1.033916332364182</v>
      </c>
      <c r="L831">
        <v>30.722827527315566</v>
      </c>
      <c r="M831">
        <v>0</v>
      </c>
      <c r="N831">
        <v>0</v>
      </c>
      <c r="O831">
        <v>30.722827527315566</v>
      </c>
      <c r="P831" t="s">
        <v>177</v>
      </c>
      <c r="Q831">
        <v>1.843369651638934</v>
      </c>
      <c r="R831" t="s">
        <v>177</v>
      </c>
      <c r="S831">
        <v>0</v>
      </c>
      <c r="T831" t="s">
        <v>178</v>
      </c>
      <c r="U831">
        <v>3.6867393032778679</v>
      </c>
      <c r="V831" t="s">
        <v>90</v>
      </c>
      <c r="W831">
        <v>0</v>
      </c>
      <c r="X831" t="s">
        <v>90</v>
      </c>
      <c r="Y831">
        <v>0</v>
      </c>
      <c r="Z831">
        <v>36.252936482232371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990</v>
      </c>
      <c r="AJ831">
        <v>600</v>
      </c>
      <c r="AK831">
        <v>0</v>
      </c>
      <c r="AL831">
        <v>4.2610000000000001</v>
      </c>
      <c r="AN831" t="s">
        <v>5305</v>
      </c>
      <c r="AO831" t="s">
        <v>73</v>
      </c>
      <c r="AP831">
        <v>200000</v>
      </c>
      <c r="AQ831" t="s">
        <v>97</v>
      </c>
      <c r="AS831">
        <v>10000</v>
      </c>
      <c r="AT831" t="s">
        <v>6737</v>
      </c>
      <c r="AU831" t="s">
        <v>75</v>
      </c>
      <c r="AV831" t="s">
        <v>76</v>
      </c>
    </row>
    <row r="832" spans="1:48" x14ac:dyDescent="0.15">
      <c r="A832" s="4" t="str">
        <f>HYPERLINK("https://ibp.a2mac1.com/costing(costing:projects/details/9760/assembly/8415680)","Window System")</f>
        <v>Window System</v>
      </c>
      <c r="B832">
        <v>8415680</v>
      </c>
      <c r="D832">
        <v>8415587</v>
      </c>
      <c r="F832">
        <v>1</v>
      </c>
      <c r="G832">
        <v>0</v>
      </c>
      <c r="H832">
        <v>52.988269210272193</v>
      </c>
      <c r="I832">
        <v>0</v>
      </c>
      <c r="J832" t="s">
        <v>90</v>
      </c>
      <c r="K832">
        <v>0</v>
      </c>
      <c r="L832">
        <v>52.988269210272193</v>
      </c>
      <c r="M832">
        <v>0</v>
      </c>
      <c r="N832">
        <v>0</v>
      </c>
      <c r="O832">
        <v>52.988269210272193</v>
      </c>
      <c r="P832" t="s">
        <v>90</v>
      </c>
      <c r="Q832">
        <v>0</v>
      </c>
      <c r="R832" t="s">
        <v>90</v>
      </c>
      <c r="S832">
        <v>0</v>
      </c>
      <c r="T832" t="s">
        <v>90</v>
      </c>
      <c r="U832">
        <v>0</v>
      </c>
      <c r="V832" t="s">
        <v>90</v>
      </c>
      <c r="W832">
        <v>0</v>
      </c>
      <c r="X832" t="s">
        <v>90</v>
      </c>
      <c r="Y832">
        <v>0</v>
      </c>
      <c r="Z832">
        <v>52.988269210272193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L832">
        <v>5.9469000000000003</v>
      </c>
      <c r="AN832" t="s">
        <v>185</v>
      </c>
      <c r="AO832" t="s">
        <v>73</v>
      </c>
      <c r="AP832">
        <v>200000</v>
      </c>
      <c r="AQ832" t="s">
        <v>73</v>
      </c>
      <c r="AS832">
        <v>10000</v>
      </c>
      <c r="AT832" t="s">
        <v>6739</v>
      </c>
      <c r="AU832" t="s">
        <v>75</v>
      </c>
      <c r="AV832" t="s">
        <v>76</v>
      </c>
    </row>
    <row r="833" spans="1:48" x14ac:dyDescent="0.15">
      <c r="A833" s="4" t="str">
        <f>HYPERLINK("https://ibp.a2mac1.com/costing(costing:projects/details/9760/assembly/8416025)","Door Weatherstripping")</f>
        <v>Door Weatherstripping</v>
      </c>
      <c r="B833">
        <v>8416025</v>
      </c>
      <c r="D833">
        <v>8415681</v>
      </c>
      <c r="F833">
        <v>1</v>
      </c>
      <c r="G833">
        <v>0</v>
      </c>
      <c r="H833">
        <v>8.2853885691633096</v>
      </c>
      <c r="I833">
        <v>0</v>
      </c>
      <c r="J833" t="s">
        <v>90</v>
      </c>
      <c r="K833">
        <v>0</v>
      </c>
      <c r="L833">
        <v>8.2853885691633096</v>
      </c>
      <c r="M833">
        <v>0</v>
      </c>
      <c r="N833">
        <v>0</v>
      </c>
      <c r="O833">
        <v>8.2853885691633096</v>
      </c>
      <c r="P833" t="s">
        <v>90</v>
      </c>
      <c r="Q833">
        <v>0</v>
      </c>
      <c r="R833" t="s">
        <v>90</v>
      </c>
      <c r="S833">
        <v>0</v>
      </c>
      <c r="T833" t="s">
        <v>90</v>
      </c>
      <c r="U833">
        <v>0</v>
      </c>
      <c r="V833" t="s">
        <v>90</v>
      </c>
      <c r="W833">
        <v>0</v>
      </c>
      <c r="X833" t="s">
        <v>90</v>
      </c>
      <c r="Y833">
        <v>0</v>
      </c>
      <c r="Z833">
        <v>8.2853885691633096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L833">
        <v>1.7423999999999999</v>
      </c>
      <c r="AN833" t="s">
        <v>185</v>
      </c>
      <c r="AO833" t="s">
        <v>73</v>
      </c>
      <c r="AP833">
        <v>200000</v>
      </c>
      <c r="AQ833" t="s">
        <v>73</v>
      </c>
      <c r="AS833">
        <v>10000</v>
      </c>
      <c r="AT833" t="s">
        <v>6749</v>
      </c>
      <c r="AU833" t="s">
        <v>75</v>
      </c>
      <c r="AV833" t="s">
        <v>76</v>
      </c>
    </row>
    <row r="834" spans="1:48" x14ac:dyDescent="0.15">
      <c r="A834" s="4" t="str">
        <f>HYPERLINK("https://ibp.a2mac1.com/costing(costing:projects/details/9760/assembly/8415681)","Sealing System")</f>
        <v>Sealing System</v>
      </c>
      <c r="B834">
        <v>8415681</v>
      </c>
      <c r="D834">
        <v>8415587</v>
      </c>
      <c r="F834">
        <v>1</v>
      </c>
      <c r="G834">
        <v>0</v>
      </c>
      <c r="H834">
        <v>12.261759368010551</v>
      </c>
      <c r="I834">
        <v>0</v>
      </c>
      <c r="J834" t="s">
        <v>90</v>
      </c>
      <c r="K834">
        <v>0</v>
      </c>
      <c r="L834">
        <v>12.261759368010551</v>
      </c>
      <c r="M834">
        <v>0</v>
      </c>
      <c r="N834">
        <v>0</v>
      </c>
      <c r="O834">
        <v>12.261759368010551</v>
      </c>
      <c r="P834" t="s">
        <v>90</v>
      </c>
      <c r="Q834">
        <v>0</v>
      </c>
      <c r="R834" t="s">
        <v>90</v>
      </c>
      <c r="S834">
        <v>0</v>
      </c>
      <c r="T834" t="s">
        <v>90</v>
      </c>
      <c r="U834">
        <v>0</v>
      </c>
      <c r="V834" t="s">
        <v>90</v>
      </c>
      <c r="W834">
        <v>0</v>
      </c>
      <c r="X834" t="s">
        <v>90</v>
      </c>
      <c r="Y834">
        <v>0</v>
      </c>
      <c r="Z834">
        <v>12.261759368010551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L834">
        <v>2.6823999999999999</v>
      </c>
      <c r="AN834" t="s">
        <v>185</v>
      </c>
      <c r="AO834" t="s">
        <v>73</v>
      </c>
      <c r="AP834">
        <v>200000</v>
      </c>
      <c r="AQ834" t="s">
        <v>73</v>
      </c>
      <c r="AS834">
        <v>10000</v>
      </c>
      <c r="AT834" t="s">
        <v>6759</v>
      </c>
      <c r="AU834" t="s">
        <v>75</v>
      </c>
      <c r="AV834" t="s">
        <v>76</v>
      </c>
    </row>
    <row r="835" spans="1:48" x14ac:dyDescent="0.15">
      <c r="A835" s="4" t="str">
        <f>HYPERLINK("https://ibp.a2mac1.com/costing(costing:projects/details/9760/assembly/8416028)","Upper")</f>
        <v>Upper</v>
      </c>
      <c r="B835">
        <v>8416028</v>
      </c>
      <c r="D835">
        <v>8415682</v>
      </c>
      <c r="F835">
        <v>1</v>
      </c>
      <c r="G835">
        <v>0</v>
      </c>
      <c r="H835">
        <v>2.8353451840374486</v>
      </c>
      <c r="I835">
        <v>1.4247965748931902E-2</v>
      </c>
      <c r="J835" t="s">
        <v>176</v>
      </c>
      <c r="K835">
        <v>9.9237081441310701E-2</v>
      </c>
      <c r="L835">
        <v>2.9488302312276913</v>
      </c>
      <c r="M835">
        <v>0</v>
      </c>
      <c r="N835">
        <v>0</v>
      </c>
      <c r="O835">
        <v>2.9488302312276913</v>
      </c>
      <c r="P835" t="s">
        <v>177</v>
      </c>
      <c r="Q835">
        <v>0.17692981387366147</v>
      </c>
      <c r="R835" t="s">
        <v>177</v>
      </c>
      <c r="S835">
        <v>0</v>
      </c>
      <c r="T835" t="s">
        <v>178</v>
      </c>
      <c r="U835">
        <v>0.35385962774732294</v>
      </c>
      <c r="V835" t="s">
        <v>90</v>
      </c>
      <c r="W835">
        <v>0</v>
      </c>
      <c r="X835" t="s">
        <v>90</v>
      </c>
      <c r="Y835">
        <v>0</v>
      </c>
      <c r="Z835">
        <v>3.4796196728486755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L835">
        <v>0.378</v>
      </c>
      <c r="AN835" t="s">
        <v>5281</v>
      </c>
      <c r="AO835" t="s">
        <v>73</v>
      </c>
      <c r="AP835">
        <v>200000</v>
      </c>
      <c r="AQ835" t="s">
        <v>97</v>
      </c>
      <c r="AS835">
        <v>10000</v>
      </c>
      <c r="AT835" t="s">
        <v>6768</v>
      </c>
      <c r="AU835" t="s">
        <v>75</v>
      </c>
      <c r="AV835" t="s">
        <v>76</v>
      </c>
    </row>
    <row r="836" spans="1:48" x14ac:dyDescent="0.15">
      <c r="A836" s="4" t="str">
        <f>HYPERLINK("https://ibp.a2mac1.com/costing(costing:projects/details/9760/assembly/8416029)","Lower")</f>
        <v>Lower</v>
      </c>
      <c r="B836">
        <v>8416029</v>
      </c>
      <c r="D836">
        <v>8415682</v>
      </c>
      <c r="F836">
        <v>1</v>
      </c>
      <c r="G836">
        <v>0</v>
      </c>
      <c r="H836">
        <v>3.088027661576866</v>
      </c>
      <c r="I836">
        <v>1.5517726942597317E-2</v>
      </c>
      <c r="J836" t="s">
        <v>176</v>
      </c>
      <c r="K836">
        <v>0.1080809681551903</v>
      </c>
      <c r="L836">
        <v>3.2116263566746537</v>
      </c>
      <c r="M836">
        <v>0</v>
      </c>
      <c r="N836">
        <v>0</v>
      </c>
      <c r="O836">
        <v>3.2116263566746537</v>
      </c>
      <c r="P836" t="s">
        <v>177</v>
      </c>
      <c r="Q836">
        <v>0.19269758140047921</v>
      </c>
      <c r="R836" t="s">
        <v>177</v>
      </c>
      <c r="S836">
        <v>0</v>
      </c>
      <c r="T836" t="s">
        <v>178</v>
      </c>
      <c r="U836">
        <v>0.38539516280095842</v>
      </c>
      <c r="V836" t="s">
        <v>90</v>
      </c>
      <c r="W836">
        <v>0</v>
      </c>
      <c r="X836" t="s">
        <v>90</v>
      </c>
      <c r="Y836">
        <v>0</v>
      </c>
      <c r="Z836">
        <v>3.7897191008760913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L836">
        <v>0.4</v>
      </c>
      <c r="AN836" t="s">
        <v>5281</v>
      </c>
      <c r="AO836" t="s">
        <v>73</v>
      </c>
      <c r="AP836">
        <v>200000</v>
      </c>
      <c r="AQ836" t="s">
        <v>97</v>
      </c>
      <c r="AS836">
        <v>10000</v>
      </c>
      <c r="AT836" t="s">
        <v>6776</v>
      </c>
      <c r="AU836" t="s">
        <v>75</v>
      </c>
      <c r="AV836" t="s">
        <v>76</v>
      </c>
    </row>
    <row r="837" spans="1:48" x14ac:dyDescent="0.15">
      <c r="A837" s="4" t="str">
        <f>HYPERLINK("https://ibp.a2mac1.com/costing(costing:projects/details/9760/assembly/8415682)","Hinges")</f>
        <v>Hinges</v>
      </c>
      <c r="B837">
        <v>8415682</v>
      </c>
      <c r="D837">
        <v>8415587</v>
      </c>
      <c r="F837">
        <v>1</v>
      </c>
      <c r="G837">
        <v>0</v>
      </c>
      <c r="H837">
        <v>9.4860085556094909</v>
      </c>
      <c r="I837">
        <v>0</v>
      </c>
      <c r="J837" t="s">
        <v>90</v>
      </c>
      <c r="K837">
        <v>0</v>
      </c>
      <c r="L837">
        <v>9.4860085556094909</v>
      </c>
      <c r="M837">
        <v>0</v>
      </c>
      <c r="N837">
        <v>0</v>
      </c>
      <c r="O837">
        <v>9.4860085556094909</v>
      </c>
      <c r="P837" t="s">
        <v>90</v>
      </c>
      <c r="Q837">
        <v>0</v>
      </c>
      <c r="R837" t="s">
        <v>90</v>
      </c>
      <c r="S837">
        <v>0</v>
      </c>
      <c r="T837" t="s">
        <v>90</v>
      </c>
      <c r="U837">
        <v>0</v>
      </c>
      <c r="V837" t="s">
        <v>90</v>
      </c>
      <c r="W837">
        <v>0</v>
      </c>
      <c r="X837" t="s">
        <v>90</v>
      </c>
      <c r="Y837">
        <v>0</v>
      </c>
      <c r="Z837">
        <v>9.4860085556094909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L837">
        <v>0.99299999999999999</v>
      </c>
      <c r="AN837" t="s">
        <v>185</v>
      </c>
      <c r="AO837" t="s">
        <v>73</v>
      </c>
      <c r="AP837">
        <v>200000</v>
      </c>
      <c r="AQ837" t="s">
        <v>73</v>
      </c>
      <c r="AS837">
        <v>10000</v>
      </c>
      <c r="AT837" t="s">
        <v>6781</v>
      </c>
      <c r="AU837" t="s">
        <v>75</v>
      </c>
      <c r="AV837" t="s">
        <v>76</v>
      </c>
    </row>
    <row r="838" spans="1:48" x14ac:dyDescent="0.15">
      <c r="A838" s="4" t="str">
        <f>HYPERLINK("https://ibp.a2mac1.com/costing(costing:projects/details/9760/assembly/8416033)","Ambiant Light")</f>
        <v>Ambiant Light</v>
      </c>
      <c r="B838">
        <v>8416033</v>
      </c>
      <c r="D838">
        <v>8415683</v>
      </c>
      <c r="F838">
        <v>1</v>
      </c>
      <c r="G838">
        <v>0</v>
      </c>
      <c r="H838">
        <v>2.2459072298413241</v>
      </c>
      <c r="I838">
        <v>0</v>
      </c>
      <c r="J838" t="s">
        <v>90</v>
      </c>
      <c r="K838">
        <v>0</v>
      </c>
      <c r="L838">
        <v>2.2459072298413241</v>
      </c>
      <c r="M838">
        <v>0</v>
      </c>
      <c r="N838">
        <v>0</v>
      </c>
      <c r="O838">
        <v>2.2459072298413241</v>
      </c>
      <c r="P838" t="s">
        <v>90</v>
      </c>
      <c r="Q838">
        <v>0</v>
      </c>
      <c r="R838" t="s">
        <v>90</v>
      </c>
      <c r="S838">
        <v>0</v>
      </c>
      <c r="T838" t="s">
        <v>90</v>
      </c>
      <c r="U838">
        <v>0</v>
      </c>
      <c r="V838" t="s">
        <v>90</v>
      </c>
      <c r="W838">
        <v>0</v>
      </c>
      <c r="X838" t="s">
        <v>90</v>
      </c>
      <c r="Y838">
        <v>0</v>
      </c>
      <c r="Z838">
        <v>2.2459072298413241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L838">
        <v>5.2999999999999999E-2</v>
      </c>
      <c r="AN838" t="s">
        <v>185</v>
      </c>
      <c r="AO838" t="s">
        <v>73</v>
      </c>
      <c r="AP838">
        <v>200000</v>
      </c>
      <c r="AQ838" t="s">
        <v>73</v>
      </c>
      <c r="AS838">
        <v>10000</v>
      </c>
      <c r="AT838" t="s">
        <v>6793</v>
      </c>
      <c r="AU838" t="s">
        <v>75</v>
      </c>
      <c r="AV838" t="s">
        <v>76</v>
      </c>
    </row>
    <row r="839" spans="1:48" x14ac:dyDescent="0.15">
      <c r="A839" s="4" t="str">
        <f>HYPERLINK("https://ibp.a2mac1.com/costing(costing:projects/details/9760/assembly/8415683)","Power System")</f>
        <v>Power System</v>
      </c>
      <c r="B839">
        <v>8415683</v>
      </c>
      <c r="D839">
        <v>8415587</v>
      </c>
      <c r="F839">
        <v>1</v>
      </c>
      <c r="G839">
        <v>0</v>
      </c>
      <c r="H839">
        <v>16.967598175762948</v>
      </c>
      <c r="I839">
        <v>0</v>
      </c>
      <c r="J839" t="s">
        <v>90</v>
      </c>
      <c r="K839">
        <v>0</v>
      </c>
      <c r="L839">
        <v>16.967598175762948</v>
      </c>
      <c r="M839">
        <v>0</v>
      </c>
      <c r="N839">
        <v>0</v>
      </c>
      <c r="O839">
        <v>16.967598175762948</v>
      </c>
      <c r="P839" t="s">
        <v>90</v>
      </c>
      <c r="Q839">
        <v>0</v>
      </c>
      <c r="R839" t="s">
        <v>90</v>
      </c>
      <c r="S839">
        <v>0</v>
      </c>
      <c r="T839" t="s">
        <v>90</v>
      </c>
      <c r="U839">
        <v>0</v>
      </c>
      <c r="V839" t="s">
        <v>90</v>
      </c>
      <c r="W839">
        <v>0</v>
      </c>
      <c r="X839" t="s">
        <v>90</v>
      </c>
      <c r="Y839">
        <v>0</v>
      </c>
      <c r="Z839">
        <v>16.967598175762948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L839">
        <v>0.88690000000000002</v>
      </c>
      <c r="AN839" t="s">
        <v>185</v>
      </c>
      <c r="AO839" t="s">
        <v>73</v>
      </c>
      <c r="AP839">
        <v>200000</v>
      </c>
      <c r="AQ839" t="s">
        <v>73</v>
      </c>
      <c r="AS839">
        <v>10000</v>
      </c>
      <c r="AT839" t="s">
        <v>6799</v>
      </c>
      <c r="AU839" t="s">
        <v>75</v>
      </c>
      <c r="AV839" t="s">
        <v>76</v>
      </c>
    </row>
    <row r="840" spans="1:48" x14ac:dyDescent="0.15">
      <c r="A840" s="4" t="str">
        <f>HYPERLINK("https://ibp.a2mac1.com/costing(costing:projects/details/9760/assembly/8415684)","Molding System")</f>
        <v>Molding System</v>
      </c>
      <c r="B840">
        <v>8415684</v>
      </c>
      <c r="D840">
        <v>8415587</v>
      </c>
      <c r="F840">
        <v>1</v>
      </c>
      <c r="G840">
        <v>0</v>
      </c>
      <c r="H840">
        <v>0.30259626285697605</v>
      </c>
      <c r="I840">
        <v>0</v>
      </c>
      <c r="J840" t="s">
        <v>90</v>
      </c>
      <c r="K840">
        <v>0</v>
      </c>
      <c r="L840">
        <v>0.30259626285697605</v>
      </c>
      <c r="M840">
        <v>0</v>
      </c>
      <c r="N840">
        <v>0</v>
      </c>
      <c r="O840">
        <v>0.30259626285697605</v>
      </c>
      <c r="P840" t="s">
        <v>90</v>
      </c>
      <c r="Q840">
        <v>0</v>
      </c>
      <c r="R840" t="s">
        <v>90</v>
      </c>
      <c r="S840">
        <v>0</v>
      </c>
      <c r="T840" t="s">
        <v>90</v>
      </c>
      <c r="U840">
        <v>0</v>
      </c>
      <c r="V840" t="s">
        <v>90</v>
      </c>
      <c r="W840">
        <v>0</v>
      </c>
      <c r="X840" t="s">
        <v>90</v>
      </c>
      <c r="Y840">
        <v>0</v>
      </c>
      <c r="Z840">
        <v>0.30259626285697605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L840">
        <v>2.5000000000000001E-2</v>
      </c>
      <c r="AN840" t="s">
        <v>185</v>
      </c>
      <c r="AO840" t="s">
        <v>73</v>
      </c>
      <c r="AP840">
        <v>200000</v>
      </c>
      <c r="AQ840" t="s">
        <v>73</v>
      </c>
      <c r="AS840">
        <v>10000</v>
      </c>
      <c r="AT840" t="s">
        <v>6809</v>
      </c>
      <c r="AU840" t="s">
        <v>75</v>
      </c>
      <c r="AV840" t="s">
        <v>76</v>
      </c>
    </row>
    <row r="841" spans="1:48" x14ac:dyDescent="0.15">
      <c r="A841" s="4" t="str">
        <f>HYPERLINK("https://ibp.a2mac1.com/costing(costing:projects/details/9760/assembly/8416382)","Folding Motor")</f>
        <v>Folding Motor</v>
      </c>
      <c r="B841">
        <v>8416382</v>
      </c>
      <c r="D841">
        <v>8416039</v>
      </c>
      <c r="F841">
        <v>1</v>
      </c>
      <c r="G841">
        <v>0</v>
      </c>
      <c r="H841">
        <v>7.0579170557212088</v>
      </c>
      <c r="I841">
        <v>3.5466919877996023E-2</v>
      </c>
      <c r="J841" t="s">
        <v>176</v>
      </c>
      <c r="K841">
        <v>0.2470270969502423</v>
      </c>
      <c r="L841">
        <v>7.3404110725494469</v>
      </c>
      <c r="M841">
        <v>0</v>
      </c>
      <c r="N841">
        <v>0.57262513984383612</v>
      </c>
      <c r="O841">
        <v>7.9130362123932834</v>
      </c>
      <c r="P841" t="s">
        <v>90</v>
      </c>
      <c r="Q841">
        <v>0</v>
      </c>
      <c r="R841" t="s">
        <v>90</v>
      </c>
      <c r="S841">
        <v>0</v>
      </c>
      <c r="T841" t="s">
        <v>90</v>
      </c>
      <c r="U841">
        <v>0</v>
      </c>
      <c r="V841" t="s">
        <v>90</v>
      </c>
      <c r="W841">
        <v>0</v>
      </c>
      <c r="X841" t="s">
        <v>90</v>
      </c>
      <c r="Y841">
        <v>0</v>
      </c>
      <c r="Z841">
        <v>7.9130362123932834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82</v>
      </c>
      <c r="AI841">
        <v>108</v>
      </c>
      <c r="AJ841">
        <v>77</v>
      </c>
      <c r="AL841">
        <v>0.36499999999999999</v>
      </c>
      <c r="AN841" t="s">
        <v>5035</v>
      </c>
      <c r="AO841" t="s">
        <v>73</v>
      </c>
      <c r="AP841">
        <v>200000</v>
      </c>
      <c r="AQ841" t="s">
        <v>97</v>
      </c>
      <c r="AS841">
        <v>10000</v>
      </c>
      <c r="AT841" t="s">
        <v>6814</v>
      </c>
      <c r="AU841" t="s">
        <v>75</v>
      </c>
      <c r="AV841" t="s">
        <v>76</v>
      </c>
    </row>
    <row r="842" spans="1:48" x14ac:dyDescent="0.15">
      <c r="A842" s="4" t="str">
        <f>HYPERLINK("https://ibp.a2mac1.com/costing(costing:projects/details/9760/assembly/8416384)","360 View Camera side")</f>
        <v>360 View Camera side</v>
      </c>
      <c r="B842">
        <v>8416384</v>
      </c>
      <c r="D842">
        <v>8416039</v>
      </c>
      <c r="F842">
        <v>1</v>
      </c>
      <c r="G842">
        <v>0</v>
      </c>
      <c r="H842">
        <v>22.183217794543644</v>
      </c>
      <c r="I842">
        <v>6.6261559646039458</v>
      </c>
      <c r="J842" t="s">
        <v>176</v>
      </c>
      <c r="K842">
        <v>0.77641262280902756</v>
      </c>
      <c r="L842">
        <v>29.58578638195662</v>
      </c>
      <c r="M842">
        <v>0</v>
      </c>
      <c r="N842">
        <v>2.4896133417582353</v>
      </c>
      <c r="O842">
        <v>32.075399723714852</v>
      </c>
      <c r="P842" t="s">
        <v>322</v>
      </c>
      <c r="Q842">
        <v>2.9585786381956618</v>
      </c>
      <c r="R842" t="s">
        <v>322</v>
      </c>
      <c r="S842">
        <v>0.24896133417582353</v>
      </c>
      <c r="T842" t="s">
        <v>178</v>
      </c>
      <c r="U842">
        <v>3.8490479668457827</v>
      </c>
      <c r="V842" t="s">
        <v>90</v>
      </c>
      <c r="W842">
        <v>0</v>
      </c>
      <c r="X842" t="s">
        <v>90</v>
      </c>
      <c r="Y842">
        <v>0</v>
      </c>
      <c r="Z842">
        <v>39.131987662932126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31</v>
      </c>
      <c r="AI842">
        <v>23</v>
      </c>
      <c r="AJ842">
        <v>23</v>
      </c>
      <c r="AL842">
        <v>0.02</v>
      </c>
      <c r="AN842" t="s">
        <v>1551</v>
      </c>
      <c r="AO842" t="s">
        <v>73</v>
      </c>
      <c r="AP842">
        <v>200000</v>
      </c>
      <c r="AQ842" t="s">
        <v>97</v>
      </c>
      <c r="AS842">
        <v>10000</v>
      </c>
      <c r="AT842" t="s">
        <v>6817</v>
      </c>
      <c r="AU842" t="s">
        <v>75</v>
      </c>
      <c r="AV842" t="s">
        <v>76</v>
      </c>
    </row>
    <row r="843" spans="1:48" x14ac:dyDescent="0.15">
      <c r="A843" s="4" t="str">
        <f>HYPERLINK("https://ibp.a2mac1.com/costing(costing:projects/details/9760/assembly/8416039)","Outside Rear View Mirror")</f>
        <v>Outside Rear View Mirror</v>
      </c>
      <c r="B843">
        <v>8416039</v>
      </c>
      <c r="D843">
        <v>8415685</v>
      </c>
      <c r="F843">
        <v>1</v>
      </c>
      <c r="G843">
        <v>0</v>
      </c>
      <c r="H843">
        <v>76.296142870429094</v>
      </c>
      <c r="I843">
        <v>0.3833977028664779</v>
      </c>
      <c r="J843" t="s">
        <v>176</v>
      </c>
      <c r="K843">
        <v>2.6703650004650186</v>
      </c>
      <c r="L843">
        <v>79.349905573760594</v>
      </c>
      <c r="M843">
        <v>0</v>
      </c>
      <c r="N843">
        <v>0.26334801609320468</v>
      </c>
      <c r="O843">
        <v>79.613253589853798</v>
      </c>
      <c r="P843" t="s">
        <v>177</v>
      </c>
      <c r="Q843">
        <v>4.7609943344256358</v>
      </c>
      <c r="R843" t="s">
        <v>177</v>
      </c>
      <c r="S843">
        <v>1.5800880965592283E-2</v>
      </c>
      <c r="T843" t="s">
        <v>178</v>
      </c>
      <c r="U843">
        <v>9.5535904307824566</v>
      </c>
      <c r="V843" t="s">
        <v>90</v>
      </c>
      <c r="W843">
        <v>0</v>
      </c>
      <c r="X843" t="s">
        <v>90</v>
      </c>
      <c r="Y843">
        <v>0</v>
      </c>
      <c r="Z843">
        <v>93.943639236027479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145</v>
      </c>
      <c r="AI843">
        <v>300</v>
      </c>
      <c r="AJ843">
        <v>210</v>
      </c>
      <c r="AL843">
        <v>1.6020000000000001</v>
      </c>
      <c r="AN843" t="s">
        <v>5281</v>
      </c>
      <c r="AO843" t="s">
        <v>73</v>
      </c>
      <c r="AP843">
        <v>200000</v>
      </c>
      <c r="AQ843" t="s">
        <v>97</v>
      </c>
      <c r="AS843">
        <v>10000</v>
      </c>
      <c r="AT843" t="s">
        <v>6865</v>
      </c>
      <c r="AU843" t="s">
        <v>75</v>
      </c>
      <c r="AV843" t="s">
        <v>76</v>
      </c>
    </row>
    <row r="844" spans="1:48" x14ac:dyDescent="0.15">
      <c r="A844" s="4" t="str">
        <f>HYPERLINK("https://ibp.a2mac1.com/costing(costing:projects/details/9760/assembly/8415685)","Rear View Mirror System")</f>
        <v>Rear View Mirror System</v>
      </c>
      <c r="B844">
        <v>8415685</v>
      </c>
      <c r="D844">
        <v>8415587</v>
      </c>
      <c r="F844">
        <v>1</v>
      </c>
      <c r="G844">
        <v>0</v>
      </c>
      <c r="H844">
        <v>94.358425819262806</v>
      </c>
      <c r="I844">
        <v>0</v>
      </c>
      <c r="J844" t="s">
        <v>90</v>
      </c>
      <c r="K844">
        <v>0</v>
      </c>
      <c r="L844">
        <v>94.358425819262806</v>
      </c>
      <c r="M844">
        <v>0</v>
      </c>
      <c r="N844">
        <v>0</v>
      </c>
      <c r="O844">
        <v>94.358425819262806</v>
      </c>
      <c r="P844" t="s">
        <v>90</v>
      </c>
      <c r="Q844">
        <v>0</v>
      </c>
      <c r="R844" t="s">
        <v>90</v>
      </c>
      <c r="S844">
        <v>0</v>
      </c>
      <c r="T844" t="s">
        <v>90</v>
      </c>
      <c r="U844">
        <v>0</v>
      </c>
      <c r="V844" t="s">
        <v>90</v>
      </c>
      <c r="W844">
        <v>0</v>
      </c>
      <c r="X844" t="s">
        <v>90</v>
      </c>
      <c r="Y844">
        <v>0</v>
      </c>
      <c r="Z844">
        <v>94.358425819262806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L844">
        <v>1.643</v>
      </c>
      <c r="AN844" t="s">
        <v>185</v>
      </c>
      <c r="AO844" t="s">
        <v>73</v>
      </c>
      <c r="AP844">
        <v>200000</v>
      </c>
      <c r="AQ844" t="s">
        <v>73</v>
      </c>
      <c r="AS844">
        <v>10000</v>
      </c>
      <c r="AT844" t="s">
        <v>6874</v>
      </c>
      <c r="AU844" t="s">
        <v>75</v>
      </c>
      <c r="AV844" t="s">
        <v>76</v>
      </c>
    </row>
    <row r="845" spans="1:48" x14ac:dyDescent="0.15">
      <c r="A845" s="4" t="str">
        <f>HYPERLINK("https://ibp.a2mac1.com/costing(costing:projects/details/9760/assembly/8415686)","Power Controls")</f>
        <v>Power Controls</v>
      </c>
      <c r="B845">
        <v>8415686</v>
      </c>
      <c r="D845">
        <v>8415587</v>
      </c>
      <c r="F845">
        <v>1</v>
      </c>
      <c r="G845">
        <v>0</v>
      </c>
      <c r="H845">
        <v>4.0657001650558442</v>
      </c>
      <c r="I845">
        <v>0</v>
      </c>
      <c r="J845" t="s">
        <v>90</v>
      </c>
      <c r="K845">
        <v>0</v>
      </c>
      <c r="L845">
        <v>4.0657001650558442</v>
      </c>
      <c r="M845">
        <v>0</v>
      </c>
      <c r="N845">
        <v>0</v>
      </c>
      <c r="O845">
        <v>4.0657001650558442</v>
      </c>
      <c r="P845" t="s">
        <v>90</v>
      </c>
      <c r="Q845">
        <v>0</v>
      </c>
      <c r="R845" t="s">
        <v>90</v>
      </c>
      <c r="S845">
        <v>0</v>
      </c>
      <c r="T845" t="s">
        <v>90</v>
      </c>
      <c r="U845">
        <v>0</v>
      </c>
      <c r="V845" t="s">
        <v>90</v>
      </c>
      <c r="W845">
        <v>0</v>
      </c>
      <c r="X845" t="s">
        <v>90</v>
      </c>
      <c r="Y845">
        <v>0</v>
      </c>
      <c r="Z845">
        <v>4.0657001650558442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L845">
        <v>0.104</v>
      </c>
      <c r="AN845" t="s">
        <v>185</v>
      </c>
      <c r="AO845" t="s">
        <v>73</v>
      </c>
      <c r="AP845">
        <v>200000</v>
      </c>
      <c r="AQ845" t="s">
        <v>73</v>
      </c>
      <c r="AS845">
        <v>10000</v>
      </c>
      <c r="AT845" t="s">
        <v>6882</v>
      </c>
      <c r="AU845" t="s">
        <v>75</v>
      </c>
      <c r="AV845" t="s">
        <v>76</v>
      </c>
    </row>
    <row r="846" spans="1:48" x14ac:dyDescent="0.15">
      <c r="A846" s="4" t="str">
        <f>HYPERLINK("https://ibp.a2mac1.com/costing(costing:projects/details/9760/assembly/8415687)","Speaker System")</f>
        <v>Speaker System</v>
      </c>
      <c r="B846">
        <v>8415687</v>
      </c>
      <c r="D846">
        <v>8415587</v>
      </c>
      <c r="F846">
        <v>1</v>
      </c>
      <c r="G846">
        <v>0</v>
      </c>
      <c r="H846">
        <v>9.5893300000000004</v>
      </c>
      <c r="I846">
        <v>0</v>
      </c>
      <c r="J846" t="s">
        <v>90</v>
      </c>
      <c r="K846">
        <v>0</v>
      </c>
      <c r="L846">
        <v>9.5893300000000004</v>
      </c>
      <c r="M846">
        <v>0</v>
      </c>
      <c r="N846">
        <v>0</v>
      </c>
      <c r="O846">
        <v>9.5893300000000004</v>
      </c>
      <c r="P846" t="s">
        <v>90</v>
      </c>
      <c r="Q846">
        <v>0</v>
      </c>
      <c r="R846" t="s">
        <v>90</v>
      </c>
      <c r="S846">
        <v>0</v>
      </c>
      <c r="T846" t="s">
        <v>90</v>
      </c>
      <c r="U846">
        <v>0</v>
      </c>
      <c r="V846" t="s">
        <v>90</v>
      </c>
      <c r="W846">
        <v>0</v>
      </c>
      <c r="X846" t="s">
        <v>90</v>
      </c>
      <c r="Y846">
        <v>0</v>
      </c>
      <c r="Z846">
        <v>9.5893300000000004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L846">
        <v>0.93600000000000005</v>
      </c>
      <c r="AN846" t="s">
        <v>185</v>
      </c>
      <c r="AO846" t="s">
        <v>73</v>
      </c>
      <c r="AP846">
        <v>200000</v>
      </c>
      <c r="AQ846" t="s">
        <v>73</v>
      </c>
      <c r="AS846">
        <v>10000</v>
      </c>
      <c r="AT846" t="s">
        <v>6886</v>
      </c>
      <c r="AU846" t="s">
        <v>75</v>
      </c>
      <c r="AV846" t="s">
        <v>76</v>
      </c>
    </row>
    <row r="847" spans="1:48" x14ac:dyDescent="0.15">
      <c r="A847" s="4" t="str">
        <f>HYPERLINK("https://ibp.a2mac1.com/costing(costing:projects/details/9760/assembly/8415587)","Front Passenger Door")</f>
        <v>Front Passenger Door</v>
      </c>
      <c r="B847">
        <v>8415587</v>
      </c>
      <c r="D847">
        <v>8415576</v>
      </c>
      <c r="F847">
        <v>1</v>
      </c>
      <c r="G847">
        <v>0</v>
      </c>
      <c r="H847">
        <v>272.70600483189185</v>
      </c>
      <c r="I847">
        <v>0</v>
      </c>
      <c r="J847" t="s">
        <v>90</v>
      </c>
      <c r="K847">
        <v>0</v>
      </c>
      <c r="L847">
        <v>272.70600483189185</v>
      </c>
      <c r="M847">
        <v>0</v>
      </c>
      <c r="N847">
        <v>0.6579133898279117</v>
      </c>
      <c r="O847">
        <v>273.36391822171976</v>
      </c>
      <c r="P847" t="s">
        <v>90</v>
      </c>
      <c r="Q847">
        <v>0</v>
      </c>
      <c r="R847" t="s">
        <v>90</v>
      </c>
      <c r="S847">
        <v>0</v>
      </c>
      <c r="T847" t="s">
        <v>90</v>
      </c>
      <c r="U847">
        <v>0</v>
      </c>
      <c r="V847" t="s">
        <v>90</v>
      </c>
      <c r="W847">
        <v>0</v>
      </c>
      <c r="X847" t="s">
        <v>90</v>
      </c>
      <c r="Y847">
        <v>0</v>
      </c>
      <c r="Z847">
        <v>273.36391822171976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413</v>
      </c>
      <c r="AI847">
        <v>1255</v>
      </c>
      <c r="AJ847">
        <v>1065</v>
      </c>
      <c r="AL847">
        <v>35.324599999999997</v>
      </c>
      <c r="AN847" t="s">
        <v>185</v>
      </c>
      <c r="AO847" t="s">
        <v>73</v>
      </c>
      <c r="AP847">
        <v>200000</v>
      </c>
      <c r="AQ847" t="s">
        <v>73</v>
      </c>
      <c r="AS847">
        <v>10000</v>
      </c>
      <c r="AT847" t="s">
        <v>6894</v>
      </c>
      <c r="AU847" t="s">
        <v>75</v>
      </c>
      <c r="AV847" t="s">
        <v>76</v>
      </c>
    </row>
    <row r="848" spans="1:48" x14ac:dyDescent="0.15">
      <c r="A848" s="4" t="str">
        <f>HYPERLINK("https://ibp.a2mac1.com/costing(costing:projects/details/9760/assembly/8415576)","Closures")</f>
        <v>Closures</v>
      </c>
      <c r="B848">
        <v>8415576</v>
      </c>
      <c r="D848">
        <v>8415575</v>
      </c>
      <c r="F848">
        <v>1</v>
      </c>
      <c r="G848">
        <v>0</v>
      </c>
      <c r="H848">
        <v>1087.4996947504899</v>
      </c>
      <c r="I848">
        <v>0</v>
      </c>
      <c r="J848" t="s">
        <v>90</v>
      </c>
      <c r="K848">
        <v>0</v>
      </c>
      <c r="L848">
        <v>1087.4996947504899</v>
      </c>
      <c r="M848">
        <v>0</v>
      </c>
      <c r="N848">
        <v>0</v>
      </c>
      <c r="O848">
        <v>1087.4996947504899</v>
      </c>
      <c r="P848" t="s">
        <v>90</v>
      </c>
      <c r="Q848">
        <v>0</v>
      </c>
      <c r="R848" t="s">
        <v>90</v>
      </c>
      <c r="S848">
        <v>0</v>
      </c>
      <c r="T848" t="s">
        <v>90</v>
      </c>
      <c r="U848">
        <v>0</v>
      </c>
      <c r="V848" t="s">
        <v>90</v>
      </c>
      <c r="W848">
        <v>0</v>
      </c>
      <c r="X848" t="s">
        <v>90</v>
      </c>
      <c r="Y848">
        <v>0</v>
      </c>
      <c r="Z848">
        <v>1087.4996947504899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L848">
        <v>175.51660000000001</v>
      </c>
      <c r="AN848" t="s">
        <v>185</v>
      </c>
      <c r="AO848" t="s">
        <v>73</v>
      </c>
      <c r="AP848">
        <v>200000</v>
      </c>
      <c r="AQ848" t="s">
        <v>73</v>
      </c>
      <c r="AS848">
        <v>10000</v>
      </c>
      <c r="AT848" t="s">
        <v>6895</v>
      </c>
      <c r="AU848" t="s">
        <v>75</v>
      </c>
      <c r="AV848" t="s">
        <v>76</v>
      </c>
    </row>
    <row r="849" spans="1:48" x14ac:dyDescent="0.15">
      <c r="A849" s="4" t="str">
        <f>HYPERLINK("https://ibp.a2mac1.com/costing(costing:projects/details/9760/assembly/8415590)","Scuttle Grille System")</f>
        <v>Scuttle Grille System</v>
      </c>
      <c r="B849">
        <v>8415590</v>
      </c>
      <c r="D849">
        <v>8415577</v>
      </c>
      <c r="F849">
        <v>1</v>
      </c>
      <c r="G849">
        <v>0</v>
      </c>
      <c r="H849">
        <v>7.2230236525437137</v>
      </c>
      <c r="I849">
        <v>0</v>
      </c>
      <c r="J849" t="s">
        <v>90</v>
      </c>
      <c r="K849">
        <v>0</v>
      </c>
      <c r="L849">
        <v>7.2230236525437137</v>
      </c>
      <c r="M849">
        <v>0</v>
      </c>
      <c r="N849">
        <v>0</v>
      </c>
      <c r="O849">
        <v>7.2230236525437137</v>
      </c>
      <c r="P849" t="s">
        <v>90</v>
      </c>
      <c r="Q849">
        <v>0</v>
      </c>
      <c r="R849" t="s">
        <v>90</v>
      </c>
      <c r="S849">
        <v>0</v>
      </c>
      <c r="T849" t="s">
        <v>90</v>
      </c>
      <c r="U849">
        <v>0</v>
      </c>
      <c r="V849" t="s">
        <v>90</v>
      </c>
      <c r="W849">
        <v>0</v>
      </c>
      <c r="X849" t="s">
        <v>90</v>
      </c>
      <c r="Y849">
        <v>0</v>
      </c>
      <c r="Z849">
        <v>7.2230236525437137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L849">
        <v>2.0541999999999998</v>
      </c>
      <c r="AN849" t="s">
        <v>185</v>
      </c>
      <c r="AO849" t="s">
        <v>73</v>
      </c>
      <c r="AP849">
        <v>200000</v>
      </c>
      <c r="AQ849" t="s">
        <v>73</v>
      </c>
      <c r="AS849">
        <v>10000</v>
      </c>
      <c r="AT849" t="s">
        <v>6925</v>
      </c>
      <c r="AU849" t="s">
        <v>75</v>
      </c>
      <c r="AV849" t="s">
        <v>76</v>
      </c>
    </row>
    <row r="850" spans="1:48" x14ac:dyDescent="0.15">
      <c r="A850" s="4" t="str">
        <f>HYPERLINK("https://ibp.a2mac1.com/costing(costing:projects/details/9760/assembly/8416044)","Front Passive Entry ECU")</f>
        <v>Front Passive Entry ECU</v>
      </c>
      <c r="B850">
        <v>8416044</v>
      </c>
      <c r="D850">
        <v>8415697</v>
      </c>
      <c r="F850">
        <v>1</v>
      </c>
      <c r="G850">
        <v>0</v>
      </c>
      <c r="H850">
        <v>11.256894746743772</v>
      </c>
      <c r="I850">
        <v>5.6567310285144577E-2</v>
      </c>
      <c r="J850" t="s">
        <v>176</v>
      </c>
      <c r="K850">
        <v>0.393991316136032</v>
      </c>
      <c r="L850">
        <v>11.707453373164947</v>
      </c>
      <c r="M850">
        <v>0</v>
      </c>
      <c r="N850">
        <v>0.4479586228194517</v>
      </c>
      <c r="O850">
        <v>12.1554119959844</v>
      </c>
      <c r="P850" t="s">
        <v>177</v>
      </c>
      <c r="Q850">
        <v>0.70244720238989689</v>
      </c>
      <c r="R850" t="s">
        <v>177</v>
      </c>
      <c r="S850">
        <v>2.6877517369167103E-2</v>
      </c>
      <c r="T850" t="s">
        <v>178</v>
      </c>
      <c r="U850">
        <v>1.458649439518128</v>
      </c>
      <c r="V850" t="s">
        <v>90</v>
      </c>
      <c r="W850">
        <v>0</v>
      </c>
      <c r="X850" t="s">
        <v>90</v>
      </c>
      <c r="Y850">
        <v>0</v>
      </c>
      <c r="Z850">
        <v>14.343386155261591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N850" t="s">
        <v>3013</v>
      </c>
      <c r="AO850" t="s">
        <v>73</v>
      </c>
      <c r="AP850">
        <v>200000</v>
      </c>
      <c r="AQ850" t="s">
        <v>97</v>
      </c>
      <c r="AR850">
        <v>0</v>
      </c>
      <c r="AS850">
        <v>10000</v>
      </c>
      <c r="AT850" t="s">
        <v>9</v>
      </c>
      <c r="AU850" t="s">
        <v>75</v>
      </c>
      <c r="AV850" t="s">
        <v>76</v>
      </c>
    </row>
    <row r="851" spans="1:48" x14ac:dyDescent="0.15">
      <c r="A851" s="4" t="str">
        <f>HYPERLINK("https://ibp.a2mac1.com/costing(costing:projects/details/9760/assembly/8415697)","B Pillar Trims")</f>
        <v>B Pillar Trims</v>
      </c>
      <c r="B851">
        <v>8415697</v>
      </c>
      <c r="D851">
        <v>8415591</v>
      </c>
      <c r="F851">
        <v>1</v>
      </c>
      <c r="G851">
        <v>0</v>
      </c>
      <c r="H851">
        <v>14.343386155261591</v>
      </c>
      <c r="I851">
        <v>7.2077317363123575E-2</v>
      </c>
      <c r="J851" t="s">
        <v>176</v>
      </c>
      <c r="K851">
        <v>0.50201851543415565</v>
      </c>
      <c r="L851">
        <v>14.917481988058871</v>
      </c>
      <c r="M851">
        <v>0</v>
      </c>
      <c r="N851">
        <v>0</v>
      </c>
      <c r="O851">
        <v>14.917481988058871</v>
      </c>
      <c r="P851" t="s">
        <v>177</v>
      </c>
      <c r="Q851">
        <v>0.89504891928353225</v>
      </c>
      <c r="R851" t="s">
        <v>177</v>
      </c>
      <c r="S851">
        <v>0</v>
      </c>
      <c r="T851" t="s">
        <v>178</v>
      </c>
      <c r="U851">
        <v>1.7900978385670645</v>
      </c>
      <c r="V851" t="s">
        <v>90</v>
      </c>
      <c r="W851">
        <v>0</v>
      </c>
      <c r="X851" t="s">
        <v>90</v>
      </c>
      <c r="Y851">
        <v>0</v>
      </c>
      <c r="Z851">
        <v>17.602628745909467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38</v>
      </c>
      <c r="AI851">
        <v>302</v>
      </c>
      <c r="AJ851">
        <v>452</v>
      </c>
      <c r="AL851">
        <v>0.57399999999999995</v>
      </c>
      <c r="AN851" t="s">
        <v>740</v>
      </c>
      <c r="AO851" t="s">
        <v>73</v>
      </c>
      <c r="AP851">
        <v>200000</v>
      </c>
      <c r="AQ851" t="s">
        <v>97</v>
      </c>
      <c r="AS851">
        <v>10000</v>
      </c>
      <c r="AT851" t="s">
        <v>6931</v>
      </c>
      <c r="AU851" t="s">
        <v>75</v>
      </c>
      <c r="AV851" t="s">
        <v>76</v>
      </c>
    </row>
    <row r="852" spans="1:48" x14ac:dyDescent="0.15">
      <c r="A852" s="4" t="str">
        <f>HYPERLINK("https://ibp.a2mac1.com/costing(costing:projects/details/9760/assembly/8415698)","Right B Pillar Trim if Different")</f>
        <v>Right B Pillar Trim if Different</v>
      </c>
      <c r="B852">
        <v>8415698</v>
      </c>
      <c r="D852">
        <v>8415591</v>
      </c>
      <c r="F852">
        <v>1</v>
      </c>
      <c r="G852">
        <v>0</v>
      </c>
      <c r="H852">
        <v>7.819713979436405</v>
      </c>
      <c r="I852">
        <v>3.9295045122796003E-2</v>
      </c>
      <c r="J852" t="s">
        <v>176</v>
      </c>
      <c r="K852">
        <v>0.27368998928027416</v>
      </c>
      <c r="L852">
        <v>8.1326990138394741</v>
      </c>
      <c r="M852">
        <v>0</v>
      </c>
      <c r="N852">
        <v>0.26686484736335975</v>
      </c>
      <c r="O852">
        <v>8.399563861202834</v>
      </c>
      <c r="P852" t="s">
        <v>177</v>
      </c>
      <c r="Q852">
        <v>0.48796194083036848</v>
      </c>
      <c r="R852" t="s">
        <v>177</v>
      </c>
      <c r="S852">
        <v>1.6011890841801584E-2</v>
      </c>
      <c r="T852" t="s">
        <v>178</v>
      </c>
      <c r="U852">
        <v>1.0079476633443403</v>
      </c>
      <c r="V852" t="s">
        <v>90</v>
      </c>
      <c r="W852">
        <v>0</v>
      </c>
      <c r="X852" t="s">
        <v>90</v>
      </c>
      <c r="Y852">
        <v>0</v>
      </c>
      <c r="Z852">
        <v>9.9114853562193446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38</v>
      </c>
      <c r="AI852">
        <v>302</v>
      </c>
      <c r="AJ852">
        <v>452</v>
      </c>
      <c r="AL852">
        <v>0.57899999999999996</v>
      </c>
      <c r="AN852" t="s">
        <v>740</v>
      </c>
      <c r="AO852" t="s">
        <v>73</v>
      </c>
      <c r="AP852">
        <v>200000</v>
      </c>
      <c r="AQ852" t="s">
        <v>97</v>
      </c>
      <c r="AS852">
        <v>10000</v>
      </c>
      <c r="AT852" t="s">
        <v>6934</v>
      </c>
      <c r="AU852" t="s">
        <v>75</v>
      </c>
      <c r="AV852" t="s">
        <v>76</v>
      </c>
    </row>
    <row r="853" spans="1:48" x14ac:dyDescent="0.15">
      <c r="A853" s="4" t="str">
        <f>HYPERLINK("https://ibp.a2mac1.com/costing(costing:projects/details/9760/assembly/8415591)","Pillar Trim")</f>
        <v>Pillar Trim</v>
      </c>
      <c r="B853">
        <v>8415591</v>
      </c>
      <c r="D853">
        <v>8415577</v>
      </c>
      <c r="F853">
        <v>1</v>
      </c>
      <c r="G853">
        <v>0</v>
      </c>
      <c r="H853">
        <v>30.363474991711914</v>
      </c>
      <c r="I853">
        <v>0</v>
      </c>
      <c r="J853" t="s">
        <v>90</v>
      </c>
      <c r="K853">
        <v>0</v>
      </c>
      <c r="L853">
        <v>30.363474991711914</v>
      </c>
      <c r="M853">
        <v>0</v>
      </c>
      <c r="N853">
        <v>0</v>
      </c>
      <c r="O853">
        <v>30.363474991711914</v>
      </c>
      <c r="P853" t="s">
        <v>90</v>
      </c>
      <c r="Q853">
        <v>0</v>
      </c>
      <c r="R853" t="s">
        <v>90</v>
      </c>
      <c r="S853">
        <v>0</v>
      </c>
      <c r="T853" t="s">
        <v>90</v>
      </c>
      <c r="U853">
        <v>0</v>
      </c>
      <c r="V853" t="s">
        <v>90</v>
      </c>
      <c r="W853">
        <v>0</v>
      </c>
      <c r="X853" t="s">
        <v>90</v>
      </c>
      <c r="Y853">
        <v>0</v>
      </c>
      <c r="Z853">
        <v>30.363474991711914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L853">
        <v>1.724</v>
      </c>
      <c r="AN853" t="s">
        <v>185</v>
      </c>
      <c r="AO853" t="s">
        <v>73</v>
      </c>
      <c r="AP853">
        <v>200000</v>
      </c>
      <c r="AQ853" t="s">
        <v>73</v>
      </c>
      <c r="AS853">
        <v>10000</v>
      </c>
      <c r="AT853" t="s">
        <v>6941</v>
      </c>
      <c r="AU853" t="s">
        <v>75</v>
      </c>
      <c r="AV853" t="s">
        <v>76</v>
      </c>
    </row>
    <row r="854" spans="1:48" x14ac:dyDescent="0.15">
      <c r="A854" s="4" t="str">
        <f>HYPERLINK("https://ibp.a2mac1.com/costing(costing:projects/details/9760/assembly/8415592)","Roof Trim")</f>
        <v>Roof Trim</v>
      </c>
      <c r="B854">
        <v>8415592</v>
      </c>
      <c r="D854">
        <v>8415577</v>
      </c>
      <c r="F854">
        <v>1</v>
      </c>
      <c r="G854">
        <v>0</v>
      </c>
      <c r="H854">
        <v>10.009743346496084</v>
      </c>
      <c r="I854">
        <v>0</v>
      </c>
      <c r="J854" t="s">
        <v>90</v>
      </c>
      <c r="K854">
        <v>0</v>
      </c>
      <c r="L854">
        <v>10.009743346496084</v>
      </c>
      <c r="M854">
        <v>0</v>
      </c>
      <c r="N854">
        <v>0</v>
      </c>
      <c r="O854">
        <v>10.009743346496084</v>
      </c>
      <c r="P854" t="s">
        <v>90</v>
      </c>
      <c r="Q854">
        <v>0</v>
      </c>
      <c r="R854" t="s">
        <v>90</v>
      </c>
      <c r="S854">
        <v>0</v>
      </c>
      <c r="T854" t="s">
        <v>90</v>
      </c>
      <c r="U854">
        <v>0</v>
      </c>
      <c r="V854" t="s">
        <v>90</v>
      </c>
      <c r="W854">
        <v>0</v>
      </c>
      <c r="X854" t="s">
        <v>90</v>
      </c>
      <c r="Y854">
        <v>0</v>
      </c>
      <c r="Z854">
        <v>10.009743346496084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L854">
        <v>2.9948000000000001</v>
      </c>
      <c r="AN854" t="s">
        <v>185</v>
      </c>
      <c r="AO854" t="s">
        <v>73</v>
      </c>
      <c r="AP854">
        <v>200000</v>
      </c>
      <c r="AQ854" t="s">
        <v>73</v>
      </c>
      <c r="AS854">
        <v>10000</v>
      </c>
      <c r="AT854" t="s">
        <v>6961</v>
      </c>
      <c r="AU854" t="s">
        <v>75</v>
      </c>
      <c r="AV854" t="s">
        <v>76</v>
      </c>
    </row>
    <row r="855" spans="1:48" x14ac:dyDescent="0.15">
      <c r="A855" s="4" t="str">
        <f>HYPERLINK("https://ibp.a2mac1.com/costing(costing:projects/details/9760/assembly/8415593)","Decompression System")</f>
        <v>Decompression System</v>
      </c>
      <c r="B855">
        <v>8415593</v>
      </c>
      <c r="D855">
        <v>8415577</v>
      </c>
      <c r="F855">
        <v>1</v>
      </c>
      <c r="G855">
        <v>0</v>
      </c>
      <c r="H855">
        <v>11.797429666982239</v>
      </c>
      <c r="I855">
        <v>0</v>
      </c>
      <c r="J855" t="s">
        <v>90</v>
      </c>
      <c r="K855">
        <v>0</v>
      </c>
      <c r="L855">
        <v>11.797429666982239</v>
      </c>
      <c r="M855">
        <v>0</v>
      </c>
      <c r="N855">
        <v>0</v>
      </c>
      <c r="O855">
        <v>11.797429666982239</v>
      </c>
      <c r="P855" t="s">
        <v>90</v>
      </c>
      <c r="Q855">
        <v>0</v>
      </c>
      <c r="R855" t="s">
        <v>90</v>
      </c>
      <c r="S855">
        <v>0</v>
      </c>
      <c r="T855" t="s">
        <v>90</v>
      </c>
      <c r="U855">
        <v>0</v>
      </c>
      <c r="V855" t="s">
        <v>90</v>
      </c>
      <c r="W855">
        <v>0</v>
      </c>
      <c r="X855" t="s">
        <v>90</v>
      </c>
      <c r="Y855">
        <v>0</v>
      </c>
      <c r="Z855">
        <v>11.797429666982239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L855">
        <v>0.28100000000000003</v>
      </c>
      <c r="AN855" t="s">
        <v>185</v>
      </c>
      <c r="AO855" t="s">
        <v>73</v>
      </c>
      <c r="AP855">
        <v>200000</v>
      </c>
      <c r="AQ855" t="s">
        <v>73</v>
      </c>
      <c r="AS855">
        <v>10000</v>
      </c>
      <c r="AT855" t="s">
        <v>6974</v>
      </c>
      <c r="AU855" t="s">
        <v>75</v>
      </c>
      <c r="AV855" t="s">
        <v>76</v>
      </c>
    </row>
    <row r="856" spans="1:48" x14ac:dyDescent="0.15">
      <c r="A856" s="4" t="str">
        <f>HYPERLINK("https://ibp.a2mac1.com/costing(costing:projects/details/9760/assembly/8416045)","Fasteners")</f>
        <v>Fasteners</v>
      </c>
      <c r="B856">
        <v>8416045</v>
      </c>
      <c r="D856">
        <v>8415709</v>
      </c>
      <c r="F856">
        <v>1</v>
      </c>
      <c r="G856">
        <v>0</v>
      </c>
      <c r="H856">
        <v>0.7</v>
      </c>
      <c r="I856">
        <v>3.5175879396984926E-3</v>
      </c>
      <c r="J856" t="s">
        <v>176</v>
      </c>
      <c r="K856">
        <v>2.4500000000000001E-2</v>
      </c>
      <c r="L856">
        <v>0.72801758793969851</v>
      </c>
      <c r="M856">
        <v>0</v>
      </c>
      <c r="N856">
        <v>0</v>
      </c>
      <c r="O856">
        <v>0.72801758793969851</v>
      </c>
      <c r="P856" t="s">
        <v>1326</v>
      </c>
      <c r="Q856">
        <v>2.9120703517587939E-2</v>
      </c>
      <c r="R856" t="s">
        <v>1326</v>
      </c>
      <c r="S856">
        <v>0</v>
      </c>
      <c r="T856" t="s">
        <v>177</v>
      </c>
      <c r="U856">
        <v>4.3681055276381907E-2</v>
      </c>
      <c r="V856" t="s">
        <v>90</v>
      </c>
      <c r="W856">
        <v>0</v>
      </c>
      <c r="X856" t="s">
        <v>90</v>
      </c>
      <c r="Y856">
        <v>0</v>
      </c>
      <c r="Z856">
        <v>0.80081934673366839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N856" t="s">
        <v>284</v>
      </c>
      <c r="AO856" t="s">
        <v>73</v>
      </c>
      <c r="AP856">
        <v>200000</v>
      </c>
      <c r="AQ856" t="s">
        <v>97</v>
      </c>
      <c r="AR856">
        <v>0</v>
      </c>
      <c r="AS856">
        <v>10000</v>
      </c>
      <c r="AT856" t="s">
        <v>9</v>
      </c>
      <c r="AU856" t="s">
        <v>75</v>
      </c>
      <c r="AV856" t="s">
        <v>76</v>
      </c>
    </row>
    <row r="857" spans="1:48" x14ac:dyDescent="0.15">
      <c r="A857" s="4" t="str">
        <f>HYPERLINK("https://ibp.a2mac1.com/costing(costing:projects/details/9760/assembly/8416048)","Bolt-on parts &gt; Front structure &gt; Engine compartment reinforcement assy​  ID 129 ")</f>
        <v xml:space="preserve">Bolt-on parts &gt; Front structure &gt; Engine compartment reinforcement assy​  ID 129 </v>
      </c>
      <c r="B857">
        <v>8416048</v>
      </c>
      <c r="D857">
        <v>8415709</v>
      </c>
      <c r="E857" t="s">
        <v>6993</v>
      </c>
      <c r="F857">
        <v>1</v>
      </c>
      <c r="G857">
        <v>0</v>
      </c>
      <c r="H857">
        <v>0</v>
      </c>
      <c r="I857">
        <v>0</v>
      </c>
      <c r="J857" t="s">
        <v>176</v>
      </c>
      <c r="K857">
        <v>0</v>
      </c>
      <c r="L857">
        <v>0</v>
      </c>
      <c r="M857">
        <v>0</v>
      </c>
      <c r="N857">
        <v>26.871156854570653</v>
      </c>
      <c r="O857">
        <v>26.871156854570653</v>
      </c>
      <c r="P857" t="s">
        <v>177</v>
      </c>
      <c r="Q857">
        <v>0</v>
      </c>
      <c r="R857" t="s">
        <v>177</v>
      </c>
      <c r="S857">
        <v>1.6122694112742391</v>
      </c>
      <c r="T857" t="s">
        <v>178</v>
      </c>
      <c r="U857">
        <v>3.2245388225484781</v>
      </c>
      <c r="V857" t="s">
        <v>90</v>
      </c>
      <c r="W857">
        <v>0</v>
      </c>
      <c r="X857" t="s">
        <v>90</v>
      </c>
      <c r="Y857">
        <v>0</v>
      </c>
      <c r="Z857">
        <v>31.707965088393369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4.3120000000000003</v>
      </c>
      <c r="AN857" t="s">
        <v>3013</v>
      </c>
      <c r="AO857" t="s">
        <v>73</v>
      </c>
      <c r="AP857">
        <v>200000</v>
      </c>
      <c r="AQ857" t="s">
        <v>97</v>
      </c>
      <c r="AR857">
        <v>0</v>
      </c>
      <c r="AS857">
        <v>10000</v>
      </c>
      <c r="AT857" t="s">
        <v>9</v>
      </c>
      <c r="AU857" t="s">
        <v>75</v>
      </c>
      <c r="AV857" t="s">
        <v>76</v>
      </c>
    </row>
    <row r="858" spans="1:48" x14ac:dyDescent="0.15">
      <c r="A858" s="4" t="str">
        <f>HYPERLINK("https://ibp.a2mac1.com/costing(costing:projects/details/9760/assembly/8415709)","Front Reinforcement")</f>
        <v>Front Reinforcement</v>
      </c>
      <c r="B858">
        <v>8415709</v>
      </c>
      <c r="D858">
        <v>8415594</v>
      </c>
      <c r="F858">
        <v>1</v>
      </c>
      <c r="G858">
        <v>0</v>
      </c>
      <c r="H858">
        <v>39.887954129024209</v>
      </c>
      <c r="I858">
        <v>0</v>
      </c>
      <c r="J858" t="s">
        <v>90</v>
      </c>
      <c r="K858">
        <v>0</v>
      </c>
      <c r="L858">
        <v>39.887954129024209</v>
      </c>
      <c r="M858">
        <v>0</v>
      </c>
      <c r="N858">
        <v>0</v>
      </c>
      <c r="O858">
        <v>39.887954129024209</v>
      </c>
      <c r="P858" t="s">
        <v>90</v>
      </c>
      <c r="Q858">
        <v>0</v>
      </c>
      <c r="R858" t="s">
        <v>90</v>
      </c>
      <c r="S858">
        <v>0</v>
      </c>
      <c r="T858" t="s">
        <v>90</v>
      </c>
      <c r="U858">
        <v>0</v>
      </c>
      <c r="V858" t="s">
        <v>90</v>
      </c>
      <c r="W858">
        <v>0</v>
      </c>
      <c r="X858" t="s">
        <v>90</v>
      </c>
      <c r="Y858">
        <v>0</v>
      </c>
      <c r="Z858">
        <v>39.887954129024209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L858">
        <v>8.1907999999999994</v>
      </c>
      <c r="AN858" t="s">
        <v>185</v>
      </c>
      <c r="AO858" t="s">
        <v>73</v>
      </c>
      <c r="AP858">
        <v>200000</v>
      </c>
      <c r="AQ858" t="s">
        <v>73</v>
      </c>
      <c r="AS858">
        <v>10000</v>
      </c>
      <c r="AT858" t="s">
        <v>7006</v>
      </c>
      <c r="AU858" t="s">
        <v>75</v>
      </c>
      <c r="AV858" t="s">
        <v>76</v>
      </c>
    </row>
    <row r="859" spans="1:48" x14ac:dyDescent="0.15">
      <c r="A859" s="4" t="str">
        <f>HYPERLINK("https://ibp.a2mac1.com/costing(costing:projects/details/9760/assembly/8415710)","Other Reinforcements")</f>
        <v>Other Reinforcements</v>
      </c>
      <c r="B859">
        <v>8415710</v>
      </c>
      <c r="D859">
        <v>8415594</v>
      </c>
      <c r="F859">
        <v>1</v>
      </c>
      <c r="G859">
        <v>0</v>
      </c>
      <c r="H859">
        <v>4.5992267381175029</v>
      </c>
      <c r="I859">
        <v>2.3111692151344235E-2</v>
      </c>
      <c r="J859" t="s">
        <v>176</v>
      </c>
      <c r="K859">
        <v>0.1609729358341126</v>
      </c>
      <c r="L859">
        <v>4.7833113661029598</v>
      </c>
      <c r="M859">
        <v>0</v>
      </c>
      <c r="N859">
        <v>0</v>
      </c>
      <c r="O859">
        <v>4.7833113661029598</v>
      </c>
      <c r="P859" t="s">
        <v>90</v>
      </c>
      <c r="Q859">
        <v>0</v>
      </c>
      <c r="R859" t="s">
        <v>90</v>
      </c>
      <c r="S859">
        <v>0</v>
      </c>
      <c r="T859" t="s">
        <v>90</v>
      </c>
      <c r="U859">
        <v>0</v>
      </c>
      <c r="V859" t="s">
        <v>90</v>
      </c>
      <c r="W859">
        <v>0</v>
      </c>
      <c r="X859" t="s">
        <v>90</v>
      </c>
      <c r="Y859">
        <v>0</v>
      </c>
      <c r="Z859">
        <v>4.7833113661029598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N859" t="s">
        <v>3013</v>
      </c>
      <c r="AO859" t="s">
        <v>73</v>
      </c>
      <c r="AP859">
        <v>200000</v>
      </c>
      <c r="AQ859" t="s">
        <v>73</v>
      </c>
      <c r="AS859">
        <v>10000</v>
      </c>
      <c r="AT859" t="s">
        <v>9</v>
      </c>
      <c r="AU859" t="s">
        <v>75</v>
      </c>
      <c r="AV859" t="s">
        <v>76</v>
      </c>
    </row>
    <row r="860" spans="1:48" x14ac:dyDescent="0.15">
      <c r="A860" s="4" t="str">
        <f>HYPERLINK("https://ibp.a2mac1.com/costing(costing:projects/details/9760/assembly/8415594)","Body Reinforcement")</f>
        <v>Body Reinforcement</v>
      </c>
      <c r="B860">
        <v>8415594</v>
      </c>
      <c r="D860">
        <v>8415577</v>
      </c>
      <c r="F860">
        <v>1</v>
      </c>
      <c r="G860">
        <v>0</v>
      </c>
      <c r="H860">
        <v>44.671265495127166</v>
      </c>
      <c r="I860">
        <v>0</v>
      </c>
      <c r="J860" t="s">
        <v>90</v>
      </c>
      <c r="K860">
        <v>0</v>
      </c>
      <c r="L860">
        <v>44.671265495127166</v>
      </c>
      <c r="M860">
        <v>0</v>
      </c>
      <c r="N860">
        <v>0</v>
      </c>
      <c r="O860">
        <v>44.671265495127166</v>
      </c>
      <c r="P860" t="s">
        <v>90</v>
      </c>
      <c r="Q860">
        <v>0</v>
      </c>
      <c r="R860" t="s">
        <v>90</v>
      </c>
      <c r="S860">
        <v>0</v>
      </c>
      <c r="T860" t="s">
        <v>90</v>
      </c>
      <c r="U860">
        <v>0</v>
      </c>
      <c r="V860" t="s">
        <v>90</v>
      </c>
      <c r="W860">
        <v>0</v>
      </c>
      <c r="X860" t="s">
        <v>90</v>
      </c>
      <c r="Y860">
        <v>0</v>
      </c>
      <c r="Z860">
        <v>44.671265495127166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L860">
        <v>8.1907999999999994</v>
      </c>
      <c r="AN860" t="s">
        <v>185</v>
      </c>
      <c r="AO860" t="s">
        <v>73</v>
      </c>
      <c r="AP860">
        <v>200000</v>
      </c>
      <c r="AQ860" t="s">
        <v>73</v>
      </c>
      <c r="AS860">
        <v>10000</v>
      </c>
      <c r="AT860" t="s">
        <v>7013</v>
      </c>
      <c r="AU860" t="s">
        <v>75</v>
      </c>
      <c r="AV860" t="s">
        <v>76</v>
      </c>
    </row>
    <row r="861" spans="1:48" x14ac:dyDescent="0.15">
      <c r="A861" s="4" t="str">
        <f>HYPERLINK("https://ibp.a2mac1.com/costing(costing:projects/details/9760/assembly/8415595)","Hole Plugs")</f>
        <v>Hole Plugs</v>
      </c>
      <c r="B861">
        <v>8415595</v>
      </c>
      <c r="D861">
        <v>8415577</v>
      </c>
      <c r="F861">
        <v>1</v>
      </c>
      <c r="G861">
        <v>0</v>
      </c>
      <c r="H861">
        <v>5.5</v>
      </c>
      <c r="I861">
        <v>0</v>
      </c>
      <c r="J861" t="s">
        <v>90</v>
      </c>
      <c r="K861">
        <v>0</v>
      </c>
      <c r="L861">
        <v>5.5</v>
      </c>
      <c r="M861">
        <v>0</v>
      </c>
      <c r="N861">
        <v>0</v>
      </c>
      <c r="O861">
        <v>5.5</v>
      </c>
      <c r="P861" t="s">
        <v>90</v>
      </c>
      <c r="Q861">
        <v>0</v>
      </c>
      <c r="R861" t="s">
        <v>90</v>
      </c>
      <c r="S861">
        <v>0</v>
      </c>
      <c r="T861" t="s">
        <v>90</v>
      </c>
      <c r="U861">
        <v>0</v>
      </c>
      <c r="V861" t="s">
        <v>90</v>
      </c>
      <c r="W861">
        <v>0</v>
      </c>
      <c r="X861" t="s">
        <v>90</v>
      </c>
      <c r="Y861">
        <v>0</v>
      </c>
      <c r="Z861">
        <v>5.5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L861">
        <v>3.5000000000000003E-2</v>
      </c>
      <c r="AN861" t="s">
        <v>185</v>
      </c>
      <c r="AO861" t="s">
        <v>73</v>
      </c>
      <c r="AP861">
        <v>200000</v>
      </c>
      <c r="AQ861" t="s">
        <v>73</v>
      </c>
      <c r="AS861">
        <v>10000</v>
      </c>
      <c r="AT861" t="s">
        <v>7024</v>
      </c>
      <c r="AU861" t="s">
        <v>75</v>
      </c>
      <c r="AV861" t="s">
        <v>76</v>
      </c>
    </row>
    <row r="862" spans="1:48" x14ac:dyDescent="0.15">
      <c r="A862" s="4" t="str">
        <f>HYPERLINK("https://ibp.a2mac1.com/costing(costing:projects/details/9760/assembly/8415596)","Tread Plate")</f>
        <v>Tread Plate</v>
      </c>
      <c r="B862">
        <v>8415596</v>
      </c>
      <c r="D862">
        <v>8415577</v>
      </c>
      <c r="F862">
        <v>1</v>
      </c>
      <c r="G862">
        <v>0</v>
      </c>
      <c r="H862">
        <v>0.88583173075142807</v>
      </c>
      <c r="I862">
        <v>0</v>
      </c>
      <c r="J862" t="s">
        <v>90</v>
      </c>
      <c r="K862">
        <v>0</v>
      </c>
      <c r="L862">
        <v>0.88583173075142807</v>
      </c>
      <c r="M862">
        <v>0</v>
      </c>
      <c r="N862">
        <v>0</v>
      </c>
      <c r="O862">
        <v>0.88583173075142807</v>
      </c>
      <c r="P862" t="s">
        <v>90</v>
      </c>
      <c r="Q862">
        <v>0</v>
      </c>
      <c r="R862" t="s">
        <v>90</v>
      </c>
      <c r="S862">
        <v>0</v>
      </c>
      <c r="T862" t="s">
        <v>90</v>
      </c>
      <c r="U862">
        <v>0</v>
      </c>
      <c r="V862" t="s">
        <v>90</v>
      </c>
      <c r="W862">
        <v>0</v>
      </c>
      <c r="X862" t="s">
        <v>90</v>
      </c>
      <c r="Y862">
        <v>0</v>
      </c>
      <c r="Z862">
        <v>0.88583173075142807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L862">
        <v>0.17399999999999999</v>
      </c>
      <c r="AN862" t="s">
        <v>185</v>
      </c>
      <c r="AO862" t="s">
        <v>73</v>
      </c>
      <c r="AP862">
        <v>200000</v>
      </c>
      <c r="AQ862" t="s">
        <v>73</v>
      </c>
      <c r="AS862">
        <v>10000</v>
      </c>
      <c r="AT862" t="s">
        <v>7030</v>
      </c>
      <c r="AU862" t="s">
        <v>75</v>
      </c>
      <c r="AV862" t="s">
        <v>76</v>
      </c>
    </row>
    <row r="863" spans="1:48" x14ac:dyDescent="0.15">
      <c r="A863" s="4" t="str">
        <f>HYPERLINK("https://ibp.a2mac1.com/costing(costing:projects/details/9760/assembly/8415597)","Seals")</f>
        <v>Seals</v>
      </c>
      <c r="B863">
        <v>8415597</v>
      </c>
      <c r="D863">
        <v>8415577</v>
      </c>
      <c r="F863">
        <v>1</v>
      </c>
      <c r="G863">
        <v>0</v>
      </c>
      <c r="H863">
        <v>3.6452409960183734</v>
      </c>
      <c r="I863">
        <v>0</v>
      </c>
      <c r="J863" t="s">
        <v>90</v>
      </c>
      <c r="K863">
        <v>0</v>
      </c>
      <c r="L863">
        <v>3.6452409960183734</v>
      </c>
      <c r="M863">
        <v>0</v>
      </c>
      <c r="N863">
        <v>0</v>
      </c>
      <c r="O863">
        <v>3.6452409960183734</v>
      </c>
      <c r="P863" t="s">
        <v>90</v>
      </c>
      <c r="Q863">
        <v>0</v>
      </c>
      <c r="R863" t="s">
        <v>90</v>
      </c>
      <c r="S863">
        <v>0</v>
      </c>
      <c r="T863" t="s">
        <v>90</v>
      </c>
      <c r="U863">
        <v>0</v>
      </c>
      <c r="V863" t="s">
        <v>90</v>
      </c>
      <c r="W863">
        <v>0</v>
      </c>
      <c r="X863" t="s">
        <v>90</v>
      </c>
      <c r="Y863">
        <v>0</v>
      </c>
      <c r="Z863">
        <v>3.6452409960183734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L863">
        <v>1.456</v>
      </c>
      <c r="AN863" t="s">
        <v>185</v>
      </c>
      <c r="AO863" t="s">
        <v>73</v>
      </c>
      <c r="AP863">
        <v>200000</v>
      </c>
      <c r="AQ863" t="s">
        <v>73</v>
      </c>
      <c r="AS863">
        <v>10000</v>
      </c>
      <c r="AT863" t="s">
        <v>7037</v>
      </c>
      <c r="AU863" t="s">
        <v>75</v>
      </c>
      <c r="AV863" t="s">
        <v>76</v>
      </c>
    </row>
    <row r="864" spans="1:48" x14ac:dyDescent="0.15">
      <c r="A864" s="4" t="str">
        <f>HYPERLINK("https://ibp.a2mac1.com/costing(costing:projects/details/9760/assembly/8415720)","Access Trap")</f>
        <v>Access Trap</v>
      </c>
      <c r="B864">
        <v>8415720</v>
      </c>
      <c r="D864">
        <v>8415598</v>
      </c>
      <c r="F864">
        <v>1</v>
      </c>
      <c r="G864">
        <v>0</v>
      </c>
      <c r="H864">
        <v>0.8449161886030041</v>
      </c>
      <c r="I864">
        <v>4.2458099929799202E-3</v>
      </c>
      <c r="J864" t="s">
        <v>176</v>
      </c>
      <c r="K864">
        <v>2.9572066601105142E-2</v>
      </c>
      <c r="L864">
        <v>0.87873406519708919</v>
      </c>
      <c r="M864">
        <v>0</v>
      </c>
      <c r="N864">
        <v>2.6581392828074521E-2</v>
      </c>
      <c r="O864">
        <v>0.90531545802516367</v>
      </c>
      <c r="P864" t="s">
        <v>177</v>
      </c>
      <c r="Q864">
        <v>5.272404391182535E-2</v>
      </c>
      <c r="R864" t="s">
        <v>177</v>
      </c>
      <c r="S864">
        <v>1.5948835696844713E-3</v>
      </c>
      <c r="T864" t="s">
        <v>178</v>
      </c>
      <c r="U864">
        <v>0.10863785496301964</v>
      </c>
      <c r="V864" t="s">
        <v>90</v>
      </c>
      <c r="W864">
        <v>0</v>
      </c>
      <c r="X864" t="s">
        <v>90</v>
      </c>
      <c r="Y864">
        <v>0</v>
      </c>
      <c r="Z864">
        <v>1.0682722404696932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143</v>
      </c>
      <c r="AI864">
        <v>347</v>
      </c>
      <c r="AJ864">
        <v>18</v>
      </c>
      <c r="AL864">
        <v>0.186</v>
      </c>
      <c r="AN864" t="s">
        <v>740</v>
      </c>
      <c r="AO864" t="s">
        <v>73</v>
      </c>
      <c r="AP864">
        <v>200000</v>
      </c>
      <c r="AQ864" t="s">
        <v>97</v>
      </c>
      <c r="AS864">
        <v>10000</v>
      </c>
      <c r="AT864" t="s">
        <v>7049</v>
      </c>
      <c r="AU864" t="s">
        <v>75</v>
      </c>
      <c r="AV864" t="s">
        <v>76</v>
      </c>
    </row>
    <row r="865" spans="1:48" x14ac:dyDescent="0.15">
      <c r="A865" s="4" t="str">
        <f>HYPERLINK("https://ibp.a2mac1.com/costing(costing:projects/details/9760/assembly/8415598)","Engine Compartment Protection System")</f>
        <v>Engine Compartment Protection System</v>
      </c>
      <c r="B865">
        <v>8415598</v>
      </c>
      <c r="D865">
        <v>8415577</v>
      </c>
      <c r="F865">
        <v>1</v>
      </c>
      <c r="G865">
        <v>0</v>
      </c>
      <c r="H865">
        <v>7.3307037731640143</v>
      </c>
      <c r="I865">
        <v>0</v>
      </c>
      <c r="J865" t="s">
        <v>90</v>
      </c>
      <c r="K865">
        <v>0</v>
      </c>
      <c r="L865">
        <v>7.3307037731640143</v>
      </c>
      <c r="M865">
        <v>0</v>
      </c>
      <c r="N865">
        <v>0</v>
      </c>
      <c r="O865">
        <v>7.3307037731640143</v>
      </c>
      <c r="P865" t="s">
        <v>90</v>
      </c>
      <c r="Q865">
        <v>0</v>
      </c>
      <c r="R865" t="s">
        <v>90</v>
      </c>
      <c r="S865">
        <v>0</v>
      </c>
      <c r="T865" t="s">
        <v>90</v>
      </c>
      <c r="U865">
        <v>0</v>
      </c>
      <c r="V865" t="s">
        <v>90</v>
      </c>
      <c r="W865">
        <v>0</v>
      </c>
      <c r="X865" t="s">
        <v>90</v>
      </c>
      <c r="Y865">
        <v>0</v>
      </c>
      <c r="Z865">
        <v>7.3307037731640143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L865">
        <v>2.1762000000000001</v>
      </c>
      <c r="AN865" t="s">
        <v>185</v>
      </c>
      <c r="AO865" t="s">
        <v>73</v>
      </c>
      <c r="AP865">
        <v>200000</v>
      </c>
      <c r="AQ865" t="s">
        <v>73</v>
      </c>
      <c r="AS865">
        <v>10000</v>
      </c>
      <c r="AT865" t="s">
        <v>7059</v>
      </c>
      <c r="AU865" t="s">
        <v>75</v>
      </c>
      <c r="AV865" t="s">
        <v>76</v>
      </c>
    </row>
    <row r="866" spans="1:48" x14ac:dyDescent="0.15">
      <c r="A866" s="4" t="str">
        <f>HYPERLINK("https://ibp.a2mac1.com/costing(costing:projects/details/9760/assembly/8415599)","Jack Pads")</f>
        <v>Jack Pads</v>
      </c>
      <c r="B866">
        <v>8415599</v>
      </c>
      <c r="D866">
        <v>8415577</v>
      </c>
      <c r="F866">
        <v>1</v>
      </c>
      <c r="G866">
        <v>0</v>
      </c>
      <c r="H866">
        <v>1.3184624840732919</v>
      </c>
      <c r="I866">
        <v>0</v>
      </c>
      <c r="J866" t="s">
        <v>90</v>
      </c>
      <c r="K866">
        <v>0</v>
      </c>
      <c r="L866">
        <v>1.3184624840732919</v>
      </c>
      <c r="M866">
        <v>0</v>
      </c>
      <c r="N866">
        <v>0</v>
      </c>
      <c r="O866">
        <v>1.3184624840732919</v>
      </c>
      <c r="P866" t="s">
        <v>90</v>
      </c>
      <c r="Q866">
        <v>0</v>
      </c>
      <c r="R866" t="s">
        <v>90</v>
      </c>
      <c r="S866">
        <v>0</v>
      </c>
      <c r="T866" t="s">
        <v>90</v>
      </c>
      <c r="U866">
        <v>0</v>
      </c>
      <c r="V866" t="s">
        <v>90</v>
      </c>
      <c r="W866">
        <v>0</v>
      </c>
      <c r="X866" t="s">
        <v>90</v>
      </c>
      <c r="Y866">
        <v>0</v>
      </c>
      <c r="Z866">
        <v>1.3184624840732919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L866">
        <v>1.0860000000000001</v>
      </c>
      <c r="AN866" t="s">
        <v>185</v>
      </c>
      <c r="AO866" t="s">
        <v>73</v>
      </c>
      <c r="AP866">
        <v>200000</v>
      </c>
      <c r="AQ866" t="s">
        <v>73</v>
      </c>
      <c r="AS866">
        <v>10000</v>
      </c>
      <c r="AT866" t="s">
        <v>7070</v>
      </c>
      <c r="AU866" t="s">
        <v>75</v>
      </c>
      <c r="AV866" t="s">
        <v>76</v>
      </c>
    </row>
    <row r="867" spans="1:48" x14ac:dyDescent="0.15">
      <c r="A867" s="4" t="str">
        <f>HYPERLINK("https://ibp.a2mac1.com/costing(costing:projects/details/9760/assembly/8415726)","Support")</f>
        <v>Support</v>
      </c>
      <c r="B867">
        <v>8415726</v>
      </c>
      <c r="D867">
        <v>8415600</v>
      </c>
      <c r="F867">
        <v>1</v>
      </c>
      <c r="G867">
        <v>0</v>
      </c>
      <c r="H867">
        <v>3.6584175296033363</v>
      </c>
      <c r="I867">
        <v>0</v>
      </c>
      <c r="J867" t="s">
        <v>90</v>
      </c>
      <c r="K867">
        <v>0</v>
      </c>
      <c r="L867">
        <v>3.6584175296033363</v>
      </c>
      <c r="M867">
        <v>0</v>
      </c>
      <c r="N867">
        <v>0</v>
      </c>
      <c r="O867">
        <v>3.6584175296033363</v>
      </c>
      <c r="P867" t="s">
        <v>90</v>
      </c>
      <c r="Q867">
        <v>0</v>
      </c>
      <c r="R867" t="s">
        <v>90</v>
      </c>
      <c r="S867">
        <v>0</v>
      </c>
      <c r="T867" t="s">
        <v>90</v>
      </c>
      <c r="U867">
        <v>0</v>
      </c>
      <c r="V867" t="s">
        <v>90</v>
      </c>
      <c r="W867">
        <v>0</v>
      </c>
      <c r="X867" t="s">
        <v>90</v>
      </c>
      <c r="Y867">
        <v>0</v>
      </c>
      <c r="Z867">
        <v>3.6584175296033363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L867">
        <v>1.0640000000000001</v>
      </c>
      <c r="AN867" t="s">
        <v>185</v>
      </c>
      <c r="AO867" t="s">
        <v>73</v>
      </c>
      <c r="AP867">
        <v>200000</v>
      </c>
      <c r="AQ867" t="s">
        <v>73</v>
      </c>
      <c r="AS867">
        <v>10000</v>
      </c>
      <c r="AT867" t="s">
        <v>7091</v>
      </c>
      <c r="AU867" t="s">
        <v>75</v>
      </c>
      <c r="AV867" t="s">
        <v>76</v>
      </c>
    </row>
    <row r="868" spans="1:48" x14ac:dyDescent="0.15">
      <c r="A868" s="4" t="str">
        <f>HYPERLINK("https://ibp.a2mac1.com/costing(costing:projects/details/9760/assembly/8415600)","Rocker Panel Cover")</f>
        <v>Rocker Panel Cover</v>
      </c>
      <c r="B868">
        <v>8415600</v>
      </c>
      <c r="D868">
        <v>8415577</v>
      </c>
      <c r="F868">
        <v>1</v>
      </c>
      <c r="G868">
        <v>0</v>
      </c>
      <c r="H868">
        <v>16.551110118202804</v>
      </c>
      <c r="I868">
        <v>0</v>
      </c>
      <c r="J868" t="s">
        <v>90</v>
      </c>
      <c r="K868">
        <v>0</v>
      </c>
      <c r="L868">
        <v>16.551110118202804</v>
      </c>
      <c r="M868">
        <v>0</v>
      </c>
      <c r="N868">
        <v>0</v>
      </c>
      <c r="O868">
        <v>16.551110118202804</v>
      </c>
      <c r="P868" t="s">
        <v>90</v>
      </c>
      <c r="Q868">
        <v>0</v>
      </c>
      <c r="R868" t="s">
        <v>90</v>
      </c>
      <c r="S868">
        <v>0</v>
      </c>
      <c r="T868" t="s">
        <v>90</v>
      </c>
      <c r="U868">
        <v>0</v>
      </c>
      <c r="V868" t="s">
        <v>90</v>
      </c>
      <c r="W868">
        <v>0</v>
      </c>
      <c r="X868" t="s">
        <v>90</v>
      </c>
      <c r="Y868">
        <v>0</v>
      </c>
      <c r="Z868">
        <v>16.551110118202804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L868">
        <v>4.6687000000000003</v>
      </c>
      <c r="AN868" t="s">
        <v>185</v>
      </c>
      <c r="AO868" t="s">
        <v>73</v>
      </c>
      <c r="AP868">
        <v>200000</v>
      </c>
      <c r="AQ868" t="s">
        <v>73</v>
      </c>
      <c r="AS868">
        <v>10000</v>
      </c>
      <c r="AT868" t="s">
        <v>7102</v>
      </c>
      <c r="AU868" t="s">
        <v>75</v>
      </c>
      <c r="AV868" t="s">
        <v>76</v>
      </c>
    </row>
    <row r="869" spans="1:48" x14ac:dyDescent="0.15">
      <c r="A869" s="4" t="str">
        <f>HYPERLINK("https://ibp.a2mac1.com/costing(costing:projects/details/9760/assembly/8415729)","Water Drainage Ducts")</f>
        <v>Water Drainage Ducts</v>
      </c>
      <c r="B869">
        <v>8415729</v>
      </c>
      <c r="D869">
        <v>8415601</v>
      </c>
      <c r="F869">
        <v>1</v>
      </c>
      <c r="G869">
        <v>0</v>
      </c>
      <c r="H869">
        <v>3.7065305328164475E-2</v>
      </c>
      <c r="I869">
        <v>0</v>
      </c>
      <c r="J869" t="s">
        <v>90</v>
      </c>
      <c r="K869">
        <v>0</v>
      </c>
      <c r="L869">
        <v>3.7065305328164475E-2</v>
      </c>
      <c r="M869">
        <v>0</v>
      </c>
      <c r="N869">
        <v>0</v>
      </c>
      <c r="O869">
        <v>3.7065305328164475E-2</v>
      </c>
      <c r="P869" t="s">
        <v>90</v>
      </c>
      <c r="Q869">
        <v>0</v>
      </c>
      <c r="R869" t="s">
        <v>90</v>
      </c>
      <c r="S869">
        <v>0</v>
      </c>
      <c r="T869" t="s">
        <v>90</v>
      </c>
      <c r="U869">
        <v>0</v>
      </c>
      <c r="V869" t="s">
        <v>90</v>
      </c>
      <c r="W869">
        <v>0</v>
      </c>
      <c r="X869" t="s">
        <v>90</v>
      </c>
      <c r="Y869">
        <v>0</v>
      </c>
      <c r="Z869">
        <v>3.7065305328164475E-2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L869">
        <v>3.0000000000000001E-3</v>
      </c>
      <c r="AN869" t="s">
        <v>185</v>
      </c>
      <c r="AO869" t="s">
        <v>73</v>
      </c>
      <c r="AP869">
        <v>200000</v>
      </c>
      <c r="AQ869" t="s">
        <v>73</v>
      </c>
      <c r="AS869">
        <v>10000</v>
      </c>
      <c r="AT869" t="s">
        <v>7109</v>
      </c>
      <c r="AU869" t="s">
        <v>75</v>
      </c>
      <c r="AV869" t="s">
        <v>76</v>
      </c>
    </row>
    <row r="870" spans="1:48" x14ac:dyDescent="0.15">
      <c r="A870" s="4" t="str">
        <f>HYPERLINK("https://ibp.a2mac1.com/costing(costing:projects/details/9760/assembly/8415601)","Water Box   Draining System")</f>
        <v>Water Box   Draining System</v>
      </c>
      <c r="B870">
        <v>8415601</v>
      </c>
      <c r="D870">
        <v>8415577</v>
      </c>
      <c r="F870">
        <v>1</v>
      </c>
      <c r="G870">
        <v>0</v>
      </c>
      <c r="H870">
        <v>0.66146424365578438</v>
      </c>
      <c r="I870">
        <v>0</v>
      </c>
      <c r="J870" t="s">
        <v>90</v>
      </c>
      <c r="K870">
        <v>0</v>
      </c>
      <c r="L870">
        <v>0.66146424365578438</v>
      </c>
      <c r="M870">
        <v>0</v>
      </c>
      <c r="N870">
        <v>0</v>
      </c>
      <c r="O870">
        <v>0.66146424365578438</v>
      </c>
      <c r="P870" t="s">
        <v>90</v>
      </c>
      <c r="Q870">
        <v>0</v>
      </c>
      <c r="R870" t="s">
        <v>90</v>
      </c>
      <c r="S870">
        <v>0</v>
      </c>
      <c r="T870" t="s">
        <v>90</v>
      </c>
      <c r="U870">
        <v>0</v>
      </c>
      <c r="V870" t="s">
        <v>90</v>
      </c>
      <c r="W870">
        <v>0</v>
      </c>
      <c r="X870" t="s">
        <v>90</v>
      </c>
      <c r="Y870">
        <v>0</v>
      </c>
      <c r="Z870">
        <v>0.66146424365578438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L870">
        <v>0.1348</v>
      </c>
      <c r="AN870" t="s">
        <v>185</v>
      </c>
      <c r="AO870" t="s">
        <v>73</v>
      </c>
      <c r="AP870">
        <v>200000</v>
      </c>
      <c r="AQ870" t="s">
        <v>73</v>
      </c>
      <c r="AS870">
        <v>10000</v>
      </c>
      <c r="AT870" t="s">
        <v>7119</v>
      </c>
      <c r="AU870" t="s">
        <v>75</v>
      </c>
      <c r="AV870" t="s">
        <v>76</v>
      </c>
    </row>
    <row r="871" spans="1:48" x14ac:dyDescent="0.15">
      <c r="A871" s="4" t="str">
        <f>HYPERLINK("https://ibp.a2mac1.com/costing(costing:projects/details/9760/assembly/8416058)","Rear")</f>
        <v>Rear</v>
      </c>
      <c r="B871">
        <v>8416058</v>
      </c>
      <c r="D871">
        <v>8415733</v>
      </c>
      <c r="F871">
        <v>1</v>
      </c>
      <c r="G871">
        <v>0</v>
      </c>
      <c r="H871">
        <v>16.917334239296508</v>
      </c>
      <c r="I871">
        <v>0</v>
      </c>
      <c r="J871" t="s">
        <v>90</v>
      </c>
      <c r="K871">
        <v>0</v>
      </c>
      <c r="L871">
        <v>16.917334239296508</v>
      </c>
      <c r="M871">
        <v>0</v>
      </c>
      <c r="N871">
        <v>0</v>
      </c>
      <c r="O871">
        <v>16.917334239296508</v>
      </c>
      <c r="P871" t="s">
        <v>90</v>
      </c>
      <c r="Q871">
        <v>0</v>
      </c>
      <c r="R871" t="s">
        <v>90</v>
      </c>
      <c r="S871">
        <v>0</v>
      </c>
      <c r="T871" t="s">
        <v>90</v>
      </c>
      <c r="U871">
        <v>0</v>
      </c>
      <c r="V871" t="s">
        <v>90</v>
      </c>
      <c r="W871">
        <v>0</v>
      </c>
      <c r="X871" t="s">
        <v>90</v>
      </c>
      <c r="Y871">
        <v>0</v>
      </c>
      <c r="Z871">
        <v>16.917334239296508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L871">
        <v>4.4282000000000004</v>
      </c>
      <c r="AN871" t="s">
        <v>185</v>
      </c>
      <c r="AO871" t="s">
        <v>73</v>
      </c>
      <c r="AP871">
        <v>200000</v>
      </c>
      <c r="AQ871" t="s">
        <v>73</v>
      </c>
      <c r="AS871">
        <v>10000</v>
      </c>
      <c r="AT871" t="s">
        <v>7140</v>
      </c>
      <c r="AU871" t="s">
        <v>75</v>
      </c>
      <c r="AV871" t="s">
        <v>76</v>
      </c>
    </row>
    <row r="872" spans="1:48" x14ac:dyDescent="0.15">
      <c r="A872" s="4" t="str">
        <f>HYPERLINK("https://ibp.a2mac1.com/costing(costing:projects/details/9760/assembly/8415733)","Side Windows Quarter Glass")</f>
        <v>Side Windows Quarter Glass</v>
      </c>
      <c r="B872">
        <v>8415733</v>
      </c>
      <c r="D872">
        <v>8415602</v>
      </c>
      <c r="F872">
        <v>1</v>
      </c>
      <c r="G872">
        <v>0</v>
      </c>
      <c r="H872">
        <v>16.917334239296508</v>
      </c>
      <c r="I872">
        <v>0</v>
      </c>
      <c r="J872" t="s">
        <v>90</v>
      </c>
      <c r="K872">
        <v>0</v>
      </c>
      <c r="L872">
        <v>16.917334239296508</v>
      </c>
      <c r="M872">
        <v>0</v>
      </c>
      <c r="N872">
        <v>0</v>
      </c>
      <c r="O872">
        <v>16.917334239296508</v>
      </c>
      <c r="P872" t="s">
        <v>90</v>
      </c>
      <c r="Q872">
        <v>0</v>
      </c>
      <c r="R872" t="s">
        <v>90</v>
      </c>
      <c r="S872">
        <v>0</v>
      </c>
      <c r="T872" t="s">
        <v>90</v>
      </c>
      <c r="U872">
        <v>0</v>
      </c>
      <c r="V872" t="s">
        <v>90</v>
      </c>
      <c r="W872">
        <v>0</v>
      </c>
      <c r="X872" t="s">
        <v>90</v>
      </c>
      <c r="Y872">
        <v>0</v>
      </c>
      <c r="Z872">
        <v>16.917334239296508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L872">
        <v>4.4282000000000004</v>
      </c>
      <c r="AN872" t="s">
        <v>185</v>
      </c>
      <c r="AO872" t="s">
        <v>73</v>
      </c>
      <c r="AP872">
        <v>200000</v>
      </c>
      <c r="AQ872" t="s">
        <v>73</v>
      </c>
      <c r="AS872">
        <v>10000</v>
      </c>
      <c r="AT872" t="s">
        <v>7141</v>
      </c>
      <c r="AU872" t="s">
        <v>75</v>
      </c>
      <c r="AV872" t="s">
        <v>76</v>
      </c>
    </row>
    <row r="873" spans="1:48" x14ac:dyDescent="0.15">
      <c r="A873" s="4" t="str">
        <f>HYPERLINK("https://ibp.a2mac1.com/costing(costing:projects/details/9760/assembly/8416059)","Seal")</f>
        <v>Seal</v>
      </c>
      <c r="B873">
        <v>8416059</v>
      </c>
      <c r="D873">
        <v>8415734</v>
      </c>
      <c r="F873">
        <v>1</v>
      </c>
      <c r="G873">
        <v>0</v>
      </c>
      <c r="H873">
        <v>0.57767091757506095</v>
      </c>
      <c r="I873">
        <v>0</v>
      </c>
      <c r="J873" t="s">
        <v>90</v>
      </c>
      <c r="K873">
        <v>0</v>
      </c>
      <c r="L873">
        <v>0.57767091757506095</v>
      </c>
      <c r="M873">
        <v>0</v>
      </c>
      <c r="N873">
        <v>0</v>
      </c>
      <c r="O873">
        <v>0.57767091757506095</v>
      </c>
      <c r="P873" t="s">
        <v>90</v>
      </c>
      <c r="Q873">
        <v>0</v>
      </c>
      <c r="R873" t="s">
        <v>90</v>
      </c>
      <c r="S873">
        <v>0</v>
      </c>
      <c r="T873" t="s">
        <v>90</v>
      </c>
      <c r="U873">
        <v>0</v>
      </c>
      <c r="V873" t="s">
        <v>90</v>
      </c>
      <c r="W873">
        <v>0</v>
      </c>
      <c r="X873" t="s">
        <v>90</v>
      </c>
      <c r="Y873">
        <v>0</v>
      </c>
      <c r="Z873">
        <v>0.57767091757506095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L873">
        <v>0.15</v>
      </c>
      <c r="AN873" t="s">
        <v>185</v>
      </c>
      <c r="AO873" t="s">
        <v>73</v>
      </c>
      <c r="AP873">
        <v>200000</v>
      </c>
      <c r="AQ873" t="s">
        <v>73</v>
      </c>
      <c r="AS873">
        <v>10000</v>
      </c>
      <c r="AT873" t="s">
        <v>7157</v>
      </c>
      <c r="AU873" t="s">
        <v>75</v>
      </c>
      <c r="AV873" t="s">
        <v>76</v>
      </c>
    </row>
    <row r="874" spans="1:48" x14ac:dyDescent="0.15">
      <c r="A874" s="4" t="str">
        <f>HYPERLINK("https://ibp.a2mac1.com/costing(costing:projects/details/9760/assembly/8416060)","Windshield")</f>
        <v>Windshield</v>
      </c>
      <c r="B874">
        <v>8416060</v>
      </c>
      <c r="D874">
        <v>8415734</v>
      </c>
      <c r="E874" t="e">
        <v>#VALUE!</v>
      </c>
      <c r="F874">
        <v>1</v>
      </c>
      <c r="G874">
        <v>0</v>
      </c>
      <c r="H874">
        <v>21.006017330882447</v>
      </c>
      <c r="I874">
        <v>0</v>
      </c>
      <c r="J874" t="s">
        <v>90</v>
      </c>
      <c r="K874">
        <v>0</v>
      </c>
      <c r="L874">
        <v>21.006017330882447</v>
      </c>
      <c r="M874">
        <v>0</v>
      </c>
      <c r="N874">
        <v>0</v>
      </c>
      <c r="O874">
        <v>21.006017330882447</v>
      </c>
      <c r="P874" t="s">
        <v>90</v>
      </c>
      <c r="Q874">
        <v>0</v>
      </c>
      <c r="R874" t="s">
        <v>90</v>
      </c>
      <c r="S874">
        <v>0</v>
      </c>
      <c r="T874" t="s">
        <v>90</v>
      </c>
      <c r="U874">
        <v>0</v>
      </c>
      <c r="V874" t="s">
        <v>90</v>
      </c>
      <c r="W874">
        <v>0</v>
      </c>
      <c r="X874" t="s">
        <v>90</v>
      </c>
      <c r="Y874">
        <v>0</v>
      </c>
      <c r="Z874">
        <v>21.006017330882447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1575</v>
      </c>
      <c r="AJ874">
        <v>1030</v>
      </c>
      <c r="AK874">
        <v>0</v>
      </c>
      <c r="AL874">
        <v>15.678000000000001</v>
      </c>
      <c r="AN874" t="s">
        <v>185</v>
      </c>
      <c r="AO874" t="s">
        <v>73</v>
      </c>
      <c r="AP874">
        <v>200000</v>
      </c>
      <c r="AQ874" t="s">
        <v>97</v>
      </c>
      <c r="AS874">
        <v>10000</v>
      </c>
      <c r="AT874" t="s">
        <v>7165</v>
      </c>
      <c r="AU874" t="s">
        <v>75</v>
      </c>
      <c r="AV874" t="s">
        <v>76</v>
      </c>
    </row>
    <row r="875" spans="1:48" x14ac:dyDescent="0.15">
      <c r="A875" s="4" t="str">
        <f>HYPERLINK("https://ibp.a2mac1.com/costing(costing:projects/details/9760/assembly/8415734)","Windshield System")</f>
        <v>Windshield System</v>
      </c>
      <c r="B875">
        <v>8415734</v>
      </c>
      <c r="D875">
        <v>8415602</v>
      </c>
      <c r="F875">
        <v>1</v>
      </c>
      <c r="G875">
        <v>0</v>
      </c>
      <c r="H875">
        <v>21.643688248457508</v>
      </c>
      <c r="I875">
        <v>0</v>
      </c>
      <c r="J875" t="s">
        <v>90</v>
      </c>
      <c r="K875">
        <v>0</v>
      </c>
      <c r="L875">
        <v>21.643688248457508</v>
      </c>
      <c r="M875">
        <v>0</v>
      </c>
      <c r="N875">
        <v>0</v>
      </c>
      <c r="O875">
        <v>21.643688248457508</v>
      </c>
      <c r="P875" t="s">
        <v>90</v>
      </c>
      <c r="Q875">
        <v>0</v>
      </c>
      <c r="R875" t="s">
        <v>90</v>
      </c>
      <c r="S875">
        <v>0</v>
      </c>
      <c r="T875" t="s">
        <v>90</v>
      </c>
      <c r="U875">
        <v>0</v>
      </c>
      <c r="V875" t="s">
        <v>90</v>
      </c>
      <c r="W875">
        <v>0</v>
      </c>
      <c r="X875" t="s">
        <v>90</v>
      </c>
      <c r="Y875">
        <v>0</v>
      </c>
      <c r="Z875">
        <v>21.643688248457508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L875">
        <v>15.83</v>
      </c>
      <c r="AN875" t="s">
        <v>185</v>
      </c>
      <c r="AO875" t="s">
        <v>73</v>
      </c>
      <c r="AP875">
        <v>200000</v>
      </c>
      <c r="AQ875" t="s">
        <v>73</v>
      </c>
      <c r="AS875">
        <v>10000</v>
      </c>
      <c r="AT875" t="s">
        <v>7166</v>
      </c>
      <c r="AU875" t="s">
        <v>75</v>
      </c>
      <c r="AV875" t="s">
        <v>76</v>
      </c>
    </row>
    <row r="876" spans="1:48" x14ac:dyDescent="0.15">
      <c r="A876" s="4" t="str">
        <f>HYPERLINK("https://ibp.a2mac1.com/costing(costing:projects/details/9760/assembly/8415735)","Panoramic Roof")</f>
        <v>Panoramic Roof</v>
      </c>
      <c r="B876">
        <v>8415735</v>
      </c>
      <c r="D876">
        <v>8415602</v>
      </c>
      <c r="F876">
        <v>1</v>
      </c>
      <c r="G876">
        <v>0</v>
      </c>
      <c r="H876">
        <v>117.02849949457753</v>
      </c>
      <c r="I876">
        <v>0</v>
      </c>
      <c r="J876" t="s">
        <v>90</v>
      </c>
      <c r="K876">
        <v>0</v>
      </c>
      <c r="L876">
        <v>117.02849949457753</v>
      </c>
      <c r="M876">
        <v>0</v>
      </c>
      <c r="N876">
        <v>0</v>
      </c>
      <c r="O876">
        <v>117.02849949457753</v>
      </c>
      <c r="P876" t="s">
        <v>90</v>
      </c>
      <c r="Q876">
        <v>0</v>
      </c>
      <c r="R876" t="s">
        <v>90</v>
      </c>
      <c r="S876">
        <v>0</v>
      </c>
      <c r="T876" t="s">
        <v>90</v>
      </c>
      <c r="U876">
        <v>0</v>
      </c>
      <c r="V876" t="s">
        <v>90</v>
      </c>
      <c r="W876">
        <v>0</v>
      </c>
      <c r="X876" t="s">
        <v>90</v>
      </c>
      <c r="Y876">
        <v>0</v>
      </c>
      <c r="Z876">
        <v>117.02849949457753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L876">
        <v>19.324000000000002</v>
      </c>
      <c r="AN876" t="s">
        <v>185</v>
      </c>
      <c r="AO876" t="s">
        <v>73</v>
      </c>
      <c r="AP876">
        <v>200000</v>
      </c>
      <c r="AQ876" t="s">
        <v>73</v>
      </c>
      <c r="AS876">
        <v>10000</v>
      </c>
      <c r="AT876" t="s">
        <v>7181</v>
      </c>
      <c r="AU876" t="s">
        <v>75</v>
      </c>
      <c r="AV876" t="s">
        <v>76</v>
      </c>
    </row>
    <row r="877" spans="1:48" x14ac:dyDescent="0.15">
      <c r="A877" s="4" t="str">
        <f>HYPERLINK("https://ibp.a2mac1.com/costing(costing:projects/details/9760/assembly/8415602)","Windshields Windows")</f>
        <v>Windshields Windows</v>
      </c>
      <c r="B877">
        <v>8415602</v>
      </c>
      <c r="D877">
        <v>8415577</v>
      </c>
      <c r="F877">
        <v>1</v>
      </c>
      <c r="G877">
        <v>0</v>
      </c>
      <c r="H877">
        <v>195.4013319542407</v>
      </c>
      <c r="I877">
        <v>0</v>
      </c>
      <c r="J877" t="s">
        <v>90</v>
      </c>
      <c r="K877">
        <v>0</v>
      </c>
      <c r="L877">
        <v>195.4013319542407</v>
      </c>
      <c r="M877">
        <v>0</v>
      </c>
      <c r="N877">
        <v>0</v>
      </c>
      <c r="O877">
        <v>195.4013319542407</v>
      </c>
      <c r="P877" t="s">
        <v>90</v>
      </c>
      <c r="Q877">
        <v>0</v>
      </c>
      <c r="R877" t="s">
        <v>90</v>
      </c>
      <c r="S877">
        <v>0</v>
      </c>
      <c r="T877" t="s">
        <v>90</v>
      </c>
      <c r="U877">
        <v>0</v>
      </c>
      <c r="V877" t="s">
        <v>90</v>
      </c>
      <c r="W877">
        <v>0</v>
      </c>
      <c r="X877" t="s">
        <v>90</v>
      </c>
      <c r="Y877">
        <v>0</v>
      </c>
      <c r="Z877">
        <v>195.4013319542407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L877">
        <v>45.824199999999998</v>
      </c>
      <c r="AN877" t="s">
        <v>185</v>
      </c>
      <c r="AO877" t="s">
        <v>73</v>
      </c>
      <c r="AP877">
        <v>200000</v>
      </c>
      <c r="AQ877" t="s">
        <v>73</v>
      </c>
      <c r="AS877">
        <v>10000</v>
      </c>
      <c r="AT877" t="s">
        <v>7193</v>
      </c>
      <c r="AU877" t="s">
        <v>75</v>
      </c>
      <c r="AV877" t="s">
        <v>76</v>
      </c>
    </row>
    <row r="878" spans="1:48" x14ac:dyDescent="0.15">
      <c r="A878" s="4" t="str">
        <f>HYPERLINK("https://ibp.a2mac1.com/costing(costing:projects/details/9760/assembly/8415749)","Shield Under Front Bumper System")</f>
        <v>Shield Under Front Bumper System</v>
      </c>
      <c r="B878">
        <v>8415749</v>
      </c>
      <c r="D878">
        <v>8415603</v>
      </c>
      <c r="F878">
        <v>1</v>
      </c>
      <c r="G878">
        <v>0</v>
      </c>
      <c r="H878">
        <v>6.8371820830492149</v>
      </c>
      <c r="I878">
        <v>0</v>
      </c>
      <c r="J878" t="s">
        <v>90</v>
      </c>
      <c r="K878">
        <v>0</v>
      </c>
      <c r="L878">
        <v>6.8371820830492149</v>
      </c>
      <c r="M878">
        <v>0</v>
      </c>
      <c r="N878">
        <v>0</v>
      </c>
      <c r="O878">
        <v>6.8371820830492149</v>
      </c>
      <c r="P878" t="s">
        <v>90</v>
      </c>
      <c r="Q878">
        <v>0</v>
      </c>
      <c r="R878" t="s">
        <v>90</v>
      </c>
      <c r="S878">
        <v>0</v>
      </c>
      <c r="T878" t="s">
        <v>90</v>
      </c>
      <c r="U878">
        <v>0</v>
      </c>
      <c r="V878" t="s">
        <v>90</v>
      </c>
      <c r="W878">
        <v>0</v>
      </c>
      <c r="X878" t="s">
        <v>90</v>
      </c>
      <c r="Y878">
        <v>0</v>
      </c>
      <c r="Z878">
        <v>6.8371820830492149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L878">
        <v>2.6539999999999999</v>
      </c>
      <c r="AN878" t="s">
        <v>185</v>
      </c>
      <c r="AO878" t="s">
        <v>73</v>
      </c>
      <c r="AP878">
        <v>200000</v>
      </c>
      <c r="AQ878" t="s">
        <v>73</v>
      </c>
      <c r="AS878">
        <v>10000</v>
      </c>
      <c r="AT878" t="s">
        <v>7201</v>
      </c>
      <c r="AU878" t="s">
        <v>75</v>
      </c>
      <c r="AV878" t="s">
        <v>76</v>
      </c>
    </row>
    <row r="879" spans="1:48" x14ac:dyDescent="0.15">
      <c r="A879" s="4" t="str">
        <f>HYPERLINK("https://ibp.a2mac1.com/costing(costing:projects/details/9760/assembly/8415603)","Aerodynamic Shield")</f>
        <v>Aerodynamic Shield</v>
      </c>
      <c r="B879">
        <v>8415603</v>
      </c>
      <c r="D879">
        <v>8415577</v>
      </c>
      <c r="F879">
        <v>1</v>
      </c>
      <c r="G879">
        <v>0</v>
      </c>
      <c r="H879">
        <v>25.491547226670491</v>
      </c>
      <c r="I879">
        <v>0</v>
      </c>
      <c r="J879" t="s">
        <v>90</v>
      </c>
      <c r="K879">
        <v>0</v>
      </c>
      <c r="L879">
        <v>25.491547226670491</v>
      </c>
      <c r="M879">
        <v>0</v>
      </c>
      <c r="N879">
        <v>0</v>
      </c>
      <c r="O879">
        <v>25.491547226670491</v>
      </c>
      <c r="P879" t="s">
        <v>90</v>
      </c>
      <c r="Q879">
        <v>0</v>
      </c>
      <c r="R879" t="s">
        <v>90</v>
      </c>
      <c r="S879">
        <v>0</v>
      </c>
      <c r="T879" t="s">
        <v>90</v>
      </c>
      <c r="U879">
        <v>0</v>
      </c>
      <c r="V879" t="s">
        <v>90</v>
      </c>
      <c r="W879">
        <v>0</v>
      </c>
      <c r="X879" t="s">
        <v>90</v>
      </c>
      <c r="Y879">
        <v>0</v>
      </c>
      <c r="Z879">
        <v>25.491547226670491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L879">
        <v>9.5698000000000008</v>
      </c>
      <c r="AN879" t="s">
        <v>185</v>
      </c>
      <c r="AO879" t="s">
        <v>73</v>
      </c>
      <c r="AP879">
        <v>200000</v>
      </c>
      <c r="AQ879" t="s">
        <v>73</v>
      </c>
      <c r="AS879">
        <v>10000</v>
      </c>
      <c r="AT879" t="s">
        <v>7262</v>
      </c>
      <c r="AU879" t="s">
        <v>75</v>
      </c>
      <c r="AV879" t="s">
        <v>76</v>
      </c>
    </row>
    <row r="880" spans="1:48" x14ac:dyDescent="0.15">
      <c r="A880" s="4" t="str">
        <f>HYPERLINK("https://ibp.a2mac1.com/costing(costing:projects/details/9760/assembly/8415604)","Frontend Cooling")</f>
        <v>Frontend Cooling</v>
      </c>
      <c r="B880">
        <v>8415604</v>
      </c>
      <c r="D880">
        <v>8415577</v>
      </c>
      <c r="F880">
        <v>1</v>
      </c>
      <c r="G880">
        <v>0</v>
      </c>
      <c r="H880">
        <v>4.7718620593113226</v>
      </c>
      <c r="I880">
        <v>0</v>
      </c>
      <c r="J880" t="s">
        <v>90</v>
      </c>
      <c r="K880">
        <v>0</v>
      </c>
      <c r="L880">
        <v>4.7718620593113226</v>
      </c>
      <c r="M880">
        <v>0</v>
      </c>
      <c r="N880">
        <v>0</v>
      </c>
      <c r="O880">
        <v>4.7718620593113226</v>
      </c>
      <c r="P880" t="s">
        <v>90</v>
      </c>
      <c r="Q880">
        <v>0</v>
      </c>
      <c r="R880" t="s">
        <v>90</v>
      </c>
      <c r="S880">
        <v>0</v>
      </c>
      <c r="T880" t="s">
        <v>90</v>
      </c>
      <c r="U880">
        <v>0</v>
      </c>
      <c r="V880" t="s">
        <v>90</v>
      </c>
      <c r="W880">
        <v>0</v>
      </c>
      <c r="X880" t="s">
        <v>90</v>
      </c>
      <c r="Y880">
        <v>0</v>
      </c>
      <c r="Z880">
        <v>4.7718620593113226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L880">
        <v>2.8786</v>
      </c>
      <c r="AN880" t="s">
        <v>185</v>
      </c>
      <c r="AO880" t="s">
        <v>73</v>
      </c>
      <c r="AP880">
        <v>200000</v>
      </c>
      <c r="AQ880" t="s">
        <v>73</v>
      </c>
      <c r="AS880">
        <v>10000</v>
      </c>
      <c r="AT880" t="s">
        <v>7293</v>
      </c>
      <c r="AU880" t="s">
        <v>75</v>
      </c>
      <c r="AV880" t="s">
        <v>76</v>
      </c>
    </row>
    <row r="881" spans="1:48" x14ac:dyDescent="0.15">
      <c r="A881" s="4" t="str">
        <f>HYPERLINK("https://ibp.a2mac1.com/costing(costing:projects/details/9760/assembly/8416065)","After Paint")</f>
        <v>After Paint</v>
      </c>
      <c r="B881">
        <v>8416065</v>
      </c>
      <c r="D881">
        <v>8415757</v>
      </c>
      <c r="F881">
        <v>1</v>
      </c>
      <c r="G881">
        <v>0</v>
      </c>
      <c r="H881">
        <v>20.67</v>
      </c>
      <c r="I881">
        <v>0</v>
      </c>
      <c r="J881" t="s">
        <v>90</v>
      </c>
      <c r="K881">
        <v>0</v>
      </c>
      <c r="L881">
        <v>20.67</v>
      </c>
      <c r="M881">
        <v>0</v>
      </c>
      <c r="N881">
        <v>0</v>
      </c>
      <c r="O881">
        <v>20.67</v>
      </c>
      <c r="P881" t="s">
        <v>90</v>
      </c>
      <c r="Q881">
        <v>0</v>
      </c>
      <c r="R881" t="s">
        <v>90</v>
      </c>
      <c r="S881">
        <v>0</v>
      </c>
      <c r="T881" t="s">
        <v>90</v>
      </c>
      <c r="U881">
        <v>0</v>
      </c>
      <c r="V881" t="s">
        <v>90</v>
      </c>
      <c r="W881">
        <v>0</v>
      </c>
      <c r="X881" t="s">
        <v>90</v>
      </c>
      <c r="Y881">
        <v>0</v>
      </c>
      <c r="Z881">
        <v>20.67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L881">
        <v>5.7210000000000001</v>
      </c>
      <c r="AN881" t="s">
        <v>185</v>
      </c>
      <c r="AO881" t="s">
        <v>73</v>
      </c>
      <c r="AP881">
        <v>200000</v>
      </c>
      <c r="AQ881" t="s">
        <v>97</v>
      </c>
      <c r="AS881">
        <v>10000</v>
      </c>
      <c r="AT881" t="s">
        <v>7312</v>
      </c>
      <c r="AU881" t="s">
        <v>75</v>
      </c>
      <c r="AV881" t="s">
        <v>76</v>
      </c>
    </row>
    <row r="882" spans="1:48" x14ac:dyDescent="0.15">
      <c r="A882" s="4" t="str">
        <f>HYPERLINK("https://ibp.a2mac1.com/costing(costing:projects/details/9760/assembly/8415757)","Sound Deadener")</f>
        <v>Sound Deadener</v>
      </c>
      <c r="B882">
        <v>8415757</v>
      </c>
      <c r="D882">
        <v>8415605</v>
      </c>
      <c r="F882">
        <v>1</v>
      </c>
      <c r="G882">
        <v>0</v>
      </c>
      <c r="H882">
        <v>20.67</v>
      </c>
      <c r="I882">
        <v>0</v>
      </c>
      <c r="J882" t="s">
        <v>90</v>
      </c>
      <c r="K882">
        <v>0</v>
      </c>
      <c r="L882">
        <v>20.67</v>
      </c>
      <c r="M882">
        <v>0</v>
      </c>
      <c r="N882">
        <v>0</v>
      </c>
      <c r="O882">
        <v>20.67</v>
      </c>
      <c r="P882" t="s">
        <v>90</v>
      </c>
      <c r="Q882">
        <v>0</v>
      </c>
      <c r="R882" t="s">
        <v>90</v>
      </c>
      <c r="S882">
        <v>0</v>
      </c>
      <c r="T882" t="s">
        <v>90</v>
      </c>
      <c r="U882">
        <v>0</v>
      </c>
      <c r="V882" t="s">
        <v>90</v>
      </c>
      <c r="W882">
        <v>0</v>
      </c>
      <c r="X882" t="s">
        <v>90</v>
      </c>
      <c r="Y882">
        <v>0</v>
      </c>
      <c r="Z882">
        <v>20.67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L882">
        <v>5.7210000000000001</v>
      </c>
      <c r="AN882" t="s">
        <v>185</v>
      </c>
      <c r="AO882" t="s">
        <v>73</v>
      </c>
      <c r="AP882">
        <v>200000</v>
      </c>
      <c r="AQ882" t="s">
        <v>97</v>
      </c>
      <c r="AS882">
        <v>10000</v>
      </c>
      <c r="AT882" t="s">
        <v>7313</v>
      </c>
      <c r="AU882" t="s">
        <v>75</v>
      </c>
      <c r="AV882" t="s">
        <v>76</v>
      </c>
    </row>
    <row r="883" spans="1:48" x14ac:dyDescent="0.15">
      <c r="A883" s="4" t="str">
        <f>HYPERLINK("https://ibp.a2mac1.com/costing(costing:projects/details/9760/assembly/8415605)","Sound Insulation on Body")</f>
        <v>Sound Insulation on Body</v>
      </c>
      <c r="B883">
        <v>8415605</v>
      </c>
      <c r="D883">
        <v>8415577</v>
      </c>
      <c r="F883">
        <v>1</v>
      </c>
      <c r="G883">
        <v>0</v>
      </c>
      <c r="H883">
        <v>20.67</v>
      </c>
      <c r="I883">
        <v>0</v>
      </c>
      <c r="J883" t="s">
        <v>90</v>
      </c>
      <c r="K883">
        <v>0</v>
      </c>
      <c r="L883">
        <v>20.67</v>
      </c>
      <c r="M883">
        <v>0</v>
      </c>
      <c r="N883">
        <v>0</v>
      </c>
      <c r="O883">
        <v>20.67</v>
      </c>
      <c r="P883" t="s">
        <v>90</v>
      </c>
      <c r="Q883">
        <v>0</v>
      </c>
      <c r="R883" t="s">
        <v>90</v>
      </c>
      <c r="S883">
        <v>0</v>
      </c>
      <c r="T883" t="s">
        <v>90</v>
      </c>
      <c r="U883">
        <v>0</v>
      </c>
      <c r="V883" t="s">
        <v>90</v>
      </c>
      <c r="W883">
        <v>0</v>
      </c>
      <c r="X883" t="s">
        <v>90</v>
      </c>
      <c r="Y883">
        <v>0</v>
      </c>
      <c r="Z883">
        <v>20.67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L883">
        <v>5.7210000000000001</v>
      </c>
      <c r="AN883" t="s">
        <v>185</v>
      </c>
      <c r="AO883" t="s">
        <v>73</v>
      </c>
      <c r="AP883">
        <v>200000</v>
      </c>
      <c r="AQ883" t="s">
        <v>97</v>
      </c>
      <c r="AS883">
        <v>10000</v>
      </c>
      <c r="AT883" t="s">
        <v>7314</v>
      </c>
      <c r="AU883" t="s">
        <v>75</v>
      </c>
      <c r="AV883" t="s">
        <v>76</v>
      </c>
    </row>
    <row r="884" spans="1:48" x14ac:dyDescent="0.15">
      <c r="A884" s="4" t="str">
        <f>HYPERLINK("https://ibp.a2mac1.com/costing(costing:projects/details/9760/assembly/8416860)","Cross member")</f>
        <v>Cross member</v>
      </c>
      <c r="B884">
        <v>8416860</v>
      </c>
      <c r="D884">
        <v>8416577</v>
      </c>
      <c r="F884">
        <v>1</v>
      </c>
      <c r="G884">
        <v>0</v>
      </c>
      <c r="H884">
        <v>6.0996468068997665</v>
      </c>
      <c r="I884">
        <v>0</v>
      </c>
      <c r="J884" t="s">
        <v>90</v>
      </c>
      <c r="K884">
        <v>0</v>
      </c>
      <c r="L884">
        <v>6.0996468068997665</v>
      </c>
      <c r="M884">
        <v>0</v>
      </c>
      <c r="N884">
        <v>0</v>
      </c>
      <c r="O884">
        <v>6.0996468068997665</v>
      </c>
      <c r="P884" t="s">
        <v>90</v>
      </c>
      <c r="Q884">
        <v>0</v>
      </c>
      <c r="R884" t="s">
        <v>90</v>
      </c>
      <c r="S884">
        <v>0</v>
      </c>
      <c r="T884" t="s">
        <v>90</v>
      </c>
      <c r="U884">
        <v>0</v>
      </c>
      <c r="V884" t="s">
        <v>90</v>
      </c>
      <c r="W884">
        <v>0</v>
      </c>
      <c r="X884" t="s">
        <v>90</v>
      </c>
      <c r="Y884">
        <v>0</v>
      </c>
      <c r="Z884">
        <v>6.0996468068997665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N884" t="s">
        <v>185</v>
      </c>
      <c r="AO884" t="s">
        <v>73</v>
      </c>
      <c r="AP884">
        <v>200000</v>
      </c>
      <c r="AQ884" t="s">
        <v>73</v>
      </c>
      <c r="AS884">
        <v>10000</v>
      </c>
      <c r="AT884" t="s">
        <v>7332</v>
      </c>
      <c r="AU884" t="s">
        <v>75</v>
      </c>
      <c r="AV884" t="s">
        <v>76</v>
      </c>
    </row>
    <row r="885" spans="1:48" x14ac:dyDescent="0.15">
      <c r="A885" s="4" t="str">
        <f>HYPERLINK("https://ibp.a2mac1.com/costing(costing:projects/details/9760/assembly/8416861)","Reinforcements")</f>
        <v>Reinforcements</v>
      </c>
      <c r="B885">
        <v>8416861</v>
      </c>
      <c r="D885">
        <v>8416577</v>
      </c>
      <c r="F885">
        <v>1</v>
      </c>
      <c r="G885">
        <v>0</v>
      </c>
      <c r="H885">
        <v>0.64841783121236585</v>
      </c>
      <c r="I885">
        <v>0</v>
      </c>
      <c r="J885" t="s">
        <v>90</v>
      </c>
      <c r="K885">
        <v>0</v>
      </c>
      <c r="L885">
        <v>0.64841783121236585</v>
      </c>
      <c r="M885">
        <v>0</v>
      </c>
      <c r="N885">
        <v>0</v>
      </c>
      <c r="O885">
        <v>0.64841783121236585</v>
      </c>
      <c r="P885" t="s">
        <v>90</v>
      </c>
      <c r="Q885">
        <v>0</v>
      </c>
      <c r="R885" t="s">
        <v>90</v>
      </c>
      <c r="S885">
        <v>0</v>
      </c>
      <c r="T885" t="s">
        <v>90</v>
      </c>
      <c r="U885">
        <v>0</v>
      </c>
      <c r="V885" t="s">
        <v>90</v>
      </c>
      <c r="W885">
        <v>0</v>
      </c>
      <c r="X885" t="s">
        <v>90</v>
      </c>
      <c r="Y885">
        <v>0</v>
      </c>
      <c r="Z885">
        <v>0.64841783121236585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N885" t="s">
        <v>185</v>
      </c>
      <c r="AO885" t="s">
        <v>73</v>
      </c>
      <c r="AP885">
        <v>200000</v>
      </c>
      <c r="AQ885" t="s">
        <v>73</v>
      </c>
      <c r="AS885">
        <v>10000</v>
      </c>
      <c r="AT885" t="s">
        <v>7339</v>
      </c>
      <c r="AU885" t="s">
        <v>75</v>
      </c>
      <c r="AV885" t="s">
        <v>76</v>
      </c>
    </row>
    <row r="886" spans="1:48" x14ac:dyDescent="0.15">
      <c r="A886" s="4" t="str">
        <f>HYPERLINK("https://ibp.a2mac1.com/costing(costing:projects/details/9760/assembly/8416862)","Gussets")</f>
        <v>Gussets</v>
      </c>
      <c r="B886">
        <v>8416862</v>
      </c>
      <c r="D886">
        <v>8416577</v>
      </c>
      <c r="F886">
        <v>1</v>
      </c>
      <c r="G886">
        <v>0</v>
      </c>
      <c r="H886">
        <v>1.7239541471247966</v>
      </c>
      <c r="I886">
        <v>0</v>
      </c>
      <c r="J886" t="s">
        <v>90</v>
      </c>
      <c r="K886">
        <v>0</v>
      </c>
      <c r="L886">
        <v>1.7239541471247966</v>
      </c>
      <c r="M886">
        <v>0</v>
      </c>
      <c r="N886">
        <v>0</v>
      </c>
      <c r="O886">
        <v>1.7239541471247966</v>
      </c>
      <c r="P886" t="s">
        <v>90</v>
      </c>
      <c r="Q886">
        <v>0</v>
      </c>
      <c r="R886" t="s">
        <v>90</v>
      </c>
      <c r="S886">
        <v>0</v>
      </c>
      <c r="T886" t="s">
        <v>90</v>
      </c>
      <c r="U886">
        <v>0</v>
      </c>
      <c r="V886" t="s">
        <v>90</v>
      </c>
      <c r="W886">
        <v>0</v>
      </c>
      <c r="X886" t="s">
        <v>90</v>
      </c>
      <c r="Y886">
        <v>0</v>
      </c>
      <c r="Z886">
        <v>1.7239541471247966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N886" t="s">
        <v>185</v>
      </c>
      <c r="AO886" t="s">
        <v>73</v>
      </c>
      <c r="AP886">
        <v>200000</v>
      </c>
      <c r="AQ886" t="s">
        <v>73</v>
      </c>
      <c r="AS886">
        <v>10000</v>
      </c>
      <c r="AT886" t="s">
        <v>7346</v>
      </c>
      <c r="AU886" t="s">
        <v>75</v>
      </c>
      <c r="AV886" t="s">
        <v>76</v>
      </c>
    </row>
    <row r="887" spans="1:48" x14ac:dyDescent="0.15">
      <c r="A887" s="4" t="str">
        <f>HYPERLINK("https://ibp.a2mac1.com/costing(costing:projects/details/9760/assembly/8416863)","Fixing parts")</f>
        <v>Fixing parts</v>
      </c>
      <c r="B887">
        <v>8416863</v>
      </c>
      <c r="D887">
        <v>8416577</v>
      </c>
      <c r="F887">
        <v>1</v>
      </c>
      <c r="G887">
        <v>0</v>
      </c>
      <c r="H887">
        <v>0.18832884146659654</v>
      </c>
      <c r="I887">
        <v>0</v>
      </c>
      <c r="J887" t="s">
        <v>90</v>
      </c>
      <c r="K887">
        <v>0</v>
      </c>
      <c r="L887">
        <v>0.18832884146659654</v>
      </c>
      <c r="M887">
        <v>0</v>
      </c>
      <c r="N887">
        <v>0</v>
      </c>
      <c r="O887">
        <v>0.18832884146659654</v>
      </c>
      <c r="P887" t="s">
        <v>90</v>
      </c>
      <c r="Q887">
        <v>0</v>
      </c>
      <c r="R887" t="s">
        <v>90</v>
      </c>
      <c r="S887">
        <v>0</v>
      </c>
      <c r="T887" t="s">
        <v>90</v>
      </c>
      <c r="U887">
        <v>0</v>
      </c>
      <c r="V887" t="s">
        <v>90</v>
      </c>
      <c r="W887">
        <v>0</v>
      </c>
      <c r="X887" t="s">
        <v>90</v>
      </c>
      <c r="Y887">
        <v>0</v>
      </c>
      <c r="Z887">
        <v>0.18832884146659654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N887" t="s">
        <v>185</v>
      </c>
      <c r="AO887" t="s">
        <v>73</v>
      </c>
      <c r="AP887">
        <v>200000</v>
      </c>
      <c r="AQ887" t="s">
        <v>73</v>
      </c>
      <c r="AS887">
        <v>10000</v>
      </c>
      <c r="AT887" t="s">
        <v>7352</v>
      </c>
      <c r="AU887" t="s">
        <v>75</v>
      </c>
      <c r="AV887" t="s">
        <v>76</v>
      </c>
    </row>
    <row r="888" spans="1:48" x14ac:dyDescent="0.15">
      <c r="A888" s="4" t="str">
        <f>HYPERLINK("https://ibp.a2mac1.com/costing(costing:projects/details/9760/assembly/8416577)","Front cross member assy")</f>
        <v>Front cross member assy</v>
      </c>
      <c r="B888">
        <v>8416577</v>
      </c>
      <c r="D888">
        <v>8416408</v>
      </c>
      <c r="F888">
        <v>1</v>
      </c>
      <c r="G888">
        <v>0</v>
      </c>
      <c r="H888">
        <v>8.6603476267035244</v>
      </c>
      <c r="I888">
        <v>0</v>
      </c>
      <c r="J888" t="s">
        <v>90</v>
      </c>
      <c r="K888">
        <v>0</v>
      </c>
      <c r="L888">
        <v>8.6603476267035244</v>
      </c>
      <c r="M888">
        <v>0</v>
      </c>
      <c r="N888">
        <v>0</v>
      </c>
      <c r="O888">
        <v>8.6603476267035244</v>
      </c>
      <c r="P888" t="s">
        <v>90</v>
      </c>
      <c r="Q888">
        <v>0</v>
      </c>
      <c r="R888" t="s">
        <v>90</v>
      </c>
      <c r="S888">
        <v>0</v>
      </c>
      <c r="T888" t="s">
        <v>90</v>
      </c>
      <c r="U888">
        <v>0</v>
      </c>
      <c r="V888" t="s">
        <v>90</v>
      </c>
      <c r="W888">
        <v>0</v>
      </c>
      <c r="X888" t="s">
        <v>90</v>
      </c>
      <c r="Y888">
        <v>0</v>
      </c>
      <c r="Z888">
        <v>8.6603476267035244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N888" t="s">
        <v>185</v>
      </c>
      <c r="AO888" t="s">
        <v>73</v>
      </c>
      <c r="AP888">
        <v>200000</v>
      </c>
      <c r="AQ888" t="s">
        <v>73</v>
      </c>
      <c r="AS888">
        <v>10000</v>
      </c>
      <c r="AT888" t="s">
        <v>7353</v>
      </c>
      <c r="AU888" t="s">
        <v>75</v>
      </c>
      <c r="AV888" t="s">
        <v>76</v>
      </c>
    </row>
    <row r="889" spans="1:48" x14ac:dyDescent="0.15">
      <c r="A889" s="4" t="str">
        <f>HYPERLINK("https://ibp.a2mac1.com/costing(costing:projects/details/9760/assembly/8416871)","Cross member")</f>
        <v>Cross member</v>
      </c>
      <c r="B889">
        <v>8416871</v>
      </c>
      <c r="D889">
        <v>8416578</v>
      </c>
      <c r="F889">
        <v>1</v>
      </c>
      <c r="G889">
        <v>0</v>
      </c>
      <c r="H889">
        <v>2.971635563913793</v>
      </c>
      <c r="I889">
        <v>0</v>
      </c>
      <c r="J889" t="s">
        <v>90</v>
      </c>
      <c r="K889">
        <v>0</v>
      </c>
      <c r="L889">
        <v>2.971635563913793</v>
      </c>
      <c r="M889">
        <v>0</v>
      </c>
      <c r="N889">
        <v>0</v>
      </c>
      <c r="O889">
        <v>2.971635563913793</v>
      </c>
      <c r="P889" t="s">
        <v>90</v>
      </c>
      <c r="Q889">
        <v>0</v>
      </c>
      <c r="R889" t="s">
        <v>90</v>
      </c>
      <c r="S889">
        <v>0</v>
      </c>
      <c r="T889" t="s">
        <v>90</v>
      </c>
      <c r="U889">
        <v>0</v>
      </c>
      <c r="V889" t="s">
        <v>90</v>
      </c>
      <c r="W889">
        <v>0</v>
      </c>
      <c r="X889" t="s">
        <v>90</v>
      </c>
      <c r="Y889">
        <v>0</v>
      </c>
      <c r="Z889">
        <v>2.971635563913793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N889" t="s">
        <v>185</v>
      </c>
      <c r="AO889" t="s">
        <v>73</v>
      </c>
      <c r="AP889">
        <v>200000</v>
      </c>
      <c r="AQ889" t="s">
        <v>73</v>
      </c>
      <c r="AS889">
        <v>10000</v>
      </c>
      <c r="AT889" t="s">
        <v>7366</v>
      </c>
      <c r="AU889" t="s">
        <v>75</v>
      </c>
      <c r="AV889" t="s">
        <v>76</v>
      </c>
    </row>
    <row r="890" spans="1:48" x14ac:dyDescent="0.15">
      <c r="A890" s="4" t="str">
        <f>HYPERLINK("https://ibp.a2mac1.com/costing(costing:projects/details/9760/assembly/8416872)","Gussets")</f>
        <v>Gussets</v>
      </c>
      <c r="B890">
        <v>8416872</v>
      </c>
      <c r="D890">
        <v>8416578</v>
      </c>
      <c r="F890">
        <v>1</v>
      </c>
      <c r="G890">
        <v>0</v>
      </c>
      <c r="H890">
        <v>0.85793325647134167</v>
      </c>
      <c r="I890">
        <v>0</v>
      </c>
      <c r="J890" t="s">
        <v>90</v>
      </c>
      <c r="K890">
        <v>0</v>
      </c>
      <c r="L890">
        <v>0.85793325647134167</v>
      </c>
      <c r="M890">
        <v>0</v>
      </c>
      <c r="N890">
        <v>0</v>
      </c>
      <c r="O890">
        <v>0.85793325647134167</v>
      </c>
      <c r="P890" t="s">
        <v>90</v>
      </c>
      <c r="Q890">
        <v>0</v>
      </c>
      <c r="R890" t="s">
        <v>90</v>
      </c>
      <c r="S890">
        <v>0</v>
      </c>
      <c r="T890" t="s">
        <v>90</v>
      </c>
      <c r="U890">
        <v>0</v>
      </c>
      <c r="V890" t="s">
        <v>90</v>
      </c>
      <c r="W890">
        <v>0</v>
      </c>
      <c r="X890" t="s">
        <v>90</v>
      </c>
      <c r="Y890">
        <v>0</v>
      </c>
      <c r="Z890">
        <v>0.85793325647134167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N890" t="s">
        <v>185</v>
      </c>
      <c r="AO890" t="s">
        <v>73</v>
      </c>
      <c r="AP890">
        <v>200000</v>
      </c>
      <c r="AQ890" t="s">
        <v>73</v>
      </c>
      <c r="AS890">
        <v>10000</v>
      </c>
      <c r="AT890" t="s">
        <v>7373</v>
      </c>
      <c r="AU890" t="s">
        <v>75</v>
      </c>
      <c r="AV890" t="s">
        <v>76</v>
      </c>
    </row>
    <row r="891" spans="1:48" x14ac:dyDescent="0.15">
      <c r="A891" s="4" t="str">
        <f>HYPERLINK("https://ibp.a2mac1.com/costing(costing:projects/details/9760/assembly/8416578)","Rear cross member assy")</f>
        <v>Rear cross member assy</v>
      </c>
      <c r="B891">
        <v>8416578</v>
      </c>
      <c r="D891">
        <v>8416408</v>
      </c>
      <c r="F891">
        <v>1</v>
      </c>
      <c r="G891">
        <v>0</v>
      </c>
      <c r="H891">
        <v>3.8295688203851346</v>
      </c>
      <c r="I891">
        <v>0</v>
      </c>
      <c r="J891" t="s">
        <v>90</v>
      </c>
      <c r="K891">
        <v>0</v>
      </c>
      <c r="L891">
        <v>3.8295688203851346</v>
      </c>
      <c r="M891">
        <v>0</v>
      </c>
      <c r="N891">
        <v>0</v>
      </c>
      <c r="O891">
        <v>3.8295688203851346</v>
      </c>
      <c r="P891" t="s">
        <v>90</v>
      </c>
      <c r="Q891">
        <v>0</v>
      </c>
      <c r="R891" t="s">
        <v>90</v>
      </c>
      <c r="S891">
        <v>0</v>
      </c>
      <c r="T891" t="s">
        <v>90</v>
      </c>
      <c r="U891">
        <v>0</v>
      </c>
      <c r="V891" t="s">
        <v>90</v>
      </c>
      <c r="W891">
        <v>0</v>
      </c>
      <c r="X891" t="s">
        <v>90</v>
      </c>
      <c r="Y891">
        <v>0</v>
      </c>
      <c r="Z891">
        <v>3.8295688203851346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N891" t="s">
        <v>185</v>
      </c>
      <c r="AO891" t="s">
        <v>73</v>
      </c>
      <c r="AP891">
        <v>200000</v>
      </c>
      <c r="AQ891" t="s">
        <v>73</v>
      </c>
      <c r="AS891">
        <v>10000</v>
      </c>
      <c r="AT891" t="s">
        <v>7374</v>
      </c>
      <c r="AU891" t="s">
        <v>75</v>
      </c>
      <c r="AV891" t="s">
        <v>76</v>
      </c>
    </row>
    <row r="892" spans="1:48" x14ac:dyDescent="0.15">
      <c r="A892" s="4" t="str">
        <f>HYPERLINK("https://ibp.a2mac1.com/costing(costing:projects/details/9760/assembly/8416408)","Cross members")</f>
        <v>Cross members</v>
      </c>
      <c r="B892">
        <v>8416408</v>
      </c>
      <c r="D892">
        <v>8416066</v>
      </c>
      <c r="F892">
        <v>1</v>
      </c>
      <c r="G892">
        <v>0</v>
      </c>
      <c r="H892">
        <v>12.48991644708866</v>
      </c>
      <c r="I892">
        <v>0</v>
      </c>
      <c r="J892" t="s">
        <v>90</v>
      </c>
      <c r="K892">
        <v>0</v>
      </c>
      <c r="L892">
        <v>12.48991644708866</v>
      </c>
      <c r="M892">
        <v>0</v>
      </c>
      <c r="N892">
        <v>0</v>
      </c>
      <c r="O892">
        <v>12.48991644708866</v>
      </c>
      <c r="P892" t="s">
        <v>90</v>
      </c>
      <c r="Q892">
        <v>0</v>
      </c>
      <c r="R892" t="s">
        <v>90</v>
      </c>
      <c r="S892">
        <v>0</v>
      </c>
      <c r="T892" t="s">
        <v>90</v>
      </c>
      <c r="U892">
        <v>0</v>
      </c>
      <c r="V892" t="s">
        <v>90</v>
      </c>
      <c r="W892">
        <v>0</v>
      </c>
      <c r="X892" t="s">
        <v>90</v>
      </c>
      <c r="Y892">
        <v>0</v>
      </c>
      <c r="Z892">
        <v>12.48991644708866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N892" t="s">
        <v>185</v>
      </c>
      <c r="AO892" t="s">
        <v>73</v>
      </c>
      <c r="AP892">
        <v>200000</v>
      </c>
      <c r="AQ892" t="s">
        <v>73</v>
      </c>
      <c r="AS892">
        <v>10000</v>
      </c>
      <c r="AT892" t="s">
        <v>7375</v>
      </c>
      <c r="AU892" t="s">
        <v>75</v>
      </c>
      <c r="AV892" t="s">
        <v>76</v>
      </c>
    </row>
    <row r="893" spans="1:48" x14ac:dyDescent="0.15">
      <c r="A893" s="4" t="str">
        <f>HYPERLINK("https://ibp.a2mac1.com/costing(costing:projects/details/9760/assembly/8416066)","Roof assy")</f>
        <v>Roof assy</v>
      </c>
      <c r="B893">
        <v>8416066</v>
      </c>
      <c r="D893">
        <v>8415758</v>
      </c>
      <c r="F893">
        <v>1</v>
      </c>
      <c r="G893">
        <v>0</v>
      </c>
      <c r="H893">
        <v>12.48991644708866</v>
      </c>
      <c r="I893">
        <v>0</v>
      </c>
      <c r="J893" t="s">
        <v>90</v>
      </c>
      <c r="K893">
        <v>0</v>
      </c>
      <c r="L893">
        <v>12.48991644708866</v>
      </c>
      <c r="M893">
        <v>0</v>
      </c>
      <c r="N893">
        <v>0</v>
      </c>
      <c r="O893">
        <v>12.48991644708866</v>
      </c>
      <c r="P893" t="s">
        <v>90</v>
      </c>
      <c r="Q893">
        <v>0</v>
      </c>
      <c r="R893" t="s">
        <v>90</v>
      </c>
      <c r="S893">
        <v>0</v>
      </c>
      <c r="T893" t="s">
        <v>90</v>
      </c>
      <c r="U893">
        <v>0</v>
      </c>
      <c r="V893" t="s">
        <v>90</v>
      </c>
      <c r="W893">
        <v>0</v>
      </c>
      <c r="X893" t="s">
        <v>90</v>
      </c>
      <c r="Y893">
        <v>0</v>
      </c>
      <c r="Z893">
        <v>12.48991644708866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N893" t="s">
        <v>185</v>
      </c>
      <c r="AO893" t="s">
        <v>73</v>
      </c>
      <c r="AP893">
        <v>200000</v>
      </c>
      <c r="AQ893" t="s">
        <v>73</v>
      </c>
      <c r="AS893">
        <v>10000</v>
      </c>
      <c r="AT893" t="s">
        <v>7376</v>
      </c>
      <c r="AU893" t="s">
        <v>75</v>
      </c>
      <c r="AV893" t="s">
        <v>76</v>
      </c>
    </row>
    <row r="894" spans="1:48" x14ac:dyDescent="0.15">
      <c r="A894" s="4" t="str">
        <f>HYPERLINK("https://ibp.a2mac1.com/costing(costing:projects/details/9760/assembly/8416579)","Member")</f>
        <v>Member</v>
      </c>
      <c r="B894">
        <v>8416579</v>
      </c>
      <c r="D894">
        <v>8416409</v>
      </c>
      <c r="F894">
        <v>1</v>
      </c>
      <c r="G894">
        <v>0</v>
      </c>
      <c r="H894">
        <v>1.9259913355173246</v>
      </c>
      <c r="I894">
        <v>0</v>
      </c>
      <c r="J894" t="s">
        <v>90</v>
      </c>
      <c r="K894">
        <v>0</v>
      </c>
      <c r="L894">
        <v>1.9259913355173246</v>
      </c>
      <c r="M894">
        <v>0</v>
      </c>
      <c r="N894">
        <v>0</v>
      </c>
      <c r="O894">
        <v>1.9259913355173246</v>
      </c>
      <c r="P894" t="s">
        <v>90</v>
      </c>
      <c r="Q894">
        <v>0</v>
      </c>
      <c r="R894" t="s">
        <v>90</v>
      </c>
      <c r="S894">
        <v>0</v>
      </c>
      <c r="T894" t="s">
        <v>90</v>
      </c>
      <c r="U894">
        <v>0</v>
      </c>
      <c r="V894" t="s">
        <v>90</v>
      </c>
      <c r="W894">
        <v>0</v>
      </c>
      <c r="X894" t="s">
        <v>90</v>
      </c>
      <c r="Y894">
        <v>0</v>
      </c>
      <c r="Z894">
        <v>1.9259913355173246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N894" t="s">
        <v>185</v>
      </c>
      <c r="AO894" t="s">
        <v>73</v>
      </c>
      <c r="AP894">
        <v>200000</v>
      </c>
      <c r="AQ894" t="s">
        <v>73</v>
      </c>
      <c r="AS894">
        <v>10000</v>
      </c>
      <c r="AT894" t="s">
        <v>7385</v>
      </c>
      <c r="AU894" t="s">
        <v>75</v>
      </c>
      <c r="AV894" t="s">
        <v>76</v>
      </c>
    </row>
    <row r="895" spans="1:48" x14ac:dyDescent="0.15">
      <c r="A895" s="4" t="str">
        <f>HYPERLINK("https://ibp.a2mac1.com/costing(costing:projects/details/9760/assembly/8416580)","Spacers")</f>
        <v>Spacers</v>
      </c>
      <c r="B895">
        <v>8416580</v>
      </c>
      <c r="D895">
        <v>8416409</v>
      </c>
      <c r="F895">
        <v>1</v>
      </c>
      <c r="G895">
        <v>0</v>
      </c>
      <c r="H895">
        <v>0.14837670299018937</v>
      </c>
      <c r="I895">
        <v>0</v>
      </c>
      <c r="J895" t="s">
        <v>90</v>
      </c>
      <c r="K895">
        <v>0</v>
      </c>
      <c r="L895">
        <v>0.14837670299018937</v>
      </c>
      <c r="M895">
        <v>0</v>
      </c>
      <c r="N895">
        <v>0</v>
      </c>
      <c r="O895">
        <v>0.14837670299018937</v>
      </c>
      <c r="P895" t="s">
        <v>90</v>
      </c>
      <c r="Q895">
        <v>0</v>
      </c>
      <c r="R895" t="s">
        <v>90</v>
      </c>
      <c r="S895">
        <v>0</v>
      </c>
      <c r="T895" t="s">
        <v>90</v>
      </c>
      <c r="U895">
        <v>0</v>
      </c>
      <c r="V895" t="s">
        <v>90</v>
      </c>
      <c r="W895">
        <v>0</v>
      </c>
      <c r="X895" t="s">
        <v>90</v>
      </c>
      <c r="Y895">
        <v>0</v>
      </c>
      <c r="Z895">
        <v>0.14837670299018937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N895" t="s">
        <v>185</v>
      </c>
      <c r="AO895" t="s">
        <v>73</v>
      </c>
      <c r="AP895">
        <v>200000</v>
      </c>
      <c r="AQ895" t="s">
        <v>73</v>
      </c>
      <c r="AS895">
        <v>10000</v>
      </c>
      <c r="AT895" t="s">
        <v>7391</v>
      </c>
      <c r="AU895" t="s">
        <v>75</v>
      </c>
      <c r="AV895" t="s">
        <v>76</v>
      </c>
    </row>
    <row r="896" spans="1:48" x14ac:dyDescent="0.15">
      <c r="A896" s="4" t="str">
        <f>HYPERLINK("https://ibp.a2mac1.com/costing(costing:projects/details/9760/assembly/8416581)","Fixing parts")</f>
        <v>Fixing parts</v>
      </c>
      <c r="B896">
        <v>8416581</v>
      </c>
      <c r="D896">
        <v>8416409</v>
      </c>
      <c r="F896">
        <v>1</v>
      </c>
      <c r="G896">
        <v>0</v>
      </c>
      <c r="H896">
        <v>0.83263994440078903</v>
      </c>
      <c r="I896">
        <v>0</v>
      </c>
      <c r="J896" t="s">
        <v>90</v>
      </c>
      <c r="K896">
        <v>0</v>
      </c>
      <c r="L896">
        <v>0.83263994440078903</v>
      </c>
      <c r="M896">
        <v>0</v>
      </c>
      <c r="N896">
        <v>0</v>
      </c>
      <c r="O896">
        <v>0.83263994440078903</v>
      </c>
      <c r="P896" t="s">
        <v>90</v>
      </c>
      <c r="Q896">
        <v>0</v>
      </c>
      <c r="R896" t="s">
        <v>90</v>
      </c>
      <c r="S896">
        <v>0</v>
      </c>
      <c r="T896" t="s">
        <v>90</v>
      </c>
      <c r="U896">
        <v>0</v>
      </c>
      <c r="V896" t="s">
        <v>90</v>
      </c>
      <c r="W896">
        <v>0</v>
      </c>
      <c r="X896" t="s">
        <v>90</v>
      </c>
      <c r="Y896">
        <v>0</v>
      </c>
      <c r="Z896">
        <v>0.83263994440078903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N896" t="s">
        <v>185</v>
      </c>
      <c r="AO896" t="s">
        <v>73</v>
      </c>
      <c r="AP896">
        <v>200000</v>
      </c>
      <c r="AQ896" t="s">
        <v>73</v>
      </c>
      <c r="AS896">
        <v>10000</v>
      </c>
      <c r="AT896" t="s">
        <v>7410</v>
      </c>
      <c r="AU896" t="s">
        <v>75</v>
      </c>
      <c r="AV896" t="s">
        <v>76</v>
      </c>
    </row>
    <row r="897" spans="1:48" x14ac:dyDescent="0.15">
      <c r="A897" s="4" t="str">
        <f>HYPERLINK("https://ibp.a2mac1.com/costing(costing:projects/details/9760/assembly/8416409)","Cowl member")</f>
        <v>Cowl member</v>
      </c>
      <c r="B897">
        <v>8416409</v>
      </c>
      <c r="D897">
        <v>8416067</v>
      </c>
      <c r="F897">
        <v>1</v>
      </c>
      <c r="G897">
        <v>0</v>
      </c>
      <c r="H897">
        <v>2.9070079829083029</v>
      </c>
      <c r="I897">
        <v>0</v>
      </c>
      <c r="J897" t="s">
        <v>90</v>
      </c>
      <c r="K897">
        <v>0</v>
      </c>
      <c r="L897">
        <v>2.9070079829083029</v>
      </c>
      <c r="M897">
        <v>0</v>
      </c>
      <c r="N897">
        <v>0</v>
      </c>
      <c r="O897">
        <v>2.9070079829083029</v>
      </c>
      <c r="P897" t="s">
        <v>90</v>
      </c>
      <c r="Q897">
        <v>0</v>
      </c>
      <c r="R897" t="s">
        <v>90</v>
      </c>
      <c r="S897">
        <v>0</v>
      </c>
      <c r="T897" t="s">
        <v>90</v>
      </c>
      <c r="U897">
        <v>0</v>
      </c>
      <c r="V897" t="s">
        <v>90</v>
      </c>
      <c r="W897">
        <v>0</v>
      </c>
      <c r="X897" t="s">
        <v>90</v>
      </c>
      <c r="Y897">
        <v>0</v>
      </c>
      <c r="Z897">
        <v>2.9070079829083029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N897" t="s">
        <v>185</v>
      </c>
      <c r="AO897" t="s">
        <v>73</v>
      </c>
      <c r="AP897">
        <v>200000</v>
      </c>
      <c r="AQ897" t="s">
        <v>73</v>
      </c>
      <c r="AS897">
        <v>10000</v>
      </c>
      <c r="AT897" t="s">
        <v>7411</v>
      </c>
      <c r="AU897" t="s">
        <v>75</v>
      </c>
      <c r="AV897" t="s">
        <v>76</v>
      </c>
    </row>
    <row r="898" spans="1:48" x14ac:dyDescent="0.15">
      <c r="A898" s="4" t="str">
        <f>HYPERLINK("https://ibp.a2mac1.com/costing(costing:projects/details/9760/assembly/8416067)","Cowl assy")</f>
        <v>Cowl assy</v>
      </c>
      <c r="B898">
        <v>8416067</v>
      </c>
      <c r="D898">
        <v>8415758</v>
      </c>
      <c r="F898">
        <v>1</v>
      </c>
      <c r="G898">
        <v>0</v>
      </c>
      <c r="H898">
        <v>2.9070079829083029</v>
      </c>
      <c r="I898">
        <v>0</v>
      </c>
      <c r="J898" t="s">
        <v>90</v>
      </c>
      <c r="K898">
        <v>0</v>
      </c>
      <c r="L898">
        <v>2.9070079829083029</v>
      </c>
      <c r="M898">
        <v>0</v>
      </c>
      <c r="N898">
        <v>0</v>
      </c>
      <c r="O898">
        <v>2.9070079829083029</v>
      </c>
      <c r="P898" t="s">
        <v>90</v>
      </c>
      <c r="Q898">
        <v>0</v>
      </c>
      <c r="R898" t="s">
        <v>90</v>
      </c>
      <c r="S898">
        <v>0</v>
      </c>
      <c r="T898" t="s">
        <v>90</v>
      </c>
      <c r="U898">
        <v>0</v>
      </c>
      <c r="V898" t="s">
        <v>90</v>
      </c>
      <c r="W898">
        <v>0</v>
      </c>
      <c r="X898" t="s">
        <v>90</v>
      </c>
      <c r="Y898">
        <v>0</v>
      </c>
      <c r="Z898">
        <v>2.9070079829083029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N898" t="s">
        <v>185</v>
      </c>
      <c r="AO898" t="s">
        <v>73</v>
      </c>
      <c r="AP898">
        <v>200000</v>
      </c>
      <c r="AQ898" t="s">
        <v>73</v>
      </c>
      <c r="AS898">
        <v>10000</v>
      </c>
      <c r="AT898" t="s">
        <v>7412</v>
      </c>
      <c r="AU898" t="s">
        <v>75</v>
      </c>
      <c r="AV898" t="s">
        <v>76</v>
      </c>
    </row>
    <row r="899" spans="1:48" x14ac:dyDescent="0.15">
      <c r="A899" s="4" t="str">
        <f>HYPERLINK("https://ibp.a2mac1.com/costing(costing:projects/details/9760/assembly/8416410)","Shelf panel")</f>
        <v>Shelf panel</v>
      </c>
      <c r="B899">
        <v>8416410</v>
      </c>
      <c r="D899">
        <v>8416068</v>
      </c>
      <c r="F899">
        <v>1</v>
      </c>
      <c r="G899">
        <v>0</v>
      </c>
      <c r="H899">
        <v>10.351744633579644</v>
      </c>
      <c r="I899">
        <v>0</v>
      </c>
      <c r="J899" t="s">
        <v>90</v>
      </c>
      <c r="K899">
        <v>0</v>
      </c>
      <c r="L899">
        <v>10.351744633579644</v>
      </c>
      <c r="M899">
        <v>0</v>
      </c>
      <c r="N899">
        <v>0</v>
      </c>
      <c r="O899">
        <v>10.351744633579644</v>
      </c>
      <c r="P899" t="s">
        <v>90</v>
      </c>
      <c r="Q899">
        <v>0</v>
      </c>
      <c r="R899" t="s">
        <v>90</v>
      </c>
      <c r="S899">
        <v>0</v>
      </c>
      <c r="T899" t="s">
        <v>90</v>
      </c>
      <c r="U899">
        <v>0</v>
      </c>
      <c r="V899" t="s">
        <v>90</v>
      </c>
      <c r="W899">
        <v>0</v>
      </c>
      <c r="X899" t="s">
        <v>90</v>
      </c>
      <c r="Y899">
        <v>0</v>
      </c>
      <c r="Z899">
        <v>10.351744633579644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N899" t="s">
        <v>185</v>
      </c>
      <c r="AO899" t="s">
        <v>73</v>
      </c>
      <c r="AP899">
        <v>200000</v>
      </c>
      <c r="AQ899" t="s">
        <v>73</v>
      </c>
      <c r="AS899">
        <v>10000</v>
      </c>
      <c r="AT899" t="s">
        <v>7425</v>
      </c>
      <c r="AU899" t="s">
        <v>75</v>
      </c>
      <c r="AV899" t="s">
        <v>76</v>
      </c>
    </row>
    <row r="900" spans="1:48" x14ac:dyDescent="0.15">
      <c r="A900" s="4" t="str">
        <f>HYPERLINK("https://ibp.a2mac1.com/costing(costing:projects/details/9760/assembly/8416411)","Reinforcements")</f>
        <v>Reinforcements</v>
      </c>
      <c r="B900">
        <v>8416411</v>
      </c>
      <c r="D900">
        <v>8416068</v>
      </c>
      <c r="F900">
        <v>1</v>
      </c>
      <c r="G900">
        <v>0</v>
      </c>
      <c r="H900">
        <v>1.1246914121922336</v>
      </c>
      <c r="I900">
        <v>0</v>
      </c>
      <c r="J900" t="s">
        <v>90</v>
      </c>
      <c r="K900">
        <v>0</v>
      </c>
      <c r="L900">
        <v>1.1246914121922336</v>
      </c>
      <c r="M900">
        <v>0</v>
      </c>
      <c r="N900">
        <v>0</v>
      </c>
      <c r="O900">
        <v>1.1246914121922336</v>
      </c>
      <c r="P900" t="s">
        <v>90</v>
      </c>
      <c r="Q900">
        <v>0</v>
      </c>
      <c r="R900" t="s">
        <v>90</v>
      </c>
      <c r="S900">
        <v>0</v>
      </c>
      <c r="T900" t="s">
        <v>90</v>
      </c>
      <c r="U900">
        <v>0</v>
      </c>
      <c r="V900" t="s">
        <v>90</v>
      </c>
      <c r="W900">
        <v>0</v>
      </c>
      <c r="X900" t="s">
        <v>90</v>
      </c>
      <c r="Y900">
        <v>0</v>
      </c>
      <c r="Z900">
        <v>1.1246914121922336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N900" t="s">
        <v>185</v>
      </c>
      <c r="AO900" t="s">
        <v>73</v>
      </c>
      <c r="AP900">
        <v>200000</v>
      </c>
      <c r="AQ900" t="s">
        <v>73</v>
      </c>
      <c r="AS900">
        <v>10000</v>
      </c>
      <c r="AT900" t="s">
        <v>7439</v>
      </c>
      <c r="AU900" t="s">
        <v>75</v>
      </c>
      <c r="AV900" t="s">
        <v>76</v>
      </c>
    </row>
    <row r="901" spans="1:48" x14ac:dyDescent="0.15">
      <c r="A901" s="4" t="str">
        <f>HYPERLINK("https://ibp.a2mac1.com/costing(costing:projects/details/9760/assembly/8416412)","Gussets")</f>
        <v>Gussets</v>
      </c>
      <c r="B901">
        <v>8416412</v>
      </c>
      <c r="D901">
        <v>8416068</v>
      </c>
      <c r="F901">
        <v>1</v>
      </c>
      <c r="G901">
        <v>0</v>
      </c>
      <c r="H901">
        <v>2.0806514385545305</v>
      </c>
      <c r="I901">
        <v>0</v>
      </c>
      <c r="J901" t="s">
        <v>90</v>
      </c>
      <c r="K901">
        <v>0</v>
      </c>
      <c r="L901">
        <v>2.0806514385545305</v>
      </c>
      <c r="M901">
        <v>0</v>
      </c>
      <c r="N901">
        <v>0</v>
      </c>
      <c r="O901">
        <v>2.0806514385545305</v>
      </c>
      <c r="P901" t="s">
        <v>90</v>
      </c>
      <c r="Q901">
        <v>0</v>
      </c>
      <c r="R901" t="s">
        <v>90</v>
      </c>
      <c r="S901">
        <v>0</v>
      </c>
      <c r="T901" t="s">
        <v>90</v>
      </c>
      <c r="U901">
        <v>0</v>
      </c>
      <c r="V901" t="s">
        <v>90</v>
      </c>
      <c r="W901">
        <v>0</v>
      </c>
      <c r="X901" t="s">
        <v>90</v>
      </c>
      <c r="Y901">
        <v>0</v>
      </c>
      <c r="Z901">
        <v>2.0806514385545305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N901" t="s">
        <v>185</v>
      </c>
      <c r="AO901" t="s">
        <v>73</v>
      </c>
      <c r="AP901">
        <v>200000</v>
      </c>
      <c r="AQ901" t="s">
        <v>73</v>
      </c>
      <c r="AS901">
        <v>10000</v>
      </c>
      <c r="AT901" t="s">
        <v>7446</v>
      </c>
      <c r="AU901" t="s">
        <v>75</v>
      </c>
      <c r="AV901" t="s">
        <v>76</v>
      </c>
    </row>
    <row r="902" spans="1:48" x14ac:dyDescent="0.15">
      <c r="A902" s="4" t="str">
        <f>HYPERLINK("https://ibp.a2mac1.com/costing(costing:projects/details/9760/assembly/8416588)","Cross member")</f>
        <v>Cross member</v>
      </c>
      <c r="B902">
        <v>8416588</v>
      </c>
      <c r="D902">
        <v>8416413</v>
      </c>
      <c r="F902">
        <v>1</v>
      </c>
      <c r="G902">
        <v>0</v>
      </c>
      <c r="H902">
        <v>3.6948093552838044</v>
      </c>
      <c r="I902">
        <v>0</v>
      </c>
      <c r="J902" t="s">
        <v>90</v>
      </c>
      <c r="K902">
        <v>0</v>
      </c>
      <c r="L902">
        <v>3.6948093552838044</v>
      </c>
      <c r="M902">
        <v>0</v>
      </c>
      <c r="N902">
        <v>0</v>
      </c>
      <c r="O902">
        <v>3.6948093552838044</v>
      </c>
      <c r="P902" t="s">
        <v>90</v>
      </c>
      <c r="Q902">
        <v>0</v>
      </c>
      <c r="R902" t="s">
        <v>90</v>
      </c>
      <c r="S902">
        <v>0</v>
      </c>
      <c r="T902" t="s">
        <v>90</v>
      </c>
      <c r="U902">
        <v>0</v>
      </c>
      <c r="V902" t="s">
        <v>90</v>
      </c>
      <c r="W902">
        <v>0</v>
      </c>
      <c r="X902" t="s">
        <v>90</v>
      </c>
      <c r="Y902">
        <v>0</v>
      </c>
      <c r="Z902">
        <v>3.6948093552838044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N902" t="s">
        <v>185</v>
      </c>
      <c r="AO902" t="s">
        <v>73</v>
      </c>
      <c r="AP902">
        <v>200000</v>
      </c>
      <c r="AQ902" t="s">
        <v>73</v>
      </c>
      <c r="AS902">
        <v>10000</v>
      </c>
      <c r="AT902" t="s">
        <v>7454</v>
      </c>
      <c r="AU902" t="s">
        <v>75</v>
      </c>
      <c r="AV902" t="s">
        <v>76</v>
      </c>
    </row>
    <row r="903" spans="1:48" x14ac:dyDescent="0.15">
      <c r="A903" s="4" t="str">
        <f>HYPERLINK("https://ibp.a2mac1.com/costing(costing:projects/details/9760/assembly/8416589)","Reinforcements")</f>
        <v>Reinforcements</v>
      </c>
      <c r="B903">
        <v>8416589</v>
      </c>
      <c r="D903">
        <v>8416413</v>
      </c>
      <c r="F903">
        <v>1</v>
      </c>
      <c r="G903">
        <v>0</v>
      </c>
      <c r="H903">
        <v>0.22628984318904652</v>
      </c>
      <c r="I903">
        <v>0</v>
      </c>
      <c r="J903" t="s">
        <v>90</v>
      </c>
      <c r="K903">
        <v>0</v>
      </c>
      <c r="L903">
        <v>0.22628984318904652</v>
      </c>
      <c r="M903">
        <v>0</v>
      </c>
      <c r="N903">
        <v>0</v>
      </c>
      <c r="O903">
        <v>0.22628984318904652</v>
      </c>
      <c r="P903" t="s">
        <v>90</v>
      </c>
      <c r="Q903">
        <v>0</v>
      </c>
      <c r="R903" t="s">
        <v>90</v>
      </c>
      <c r="S903">
        <v>0</v>
      </c>
      <c r="T903" t="s">
        <v>90</v>
      </c>
      <c r="U903">
        <v>0</v>
      </c>
      <c r="V903" t="s">
        <v>90</v>
      </c>
      <c r="W903">
        <v>0</v>
      </c>
      <c r="X903" t="s">
        <v>90</v>
      </c>
      <c r="Y903">
        <v>0</v>
      </c>
      <c r="Z903">
        <v>0.22628984318904652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N903" t="s">
        <v>185</v>
      </c>
      <c r="AO903" t="s">
        <v>73</v>
      </c>
      <c r="AP903">
        <v>200000</v>
      </c>
      <c r="AQ903" t="s">
        <v>73</v>
      </c>
      <c r="AS903">
        <v>10000</v>
      </c>
      <c r="AT903" t="s">
        <v>7460</v>
      </c>
      <c r="AU903" t="s">
        <v>75</v>
      </c>
      <c r="AV903" t="s">
        <v>76</v>
      </c>
    </row>
    <row r="904" spans="1:48" x14ac:dyDescent="0.15">
      <c r="A904" s="4" t="str">
        <f>HYPERLINK("https://ibp.a2mac1.com/costing(costing:projects/details/9760/assembly/8416413)","Front cross member")</f>
        <v>Front cross member</v>
      </c>
      <c r="B904">
        <v>8416413</v>
      </c>
      <c r="D904">
        <v>8416068</v>
      </c>
      <c r="F904">
        <v>1</v>
      </c>
      <c r="G904">
        <v>0</v>
      </c>
      <c r="H904">
        <v>3.9210991984728509</v>
      </c>
      <c r="I904">
        <v>0</v>
      </c>
      <c r="J904" t="s">
        <v>90</v>
      </c>
      <c r="K904">
        <v>0</v>
      </c>
      <c r="L904">
        <v>3.9210991984728509</v>
      </c>
      <c r="M904">
        <v>0</v>
      </c>
      <c r="N904">
        <v>0</v>
      </c>
      <c r="O904">
        <v>3.9210991984728509</v>
      </c>
      <c r="P904" t="s">
        <v>90</v>
      </c>
      <c r="Q904">
        <v>0</v>
      </c>
      <c r="R904" t="s">
        <v>90</v>
      </c>
      <c r="S904">
        <v>0</v>
      </c>
      <c r="T904" t="s">
        <v>90</v>
      </c>
      <c r="U904">
        <v>0</v>
      </c>
      <c r="V904" t="s">
        <v>90</v>
      </c>
      <c r="W904">
        <v>0</v>
      </c>
      <c r="X904" t="s">
        <v>90</v>
      </c>
      <c r="Y904">
        <v>0</v>
      </c>
      <c r="Z904">
        <v>3.9210991984728509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N904" t="s">
        <v>185</v>
      </c>
      <c r="AO904" t="s">
        <v>73</v>
      </c>
      <c r="AP904">
        <v>200000</v>
      </c>
      <c r="AQ904" t="s">
        <v>73</v>
      </c>
      <c r="AS904">
        <v>10000</v>
      </c>
      <c r="AT904" t="s">
        <v>7461</v>
      </c>
      <c r="AU904" t="s">
        <v>75</v>
      </c>
      <c r="AV904" t="s">
        <v>76</v>
      </c>
    </row>
    <row r="905" spans="1:48" x14ac:dyDescent="0.15">
      <c r="A905" s="4" t="str">
        <f>HYPERLINK("https://ibp.a2mac1.com/costing(costing:projects/details/9760/assembly/8416590)","Cross member")</f>
        <v>Cross member</v>
      </c>
      <c r="B905">
        <v>8416590</v>
      </c>
      <c r="D905">
        <v>8416414</v>
      </c>
      <c r="F905">
        <v>1</v>
      </c>
      <c r="G905">
        <v>0</v>
      </c>
      <c r="H905">
        <v>1.2538194170697499</v>
      </c>
      <c r="I905">
        <v>0</v>
      </c>
      <c r="J905" t="s">
        <v>90</v>
      </c>
      <c r="K905">
        <v>0</v>
      </c>
      <c r="L905">
        <v>1.2538194170697499</v>
      </c>
      <c r="M905">
        <v>0</v>
      </c>
      <c r="N905">
        <v>0</v>
      </c>
      <c r="O905">
        <v>1.2538194170697499</v>
      </c>
      <c r="P905" t="s">
        <v>90</v>
      </c>
      <c r="Q905">
        <v>0</v>
      </c>
      <c r="R905" t="s">
        <v>90</v>
      </c>
      <c r="S905">
        <v>0</v>
      </c>
      <c r="T905" t="s">
        <v>90</v>
      </c>
      <c r="U905">
        <v>0</v>
      </c>
      <c r="V905" t="s">
        <v>90</v>
      </c>
      <c r="W905">
        <v>0</v>
      </c>
      <c r="X905" t="s">
        <v>90</v>
      </c>
      <c r="Y905">
        <v>0</v>
      </c>
      <c r="Z905">
        <v>1.2538194170697499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N905" t="s">
        <v>185</v>
      </c>
      <c r="AO905" t="s">
        <v>73</v>
      </c>
      <c r="AP905">
        <v>200000</v>
      </c>
      <c r="AQ905" t="s">
        <v>73</v>
      </c>
      <c r="AS905">
        <v>10000</v>
      </c>
      <c r="AT905" t="s">
        <v>7468</v>
      </c>
      <c r="AU905" t="s">
        <v>75</v>
      </c>
      <c r="AV905" t="s">
        <v>76</v>
      </c>
    </row>
    <row r="906" spans="1:48" x14ac:dyDescent="0.15">
      <c r="A906" s="4" t="str">
        <f>HYPERLINK("https://ibp.a2mac1.com/costing(costing:projects/details/9760/assembly/8416414)","Rear cross member")</f>
        <v>Rear cross member</v>
      </c>
      <c r="B906">
        <v>8416414</v>
      </c>
      <c r="D906">
        <v>8416068</v>
      </c>
      <c r="F906">
        <v>1</v>
      </c>
      <c r="G906">
        <v>0</v>
      </c>
      <c r="H906">
        <v>1.2538194170697499</v>
      </c>
      <c r="I906">
        <v>0</v>
      </c>
      <c r="J906" t="s">
        <v>90</v>
      </c>
      <c r="K906">
        <v>0</v>
      </c>
      <c r="L906">
        <v>1.2538194170697499</v>
      </c>
      <c r="M906">
        <v>0</v>
      </c>
      <c r="N906">
        <v>0</v>
      </c>
      <c r="O906">
        <v>1.2538194170697499</v>
      </c>
      <c r="P906" t="s">
        <v>90</v>
      </c>
      <c r="Q906">
        <v>0</v>
      </c>
      <c r="R906" t="s">
        <v>90</v>
      </c>
      <c r="S906">
        <v>0</v>
      </c>
      <c r="T906" t="s">
        <v>90</v>
      </c>
      <c r="U906">
        <v>0</v>
      </c>
      <c r="V906" t="s">
        <v>90</v>
      </c>
      <c r="W906">
        <v>0</v>
      </c>
      <c r="X906" t="s">
        <v>90</v>
      </c>
      <c r="Y906">
        <v>0</v>
      </c>
      <c r="Z906">
        <v>1.2538194170697499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N906" t="s">
        <v>185</v>
      </c>
      <c r="AO906" t="s">
        <v>73</v>
      </c>
      <c r="AP906">
        <v>200000</v>
      </c>
      <c r="AQ906" t="s">
        <v>73</v>
      </c>
      <c r="AS906">
        <v>10000</v>
      </c>
      <c r="AT906" t="s">
        <v>7469</v>
      </c>
      <c r="AU906" t="s">
        <v>75</v>
      </c>
      <c r="AV906" t="s">
        <v>76</v>
      </c>
    </row>
    <row r="907" spans="1:48" x14ac:dyDescent="0.15">
      <c r="A907" s="4" t="str">
        <f>HYPERLINK("https://ibp.a2mac1.com/costing(costing:projects/details/9760/assembly/8416415)","Fixing parts")</f>
        <v>Fixing parts</v>
      </c>
      <c r="B907">
        <v>8416415</v>
      </c>
      <c r="D907">
        <v>8416068</v>
      </c>
      <c r="F907">
        <v>1</v>
      </c>
      <c r="G907">
        <v>0</v>
      </c>
      <c r="H907">
        <v>2.0770494839209799</v>
      </c>
      <c r="I907">
        <v>0</v>
      </c>
      <c r="J907" t="s">
        <v>90</v>
      </c>
      <c r="K907">
        <v>0</v>
      </c>
      <c r="L907">
        <v>2.0770494839209799</v>
      </c>
      <c r="M907">
        <v>0</v>
      </c>
      <c r="N907">
        <v>0</v>
      </c>
      <c r="O907">
        <v>2.0770494839209799</v>
      </c>
      <c r="P907" t="s">
        <v>90</v>
      </c>
      <c r="Q907">
        <v>0</v>
      </c>
      <c r="R907" t="s">
        <v>90</v>
      </c>
      <c r="S907">
        <v>0</v>
      </c>
      <c r="T907" t="s">
        <v>90</v>
      </c>
      <c r="U907">
        <v>0</v>
      </c>
      <c r="V907" t="s">
        <v>90</v>
      </c>
      <c r="W907">
        <v>0</v>
      </c>
      <c r="X907" t="s">
        <v>90</v>
      </c>
      <c r="Y907">
        <v>0</v>
      </c>
      <c r="Z907">
        <v>2.0770494839209799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N907" t="s">
        <v>185</v>
      </c>
      <c r="AO907" t="s">
        <v>73</v>
      </c>
      <c r="AP907">
        <v>200000</v>
      </c>
      <c r="AQ907" t="s">
        <v>73</v>
      </c>
      <c r="AS907">
        <v>10000</v>
      </c>
      <c r="AT907" t="s">
        <v>7488</v>
      </c>
      <c r="AU907" t="s">
        <v>75</v>
      </c>
      <c r="AV907" t="s">
        <v>76</v>
      </c>
    </row>
    <row r="908" spans="1:48" x14ac:dyDescent="0.15">
      <c r="A908" s="4" t="str">
        <f>HYPERLINK("https://ibp.a2mac1.com/costing(costing:projects/details/9760/assembly/8416068)","Rear shelf panel assy")</f>
        <v>Rear shelf panel assy</v>
      </c>
      <c r="B908">
        <v>8416068</v>
      </c>
      <c r="D908">
        <v>8415758</v>
      </c>
      <c r="F908">
        <v>1</v>
      </c>
      <c r="G908">
        <v>0</v>
      </c>
      <c r="H908">
        <v>20.809055583789988</v>
      </c>
      <c r="I908">
        <v>0</v>
      </c>
      <c r="J908" t="s">
        <v>90</v>
      </c>
      <c r="K908">
        <v>0</v>
      </c>
      <c r="L908">
        <v>20.809055583789988</v>
      </c>
      <c r="M908">
        <v>0</v>
      </c>
      <c r="N908">
        <v>0</v>
      </c>
      <c r="O908">
        <v>20.809055583789988</v>
      </c>
      <c r="P908" t="s">
        <v>90</v>
      </c>
      <c r="Q908">
        <v>0</v>
      </c>
      <c r="R908" t="s">
        <v>90</v>
      </c>
      <c r="S908">
        <v>0</v>
      </c>
      <c r="T908" t="s">
        <v>90</v>
      </c>
      <c r="U908">
        <v>0</v>
      </c>
      <c r="V908" t="s">
        <v>90</v>
      </c>
      <c r="W908">
        <v>0</v>
      </c>
      <c r="X908" t="s">
        <v>90</v>
      </c>
      <c r="Y908">
        <v>0</v>
      </c>
      <c r="Z908">
        <v>20.809055583789988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N908" t="s">
        <v>185</v>
      </c>
      <c r="AO908" t="s">
        <v>73</v>
      </c>
      <c r="AP908">
        <v>200000</v>
      </c>
      <c r="AQ908" t="s">
        <v>73</v>
      </c>
      <c r="AS908">
        <v>10000</v>
      </c>
      <c r="AT908" t="s">
        <v>7489</v>
      </c>
      <c r="AU908" t="s">
        <v>75</v>
      </c>
      <c r="AV908" t="s">
        <v>76</v>
      </c>
    </row>
    <row r="909" spans="1:48" x14ac:dyDescent="0.15">
      <c r="A909" s="4" t="str">
        <f>HYPERLINK("https://ibp.a2mac1.com/costing(costing:projects/details/9760/assembly/8416416)","Outer panel")</f>
        <v>Outer panel</v>
      </c>
      <c r="B909">
        <v>8416416</v>
      </c>
      <c r="D909">
        <v>8416069</v>
      </c>
      <c r="F909">
        <v>1</v>
      </c>
      <c r="G909">
        <v>0</v>
      </c>
      <c r="H909">
        <v>3.0399709524063363</v>
      </c>
      <c r="I909">
        <v>0</v>
      </c>
      <c r="J909" t="s">
        <v>90</v>
      </c>
      <c r="K909">
        <v>0</v>
      </c>
      <c r="L909">
        <v>3.0399709524063363</v>
      </c>
      <c r="M909">
        <v>0</v>
      </c>
      <c r="N909">
        <v>0</v>
      </c>
      <c r="O909">
        <v>3.0399709524063363</v>
      </c>
      <c r="P909" t="s">
        <v>90</v>
      </c>
      <c r="Q909">
        <v>0</v>
      </c>
      <c r="R909" t="s">
        <v>90</v>
      </c>
      <c r="S909">
        <v>0</v>
      </c>
      <c r="T909" t="s">
        <v>90</v>
      </c>
      <c r="U909">
        <v>0</v>
      </c>
      <c r="V909" t="s">
        <v>90</v>
      </c>
      <c r="W909">
        <v>0</v>
      </c>
      <c r="X909" t="s">
        <v>90</v>
      </c>
      <c r="Y909">
        <v>0</v>
      </c>
      <c r="Z909">
        <v>3.0399709524063363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N909" t="s">
        <v>185</v>
      </c>
      <c r="AO909" t="s">
        <v>73</v>
      </c>
      <c r="AP909">
        <v>200000</v>
      </c>
      <c r="AQ909" t="s">
        <v>73</v>
      </c>
      <c r="AS909">
        <v>10000</v>
      </c>
      <c r="AT909" t="s">
        <v>7497</v>
      </c>
      <c r="AU909" t="s">
        <v>75</v>
      </c>
      <c r="AV909" t="s">
        <v>76</v>
      </c>
    </row>
    <row r="910" spans="1:48" x14ac:dyDescent="0.15">
      <c r="A910" s="4" t="str">
        <f>HYPERLINK("https://ibp.a2mac1.com/costing(costing:projects/details/9760/assembly/8416417)","Inner panel")</f>
        <v>Inner panel</v>
      </c>
      <c r="B910">
        <v>8416417</v>
      </c>
      <c r="D910">
        <v>8416069</v>
      </c>
      <c r="F910">
        <v>1</v>
      </c>
      <c r="G910">
        <v>0</v>
      </c>
      <c r="H910">
        <v>2.7224689629637786</v>
      </c>
      <c r="I910">
        <v>0</v>
      </c>
      <c r="J910" t="s">
        <v>90</v>
      </c>
      <c r="K910">
        <v>0</v>
      </c>
      <c r="L910">
        <v>2.7224689629637786</v>
      </c>
      <c r="M910">
        <v>0</v>
      </c>
      <c r="N910">
        <v>0</v>
      </c>
      <c r="O910">
        <v>2.7224689629637786</v>
      </c>
      <c r="P910" t="s">
        <v>90</v>
      </c>
      <c r="Q910">
        <v>0</v>
      </c>
      <c r="R910" t="s">
        <v>90</v>
      </c>
      <c r="S910">
        <v>0</v>
      </c>
      <c r="T910" t="s">
        <v>90</v>
      </c>
      <c r="U910">
        <v>0</v>
      </c>
      <c r="V910" t="s">
        <v>90</v>
      </c>
      <c r="W910">
        <v>0</v>
      </c>
      <c r="X910" t="s">
        <v>90</v>
      </c>
      <c r="Y910">
        <v>0</v>
      </c>
      <c r="Z910">
        <v>2.7224689629637786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N910" t="s">
        <v>185</v>
      </c>
      <c r="AO910" t="s">
        <v>73</v>
      </c>
      <c r="AP910">
        <v>200000</v>
      </c>
      <c r="AQ910" t="s">
        <v>73</v>
      </c>
      <c r="AS910">
        <v>10000</v>
      </c>
      <c r="AT910" t="s">
        <v>7509</v>
      </c>
      <c r="AU910" t="s">
        <v>75</v>
      </c>
      <c r="AV910" t="s">
        <v>76</v>
      </c>
    </row>
    <row r="911" spans="1:48" x14ac:dyDescent="0.15">
      <c r="A911" s="4" t="str">
        <f>HYPERLINK("https://ibp.a2mac1.com/costing(costing:projects/details/9760/assembly/8416418)","Reinforcements")</f>
        <v>Reinforcements</v>
      </c>
      <c r="B911">
        <v>8416418</v>
      </c>
      <c r="D911">
        <v>8416069</v>
      </c>
      <c r="F911">
        <v>1</v>
      </c>
      <c r="G911">
        <v>0</v>
      </c>
      <c r="H911">
        <v>0.45675985318389989</v>
      </c>
      <c r="I911">
        <v>0</v>
      </c>
      <c r="J911" t="s">
        <v>90</v>
      </c>
      <c r="K911">
        <v>0</v>
      </c>
      <c r="L911">
        <v>0.45675985318389989</v>
      </c>
      <c r="M911">
        <v>0</v>
      </c>
      <c r="N911">
        <v>0</v>
      </c>
      <c r="O911">
        <v>0.45675985318389989</v>
      </c>
      <c r="P911" t="s">
        <v>90</v>
      </c>
      <c r="Q911">
        <v>0</v>
      </c>
      <c r="R911" t="s">
        <v>90</v>
      </c>
      <c r="S911">
        <v>0</v>
      </c>
      <c r="T911" t="s">
        <v>90</v>
      </c>
      <c r="U911">
        <v>0</v>
      </c>
      <c r="V911" t="s">
        <v>90</v>
      </c>
      <c r="W911">
        <v>0</v>
      </c>
      <c r="X911" t="s">
        <v>90</v>
      </c>
      <c r="Y911">
        <v>0</v>
      </c>
      <c r="Z911">
        <v>0.45675985318389989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N911" t="s">
        <v>185</v>
      </c>
      <c r="AO911" t="s">
        <v>73</v>
      </c>
      <c r="AP911">
        <v>200000</v>
      </c>
      <c r="AQ911" t="s">
        <v>73</v>
      </c>
      <c r="AS911">
        <v>10000</v>
      </c>
      <c r="AT911" t="s">
        <v>7516</v>
      </c>
      <c r="AU911" t="s">
        <v>75</v>
      </c>
      <c r="AV911" t="s">
        <v>76</v>
      </c>
    </row>
    <row r="912" spans="1:48" x14ac:dyDescent="0.15">
      <c r="A912" s="4" t="str">
        <f>HYPERLINK("https://ibp.a2mac1.com/costing(costing:projects/details/9760/assembly/8416419)","Fixing parts")</f>
        <v>Fixing parts</v>
      </c>
      <c r="B912">
        <v>8416419</v>
      </c>
      <c r="D912">
        <v>8416069</v>
      </c>
      <c r="F912">
        <v>1</v>
      </c>
      <c r="G912">
        <v>0</v>
      </c>
      <c r="H912">
        <v>0.4159503300963</v>
      </c>
      <c r="I912">
        <v>0</v>
      </c>
      <c r="J912" t="s">
        <v>90</v>
      </c>
      <c r="K912">
        <v>0</v>
      </c>
      <c r="L912">
        <v>0.4159503300963</v>
      </c>
      <c r="M912">
        <v>0</v>
      </c>
      <c r="N912">
        <v>0</v>
      </c>
      <c r="O912">
        <v>0.4159503300963</v>
      </c>
      <c r="P912" t="s">
        <v>90</v>
      </c>
      <c r="Q912">
        <v>0</v>
      </c>
      <c r="R912" t="s">
        <v>90</v>
      </c>
      <c r="S912">
        <v>0</v>
      </c>
      <c r="T912" t="s">
        <v>90</v>
      </c>
      <c r="U912">
        <v>0</v>
      </c>
      <c r="V912" t="s">
        <v>90</v>
      </c>
      <c r="W912">
        <v>0</v>
      </c>
      <c r="X912" t="s">
        <v>90</v>
      </c>
      <c r="Y912">
        <v>0</v>
      </c>
      <c r="Z912">
        <v>0.4159503300963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N912" t="s">
        <v>185</v>
      </c>
      <c r="AO912" t="s">
        <v>73</v>
      </c>
      <c r="AP912">
        <v>200000</v>
      </c>
      <c r="AQ912" t="s">
        <v>73</v>
      </c>
      <c r="AS912">
        <v>10000</v>
      </c>
      <c r="AT912" t="s">
        <v>7525</v>
      </c>
      <c r="AU912" t="s">
        <v>75</v>
      </c>
      <c r="AV912" t="s">
        <v>76</v>
      </c>
    </row>
    <row r="913" spans="1:48" x14ac:dyDescent="0.15">
      <c r="A913" s="4" t="str">
        <f>HYPERLINK("https://ibp.a2mac1.com/costing(costing:projects/details/9760/assembly/8416069)","Rear panel assy")</f>
        <v>Rear panel assy</v>
      </c>
      <c r="B913">
        <v>8416069</v>
      </c>
      <c r="D913">
        <v>8415758</v>
      </c>
      <c r="F913">
        <v>1</v>
      </c>
      <c r="G913">
        <v>0</v>
      </c>
      <c r="H913">
        <v>6.6351500986503149</v>
      </c>
      <c r="I913">
        <v>0</v>
      </c>
      <c r="J913" t="s">
        <v>90</v>
      </c>
      <c r="K913">
        <v>0</v>
      </c>
      <c r="L913">
        <v>6.6351500986503149</v>
      </c>
      <c r="M913">
        <v>0</v>
      </c>
      <c r="N913">
        <v>0</v>
      </c>
      <c r="O913">
        <v>6.6351500986503149</v>
      </c>
      <c r="P913" t="s">
        <v>90</v>
      </c>
      <c r="Q913">
        <v>0</v>
      </c>
      <c r="R913" t="s">
        <v>90</v>
      </c>
      <c r="S913">
        <v>0</v>
      </c>
      <c r="T913" t="s">
        <v>90</v>
      </c>
      <c r="U913">
        <v>0</v>
      </c>
      <c r="V913" t="s">
        <v>90</v>
      </c>
      <c r="W913">
        <v>0</v>
      </c>
      <c r="X913" t="s">
        <v>90</v>
      </c>
      <c r="Y913">
        <v>0</v>
      </c>
      <c r="Z913">
        <v>6.6351500986503149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N913" t="s">
        <v>185</v>
      </c>
      <c r="AO913" t="s">
        <v>73</v>
      </c>
      <c r="AP913">
        <v>200000</v>
      </c>
      <c r="AQ913" t="s">
        <v>73</v>
      </c>
      <c r="AS913">
        <v>10000</v>
      </c>
      <c r="AT913" t="s">
        <v>7526</v>
      </c>
      <c r="AU913" t="s">
        <v>75</v>
      </c>
      <c r="AV913" t="s">
        <v>76</v>
      </c>
    </row>
    <row r="914" spans="1:48" x14ac:dyDescent="0.15">
      <c r="A914" s="4" t="str">
        <f>HYPERLINK("https://ibp.a2mac1.com/costing(costing:projects/details/9760/assembly/8416601)","Outer skin")</f>
        <v>Outer skin</v>
      </c>
      <c r="B914">
        <v>8416601</v>
      </c>
      <c r="D914">
        <v>8416420</v>
      </c>
      <c r="F914">
        <v>1</v>
      </c>
      <c r="G914">
        <v>0</v>
      </c>
      <c r="H914">
        <v>40.671954227369056</v>
      </c>
      <c r="I914">
        <v>0</v>
      </c>
      <c r="J914" t="s">
        <v>90</v>
      </c>
      <c r="K914">
        <v>0</v>
      </c>
      <c r="L914">
        <v>40.671954227369056</v>
      </c>
      <c r="M914">
        <v>0</v>
      </c>
      <c r="N914">
        <v>0</v>
      </c>
      <c r="O914">
        <v>40.671954227369056</v>
      </c>
      <c r="P914" t="s">
        <v>90</v>
      </c>
      <c r="Q914">
        <v>0</v>
      </c>
      <c r="R914" t="s">
        <v>90</v>
      </c>
      <c r="S914">
        <v>0</v>
      </c>
      <c r="T914" t="s">
        <v>90</v>
      </c>
      <c r="U914">
        <v>0</v>
      </c>
      <c r="V914" t="s">
        <v>90</v>
      </c>
      <c r="W914">
        <v>0</v>
      </c>
      <c r="X914" t="s">
        <v>90</v>
      </c>
      <c r="Y914">
        <v>0</v>
      </c>
      <c r="Z914">
        <v>40.671954227369056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N914" t="s">
        <v>185</v>
      </c>
      <c r="AO914" t="s">
        <v>73</v>
      </c>
      <c r="AP914">
        <v>200000</v>
      </c>
      <c r="AQ914" t="s">
        <v>73</v>
      </c>
      <c r="AS914">
        <v>10000</v>
      </c>
      <c r="AT914" t="s">
        <v>7546</v>
      </c>
      <c r="AU914" t="s">
        <v>75</v>
      </c>
      <c r="AV914" t="s">
        <v>76</v>
      </c>
    </row>
    <row r="915" spans="1:48" x14ac:dyDescent="0.15">
      <c r="A915" s="4" t="str">
        <f>HYPERLINK("https://ibp.a2mac1.com/costing(costing:projects/details/9760/assembly/8416602)","Rear gutter area")</f>
        <v>Rear gutter area</v>
      </c>
      <c r="B915">
        <v>8416602</v>
      </c>
      <c r="D915">
        <v>8416420</v>
      </c>
      <c r="F915">
        <v>1</v>
      </c>
      <c r="G915">
        <v>0</v>
      </c>
      <c r="H915">
        <v>0.84110108421386742</v>
      </c>
      <c r="I915">
        <v>0</v>
      </c>
      <c r="J915" t="s">
        <v>90</v>
      </c>
      <c r="K915">
        <v>0</v>
      </c>
      <c r="L915">
        <v>0.84110108421386742</v>
      </c>
      <c r="M915">
        <v>0</v>
      </c>
      <c r="N915">
        <v>0</v>
      </c>
      <c r="O915">
        <v>0.84110108421386742</v>
      </c>
      <c r="P915" t="s">
        <v>90</v>
      </c>
      <c r="Q915">
        <v>0</v>
      </c>
      <c r="R915" t="s">
        <v>90</v>
      </c>
      <c r="S915">
        <v>0</v>
      </c>
      <c r="T915" t="s">
        <v>90</v>
      </c>
      <c r="U915">
        <v>0</v>
      </c>
      <c r="V915" t="s">
        <v>90</v>
      </c>
      <c r="W915">
        <v>0</v>
      </c>
      <c r="X915" t="s">
        <v>90</v>
      </c>
      <c r="Y915">
        <v>0</v>
      </c>
      <c r="Z915">
        <v>0.84110108421386742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N915" t="s">
        <v>185</v>
      </c>
      <c r="AO915" t="s">
        <v>73</v>
      </c>
      <c r="AP915">
        <v>200000</v>
      </c>
      <c r="AQ915" t="s">
        <v>73</v>
      </c>
      <c r="AS915">
        <v>10000</v>
      </c>
      <c r="AT915" t="s">
        <v>7552</v>
      </c>
      <c r="AU915" t="s">
        <v>75</v>
      </c>
      <c r="AV915" t="s">
        <v>76</v>
      </c>
    </row>
    <row r="916" spans="1:48" x14ac:dyDescent="0.15">
      <c r="A916" s="4" t="str">
        <f>HYPERLINK("https://ibp.a2mac1.com/costing(costing:projects/details/9760/assembly/8416603)","Reinforcements")</f>
        <v>Reinforcements</v>
      </c>
      <c r="B916">
        <v>8416603</v>
      </c>
      <c r="D916">
        <v>8416420</v>
      </c>
      <c r="F916">
        <v>1</v>
      </c>
      <c r="G916">
        <v>0</v>
      </c>
      <c r="H916">
        <v>0.3251414328938157</v>
      </c>
      <c r="I916">
        <v>0</v>
      </c>
      <c r="J916" t="s">
        <v>90</v>
      </c>
      <c r="K916">
        <v>0</v>
      </c>
      <c r="L916">
        <v>0.3251414328938157</v>
      </c>
      <c r="M916">
        <v>0</v>
      </c>
      <c r="N916">
        <v>0</v>
      </c>
      <c r="O916">
        <v>0.3251414328938157</v>
      </c>
      <c r="P916" t="s">
        <v>90</v>
      </c>
      <c r="Q916">
        <v>0</v>
      </c>
      <c r="R916" t="s">
        <v>90</v>
      </c>
      <c r="S916">
        <v>0</v>
      </c>
      <c r="T916" t="s">
        <v>90</v>
      </c>
      <c r="U916">
        <v>0</v>
      </c>
      <c r="V916" t="s">
        <v>90</v>
      </c>
      <c r="W916">
        <v>0</v>
      </c>
      <c r="X916" t="s">
        <v>90</v>
      </c>
      <c r="Y916">
        <v>0</v>
      </c>
      <c r="Z916">
        <v>0.3251414328938157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N916" t="s">
        <v>185</v>
      </c>
      <c r="AO916" t="s">
        <v>73</v>
      </c>
      <c r="AP916">
        <v>200000</v>
      </c>
      <c r="AQ916" t="s">
        <v>73</v>
      </c>
      <c r="AS916">
        <v>10000</v>
      </c>
      <c r="AT916" t="s">
        <v>7558</v>
      </c>
      <c r="AU916" t="s">
        <v>75</v>
      </c>
      <c r="AV916" t="s">
        <v>76</v>
      </c>
    </row>
    <row r="917" spans="1:48" x14ac:dyDescent="0.15">
      <c r="A917" s="4" t="str">
        <f>HYPERLINK("https://ibp.a2mac1.com/costing(costing:projects/details/9760/assembly/8416615)","Fixing parts")</f>
        <v>Fixing parts</v>
      </c>
      <c r="B917">
        <v>8416615</v>
      </c>
      <c r="D917">
        <v>8416420</v>
      </c>
      <c r="F917">
        <v>1</v>
      </c>
      <c r="G917">
        <v>0</v>
      </c>
      <c r="H917">
        <v>0.83662590759270727</v>
      </c>
      <c r="I917">
        <v>0</v>
      </c>
      <c r="J917" t="s">
        <v>90</v>
      </c>
      <c r="K917">
        <v>0</v>
      </c>
      <c r="L917">
        <v>0.83662590759270727</v>
      </c>
      <c r="M917">
        <v>0</v>
      </c>
      <c r="N917">
        <v>0</v>
      </c>
      <c r="O917">
        <v>0.83662590759270727</v>
      </c>
      <c r="P917" t="s">
        <v>90</v>
      </c>
      <c r="Q917">
        <v>0</v>
      </c>
      <c r="R917" t="s">
        <v>90</v>
      </c>
      <c r="S917">
        <v>0</v>
      </c>
      <c r="T917" t="s">
        <v>90</v>
      </c>
      <c r="U917">
        <v>0</v>
      </c>
      <c r="V917" t="s">
        <v>90</v>
      </c>
      <c r="W917">
        <v>0</v>
      </c>
      <c r="X917" t="s">
        <v>90</v>
      </c>
      <c r="Y917">
        <v>0</v>
      </c>
      <c r="Z917">
        <v>0.83662590759270727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N917" t="s">
        <v>185</v>
      </c>
      <c r="AO917" t="s">
        <v>73</v>
      </c>
      <c r="AP917">
        <v>200000</v>
      </c>
      <c r="AQ917" t="s">
        <v>73</v>
      </c>
      <c r="AS917">
        <v>10000</v>
      </c>
      <c r="AT917" t="s">
        <v>7574</v>
      </c>
      <c r="AU917" t="s">
        <v>75</v>
      </c>
      <c r="AV917" t="s">
        <v>76</v>
      </c>
    </row>
    <row r="918" spans="1:48" x14ac:dyDescent="0.15">
      <c r="A918" s="4" t="str">
        <f>HYPERLINK("https://ibp.a2mac1.com/costing(costing:projects/details/9760/assembly/8416420)","Outer skin assy")</f>
        <v>Outer skin assy</v>
      </c>
      <c r="B918">
        <v>8416420</v>
      </c>
      <c r="D918">
        <v>8416070</v>
      </c>
      <c r="F918">
        <v>1</v>
      </c>
      <c r="G918">
        <v>0</v>
      </c>
      <c r="H918">
        <v>42.674822652069444</v>
      </c>
      <c r="I918">
        <v>0</v>
      </c>
      <c r="J918" t="s">
        <v>90</v>
      </c>
      <c r="K918">
        <v>0</v>
      </c>
      <c r="L918">
        <v>42.674822652069444</v>
      </c>
      <c r="M918">
        <v>0</v>
      </c>
      <c r="N918">
        <v>0</v>
      </c>
      <c r="O918">
        <v>42.674822652069444</v>
      </c>
      <c r="P918" t="s">
        <v>90</v>
      </c>
      <c r="Q918">
        <v>0</v>
      </c>
      <c r="R918" t="s">
        <v>90</v>
      </c>
      <c r="S918">
        <v>0</v>
      </c>
      <c r="T918" t="s">
        <v>90</v>
      </c>
      <c r="U918">
        <v>0</v>
      </c>
      <c r="V918" t="s">
        <v>90</v>
      </c>
      <c r="W918">
        <v>0</v>
      </c>
      <c r="X918" t="s">
        <v>90</v>
      </c>
      <c r="Y918">
        <v>0</v>
      </c>
      <c r="Z918">
        <v>42.674822652069444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N918" t="s">
        <v>185</v>
      </c>
      <c r="AO918" t="s">
        <v>73</v>
      </c>
      <c r="AP918">
        <v>200000</v>
      </c>
      <c r="AQ918" t="s">
        <v>73</v>
      </c>
      <c r="AS918">
        <v>10000</v>
      </c>
      <c r="AT918" t="s">
        <v>7575</v>
      </c>
      <c r="AU918" t="s">
        <v>75</v>
      </c>
      <c r="AV918" t="s">
        <v>76</v>
      </c>
    </row>
    <row r="919" spans="1:48" x14ac:dyDescent="0.15">
      <c r="A919" s="4" t="str">
        <f>HYPERLINK("https://ibp.a2mac1.com/costing(costing:projects/details/9760/assembly/8416616)","Frame")</f>
        <v>Frame</v>
      </c>
      <c r="B919">
        <v>8416616</v>
      </c>
      <c r="D919">
        <v>8416421</v>
      </c>
      <c r="F919">
        <v>1</v>
      </c>
      <c r="G919">
        <v>0</v>
      </c>
      <c r="H919">
        <v>32.404006067186891</v>
      </c>
      <c r="I919">
        <v>0</v>
      </c>
      <c r="J919" t="s">
        <v>90</v>
      </c>
      <c r="K919">
        <v>0</v>
      </c>
      <c r="L919">
        <v>32.404006067186891</v>
      </c>
      <c r="M919">
        <v>0</v>
      </c>
      <c r="N919">
        <v>0</v>
      </c>
      <c r="O919">
        <v>32.404006067186891</v>
      </c>
      <c r="P919" t="s">
        <v>90</v>
      </c>
      <c r="Q919">
        <v>0</v>
      </c>
      <c r="R919" t="s">
        <v>90</v>
      </c>
      <c r="S919">
        <v>0</v>
      </c>
      <c r="T919" t="s">
        <v>90</v>
      </c>
      <c r="U919">
        <v>0</v>
      </c>
      <c r="V919" t="s">
        <v>90</v>
      </c>
      <c r="W919">
        <v>0</v>
      </c>
      <c r="X919" t="s">
        <v>90</v>
      </c>
      <c r="Y919">
        <v>0</v>
      </c>
      <c r="Z919">
        <v>32.404006067186891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N919" t="s">
        <v>185</v>
      </c>
      <c r="AO919" t="s">
        <v>73</v>
      </c>
      <c r="AP919">
        <v>200000</v>
      </c>
      <c r="AQ919" t="s">
        <v>73</v>
      </c>
      <c r="AS919">
        <v>10000</v>
      </c>
      <c r="AT919" t="s">
        <v>7583</v>
      </c>
      <c r="AU919" t="s">
        <v>75</v>
      </c>
      <c r="AV919" t="s">
        <v>76</v>
      </c>
    </row>
    <row r="920" spans="1:48" x14ac:dyDescent="0.15">
      <c r="A920" s="4" t="str">
        <f>HYPERLINK("https://ibp.a2mac1.com/costing(costing:projects/details/9760/assembly/8416617)","Inner skin")</f>
        <v>Inner skin</v>
      </c>
      <c r="B920">
        <v>8416617</v>
      </c>
      <c r="D920">
        <v>8416421</v>
      </c>
      <c r="F920">
        <v>1</v>
      </c>
      <c r="G920">
        <v>0</v>
      </c>
      <c r="H920">
        <v>20.851715609925609</v>
      </c>
      <c r="I920">
        <v>0</v>
      </c>
      <c r="J920" t="s">
        <v>90</v>
      </c>
      <c r="K920">
        <v>0</v>
      </c>
      <c r="L920">
        <v>20.851715609925609</v>
      </c>
      <c r="M920">
        <v>0</v>
      </c>
      <c r="N920">
        <v>0</v>
      </c>
      <c r="O920">
        <v>20.851715609925609</v>
      </c>
      <c r="P920" t="s">
        <v>90</v>
      </c>
      <c r="Q920">
        <v>0</v>
      </c>
      <c r="R920" t="s">
        <v>90</v>
      </c>
      <c r="S920">
        <v>0</v>
      </c>
      <c r="T920" t="s">
        <v>90</v>
      </c>
      <c r="U920">
        <v>0</v>
      </c>
      <c r="V920" t="s">
        <v>90</v>
      </c>
      <c r="W920">
        <v>0</v>
      </c>
      <c r="X920" t="s">
        <v>90</v>
      </c>
      <c r="Y920">
        <v>0</v>
      </c>
      <c r="Z920">
        <v>20.851715609925609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N920" t="s">
        <v>185</v>
      </c>
      <c r="AO920" t="s">
        <v>73</v>
      </c>
      <c r="AP920">
        <v>200000</v>
      </c>
      <c r="AQ920" t="s">
        <v>73</v>
      </c>
      <c r="AS920">
        <v>10000</v>
      </c>
      <c r="AT920" t="s">
        <v>7590</v>
      </c>
      <c r="AU920" t="s">
        <v>75</v>
      </c>
      <c r="AV920" t="s">
        <v>76</v>
      </c>
    </row>
    <row r="921" spans="1:48" x14ac:dyDescent="0.15">
      <c r="A921" s="4" t="str">
        <f>HYPERLINK("https://ibp.a2mac1.com/costing(costing:projects/details/9760/assembly/8416618)","Fixing parts")</f>
        <v>Fixing parts</v>
      </c>
      <c r="B921">
        <v>8416618</v>
      </c>
      <c r="D921">
        <v>8416421</v>
      </c>
      <c r="F921">
        <v>1</v>
      </c>
      <c r="G921">
        <v>0</v>
      </c>
      <c r="H921">
        <v>7.1190979082606437E-2</v>
      </c>
      <c r="I921">
        <v>0</v>
      </c>
      <c r="J921" t="s">
        <v>90</v>
      </c>
      <c r="K921">
        <v>0</v>
      </c>
      <c r="L921">
        <v>7.1190979082606437E-2</v>
      </c>
      <c r="M921">
        <v>0</v>
      </c>
      <c r="N921">
        <v>0</v>
      </c>
      <c r="O921">
        <v>7.1190979082606437E-2</v>
      </c>
      <c r="P921" t="s">
        <v>90</v>
      </c>
      <c r="Q921">
        <v>0</v>
      </c>
      <c r="R921" t="s">
        <v>90</v>
      </c>
      <c r="S921">
        <v>0</v>
      </c>
      <c r="T921" t="s">
        <v>90</v>
      </c>
      <c r="U921">
        <v>0</v>
      </c>
      <c r="V921" t="s">
        <v>90</v>
      </c>
      <c r="W921">
        <v>0</v>
      </c>
      <c r="X921" t="s">
        <v>90</v>
      </c>
      <c r="Y921">
        <v>0</v>
      </c>
      <c r="Z921">
        <v>7.1190979082606437E-2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N921" t="s">
        <v>185</v>
      </c>
      <c r="AO921" t="s">
        <v>73</v>
      </c>
      <c r="AP921">
        <v>200000</v>
      </c>
      <c r="AQ921" t="s">
        <v>73</v>
      </c>
      <c r="AS921">
        <v>10000</v>
      </c>
      <c r="AT921" t="s">
        <v>7595</v>
      </c>
      <c r="AU921" t="s">
        <v>75</v>
      </c>
      <c r="AV921" t="s">
        <v>76</v>
      </c>
    </row>
    <row r="922" spans="1:48" x14ac:dyDescent="0.15">
      <c r="A922" s="4" t="str">
        <f>HYPERLINK("https://ibp.a2mac1.com/costing(costing:projects/details/9760/assembly/8416421)","Roof bow assy")</f>
        <v>Roof bow assy</v>
      </c>
      <c r="B922">
        <v>8416421</v>
      </c>
      <c r="D922">
        <v>8416070</v>
      </c>
      <c r="F922">
        <v>1</v>
      </c>
      <c r="G922">
        <v>0</v>
      </c>
      <c r="H922">
        <v>53.326912656195105</v>
      </c>
      <c r="I922">
        <v>0</v>
      </c>
      <c r="J922" t="s">
        <v>90</v>
      </c>
      <c r="K922">
        <v>0</v>
      </c>
      <c r="L922">
        <v>53.326912656195105</v>
      </c>
      <c r="M922">
        <v>0</v>
      </c>
      <c r="N922">
        <v>0</v>
      </c>
      <c r="O922">
        <v>53.326912656195105</v>
      </c>
      <c r="P922" t="s">
        <v>90</v>
      </c>
      <c r="Q922">
        <v>0</v>
      </c>
      <c r="R922" t="s">
        <v>90</v>
      </c>
      <c r="S922">
        <v>0</v>
      </c>
      <c r="T922" t="s">
        <v>90</v>
      </c>
      <c r="U922">
        <v>0</v>
      </c>
      <c r="V922" t="s">
        <v>90</v>
      </c>
      <c r="W922">
        <v>0</v>
      </c>
      <c r="X922" t="s">
        <v>90</v>
      </c>
      <c r="Y922">
        <v>0</v>
      </c>
      <c r="Z922">
        <v>53.326912656195105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N922" t="s">
        <v>185</v>
      </c>
      <c r="AO922" t="s">
        <v>73</v>
      </c>
      <c r="AP922">
        <v>200000</v>
      </c>
      <c r="AQ922" t="s">
        <v>73</v>
      </c>
      <c r="AS922">
        <v>10000</v>
      </c>
      <c r="AT922" t="s">
        <v>7596</v>
      </c>
      <c r="AU922" t="s">
        <v>75</v>
      </c>
      <c r="AV922" t="s">
        <v>76</v>
      </c>
    </row>
    <row r="923" spans="1:48" x14ac:dyDescent="0.15">
      <c r="A923" s="4" t="str">
        <f>HYPERLINK("https://ibp.a2mac1.com/costing(costing:projects/details/9760/assembly/8416619)","Frame")</f>
        <v>Frame</v>
      </c>
      <c r="B923">
        <v>8416619</v>
      </c>
      <c r="D923">
        <v>8416422</v>
      </c>
      <c r="F923">
        <v>1</v>
      </c>
      <c r="G923">
        <v>0</v>
      </c>
      <c r="H923">
        <v>16.304178668926639</v>
      </c>
      <c r="I923">
        <v>0</v>
      </c>
      <c r="J923" t="s">
        <v>90</v>
      </c>
      <c r="K923">
        <v>0</v>
      </c>
      <c r="L923">
        <v>16.304178668926639</v>
      </c>
      <c r="M923">
        <v>0</v>
      </c>
      <c r="N923">
        <v>0</v>
      </c>
      <c r="O923">
        <v>16.304178668926639</v>
      </c>
      <c r="P923" t="s">
        <v>90</v>
      </c>
      <c r="Q923">
        <v>0</v>
      </c>
      <c r="R923" t="s">
        <v>90</v>
      </c>
      <c r="S923">
        <v>0</v>
      </c>
      <c r="T923" t="s">
        <v>90</v>
      </c>
      <c r="U923">
        <v>0</v>
      </c>
      <c r="V923" t="s">
        <v>90</v>
      </c>
      <c r="W923">
        <v>0</v>
      </c>
      <c r="X923" t="s">
        <v>90</v>
      </c>
      <c r="Y923">
        <v>0</v>
      </c>
      <c r="Z923">
        <v>16.304178668926639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N923" t="s">
        <v>185</v>
      </c>
      <c r="AO923" t="s">
        <v>73</v>
      </c>
      <c r="AP923">
        <v>200000</v>
      </c>
      <c r="AQ923" t="s">
        <v>73</v>
      </c>
      <c r="AS923">
        <v>10000</v>
      </c>
      <c r="AT923" t="s">
        <v>7604</v>
      </c>
      <c r="AU923" t="s">
        <v>75</v>
      </c>
      <c r="AV923" t="s">
        <v>76</v>
      </c>
    </row>
    <row r="924" spans="1:48" x14ac:dyDescent="0.15">
      <c r="A924" s="4" t="str">
        <f>HYPERLINK("https://ibp.a2mac1.com/costing(costing:projects/details/9760/assembly/8416620)","Reinforcements")</f>
        <v>Reinforcements</v>
      </c>
      <c r="B924">
        <v>8416620</v>
      </c>
      <c r="D924">
        <v>8416422</v>
      </c>
      <c r="F924">
        <v>1</v>
      </c>
      <c r="G924">
        <v>0</v>
      </c>
      <c r="H924">
        <v>1.0842056421963624</v>
      </c>
      <c r="I924">
        <v>0</v>
      </c>
      <c r="J924" t="s">
        <v>90</v>
      </c>
      <c r="K924">
        <v>0</v>
      </c>
      <c r="L924">
        <v>1.0842056421963624</v>
      </c>
      <c r="M924">
        <v>0</v>
      </c>
      <c r="N924">
        <v>0</v>
      </c>
      <c r="O924">
        <v>1.0842056421963624</v>
      </c>
      <c r="P924" t="s">
        <v>90</v>
      </c>
      <c r="Q924">
        <v>0</v>
      </c>
      <c r="R924" t="s">
        <v>90</v>
      </c>
      <c r="S924">
        <v>0</v>
      </c>
      <c r="T924" t="s">
        <v>90</v>
      </c>
      <c r="U924">
        <v>0</v>
      </c>
      <c r="V924" t="s">
        <v>90</v>
      </c>
      <c r="W924">
        <v>0</v>
      </c>
      <c r="X924" t="s">
        <v>90</v>
      </c>
      <c r="Y924">
        <v>0</v>
      </c>
      <c r="Z924">
        <v>1.0842056421963624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N924" t="s">
        <v>185</v>
      </c>
      <c r="AO924" t="s">
        <v>73</v>
      </c>
      <c r="AP924">
        <v>200000</v>
      </c>
      <c r="AQ924" t="s">
        <v>73</v>
      </c>
      <c r="AS924">
        <v>10000</v>
      </c>
      <c r="AT924" t="s">
        <v>7615</v>
      </c>
      <c r="AU924" t="s">
        <v>75</v>
      </c>
      <c r="AV924" t="s">
        <v>76</v>
      </c>
    </row>
    <row r="925" spans="1:48" x14ac:dyDescent="0.15">
      <c r="A925" s="4" t="str">
        <f>HYPERLINK("https://ibp.a2mac1.com/costing(costing:projects/details/9760/assembly/8416621)","Fixing parts")</f>
        <v>Fixing parts</v>
      </c>
      <c r="B925">
        <v>8416621</v>
      </c>
      <c r="D925">
        <v>8416422</v>
      </c>
      <c r="F925">
        <v>1</v>
      </c>
      <c r="G925">
        <v>0</v>
      </c>
      <c r="H925">
        <v>0.28765466119660427</v>
      </c>
      <c r="I925">
        <v>0</v>
      </c>
      <c r="J925" t="s">
        <v>90</v>
      </c>
      <c r="K925">
        <v>0</v>
      </c>
      <c r="L925">
        <v>0.28765466119660427</v>
      </c>
      <c r="M925">
        <v>0</v>
      </c>
      <c r="N925">
        <v>0</v>
      </c>
      <c r="O925">
        <v>0.28765466119660427</v>
      </c>
      <c r="P925" t="s">
        <v>90</v>
      </c>
      <c r="Q925">
        <v>0</v>
      </c>
      <c r="R925" t="s">
        <v>90</v>
      </c>
      <c r="S925">
        <v>0</v>
      </c>
      <c r="T925" t="s">
        <v>90</v>
      </c>
      <c r="U925">
        <v>0</v>
      </c>
      <c r="V925" t="s">
        <v>90</v>
      </c>
      <c r="W925">
        <v>0</v>
      </c>
      <c r="X925" t="s">
        <v>90</v>
      </c>
      <c r="Y925">
        <v>0</v>
      </c>
      <c r="Z925">
        <v>0.28765466119660427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N925" t="s">
        <v>185</v>
      </c>
      <c r="AO925" t="s">
        <v>73</v>
      </c>
      <c r="AP925">
        <v>200000</v>
      </c>
      <c r="AQ925" t="s">
        <v>73</v>
      </c>
      <c r="AS925">
        <v>10000</v>
      </c>
      <c r="AT925" t="s">
        <v>7621</v>
      </c>
      <c r="AU925" t="s">
        <v>75</v>
      </c>
      <c r="AV925" t="s">
        <v>76</v>
      </c>
    </row>
    <row r="926" spans="1:48" x14ac:dyDescent="0.15">
      <c r="A926" s="4" t="str">
        <f>HYPERLINK("https://ibp.a2mac1.com/costing(costing:projects/details/9760/assembly/8416422)","A pillar outer frame")</f>
        <v>A pillar outer frame</v>
      </c>
      <c r="B926">
        <v>8416422</v>
      </c>
      <c r="D926">
        <v>8416070</v>
      </c>
      <c r="F926">
        <v>1</v>
      </c>
      <c r="G926">
        <v>0</v>
      </c>
      <c r="H926">
        <v>17.676038972319606</v>
      </c>
      <c r="I926">
        <v>0</v>
      </c>
      <c r="J926" t="s">
        <v>90</v>
      </c>
      <c r="K926">
        <v>0</v>
      </c>
      <c r="L926">
        <v>17.676038972319606</v>
      </c>
      <c r="M926">
        <v>0</v>
      </c>
      <c r="N926">
        <v>0</v>
      </c>
      <c r="O926">
        <v>17.676038972319606</v>
      </c>
      <c r="P926" t="s">
        <v>90</v>
      </c>
      <c r="Q926">
        <v>0</v>
      </c>
      <c r="R926" t="s">
        <v>90</v>
      </c>
      <c r="S926">
        <v>0</v>
      </c>
      <c r="T926" t="s">
        <v>90</v>
      </c>
      <c r="U926">
        <v>0</v>
      </c>
      <c r="V926" t="s">
        <v>90</v>
      </c>
      <c r="W926">
        <v>0</v>
      </c>
      <c r="X926" t="s">
        <v>90</v>
      </c>
      <c r="Y926">
        <v>0</v>
      </c>
      <c r="Z926">
        <v>17.676038972319606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N926" t="s">
        <v>185</v>
      </c>
      <c r="AO926" t="s">
        <v>73</v>
      </c>
      <c r="AP926">
        <v>200000</v>
      </c>
      <c r="AQ926" t="s">
        <v>73</v>
      </c>
      <c r="AS926">
        <v>10000</v>
      </c>
      <c r="AT926" t="s">
        <v>7622</v>
      </c>
      <c r="AU926" t="s">
        <v>75</v>
      </c>
      <c r="AV926" t="s">
        <v>76</v>
      </c>
    </row>
    <row r="927" spans="1:48" x14ac:dyDescent="0.15">
      <c r="A927" s="4" t="str">
        <f>HYPERLINK("https://ibp.a2mac1.com/costing(costing:projects/details/9760/assembly/8416622)","Frame")</f>
        <v>Frame</v>
      </c>
      <c r="B927">
        <v>8416622</v>
      </c>
      <c r="D927">
        <v>8416423</v>
      </c>
      <c r="F927">
        <v>1</v>
      </c>
      <c r="G927">
        <v>0</v>
      </c>
      <c r="H927">
        <v>34.248470447259841</v>
      </c>
      <c r="I927">
        <v>0</v>
      </c>
      <c r="J927" t="s">
        <v>90</v>
      </c>
      <c r="K927">
        <v>0</v>
      </c>
      <c r="L927">
        <v>34.248470447259841</v>
      </c>
      <c r="M927">
        <v>0</v>
      </c>
      <c r="N927">
        <v>0</v>
      </c>
      <c r="O927">
        <v>34.248470447259841</v>
      </c>
      <c r="P927" t="s">
        <v>90</v>
      </c>
      <c r="Q927">
        <v>0</v>
      </c>
      <c r="R927" t="s">
        <v>90</v>
      </c>
      <c r="S927">
        <v>0</v>
      </c>
      <c r="T927" t="s">
        <v>90</v>
      </c>
      <c r="U927">
        <v>0</v>
      </c>
      <c r="V927" t="s">
        <v>90</v>
      </c>
      <c r="W927">
        <v>0</v>
      </c>
      <c r="X927" t="s">
        <v>90</v>
      </c>
      <c r="Y927">
        <v>0</v>
      </c>
      <c r="Z927">
        <v>34.248470447259841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N927" t="s">
        <v>185</v>
      </c>
      <c r="AO927" t="s">
        <v>73</v>
      </c>
      <c r="AP927">
        <v>200000</v>
      </c>
      <c r="AQ927" t="s">
        <v>73</v>
      </c>
      <c r="AS927">
        <v>10000</v>
      </c>
      <c r="AT927" t="s">
        <v>7630</v>
      </c>
      <c r="AU927" t="s">
        <v>75</v>
      </c>
      <c r="AV927" t="s">
        <v>76</v>
      </c>
    </row>
    <row r="928" spans="1:48" x14ac:dyDescent="0.15">
      <c r="A928" s="4" t="str">
        <f>HYPERLINK("https://ibp.a2mac1.com/costing(costing:projects/details/9760/assembly/8416623)","Inner skin")</f>
        <v>Inner skin</v>
      </c>
      <c r="B928">
        <v>8416623</v>
      </c>
      <c r="D928">
        <v>8416423</v>
      </c>
      <c r="F928">
        <v>1</v>
      </c>
      <c r="G928">
        <v>0</v>
      </c>
      <c r="H928">
        <v>22.789641472887784</v>
      </c>
      <c r="I928">
        <v>0</v>
      </c>
      <c r="J928" t="s">
        <v>90</v>
      </c>
      <c r="K928">
        <v>0</v>
      </c>
      <c r="L928">
        <v>22.789641472887784</v>
      </c>
      <c r="M928">
        <v>0</v>
      </c>
      <c r="N928">
        <v>0</v>
      </c>
      <c r="O928">
        <v>22.789641472887784</v>
      </c>
      <c r="P928" t="s">
        <v>90</v>
      </c>
      <c r="Q928">
        <v>0</v>
      </c>
      <c r="R928" t="s">
        <v>90</v>
      </c>
      <c r="S928">
        <v>0</v>
      </c>
      <c r="T928" t="s">
        <v>90</v>
      </c>
      <c r="U928">
        <v>0</v>
      </c>
      <c r="V928" t="s">
        <v>90</v>
      </c>
      <c r="W928">
        <v>0</v>
      </c>
      <c r="X928" t="s">
        <v>90</v>
      </c>
      <c r="Y928">
        <v>0</v>
      </c>
      <c r="Z928">
        <v>22.789641472887784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N928" t="s">
        <v>185</v>
      </c>
      <c r="AO928" t="s">
        <v>73</v>
      </c>
      <c r="AP928">
        <v>200000</v>
      </c>
      <c r="AQ928" t="s">
        <v>73</v>
      </c>
      <c r="AS928">
        <v>10000</v>
      </c>
      <c r="AT928" t="s">
        <v>7637</v>
      </c>
      <c r="AU928" t="s">
        <v>75</v>
      </c>
      <c r="AV928" t="s">
        <v>76</v>
      </c>
    </row>
    <row r="929" spans="1:48" x14ac:dyDescent="0.15">
      <c r="A929" s="4" t="str">
        <f>HYPERLINK("https://ibp.a2mac1.com/costing(costing:projects/details/9760/assembly/8416624)","Reinforcements")</f>
        <v>Reinforcements</v>
      </c>
      <c r="B929">
        <v>8416624</v>
      </c>
      <c r="D929">
        <v>8416423</v>
      </c>
      <c r="F929">
        <v>1</v>
      </c>
      <c r="G929">
        <v>0</v>
      </c>
      <c r="H929">
        <v>0.6592955293087428</v>
      </c>
      <c r="I929">
        <v>0</v>
      </c>
      <c r="J929" t="s">
        <v>90</v>
      </c>
      <c r="K929">
        <v>0</v>
      </c>
      <c r="L929">
        <v>0.6592955293087428</v>
      </c>
      <c r="M929">
        <v>0</v>
      </c>
      <c r="N929">
        <v>0</v>
      </c>
      <c r="O929">
        <v>0.6592955293087428</v>
      </c>
      <c r="P929" t="s">
        <v>90</v>
      </c>
      <c r="Q929">
        <v>0</v>
      </c>
      <c r="R929" t="s">
        <v>90</v>
      </c>
      <c r="S929">
        <v>0</v>
      </c>
      <c r="T929" t="s">
        <v>90</v>
      </c>
      <c r="U929">
        <v>0</v>
      </c>
      <c r="V929" t="s">
        <v>90</v>
      </c>
      <c r="W929">
        <v>0</v>
      </c>
      <c r="X929" t="s">
        <v>90</v>
      </c>
      <c r="Y929">
        <v>0</v>
      </c>
      <c r="Z929">
        <v>0.6592955293087428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N929" t="s">
        <v>185</v>
      </c>
      <c r="AO929" t="s">
        <v>73</v>
      </c>
      <c r="AP929">
        <v>200000</v>
      </c>
      <c r="AQ929" t="s">
        <v>73</v>
      </c>
      <c r="AS929">
        <v>10000</v>
      </c>
      <c r="AT929" t="s">
        <v>7646</v>
      </c>
      <c r="AU929" t="s">
        <v>75</v>
      </c>
      <c r="AV929" t="s">
        <v>76</v>
      </c>
    </row>
    <row r="930" spans="1:48" x14ac:dyDescent="0.15">
      <c r="A930" s="4" t="str">
        <f>HYPERLINK("https://ibp.a2mac1.com/costing(costing:projects/details/9760/assembly/8416625)","Fixing parts")</f>
        <v>Fixing parts</v>
      </c>
      <c r="B930">
        <v>8416625</v>
      </c>
      <c r="D930">
        <v>8416423</v>
      </c>
      <c r="F930">
        <v>1</v>
      </c>
      <c r="G930">
        <v>0</v>
      </c>
      <c r="H930">
        <v>0.20614236898940821</v>
      </c>
      <c r="I930">
        <v>0</v>
      </c>
      <c r="J930" t="s">
        <v>90</v>
      </c>
      <c r="K930">
        <v>0</v>
      </c>
      <c r="L930">
        <v>0.20614236898940821</v>
      </c>
      <c r="M930">
        <v>0</v>
      </c>
      <c r="N930">
        <v>0</v>
      </c>
      <c r="O930">
        <v>0.20614236898940821</v>
      </c>
      <c r="P930" t="s">
        <v>90</v>
      </c>
      <c r="Q930">
        <v>0</v>
      </c>
      <c r="R930" t="s">
        <v>90</v>
      </c>
      <c r="S930">
        <v>0</v>
      </c>
      <c r="T930" t="s">
        <v>90</v>
      </c>
      <c r="U930">
        <v>0</v>
      </c>
      <c r="V930" t="s">
        <v>90</v>
      </c>
      <c r="W930">
        <v>0</v>
      </c>
      <c r="X930" t="s">
        <v>90</v>
      </c>
      <c r="Y930">
        <v>0</v>
      </c>
      <c r="Z930">
        <v>0.20614236898940821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N930" t="s">
        <v>185</v>
      </c>
      <c r="AO930" t="s">
        <v>73</v>
      </c>
      <c r="AP930">
        <v>200000</v>
      </c>
      <c r="AQ930" t="s">
        <v>73</v>
      </c>
      <c r="AS930">
        <v>10000</v>
      </c>
      <c r="AT930" t="s">
        <v>7657</v>
      </c>
      <c r="AU930" t="s">
        <v>75</v>
      </c>
      <c r="AV930" t="s">
        <v>76</v>
      </c>
    </row>
    <row r="931" spans="1:48" x14ac:dyDescent="0.15">
      <c r="A931" s="4" t="str">
        <f>HYPERLINK("https://ibp.a2mac1.com/costing(costing:projects/details/9760/assembly/8416423)","B pillar assy")</f>
        <v>B pillar assy</v>
      </c>
      <c r="B931">
        <v>8416423</v>
      </c>
      <c r="D931">
        <v>8416070</v>
      </c>
      <c r="F931">
        <v>1</v>
      </c>
      <c r="G931">
        <v>0</v>
      </c>
      <c r="H931">
        <v>57.903549818445775</v>
      </c>
      <c r="I931">
        <v>0</v>
      </c>
      <c r="J931" t="s">
        <v>90</v>
      </c>
      <c r="K931">
        <v>0</v>
      </c>
      <c r="L931">
        <v>57.903549818445775</v>
      </c>
      <c r="M931">
        <v>0</v>
      </c>
      <c r="N931">
        <v>0</v>
      </c>
      <c r="O931">
        <v>57.903549818445775</v>
      </c>
      <c r="P931" t="s">
        <v>90</v>
      </c>
      <c r="Q931">
        <v>0</v>
      </c>
      <c r="R931" t="s">
        <v>90</v>
      </c>
      <c r="S931">
        <v>0</v>
      </c>
      <c r="T931" t="s">
        <v>90</v>
      </c>
      <c r="U931">
        <v>0</v>
      </c>
      <c r="V931" t="s">
        <v>90</v>
      </c>
      <c r="W931">
        <v>0</v>
      </c>
      <c r="X931" t="s">
        <v>90</v>
      </c>
      <c r="Y931">
        <v>0</v>
      </c>
      <c r="Z931">
        <v>57.903549818445775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N931" t="s">
        <v>185</v>
      </c>
      <c r="AO931" t="s">
        <v>73</v>
      </c>
      <c r="AP931">
        <v>200000</v>
      </c>
      <c r="AQ931" t="s">
        <v>73</v>
      </c>
      <c r="AS931">
        <v>10000</v>
      </c>
      <c r="AT931" t="s">
        <v>7658</v>
      </c>
      <c r="AU931" t="s">
        <v>75</v>
      </c>
      <c r="AV931" t="s">
        <v>76</v>
      </c>
    </row>
    <row r="932" spans="1:48" x14ac:dyDescent="0.15">
      <c r="A932" s="4" t="str">
        <f>HYPERLINK("https://ibp.a2mac1.com/costing(costing:projects/details/9760/assembly/8416626)","Outer wheel shroud assy")</f>
        <v>Outer wheel shroud assy</v>
      </c>
      <c r="B932">
        <v>8416626</v>
      </c>
      <c r="D932">
        <v>8416424</v>
      </c>
      <c r="F932">
        <v>1</v>
      </c>
      <c r="G932">
        <v>0</v>
      </c>
      <c r="H932">
        <v>7.5863765604024058</v>
      </c>
      <c r="I932">
        <v>0</v>
      </c>
      <c r="J932" t="s">
        <v>90</v>
      </c>
      <c r="K932">
        <v>0</v>
      </c>
      <c r="L932">
        <v>7.5863765604024058</v>
      </c>
      <c r="M932">
        <v>0</v>
      </c>
      <c r="N932">
        <v>0</v>
      </c>
      <c r="O932">
        <v>7.5863765604024058</v>
      </c>
      <c r="P932" t="s">
        <v>90</v>
      </c>
      <c r="Q932">
        <v>0</v>
      </c>
      <c r="R932" t="s">
        <v>90</v>
      </c>
      <c r="S932">
        <v>0</v>
      </c>
      <c r="T932" t="s">
        <v>90</v>
      </c>
      <c r="U932">
        <v>0</v>
      </c>
      <c r="V932" t="s">
        <v>90</v>
      </c>
      <c r="W932">
        <v>0</v>
      </c>
      <c r="X932" t="s">
        <v>90</v>
      </c>
      <c r="Y932">
        <v>0</v>
      </c>
      <c r="Z932">
        <v>7.5863765604024058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N932" t="s">
        <v>185</v>
      </c>
      <c r="AO932" t="s">
        <v>73</v>
      </c>
      <c r="AP932">
        <v>200000</v>
      </c>
      <c r="AQ932" t="s">
        <v>73</v>
      </c>
      <c r="AS932">
        <v>10000</v>
      </c>
      <c r="AT932" t="s">
        <v>7675</v>
      </c>
      <c r="AU932" t="s">
        <v>75</v>
      </c>
      <c r="AV932" t="s">
        <v>76</v>
      </c>
    </row>
    <row r="933" spans="1:48" x14ac:dyDescent="0.15">
      <c r="A933" s="4" t="str">
        <f>HYPERLINK("https://ibp.a2mac1.com/costing(costing:projects/details/9760/assembly/8416627)","Frame")</f>
        <v>Frame</v>
      </c>
      <c r="B933">
        <v>8416627</v>
      </c>
      <c r="D933">
        <v>8416424</v>
      </c>
      <c r="F933">
        <v>1</v>
      </c>
      <c r="G933">
        <v>0</v>
      </c>
      <c r="H933">
        <v>9.3894562231977066</v>
      </c>
      <c r="I933">
        <v>0</v>
      </c>
      <c r="J933" t="s">
        <v>90</v>
      </c>
      <c r="K933">
        <v>0</v>
      </c>
      <c r="L933">
        <v>9.3894562231977066</v>
      </c>
      <c r="M933">
        <v>0</v>
      </c>
      <c r="N933">
        <v>0</v>
      </c>
      <c r="O933">
        <v>9.3894562231977066</v>
      </c>
      <c r="P933" t="s">
        <v>90</v>
      </c>
      <c r="Q933">
        <v>0</v>
      </c>
      <c r="R933" t="s">
        <v>90</v>
      </c>
      <c r="S933">
        <v>0</v>
      </c>
      <c r="T933" t="s">
        <v>90</v>
      </c>
      <c r="U933">
        <v>0</v>
      </c>
      <c r="V933" t="s">
        <v>90</v>
      </c>
      <c r="W933">
        <v>0</v>
      </c>
      <c r="X933" t="s">
        <v>90</v>
      </c>
      <c r="Y933">
        <v>0</v>
      </c>
      <c r="Z933">
        <v>9.3894562231977066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N933" t="s">
        <v>185</v>
      </c>
      <c r="AO933" t="s">
        <v>73</v>
      </c>
      <c r="AP933">
        <v>200000</v>
      </c>
      <c r="AQ933" t="s">
        <v>73</v>
      </c>
      <c r="AS933">
        <v>10000</v>
      </c>
      <c r="AT933" t="s">
        <v>7697</v>
      </c>
      <c r="AU933" t="s">
        <v>75</v>
      </c>
      <c r="AV933" t="s">
        <v>76</v>
      </c>
    </row>
    <row r="934" spans="1:48" x14ac:dyDescent="0.15">
      <c r="A934" s="4" t="str">
        <f>HYPERLINK("https://ibp.a2mac1.com/costing(costing:projects/details/9760/assembly/8416628)","Inner skin")</f>
        <v>Inner skin</v>
      </c>
      <c r="B934">
        <v>8416628</v>
      </c>
      <c r="D934">
        <v>8416424</v>
      </c>
      <c r="F934">
        <v>1</v>
      </c>
      <c r="G934">
        <v>0</v>
      </c>
      <c r="H934">
        <v>9.5957685645476385</v>
      </c>
      <c r="I934">
        <v>0</v>
      </c>
      <c r="J934" t="s">
        <v>90</v>
      </c>
      <c r="K934">
        <v>0</v>
      </c>
      <c r="L934">
        <v>9.5957685645476385</v>
      </c>
      <c r="M934">
        <v>0</v>
      </c>
      <c r="N934">
        <v>0</v>
      </c>
      <c r="O934">
        <v>9.5957685645476385</v>
      </c>
      <c r="P934" t="s">
        <v>90</v>
      </c>
      <c r="Q934">
        <v>0</v>
      </c>
      <c r="R934" t="s">
        <v>90</v>
      </c>
      <c r="S934">
        <v>0</v>
      </c>
      <c r="T934" t="s">
        <v>90</v>
      </c>
      <c r="U934">
        <v>0</v>
      </c>
      <c r="V934" t="s">
        <v>90</v>
      </c>
      <c r="W934">
        <v>0</v>
      </c>
      <c r="X934" t="s">
        <v>90</v>
      </c>
      <c r="Y934">
        <v>0</v>
      </c>
      <c r="Z934">
        <v>9.5957685645476385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N934" t="s">
        <v>185</v>
      </c>
      <c r="AO934" t="s">
        <v>73</v>
      </c>
      <c r="AP934">
        <v>200000</v>
      </c>
      <c r="AQ934" t="s">
        <v>73</v>
      </c>
      <c r="AS934">
        <v>10000</v>
      </c>
      <c r="AT934" t="s">
        <v>7719</v>
      </c>
      <c r="AU934" t="s">
        <v>75</v>
      </c>
      <c r="AV934" t="s">
        <v>76</v>
      </c>
    </row>
    <row r="935" spans="1:48" x14ac:dyDescent="0.15">
      <c r="A935" s="4" t="str">
        <f>HYPERLINK("https://ibp.a2mac1.com/costing(costing:projects/details/9760/assembly/8416629)","Reinforcements")</f>
        <v>Reinforcements</v>
      </c>
      <c r="B935">
        <v>8416629</v>
      </c>
      <c r="D935">
        <v>8416424</v>
      </c>
      <c r="F935">
        <v>1</v>
      </c>
      <c r="G935">
        <v>0</v>
      </c>
      <c r="H935">
        <v>2.0815224613431211</v>
      </c>
      <c r="I935">
        <v>0</v>
      </c>
      <c r="J935" t="s">
        <v>90</v>
      </c>
      <c r="K935">
        <v>0</v>
      </c>
      <c r="L935">
        <v>2.0815224613431211</v>
      </c>
      <c r="M935">
        <v>0</v>
      </c>
      <c r="N935">
        <v>0</v>
      </c>
      <c r="O935">
        <v>2.0815224613431211</v>
      </c>
      <c r="P935" t="s">
        <v>90</v>
      </c>
      <c r="Q935">
        <v>0</v>
      </c>
      <c r="R935" t="s">
        <v>90</v>
      </c>
      <c r="S935">
        <v>0</v>
      </c>
      <c r="T935" t="s">
        <v>90</v>
      </c>
      <c r="U935">
        <v>0</v>
      </c>
      <c r="V935" t="s">
        <v>90</v>
      </c>
      <c r="W935">
        <v>0</v>
      </c>
      <c r="X935" t="s">
        <v>90</v>
      </c>
      <c r="Y935">
        <v>0</v>
      </c>
      <c r="Z935">
        <v>2.0815224613431211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N935" t="s">
        <v>185</v>
      </c>
      <c r="AO935" t="s">
        <v>73</v>
      </c>
      <c r="AP935">
        <v>200000</v>
      </c>
      <c r="AQ935" t="s">
        <v>73</v>
      </c>
      <c r="AS935">
        <v>10000</v>
      </c>
      <c r="AT935" t="s">
        <v>7739</v>
      </c>
      <c r="AU935" t="s">
        <v>75</v>
      </c>
      <c r="AV935" t="s">
        <v>76</v>
      </c>
    </row>
    <row r="936" spans="1:48" x14ac:dyDescent="0.15">
      <c r="A936" s="4" t="str">
        <f>HYPERLINK("https://ibp.a2mac1.com/costing(costing:projects/details/9760/assembly/8416630)","Spacers")</f>
        <v>Spacers</v>
      </c>
      <c r="B936">
        <v>8416630</v>
      </c>
      <c r="D936">
        <v>8416424</v>
      </c>
      <c r="F936">
        <v>1</v>
      </c>
      <c r="G936">
        <v>0</v>
      </c>
      <c r="H936">
        <v>0.90762992524981256</v>
      </c>
      <c r="I936">
        <v>0</v>
      </c>
      <c r="J936" t="s">
        <v>90</v>
      </c>
      <c r="K936">
        <v>0</v>
      </c>
      <c r="L936">
        <v>0.90762992524981256</v>
      </c>
      <c r="M936">
        <v>0</v>
      </c>
      <c r="N936">
        <v>0</v>
      </c>
      <c r="O936">
        <v>0.90762992524981256</v>
      </c>
      <c r="P936" t="s">
        <v>90</v>
      </c>
      <c r="Q936">
        <v>0</v>
      </c>
      <c r="R936" t="s">
        <v>90</v>
      </c>
      <c r="S936">
        <v>0</v>
      </c>
      <c r="T936" t="s">
        <v>90</v>
      </c>
      <c r="U936">
        <v>0</v>
      </c>
      <c r="V936" t="s">
        <v>90</v>
      </c>
      <c r="W936">
        <v>0</v>
      </c>
      <c r="X936" t="s">
        <v>90</v>
      </c>
      <c r="Y936">
        <v>0</v>
      </c>
      <c r="Z936">
        <v>0.90762992524981256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N936" t="s">
        <v>185</v>
      </c>
      <c r="AO936" t="s">
        <v>73</v>
      </c>
      <c r="AP936">
        <v>200000</v>
      </c>
      <c r="AQ936" t="s">
        <v>73</v>
      </c>
      <c r="AS936">
        <v>10000</v>
      </c>
      <c r="AT936" t="s">
        <v>7755</v>
      </c>
      <c r="AU936" t="s">
        <v>75</v>
      </c>
      <c r="AV936" t="s">
        <v>76</v>
      </c>
    </row>
    <row r="937" spans="1:48" x14ac:dyDescent="0.15">
      <c r="A937" s="4" t="str">
        <f>HYPERLINK("https://ibp.a2mac1.com/costing(costing:projects/details/9760/assembly/8416631)","Fixing parts")</f>
        <v>Fixing parts</v>
      </c>
      <c r="B937">
        <v>8416631</v>
      </c>
      <c r="D937">
        <v>8416424</v>
      </c>
      <c r="F937">
        <v>1</v>
      </c>
      <c r="G937">
        <v>0</v>
      </c>
      <c r="H937">
        <v>2.4850128782413612</v>
      </c>
      <c r="I937">
        <v>0</v>
      </c>
      <c r="J937" t="s">
        <v>90</v>
      </c>
      <c r="K937">
        <v>0</v>
      </c>
      <c r="L937">
        <v>2.4850128782413612</v>
      </c>
      <c r="M937">
        <v>0</v>
      </c>
      <c r="N937">
        <v>0</v>
      </c>
      <c r="O937">
        <v>2.4850128782413612</v>
      </c>
      <c r="P937" t="s">
        <v>90</v>
      </c>
      <c r="Q937">
        <v>0</v>
      </c>
      <c r="R937" t="s">
        <v>90</v>
      </c>
      <c r="S937">
        <v>0</v>
      </c>
      <c r="T937" t="s">
        <v>90</v>
      </c>
      <c r="U937">
        <v>0</v>
      </c>
      <c r="V937" t="s">
        <v>90</v>
      </c>
      <c r="W937">
        <v>0</v>
      </c>
      <c r="X937" t="s">
        <v>90</v>
      </c>
      <c r="Y937">
        <v>0</v>
      </c>
      <c r="Z937">
        <v>2.4850128782413612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N937" t="s">
        <v>185</v>
      </c>
      <c r="AO937" t="s">
        <v>73</v>
      </c>
      <c r="AP937">
        <v>200000</v>
      </c>
      <c r="AQ937" t="s">
        <v>73</v>
      </c>
      <c r="AS937">
        <v>10000</v>
      </c>
      <c r="AT937" t="s">
        <v>7780</v>
      </c>
      <c r="AU937" t="s">
        <v>75</v>
      </c>
      <c r="AV937" t="s">
        <v>76</v>
      </c>
    </row>
    <row r="938" spans="1:48" x14ac:dyDescent="0.15">
      <c r="A938" s="4" t="str">
        <f>HYPERLINK("https://ibp.a2mac1.com/costing(costing:projects/details/9760/assembly/8416424)","C&amp;D pillar assy")</f>
        <v>C&amp;D pillar assy</v>
      </c>
      <c r="B938">
        <v>8416424</v>
      </c>
      <c r="D938">
        <v>8416070</v>
      </c>
      <c r="F938">
        <v>1</v>
      </c>
      <c r="G938">
        <v>0</v>
      </c>
      <c r="H938">
        <v>32.045766612982042</v>
      </c>
      <c r="I938">
        <v>0</v>
      </c>
      <c r="J938" t="s">
        <v>90</v>
      </c>
      <c r="K938">
        <v>0</v>
      </c>
      <c r="L938">
        <v>32.045766612982042</v>
      </c>
      <c r="M938">
        <v>0</v>
      </c>
      <c r="N938">
        <v>0</v>
      </c>
      <c r="O938">
        <v>32.045766612982042</v>
      </c>
      <c r="P938" t="s">
        <v>90</v>
      </c>
      <c r="Q938">
        <v>0</v>
      </c>
      <c r="R938" t="s">
        <v>90</v>
      </c>
      <c r="S938">
        <v>0</v>
      </c>
      <c r="T938" t="s">
        <v>90</v>
      </c>
      <c r="U938">
        <v>0</v>
      </c>
      <c r="V938" t="s">
        <v>90</v>
      </c>
      <c r="W938">
        <v>0</v>
      </c>
      <c r="X938" t="s">
        <v>90</v>
      </c>
      <c r="Y938">
        <v>0</v>
      </c>
      <c r="Z938">
        <v>32.045766612982042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N938" t="s">
        <v>185</v>
      </c>
      <c r="AO938" t="s">
        <v>73</v>
      </c>
      <c r="AP938">
        <v>200000</v>
      </c>
      <c r="AQ938" t="s">
        <v>73</v>
      </c>
      <c r="AS938">
        <v>10000</v>
      </c>
      <c r="AT938" t="s">
        <v>7781</v>
      </c>
      <c r="AU938" t="s">
        <v>75</v>
      </c>
      <c r="AV938" t="s">
        <v>76</v>
      </c>
    </row>
    <row r="939" spans="1:48" x14ac:dyDescent="0.15">
      <c r="A939" s="4" t="str">
        <f>HYPERLINK("https://ibp.a2mac1.com/costing(costing:projects/details/9760/assembly/8416632)","Frame")</f>
        <v>Frame</v>
      </c>
      <c r="B939">
        <v>8416632</v>
      </c>
      <c r="D939">
        <v>8416425</v>
      </c>
      <c r="F939">
        <v>1</v>
      </c>
      <c r="G939">
        <v>0</v>
      </c>
      <c r="H939">
        <v>4.388752751798604</v>
      </c>
      <c r="I939">
        <v>0</v>
      </c>
      <c r="J939" t="s">
        <v>90</v>
      </c>
      <c r="K939">
        <v>0</v>
      </c>
      <c r="L939">
        <v>4.388752751798604</v>
      </c>
      <c r="M939">
        <v>0</v>
      </c>
      <c r="N939">
        <v>0</v>
      </c>
      <c r="O939">
        <v>4.388752751798604</v>
      </c>
      <c r="P939" t="s">
        <v>90</v>
      </c>
      <c r="Q939">
        <v>0</v>
      </c>
      <c r="R939" t="s">
        <v>90</v>
      </c>
      <c r="S939">
        <v>0</v>
      </c>
      <c r="T939" t="s">
        <v>90</v>
      </c>
      <c r="U939">
        <v>0</v>
      </c>
      <c r="V939" t="s">
        <v>90</v>
      </c>
      <c r="W939">
        <v>0</v>
      </c>
      <c r="X939" t="s">
        <v>90</v>
      </c>
      <c r="Y939">
        <v>0</v>
      </c>
      <c r="Z939">
        <v>4.388752751798604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N939" t="s">
        <v>185</v>
      </c>
      <c r="AO939" t="s">
        <v>73</v>
      </c>
      <c r="AP939">
        <v>200000</v>
      </c>
      <c r="AQ939" t="s">
        <v>73</v>
      </c>
      <c r="AS939">
        <v>10000</v>
      </c>
      <c r="AT939" t="s">
        <v>7789</v>
      </c>
      <c r="AU939" t="s">
        <v>75</v>
      </c>
      <c r="AV939" t="s">
        <v>76</v>
      </c>
    </row>
    <row r="940" spans="1:48" x14ac:dyDescent="0.15">
      <c r="A940" s="4" t="str">
        <f>HYPERLINK("https://ibp.a2mac1.com/costing(costing:projects/details/9760/assembly/8416633)","Reinforcements")</f>
        <v>Reinforcements</v>
      </c>
      <c r="B940">
        <v>8416633</v>
      </c>
      <c r="D940">
        <v>8416425</v>
      </c>
      <c r="F940">
        <v>1</v>
      </c>
      <c r="G940">
        <v>0</v>
      </c>
      <c r="H940">
        <v>0.22755185490678118</v>
      </c>
      <c r="I940">
        <v>0</v>
      </c>
      <c r="J940" t="s">
        <v>90</v>
      </c>
      <c r="K940">
        <v>0</v>
      </c>
      <c r="L940">
        <v>0.22755185490678118</v>
      </c>
      <c r="M940">
        <v>0</v>
      </c>
      <c r="N940">
        <v>0</v>
      </c>
      <c r="O940">
        <v>0.22755185490678118</v>
      </c>
      <c r="P940" t="s">
        <v>90</v>
      </c>
      <c r="Q940">
        <v>0</v>
      </c>
      <c r="R940" t="s">
        <v>90</v>
      </c>
      <c r="S940">
        <v>0</v>
      </c>
      <c r="T940" t="s">
        <v>90</v>
      </c>
      <c r="U940">
        <v>0</v>
      </c>
      <c r="V940" t="s">
        <v>90</v>
      </c>
      <c r="W940">
        <v>0</v>
      </c>
      <c r="X940" t="s">
        <v>90</v>
      </c>
      <c r="Y940">
        <v>0</v>
      </c>
      <c r="Z940">
        <v>0.22755185490678118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N940" t="s">
        <v>185</v>
      </c>
      <c r="AO940" t="s">
        <v>73</v>
      </c>
      <c r="AP940">
        <v>200000</v>
      </c>
      <c r="AQ940" t="s">
        <v>73</v>
      </c>
      <c r="AS940">
        <v>10000</v>
      </c>
      <c r="AT940" t="s">
        <v>7795</v>
      </c>
      <c r="AU940" t="s">
        <v>75</v>
      </c>
      <c r="AV940" t="s">
        <v>76</v>
      </c>
    </row>
    <row r="941" spans="1:48" x14ac:dyDescent="0.15">
      <c r="A941" s="4" t="str">
        <f>HYPERLINK("https://ibp.a2mac1.com/costing(costing:projects/details/9760/assembly/8416634)","Fixing parts")</f>
        <v>Fixing parts</v>
      </c>
      <c r="B941">
        <v>8416634</v>
      </c>
      <c r="D941">
        <v>8416425</v>
      </c>
      <c r="F941">
        <v>1</v>
      </c>
      <c r="G941">
        <v>0</v>
      </c>
      <c r="H941">
        <v>2.6135653787552826</v>
      </c>
      <c r="I941">
        <v>0</v>
      </c>
      <c r="J941" t="s">
        <v>90</v>
      </c>
      <c r="K941">
        <v>0</v>
      </c>
      <c r="L941">
        <v>2.6135653787552826</v>
      </c>
      <c r="M941">
        <v>0</v>
      </c>
      <c r="N941">
        <v>0</v>
      </c>
      <c r="O941">
        <v>2.6135653787552826</v>
      </c>
      <c r="P941" t="s">
        <v>90</v>
      </c>
      <c r="Q941">
        <v>0</v>
      </c>
      <c r="R941" t="s">
        <v>90</v>
      </c>
      <c r="S941">
        <v>0</v>
      </c>
      <c r="T941" t="s">
        <v>90</v>
      </c>
      <c r="U941">
        <v>0</v>
      </c>
      <c r="V941" t="s">
        <v>90</v>
      </c>
      <c r="W941">
        <v>0</v>
      </c>
      <c r="X941" t="s">
        <v>90</v>
      </c>
      <c r="Y941">
        <v>0</v>
      </c>
      <c r="Z941">
        <v>2.6135653787552826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N941" t="s">
        <v>185</v>
      </c>
      <c r="AO941" t="s">
        <v>73</v>
      </c>
      <c r="AP941">
        <v>200000</v>
      </c>
      <c r="AQ941" t="s">
        <v>73</v>
      </c>
      <c r="AS941">
        <v>10000</v>
      </c>
      <c r="AT941" t="s">
        <v>7827</v>
      </c>
      <c r="AU941" t="s">
        <v>75</v>
      </c>
      <c r="AV941" t="s">
        <v>76</v>
      </c>
    </row>
    <row r="942" spans="1:48" x14ac:dyDescent="0.15">
      <c r="A942" s="4" t="str">
        <f>HYPERLINK("https://ibp.a2mac1.com/costing(costing:projects/details/9760/assembly/8416425)","Outer shotgun assy")</f>
        <v>Outer shotgun assy</v>
      </c>
      <c r="B942">
        <v>8416425</v>
      </c>
      <c r="D942">
        <v>8416070</v>
      </c>
      <c r="F942">
        <v>1</v>
      </c>
      <c r="G942">
        <v>0</v>
      </c>
      <c r="H942">
        <v>7.2298699854606676</v>
      </c>
      <c r="I942">
        <v>0</v>
      </c>
      <c r="J942" t="s">
        <v>90</v>
      </c>
      <c r="K942">
        <v>0</v>
      </c>
      <c r="L942">
        <v>7.2298699854606676</v>
      </c>
      <c r="M942">
        <v>0</v>
      </c>
      <c r="N942">
        <v>0</v>
      </c>
      <c r="O942">
        <v>7.2298699854606676</v>
      </c>
      <c r="P942" t="s">
        <v>90</v>
      </c>
      <c r="Q942">
        <v>0</v>
      </c>
      <c r="R942" t="s">
        <v>90</v>
      </c>
      <c r="S942">
        <v>0</v>
      </c>
      <c r="T942" t="s">
        <v>90</v>
      </c>
      <c r="U942">
        <v>0</v>
      </c>
      <c r="V942" t="s">
        <v>90</v>
      </c>
      <c r="W942">
        <v>0</v>
      </c>
      <c r="X942" t="s">
        <v>90</v>
      </c>
      <c r="Y942">
        <v>0</v>
      </c>
      <c r="Z942">
        <v>7.2298699854606676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N942" t="s">
        <v>185</v>
      </c>
      <c r="AO942" t="s">
        <v>73</v>
      </c>
      <c r="AP942">
        <v>200000</v>
      </c>
      <c r="AQ942" t="s">
        <v>73</v>
      </c>
      <c r="AS942">
        <v>10000</v>
      </c>
      <c r="AT942" t="s">
        <v>7828</v>
      </c>
      <c r="AU942" t="s">
        <v>75</v>
      </c>
      <c r="AV942" t="s">
        <v>76</v>
      </c>
    </row>
    <row r="943" spans="1:48" x14ac:dyDescent="0.15">
      <c r="A943" s="4" t="str">
        <f>HYPERLINK("https://ibp.a2mac1.com/costing(costing:projects/details/9760/assembly/8416070)","Body side assy")</f>
        <v>Body side assy</v>
      </c>
      <c r="B943">
        <v>8416070</v>
      </c>
      <c r="D943">
        <v>8415758</v>
      </c>
      <c r="F943">
        <v>1</v>
      </c>
      <c r="G943">
        <v>0</v>
      </c>
      <c r="H943">
        <v>210.85696069747266</v>
      </c>
      <c r="I943">
        <v>0</v>
      </c>
      <c r="J943" t="s">
        <v>90</v>
      </c>
      <c r="K943">
        <v>0</v>
      </c>
      <c r="L943">
        <v>210.85696069747266</v>
      </c>
      <c r="M943">
        <v>0</v>
      </c>
      <c r="N943">
        <v>0</v>
      </c>
      <c r="O943">
        <v>210.85696069747266</v>
      </c>
      <c r="P943" t="s">
        <v>90</v>
      </c>
      <c r="Q943">
        <v>0</v>
      </c>
      <c r="R943" t="s">
        <v>90</v>
      </c>
      <c r="S943">
        <v>0</v>
      </c>
      <c r="T943" t="s">
        <v>90</v>
      </c>
      <c r="U943">
        <v>0</v>
      </c>
      <c r="V943" t="s">
        <v>90</v>
      </c>
      <c r="W943">
        <v>0</v>
      </c>
      <c r="X943" t="s">
        <v>90</v>
      </c>
      <c r="Y943">
        <v>0</v>
      </c>
      <c r="Z943">
        <v>210.85696069747266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N943" t="s">
        <v>185</v>
      </c>
      <c r="AO943" t="s">
        <v>73</v>
      </c>
      <c r="AP943">
        <v>200000</v>
      </c>
      <c r="AQ943" t="s">
        <v>73</v>
      </c>
      <c r="AS943">
        <v>10000</v>
      </c>
      <c r="AT943" t="s">
        <v>7829</v>
      </c>
      <c r="AU943" t="s">
        <v>75</v>
      </c>
      <c r="AV943" t="s">
        <v>76</v>
      </c>
    </row>
    <row r="944" spans="1:48" x14ac:dyDescent="0.15">
      <c r="A944" s="4" t="str">
        <f>HYPERLINK("https://ibp.a2mac1.com/costing(costing:projects/details/9760/assembly/8415758)","Upper body")</f>
        <v>Upper body</v>
      </c>
      <c r="B944">
        <v>8415758</v>
      </c>
      <c r="D944">
        <v>8415606</v>
      </c>
      <c r="F944">
        <v>1</v>
      </c>
      <c r="G944">
        <v>0</v>
      </c>
      <c r="H944">
        <v>253.6980908099099</v>
      </c>
      <c r="I944">
        <v>0</v>
      </c>
      <c r="J944" t="s">
        <v>90</v>
      </c>
      <c r="K944">
        <v>0</v>
      </c>
      <c r="L944">
        <v>253.6980908099099</v>
      </c>
      <c r="M944">
        <v>0</v>
      </c>
      <c r="N944">
        <v>0</v>
      </c>
      <c r="O944">
        <v>253.6980908099099</v>
      </c>
      <c r="P944" t="s">
        <v>90</v>
      </c>
      <c r="Q944">
        <v>0</v>
      </c>
      <c r="R944" t="s">
        <v>90</v>
      </c>
      <c r="S944">
        <v>0</v>
      </c>
      <c r="T944" t="s">
        <v>90</v>
      </c>
      <c r="U944">
        <v>0</v>
      </c>
      <c r="V944" t="s">
        <v>90</v>
      </c>
      <c r="W944">
        <v>0</v>
      </c>
      <c r="X944" t="s">
        <v>90</v>
      </c>
      <c r="Y944">
        <v>0</v>
      </c>
      <c r="Z944">
        <v>253.6980908099099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N944" t="s">
        <v>185</v>
      </c>
      <c r="AO944" t="s">
        <v>73</v>
      </c>
      <c r="AP944">
        <v>200000</v>
      </c>
      <c r="AQ944" t="s">
        <v>73</v>
      </c>
      <c r="AS944">
        <v>10000</v>
      </c>
      <c r="AT944" t="s">
        <v>7830</v>
      </c>
      <c r="AU944" t="s">
        <v>75</v>
      </c>
      <c r="AV944" t="s">
        <v>76</v>
      </c>
    </row>
    <row r="945" spans="1:48" x14ac:dyDescent="0.15">
      <c r="A945" s="4" t="str">
        <f>HYPERLINK("https://ibp.a2mac1.com/costing(costing:projects/details/9760/assembly/8416979)","Frame")</f>
        <v>Frame</v>
      </c>
      <c r="B945">
        <v>8416979</v>
      </c>
      <c r="D945">
        <v>8416635</v>
      </c>
      <c r="F945">
        <v>1</v>
      </c>
      <c r="G945">
        <v>0</v>
      </c>
      <c r="H945">
        <v>4.2558322529679335</v>
      </c>
      <c r="I945">
        <v>0</v>
      </c>
      <c r="J945" t="s">
        <v>90</v>
      </c>
      <c r="K945">
        <v>0</v>
      </c>
      <c r="L945">
        <v>4.2558322529679335</v>
      </c>
      <c r="M945">
        <v>0</v>
      </c>
      <c r="N945">
        <v>0</v>
      </c>
      <c r="O945">
        <v>4.2558322529679335</v>
      </c>
      <c r="P945" t="s">
        <v>90</v>
      </c>
      <c r="Q945">
        <v>0</v>
      </c>
      <c r="R945" t="s">
        <v>90</v>
      </c>
      <c r="S945">
        <v>0</v>
      </c>
      <c r="T945" t="s">
        <v>90</v>
      </c>
      <c r="U945">
        <v>0</v>
      </c>
      <c r="V945" t="s">
        <v>90</v>
      </c>
      <c r="W945">
        <v>0</v>
      </c>
      <c r="X945" t="s">
        <v>90</v>
      </c>
      <c r="Y945">
        <v>0</v>
      </c>
      <c r="Z945">
        <v>4.2558322529679335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N945" t="s">
        <v>185</v>
      </c>
      <c r="AO945" t="s">
        <v>73</v>
      </c>
      <c r="AP945">
        <v>200000</v>
      </c>
      <c r="AQ945" t="s">
        <v>73</v>
      </c>
      <c r="AS945">
        <v>10000</v>
      </c>
      <c r="AT945" t="s">
        <v>7846</v>
      </c>
      <c r="AU945" t="s">
        <v>75</v>
      </c>
      <c r="AV945" t="s">
        <v>76</v>
      </c>
    </row>
    <row r="946" spans="1:48" x14ac:dyDescent="0.15">
      <c r="A946" s="4" t="str">
        <f>HYPERLINK("https://ibp.a2mac1.com/costing(costing:projects/details/9760/assembly/8416635)","Inner shotgun assy")</f>
        <v>Inner shotgun assy</v>
      </c>
      <c r="B946">
        <v>8416635</v>
      </c>
      <c r="D946">
        <v>8416426</v>
      </c>
      <c r="F946">
        <v>1</v>
      </c>
      <c r="G946">
        <v>0</v>
      </c>
      <c r="H946">
        <v>4.2558322529679335</v>
      </c>
      <c r="I946">
        <v>0</v>
      </c>
      <c r="J946" t="s">
        <v>90</v>
      </c>
      <c r="K946">
        <v>0</v>
      </c>
      <c r="L946">
        <v>4.2558322529679335</v>
      </c>
      <c r="M946">
        <v>0</v>
      </c>
      <c r="N946">
        <v>0</v>
      </c>
      <c r="O946">
        <v>4.2558322529679335</v>
      </c>
      <c r="P946" t="s">
        <v>90</v>
      </c>
      <c r="Q946">
        <v>0</v>
      </c>
      <c r="R946" t="s">
        <v>90</v>
      </c>
      <c r="S946">
        <v>0</v>
      </c>
      <c r="T946" t="s">
        <v>90</v>
      </c>
      <c r="U946">
        <v>0</v>
      </c>
      <c r="V946" t="s">
        <v>90</v>
      </c>
      <c r="W946">
        <v>0</v>
      </c>
      <c r="X946" t="s">
        <v>90</v>
      </c>
      <c r="Y946">
        <v>0</v>
      </c>
      <c r="Z946">
        <v>4.2558322529679335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N946" t="s">
        <v>185</v>
      </c>
      <c r="AO946" t="s">
        <v>73</v>
      </c>
      <c r="AP946">
        <v>200000</v>
      </c>
      <c r="AQ946" t="s">
        <v>73</v>
      </c>
      <c r="AS946">
        <v>10000</v>
      </c>
      <c r="AT946" t="s">
        <v>7847</v>
      </c>
      <c r="AU946" t="s">
        <v>75</v>
      </c>
      <c r="AV946" t="s">
        <v>76</v>
      </c>
    </row>
    <row r="947" spans="1:48" x14ac:dyDescent="0.15">
      <c r="A947" s="4" t="str">
        <f>HYPERLINK("https://ibp.a2mac1.com/costing(costing:projects/details/9760/assembly/8416980)","Bowl")</f>
        <v>Bowl</v>
      </c>
      <c r="B947">
        <v>8416980</v>
      </c>
      <c r="D947">
        <v>8416636</v>
      </c>
      <c r="F947">
        <v>1</v>
      </c>
      <c r="G947">
        <v>0</v>
      </c>
      <c r="H947">
        <v>79.79450999627214</v>
      </c>
      <c r="I947">
        <v>0</v>
      </c>
      <c r="J947" t="s">
        <v>90</v>
      </c>
      <c r="K947">
        <v>0</v>
      </c>
      <c r="L947">
        <v>79.79450999627214</v>
      </c>
      <c r="M947">
        <v>0</v>
      </c>
      <c r="N947">
        <v>0</v>
      </c>
      <c r="O947">
        <v>79.79450999627214</v>
      </c>
      <c r="P947" t="s">
        <v>90</v>
      </c>
      <c r="Q947">
        <v>0</v>
      </c>
      <c r="R947" t="s">
        <v>90</v>
      </c>
      <c r="S947">
        <v>0</v>
      </c>
      <c r="T947" t="s">
        <v>90</v>
      </c>
      <c r="U947">
        <v>0</v>
      </c>
      <c r="V947" t="s">
        <v>90</v>
      </c>
      <c r="W947">
        <v>0</v>
      </c>
      <c r="X947" t="s">
        <v>90</v>
      </c>
      <c r="Y947">
        <v>0</v>
      </c>
      <c r="Z947">
        <v>79.79450999627214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N947" t="s">
        <v>185</v>
      </c>
      <c r="AO947" t="s">
        <v>73</v>
      </c>
      <c r="AP947">
        <v>200000</v>
      </c>
      <c r="AQ947" t="s">
        <v>73</v>
      </c>
      <c r="AS947">
        <v>10000</v>
      </c>
      <c r="AT947" t="s">
        <v>7855</v>
      </c>
      <c r="AU947" t="s">
        <v>75</v>
      </c>
      <c r="AV947" t="s">
        <v>76</v>
      </c>
    </row>
    <row r="948" spans="1:48" x14ac:dyDescent="0.15">
      <c r="A948" s="4" t="str">
        <f>HYPERLINK("https://ibp.a2mac1.com/costing(costing:projects/details/9760/assembly/8416636)","Shock absorber bowl assy")</f>
        <v>Shock absorber bowl assy</v>
      </c>
      <c r="B948">
        <v>8416636</v>
      </c>
      <c r="D948">
        <v>8416426</v>
      </c>
      <c r="F948">
        <v>1</v>
      </c>
      <c r="G948">
        <v>0</v>
      </c>
      <c r="H948">
        <v>79.79450999627214</v>
      </c>
      <c r="I948">
        <v>0</v>
      </c>
      <c r="J948" t="s">
        <v>90</v>
      </c>
      <c r="K948">
        <v>0</v>
      </c>
      <c r="L948">
        <v>79.79450999627214</v>
      </c>
      <c r="M948">
        <v>0</v>
      </c>
      <c r="N948">
        <v>0</v>
      </c>
      <c r="O948">
        <v>79.79450999627214</v>
      </c>
      <c r="P948" t="s">
        <v>90</v>
      </c>
      <c r="Q948">
        <v>0</v>
      </c>
      <c r="R948" t="s">
        <v>90</v>
      </c>
      <c r="S948">
        <v>0</v>
      </c>
      <c r="T948" t="s">
        <v>90</v>
      </c>
      <c r="U948">
        <v>0</v>
      </c>
      <c r="V948" t="s">
        <v>90</v>
      </c>
      <c r="W948">
        <v>0</v>
      </c>
      <c r="X948" t="s">
        <v>90</v>
      </c>
      <c r="Y948">
        <v>0</v>
      </c>
      <c r="Z948">
        <v>79.79450999627214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N948" t="s">
        <v>185</v>
      </c>
      <c r="AO948" t="s">
        <v>73</v>
      </c>
      <c r="AP948">
        <v>200000</v>
      </c>
      <c r="AQ948" t="s">
        <v>73</v>
      </c>
      <c r="AS948">
        <v>10000</v>
      </c>
      <c r="AT948" t="s">
        <v>7856</v>
      </c>
      <c r="AU948" t="s">
        <v>75</v>
      </c>
      <c r="AV948" t="s">
        <v>76</v>
      </c>
    </row>
    <row r="949" spans="1:48" x14ac:dyDescent="0.15">
      <c r="A949" s="4" t="str">
        <f>HYPERLINK("https://ibp.a2mac1.com/costing(costing:projects/details/9760/assembly/8416426)","Front wheel shroud assy")</f>
        <v>Front wheel shroud assy</v>
      </c>
      <c r="B949">
        <v>8416426</v>
      </c>
      <c r="D949">
        <v>8416071</v>
      </c>
      <c r="F949">
        <v>1</v>
      </c>
      <c r="G949">
        <v>0</v>
      </c>
      <c r="H949">
        <v>84.050342249240074</v>
      </c>
      <c r="I949">
        <v>0</v>
      </c>
      <c r="J949" t="s">
        <v>90</v>
      </c>
      <c r="K949">
        <v>0</v>
      </c>
      <c r="L949">
        <v>84.050342249240074</v>
      </c>
      <c r="M949">
        <v>0</v>
      </c>
      <c r="N949">
        <v>0</v>
      </c>
      <c r="O949">
        <v>84.050342249240074</v>
      </c>
      <c r="P949" t="s">
        <v>90</v>
      </c>
      <c r="Q949">
        <v>0</v>
      </c>
      <c r="R949" t="s">
        <v>90</v>
      </c>
      <c r="S949">
        <v>0</v>
      </c>
      <c r="T949" t="s">
        <v>90</v>
      </c>
      <c r="U949">
        <v>0</v>
      </c>
      <c r="V949" t="s">
        <v>90</v>
      </c>
      <c r="W949">
        <v>0</v>
      </c>
      <c r="X949" t="s">
        <v>90</v>
      </c>
      <c r="Y949">
        <v>0</v>
      </c>
      <c r="Z949">
        <v>84.050342249240074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N949" t="s">
        <v>185</v>
      </c>
      <c r="AO949" t="s">
        <v>73</v>
      </c>
      <c r="AP949">
        <v>200000</v>
      </c>
      <c r="AQ949" t="s">
        <v>73</v>
      </c>
      <c r="AS949">
        <v>10000</v>
      </c>
      <c r="AT949" t="s">
        <v>7857</v>
      </c>
      <c r="AU949" t="s">
        <v>75</v>
      </c>
      <c r="AV949" t="s">
        <v>76</v>
      </c>
    </row>
    <row r="950" spans="1:48" x14ac:dyDescent="0.15">
      <c r="A950" s="4" t="str">
        <f>HYPERLINK("https://ibp.a2mac1.com/costing(costing:projects/details/9760/assembly/8416637)","Frame")</f>
        <v>Frame</v>
      </c>
      <c r="B950">
        <v>8416637</v>
      </c>
      <c r="D950">
        <v>8416427</v>
      </c>
      <c r="F950">
        <v>1</v>
      </c>
      <c r="G950">
        <v>0</v>
      </c>
      <c r="H950">
        <v>27.667845381059262</v>
      </c>
      <c r="I950">
        <v>0</v>
      </c>
      <c r="J950" t="s">
        <v>90</v>
      </c>
      <c r="K950">
        <v>0</v>
      </c>
      <c r="L950">
        <v>27.667845381059262</v>
      </c>
      <c r="M950">
        <v>0</v>
      </c>
      <c r="N950">
        <v>0</v>
      </c>
      <c r="O950">
        <v>27.667845381059262</v>
      </c>
      <c r="P950" t="s">
        <v>90</v>
      </c>
      <c r="Q950">
        <v>0</v>
      </c>
      <c r="R950" t="s">
        <v>90</v>
      </c>
      <c r="S950">
        <v>0</v>
      </c>
      <c r="T950" t="s">
        <v>90</v>
      </c>
      <c r="U950">
        <v>0</v>
      </c>
      <c r="V950" t="s">
        <v>90</v>
      </c>
      <c r="W950">
        <v>0</v>
      </c>
      <c r="X950" t="s">
        <v>90</v>
      </c>
      <c r="Y950">
        <v>0</v>
      </c>
      <c r="Z950">
        <v>27.667845381059262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N950" t="s">
        <v>185</v>
      </c>
      <c r="AO950" t="s">
        <v>73</v>
      </c>
      <c r="AP950">
        <v>200000</v>
      </c>
      <c r="AQ950" t="s">
        <v>73</v>
      </c>
      <c r="AS950">
        <v>10000</v>
      </c>
      <c r="AT950" t="s">
        <v>7880</v>
      </c>
      <c r="AU950" t="s">
        <v>75</v>
      </c>
      <c r="AV950" t="s">
        <v>76</v>
      </c>
    </row>
    <row r="951" spans="1:48" x14ac:dyDescent="0.15">
      <c r="A951" s="4" t="str">
        <f>HYPERLINK("https://ibp.a2mac1.com/costing(costing:projects/details/9760/assembly/8416638)","Reinforcements")</f>
        <v>Reinforcements</v>
      </c>
      <c r="B951">
        <v>8416638</v>
      </c>
      <c r="D951">
        <v>8416427</v>
      </c>
      <c r="F951">
        <v>1</v>
      </c>
      <c r="G951">
        <v>0</v>
      </c>
      <c r="H951">
        <v>16.870588786014078</v>
      </c>
      <c r="I951">
        <v>0</v>
      </c>
      <c r="J951" t="s">
        <v>90</v>
      </c>
      <c r="K951">
        <v>0</v>
      </c>
      <c r="L951">
        <v>16.870588786014078</v>
      </c>
      <c r="M951">
        <v>0</v>
      </c>
      <c r="N951">
        <v>0</v>
      </c>
      <c r="O951">
        <v>16.870588786014078</v>
      </c>
      <c r="P951" t="s">
        <v>90</v>
      </c>
      <c r="Q951">
        <v>0</v>
      </c>
      <c r="R951" t="s">
        <v>90</v>
      </c>
      <c r="S951">
        <v>0</v>
      </c>
      <c r="T951" t="s">
        <v>90</v>
      </c>
      <c r="U951">
        <v>0</v>
      </c>
      <c r="V951" t="s">
        <v>90</v>
      </c>
      <c r="W951">
        <v>0</v>
      </c>
      <c r="X951" t="s">
        <v>90</v>
      </c>
      <c r="Y951">
        <v>0</v>
      </c>
      <c r="Z951">
        <v>16.870588786014078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N951" t="s">
        <v>185</v>
      </c>
      <c r="AO951" t="s">
        <v>73</v>
      </c>
      <c r="AP951">
        <v>200000</v>
      </c>
      <c r="AQ951" t="s">
        <v>73</v>
      </c>
      <c r="AS951">
        <v>10000</v>
      </c>
      <c r="AT951" t="s">
        <v>7938</v>
      </c>
      <c r="AU951" t="s">
        <v>75</v>
      </c>
      <c r="AV951" t="s">
        <v>76</v>
      </c>
    </row>
    <row r="952" spans="1:48" x14ac:dyDescent="0.15">
      <c r="A952" s="4" t="str">
        <f>HYPERLINK("https://ibp.a2mac1.com/costing(costing:projects/details/9760/assembly/8416639)","Other fixing parts")</f>
        <v>Other fixing parts</v>
      </c>
      <c r="B952">
        <v>8416639</v>
      </c>
      <c r="D952">
        <v>8416427</v>
      </c>
      <c r="F952">
        <v>1</v>
      </c>
      <c r="G952">
        <v>0</v>
      </c>
      <c r="H952">
        <v>3.9046949197330552</v>
      </c>
      <c r="I952">
        <v>0</v>
      </c>
      <c r="J952" t="s">
        <v>90</v>
      </c>
      <c r="K952">
        <v>0</v>
      </c>
      <c r="L952">
        <v>3.9046949197330552</v>
      </c>
      <c r="M952">
        <v>0</v>
      </c>
      <c r="N952">
        <v>0</v>
      </c>
      <c r="O952">
        <v>3.9046949197330552</v>
      </c>
      <c r="P952" t="s">
        <v>90</v>
      </c>
      <c r="Q952">
        <v>0</v>
      </c>
      <c r="R952" t="s">
        <v>90</v>
      </c>
      <c r="S952">
        <v>0</v>
      </c>
      <c r="T952" t="s">
        <v>90</v>
      </c>
      <c r="U952">
        <v>0</v>
      </c>
      <c r="V952" t="s">
        <v>90</v>
      </c>
      <c r="W952">
        <v>0</v>
      </c>
      <c r="X952" t="s">
        <v>90</v>
      </c>
      <c r="Y952">
        <v>0</v>
      </c>
      <c r="Z952">
        <v>3.9046949197330552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N952" t="s">
        <v>185</v>
      </c>
      <c r="AO952" t="s">
        <v>73</v>
      </c>
      <c r="AP952">
        <v>200000</v>
      </c>
      <c r="AQ952" t="s">
        <v>73</v>
      </c>
      <c r="AS952">
        <v>10000</v>
      </c>
      <c r="AT952" t="s">
        <v>7972</v>
      </c>
      <c r="AU952" t="s">
        <v>75</v>
      </c>
      <c r="AV952" t="s">
        <v>76</v>
      </c>
    </row>
    <row r="953" spans="1:48" x14ac:dyDescent="0.15">
      <c r="A953" s="4" t="str">
        <f>HYPERLINK("https://ibp.a2mac1.com/costing(costing:projects/details/9760/assembly/8416427)","Front side member assy")</f>
        <v>Front side member assy</v>
      </c>
      <c r="B953">
        <v>8416427</v>
      </c>
      <c r="D953">
        <v>8416071</v>
      </c>
      <c r="F953">
        <v>1</v>
      </c>
      <c r="G953">
        <v>0</v>
      </c>
      <c r="H953">
        <v>48.443129086806394</v>
      </c>
      <c r="I953">
        <v>0</v>
      </c>
      <c r="J953" t="s">
        <v>90</v>
      </c>
      <c r="K953">
        <v>0</v>
      </c>
      <c r="L953">
        <v>48.443129086806394</v>
      </c>
      <c r="M953">
        <v>0</v>
      </c>
      <c r="N953">
        <v>0</v>
      </c>
      <c r="O953">
        <v>48.443129086806394</v>
      </c>
      <c r="P953" t="s">
        <v>90</v>
      </c>
      <c r="Q953">
        <v>0</v>
      </c>
      <c r="R953" t="s">
        <v>90</v>
      </c>
      <c r="S953">
        <v>0</v>
      </c>
      <c r="T953" t="s">
        <v>90</v>
      </c>
      <c r="U953">
        <v>0</v>
      </c>
      <c r="V953" t="s">
        <v>90</v>
      </c>
      <c r="W953">
        <v>0</v>
      </c>
      <c r="X953" t="s">
        <v>90</v>
      </c>
      <c r="Y953">
        <v>0</v>
      </c>
      <c r="Z953">
        <v>48.443129086806394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N953" t="s">
        <v>185</v>
      </c>
      <c r="AO953" t="s">
        <v>73</v>
      </c>
      <c r="AP953">
        <v>200000</v>
      </c>
      <c r="AQ953" t="s">
        <v>73</v>
      </c>
      <c r="AS953">
        <v>10000</v>
      </c>
      <c r="AT953" t="s">
        <v>7973</v>
      </c>
      <c r="AU953" t="s">
        <v>75</v>
      </c>
      <c r="AV953" t="s">
        <v>76</v>
      </c>
    </row>
    <row r="954" spans="1:48" x14ac:dyDescent="0.15">
      <c r="A954" s="4" t="str">
        <f>HYPERLINK("https://ibp.a2mac1.com/costing(costing:projects/details/9760/assembly/8416640)","Dash panel")</f>
        <v>Dash panel</v>
      </c>
      <c r="B954">
        <v>8416640</v>
      </c>
      <c r="D954">
        <v>8416428</v>
      </c>
      <c r="F954">
        <v>1</v>
      </c>
      <c r="G954">
        <v>0</v>
      </c>
      <c r="H954">
        <v>8.7626846421131468</v>
      </c>
      <c r="I954">
        <v>0</v>
      </c>
      <c r="J954" t="s">
        <v>90</v>
      </c>
      <c r="K954">
        <v>0</v>
      </c>
      <c r="L954">
        <v>8.7626846421131468</v>
      </c>
      <c r="M954">
        <v>0</v>
      </c>
      <c r="N954">
        <v>0</v>
      </c>
      <c r="O954">
        <v>8.7626846421131468</v>
      </c>
      <c r="P954" t="s">
        <v>90</v>
      </c>
      <c r="Q954">
        <v>0</v>
      </c>
      <c r="R954" t="s">
        <v>90</v>
      </c>
      <c r="S954">
        <v>0</v>
      </c>
      <c r="T954" t="s">
        <v>90</v>
      </c>
      <c r="U954">
        <v>0</v>
      </c>
      <c r="V954" t="s">
        <v>90</v>
      </c>
      <c r="W954">
        <v>0</v>
      </c>
      <c r="X954" t="s">
        <v>90</v>
      </c>
      <c r="Y954">
        <v>0</v>
      </c>
      <c r="Z954">
        <v>8.7626846421131468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N954" t="s">
        <v>185</v>
      </c>
      <c r="AO954" t="s">
        <v>73</v>
      </c>
      <c r="AP954">
        <v>200000</v>
      </c>
      <c r="AQ954" t="s">
        <v>73</v>
      </c>
      <c r="AS954">
        <v>10000</v>
      </c>
      <c r="AT954" t="s">
        <v>7986</v>
      </c>
      <c r="AU954" t="s">
        <v>75</v>
      </c>
      <c r="AV954" t="s">
        <v>76</v>
      </c>
    </row>
    <row r="955" spans="1:48" x14ac:dyDescent="0.15">
      <c r="A955" s="4" t="str">
        <f>HYPERLINK("https://ibp.a2mac1.com/costing(costing:projects/details/9760/assembly/8416641)","Reinforcements")</f>
        <v>Reinforcements</v>
      </c>
      <c r="B955">
        <v>8416641</v>
      </c>
      <c r="D955">
        <v>8416428</v>
      </c>
      <c r="F955">
        <v>1</v>
      </c>
      <c r="G955">
        <v>0</v>
      </c>
      <c r="H955">
        <v>11.457416600363974</v>
      </c>
      <c r="I955">
        <v>0</v>
      </c>
      <c r="J955" t="s">
        <v>90</v>
      </c>
      <c r="K955">
        <v>0</v>
      </c>
      <c r="L955">
        <v>11.457416600363974</v>
      </c>
      <c r="M955">
        <v>0</v>
      </c>
      <c r="N955">
        <v>0</v>
      </c>
      <c r="O955">
        <v>11.457416600363974</v>
      </c>
      <c r="P955" t="s">
        <v>90</v>
      </c>
      <c r="Q955">
        <v>0</v>
      </c>
      <c r="R955" t="s">
        <v>90</v>
      </c>
      <c r="S955">
        <v>0</v>
      </c>
      <c r="T955" t="s">
        <v>90</v>
      </c>
      <c r="U955">
        <v>0</v>
      </c>
      <c r="V955" t="s">
        <v>90</v>
      </c>
      <c r="W955">
        <v>0</v>
      </c>
      <c r="X955" t="s">
        <v>90</v>
      </c>
      <c r="Y955">
        <v>0</v>
      </c>
      <c r="Z955">
        <v>11.457416600363974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N955" t="s">
        <v>185</v>
      </c>
      <c r="AO955" t="s">
        <v>73</v>
      </c>
      <c r="AP955">
        <v>200000</v>
      </c>
      <c r="AQ955" t="s">
        <v>73</v>
      </c>
      <c r="AS955">
        <v>10000</v>
      </c>
      <c r="AT955" t="s">
        <v>7998</v>
      </c>
      <c r="AU955" t="s">
        <v>75</v>
      </c>
      <c r="AV955" t="s">
        <v>76</v>
      </c>
    </row>
    <row r="956" spans="1:48" x14ac:dyDescent="0.15">
      <c r="A956" s="4" t="str">
        <f>HYPERLINK("https://ibp.a2mac1.com/costing(costing:projects/details/9760/assembly/8417050)","Cross member")</f>
        <v>Cross member</v>
      </c>
      <c r="B956">
        <v>8417050</v>
      </c>
      <c r="D956">
        <v>8416642</v>
      </c>
      <c r="F956">
        <v>1</v>
      </c>
      <c r="G956">
        <v>0</v>
      </c>
      <c r="H956">
        <v>11.555801700733142</v>
      </c>
      <c r="I956">
        <v>0</v>
      </c>
      <c r="J956" t="s">
        <v>90</v>
      </c>
      <c r="K956">
        <v>0</v>
      </c>
      <c r="L956">
        <v>11.555801700733142</v>
      </c>
      <c r="M956">
        <v>0</v>
      </c>
      <c r="N956">
        <v>0</v>
      </c>
      <c r="O956">
        <v>11.555801700733142</v>
      </c>
      <c r="P956" t="s">
        <v>90</v>
      </c>
      <c r="Q956">
        <v>0</v>
      </c>
      <c r="R956" t="s">
        <v>90</v>
      </c>
      <c r="S956">
        <v>0</v>
      </c>
      <c r="T956" t="s">
        <v>90</v>
      </c>
      <c r="U956">
        <v>0</v>
      </c>
      <c r="V956" t="s">
        <v>90</v>
      </c>
      <c r="W956">
        <v>0</v>
      </c>
      <c r="X956" t="s">
        <v>90</v>
      </c>
      <c r="Y956">
        <v>0</v>
      </c>
      <c r="Z956">
        <v>11.555801700733142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N956" t="s">
        <v>185</v>
      </c>
      <c r="AO956" t="s">
        <v>73</v>
      </c>
      <c r="AP956">
        <v>200000</v>
      </c>
      <c r="AQ956" t="s">
        <v>73</v>
      </c>
      <c r="AS956">
        <v>10000</v>
      </c>
      <c r="AT956" t="s">
        <v>8006</v>
      </c>
      <c r="AU956" t="s">
        <v>75</v>
      </c>
      <c r="AV956" t="s">
        <v>76</v>
      </c>
    </row>
    <row r="957" spans="1:48" x14ac:dyDescent="0.15">
      <c r="A957" s="4" t="str">
        <f>HYPERLINK("https://ibp.a2mac1.com/costing(costing:projects/details/9760/assembly/8416642)","Cross member assy")</f>
        <v>Cross member assy</v>
      </c>
      <c r="B957">
        <v>8416642</v>
      </c>
      <c r="D957">
        <v>8416428</v>
      </c>
      <c r="F957">
        <v>1</v>
      </c>
      <c r="G957">
        <v>0</v>
      </c>
      <c r="H957">
        <v>11.555801700733142</v>
      </c>
      <c r="I957">
        <v>0</v>
      </c>
      <c r="J957" t="s">
        <v>90</v>
      </c>
      <c r="K957">
        <v>0</v>
      </c>
      <c r="L957">
        <v>11.555801700733142</v>
      </c>
      <c r="M957">
        <v>0</v>
      </c>
      <c r="N957">
        <v>0</v>
      </c>
      <c r="O957">
        <v>11.555801700733142</v>
      </c>
      <c r="P957" t="s">
        <v>90</v>
      </c>
      <c r="Q957">
        <v>0</v>
      </c>
      <c r="R957" t="s">
        <v>90</v>
      </c>
      <c r="S957">
        <v>0</v>
      </c>
      <c r="T957" t="s">
        <v>90</v>
      </c>
      <c r="U957">
        <v>0</v>
      </c>
      <c r="V957" t="s">
        <v>90</v>
      </c>
      <c r="W957">
        <v>0</v>
      </c>
      <c r="X957" t="s">
        <v>90</v>
      </c>
      <c r="Y957">
        <v>0</v>
      </c>
      <c r="Z957">
        <v>11.555801700733142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N957" t="s">
        <v>185</v>
      </c>
      <c r="AO957" t="s">
        <v>73</v>
      </c>
      <c r="AP957">
        <v>200000</v>
      </c>
      <c r="AQ957" t="s">
        <v>73</v>
      </c>
      <c r="AS957">
        <v>10000</v>
      </c>
      <c r="AT957" t="s">
        <v>7998</v>
      </c>
      <c r="AU957" t="s">
        <v>75</v>
      </c>
      <c r="AV957" t="s">
        <v>76</v>
      </c>
    </row>
    <row r="958" spans="1:48" x14ac:dyDescent="0.15">
      <c r="A958" s="4" t="str">
        <f>HYPERLINK("https://ibp.a2mac1.com/costing(costing:projects/details/9760/assembly/8416643)","A-pillar gussets")</f>
        <v>A-pillar gussets</v>
      </c>
      <c r="B958">
        <v>8416643</v>
      </c>
      <c r="D958">
        <v>8416428</v>
      </c>
      <c r="F958">
        <v>1</v>
      </c>
      <c r="G958">
        <v>0</v>
      </c>
      <c r="H958">
        <v>7.9162198506787327</v>
      </c>
      <c r="I958">
        <v>0</v>
      </c>
      <c r="J958" t="s">
        <v>90</v>
      </c>
      <c r="K958">
        <v>0</v>
      </c>
      <c r="L958">
        <v>7.9162198506787327</v>
      </c>
      <c r="M958">
        <v>0</v>
      </c>
      <c r="N958">
        <v>0</v>
      </c>
      <c r="O958">
        <v>7.9162198506787327</v>
      </c>
      <c r="P958" t="s">
        <v>90</v>
      </c>
      <c r="Q958">
        <v>0</v>
      </c>
      <c r="R958" t="s">
        <v>90</v>
      </c>
      <c r="S958">
        <v>0</v>
      </c>
      <c r="T958" t="s">
        <v>90</v>
      </c>
      <c r="U958">
        <v>0</v>
      </c>
      <c r="V958" t="s">
        <v>90</v>
      </c>
      <c r="W958">
        <v>0</v>
      </c>
      <c r="X958" t="s">
        <v>90</v>
      </c>
      <c r="Y958">
        <v>0</v>
      </c>
      <c r="Z958">
        <v>7.9162198506787327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N958" t="s">
        <v>185</v>
      </c>
      <c r="AO958" t="s">
        <v>73</v>
      </c>
      <c r="AP958">
        <v>200000</v>
      </c>
      <c r="AQ958" t="s">
        <v>73</v>
      </c>
      <c r="AS958">
        <v>10000</v>
      </c>
      <c r="AT958" t="s">
        <v>8013</v>
      </c>
      <c r="AU958" t="s">
        <v>75</v>
      </c>
      <c r="AV958" t="s">
        <v>76</v>
      </c>
    </row>
    <row r="959" spans="1:48" x14ac:dyDescent="0.15">
      <c r="A959" s="4" t="str">
        <f>HYPERLINK("https://ibp.a2mac1.com/costing(costing:projects/details/9760/assembly/8416644)","Fixing parts")</f>
        <v>Fixing parts</v>
      </c>
      <c r="B959">
        <v>8416644</v>
      </c>
      <c r="D959">
        <v>8416428</v>
      </c>
      <c r="F959">
        <v>1</v>
      </c>
      <c r="G959">
        <v>0</v>
      </c>
      <c r="H959">
        <v>0.66239384396419188</v>
      </c>
      <c r="I959">
        <v>0</v>
      </c>
      <c r="J959" t="s">
        <v>90</v>
      </c>
      <c r="K959">
        <v>0</v>
      </c>
      <c r="L959">
        <v>0.66239384396419188</v>
      </c>
      <c r="M959">
        <v>0</v>
      </c>
      <c r="N959">
        <v>0</v>
      </c>
      <c r="O959">
        <v>0.66239384396419188</v>
      </c>
      <c r="P959" t="s">
        <v>90</v>
      </c>
      <c r="Q959">
        <v>0</v>
      </c>
      <c r="R959" t="s">
        <v>90</v>
      </c>
      <c r="S959">
        <v>0</v>
      </c>
      <c r="T959" t="s">
        <v>90</v>
      </c>
      <c r="U959">
        <v>0</v>
      </c>
      <c r="V959" t="s">
        <v>90</v>
      </c>
      <c r="W959">
        <v>0</v>
      </c>
      <c r="X959" t="s">
        <v>90</v>
      </c>
      <c r="Y959">
        <v>0</v>
      </c>
      <c r="Z959">
        <v>0.66239384396419188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N959" t="s">
        <v>185</v>
      </c>
      <c r="AO959" t="s">
        <v>73</v>
      </c>
      <c r="AP959">
        <v>200000</v>
      </c>
      <c r="AQ959" t="s">
        <v>73</v>
      </c>
      <c r="AS959">
        <v>10000</v>
      </c>
      <c r="AT959" t="s">
        <v>8023</v>
      </c>
      <c r="AU959" t="s">
        <v>75</v>
      </c>
      <c r="AV959" t="s">
        <v>76</v>
      </c>
    </row>
    <row r="960" spans="1:48" x14ac:dyDescent="0.15">
      <c r="A960" s="4" t="str">
        <f>HYPERLINK("https://ibp.a2mac1.com/costing(costing:projects/details/9760/assembly/8416428)","Dash panel assy")</f>
        <v>Dash panel assy</v>
      </c>
      <c r="B960">
        <v>8416428</v>
      </c>
      <c r="D960">
        <v>8416071</v>
      </c>
      <c r="F960">
        <v>1</v>
      </c>
      <c r="G960">
        <v>0</v>
      </c>
      <c r="H960">
        <v>40.354516637853187</v>
      </c>
      <c r="I960">
        <v>0</v>
      </c>
      <c r="J960" t="s">
        <v>90</v>
      </c>
      <c r="K960">
        <v>0</v>
      </c>
      <c r="L960">
        <v>40.354516637853187</v>
      </c>
      <c r="M960">
        <v>0</v>
      </c>
      <c r="N960">
        <v>0</v>
      </c>
      <c r="O960">
        <v>40.354516637853187</v>
      </c>
      <c r="P960" t="s">
        <v>90</v>
      </c>
      <c r="Q960">
        <v>0</v>
      </c>
      <c r="R960" t="s">
        <v>90</v>
      </c>
      <c r="S960">
        <v>0</v>
      </c>
      <c r="T960" t="s">
        <v>90</v>
      </c>
      <c r="U960">
        <v>0</v>
      </c>
      <c r="V960" t="s">
        <v>90</v>
      </c>
      <c r="W960">
        <v>0</v>
      </c>
      <c r="X960" t="s">
        <v>90</v>
      </c>
      <c r="Y960">
        <v>0</v>
      </c>
      <c r="Z960">
        <v>40.354516637853187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N960" t="s">
        <v>185</v>
      </c>
      <c r="AO960" t="s">
        <v>73</v>
      </c>
      <c r="AP960">
        <v>200000</v>
      </c>
      <c r="AQ960" t="s">
        <v>73</v>
      </c>
      <c r="AS960">
        <v>10000</v>
      </c>
      <c r="AT960" t="s">
        <v>8024</v>
      </c>
      <c r="AU960" t="s">
        <v>75</v>
      </c>
      <c r="AV960" t="s">
        <v>76</v>
      </c>
    </row>
    <row r="961" spans="1:48" x14ac:dyDescent="0.15">
      <c r="A961" s="4" t="str">
        <f>HYPERLINK("https://ibp.a2mac1.com/costing(costing:projects/details/9760/assembly/8416645)","Inner skin")</f>
        <v>Inner skin</v>
      </c>
      <c r="B961">
        <v>8416645</v>
      </c>
      <c r="D961">
        <v>8416429</v>
      </c>
      <c r="F961">
        <v>1</v>
      </c>
      <c r="G961">
        <v>0</v>
      </c>
      <c r="H961">
        <v>16.606144735038608</v>
      </c>
      <c r="I961">
        <v>0</v>
      </c>
      <c r="J961" t="s">
        <v>90</v>
      </c>
      <c r="K961">
        <v>0</v>
      </c>
      <c r="L961">
        <v>16.606144735038608</v>
      </c>
      <c r="M961">
        <v>0</v>
      </c>
      <c r="N961">
        <v>0</v>
      </c>
      <c r="O961">
        <v>16.606144735038608</v>
      </c>
      <c r="P961" t="s">
        <v>90</v>
      </c>
      <c r="Q961">
        <v>0</v>
      </c>
      <c r="R961" t="s">
        <v>90</v>
      </c>
      <c r="S961">
        <v>0</v>
      </c>
      <c r="T961" t="s">
        <v>90</v>
      </c>
      <c r="U961">
        <v>0</v>
      </c>
      <c r="V961" t="s">
        <v>90</v>
      </c>
      <c r="W961">
        <v>0</v>
      </c>
      <c r="X961" t="s">
        <v>90</v>
      </c>
      <c r="Y961">
        <v>0</v>
      </c>
      <c r="Z961">
        <v>16.606144735038608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N961" t="s">
        <v>185</v>
      </c>
      <c r="AO961" t="s">
        <v>73</v>
      </c>
      <c r="AP961">
        <v>200000</v>
      </c>
      <c r="AQ961" t="s">
        <v>73</v>
      </c>
      <c r="AS961">
        <v>10000</v>
      </c>
      <c r="AT961" t="s">
        <v>8036</v>
      </c>
      <c r="AU961" t="s">
        <v>75</v>
      </c>
      <c r="AV961" t="s">
        <v>76</v>
      </c>
    </row>
    <row r="962" spans="1:48" x14ac:dyDescent="0.15">
      <c r="A962" s="4" t="str">
        <f>HYPERLINK("https://ibp.a2mac1.com/costing(costing:projects/details/9760/assembly/8416646)","Reinforcements")</f>
        <v>Reinforcements</v>
      </c>
      <c r="B962">
        <v>8416646</v>
      </c>
      <c r="D962">
        <v>8416429</v>
      </c>
      <c r="F962">
        <v>1</v>
      </c>
      <c r="G962">
        <v>0</v>
      </c>
      <c r="H962">
        <v>1.4658396678399328</v>
      </c>
      <c r="I962">
        <v>0</v>
      </c>
      <c r="J962" t="s">
        <v>90</v>
      </c>
      <c r="K962">
        <v>0</v>
      </c>
      <c r="L962">
        <v>1.4658396678399328</v>
      </c>
      <c r="M962">
        <v>0</v>
      </c>
      <c r="N962">
        <v>0</v>
      </c>
      <c r="O962">
        <v>1.4658396678399328</v>
      </c>
      <c r="P962" t="s">
        <v>90</v>
      </c>
      <c r="Q962">
        <v>0</v>
      </c>
      <c r="R962" t="s">
        <v>90</v>
      </c>
      <c r="S962">
        <v>0</v>
      </c>
      <c r="T962" t="s">
        <v>90</v>
      </c>
      <c r="U962">
        <v>0</v>
      </c>
      <c r="V962" t="s">
        <v>90</v>
      </c>
      <c r="W962">
        <v>0</v>
      </c>
      <c r="X962" t="s">
        <v>90</v>
      </c>
      <c r="Y962">
        <v>0</v>
      </c>
      <c r="Z962">
        <v>1.4658396678399328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N962" t="s">
        <v>185</v>
      </c>
      <c r="AO962" t="s">
        <v>73</v>
      </c>
      <c r="AP962">
        <v>200000</v>
      </c>
      <c r="AQ962" t="s">
        <v>73</v>
      </c>
      <c r="AS962">
        <v>10000</v>
      </c>
      <c r="AT962" t="s">
        <v>8048</v>
      </c>
      <c r="AU962" t="s">
        <v>75</v>
      </c>
      <c r="AV962" t="s">
        <v>76</v>
      </c>
    </row>
    <row r="963" spans="1:48" x14ac:dyDescent="0.15">
      <c r="A963" s="4" t="str">
        <f>HYPERLINK("https://ibp.a2mac1.com/costing(costing:projects/details/9760/assembly/8416647)","Fixing parts")</f>
        <v>Fixing parts</v>
      </c>
      <c r="B963">
        <v>8416647</v>
      </c>
      <c r="D963">
        <v>8416429</v>
      </c>
      <c r="F963">
        <v>1</v>
      </c>
      <c r="G963">
        <v>0</v>
      </c>
      <c r="H963">
        <v>1.7652472140704896</v>
      </c>
      <c r="I963">
        <v>0</v>
      </c>
      <c r="J963" t="s">
        <v>90</v>
      </c>
      <c r="K963">
        <v>0</v>
      </c>
      <c r="L963">
        <v>1.7652472140704896</v>
      </c>
      <c r="M963">
        <v>0</v>
      </c>
      <c r="N963">
        <v>0</v>
      </c>
      <c r="O963">
        <v>1.7652472140704896</v>
      </c>
      <c r="P963" t="s">
        <v>90</v>
      </c>
      <c r="Q963">
        <v>0</v>
      </c>
      <c r="R963" t="s">
        <v>90</v>
      </c>
      <c r="S963">
        <v>0</v>
      </c>
      <c r="T963" t="s">
        <v>90</v>
      </c>
      <c r="U963">
        <v>0</v>
      </c>
      <c r="V963" t="s">
        <v>90</v>
      </c>
      <c r="W963">
        <v>0</v>
      </c>
      <c r="X963" t="s">
        <v>90</v>
      </c>
      <c r="Y963">
        <v>0</v>
      </c>
      <c r="Z963">
        <v>1.7652472140704896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N963" t="s">
        <v>185</v>
      </c>
      <c r="AO963" t="s">
        <v>73</v>
      </c>
      <c r="AP963">
        <v>200000</v>
      </c>
      <c r="AQ963" t="s">
        <v>73</v>
      </c>
      <c r="AS963">
        <v>10000</v>
      </c>
      <c r="AT963" t="s">
        <v>8059</v>
      </c>
      <c r="AU963" t="s">
        <v>75</v>
      </c>
      <c r="AV963" t="s">
        <v>76</v>
      </c>
    </row>
    <row r="964" spans="1:48" x14ac:dyDescent="0.15">
      <c r="A964" s="4" t="str">
        <f>HYPERLINK("https://ibp.a2mac1.com/costing(costing:projects/details/9760/assembly/8416429)","A pillar inner skin")</f>
        <v>A pillar inner skin</v>
      </c>
      <c r="B964">
        <v>8416429</v>
      </c>
      <c r="D964">
        <v>8416071</v>
      </c>
      <c r="F964">
        <v>1</v>
      </c>
      <c r="G964">
        <v>0</v>
      </c>
      <c r="H964">
        <v>19.837231616949033</v>
      </c>
      <c r="I964">
        <v>0</v>
      </c>
      <c r="J964" t="s">
        <v>90</v>
      </c>
      <c r="K964">
        <v>0</v>
      </c>
      <c r="L964">
        <v>19.837231616949033</v>
      </c>
      <c r="M964">
        <v>0</v>
      </c>
      <c r="N964">
        <v>0</v>
      </c>
      <c r="O964">
        <v>19.837231616949033</v>
      </c>
      <c r="P964" t="s">
        <v>90</v>
      </c>
      <c r="Q964">
        <v>0</v>
      </c>
      <c r="R964" t="s">
        <v>90</v>
      </c>
      <c r="S964">
        <v>0</v>
      </c>
      <c r="T964" t="s">
        <v>90</v>
      </c>
      <c r="U964">
        <v>0</v>
      </c>
      <c r="V964" t="s">
        <v>90</v>
      </c>
      <c r="W964">
        <v>0</v>
      </c>
      <c r="X964" t="s">
        <v>90</v>
      </c>
      <c r="Y964">
        <v>0</v>
      </c>
      <c r="Z964">
        <v>19.837231616949033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N964" t="s">
        <v>185</v>
      </c>
      <c r="AO964" t="s">
        <v>73</v>
      </c>
      <c r="AP964">
        <v>200000</v>
      </c>
      <c r="AQ964" t="s">
        <v>73</v>
      </c>
      <c r="AS964">
        <v>10000</v>
      </c>
      <c r="AT964" t="s">
        <v>8060</v>
      </c>
      <c r="AU964" t="s">
        <v>75</v>
      </c>
      <c r="AV964" t="s">
        <v>76</v>
      </c>
    </row>
    <row r="965" spans="1:48" x14ac:dyDescent="0.15">
      <c r="A965" s="4" t="str">
        <f>HYPERLINK("https://ibp.a2mac1.com/costing(costing:projects/details/9760/assembly/8417060)","Frame")</f>
        <v>Frame</v>
      </c>
      <c r="B965">
        <v>8417060</v>
      </c>
      <c r="D965">
        <v>8416648</v>
      </c>
      <c r="F965">
        <v>1</v>
      </c>
      <c r="G965">
        <v>0</v>
      </c>
      <c r="H965">
        <v>2.8450110082213902</v>
      </c>
      <c r="I965">
        <v>0</v>
      </c>
      <c r="J965" t="s">
        <v>90</v>
      </c>
      <c r="K965">
        <v>0</v>
      </c>
      <c r="L965">
        <v>2.8450110082213902</v>
      </c>
      <c r="M965">
        <v>0</v>
      </c>
      <c r="N965">
        <v>0</v>
      </c>
      <c r="O965">
        <v>2.8450110082213902</v>
      </c>
      <c r="P965" t="s">
        <v>90</v>
      </c>
      <c r="Q965">
        <v>0</v>
      </c>
      <c r="R965" t="s">
        <v>90</v>
      </c>
      <c r="S965">
        <v>0</v>
      </c>
      <c r="T965" t="s">
        <v>90</v>
      </c>
      <c r="U965">
        <v>0</v>
      </c>
      <c r="V965" t="s">
        <v>90</v>
      </c>
      <c r="W965">
        <v>0</v>
      </c>
      <c r="X965" t="s">
        <v>90</v>
      </c>
      <c r="Y965">
        <v>0</v>
      </c>
      <c r="Z965">
        <v>2.8450110082213902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N965" t="s">
        <v>185</v>
      </c>
      <c r="AO965" t="s">
        <v>73</v>
      </c>
      <c r="AP965">
        <v>200000</v>
      </c>
      <c r="AQ965" t="s">
        <v>73</v>
      </c>
      <c r="AS965">
        <v>10000</v>
      </c>
      <c r="AT965" t="s">
        <v>8074</v>
      </c>
      <c r="AU965" t="s">
        <v>75</v>
      </c>
      <c r="AV965" t="s">
        <v>76</v>
      </c>
    </row>
    <row r="966" spans="1:48" x14ac:dyDescent="0.15">
      <c r="A966" s="4" t="str">
        <f>HYPERLINK("https://ibp.a2mac1.com/costing(costing:projects/details/9760/assembly/8417061)","Reinforcements")</f>
        <v>Reinforcements</v>
      </c>
      <c r="B966">
        <v>8417061</v>
      </c>
      <c r="D966">
        <v>8416648</v>
      </c>
      <c r="F966">
        <v>1</v>
      </c>
      <c r="G966">
        <v>0</v>
      </c>
      <c r="H966">
        <v>0.43048975660485866</v>
      </c>
      <c r="I966">
        <v>0</v>
      </c>
      <c r="J966" t="s">
        <v>90</v>
      </c>
      <c r="K966">
        <v>0</v>
      </c>
      <c r="L966">
        <v>0.43048975660485866</v>
      </c>
      <c r="M966">
        <v>0</v>
      </c>
      <c r="N966">
        <v>0</v>
      </c>
      <c r="O966">
        <v>0.43048975660485866</v>
      </c>
      <c r="P966" t="s">
        <v>90</v>
      </c>
      <c r="Q966">
        <v>0</v>
      </c>
      <c r="R966" t="s">
        <v>90</v>
      </c>
      <c r="S966">
        <v>0</v>
      </c>
      <c r="T966" t="s">
        <v>90</v>
      </c>
      <c r="U966">
        <v>0</v>
      </c>
      <c r="V966" t="s">
        <v>90</v>
      </c>
      <c r="W966">
        <v>0</v>
      </c>
      <c r="X966" t="s">
        <v>90</v>
      </c>
      <c r="Y966">
        <v>0</v>
      </c>
      <c r="Z966">
        <v>0.43048975660485866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N966" t="s">
        <v>185</v>
      </c>
      <c r="AO966" t="s">
        <v>73</v>
      </c>
      <c r="AP966">
        <v>200000</v>
      </c>
      <c r="AQ966" t="s">
        <v>73</v>
      </c>
      <c r="AS966">
        <v>10000</v>
      </c>
      <c r="AT966" t="s">
        <v>8081</v>
      </c>
      <c r="AU966" t="s">
        <v>75</v>
      </c>
      <c r="AV966" t="s">
        <v>76</v>
      </c>
    </row>
    <row r="967" spans="1:48" x14ac:dyDescent="0.15">
      <c r="A967" s="4" t="str">
        <f>HYPERLINK("https://ibp.a2mac1.com/costing(costing:projects/details/9760/assembly/8417062)","Fixing parts")</f>
        <v>Fixing parts</v>
      </c>
      <c r="B967">
        <v>8417062</v>
      </c>
      <c r="D967">
        <v>8416648</v>
      </c>
      <c r="F967">
        <v>1</v>
      </c>
      <c r="G967">
        <v>0</v>
      </c>
      <c r="H967">
        <v>2.3670309355515622</v>
      </c>
      <c r="I967">
        <v>0</v>
      </c>
      <c r="J967" t="s">
        <v>90</v>
      </c>
      <c r="K967">
        <v>0</v>
      </c>
      <c r="L967">
        <v>2.3670309355515622</v>
      </c>
      <c r="M967">
        <v>0</v>
      </c>
      <c r="N967">
        <v>0</v>
      </c>
      <c r="O967">
        <v>2.3670309355515622</v>
      </c>
      <c r="P967" t="s">
        <v>90</v>
      </c>
      <c r="Q967">
        <v>0</v>
      </c>
      <c r="R967" t="s">
        <v>90</v>
      </c>
      <c r="S967">
        <v>0</v>
      </c>
      <c r="T967" t="s">
        <v>90</v>
      </c>
      <c r="U967">
        <v>0</v>
      </c>
      <c r="V967" t="s">
        <v>90</v>
      </c>
      <c r="W967">
        <v>0</v>
      </c>
      <c r="X967" t="s">
        <v>90</v>
      </c>
      <c r="Y967">
        <v>0</v>
      </c>
      <c r="Z967">
        <v>2.3670309355515622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N967" t="s">
        <v>185</v>
      </c>
      <c r="AO967" t="s">
        <v>73</v>
      </c>
      <c r="AP967">
        <v>200000</v>
      </c>
      <c r="AQ967" t="s">
        <v>73</v>
      </c>
      <c r="AS967">
        <v>10000</v>
      </c>
      <c r="AT967" t="s">
        <v>8096</v>
      </c>
      <c r="AU967" t="s">
        <v>75</v>
      </c>
      <c r="AV967" t="s">
        <v>76</v>
      </c>
    </row>
    <row r="968" spans="1:48" x14ac:dyDescent="0.15">
      <c r="A968" s="4" t="str">
        <f>HYPERLINK("https://ibp.a2mac1.com/costing(costing:projects/details/9760/assembly/8416648)","Left area")</f>
        <v>Left area</v>
      </c>
      <c r="B968">
        <v>8416648</v>
      </c>
      <c r="D968">
        <v>8416430</v>
      </c>
      <c r="F968">
        <v>1</v>
      </c>
      <c r="G968">
        <v>0</v>
      </c>
      <c r="H968">
        <v>5.6425317003778108</v>
      </c>
      <c r="I968">
        <v>0</v>
      </c>
      <c r="J968" t="s">
        <v>90</v>
      </c>
      <c r="K968">
        <v>0</v>
      </c>
      <c r="L968">
        <v>5.6425317003778108</v>
      </c>
      <c r="M968">
        <v>0</v>
      </c>
      <c r="N968">
        <v>0</v>
      </c>
      <c r="O968">
        <v>5.6425317003778108</v>
      </c>
      <c r="P968" t="s">
        <v>90</v>
      </c>
      <c r="Q968">
        <v>0</v>
      </c>
      <c r="R968" t="s">
        <v>90</v>
      </c>
      <c r="S968">
        <v>0</v>
      </c>
      <c r="T968" t="s">
        <v>90</v>
      </c>
      <c r="U968">
        <v>0</v>
      </c>
      <c r="V968" t="s">
        <v>90</v>
      </c>
      <c r="W968">
        <v>0</v>
      </c>
      <c r="X968" t="s">
        <v>90</v>
      </c>
      <c r="Y968">
        <v>0</v>
      </c>
      <c r="Z968">
        <v>5.6425317003778108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N968" t="s">
        <v>185</v>
      </c>
      <c r="AO968" t="s">
        <v>73</v>
      </c>
      <c r="AP968">
        <v>200000</v>
      </c>
      <c r="AQ968" t="s">
        <v>73</v>
      </c>
      <c r="AS968">
        <v>10000</v>
      </c>
      <c r="AT968" t="s">
        <v>8097</v>
      </c>
      <c r="AU968" t="s">
        <v>75</v>
      </c>
      <c r="AV968" t="s">
        <v>76</v>
      </c>
    </row>
    <row r="969" spans="1:48" x14ac:dyDescent="0.15">
      <c r="A969" s="4" t="str">
        <f>HYPERLINK("https://ibp.a2mac1.com/costing(costing:projects/details/9760/assembly/8416430)","Load paths under dash panel")</f>
        <v>Load paths under dash panel</v>
      </c>
      <c r="B969">
        <v>8416430</v>
      </c>
      <c r="D969">
        <v>8416071</v>
      </c>
      <c r="F969">
        <v>1</v>
      </c>
      <c r="G969">
        <v>0</v>
      </c>
      <c r="H969">
        <v>5.6425317003778108</v>
      </c>
      <c r="I969">
        <v>0</v>
      </c>
      <c r="J969" t="s">
        <v>90</v>
      </c>
      <c r="K969">
        <v>0</v>
      </c>
      <c r="L969">
        <v>5.6425317003778108</v>
      </c>
      <c r="M969">
        <v>0</v>
      </c>
      <c r="N969">
        <v>0</v>
      </c>
      <c r="O969">
        <v>5.6425317003778108</v>
      </c>
      <c r="P969" t="s">
        <v>90</v>
      </c>
      <c r="Q969">
        <v>0</v>
      </c>
      <c r="R969" t="s">
        <v>90</v>
      </c>
      <c r="S969">
        <v>0</v>
      </c>
      <c r="T969" t="s">
        <v>90</v>
      </c>
      <c r="U969">
        <v>0</v>
      </c>
      <c r="V969" t="s">
        <v>90</v>
      </c>
      <c r="W969">
        <v>0</v>
      </c>
      <c r="X969" t="s">
        <v>90</v>
      </c>
      <c r="Y969">
        <v>0</v>
      </c>
      <c r="Z969">
        <v>5.6425317003778108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N969" t="s">
        <v>185</v>
      </c>
      <c r="AO969" t="s">
        <v>73</v>
      </c>
      <c r="AP969">
        <v>200000</v>
      </c>
      <c r="AQ969" t="s">
        <v>73</v>
      </c>
      <c r="AS969">
        <v>10000</v>
      </c>
      <c r="AT969" t="s">
        <v>8098</v>
      </c>
      <c r="AU969" t="s">
        <v>75</v>
      </c>
      <c r="AV969" t="s">
        <v>76</v>
      </c>
    </row>
    <row r="970" spans="1:48" x14ac:dyDescent="0.15">
      <c r="A970" s="4" t="str">
        <f>HYPERLINK("https://ibp.a2mac1.com/costing(costing:projects/details/9760/assembly/8416071)","Front unit")</f>
        <v>Front unit</v>
      </c>
      <c r="B970">
        <v>8416071</v>
      </c>
      <c r="D970">
        <v>8415759</v>
      </c>
      <c r="F970">
        <v>1</v>
      </c>
      <c r="G970">
        <v>0</v>
      </c>
      <c r="H970">
        <v>198.32775129122649</v>
      </c>
      <c r="I970">
        <v>0</v>
      </c>
      <c r="J970" t="s">
        <v>90</v>
      </c>
      <c r="K970">
        <v>0</v>
      </c>
      <c r="L970">
        <v>198.32775129122649</v>
      </c>
      <c r="M970">
        <v>0</v>
      </c>
      <c r="N970">
        <v>0</v>
      </c>
      <c r="O970">
        <v>198.32775129122649</v>
      </c>
      <c r="P970" t="s">
        <v>90</v>
      </c>
      <c r="Q970">
        <v>0</v>
      </c>
      <c r="R970" t="s">
        <v>90</v>
      </c>
      <c r="S970">
        <v>0</v>
      </c>
      <c r="T970" t="s">
        <v>90</v>
      </c>
      <c r="U970">
        <v>0</v>
      </c>
      <c r="V970" t="s">
        <v>90</v>
      </c>
      <c r="W970">
        <v>0</v>
      </c>
      <c r="X970" t="s">
        <v>90</v>
      </c>
      <c r="Y970">
        <v>0</v>
      </c>
      <c r="Z970">
        <v>198.32775129122649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N970" t="s">
        <v>185</v>
      </c>
      <c r="AO970" t="s">
        <v>73</v>
      </c>
      <c r="AP970">
        <v>200000</v>
      </c>
      <c r="AQ970" t="s">
        <v>73</v>
      </c>
      <c r="AS970">
        <v>10000</v>
      </c>
      <c r="AT970" t="s">
        <v>8099</v>
      </c>
      <c r="AU970" t="s">
        <v>75</v>
      </c>
      <c r="AV970" t="s">
        <v>76</v>
      </c>
    </row>
    <row r="971" spans="1:48" x14ac:dyDescent="0.15">
      <c r="A971" s="4" t="str">
        <f>HYPERLINK("https://ibp.a2mac1.com/costing(costing:projects/details/9760/assembly/8416649)","Frame")</f>
        <v>Frame</v>
      </c>
      <c r="B971">
        <v>8416649</v>
      </c>
      <c r="D971">
        <v>8416431</v>
      </c>
      <c r="F971">
        <v>1</v>
      </c>
      <c r="G971">
        <v>0</v>
      </c>
      <c r="H971">
        <v>190.79905287455495</v>
      </c>
      <c r="I971">
        <v>0</v>
      </c>
      <c r="J971" t="s">
        <v>90</v>
      </c>
      <c r="K971">
        <v>0</v>
      </c>
      <c r="L971">
        <v>190.79905287455495</v>
      </c>
      <c r="M971">
        <v>0</v>
      </c>
      <c r="N971">
        <v>0</v>
      </c>
      <c r="O971">
        <v>190.79905287455495</v>
      </c>
      <c r="P971" t="s">
        <v>90</v>
      </c>
      <c r="Q971">
        <v>0</v>
      </c>
      <c r="R971" t="s">
        <v>90</v>
      </c>
      <c r="S971">
        <v>0</v>
      </c>
      <c r="T971" t="s">
        <v>90</v>
      </c>
      <c r="U971">
        <v>0</v>
      </c>
      <c r="V971" t="s">
        <v>90</v>
      </c>
      <c r="W971">
        <v>0</v>
      </c>
      <c r="X971" t="s">
        <v>90</v>
      </c>
      <c r="Y971">
        <v>0</v>
      </c>
      <c r="Z971">
        <v>190.79905287455495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N971" t="s">
        <v>185</v>
      </c>
      <c r="AO971" t="s">
        <v>73</v>
      </c>
      <c r="AP971">
        <v>200000</v>
      </c>
      <c r="AQ971" t="s">
        <v>73</v>
      </c>
      <c r="AS971">
        <v>10000</v>
      </c>
      <c r="AT971" t="s">
        <v>8108</v>
      </c>
      <c r="AU971" t="s">
        <v>75</v>
      </c>
      <c r="AV971" t="s">
        <v>76</v>
      </c>
    </row>
    <row r="972" spans="1:48" x14ac:dyDescent="0.15">
      <c r="A972" s="4" t="str">
        <f>HYPERLINK("https://ibp.a2mac1.com/costing(costing:projects/details/9760/assembly/8416650)","Reinforcements")</f>
        <v>Reinforcements</v>
      </c>
      <c r="B972">
        <v>8416650</v>
      </c>
      <c r="D972">
        <v>8416431</v>
      </c>
      <c r="F972">
        <v>1</v>
      </c>
      <c r="G972">
        <v>0</v>
      </c>
      <c r="H972">
        <v>2.7932043826818309</v>
      </c>
      <c r="I972">
        <v>0</v>
      </c>
      <c r="J972" t="s">
        <v>90</v>
      </c>
      <c r="K972">
        <v>0</v>
      </c>
      <c r="L972">
        <v>2.7932043826818309</v>
      </c>
      <c r="M972">
        <v>0</v>
      </c>
      <c r="N972">
        <v>0</v>
      </c>
      <c r="O972">
        <v>2.7932043826818309</v>
      </c>
      <c r="P972" t="s">
        <v>90</v>
      </c>
      <c r="Q972">
        <v>0</v>
      </c>
      <c r="R972" t="s">
        <v>90</v>
      </c>
      <c r="S972">
        <v>0</v>
      </c>
      <c r="T972" t="s">
        <v>90</v>
      </c>
      <c r="U972">
        <v>0</v>
      </c>
      <c r="V972" t="s">
        <v>90</v>
      </c>
      <c r="W972">
        <v>0</v>
      </c>
      <c r="X972" t="s">
        <v>90</v>
      </c>
      <c r="Y972">
        <v>0</v>
      </c>
      <c r="Z972">
        <v>2.7932043826818309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N972" t="s">
        <v>185</v>
      </c>
      <c r="AO972" t="s">
        <v>73</v>
      </c>
      <c r="AP972">
        <v>200000</v>
      </c>
      <c r="AQ972" t="s">
        <v>73</v>
      </c>
      <c r="AS972">
        <v>10000</v>
      </c>
      <c r="AT972" t="s">
        <v>8123</v>
      </c>
      <c r="AU972" t="s">
        <v>75</v>
      </c>
      <c r="AV972" t="s">
        <v>76</v>
      </c>
    </row>
    <row r="973" spans="1:48" x14ac:dyDescent="0.15">
      <c r="A973" s="4" t="str">
        <f>HYPERLINK("https://ibp.a2mac1.com/costing(costing:projects/details/9760/assembly/8416651)","Fixing parts")</f>
        <v>Fixing parts</v>
      </c>
      <c r="B973">
        <v>8416651</v>
      </c>
      <c r="D973">
        <v>8416431</v>
      </c>
      <c r="F973">
        <v>1</v>
      </c>
      <c r="G973">
        <v>0</v>
      </c>
      <c r="H973">
        <v>11.904341268606466</v>
      </c>
      <c r="I973">
        <v>0</v>
      </c>
      <c r="J973" t="s">
        <v>90</v>
      </c>
      <c r="K973">
        <v>0</v>
      </c>
      <c r="L973">
        <v>11.904341268606466</v>
      </c>
      <c r="M973">
        <v>0</v>
      </c>
      <c r="N973">
        <v>0</v>
      </c>
      <c r="O973">
        <v>11.904341268606466</v>
      </c>
      <c r="P973" t="s">
        <v>90</v>
      </c>
      <c r="Q973">
        <v>0</v>
      </c>
      <c r="R973" t="s">
        <v>90</v>
      </c>
      <c r="S973">
        <v>0</v>
      </c>
      <c r="T973" t="s">
        <v>90</v>
      </c>
      <c r="U973">
        <v>0</v>
      </c>
      <c r="V973" t="s">
        <v>90</v>
      </c>
      <c r="W973">
        <v>0</v>
      </c>
      <c r="X973" t="s">
        <v>90</v>
      </c>
      <c r="Y973">
        <v>0</v>
      </c>
      <c r="Z973">
        <v>11.904341268606466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N973" t="s">
        <v>185</v>
      </c>
      <c r="AO973" t="s">
        <v>73</v>
      </c>
      <c r="AP973">
        <v>200000</v>
      </c>
      <c r="AQ973" t="s">
        <v>73</v>
      </c>
      <c r="AS973">
        <v>10000</v>
      </c>
      <c r="AT973" t="s">
        <v>8175</v>
      </c>
      <c r="AU973" t="s">
        <v>75</v>
      </c>
      <c r="AV973" t="s">
        <v>76</v>
      </c>
    </row>
    <row r="974" spans="1:48" x14ac:dyDescent="0.15">
      <c r="A974" s="4" t="str">
        <f>HYPERLINK("https://ibp.a2mac1.com/costing(costing:projects/details/9760/assembly/8416431)","Rocker inner frame")</f>
        <v>Rocker inner frame</v>
      </c>
      <c r="B974">
        <v>8416431</v>
      </c>
      <c r="D974">
        <v>8416072</v>
      </c>
      <c r="F974">
        <v>1</v>
      </c>
      <c r="G974">
        <v>0</v>
      </c>
      <c r="H974">
        <v>205.49659852584324</v>
      </c>
      <c r="I974">
        <v>0</v>
      </c>
      <c r="J974" t="s">
        <v>90</v>
      </c>
      <c r="K974">
        <v>0</v>
      </c>
      <c r="L974">
        <v>205.49659852584324</v>
      </c>
      <c r="M974">
        <v>0</v>
      </c>
      <c r="N974">
        <v>0</v>
      </c>
      <c r="O974">
        <v>205.49659852584324</v>
      </c>
      <c r="P974" t="s">
        <v>90</v>
      </c>
      <c r="Q974">
        <v>0</v>
      </c>
      <c r="R974" t="s">
        <v>90</v>
      </c>
      <c r="S974">
        <v>0</v>
      </c>
      <c r="T974" t="s">
        <v>90</v>
      </c>
      <c r="U974">
        <v>0</v>
      </c>
      <c r="V974" t="s">
        <v>90</v>
      </c>
      <c r="W974">
        <v>0</v>
      </c>
      <c r="X974" t="s">
        <v>90</v>
      </c>
      <c r="Y974">
        <v>0</v>
      </c>
      <c r="Z974">
        <v>205.49659852584324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N974" t="s">
        <v>185</v>
      </c>
      <c r="AO974" t="s">
        <v>73</v>
      </c>
      <c r="AP974">
        <v>200000</v>
      </c>
      <c r="AQ974" t="s">
        <v>73</v>
      </c>
      <c r="AS974">
        <v>10000</v>
      </c>
      <c r="AT974" t="s">
        <v>8176</v>
      </c>
      <c r="AU974" t="s">
        <v>75</v>
      </c>
      <c r="AV974" t="s">
        <v>76</v>
      </c>
    </row>
    <row r="975" spans="1:48" x14ac:dyDescent="0.15">
      <c r="A975" s="4" t="str">
        <f>HYPERLINK("https://ibp.a2mac1.com/costing(costing:projects/details/9760/assembly/8416072)","Central unit")</f>
        <v>Central unit</v>
      </c>
      <c r="B975">
        <v>8416072</v>
      </c>
      <c r="D975">
        <v>8415759</v>
      </c>
      <c r="F975">
        <v>1</v>
      </c>
      <c r="G975">
        <v>0</v>
      </c>
      <c r="H975">
        <v>205.49659852584324</v>
      </c>
      <c r="I975">
        <v>0</v>
      </c>
      <c r="J975" t="s">
        <v>90</v>
      </c>
      <c r="K975">
        <v>0</v>
      </c>
      <c r="L975">
        <v>205.49659852584324</v>
      </c>
      <c r="M975">
        <v>0</v>
      </c>
      <c r="N975">
        <v>0</v>
      </c>
      <c r="O975">
        <v>205.49659852584324</v>
      </c>
      <c r="P975" t="s">
        <v>90</v>
      </c>
      <c r="Q975">
        <v>0</v>
      </c>
      <c r="R975" t="s">
        <v>90</v>
      </c>
      <c r="S975">
        <v>0</v>
      </c>
      <c r="T975" t="s">
        <v>90</v>
      </c>
      <c r="U975">
        <v>0</v>
      </c>
      <c r="V975" t="s">
        <v>90</v>
      </c>
      <c r="W975">
        <v>0</v>
      </c>
      <c r="X975" t="s">
        <v>90</v>
      </c>
      <c r="Y975">
        <v>0</v>
      </c>
      <c r="Z975">
        <v>205.49659852584324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N975" t="s">
        <v>185</v>
      </c>
      <c r="AO975" t="s">
        <v>73</v>
      </c>
      <c r="AP975">
        <v>200000</v>
      </c>
      <c r="AQ975" t="s">
        <v>73</v>
      </c>
      <c r="AS975">
        <v>10000</v>
      </c>
      <c r="AT975" t="s">
        <v>8177</v>
      </c>
      <c r="AU975" t="s">
        <v>75</v>
      </c>
      <c r="AV975" t="s">
        <v>76</v>
      </c>
    </row>
    <row r="976" spans="1:48" x14ac:dyDescent="0.15">
      <c r="A976" s="4" t="str">
        <f>HYPERLINK("https://ibp.a2mac1.com/costing(costing:projects/details/9760/assembly/8417080)","Panel")</f>
        <v>Panel</v>
      </c>
      <c r="B976">
        <v>8417080</v>
      </c>
      <c r="D976">
        <v>8416652</v>
      </c>
      <c r="F976">
        <v>1</v>
      </c>
      <c r="G976">
        <v>0</v>
      </c>
      <c r="H976">
        <v>0.88073634253197741</v>
      </c>
      <c r="I976">
        <v>0</v>
      </c>
      <c r="J976" t="s">
        <v>90</v>
      </c>
      <c r="K976">
        <v>0</v>
      </c>
      <c r="L976">
        <v>0.88073634253197741</v>
      </c>
      <c r="M976">
        <v>0</v>
      </c>
      <c r="N976">
        <v>0</v>
      </c>
      <c r="O976">
        <v>0.88073634253197741</v>
      </c>
      <c r="P976" t="s">
        <v>90</v>
      </c>
      <c r="Q976">
        <v>0</v>
      </c>
      <c r="R976" t="s">
        <v>90</v>
      </c>
      <c r="S976">
        <v>0</v>
      </c>
      <c r="T976" t="s">
        <v>90</v>
      </c>
      <c r="U976">
        <v>0</v>
      </c>
      <c r="V976" t="s">
        <v>90</v>
      </c>
      <c r="W976">
        <v>0</v>
      </c>
      <c r="X976" t="s">
        <v>90</v>
      </c>
      <c r="Y976">
        <v>0</v>
      </c>
      <c r="Z976">
        <v>0.88073634253197741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N976" t="s">
        <v>185</v>
      </c>
      <c r="AO976" t="s">
        <v>73</v>
      </c>
      <c r="AP976">
        <v>200000</v>
      </c>
      <c r="AQ976" t="s">
        <v>73</v>
      </c>
      <c r="AS976">
        <v>10000</v>
      </c>
      <c r="AT976" t="s">
        <v>8187</v>
      </c>
      <c r="AU976" t="s">
        <v>75</v>
      </c>
      <c r="AV976" t="s">
        <v>76</v>
      </c>
    </row>
    <row r="977" spans="1:48" x14ac:dyDescent="0.15">
      <c r="A977" s="4" t="str">
        <f>HYPERLINK("https://ibp.a2mac1.com/costing(costing:projects/details/9760/assembly/8417122)","Fixing parts")</f>
        <v>Fixing parts</v>
      </c>
      <c r="B977">
        <v>8417122</v>
      </c>
      <c r="D977">
        <v>8416652</v>
      </c>
      <c r="F977">
        <v>1</v>
      </c>
      <c r="G977">
        <v>0</v>
      </c>
      <c r="H977">
        <v>5.6482351915163639E-2</v>
      </c>
      <c r="I977">
        <v>0</v>
      </c>
      <c r="J977" t="s">
        <v>90</v>
      </c>
      <c r="K977">
        <v>0</v>
      </c>
      <c r="L977">
        <v>5.6482351915163639E-2</v>
      </c>
      <c r="M977">
        <v>0</v>
      </c>
      <c r="N977">
        <v>0</v>
      </c>
      <c r="O977">
        <v>5.6482351915163639E-2</v>
      </c>
      <c r="P977" t="s">
        <v>90</v>
      </c>
      <c r="Q977">
        <v>0</v>
      </c>
      <c r="R977" t="s">
        <v>90</v>
      </c>
      <c r="S977">
        <v>0</v>
      </c>
      <c r="T977" t="s">
        <v>90</v>
      </c>
      <c r="U977">
        <v>0</v>
      </c>
      <c r="V977" t="s">
        <v>90</v>
      </c>
      <c r="W977">
        <v>0</v>
      </c>
      <c r="X977" t="s">
        <v>90</v>
      </c>
      <c r="Y977">
        <v>0</v>
      </c>
      <c r="Z977">
        <v>5.6482351915163639E-2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N977" t="s">
        <v>185</v>
      </c>
      <c r="AO977" t="s">
        <v>73</v>
      </c>
      <c r="AP977">
        <v>200000</v>
      </c>
      <c r="AQ977" t="s">
        <v>73</v>
      </c>
      <c r="AS977">
        <v>10000</v>
      </c>
      <c r="AT977" t="s">
        <v>8192</v>
      </c>
      <c r="AU977" t="s">
        <v>75</v>
      </c>
      <c r="AV977" t="s">
        <v>76</v>
      </c>
    </row>
    <row r="978" spans="1:48" x14ac:dyDescent="0.15">
      <c r="A978" s="4" t="str">
        <f>HYPERLINK("https://ibp.a2mac1.com/costing(costing:projects/details/9760/assembly/8416652)","Rear floor panel")</f>
        <v>Rear floor panel</v>
      </c>
      <c r="B978">
        <v>8416652</v>
      </c>
      <c r="D978">
        <v>8416432</v>
      </c>
      <c r="F978">
        <v>1</v>
      </c>
      <c r="G978">
        <v>0</v>
      </c>
      <c r="H978">
        <v>0.93721869444714101</v>
      </c>
      <c r="I978">
        <v>0</v>
      </c>
      <c r="J978" t="s">
        <v>90</v>
      </c>
      <c r="K978">
        <v>0</v>
      </c>
      <c r="L978">
        <v>0.93721869444714101</v>
      </c>
      <c r="M978">
        <v>0</v>
      </c>
      <c r="N978">
        <v>0</v>
      </c>
      <c r="O978">
        <v>0.93721869444714101</v>
      </c>
      <c r="P978" t="s">
        <v>90</v>
      </c>
      <c r="Q978">
        <v>0</v>
      </c>
      <c r="R978" t="s">
        <v>90</v>
      </c>
      <c r="S978">
        <v>0</v>
      </c>
      <c r="T978" t="s">
        <v>90</v>
      </c>
      <c r="U978">
        <v>0</v>
      </c>
      <c r="V978" t="s">
        <v>90</v>
      </c>
      <c r="W978">
        <v>0</v>
      </c>
      <c r="X978" t="s">
        <v>90</v>
      </c>
      <c r="Y978">
        <v>0</v>
      </c>
      <c r="Z978">
        <v>0.93721869444714101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N978" t="s">
        <v>185</v>
      </c>
      <c r="AO978" t="s">
        <v>73</v>
      </c>
      <c r="AP978">
        <v>200000</v>
      </c>
      <c r="AQ978" t="s">
        <v>73</v>
      </c>
      <c r="AS978">
        <v>10000</v>
      </c>
      <c r="AT978" t="s">
        <v>8193</v>
      </c>
      <c r="AU978" t="s">
        <v>75</v>
      </c>
      <c r="AV978" t="s">
        <v>76</v>
      </c>
    </row>
    <row r="979" spans="1:48" x14ac:dyDescent="0.15">
      <c r="A979" s="4" t="str">
        <f>HYPERLINK("https://ibp.a2mac1.com/costing(costing:projects/details/9760/assembly/8416432)","Rear floor assy")</f>
        <v>Rear floor assy</v>
      </c>
      <c r="B979">
        <v>8416432</v>
      </c>
      <c r="D979">
        <v>8416073</v>
      </c>
      <c r="F979">
        <v>1</v>
      </c>
      <c r="G979">
        <v>0</v>
      </c>
      <c r="H979">
        <v>0.93721869444714101</v>
      </c>
      <c r="I979">
        <v>0</v>
      </c>
      <c r="J979" t="s">
        <v>90</v>
      </c>
      <c r="K979">
        <v>0</v>
      </c>
      <c r="L979">
        <v>0.93721869444714101</v>
      </c>
      <c r="M979">
        <v>0</v>
      </c>
      <c r="N979">
        <v>0</v>
      </c>
      <c r="O979">
        <v>0.93721869444714101</v>
      </c>
      <c r="P979" t="s">
        <v>90</v>
      </c>
      <c r="Q979">
        <v>0</v>
      </c>
      <c r="R979" t="s">
        <v>90</v>
      </c>
      <c r="S979">
        <v>0</v>
      </c>
      <c r="T979" t="s">
        <v>90</v>
      </c>
      <c r="U979">
        <v>0</v>
      </c>
      <c r="V979" t="s">
        <v>90</v>
      </c>
      <c r="W979">
        <v>0</v>
      </c>
      <c r="X979" t="s">
        <v>90</v>
      </c>
      <c r="Y979">
        <v>0</v>
      </c>
      <c r="Z979">
        <v>0.93721869444714101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N979" t="s">
        <v>185</v>
      </c>
      <c r="AO979" t="s">
        <v>73</v>
      </c>
      <c r="AP979">
        <v>200000</v>
      </c>
      <c r="AQ979" t="s">
        <v>73</v>
      </c>
      <c r="AS979">
        <v>10000</v>
      </c>
      <c r="AT979" t="s">
        <v>8194</v>
      </c>
      <c r="AU979" t="s">
        <v>75</v>
      </c>
      <c r="AV979" t="s">
        <v>76</v>
      </c>
    </row>
    <row r="980" spans="1:48" x14ac:dyDescent="0.15">
      <c r="A980" s="4" t="str">
        <f>HYPERLINK("https://ibp.a2mac1.com/costing(costing:projects/details/9760/assembly/8416653)","Frame")</f>
        <v>Frame</v>
      </c>
      <c r="B980">
        <v>8416653</v>
      </c>
      <c r="D980">
        <v>8416433</v>
      </c>
      <c r="F980">
        <v>1</v>
      </c>
      <c r="G980">
        <v>0</v>
      </c>
      <c r="H980">
        <v>311.78421761395339</v>
      </c>
      <c r="I980">
        <v>0</v>
      </c>
      <c r="J980" t="s">
        <v>90</v>
      </c>
      <c r="K980">
        <v>0</v>
      </c>
      <c r="L980">
        <v>311.78421761395339</v>
      </c>
      <c r="M980">
        <v>0</v>
      </c>
      <c r="N980">
        <v>0</v>
      </c>
      <c r="O980">
        <v>311.78421761395339</v>
      </c>
      <c r="P980" t="s">
        <v>90</v>
      </c>
      <c r="Q980">
        <v>0</v>
      </c>
      <c r="R980" t="s">
        <v>90</v>
      </c>
      <c r="S980">
        <v>0</v>
      </c>
      <c r="T980" t="s">
        <v>90</v>
      </c>
      <c r="U980">
        <v>0</v>
      </c>
      <c r="V980" t="s">
        <v>90</v>
      </c>
      <c r="W980">
        <v>0</v>
      </c>
      <c r="X980" t="s">
        <v>90</v>
      </c>
      <c r="Y980">
        <v>0</v>
      </c>
      <c r="Z980">
        <v>311.78421761395339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N980" t="s">
        <v>185</v>
      </c>
      <c r="AO980" t="s">
        <v>73</v>
      </c>
      <c r="AP980">
        <v>200000</v>
      </c>
      <c r="AQ980" t="s">
        <v>73</v>
      </c>
      <c r="AS980">
        <v>10000</v>
      </c>
      <c r="AT980" t="s">
        <v>8207</v>
      </c>
      <c r="AU980" t="s">
        <v>75</v>
      </c>
      <c r="AV980" t="s">
        <v>76</v>
      </c>
    </row>
    <row r="981" spans="1:48" x14ac:dyDescent="0.15">
      <c r="A981" s="4" t="str">
        <f>HYPERLINK("https://ibp.a2mac1.com/costing(costing:projects/details/9760/assembly/8416654)","Fixing parts")</f>
        <v>Fixing parts</v>
      </c>
      <c r="B981">
        <v>8416654</v>
      </c>
      <c r="D981">
        <v>8416433</v>
      </c>
      <c r="F981">
        <v>1</v>
      </c>
      <c r="G981">
        <v>0</v>
      </c>
      <c r="H981">
        <v>5.3702829231774061</v>
      </c>
      <c r="I981">
        <v>0</v>
      </c>
      <c r="J981" t="s">
        <v>90</v>
      </c>
      <c r="K981">
        <v>0</v>
      </c>
      <c r="L981">
        <v>5.3702829231774061</v>
      </c>
      <c r="M981">
        <v>0</v>
      </c>
      <c r="N981">
        <v>0</v>
      </c>
      <c r="O981">
        <v>5.3702829231774061</v>
      </c>
      <c r="P981" t="s">
        <v>90</v>
      </c>
      <c r="Q981">
        <v>0</v>
      </c>
      <c r="R981" t="s">
        <v>90</v>
      </c>
      <c r="S981">
        <v>0</v>
      </c>
      <c r="T981" t="s">
        <v>90</v>
      </c>
      <c r="U981">
        <v>0</v>
      </c>
      <c r="V981" t="s">
        <v>90</v>
      </c>
      <c r="W981">
        <v>0</v>
      </c>
      <c r="X981" t="s">
        <v>90</v>
      </c>
      <c r="Y981">
        <v>0</v>
      </c>
      <c r="Z981">
        <v>5.3702829231774061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N981" t="s">
        <v>185</v>
      </c>
      <c r="AO981" t="s">
        <v>73</v>
      </c>
      <c r="AP981">
        <v>200000</v>
      </c>
      <c r="AQ981" t="s">
        <v>73</v>
      </c>
      <c r="AS981">
        <v>10000</v>
      </c>
      <c r="AT981" t="s">
        <v>8213</v>
      </c>
      <c r="AU981" t="s">
        <v>75</v>
      </c>
      <c r="AV981" t="s">
        <v>76</v>
      </c>
    </row>
    <row r="982" spans="1:48" x14ac:dyDescent="0.15">
      <c r="A982" s="4" t="str">
        <f>HYPERLINK("https://ibp.a2mac1.com/costing(costing:projects/details/9760/assembly/8416433)","Rear side member assy")</f>
        <v>Rear side member assy</v>
      </c>
      <c r="B982">
        <v>8416433</v>
      </c>
      <c r="D982">
        <v>8416073</v>
      </c>
      <c r="F982">
        <v>1</v>
      </c>
      <c r="G982">
        <v>0</v>
      </c>
      <c r="H982">
        <v>317.15450053713079</v>
      </c>
      <c r="I982">
        <v>0</v>
      </c>
      <c r="J982" t="s">
        <v>90</v>
      </c>
      <c r="K982">
        <v>0</v>
      </c>
      <c r="L982">
        <v>317.15450053713079</v>
      </c>
      <c r="M982">
        <v>0</v>
      </c>
      <c r="N982">
        <v>0</v>
      </c>
      <c r="O982">
        <v>317.15450053713079</v>
      </c>
      <c r="P982" t="s">
        <v>90</v>
      </c>
      <c r="Q982">
        <v>0</v>
      </c>
      <c r="R982" t="s">
        <v>90</v>
      </c>
      <c r="S982">
        <v>0</v>
      </c>
      <c r="T982" t="s">
        <v>90</v>
      </c>
      <c r="U982">
        <v>0</v>
      </c>
      <c r="V982" t="s">
        <v>90</v>
      </c>
      <c r="W982">
        <v>0</v>
      </c>
      <c r="X982" t="s">
        <v>90</v>
      </c>
      <c r="Y982">
        <v>0</v>
      </c>
      <c r="Z982">
        <v>317.15450053713079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N982" t="s">
        <v>185</v>
      </c>
      <c r="AO982" t="s">
        <v>73</v>
      </c>
      <c r="AP982">
        <v>200000</v>
      </c>
      <c r="AQ982" t="s">
        <v>73</v>
      </c>
      <c r="AS982">
        <v>10000</v>
      </c>
      <c r="AT982" t="s">
        <v>8214</v>
      </c>
      <c r="AU982" t="s">
        <v>75</v>
      </c>
      <c r="AV982" t="s">
        <v>76</v>
      </c>
    </row>
    <row r="983" spans="1:48" x14ac:dyDescent="0.15">
      <c r="A983" s="4" t="str">
        <f>HYPERLINK("https://ibp.a2mac1.com/costing(costing:projects/details/9760/assembly/8416073)","Rear unit")</f>
        <v>Rear unit</v>
      </c>
      <c r="B983">
        <v>8416073</v>
      </c>
      <c r="D983">
        <v>8415759</v>
      </c>
      <c r="F983">
        <v>1</v>
      </c>
      <c r="G983">
        <v>0</v>
      </c>
      <c r="H983">
        <v>318.09171923157794</v>
      </c>
      <c r="I983">
        <v>0</v>
      </c>
      <c r="J983" t="s">
        <v>90</v>
      </c>
      <c r="K983">
        <v>0</v>
      </c>
      <c r="L983">
        <v>318.09171923157794</v>
      </c>
      <c r="M983">
        <v>0</v>
      </c>
      <c r="N983">
        <v>0</v>
      </c>
      <c r="O983">
        <v>318.09171923157794</v>
      </c>
      <c r="P983" t="s">
        <v>90</v>
      </c>
      <c r="Q983">
        <v>0</v>
      </c>
      <c r="R983" t="s">
        <v>90</v>
      </c>
      <c r="S983">
        <v>0</v>
      </c>
      <c r="T983" t="s">
        <v>90</v>
      </c>
      <c r="U983">
        <v>0</v>
      </c>
      <c r="V983" t="s">
        <v>90</v>
      </c>
      <c r="W983">
        <v>0</v>
      </c>
      <c r="X983" t="s">
        <v>90</v>
      </c>
      <c r="Y983">
        <v>0</v>
      </c>
      <c r="Z983">
        <v>318.09171923157794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N983" t="s">
        <v>185</v>
      </c>
      <c r="AO983" t="s">
        <v>73</v>
      </c>
      <c r="AP983">
        <v>200000</v>
      </c>
      <c r="AQ983" t="s">
        <v>73</v>
      </c>
      <c r="AS983">
        <v>10000</v>
      </c>
      <c r="AT983" t="s">
        <v>8215</v>
      </c>
      <c r="AU983" t="s">
        <v>75</v>
      </c>
      <c r="AV983" t="s">
        <v>76</v>
      </c>
    </row>
    <row r="984" spans="1:48" x14ac:dyDescent="0.15">
      <c r="A984" s="4" t="str">
        <f>HYPERLINK("https://ibp.a2mac1.com/costing(costing:projects/details/9760/assembly/8415759)","Underbody")</f>
        <v>Underbody</v>
      </c>
      <c r="B984">
        <v>8415759</v>
      </c>
      <c r="D984">
        <v>8415606</v>
      </c>
      <c r="F984">
        <v>1</v>
      </c>
      <c r="G984">
        <v>0</v>
      </c>
      <c r="H984">
        <v>721.91606904864761</v>
      </c>
      <c r="I984">
        <v>0</v>
      </c>
      <c r="J984" t="s">
        <v>90</v>
      </c>
      <c r="K984">
        <v>0</v>
      </c>
      <c r="L984">
        <v>721.91606904864761</v>
      </c>
      <c r="M984">
        <v>0</v>
      </c>
      <c r="N984">
        <v>0</v>
      </c>
      <c r="O984">
        <v>721.91606904864761</v>
      </c>
      <c r="P984" t="s">
        <v>90</v>
      </c>
      <c r="Q984">
        <v>0</v>
      </c>
      <c r="R984" t="s">
        <v>90</v>
      </c>
      <c r="S984">
        <v>0</v>
      </c>
      <c r="T984" t="s">
        <v>90</v>
      </c>
      <c r="U984">
        <v>0</v>
      </c>
      <c r="V984" t="s">
        <v>90</v>
      </c>
      <c r="W984">
        <v>0</v>
      </c>
      <c r="X984" t="s">
        <v>90</v>
      </c>
      <c r="Y984">
        <v>0</v>
      </c>
      <c r="Z984">
        <v>721.91606904864761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N984" t="s">
        <v>185</v>
      </c>
      <c r="AO984" t="s">
        <v>73</v>
      </c>
      <c r="AP984">
        <v>200000</v>
      </c>
      <c r="AQ984" t="s">
        <v>73</v>
      </c>
      <c r="AS984">
        <v>10000</v>
      </c>
      <c r="AT984" t="s">
        <v>8216</v>
      </c>
      <c r="AU984" t="s">
        <v>75</v>
      </c>
      <c r="AV984" t="s">
        <v>76</v>
      </c>
    </row>
    <row r="985" spans="1:48" x14ac:dyDescent="0.15">
      <c r="A985" s="4" t="str">
        <f>HYPERLINK("https://ibp.a2mac1.com/costing(costing:projects/details/9760/assembly/8415606)","Body In White (With Paint)")</f>
        <v>Body In White (With Paint)</v>
      </c>
      <c r="B985">
        <v>8415606</v>
      </c>
      <c r="D985">
        <v>8415577</v>
      </c>
      <c r="F985">
        <v>1</v>
      </c>
      <c r="G985">
        <v>0</v>
      </c>
      <c r="H985">
        <v>975.61415985855763</v>
      </c>
      <c r="I985">
        <v>4.9025837178821989</v>
      </c>
      <c r="J985" t="s">
        <v>176</v>
      </c>
      <c r="K985">
        <v>34.146495595049515</v>
      </c>
      <c r="L985">
        <v>1014.6632391714893</v>
      </c>
      <c r="M985">
        <v>0</v>
      </c>
      <c r="N985">
        <v>360.1851550514192</v>
      </c>
      <c r="O985">
        <v>1374.8483942229086</v>
      </c>
      <c r="P985" t="s">
        <v>90</v>
      </c>
      <c r="Q985">
        <v>0</v>
      </c>
      <c r="R985" t="s">
        <v>90</v>
      </c>
      <c r="S985">
        <v>0</v>
      </c>
      <c r="T985" t="s">
        <v>90</v>
      </c>
      <c r="U985">
        <v>0</v>
      </c>
      <c r="V985" t="s">
        <v>90</v>
      </c>
      <c r="W985">
        <v>0</v>
      </c>
      <c r="X985" t="s">
        <v>90</v>
      </c>
      <c r="Y985">
        <v>0</v>
      </c>
      <c r="Z985">
        <v>1374.8483942229086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N985" t="s">
        <v>8223</v>
      </c>
      <c r="AO985" t="s">
        <v>73</v>
      </c>
      <c r="AP985">
        <v>200000</v>
      </c>
      <c r="AQ985" t="s">
        <v>73</v>
      </c>
      <c r="AS985">
        <v>10000</v>
      </c>
      <c r="AT985" t="s">
        <v>8224</v>
      </c>
      <c r="AU985" t="s">
        <v>75</v>
      </c>
      <c r="AV985" t="s">
        <v>76</v>
      </c>
    </row>
    <row r="986" spans="1:48" x14ac:dyDescent="0.15">
      <c r="A986" s="4" t="str">
        <f>HYPERLINK("https://ibp.a2mac1.com/costing(costing:projects/details/9760/assembly/8415577)","Frame")</f>
        <v>Frame</v>
      </c>
      <c r="B986">
        <v>8415577</v>
      </c>
      <c r="D986">
        <v>8415575</v>
      </c>
      <c r="F986">
        <v>1</v>
      </c>
      <c r="G986">
        <v>0</v>
      </c>
      <c r="H986">
        <v>1764.1922375074028</v>
      </c>
      <c r="I986">
        <v>0</v>
      </c>
      <c r="J986" t="s">
        <v>90</v>
      </c>
      <c r="K986">
        <v>0</v>
      </c>
      <c r="L986">
        <v>1764.1922375074028</v>
      </c>
      <c r="M986">
        <v>0</v>
      </c>
      <c r="N986">
        <v>0</v>
      </c>
      <c r="O986">
        <v>1764.1922375074028</v>
      </c>
      <c r="P986" t="s">
        <v>90</v>
      </c>
      <c r="Q986">
        <v>0</v>
      </c>
      <c r="R986" t="s">
        <v>90</v>
      </c>
      <c r="S986">
        <v>0</v>
      </c>
      <c r="T986" t="s">
        <v>90</v>
      </c>
      <c r="U986">
        <v>0</v>
      </c>
      <c r="V986" t="s">
        <v>90</v>
      </c>
      <c r="W986">
        <v>0</v>
      </c>
      <c r="X986" t="s">
        <v>90</v>
      </c>
      <c r="Y986">
        <v>0</v>
      </c>
      <c r="Z986">
        <v>1764.1922375074028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L986">
        <v>384.49709999999999</v>
      </c>
      <c r="AN986" t="s">
        <v>185</v>
      </c>
      <c r="AO986" t="s">
        <v>73</v>
      </c>
      <c r="AP986">
        <v>200000</v>
      </c>
      <c r="AQ986" t="s">
        <v>73</v>
      </c>
      <c r="AS986">
        <v>10000</v>
      </c>
      <c r="AT986" t="s">
        <v>8245</v>
      </c>
      <c r="AU986" t="s">
        <v>75</v>
      </c>
      <c r="AV986" t="s">
        <v>76</v>
      </c>
    </row>
    <row r="987" spans="1:48" x14ac:dyDescent="0.15">
      <c r="A987" s="4" t="str">
        <f>HYPERLINK("https://ibp.a2mac1.com/costing(costing:projects/details/9760/assembly/8415760)","Left Fender")</f>
        <v>Left Fender</v>
      </c>
      <c r="B987">
        <v>8415760</v>
      </c>
      <c r="D987">
        <v>8415607</v>
      </c>
      <c r="F987">
        <v>1</v>
      </c>
      <c r="G987">
        <v>0</v>
      </c>
      <c r="H987">
        <v>2.8451370364029889</v>
      </c>
      <c r="I987">
        <v>1.429717103720095E-2</v>
      </c>
      <c r="J987" t="s">
        <v>176</v>
      </c>
      <c r="K987">
        <v>9.9579796274104612E-2</v>
      </c>
      <c r="L987">
        <v>2.9590140037142945</v>
      </c>
      <c r="M987">
        <v>0</v>
      </c>
      <c r="N987">
        <v>1.1829715869232027</v>
      </c>
      <c r="O987">
        <v>4.1419855906374972</v>
      </c>
      <c r="P987" t="s">
        <v>90</v>
      </c>
      <c r="Q987">
        <v>0</v>
      </c>
      <c r="R987" t="s">
        <v>90</v>
      </c>
      <c r="S987">
        <v>0</v>
      </c>
      <c r="T987" t="s">
        <v>90</v>
      </c>
      <c r="U987">
        <v>0</v>
      </c>
      <c r="V987" t="s">
        <v>90</v>
      </c>
      <c r="W987">
        <v>0</v>
      </c>
      <c r="X987" t="s">
        <v>90</v>
      </c>
      <c r="Y987">
        <v>0</v>
      </c>
      <c r="Z987">
        <v>4.1419855906374972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340</v>
      </c>
      <c r="AI987">
        <v>1320</v>
      </c>
      <c r="AJ987">
        <v>770</v>
      </c>
      <c r="AL987">
        <v>3.6179999999999999</v>
      </c>
      <c r="AN987" t="s">
        <v>8276</v>
      </c>
      <c r="AO987" t="s">
        <v>73</v>
      </c>
      <c r="AP987">
        <v>200000</v>
      </c>
      <c r="AQ987" t="s">
        <v>73</v>
      </c>
      <c r="AS987">
        <v>10000</v>
      </c>
      <c r="AT987" t="s">
        <v>8277</v>
      </c>
      <c r="AU987" t="s">
        <v>75</v>
      </c>
      <c r="AV987" t="s">
        <v>76</v>
      </c>
    </row>
    <row r="988" spans="1:48" x14ac:dyDescent="0.15">
      <c r="A988" s="4" t="str">
        <f>HYPERLINK("https://ibp.a2mac1.com/costing(costing:projects/details/9760/assembly/8415761)","Right Fender")</f>
        <v>Right Fender</v>
      </c>
      <c r="B988">
        <v>8415761</v>
      </c>
      <c r="D988">
        <v>8415607</v>
      </c>
      <c r="F988">
        <v>1</v>
      </c>
      <c r="G988">
        <v>0</v>
      </c>
      <c r="H988">
        <v>2.8451370364029889</v>
      </c>
      <c r="I988">
        <v>1.429717103720095E-2</v>
      </c>
      <c r="J988" t="s">
        <v>176</v>
      </c>
      <c r="K988">
        <v>9.9579796274104612E-2</v>
      </c>
      <c r="L988">
        <v>2.9590140037142945</v>
      </c>
      <c r="M988">
        <v>0</v>
      </c>
      <c r="N988">
        <v>1.1829715869232027</v>
      </c>
      <c r="O988">
        <v>4.1419855906374972</v>
      </c>
      <c r="P988" t="s">
        <v>90</v>
      </c>
      <c r="Q988">
        <v>0</v>
      </c>
      <c r="R988" t="s">
        <v>90</v>
      </c>
      <c r="S988">
        <v>0</v>
      </c>
      <c r="T988" t="s">
        <v>90</v>
      </c>
      <c r="U988">
        <v>0</v>
      </c>
      <c r="V988" t="s">
        <v>90</v>
      </c>
      <c r="W988">
        <v>0</v>
      </c>
      <c r="X988" t="s">
        <v>90</v>
      </c>
      <c r="Y988">
        <v>0</v>
      </c>
      <c r="Z988">
        <v>4.1419855906374972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340</v>
      </c>
      <c r="AI988">
        <v>1320</v>
      </c>
      <c r="AJ988">
        <v>770</v>
      </c>
      <c r="AL988">
        <v>3.6389999999999998</v>
      </c>
      <c r="AN988" t="s">
        <v>8276</v>
      </c>
      <c r="AO988" t="s">
        <v>73</v>
      </c>
      <c r="AP988">
        <v>200000</v>
      </c>
      <c r="AQ988" t="s">
        <v>73</v>
      </c>
      <c r="AS988">
        <v>10000</v>
      </c>
      <c r="AT988" t="s">
        <v>8295</v>
      </c>
      <c r="AU988" t="s">
        <v>75</v>
      </c>
      <c r="AV988" t="s">
        <v>76</v>
      </c>
    </row>
    <row r="989" spans="1:48" x14ac:dyDescent="0.15">
      <c r="A989" s="4" t="str">
        <f>HYPERLINK("https://ibp.a2mac1.com/costing(costing:projects/details/9760/assembly/8415762)","Front Fastener")</f>
        <v>Front Fastener</v>
      </c>
      <c r="B989">
        <v>8415762</v>
      </c>
      <c r="D989">
        <v>8415607</v>
      </c>
      <c r="F989">
        <v>1</v>
      </c>
      <c r="G989">
        <v>0</v>
      </c>
      <c r="H989">
        <v>0.20151124940754275</v>
      </c>
      <c r="I989">
        <v>1.0126193437564961E-3</v>
      </c>
      <c r="J989" t="s">
        <v>176</v>
      </c>
      <c r="K989">
        <v>7.0528937292639966E-3</v>
      </c>
      <c r="L989">
        <v>0.20957676248056323</v>
      </c>
      <c r="M989">
        <v>0</v>
      </c>
      <c r="N989">
        <v>0</v>
      </c>
      <c r="O989">
        <v>0.20957676248056323</v>
      </c>
      <c r="P989" t="s">
        <v>177</v>
      </c>
      <c r="Q989">
        <v>1.2574605748833794E-2</v>
      </c>
      <c r="R989" t="s">
        <v>177</v>
      </c>
      <c r="S989">
        <v>0</v>
      </c>
      <c r="T989" t="s">
        <v>178</v>
      </c>
      <c r="U989">
        <v>2.5149211497667589E-2</v>
      </c>
      <c r="V989" t="s">
        <v>90</v>
      </c>
      <c r="W989">
        <v>0</v>
      </c>
      <c r="X989" t="s">
        <v>90</v>
      </c>
      <c r="Y989">
        <v>0</v>
      </c>
      <c r="Z989">
        <v>0.24730057972706462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95</v>
      </c>
      <c r="AI989">
        <v>209</v>
      </c>
      <c r="AJ989">
        <v>47</v>
      </c>
      <c r="AL989">
        <v>0.21199999999999999</v>
      </c>
      <c r="AN989" t="s">
        <v>5370</v>
      </c>
      <c r="AO989" t="s">
        <v>73</v>
      </c>
      <c r="AP989">
        <v>200000</v>
      </c>
      <c r="AQ989" t="s">
        <v>97</v>
      </c>
      <c r="AS989">
        <v>10000</v>
      </c>
      <c r="AT989" t="s">
        <v>8302</v>
      </c>
      <c r="AU989" t="s">
        <v>75</v>
      </c>
      <c r="AV989" t="s">
        <v>76</v>
      </c>
    </row>
    <row r="990" spans="1:48" x14ac:dyDescent="0.15">
      <c r="A990" s="4" t="str">
        <f>HYPERLINK("https://ibp.a2mac1.com/costing(costing:projects/details/9760/assembly/8415763)","Front Fastener right")</f>
        <v>Front Fastener right</v>
      </c>
      <c r="B990">
        <v>8415763</v>
      </c>
      <c r="D990">
        <v>8415607</v>
      </c>
      <c r="F990">
        <v>1</v>
      </c>
      <c r="G990">
        <v>0</v>
      </c>
      <c r="H990">
        <v>0.20151124940754275</v>
      </c>
      <c r="I990">
        <v>1.0126193437564961E-3</v>
      </c>
      <c r="J990" t="s">
        <v>176</v>
      </c>
      <c r="K990">
        <v>7.0528937292639966E-3</v>
      </c>
      <c r="L990">
        <v>0.20957676248056323</v>
      </c>
      <c r="M990">
        <v>0</v>
      </c>
      <c r="N990">
        <v>0</v>
      </c>
      <c r="O990">
        <v>0.20957676248056323</v>
      </c>
      <c r="P990" t="s">
        <v>177</v>
      </c>
      <c r="Q990">
        <v>1.2574605748833794E-2</v>
      </c>
      <c r="R990" t="s">
        <v>177</v>
      </c>
      <c r="S990">
        <v>0</v>
      </c>
      <c r="T990" t="s">
        <v>178</v>
      </c>
      <c r="U990">
        <v>2.5149211497667589E-2</v>
      </c>
      <c r="V990" t="s">
        <v>90</v>
      </c>
      <c r="W990">
        <v>0</v>
      </c>
      <c r="X990" t="s">
        <v>90</v>
      </c>
      <c r="Y990">
        <v>0</v>
      </c>
      <c r="Z990">
        <v>0.24730057972706462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95</v>
      </c>
      <c r="AI990">
        <v>209</v>
      </c>
      <c r="AJ990">
        <v>47</v>
      </c>
      <c r="AL990">
        <v>0.21099999999999999</v>
      </c>
      <c r="AN990" t="s">
        <v>5370</v>
      </c>
      <c r="AO990" t="s">
        <v>73</v>
      </c>
      <c r="AP990">
        <v>200000</v>
      </c>
      <c r="AQ990" t="s">
        <v>97</v>
      </c>
      <c r="AS990">
        <v>10000</v>
      </c>
      <c r="AT990" t="s">
        <v>8308</v>
      </c>
      <c r="AU990" t="s">
        <v>75</v>
      </c>
      <c r="AV990" t="s">
        <v>76</v>
      </c>
    </row>
    <row r="991" spans="1:48" x14ac:dyDescent="0.15">
      <c r="A991" s="4" t="str">
        <f>HYPERLINK("https://ibp.a2mac1.com/costing(costing:projects/details/9760/assembly/8415607)","Front Fenders")</f>
        <v>Front Fenders</v>
      </c>
      <c r="B991">
        <v>8415607</v>
      </c>
      <c r="D991">
        <v>8415578</v>
      </c>
      <c r="F991">
        <v>1</v>
      </c>
      <c r="G991">
        <v>0</v>
      </c>
      <c r="H991">
        <v>17.321547759021534</v>
      </c>
      <c r="I991">
        <v>8.7042953562922284E-2</v>
      </c>
      <c r="J991" t="s">
        <v>176</v>
      </c>
      <c r="K991">
        <v>0.60625417156575367</v>
      </c>
      <c r="L991">
        <v>18.014844884150211</v>
      </c>
      <c r="M991">
        <v>0</v>
      </c>
      <c r="N991">
        <v>0.26334801609320468</v>
      </c>
      <c r="O991">
        <v>18.278192900243415</v>
      </c>
      <c r="P991" t="s">
        <v>90</v>
      </c>
      <c r="Q991">
        <v>0</v>
      </c>
      <c r="R991" t="s">
        <v>90</v>
      </c>
      <c r="S991">
        <v>0</v>
      </c>
      <c r="T991" t="s">
        <v>90</v>
      </c>
      <c r="U991">
        <v>0</v>
      </c>
      <c r="V991" t="s">
        <v>90</v>
      </c>
      <c r="W991">
        <v>0</v>
      </c>
      <c r="X991" t="s">
        <v>90</v>
      </c>
      <c r="Y991">
        <v>0</v>
      </c>
      <c r="Z991">
        <v>18.278192900243415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L991">
        <v>11.244999999999999</v>
      </c>
      <c r="AN991" t="s">
        <v>8341</v>
      </c>
      <c r="AO991" t="s">
        <v>73</v>
      </c>
      <c r="AP991">
        <v>200000</v>
      </c>
      <c r="AQ991" t="s">
        <v>73</v>
      </c>
      <c r="AS991">
        <v>10000</v>
      </c>
      <c r="AT991" t="s">
        <v>8342</v>
      </c>
      <c r="AU991" t="s">
        <v>75</v>
      </c>
      <c r="AV991" t="s">
        <v>76</v>
      </c>
    </row>
    <row r="992" spans="1:48" x14ac:dyDescent="0.15">
      <c r="A992" s="4" t="str">
        <f>HYPERLINK("https://ibp.a2mac1.com/costing(costing:projects/details/9760/assembly/8415578)","Fenders")</f>
        <v>Fenders</v>
      </c>
      <c r="B992">
        <v>8415578</v>
      </c>
      <c r="D992">
        <v>8415575</v>
      </c>
      <c r="F992">
        <v>1</v>
      </c>
      <c r="G992">
        <v>0</v>
      </c>
      <c r="H992">
        <v>18.278192900243415</v>
      </c>
      <c r="I992">
        <v>0</v>
      </c>
      <c r="J992" t="s">
        <v>90</v>
      </c>
      <c r="K992">
        <v>0</v>
      </c>
      <c r="L992">
        <v>18.278192900243415</v>
      </c>
      <c r="M992">
        <v>0</v>
      </c>
      <c r="N992">
        <v>0</v>
      </c>
      <c r="O992">
        <v>18.278192900243415</v>
      </c>
      <c r="P992" t="s">
        <v>90</v>
      </c>
      <c r="Q992">
        <v>0</v>
      </c>
      <c r="R992" t="s">
        <v>90</v>
      </c>
      <c r="S992">
        <v>0</v>
      </c>
      <c r="T992" t="s">
        <v>90</v>
      </c>
      <c r="U992">
        <v>0</v>
      </c>
      <c r="V992" t="s">
        <v>90</v>
      </c>
      <c r="W992">
        <v>0</v>
      </c>
      <c r="X992" t="s">
        <v>90</v>
      </c>
      <c r="Y992">
        <v>0</v>
      </c>
      <c r="Z992">
        <v>18.278192900243415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L992">
        <v>11.244999999999999</v>
      </c>
      <c r="AN992" t="s">
        <v>185</v>
      </c>
      <c r="AO992" t="s">
        <v>73</v>
      </c>
      <c r="AP992">
        <v>200000</v>
      </c>
      <c r="AQ992" t="s">
        <v>73</v>
      </c>
      <c r="AS992">
        <v>10000</v>
      </c>
      <c r="AT992" t="s">
        <v>8343</v>
      </c>
      <c r="AU992" t="s">
        <v>75</v>
      </c>
      <c r="AV992" t="s">
        <v>76</v>
      </c>
    </row>
    <row r="993" spans="1:48" x14ac:dyDescent="0.15">
      <c r="A993" s="4" t="str">
        <f>HYPERLINK("https://ibp.a2mac1.com/costing(costing:projects/details/9760/assembly/8416099)","Bezel System")</f>
        <v>Bezel System</v>
      </c>
      <c r="B993">
        <v>8416099</v>
      </c>
      <c r="D993">
        <v>8415768</v>
      </c>
      <c r="F993">
        <v>1</v>
      </c>
      <c r="G993">
        <v>0</v>
      </c>
      <c r="H993">
        <v>4.0481710587257549</v>
      </c>
      <c r="I993">
        <v>0</v>
      </c>
      <c r="J993" t="s">
        <v>90</v>
      </c>
      <c r="K993">
        <v>0</v>
      </c>
      <c r="L993">
        <v>4.0481710587257549</v>
      </c>
      <c r="M993">
        <v>0</v>
      </c>
      <c r="N993">
        <v>0</v>
      </c>
      <c r="O993">
        <v>4.0481710587257549</v>
      </c>
      <c r="P993" t="s">
        <v>90</v>
      </c>
      <c r="Q993">
        <v>0</v>
      </c>
      <c r="R993" t="s">
        <v>90</v>
      </c>
      <c r="S993">
        <v>0</v>
      </c>
      <c r="T993" t="s">
        <v>90</v>
      </c>
      <c r="U993">
        <v>0</v>
      </c>
      <c r="V993" t="s">
        <v>90</v>
      </c>
      <c r="W993">
        <v>0</v>
      </c>
      <c r="X993" t="s">
        <v>90</v>
      </c>
      <c r="Y993">
        <v>0</v>
      </c>
      <c r="Z993">
        <v>4.0481710587257549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L993">
        <v>1.58</v>
      </c>
      <c r="AN993" t="s">
        <v>185</v>
      </c>
      <c r="AO993" t="s">
        <v>73</v>
      </c>
      <c r="AP993">
        <v>200000</v>
      </c>
      <c r="AQ993" t="s">
        <v>73</v>
      </c>
      <c r="AS993">
        <v>10000</v>
      </c>
      <c r="AT993" t="s">
        <v>8369</v>
      </c>
      <c r="AU993" t="s">
        <v>75</v>
      </c>
      <c r="AV993" t="s">
        <v>76</v>
      </c>
    </row>
    <row r="994" spans="1:48" x14ac:dyDescent="0.15">
      <c r="A994" s="4" t="str">
        <f>HYPERLINK("https://ibp.a2mac1.com/costing(costing:projects/details/9760/assembly/8416100)","Mounting Bracket")</f>
        <v>Mounting Bracket</v>
      </c>
      <c r="B994">
        <v>8416100</v>
      </c>
      <c r="D994">
        <v>8415768</v>
      </c>
      <c r="F994">
        <v>1</v>
      </c>
      <c r="G994">
        <v>0</v>
      </c>
      <c r="H994">
        <v>0.47245080728904854</v>
      </c>
      <c r="I994">
        <v>0</v>
      </c>
      <c r="J994" t="s">
        <v>90</v>
      </c>
      <c r="K994">
        <v>0</v>
      </c>
      <c r="L994">
        <v>0.47245080728904854</v>
      </c>
      <c r="M994">
        <v>0</v>
      </c>
      <c r="N994">
        <v>0</v>
      </c>
      <c r="O994">
        <v>0.47245080728904854</v>
      </c>
      <c r="P994" t="s">
        <v>90</v>
      </c>
      <c r="Q994">
        <v>0</v>
      </c>
      <c r="R994" t="s">
        <v>90</v>
      </c>
      <c r="S994">
        <v>0</v>
      </c>
      <c r="T994" t="s">
        <v>90</v>
      </c>
      <c r="U994">
        <v>0</v>
      </c>
      <c r="V994" t="s">
        <v>90</v>
      </c>
      <c r="W994">
        <v>0</v>
      </c>
      <c r="X994" t="s">
        <v>90</v>
      </c>
      <c r="Y994">
        <v>0</v>
      </c>
      <c r="Z994">
        <v>0.47245080728904854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L994">
        <v>0.154</v>
      </c>
      <c r="AN994" t="s">
        <v>185</v>
      </c>
      <c r="AO994" t="s">
        <v>73</v>
      </c>
      <c r="AP994">
        <v>200000</v>
      </c>
      <c r="AQ994" t="s">
        <v>73</v>
      </c>
      <c r="AS994">
        <v>10000</v>
      </c>
      <c r="AT994" t="s">
        <v>8385</v>
      </c>
      <c r="AU994" t="s">
        <v>75</v>
      </c>
      <c r="AV994" t="s">
        <v>76</v>
      </c>
    </row>
    <row r="995" spans="1:48" x14ac:dyDescent="0.15">
      <c r="A995" s="4" t="str">
        <f>HYPERLINK("https://ibp.a2mac1.com/costing(costing:projects/details/9760/assembly/8416101)","Brake Ventilation System")</f>
        <v>Brake Ventilation System</v>
      </c>
      <c r="B995">
        <v>8416101</v>
      </c>
      <c r="D995">
        <v>8415768</v>
      </c>
      <c r="F995">
        <v>1</v>
      </c>
      <c r="G995">
        <v>0</v>
      </c>
      <c r="H995">
        <v>2.2217001560793639</v>
      </c>
      <c r="I995">
        <v>0</v>
      </c>
      <c r="J995" t="s">
        <v>90</v>
      </c>
      <c r="K995">
        <v>0</v>
      </c>
      <c r="L995">
        <v>2.2217001560793639</v>
      </c>
      <c r="M995">
        <v>0</v>
      </c>
      <c r="N995">
        <v>0</v>
      </c>
      <c r="O995">
        <v>2.2217001560793639</v>
      </c>
      <c r="P995" t="s">
        <v>90</v>
      </c>
      <c r="Q995">
        <v>0</v>
      </c>
      <c r="R995" t="s">
        <v>90</v>
      </c>
      <c r="S995">
        <v>0</v>
      </c>
      <c r="T995" t="s">
        <v>90</v>
      </c>
      <c r="U995">
        <v>0</v>
      </c>
      <c r="V995" t="s">
        <v>90</v>
      </c>
      <c r="W995">
        <v>0</v>
      </c>
      <c r="X995" t="s">
        <v>90</v>
      </c>
      <c r="Y995">
        <v>0</v>
      </c>
      <c r="Z995">
        <v>2.2217001560793639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L995">
        <v>0.92179999999999995</v>
      </c>
      <c r="AN995" t="s">
        <v>185</v>
      </c>
      <c r="AO995" t="s">
        <v>73</v>
      </c>
      <c r="AP995">
        <v>200000</v>
      </c>
      <c r="AQ995" t="s">
        <v>73</v>
      </c>
      <c r="AS995">
        <v>10000</v>
      </c>
      <c r="AT995" t="s">
        <v>8405</v>
      </c>
      <c r="AU995" t="s">
        <v>75</v>
      </c>
      <c r="AV995" t="s">
        <v>76</v>
      </c>
    </row>
    <row r="996" spans="1:48" x14ac:dyDescent="0.15">
      <c r="A996" s="4" t="str">
        <f>HYPERLINK("https://ibp.a2mac1.com/costing(costing:projects/details/9760/assembly/8415768)","Bumper")</f>
        <v>Bumper</v>
      </c>
      <c r="B996">
        <v>8415768</v>
      </c>
      <c r="D996">
        <v>8415608</v>
      </c>
      <c r="F996">
        <v>1</v>
      </c>
      <c r="G996">
        <v>0</v>
      </c>
      <c r="H996">
        <v>53.509418465873871</v>
      </c>
      <c r="I996">
        <v>0.26889155007976817</v>
      </c>
      <c r="J996" t="s">
        <v>176</v>
      </c>
      <c r="K996">
        <v>1.8728296463055853</v>
      </c>
      <c r="L996">
        <v>55.651139662259226</v>
      </c>
      <c r="M996">
        <v>0</v>
      </c>
      <c r="N996">
        <v>0</v>
      </c>
      <c r="O996">
        <v>55.651139662259226</v>
      </c>
      <c r="P996" t="s">
        <v>177</v>
      </c>
      <c r="Q996">
        <v>3.3390683797355534</v>
      </c>
      <c r="R996" t="s">
        <v>177</v>
      </c>
      <c r="S996">
        <v>0</v>
      </c>
      <c r="T996" t="s">
        <v>178</v>
      </c>
      <c r="U996">
        <v>6.6781367594711067</v>
      </c>
      <c r="V996" t="s">
        <v>90</v>
      </c>
      <c r="W996">
        <v>0</v>
      </c>
      <c r="X996" t="s">
        <v>90</v>
      </c>
      <c r="Y996">
        <v>0</v>
      </c>
      <c r="Z996">
        <v>65.668344801465878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I996">
        <v>1980</v>
      </c>
      <c r="AJ996">
        <v>565</v>
      </c>
      <c r="AL996">
        <v>7.7828999999999997</v>
      </c>
      <c r="AN996" t="s">
        <v>772</v>
      </c>
      <c r="AO996" t="s">
        <v>73</v>
      </c>
      <c r="AP996">
        <v>200000</v>
      </c>
      <c r="AQ996" t="s">
        <v>97</v>
      </c>
      <c r="AS996">
        <v>10000</v>
      </c>
      <c r="AT996" t="s">
        <v>8429</v>
      </c>
      <c r="AU996" t="s">
        <v>75</v>
      </c>
      <c r="AV996" t="s">
        <v>76</v>
      </c>
    </row>
    <row r="997" spans="1:48" x14ac:dyDescent="0.15">
      <c r="A997" s="4" t="str">
        <f>HYPERLINK("https://ibp.a2mac1.com/costing(costing:projects/details/9760/assembly/8416104)","Left")</f>
        <v>Left</v>
      </c>
      <c r="B997">
        <v>8416104</v>
      </c>
      <c r="D997">
        <v>8415769</v>
      </c>
      <c r="F997">
        <v>1</v>
      </c>
      <c r="G997">
        <v>0</v>
      </c>
      <c r="H997">
        <v>6.7414048099727246</v>
      </c>
      <c r="I997">
        <v>0</v>
      </c>
      <c r="J997" t="s">
        <v>90</v>
      </c>
      <c r="K997">
        <v>0</v>
      </c>
      <c r="L997">
        <v>6.7414048099727246</v>
      </c>
      <c r="M997">
        <v>0</v>
      </c>
      <c r="N997">
        <v>0</v>
      </c>
      <c r="O997">
        <v>6.7414048099727246</v>
      </c>
      <c r="P997" t="s">
        <v>90</v>
      </c>
      <c r="Q997">
        <v>0</v>
      </c>
      <c r="R997" t="s">
        <v>90</v>
      </c>
      <c r="S997">
        <v>0</v>
      </c>
      <c r="T997" t="s">
        <v>90</v>
      </c>
      <c r="U997">
        <v>0</v>
      </c>
      <c r="V997" t="s">
        <v>90</v>
      </c>
      <c r="W997">
        <v>0</v>
      </c>
      <c r="X997" t="s">
        <v>90</v>
      </c>
      <c r="Y997">
        <v>0</v>
      </c>
      <c r="Z997">
        <v>6.7414048099727246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L997">
        <v>1.0549999999999999</v>
      </c>
      <c r="AN997" t="s">
        <v>185</v>
      </c>
      <c r="AO997" t="s">
        <v>73</v>
      </c>
      <c r="AP997">
        <v>200000</v>
      </c>
      <c r="AQ997" t="s">
        <v>73</v>
      </c>
      <c r="AS997">
        <v>10000</v>
      </c>
      <c r="AT997" t="s">
        <v>8439</v>
      </c>
      <c r="AU997" t="s">
        <v>75</v>
      </c>
      <c r="AV997" t="s">
        <v>76</v>
      </c>
    </row>
    <row r="998" spans="1:48" x14ac:dyDescent="0.15">
      <c r="A998" s="4" t="str">
        <f>HYPERLINK("https://ibp.a2mac1.com/costing(costing:projects/details/9760/assembly/8416105)","Right")</f>
        <v>Right</v>
      </c>
      <c r="B998">
        <v>8416105</v>
      </c>
      <c r="D998">
        <v>8415769</v>
      </c>
      <c r="F998">
        <v>1</v>
      </c>
      <c r="G998">
        <v>0</v>
      </c>
      <c r="H998">
        <v>6.5681757244186612</v>
      </c>
      <c r="I998">
        <v>0</v>
      </c>
      <c r="J998" t="s">
        <v>90</v>
      </c>
      <c r="K998">
        <v>0</v>
      </c>
      <c r="L998">
        <v>6.5681757244186612</v>
      </c>
      <c r="M998">
        <v>0</v>
      </c>
      <c r="N998">
        <v>0</v>
      </c>
      <c r="O998">
        <v>6.5681757244186612</v>
      </c>
      <c r="P998" t="s">
        <v>90</v>
      </c>
      <c r="Q998">
        <v>0</v>
      </c>
      <c r="R998" t="s">
        <v>90</v>
      </c>
      <c r="S998">
        <v>0</v>
      </c>
      <c r="T998" t="s">
        <v>90</v>
      </c>
      <c r="U998">
        <v>0</v>
      </c>
      <c r="V998" t="s">
        <v>90</v>
      </c>
      <c r="W998">
        <v>0</v>
      </c>
      <c r="X998" t="s">
        <v>90</v>
      </c>
      <c r="Y998">
        <v>0</v>
      </c>
      <c r="Z998">
        <v>6.5681757244186612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L998">
        <v>0.9839</v>
      </c>
      <c r="AN998" t="s">
        <v>185</v>
      </c>
      <c r="AO998" t="s">
        <v>73</v>
      </c>
      <c r="AP998">
        <v>200000</v>
      </c>
      <c r="AQ998" t="s">
        <v>73</v>
      </c>
      <c r="AS998">
        <v>10000</v>
      </c>
      <c r="AT998" t="s">
        <v>8446</v>
      </c>
      <c r="AU998" t="s">
        <v>75</v>
      </c>
      <c r="AV998" t="s">
        <v>76</v>
      </c>
    </row>
    <row r="999" spans="1:48" x14ac:dyDescent="0.15">
      <c r="A999" s="4" t="str">
        <f>HYPERLINK("https://ibp.a2mac1.com/costing(costing:projects/details/9760/assembly/8415769)","Wheel Arch Liner")</f>
        <v>Wheel Arch Liner</v>
      </c>
      <c r="B999">
        <v>8415769</v>
      </c>
      <c r="D999">
        <v>8415608</v>
      </c>
      <c r="F999">
        <v>1</v>
      </c>
      <c r="G999">
        <v>0</v>
      </c>
      <c r="H999">
        <v>14.239944972718694</v>
      </c>
      <c r="I999">
        <v>0</v>
      </c>
      <c r="J999" t="s">
        <v>90</v>
      </c>
      <c r="K999">
        <v>0</v>
      </c>
      <c r="L999">
        <v>14.239944972718694</v>
      </c>
      <c r="M999">
        <v>0</v>
      </c>
      <c r="N999">
        <v>0</v>
      </c>
      <c r="O999">
        <v>14.239944972718694</v>
      </c>
      <c r="P999" t="s">
        <v>90</v>
      </c>
      <c r="Q999">
        <v>0</v>
      </c>
      <c r="R999" t="s">
        <v>90</v>
      </c>
      <c r="S999">
        <v>0</v>
      </c>
      <c r="T999" t="s">
        <v>90</v>
      </c>
      <c r="U999">
        <v>0</v>
      </c>
      <c r="V999" t="s">
        <v>90</v>
      </c>
      <c r="W999">
        <v>0</v>
      </c>
      <c r="X999" t="s">
        <v>90</v>
      </c>
      <c r="Y999">
        <v>0</v>
      </c>
      <c r="Z999">
        <v>14.239944972718694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L999">
        <v>2.3189000000000002</v>
      </c>
      <c r="AN999" t="s">
        <v>185</v>
      </c>
      <c r="AO999" t="s">
        <v>73</v>
      </c>
      <c r="AP999">
        <v>200000</v>
      </c>
      <c r="AQ999" t="s">
        <v>73</v>
      </c>
      <c r="AS999">
        <v>10000</v>
      </c>
      <c r="AT999" t="s">
        <v>8456</v>
      </c>
      <c r="AU999" t="s">
        <v>75</v>
      </c>
      <c r="AV999" t="s">
        <v>76</v>
      </c>
    </row>
    <row r="1000" spans="1:48" x14ac:dyDescent="0.15">
      <c r="A1000" s="4" t="str">
        <f>HYPERLINK("https://ibp.a2mac1.com/costing(costing:projects/details/9760/assembly/8415770)","Energy Absorbers System")</f>
        <v>Energy Absorbers System</v>
      </c>
      <c r="B1000">
        <v>8415770</v>
      </c>
      <c r="D1000">
        <v>8415608</v>
      </c>
      <c r="F1000">
        <v>1</v>
      </c>
      <c r="G1000">
        <v>0</v>
      </c>
      <c r="H1000">
        <v>1.1762836505770422</v>
      </c>
      <c r="I1000">
        <v>0</v>
      </c>
      <c r="J1000" t="s">
        <v>90</v>
      </c>
      <c r="K1000">
        <v>0</v>
      </c>
      <c r="L1000">
        <v>1.1762836505770422</v>
      </c>
      <c r="M1000">
        <v>0</v>
      </c>
      <c r="N1000">
        <v>0</v>
      </c>
      <c r="O1000">
        <v>1.1762836505770422</v>
      </c>
      <c r="P1000" t="s">
        <v>90</v>
      </c>
      <c r="Q1000">
        <v>0</v>
      </c>
      <c r="R1000" t="s">
        <v>90</v>
      </c>
      <c r="S1000">
        <v>0</v>
      </c>
      <c r="T1000" t="s">
        <v>90</v>
      </c>
      <c r="U1000">
        <v>0</v>
      </c>
      <c r="V1000" t="s">
        <v>90</v>
      </c>
      <c r="W1000">
        <v>0</v>
      </c>
      <c r="X1000" t="s">
        <v>90</v>
      </c>
      <c r="Y1000">
        <v>0</v>
      </c>
      <c r="Z1000">
        <v>1.1762836505770422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L1000">
        <v>0.26900000000000002</v>
      </c>
      <c r="AN1000" t="s">
        <v>185</v>
      </c>
      <c r="AO1000" t="s">
        <v>73</v>
      </c>
      <c r="AP1000">
        <v>200000</v>
      </c>
      <c r="AQ1000" t="s">
        <v>73</v>
      </c>
      <c r="AS1000">
        <v>10000</v>
      </c>
      <c r="AT1000" t="s">
        <v>8464</v>
      </c>
      <c r="AU1000" t="s">
        <v>75</v>
      </c>
      <c r="AV1000" t="s">
        <v>76</v>
      </c>
    </row>
    <row r="1001" spans="1:48" x14ac:dyDescent="0.15">
      <c r="A1001" s="4" t="str">
        <f>HYPERLINK("https://ibp.a2mac1.com/costing(costing:projects/details/9760/assembly/8415771)","Upper Cross Member System")</f>
        <v>Upper Cross Member System</v>
      </c>
      <c r="B1001">
        <v>8415771</v>
      </c>
      <c r="D1001">
        <v>8415608</v>
      </c>
      <c r="F1001">
        <v>1</v>
      </c>
      <c r="G1001">
        <v>0</v>
      </c>
      <c r="H1001">
        <v>41.411559516447632</v>
      </c>
      <c r="I1001">
        <v>0</v>
      </c>
      <c r="J1001" t="s">
        <v>90</v>
      </c>
      <c r="K1001">
        <v>0</v>
      </c>
      <c r="L1001">
        <v>41.411559516447632</v>
      </c>
      <c r="M1001">
        <v>0</v>
      </c>
      <c r="N1001">
        <v>0</v>
      </c>
      <c r="O1001">
        <v>41.411559516447632</v>
      </c>
      <c r="P1001" t="s">
        <v>90</v>
      </c>
      <c r="Q1001">
        <v>0</v>
      </c>
      <c r="R1001" t="s">
        <v>90</v>
      </c>
      <c r="S1001">
        <v>0</v>
      </c>
      <c r="T1001" t="s">
        <v>90</v>
      </c>
      <c r="U1001">
        <v>0</v>
      </c>
      <c r="V1001" t="s">
        <v>90</v>
      </c>
      <c r="W1001">
        <v>0</v>
      </c>
      <c r="X1001" t="s">
        <v>90</v>
      </c>
      <c r="Y1001">
        <v>0</v>
      </c>
      <c r="Z1001">
        <v>41.411559516447632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L1001">
        <v>11.4864</v>
      </c>
      <c r="AN1001" t="s">
        <v>185</v>
      </c>
      <c r="AO1001" t="s">
        <v>73</v>
      </c>
      <c r="AP1001">
        <v>200000</v>
      </c>
      <c r="AQ1001" t="s">
        <v>73</v>
      </c>
      <c r="AS1001">
        <v>10000</v>
      </c>
      <c r="AT1001" t="s">
        <v>8489</v>
      </c>
      <c r="AU1001" t="s">
        <v>75</v>
      </c>
      <c r="AV1001" t="s">
        <v>76</v>
      </c>
    </row>
    <row r="1002" spans="1:48" x14ac:dyDescent="0.15">
      <c r="A1002" s="4" t="str">
        <f>HYPERLINK("https://ibp.a2mac1.com/costing(costing:projects/details/9760/assembly/8415772)","Support")</f>
        <v>Support</v>
      </c>
      <c r="B1002">
        <v>8415772</v>
      </c>
      <c r="D1002">
        <v>8415608</v>
      </c>
      <c r="F1002">
        <v>1</v>
      </c>
      <c r="G1002">
        <v>0</v>
      </c>
      <c r="H1002">
        <v>3.3886851891226701</v>
      </c>
      <c r="I1002">
        <v>0</v>
      </c>
      <c r="J1002" t="s">
        <v>90</v>
      </c>
      <c r="K1002">
        <v>0</v>
      </c>
      <c r="L1002">
        <v>3.3886851891226701</v>
      </c>
      <c r="M1002">
        <v>0</v>
      </c>
      <c r="N1002">
        <v>0</v>
      </c>
      <c r="O1002">
        <v>3.3886851891226701</v>
      </c>
      <c r="P1002" t="s">
        <v>90</v>
      </c>
      <c r="Q1002">
        <v>0</v>
      </c>
      <c r="R1002" t="s">
        <v>90</v>
      </c>
      <c r="S1002">
        <v>0</v>
      </c>
      <c r="T1002" t="s">
        <v>90</v>
      </c>
      <c r="U1002">
        <v>0</v>
      </c>
      <c r="V1002" t="s">
        <v>90</v>
      </c>
      <c r="W1002">
        <v>0</v>
      </c>
      <c r="X1002" t="s">
        <v>90</v>
      </c>
      <c r="Y1002">
        <v>0</v>
      </c>
      <c r="Z1002">
        <v>3.3886851891226701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L1002">
        <v>0.87339999999999995</v>
      </c>
      <c r="AN1002" t="s">
        <v>185</v>
      </c>
      <c r="AO1002" t="s">
        <v>73</v>
      </c>
      <c r="AP1002">
        <v>200000</v>
      </c>
      <c r="AQ1002" t="s">
        <v>73</v>
      </c>
      <c r="AS1002">
        <v>10000</v>
      </c>
      <c r="AT1002" t="s">
        <v>8502</v>
      </c>
      <c r="AU1002" t="s">
        <v>75</v>
      </c>
      <c r="AV1002" t="s">
        <v>76</v>
      </c>
    </row>
    <row r="1003" spans="1:48" x14ac:dyDescent="0.15">
      <c r="A1003" s="4" t="str">
        <f>HYPERLINK("https://ibp.a2mac1.com/costing(costing:projects/details/9760/assembly/8415608)","Front Bumper")</f>
        <v>Front Bumper</v>
      </c>
      <c r="B1003">
        <v>8415608</v>
      </c>
      <c r="D1003">
        <v>8415579</v>
      </c>
      <c r="F1003">
        <v>1</v>
      </c>
      <c r="G1003">
        <v>0</v>
      </c>
      <c r="H1003">
        <v>125.88481813033192</v>
      </c>
      <c r="I1003">
        <v>0</v>
      </c>
      <c r="J1003" t="s">
        <v>90</v>
      </c>
      <c r="K1003">
        <v>0</v>
      </c>
      <c r="L1003">
        <v>125.88481813033192</v>
      </c>
      <c r="M1003">
        <v>0</v>
      </c>
      <c r="N1003">
        <v>0</v>
      </c>
      <c r="O1003">
        <v>125.88481813033192</v>
      </c>
      <c r="P1003" t="s">
        <v>90</v>
      </c>
      <c r="Q1003">
        <v>0</v>
      </c>
      <c r="R1003" t="s">
        <v>90</v>
      </c>
      <c r="S1003">
        <v>0</v>
      </c>
      <c r="T1003" t="s">
        <v>90</v>
      </c>
      <c r="U1003">
        <v>0</v>
      </c>
      <c r="V1003" t="s">
        <v>90</v>
      </c>
      <c r="W1003">
        <v>0</v>
      </c>
      <c r="X1003" t="s">
        <v>90</v>
      </c>
      <c r="Y1003">
        <v>0</v>
      </c>
      <c r="Z1003">
        <v>125.88481813033192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L1003">
        <v>22.730599999999999</v>
      </c>
      <c r="AN1003" t="s">
        <v>185</v>
      </c>
      <c r="AO1003" t="s">
        <v>73</v>
      </c>
      <c r="AP1003">
        <v>200000</v>
      </c>
      <c r="AQ1003" t="s">
        <v>73</v>
      </c>
      <c r="AS1003">
        <v>10000</v>
      </c>
      <c r="AT1003" t="s">
        <v>8503</v>
      </c>
      <c r="AU1003" t="s">
        <v>75</v>
      </c>
      <c r="AV1003" t="s">
        <v>76</v>
      </c>
    </row>
    <row r="1004" spans="1:48" x14ac:dyDescent="0.15">
      <c r="A1004" s="4" t="str">
        <f>HYPERLINK("https://ibp.a2mac1.com/costing(costing:projects/details/9760/assembly/8415773)","Rear Cross Member")</f>
        <v>Rear Cross Member</v>
      </c>
      <c r="B1004">
        <v>8415773</v>
      </c>
      <c r="D1004">
        <v>8415609</v>
      </c>
      <c r="F1004">
        <v>1</v>
      </c>
      <c r="G1004">
        <v>0</v>
      </c>
      <c r="H1004">
        <v>12.426167330526567</v>
      </c>
      <c r="I1004">
        <v>6.2443051912193813E-2</v>
      </c>
      <c r="J1004" t="s">
        <v>176</v>
      </c>
      <c r="K1004">
        <v>0.4349158565684299</v>
      </c>
      <c r="L1004">
        <v>12.923526239007192</v>
      </c>
      <c r="M1004">
        <v>0</v>
      </c>
      <c r="N1004">
        <v>6.4595735927946656</v>
      </c>
      <c r="O1004">
        <v>19.383099831801857</v>
      </c>
      <c r="P1004" t="s">
        <v>177</v>
      </c>
      <c r="Q1004">
        <v>0.77541157434043151</v>
      </c>
      <c r="R1004" t="s">
        <v>177</v>
      </c>
      <c r="S1004">
        <v>0.38757441556767991</v>
      </c>
      <c r="T1004" t="s">
        <v>178</v>
      </c>
      <c r="U1004">
        <v>2.3259719798162228</v>
      </c>
      <c r="V1004" t="s">
        <v>90</v>
      </c>
      <c r="W1004">
        <v>0</v>
      </c>
      <c r="X1004" t="s">
        <v>90</v>
      </c>
      <c r="Y1004">
        <v>0</v>
      </c>
      <c r="Z1004">
        <v>22.872057801526193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165</v>
      </c>
      <c r="AI1004">
        <v>1191</v>
      </c>
      <c r="AJ1004">
        <v>140</v>
      </c>
      <c r="AL1004">
        <v>2.351</v>
      </c>
      <c r="AN1004" t="s">
        <v>740</v>
      </c>
      <c r="AO1004" t="s">
        <v>73</v>
      </c>
      <c r="AP1004">
        <v>200000</v>
      </c>
      <c r="AQ1004" t="s">
        <v>97</v>
      </c>
      <c r="AS1004">
        <v>10000</v>
      </c>
      <c r="AT1004" t="s">
        <v>8520</v>
      </c>
      <c r="AU1004" t="s">
        <v>75</v>
      </c>
      <c r="AV1004" t="s">
        <v>76</v>
      </c>
    </row>
    <row r="1005" spans="1:48" x14ac:dyDescent="0.15">
      <c r="A1005" s="4" t="str">
        <f>HYPERLINK("https://ibp.a2mac1.com/costing(costing:projects/details/9760/assembly/8416120)","Bumper Upper Trim")</f>
        <v>Bumper Upper Trim</v>
      </c>
      <c r="B1005">
        <v>8416120</v>
      </c>
      <c r="D1005">
        <v>8415774</v>
      </c>
      <c r="F1005">
        <v>1</v>
      </c>
      <c r="G1005">
        <v>0</v>
      </c>
      <c r="H1005">
        <v>0.41930058327886038</v>
      </c>
      <c r="I1005">
        <v>0</v>
      </c>
      <c r="J1005" t="s">
        <v>90</v>
      </c>
      <c r="K1005">
        <v>0</v>
      </c>
      <c r="L1005">
        <v>0.41930058327886038</v>
      </c>
      <c r="M1005">
        <v>0</v>
      </c>
      <c r="N1005">
        <v>0</v>
      </c>
      <c r="O1005">
        <v>0.41930058327886038</v>
      </c>
      <c r="P1005" t="s">
        <v>90</v>
      </c>
      <c r="Q1005">
        <v>0</v>
      </c>
      <c r="R1005" t="s">
        <v>90</v>
      </c>
      <c r="S1005">
        <v>0</v>
      </c>
      <c r="T1005" t="s">
        <v>90</v>
      </c>
      <c r="U1005">
        <v>0</v>
      </c>
      <c r="V1005" t="s">
        <v>90</v>
      </c>
      <c r="W1005">
        <v>0</v>
      </c>
      <c r="X1005" t="s">
        <v>90</v>
      </c>
      <c r="Y1005">
        <v>0</v>
      </c>
      <c r="Z1005">
        <v>0.41930058327886038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L1005">
        <v>0.13500000000000001</v>
      </c>
      <c r="AN1005" t="s">
        <v>185</v>
      </c>
      <c r="AO1005" t="s">
        <v>73</v>
      </c>
      <c r="AP1005">
        <v>200000</v>
      </c>
      <c r="AQ1005" t="s">
        <v>73</v>
      </c>
      <c r="AS1005">
        <v>10000</v>
      </c>
      <c r="AT1005" t="s">
        <v>8530</v>
      </c>
      <c r="AU1005" t="s">
        <v>75</v>
      </c>
      <c r="AV1005" t="s">
        <v>76</v>
      </c>
    </row>
    <row r="1006" spans="1:48" x14ac:dyDescent="0.15">
      <c r="A1006" s="4" t="str">
        <f>HYPERLINK("https://ibp.a2mac1.com/costing(costing:projects/details/9760/assembly/8416121)","Bumper Lower Trim")</f>
        <v>Bumper Lower Trim</v>
      </c>
      <c r="B1006">
        <v>8416121</v>
      </c>
      <c r="D1006">
        <v>8415774</v>
      </c>
      <c r="F1006">
        <v>1</v>
      </c>
      <c r="G1006">
        <v>0</v>
      </c>
      <c r="H1006">
        <v>12.028800911554548</v>
      </c>
      <c r="I1006">
        <v>0</v>
      </c>
      <c r="J1006" t="s">
        <v>90</v>
      </c>
      <c r="K1006">
        <v>0</v>
      </c>
      <c r="L1006">
        <v>12.028800911554548</v>
      </c>
      <c r="M1006">
        <v>0</v>
      </c>
      <c r="N1006">
        <v>0</v>
      </c>
      <c r="O1006">
        <v>12.028800911554548</v>
      </c>
      <c r="P1006" t="s">
        <v>90</v>
      </c>
      <c r="Q1006">
        <v>0</v>
      </c>
      <c r="R1006" t="s">
        <v>90</v>
      </c>
      <c r="S1006">
        <v>0</v>
      </c>
      <c r="T1006" t="s">
        <v>90</v>
      </c>
      <c r="U1006">
        <v>0</v>
      </c>
      <c r="V1006" t="s">
        <v>90</v>
      </c>
      <c r="W1006">
        <v>0</v>
      </c>
      <c r="X1006" t="s">
        <v>90</v>
      </c>
      <c r="Y1006">
        <v>0</v>
      </c>
      <c r="Z1006">
        <v>12.028800911554548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L1006">
        <v>3.746</v>
      </c>
      <c r="AN1006" t="s">
        <v>185</v>
      </c>
      <c r="AO1006" t="s">
        <v>73</v>
      </c>
      <c r="AP1006">
        <v>200000</v>
      </c>
      <c r="AQ1006" t="s">
        <v>73</v>
      </c>
      <c r="AS1006">
        <v>10000</v>
      </c>
      <c r="AT1006" t="s">
        <v>8548</v>
      </c>
      <c r="AU1006" t="s">
        <v>75</v>
      </c>
      <c r="AV1006" t="s">
        <v>76</v>
      </c>
    </row>
    <row r="1007" spans="1:48" x14ac:dyDescent="0.15">
      <c r="A1007" s="4" t="str">
        <f>HYPERLINK("https://ibp.a2mac1.com/costing(costing:projects/details/9760/assembly/8415774)","Bumper")</f>
        <v>Bumper</v>
      </c>
      <c r="B1007">
        <v>8415774</v>
      </c>
      <c r="D1007">
        <v>8415609</v>
      </c>
      <c r="F1007">
        <v>1</v>
      </c>
      <c r="G1007">
        <v>0</v>
      </c>
      <c r="H1007">
        <v>49.630548325733905</v>
      </c>
      <c r="I1007">
        <v>0.24939974033032114</v>
      </c>
      <c r="J1007" t="s">
        <v>176</v>
      </c>
      <c r="K1007">
        <v>1.7370691914006868</v>
      </c>
      <c r="L1007">
        <v>51.617017257464916</v>
      </c>
      <c r="M1007">
        <v>0</v>
      </c>
      <c r="N1007">
        <v>0</v>
      </c>
      <c r="O1007">
        <v>51.617017257464916</v>
      </c>
      <c r="P1007" t="s">
        <v>177</v>
      </c>
      <c r="Q1007">
        <v>3.0970210354478951</v>
      </c>
      <c r="R1007" t="s">
        <v>177</v>
      </c>
      <c r="S1007">
        <v>0</v>
      </c>
      <c r="T1007" t="s">
        <v>178</v>
      </c>
      <c r="U1007">
        <v>6.1940420708957902</v>
      </c>
      <c r="V1007" t="s">
        <v>90</v>
      </c>
      <c r="W1007">
        <v>0</v>
      </c>
      <c r="X1007" t="s">
        <v>90</v>
      </c>
      <c r="Y1007">
        <v>0</v>
      </c>
      <c r="Z1007">
        <v>60.908080363808601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735</v>
      </c>
      <c r="AI1007">
        <v>1975</v>
      </c>
      <c r="AJ1007">
        <v>585</v>
      </c>
      <c r="AL1007">
        <v>7.1382000000000003</v>
      </c>
      <c r="AN1007" t="s">
        <v>772</v>
      </c>
      <c r="AO1007" t="s">
        <v>73</v>
      </c>
      <c r="AP1007">
        <v>200000</v>
      </c>
      <c r="AQ1007" t="s">
        <v>97</v>
      </c>
      <c r="AS1007">
        <v>10000</v>
      </c>
      <c r="AT1007" t="s">
        <v>8564</v>
      </c>
      <c r="AU1007" t="s">
        <v>75</v>
      </c>
      <c r="AV1007" t="s">
        <v>76</v>
      </c>
    </row>
    <row r="1008" spans="1:48" x14ac:dyDescent="0.15">
      <c r="A1008" s="4" t="str">
        <f>HYPERLINK("https://ibp.a2mac1.com/costing(costing:projects/details/9760/assembly/8415775)","Bumper Bracket on Body")</f>
        <v>Bumper Bracket on Body</v>
      </c>
      <c r="B1008">
        <v>8415775</v>
      </c>
      <c r="D1008">
        <v>8415609</v>
      </c>
      <c r="F1008">
        <v>1</v>
      </c>
      <c r="G1008">
        <v>0</v>
      </c>
      <c r="H1008">
        <v>4.2601042976802805</v>
      </c>
      <c r="I1008">
        <v>0</v>
      </c>
      <c r="J1008" t="s">
        <v>90</v>
      </c>
      <c r="K1008">
        <v>0</v>
      </c>
      <c r="L1008">
        <v>4.2601042976802805</v>
      </c>
      <c r="M1008">
        <v>0</v>
      </c>
      <c r="N1008">
        <v>0</v>
      </c>
      <c r="O1008">
        <v>4.2601042976802805</v>
      </c>
      <c r="P1008" t="s">
        <v>90</v>
      </c>
      <c r="Q1008">
        <v>0</v>
      </c>
      <c r="R1008" t="s">
        <v>90</v>
      </c>
      <c r="S1008">
        <v>0</v>
      </c>
      <c r="T1008" t="s">
        <v>90</v>
      </c>
      <c r="U1008">
        <v>0</v>
      </c>
      <c r="V1008" t="s">
        <v>90</v>
      </c>
      <c r="W1008">
        <v>0</v>
      </c>
      <c r="X1008" t="s">
        <v>90</v>
      </c>
      <c r="Y1008">
        <v>0</v>
      </c>
      <c r="Z1008">
        <v>4.2601042976802805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L1008">
        <v>1.2549999999999999</v>
      </c>
      <c r="AN1008" t="s">
        <v>185</v>
      </c>
      <c r="AO1008" t="s">
        <v>73</v>
      </c>
      <c r="AP1008">
        <v>200000</v>
      </c>
      <c r="AQ1008" t="s">
        <v>73</v>
      </c>
      <c r="AS1008">
        <v>10000</v>
      </c>
      <c r="AT1008" t="s">
        <v>8591</v>
      </c>
      <c r="AU1008" t="s">
        <v>75</v>
      </c>
      <c r="AV1008" t="s">
        <v>76</v>
      </c>
    </row>
    <row r="1009" spans="1:48" x14ac:dyDescent="0.15">
      <c r="A1009" s="4" t="str">
        <f>HYPERLINK("https://ibp.a2mac1.com/costing(costing:projects/details/9760/assembly/8416129)","Left Side")</f>
        <v>Left Side</v>
      </c>
      <c r="B1009">
        <v>8416129</v>
      </c>
      <c r="D1009">
        <v>8415776</v>
      </c>
      <c r="F1009">
        <v>1</v>
      </c>
      <c r="G1009">
        <v>0</v>
      </c>
      <c r="H1009">
        <v>6.9449789621854041</v>
      </c>
      <c r="I1009">
        <v>0</v>
      </c>
      <c r="J1009" t="s">
        <v>90</v>
      </c>
      <c r="K1009">
        <v>0</v>
      </c>
      <c r="L1009">
        <v>6.9449789621854041</v>
      </c>
      <c r="M1009">
        <v>0</v>
      </c>
      <c r="N1009">
        <v>0</v>
      </c>
      <c r="O1009">
        <v>6.9449789621854041</v>
      </c>
      <c r="P1009" t="s">
        <v>90</v>
      </c>
      <c r="Q1009">
        <v>0</v>
      </c>
      <c r="R1009" t="s">
        <v>90</v>
      </c>
      <c r="S1009">
        <v>0</v>
      </c>
      <c r="T1009" t="s">
        <v>90</v>
      </c>
      <c r="U1009">
        <v>0</v>
      </c>
      <c r="V1009" t="s">
        <v>90</v>
      </c>
      <c r="W1009">
        <v>0</v>
      </c>
      <c r="X1009" t="s">
        <v>90</v>
      </c>
      <c r="Y1009">
        <v>0</v>
      </c>
      <c r="Z1009">
        <v>6.9449789621854041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L1009">
        <v>0.89300000000000002</v>
      </c>
      <c r="AN1009" t="s">
        <v>185</v>
      </c>
      <c r="AO1009" t="s">
        <v>73</v>
      </c>
      <c r="AP1009">
        <v>200000</v>
      </c>
      <c r="AQ1009" t="s">
        <v>73</v>
      </c>
      <c r="AS1009">
        <v>10000</v>
      </c>
      <c r="AT1009" t="s">
        <v>8599</v>
      </c>
      <c r="AU1009" t="s">
        <v>75</v>
      </c>
      <c r="AV1009" t="s">
        <v>76</v>
      </c>
    </row>
    <row r="1010" spans="1:48" x14ac:dyDescent="0.15">
      <c r="A1010" s="4" t="str">
        <f>HYPERLINK("https://ibp.a2mac1.com/costing(costing:projects/details/9760/assembly/8416130)","Right Side")</f>
        <v>Right Side</v>
      </c>
      <c r="B1010">
        <v>8416130</v>
      </c>
      <c r="D1010">
        <v>8415776</v>
      </c>
      <c r="F1010">
        <v>1</v>
      </c>
      <c r="G1010">
        <v>0</v>
      </c>
      <c r="H1010">
        <v>6.8974049969842675</v>
      </c>
      <c r="I1010">
        <v>0</v>
      </c>
      <c r="J1010" t="s">
        <v>90</v>
      </c>
      <c r="K1010">
        <v>0</v>
      </c>
      <c r="L1010">
        <v>6.8974049969842675</v>
      </c>
      <c r="M1010">
        <v>0</v>
      </c>
      <c r="N1010">
        <v>0</v>
      </c>
      <c r="O1010">
        <v>6.8974049969842675</v>
      </c>
      <c r="P1010" t="s">
        <v>90</v>
      </c>
      <c r="Q1010">
        <v>0</v>
      </c>
      <c r="R1010" t="s">
        <v>90</v>
      </c>
      <c r="S1010">
        <v>0</v>
      </c>
      <c r="T1010" t="s">
        <v>90</v>
      </c>
      <c r="U1010">
        <v>0</v>
      </c>
      <c r="V1010" t="s">
        <v>90</v>
      </c>
      <c r="W1010">
        <v>0</v>
      </c>
      <c r="X1010" t="s">
        <v>90</v>
      </c>
      <c r="Y1010">
        <v>0</v>
      </c>
      <c r="Z1010">
        <v>6.8974049969842675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L1010">
        <v>0.88200000000000001</v>
      </c>
      <c r="AN1010" t="s">
        <v>185</v>
      </c>
      <c r="AO1010" t="s">
        <v>73</v>
      </c>
      <c r="AP1010">
        <v>200000</v>
      </c>
      <c r="AQ1010" t="s">
        <v>73</v>
      </c>
      <c r="AS1010">
        <v>10000</v>
      </c>
      <c r="AT1010" t="s">
        <v>8606</v>
      </c>
      <c r="AU1010" t="s">
        <v>75</v>
      </c>
      <c r="AV1010" t="s">
        <v>76</v>
      </c>
    </row>
    <row r="1011" spans="1:48" x14ac:dyDescent="0.15">
      <c r="A1011" s="4" t="str">
        <f>HYPERLINK("https://ibp.a2mac1.com/costing(costing:projects/details/9760/assembly/8415776)","Wheel Arch Liner")</f>
        <v>Wheel Arch Liner</v>
      </c>
      <c r="B1011">
        <v>8415776</v>
      </c>
      <c r="D1011">
        <v>8415609</v>
      </c>
      <c r="F1011">
        <v>1</v>
      </c>
      <c r="G1011">
        <v>0</v>
      </c>
      <c r="H1011">
        <v>14.691110708947992</v>
      </c>
      <c r="I1011">
        <v>0</v>
      </c>
      <c r="J1011" t="s">
        <v>90</v>
      </c>
      <c r="K1011">
        <v>0</v>
      </c>
      <c r="L1011">
        <v>14.691110708947992</v>
      </c>
      <c r="M1011">
        <v>0</v>
      </c>
      <c r="N1011">
        <v>0</v>
      </c>
      <c r="O1011">
        <v>14.691110708947992</v>
      </c>
      <c r="P1011" t="s">
        <v>90</v>
      </c>
      <c r="Q1011">
        <v>0</v>
      </c>
      <c r="R1011" t="s">
        <v>90</v>
      </c>
      <c r="S1011">
        <v>0</v>
      </c>
      <c r="T1011" t="s">
        <v>90</v>
      </c>
      <c r="U1011">
        <v>0</v>
      </c>
      <c r="V1011" t="s">
        <v>90</v>
      </c>
      <c r="W1011">
        <v>0</v>
      </c>
      <c r="X1011" t="s">
        <v>90</v>
      </c>
      <c r="Y1011">
        <v>0</v>
      </c>
      <c r="Z1011">
        <v>14.691110708947992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L1011">
        <v>2.0329999999999999</v>
      </c>
      <c r="AN1011" t="s">
        <v>185</v>
      </c>
      <c r="AO1011" t="s">
        <v>73</v>
      </c>
      <c r="AP1011">
        <v>200000</v>
      </c>
      <c r="AQ1011" t="s">
        <v>73</v>
      </c>
      <c r="AS1011">
        <v>10000</v>
      </c>
      <c r="AT1011" t="s">
        <v>8616</v>
      </c>
      <c r="AU1011" t="s">
        <v>75</v>
      </c>
      <c r="AV1011" t="s">
        <v>76</v>
      </c>
    </row>
    <row r="1012" spans="1:48" x14ac:dyDescent="0.15">
      <c r="A1012" s="4" t="str">
        <f>HYPERLINK("https://ibp.a2mac1.com/costing(costing:projects/details/9760/assembly/8415609)","Rear bumper")</f>
        <v>Rear bumper</v>
      </c>
      <c r="B1012">
        <v>8415609</v>
      </c>
      <c r="D1012">
        <v>8415579</v>
      </c>
      <c r="F1012">
        <v>1</v>
      </c>
      <c r="G1012">
        <v>0</v>
      </c>
      <c r="H1012">
        <v>103.45135317196306</v>
      </c>
      <c r="I1012">
        <v>0</v>
      </c>
      <c r="J1012" t="s">
        <v>90</v>
      </c>
      <c r="K1012">
        <v>0</v>
      </c>
      <c r="L1012">
        <v>103.45135317196306</v>
      </c>
      <c r="M1012">
        <v>0</v>
      </c>
      <c r="N1012">
        <v>0</v>
      </c>
      <c r="O1012">
        <v>103.45135317196306</v>
      </c>
      <c r="P1012" t="s">
        <v>90</v>
      </c>
      <c r="Q1012">
        <v>0</v>
      </c>
      <c r="R1012" t="s">
        <v>90</v>
      </c>
      <c r="S1012">
        <v>0</v>
      </c>
      <c r="T1012" t="s">
        <v>90</v>
      </c>
      <c r="U1012">
        <v>0</v>
      </c>
      <c r="V1012" t="s">
        <v>90</v>
      </c>
      <c r="W1012">
        <v>0</v>
      </c>
      <c r="X1012" t="s">
        <v>90</v>
      </c>
      <c r="Y1012">
        <v>0</v>
      </c>
      <c r="Z1012">
        <v>103.45135317196306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L1012">
        <v>12.871600000000001</v>
      </c>
      <c r="AN1012" t="s">
        <v>185</v>
      </c>
      <c r="AO1012" t="s">
        <v>73</v>
      </c>
      <c r="AP1012">
        <v>200000</v>
      </c>
      <c r="AQ1012" t="s">
        <v>73</v>
      </c>
      <c r="AS1012">
        <v>10000</v>
      </c>
      <c r="AT1012" t="s">
        <v>8617</v>
      </c>
      <c r="AU1012" t="s">
        <v>75</v>
      </c>
      <c r="AV1012" t="s">
        <v>76</v>
      </c>
    </row>
    <row r="1013" spans="1:48" x14ac:dyDescent="0.15">
      <c r="A1013" s="4" t="str">
        <f>HYPERLINK("https://ibp.a2mac1.com/costing(costing:projects/details/9760/assembly/8415579)","Bumpers")</f>
        <v>Bumpers</v>
      </c>
      <c r="B1013">
        <v>8415579</v>
      </c>
      <c r="D1013">
        <v>8415575</v>
      </c>
      <c r="F1013">
        <v>1</v>
      </c>
      <c r="G1013">
        <v>0</v>
      </c>
      <c r="H1013">
        <v>229.33617130229499</v>
      </c>
      <c r="I1013">
        <v>0</v>
      </c>
      <c r="J1013" t="s">
        <v>90</v>
      </c>
      <c r="K1013">
        <v>0</v>
      </c>
      <c r="L1013">
        <v>229.33617130229499</v>
      </c>
      <c r="M1013">
        <v>0</v>
      </c>
      <c r="N1013">
        <v>0</v>
      </c>
      <c r="O1013">
        <v>229.33617130229499</v>
      </c>
      <c r="P1013" t="s">
        <v>90</v>
      </c>
      <c r="Q1013">
        <v>0</v>
      </c>
      <c r="R1013" t="s">
        <v>90</v>
      </c>
      <c r="S1013">
        <v>0</v>
      </c>
      <c r="T1013" t="s">
        <v>90</v>
      </c>
      <c r="U1013">
        <v>0</v>
      </c>
      <c r="V1013" t="s">
        <v>90</v>
      </c>
      <c r="W1013">
        <v>0</v>
      </c>
      <c r="X1013" t="s">
        <v>90</v>
      </c>
      <c r="Y1013">
        <v>0</v>
      </c>
      <c r="Z1013">
        <v>229.33617130229499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L1013">
        <v>35.602200000000003</v>
      </c>
      <c r="AN1013" t="s">
        <v>185</v>
      </c>
      <c r="AO1013" t="s">
        <v>73</v>
      </c>
      <c r="AP1013">
        <v>200000</v>
      </c>
      <c r="AQ1013" t="s">
        <v>73</v>
      </c>
      <c r="AS1013">
        <v>10000</v>
      </c>
      <c r="AT1013" t="s">
        <v>8618</v>
      </c>
      <c r="AU1013" t="s">
        <v>75</v>
      </c>
      <c r="AV1013" t="s">
        <v>76</v>
      </c>
    </row>
    <row r="1014" spans="1:48" x14ac:dyDescent="0.15">
      <c r="A1014" s="4" t="str">
        <f>HYPERLINK("https://ibp.a2mac1.com/costing(costing:projects/details/9760/assembly/8416131)","Left Headlamp")</f>
        <v>Left Headlamp</v>
      </c>
      <c r="B1014">
        <v>8416131</v>
      </c>
      <c r="D1014">
        <v>8415778</v>
      </c>
      <c r="F1014">
        <v>1</v>
      </c>
      <c r="G1014">
        <v>0</v>
      </c>
      <c r="H1014">
        <v>98.996070945968157</v>
      </c>
      <c r="I1014">
        <v>0.49746769319581985</v>
      </c>
      <c r="J1014" t="s">
        <v>176</v>
      </c>
      <c r="K1014">
        <v>3.4648624831088854</v>
      </c>
      <c r="L1014">
        <v>102.95840112227286</v>
      </c>
      <c r="M1014">
        <v>0</v>
      </c>
      <c r="N1014">
        <v>5.7291669045085332</v>
      </c>
      <c r="O1014">
        <v>108.68756802678139</v>
      </c>
      <c r="P1014" t="s">
        <v>177</v>
      </c>
      <c r="Q1014">
        <v>6.177504067336371</v>
      </c>
      <c r="R1014" t="s">
        <v>177</v>
      </c>
      <c r="S1014">
        <v>0.34375001427051199</v>
      </c>
      <c r="T1014" t="s">
        <v>178</v>
      </c>
      <c r="U1014">
        <v>13.042508163213768</v>
      </c>
      <c r="V1014" t="s">
        <v>90</v>
      </c>
      <c r="W1014">
        <v>0</v>
      </c>
      <c r="X1014" t="s">
        <v>90</v>
      </c>
      <c r="Y1014">
        <v>0</v>
      </c>
      <c r="Z1014">
        <v>128.25133027160203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530</v>
      </c>
      <c r="AI1014">
        <v>470</v>
      </c>
      <c r="AJ1014">
        <v>306</v>
      </c>
      <c r="AL1014">
        <v>5.2919999999999998</v>
      </c>
      <c r="AN1014" t="s">
        <v>365</v>
      </c>
      <c r="AO1014" t="s">
        <v>73</v>
      </c>
      <c r="AP1014">
        <v>200000</v>
      </c>
      <c r="AQ1014" t="s">
        <v>97</v>
      </c>
      <c r="AS1014">
        <v>10000</v>
      </c>
      <c r="AT1014" t="s">
        <v>8624</v>
      </c>
      <c r="AU1014" t="s">
        <v>75</v>
      </c>
      <c r="AV1014" t="s">
        <v>76</v>
      </c>
    </row>
    <row r="1015" spans="1:48" x14ac:dyDescent="0.15">
      <c r="A1015" s="4" t="str">
        <f>HYPERLINK("https://ibp.a2mac1.com/costing(costing:projects/details/9760/assembly/8416132)","Right Headlamp")</f>
        <v>Right Headlamp</v>
      </c>
      <c r="B1015">
        <v>8416132</v>
      </c>
      <c r="D1015">
        <v>8415778</v>
      </c>
      <c r="F1015">
        <v>1</v>
      </c>
      <c r="G1015">
        <v>0</v>
      </c>
      <c r="H1015">
        <v>98.996070945968157</v>
      </c>
      <c r="I1015">
        <v>0.49746769319581985</v>
      </c>
      <c r="J1015" t="s">
        <v>176</v>
      </c>
      <c r="K1015">
        <v>3.4648624831088854</v>
      </c>
      <c r="L1015">
        <v>102.95840112227286</v>
      </c>
      <c r="M1015">
        <v>0</v>
      </c>
      <c r="N1015">
        <v>5.7291669045085332</v>
      </c>
      <c r="O1015">
        <v>108.68756802678139</v>
      </c>
      <c r="P1015" t="s">
        <v>177</v>
      </c>
      <c r="Q1015">
        <v>6.177504067336371</v>
      </c>
      <c r="R1015" t="s">
        <v>177</v>
      </c>
      <c r="S1015">
        <v>0.34375001427051199</v>
      </c>
      <c r="T1015" t="s">
        <v>178</v>
      </c>
      <c r="U1015">
        <v>13.042508163213768</v>
      </c>
      <c r="V1015" t="s">
        <v>90</v>
      </c>
      <c r="W1015">
        <v>0</v>
      </c>
      <c r="X1015" t="s">
        <v>90</v>
      </c>
      <c r="Y1015">
        <v>0</v>
      </c>
      <c r="Z1015">
        <v>128.25133027160203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530</v>
      </c>
      <c r="AI1015">
        <v>470</v>
      </c>
      <c r="AJ1015">
        <v>306</v>
      </c>
      <c r="AL1015">
        <v>5.2939999999999996</v>
      </c>
      <c r="AN1015" t="s">
        <v>365</v>
      </c>
      <c r="AO1015" t="s">
        <v>73</v>
      </c>
      <c r="AP1015">
        <v>200000</v>
      </c>
      <c r="AQ1015" t="s">
        <v>97</v>
      </c>
      <c r="AS1015">
        <v>10000</v>
      </c>
      <c r="AT1015" t="s">
        <v>8627</v>
      </c>
      <c r="AU1015" t="s">
        <v>75</v>
      </c>
      <c r="AV1015" t="s">
        <v>76</v>
      </c>
    </row>
    <row r="1016" spans="1:48" x14ac:dyDescent="0.15">
      <c r="A1016" s="4" t="str">
        <f>HYPERLINK("https://ibp.a2mac1.com/costing(costing:projects/details/9760/assembly/8415778)","Headlamp")</f>
        <v>Headlamp</v>
      </c>
      <c r="B1016">
        <v>8415778</v>
      </c>
      <c r="D1016">
        <v>8415610</v>
      </c>
      <c r="F1016">
        <v>1</v>
      </c>
      <c r="G1016">
        <v>0</v>
      </c>
      <c r="H1016">
        <v>256.9140705432041</v>
      </c>
      <c r="I1016">
        <v>0</v>
      </c>
      <c r="J1016" t="s">
        <v>90</v>
      </c>
      <c r="K1016">
        <v>0</v>
      </c>
      <c r="L1016">
        <v>256.9140705432041</v>
      </c>
      <c r="M1016">
        <v>0</v>
      </c>
      <c r="N1016">
        <v>0</v>
      </c>
      <c r="O1016">
        <v>256.9140705432041</v>
      </c>
      <c r="P1016" t="s">
        <v>90</v>
      </c>
      <c r="Q1016">
        <v>0</v>
      </c>
      <c r="R1016" t="s">
        <v>90</v>
      </c>
      <c r="S1016">
        <v>0</v>
      </c>
      <c r="T1016" t="s">
        <v>90</v>
      </c>
      <c r="U1016">
        <v>0</v>
      </c>
      <c r="V1016" t="s">
        <v>90</v>
      </c>
      <c r="W1016">
        <v>0</v>
      </c>
      <c r="X1016" t="s">
        <v>90</v>
      </c>
      <c r="Y1016">
        <v>0</v>
      </c>
      <c r="Z1016">
        <v>256.9140705432041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L1016">
        <v>10.606999999999999</v>
      </c>
      <c r="AN1016" t="s">
        <v>185</v>
      </c>
      <c r="AO1016" t="s">
        <v>73</v>
      </c>
      <c r="AP1016">
        <v>200000</v>
      </c>
      <c r="AQ1016" t="s">
        <v>73</v>
      </c>
      <c r="AS1016">
        <v>10000</v>
      </c>
      <c r="AT1016" t="s">
        <v>8629</v>
      </c>
      <c r="AU1016" t="s">
        <v>75</v>
      </c>
      <c r="AV1016" t="s">
        <v>76</v>
      </c>
    </row>
    <row r="1017" spans="1:48" x14ac:dyDescent="0.15">
      <c r="A1017" s="4" t="str">
        <f>HYPERLINK("https://ibp.a2mac1.com/costing(costing:projects/details/9760/assembly/8416133)","Headlight ECU")</f>
        <v>Headlight ECU</v>
      </c>
      <c r="B1017">
        <v>8416133</v>
      </c>
      <c r="D1017">
        <v>8415779</v>
      </c>
      <c r="F1017">
        <v>2</v>
      </c>
      <c r="G1017">
        <v>0</v>
      </c>
      <c r="H1017">
        <v>29.999594342605342</v>
      </c>
      <c r="I1017">
        <v>0.15075173036485096</v>
      </c>
      <c r="J1017" t="s">
        <v>176</v>
      </c>
      <c r="K1017">
        <v>1.049985801991187</v>
      </c>
      <c r="L1017">
        <v>31.200331874961378</v>
      </c>
      <c r="M1017">
        <v>0</v>
      </c>
      <c r="N1017">
        <v>1.8309110689716261</v>
      </c>
      <c r="O1017">
        <v>33.031242943933002</v>
      </c>
      <c r="P1017" t="s">
        <v>177</v>
      </c>
      <c r="Q1017">
        <v>1.8720199124976826</v>
      </c>
      <c r="R1017" t="s">
        <v>177</v>
      </c>
      <c r="S1017">
        <v>0.10985466413829756</v>
      </c>
      <c r="T1017" t="s">
        <v>178</v>
      </c>
      <c r="U1017">
        <v>3.9637491532719604</v>
      </c>
      <c r="V1017" t="s">
        <v>90</v>
      </c>
      <c r="W1017">
        <v>0</v>
      </c>
      <c r="X1017" t="s">
        <v>90</v>
      </c>
      <c r="Y1017">
        <v>0</v>
      </c>
      <c r="Z1017">
        <v>38.976866673840945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40</v>
      </c>
      <c r="AI1017">
        <v>130</v>
      </c>
      <c r="AJ1017">
        <v>80</v>
      </c>
      <c r="AL1017">
        <v>0.49199999999999999</v>
      </c>
      <c r="AN1017" t="s">
        <v>365</v>
      </c>
      <c r="AO1017" t="s">
        <v>73</v>
      </c>
      <c r="AP1017">
        <v>400000</v>
      </c>
      <c r="AQ1017" t="s">
        <v>97</v>
      </c>
      <c r="AS1017">
        <v>20000</v>
      </c>
      <c r="AT1017" t="s">
        <v>8633</v>
      </c>
      <c r="AU1017" t="s">
        <v>75</v>
      </c>
      <c r="AV1017" t="s">
        <v>76</v>
      </c>
    </row>
    <row r="1018" spans="1:48" x14ac:dyDescent="0.15">
      <c r="A1018" s="4" t="str">
        <f>HYPERLINK("https://ibp.a2mac1.com/costing(costing:projects/details/9760/assembly/8415779)","Headlamp ECU")</f>
        <v>Headlamp ECU</v>
      </c>
      <c r="B1018">
        <v>8415779</v>
      </c>
      <c r="D1018">
        <v>8415610</v>
      </c>
      <c r="F1018">
        <v>1</v>
      </c>
      <c r="G1018">
        <v>0</v>
      </c>
      <c r="H1018">
        <v>39.001216673840943</v>
      </c>
      <c r="I1018">
        <v>0</v>
      </c>
      <c r="J1018" t="s">
        <v>90</v>
      </c>
      <c r="K1018">
        <v>0</v>
      </c>
      <c r="L1018">
        <v>39.001216673840943</v>
      </c>
      <c r="M1018">
        <v>0</v>
      </c>
      <c r="N1018">
        <v>0</v>
      </c>
      <c r="O1018">
        <v>39.001216673840943</v>
      </c>
      <c r="P1018" t="s">
        <v>90</v>
      </c>
      <c r="Q1018">
        <v>0</v>
      </c>
      <c r="R1018" t="s">
        <v>90</v>
      </c>
      <c r="S1018">
        <v>0</v>
      </c>
      <c r="T1018" t="s">
        <v>90</v>
      </c>
      <c r="U1018">
        <v>0</v>
      </c>
      <c r="V1018" t="s">
        <v>90</v>
      </c>
      <c r="W1018">
        <v>0</v>
      </c>
      <c r="X1018" t="s">
        <v>90</v>
      </c>
      <c r="Y1018">
        <v>0</v>
      </c>
      <c r="Z1018">
        <v>39.001216673840943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L1018">
        <v>0.99180000000000001</v>
      </c>
      <c r="AN1018" t="s">
        <v>185</v>
      </c>
      <c r="AO1018" t="s">
        <v>73</v>
      </c>
      <c r="AP1018">
        <v>200000</v>
      </c>
      <c r="AQ1018" t="s">
        <v>73</v>
      </c>
      <c r="AS1018">
        <v>10000</v>
      </c>
      <c r="AT1018" t="s">
        <v>8634</v>
      </c>
      <c r="AU1018" t="s">
        <v>75</v>
      </c>
      <c r="AV1018" t="s">
        <v>76</v>
      </c>
    </row>
    <row r="1019" spans="1:48" x14ac:dyDescent="0.15">
      <c r="A1019" s="4" t="str">
        <f>HYPERLINK("https://ibp.a2mac1.com/costing(costing:projects/details/9760/assembly/8415610)","Headlamp System")</f>
        <v>Headlamp System</v>
      </c>
      <c r="B1019">
        <v>8415610</v>
      </c>
      <c r="D1019">
        <v>8415580</v>
      </c>
      <c r="F1019">
        <v>1</v>
      </c>
      <c r="G1019">
        <v>0</v>
      </c>
      <c r="H1019">
        <v>296.11028721704503</v>
      </c>
      <c r="I1019">
        <v>0</v>
      </c>
      <c r="J1019" t="s">
        <v>90</v>
      </c>
      <c r="K1019">
        <v>0</v>
      </c>
      <c r="L1019">
        <v>296.11028721704503</v>
      </c>
      <c r="M1019">
        <v>0</v>
      </c>
      <c r="N1019">
        <v>0</v>
      </c>
      <c r="O1019">
        <v>296.11028721704503</v>
      </c>
      <c r="P1019" t="s">
        <v>90</v>
      </c>
      <c r="Q1019">
        <v>0</v>
      </c>
      <c r="R1019" t="s">
        <v>90</v>
      </c>
      <c r="S1019">
        <v>0</v>
      </c>
      <c r="T1019" t="s">
        <v>90</v>
      </c>
      <c r="U1019">
        <v>0</v>
      </c>
      <c r="V1019" t="s">
        <v>90</v>
      </c>
      <c r="W1019">
        <v>0</v>
      </c>
      <c r="X1019" t="s">
        <v>90</v>
      </c>
      <c r="Y1019">
        <v>0</v>
      </c>
      <c r="Z1019">
        <v>296.11028721704503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530</v>
      </c>
      <c r="AI1019">
        <v>470</v>
      </c>
      <c r="AJ1019">
        <v>306</v>
      </c>
      <c r="AL1019">
        <v>11.630800000000001</v>
      </c>
      <c r="AN1019" t="s">
        <v>185</v>
      </c>
      <c r="AO1019" t="s">
        <v>73</v>
      </c>
      <c r="AP1019">
        <v>200000</v>
      </c>
      <c r="AQ1019" t="s">
        <v>73</v>
      </c>
      <c r="AS1019">
        <v>10000</v>
      </c>
      <c r="AT1019" t="s">
        <v>8637</v>
      </c>
      <c r="AU1019" t="s">
        <v>75</v>
      </c>
      <c r="AV1019" t="s">
        <v>76</v>
      </c>
    </row>
    <row r="1020" spans="1:48" x14ac:dyDescent="0.15">
      <c r="A1020" s="4" t="str">
        <f>HYPERLINK("https://ibp.a2mac1.com/costing(costing:projects/details/9760/assembly/8415780)","Rear Lamp on Trunk Lid   Tailgate System View")</f>
        <v>Rear Lamp on Trunk Lid   Tailgate System View</v>
      </c>
      <c r="B1020">
        <v>8415780</v>
      </c>
      <c r="D1020">
        <v>8415611</v>
      </c>
      <c r="F1020">
        <v>1</v>
      </c>
      <c r="G1020">
        <v>0</v>
      </c>
      <c r="H1020">
        <v>112.97434750933262</v>
      </c>
      <c r="I1020">
        <v>0.56771028899162124</v>
      </c>
      <c r="J1020" t="s">
        <v>176</v>
      </c>
      <c r="K1020">
        <v>3.9541021628266417</v>
      </c>
      <c r="L1020">
        <v>117.49615996115088</v>
      </c>
      <c r="M1020">
        <v>0</v>
      </c>
      <c r="N1020">
        <v>6.4767601442279625</v>
      </c>
      <c r="O1020">
        <v>123.97292010537885</v>
      </c>
      <c r="P1020" t="s">
        <v>177</v>
      </c>
      <c r="Q1020">
        <v>7.0497695976690524</v>
      </c>
      <c r="R1020" t="s">
        <v>177</v>
      </c>
      <c r="S1020">
        <v>0.38860560865367771</v>
      </c>
      <c r="T1020" t="s">
        <v>178</v>
      </c>
      <c r="U1020">
        <v>14.87675041264546</v>
      </c>
      <c r="V1020" t="s">
        <v>90</v>
      </c>
      <c r="W1020">
        <v>0</v>
      </c>
      <c r="X1020" t="s">
        <v>90</v>
      </c>
      <c r="Y1020">
        <v>0</v>
      </c>
      <c r="Z1020">
        <v>146.28804572434703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205</v>
      </c>
      <c r="AI1020">
        <v>1210</v>
      </c>
      <c r="AJ1020">
        <v>140</v>
      </c>
      <c r="AN1020" t="s">
        <v>365</v>
      </c>
      <c r="AO1020" t="s">
        <v>73</v>
      </c>
      <c r="AP1020">
        <v>200000</v>
      </c>
      <c r="AQ1020" t="s">
        <v>97</v>
      </c>
      <c r="AS1020">
        <v>10000</v>
      </c>
      <c r="AT1020" t="s">
        <v>8641</v>
      </c>
      <c r="AU1020" t="s">
        <v>75</v>
      </c>
      <c r="AV1020" t="s">
        <v>76</v>
      </c>
    </row>
    <row r="1021" spans="1:48" x14ac:dyDescent="0.15">
      <c r="A1021" s="4" t="str">
        <f>HYPERLINK("https://ibp.a2mac1.com/costing(costing:projects/details/9760/assembly/8416134)","Rear Left Lamp on Body")</f>
        <v>Rear Left Lamp on Body</v>
      </c>
      <c r="B1021">
        <v>8416134</v>
      </c>
      <c r="D1021">
        <v>8415785</v>
      </c>
      <c r="F1021">
        <v>1</v>
      </c>
      <c r="G1021">
        <v>0</v>
      </c>
      <c r="H1021">
        <v>34.381297359115386</v>
      </c>
      <c r="I1021">
        <v>0.17277033848801701</v>
      </c>
      <c r="J1021" t="s">
        <v>176</v>
      </c>
      <c r="K1021">
        <v>1.2033454075690384</v>
      </c>
      <c r="L1021">
        <v>35.757413105172439</v>
      </c>
      <c r="M1021">
        <v>0</v>
      </c>
      <c r="N1021">
        <v>1.9759437010191554</v>
      </c>
      <c r="O1021">
        <v>37.733356806191594</v>
      </c>
      <c r="P1021" t="s">
        <v>177</v>
      </c>
      <c r="Q1021">
        <v>2.1454447863103465</v>
      </c>
      <c r="R1021" t="s">
        <v>177</v>
      </c>
      <c r="S1021">
        <v>0.11855662206114932</v>
      </c>
      <c r="T1021" t="s">
        <v>178</v>
      </c>
      <c r="U1021">
        <v>4.5280028167429913</v>
      </c>
      <c r="V1021" t="s">
        <v>90</v>
      </c>
      <c r="W1021">
        <v>0</v>
      </c>
      <c r="X1021" t="s">
        <v>90</v>
      </c>
      <c r="Y1021">
        <v>0</v>
      </c>
      <c r="Z1021">
        <v>44.525361031306083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350</v>
      </c>
      <c r="AI1021">
        <v>288</v>
      </c>
      <c r="AJ1021">
        <v>116</v>
      </c>
      <c r="AL1021">
        <v>1.3680000000000001</v>
      </c>
      <c r="AN1021" t="s">
        <v>365</v>
      </c>
      <c r="AO1021" t="s">
        <v>73</v>
      </c>
      <c r="AP1021">
        <v>200000</v>
      </c>
      <c r="AQ1021" t="s">
        <v>97</v>
      </c>
      <c r="AS1021">
        <v>10000</v>
      </c>
      <c r="AT1021" t="s">
        <v>8645</v>
      </c>
      <c r="AU1021" t="s">
        <v>75</v>
      </c>
      <c r="AV1021" t="s">
        <v>76</v>
      </c>
    </row>
    <row r="1022" spans="1:48" x14ac:dyDescent="0.15">
      <c r="A1022" s="4" t="str">
        <f>HYPERLINK("https://ibp.a2mac1.com/costing(costing:projects/details/9760/assembly/8416135)","Rear Right Lamp on Body")</f>
        <v>Rear Right Lamp on Body</v>
      </c>
      <c r="B1022">
        <v>8416135</v>
      </c>
      <c r="D1022">
        <v>8415785</v>
      </c>
      <c r="F1022">
        <v>1</v>
      </c>
      <c r="G1022">
        <v>0</v>
      </c>
      <c r="H1022">
        <v>34.381297359115386</v>
      </c>
      <c r="I1022">
        <v>0.17277033848801701</v>
      </c>
      <c r="J1022" t="s">
        <v>176</v>
      </c>
      <c r="K1022">
        <v>1.2033454075690384</v>
      </c>
      <c r="L1022">
        <v>35.757413105172439</v>
      </c>
      <c r="M1022">
        <v>0</v>
      </c>
      <c r="N1022">
        <v>1.9759437010191554</v>
      </c>
      <c r="O1022">
        <v>37.733356806191594</v>
      </c>
      <c r="P1022" t="s">
        <v>177</v>
      </c>
      <c r="Q1022">
        <v>2.1454447863103465</v>
      </c>
      <c r="R1022" t="s">
        <v>177</v>
      </c>
      <c r="S1022">
        <v>0.11855662206114932</v>
      </c>
      <c r="T1022" t="s">
        <v>178</v>
      </c>
      <c r="U1022">
        <v>4.5280028167429913</v>
      </c>
      <c r="V1022" t="s">
        <v>90</v>
      </c>
      <c r="W1022">
        <v>0</v>
      </c>
      <c r="X1022" t="s">
        <v>90</v>
      </c>
      <c r="Y1022">
        <v>0</v>
      </c>
      <c r="Z1022">
        <v>44.525361031306083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350</v>
      </c>
      <c r="AI1022">
        <v>288</v>
      </c>
      <c r="AJ1022">
        <v>116</v>
      </c>
      <c r="AL1022">
        <v>1.363</v>
      </c>
      <c r="AN1022" t="s">
        <v>365</v>
      </c>
      <c r="AO1022" t="s">
        <v>73</v>
      </c>
      <c r="AP1022">
        <v>200000</v>
      </c>
      <c r="AQ1022" t="s">
        <v>97</v>
      </c>
      <c r="AS1022">
        <v>10000</v>
      </c>
      <c r="AT1022" t="s">
        <v>8648</v>
      </c>
      <c r="AU1022" t="s">
        <v>75</v>
      </c>
      <c r="AV1022" t="s">
        <v>76</v>
      </c>
    </row>
    <row r="1023" spans="1:48" x14ac:dyDescent="0.15">
      <c r="A1023" s="4" t="str">
        <f>HYPERLINK("https://ibp.a2mac1.com/costing(costing:projects/details/9760/assembly/8415785)","Rear Lamp on Body")</f>
        <v>Rear Lamp on Body</v>
      </c>
      <c r="B1023">
        <v>8415785</v>
      </c>
      <c r="D1023">
        <v>8415611</v>
      </c>
      <c r="F1023">
        <v>1</v>
      </c>
      <c r="G1023">
        <v>0</v>
      </c>
      <c r="H1023">
        <v>89.287832062612168</v>
      </c>
      <c r="I1023">
        <v>0.4486825731789556</v>
      </c>
      <c r="J1023" t="s">
        <v>176</v>
      </c>
      <c r="K1023">
        <v>3.1250741221914256</v>
      </c>
      <c r="L1023">
        <v>92.861588757982545</v>
      </c>
      <c r="M1023">
        <v>0</v>
      </c>
      <c r="N1023">
        <v>0</v>
      </c>
      <c r="O1023">
        <v>92.861588757982545</v>
      </c>
      <c r="P1023" t="s">
        <v>177</v>
      </c>
      <c r="Q1023">
        <v>5.5716953254789532</v>
      </c>
      <c r="R1023" t="s">
        <v>177</v>
      </c>
      <c r="S1023">
        <v>0</v>
      </c>
      <c r="T1023" t="s">
        <v>178</v>
      </c>
      <c r="U1023">
        <v>11.143390650957906</v>
      </c>
      <c r="V1023" t="s">
        <v>90</v>
      </c>
      <c r="W1023">
        <v>0</v>
      </c>
      <c r="X1023" t="s">
        <v>90</v>
      </c>
      <c r="Y1023">
        <v>0</v>
      </c>
      <c r="Z1023">
        <v>109.5766747344194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L1023">
        <v>2.7490000000000001</v>
      </c>
      <c r="AN1023" t="s">
        <v>365</v>
      </c>
      <c r="AO1023" t="s">
        <v>73</v>
      </c>
      <c r="AP1023">
        <v>200000</v>
      </c>
      <c r="AQ1023" t="s">
        <v>97</v>
      </c>
      <c r="AS1023">
        <v>10000</v>
      </c>
      <c r="AT1023" t="s">
        <v>8649</v>
      </c>
      <c r="AU1023" t="s">
        <v>75</v>
      </c>
      <c r="AV1023" t="s">
        <v>76</v>
      </c>
    </row>
    <row r="1024" spans="1:48" x14ac:dyDescent="0.15">
      <c r="A1024" s="4" t="str">
        <f>HYPERLINK("https://ibp.a2mac1.com/costing(costing:projects/details/9760/assembly/8415611)","Rear Lamp System")</f>
        <v>Rear Lamp System</v>
      </c>
      <c r="B1024">
        <v>8415611</v>
      </c>
      <c r="D1024">
        <v>8415580</v>
      </c>
      <c r="F1024">
        <v>1</v>
      </c>
      <c r="G1024">
        <v>0</v>
      </c>
      <c r="H1024">
        <v>256.79292045876645</v>
      </c>
      <c r="I1024">
        <v>0</v>
      </c>
      <c r="J1024" t="s">
        <v>90</v>
      </c>
      <c r="K1024">
        <v>0</v>
      </c>
      <c r="L1024">
        <v>256.79292045876645</v>
      </c>
      <c r="M1024">
        <v>0</v>
      </c>
      <c r="N1024">
        <v>0</v>
      </c>
      <c r="O1024">
        <v>256.79292045876645</v>
      </c>
      <c r="P1024" t="s">
        <v>90</v>
      </c>
      <c r="Q1024">
        <v>0</v>
      </c>
      <c r="R1024" t="s">
        <v>90</v>
      </c>
      <c r="S1024">
        <v>0</v>
      </c>
      <c r="T1024" t="s">
        <v>90</v>
      </c>
      <c r="U1024">
        <v>0</v>
      </c>
      <c r="V1024" t="s">
        <v>90</v>
      </c>
      <c r="W1024">
        <v>0</v>
      </c>
      <c r="X1024" t="s">
        <v>90</v>
      </c>
      <c r="Y1024">
        <v>0</v>
      </c>
      <c r="Z1024">
        <v>256.79292045876645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L1024">
        <v>6.0069999999999997</v>
      </c>
      <c r="AN1024" t="s">
        <v>185</v>
      </c>
      <c r="AO1024" t="s">
        <v>73</v>
      </c>
      <c r="AP1024">
        <v>200000</v>
      </c>
      <c r="AQ1024" t="s">
        <v>73</v>
      </c>
      <c r="AS1024">
        <v>10000</v>
      </c>
      <c r="AT1024" t="s">
        <v>8655</v>
      </c>
      <c r="AU1024" t="s">
        <v>75</v>
      </c>
      <c r="AV1024" t="s">
        <v>76</v>
      </c>
    </row>
    <row r="1025" spans="1:48" x14ac:dyDescent="0.15">
      <c r="A1025" s="4" t="str">
        <f>HYPERLINK("https://ibp.a2mac1.com/costing(costing:projects/details/9760/assembly/8415786)","Third Stop Lamp")</f>
        <v>Third Stop Lamp</v>
      </c>
      <c r="B1025">
        <v>8415786</v>
      </c>
      <c r="D1025">
        <v>8415612</v>
      </c>
      <c r="F1025">
        <v>1</v>
      </c>
      <c r="G1025">
        <v>0</v>
      </c>
      <c r="H1025">
        <v>10.278528726886215</v>
      </c>
      <c r="I1025">
        <v>5.1650898125056362E-2</v>
      </c>
      <c r="J1025" t="s">
        <v>176</v>
      </c>
      <c r="K1025">
        <v>0.35974850544101755</v>
      </c>
      <c r="L1025">
        <v>10.689928130452289</v>
      </c>
      <c r="M1025">
        <v>0</v>
      </c>
      <c r="N1025">
        <v>0.59518475827204675</v>
      </c>
      <c r="O1025">
        <v>11.285112888724337</v>
      </c>
      <c r="P1025" t="s">
        <v>177</v>
      </c>
      <c r="Q1025">
        <v>0.64139568782713741</v>
      </c>
      <c r="R1025" t="s">
        <v>177</v>
      </c>
      <c r="S1025">
        <v>3.5711085496322806E-2</v>
      </c>
      <c r="T1025" t="s">
        <v>178</v>
      </c>
      <c r="U1025">
        <v>1.3542135466469203</v>
      </c>
      <c r="V1025" t="s">
        <v>90</v>
      </c>
      <c r="W1025">
        <v>0</v>
      </c>
      <c r="X1025" t="s">
        <v>90</v>
      </c>
      <c r="Y1025">
        <v>0</v>
      </c>
      <c r="Z1025">
        <v>13.316433208694717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65</v>
      </c>
      <c r="AI1025">
        <v>457</v>
      </c>
      <c r="AJ1025">
        <v>25</v>
      </c>
      <c r="AL1025">
        <v>0.308</v>
      </c>
      <c r="AN1025" t="s">
        <v>365</v>
      </c>
      <c r="AO1025" t="s">
        <v>73</v>
      </c>
      <c r="AP1025">
        <v>200000</v>
      </c>
      <c r="AQ1025" t="s">
        <v>97</v>
      </c>
      <c r="AS1025">
        <v>10000</v>
      </c>
      <c r="AT1025" t="s">
        <v>8659</v>
      </c>
      <c r="AU1025" t="s">
        <v>75</v>
      </c>
      <c r="AV1025" t="s">
        <v>76</v>
      </c>
    </row>
    <row r="1026" spans="1:48" x14ac:dyDescent="0.15">
      <c r="A1026" s="4" t="str">
        <f>HYPERLINK("https://ibp.a2mac1.com/costing(costing:projects/details/9760/assembly/8415612)","Third Stop Lamp System")</f>
        <v>Third Stop Lamp System</v>
      </c>
      <c r="B1026">
        <v>8415612</v>
      </c>
      <c r="D1026">
        <v>8415580</v>
      </c>
      <c r="F1026">
        <v>1</v>
      </c>
      <c r="G1026">
        <v>0</v>
      </c>
      <c r="H1026">
        <v>14.558433208694717</v>
      </c>
      <c r="I1026">
        <v>0</v>
      </c>
      <c r="J1026" t="s">
        <v>90</v>
      </c>
      <c r="K1026">
        <v>0</v>
      </c>
      <c r="L1026">
        <v>14.558433208694717</v>
      </c>
      <c r="M1026">
        <v>0</v>
      </c>
      <c r="N1026">
        <v>0</v>
      </c>
      <c r="O1026">
        <v>14.558433208694717</v>
      </c>
      <c r="P1026" t="s">
        <v>90</v>
      </c>
      <c r="Q1026">
        <v>0</v>
      </c>
      <c r="R1026" t="s">
        <v>90</v>
      </c>
      <c r="S1026">
        <v>0</v>
      </c>
      <c r="T1026" t="s">
        <v>90</v>
      </c>
      <c r="U1026">
        <v>0</v>
      </c>
      <c r="V1026" t="s">
        <v>90</v>
      </c>
      <c r="W1026">
        <v>0</v>
      </c>
      <c r="X1026" t="s">
        <v>90</v>
      </c>
      <c r="Y1026">
        <v>0</v>
      </c>
      <c r="Z1026">
        <v>14.558433208694717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L1026">
        <v>0.59430000000000005</v>
      </c>
      <c r="AN1026" t="s">
        <v>185</v>
      </c>
      <c r="AO1026" t="s">
        <v>73</v>
      </c>
      <c r="AP1026">
        <v>200000</v>
      </c>
      <c r="AQ1026" t="s">
        <v>73</v>
      </c>
      <c r="AS1026">
        <v>10000</v>
      </c>
      <c r="AT1026" t="s">
        <v>8662</v>
      </c>
      <c r="AU1026" t="s">
        <v>75</v>
      </c>
      <c r="AV1026" t="s">
        <v>76</v>
      </c>
    </row>
    <row r="1027" spans="1:48" x14ac:dyDescent="0.15">
      <c r="A1027" s="4" t="str">
        <f>HYPERLINK("https://ibp.a2mac1.com/costing(costing:projects/details/9760/assembly/8415613)","License Plate Light System")</f>
        <v>License Plate Light System</v>
      </c>
      <c r="B1027">
        <v>8415613</v>
      </c>
      <c r="D1027">
        <v>8415580</v>
      </c>
      <c r="F1027">
        <v>1</v>
      </c>
      <c r="G1027">
        <v>0</v>
      </c>
      <c r="H1027">
        <v>3.6686000000000001</v>
      </c>
      <c r="I1027">
        <v>0</v>
      </c>
      <c r="J1027" t="s">
        <v>90</v>
      </c>
      <c r="K1027">
        <v>0</v>
      </c>
      <c r="L1027">
        <v>3.6686000000000001</v>
      </c>
      <c r="M1027">
        <v>0</v>
      </c>
      <c r="N1027">
        <v>0</v>
      </c>
      <c r="O1027">
        <v>3.6686000000000001</v>
      </c>
      <c r="P1027" t="s">
        <v>90</v>
      </c>
      <c r="Q1027">
        <v>0</v>
      </c>
      <c r="R1027" t="s">
        <v>90</v>
      </c>
      <c r="S1027">
        <v>0</v>
      </c>
      <c r="T1027" t="s">
        <v>90</v>
      </c>
      <c r="U1027">
        <v>0</v>
      </c>
      <c r="V1027" t="s">
        <v>90</v>
      </c>
      <c r="W1027">
        <v>0</v>
      </c>
      <c r="X1027" t="s">
        <v>90</v>
      </c>
      <c r="Y1027">
        <v>0</v>
      </c>
      <c r="Z1027">
        <v>3.6686000000000001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L1027">
        <v>5.6000000000000001E-2</v>
      </c>
      <c r="AN1027" t="s">
        <v>185</v>
      </c>
      <c r="AO1027" t="s">
        <v>73</v>
      </c>
      <c r="AP1027">
        <v>200000</v>
      </c>
      <c r="AQ1027" t="s">
        <v>73</v>
      </c>
      <c r="AS1027">
        <v>10000</v>
      </c>
      <c r="AT1027" t="s">
        <v>8666</v>
      </c>
      <c r="AU1027" t="s">
        <v>75</v>
      </c>
      <c r="AV1027" t="s">
        <v>76</v>
      </c>
    </row>
    <row r="1028" spans="1:48" x14ac:dyDescent="0.15">
      <c r="A1028" s="4" t="str">
        <f>HYPERLINK("https://ibp.a2mac1.com/costing(costing:projects/details/9760/assembly/8415789)","Dynamic Adjustment on Front Axle")</f>
        <v>Dynamic Adjustment on Front Axle</v>
      </c>
      <c r="B1028">
        <v>8415789</v>
      </c>
      <c r="D1028">
        <v>8415614</v>
      </c>
      <c r="F1028">
        <v>1</v>
      </c>
      <c r="G1028">
        <v>0</v>
      </c>
      <c r="H1028">
        <v>5.5921200000000004</v>
      </c>
      <c r="I1028">
        <v>0</v>
      </c>
      <c r="J1028" t="s">
        <v>90</v>
      </c>
      <c r="K1028">
        <v>0</v>
      </c>
      <c r="L1028">
        <v>5.5921200000000004</v>
      </c>
      <c r="M1028">
        <v>0</v>
      </c>
      <c r="N1028">
        <v>0</v>
      </c>
      <c r="O1028">
        <v>5.5921200000000004</v>
      </c>
      <c r="P1028" t="s">
        <v>90</v>
      </c>
      <c r="Q1028">
        <v>0</v>
      </c>
      <c r="R1028" t="s">
        <v>90</v>
      </c>
      <c r="S1028">
        <v>0</v>
      </c>
      <c r="T1028" t="s">
        <v>90</v>
      </c>
      <c r="U1028">
        <v>0</v>
      </c>
      <c r="V1028" t="s">
        <v>90</v>
      </c>
      <c r="W1028">
        <v>0</v>
      </c>
      <c r="X1028" t="s">
        <v>90</v>
      </c>
      <c r="Y1028">
        <v>0</v>
      </c>
      <c r="Z1028">
        <v>5.5921200000000004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L1028">
        <v>0.33479999999999999</v>
      </c>
      <c r="AN1028" t="s">
        <v>185</v>
      </c>
      <c r="AO1028" t="s">
        <v>73</v>
      </c>
      <c r="AP1028">
        <v>200000</v>
      </c>
      <c r="AQ1028" t="s">
        <v>73</v>
      </c>
      <c r="AS1028">
        <v>10000</v>
      </c>
      <c r="AT1028" t="s">
        <v>8677</v>
      </c>
      <c r="AU1028" t="s">
        <v>75</v>
      </c>
      <c r="AV1028" t="s">
        <v>76</v>
      </c>
    </row>
    <row r="1029" spans="1:48" x14ac:dyDescent="0.15">
      <c r="A1029" s="4" t="str">
        <f>HYPERLINK("https://ibp.a2mac1.com/costing(costing:projects/details/9760/assembly/8415790)","Dynamic Adjustment on Rear Axle")</f>
        <v>Dynamic Adjustment on Rear Axle</v>
      </c>
      <c r="B1029">
        <v>8415790</v>
      </c>
      <c r="D1029">
        <v>8415614</v>
      </c>
      <c r="F1029">
        <v>1</v>
      </c>
      <c r="G1029">
        <v>0</v>
      </c>
      <c r="H1029">
        <v>5.6363399999999997</v>
      </c>
      <c r="I1029">
        <v>0</v>
      </c>
      <c r="J1029" t="s">
        <v>90</v>
      </c>
      <c r="K1029">
        <v>0</v>
      </c>
      <c r="L1029">
        <v>5.6363399999999997</v>
      </c>
      <c r="M1029">
        <v>0</v>
      </c>
      <c r="N1029">
        <v>0</v>
      </c>
      <c r="O1029">
        <v>5.6363399999999997</v>
      </c>
      <c r="P1029" t="s">
        <v>90</v>
      </c>
      <c r="Q1029">
        <v>0</v>
      </c>
      <c r="R1029" t="s">
        <v>90</v>
      </c>
      <c r="S1029">
        <v>0</v>
      </c>
      <c r="T1029" t="s">
        <v>90</v>
      </c>
      <c r="U1029">
        <v>0</v>
      </c>
      <c r="V1029" t="s">
        <v>90</v>
      </c>
      <c r="W1029">
        <v>0</v>
      </c>
      <c r="X1029" t="s">
        <v>90</v>
      </c>
      <c r="Y1029">
        <v>0</v>
      </c>
      <c r="Z1029">
        <v>5.6363399999999997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L1029">
        <v>0.36199999999999999</v>
      </c>
      <c r="AN1029" t="s">
        <v>185</v>
      </c>
      <c r="AO1029" t="s">
        <v>73</v>
      </c>
      <c r="AP1029">
        <v>200000</v>
      </c>
      <c r="AQ1029" t="s">
        <v>73</v>
      </c>
      <c r="AS1029">
        <v>10000</v>
      </c>
      <c r="AT1029" t="s">
        <v>8682</v>
      </c>
      <c r="AU1029" t="s">
        <v>75</v>
      </c>
      <c r="AV1029" t="s">
        <v>76</v>
      </c>
    </row>
    <row r="1030" spans="1:48" x14ac:dyDescent="0.15">
      <c r="A1030" s="4" t="str">
        <f>HYPERLINK("https://ibp.a2mac1.com/costing(costing:projects/details/9760/assembly/8415614)","Dynamic Adjustment Bar")</f>
        <v>Dynamic Adjustment Bar</v>
      </c>
      <c r="B1030">
        <v>8415614</v>
      </c>
      <c r="D1030">
        <v>8415580</v>
      </c>
      <c r="F1030">
        <v>1</v>
      </c>
      <c r="G1030">
        <v>0</v>
      </c>
      <c r="H1030">
        <v>11.22846</v>
      </c>
      <c r="I1030">
        <v>0</v>
      </c>
      <c r="J1030" t="s">
        <v>90</v>
      </c>
      <c r="K1030">
        <v>0</v>
      </c>
      <c r="L1030">
        <v>11.22846</v>
      </c>
      <c r="M1030">
        <v>0</v>
      </c>
      <c r="N1030">
        <v>0</v>
      </c>
      <c r="O1030">
        <v>11.22846</v>
      </c>
      <c r="P1030" t="s">
        <v>90</v>
      </c>
      <c r="Q1030">
        <v>0</v>
      </c>
      <c r="R1030" t="s">
        <v>90</v>
      </c>
      <c r="S1030">
        <v>0</v>
      </c>
      <c r="T1030" t="s">
        <v>90</v>
      </c>
      <c r="U1030">
        <v>0</v>
      </c>
      <c r="V1030" t="s">
        <v>90</v>
      </c>
      <c r="W1030">
        <v>0</v>
      </c>
      <c r="X1030" t="s">
        <v>90</v>
      </c>
      <c r="Y1030">
        <v>0</v>
      </c>
      <c r="Z1030">
        <v>11.22846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L1030">
        <v>0.69679999999999997</v>
      </c>
      <c r="AN1030" t="s">
        <v>185</v>
      </c>
      <c r="AO1030" t="s">
        <v>73</v>
      </c>
      <c r="AP1030">
        <v>200000</v>
      </c>
      <c r="AQ1030" t="s">
        <v>73</v>
      </c>
      <c r="AS1030">
        <v>10000</v>
      </c>
      <c r="AT1030" t="s">
        <v>8683</v>
      </c>
      <c r="AU1030" t="s">
        <v>75</v>
      </c>
      <c r="AV1030" t="s">
        <v>76</v>
      </c>
    </row>
    <row r="1031" spans="1:48" x14ac:dyDescent="0.15">
      <c r="A1031" s="4" t="str">
        <f>HYPERLINK("https://ibp.a2mac1.com/costing(costing:projects/details/9760/assembly/8416145)","Rear Left Fog Lamp")</f>
        <v>Rear Left Fog Lamp</v>
      </c>
      <c r="B1031">
        <v>8416145</v>
      </c>
      <c r="D1031">
        <v>8415791</v>
      </c>
      <c r="F1031">
        <v>1</v>
      </c>
      <c r="G1031">
        <v>0</v>
      </c>
      <c r="H1031">
        <v>6.7143446812431424</v>
      </c>
      <c r="I1031">
        <v>3.3740425533885135E-2</v>
      </c>
      <c r="J1031" t="s">
        <v>176</v>
      </c>
      <c r="K1031">
        <v>0.23500206384350997</v>
      </c>
      <c r="L1031">
        <v>6.9830871706205375</v>
      </c>
      <c r="M1031">
        <v>0</v>
      </c>
      <c r="N1031">
        <v>0.38158668978078131</v>
      </c>
      <c r="O1031">
        <v>7.3646738604013189</v>
      </c>
      <c r="P1031" t="s">
        <v>177</v>
      </c>
      <c r="Q1031">
        <v>0.41898523023723222</v>
      </c>
      <c r="R1031" t="s">
        <v>177</v>
      </c>
      <c r="S1031">
        <v>2.2895201386846878E-2</v>
      </c>
      <c r="T1031" t="s">
        <v>178</v>
      </c>
      <c r="U1031">
        <v>0.88376086324815828</v>
      </c>
      <c r="V1031" t="s">
        <v>90</v>
      </c>
      <c r="W1031">
        <v>0</v>
      </c>
      <c r="X1031" t="s">
        <v>90</v>
      </c>
      <c r="Y1031">
        <v>0</v>
      </c>
      <c r="Z1031">
        <v>8.6903151552735558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122</v>
      </c>
      <c r="AI1031">
        <v>300</v>
      </c>
      <c r="AJ1031">
        <v>142</v>
      </c>
      <c r="AL1031">
        <v>0.45600000000000002</v>
      </c>
      <c r="AN1031" t="s">
        <v>365</v>
      </c>
      <c r="AO1031" t="s">
        <v>73</v>
      </c>
      <c r="AP1031">
        <v>200000</v>
      </c>
      <c r="AQ1031" t="s">
        <v>97</v>
      </c>
      <c r="AS1031">
        <v>10000</v>
      </c>
      <c r="AT1031" t="s">
        <v>8688</v>
      </c>
      <c r="AU1031" t="s">
        <v>75</v>
      </c>
      <c r="AV1031" t="s">
        <v>76</v>
      </c>
    </row>
    <row r="1032" spans="1:48" x14ac:dyDescent="0.15">
      <c r="A1032" s="4" t="str">
        <f>HYPERLINK("https://ibp.a2mac1.com/costing(costing:projects/details/9760/assembly/8416146)","Rear Right Fog Lamp")</f>
        <v>Rear Right Fog Lamp</v>
      </c>
      <c r="B1032">
        <v>8416146</v>
      </c>
      <c r="D1032">
        <v>8415791</v>
      </c>
      <c r="F1032">
        <v>1</v>
      </c>
      <c r="G1032">
        <v>0</v>
      </c>
      <c r="H1032">
        <v>6.7143446812431424</v>
      </c>
      <c r="I1032">
        <v>3.3740425533885135E-2</v>
      </c>
      <c r="J1032" t="s">
        <v>176</v>
      </c>
      <c r="K1032">
        <v>0.23500206384350997</v>
      </c>
      <c r="L1032">
        <v>6.9830871706205375</v>
      </c>
      <c r="M1032">
        <v>0</v>
      </c>
      <c r="N1032">
        <v>0.38158668978078131</v>
      </c>
      <c r="O1032">
        <v>7.3646738604013189</v>
      </c>
      <c r="P1032" t="s">
        <v>177</v>
      </c>
      <c r="Q1032">
        <v>0.41898523023723222</v>
      </c>
      <c r="R1032" t="s">
        <v>177</v>
      </c>
      <c r="S1032">
        <v>2.2895201386846878E-2</v>
      </c>
      <c r="T1032" t="s">
        <v>178</v>
      </c>
      <c r="U1032">
        <v>0.88376086324815828</v>
      </c>
      <c r="V1032" t="s">
        <v>90</v>
      </c>
      <c r="W1032">
        <v>0</v>
      </c>
      <c r="X1032" t="s">
        <v>90</v>
      </c>
      <c r="Y1032">
        <v>0</v>
      </c>
      <c r="Z1032">
        <v>8.6903151552735558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122</v>
      </c>
      <c r="AI1032">
        <v>300</v>
      </c>
      <c r="AJ1032">
        <v>142</v>
      </c>
      <c r="AL1032">
        <v>0.45500000000000002</v>
      </c>
      <c r="AN1032" t="s">
        <v>365</v>
      </c>
      <c r="AO1032" t="s">
        <v>73</v>
      </c>
      <c r="AP1032">
        <v>200000</v>
      </c>
      <c r="AQ1032" t="s">
        <v>97</v>
      </c>
      <c r="AS1032">
        <v>10000</v>
      </c>
      <c r="AT1032" t="s">
        <v>8691</v>
      </c>
      <c r="AU1032" t="s">
        <v>75</v>
      </c>
      <c r="AV1032" t="s">
        <v>76</v>
      </c>
    </row>
    <row r="1033" spans="1:48" x14ac:dyDescent="0.15">
      <c r="A1033" s="4" t="str">
        <f>HYPERLINK("https://ibp.a2mac1.com/costing(costing:projects/details/9760/assembly/8415791)","Rear Fog Lamp")</f>
        <v>Rear Fog Lamp</v>
      </c>
      <c r="B1033">
        <v>8415791</v>
      </c>
      <c r="D1033">
        <v>8415615</v>
      </c>
      <c r="F1033">
        <v>1</v>
      </c>
      <c r="G1033">
        <v>0</v>
      </c>
      <c r="H1033">
        <v>17.43247031054711</v>
      </c>
      <c r="I1033">
        <v>8.7600353319332219E-2</v>
      </c>
      <c r="J1033" t="s">
        <v>176</v>
      </c>
      <c r="K1033">
        <v>0.61013646086914897</v>
      </c>
      <c r="L1033">
        <v>18.130207124735595</v>
      </c>
      <c r="M1033">
        <v>0</v>
      </c>
      <c r="N1033">
        <v>0</v>
      </c>
      <c r="O1033">
        <v>18.130207124735595</v>
      </c>
      <c r="P1033" t="s">
        <v>177</v>
      </c>
      <c r="Q1033">
        <v>1.0878124274841356</v>
      </c>
      <c r="R1033" t="s">
        <v>177</v>
      </c>
      <c r="S1033">
        <v>0</v>
      </c>
      <c r="T1033" t="s">
        <v>178</v>
      </c>
      <c r="U1033">
        <v>2.1756248549682713</v>
      </c>
      <c r="V1033" t="s">
        <v>90</v>
      </c>
      <c r="W1033">
        <v>0</v>
      </c>
      <c r="X1033" t="s">
        <v>90</v>
      </c>
      <c r="Y1033">
        <v>0</v>
      </c>
      <c r="Z1033">
        <v>21.393644407187999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L1033">
        <v>0.94299999999999995</v>
      </c>
      <c r="AN1033" t="s">
        <v>365</v>
      </c>
      <c r="AO1033" t="s">
        <v>73</v>
      </c>
      <c r="AP1033">
        <v>200000</v>
      </c>
      <c r="AQ1033" t="s">
        <v>97</v>
      </c>
      <c r="AS1033">
        <v>10000</v>
      </c>
      <c r="AT1033" t="s">
        <v>8692</v>
      </c>
      <c r="AU1033" t="s">
        <v>75</v>
      </c>
      <c r="AV1033" t="s">
        <v>76</v>
      </c>
    </row>
    <row r="1034" spans="1:48" x14ac:dyDescent="0.15">
      <c r="A1034" s="4" t="str">
        <f>HYPERLINK("https://ibp.a2mac1.com/costing(costing:projects/details/9760/assembly/8415615)","Rear Fog Lamp System")</f>
        <v>Rear Fog Lamp System</v>
      </c>
      <c r="B1034">
        <v>8415615</v>
      </c>
      <c r="D1034">
        <v>8415580</v>
      </c>
      <c r="F1034">
        <v>1</v>
      </c>
      <c r="G1034">
        <v>0</v>
      </c>
      <c r="H1034">
        <v>21.393644407187999</v>
      </c>
      <c r="I1034">
        <v>0</v>
      </c>
      <c r="J1034" t="s">
        <v>90</v>
      </c>
      <c r="K1034">
        <v>0</v>
      </c>
      <c r="L1034">
        <v>21.393644407187999</v>
      </c>
      <c r="M1034">
        <v>0</v>
      </c>
      <c r="N1034">
        <v>0</v>
      </c>
      <c r="O1034">
        <v>21.393644407187999</v>
      </c>
      <c r="P1034" t="s">
        <v>90</v>
      </c>
      <c r="Q1034">
        <v>0</v>
      </c>
      <c r="R1034" t="s">
        <v>90</v>
      </c>
      <c r="S1034">
        <v>0</v>
      </c>
      <c r="T1034" t="s">
        <v>90</v>
      </c>
      <c r="U1034">
        <v>0</v>
      </c>
      <c r="V1034" t="s">
        <v>90</v>
      </c>
      <c r="W1034">
        <v>0</v>
      </c>
      <c r="X1034" t="s">
        <v>90</v>
      </c>
      <c r="Y1034">
        <v>0</v>
      </c>
      <c r="Z1034">
        <v>21.393644407187999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L1034">
        <v>0.94299999999999995</v>
      </c>
      <c r="AN1034" t="s">
        <v>185</v>
      </c>
      <c r="AO1034" t="s">
        <v>73</v>
      </c>
      <c r="AP1034">
        <v>200000</v>
      </c>
      <c r="AQ1034" t="s">
        <v>73</v>
      </c>
      <c r="AS1034">
        <v>10000</v>
      </c>
      <c r="AT1034" t="s">
        <v>8693</v>
      </c>
      <c r="AU1034" t="s">
        <v>75</v>
      </c>
      <c r="AV1034" t="s">
        <v>76</v>
      </c>
    </row>
    <row r="1035" spans="1:48" x14ac:dyDescent="0.15">
      <c r="A1035" s="4" t="str">
        <f>HYPERLINK("https://ibp.a2mac1.com/costing(costing:projects/details/9760/assembly/8415580)","Exterior Lighting")</f>
        <v>Exterior Lighting</v>
      </c>
      <c r="B1035">
        <v>8415580</v>
      </c>
      <c r="D1035">
        <v>8415575</v>
      </c>
      <c r="F1035">
        <v>1</v>
      </c>
      <c r="G1035">
        <v>0</v>
      </c>
      <c r="H1035">
        <v>603.75234529169416</v>
      </c>
      <c r="I1035">
        <v>0</v>
      </c>
      <c r="J1035" t="s">
        <v>90</v>
      </c>
      <c r="K1035">
        <v>0</v>
      </c>
      <c r="L1035">
        <v>603.75234529169416</v>
      </c>
      <c r="M1035">
        <v>0</v>
      </c>
      <c r="N1035">
        <v>0</v>
      </c>
      <c r="O1035">
        <v>603.75234529169416</v>
      </c>
      <c r="P1035" t="s">
        <v>90</v>
      </c>
      <c r="Q1035">
        <v>0</v>
      </c>
      <c r="R1035" t="s">
        <v>90</v>
      </c>
      <c r="S1035">
        <v>0</v>
      </c>
      <c r="T1035" t="s">
        <v>90</v>
      </c>
      <c r="U1035">
        <v>0</v>
      </c>
      <c r="V1035" t="s">
        <v>90</v>
      </c>
      <c r="W1035">
        <v>0</v>
      </c>
      <c r="X1035" t="s">
        <v>90</v>
      </c>
      <c r="Y1035">
        <v>0</v>
      </c>
      <c r="Z1035">
        <v>603.75234529169416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L1035">
        <v>19.927900000000001</v>
      </c>
      <c r="AN1035" t="s">
        <v>185</v>
      </c>
      <c r="AO1035" t="s">
        <v>73</v>
      </c>
      <c r="AP1035">
        <v>200000</v>
      </c>
      <c r="AQ1035" t="s">
        <v>73</v>
      </c>
      <c r="AS1035">
        <v>10000</v>
      </c>
      <c r="AT1035" t="s">
        <v>8694</v>
      </c>
      <c r="AU1035" t="s">
        <v>75</v>
      </c>
      <c r="AV1035" t="s">
        <v>76</v>
      </c>
    </row>
    <row r="1036" spans="1:48" x14ac:dyDescent="0.15">
      <c r="A1036" s="4" t="str">
        <f>HYPERLINK("https://ibp.a2mac1.com/costing(costing:projects/details/9760/assembly/8415792)","Wiper Motor")</f>
        <v>Wiper Motor</v>
      </c>
      <c r="B1036">
        <v>8415792</v>
      </c>
      <c r="D1036">
        <v>8415616</v>
      </c>
      <c r="F1036">
        <v>1</v>
      </c>
      <c r="G1036">
        <v>0</v>
      </c>
      <c r="H1036">
        <v>10.093487038233611</v>
      </c>
      <c r="I1036">
        <v>5.0721040393133729E-2</v>
      </c>
      <c r="J1036" t="s">
        <v>176</v>
      </c>
      <c r="K1036">
        <v>0.35327204633817644</v>
      </c>
      <c r="L1036">
        <v>10.497480124964921</v>
      </c>
      <c r="M1036">
        <v>0</v>
      </c>
      <c r="N1036">
        <v>0.5482957060327257</v>
      </c>
      <c r="O1036">
        <v>11.045775830997648</v>
      </c>
      <c r="P1036" t="s">
        <v>177</v>
      </c>
      <c r="Q1036">
        <v>0.62984880749789529</v>
      </c>
      <c r="R1036" t="s">
        <v>177</v>
      </c>
      <c r="S1036">
        <v>3.2897742361963543E-2</v>
      </c>
      <c r="T1036" t="s">
        <v>178</v>
      </c>
      <c r="U1036">
        <v>1.3254930997197178</v>
      </c>
      <c r="V1036" t="s">
        <v>90</v>
      </c>
      <c r="W1036">
        <v>0</v>
      </c>
      <c r="X1036" t="s">
        <v>90</v>
      </c>
      <c r="Y1036">
        <v>0</v>
      </c>
      <c r="Z1036">
        <v>13.034015480577224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86</v>
      </c>
      <c r="AI1036">
        <v>182</v>
      </c>
      <c r="AJ1036">
        <v>103</v>
      </c>
      <c r="AL1036">
        <v>0.95599999999999996</v>
      </c>
      <c r="AN1036" t="s">
        <v>365</v>
      </c>
      <c r="AO1036" t="s">
        <v>73</v>
      </c>
      <c r="AP1036">
        <v>200000</v>
      </c>
      <c r="AQ1036" t="s">
        <v>97</v>
      </c>
      <c r="AS1036">
        <v>10000</v>
      </c>
      <c r="AT1036" t="s">
        <v>8699</v>
      </c>
      <c r="AU1036" t="s">
        <v>75</v>
      </c>
      <c r="AV1036" t="s">
        <v>76</v>
      </c>
    </row>
    <row r="1037" spans="1:48" x14ac:dyDescent="0.15">
      <c r="A1037" s="4" t="str">
        <f>HYPERLINK("https://ibp.a2mac1.com/costing(costing:projects/details/9760/assembly/8415794)","Wiper Linkage")</f>
        <v>Wiper Linkage</v>
      </c>
      <c r="B1037">
        <v>8415794</v>
      </c>
      <c r="D1037">
        <v>8415616</v>
      </c>
      <c r="E1037" t="s">
        <v>8732</v>
      </c>
      <c r="F1037">
        <v>1</v>
      </c>
      <c r="G1037">
        <v>0</v>
      </c>
      <c r="H1037">
        <v>4.225593765201249</v>
      </c>
      <c r="I1037">
        <v>2.1234139523624365E-2</v>
      </c>
      <c r="J1037" t="s">
        <v>176</v>
      </c>
      <c r="K1037">
        <v>0.14789578178204371</v>
      </c>
      <c r="L1037">
        <v>4.394723686506917</v>
      </c>
      <c r="M1037">
        <v>0</v>
      </c>
      <c r="N1037">
        <v>0.31596282126323366</v>
      </c>
      <c r="O1037">
        <v>4.7106865077701503</v>
      </c>
      <c r="P1037" t="s">
        <v>177</v>
      </c>
      <c r="Q1037">
        <v>0.26368342119041499</v>
      </c>
      <c r="R1037" t="s">
        <v>177</v>
      </c>
      <c r="S1037">
        <v>1.8957769275794019E-2</v>
      </c>
      <c r="T1037" t="s">
        <v>178</v>
      </c>
      <c r="U1037">
        <v>0.565282380932418</v>
      </c>
      <c r="V1037" t="s">
        <v>90</v>
      </c>
      <c r="W1037">
        <v>0</v>
      </c>
      <c r="X1037" t="s">
        <v>90</v>
      </c>
      <c r="Y1037">
        <v>0</v>
      </c>
      <c r="Z1037">
        <v>5.5586100791687771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110</v>
      </c>
      <c r="AI1037">
        <v>548</v>
      </c>
      <c r="AJ1037">
        <v>210</v>
      </c>
      <c r="AL1037">
        <v>1.262</v>
      </c>
      <c r="AN1037" t="s">
        <v>5370</v>
      </c>
      <c r="AO1037" t="s">
        <v>73</v>
      </c>
      <c r="AP1037">
        <v>200000</v>
      </c>
      <c r="AQ1037" t="s">
        <v>97</v>
      </c>
      <c r="AS1037">
        <v>10000</v>
      </c>
      <c r="AT1037" t="s">
        <v>8733</v>
      </c>
      <c r="AU1037" t="s">
        <v>75</v>
      </c>
      <c r="AV1037" t="s">
        <v>76</v>
      </c>
    </row>
    <row r="1038" spans="1:48" x14ac:dyDescent="0.15">
      <c r="A1038" s="4" t="str">
        <f>HYPERLINK("https://ibp.a2mac1.com/costing(costing:projects/details/9760/assembly/8415795)","Wiper Blades")</f>
        <v>Wiper Blades</v>
      </c>
      <c r="B1038">
        <v>8415795</v>
      </c>
      <c r="D1038">
        <v>8415616</v>
      </c>
      <c r="F1038">
        <v>1</v>
      </c>
      <c r="G1038">
        <v>0</v>
      </c>
      <c r="H1038">
        <v>3.83</v>
      </c>
      <c r="I1038">
        <v>0</v>
      </c>
      <c r="J1038" t="s">
        <v>90</v>
      </c>
      <c r="K1038">
        <v>0</v>
      </c>
      <c r="L1038">
        <v>3.83</v>
      </c>
      <c r="M1038">
        <v>0</v>
      </c>
      <c r="N1038">
        <v>0</v>
      </c>
      <c r="O1038">
        <v>3.83</v>
      </c>
      <c r="P1038" t="s">
        <v>90</v>
      </c>
      <c r="Q1038">
        <v>0</v>
      </c>
      <c r="R1038" t="s">
        <v>90</v>
      </c>
      <c r="S1038">
        <v>0</v>
      </c>
      <c r="T1038" t="s">
        <v>90</v>
      </c>
      <c r="U1038">
        <v>0</v>
      </c>
      <c r="V1038" t="s">
        <v>90</v>
      </c>
      <c r="W1038">
        <v>0</v>
      </c>
      <c r="X1038" t="s">
        <v>90</v>
      </c>
      <c r="Y1038">
        <v>0</v>
      </c>
      <c r="Z1038">
        <v>3.83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L1038">
        <v>0.221</v>
      </c>
      <c r="AN1038" t="s">
        <v>185</v>
      </c>
      <c r="AO1038" t="s">
        <v>73</v>
      </c>
      <c r="AP1038">
        <v>200000</v>
      </c>
      <c r="AQ1038" t="s">
        <v>73</v>
      </c>
      <c r="AS1038">
        <v>10000</v>
      </c>
      <c r="AT1038" t="s">
        <v>8740</v>
      </c>
      <c r="AU1038" t="s">
        <v>75</v>
      </c>
      <c r="AV1038" t="s">
        <v>76</v>
      </c>
    </row>
    <row r="1039" spans="1:48" x14ac:dyDescent="0.15">
      <c r="A1039" s="4" t="str">
        <f>HYPERLINK("https://ibp.a2mac1.com/costing(costing:projects/details/9760/assembly/8415796)","Wiper Arm")</f>
        <v>Wiper Arm</v>
      </c>
      <c r="B1039">
        <v>8415796</v>
      </c>
      <c r="D1039">
        <v>8415616</v>
      </c>
      <c r="F1039">
        <v>1</v>
      </c>
      <c r="G1039">
        <v>0</v>
      </c>
      <c r="H1039">
        <v>7.54</v>
      </c>
      <c r="I1039">
        <v>0</v>
      </c>
      <c r="J1039" t="s">
        <v>90</v>
      </c>
      <c r="K1039">
        <v>0</v>
      </c>
      <c r="L1039">
        <v>7.54</v>
      </c>
      <c r="M1039">
        <v>0</v>
      </c>
      <c r="N1039">
        <v>0</v>
      </c>
      <c r="O1039">
        <v>7.54</v>
      </c>
      <c r="P1039" t="s">
        <v>90</v>
      </c>
      <c r="Q1039">
        <v>0</v>
      </c>
      <c r="R1039" t="s">
        <v>90</v>
      </c>
      <c r="S1039">
        <v>0</v>
      </c>
      <c r="T1039" t="s">
        <v>90</v>
      </c>
      <c r="U1039">
        <v>0</v>
      </c>
      <c r="V1039" t="s">
        <v>90</v>
      </c>
      <c r="W1039">
        <v>0</v>
      </c>
      <c r="X1039" t="s">
        <v>90</v>
      </c>
      <c r="Y1039">
        <v>0</v>
      </c>
      <c r="Z1039">
        <v>7.54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L1039">
        <v>0.93799999999999994</v>
      </c>
      <c r="AN1039" t="s">
        <v>185</v>
      </c>
      <c r="AO1039" t="s">
        <v>73</v>
      </c>
      <c r="AP1039">
        <v>200000</v>
      </c>
      <c r="AQ1039" t="s">
        <v>73</v>
      </c>
      <c r="AS1039">
        <v>10000</v>
      </c>
      <c r="AT1039" t="s">
        <v>8746</v>
      </c>
      <c r="AU1039" t="s">
        <v>75</v>
      </c>
      <c r="AV1039" t="s">
        <v>76</v>
      </c>
    </row>
    <row r="1040" spans="1:48" x14ac:dyDescent="0.15">
      <c r="A1040" s="4" t="str">
        <f>HYPERLINK("https://ibp.a2mac1.com/costing(costing:projects/details/9760/assembly/8415616)","Front")</f>
        <v>Front</v>
      </c>
      <c r="B1040">
        <v>8415616</v>
      </c>
      <c r="D1040">
        <v>8415581</v>
      </c>
      <c r="F1040">
        <v>1</v>
      </c>
      <c r="G1040">
        <v>0</v>
      </c>
      <c r="H1040">
        <v>30.262625559746002</v>
      </c>
      <c r="I1040">
        <v>0</v>
      </c>
      <c r="J1040" t="s">
        <v>90</v>
      </c>
      <c r="K1040">
        <v>0</v>
      </c>
      <c r="L1040">
        <v>30.262625559746002</v>
      </c>
      <c r="M1040">
        <v>0</v>
      </c>
      <c r="N1040">
        <v>0.43868503495279115</v>
      </c>
      <c r="O1040">
        <v>30.701310594698793</v>
      </c>
      <c r="P1040" t="s">
        <v>90</v>
      </c>
      <c r="Q1040">
        <v>0</v>
      </c>
      <c r="R1040" t="s">
        <v>90</v>
      </c>
      <c r="S1040">
        <v>0</v>
      </c>
      <c r="T1040" t="s">
        <v>90</v>
      </c>
      <c r="U1040">
        <v>0</v>
      </c>
      <c r="V1040" t="s">
        <v>90</v>
      </c>
      <c r="W1040">
        <v>0</v>
      </c>
      <c r="X1040" t="s">
        <v>90</v>
      </c>
      <c r="Y1040">
        <v>0</v>
      </c>
      <c r="Z1040">
        <v>30.701310594698793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L1040">
        <v>3.4009999999999998</v>
      </c>
      <c r="AN1040" t="s">
        <v>185</v>
      </c>
      <c r="AO1040" t="s">
        <v>73</v>
      </c>
      <c r="AP1040">
        <v>200000</v>
      </c>
      <c r="AQ1040" t="s">
        <v>73</v>
      </c>
      <c r="AS1040">
        <v>10000</v>
      </c>
      <c r="AT1040" t="s">
        <v>8750</v>
      </c>
      <c r="AU1040" t="s">
        <v>75</v>
      </c>
      <c r="AV1040" t="s">
        <v>76</v>
      </c>
    </row>
    <row r="1041" spans="1:48" x14ac:dyDescent="0.15">
      <c r="A1041" s="4" t="str">
        <f>HYPERLINK("https://ibp.a2mac1.com/costing(costing:projects/details/9760/assembly/8415617)","Washer")</f>
        <v>Washer</v>
      </c>
      <c r="B1041">
        <v>8415617</v>
      </c>
      <c r="D1041">
        <v>8415581</v>
      </c>
      <c r="F1041">
        <v>1</v>
      </c>
      <c r="G1041">
        <v>0</v>
      </c>
      <c r="H1041">
        <v>4.1642374501170671</v>
      </c>
      <c r="I1041">
        <v>0</v>
      </c>
      <c r="J1041" t="s">
        <v>90</v>
      </c>
      <c r="K1041">
        <v>0</v>
      </c>
      <c r="L1041">
        <v>4.1642374501170671</v>
      </c>
      <c r="M1041">
        <v>0</v>
      </c>
      <c r="N1041">
        <v>0</v>
      </c>
      <c r="O1041">
        <v>4.1642374501170671</v>
      </c>
      <c r="P1041" t="s">
        <v>90</v>
      </c>
      <c r="Q1041">
        <v>0</v>
      </c>
      <c r="R1041" t="s">
        <v>90</v>
      </c>
      <c r="S1041">
        <v>0</v>
      </c>
      <c r="T1041" t="s">
        <v>90</v>
      </c>
      <c r="U1041">
        <v>0</v>
      </c>
      <c r="V1041" t="s">
        <v>90</v>
      </c>
      <c r="W1041">
        <v>0</v>
      </c>
      <c r="X1041" t="s">
        <v>90</v>
      </c>
      <c r="Y1041">
        <v>0</v>
      </c>
      <c r="Z1041">
        <v>4.1642374501170671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L1041">
        <v>0.80700000000000005</v>
      </c>
      <c r="AN1041" t="s">
        <v>185</v>
      </c>
      <c r="AO1041" t="s">
        <v>73</v>
      </c>
      <c r="AP1041">
        <v>200000</v>
      </c>
      <c r="AQ1041" t="s">
        <v>73</v>
      </c>
      <c r="AS1041">
        <v>10000</v>
      </c>
      <c r="AT1041" t="s">
        <v>8780</v>
      </c>
      <c r="AU1041" t="s">
        <v>75</v>
      </c>
      <c r="AV1041" t="s">
        <v>76</v>
      </c>
    </row>
    <row r="1042" spans="1:48" x14ac:dyDescent="0.15">
      <c r="A1042" s="4" t="str">
        <f>HYPERLINK("https://ibp.a2mac1.com/costing(costing:projects/details/9760/assembly/8415581)","Windshield Wiper")</f>
        <v>Windshield Wiper</v>
      </c>
      <c r="B1042">
        <v>8415581</v>
      </c>
      <c r="D1042">
        <v>8415575</v>
      </c>
      <c r="F1042">
        <v>1</v>
      </c>
      <c r="G1042">
        <v>0</v>
      </c>
      <c r="H1042">
        <v>34.86554804481586</v>
      </c>
      <c r="I1042">
        <v>0</v>
      </c>
      <c r="J1042" t="s">
        <v>90</v>
      </c>
      <c r="K1042">
        <v>0</v>
      </c>
      <c r="L1042">
        <v>34.86554804481586</v>
      </c>
      <c r="M1042">
        <v>0</v>
      </c>
      <c r="N1042">
        <v>0</v>
      </c>
      <c r="O1042">
        <v>34.86554804481586</v>
      </c>
      <c r="P1042" t="s">
        <v>90</v>
      </c>
      <c r="Q1042">
        <v>0</v>
      </c>
      <c r="R1042" t="s">
        <v>90</v>
      </c>
      <c r="S1042">
        <v>0</v>
      </c>
      <c r="T1042" t="s">
        <v>90</v>
      </c>
      <c r="U1042">
        <v>0</v>
      </c>
      <c r="V1042" t="s">
        <v>90</v>
      </c>
      <c r="W1042">
        <v>0</v>
      </c>
      <c r="X1042" t="s">
        <v>90</v>
      </c>
      <c r="Y1042">
        <v>0</v>
      </c>
      <c r="Z1042">
        <v>34.86554804481586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L1042">
        <v>4.2080000000000002</v>
      </c>
      <c r="AN1042" t="s">
        <v>185</v>
      </c>
      <c r="AO1042" t="s">
        <v>73</v>
      </c>
      <c r="AP1042">
        <v>200000</v>
      </c>
      <c r="AQ1042" t="s">
        <v>73</v>
      </c>
      <c r="AS1042">
        <v>10000</v>
      </c>
      <c r="AT1042" t="s">
        <v>8781</v>
      </c>
      <c r="AU1042" t="s">
        <v>75</v>
      </c>
      <c r="AV1042" t="s">
        <v>76</v>
      </c>
    </row>
    <row r="1043" spans="1:48" x14ac:dyDescent="0.15">
      <c r="A1043" s="4" t="str">
        <f>HYPERLINK("https://ibp.a2mac1.com/costing(costing:projects/details/9760/assembly/8415575)","Body")</f>
        <v>Body</v>
      </c>
      <c r="B1043">
        <v>8415575</v>
      </c>
      <c r="C1043">
        <v>9760</v>
      </c>
      <c r="F1043">
        <v>1</v>
      </c>
      <c r="G1043">
        <v>0</v>
      </c>
      <c r="H1043">
        <v>3737.9241897969409</v>
      </c>
      <c r="I1043">
        <v>0</v>
      </c>
      <c r="J1043" t="s">
        <v>90</v>
      </c>
      <c r="K1043">
        <v>0</v>
      </c>
      <c r="L1043">
        <v>3737.9241897969409</v>
      </c>
      <c r="M1043">
        <v>0</v>
      </c>
      <c r="N1043">
        <v>0</v>
      </c>
      <c r="O1043">
        <v>3737.9241897969409</v>
      </c>
      <c r="P1043" t="s">
        <v>90</v>
      </c>
      <c r="Q1043">
        <v>0</v>
      </c>
      <c r="R1043" t="s">
        <v>90</v>
      </c>
      <c r="S1043">
        <v>0</v>
      </c>
      <c r="T1043" t="s">
        <v>90</v>
      </c>
      <c r="U1043">
        <v>0</v>
      </c>
      <c r="V1043" t="s">
        <v>90</v>
      </c>
      <c r="W1043">
        <v>0</v>
      </c>
      <c r="X1043" t="s">
        <v>90</v>
      </c>
      <c r="Y1043">
        <v>0</v>
      </c>
      <c r="Z1043">
        <v>3737.9241897969409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L1043">
        <v>630.99680000000001</v>
      </c>
      <c r="AN1043" t="s">
        <v>185</v>
      </c>
      <c r="AO1043" t="s">
        <v>73</v>
      </c>
      <c r="AP1043">
        <v>200000</v>
      </c>
      <c r="AQ1043" t="s">
        <v>73</v>
      </c>
      <c r="AS1043">
        <v>10000</v>
      </c>
      <c r="AT1043" t="s">
        <v>8782</v>
      </c>
      <c r="AU1043" t="s">
        <v>75</v>
      </c>
      <c r="AV1043" t="s">
        <v>76</v>
      </c>
    </row>
  </sheetData>
  <mergeCells count="15">
    <mergeCell ref="J3:K3"/>
    <mergeCell ref="M2:N2"/>
    <mergeCell ref="P2:Y2"/>
    <mergeCell ref="P3:Q3"/>
    <mergeCell ref="R3:S3"/>
    <mergeCell ref="T3:U3"/>
    <mergeCell ref="V3:W3"/>
    <mergeCell ref="X3:Y3"/>
    <mergeCell ref="AA1:AG1"/>
    <mergeCell ref="AA2:AE2"/>
    <mergeCell ref="AH1:AL2"/>
    <mergeCell ref="AM1:AZ2"/>
    <mergeCell ref="A1:G2"/>
    <mergeCell ref="H1:Z1"/>
    <mergeCell ref="H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4FD2-C018-4A1C-B7A0-746999BC1DC9}">
  <dimension ref="A1:AV1487"/>
  <sheetViews>
    <sheetView workbookViewId="0"/>
  </sheetViews>
  <sheetFormatPr baseColWidth="10" defaultColWidth="8.83203125" defaultRowHeight="13" x14ac:dyDescent="0.15"/>
  <cols>
    <col min="1" max="1" width="6.5" customWidth="1"/>
    <col min="2" max="2" width="3.1640625" customWidth="1"/>
    <col min="3" max="3" width="17.1640625" customWidth="1"/>
    <col min="4" max="4" width="13.33203125" customWidth="1"/>
    <col min="5" max="5" width="18.83203125" customWidth="1"/>
    <col min="6" max="6" width="11.5" customWidth="1"/>
    <col min="7" max="7" width="11.83203125" customWidth="1"/>
    <col min="8" max="8" width="12" customWidth="1"/>
    <col min="9" max="9" width="13.33203125" customWidth="1"/>
    <col min="10" max="10" width="23.33203125" customWidth="1"/>
    <col min="11" max="11" width="15.83203125" customWidth="1"/>
    <col min="12" max="12" width="22.5" customWidth="1"/>
    <col min="13" max="13" width="15.6640625" customWidth="1"/>
    <col min="14" max="14" width="28" customWidth="1"/>
    <col min="15" max="15" width="17.83203125" customWidth="1"/>
    <col min="16" max="17" width="13.5" customWidth="1"/>
    <col min="18" max="18" width="19" customWidth="1"/>
    <col min="19" max="19" width="18.5" customWidth="1"/>
    <col min="20" max="20" width="19.6640625" customWidth="1"/>
    <col min="21" max="21" width="19" customWidth="1"/>
    <col min="22" max="22" width="13.6640625" customWidth="1"/>
    <col min="23" max="23" width="24" customWidth="1"/>
    <col min="24" max="24" width="13.5" customWidth="1"/>
    <col min="25" max="27" width="27.33203125" customWidth="1"/>
    <col min="28" max="28" width="28.5" customWidth="1"/>
    <col min="29" max="29" width="30.1640625" customWidth="1"/>
    <col min="30" max="30" width="26.33203125" customWidth="1"/>
    <col min="31" max="31" width="29.83203125" customWidth="1"/>
    <col min="32" max="32" width="28.5" customWidth="1"/>
    <col min="33" max="33" width="37" customWidth="1"/>
    <col min="34" max="34" width="38.5" customWidth="1"/>
    <col min="35" max="35" width="34.6640625" customWidth="1"/>
    <col min="36" max="36" width="38.33203125" customWidth="1"/>
    <col min="37" max="37" width="37" customWidth="1"/>
    <col min="38" max="38" width="35.6640625" customWidth="1"/>
    <col min="39" max="39" width="32.6640625" customWidth="1"/>
    <col min="40" max="40" width="22.5" customWidth="1"/>
    <col min="41" max="41" width="31.6640625" customWidth="1"/>
    <col min="42" max="42" width="20.5" customWidth="1"/>
    <col min="43" max="43" width="21.6640625" customWidth="1"/>
    <col min="44" max="44" width="29" customWidth="1"/>
    <col min="45" max="45" width="24.5" customWidth="1"/>
    <col min="46" max="46" width="24.83203125" customWidth="1"/>
    <col min="47" max="47" width="21.1640625" customWidth="1"/>
    <col min="48" max="48" width="19.5" customWidth="1"/>
  </cols>
  <sheetData>
    <row r="1" spans="1:48" x14ac:dyDescent="0.15">
      <c r="A1" s="6" t="s">
        <v>14</v>
      </c>
      <c r="B1" s="6"/>
      <c r="C1" s="6"/>
      <c r="D1" s="6"/>
      <c r="E1" s="6"/>
      <c r="F1" s="6"/>
      <c r="G1" s="6"/>
      <c r="H1" s="6"/>
      <c r="I1" s="6" t="s">
        <v>15</v>
      </c>
      <c r="J1" s="6"/>
      <c r="K1" s="6"/>
      <c r="L1" s="6"/>
      <c r="M1" s="6"/>
      <c r="N1" s="6"/>
      <c r="O1" s="6"/>
      <c r="P1" s="6"/>
      <c r="Q1" s="6"/>
      <c r="R1" s="6" t="s">
        <v>137</v>
      </c>
      <c r="S1" s="6"/>
      <c r="T1" s="6"/>
      <c r="U1" s="6"/>
      <c r="V1" s="6"/>
      <c r="W1" s="6"/>
      <c r="X1" s="6"/>
      <c r="Y1" s="6"/>
      <c r="Z1" s="6"/>
      <c r="AA1" s="6"/>
      <c r="AB1" s="6" t="s">
        <v>148</v>
      </c>
      <c r="AC1" s="6"/>
      <c r="AD1" s="6"/>
      <c r="AE1" s="6"/>
      <c r="AF1" s="6"/>
      <c r="AG1" s="6"/>
      <c r="AH1" s="6"/>
      <c r="AI1" s="6"/>
      <c r="AJ1" s="6"/>
      <c r="AK1" s="6"/>
      <c r="AL1" s="6" t="s">
        <v>159</v>
      </c>
      <c r="AM1" s="6"/>
      <c r="AN1" s="6"/>
      <c r="AO1" s="6"/>
      <c r="AP1" s="6"/>
      <c r="AQ1" s="6"/>
      <c r="AR1" s="6"/>
      <c r="AS1" s="6"/>
      <c r="AT1" s="6"/>
      <c r="AU1" s="6"/>
      <c r="AV1" s="6" t="s">
        <v>161</v>
      </c>
    </row>
    <row r="2" spans="1:48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15">
      <c r="A3" s="1" t="s">
        <v>4</v>
      </c>
      <c r="B3" s="1" t="s">
        <v>12</v>
      </c>
      <c r="C3" s="1" t="s">
        <v>115</v>
      </c>
      <c r="D3" s="1" t="s">
        <v>49</v>
      </c>
      <c r="E3" s="1" t="s">
        <v>116</v>
      </c>
      <c r="F3" s="1" t="s">
        <v>14</v>
      </c>
      <c r="G3" s="1" t="s">
        <v>117</v>
      </c>
      <c r="H3" s="1" t="s">
        <v>63</v>
      </c>
      <c r="I3" s="1" t="s">
        <v>118</v>
      </c>
      <c r="J3" s="1" t="s">
        <v>119</v>
      </c>
      <c r="K3" s="1" t="s">
        <v>120</v>
      </c>
      <c r="L3" s="1" t="s">
        <v>121</v>
      </c>
      <c r="M3" s="1" t="s">
        <v>122</v>
      </c>
      <c r="N3" s="1" t="s">
        <v>123</v>
      </c>
      <c r="O3" s="1" t="s">
        <v>124</v>
      </c>
      <c r="P3" s="1" t="s">
        <v>125</v>
      </c>
      <c r="Q3" s="1" t="s">
        <v>126</v>
      </c>
      <c r="R3" s="1" t="s">
        <v>127</v>
      </c>
      <c r="S3" s="1" t="s">
        <v>128</v>
      </c>
      <c r="T3" s="1" t="s">
        <v>129</v>
      </c>
      <c r="U3" s="1" t="s">
        <v>130</v>
      </c>
      <c r="V3" s="1" t="s">
        <v>131</v>
      </c>
      <c r="W3" s="1" t="s">
        <v>132</v>
      </c>
      <c r="X3" s="1" t="s">
        <v>133</v>
      </c>
      <c r="Y3" s="1" t="s">
        <v>134</v>
      </c>
      <c r="Z3" s="1" t="s">
        <v>135</v>
      </c>
      <c r="AA3" s="1" t="s">
        <v>136</v>
      </c>
      <c r="AB3" s="1" t="s">
        <v>138</v>
      </c>
      <c r="AC3" s="1" t="s">
        <v>139</v>
      </c>
      <c r="AD3" s="1" t="s">
        <v>140</v>
      </c>
      <c r="AE3" s="1" t="s">
        <v>141</v>
      </c>
      <c r="AF3" s="1" t="s">
        <v>142</v>
      </c>
      <c r="AG3" s="1" t="s">
        <v>143</v>
      </c>
      <c r="AH3" s="1" t="s">
        <v>144</v>
      </c>
      <c r="AI3" s="1" t="s">
        <v>145</v>
      </c>
      <c r="AJ3" s="1" t="s">
        <v>146</v>
      </c>
      <c r="AK3" s="1" t="s">
        <v>147</v>
      </c>
      <c r="AL3" s="1" t="s">
        <v>149</v>
      </c>
      <c r="AM3" s="1" t="s">
        <v>150</v>
      </c>
      <c r="AN3" s="1" t="s">
        <v>151</v>
      </c>
      <c r="AO3" s="1" t="s">
        <v>152</v>
      </c>
      <c r="AP3" s="1" t="s">
        <v>153</v>
      </c>
      <c r="AQ3" s="1" t="s">
        <v>154</v>
      </c>
      <c r="AR3" s="1" t="s">
        <v>155</v>
      </c>
      <c r="AS3" s="1" t="s">
        <v>156</v>
      </c>
      <c r="AT3" s="1" t="s">
        <v>157</v>
      </c>
      <c r="AU3" s="1" t="s">
        <v>158</v>
      </c>
      <c r="AV3" s="1" t="s">
        <v>160</v>
      </c>
    </row>
    <row r="4" spans="1:48" x14ac:dyDescent="0.15">
      <c r="A4" s="4" t="str">
        <f>HYPERLINK("https://ibp.a2mac1.com/costing(costing:projects/details/9760/equipment/12209444)","General production process (0.5-10€)")</f>
        <v>General production process (0.5-10€)</v>
      </c>
      <c r="B4">
        <v>12209444</v>
      </c>
      <c r="C4">
        <v>12082354</v>
      </c>
      <c r="H4" t="s">
        <v>162</v>
      </c>
      <c r="I4">
        <v>116914.84457142858</v>
      </c>
      <c r="J4">
        <v>0</v>
      </c>
      <c r="K4">
        <v>3.6</v>
      </c>
      <c r="L4">
        <v>0</v>
      </c>
      <c r="M4">
        <v>27.497982091197134</v>
      </c>
      <c r="N4">
        <v>0</v>
      </c>
      <c r="O4">
        <v>0.43156555226462168</v>
      </c>
      <c r="P4">
        <v>6.4841283333333333E-2</v>
      </c>
      <c r="Q4">
        <v>1.9553610627359139E-2</v>
      </c>
      <c r="R4">
        <v>635568</v>
      </c>
      <c r="S4">
        <v>0</v>
      </c>
      <c r="T4">
        <v>0</v>
      </c>
      <c r="V4">
        <v>10800</v>
      </c>
      <c r="W4">
        <v>7</v>
      </c>
      <c r="X4">
        <v>85</v>
      </c>
      <c r="Y4">
        <v>3</v>
      </c>
      <c r="Z4">
        <v>4</v>
      </c>
      <c r="AA4">
        <v>5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3</v>
      </c>
      <c r="AJ4">
        <v>0</v>
      </c>
      <c r="AK4">
        <v>0</v>
      </c>
      <c r="AL4">
        <v>100</v>
      </c>
      <c r="AM4">
        <v>45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100</v>
      </c>
      <c r="AU4">
        <v>0</v>
      </c>
      <c r="AV4">
        <v>0</v>
      </c>
    </row>
    <row r="5" spans="1:48" x14ac:dyDescent="0.15">
      <c r="A5" s="4" t="str">
        <f>HYPERLINK("https://ibp.a2mac1.com/costing(costing:projects/details/9760/equipment/12209535)","General production process (&gt;10€)")</f>
        <v>General production process (&gt;10€)</v>
      </c>
      <c r="B5">
        <v>12209535</v>
      </c>
      <c r="C5">
        <v>12082468</v>
      </c>
      <c r="H5" t="s">
        <v>162</v>
      </c>
      <c r="I5">
        <v>116914.84457142858</v>
      </c>
      <c r="J5">
        <v>0</v>
      </c>
      <c r="K5">
        <v>3.6</v>
      </c>
      <c r="L5">
        <v>0</v>
      </c>
      <c r="M5">
        <v>27.497982091197134</v>
      </c>
      <c r="N5">
        <v>0</v>
      </c>
      <c r="O5">
        <v>20.623486568397851</v>
      </c>
      <c r="P5">
        <v>3.0986099999999999</v>
      </c>
      <c r="Q5">
        <v>7.0392998258492909</v>
      </c>
      <c r="R5">
        <v>635568</v>
      </c>
      <c r="S5">
        <v>0</v>
      </c>
      <c r="T5">
        <v>0</v>
      </c>
      <c r="V5">
        <v>6480000</v>
      </c>
      <c r="W5">
        <v>7</v>
      </c>
      <c r="X5">
        <v>85</v>
      </c>
      <c r="Y5">
        <v>3</v>
      </c>
      <c r="Z5">
        <v>4</v>
      </c>
      <c r="AA5">
        <v>5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3</v>
      </c>
      <c r="AJ5">
        <v>0</v>
      </c>
      <c r="AK5">
        <v>0</v>
      </c>
      <c r="AL5">
        <v>100</v>
      </c>
      <c r="AM5">
        <v>45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100</v>
      </c>
      <c r="AU5">
        <v>0</v>
      </c>
      <c r="AV5">
        <v>0</v>
      </c>
    </row>
    <row r="6" spans="1:48" x14ac:dyDescent="0.15">
      <c r="A6" s="4" t="str">
        <f>HYPERLINK("https://ibp.a2mac1.com/costing(costing:projects/details/9760/equipment/12209766)","Dummy Machine (Wireharness production line)")</f>
        <v>Dummy Machine (Wireharness production line)</v>
      </c>
      <c r="B6">
        <v>12209766</v>
      </c>
      <c r="C6">
        <v>12082801</v>
      </c>
      <c r="H6" t="s">
        <v>316</v>
      </c>
      <c r="I6">
        <v>18664.599488571428</v>
      </c>
      <c r="J6">
        <v>0</v>
      </c>
      <c r="K6">
        <v>9.6320000000000003E-2</v>
      </c>
      <c r="L6">
        <v>0</v>
      </c>
      <c r="M6">
        <v>3.815112106809937</v>
      </c>
      <c r="N6">
        <v>0</v>
      </c>
      <c r="O6">
        <v>10.061298428348206</v>
      </c>
      <c r="P6">
        <v>38.690385207533332</v>
      </c>
      <c r="Q6">
        <v>7.4898068373834779E-5</v>
      </c>
      <c r="R6">
        <v>89474.5</v>
      </c>
      <c r="S6">
        <v>0</v>
      </c>
      <c r="T6">
        <v>0</v>
      </c>
      <c r="V6">
        <v>126</v>
      </c>
      <c r="W6">
        <v>7</v>
      </c>
      <c r="X6">
        <v>85</v>
      </c>
      <c r="Y6">
        <v>3</v>
      </c>
      <c r="Z6">
        <v>4</v>
      </c>
      <c r="AA6">
        <v>5</v>
      </c>
      <c r="AB6">
        <v>0</v>
      </c>
      <c r="AC6">
        <v>0</v>
      </c>
      <c r="AD6">
        <v>0</v>
      </c>
      <c r="AE6">
        <v>0</v>
      </c>
      <c r="AF6">
        <v>3.5510000000000002</v>
      </c>
      <c r="AG6">
        <v>0</v>
      </c>
      <c r="AH6">
        <v>0</v>
      </c>
      <c r="AI6">
        <v>1.4</v>
      </c>
      <c r="AJ6">
        <v>0</v>
      </c>
      <c r="AK6">
        <v>0</v>
      </c>
      <c r="AL6">
        <v>86</v>
      </c>
      <c r="AM6">
        <v>1.4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71</v>
      </c>
      <c r="AU6">
        <v>0</v>
      </c>
      <c r="AV6">
        <v>0</v>
      </c>
    </row>
    <row r="7" spans="1:48" x14ac:dyDescent="0.15">
      <c r="A7" s="4" t="str">
        <f>HYPERLINK("https://ibp.a2mac1.com/costing(costing:projects/details/9760/equipment/12209767)","Dummy Machine (Wireharness production line)")</f>
        <v>Dummy Machine (Wireharness production line)</v>
      </c>
      <c r="B7">
        <v>12209767</v>
      </c>
      <c r="C7">
        <v>12082802</v>
      </c>
      <c r="H7" t="s">
        <v>162</v>
      </c>
      <c r="I7">
        <v>18664.599488571428</v>
      </c>
      <c r="J7">
        <v>0</v>
      </c>
      <c r="K7">
        <v>9.6320000000000003E-2</v>
      </c>
      <c r="L7">
        <v>0</v>
      </c>
      <c r="M7">
        <v>3.815112106809937</v>
      </c>
      <c r="N7">
        <v>0</v>
      </c>
      <c r="O7">
        <v>2.3017843044419952</v>
      </c>
      <c r="P7">
        <v>8.8514342395999996</v>
      </c>
      <c r="Q7">
        <v>7.4898068373834779E-5</v>
      </c>
      <c r="R7">
        <v>89474.5</v>
      </c>
      <c r="S7">
        <v>0</v>
      </c>
      <c r="T7">
        <v>0</v>
      </c>
      <c r="V7">
        <v>126</v>
      </c>
      <c r="W7">
        <v>7</v>
      </c>
      <c r="X7">
        <v>85</v>
      </c>
      <c r="Y7">
        <v>3</v>
      </c>
      <c r="Z7">
        <v>4</v>
      </c>
      <c r="AA7">
        <v>5</v>
      </c>
      <c r="AB7">
        <v>0</v>
      </c>
      <c r="AC7">
        <v>0</v>
      </c>
      <c r="AD7">
        <v>0</v>
      </c>
      <c r="AE7">
        <v>0</v>
      </c>
      <c r="AF7">
        <v>3.5510000000000002</v>
      </c>
      <c r="AG7">
        <v>0</v>
      </c>
      <c r="AH7">
        <v>0</v>
      </c>
      <c r="AI7">
        <v>1.4</v>
      </c>
      <c r="AJ7">
        <v>0</v>
      </c>
      <c r="AK7">
        <v>0</v>
      </c>
      <c r="AL7">
        <v>86</v>
      </c>
      <c r="AM7">
        <v>1.4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71</v>
      </c>
      <c r="AU7">
        <v>0</v>
      </c>
      <c r="AV7">
        <v>0</v>
      </c>
    </row>
    <row r="8" spans="1:48" x14ac:dyDescent="0.15">
      <c r="A8" s="4" t="str">
        <f>HYPERLINK("https://ibp.a2mac1.com/costing(costing:projects/details/9760/equipment/12209768)","Dummy Machine (Wireharness production line)")</f>
        <v>Dummy Machine (Wireharness production line)</v>
      </c>
      <c r="B8">
        <v>12209768</v>
      </c>
      <c r="C8">
        <v>12082803</v>
      </c>
      <c r="H8" t="s">
        <v>162</v>
      </c>
      <c r="I8">
        <v>18664.599488571428</v>
      </c>
      <c r="J8">
        <v>0</v>
      </c>
      <c r="K8">
        <v>9.6320000000000003E-2</v>
      </c>
      <c r="L8">
        <v>0</v>
      </c>
      <c r="M8">
        <v>3.815112106809937</v>
      </c>
      <c r="N8">
        <v>0</v>
      </c>
      <c r="O8">
        <v>4.6629147972121456E-2</v>
      </c>
      <c r="P8">
        <v>0.17931082253333333</v>
      </c>
      <c r="Q8">
        <v>7.4898068373834779E-5</v>
      </c>
      <c r="R8">
        <v>89474.5</v>
      </c>
      <c r="S8">
        <v>0</v>
      </c>
      <c r="T8">
        <v>0</v>
      </c>
      <c r="V8">
        <v>126</v>
      </c>
      <c r="W8">
        <v>7</v>
      </c>
      <c r="X8">
        <v>85</v>
      </c>
      <c r="Y8">
        <v>3</v>
      </c>
      <c r="Z8">
        <v>4</v>
      </c>
      <c r="AA8">
        <v>5</v>
      </c>
      <c r="AB8">
        <v>0</v>
      </c>
      <c r="AC8">
        <v>0</v>
      </c>
      <c r="AD8">
        <v>0</v>
      </c>
      <c r="AE8">
        <v>0</v>
      </c>
      <c r="AF8">
        <v>3.5510000000000002</v>
      </c>
      <c r="AG8">
        <v>0</v>
      </c>
      <c r="AH8">
        <v>0</v>
      </c>
      <c r="AI8">
        <v>1.4</v>
      </c>
      <c r="AJ8">
        <v>0</v>
      </c>
      <c r="AK8">
        <v>0</v>
      </c>
      <c r="AL8">
        <v>86</v>
      </c>
      <c r="AM8">
        <v>1.4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71</v>
      </c>
      <c r="AU8">
        <v>0</v>
      </c>
      <c r="AV8">
        <v>0</v>
      </c>
    </row>
    <row r="9" spans="1:48" x14ac:dyDescent="0.15">
      <c r="A9" s="4" t="str">
        <f>HYPERLINK("https://ibp.a2mac1.com/costing(costing:projects/details/9760/equipment/12209769)","Dummy Machine (Wireharness production line)")</f>
        <v>Dummy Machine (Wireharness production line)</v>
      </c>
      <c r="B9">
        <v>12209769</v>
      </c>
      <c r="C9">
        <v>12082804</v>
      </c>
      <c r="H9" t="s">
        <v>162</v>
      </c>
      <c r="I9">
        <v>18664.599488571428</v>
      </c>
      <c r="J9">
        <v>0</v>
      </c>
      <c r="K9">
        <v>9.6320000000000003E-2</v>
      </c>
      <c r="L9">
        <v>0</v>
      </c>
      <c r="M9">
        <v>3.815112106809937</v>
      </c>
      <c r="N9">
        <v>0</v>
      </c>
      <c r="O9">
        <v>0.38469047077000201</v>
      </c>
      <c r="P9">
        <v>1.4793142858999999</v>
      </c>
      <c r="Q9">
        <v>7.4898068373834779E-5</v>
      </c>
      <c r="R9">
        <v>89474.5</v>
      </c>
      <c r="S9">
        <v>0</v>
      </c>
      <c r="T9">
        <v>0</v>
      </c>
      <c r="V9">
        <v>126</v>
      </c>
      <c r="W9">
        <v>7</v>
      </c>
      <c r="X9">
        <v>85</v>
      </c>
      <c r="Y9">
        <v>3</v>
      </c>
      <c r="Z9">
        <v>4</v>
      </c>
      <c r="AA9">
        <v>5</v>
      </c>
      <c r="AB9">
        <v>0</v>
      </c>
      <c r="AC9">
        <v>0</v>
      </c>
      <c r="AD9">
        <v>0</v>
      </c>
      <c r="AE9">
        <v>0</v>
      </c>
      <c r="AF9">
        <v>3.5510000000000002</v>
      </c>
      <c r="AG9">
        <v>0</v>
      </c>
      <c r="AH9">
        <v>0</v>
      </c>
      <c r="AI9">
        <v>1.4</v>
      </c>
      <c r="AJ9">
        <v>0</v>
      </c>
      <c r="AK9">
        <v>0</v>
      </c>
      <c r="AL9">
        <v>86</v>
      </c>
      <c r="AM9">
        <v>1.4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71</v>
      </c>
      <c r="AU9">
        <v>0</v>
      </c>
      <c r="AV9">
        <v>0</v>
      </c>
    </row>
    <row r="10" spans="1:48" x14ac:dyDescent="0.15">
      <c r="A10" s="4" t="str">
        <f>HYPERLINK("https://ibp.a2mac1.com/costing(costing:projects/details/9760/equipment/12209770)","Dummy Machine (Wireharness production line)")</f>
        <v>Dummy Machine (Wireharness production line)</v>
      </c>
      <c r="B10">
        <v>12209770</v>
      </c>
      <c r="C10">
        <v>12082805</v>
      </c>
      <c r="H10" t="s">
        <v>162</v>
      </c>
      <c r="I10">
        <v>18664.599488571428</v>
      </c>
      <c r="J10">
        <v>0</v>
      </c>
      <c r="K10">
        <v>9.6320000000000003E-2</v>
      </c>
      <c r="L10">
        <v>0</v>
      </c>
      <c r="M10">
        <v>3.815112106809937</v>
      </c>
      <c r="N10">
        <v>0</v>
      </c>
      <c r="O10">
        <v>0.87641603120328282</v>
      </c>
      <c r="P10">
        <v>3.3702284144333334</v>
      </c>
      <c r="Q10">
        <v>7.4898068373834779E-5</v>
      </c>
      <c r="R10">
        <v>89474.5</v>
      </c>
      <c r="S10">
        <v>0</v>
      </c>
      <c r="T10">
        <v>0</v>
      </c>
      <c r="V10">
        <v>126</v>
      </c>
      <c r="W10">
        <v>7</v>
      </c>
      <c r="X10">
        <v>85</v>
      </c>
      <c r="Y10">
        <v>3</v>
      </c>
      <c r="Z10">
        <v>4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3.5510000000000002</v>
      </c>
      <c r="AG10">
        <v>0</v>
      </c>
      <c r="AH10">
        <v>0</v>
      </c>
      <c r="AI10">
        <v>1.4</v>
      </c>
      <c r="AJ10">
        <v>0</v>
      </c>
      <c r="AK10">
        <v>0</v>
      </c>
      <c r="AL10">
        <v>86</v>
      </c>
      <c r="AM10">
        <v>1.4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71</v>
      </c>
      <c r="AU10">
        <v>0</v>
      </c>
      <c r="AV10">
        <v>0</v>
      </c>
    </row>
    <row r="11" spans="1:48" x14ac:dyDescent="0.15">
      <c r="A11" s="4" t="str">
        <f>HYPERLINK("https://ibp.a2mac1.com/costing(costing:projects/details/9760/equipment/12209771)","Dummy Machine (Wireharness production line)")</f>
        <v>Dummy Machine (Wireharness production line)</v>
      </c>
      <c r="B11">
        <v>12209771</v>
      </c>
      <c r="C11">
        <v>12082806</v>
      </c>
      <c r="H11" t="s">
        <v>162</v>
      </c>
      <c r="I11">
        <v>18664.599488571428</v>
      </c>
      <c r="J11">
        <v>0</v>
      </c>
      <c r="K11">
        <v>9.6320000000000003E-2</v>
      </c>
      <c r="L11">
        <v>0</v>
      </c>
      <c r="M11">
        <v>3.815112106809937</v>
      </c>
      <c r="N11">
        <v>0</v>
      </c>
      <c r="O11">
        <v>9.431804930724566E-2</v>
      </c>
      <c r="P11">
        <v>0.36269689103333336</v>
      </c>
      <c r="Q11">
        <v>3.7449034186917389E-5</v>
      </c>
      <c r="R11">
        <v>89474.5</v>
      </c>
      <c r="S11">
        <v>0</v>
      </c>
      <c r="T11">
        <v>0</v>
      </c>
      <c r="V11">
        <v>126</v>
      </c>
      <c r="W11">
        <v>7</v>
      </c>
      <c r="X11">
        <v>85</v>
      </c>
      <c r="Y11">
        <v>3</v>
      </c>
      <c r="Z11">
        <v>4</v>
      </c>
      <c r="AA11">
        <v>5</v>
      </c>
      <c r="AB11">
        <v>0</v>
      </c>
      <c r="AC11">
        <v>0</v>
      </c>
      <c r="AD11">
        <v>0</v>
      </c>
      <c r="AE11">
        <v>0</v>
      </c>
      <c r="AF11">
        <v>3.5510000000000002</v>
      </c>
      <c r="AG11">
        <v>0</v>
      </c>
      <c r="AH11">
        <v>0</v>
      </c>
      <c r="AI11">
        <v>1.4</v>
      </c>
      <c r="AJ11">
        <v>0</v>
      </c>
      <c r="AK11">
        <v>0</v>
      </c>
      <c r="AL11">
        <v>86</v>
      </c>
      <c r="AM11">
        <v>1.4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71</v>
      </c>
      <c r="AU11">
        <v>0</v>
      </c>
      <c r="AV11">
        <v>0</v>
      </c>
    </row>
    <row r="12" spans="1:48" x14ac:dyDescent="0.15">
      <c r="A12" s="4" t="str">
        <f>HYPERLINK("https://ibp.a2mac1.com/costing(costing:projects/details/9760/equipment/12209772)","Dummy Machine (Wireharness production line)")</f>
        <v>Dummy Machine (Wireharness production line)</v>
      </c>
      <c r="B12">
        <v>12209772</v>
      </c>
      <c r="C12">
        <v>12082807</v>
      </c>
      <c r="H12" t="s">
        <v>162</v>
      </c>
      <c r="I12">
        <v>18664.599488571428</v>
      </c>
      <c r="J12">
        <v>0</v>
      </c>
      <c r="K12">
        <v>9.6320000000000003E-2</v>
      </c>
      <c r="L12">
        <v>0</v>
      </c>
      <c r="M12">
        <v>3.815112106809937</v>
      </c>
      <c r="N12">
        <v>0</v>
      </c>
      <c r="O12">
        <v>0.18757634525148859</v>
      </c>
      <c r="P12">
        <v>0.72131853609999996</v>
      </c>
      <c r="Q12">
        <v>7.4898068373834779E-5</v>
      </c>
      <c r="R12">
        <v>89474.5</v>
      </c>
      <c r="S12">
        <v>0</v>
      </c>
      <c r="T12">
        <v>0</v>
      </c>
      <c r="V12">
        <v>126</v>
      </c>
      <c r="W12">
        <v>7</v>
      </c>
      <c r="X12">
        <v>85</v>
      </c>
      <c r="Y12">
        <v>3</v>
      </c>
      <c r="Z12">
        <v>4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3.5510000000000002</v>
      </c>
      <c r="AG12">
        <v>0</v>
      </c>
      <c r="AH12">
        <v>0</v>
      </c>
      <c r="AI12">
        <v>1.4</v>
      </c>
      <c r="AJ12">
        <v>0</v>
      </c>
      <c r="AK12">
        <v>0</v>
      </c>
      <c r="AL12">
        <v>86</v>
      </c>
      <c r="AM12">
        <v>1.4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71</v>
      </c>
      <c r="AU12">
        <v>0</v>
      </c>
      <c r="AV12">
        <v>0</v>
      </c>
    </row>
    <row r="13" spans="1:48" x14ac:dyDescent="0.15">
      <c r="A13" s="4" t="str">
        <f>HYPERLINK("https://ibp.a2mac1.com/costing(costing:projects/details/9760/equipment/12209773)","Dummy Machine (Wireharness production line)")</f>
        <v>Dummy Machine (Wireharness production line)</v>
      </c>
      <c r="B13">
        <v>12209773</v>
      </c>
      <c r="C13">
        <v>12082808</v>
      </c>
      <c r="H13" t="s">
        <v>162</v>
      </c>
      <c r="I13">
        <v>18664.599488571428</v>
      </c>
      <c r="J13">
        <v>0</v>
      </c>
      <c r="K13">
        <v>9.6320000000000003E-2</v>
      </c>
      <c r="L13">
        <v>0</v>
      </c>
      <c r="M13">
        <v>3.815112106809937</v>
      </c>
      <c r="N13">
        <v>0</v>
      </c>
      <c r="O13">
        <v>0.66764461869173897</v>
      </c>
      <c r="P13">
        <v>2.5674049590000001</v>
      </c>
      <c r="Q13">
        <v>7.4898068373834779E-5</v>
      </c>
      <c r="R13">
        <v>89474.5</v>
      </c>
      <c r="S13">
        <v>0</v>
      </c>
      <c r="T13">
        <v>0</v>
      </c>
      <c r="V13">
        <v>126</v>
      </c>
      <c r="W13">
        <v>7</v>
      </c>
      <c r="X13">
        <v>85</v>
      </c>
      <c r="Y13">
        <v>3</v>
      </c>
      <c r="Z13">
        <v>4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3.5510000000000002</v>
      </c>
      <c r="AG13">
        <v>0</v>
      </c>
      <c r="AH13">
        <v>0</v>
      </c>
      <c r="AI13">
        <v>1.4</v>
      </c>
      <c r="AJ13">
        <v>0</v>
      </c>
      <c r="AK13">
        <v>0</v>
      </c>
      <c r="AL13">
        <v>86</v>
      </c>
      <c r="AM13">
        <v>1.4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71</v>
      </c>
      <c r="AU13">
        <v>0</v>
      </c>
      <c r="AV13">
        <v>0</v>
      </c>
    </row>
    <row r="14" spans="1:48" x14ac:dyDescent="0.15">
      <c r="A14" s="4" t="str">
        <f>HYPERLINK("https://ibp.a2mac1.com/costing(costing:projects/details/9760/equipment/12209774)","Dummy Machine (Wireharness production line)")</f>
        <v>Dummy Machine (Wireharness production line)</v>
      </c>
      <c r="B14">
        <v>12209774</v>
      </c>
      <c r="C14">
        <v>12082809</v>
      </c>
      <c r="H14" t="s">
        <v>162</v>
      </c>
      <c r="I14">
        <v>18664.599488571428</v>
      </c>
      <c r="J14">
        <v>0</v>
      </c>
      <c r="K14">
        <v>9.6320000000000003E-2</v>
      </c>
      <c r="L14">
        <v>0</v>
      </c>
      <c r="M14">
        <v>3.815112106809937</v>
      </c>
      <c r="N14">
        <v>0</v>
      </c>
      <c r="O14">
        <v>2.1195067260055205E-2</v>
      </c>
      <c r="P14">
        <v>8.1504919333333328E-2</v>
      </c>
      <c r="Q14">
        <v>3.7449034186917389E-5</v>
      </c>
      <c r="R14">
        <v>89474.5</v>
      </c>
      <c r="S14">
        <v>0</v>
      </c>
      <c r="T14">
        <v>0</v>
      </c>
      <c r="V14">
        <v>126</v>
      </c>
      <c r="W14">
        <v>7</v>
      </c>
      <c r="X14">
        <v>85</v>
      </c>
      <c r="Y14">
        <v>3</v>
      </c>
      <c r="Z14">
        <v>4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3.5510000000000002</v>
      </c>
      <c r="AG14">
        <v>0</v>
      </c>
      <c r="AH14">
        <v>0</v>
      </c>
      <c r="AI14">
        <v>1.4</v>
      </c>
      <c r="AJ14">
        <v>0</v>
      </c>
      <c r="AK14">
        <v>0</v>
      </c>
      <c r="AL14">
        <v>86</v>
      </c>
      <c r="AM14">
        <v>1.4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71</v>
      </c>
      <c r="AU14">
        <v>0</v>
      </c>
      <c r="AV14">
        <v>0</v>
      </c>
    </row>
    <row r="15" spans="1:48" x14ac:dyDescent="0.15">
      <c r="A15" s="4" t="str">
        <f>HYPERLINK("https://ibp.a2mac1.com/costing(costing:projects/details/9760/equipment/12209775)","Dummy Machine (Wireharness production line)")</f>
        <v>Dummy Machine (Wireharness production line)</v>
      </c>
      <c r="B15">
        <v>12209775</v>
      </c>
      <c r="C15">
        <v>12082810</v>
      </c>
      <c r="H15" t="s">
        <v>162</v>
      </c>
      <c r="I15">
        <v>18664.599488571428</v>
      </c>
      <c r="J15">
        <v>0</v>
      </c>
      <c r="K15">
        <v>9.6320000000000003E-2</v>
      </c>
      <c r="L15">
        <v>0</v>
      </c>
      <c r="M15">
        <v>3.815112106809937</v>
      </c>
      <c r="N15">
        <v>0</v>
      </c>
      <c r="O15">
        <v>1.4836547082038644E-2</v>
      </c>
      <c r="P15">
        <v>5.7053443533333331E-2</v>
      </c>
      <c r="Q15">
        <v>7.4898068373834779E-5</v>
      </c>
      <c r="R15">
        <v>89474.5</v>
      </c>
      <c r="S15">
        <v>0</v>
      </c>
      <c r="T15">
        <v>0</v>
      </c>
      <c r="V15">
        <v>126</v>
      </c>
      <c r="W15">
        <v>7</v>
      </c>
      <c r="X15">
        <v>85</v>
      </c>
      <c r="Y15">
        <v>3</v>
      </c>
      <c r="Z15">
        <v>4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3.5510000000000002</v>
      </c>
      <c r="AG15">
        <v>0</v>
      </c>
      <c r="AH15">
        <v>0</v>
      </c>
      <c r="AI15">
        <v>1.4</v>
      </c>
      <c r="AJ15">
        <v>0</v>
      </c>
      <c r="AK15">
        <v>0</v>
      </c>
      <c r="AL15">
        <v>86</v>
      </c>
      <c r="AM15">
        <v>1.4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71</v>
      </c>
      <c r="AU15">
        <v>0</v>
      </c>
      <c r="AV15">
        <v>0</v>
      </c>
    </row>
    <row r="16" spans="1:48" x14ac:dyDescent="0.15">
      <c r="A16" s="4" t="str">
        <f>HYPERLINK("https://ibp.a2mac1.com/costing(costing:projects/details/9760/equipment/12209776)","Dummy Machine (Wireharness production line)")</f>
        <v>Dummy Machine (Wireharness production line)</v>
      </c>
      <c r="B16">
        <v>12209776</v>
      </c>
      <c r="C16">
        <v>12082811</v>
      </c>
      <c r="H16" t="s">
        <v>162</v>
      </c>
      <c r="I16">
        <v>18664.599488571428</v>
      </c>
      <c r="J16">
        <v>0</v>
      </c>
      <c r="K16">
        <v>9.6320000000000003E-2</v>
      </c>
      <c r="L16">
        <v>0</v>
      </c>
      <c r="M16">
        <v>3.815112106809937</v>
      </c>
      <c r="N16">
        <v>0</v>
      </c>
      <c r="O16">
        <v>0.16532152462843061</v>
      </c>
      <c r="P16">
        <v>0.63573837079999995</v>
      </c>
      <c r="Q16">
        <v>7.4898068373834779E-5</v>
      </c>
      <c r="R16">
        <v>89474.5</v>
      </c>
      <c r="S16">
        <v>0</v>
      </c>
      <c r="T16">
        <v>0</v>
      </c>
      <c r="V16">
        <v>126</v>
      </c>
      <c r="W16">
        <v>7</v>
      </c>
      <c r="X16">
        <v>85</v>
      </c>
      <c r="Y16">
        <v>3</v>
      </c>
      <c r="Z16">
        <v>4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3.5510000000000002</v>
      </c>
      <c r="AG16">
        <v>0</v>
      </c>
      <c r="AH16">
        <v>0</v>
      </c>
      <c r="AI16">
        <v>1.4</v>
      </c>
      <c r="AJ16">
        <v>0</v>
      </c>
      <c r="AK16">
        <v>0</v>
      </c>
      <c r="AL16">
        <v>86</v>
      </c>
      <c r="AM16">
        <v>1.4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71</v>
      </c>
      <c r="AU16">
        <v>0</v>
      </c>
      <c r="AV16">
        <v>0</v>
      </c>
    </row>
    <row r="17" spans="1:48" x14ac:dyDescent="0.15">
      <c r="A17" s="4" t="str">
        <f>HYPERLINK("https://ibp.a2mac1.com/costing(costing:projects/details/9760/equipment/12209777)","Dummy Machine (PCBA+Final Assembly Line)")</f>
        <v>Dummy Machine (PCBA+Final Assembly Line)</v>
      </c>
      <c r="B17">
        <v>12209777</v>
      </c>
      <c r="C17">
        <v>12082812</v>
      </c>
      <c r="F17" t="s">
        <v>358</v>
      </c>
      <c r="H17" t="s">
        <v>162</v>
      </c>
      <c r="I17">
        <v>79501.662769714283</v>
      </c>
      <c r="J17">
        <v>0</v>
      </c>
      <c r="K17">
        <v>0.28895999999999999</v>
      </c>
      <c r="L17">
        <v>0</v>
      </c>
      <c r="M17">
        <v>16.624578413647427</v>
      </c>
      <c r="N17">
        <v>0</v>
      </c>
      <c r="O17">
        <v>0.15386970909520339</v>
      </c>
      <c r="P17">
        <v>2.6767399866666666E-2</v>
      </c>
      <c r="Q17">
        <v>1.1481975848188456E-4</v>
      </c>
      <c r="R17">
        <v>442771.1</v>
      </c>
      <c r="S17">
        <v>0</v>
      </c>
      <c r="T17">
        <v>0</v>
      </c>
      <c r="V17">
        <v>216</v>
      </c>
      <c r="W17">
        <v>7</v>
      </c>
      <c r="X17">
        <v>85</v>
      </c>
      <c r="Y17">
        <v>3</v>
      </c>
      <c r="Z17">
        <v>4</v>
      </c>
      <c r="AA17">
        <v>5</v>
      </c>
      <c r="AB17">
        <v>0</v>
      </c>
      <c r="AC17">
        <v>0</v>
      </c>
      <c r="AD17">
        <v>0</v>
      </c>
      <c r="AE17">
        <v>0</v>
      </c>
      <c r="AF17">
        <v>0.7</v>
      </c>
      <c r="AG17">
        <v>0</v>
      </c>
      <c r="AH17">
        <v>0</v>
      </c>
      <c r="AI17">
        <v>0.2</v>
      </c>
      <c r="AJ17">
        <v>0</v>
      </c>
      <c r="AK17">
        <v>0</v>
      </c>
      <c r="AL17">
        <v>86</v>
      </c>
      <c r="AM17">
        <v>4.2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19.399999999999999</v>
      </c>
      <c r="AU17">
        <v>0</v>
      </c>
      <c r="AV17">
        <v>0</v>
      </c>
    </row>
    <row r="18" spans="1:48" x14ac:dyDescent="0.15">
      <c r="A18" s="4" t="str">
        <f>HYPERLINK("https://ibp.a2mac1.com/costing(costing:projects/details/9760/equipment/12209781)","Dummy Machine (PCBA+Final Assembly Line)")</f>
        <v>Dummy Machine (PCBA+Final Assembly Line)</v>
      </c>
      <c r="B18">
        <v>12209781</v>
      </c>
      <c r="C18">
        <v>12082942</v>
      </c>
      <c r="F18" t="s">
        <v>358</v>
      </c>
      <c r="H18" t="s">
        <v>162</v>
      </c>
      <c r="I18">
        <v>79501.662769714283</v>
      </c>
      <c r="J18">
        <v>0</v>
      </c>
      <c r="K18">
        <v>0.28895999999999999</v>
      </c>
      <c r="L18">
        <v>0</v>
      </c>
      <c r="M18">
        <v>16.624578413647427</v>
      </c>
      <c r="N18">
        <v>0</v>
      </c>
      <c r="O18">
        <v>1.3438200884365004</v>
      </c>
      <c r="P18">
        <v>0.23377291</v>
      </c>
      <c r="Q18">
        <v>1.1481975848188456E-4</v>
      </c>
      <c r="R18">
        <v>442771.1</v>
      </c>
      <c r="S18">
        <v>0</v>
      </c>
      <c r="T18">
        <v>0</v>
      </c>
      <c r="V18">
        <v>216</v>
      </c>
      <c r="W18">
        <v>7</v>
      </c>
      <c r="X18">
        <v>85</v>
      </c>
      <c r="Y18">
        <v>3</v>
      </c>
      <c r="Z18">
        <v>4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0.7</v>
      </c>
      <c r="AG18">
        <v>0</v>
      </c>
      <c r="AH18">
        <v>0</v>
      </c>
      <c r="AI18">
        <v>0.2</v>
      </c>
      <c r="AJ18">
        <v>0</v>
      </c>
      <c r="AK18">
        <v>0</v>
      </c>
      <c r="AL18">
        <v>86</v>
      </c>
      <c r="AM18">
        <v>4.2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19.399999999999999</v>
      </c>
      <c r="AU18">
        <v>0</v>
      </c>
      <c r="AV18">
        <v>0</v>
      </c>
    </row>
    <row r="19" spans="1:48" x14ac:dyDescent="0.15">
      <c r="A19" s="4" t="str">
        <f>HYPERLINK("https://ibp.a2mac1.com/costing(costing:projects/details/9760/equipment/12209782)","Dummy Machine (PCBA+Final Assembly Line)")</f>
        <v>Dummy Machine (PCBA+Final Assembly Line)</v>
      </c>
      <c r="B19">
        <v>12209782</v>
      </c>
      <c r="C19">
        <v>12082943</v>
      </c>
      <c r="F19" t="s">
        <v>358</v>
      </c>
      <c r="H19" t="s">
        <v>162</v>
      </c>
      <c r="I19">
        <v>79501.662769714283</v>
      </c>
      <c r="J19">
        <v>0</v>
      </c>
      <c r="K19">
        <v>0.28895999999999999</v>
      </c>
      <c r="L19">
        <v>0</v>
      </c>
      <c r="M19">
        <v>16.624578413647427</v>
      </c>
      <c r="N19">
        <v>0</v>
      </c>
      <c r="O19">
        <v>1.353055965332971</v>
      </c>
      <c r="P19">
        <v>0.23537959666666666</v>
      </c>
      <c r="Q19">
        <v>1.1481975848188456E-4</v>
      </c>
      <c r="R19">
        <v>442771.1</v>
      </c>
      <c r="S19">
        <v>0</v>
      </c>
      <c r="T19">
        <v>0</v>
      </c>
      <c r="V19">
        <v>216</v>
      </c>
      <c r="W19">
        <v>7</v>
      </c>
      <c r="X19">
        <v>85</v>
      </c>
      <c r="Y19">
        <v>3</v>
      </c>
      <c r="Z19">
        <v>4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0.7</v>
      </c>
      <c r="AG19">
        <v>0</v>
      </c>
      <c r="AH19">
        <v>0</v>
      </c>
      <c r="AI19">
        <v>0.2</v>
      </c>
      <c r="AJ19">
        <v>0</v>
      </c>
      <c r="AK19">
        <v>0</v>
      </c>
      <c r="AL19">
        <v>86</v>
      </c>
      <c r="AM19">
        <v>4.2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19.399999999999999</v>
      </c>
      <c r="AU19">
        <v>0</v>
      </c>
      <c r="AV19">
        <v>0</v>
      </c>
    </row>
    <row r="20" spans="1:48" x14ac:dyDescent="0.15">
      <c r="A20" s="4" t="str">
        <f>HYPERLINK("https://ibp.a2mac1.com/costing(costing:projects/details/9760/equipment/12209783)","Dummy Machine (PCBA+Final Assembly Line)")</f>
        <v>Dummy Machine (PCBA+Final Assembly Line)</v>
      </c>
      <c r="B20">
        <v>12209783</v>
      </c>
      <c r="C20">
        <v>12082944</v>
      </c>
      <c r="F20" t="s">
        <v>358</v>
      </c>
      <c r="H20" t="s">
        <v>162</v>
      </c>
      <c r="I20">
        <v>79501.662769714283</v>
      </c>
      <c r="J20">
        <v>0</v>
      </c>
      <c r="K20">
        <v>0.28895999999999999</v>
      </c>
      <c r="L20">
        <v>0</v>
      </c>
      <c r="M20">
        <v>16.624578413647427</v>
      </c>
      <c r="N20">
        <v>0</v>
      </c>
      <c r="O20">
        <v>1.9487700251553373</v>
      </c>
      <c r="P20">
        <v>0.33901088666666668</v>
      </c>
      <c r="Q20">
        <v>1.1481975848188456E-4</v>
      </c>
      <c r="R20">
        <v>442771.1</v>
      </c>
      <c r="S20">
        <v>0</v>
      </c>
      <c r="T20">
        <v>0</v>
      </c>
      <c r="V20">
        <v>216</v>
      </c>
      <c r="W20">
        <v>7</v>
      </c>
      <c r="X20">
        <v>85</v>
      </c>
      <c r="Y20">
        <v>3</v>
      </c>
      <c r="Z20">
        <v>4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0.7</v>
      </c>
      <c r="AG20">
        <v>0</v>
      </c>
      <c r="AH20">
        <v>0</v>
      </c>
      <c r="AI20">
        <v>0.2</v>
      </c>
      <c r="AJ20">
        <v>0</v>
      </c>
      <c r="AK20">
        <v>0</v>
      </c>
      <c r="AL20">
        <v>86</v>
      </c>
      <c r="AM20">
        <v>4.2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19.399999999999999</v>
      </c>
      <c r="AU20">
        <v>0</v>
      </c>
      <c r="AV20">
        <v>0</v>
      </c>
    </row>
    <row r="21" spans="1:48" x14ac:dyDescent="0.15">
      <c r="A21" s="4" t="str">
        <f>HYPERLINK("https://ibp.a2mac1.com/costing(costing:projects/details/9760/equipment/12209784)","Dummy Machine (PCBA+Final Assembly Line)")</f>
        <v>Dummy Machine (PCBA+Final Assembly Line)</v>
      </c>
      <c r="B21">
        <v>12209784</v>
      </c>
      <c r="C21">
        <v>12082945</v>
      </c>
      <c r="F21" t="s">
        <v>358</v>
      </c>
      <c r="H21" t="s">
        <v>162</v>
      </c>
      <c r="I21">
        <v>79501.662769714283</v>
      </c>
      <c r="J21">
        <v>0</v>
      </c>
      <c r="K21">
        <v>0.28895999999999999</v>
      </c>
      <c r="L21">
        <v>0</v>
      </c>
      <c r="M21">
        <v>16.624578413647427</v>
      </c>
      <c r="N21">
        <v>0</v>
      </c>
      <c r="O21">
        <v>1.8009959948118046</v>
      </c>
      <c r="P21">
        <v>0.31330390000000002</v>
      </c>
      <c r="Q21">
        <v>1.1481975848188456E-4</v>
      </c>
      <c r="R21">
        <v>442771.1</v>
      </c>
      <c r="S21">
        <v>0</v>
      </c>
      <c r="T21">
        <v>0</v>
      </c>
      <c r="V21">
        <v>216</v>
      </c>
      <c r="W21">
        <v>7</v>
      </c>
      <c r="X21">
        <v>85</v>
      </c>
      <c r="Y21">
        <v>3</v>
      </c>
      <c r="Z21">
        <v>4</v>
      </c>
      <c r="AA21">
        <v>5</v>
      </c>
      <c r="AB21">
        <v>0</v>
      </c>
      <c r="AC21">
        <v>0</v>
      </c>
      <c r="AD21">
        <v>0</v>
      </c>
      <c r="AE21">
        <v>0</v>
      </c>
      <c r="AF21">
        <v>0.7</v>
      </c>
      <c r="AG21">
        <v>0</v>
      </c>
      <c r="AH21">
        <v>0</v>
      </c>
      <c r="AI21">
        <v>0.2</v>
      </c>
      <c r="AJ21">
        <v>0</v>
      </c>
      <c r="AK21">
        <v>0</v>
      </c>
      <c r="AL21">
        <v>86</v>
      </c>
      <c r="AM21">
        <v>4.2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19.399999999999999</v>
      </c>
      <c r="AU21">
        <v>0</v>
      </c>
      <c r="AV21">
        <v>0</v>
      </c>
    </row>
    <row r="22" spans="1:48" x14ac:dyDescent="0.15">
      <c r="A22" s="4" t="str">
        <f>HYPERLINK("https://ibp.a2mac1.com/costing(costing:projects/details/9760/equipment/12209785)","Dummy Machine (PCBA+Final Assembly Line)")</f>
        <v>Dummy Machine (PCBA+Final Assembly Line)</v>
      </c>
      <c r="B22">
        <v>12209785</v>
      </c>
      <c r="C22">
        <v>12082946</v>
      </c>
      <c r="F22" t="s">
        <v>358</v>
      </c>
      <c r="H22" t="s">
        <v>162</v>
      </c>
      <c r="I22">
        <v>79501.662769714283</v>
      </c>
      <c r="J22">
        <v>0</v>
      </c>
      <c r="K22">
        <v>0.28895999999999999</v>
      </c>
      <c r="L22">
        <v>0</v>
      </c>
      <c r="M22">
        <v>16.624578413647427</v>
      </c>
      <c r="N22">
        <v>0</v>
      </c>
      <c r="O22">
        <v>0.18698032776905119</v>
      </c>
      <c r="P22">
        <v>3.2527371566666664E-2</v>
      </c>
      <c r="Q22">
        <v>1.1481975848188456E-4</v>
      </c>
      <c r="R22">
        <v>442771.1</v>
      </c>
      <c r="S22">
        <v>0</v>
      </c>
      <c r="T22">
        <v>0</v>
      </c>
      <c r="V22">
        <v>216</v>
      </c>
      <c r="W22">
        <v>7</v>
      </c>
      <c r="X22">
        <v>85</v>
      </c>
      <c r="Y22">
        <v>3</v>
      </c>
      <c r="Z22">
        <v>4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0.7</v>
      </c>
      <c r="AG22">
        <v>0</v>
      </c>
      <c r="AH22">
        <v>0</v>
      </c>
      <c r="AI22">
        <v>0.2</v>
      </c>
      <c r="AJ22">
        <v>0</v>
      </c>
      <c r="AK22">
        <v>0</v>
      </c>
      <c r="AL22">
        <v>86</v>
      </c>
      <c r="AM22">
        <v>4.2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19.399999999999999</v>
      </c>
      <c r="AU22">
        <v>0</v>
      </c>
      <c r="AV22">
        <v>0</v>
      </c>
    </row>
    <row r="23" spans="1:48" x14ac:dyDescent="0.15">
      <c r="A23" s="4" t="str">
        <f>HYPERLINK("https://ibp.a2mac1.com/costing(costing:projects/details/9760/equipment/12209786)","Dummy Machine (PCBA+Final Assembly Line)")</f>
        <v>Dummy Machine (PCBA+Final Assembly Line)</v>
      </c>
      <c r="B23">
        <v>12209786</v>
      </c>
      <c r="C23">
        <v>12082947</v>
      </c>
      <c r="F23" t="s">
        <v>358</v>
      </c>
      <c r="H23" t="s">
        <v>162</v>
      </c>
      <c r="I23">
        <v>79501.662769714283</v>
      </c>
      <c r="J23">
        <v>0</v>
      </c>
      <c r="K23">
        <v>0.28895999999999999</v>
      </c>
      <c r="L23">
        <v>0</v>
      </c>
      <c r="M23">
        <v>16.624578413647427</v>
      </c>
      <c r="N23">
        <v>0</v>
      </c>
      <c r="O23">
        <v>22.997333472212272</v>
      </c>
      <c r="P23">
        <v>4.0006497999999997</v>
      </c>
      <c r="Q23">
        <v>1.1481975848188456E-4</v>
      </c>
      <c r="R23">
        <v>442771.1</v>
      </c>
      <c r="S23">
        <v>0</v>
      </c>
      <c r="T23">
        <v>0</v>
      </c>
      <c r="V23">
        <v>216</v>
      </c>
      <c r="W23">
        <v>7</v>
      </c>
      <c r="X23">
        <v>85</v>
      </c>
      <c r="Y23">
        <v>3</v>
      </c>
      <c r="Z23">
        <v>4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0.7</v>
      </c>
      <c r="AG23">
        <v>0</v>
      </c>
      <c r="AH23">
        <v>0</v>
      </c>
      <c r="AI23">
        <v>0.2</v>
      </c>
      <c r="AJ23">
        <v>0</v>
      </c>
      <c r="AK23">
        <v>0</v>
      </c>
      <c r="AL23">
        <v>86</v>
      </c>
      <c r="AM23">
        <v>4.2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19.399999999999999</v>
      </c>
      <c r="AU23">
        <v>0</v>
      </c>
      <c r="AV23">
        <v>0</v>
      </c>
    </row>
    <row r="24" spans="1:48" x14ac:dyDescent="0.15">
      <c r="A24" s="4" t="str">
        <f>HYPERLINK("https://ibp.a2mac1.com/costing(costing:projects/details/9760/equipment/12209787)","Dummy Machine (PCBA+Final Assembly Line)")</f>
        <v>Dummy Machine (PCBA+Final Assembly Line)</v>
      </c>
      <c r="B24">
        <v>12209787</v>
      </c>
      <c r="C24">
        <v>12082948</v>
      </c>
      <c r="F24" t="s">
        <v>358</v>
      </c>
      <c r="H24" t="s">
        <v>162</v>
      </c>
      <c r="I24">
        <v>79501.662769714283</v>
      </c>
      <c r="J24">
        <v>0</v>
      </c>
      <c r="K24">
        <v>0.28895999999999999</v>
      </c>
      <c r="L24">
        <v>0</v>
      </c>
      <c r="M24">
        <v>16.624578413647427</v>
      </c>
      <c r="N24">
        <v>0</v>
      </c>
      <c r="O24">
        <v>0.14214014543668549</v>
      </c>
      <c r="P24">
        <v>2.47269078E-2</v>
      </c>
      <c r="Q24">
        <v>1.1481975848188456E-4</v>
      </c>
      <c r="R24">
        <v>442771.1</v>
      </c>
      <c r="S24">
        <v>0</v>
      </c>
      <c r="T24">
        <v>0</v>
      </c>
      <c r="V24">
        <v>216</v>
      </c>
      <c r="W24">
        <v>7</v>
      </c>
      <c r="X24">
        <v>85</v>
      </c>
      <c r="Y24">
        <v>3</v>
      </c>
      <c r="Z24">
        <v>4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0.7</v>
      </c>
      <c r="AG24">
        <v>0</v>
      </c>
      <c r="AH24">
        <v>0</v>
      </c>
      <c r="AI24">
        <v>0.2</v>
      </c>
      <c r="AJ24">
        <v>0</v>
      </c>
      <c r="AK24">
        <v>0</v>
      </c>
      <c r="AL24">
        <v>86</v>
      </c>
      <c r="AM24">
        <v>4.2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19.399999999999999</v>
      </c>
      <c r="AU24">
        <v>0</v>
      </c>
      <c r="AV24">
        <v>0</v>
      </c>
    </row>
    <row r="25" spans="1:48" x14ac:dyDescent="0.15">
      <c r="A25" s="4" t="str">
        <f>HYPERLINK("https://ibp.a2mac1.com/costing(costing:projects/details/9760/equipment/12209778)","Dummy Machine (Wireharness production line)")</f>
        <v>Dummy Machine (Wireharness production line)</v>
      </c>
      <c r="B25">
        <v>12209778</v>
      </c>
      <c r="C25">
        <v>12082813</v>
      </c>
      <c r="H25" t="s">
        <v>162</v>
      </c>
      <c r="I25">
        <v>18664.599488571428</v>
      </c>
      <c r="J25">
        <v>0</v>
      </c>
      <c r="K25">
        <v>9.6320000000000003E-2</v>
      </c>
      <c r="L25">
        <v>0</v>
      </c>
      <c r="M25">
        <v>3.815112106809937</v>
      </c>
      <c r="N25">
        <v>0</v>
      </c>
      <c r="O25">
        <v>3.391210761608833E-2</v>
      </c>
      <c r="P25">
        <v>0.13040787093333334</v>
      </c>
      <c r="Q25">
        <v>7.4898068373834779E-5</v>
      </c>
      <c r="R25">
        <v>89474.5</v>
      </c>
      <c r="S25">
        <v>0</v>
      </c>
      <c r="T25">
        <v>0</v>
      </c>
      <c r="V25">
        <v>126</v>
      </c>
      <c r="W25">
        <v>7</v>
      </c>
      <c r="X25">
        <v>85</v>
      </c>
      <c r="Y25">
        <v>3</v>
      </c>
      <c r="Z25">
        <v>4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3.5510000000000002</v>
      </c>
      <c r="AG25">
        <v>0</v>
      </c>
      <c r="AH25">
        <v>0</v>
      </c>
      <c r="AI25">
        <v>1.4</v>
      </c>
      <c r="AJ25">
        <v>0</v>
      </c>
      <c r="AK25">
        <v>0</v>
      </c>
      <c r="AL25">
        <v>86</v>
      </c>
      <c r="AM25">
        <v>1.4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71</v>
      </c>
      <c r="AU25">
        <v>0</v>
      </c>
      <c r="AV25">
        <v>0</v>
      </c>
    </row>
    <row r="26" spans="1:48" x14ac:dyDescent="0.15">
      <c r="A26" s="4" t="str">
        <f>HYPERLINK("https://ibp.a2mac1.com/costing(costing:projects/details/9760/equipment/12209779)","Dummy Machine (Wireharness production line)")</f>
        <v>Dummy Machine (Wireharness production line)</v>
      </c>
      <c r="B26">
        <v>12209779</v>
      </c>
      <c r="C26">
        <v>12082814</v>
      </c>
      <c r="H26" t="s">
        <v>162</v>
      </c>
      <c r="I26">
        <v>18664.599488571428</v>
      </c>
      <c r="J26">
        <v>0</v>
      </c>
      <c r="K26">
        <v>9.6320000000000003E-2</v>
      </c>
      <c r="L26">
        <v>0</v>
      </c>
      <c r="M26">
        <v>3.815112106809937</v>
      </c>
      <c r="N26">
        <v>0</v>
      </c>
      <c r="O26">
        <v>2.4374327349063488E-2</v>
      </c>
      <c r="P26">
        <v>9.3730657233333334E-2</v>
      </c>
      <c r="Q26">
        <v>7.4898068373834779E-5</v>
      </c>
      <c r="R26">
        <v>89474.5</v>
      </c>
      <c r="S26">
        <v>0</v>
      </c>
      <c r="T26">
        <v>0</v>
      </c>
      <c r="V26">
        <v>126</v>
      </c>
      <c r="W26">
        <v>7</v>
      </c>
      <c r="X26">
        <v>85</v>
      </c>
      <c r="Y26">
        <v>3</v>
      </c>
      <c r="Z26">
        <v>4</v>
      </c>
      <c r="AA26">
        <v>5</v>
      </c>
      <c r="AB26">
        <v>0</v>
      </c>
      <c r="AC26">
        <v>0</v>
      </c>
      <c r="AD26">
        <v>0</v>
      </c>
      <c r="AE26">
        <v>0</v>
      </c>
      <c r="AF26">
        <v>3.5510000000000002</v>
      </c>
      <c r="AG26">
        <v>0</v>
      </c>
      <c r="AH26">
        <v>0</v>
      </c>
      <c r="AI26">
        <v>1.4</v>
      </c>
      <c r="AJ26">
        <v>0</v>
      </c>
      <c r="AK26">
        <v>0</v>
      </c>
      <c r="AL26">
        <v>86</v>
      </c>
      <c r="AM26">
        <v>1.4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71</v>
      </c>
      <c r="AU26">
        <v>0</v>
      </c>
      <c r="AV26">
        <v>0</v>
      </c>
    </row>
    <row r="27" spans="1:48" x14ac:dyDescent="0.15">
      <c r="A27" s="4" t="str">
        <f>HYPERLINK("https://ibp.a2mac1.com/costing(costing:projects/details/9760/equipment/12209780)","Dummy Machine (Wireharness production line)")</f>
        <v>Dummy Machine (Wireharness production line)</v>
      </c>
      <c r="B27">
        <v>12209780</v>
      </c>
      <c r="C27">
        <v>12082815</v>
      </c>
      <c r="H27" t="s">
        <v>162</v>
      </c>
      <c r="I27">
        <v>18664.599488571428</v>
      </c>
      <c r="J27">
        <v>0</v>
      </c>
      <c r="K27">
        <v>9.6320000000000003E-2</v>
      </c>
      <c r="L27">
        <v>0</v>
      </c>
      <c r="M27">
        <v>3.815112106809937</v>
      </c>
      <c r="N27">
        <v>0</v>
      </c>
      <c r="O27">
        <v>9.5377802670248424E-3</v>
      </c>
      <c r="P27">
        <v>3.6677213700000003E-2</v>
      </c>
      <c r="Q27">
        <v>7.4898068373834779E-5</v>
      </c>
      <c r="R27">
        <v>89474.5</v>
      </c>
      <c r="S27">
        <v>0</v>
      </c>
      <c r="T27">
        <v>0</v>
      </c>
      <c r="V27">
        <v>126</v>
      </c>
      <c r="W27">
        <v>7</v>
      </c>
      <c r="X27">
        <v>85</v>
      </c>
      <c r="Y27">
        <v>3</v>
      </c>
      <c r="Z27">
        <v>4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3.5510000000000002</v>
      </c>
      <c r="AG27">
        <v>0</v>
      </c>
      <c r="AH27">
        <v>0</v>
      </c>
      <c r="AI27">
        <v>1.4</v>
      </c>
      <c r="AJ27">
        <v>0</v>
      </c>
      <c r="AK27">
        <v>0</v>
      </c>
      <c r="AL27">
        <v>86</v>
      </c>
      <c r="AM27">
        <v>1.4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71</v>
      </c>
      <c r="AU27">
        <v>0</v>
      </c>
      <c r="AV27">
        <v>0</v>
      </c>
    </row>
    <row r="28" spans="1:48" x14ac:dyDescent="0.15">
      <c r="A28" s="4" t="str">
        <f>HYPERLINK("https://ibp.a2mac1.com/costing(costing:projects/details/9760/equipment/12209838)","General production process (&gt;10€)")</f>
        <v>General production process (&gt;10€)</v>
      </c>
      <c r="B28">
        <v>12209838</v>
      </c>
      <c r="C28">
        <v>12083017</v>
      </c>
      <c r="H28" t="s">
        <v>162</v>
      </c>
      <c r="I28">
        <v>116914.84457142858</v>
      </c>
      <c r="J28">
        <v>0</v>
      </c>
      <c r="K28">
        <v>3.6</v>
      </c>
      <c r="L28">
        <v>0</v>
      </c>
      <c r="M28">
        <v>27.497982091197134</v>
      </c>
      <c r="N28">
        <v>0</v>
      </c>
      <c r="O28">
        <v>16.277277732316971</v>
      </c>
      <c r="P28">
        <v>2.4456066333333335</v>
      </c>
      <c r="Q28">
        <v>5.8660831882077422E-2</v>
      </c>
      <c r="R28">
        <v>635568</v>
      </c>
      <c r="S28">
        <v>0</v>
      </c>
      <c r="T28">
        <v>0</v>
      </c>
      <c r="V28">
        <v>108000</v>
      </c>
      <c r="W28">
        <v>7</v>
      </c>
      <c r="X28">
        <v>85</v>
      </c>
      <c r="Y28">
        <v>3</v>
      </c>
      <c r="Z28">
        <v>4</v>
      </c>
      <c r="AA28">
        <v>5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3</v>
      </c>
      <c r="AJ28">
        <v>0</v>
      </c>
      <c r="AK28">
        <v>0</v>
      </c>
      <c r="AL28">
        <v>100</v>
      </c>
      <c r="AM28">
        <v>45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100</v>
      </c>
      <c r="AU28">
        <v>0</v>
      </c>
      <c r="AV28">
        <v>0</v>
      </c>
    </row>
    <row r="29" spans="1:48" x14ac:dyDescent="0.15">
      <c r="A29" s="4" t="str">
        <f>HYPERLINK("https://ibp.a2mac1.com/costing(costing:projects/details/9760/equipment/12209788)","General production process (0.5-10€)")</f>
        <v>General production process (0.5-10€)</v>
      </c>
      <c r="B29">
        <v>12209788</v>
      </c>
      <c r="C29">
        <v>12083005</v>
      </c>
      <c r="H29" t="s">
        <v>162</v>
      </c>
      <c r="I29">
        <v>116914.84457142858</v>
      </c>
      <c r="J29">
        <v>0</v>
      </c>
      <c r="K29">
        <v>3.6</v>
      </c>
      <c r="L29">
        <v>0</v>
      </c>
      <c r="M29">
        <v>27.497982091197134</v>
      </c>
      <c r="N29">
        <v>0</v>
      </c>
      <c r="O29">
        <v>4.5066137316128634</v>
      </c>
      <c r="P29">
        <v>0.67710366666666666</v>
      </c>
      <c r="Q29">
        <v>9.7768053136795697E-3</v>
      </c>
      <c r="R29">
        <v>635568</v>
      </c>
      <c r="S29">
        <v>0</v>
      </c>
      <c r="T29">
        <v>0</v>
      </c>
      <c r="V29">
        <v>10800</v>
      </c>
      <c r="W29">
        <v>7</v>
      </c>
      <c r="X29">
        <v>85</v>
      </c>
      <c r="Y29">
        <v>3</v>
      </c>
      <c r="Z29">
        <v>4</v>
      </c>
      <c r="AA29">
        <v>5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3</v>
      </c>
      <c r="AJ29">
        <v>0</v>
      </c>
      <c r="AK29">
        <v>0</v>
      </c>
      <c r="AL29">
        <v>100</v>
      </c>
      <c r="AM29">
        <v>45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100</v>
      </c>
      <c r="AU29">
        <v>0</v>
      </c>
      <c r="AV29">
        <v>0</v>
      </c>
    </row>
    <row r="30" spans="1:48" x14ac:dyDescent="0.15">
      <c r="A30" s="4" t="str">
        <f>HYPERLINK("https://ibp.a2mac1.com/costing(costing:projects/details/9760/equipment/12209839)","General production process (&gt;10€)")</f>
        <v>General production process (&gt;10€)</v>
      </c>
      <c r="B30">
        <v>12209839</v>
      </c>
      <c r="C30">
        <v>12083018</v>
      </c>
      <c r="H30" t="s">
        <v>162</v>
      </c>
      <c r="I30">
        <v>116914.84457142858</v>
      </c>
      <c r="J30">
        <v>0</v>
      </c>
      <c r="K30">
        <v>3.6</v>
      </c>
      <c r="L30">
        <v>0</v>
      </c>
      <c r="M30">
        <v>27.497982091197134</v>
      </c>
      <c r="N30">
        <v>0</v>
      </c>
      <c r="O30">
        <v>11.304725970825489</v>
      </c>
      <c r="P30">
        <v>1.6984973333333333</v>
      </c>
      <c r="Q30">
        <v>5.8660831882077422E-2</v>
      </c>
      <c r="R30">
        <v>635568</v>
      </c>
      <c r="S30">
        <v>0</v>
      </c>
      <c r="T30">
        <v>0</v>
      </c>
      <c r="V30">
        <v>108000</v>
      </c>
      <c r="W30">
        <v>7</v>
      </c>
      <c r="X30">
        <v>85</v>
      </c>
      <c r="Y30">
        <v>3</v>
      </c>
      <c r="Z30">
        <v>4</v>
      </c>
      <c r="AA30">
        <v>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3</v>
      </c>
      <c r="AJ30">
        <v>0</v>
      </c>
      <c r="AK30">
        <v>0</v>
      </c>
      <c r="AL30">
        <v>100</v>
      </c>
      <c r="AM30">
        <v>45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100</v>
      </c>
      <c r="AU30">
        <v>0</v>
      </c>
      <c r="AV30">
        <v>0</v>
      </c>
    </row>
    <row r="31" spans="1:48" x14ac:dyDescent="0.15">
      <c r="A31" s="4" t="str">
        <f>HYPERLINK("https://ibp.a2mac1.com/costing(costing:projects/details/9760/equipment/12209790)","General production process (0.5-10€)")</f>
        <v>General production process (0.5-10€)</v>
      </c>
      <c r="B31">
        <v>12209790</v>
      </c>
      <c r="C31">
        <v>12083007</v>
      </c>
      <c r="H31" t="s">
        <v>162</v>
      </c>
      <c r="I31">
        <v>116914.84457142858</v>
      </c>
      <c r="J31">
        <v>0</v>
      </c>
      <c r="K31">
        <v>3.6</v>
      </c>
      <c r="L31">
        <v>0</v>
      </c>
      <c r="M31">
        <v>27.497982091197134</v>
      </c>
      <c r="N31">
        <v>0</v>
      </c>
      <c r="O31">
        <v>1.6880705672651575</v>
      </c>
      <c r="P31">
        <v>0.25362696666666668</v>
      </c>
      <c r="Q31">
        <v>9.7768053136795697E-3</v>
      </c>
      <c r="R31">
        <v>635568</v>
      </c>
      <c r="S31">
        <v>0</v>
      </c>
      <c r="T31">
        <v>0</v>
      </c>
      <c r="V31">
        <v>10800</v>
      </c>
      <c r="W31">
        <v>7</v>
      </c>
      <c r="X31">
        <v>85</v>
      </c>
      <c r="Y31">
        <v>3</v>
      </c>
      <c r="Z31">
        <v>4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3</v>
      </c>
      <c r="AJ31">
        <v>0</v>
      </c>
      <c r="AK31">
        <v>0</v>
      </c>
      <c r="AL31">
        <v>100</v>
      </c>
      <c r="AM31">
        <v>45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100</v>
      </c>
      <c r="AU31">
        <v>0</v>
      </c>
      <c r="AV31">
        <v>0</v>
      </c>
    </row>
    <row r="32" spans="1:48" x14ac:dyDescent="0.15">
      <c r="A32" s="4" t="str">
        <f>HYPERLINK("https://ibp.a2mac1.com/costing(costing:projects/details/9760/equipment/12209789)","General production process (0.5-10€)")</f>
        <v>General production process (0.5-10€)</v>
      </c>
      <c r="B32">
        <v>12209789</v>
      </c>
      <c r="C32">
        <v>12083006</v>
      </c>
      <c r="H32" t="s">
        <v>162</v>
      </c>
      <c r="I32">
        <v>116914.84457142858</v>
      </c>
      <c r="J32">
        <v>0</v>
      </c>
      <c r="K32">
        <v>3.6</v>
      </c>
      <c r="L32">
        <v>0</v>
      </c>
      <c r="M32">
        <v>27.497982091197134</v>
      </c>
      <c r="N32">
        <v>0</v>
      </c>
      <c r="O32">
        <v>3.4372477613996417</v>
      </c>
      <c r="P32">
        <v>0.51643499999999998</v>
      </c>
      <c r="Q32">
        <v>0.3519649912924645</v>
      </c>
      <c r="R32">
        <v>635568</v>
      </c>
      <c r="S32">
        <v>0</v>
      </c>
      <c r="T32">
        <v>0</v>
      </c>
      <c r="V32">
        <v>648000</v>
      </c>
      <c r="W32">
        <v>7</v>
      </c>
      <c r="X32">
        <v>85</v>
      </c>
      <c r="Y32">
        <v>3</v>
      </c>
      <c r="Z32">
        <v>4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3</v>
      </c>
      <c r="AJ32">
        <v>0</v>
      </c>
      <c r="AK32">
        <v>0</v>
      </c>
      <c r="AL32">
        <v>100</v>
      </c>
      <c r="AM32">
        <v>45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100</v>
      </c>
      <c r="AU32">
        <v>0</v>
      </c>
      <c r="AV32">
        <v>0</v>
      </c>
    </row>
    <row r="33" spans="1:48" x14ac:dyDescent="0.15">
      <c r="A33" s="4" t="str">
        <f>HYPERLINK("https://ibp.a2mac1.com/costing(costing:projects/details/9760/equipment/12209791)","General production process (0.5-10€)")</f>
        <v>General production process (0.5-10€)</v>
      </c>
      <c r="B33">
        <v>12209791</v>
      </c>
      <c r="C33">
        <v>12083008</v>
      </c>
      <c r="H33" t="s">
        <v>162</v>
      </c>
      <c r="I33">
        <v>116914.84457142858</v>
      </c>
      <c r="J33">
        <v>0</v>
      </c>
      <c r="K33">
        <v>3.6</v>
      </c>
      <c r="L33">
        <v>0</v>
      </c>
      <c r="M33">
        <v>27.497982091197134</v>
      </c>
      <c r="N33">
        <v>0</v>
      </c>
      <c r="O33">
        <v>2.5435633434357348</v>
      </c>
      <c r="P33">
        <v>0.3821619</v>
      </c>
      <c r="Q33">
        <v>1.1732166376415484E-2</v>
      </c>
      <c r="R33">
        <v>635568</v>
      </c>
      <c r="S33">
        <v>0</v>
      </c>
      <c r="T33">
        <v>0</v>
      </c>
      <c r="V33">
        <v>10800</v>
      </c>
      <c r="W33">
        <v>7</v>
      </c>
      <c r="X33">
        <v>85</v>
      </c>
      <c r="Y33">
        <v>3</v>
      </c>
      <c r="Z33">
        <v>4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3</v>
      </c>
      <c r="AJ33">
        <v>0</v>
      </c>
      <c r="AK33">
        <v>0</v>
      </c>
      <c r="AL33">
        <v>100</v>
      </c>
      <c r="AM33">
        <v>45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100</v>
      </c>
      <c r="AU33">
        <v>0</v>
      </c>
      <c r="AV33">
        <v>0</v>
      </c>
    </row>
    <row r="34" spans="1:48" x14ac:dyDescent="0.15">
      <c r="A34" s="4" t="str">
        <f>HYPERLINK("https://ibp.a2mac1.com/costing(costing:projects/details/9760/equipment/12209907)","General production process (0.5-10€)")</f>
        <v>General production process (0.5-10€)</v>
      </c>
      <c r="B34">
        <v>12209907</v>
      </c>
      <c r="C34">
        <v>12083044</v>
      </c>
      <c r="H34" t="s">
        <v>162</v>
      </c>
      <c r="I34">
        <v>116914.84457142858</v>
      </c>
      <c r="J34">
        <v>0</v>
      </c>
      <c r="K34">
        <v>3.6</v>
      </c>
      <c r="L34">
        <v>0</v>
      </c>
      <c r="M34">
        <v>27.497982091197134</v>
      </c>
      <c r="N34">
        <v>0</v>
      </c>
      <c r="O34">
        <v>3.7427808957462765</v>
      </c>
      <c r="P34">
        <v>0.56234033333333333</v>
      </c>
      <c r="Q34">
        <v>1.1732166376415484E-2</v>
      </c>
      <c r="R34">
        <v>635568</v>
      </c>
      <c r="S34">
        <v>0</v>
      </c>
      <c r="T34">
        <v>0</v>
      </c>
      <c r="V34">
        <v>10800</v>
      </c>
      <c r="W34">
        <v>7</v>
      </c>
      <c r="X34">
        <v>85</v>
      </c>
      <c r="Y34">
        <v>3</v>
      </c>
      <c r="Z34">
        <v>4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100</v>
      </c>
      <c r="AM34">
        <v>45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100</v>
      </c>
      <c r="AU34">
        <v>0</v>
      </c>
      <c r="AV34">
        <v>0</v>
      </c>
    </row>
    <row r="35" spans="1:48" x14ac:dyDescent="0.15">
      <c r="A35" s="4" t="str">
        <f>HYPERLINK("https://ibp.a2mac1.com/costing(costing:projects/details/9760/equipment/12209908)","General production process (0.5-10€)")</f>
        <v>General production process (0.5-10€)</v>
      </c>
      <c r="B35">
        <v>12209908</v>
      </c>
      <c r="C35">
        <v>12083045</v>
      </c>
      <c r="H35" t="s">
        <v>162</v>
      </c>
      <c r="I35">
        <v>116914.84457142858</v>
      </c>
      <c r="J35">
        <v>0</v>
      </c>
      <c r="K35">
        <v>3.6</v>
      </c>
      <c r="L35">
        <v>0</v>
      </c>
      <c r="M35">
        <v>27.497982091197134</v>
      </c>
      <c r="N35">
        <v>0</v>
      </c>
      <c r="O35">
        <v>3.7427808957462765</v>
      </c>
      <c r="P35">
        <v>0.56234033333333333</v>
      </c>
      <c r="Q35">
        <v>1.1732166376415484E-2</v>
      </c>
      <c r="R35">
        <v>635568</v>
      </c>
      <c r="S35">
        <v>0</v>
      </c>
      <c r="T35">
        <v>0</v>
      </c>
      <c r="V35">
        <v>10800</v>
      </c>
      <c r="W35">
        <v>7</v>
      </c>
      <c r="X35">
        <v>85</v>
      </c>
      <c r="Y35">
        <v>3</v>
      </c>
      <c r="Z35">
        <v>4</v>
      </c>
      <c r="AA35">
        <v>5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3</v>
      </c>
      <c r="AJ35">
        <v>0</v>
      </c>
      <c r="AK35">
        <v>0</v>
      </c>
      <c r="AL35">
        <v>100</v>
      </c>
      <c r="AM35">
        <v>45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100</v>
      </c>
      <c r="AU35">
        <v>0</v>
      </c>
      <c r="AV35">
        <v>0</v>
      </c>
    </row>
    <row r="36" spans="1:48" x14ac:dyDescent="0.15">
      <c r="A36" s="4" t="str">
        <f>HYPERLINK("https://ibp.a2mac1.com/costing(costing:projects/details/9760/equipment/12209840)","General production process (0.5-10€)")</f>
        <v>General production process (0.5-10€)</v>
      </c>
      <c r="B36">
        <v>12209840</v>
      </c>
      <c r="C36">
        <v>12083019</v>
      </c>
      <c r="H36" t="s">
        <v>162</v>
      </c>
      <c r="I36">
        <v>116914.84457142858</v>
      </c>
      <c r="J36">
        <v>0</v>
      </c>
      <c r="K36">
        <v>3.6</v>
      </c>
      <c r="L36">
        <v>0</v>
      </c>
      <c r="M36">
        <v>27.497982091197134</v>
      </c>
      <c r="N36">
        <v>0</v>
      </c>
      <c r="O36">
        <v>2.5741166568703986</v>
      </c>
      <c r="P36">
        <v>0.38675243333333331</v>
      </c>
      <c r="Q36">
        <v>1.1732166376415484E-2</v>
      </c>
      <c r="R36">
        <v>635568</v>
      </c>
      <c r="S36">
        <v>0</v>
      </c>
      <c r="T36">
        <v>0</v>
      </c>
      <c r="V36">
        <v>10800</v>
      </c>
      <c r="W36">
        <v>7</v>
      </c>
      <c r="X36">
        <v>85</v>
      </c>
      <c r="Y36">
        <v>3</v>
      </c>
      <c r="Z36">
        <v>4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3</v>
      </c>
      <c r="AJ36">
        <v>0</v>
      </c>
      <c r="AK36">
        <v>0</v>
      </c>
      <c r="AL36">
        <v>100</v>
      </c>
      <c r="AM36">
        <v>45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100</v>
      </c>
      <c r="AU36">
        <v>0</v>
      </c>
      <c r="AV36">
        <v>0</v>
      </c>
    </row>
    <row r="37" spans="1:48" x14ac:dyDescent="0.15">
      <c r="A37" s="4" t="str">
        <f>HYPERLINK("https://ibp.a2mac1.com/costing(costing:projects/details/9760/equipment/12209841)","General production process (0.5-10€)")</f>
        <v>General production process (0.5-10€)</v>
      </c>
      <c r="B37">
        <v>12209841</v>
      </c>
      <c r="C37">
        <v>12083020</v>
      </c>
      <c r="H37" t="s">
        <v>162</v>
      </c>
      <c r="I37">
        <v>116914.84457142858</v>
      </c>
      <c r="J37">
        <v>0</v>
      </c>
      <c r="K37">
        <v>3.6</v>
      </c>
      <c r="L37">
        <v>0</v>
      </c>
      <c r="M37">
        <v>27.497982091197134</v>
      </c>
      <c r="N37">
        <v>0</v>
      </c>
      <c r="O37">
        <v>2.5741166568703986</v>
      </c>
      <c r="P37">
        <v>0.38675243333333331</v>
      </c>
      <c r="Q37">
        <v>1.1732166376415484E-2</v>
      </c>
      <c r="R37">
        <v>635568</v>
      </c>
      <c r="S37">
        <v>0</v>
      </c>
      <c r="T37">
        <v>0</v>
      </c>
      <c r="V37">
        <v>10800</v>
      </c>
      <c r="W37">
        <v>7</v>
      </c>
      <c r="X37">
        <v>85</v>
      </c>
      <c r="Y37">
        <v>3</v>
      </c>
      <c r="Z37">
        <v>4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3</v>
      </c>
      <c r="AJ37">
        <v>0</v>
      </c>
      <c r="AK37">
        <v>0</v>
      </c>
      <c r="AL37">
        <v>100</v>
      </c>
      <c r="AM37">
        <v>45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100</v>
      </c>
      <c r="AU37">
        <v>0</v>
      </c>
      <c r="AV37">
        <v>0</v>
      </c>
    </row>
    <row r="38" spans="1:48" x14ac:dyDescent="0.15">
      <c r="A38" s="4" t="str">
        <f>HYPERLINK("https://ibp.a2mac1.com/costing(costing:projects/details/9760/equipment/12209842)","General production process (0.5-10€)")</f>
        <v>General production process (0.5-10€)</v>
      </c>
      <c r="B38">
        <v>12209842</v>
      </c>
      <c r="C38">
        <v>12083021</v>
      </c>
      <c r="H38" t="s">
        <v>162</v>
      </c>
      <c r="I38">
        <v>116914.84457142858</v>
      </c>
      <c r="J38">
        <v>0</v>
      </c>
      <c r="K38">
        <v>3.6</v>
      </c>
      <c r="L38">
        <v>0</v>
      </c>
      <c r="M38">
        <v>27.497982091197134</v>
      </c>
      <c r="N38">
        <v>0</v>
      </c>
      <c r="O38">
        <v>2.6275849553810597</v>
      </c>
      <c r="P38">
        <v>0.39478586666666665</v>
      </c>
      <c r="Q38">
        <v>1.1732166376415484E-2</v>
      </c>
      <c r="R38">
        <v>635568</v>
      </c>
      <c r="S38">
        <v>0</v>
      </c>
      <c r="T38">
        <v>0</v>
      </c>
      <c r="V38">
        <v>10800</v>
      </c>
      <c r="W38">
        <v>7</v>
      </c>
      <c r="X38">
        <v>85</v>
      </c>
      <c r="Y38">
        <v>3</v>
      </c>
      <c r="Z38">
        <v>4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3</v>
      </c>
      <c r="AJ38">
        <v>0</v>
      </c>
      <c r="AK38">
        <v>0</v>
      </c>
      <c r="AL38">
        <v>100</v>
      </c>
      <c r="AM38">
        <v>45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100</v>
      </c>
      <c r="AU38">
        <v>0</v>
      </c>
      <c r="AV38">
        <v>0</v>
      </c>
    </row>
    <row r="39" spans="1:48" x14ac:dyDescent="0.15">
      <c r="A39" s="4" t="str">
        <f>HYPERLINK("https://ibp.a2mac1.com/costing(costing:projects/details/9760/equipment/12209843)","General production process (0.5-10€)")</f>
        <v>General production process (0.5-10€)</v>
      </c>
      <c r="B39">
        <v>12209843</v>
      </c>
      <c r="C39">
        <v>12083022</v>
      </c>
      <c r="H39" t="s">
        <v>162</v>
      </c>
      <c r="I39">
        <v>116914.84457142858</v>
      </c>
      <c r="J39">
        <v>0</v>
      </c>
      <c r="K39">
        <v>3.6</v>
      </c>
      <c r="L39">
        <v>0</v>
      </c>
      <c r="M39">
        <v>27.497982091197134</v>
      </c>
      <c r="N39">
        <v>0</v>
      </c>
      <c r="O39">
        <v>2.6275849553810597</v>
      </c>
      <c r="P39">
        <v>0.39478586666666665</v>
      </c>
      <c r="Q39">
        <v>1.1732166376415484E-2</v>
      </c>
      <c r="R39">
        <v>635568</v>
      </c>
      <c r="S39">
        <v>0</v>
      </c>
      <c r="T39">
        <v>0</v>
      </c>
      <c r="V39">
        <v>10800</v>
      </c>
      <c r="W39">
        <v>7</v>
      </c>
      <c r="X39">
        <v>85</v>
      </c>
      <c r="Y39">
        <v>3</v>
      </c>
      <c r="Z39">
        <v>4</v>
      </c>
      <c r="AA39">
        <v>5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3</v>
      </c>
      <c r="AJ39">
        <v>0</v>
      </c>
      <c r="AK39">
        <v>0</v>
      </c>
      <c r="AL39">
        <v>100</v>
      </c>
      <c r="AM39">
        <v>45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100</v>
      </c>
      <c r="AU39">
        <v>0</v>
      </c>
      <c r="AV39">
        <v>0</v>
      </c>
    </row>
    <row r="40" spans="1:48" x14ac:dyDescent="0.15">
      <c r="A40" s="4" t="str">
        <f>HYPERLINK("https://ibp.a2mac1.com/costing(costing:projects/details/9760/equipment/12209844)","General production process (0.5-10€)")</f>
        <v>General production process (0.5-10€)</v>
      </c>
      <c r="B40">
        <v>12209844</v>
      </c>
      <c r="C40">
        <v>12083023</v>
      </c>
      <c r="H40" t="s">
        <v>162</v>
      </c>
      <c r="I40">
        <v>116914.84457142858</v>
      </c>
      <c r="J40">
        <v>0</v>
      </c>
      <c r="K40">
        <v>3.6</v>
      </c>
      <c r="L40">
        <v>0</v>
      </c>
      <c r="M40">
        <v>27.497982091197134</v>
      </c>
      <c r="N40">
        <v>0</v>
      </c>
      <c r="O40">
        <v>3.6434826270836203</v>
      </c>
      <c r="P40">
        <v>0.54742109999999999</v>
      </c>
      <c r="Q40">
        <v>1.1732166376415484E-2</v>
      </c>
      <c r="R40">
        <v>635568</v>
      </c>
      <c r="S40">
        <v>0</v>
      </c>
      <c r="T40">
        <v>0</v>
      </c>
      <c r="V40">
        <v>10800</v>
      </c>
      <c r="W40">
        <v>7</v>
      </c>
      <c r="X40">
        <v>85</v>
      </c>
      <c r="Y40">
        <v>3</v>
      </c>
      <c r="Z40">
        <v>4</v>
      </c>
      <c r="AA40">
        <v>5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100</v>
      </c>
      <c r="AM40">
        <v>45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100</v>
      </c>
      <c r="AU40">
        <v>0</v>
      </c>
      <c r="AV40">
        <v>0</v>
      </c>
    </row>
    <row r="41" spans="1:48" x14ac:dyDescent="0.15">
      <c r="A41" s="4" t="str">
        <f>HYPERLINK("https://ibp.a2mac1.com/costing(costing:projects/details/9760/equipment/12209909)","General production process (&gt;10€)")</f>
        <v>General production process (&gt;10€)</v>
      </c>
      <c r="B41">
        <v>12209909</v>
      </c>
      <c r="C41">
        <v>12083046</v>
      </c>
      <c r="H41" t="s">
        <v>162</v>
      </c>
      <c r="I41">
        <v>116914.84457142858</v>
      </c>
      <c r="J41">
        <v>0</v>
      </c>
      <c r="K41">
        <v>3.6</v>
      </c>
      <c r="L41">
        <v>0</v>
      </c>
      <c r="M41">
        <v>27.497982091197134</v>
      </c>
      <c r="N41">
        <v>0</v>
      </c>
      <c r="O41">
        <v>8.0202447765991636</v>
      </c>
      <c r="P41">
        <v>1.2050149999999999</v>
      </c>
      <c r="Q41">
        <v>0.11732166376415484</v>
      </c>
      <c r="R41">
        <v>635568</v>
      </c>
      <c r="S41">
        <v>0</v>
      </c>
      <c r="T41">
        <v>0</v>
      </c>
      <c r="V41">
        <v>108000</v>
      </c>
      <c r="W41">
        <v>7</v>
      </c>
      <c r="X41">
        <v>85</v>
      </c>
      <c r="Y41">
        <v>3</v>
      </c>
      <c r="Z41">
        <v>4</v>
      </c>
      <c r="AA41">
        <v>5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3</v>
      </c>
      <c r="AJ41">
        <v>0</v>
      </c>
      <c r="AK41">
        <v>0</v>
      </c>
      <c r="AL41">
        <v>100</v>
      </c>
      <c r="AM41">
        <v>45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100</v>
      </c>
      <c r="AU41">
        <v>0</v>
      </c>
      <c r="AV41">
        <v>0</v>
      </c>
    </row>
    <row r="42" spans="1:48" x14ac:dyDescent="0.15">
      <c r="A42" s="4" t="str">
        <f>HYPERLINK("https://ibp.a2mac1.com/costing(costing:projects/details/9760/equipment/12209910)","General production process (&gt;10€)")</f>
        <v>General production process (&gt;10€)</v>
      </c>
      <c r="B42">
        <v>12209910</v>
      </c>
      <c r="C42">
        <v>12083047</v>
      </c>
      <c r="H42" t="s">
        <v>162</v>
      </c>
      <c r="I42">
        <v>116914.84457142858</v>
      </c>
      <c r="J42">
        <v>0</v>
      </c>
      <c r="K42">
        <v>3.6</v>
      </c>
      <c r="L42">
        <v>0</v>
      </c>
      <c r="M42">
        <v>27.497982091197134</v>
      </c>
      <c r="N42">
        <v>0</v>
      </c>
      <c r="O42">
        <v>8.0202447765991636</v>
      </c>
      <c r="P42">
        <v>1.2050149999999999</v>
      </c>
      <c r="Q42">
        <v>0.11732166376415484</v>
      </c>
      <c r="R42">
        <v>635568</v>
      </c>
      <c r="S42">
        <v>0</v>
      </c>
      <c r="T42">
        <v>0</v>
      </c>
      <c r="V42">
        <v>108000</v>
      </c>
      <c r="W42">
        <v>7</v>
      </c>
      <c r="X42">
        <v>85</v>
      </c>
      <c r="Y42">
        <v>3</v>
      </c>
      <c r="Z42">
        <v>4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3</v>
      </c>
      <c r="AJ42">
        <v>0</v>
      </c>
      <c r="AK42">
        <v>0</v>
      </c>
      <c r="AL42">
        <v>100</v>
      </c>
      <c r="AM42">
        <v>45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100</v>
      </c>
      <c r="AU42">
        <v>0</v>
      </c>
      <c r="AV42">
        <v>0</v>
      </c>
    </row>
    <row r="43" spans="1:48" x14ac:dyDescent="0.15">
      <c r="A43" s="4" t="str">
        <f>HYPERLINK("https://ibp.a2mac1.com/costing(costing:projects/details/9760/equipment/12209845)","General production process (0.5-10€)")</f>
        <v>General production process (0.5-10€)</v>
      </c>
      <c r="B43">
        <v>12209845</v>
      </c>
      <c r="C43">
        <v>12083024</v>
      </c>
      <c r="H43" t="s">
        <v>162</v>
      </c>
      <c r="I43">
        <v>116914.84457142858</v>
      </c>
      <c r="J43">
        <v>0</v>
      </c>
      <c r="K43">
        <v>3.6</v>
      </c>
      <c r="L43">
        <v>0</v>
      </c>
      <c r="M43">
        <v>27.497982091197134</v>
      </c>
      <c r="N43">
        <v>0</v>
      </c>
      <c r="O43">
        <v>7.2564119407325771</v>
      </c>
      <c r="P43">
        <v>1.0902516666666666</v>
      </c>
      <c r="Q43">
        <v>5.8660831882077422E-3</v>
      </c>
      <c r="R43">
        <v>635568</v>
      </c>
      <c r="S43">
        <v>0</v>
      </c>
      <c r="T43">
        <v>0</v>
      </c>
      <c r="V43">
        <v>10800</v>
      </c>
      <c r="W43">
        <v>7</v>
      </c>
      <c r="X43">
        <v>85</v>
      </c>
      <c r="Y43">
        <v>3</v>
      </c>
      <c r="Z43">
        <v>4</v>
      </c>
      <c r="AA43">
        <v>5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3</v>
      </c>
      <c r="AJ43">
        <v>0</v>
      </c>
      <c r="AK43">
        <v>0</v>
      </c>
      <c r="AL43">
        <v>100</v>
      </c>
      <c r="AM43">
        <v>45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100</v>
      </c>
      <c r="AU43">
        <v>0</v>
      </c>
      <c r="AV43">
        <v>0</v>
      </c>
    </row>
    <row r="44" spans="1:48" x14ac:dyDescent="0.15">
      <c r="A44" s="4" t="str">
        <f>HYPERLINK("https://ibp.a2mac1.com/costing(costing:projects/details/9760/equipment/12209846)","General production process (0.5-10€)")</f>
        <v>General production process (0.5-10€)</v>
      </c>
      <c r="B44">
        <v>12209846</v>
      </c>
      <c r="C44">
        <v>12083025</v>
      </c>
      <c r="H44" t="s">
        <v>162</v>
      </c>
      <c r="I44">
        <v>116914.84457142858</v>
      </c>
      <c r="J44">
        <v>0</v>
      </c>
      <c r="K44">
        <v>3.6</v>
      </c>
      <c r="L44">
        <v>0</v>
      </c>
      <c r="M44">
        <v>27.497982091197134</v>
      </c>
      <c r="N44">
        <v>0</v>
      </c>
      <c r="O44">
        <v>5.9120661496073836</v>
      </c>
      <c r="P44">
        <v>0.88826819999999995</v>
      </c>
      <c r="Q44">
        <v>1.1732166376415484E-2</v>
      </c>
      <c r="R44">
        <v>635568</v>
      </c>
      <c r="S44">
        <v>0</v>
      </c>
      <c r="T44">
        <v>0</v>
      </c>
      <c r="V44">
        <v>10800</v>
      </c>
      <c r="W44">
        <v>7</v>
      </c>
      <c r="X44">
        <v>85</v>
      </c>
      <c r="Y44">
        <v>3</v>
      </c>
      <c r="Z44">
        <v>4</v>
      </c>
      <c r="AA44">
        <v>5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3</v>
      </c>
      <c r="AJ44">
        <v>0</v>
      </c>
      <c r="AK44">
        <v>0</v>
      </c>
      <c r="AL44">
        <v>100</v>
      </c>
      <c r="AM44">
        <v>45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100</v>
      </c>
      <c r="AU44">
        <v>0</v>
      </c>
      <c r="AV44">
        <v>0</v>
      </c>
    </row>
    <row r="45" spans="1:48" x14ac:dyDescent="0.15">
      <c r="A45" s="4" t="str">
        <f>HYPERLINK("https://ibp.a2mac1.com/costing(costing:projects/details/9760/equipment/12209792)","General production process (&gt;10€)")</f>
        <v>General production process (&gt;10€)</v>
      </c>
      <c r="B45">
        <v>12209792</v>
      </c>
      <c r="C45">
        <v>12083009</v>
      </c>
      <c r="H45" t="s">
        <v>162</v>
      </c>
      <c r="I45">
        <v>116914.84457142858</v>
      </c>
      <c r="J45">
        <v>0</v>
      </c>
      <c r="K45">
        <v>3.6</v>
      </c>
      <c r="L45">
        <v>0</v>
      </c>
      <c r="M45">
        <v>27.497982091197134</v>
      </c>
      <c r="N45">
        <v>0</v>
      </c>
      <c r="O45">
        <v>28.720114628583673</v>
      </c>
      <c r="P45">
        <v>4.3151013333333337</v>
      </c>
      <c r="Q45">
        <v>0.19553610627359141</v>
      </c>
      <c r="R45">
        <v>635568</v>
      </c>
      <c r="S45">
        <v>0</v>
      </c>
      <c r="T45">
        <v>0</v>
      </c>
      <c r="V45">
        <v>108000</v>
      </c>
      <c r="W45">
        <v>7</v>
      </c>
      <c r="X45">
        <v>85</v>
      </c>
      <c r="Y45">
        <v>3</v>
      </c>
      <c r="Z45">
        <v>4</v>
      </c>
      <c r="AA45">
        <v>5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3</v>
      </c>
      <c r="AJ45">
        <v>0</v>
      </c>
      <c r="AK45">
        <v>0</v>
      </c>
      <c r="AL45">
        <v>100</v>
      </c>
      <c r="AM45">
        <v>45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100</v>
      </c>
      <c r="AU45">
        <v>0</v>
      </c>
      <c r="AV45">
        <v>0</v>
      </c>
    </row>
    <row r="46" spans="1:48" x14ac:dyDescent="0.15">
      <c r="A46" s="4" t="str">
        <f>HYPERLINK("https://ibp.a2mac1.com/costing(costing:projects/details/9760/equipment/12209911)","General production process (0.5-10€)")</f>
        <v>General production process (0.5-10€)</v>
      </c>
      <c r="B46">
        <v>12209911</v>
      </c>
      <c r="C46">
        <v>12083048</v>
      </c>
      <c r="H46" t="s">
        <v>162</v>
      </c>
      <c r="I46">
        <v>116914.84457142858</v>
      </c>
      <c r="J46">
        <v>0</v>
      </c>
      <c r="K46">
        <v>3.6</v>
      </c>
      <c r="L46">
        <v>0</v>
      </c>
      <c r="M46">
        <v>27.497982091197134</v>
      </c>
      <c r="N46">
        <v>0</v>
      </c>
      <c r="O46">
        <v>3.2157362389983315</v>
      </c>
      <c r="P46">
        <v>0.48315363333333333</v>
      </c>
      <c r="Q46">
        <v>1.1732166376415484E-2</v>
      </c>
      <c r="R46">
        <v>635568</v>
      </c>
      <c r="S46">
        <v>0</v>
      </c>
      <c r="T46">
        <v>0</v>
      </c>
      <c r="V46">
        <v>10800</v>
      </c>
      <c r="W46">
        <v>7</v>
      </c>
      <c r="X46">
        <v>85</v>
      </c>
      <c r="Y46">
        <v>3</v>
      </c>
      <c r="Z46">
        <v>4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3</v>
      </c>
      <c r="AJ46">
        <v>0</v>
      </c>
      <c r="AK46">
        <v>0</v>
      </c>
      <c r="AL46">
        <v>100</v>
      </c>
      <c r="AM46">
        <v>45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100</v>
      </c>
      <c r="AU46">
        <v>0</v>
      </c>
      <c r="AV46">
        <v>0</v>
      </c>
    </row>
    <row r="47" spans="1:48" x14ac:dyDescent="0.15">
      <c r="A47" s="4" t="str">
        <f>HYPERLINK("https://ibp.a2mac1.com/costing(costing:projects/details/9760/equipment/12209912)","General production process (0.5-10€)")</f>
        <v>General production process (0.5-10€)</v>
      </c>
      <c r="B47">
        <v>12209912</v>
      </c>
      <c r="C47">
        <v>12083049</v>
      </c>
      <c r="H47" t="s">
        <v>162</v>
      </c>
      <c r="I47">
        <v>116914.84457142858</v>
      </c>
      <c r="J47">
        <v>0</v>
      </c>
      <c r="K47">
        <v>3.6</v>
      </c>
      <c r="L47">
        <v>0</v>
      </c>
      <c r="M47">
        <v>27.497982091197134</v>
      </c>
      <c r="N47">
        <v>0</v>
      </c>
      <c r="O47">
        <v>3.2157362389983315</v>
      </c>
      <c r="P47">
        <v>0.48315363333333333</v>
      </c>
      <c r="Q47">
        <v>1.1732166376415484E-2</v>
      </c>
      <c r="R47">
        <v>635568</v>
      </c>
      <c r="S47">
        <v>0</v>
      </c>
      <c r="T47">
        <v>0</v>
      </c>
      <c r="V47">
        <v>10800</v>
      </c>
      <c r="W47">
        <v>7</v>
      </c>
      <c r="X47">
        <v>85</v>
      </c>
      <c r="Y47">
        <v>3</v>
      </c>
      <c r="Z47">
        <v>4</v>
      </c>
      <c r="AA47">
        <v>5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3</v>
      </c>
      <c r="AJ47">
        <v>0</v>
      </c>
      <c r="AK47">
        <v>0</v>
      </c>
      <c r="AL47">
        <v>100</v>
      </c>
      <c r="AM47">
        <v>45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100</v>
      </c>
      <c r="AU47">
        <v>0</v>
      </c>
      <c r="AV47">
        <v>0</v>
      </c>
    </row>
    <row r="48" spans="1:48" x14ac:dyDescent="0.15">
      <c r="A48" s="4" t="str">
        <f>HYPERLINK("https://ibp.a2mac1.com/costing(costing:projects/details/9760/equipment/12209847)","General production process (0.5-10€)")</f>
        <v>General production process (0.5-10€)</v>
      </c>
      <c r="B48">
        <v>12209847</v>
      </c>
      <c r="C48">
        <v>12083026</v>
      </c>
      <c r="H48" t="s">
        <v>162</v>
      </c>
      <c r="I48">
        <v>116914.84457142858</v>
      </c>
      <c r="J48">
        <v>0</v>
      </c>
      <c r="K48">
        <v>3.6</v>
      </c>
      <c r="L48">
        <v>0</v>
      </c>
      <c r="M48">
        <v>27.497982091197134</v>
      </c>
      <c r="N48">
        <v>0</v>
      </c>
      <c r="O48">
        <v>3.6052909852902908</v>
      </c>
      <c r="P48">
        <v>0.54168293333333328</v>
      </c>
      <c r="Q48">
        <v>1.1732166376415484E-2</v>
      </c>
      <c r="R48">
        <v>635568</v>
      </c>
      <c r="S48">
        <v>0</v>
      </c>
      <c r="T48">
        <v>0</v>
      </c>
      <c r="V48">
        <v>10800</v>
      </c>
      <c r="W48">
        <v>7</v>
      </c>
      <c r="X48">
        <v>85</v>
      </c>
      <c r="Y48">
        <v>3</v>
      </c>
      <c r="Z48">
        <v>4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3</v>
      </c>
      <c r="AJ48">
        <v>0</v>
      </c>
      <c r="AK48">
        <v>0</v>
      </c>
      <c r="AL48">
        <v>100</v>
      </c>
      <c r="AM48">
        <v>45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100</v>
      </c>
      <c r="AU48">
        <v>0</v>
      </c>
      <c r="AV48">
        <v>0</v>
      </c>
    </row>
    <row r="49" spans="1:48" x14ac:dyDescent="0.15">
      <c r="A49" s="4" t="str">
        <f>HYPERLINK("https://ibp.a2mac1.com/costing(costing:projects/details/9760/equipment/12209848)","General production process (0.5-10€)")</f>
        <v>General production process (0.5-10€)</v>
      </c>
      <c r="B49">
        <v>12209848</v>
      </c>
      <c r="C49">
        <v>12083027</v>
      </c>
      <c r="H49" t="s">
        <v>162</v>
      </c>
      <c r="I49">
        <v>116914.84457142858</v>
      </c>
      <c r="J49">
        <v>0</v>
      </c>
      <c r="K49">
        <v>3.6</v>
      </c>
      <c r="L49">
        <v>0</v>
      </c>
      <c r="M49">
        <v>27.497982091197134</v>
      </c>
      <c r="N49">
        <v>0</v>
      </c>
      <c r="O49">
        <v>5.6676396421300757</v>
      </c>
      <c r="P49">
        <v>0.85154393333333334</v>
      </c>
      <c r="Q49">
        <v>1.1732166376415484E-2</v>
      </c>
      <c r="R49">
        <v>635568</v>
      </c>
      <c r="S49">
        <v>0</v>
      </c>
      <c r="T49">
        <v>0</v>
      </c>
      <c r="V49">
        <v>10800</v>
      </c>
      <c r="W49">
        <v>7</v>
      </c>
      <c r="X49">
        <v>85</v>
      </c>
      <c r="Y49">
        <v>3</v>
      </c>
      <c r="Z49">
        <v>4</v>
      </c>
      <c r="AA49">
        <v>5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3</v>
      </c>
      <c r="AJ49">
        <v>0</v>
      </c>
      <c r="AK49">
        <v>0</v>
      </c>
      <c r="AL49">
        <v>100</v>
      </c>
      <c r="AM49">
        <v>45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100</v>
      </c>
      <c r="AU49">
        <v>0</v>
      </c>
      <c r="AV49">
        <v>0</v>
      </c>
    </row>
    <row r="50" spans="1:48" x14ac:dyDescent="0.15">
      <c r="A50" s="4" t="str">
        <f>HYPERLINK("https://ibp.a2mac1.com/costing(costing:projects/details/9760/equipment/12209796)","General production process (&gt;10€)")</f>
        <v>General production process (&gt;10€)</v>
      </c>
      <c r="B50">
        <v>12209796</v>
      </c>
      <c r="C50">
        <v>12083013</v>
      </c>
      <c r="H50" t="s">
        <v>162</v>
      </c>
      <c r="I50">
        <v>116914.84457142858</v>
      </c>
      <c r="J50">
        <v>0</v>
      </c>
      <c r="K50">
        <v>3.6</v>
      </c>
      <c r="L50">
        <v>0</v>
      </c>
      <c r="M50">
        <v>27.497982091197134</v>
      </c>
      <c r="N50">
        <v>0</v>
      </c>
      <c r="O50">
        <v>31.928212539223338</v>
      </c>
      <c r="P50">
        <v>4.7971073333333329</v>
      </c>
      <c r="Q50">
        <v>0.19553610627359141</v>
      </c>
      <c r="R50">
        <v>635568</v>
      </c>
      <c r="S50">
        <v>0</v>
      </c>
      <c r="T50">
        <v>0</v>
      </c>
      <c r="V50">
        <v>108000</v>
      </c>
      <c r="W50">
        <v>7</v>
      </c>
      <c r="X50">
        <v>85</v>
      </c>
      <c r="Y50">
        <v>3</v>
      </c>
      <c r="Z50">
        <v>4</v>
      </c>
      <c r="AA50">
        <v>5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3</v>
      </c>
      <c r="AJ50">
        <v>0</v>
      </c>
      <c r="AK50">
        <v>0</v>
      </c>
      <c r="AL50">
        <v>100</v>
      </c>
      <c r="AM50">
        <v>45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100</v>
      </c>
      <c r="AU50">
        <v>0</v>
      </c>
      <c r="AV50">
        <v>0</v>
      </c>
    </row>
    <row r="51" spans="1:48" x14ac:dyDescent="0.15">
      <c r="A51" s="4" t="str">
        <f>HYPERLINK("https://ibp.a2mac1.com/costing(costing:projects/details/9760/equipment/12209793)","General production process (0.5-10€)")</f>
        <v>General production process (0.5-10€)</v>
      </c>
      <c r="B51">
        <v>12209793</v>
      </c>
      <c r="C51">
        <v>12083010</v>
      </c>
      <c r="H51" t="s">
        <v>162</v>
      </c>
      <c r="I51">
        <v>116914.84457142858</v>
      </c>
      <c r="J51">
        <v>0</v>
      </c>
      <c r="K51">
        <v>3.6</v>
      </c>
      <c r="L51">
        <v>0</v>
      </c>
      <c r="M51">
        <v>27.497982091197134</v>
      </c>
      <c r="N51">
        <v>0</v>
      </c>
      <c r="O51">
        <v>7.2564119407325771</v>
      </c>
      <c r="P51">
        <v>1.0902516666666666</v>
      </c>
      <c r="Q51">
        <v>5.8660831882077422E-3</v>
      </c>
      <c r="R51">
        <v>635568</v>
      </c>
      <c r="S51">
        <v>0</v>
      </c>
      <c r="T51">
        <v>0</v>
      </c>
      <c r="V51">
        <v>10800</v>
      </c>
      <c r="W51">
        <v>7</v>
      </c>
      <c r="X51">
        <v>85</v>
      </c>
      <c r="Y51">
        <v>3</v>
      </c>
      <c r="Z51">
        <v>4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3</v>
      </c>
      <c r="AJ51">
        <v>0</v>
      </c>
      <c r="AK51">
        <v>0</v>
      </c>
      <c r="AL51">
        <v>100</v>
      </c>
      <c r="AM51">
        <v>45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100</v>
      </c>
      <c r="AU51">
        <v>0</v>
      </c>
      <c r="AV51">
        <v>0</v>
      </c>
    </row>
    <row r="52" spans="1:48" x14ac:dyDescent="0.15">
      <c r="A52" s="4" t="str">
        <f>HYPERLINK("https://ibp.a2mac1.com/costing(costing:projects/details/9760/equipment/12209794)","General production process (0.5-10€)")</f>
        <v>General production process (0.5-10€)</v>
      </c>
      <c r="B52">
        <v>12209794</v>
      </c>
      <c r="C52">
        <v>12083011</v>
      </c>
      <c r="H52" t="s">
        <v>162</v>
      </c>
      <c r="I52">
        <v>116914.84457142858</v>
      </c>
      <c r="J52">
        <v>0</v>
      </c>
      <c r="K52">
        <v>3.6</v>
      </c>
      <c r="L52">
        <v>0</v>
      </c>
      <c r="M52">
        <v>27.497982091197134</v>
      </c>
      <c r="N52">
        <v>0</v>
      </c>
      <c r="O52">
        <v>4.6593802987861812</v>
      </c>
      <c r="P52">
        <v>0.70005633333333328</v>
      </c>
      <c r="Q52">
        <v>1.1732166376415484E-2</v>
      </c>
      <c r="R52">
        <v>635568</v>
      </c>
      <c r="S52">
        <v>0</v>
      </c>
      <c r="T52">
        <v>0</v>
      </c>
      <c r="V52">
        <v>10800</v>
      </c>
      <c r="W52">
        <v>7</v>
      </c>
      <c r="X52">
        <v>85</v>
      </c>
      <c r="Y52">
        <v>3</v>
      </c>
      <c r="Z52">
        <v>4</v>
      </c>
      <c r="AA52">
        <v>5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3</v>
      </c>
      <c r="AJ52">
        <v>0</v>
      </c>
      <c r="AK52">
        <v>0</v>
      </c>
      <c r="AL52">
        <v>100</v>
      </c>
      <c r="AM52">
        <v>45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100</v>
      </c>
      <c r="AU52">
        <v>0</v>
      </c>
      <c r="AV52">
        <v>0</v>
      </c>
    </row>
    <row r="53" spans="1:48" x14ac:dyDescent="0.15">
      <c r="A53" s="4" t="str">
        <f>HYPERLINK("https://ibp.a2mac1.com/costing(costing:projects/details/9760/equipment/12209795)","General production process (0.5-10€)")</f>
        <v>General production process (0.5-10€)</v>
      </c>
      <c r="B53">
        <v>12209795</v>
      </c>
      <c r="C53">
        <v>12083012</v>
      </c>
      <c r="H53" t="s">
        <v>162</v>
      </c>
      <c r="I53">
        <v>116914.84457142858</v>
      </c>
      <c r="J53">
        <v>0</v>
      </c>
      <c r="K53">
        <v>3.6</v>
      </c>
      <c r="L53">
        <v>0</v>
      </c>
      <c r="M53">
        <v>27.497982091197134</v>
      </c>
      <c r="N53">
        <v>0</v>
      </c>
      <c r="O53">
        <v>4.6593802987861812</v>
      </c>
      <c r="P53">
        <v>0.70005633333333328</v>
      </c>
      <c r="Q53">
        <v>1.1732166376415484E-2</v>
      </c>
      <c r="R53">
        <v>635568</v>
      </c>
      <c r="S53">
        <v>0</v>
      </c>
      <c r="T53">
        <v>0</v>
      </c>
      <c r="V53">
        <v>10800</v>
      </c>
      <c r="W53">
        <v>7</v>
      </c>
      <c r="X53">
        <v>85</v>
      </c>
      <c r="Y53">
        <v>3</v>
      </c>
      <c r="Z53">
        <v>4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3</v>
      </c>
      <c r="AJ53">
        <v>0</v>
      </c>
      <c r="AK53">
        <v>0</v>
      </c>
      <c r="AL53">
        <v>100</v>
      </c>
      <c r="AM53">
        <v>45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100</v>
      </c>
      <c r="AU53">
        <v>0</v>
      </c>
      <c r="AV53">
        <v>0</v>
      </c>
    </row>
    <row r="54" spans="1:48" x14ac:dyDescent="0.15">
      <c r="A54" s="4" t="str">
        <f>HYPERLINK("https://ibp.a2mac1.com/costing(costing:projects/details/9760/equipment/12209797)","General production process (&gt;10€)")</f>
        <v>General production process (&gt;10€)</v>
      </c>
      <c r="B54">
        <v>12209797</v>
      </c>
      <c r="C54">
        <v>12083014</v>
      </c>
      <c r="H54" t="s">
        <v>162</v>
      </c>
      <c r="I54">
        <v>116914.84457142858</v>
      </c>
      <c r="J54">
        <v>0</v>
      </c>
      <c r="K54">
        <v>3.6</v>
      </c>
      <c r="L54">
        <v>0</v>
      </c>
      <c r="M54">
        <v>27.497982091197134</v>
      </c>
      <c r="N54">
        <v>0</v>
      </c>
      <c r="O54">
        <v>17.820220060767475</v>
      </c>
      <c r="P54">
        <v>2.6774285666666668</v>
      </c>
      <c r="Q54">
        <v>5.8660831882077422E-2</v>
      </c>
      <c r="R54">
        <v>635568</v>
      </c>
      <c r="S54">
        <v>0</v>
      </c>
      <c r="T54">
        <v>0</v>
      </c>
      <c r="V54">
        <v>108000</v>
      </c>
      <c r="W54">
        <v>7</v>
      </c>
      <c r="X54">
        <v>85</v>
      </c>
      <c r="Y54">
        <v>3</v>
      </c>
      <c r="Z54">
        <v>4</v>
      </c>
      <c r="AA54">
        <v>5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3</v>
      </c>
      <c r="AJ54">
        <v>0</v>
      </c>
      <c r="AK54">
        <v>0</v>
      </c>
      <c r="AL54">
        <v>100</v>
      </c>
      <c r="AM54">
        <v>45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100</v>
      </c>
      <c r="AU54">
        <v>0</v>
      </c>
      <c r="AV54">
        <v>0</v>
      </c>
    </row>
    <row r="55" spans="1:48" x14ac:dyDescent="0.15">
      <c r="A55" s="4" t="str">
        <f>HYPERLINK("https://ibp.a2mac1.com/costing(costing:projects/details/9760/equipment/12209798)","General production process (&gt;10€)")</f>
        <v>General production process (&gt;10€)</v>
      </c>
      <c r="B55">
        <v>12209798</v>
      </c>
      <c r="C55">
        <v>12083015</v>
      </c>
      <c r="H55" t="s">
        <v>162</v>
      </c>
      <c r="I55">
        <v>116914.84457142858</v>
      </c>
      <c r="J55">
        <v>0</v>
      </c>
      <c r="K55">
        <v>3.6</v>
      </c>
      <c r="L55">
        <v>0</v>
      </c>
      <c r="M55">
        <v>27.497982091197134</v>
      </c>
      <c r="N55">
        <v>0</v>
      </c>
      <c r="O55">
        <v>17.950071642864796</v>
      </c>
      <c r="P55">
        <v>2.6969383333333332</v>
      </c>
      <c r="Q55">
        <v>5.8660831882077422E-2</v>
      </c>
      <c r="R55">
        <v>635568</v>
      </c>
      <c r="S55">
        <v>0</v>
      </c>
      <c r="T55">
        <v>0</v>
      </c>
      <c r="V55">
        <v>108000</v>
      </c>
      <c r="W55">
        <v>7</v>
      </c>
      <c r="X55">
        <v>85</v>
      </c>
      <c r="Y55">
        <v>3</v>
      </c>
      <c r="Z55">
        <v>4</v>
      </c>
      <c r="AA55">
        <v>5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3</v>
      </c>
      <c r="AJ55">
        <v>0</v>
      </c>
      <c r="AK55">
        <v>0</v>
      </c>
      <c r="AL55">
        <v>100</v>
      </c>
      <c r="AM55">
        <v>45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100</v>
      </c>
      <c r="AU55">
        <v>0</v>
      </c>
      <c r="AV55">
        <v>0</v>
      </c>
    </row>
    <row r="56" spans="1:48" x14ac:dyDescent="0.15">
      <c r="A56" s="4" t="str">
        <f>HYPERLINK("https://ibp.a2mac1.com/costing(costing:projects/details/9760/equipment/12209892)","Dummy Machine (PCBA+Final Assembly Line)")</f>
        <v>Dummy Machine (PCBA+Final Assembly Line)</v>
      </c>
      <c r="B56">
        <v>12209892</v>
      </c>
      <c r="C56">
        <v>12083033</v>
      </c>
      <c r="F56" t="s">
        <v>358</v>
      </c>
      <c r="H56" t="s">
        <v>162</v>
      </c>
      <c r="I56">
        <v>79501.662769714283</v>
      </c>
      <c r="J56">
        <v>0</v>
      </c>
      <c r="K56">
        <v>0.28895999999999999</v>
      </c>
      <c r="L56">
        <v>0</v>
      </c>
      <c r="M56">
        <v>16.624578413647427</v>
      </c>
      <c r="N56">
        <v>0</v>
      </c>
      <c r="O56">
        <v>0.4848835370647166</v>
      </c>
      <c r="P56">
        <v>8.4351049999999997E-2</v>
      </c>
      <c r="Q56">
        <v>1.1481975848188456E-4</v>
      </c>
      <c r="R56">
        <v>442771.1</v>
      </c>
      <c r="S56">
        <v>0</v>
      </c>
      <c r="T56">
        <v>0</v>
      </c>
      <c r="V56">
        <v>216</v>
      </c>
      <c r="W56">
        <v>7</v>
      </c>
      <c r="X56">
        <v>85</v>
      </c>
      <c r="Y56">
        <v>3</v>
      </c>
      <c r="Z56">
        <v>4</v>
      </c>
      <c r="AA56">
        <v>5</v>
      </c>
      <c r="AB56">
        <v>0</v>
      </c>
      <c r="AC56">
        <v>0</v>
      </c>
      <c r="AD56">
        <v>0</v>
      </c>
      <c r="AE56">
        <v>0</v>
      </c>
      <c r="AF56">
        <v>0.7</v>
      </c>
      <c r="AG56">
        <v>0</v>
      </c>
      <c r="AH56">
        <v>0</v>
      </c>
      <c r="AI56">
        <v>0.2</v>
      </c>
      <c r="AJ56">
        <v>0</v>
      </c>
      <c r="AK56">
        <v>0</v>
      </c>
      <c r="AL56">
        <v>86</v>
      </c>
      <c r="AM56">
        <v>4.2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19.399999999999999</v>
      </c>
      <c r="AU56">
        <v>0</v>
      </c>
      <c r="AV56">
        <v>0</v>
      </c>
    </row>
    <row r="57" spans="1:48" x14ac:dyDescent="0.15">
      <c r="A57" s="4" t="str">
        <f>HYPERLINK("https://ibp.a2mac1.com/costing(costing:projects/details/9760/equipment/12210067)","DC machine - General")</f>
        <v>DC machine - General</v>
      </c>
      <c r="B57">
        <v>12210067</v>
      </c>
      <c r="C57">
        <v>12083056</v>
      </c>
      <c r="E57" t="s">
        <v>738</v>
      </c>
      <c r="H57" t="s">
        <v>162</v>
      </c>
      <c r="I57">
        <v>116914.84457142858</v>
      </c>
      <c r="J57">
        <v>0</v>
      </c>
      <c r="K57">
        <v>3.6</v>
      </c>
      <c r="L57">
        <v>0</v>
      </c>
      <c r="M57">
        <v>27.497982091197134</v>
      </c>
      <c r="N57">
        <v>0</v>
      </c>
      <c r="O57">
        <v>0.12985158209731981</v>
      </c>
      <c r="P57">
        <v>1.9509766666666668E-2</v>
      </c>
      <c r="Q57">
        <v>1.1732166376415484E-2</v>
      </c>
      <c r="R57">
        <v>635568</v>
      </c>
      <c r="S57">
        <v>0</v>
      </c>
      <c r="T57">
        <v>0</v>
      </c>
      <c r="V57">
        <v>10800</v>
      </c>
      <c r="W57">
        <v>7</v>
      </c>
      <c r="X57">
        <v>85</v>
      </c>
      <c r="Y57">
        <v>3</v>
      </c>
      <c r="Z57">
        <v>4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3</v>
      </c>
      <c r="AJ57">
        <v>0</v>
      </c>
      <c r="AK57">
        <v>0</v>
      </c>
      <c r="AL57">
        <v>100</v>
      </c>
      <c r="AM57">
        <v>45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100</v>
      </c>
      <c r="AU57">
        <v>0</v>
      </c>
      <c r="AV57">
        <v>0</v>
      </c>
    </row>
    <row r="58" spans="1:48" x14ac:dyDescent="0.15">
      <c r="A58" s="4" t="str">
        <f>HYPERLINK("https://ibp.a2mac1.com/costing(costing:projects/details/9760/equipment/12210068)","DC machine - General")</f>
        <v>DC machine - General</v>
      </c>
      <c r="B58">
        <v>12210068</v>
      </c>
      <c r="C58">
        <v>12083057</v>
      </c>
      <c r="E58" t="s">
        <v>738</v>
      </c>
      <c r="H58" t="s">
        <v>162</v>
      </c>
      <c r="I58">
        <v>116914.84457142858</v>
      </c>
      <c r="J58">
        <v>0</v>
      </c>
      <c r="K58">
        <v>3.6</v>
      </c>
      <c r="L58">
        <v>0</v>
      </c>
      <c r="M58">
        <v>27.497982091197134</v>
      </c>
      <c r="N58">
        <v>0</v>
      </c>
      <c r="O58">
        <v>0.50412967167194744</v>
      </c>
      <c r="P58">
        <v>7.57438E-2</v>
      </c>
      <c r="Q58">
        <v>1.1732166376415484E-2</v>
      </c>
      <c r="R58">
        <v>635568</v>
      </c>
      <c r="S58">
        <v>0</v>
      </c>
      <c r="T58">
        <v>0</v>
      </c>
      <c r="V58">
        <v>10800</v>
      </c>
      <c r="W58">
        <v>7</v>
      </c>
      <c r="X58">
        <v>85</v>
      </c>
      <c r="Y58">
        <v>3</v>
      </c>
      <c r="Z58">
        <v>4</v>
      </c>
      <c r="AA58">
        <v>5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3</v>
      </c>
      <c r="AJ58">
        <v>0</v>
      </c>
      <c r="AK58">
        <v>0</v>
      </c>
      <c r="AL58">
        <v>100</v>
      </c>
      <c r="AM58">
        <v>45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100</v>
      </c>
      <c r="AU58">
        <v>0</v>
      </c>
      <c r="AV58">
        <v>0</v>
      </c>
    </row>
    <row r="59" spans="1:48" x14ac:dyDescent="0.15">
      <c r="A59" s="4" t="str">
        <f>HYPERLINK("https://ibp.a2mac1.com/costing(costing:projects/details/9760/equipment/12210069)","DC machine - General")</f>
        <v>DC machine - General</v>
      </c>
      <c r="B59">
        <v>12210069</v>
      </c>
      <c r="C59">
        <v>12083058</v>
      </c>
      <c r="E59" t="s">
        <v>738</v>
      </c>
      <c r="H59" t="s">
        <v>162</v>
      </c>
      <c r="I59">
        <v>116914.84457142858</v>
      </c>
      <c r="J59">
        <v>0</v>
      </c>
      <c r="K59">
        <v>3.6</v>
      </c>
      <c r="L59">
        <v>0</v>
      </c>
      <c r="M59">
        <v>27.497982091197134</v>
      </c>
      <c r="N59">
        <v>0</v>
      </c>
      <c r="O59">
        <v>7.6383283586658711E-3</v>
      </c>
      <c r="P59">
        <v>1.1476333333333333E-3</v>
      </c>
      <c r="Q59">
        <v>1.1732166376415484E-2</v>
      </c>
      <c r="R59">
        <v>635568</v>
      </c>
      <c r="S59">
        <v>0</v>
      </c>
      <c r="T59">
        <v>0</v>
      </c>
      <c r="V59">
        <v>10800</v>
      </c>
      <c r="W59">
        <v>7</v>
      </c>
      <c r="X59">
        <v>85</v>
      </c>
      <c r="Y59">
        <v>3</v>
      </c>
      <c r="Z59">
        <v>4</v>
      </c>
      <c r="AA59">
        <v>5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3</v>
      </c>
      <c r="AJ59">
        <v>0</v>
      </c>
      <c r="AK59">
        <v>0</v>
      </c>
      <c r="AL59">
        <v>100</v>
      </c>
      <c r="AM59">
        <v>45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100</v>
      </c>
      <c r="AU59">
        <v>0</v>
      </c>
      <c r="AV59">
        <v>0</v>
      </c>
    </row>
    <row r="60" spans="1:48" x14ac:dyDescent="0.15">
      <c r="A60" s="4" t="str">
        <f>HYPERLINK("https://ibp.a2mac1.com/costing(costing:projects/details/9760/equipment/12210070)","DC machine - General")</f>
        <v>DC machine - General</v>
      </c>
      <c r="B60">
        <v>12210070</v>
      </c>
      <c r="C60">
        <v>12083059</v>
      </c>
      <c r="E60" t="s">
        <v>738</v>
      </c>
      <c r="H60" t="s">
        <v>162</v>
      </c>
      <c r="I60">
        <v>116914.84457142858</v>
      </c>
      <c r="J60">
        <v>0</v>
      </c>
      <c r="K60">
        <v>3.6</v>
      </c>
      <c r="L60">
        <v>0</v>
      </c>
      <c r="M60">
        <v>27.497982091197134</v>
      </c>
      <c r="N60">
        <v>0</v>
      </c>
      <c r="O60">
        <v>3.8191641793329352E-2</v>
      </c>
      <c r="P60">
        <v>5.7381666666666666E-3</v>
      </c>
      <c r="Q60">
        <v>1.1732166376415484E-2</v>
      </c>
      <c r="R60">
        <v>635568</v>
      </c>
      <c r="S60">
        <v>0</v>
      </c>
      <c r="T60">
        <v>0</v>
      </c>
      <c r="V60">
        <v>10800</v>
      </c>
      <c r="W60">
        <v>7</v>
      </c>
      <c r="X60">
        <v>85</v>
      </c>
      <c r="Y60">
        <v>3</v>
      </c>
      <c r="Z60">
        <v>4</v>
      </c>
      <c r="AA60">
        <v>5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100</v>
      </c>
      <c r="AM60">
        <v>45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100</v>
      </c>
      <c r="AU60">
        <v>0</v>
      </c>
      <c r="AV60">
        <v>0</v>
      </c>
    </row>
    <row r="61" spans="1:48" x14ac:dyDescent="0.15">
      <c r="A61" s="4" t="str">
        <f>HYPERLINK("https://ibp.a2mac1.com/costing(costing:projects/details/9760/equipment/12210071)","DC machine - General")</f>
        <v>DC machine - General</v>
      </c>
      <c r="B61">
        <v>12210071</v>
      </c>
      <c r="C61">
        <v>12083060</v>
      </c>
      <c r="E61" t="s">
        <v>738</v>
      </c>
      <c r="H61" t="s">
        <v>162</v>
      </c>
      <c r="I61">
        <v>116914.84457142858</v>
      </c>
      <c r="J61">
        <v>0</v>
      </c>
      <c r="K61">
        <v>3.6</v>
      </c>
      <c r="L61">
        <v>0</v>
      </c>
      <c r="M61">
        <v>27.497982091197134</v>
      </c>
      <c r="N61">
        <v>0</v>
      </c>
      <c r="O61">
        <v>0.32080979106396657</v>
      </c>
      <c r="P61">
        <v>4.8200600000000003E-2</v>
      </c>
      <c r="Q61">
        <v>1.1732166376415484E-2</v>
      </c>
      <c r="R61">
        <v>635568</v>
      </c>
      <c r="S61">
        <v>0</v>
      </c>
      <c r="T61">
        <v>0</v>
      </c>
      <c r="V61">
        <v>10800</v>
      </c>
      <c r="W61">
        <v>7</v>
      </c>
      <c r="X61">
        <v>85</v>
      </c>
      <c r="Y61">
        <v>3</v>
      </c>
      <c r="Z61">
        <v>4</v>
      </c>
      <c r="AA61">
        <v>5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3</v>
      </c>
      <c r="AJ61">
        <v>0</v>
      </c>
      <c r="AK61">
        <v>0</v>
      </c>
      <c r="AL61">
        <v>100</v>
      </c>
      <c r="AM61">
        <v>45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100</v>
      </c>
      <c r="AU61">
        <v>0</v>
      </c>
      <c r="AV61">
        <v>0</v>
      </c>
    </row>
    <row r="62" spans="1:48" x14ac:dyDescent="0.15">
      <c r="A62" s="4" t="str">
        <f>HYPERLINK("https://ibp.a2mac1.com/costing(costing:projects/details/9760/equipment/12210072)","DC machine - General")</f>
        <v>DC machine - General</v>
      </c>
      <c r="B62">
        <v>12210072</v>
      </c>
      <c r="C62">
        <v>12083061</v>
      </c>
      <c r="E62" t="s">
        <v>738</v>
      </c>
      <c r="H62" t="s">
        <v>162</v>
      </c>
      <c r="I62">
        <v>116914.84457142858</v>
      </c>
      <c r="J62">
        <v>0</v>
      </c>
      <c r="K62">
        <v>3.6</v>
      </c>
      <c r="L62">
        <v>0</v>
      </c>
      <c r="M62">
        <v>27.497982091197134</v>
      </c>
      <c r="N62">
        <v>0</v>
      </c>
      <c r="O62">
        <v>5.3468298510661094E-2</v>
      </c>
      <c r="P62">
        <v>8.0334333333333327E-3</v>
      </c>
      <c r="Q62">
        <v>1.9553610627359142E-3</v>
      </c>
      <c r="R62">
        <v>635568</v>
      </c>
      <c r="S62">
        <v>0</v>
      </c>
      <c r="T62">
        <v>0</v>
      </c>
      <c r="V62">
        <v>10800</v>
      </c>
      <c r="W62">
        <v>7</v>
      </c>
      <c r="X62">
        <v>85</v>
      </c>
      <c r="Y62">
        <v>3</v>
      </c>
      <c r="Z62">
        <v>4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100</v>
      </c>
      <c r="AM62">
        <v>45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100</v>
      </c>
      <c r="AU62">
        <v>0</v>
      </c>
      <c r="AV62">
        <v>0</v>
      </c>
    </row>
    <row r="63" spans="1:48" x14ac:dyDescent="0.15">
      <c r="A63" s="4" t="str">
        <f>HYPERLINK("https://ibp.a2mac1.com/costing(costing:projects/details/9760/equipment/12209893)","DC machine - General")</f>
        <v>DC machine - General</v>
      </c>
      <c r="B63">
        <v>12209893</v>
      </c>
      <c r="C63">
        <v>12083034</v>
      </c>
      <c r="E63" t="s">
        <v>738</v>
      </c>
      <c r="H63" t="s">
        <v>162</v>
      </c>
      <c r="I63">
        <v>116914.84457142858</v>
      </c>
      <c r="J63">
        <v>0</v>
      </c>
      <c r="K63">
        <v>3.6</v>
      </c>
      <c r="L63">
        <v>0</v>
      </c>
      <c r="M63">
        <v>27.497982091197134</v>
      </c>
      <c r="N63">
        <v>0</v>
      </c>
      <c r="O63">
        <v>0.61106626869326963</v>
      </c>
      <c r="P63">
        <v>9.1810666666666665E-2</v>
      </c>
      <c r="Q63">
        <v>1.9553610627359139E-2</v>
      </c>
      <c r="R63">
        <v>635568</v>
      </c>
      <c r="S63">
        <v>0</v>
      </c>
      <c r="T63">
        <v>0</v>
      </c>
      <c r="V63">
        <v>10800</v>
      </c>
      <c r="W63">
        <v>7</v>
      </c>
      <c r="X63">
        <v>85</v>
      </c>
      <c r="Y63">
        <v>3</v>
      </c>
      <c r="Z63">
        <v>4</v>
      </c>
      <c r="AA63">
        <v>5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3</v>
      </c>
      <c r="AJ63">
        <v>0</v>
      </c>
      <c r="AK63">
        <v>0</v>
      </c>
      <c r="AL63">
        <v>100</v>
      </c>
      <c r="AM63">
        <v>45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100</v>
      </c>
      <c r="AU63">
        <v>0</v>
      </c>
      <c r="AV63">
        <v>0</v>
      </c>
    </row>
    <row r="64" spans="1:48" x14ac:dyDescent="0.15">
      <c r="A64" s="4" t="str">
        <f>HYPERLINK("https://ibp.a2mac1.com/costing(costing:projects/details/9760/equipment/12210073)","DC machine - General")</f>
        <v>DC machine - General</v>
      </c>
      <c r="B64">
        <v>12210073</v>
      </c>
      <c r="C64">
        <v>12083062</v>
      </c>
      <c r="E64" t="s">
        <v>738</v>
      </c>
      <c r="H64" t="s">
        <v>162</v>
      </c>
      <c r="I64">
        <v>116914.84457142858</v>
      </c>
      <c r="J64">
        <v>0</v>
      </c>
      <c r="K64">
        <v>3.6</v>
      </c>
      <c r="L64">
        <v>0</v>
      </c>
      <c r="M64">
        <v>27.497982091197134</v>
      </c>
      <c r="N64">
        <v>0</v>
      </c>
      <c r="O64">
        <v>0.61106626869326963</v>
      </c>
      <c r="P64">
        <v>9.1810666666666665E-2</v>
      </c>
      <c r="Q64">
        <v>1.1732166376415484E-2</v>
      </c>
      <c r="R64">
        <v>635568</v>
      </c>
      <c r="S64">
        <v>0</v>
      </c>
      <c r="T64">
        <v>0</v>
      </c>
      <c r="V64">
        <v>10800</v>
      </c>
      <c r="W64">
        <v>7</v>
      </c>
      <c r="X64">
        <v>85</v>
      </c>
      <c r="Y64">
        <v>3</v>
      </c>
      <c r="Z64">
        <v>4</v>
      </c>
      <c r="AA64">
        <v>5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3</v>
      </c>
      <c r="AJ64">
        <v>0</v>
      </c>
      <c r="AK64">
        <v>0</v>
      </c>
      <c r="AL64">
        <v>100</v>
      </c>
      <c r="AM64">
        <v>45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100</v>
      </c>
      <c r="AU64">
        <v>0</v>
      </c>
      <c r="AV64">
        <v>0</v>
      </c>
    </row>
    <row r="65" spans="1:48" x14ac:dyDescent="0.15">
      <c r="A65" s="4" t="str">
        <f>HYPERLINK("https://ibp.a2mac1.com/costing(costing:projects/details/9760/equipment/12210074)","DC machine - General")</f>
        <v>DC machine - General</v>
      </c>
      <c r="B65">
        <v>12210074</v>
      </c>
      <c r="C65">
        <v>12083063</v>
      </c>
      <c r="E65" t="s">
        <v>738</v>
      </c>
      <c r="H65" t="s">
        <v>162</v>
      </c>
      <c r="I65">
        <v>116914.84457142858</v>
      </c>
      <c r="J65">
        <v>0</v>
      </c>
      <c r="K65">
        <v>3.6</v>
      </c>
      <c r="L65">
        <v>0</v>
      </c>
      <c r="M65">
        <v>27.497982091197134</v>
      </c>
      <c r="N65">
        <v>0</v>
      </c>
      <c r="O65">
        <v>3.8191641793329352E-2</v>
      </c>
      <c r="P65">
        <v>5.7381666666666666E-3</v>
      </c>
      <c r="Q65">
        <v>1.1732166376415484E-2</v>
      </c>
      <c r="R65">
        <v>635568</v>
      </c>
      <c r="S65">
        <v>0</v>
      </c>
      <c r="T65">
        <v>0</v>
      </c>
      <c r="V65">
        <v>10800</v>
      </c>
      <c r="W65">
        <v>7</v>
      </c>
      <c r="X65">
        <v>85</v>
      </c>
      <c r="Y65">
        <v>3</v>
      </c>
      <c r="Z65">
        <v>4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3</v>
      </c>
      <c r="AJ65">
        <v>0</v>
      </c>
      <c r="AK65">
        <v>0</v>
      </c>
      <c r="AL65">
        <v>100</v>
      </c>
      <c r="AM65">
        <v>45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100</v>
      </c>
      <c r="AU65">
        <v>0</v>
      </c>
      <c r="AV65">
        <v>0</v>
      </c>
    </row>
    <row r="66" spans="1:48" x14ac:dyDescent="0.15">
      <c r="A66" s="4" t="str">
        <f>HYPERLINK("https://ibp.a2mac1.com/costing(costing:projects/details/9760/equipment/12210075)","DC machine - General")</f>
        <v>DC machine - General</v>
      </c>
      <c r="B66">
        <v>12210075</v>
      </c>
      <c r="C66">
        <v>12083064</v>
      </c>
      <c r="E66" t="s">
        <v>738</v>
      </c>
      <c r="H66" t="s">
        <v>162</v>
      </c>
      <c r="I66">
        <v>116914.84457142858</v>
      </c>
      <c r="J66">
        <v>0</v>
      </c>
      <c r="K66">
        <v>3.6</v>
      </c>
      <c r="L66">
        <v>0</v>
      </c>
      <c r="M66">
        <v>27.497982091197134</v>
      </c>
      <c r="N66">
        <v>0</v>
      </c>
      <c r="O66">
        <v>3.0553313434663484E-2</v>
      </c>
      <c r="P66">
        <v>4.5905333333333331E-3</v>
      </c>
      <c r="Q66">
        <v>1.1732166376415484E-2</v>
      </c>
      <c r="R66">
        <v>635568</v>
      </c>
      <c r="S66">
        <v>0</v>
      </c>
      <c r="T66">
        <v>0</v>
      </c>
      <c r="V66">
        <v>10800</v>
      </c>
      <c r="W66">
        <v>7</v>
      </c>
      <c r="X66">
        <v>85</v>
      </c>
      <c r="Y66">
        <v>3</v>
      </c>
      <c r="Z66">
        <v>4</v>
      </c>
      <c r="AA66">
        <v>5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3</v>
      </c>
      <c r="AJ66">
        <v>0</v>
      </c>
      <c r="AK66">
        <v>0</v>
      </c>
      <c r="AL66">
        <v>100</v>
      </c>
      <c r="AM66">
        <v>45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100</v>
      </c>
      <c r="AU66">
        <v>0</v>
      </c>
      <c r="AV66">
        <v>0</v>
      </c>
    </row>
    <row r="67" spans="1:48" x14ac:dyDescent="0.15">
      <c r="A67" s="4" t="str">
        <f>HYPERLINK("https://ibp.a2mac1.com/costing(costing:projects/details/9760/equipment/12210076)","DC machine - General")</f>
        <v>DC machine - General</v>
      </c>
      <c r="B67">
        <v>12210076</v>
      </c>
      <c r="C67">
        <v>12083065</v>
      </c>
      <c r="E67" t="s">
        <v>738</v>
      </c>
      <c r="H67" t="s">
        <v>162</v>
      </c>
      <c r="I67">
        <v>116914.84457142858</v>
      </c>
      <c r="J67">
        <v>0</v>
      </c>
      <c r="K67">
        <v>3.6</v>
      </c>
      <c r="L67">
        <v>0</v>
      </c>
      <c r="M67">
        <v>27.497982091197134</v>
      </c>
      <c r="N67">
        <v>0</v>
      </c>
      <c r="O67">
        <v>0.236788179118642</v>
      </c>
      <c r="P67">
        <v>3.5576633333333336E-2</v>
      </c>
      <c r="Q67">
        <v>1.1732166376415484E-2</v>
      </c>
      <c r="R67">
        <v>635568</v>
      </c>
      <c r="S67">
        <v>0</v>
      </c>
      <c r="T67">
        <v>0</v>
      </c>
      <c r="V67">
        <v>10800</v>
      </c>
      <c r="W67">
        <v>7</v>
      </c>
      <c r="X67">
        <v>85</v>
      </c>
      <c r="Y67">
        <v>3</v>
      </c>
      <c r="Z67">
        <v>4</v>
      </c>
      <c r="AA67">
        <v>5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3</v>
      </c>
      <c r="AJ67">
        <v>0</v>
      </c>
      <c r="AK67">
        <v>0</v>
      </c>
      <c r="AL67">
        <v>100</v>
      </c>
      <c r="AM67">
        <v>45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100</v>
      </c>
      <c r="AU67">
        <v>0</v>
      </c>
      <c r="AV67">
        <v>0</v>
      </c>
    </row>
    <row r="68" spans="1:48" x14ac:dyDescent="0.15">
      <c r="A68" s="4" t="str">
        <f>HYPERLINK("https://ibp.a2mac1.com/costing(costing:projects/details/9760/equipment/12209894)","DC machine - General")</f>
        <v>DC machine - General</v>
      </c>
      <c r="B68">
        <v>12209894</v>
      </c>
      <c r="C68">
        <v>12083035</v>
      </c>
      <c r="E68" t="s">
        <v>738</v>
      </c>
      <c r="H68" t="s">
        <v>162</v>
      </c>
      <c r="I68">
        <v>116914.84457142858</v>
      </c>
      <c r="J68">
        <v>0</v>
      </c>
      <c r="K68">
        <v>3.6</v>
      </c>
      <c r="L68">
        <v>0</v>
      </c>
      <c r="M68">
        <v>27.497982091197134</v>
      </c>
      <c r="N68">
        <v>0</v>
      </c>
      <c r="O68">
        <v>0.61106626869326963</v>
      </c>
      <c r="P68">
        <v>9.1810666666666665E-2</v>
      </c>
      <c r="Q68">
        <v>1.9553610627359139E-2</v>
      </c>
      <c r="R68">
        <v>635568</v>
      </c>
      <c r="S68">
        <v>0</v>
      </c>
      <c r="T68">
        <v>0</v>
      </c>
      <c r="V68">
        <v>10800</v>
      </c>
      <c r="W68">
        <v>7</v>
      </c>
      <c r="X68">
        <v>85</v>
      </c>
      <c r="Y68">
        <v>3</v>
      </c>
      <c r="Z68">
        <v>4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3</v>
      </c>
      <c r="AJ68">
        <v>0</v>
      </c>
      <c r="AK68">
        <v>0</v>
      </c>
      <c r="AL68">
        <v>100</v>
      </c>
      <c r="AM68">
        <v>45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100</v>
      </c>
      <c r="AU68">
        <v>0</v>
      </c>
      <c r="AV68">
        <v>0</v>
      </c>
    </row>
    <row r="69" spans="1:48" x14ac:dyDescent="0.15">
      <c r="A69" s="4" t="str">
        <f>HYPERLINK("https://ibp.a2mac1.com/costing(costing:projects/details/9760/equipment/12210077)","DC machine - General")</f>
        <v>DC machine - General</v>
      </c>
      <c r="B69">
        <v>12210077</v>
      </c>
      <c r="C69">
        <v>12083066</v>
      </c>
      <c r="E69" t="s">
        <v>738</v>
      </c>
      <c r="H69" t="s">
        <v>162</v>
      </c>
      <c r="I69">
        <v>116914.84457142858</v>
      </c>
      <c r="J69">
        <v>0</v>
      </c>
      <c r="K69">
        <v>3.6</v>
      </c>
      <c r="L69">
        <v>0</v>
      </c>
      <c r="M69">
        <v>27.497982091197134</v>
      </c>
      <c r="N69">
        <v>0</v>
      </c>
      <c r="O69">
        <v>1.0082593433438949</v>
      </c>
      <c r="P69">
        <v>0.1514876</v>
      </c>
      <c r="Q69">
        <v>1.1732166376415484E-2</v>
      </c>
      <c r="R69">
        <v>635568</v>
      </c>
      <c r="S69">
        <v>0</v>
      </c>
      <c r="T69">
        <v>0</v>
      </c>
      <c r="V69">
        <v>10800</v>
      </c>
      <c r="W69">
        <v>7</v>
      </c>
      <c r="X69">
        <v>85</v>
      </c>
      <c r="Y69">
        <v>3</v>
      </c>
      <c r="Z69">
        <v>4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3</v>
      </c>
      <c r="AJ69">
        <v>0</v>
      </c>
      <c r="AK69">
        <v>0</v>
      </c>
      <c r="AL69">
        <v>100</v>
      </c>
      <c r="AM69">
        <v>45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100</v>
      </c>
      <c r="AU69">
        <v>0</v>
      </c>
      <c r="AV69">
        <v>0</v>
      </c>
    </row>
    <row r="70" spans="1:48" x14ac:dyDescent="0.15">
      <c r="A70" s="4" t="str">
        <f>HYPERLINK("https://ibp.a2mac1.com/costing(costing:projects/details/9760/equipment/12210078)","DC machine - General")</f>
        <v>DC machine - General</v>
      </c>
      <c r="B70">
        <v>12210078</v>
      </c>
      <c r="C70">
        <v>12083067</v>
      </c>
      <c r="E70" t="s">
        <v>738</v>
      </c>
      <c r="H70" t="s">
        <v>162</v>
      </c>
      <c r="I70">
        <v>116914.84457142858</v>
      </c>
      <c r="J70">
        <v>0</v>
      </c>
      <c r="K70">
        <v>3.6</v>
      </c>
      <c r="L70">
        <v>0</v>
      </c>
      <c r="M70">
        <v>27.497982091197134</v>
      </c>
      <c r="N70">
        <v>0</v>
      </c>
      <c r="O70">
        <v>0.54995964182394275</v>
      </c>
      <c r="P70">
        <v>8.2629599999999997E-2</v>
      </c>
      <c r="Q70">
        <v>1.1732166376415484E-2</v>
      </c>
      <c r="R70">
        <v>635568</v>
      </c>
      <c r="S70">
        <v>0</v>
      </c>
      <c r="T70">
        <v>0</v>
      </c>
      <c r="V70">
        <v>10800</v>
      </c>
      <c r="W70">
        <v>7</v>
      </c>
      <c r="X70">
        <v>85</v>
      </c>
      <c r="Y70">
        <v>3</v>
      </c>
      <c r="Z70">
        <v>4</v>
      </c>
      <c r="AA70">
        <v>5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3</v>
      </c>
      <c r="AJ70">
        <v>0</v>
      </c>
      <c r="AK70">
        <v>0</v>
      </c>
      <c r="AL70">
        <v>100</v>
      </c>
      <c r="AM70">
        <v>45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100</v>
      </c>
      <c r="AU70">
        <v>0</v>
      </c>
      <c r="AV70">
        <v>0</v>
      </c>
    </row>
    <row r="71" spans="1:48" x14ac:dyDescent="0.15">
      <c r="A71" s="4" t="str">
        <f>HYPERLINK("https://ibp.a2mac1.com/costing(costing:projects/details/9760/equipment/12210079)","DC machine - General")</f>
        <v>DC machine - General</v>
      </c>
      <c r="B71">
        <v>12210079</v>
      </c>
      <c r="C71">
        <v>12083068</v>
      </c>
      <c r="E71" t="s">
        <v>738</v>
      </c>
      <c r="H71" t="s">
        <v>162</v>
      </c>
      <c r="I71">
        <v>116914.84457142858</v>
      </c>
      <c r="J71">
        <v>0</v>
      </c>
      <c r="K71">
        <v>3.6</v>
      </c>
      <c r="L71">
        <v>0</v>
      </c>
      <c r="M71">
        <v>27.497982091197134</v>
      </c>
      <c r="N71">
        <v>0</v>
      </c>
      <c r="O71">
        <v>9.9298268662656314E-2</v>
      </c>
      <c r="P71">
        <v>1.4919233333333334E-2</v>
      </c>
      <c r="Q71">
        <v>1.1732166376415484E-2</v>
      </c>
      <c r="R71">
        <v>635568</v>
      </c>
      <c r="S71">
        <v>0</v>
      </c>
      <c r="T71">
        <v>0</v>
      </c>
      <c r="V71">
        <v>10800</v>
      </c>
      <c r="W71">
        <v>7</v>
      </c>
      <c r="X71">
        <v>85</v>
      </c>
      <c r="Y71">
        <v>3</v>
      </c>
      <c r="Z71">
        <v>4</v>
      </c>
      <c r="AA71">
        <v>5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3</v>
      </c>
      <c r="AJ71">
        <v>0</v>
      </c>
      <c r="AK71">
        <v>0</v>
      </c>
      <c r="AL71">
        <v>100</v>
      </c>
      <c r="AM71">
        <v>45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100</v>
      </c>
      <c r="AU71">
        <v>0</v>
      </c>
      <c r="AV71">
        <v>0</v>
      </c>
    </row>
    <row r="72" spans="1:48" x14ac:dyDescent="0.15">
      <c r="A72" s="4" t="str">
        <f>HYPERLINK("https://ibp.a2mac1.com/costing(costing:projects/details/9760/equipment/12210080)","DC machine - General")</f>
        <v>DC machine - General</v>
      </c>
      <c r="B72">
        <v>12210080</v>
      </c>
      <c r="C72">
        <v>12083069</v>
      </c>
      <c r="E72" t="s">
        <v>738</v>
      </c>
      <c r="H72" t="s">
        <v>162</v>
      </c>
      <c r="I72">
        <v>116914.84457142858</v>
      </c>
      <c r="J72">
        <v>0</v>
      </c>
      <c r="K72">
        <v>3.6</v>
      </c>
      <c r="L72">
        <v>0</v>
      </c>
      <c r="M72">
        <v>27.497982091197134</v>
      </c>
      <c r="N72">
        <v>0</v>
      </c>
      <c r="O72">
        <v>1.0082593433438949</v>
      </c>
      <c r="P72">
        <v>0.1514876</v>
      </c>
      <c r="Q72">
        <v>1.1732166376415484E-2</v>
      </c>
      <c r="R72">
        <v>635568</v>
      </c>
      <c r="S72">
        <v>0</v>
      </c>
      <c r="T72">
        <v>0</v>
      </c>
      <c r="V72">
        <v>10800</v>
      </c>
      <c r="W72">
        <v>7</v>
      </c>
      <c r="X72">
        <v>85</v>
      </c>
      <c r="Y72">
        <v>3</v>
      </c>
      <c r="Z72">
        <v>4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3</v>
      </c>
      <c r="AJ72">
        <v>0</v>
      </c>
      <c r="AK72">
        <v>0</v>
      </c>
      <c r="AL72">
        <v>100</v>
      </c>
      <c r="AM72">
        <v>45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100</v>
      </c>
      <c r="AU72">
        <v>0</v>
      </c>
      <c r="AV72">
        <v>0</v>
      </c>
    </row>
    <row r="73" spans="1:48" x14ac:dyDescent="0.15">
      <c r="A73" s="4" t="str">
        <f>HYPERLINK("https://ibp.a2mac1.com/costing(costing:projects/details/9760/equipment/12210081)","DC machine - General")</f>
        <v>DC machine - General</v>
      </c>
      <c r="B73">
        <v>12210081</v>
      </c>
      <c r="C73">
        <v>12083070</v>
      </c>
      <c r="E73" t="s">
        <v>738</v>
      </c>
      <c r="H73" t="s">
        <v>162</v>
      </c>
      <c r="I73">
        <v>116914.84457142858</v>
      </c>
      <c r="J73">
        <v>0</v>
      </c>
      <c r="K73">
        <v>3.6</v>
      </c>
      <c r="L73">
        <v>0</v>
      </c>
      <c r="M73">
        <v>27.497982091197134</v>
      </c>
      <c r="N73">
        <v>0</v>
      </c>
      <c r="O73">
        <v>0.54995964182394275</v>
      </c>
      <c r="P73">
        <v>8.2629599999999997E-2</v>
      </c>
      <c r="Q73">
        <v>1.1732166376415484E-2</v>
      </c>
      <c r="R73">
        <v>635568</v>
      </c>
      <c r="S73">
        <v>0</v>
      </c>
      <c r="T73">
        <v>0</v>
      </c>
      <c r="V73">
        <v>10800</v>
      </c>
      <c r="W73">
        <v>7</v>
      </c>
      <c r="X73">
        <v>85</v>
      </c>
      <c r="Y73">
        <v>3</v>
      </c>
      <c r="Z73">
        <v>4</v>
      </c>
      <c r="AA73">
        <v>5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3</v>
      </c>
      <c r="AJ73">
        <v>0</v>
      </c>
      <c r="AK73">
        <v>0</v>
      </c>
      <c r="AL73">
        <v>100</v>
      </c>
      <c r="AM73">
        <v>45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100</v>
      </c>
      <c r="AU73">
        <v>0</v>
      </c>
      <c r="AV73">
        <v>0</v>
      </c>
    </row>
    <row r="74" spans="1:48" x14ac:dyDescent="0.15">
      <c r="A74" s="4" t="str">
        <f>HYPERLINK("https://ibp.a2mac1.com/costing(costing:projects/details/9760/equipment/12210082)","DC machine - General")</f>
        <v>DC machine - General</v>
      </c>
      <c r="B74">
        <v>12210082</v>
      </c>
      <c r="C74">
        <v>12083071</v>
      </c>
      <c r="E74" t="s">
        <v>738</v>
      </c>
      <c r="H74" t="s">
        <v>162</v>
      </c>
      <c r="I74">
        <v>116914.84457142858</v>
      </c>
      <c r="J74">
        <v>0</v>
      </c>
      <c r="K74">
        <v>3.6</v>
      </c>
      <c r="L74">
        <v>0</v>
      </c>
      <c r="M74">
        <v>27.497982091197134</v>
      </c>
      <c r="N74">
        <v>0</v>
      </c>
      <c r="O74">
        <v>9.9298268662656314E-2</v>
      </c>
      <c r="P74">
        <v>1.4919233333333334E-2</v>
      </c>
      <c r="Q74">
        <v>1.1732166376415484E-2</v>
      </c>
      <c r="R74">
        <v>635568</v>
      </c>
      <c r="S74">
        <v>0</v>
      </c>
      <c r="T74">
        <v>0</v>
      </c>
      <c r="V74">
        <v>10800</v>
      </c>
      <c r="W74">
        <v>7</v>
      </c>
      <c r="X74">
        <v>85</v>
      </c>
      <c r="Y74">
        <v>3</v>
      </c>
      <c r="Z74">
        <v>4</v>
      </c>
      <c r="AA74">
        <v>5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3</v>
      </c>
      <c r="AJ74">
        <v>0</v>
      </c>
      <c r="AK74">
        <v>0</v>
      </c>
      <c r="AL74">
        <v>100</v>
      </c>
      <c r="AM74">
        <v>45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100</v>
      </c>
      <c r="AU74">
        <v>0</v>
      </c>
      <c r="AV74">
        <v>0</v>
      </c>
    </row>
    <row r="75" spans="1:48" x14ac:dyDescent="0.15">
      <c r="A75" s="4" t="str">
        <f>HYPERLINK("https://ibp.a2mac1.com/costing(costing:projects/details/9760/equipment/12210083)","DC machine - General")</f>
        <v>DC machine - General</v>
      </c>
      <c r="B75">
        <v>12210083</v>
      </c>
      <c r="C75">
        <v>12083072</v>
      </c>
      <c r="E75" t="s">
        <v>738</v>
      </c>
      <c r="H75" t="s">
        <v>162</v>
      </c>
      <c r="I75">
        <v>116914.84457142858</v>
      </c>
      <c r="J75">
        <v>0</v>
      </c>
      <c r="K75">
        <v>3.6</v>
      </c>
      <c r="L75">
        <v>0</v>
      </c>
      <c r="M75">
        <v>27.497982091197134</v>
      </c>
      <c r="N75">
        <v>0</v>
      </c>
      <c r="O75">
        <v>2.2914985075997613E-2</v>
      </c>
      <c r="P75">
        <v>3.4429E-3</v>
      </c>
      <c r="Q75">
        <v>1.1732166376415484E-2</v>
      </c>
      <c r="R75">
        <v>635568</v>
      </c>
      <c r="S75">
        <v>0</v>
      </c>
      <c r="T75">
        <v>0</v>
      </c>
      <c r="V75">
        <v>10800</v>
      </c>
      <c r="W75">
        <v>7</v>
      </c>
      <c r="X75">
        <v>85</v>
      </c>
      <c r="Y75">
        <v>3</v>
      </c>
      <c r="Z75">
        <v>4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3</v>
      </c>
      <c r="AJ75">
        <v>0</v>
      </c>
      <c r="AK75">
        <v>0</v>
      </c>
      <c r="AL75">
        <v>100</v>
      </c>
      <c r="AM75">
        <v>45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100</v>
      </c>
      <c r="AU75">
        <v>0</v>
      </c>
      <c r="AV75">
        <v>0</v>
      </c>
    </row>
    <row r="76" spans="1:48" x14ac:dyDescent="0.15">
      <c r="A76" s="4" t="str">
        <f>HYPERLINK("https://ibp.a2mac1.com/costing(costing:projects/details/9760/equipment/12209895)","DC machine - General")</f>
        <v>DC machine - General</v>
      </c>
      <c r="B76">
        <v>12209895</v>
      </c>
      <c r="C76">
        <v>12083036</v>
      </c>
      <c r="E76" t="s">
        <v>738</v>
      </c>
      <c r="H76" t="s">
        <v>162</v>
      </c>
      <c r="I76">
        <v>116914.84457142858</v>
      </c>
      <c r="J76">
        <v>0</v>
      </c>
      <c r="K76">
        <v>3.6</v>
      </c>
      <c r="L76">
        <v>0</v>
      </c>
      <c r="M76">
        <v>27.497982091197134</v>
      </c>
      <c r="N76">
        <v>0</v>
      </c>
      <c r="O76">
        <v>0.37427808957462766</v>
      </c>
      <c r="P76">
        <v>5.6234033333333336E-2</v>
      </c>
      <c r="Q76">
        <v>1.1732166376415484E-2</v>
      </c>
      <c r="R76">
        <v>635568</v>
      </c>
      <c r="S76">
        <v>0</v>
      </c>
      <c r="T76">
        <v>0</v>
      </c>
      <c r="V76">
        <v>10800</v>
      </c>
      <c r="W76">
        <v>7</v>
      </c>
      <c r="X76">
        <v>85</v>
      </c>
      <c r="Y76">
        <v>3</v>
      </c>
      <c r="Z76">
        <v>4</v>
      </c>
      <c r="AA76">
        <v>5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3</v>
      </c>
      <c r="AJ76">
        <v>0</v>
      </c>
      <c r="AK76">
        <v>0</v>
      </c>
      <c r="AL76">
        <v>100</v>
      </c>
      <c r="AM76">
        <v>45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100</v>
      </c>
      <c r="AU76">
        <v>0</v>
      </c>
      <c r="AV76">
        <v>0</v>
      </c>
    </row>
    <row r="77" spans="1:48" x14ac:dyDescent="0.15">
      <c r="A77" s="4" t="str">
        <f>HYPERLINK("https://ibp.a2mac1.com/costing(costing:projects/details/9760/equipment/12209896)","DC machine - General")</f>
        <v>DC machine - General</v>
      </c>
      <c r="B77">
        <v>12209896</v>
      </c>
      <c r="C77">
        <v>12083037</v>
      </c>
      <c r="E77" t="s">
        <v>738</v>
      </c>
      <c r="H77" t="s">
        <v>162</v>
      </c>
      <c r="I77">
        <v>116914.84457142858</v>
      </c>
      <c r="J77">
        <v>0</v>
      </c>
      <c r="K77">
        <v>3.6</v>
      </c>
      <c r="L77">
        <v>0</v>
      </c>
      <c r="M77">
        <v>27.497982091197134</v>
      </c>
      <c r="N77">
        <v>0</v>
      </c>
      <c r="O77">
        <v>0.236788179118642</v>
      </c>
      <c r="P77">
        <v>3.5576633333333336E-2</v>
      </c>
      <c r="Q77">
        <v>1.1732166376415484E-2</v>
      </c>
      <c r="R77">
        <v>635568</v>
      </c>
      <c r="S77">
        <v>0</v>
      </c>
      <c r="T77">
        <v>0</v>
      </c>
      <c r="V77">
        <v>10800</v>
      </c>
      <c r="W77">
        <v>7</v>
      </c>
      <c r="X77">
        <v>85</v>
      </c>
      <c r="Y77">
        <v>3</v>
      </c>
      <c r="Z77">
        <v>4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3</v>
      </c>
      <c r="AJ77">
        <v>0</v>
      </c>
      <c r="AK77">
        <v>0</v>
      </c>
      <c r="AL77">
        <v>100</v>
      </c>
      <c r="AM77">
        <v>45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100</v>
      </c>
      <c r="AU77">
        <v>0</v>
      </c>
      <c r="AV77">
        <v>0</v>
      </c>
    </row>
    <row r="78" spans="1:48" x14ac:dyDescent="0.15">
      <c r="A78" s="4" t="str">
        <f>HYPERLINK("https://ibp.a2mac1.com/costing(costing:projects/details/9760/equipment/12210084)","DC machine - General")</f>
        <v>DC machine - General</v>
      </c>
      <c r="B78">
        <v>12210084</v>
      </c>
      <c r="C78">
        <v>12083073</v>
      </c>
      <c r="E78" t="s">
        <v>738</v>
      </c>
      <c r="H78" t="s">
        <v>162</v>
      </c>
      <c r="I78">
        <v>116914.84457142858</v>
      </c>
      <c r="J78">
        <v>0</v>
      </c>
      <c r="K78">
        <v>3.6</v>
      </c>
      <c r="L78">
        <v>0</v>
      </c>
      <c r="M78">
        <v>27.497982091197134</v>
      </c>
      <c r="N78">
        <v>0</v>
      </c>
      <c r="O78">
        <v>2.2914985075997613E-2</v>
      </c>
      <c r="P78">
        <v>3.4429E-3</v>
      </c>
      <c r="Q78">
        <v>1.1732166376415484E-2</v>
      </c>
      <c r="R78">
        <v>635568</v>
      </c>
      <c r="S78">
        <v>0</v>
      </c>
      <c r="T78">
        <v>0</v>
      </c>
      <c r="V78">
        <v>10800</v>
      </c>
      <c r="W78">
        <v>7</v>
      </c>
      <c r="X78">
        <v>85</v>
      </c>
      <c r="Y78">
        <v>3</v>
      </c>
      <c r="Z78">
        <v>4</v>
      </c>
      <c r="AA78">
        <v>5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3</v>
      </c>
      <c r="AJ78">
        <v>0</v>
      </c>
      <c r="AK78">
        <v>0</v>
      </c>
      <c r="AL78">
        <v>100</v>
      </c>
      <c r="AM78">
        <v>45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100</v>
      </c>
      <c r="AU78">
        <v>0</v>
      </c>
      <c r="AV78">
        <v>0</v>
      </c>
    </row>
    <row r="79" spans="1:48" x14ac:dyDescent="0.15">
      <c r="A79" s="4" t="str">
        <f>HYPERLINK("https://ibp.a2mac1.com/costing(costing:projects/details/9760/equipment/12210085)","DC machine - General")</f>
        <v>DC machine - General</v>
      </c>
      <c r="B79">
        <v>12210085</v>
      </c>
      <c r="C79">
        <v>12083074</v>
      </c>
      <c r="E79" t="s">
        <v>738</v>
      </c>
      <c r="H79" t="s">
        <v>162</v>
      </c>
      <c r="I79">
        <v>116914.84457142858</v>
      </c>
      <c r="J79">
        <v>0</v>
      </c>
      <c r="K79">
        <v>3.6</v>
      </c>
      <c r="L79">
        <v>0</v>
      </c>
      <c r="M79">
        <v>27.497982091197134</v>
      </c>
      <c r="N79">
        <v>0</v>
      </c>
      <c r="O79">
        <v>5.3468298510661094E-2</v>
      </c>
      <c r="P79">
        <v>8.0334333333333327E-3</v>
      </c>
      <c r="Q79">
        <v>1.1732166376415484E-2</v>
      </c>
      <c r="R79">
        <v>635568</v>
      </c>
      <c r="S79">
        <v>0</v>
      </c>
      <c r="T79">
        <v>0</v>
      </c>
      <c r="V79">
        <v>10800</v>
      </c>
      <c r="W79">
        <v>7</v>
      </c>
      <c r="X79">
        <v>85</v>
      </c>
      <c r="Y79">
        <v>3</v>
      </c>
      <c r="Z79">
        <v>4</v>
      </c>
      <c r="AA79">
        <v>5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3</v>
      </c>
      <c r="AJ79">
        <v>0</v>
      </c>
      <c r="AK79">
        <v>0</v>
      </c>
      <c r="AL79">
        <v>100</v>
      </c>
      <c r="AM79">
        <v>45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100</v>
      </c>
      <c r="AU79">
        <v>0</v>
      </c>
      <c r="AV79">
        <v>0</v>
      </c>
    </row>
    <row r="80" spans="1:48" x14ac:dyDescent="0.15">
      <c r="A80" s="4" t="str">
        <f>HYPERLINK("https://ibp.a2mac1.com/costing(costing:projects/details/9760/equipment/12209897)","DC machine - General")</f>
        <v>DC machine - General</v>
      </c>
      <c r="B80">
        <v>12209897</v>
      </c>
      <c r="C80">
        <v>12083038</v>
      </c>
      <c r="E80" t="s">
        <v>738</v>
      </c>
      <c r="H80" t="s">
        <v>162</v>
      </c>
      <c r="I80">
        <v>116914.84457142858</v>
      </c>
      <c r="J80">
        <v>0</v>
      </c>
      <c r="K80">
        <v>3.6</v>
      </c>
      <c r="L80">
        <v>0</v>
      </c>
      <c r="M80">
        <v>27.497982091197134</v>
      </c>
      <c r="N80">
        <v>0</v>
      </c>
      <c r="O80">
        <v>0.236788179118642</v>
      </c>
      <c r="P80">
        <v>3.5576633333333336E-2</v>
      </c>
      <c r="Q80">
        <v>1.1732166376415484E-2</v>
      </c>
      <c r="R80">
        <v>635568</v>
      </c>
      <c r="S80">
        <v>0</v>
      </c>
      <c r="T80">
        <v>0</v>
      </c>
      <c r="V80">
        <v>10800</v>
      </c>
      <c r="W80">
        <v>7</v>
      </c>
      <c r="X80">
        <v>85</v>
      </c>
      <c r="Y80">
        <v>3</v>
      </c>
      <c r="Z80">
        <v>4</v>
      </c>
      <c r="AA80">
        <v>5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3</v>
      </c>
      <c r="AJ80">
        <v>0</v>
      </c>
      <c r="AK80">
        <v>0</v>
      </c>
      <c r="AL80">
        <v>100</v>
      </c>
      <c r="AM80">
        <v>45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100</v>
      </c>
      <c r="AU80">
        <v>0</v>
      </c>
      <c r="AV80">
        <v>0</v>
      </c>
    </row>
    <row r="81" spans="1:48" x14ac:dyDescent="0.15">
      <c r="A81" s="4" t="str">
        <f>HYPERLINK("https://ibp.a2mac1.com/costing(costing:projects/details/9760/equipment/12210086)","DC machine - General")</f>
        <v>DC machine - General</v>
      </c>
      <c r="B81">
        <v>12210086</v>
      </c>
      <c r="C81">
        <v>12083075</v>
      </c>
      <c r="E81" t="s">
        <v>738</v>
      </c>
      <c r="H81" t="s">
        <v>162</v>
      </c>
      <c r="I81">
        <v>116914.84457142858</v>
      </c>
      <c r="J81">
        <v>0</v>
      </c>
      <c r="K81">
        <v>3.6</v>
      </c>
      <c r="L81">
        <v>0</v>
      </c>
      <c r="M81">
        <v>27.497982091197134</v>
      </c>
      <c r="N81">
        <v>0</v>
      </c>
      <c r="O81">
        <v>2.2914985075997613E-2</v>
      </c>
      <c r="P81">
        <v>3.4429E-3</v>
      </c>
      <c r="Q81">
        <v>1.1732166376415484E-2</v>
      </c>
      <c r="R81">
        <v>635568</v>
      </c>
      <c r="S81">
        <v>0</v>
      </c>
      <c r="T81">
        <v>0</v>
      </c>
      <c r="V81">
        <v>10800</v>
      </c>
      <c r="W81">
        <v>7</v>
      </c>
      <c r="X81">
        <v>85</v>
      </c>
      <c r="Y81">
        <v>3</v>
      </c>
      <c r="Z81">
        <v>4</v>
      </c>
      <c r="AA81">
        <v>5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100</v>
      </c>
      <c r="AM81">
        <v>45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100</v>
      </c>
      <c r="AU81">
        <v>0</v>
      </c>
      <c r="AV81">
        <v>0</v>
      </c>
    </row>
    <row r="82" spans="1:48" x14ac:dyDescent="0.15">
      <c r="A82" s="4" t="str">
        <f>HYPERLINK("https://ibp.a2mac1.com/costing(costing:projects/details/9760/equipment/12209898)","DC machine - General")</f>
        <v>DC machine - General</v>
      </c>
      <c r="B82">
        <v>12209898</v>
      </c>
      <c r="C82">
        <v>12083039</v>
      </c>
      <c r="E82" t="s">
        <v>738</v>
      </c>
      <c r="H82" t="s">
        <v>162</v>
      </c>
      <c r="I82">
        <v>116914.84457142858</v>
      </c>
      <c r="J82">
        <v>0</v>
      </c>
      <c r="K82">
        <v>3.6</v>
      </c>
      <c r="L82">
        <v>0</v>
      </c>
      <c r="M82">
        <v>27.497982091197134</v>
      </c>
      <c r="N82">
        <v>0</v>
      </c>
      <c r="O82">
        <v>0.35136310449863006</v>
      </c>
      <c r="P82">
        <v>5.279113333333333E-2</v>
      </c>
      <c r="Q82">
        <v>1.1732166376415484E-2</v>
      </c>
      <c r="R82">
        <v>635568</v>
      </c>
      <c r="S82">
        <v>0</v>
      </c>
      <c r="T82">
        <v>0</v>
      </c>
      <c r="V82">
        <v>10800</v>
      </c>
      <c r="W82">
        <v>7</v>
      </c>
      <c r="X82">
        <v>85</v>
      </c>
      <c r="Y82">
        <v>3</v>
      </c>
      <c r="Z82">
        <v>4</v>
      </c>
      <c r="AA82">
        <v>5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3</v>
      </c>
      <c r="AJ82">
        <v>0</v>
      </c>
      <c r="AK82">
        <v>0</v>
      </c>
      <c r="AL82">
        <v>100</v>
      </c>
      <c r="AM82">
        <v>45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100</v>
      </c>
      <c r="AU82">
        <v>0</v>
      </c>
      <c r="AV82">
        <v>0</v>
      </c>
    </row>
    <row r="83" spans="1:48" x14ac:dyDescent="0.15">
      <c r="A83" s="4" t="str">
        <f>HYPERLINK("https://ibp.a2mac1.com/costing(costing:projects/details/9760/equipment/12209899)","DC machine - General")</f>
        <v>DC machine - General</v>
      </c>
      <c r="B83">
        <v>12209899</v>
      </c>
      <c r="C83">
        <v>12083040</v>
      </c>
      <c r="E83" t="s">
        <v>738</v>
      </c>
      <c r="H83" t="s">
        <v>162</v>
      </c>
      <c r="I83">
        <v>116914.84457142858</v>
      </c>
      <c r="J83">
        <v>0</v>
      </c>
      <c r="K83">
        <v>3.6</v>
      </c>
      <c r="L83">
        <v>0</v>
      </c>
      <c r="M83">
        <v>27.497982091197134</v>
      </c>
      <c r="N83">
        <v>0</v>
      </c>
      <c r="O83">
        <v>0.236788179118642</v>
      </c>
      <c r="P83">
        <v>3.5576633333333336E-2</v>
      </c>
      <c r="Q83">
        <v>1.1732166376415484E-2</v>
      </c>
      <c r="R83">
        <v>635568</v>
      </c>
      <c r="S83">
        <v>0</v>
      </c>
      <c r="T83">
        <v>0</v>
      </c>
      <c r="V83">
        <v>10800</v>
      </c>
      <c r="W83">
        <v>7</v>
      </c>
      <c r="X83">
        <v>85</v>
      </c>
      <c r="Y83">
        <v>3</v>
      </c>
      <c r="Z83">
        <v>4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3</v>
      </c>
      <c r="AJ83">
        <v>0</v>
      </c>
      <c r="AK83">
        <v>0</v>
      </c>
      <c r="AL83">
        <v>100</v>
      </c>
      <c r="AM83">
        <v>45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100</v>
      </c>
      <c r="AU83">
        <v>0</v>
      </c>
      <c r="AV83">
        <v>0</v>
      </c>
    </row>
    <row r="84" spans="1:48" x14ac:dyDescent="0.15">
      <c r="A84" s="4" t="str">
        <f>HYPERLINK("https://ibp.a2mac1.com/costing(costing:projects/details/9760/equipment/12209900)","DC machine - General")</f>
        <v>DC machine - General</v>
      </c>
      <c r="B84">
        <v>12209900</v>
      </c>
      <c r="C84">
        <v>12083041</v>
      </c>
      <c r="E84" t="s">
        <v>738</v>
      </c>
      <c r="H84" t="s">
        <v>162</v>
      </c>
      <c r="I84">
        <v>116914.84457142858</v>
      </c>
      <c r="J84">
        <v>0</v>
      </c>
      <c r="K84">
        <v>3.6</v>
      </c>
      <c r="L84">
        <v>0</v>
      </c>
      <c r="M84">
        <v>27.497982091197134</v>
      </c>
      <c r="N84">
        <v>0</v>
      </c>
      <c r="O84">
        <v>0.34372477613996416</v>
      </c>
      <c r="P84">
        <v>5.1643500000000002E-2</v>
      </c>
      <c r="Q84">
        <v>1.1732166376415484E-2</v>
      </c>
      <c r="R84">
        <v>635568</v>
      </c>
      <c r="S84">
        <v>0</v>
      </c>
      <c r="T84">
        <v>0</v>
      </c>
      <c r="V84">
        <v>10800</v>
      </c>
      <c r="W84">
        <v>7</v>
      </c>
      <c r="X84">
        <v>85</v>
      </c>
      <c r="Y84">
        <v>3</v>
      </c>
      <c r="Z84">
        <v>4</v>
      </c>
      <c r="AA84">
        <v>5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100</v>
      </c>
      <c r="AM84">
        <v>45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100</v>
      </c>
      <c r="AU84">
        <v>0</v>
      </c>
      <c r="AV84">
        <v>0</v>
      </c>
    </row>
    <row r="85" spans="1:48" x14ac:dyDescent="0.15">
      <c r="A85" s="4" t="str">
        <f>HYPERLINK("https://ibp.a2mac1.com/costing(costing:projects/details/9760/equipment/12209901)","DC machine - General")</f>
        <v>DC machine - General</v>
      </c>
      <c r="B85">
        <v>12209901</v>
      </c>
      <c r="C85">
        <v>12083042</v>
      </c>
      <c r="E85" t="s">
        <v>738</v>
      </c>
      <c r="H85" t="s">
        <v>162</v>
      </c>
      <c r="I85">
        <v>116914.84457142858</v>
      </c>
      <c r="J85">
        <v>0</v>
      </c>
      <c r="K85">
        <v>3.6</v>
      </c>
      <c r="L85">
        <v>0</v>
      </c>
      <c r="M85">
        <v>27.497982091197134</v>
      </c>
      <c r="N85">
        <v>0</v>
      </c>
      <c r="O85">
        <v>0.236788179118642</v>
      </c>
      <c r="P85">
        <v>3.5576633333333336E-2</v>
      </c>
      <c r="Q85">
        <v>1.1732166376415484E-2</v>
      </c>
      <c r="R85">
        <v>635568</v>
      </c>
      <c r="S85">
        <v>0</v>
      </c>
      <c r="T85">
        <v>0</v>
      </c>
      <c r="V85">
        <v>10800</v>
      </c>
      <c r="W85">
        <v>7</v>
      </c>
      <c r="X85">
        <v>85</v>
      </c>
      <c r="Y85">
        <v>3</v>
      </c>
      <c r="Z85">
        <v>4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3</v>
      </c>
      <c r="AJ85">
        <v>0</v>
      </c>
      <c r="AK85">
        <v>0</v>
      </c>
      <c r="AL85">
        <v>100</v>
      </c>
      <c r="AM85">
        <v>45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100</v>
      </c>
      <c r="AU85">
        <v>0</v>
      </c>
      <c r="AV85">
        <v>0</v>
      </c>
    </row>
    <row r="86" spans="1:48" x14ac:dyDescent="0.15">
      <c r="A86" s="4" t="str">
        <f>HYPERLINK("https://ibp.a2mac1.com/costing(costing:projects/details/9760/equipment/12210087)","DC machine - General")</f>
        <v>DC machine - General</v>
      </c>
      <c r="B86">
        <v>12210087</v>
      </c>
      <c r="C86">
        <v>12083076</v>
      </c>
      <c r="E86" t="s">
        <v>738</v>
      </c>
      <c r="H86" t="s">
        <v>162</v>
      </c>
      <c r="I86">
        <v>116914.84457142858</v>
      </c>
      <c r="J86">
        <v>0</v>
      </c>
      <c r="K86">
        <v>3.6</v>
      </c>
      <c r="L86">
        <v>0</v>
      </c>
      <c r="M86">
        <v>27.497982091197134</v>
      </c>
      <c r="N86">
        <v>0</v>
      </c>
      <c r="O86">
        <v>2.2914985075997613E-2</v>
      </c>
      <c r="P86">
        <v>3.4429E-3</v>
      </c>
      <c r="Q86">
        <v>1.1732166376415484E-2</v>
      </c>
      <c r="R86">
        <v>635568</v>
      </c>
      <c r="S86">
        <v>0</v>
      </c>
      <c r="T86">
        <v>0</v>
      </c>
      <c r="V86">
        <v>10800</v>
      </c>
      <c r="W86">
        <v>7</v>
      </c>
      <c r="X86">
        <v>85</v>
      </c>
      <c r="Y86">
        <v>3</v>
      </c>
      <c r="Z86">
        <v>4</v>
      </c>
      <c r="AA86">
        <v>5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3</v>
      </c>
      <c r="AJ86">
        <v>0</v>
      </c>
      <c r="AK86">
        <v>0</v>
      </c>
      <c r="AL86">
        <v>100</v>
      </c>
      <c r="AM86">
        <v>45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100</v>
      </c>
      <c r="AU86">
        <v>0</v>
      </c>
      <c r="AV86">
        <v>0</v>
      </c>
    </row>
    <row r="87" spans="1:48" x14ac:dyDescent="0.15">
      <c r="A87" s="4" t="str">
        <f>HYPERLINK("https://ibp.a2mac1.com/costing(costing:projects/details/9760/equipment/12209902)","DC machine - General")</f>
        <v>DC machine - General</v>
      </c>
      <c r="B87">
        <v>12209902</v>
      </c>
      <c r="C87">
        <v>12083043</v>
      </c>
      <c r="E87" t="s">
        <v>738</v>
      </c>
      <c r="H87" t="s">
        <v>162</v>
      </c>
      <c r="I87">
        <v>116914.84457142858</v>
      </c>
      <c r="J87">
        <v>0</v>
      </c>
      <c r="K87">
        <v>3.6</v>
      </c>
      <c r="L87">
        <v>0</v>
      </c>
      <c r="M87">
        <v>27.497982091197134</v>
      </c>
      <c r="N87">
        <v>0</v>
      </c>
      <c r="O87">
        <v>0.236788179118642</v>
      </c>
      <c r="P87">
        <v>3.5576633333333336E-2</v>
      </c>
      <c r="Q87">
        <v>1.1732166376415484E-2</v>
      </c>
      <c r="R87">
        <v>635568</v>
      </c>
      <c r="S87">
        <v>0</v>
      </c>
      <c r="T87">
        <v>0</v>
      </c>
      <c r="V87">
        <v>10800</v>
      </c>
      <c r="W87">
        <v>7</v>
      </c>
      <c r="X87">
        <v>85</v>
      </c>
      <c r="Y87">
        <v>3</v>
      </c>
      <c r="Z87">
        <v>4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3</v>
      </c>
      <c r="AJ87">
        <v>0</v>
      </c>
      <c r="AK87">
        <v>0</v>
      </c>
      <c r="AL87">
        <v>100</v>
      </c>
      <c r="AM87">
        <v>45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100</v>
      </c>
      <c r="AU87">
        <v>0</v>
      </c>
      <c r="AV87">
        <v>0</v>
      </c>
    </row>
    <row r="88" spans="1:48" x14ac:dyDescent="0.15">
      <c r="A88" s="4" t="str">
        <f>HYPERLINK("https://ibp.a2mac1.com/costing(costing:projects/details/9760/equipment/12209799)","DC machine - General")</f>
        <v>DC machine - General</v>
      </c>
      <c r="B88">
        <v>12209799</v>
      </c>
      <c r="C88">
        <v>12083016</v>
      </c>
      <c r="E88" t="s">
        <v>738</v>
      </c>
      <c r="H88" t="s">
        <v>162</v>
      </c>
      <c r="I88">
        <v>116914.84457142858</v>
      </c>
      <c r="J88">
        <v>0</v>
      </c>
      <c r="K88">
        <v>3.6</v>
      </c>
      <c r="L88">
        <v>0</v>
      </c>
      <c r="M88">
        <v>27.497982091197134</v>
      </c>
      <c r="N88">
        <v>0</v>
      </c>
      <c r="O88">
        <v>7.6383283586658704E-2</v>
      </c>
      <c r="P88">
        <v>1.1476333333333333E-2</v>
      </c>
      <c r="Q88">
        <v>5.8660831882077422E-3</v>
      </c>
      <c r="R88">
        <v>635568</v>
      </c>
      <c r="S88">
        <v>0</v>
      </c>
      <c r="T88">
        <v>0</v>
      </c>
      <c r="V88">
        <v>10800</v>
      </c>
      <c r="W88">
        <v>7</v>
      </c>
      <c r="X88">
        <v>85</v>
      </c>
      <c r="Y88">
        <v>3</v>
      </c>
      <c r="Z88">
        <v>4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3</v>
      </c>
      <c r="AJ88">
        <v>0</v>
      </c>
      <c r="AK88">
        <v>0</v>
      </c>
      <c r="AL88">
        <v>100</v>
      </c>
      <c r="AM88">
        <v>45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100</v>
      </c>
      <c r="AU88">
        <v>0</v>
      </c>
      <c r="AV88">
        <v>0</v>
      </c>
    </row>
    <row r="89" spans="1:48" x14ac:dyDescent="0.15">
      <c r="A89" s="4" t="str">
        <f>HYPERLINK("https://ibp.a2mac1.com/costing(costing:projects/details/9760/equipment/12209849)","General production process (0.5-10€)")</f>
        <v>General production process (0.5-10€)</v>
      </c>
      <c r="B89">
        <v>12209849</v>
      </c>
      <c r="C89">
        <v>12083028</v>
      </c>
      <c r="H89" t="s">
        <v>162</v>
      </c>
      <c r="I89">
        <v>116914.84457142858</v>
      </c>
      <c r="J89">
        <v>0</v>
      </c>
      <c r="K89">
        <v>3.6</v>
      </c>
      <c r="L89">
        <v>0</v>
      </c>
      <c r="M89">
        <v>27.497982091197134</v>
      </c>
      <c r="N89">
        <v>0</v>
      </c>
      <c r="O89">
        <v>6.4849407765073241</v>
      </c>
      <c r="P89">
        <v>0.97434069999999995</v>
      </c>
      <c r="Q89">
        <v>1.1732166376415484E-2</v>
      </c>
      <c r="R89">
        <v>635568</v>
      </c>
      <c r="S89">
        <v>0</v>
      </c>
      <c r="T89">
        <v>0</v>
      </c>
      <c r="V89">
        <v>10800</v>
      </c>
      <c r="W89">
        <v>7</v>
      </c>
      <c r="X89">
        <v>85</v>
      </c>
      <c r="Y89">
        <v>3</v>
      </c>
      <c r="Z89">
        <v>4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3</v>
      </c>
      <c r="AJ89">
        <v>0</v>
      </c>
      <c r="AK89">
        <v>0</v>
      </c>
      <c r="AL89">
        <v>100</v>
      </c>
      <c r="AM89">
        <v>45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100</v>
      </c>
      <c r="AU89">
        <v>0</v>
      </c>
      <c r="AV89">
        <v>0</v>
      </c>
    </row>
    <row r="90" spans="1:48" x14ac:dyDescent="0.15">
      <c r="A90" s="4" t="str">
        <f>HYPERLINK("https://ibp.a2mac1.com/costing(costing:projects/details/9760/equipment/12209850)","General production process (0.5-10€)")</f>
        <v>General production process (0.5-10€)</v>
      </c>
      <c r="B90">
        <v>12209850</v>
      </c>
      <c r="C90">
        <v>12083029</v>
      </c>
      <c r="H90" t="s">
        <v>162</v>
      </c>
      <c r="I90">
        <v>116914.84457142858</v>
      </c>
      <c r="J90">
        <v>0</v>
      </c>
      <c r="K90">
        <v>3.6</v>
      </c>
      <c r="L90">
        <v>0</v>
      </c>
      <c r="M90">
        <v>27.497982091197134</v>
      </c>
      <c r="N90">
        <v>0</v>
      </c>
      <c r="O90">
        <v>6.4849407765073241</v>
      </c>
      <c r="P90">
        <v>0.97434069999999995</v>
      </c>
      <c r="Q90">
        <v>1.1732166376415484E-2</v>
      </c>
      <c r="R90">
        <v>635568</v>
      </c>
      <c r="S90">
        <v>0</v>
      </c>
      <c r="T90">
        <v>0</v>
      </c>
      <c r="V90">
        <v>10800</v>
      </c>
      <c r="W90">
        <v>7</v>
      </c>
      <c r="X90">
        <v>85</v>
      </c>
      <c r="Y90">
        <v>3</v>
      </c>
      <c r="Z90">
        <v>4</v>
      </c>
      <c r="AA90">
        <v>5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3</v>
      </c>
      <c r="AJ90">
        <v>0</v>
      </c>
      <c r="AK90">
        <v>0</v>
      </c>
      <c r="AL90">
        <v>100</v>
      </c>
      <c r="AM90">
        <v>45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100</v>
      </c>
      <c r="AU90">
        <v>0</v>
      </c>
      <c r="AV90">
        <v>0</v>
      </c>
    </row>
    <row r="91" spans="1:48" x14ac:dyDescent="0.15">
      <c r="A91" s="4" t="str">
        <f>HYPERLINK("https://ibp.a2mac1.com/costing(costing:projects/details/9760/equipment/12209903)","General production process (0.5-10€)")</f>
        <v>General production process (0.5-10€)</v>
      </c>
      <c r="B91">
        <v>12209903</v>
      </c>
      <c r="C91">
        <v>12083050</v>
      </c>
      <c r="H91" t="s">
        <v>162</v>
      </c>
      <c r="I91">
        <v>116914.84457142858</v>
      </c>
      <c r="J91">
        <v>0</v>
      </c>
      <c r="K91">
        <v>3.6</v>
      </c>
      <c r="L91">
        <v>0</v>
      </c>
      <c r="M91">
        <v>27.497982091197134</v>
      </c>
      <c r="N91">
        <v>0</v>
      </c>
      <c r="O91">
        <v>2.2227535523717683</v>
      </c>
      <c r="P91">
        <v>0.33396130000000002</v>
      </c>
      <c r="Q91">
        <v>1.1732166376415484E-2</v>
      </c>
      <c r="R91">
        <v>635568</v>
      </c>
      <c r="S91">
        <v>0</v>
      </c>
      <c r="T91">
        <v>0</v>
      </c>
      <c r="V91">
        <v>10800</v>
      </c>
      <c r="W91">
        <v>7</v>
      </c>
      <c r="X91">
        <v>85</v>
      </c>
      <c r="Y91">
        <v>3</v>
      </c>
      <c r="Z91">
        <v>4</v>
      </c>
      <c r="AA91">
        <v>5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3</v>
      </c>
      <c r="AJ91">
        <v>0</v>
      </c>
      <c r="AK91">
        <v>0</v>
      </c>
      <c r="AL91">
        <v>100</v>
      </c>
      <c r="AM91">
        <v>45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100</v>
      </c>
      <c r="AU91">
        <v>0</v>
      </c>
      <c r="AV91">
        <v>0</v>
      </c>
    </row>
    <row r="92" spans="1:48" x14ac:dyDescent="0.15">
      <c r="A92" s="4" t="str">
        <f>HYPERLINK("https://ibp.a2mac1.com/costing(costing:projects/details/9760/equipment/12209851)","General production process (0.5-10€)")</f>
        <v>General production process (0.5-10€)</v>
      </c>
      <c r="B92">
        <v>12209851</v>
      </c>
      <c r="C92">
        <v>12083030</v>
      </c>
      <c r="H92" t="s">
        <v>162</v>
      </c>
      <c r="I92">
        <v>116914.84457142858</v>
      </c>
      <c r="J92">
        <v>0</v>
      </c>
      <c r="K92">
        <v>3.6</v>
      </c>
      <c r="L92">
        <v>0</v>
      </c>
      <c r="M92">
        <v>27.497982091197134</v>
      </c>
      <c r="N92">
        <v>0</v>
      </c>
      <c r="O92">
        <v>0.69508788063859428</v>
      </c>
      <c r="P92">
        <v>0.10443463333333333</v>
      </c>
      <c r="Q92">
        <v>1.9553610627359139E-2</v>
      </c>
      <c r="R92">
        <v>635568</v>
      </c>
      <c r="S92">
        <v>0</v>
      </c>
      <c r="T92">
        <v>0</v>
      </c>
      <c r="V92">
        <v>10800</v>
      </c>
      <c r="W92">
        <v>7</v>
      </c>
      <c r="X92">
        <v>85</v>
      </c>
      <c r="Y92">
        <v>3</v>
      </c>
      <c r="Z92">
        <v>4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3</v>
      </c>
      <c r="AJ92">
        <v>0</v>
      </c>
      <c r="AK92">
        <v>0</v>
      </c>
      <c r="AL92">
        <v>100</v>
      </c>
      <c r="AM92">
        <v>45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100</v>
      </c>
      <c r="AU92">
        <v>0</v>
      </c>
      <c r="AV92">
        <v>0</v>
      </c>
    </row>
    <row r="93" spans="1:48" x14ac:dyDescent="0.15">
      <c r="A93" s="4" t="str">
        <f>HYPERLINK("https://ibp.a2mac1.com/costing(costing:projects/details/9760/equipment/12209904)","General production process (0.5-10€)")</f>
        <v>General production process (0.5-10€)</v>
      </c>
      <c r="B93">
        <v>12209904</v>
      </c>
      <c r="C93">
        <v>12083051</v>
      </c>
      <c r="H93" t="s">
        <v>162</v>
      </c>
      <c r="I93">
        <v>116914.84457142858</v>
      </c>
      <c r="J93">
        <v>0</v>
      </c>
      <c r="K93">
        <v>3.6</v>
      </c>
      <c r="L93">
        <v>0</v>
      </c>
      <c r="M93">
        <v>27.497982091197134</v>
      </c>
      <c r="N93">
        <v>0</v>
      </c>
      <c r="O93">
        <v>2.2227535523717683</v>
      </c>
      <c r="P93">
        <v>0.33396130000000002</v>
      </c>
      <c r="Q93">
        <v>1.1732166376415484E-2</v>
      </c>
      <c r="R93">
        <v>635568</v>
      </c>
      <c r="S93">
        <v>0</v>
      </c>
      <c r="T93">
        <v>0</v>
      </c>
      <c r="V93">
        <v>10800</v>
      </c>
      <c r="W93">
        <v>7</v>
      </c>
      <c r="X93">
        <v>85</v>
      </c>
      <c r="Y93">
        <v>3</v>
      </c>
      <c r="Z93">
        <v>4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100</v>
      </c>
      <c r="AM93">
        <v>45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100</v>
      </c>
      <c r="AU93">
        <v>0</v>
      </c>
      <c r="AV93">
        <v>0</v>
      </c>
    </row>
    <row r="94" spans="1:48" x14ac:dyDescent="0.15">
      <c r="A94" s="4" t="str">
        <f>HYPERLINK("https://ibp.a2mac1.com/costing(costing:projects/details/9760/equipment/12209852)","General production process (0.5-10€)")</f>
        <v>General production process (0.5-10€)</v>
      </c>
      <c r="B94">
        <v>12209852</v>
      </c>
      <c r="C94">
        <v>12083031</v>
      </c>
      <c r="H94" t="s">
        <v>162</v>
      </c>
      <c r="I94">
        <v>116914.84457142858</v>
      </c>
      <c r="J94">
        <v>0</v>
      </c>
      <c r="K94">
        <v>3.6</v>
      </c>
      <c r="L94">
        <v>0</v>
      </c>
      <c r="M94">
        <v>27.497982091197134</v>
      </c>
      <c r="N94">
        <v>0</v>
      </c>
      <c r="O94">
        <v>0.69508788063859428</v>
      </c>
      <c r="P94">
        <v>0.10443463333333333</v>
      </c>
      <c r="Q94">
        <v>1.9553610627359139E-2</v>
      </c>
      <c r="R94">
        <v>635568</v>
      </c>
      <c r="S94">
        <v>0</v>
      </c>
      <c r="T94">
        <v>0</v>
      </c>
      <c r="V94">
        <v>10800</v>
      </c>
      <c r="W94">
        <v>7</v>
      </c>
      <c r="X94">
        <v>85</v>
      </c>
      <c r="Y94">
        <v>3</v>
      </c>
      <c r="Z94">
        <v>4</v>
      </c>
      <c r="AA94">
        <v>5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3</v>
      </c>
      <c r="AJ94">
        <v>0</v>
      </c>
      <c r="AK94">
        <v>0</v>
      </c>
      <c r="AL94">
        <v>100</v>
      </c>
      <c r="AM94">
        <v>45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100</v>
      </c>
      <c r="AU94">
        <v>0</v>
      </c>
      <c r="AV94">
        <v>0</v>
      </c>
    </row>
    <row r="95" spans="1:48" x14ac:dyDescent="0.15">
      <c r="A95" s="4" t="str">
        <f>HYPERLINK("https://ibp.a2mac1.com/costing(costing:projects/details/9760/equipment/12209915)","General production process (0.5-10€)")</f>
        <v>General production process (0.5-10€)</v>
      </c>
      <c r="B95">
        <v>12209915</v>
      </c>
      <c r="C95">
        <v>12083054</v>
      </c>
      <c r="H95" t="s">
        <v>162</v>
      </c>
      <c r="I95">
        <v>116914.84457142858</v>
      </c>
      <c r="J95">
        <v>0</v>
      </c>
      <c r="K95">
        <v>3.6</v>
      </c>
      <c r="L95">
        <v>0</v>
      </c>
      <c r="M95">
        <v>27.497982091197134</v>
      </c>
      <c r="N95">
        <v>0</v>
      </c>
      <c r="O95">
        <v>2.2914985075997611</v>
      </c>
      <c r="P95">
        <v>0.34428999999999998</v>
      </c>
      <c r="Q95">
        <v>1.1732166376415484E-2</v>
      </c>
      <c r="R95">
        <v>635568</v>
      </c>
      <c r="S95">
        <v>0</v>
      </c>
      <c r="T95">
        <v>0</v>
      </c>
      <c r="V95">
        <v>10800</v>
      </c>
      <c r="W95">
        <v>7</v>
      </c>
      <c r="X95">
        <v>85</v>
      </c>
      <c r="Y95">
        <v>3</v>
      </c>
      <c r="Z95">
        <v>4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3</v>
      </c>
      <c r="AJ95">
        <v>0</v>
      </c>
      <c r="AK95">
        <v>0</v>
      </c>
      <c r="AL95">
        <v>100</v>
      </c>
      <c r="AM95">
        <v>45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100</v>
      </c>
      <c r="AU95">
        <v>0</v>
      </c>
      <c r="AV95">
        <v>0</v>
      </c>
    </row>
    <row r="96" spans="1:48" x14ac:dyDescent="0.15">
      <c r="A96" s="4" t="str">
        <f>HYPERLINK("https://ibp.a2mac1.com/costing(costing:projects/details/9760/equipment/12209905)","General production process (0.5-10€)")</f>
        <v>General production process (0.5-10€)</v>
      </c>
      <c r="B96">
        <v>12209905</v>
      </c>
      <c r="C96">
        <v>12083052</v>
      </c>
      <c r="H96" t="s">
        <v>162</v>
      </c>
      <c r="I96">
        <v>116914.84457142858</v>
      </c>
      <c r="J96">
        <v>0</v>
      </c>
      <c r="K96">
        <v>3.6</v>
      </c>
      <c r="L96">
        <v>0</v>
      </c>
      <c r="M96">
        <v>27.497982091197134</v>
      </c>
      <c r="N96">
        <v>0</v>
      </c>
      <c r="O96">
        <v>0.71036453735592597</v>
      </c>
      <c r="P96">
        <v>0.1067299</v>
      </c>
      <c r="Q96">
        <v>1.9553610627359139E-2</v>
      </c>
      <c r="R96">
        <v>635568</v>
      </c>
      <c r="S96">
        <v>0</v>
      </c>
      <c r="T96">
        <v>0</v>
      </c>
      <c r="V96">
        <v>10800</v>
      </c>
      <c r="W96">
        <v>7</v>
      </c>
      <c r="X96">
        <v>85</v>
      </c>
      <c r="Y96">
        <v>3</v>
      </c>
      <c r="Z96">
        <v>4</v>
      </c>
      <c r="AA96">
        <v>5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3</v>
      </c>
      <c r="AJ96">
        <v>0</v>
      </c>
      <c r="AK96">
        <v>0</v>
      </c>
      <c r="AL96">
        <v>100</v>
      </c>
      <c r="AM96">
        <v>45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100</v>
      </c>
      <c r="AU96">
        <v>0</v>
      </c>
      <c r="AV96">
        <v>0</v>
      </c>
    </row>
    <row r="97" spans="1:48" x14ac:dyDescent="0.15">
      <c r="A97" s="4" t="str">
        <f>HYPERLINK("https://ibp.a2mac1.com/costing(costing:projects/details/9760/equipment/12209918)","General production process (0.5-10€)")</f>
        <v>General production process (0.5-10€)</v>
      </c>
      <c r="B97">
        <v>12209918</v>
      </c>
      <c r="C97">
        <v>12083055</v>
      </c>
      <c r="H97" t="s">
        <v>162</v>
      </c>
      <c r="I97">
        <v>116914.84457142858</v>
      </c>
      <c r="J97">
        <v>0</v>
      </c>
      <c r="K97">
        <v>3.6</v>
      </c>
      <c r="L97">
        <v>0</v>
      </c>
      <c r="M97">
        <v>27.497982091197134</v>
      </c>
      <c r="N97">
        <v>0</v>
      </c>
      <c r="O97">
        <v>2.2914985075997611</v>
      </c>
      <c r="P97">
        <v>0.34428999999999998</v>
      </c>
      <c r="Q97">
        <v>1.1732166376415484E-2</v>
      </c>
      <c r="R97">
        <v>635568</v>
      </c>
      <c r="S97">
        <v>0</v>
      </c>
      <c r="T97">
        <v>0</v>
      </c>
      <c r="V97">
        <v>10800</v>
      </c>
      <c r="W97">
        <v>7</v>
      </c>
      <c r="X97">
        <v>85</v>
      </c>
      <c r="Y97">
        <v>3</v>
      </c>
      <c r="Z97">
        <v>4</v>
      </c>
      <c r="AA97">
        <v>5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3</v>
      </c>
      <c r="AJ97">
        <v>0</v>
      </c>
      <c r="AK97">
        <v>0</v>
      </c>
      <c r="AL97">
        <v>100</v>
      </c>
      <c r="AM97">
        <v>45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100</v>
      </c>
      <c r="AU97">
        <v>0</v>
      </c>
      <c r="AV97">
        <v>0</v>
      </c>
    </row>
    <row r="98" spans="1:48" x14ac:dyDescent="0.15">
      <c r="A98" s="4" t="str">
        <f>HYPERLINK("https://ibp.a2mac1.com/costing(costing:projects/details/9760/equipment/12209906)","General production process (0.5-10€)")</f>
        <v>General production process (0.5-10€)</v>
      </c>
      <c r="B98">
        <v>12209906</v>
      </c>
      <c r="C98">
        <v>12083053</v>
      </c>
      <c r="H98" t="s">
        <v>162</v>
      </c>
      <c r="I98">
        <v>116914.84457142858</v>
      </c>
      <c r="J98">
        <v>0</v>
      </c>
      <c r="K98">
        <v>3.6</v>
      </c>
      <c r="L98">
        <v>0</v>
      </c>
      <c r="M98">
        <v>27.497982091197134</v>
      </c>
      <c r="N98">
        <v>0</v>
      </c>
      <c r="O98">
        <v>0.71036453735592597</v>
      </c>
      <c r="P98">
        <v>0.1067299</v>
      </c>
      <c r="Q98">
        <v>1.9553610627359139E-2</v>
      </c>
      <c r="R98">
        <v>635568</v>
      </c>
      <c r="S98">
        <v>0</v>
      </c>
      <c r="T98">
        <v>0</v>
      </c>
      <c r="V98">
        <v>10800</v>
      </c>
      <c r="W98">
        <v>7</v>
      </c>
      <c r="X98">
        <v>85</v>
      </c>
      <c r="Y98">
        <v>3</v>
      </c>
      <c r="Z98">
        <v>4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3</v>
      </c>
      <c r="AJ98">
        <v>0</v>
      </c>
      <c r="AK98">
        <v>0</v>
      </c>
      <c r="AL98">
        <v>100</v>
      </c>
      <c r="AM98">
        <v>45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100</v>
      </c>
      <c r="AU98">
        <v>0</v>
      </c>
      <c r="AV98">
        <v>0</v>
      </c>
    </row>
    <row r="99" spans="1:48" x14ac:dyDescent="0.15">
      <c r="A99" s="4" t="str">
        <f>HYPERLINK("https://ibp.a2mac1.com/costing(costing:projects/details/9760/equipment/12209853)","General production process (0.5-10€)")</f>
        <v>General production process (0.5-10€)</v>
      </c>
      <c r="B99">
        <v>12209853</v>
      </c>
      <c r="C99">
        <v>12083032</v>
      </c>
      <c r="H99" t="s">
        <v>162</v>
      </c>
      <c r="I99">
        <v>116914.84457142858</v>
      </c>
      <c r="J99">
        <v>0</v>
      </c>
      <c r="K99">
        <v>3.6</v>
      </c>
      <c r="L99">
        <v>0</v>
      </c>
      <c r="M99">
        <v>27.497982091197134</v>
      </c>
      <c r="N99">
        <v>0</v>
      </c>
      <c r="O99">
        <v>4.8045085376008325</v>
      </c>
      <c r="P99">
        <v>0.72186136666666667</v>
      </c>
      <c r="Q99">
        <v>5.8660831882077422E-3</v>
      </c>
      <c r="R99">
        <v>635568</v>
      </c>
      <c r="S99">
        <v>0</v>
      </c>
      <c r="T99">
        <v>0</v>
      </c>
      <c r="V99">
        <v>10800</v>
      </c>
      <c r="W99">
        <v>7</v>
      </c>
      <c r="X99">
        <v>85</v>
      </c>
      <c r="Y99">
        <v>3</v>
      </c>
      <c r="Z99">
        <v>4</v>
      </c>
      <c r="AA99">
        <v>5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3</v>
      </c>
      <c r="AJ99">
        <v>0</v>
      </c>
      <c r="AK99">
        <v>0</v>
      </c>
      <c r="AL99">
        <v>100</v>
      </c>
      <c r="AM99">
        <v>45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100</v>
      </c>
      <c r="AU99">
        <v>0</v>
      </c>
      <c r="AV99">
        <v>0</v>
      </c>
    </row>
    <row r="100" spans="1:48" x14ac:dyDescent="0.15">
      <c r="A100" s="4" t="str">
        <f>HYPERLINK("https://ibp.a2mac1.com/costing(costing:projects/details/9760/equipment/12210167)","Dummy Machine (PCBA+Final Assembly Line)")</f>
        <v>Dummy Machine (PCBA+Final Assembly Line)</v>
      </c>
      <c r="B100">
        <v>12210167</v>
      </c>
      <c r="C100">
        <v>12083138</v>
      </c>
      <c r="F100" t="s">
        <v>358</v>
      </c>
      <c r="H100" t="s">
        <v>162</v>
      </c>
      <c r="I100">
        <v>79501.662769714283</v>
      </c>
      <c r="J100">
        <v>0</v>
      </c>
      <c r="K100">
        <v>0.28895999999999999</v>
      </c>
      <c r="L100">
        <v>0</v>
      </c>
      <c r="M100">
        <v>16.624578413647427</v>
      </c>
      <c r="N100">
        <v>0</v>
      </c>
      <c r="O100">
        <v>0.35558126051412553</v>
      </c>
      <c r="P100">
        <v>6.1857436666666668E-2</v>
      </c>
      <c r="Q100">
        <v>1.1481975848188456E-4</v>
      </c>
      <c r="R100">
        <v>442771.1</v>
      </c>
      <c r="S100">
        <v>0</v>
      </c>
      <c r="T100">
        <v>0</v>
      </c>
      <c r="V100">
        <v>216</v>
      </c>
      <c r="W100">
        <v>7</v>
      </c>
      <c r="X100">
        <v>85</v>
      </c>
      <c r="Y100">
        <v>3</v>
      </c>
      <c r="Z100">
        <v>4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0.7</v>
      </c>
      <c r="AG100">
        <v>0</v>
      </c>
      <c r="AH100">
        <v>0</v>
      </c>
      <c r="AI100">
        <v>0.2</v>
      </c>
      <c r="AJ100">
        <v>0</v>
      </c>
      <c r="AK100">
        <v>0</v>
      </c>
      <c r="AL100">
        <v>86</v>
      </c>
      <c r="AM100">
        <v>4.2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19.399999999999999</v>
      </c>
      <c r="AU100">
        <v>0</v>
      </c>
      <c r="AV100">
        <v>0</v>
      </c>
    </row>
    <row r="101" spans="1:48" x14ac:dyDescent="0.15">
      <c r="A101" s="4" t="str">
        <f>HYPERLINK("https://ibp.a2mac1.com/costing(costing:projects/details/9760/equipment/12210175)","Dummy Machine (PCBA+Final Assembly Line)")</f>
        <v>Dummy Machine (PCBA+Final Assembly Line)</v>
      </c>
      <c r="B101">
        <v>12210175</v>
      </c>
      <c r="C101">
        <v>12083201</v>
      </c>
      <c r="F101" t="s">
        <v>358</v>
      </c>
      <c r="H101" t="s">
        <v>162</v>
      </c>
      <c r="I101">
        <v>79501.662769714283</v>
      </c>
      <c r="J101">
        <v>0</v>
      </c>
      <c r="K101">
        <v>0.28895999999999999</v>
      </c>
      <c r="L101">
        <v>0</v>
      </c>
      <c r="M101">
        <v>16.624578413647427</v>
      </c>
      <c r="N101">
        <v>0</v>
      </c>
      <c r="O101">
        <v>0.18471753792941584</v>
      </c>
      <c r="P101">
        <v>3.2133733333333331E-2</v>
      </c>
      <c r="Q101">
        <v>1.1481975848188456E-4</v>
      </c>
      <c r="R101">
        <v>442771.1</v>
      </c>
      <c r="S101">
        <v>0</v>
      </c>
      <c r="T101">
        <v>0</v>
      </c>
      <c r="V101">
        <v>216</v>
      </c>
      <c r="W101">
        <v>7</v>
      </c>
      <c r="X101">
        <v>85</v>
      </c>
      <c r="Y101">
        <v>3</v>
      </c>
      <c r="Z101">
        <v>4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0.7</v>
      </c>
      <c r="AG101">
        <v>0</v>
      </c>
      <c r="AH101">
        <v>0</v>
      </c>
      <c r="AI101">
        <v>0.2</v>
      </c>
      <c r="AJ101">
        <v>0</v>
      </c>
      <c r="AK101">
        <v>0</v>
      </c>
      <c r="AL101">
        <v>86</v>
      </c>
      <c r="AM101">
        <v>4.2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19.399999999999999</v>
      </c>
      <c r="AU101">
        <v>0</v>
      </c>
      <c r="AV101">
        <v>0</v>
      </c>
    </row>
    <row r="102" spans="1:48" x14ac:dyDescent="0.15">
      <c r="A102" s="4" t="str">
        <f>HYPERLINK("https://ibp.a2mac1.com/costing(costing:projects/details/9760/equipment/12210176)","Dummy Machine (PCBA+Final Assembly Line)")</f>
        <v>Dummy Machine (PCBA+Final Assembly Line)</v>
      </c>
      <c r="B102">
        <v>12210176</v>
      </c>
      <c r="C102">
        <v>12083202</v>
      </c>
      <c r="F102" t="s">
        <v>358</v>
      </c>
      <c r="H102" t="s">
        <v>162</v>
      </c>
      <c r="I102">
        <v>79501.662769714283</v>
      </c>
      <c r="J102">
        <v>0</v>
      </c>
      <c r="K102">
        <v>0.28895999999999999</v>
      </c>
      <c r="L102">
        <v>0</v>
      </c>
      <c r="M102">
        <v>16.624578413647427</v>
      </c>
      <c r="N102">
        <v>0</v>
      </c>
      <c r="O102">
        <v>0.33249156827294851</v>
      </c>
      <c r="P102">
        <v>5.7840719999999998E-2</v>
      </c>
      <c r="Q102">
        <v>1.1481975848188456E-4</v>
      </c>
      <c r="R102">
        <v>442771.1</v>
      </c>
      <c r="S102">
        <v>0</v>
      </c>
      <c r="T102">
        <v>0</v>
      </c>
      <c r="V102">
        <v>216</v>
      </c>
      <c r="W102">
        <v>7</v>
      </c>
      <c r="X102">
        <v>85</v>
      </c>
      <c r="Y102">
        <v>3</v>
      </c>
      <c r="Z102">
        <v>4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0.7</v>
      </c>
      <c r="AG102">
        <v>0</v>
      </c>
      <c r="AH102">
        <v>0</v>
      </c>
      <c r="AI102">
        <v>0.2</v>
      </c>
      <c r="AJ102">
        <v>0</v>
      </c>
      <c r="AK102">
        <v>0</v>
      </c>
      <c r="AL102">
        <v>86</v>
      </c>
      <c r="AM102">
        <v>4.2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19.399999999999999</v>
      </c>
      <c r="AU102">
        <v>0</v>
      </c>
      <c r="AV102">
        <v>0</v>
      </c>
    </row>
    <row r="103" spans="1:48" x14ac:dyDescent="0.15">
      <c r="A103" s="4" t="str">
        <f>HYPERLINK("https://ibp.a2mac1.com/costing(costing:projects/details/9760/equipment/12210177)","Dummy Machine (PCBA+Final Assembly Line)")</f>
        <v>Dummy Machine (PCBA+Final Assembly Line)</v>
      </c>
      <c r="B103">
        <v>12210177</v>
      </c>
      <c r="C103">
        <v>12083203</v>
      </c>
      <c r="F103" t="s">
        <v>358</v>
      </c>
      <c r="H103" t="s">
        <v>162</v>
      </c>
      <c r="I103">
        <v>79501.662769714283</v>
      </c>
      <c r="J103">
        <v>0</v>
      </c>
      <c r="K103">
        <v>0.28895999999999999</v>
      </c>
      <c r="L103">
        <v>0</v>
      </c>
      <c r="M103">
        <v>16.624578413647427</v>
      </c>
      <c r="N103">
        <v>0</v>
      </c>
      <c r="O103">
        <v>0.16421389121925067</v>
      </c>
      <c r="P103">
        <v>2.8566888933333333E-2</v>
      </c>
      <c r="Q103">
        <v>1.1481975848188456E-4</v>
      </c>
      <c r="R103">
        <v>442771.1</v>
      </c>
      <c r="S103">
        <v>0</v>
      </c>
      <c r="T103">
        <v>0</v>
      </c>
      <c r="V103">
        <v>216</v>
      </c>
      <c r="W103">
        <v>7</v>
      </c>
      <c r="X103">
        <v>85</v>
      </c>
      <c r="Y103">
        <v>3</v>
      </c>
      <c r="Z103">
        <v>4</v>
      </c>
      <c r="AA103">
        <v>5</v>
      </c>
      <c r="AB103">
        <v>0</v>
      </c>
      <c r="AC103">
        <v>0</v>
      </c>
      <c r="AD103">
        <v>0</v>
      </c>
      <c r="AE103">
        <v>0</v>
      </c>
      <c r="AF103">
        <v>0.7</v>
      </c>
      <c r="AG103">
        <v>0</v>
      </c>
      <c r="AH103">
        <v>0</v>
      </c>
      <c r="AI103">
        <v>0.2</v>
      </c>
      <c r="AJ103">
        <v>0</v>
      </c>
      <c r="AK103">
        <v>0</v>
      </c>
      <c r="AL103">
        <v>86</v>
      </c>
      <c r="AM103">
        <v>4.2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19.399999999999999</v>
      </c>
      <c r="AU103">
        <v>0</v>
      </c>
      <c r="AV103">
        <v>0</v>
      </c>
    </row>
    <row r="104" spans="1:48" x14ac:dyDescent="0.15">
      <c r="A104" s="4" t="str">
        <f>HYPERLINK("https://ibp.a2mac1.com/costing(costing:projects/details/9760/equipment/12210178)","Dummy Machine (PCBA+Final Assembly Line)")</f>
        <v>Dummy Machine (PCBA+Final Assembly Line)</v>
      </c>
      <c r="B104">
        <v>12210178</v>
      </c>
      <c r="C104">
        <v>12083204</v>
      </c>
      <c r="F104" t="s">
        <v>358</v>
      </c>
      <c r="H104" t="s">
        <v>162</v>
      </c>
      <c r="I104">
        <v>79501.662769714283</v>
      </c>
      <c r="J104">
        <v>0</v>
      </c>
      <c r="K104">
        <v>0.28895999999999999</v>
      </c>
      <c r="L104">
        <v>0</v>
      </c>
      <c r="M104">
        <v>16.624578413647427</v>
      </c>
      <c r="N104">
        <v>0</v>
      </c>
      <c r="O104">
        <v>0.46474932543041025</v>
      </c>
      <c r="P104">
        <v>8.0848473066666662E-2</v>
      </c>
      <c r="Q104">
        <v>1.1481975848188456E-4</v>
      </c>
      <c r="R104">
        <v>442771.1</v>
      </c>
      <c r="S104">
        <v>0</v>
      </c>
      <c r="T104">
        <v>0</v>
      </c>
      <c r="V104">
        <v>216</v>
      </c>
      <c r="W104">
        <v>7</v>
      </c>
      <c r="X104">
        <v>85</v>
      </c>
      <c r="Y104">
        <v>3</v>
      </c>
      <c r="Z104">
        <v>4</v>
      </c>
      <c r="AA104">
        <v>5</v>
      </c>
      <c r="AB104">
        <v>0</v>
      </c>
      <c r="AC104">
        <v>0</v>
      </c>
      <c r="AD104">
        <v>0</v>
      </c>
      <c r="AE104">
        <v>0</v>
      </c>
      <c r="AF104">
        <v>0.7</v>
      </c>
      <c r="AG104">
        <v>0</v>
      </c>
      <c r="AH104">
        <v>0</v>
      </c>
      <c r="AI104">
        <v>0.2</v>
      </c>
      <c r="AJ104">
        <v>0</v>
      </c>
      <c r="AK104">
        <v>0</v>
      </c>
      <c r="AL104">
        <v>86</v>
      </c>
      <c r="AM104">
        <v>4.2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19.399999999999999</v>
      </c>
      <c r="AU104">
        <v>0</v>
      </c>
      <c r="AV104">
        <v>0</v>
      </c>
    </row>
    <row r="105" spans="1:48" x14ac:dyDescent="0.15">
      <c r="A105" s="4" t="str">
        <f>HYPERLINK("https://ibp.a2mac1.com/costing(costing:projects/details/9760/equipment/12210179)","Dummy Machine (PCBA+Final Assembly Line)")</f>
        <v>Dummy Machine (PCBA+Final Assembly Line)</v>
      </c>
      <c r="B105">
        <v>12210179</v>
      </c>
      <c r="C105">
        <v>12083205</v>
      </c>
      <c r="F105" t="s">
        <v>358</v>
      </c>
      <c r="H105" t="s">
        <v>162</v>
      </c>
      <c r="I105">
        <v>79501.662769714283</v>
      </c>
      <c r="J105">
        <v>0</v>
      </c>
      <c r="K105">
        <v>0.28895999999999999</v>
      </c>
      <c r="L105">
        <v>0</v>
      </c>
      <c r="M105">
        <v>16.624578413647427</v>
      </c>
      <c r="N105">
        <v>0</v>
      </c>
      <c r="O105">
        <v>0.16624578413647426</v>
      </c>
      <c r="P105">
        <v>2.8920359999999999E-2</v>
      </c>
      <c r="Q105">
        <v>1.1481975848188456E-4</v>
      </c>
      <c r="R105">
        <v>442771.1</v>
      </c>
      <c r="S105">
        <v>0</v>
      </c>
      <c r="T105">
        <v>0</v>
      </c>
      <c r="V105">
        <v>216</v>
      </c>
      <c r="W105">
        <v>7</v>
      </c>
      <c r="X105">
        <v>85</v>
      </c>
      <c r="Y105">
        <v>3</v>
      </c>
      <c r="Z105">
        <v>4</v>
      </c>
      <c r="AA105">
        <v>5</v>
      </c>
      <c r="AB105">
        <v>0</v>
      </c>
      <c r="AC105">
        <v>0</v>
      </c>
      <c r="AD105">
        <v>0</v>
      </c>
      <c r="AE105">
        <v>0</v>
      </c>
      <c r="AF105">
        <v>0.7</v>
      </c>
      <c r="AG105">
        <v>0</v>
      </c>
      <c r="AH105">
        <v>0</v>
      </c>
      <c r="AI105">
        <v>0.2</v>
      </c>
      <c r="AJ105">
        <v>0</v>
      </c>
      <c r="AK105">
        <v>0</v>
      </c>
      <c r="AL105">
        <v>86</v>
      </c>
      <c r="AM105">
        <v>4.2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19.399999999999999</v>
      </c>
      <c r="AU105">
        <v>0</v>
      </c>
      <c r="AV105">
        <v>0</v>
      </c>
    </row>
    <row r="106" spans="1:48" x14ac:dyDescent="0.15">
      <c r="A106" s="4" t="str">
        <f>HYPERLINK("https://ibp.a2mac1.com/costing(costing:projects/details/9760/equipment/12210257)","Dummy Machine (PCBA+Final Assembly Line)")</f>
        <v>Dummy Machine (PCBA+Final Assembly Line)</v>
      </c>
      <c r="B106">
        <v>12210257</v>
      </c>
      <c r="C106">
        <v>12083251</v>
      </c>
      <c r="F106" t="s">
        <v>358</v>
      </c>
      <c r="H106" t="s">
        <v>162</v>
      </c>
      <c r="I106">
        <v>79501.662769714283</v>
      </c>
      <c r="J106">
        <v>0</v>
      </c>
      <c r="K106">
        <v>0.28895999999999999</v>
      </c>
      <c r="L106">
        <v>0</v>
      </c>
      <c r="M106">
        <v>16.624578413647427</v>
      </c>
      <c r="N106">
        <v>0</v>
      </c>
      <c r="O106">
        <v>1.8993580837592186</v>
      </c>
      <c r="P106">
        <v>0.33041511299999998</v>
      </c>
      <c r="Q106">
        <v>1.1481975848188456E-4</v>
      </c>
      <c r="R106">
        <v>442771.1</v>
      </c>
      <c r="S106">
        <v>0</v>
      </c>
      <c r="T106">
        <v>0</v>
      </c>
      <c r="V106">
        <v>216</v>
      </c>
      <c r="W106">
        <v>7</v>
      </c>
      <c r="X106">
        <v>85</v>
      </c>
      <c r="Y106">
        <v>3</v>
      </c>
      <c r="Z106">
        <v>4</v>
      </c>
      <c r="AA106">
        <v>5</v>
      </c>
      <c r="AB106">
        <v>0</v>
      </c>
      <c r="AC106">
        <v>0</v>
      </c>
      <c r="AD106">
        <v>0</v>
      </c>
      <c r="AE106">
        <v>0</v>
      </c>
      <c r="AF106">
        <v>0.7</v>
      </c>
      <c r="AG106">
        <v>0</v>
      </c>
      <c r="AH106">
        <v>0</v>
      </c>
      <c r="AI106">
        <v>0.2</v>
      </c>
      <c r="AJ106">
        <v>0</v>
      </c>
      <c r="AK106">
        <v>0</v>
      </c>
      <c r="AL106">
        <v>86</v>
      </c>
      <c r="AM106">
        <v>4.2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19.399999999999999</v>
      </c>
      <c r="AU106">
        <v>0</v>
      </c>
      <c r="AV106">
        <v>0</v>
      </c>
    </row>
    <row r="107" spans="1:48" x14ac:dyDescent="0.15">
      <c r="A107" s="4" t="str">
        <f>HYPERLINK("https://ibp.a2mac1.com/costing(costing:projects/details/9760/equipment/12210258)","Dummy Machine (PCBA+Final Assembly Line)")</f>
        <v>Dummy Machine (PCBA+Final Assembly Line)</v>
      </c>
      <c r="B107">
        <v>12210258</v>
      </c>
      <c r="C107">
        <v>12083252</v>
      </c>
      <c r="F107" t="s">
        <v>358</v>
      </c>
      <c r="H107" t="s">
        <v>162</v>
      </c>
      <c r="I107">
        <v>79501.662769714283</v>
      </c>
      <c r="J107">
        <v>0</v>
      </c>
      <c r="K107">
        <v>0.28895999999999999</v>
      </c>
      <c r="L107">
        <v>0</v>
      </c>
      <c r="M107">
        <v>16.624578413647427</v>
      </c>
      <c r="N107">
        <v>0</v>
      </c>
      <c r="O107">
        <v>7.4672064707966355</v>
      </c>
      <c r="P107">
        <v>1.29900617</v>
      </c>
      <c r="Q107">
        <v>1.1481975848188456E-4</v>
      </c>
      <c r="R107">
        <v>442771.1</v>
      </c>
      <c r="S107">
        <v>0</v>
      </c>
      <c r="T107">
        <v>0</v>
      </c>
      <c r="V107">
        <v>216</v>
      </c>
      <c r="W107">
        <v>7</v>
      </c>
      <c r="X107">
        <v>85</v>
      </c>
      <c r="Y107">
        <v>3</v>
      </c>
      <c r="Z107">
        <v>4</v>
      </c>
      <c r="AA107">
        <v>5</v>
      </c>
      <c r="AB107">
        <v>0</v>
      </c>
      <c r="AC107">
        <v>0</v>
      </c>
      <c r="AD107">
        <v>0</v>
      </c>
      <c r="AE107">
        <v>0</v>
      </c>
      <c r="AF107">
        <v>0.7</v>
      </c>
      <c r="AG107">
        <v>0</v>
      </c>
      <c r="AH107">
        <v>0</v>
      </c>
      <c r="AI107">
        <v>0.2</v>
      </c>
      <c r="AJ107">
        <v>0</v>
      </c>
      <c r="AK107">
        <v>0</v>
      </c>
      <c r="AL107">
        <v>86</v>
      </c>
      <c r="AM107">
        <v>4.2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19.399999999999999</v>
      </c>
      <c r="AU107">
        <v>0</v>
      </c>
      <c r="AV107">
        <v>0</v>
      </c>
    </row>
    <row r="108" spans="1:48" x14ac:dyDescent="0.15">
      <c r="A108" s="4" t="str">
        <f>HYPERLINK("https://ibp.a2mac1.com/costing(costing:projects/details/9760/equipment/12210180)","Dummy Machine (PCBA+Final Assembly Line)")</f>
        <v>Dummy Machine (PCBA+Final Assembly Line)</v>
      </c>
      <c r="B108">
        <v>12210180</v>
      </c>
      <c r="C108">
        <v>12083206</v>
      </c>
      <c r="F108" t="s">
        <v>358</v>
      </c>
      <c r="H108" t="s">
        <v>162</v>
      </c>
      <c r="I108">
        <v>79501.662769714283</v>
      </c>
      <c r="J108">
        <v>0</v>
      </c>
      <c r="K108">
        <v>0.28895999999999999</v>
      </c>
      <c r="L108">
        <v>0</v>
      </c>
      <c r="M108">
        <v>16.624578413647427</v>
      </c>
      <c r="N108">
        <v>0</v>
      </c>
      <c r="O108">
        <v>2.0180391018788679</v>
      </c>
      <c r="P108">
        <v>0.35106103666666666</v>
      </c>
      <c r="Q108">
        <v>1.1481975848188456E-4</v>
      </c>
      <c r="R108">
        <v>442771.1</v>
      </c>
      <c r="S108">
        <v>0</v>
      </c>
      <c r="T108">
        <v>0</v>
      </c>
      <c r="V108">
        <v>216</v>
      </c>
      <c r="W108">
        <v>7</v>
      </c>
      <c r="X108">
        <v>85</v>
      </c>
      <c r="Y108">
        <v>3</v>
      </c>
      <c r="Z108">
        <v>4</v>
      </c>
      <c r="AA108">
        <v>5</v>
      </c>
      <c r="AB108">
        <v>0</v>
      </c>
      <c r="AC108">
        <v>0</v>
      </c>
      <c r="AD108">
        <v>0</v>
      </c>
      <c r="AE108">
        <v>0</v>
      </c>
      <c r="AF108">
        <v>0.7</v>
      </c>
      <c r="AG108">
        <v>0</v>
      </c>
      <c r="AH108">
        <v>0</v>
      </c>
      <c r="AI108">
        <v>0.2</v>
      </c>
      <c r="AJ108">
        <v>0</v>
      </c>
      <c r="AK108">
        <v>0</v>
      </c>
      <c r="AL108">
        <v>86</v>
      </c>
      <c r="AM108">
        <v>4.2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19.399999999999999</v>
      </c>
      <c r="AU108">
        <v>0</v>
      </c>
      <c r="AV108">
        <v>0</v>
      </c>
    </row>
    <row r="109" spans="1:48" x14ac:dyDescent="0.15">
      <c r="A109" s="4" t="str">
        <f>HYPERLINK("https://ibp.a2mac1.com/costing(costing:projects/details/9760/equipment/12210181)","Dummy Machine (PCBA+Final Assembly Line)")</f>
        <v>Dummy Machine (PCBA+Final Assembly Line)</v>
      </c>
      <c r="B109">
        <v>12210181</v>
      </c>
      <c r="C109">
        <v>12083207</v>
      </c>
      <c r="F109" t="s">
        <v>358</v>
      </c>
      <c r="H109" t="s">
        <v>162</v>
      </c>
      <c r="I109">
        <v>79501.662769714283</v>
      </c>
      <c r="J109">
        <v>0</v>
      </c>
      <c r="K109">
        <v>0.28895999999999999</v>
      </c>
      <c r="L109">
        <v>0</v>
      </c>
      <c r="M109">
        <v>16.624578413647427</v>
      </c>
      <c r="N109">
        <v>0</v>
      </c>
      <c r="O109">
        <v>0.75734190551060498</v>
      </c>
      <c r="P109">
        <v>0.13174830666666668</v>
      </c>
      <c r="Q109">
        <v>1.1481975848188456E-4</v>
      </c>
      <c r="R109">
        <v>442771.1</v>
      </c>
      <c r="S109">
        <v>0</v>
      </c>
      <c r="T109">
        <v>0</v>
      </c>
      <c r="V109">
        <v>216</v>
      </c>
      <c r="W109">
        <v>7</v>
      </c>
      <c r="X109">
        <v>85</v>
      </c>
      <c r="Y109">
        <v>3</v>
      </c>
      <c r="Z109">
        <v>4</v>
      </c>
      <c r="AA109">
        <v>5</v>
      </c>
      <c r="AB109">
        <v>0</v>
      </c>
      <c r="AC109">
        <v>0</v>
      </c>
      <c r="AD109">
        <v>0</v>
      </c>
      <c r="AE109">
        <v>0</v>
      </c>
      <c r="AF109">
        <v>0.7</v>
      </c>
      <c r="AG109">
        <v>0</v>
      </c>
      <c r="AH109">
        <v>0</v>
      </c>
      <c r="AI109">
        <v>0.2</v>
      </c>
      <c r="AJ109">
        <v>0</v>
      </c>
      <c r="AK109">
        <v>0</v>
      </c>
      <c r="AL109">
        <v>86</v>
      </c>
      <c r="AM109">
        <v>4.2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19.399999999999999</v>
      </c>
      <c r="AU109">
        <v>0</v>
      </c>
      <c r="AV109">
        <v>0</v>
      </c>
    </row>
    <row r="110" spans="1:48" x14ac:dyDescent="0.15">
      <c r="A110" s="4" t="str">
        <f>HYPERLINK("https://ibp.a2mac1.com/costing(costing:projects/details/9760/equipment/12210182)","Dummy Machine (PCBA+Final Assembly Line)")</f>
        <v>Dummy Machine (PCBA+Final Assembly Line)</v>
      </c>
      <c r="B110">
        <v>12210182</v>
      </c>
      <c r="C110">
        <v>12083208</v>
      </c>
      <c r="F110" t="s">
        <v>358</v>
      </c>
      <c r="H110" t="s">
        <v>162</v>
      </c>
      <c r="I110">
        <v>79501.662769714283</v>
      </c>
      <c r="J110">
        <v>0</v>
      </c>
      <c r="K110">
        <v>0.28895999999999999</v>
      </c>
      <c r="L110">
        <v>0</v>
      </c>
      <c r="M110">
        <v>16.624578413647427</v>
      </c>
      <c r="N110">
        <v>0</v>
      </c>
      <c r="O110">
        <v>0.25527963741845272</v>
      </c>
      <c r="P110">
        <v>4.4408819466666666E-2</v>
      </c>
      <c r="Q110">
        <v>1.1481975848188456E-4</v>
      </c>
      <c r="R110">
        <v>442771.1</v>
      </c>
      <c r="S110">
        <v>0</v>
      </c>
      <c r="T110">
        <v>0</v>
      </c>
      <c r="V110">
        <v>216</v>
      </c>
      <c r="W110">
        <v>7</v>
      </c>
      <c r="X110">
        <v>85</v>
      </c>
      <c r="Y110">
        <v>3</v>
      </c>
      <c r="Z110">
        <v>4</v>
      </c>
      <c r="AA110">
        <v>5</v>
      </c>
      <c r="AB110">
        <v>0</v>
      </c>
      <c r="AC110">
        <v>0</v>
      </c>
      <c r="AD110">
        <v>0</v>
      </c>
      <c r="AE110">
        <v>0</v>
      </c>
      <c r="AF110">
        <v>0.7</v>
      </c>
      <c r="AG110">
        <v>0</v>
      </c>
      <c r="AH110">
        <v>0</v>
      </c>
      <c r="AI110">
        <v>0.2</v>
      </c>
      <c r="AJ110">
        <v>0</v>
      </c>
      <c r="AK110">
        <v>0</v>
      </c>
      <c r="AL110">
        <v>86</v>
      </c>
      <c r="AM110">
        <v>4.2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19.399999999999999</v>
      </c>
      <c r="AU110">
        <v>0</v>
      </c>
      <c r="AV110">
        <v>0</v>
      </c>
    </row>
    <row r="111" spans="1:48" x14ac:dyDescent="0.15">
      <c r="A111" s="4" t="str">
        <f>HYPERLINK("https://ibp.a2mac1.com/costing(costing:projects/details/9760/equipment/12210183)","DC machine - General")</f>
        <v>DC machine - General</v>
      </c>
      <c r="B111">
        <v>12210183</v>
      </c>
      <c r="C111">
        <v>12083209</v>
      </c>
      <c r="E111" t="s">
        <v>738</v>
      </c>
      <c r="H111" t="s">
        <v>162</v>
      </c>
      <c r="I111">
        <v>116914.84457142858</v>
      </c>
      <c r="J111">
        <v>0</v>
      </c>
      <c r="K111">
        <v>3.6</v>
      </c>
      <c r="L111">
        <v>0</v>
      </c>
      <c r="M111">
        <v>27.497982091197134</v>
      </c>
      <c r="N111">
        <v>0</v>
      </c>
      <c r="O111">
        <v>3.8191641793329354</v>
      </c>
      <c r="P111">
        <v>0.57381666666666664</v>
      </c>
      <c r="Q111">
        <v>1.1732166376415484E-2</v>
      </c>
      <c r="R111">
        <v>635568</v>
      </c>
      <c r="S111">
        <v>0</v>
      </c>
      <c r="T111">
        <v>0</v>
      </c>
      <c r="V111">
        <v>10800</v>
      </c>
      <c r="W111">
        <v>7</v>
      </c>
      <c r="X111">
        <v>85</v>
      </c>
      <c r="Y111">
        <v>3</v>
      </c>
      <c r="Z111">
        <v>4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100</v>
      </c>
      <c r="AM111">
        <v>45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100</v>
      </c>
      <c r="AU111">
        <v>0</v>
      </c>
      <c r="AV111">
        <v>0</v>
      </c>
    </row>
    <row r="112" spans="1:48" x14ac:dyDescent="0.15">
      <c r="A112" s="4" t="str">
        <f>HYPERLINK("https://ibp.a2mac1.com/costing(costing:projects/details/9760/equipment/12210184)","DC machine - General")</f>
        <v>DC machine - General</v>
      </c>
      <c r="B112">
        <v>12210184</v>
      </c>
      <c r="C112">
        <v>12083210</v>
      </c>
      <c r="E112" t="s">
        <v>738</v>
      </c>
      <c r="H112" t="s">
        <v>162</v>
      </c>
      <c r="I112">
        <v>116914.84457142858</v>
      </c>
      <c r="J112">
        <v>0</v>
      </c>
      <c r="K112">
        <v>3.6</v>
      </c>
      <c r="L112">
        <v>0</v>
      </c>
      <c r="M112">
        <v>27.497982091197134</v>
      </c>
      <c r="N112">
        <v>0</v>
      </c>
      <c r="O112">
        <v>3.8191641793329354</v>
      </c>
      <c r="P112">
        <v>0.57381666666666664</v>
      </c>
      <c r="Q112">
        <v>1.1732166376415484E-2</v>
      </c>
      <c r="R112">
        <v>635568</v>
      </c>
      <c r="S112">
        <v>0</v>
      </c>
      <c r="T112">
        <v>0</v>
      </c>
      <c r="V112">
        <v>10800</v>
      </c>
      <c r="W112">
        <v>7</v>
      </c>
      <c r="X112">
        <v>85</v>
      </c>
      <c r="Y112">
        <v>3</v>
      </c>
      <c r="Z112">
        <v>4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3</v>
      </c>
      <c r="AJ112">
        <v>0</v>
      </c>
      <c r="AK112">
        <v>0</v>
      </c>
      <c r="AL112">
        <v>100</v>
      </c>
      <c r="AM112">
        <v>45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100</v>
      </c>
      <c r="AU112">
        <v>0</v>
      </c>
      <c r="AV112">
        <v>0</v>
      </c>
    </row>
    <row r="113" spans="1:48" x14ac:dyDescent="0.15">
      <c r="A113" s="4" t="str">
        <f>HYPERLINK("https://ibp.a2mac1.com/costing(costing:projects/details/9760/equipment/12210185)","Dummy Machine (PCBA+Final Assembly Line)")</f>
        <v>Dummy Machine (PCBA+Final Assembly Line)</v>
      </c>
      <c r="B113">
        <v>12210185</v>
      </c>
      <c r="C113">
        <v>12083211</v>
      </c>
      <c r="F113" t="s">
        <v>358</v>
      </c>
      <c r="H113" t="s">
        <v>162</v>
      </c>
      <c r="I113">
        <v>79501.662769714283</v>
      </c>
      <c r="J113">
        <v>0</v>
      </c>
      <c r="K113">
        <v>0.28895999999999999</v>
      </c>
      <c r="L113">
        <v>0</v>
      </c>
      <c r="M113">
        <v>16.624578413647427</v>
      </c>
      <c r="N113">
        <v>0</v>
      </c>
      <c r="O113">
        <v>0.18009959948118046</v>
      </c>
      <c r="P113">
        <v>3.133039E-2</v>
      </c>
      <c r="Q113">
        <v>1.1481975848188456E-4</v>
      </c>
      <c r="R113">
        <v>442771.1</v>
      </c>
      <c r="S113">
        <v>0</v>
      </c>
      <c r="T113">
        <v>0</v>
      </c>
      <c r="V113">
        <v>216</v>
      </c>
      <c r="W113">
        <v>7</v>
      </c>
      <c r="X113">
        <v>85</v>
      </c>
      <c r="Y113">
        <v>3</v>
      </c>
      <c r="Z113">
        <v>4</v>
      </c>
      <c r="AA113">
        <v>5</v>
      </c>
      <c r="AB113">
        <v>0</v>
      </c>
      <c r="AC113">
        <v>0</v>
      </c>
      <c r="AD113">
        <v>0</v>
      </c>
      <c r="AE113">
        <v>0</v>
      </c>
      <c r="AF113">
        <v>0.7</v>
      </c>
      <c r="AG113">
        <v>0</v>
      </c>
      <c r="AH113">
        <v>0</v>
      </c>
      <c r="AI113">
        <v>0.2</v>
      </c>
      <c r="AJ113">
        <v>0</v>
      </c>
      <c r="AK113">
        <v>0</v>
      </c>
      <c r="AL113">
        <v>86</v>
      </c>
      <c r="AM113">
        <v>4.2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19.399999999999999</v>
      </c>
      <c r="AU113">
        <v>0</v>
      </c>
      <c r="AV113">
        <v>0</v>
      </c>
    </row>
    <row r="114" spans="1:48" x14ac:dyDescent="0.15">
      <c r="A114" s="4" t="str">
        <f>HYPERLINK("https://ibp.a2mac1.com/costing(costing:projects/details/9760/equipment/12210186)","Dummy Machine (PCBA+Final Assembly Line)")</f>
        <v>Dummy Machine (PCBA+Final Assembly Line)</v>
      </c>
      <c r="B114">
        <v>12210186</v>
      </c>
      <c r="C114">
        <v>12083212</v>
      </c>
      <c r="F114" t="s">
        <v>358</v>
      </c>
      <c r="H114" t="s">
        <v>162</v>
      </c>
      <c r="I114">
        <v>79501.662769714283</v>
      </c>
      <c r="J114">
        <v>0</v>
      </c>
      <c r="K114">
        <v>0.28895999999999999</v>
      </c>
      <c r="L114">
        <v>0</v>
      </c>
      <c r="M114">
        <v>16.624578413647427</v>
      </c>
      <c r="N114">
        <v>0</v>
      </c>
      <c r="O114">
        <v>0.13853815344706188</v>
      </c>
      <c r="P114">
        <v>2.4100300000000002E-2</v>
      </c>
      <c r="Q114">
        <v>1.1481975848188456E-4</v>
      </c>
      <c r="R114">
        <v>442771.1</v>
      </c>
      <c r="S114">
        <v>0</v>
      </c>
      <c r="T114">
        <v>0</v>
      </c>
      <c r="V114">
        <v>216</v>
      </c>
      <c r="W114">
        <v>7</v>
      </c>
      <c r="X114">
        <v>85</v>
      </c>
      <c r="Y114">
        <v>3</v>
      </c>
      <c r="Z114">
        <v>4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0.7</v>
      </c>
      <c r="AG114">
        <v>0</v>
      </c>
      <c r="AH114">
        <v>0</v>
      </c>
      <c r="AI114">
        <v>0.2</v>
      </c>
      <c r="AJ114">
        <v>0</v>
      </c>
      <c r="AK114">
        <v>0</v>
      </c>
      <c r="AL114">
        <v>86</v>
      </c>
      <c r="AM114">
        <v>4.2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19.399999999999999</v>
      </c>
      <c r="AU114">
        <v>0</v>
      </c>
      <c r="AV114">
        <v>0</v>
      </c>
    </row>
    <row r="115" spans="1:48" x14ac:dyDescent="0.15">
      <c r="A115" s="4" t="str">
        <f>HYPERLINK("https://ibp.a2mac1.com/costing(costing:projects/details/9760/equipment/12210259)","Dummy Machine (PCBA+Final Assembly Line)")</f>
        <v>Dummy Machine (PCBA+Final Assembly Line)</v>
      </c>
      <c r="B115">
        <v>12210259</v>
      </c>
      <c r="C115">
        <v>12083256</v>
      </c>
      <c r="F115" t="s">
        <v>358</v>
      </c>
      <c r="H115" t="s">
        <v>162</v>
      </c>
      <c r="I115">
        <v>79501.662769714283</v>
      </c>
      <c r="J115">
        <v>0</v>
      </c>
      <c r="K115">
        <v>0.28895999999999999</v>
      </c>
      <c r="L115">
        <v>0</v>
      </c>
      <c r="M115">
        <v>16.624578413647427</v>
      </c>
      <c r="N115">
        <v>0</v>
      </c>
      <c r="O115">
        <v>1.51468381102121</v>
      </c>
      <c r="P115">
        <v>0.26349661333333335</v>
      </c>
      <c r="Q115">
        <v>1.1481975848188456E-4</v>
      </c>
      <c r="R115">
        <v>442771.1</v>
      </c>
      <c r="S115">
        <v>0</v>
      </c>
      <c r="T115">
        <v>0</v>
      </c>
      <c r="V115">
        <v>216</v>
      </c>
      <c r="W115">
        <v>7</v>
      </c>
      <c r="X115">
        <v>85</v>
      </c>
      <c r="Y115">
        <v>3</v>
      </c>
      <c r="Z115">
        <v>4</v>
      </c>
      <c r="AA115">
        <v>5</v>
      </c>
      <c r="AB115">
        <v>0</v>
      </c>
      <c r="AC115">
        <v>0</v>
      </c>
      <c r="AD115">
        <v>0</v>
      </c>
      <c r="AE115">
        <v>0</v>
      </c>
      <c r="AF115">
        <v>0.7</v>
      </c>
      <c r="AG115">
        <v>0</v>
      </c>
      <c r="AH115">
        <v>0</v>
      </c>
      <c r="AI115">
        <v>0.2</v>
      </c>
      <c r="AJ115">
        <v>0</v>
      </c>
      <c r="AK115">
        <v>0</v>
      </c>
      <c r="AL115">
        <v>86</v>
      </c>
      <c r="AM115">
        <v>4.2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19.399999999999999</v>
      </c>
      <c r="AU115">
        <v>0</v>
      </c>
      <c r="AV115">
        <v>0</v>
      </c>
    </row>
    <row r="116" spans="1:48" x14ac:dyDescent="0.15">
      <c r="A116" s="4" t="str">
        <f>HYPERLINK("https://ibp.a2mac1.com/costing(costing:projects/details/9760/equipment/12210260)","Dummy Machine (PCBA+Final Assembly Line)")</f>
        <v>Dummy Machine (PCBA+Final Assembly Line)</v>
      </c>
      <c r="B116">
        <v>12210260</v>
      </c>
      <c r="C116">
        <v>12083257</v>
      </c>
      <c r="F116" t="s">
        <v>358</v>
      </c>
      <c r="H116" t="s">
        <v>162</v>
      </c>
      <c r="I116">
        <v>79501.662769714283</v>
      </c>
      <c r="J116">
        <v>0</v>
      </c>
      <c r="K116">
        <v>0.28895999999999999</v>
      </c>
      <c r="L116">
        <v>0</v>
      </c>
      <c r="M116">
        <v>16.624578413647427</v>
      </c>
      <c r="N116">
        <v>0</v>
      </c>
      <c r="O116">
        <v>1.51468381102121</v>
      </c>
      <c r="P116">
        <v>0.26349661333333335</v>
      </c>
      <c r="Q116">
        <v>1.1481975848188456E-4</v>
      </c>
      <c r="R116">
        <v>442771.1</v>
      </c>
      <c r="S116">
        <v>0</v>
      </c>
      <c r="T116">
        <v>0</v>
      </c>
      <c r="V116">
        <v>216</v>
      </c>
      <c r="W116">
        <v>7</v>
      </c>
      <c r="X116">
        <v>85</v>
      </c>
      <c r="Y116">
        <v>3</v>
      </c>
      <c r="Z116">
        <v>4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0.7</v>
      </c>
      <c r="AG116">
        <v>0</v>
      </c>
      <c r="AH116">
        <v>0</v>
      </c>
      <c r="AI116">
        <v>0.2</v>
      </c>
      <c r="AJ116">
        <v>0</v>
      </c>
      <c r="AK116">
        <v>0</v>
      </c>
      <c r="AL116">
        <v>86</v>
      </c>
      <c r="AM116">
        <v>4.2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19.399999999999999</v>
      </c>
      <c r="AU116">
        <v>0</v>
      </c>
      <c r="AV116">
        <v>0</v>
      </c>
    </row>
    <row r="117" spans="1:48" x14ac:dyDescent="0.15">
      <c r="A117" s="4" t="str">
        <f>HYPERLINK("https://ibp.a2mac1.com/costing(costing:projects/details/9760/equipment/12210187)","Dummy Machine (PCBA+Final Assembly Line)")</f>
        <v>Dummy Machine (PCBA+Final Assembly Line)</v>
      </c>
      <c r="B117">
        <v>12210187</v>
      </c>
      <c r="C117">
        <v>12083213</v>
      </c>
      <c r="F117" t="s">
        <v>358</v>
      </c>
      <c r="H117" t="s">
        <v>162</v>
      </c>
      <c r="I117">
        <v>79501.662769714283</v>
      </c>
      <c r="J117">
        <v>0</v>
      </c>
      <c r="K117">
        <v>0.28895999999999999</v>
      </c>
      <c r="L117">
        <v>0</v>
      </c>
      <c r="M117">
        <v>16.624578413647427</v>
      </c>
      <c r="N117">
        <v>0</v>
      </c>
      <c r="O117">
        <v>1.4546506111941497</v>
      </c>
      <c r="P117">
        <v>0.25305315</v>
      </c>
      <c r="Q117">
        <v>1.1481975848188456E-4</v>
      </c>
      <c r="R117">
        <v>442771.1</v>
      </c>
      <c r="S117">
        <v>0</v>
      </c>
      <c r="T117">
        <v>0</v>
      </c>
      <c r="V117">
        <v>216</v>
      </c>
      <c r="W117">
        <v>7</v>
      </c>
      <c r="X117">
        <v>85</v>
      </c>
      <c r="Y117">
        <v>3</v>
      </c>
      <c r="Z117">
        <v>4</v>
      </c>
      <c r="AA117">
        <v>5</v>
      </c>
      <c r="AB117">
        <v>0</v>
      </c>
      <c r="AC117">
        <v>0</v>
      </c>
      <c r="AD117">
        <v>0</v>
      </c>
      <c r="AE117">
        <v>0</v>
      </c>
      <c r="AF117">
        <v>0.7</v>
      </c>
      <c r="AG117">
        <v>0</v>
      </c>
      <c r="AH117">
        <v>0</v>
      </c>
      <c r="AI117">
        <v>0.2</v>
      </c>
      <c r="AJ117">
        <v>0</v>
      </c>
      <c r="AK117">
        <v>0</v>
      </c>
      <c r="AL117">
        <v>86</v>
      </c>
      <c r="AM117">
        <v>4.2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19.399999999999999</v>
      </c>
      <c r="AU117">
        <v>0</v>
      </c>
      <c r="AV117">
        <v>0</v>
      </c>
    </row>
    <row r="118" spans="1:48" x14ac:dyDescent="0.15">
      <c r="A118" s="4" t="str">
        <f>HYPERLINK("https://ibp.a2mac1.com/costing(costing:projects/details/9760/equipment/12210188)","Dummy Machine (PCBA+Final Assembly Line)")</f>
        <v>Dummy Machine (PCBA+Final Assembly Line)</v>
      </c>
      <c r="B118">
        <v>12210188</v>
      </c>
      <c r="C118">
        <v>12083214</v>
      </c>
      <c r="F118" t="s">
        <v>358</v>
      </c>
      <c r="H118" t="s">
        <v>162</v>
      </c>
      <c r="I118">
        <v>79501.662769714283</v>
      </c>
      <c r="J118">
        <v>0</v>
      </c>
      <c r="K118">
        <v>0.28895999999999999</v>
      </c>
      <c r="L118">
        <v>0</v>
      </c>
      <c r="M118">
        <v>16.624578413647427</v>
      </c>
      <c r="N118">
        <v>0</v>
      </c>
      <c r="O118">
        <v>1.51468381102121</v>
      </c>
      <c r="P118">
        <v>0.26349661333333335</v>
      </c>
      <c r="Q118">
        <v>1.1481975848188456E-4</v>
      </c>
      <c r="R118">
        <v>442771.1</v>
      </c>
      <c r="S118">
        <v>0</v>
      </c>
      <c r="T118">
        <v>0</v>
      </c>
      <c r="V118">
        <v>216</v>
      </c>
      <c r="W118">
        <v>7</v>
      </c>
      <c r="X118">
        <v>85</v>
      </c>
      <c r="Y118">
        <v>3</v>
      </c>
      <c r="Z118">
        <v>4</v>
      </c>
      <c r="AA118">
        <v>5</v>
      </c>
      <c r="AB118">
        <v>0</v>
      </c>
      <c r="AC118">
        <v>0</v>
      </c>
      <c r="AD118">
        <v>0</v>
      </c>
      <c r="AE118">
        <v>0</v>
      </c>
      <c r="AF118">
        <v>0.7</v>
      </c>
      <c r="AG118">
        <v>0</v>
      </c>
      <c r="AH118">
        <v>0</v>
      </c>
      <c r="AI118">
        <v>0.2</v>
      </c>
      <c r="AJ118">
        <v>0</v>
      </c>
      <c r="AK118">
        <v>0</v>
      </c>
      <c r="AL118">
        <v>86</v>
      </c>
      <c r="AM118">
        <v>4.2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19.399999999999999</v>
      </c>
      <c r="AU118">
        <v>0</v>
      </c>
      <c r="AV118">
        <v>0</v>
      </c>
    </row>
    <row r="119" spans="1:48" x14ac:dyDescent="0.15">
      <c r="A119" s="4" t="str">
        <f>HYPERLINK("https://ibp.a2mac1.com/costing(costing:projects/details/9760/equipment/12210189)","Dummy Machine (PCBA+Final Assembly Line)")</f>
        <v>Dummy Machine (PCBA+Final Assembly Line)</v>
      </c>
      <c r="B119">
        <v>12210189</v>
      </c>
      <c r="C119">
        <v>12083215</v>
      </c>
      <c r="F119" t="s">
        <v>358</v>
      </c>
      <c r="H119" t="s">
        <v>162</v>
      </c>
      <c r="I119">
        <v>79501.662769714283</v>
      </c>
      <c r="J119">
        <v>0</v>
      </c>
      <c r="K119">
        <v>0.28895999999999999</v>
      </c>
      <c r="L119">
        <v>0</v>
      </c>
      <c r="M119">
        <v>16.624578413647427</v>
      </c>
      <c r="N119">
        <v>0</v>
      </c>
      <c r="O119">
        <v>1.51468381102121</v>
      </c>
      <c r="P119">
        <v>0.26349661333333335</v>
      </c>
      <c r="Q119">
        <v>1.1481975848188456E-4</v>
      </c>
      <c r="R119">
        <v>442771.1</v>
      </c>
      <c r="S119">
        <v>0</v>
      </c>
      <c r="T119">
        <v>0</v>
      </c>
      <c r="V119">
        <v>216</v>
      </c>
      <c r="W119">
        <v>7</v>
      </c>
      <c r="X119">
        <v>85</v>
      </c>
      <c r="Y119">
        <v>3</v>
      </c>
      <c r="Z119">
        <v>4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0.7</v>
      </c>
      <c r="AG119">
        <v>0</v>
      </c>
      <c r="AH119">
        <v>0</v>
      </c>
      <c r="AI119">
        <v>0.2</v>
      </c>
      <c r="AJ119">
        <v>0</v>
      </c>
      <c r="AK119">
        <v>0</v>
      </c>
      <c r="AL119">
        <v>86</v>
      </c>
      <c r="AM119">
        <v>4.2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19.399999999999999</v>
      </c>
      <c r="AU119">
        <v>0</v>
      </c>
      <c r="AV119">
        <v>0</v>
      </c>
    </row>
    <row r="120" spans="1:48" x14ac:dyDescent="0.15">
      <c r="A120" s="4" t="str">
        <f>HYPERLINK("https://ibp.a2mac1.com/costing(costing:projects/details/9760/equipment/12210190)","Dummy Machine (PCBA+Final Assembly Line)")</f>
        <v>Dummy Machine (PCBA+Final Assembly Line)</v>
      </c>
      <c r="B120">
        <v>12210190</v>
      </c>
      <c r="C120">
        <v>12083216</v>
      </c>
      <c r="F120" t="s">
        <v>358</v>
      </c>
      <c r="H120" t="s">
        <v>162</v>
      </c>
      <c r="I120">
        <v>79501.662769714283</v>
      </c>
      <c r="J120">
        <v>0</v>
      </c>
      <c r="K120">
        <v>0.28895999999999999</v>
      </c>
      <c r="L120">
        <v>0</v>
      </c>
      <c r="M120">
        <v>16.624578413647427</v>
      </c>
      <c r="N120">
        <v>0</v>
      </c>
      <c r="O120">
        <v>4.0037526346200885</v>
      </c>
      <c r="P120">
        <v>0.69649866999999999</v>
      </c>
      <c r="Q120">
        <v>1.1481975848188456E-4</v>
      </c>
      <c r="R120">
        <v>442771.1</v>
      </c>
      <c r="S120">
        <v>0</v>
      </c>
      <c r="T120">
        <v>0</v>
      </c>
      <c r="V120">
        <v>216</v>
      </c>
      <c r="W120">
        <v>7</v>
      </c>
      <c r="X120">
        <v>85</v>
      </c>
      <c r="Y120">
        <v>3</v>
      </c>
      <c r="Z120">
        <v>4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0.7</v>
      </c>
      <c r="AG120">
        <v>0</v>
      </c>
      <c r="AH120">
        <v>0</v>
      </c>
      <c r="AI120">
        <v>0.2</v>
      </c>
      <c r="AJ120">
        <v>0</v>
      </c>
      <c r="AK120">
        <v>0</v>
      </c>
      <c r="AL120">
        <v>86</v>
      </c>
      <c r="AM120">
        <v>4.2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19.399999999999999</v>
      </c>
      <c r="AU120">
        <v>0</v>
      </c>
      <c r="AV120">
        <v>0</v>
      </c>
    </row>
    <row r="121" spans="1:48" x14ac:dyDescent="0.15">
      <c r="A121" s="4" t="str">
        <f>HYPERLINK("https://ibp.a2mac1.com/costing(costing:projects/details/9760/equipment/12210191)","Dummy Machine (PCBA+Final Assembly Line)")</f>
        <v>Dummy Machine (PCBA+Final Assembly Line)</v>
      </c>
      <c r="B121">
        <v>12210191</v>
      </c>
      <c r="C121">
        <v>12083217</v>
      </c>
      <c r="F121" t="s">
        <v>358</v>
      </c>
      <c r="H121" t="s">
        <v>162</v>
      </c>
      <c r="I121">
        <v>79501.662769714283</v>
      </c>
      <c r="J121">
        <v>0</v>
      </c>
      <c r="K121">
        <v>0.28895999999999999</v>
      </c>
      <c r="L121">
        <v>0</v>
      </c>
      <c r="M121">
        <v>16.624578413647427</v>
      </c>
      <c r="N121">
        <v>0</v>
      </c>
      <c r="O121">
        <v>1.2606971963682632</v>
      </c>
      <c r="P121">
        <v>0.21931273000000001</v>
      </c>
      <c r="Q121">
        <v>5.7409879240942279E-5</v>
      </c>
      <c r="R121">
        <v>442771.1</v>
      </c>
      <c r="S121">
        <v>0</v>
      </c>
      <c r="T121">
        <v>0</v>
      </c>
      <c r="V121">
        <v>216</v>
      </c>
      <c r="W121">
        <v>7</v>
      </c>
      <c r="X121">
        <v>85</v>
      </c>
      <c r="Y121">
        <v>3</v>
      </c>
      <c r="Z121">
        <v>4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0.7</v>
      </c>
      <c r="AG121">
        <v>0</v>
      </c>
      <c r="AH121">
        <v>0</v>
      </c>
      <c r="AI121">
        <v>0.2</v>
      </c>
      <c r="AJ121">
        <v>0</v>
      </c>
      <c r="AK121">
        <v>0</v>
      </c>
      <c r="AL121">
        <v>86</v>
      </c>
      <c r="AM121">
        <v>4.2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19.399999999999999</v>
      </c>
      <c r="AU121">
        <v>0</v>
      </c>
      <c r="AV121">
        <v>0</v>
      </c>
    </row>
    <row r="122" spans="1:48" x14ac:dyDescent="0.15">
      <c r="A122" s="4" t="str">
        <f>HYPERLINK("https://ibp.a2mac1.com/costing(costing:projects/details/9760/equipment/12210192)","Dummy Machine (PCBA+Final Assembly Line)")</f>
        <v>Dummy Machine (PCBA+Final Assembly Line)</v>
      </c>
      <c r="B122">
        <v>12210192</v>
      </c>
      <c r="C122">
        <v>12083218</v>
      </c>
      <c r="F122" t="s">
        <v>358</v>
      </c>
      <c r="H122" t="s">
        <v>162</v>
      </c>
      <c r="I122">
        <v>79501.662769714283</v>
      </c>
      <c r="J122">
        <v>0</v>
      </c>
      <c r="K122">
        <v>0.28895999999999999</v>
      </c>
      <c r="L122">
        <v>0</v>
      </c>
      <c r="M122">
        <v>16.624578413647427</v>
      </c>
      <c r="N122">
        <v>0</v>
      </c>
      <c r="O122">
        <v>1.51468381102121</v>
      </c>
      <c r="P122">
        <v>0.26349661333333335</v>
      </c>
      <c r="Q122">
        <v>5.7409879240942279E-5</v>
      </c>
      <c r="R122">
        <v>442771.1</v>
      </c>
      <c r="S122">
        <v>0</v>
      </c>
      <c r="T122">
        <v>0</v>
      </c>
      <c r="V122">
        <v>216</v>
      </c>
      <c r="W122">
        <v>7</v>
      </c>
      <c r="X122">
        <v>85</v>
      </c>
      <c r="Y122">
        <v>3</v>
      </c>
      <c r="Z122">
        <v>4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0.7</v>
      </c>
      <c r="AG122">
        <v>0</v>
      </c>
      <c r="AH122">
        <v>0</v>
      </c>
      <c r="AI122">
        <v>0.2</v>
      </c>
      <c r="AJ122">
        <v>0</v>
      </c>
      <c r="AK122">
        <v>0</v>
      </c>
      <c r="AL122">
        <v>86</v>
      </c>
      <c r="AM122">
        <v>4.2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19.399999999999999</v>
      </c>
      <c r="AU122">
        <v>0</v>
      </c>
      <c r="AV122">
        <v>0</v>
      </c>
    </row>
    <row r="123" spans="1:48" x14ac:dyDescent="0.15">
      <c r="A123" s="4" t="str">
        <f>HYPERLINK("https://ibp.a2mac1.com/costing(costing:projects/details/9760/equipment/12210193)","Dummy Machine (PCBA+Final Assembly Line)")</f>
        <v>Dummy Machine (PCBA+Final Assembly Line)</v>
      </c>
      <c r="B123">
        <v>12210193</v>
      </c>
      <c r="C123">
        <v>12083219</v>
      </c>
      <c r="F123" t="s">
        <v>358</v>
      </c>
      <c r="H123" t="s">
        <v>162</v>
      </c>
      <c r="I123">
        <v>79501.662769714283</v>
      </c>
      <c r="J123">
        <v>0</v>
      </c>
      <c r="K123">
        <v>0.28895999999999999</v>
      </c>
      <c r="L123">
        <v>0</v>
      </c>
      <c r="M123">
        <v>16.624578413647427</v>
      </c>
      <c r="N123">
        <v>0</v>
      </c>
      <c r="O123">
        <v>1.51468381102121</v>
      </c>
      <c r="P123">
        <v>0.26349661333333335</v>
      </c>
      <c r="Q123">
        <v>1.1481975848188456E-4</v>
      </c>
      <c r="R123">
        <v>442771.1</v>
      </c>
      <c r="S123">
        <v>0</v>
      </c>
      <c r="T123">
        <v>0</v>
      </c>
      <c r="V123">
        <v>216</v>
      </c>
      <c r="W123">
        <v>7</v>
      </c>
      <c r="X123">
        <v>85</v>
      </c>
      <c r="Y123">
        <v>3</v>
      </c>
      <c r="Z123">
        <v>4</v>
      </c>
      <c r="AA123">
        <v>5</v>
      </c>
      <c r="AB123">
        <v>0</v>
      </c>
      <c r="AC123">
        <v>0</v>
      </c>
      <c r="AD123">
        <v>0</v>
      </c>
      <c r="AE123">
        <v>0</v>
      </c>
      <c r="AF123">
        <v>0.7</v>
      </c>
      <c r="AG123">
        <v>0</v>
      </c>
      <c r="AH123">
        <v>0</v>
      </c>
      <c r="AI123">
        <v>0.2</v>
      </c>
      <c r="AJ123">
        <v>0</v>
      </c>
      <c r="AK123">
        <v>0</v>
      </c>
      <c r="AL123">
        <v>86</v>
      </c>
      <c r="AM123">
        <v>4.2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19.399999999999999</v>
      </c>
      <c r="AU123">
        <v>0</v>
      </c>
      <c r="AV123">
        <v>0</v>
      </c>
    </row>
    <row r="124" spans="1:48" x14ac:dyDescent="0.15">
      <c r="A124" s="4" t="str">
        <f>HYPERLINK("https://ibp.a2mac1.com/costing(costing:projects/details/9760/equipment/12210194)","Dummy Machine (PCBA+Final Assembly Line)")</f>
        <v>Dummy Machine (PCBA+Final Assembly Line)</v>
      </c>
      <c r="B124">
        <v>12210194</v>
      </c>
      <c r="C124">
        <v>12083220</v>
      </c>
      <c r="F124" t="s">
        <v>358</v>
      </c>
      <c r="H124" t="s">
        <v>162</v>
      </c>
      <c r="I124">
        <v>79501.662769714283</v>
      </c>
      <c r="J124">
        <v>0</v>
      </c>
      <c r="K124">
        <v>0.28895999999999999</v>
      </c>
      <c r="L124">
        <v>0</v>
      </c>
      <c r="M124">
        <v>16.624578413647427</v>
      </c>
      <c r="N124">
        <v>0</v>
      </c>
      <c r="O124">
        <v>2.4567432544612307</v>
      </c>
      <c r="P124">
        <v>0.42737865333333336</v>
      </c>
      <c r="Q124">
        <v>1.1481975848188456E-4</v>
      </c>
      <c r="R124">
        <v>442771.1</v>
      </c>
      <c r="S124">
        <v>0</v>
      </c>
      <c r="T124">
        <v>0</v>
      </c>
      <c r="V124">
        <v>216</v>
      </c>
      <c r="W124">
        <v>7</v>
      </c>
      <c r="X124">
        <v>85</v>
      </c>
      <c r="Y124">
        <v>3</v>
      </c>
      <c r="Z124">
        <v>4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0.7</v>
      </c>
      <c r="AG124">
        <v>0</v>
      </c>
      <c r="AH124">
        <v>0</v>
      </c>
      <c r="AI124">
        <v>0.2</v>
      </c>
      <c r="AJ124">
        <v>0</v>
      </c>
      <c r="AK124">
        <v>0</v>
      </c>
      <c r="AL124">
        <v>86</v>
      </c>
      <c r="AM124">
        <v>4.2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19.399999999999999</v>
      </c>
      <c r="AU124">
        <v>0</v>
      </c>
      <c r="AV124">
        <v>0</v>
      </c>
    </row>
    <row r="125" spans="1:48" x14ac:dyDescent="0.15">
      <c r="A125" s="4" t="str">
        <f>HYPERLINK("https://ibp.a2mac1.com/costing(costing:projects/details/9760/equipment/12210195)","Dummy Machine (PCBA+Final Assembly Line)")</f>
        <v>Dummy Machine (PCBA+Final Assembly Line)</v>
      </c>
      <c r="B125">
        <v>12210195</v>
      </c>
      <c r="C125">
        <v>12083221</v>
      </c>
      <c r="F125" t="s">
        <v>358</v>
      </c>
      <c r="H125" t="s">
        <v>162</v>
      </c>
      <c r="I125">
        <v>79501.662769714283</v>
      </c>
      <c r="J125">
        <v>0</v>
      </c>
      <c r="K125">
        <v>0.28895999999999999</v>
      </c>
      <c r="L125">
        <v>0</v>
      </c>
      <c r="M125">
        <v>16.624578413647427</v>
      </c>
      <c r="N125">
        <v>0</v>
      </c>
      <c r="O125">
        <v>0.95129532033649156</v>
      </c>
      <c r="P125">
        <v>0.16548872666666667</v>
      </c>
      <c r="Q125">
        <v>1.1481975848188456E-4</v>
      </c>
      <c r="R125">
        <v>442771.1</v>
      </c>
      <c r="S125">
        <v>0</v>
      </c>
      <c r="T125">
        <v>0</v>
      </c>
      <c r="V125">
        <v>216</v>
      </c>
      <c r="W125">
        <v>7</v>
      </c>
      <c r="X125">
        <v>85</v>
      </c>
      <c r="Y125">
        <v>3</v>
      </c>
      <c r="Z125">
        <v>4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0.7</v>
      </c>
      <c r="AG125">
        <v>0</v>
      </c>
      <c r="AH125">
        <v>0</v>
      </c>
      <c r="AI125">
        <v>0.2</v>
      </c>
      <c r="AJ125">
        <v>0</v>
      </c>
      <c r="AK125">
        <v>0</v>
      </c>
      <c r="AL125">
        <v>86</v>
      </c>
      <c r="AM125">
        <v>4.2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19.399999999999999</v>
      </c>
      <c r="AU125">
        <v>0</v>
      </c>
      <c r="AV125">
        <v>0</v>
      </c>
    </row>
    <row r="126" spans="1:48" x14ac:dyDescent="0.15">
      <c r="A126" s="4" t="str">
        <f>HYPERLINK("https://ibp.a2mac1.com/costing(costing:projects/details/9760/equipment/12210196)","Dummy Machine (PCBA+Final Assembly Line)")</f>
        <v>Dummy Machine (PCBA+Final Assembly Line)</v>
      </c>
      <c r="B126">
        <v>12210196</v>
      </c>
      <c r="C126">
        <v>12083222</v>
      </c>
      <c r="F126" t="s">
        <v>358</v>
      </c>
      <c r="H126" t="s">
        <v>162</v>
      </c>
      <c r="I126">
        <v>79501.662769714283</v>
      </c>
      <c r="J126">
        <v>0</v>
      </c>
      <c r="K126">
        <v>0.28895999999999999</v>
      </c>
      <c r="L126">
        <v>0</v>
      </c>
      <c r="M126">
        <v>16.624578413647427</v>
      </c>
      <c r="N126">
        <v>0</v>
      </c>
      <c r="O126">
        <v>1.51468381102121</v>
      </c>
      <c r="P126">
        <v>0.26349661333333335</v>
      </c>
      <c r="Q126">
        <v>1.1481975848188456E-4</v>
      </c>
      <c r="R126">
        <v>442771.1</v>
      </c>
      <c r="S126">
        <v>0</v>
      </c>
      <c r="T126">
        <v>0</v>
      </c>
      <c r="V126">
        <v>216</v>
      </c>
      <c r="W126">
        <v>7</v>
      </c>
      <c r="X126">
        <v>85</v>
      </c>
      <c r="Y126">
        <v>3</v>
      </c>
      <c r="Z126">
        <v>4</v>
      </c>
      <c r="AA126">
        <v>5</v>
      </c>
      <c r="AB126">
        <v>0</v>
      </c>
      <c r="AC126">
        <v>0</v>
      </c>
      <c r="AD126">
        <v>0</v>
      </c>
      <c r="AE126">
        <v>0</v>
      </c>
      <c r="AF126">
        <v>0.7</v>
      </c>
      <c r="AG126">
        <v>0</v>
      </c>
      <c r="AH126">
        <v>0</v>
      </c>
      <c r="AI126">
        <v>0.2</v>
      </c>
      <c r="AJ126">
        <v>0</v>
      </c>
      <c r="AK126">
        <v>0</v>
      </c>
      <c r="AL126">
        <v>86</v>
      </c>
      <c r="AM126">
        <v>4.2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19.399999999999999</v>
      </c>
      <c r="AU126">
        <v>0</v>
      </c>
      <c r="AV126">
        <v>0</v>
      </c>
    </row>
    <row r="127" spans="1:48" x14ac:dyDescent="0.15">
      <c r="A127" s="4" t="str">
        <f>HYPERLINK("https://ibp.a2mac1.com/costing(costing:projects/details/9760/equipment/12210197)","No.03 - T,TF 80/11 ")</f>
        <v xml:space="preserve">No.03 - T,TF 80/11 </v>
      </c>
      <c r="B127">
        <v>12210197</v>
      </c>
      <c r="C127">
        <v>12083228</v>
      </c>
      <c r="H127" t="s">
        <v>162</v>
      </c>
      <c r="I127">
        <v>13987.453600000001</v>
      </c>
      <c r="J127">
        <v>0</v>
      </c>
      <c r="K127">
        <v>3.88</v>
      </c>
      <c r="L127">
        <v>0</v>
      </c>
      <c r="M127">
        <v>6.8111240115718417</v>
      </c>
      <c r="N127">
        <v>0</v>
      </c>
      <c r="O127">
        <v>0.11351873352619736</v>
      </c>
      <c r="P127">
        <v>0</v>
      </c>
      <c r="Q127">
        <v>0</v>
      </c>
      <c r="R127">
        <v>85000</v>
      </c>
      <c r="S127">
        <v>0</v>
      </c>
      <c r="T127">
        <v>0</v>
      </c>
      <c r="V127">
        <v>0</v>
      </c>
      <c r="W127">
        <v>8</v>
      </c>
      <c r="X127">
        <v>85</v>
      </c>
      <c r="Y127">
        <v>3</v>
      </c>
      <c r="Z127">
        <v>4</v>
      </c>
      <c r="AA127">
        <v>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97</v>
      </c>
      <c r="AM127">
        <v>50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10</v>
      </c>
      <c r="AU127">
        <v>0</v>
      </c>
      <c r="AV127">
        <v>0</v>
      </c>
    </row>
    <row r="128" spans="1:48" x14ac:dyDescent="0.15">
      <c r="A128" s="4" t="str">
        <f>HYPERLINK("https://ibp.a2mac1.com/costing(costing:projects/details/9760/equipment/12210198)","No.01 - Buhler ladel Model 4,5L ")</f>
        <v xml:space="preserve">No.01 - Buhler ladel Model 4,5L </v>
      </c>
      <c r="B128">
        <v>12210198</v>
      </c>
      <c r="C128">
        <v>12083229</v>
      </c>
      <c r="H128" t="s">
        <v>162</v>
      </c>
      <c r="I128">
        <v>4348.7082399999999</v>
      </c>
      <c r="J128">
        <v>0</v>
      </c>
      <c r="K128">
        <v>0.78400000000000003</v>
      </c>
      <c r="L128">
        <v>0</v>
      </c>
      <c r="M128">
        <v>1.6838245323047252</v>
      </c>
      <c r="N128">
        <v>0</v>
      </c>
      <c r="O128">
        <v>2.8063742205078752E-2</v>
      </c>
      <c r="P128">
        <v>0</v>
      </c>
      <c r="Q128">
        <v>2.5257367984570877E-5</v>
      </c>
      <c r="R128">
        <v>25000</v>
      </c>
      <c r="S128">
        <v>0</v>
      </c>
      <c r="T128">
        <v>0</v>
      </c>
      <c r="V128">
        <v>900</v>
      </c>
      <c r="W128">
        <v>8</v>
      </c>
      <c r="X128">
        <v>85</v>
      </c>
      <c r="Y128">
        <v>3</v>
      </c>
      <c r="Z128">
        <v>4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98</v>
      </c>
      <c r="AM128">
        <v>10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9</v>
      </c>
      <c r="AU128">
        <v>0</v>
      </c>
      <c r="AV128">
        <v>0</v>
      </c>
    </row>
    <row r="129" spans="1:48" x14ac:dyDescent="0.15">
      <c r="A129" s="4" t="str">
        <f>HYPERLINK("https://ibp.a2mac1.com/costing(costing:projects/details/9760/equipment/12210199)","No.04 - Idra - OL 900S ")</f>
        <v xml:space="preserve">No.04 - Idra - OL 900S </v>
      </c>
      <c r="B129">
        <v>12210199</v>
      </c>
      <c r="C129">
        <v>12083230</v>
      </c>
      <c r="H129" t="s">
        <v>162</v>
      </c>
      <c r="I129">
        <v>88337.267999999996</v>
      </c>
      <c r="J129">
        <v>0</v>
      </c>
      <c r="K129">
        <v>5.1327199999999999</v>
      </c>
      <c r="L129">
        <v>0</v>
      </c>
      <c r="M129">
        <v>24.47332880745741</v>
      </c>
      <c r="N129">
        <v>0</v>
      </c>
      <c r="O129">
        <v>0.40788881345762351</v>
      </c>
      <c r="P129">
        <v>0</v>
      </c>
      <c r="Q129">
        <v>5.9512570568948887E-3</v>
      </c>
      <c r="R129">
        <v>640000</v>
      </c>
      <c r="S129">
        <v>0</v>
      </c>
      <c r="T129">
        <v>0</v>
      </c>
      <c r="V129">
        <v>7200</v>
      </c>
      <c r="W129">
        <v>10</v>
      </c>
      <c r="X129">
        <v>85</v>
      </c>
      <c r="Y129">
        <v>3</v>
      </c>
      <c r="Z129">
        <v>4</v>
      </c>
      <c r="AA129">
        <v>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93</v>
      </c>
      <c r="AM129">
        <v>67.5</v>
      </c>
      <c r="AN129">
        <v>0</v>
      </c>
      <c r="AO129">
        <v>0</v>
      </c>
      <c r="AP129">
        <v>0</v>
      </c>
      <c r="AQ129">
        <v>4</v>
      </c>
      <c r="AR129">
        <v>0</v>
      </c>
      <c r="AS129">
        <v>0</v>
      </c>
      <c r="AT129">
        <v>50</v>
      </c>
      <c r="AU129">
        <v>0</v>
      </c>
      <c r="AV129">
        <v>0</v>
      </c>
    </row>
    <row r="130" spans="1:48" x14ac:dyDescent="0.15">
      <c r="A130" s="4" t="str">
        <f>HYPERLINK("https://ibp.a2mac1.com/costing(costing:projects/details/9760/equipment/12210200)","No.04 - Headcutter - 1200x800x700 - 100kg/Mould ")</f>
        <v xml:space="preserve">No.04 - Headcutter - 1200x800x700 - 100kg/Mould </v>
      </c>
      <c r="B130">
        <v>12210200</v>
      </c>
      <c r="C130">
        <v>12083231</v>
      </c>
      <c r="H130" t="s">
        <v>162</v>
      </c>
      <c r="I130">
        <v>3736.1618400000002</v>
      </c>
      <c r="J130">
        <v>0</v>
      </c>
      <c r="K130">
        <v>0.52944000000000002</v>
      </c>
      <c r="L130">
        <v>0</v>
      </c>
      <c r="M130">
        <v>1.2805910511089682</v>
      </c>
      <c r="N130">
        <v>0</v>
      </c>
      <c r="O130">
        <v>1.0671592092574735E-2</v>
      </c>
      <c r="P130">
        <v>3.4429000000000001E-2</v>
      </c>
      <c r="Q130">
        <v>3.960160657666345E-4</v>
      </c>
      <c r="R130">
        <v>18750</v>
      </c>
      <c r="S130">
        <v>0</v>
      </c>
      <c r="T130">
        <v>0</v>
      </c>
      <c r="V130">
        <v>900</v>
      </c>
      <c r="W130">
        <v>8</v>
      </c>
      <c r="X130">
        <v>85</v>
      </c>
      <c r="Y130">
        <v>3</v>
      </c>
      <c r="Z130">
        <v>4</v>
      </c>
      <c r="AA130">
        <v>5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2</v>
      </c>
      <c r="AJ130">
        <v>0</v>
      </c>
      <c r="AK130">
        <v>0</v>
      </c>
      <c r="AL130">
        <v>93</v>
      </c>
      <c r="AM130">
        <v>6</v>
      </c>
      <c r="AN130">
        <v>0</v>
      </c>
      <c r="AO130">
        <v>0</v>
      </c>
      <c r="AP130">
        <v>0</v>
      </c>
      <c r="AQ130">
        <v>3</v>
      </c>
      <c r="AR130">
        <v>0</v>
      </c>
      <c r="AS130">
        <v>0</v>
      </c>
      <c r="AT130">
        <v>19</v>
      </c>
      <c r="AU130">
        <v>0</v>
      </c>
      <c r="AV130">
        <v>0</v>
      </c>
    </row>
    <row r="131" spans="1:48" x14ac:dyDescent="0.15">
      <c r="A131" s="4" t="str">
        <f>HYPERLINK("https://ibp.a2mac1.com/costing(costing:projects/details/9760/equipment/12210201)","Laser marking line ")</f>
        <v xml:space="preserve">Laser marking line </v>
      </c>
      <c r="B131">
        <v>12210201</v>
      </c>
      <c r="C131">
        <v>12083232</v>
      </c>
      <c r="H131" t="s">
        <v>162</v>
      </c>
      <c r="I131">
        <v>14562.453600000001</v>
      </c>
      <c r="J131">
        <v>0</v>
      </c>
      <c r="K131">
        <v>0.21536</v>
      </c>
      <c r="L131">
        <v>0</v>
      </c>
      <c r="M131">
        <v>3.3996180520732882</v>
      </c>
      <c r="N131">
        <v>0</v>
      </c>
      <c r="O131">
        <v>2.833015043394407E-2</v>
      </c>
      <c r="P131">
        <v>3.4429000000000001E-2</v>
      </c>
      <c r="Q131">
        <v>9.575914831243973E-4</v>
      </c>
      <c r="R131">
        <v>105000</v>
      </c>
      <c r="S131">
        <v>0</v>
      </c>
      <c r="T131">
        <v>0</v>
      </c>
      <c r="V131">
        <v>3600</v>
      </c>
      <c r="W131">
        <v>10</v>
      </c>
      <c r="X131">
        <v>85</v>
      </c>
      <c r="Y131">
        <v>3</v>
      </c>
      <c r="Z131">
        <v>4</v>
      </c>
      <c r="AA131">
        <v>5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100</v>
      </c>
      <c r="AM131">
        <v>2</v>
      </c>
      <c r="AN131">
        <v>0</v>
      </c>
      <c r="AO131">
        <v>0</v>
      </c>
      <c r="AP131">
        <v>0</v>
      </c>
      <c r="AQ131">
        <v>2</v>
      </c>
      <c r="AR131">
        <v>0</v>
      </c>
      <c r="AS131">
        <v>0</v>
      </c>
      <c r="AT131">
        <v>10</v>
      </c>
      <c r="AU131">
        <v>0</v>
      </c>
      <c r="AV131">
        <v>0</v>
      </c>
    </row>
    <row r="132" spans="1:48" x14ac:dyDescent="0.15">
      <c r="A132" s="4" t="str">
        <f>HYPERLINK("https://ibp.a2mac1.com/costing(costing:projects/details/9760/equipment/12210202)","Machining Center, medium ")</f>
        <v xml:space="preserve">Machining Center, medium </v>
      </c>
      <c r="B132">
        <v>12210202</v>
      </c>
      <c r="C132">
        <v>12083233</v>
      </c>
      <c r="H132" t="s">
        <v>162</v>
      </c>
      <c r="I132">
        <v>97212.175199999998</v>
      </c>
      <c r="J132">
        <v>0</v>
      </c>
      <c r="K132">
        <v>4.3208000000000002</v>
      </c>
      <c r="L132">
        <v>0</v>
      </c>
      <c r="M132">
        <v>25.569944198007072</v>
      </c>
      <c r="N132">
        <v>0</v>
      </c>
      <c r="O132">
        <v>0.31962430247508838</v>
      </c>
      <c r="P132">
        <v>0.157003</v>
      </c>
      <c r="Q132">
        <v>6.082850903760849E-3</v>
      </c>
      <c r="R132">
        <v>700000</v>
      </c>
      <c r="S132">
        <v>0</v>
      </c>
      <c r="T132">
        <v>0</v>
      </c>
      <c r="V132">
        <v>7200</v>
      </c>
      <c r="W132">
        <v>10</v>
      </c>
      <c r="X132">
        <v>85</v>
      </c>
      <c r="Y132">
        <v>3</v>
      </c>
      <c r="Z132">
        <v>4</v>
      </c>
      <c r="AA132">
        <v>5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25</v>
      </c>
      <c r="AM132">
        <v>133</v>
      </c>
      <c r="AN132">
        <v>0</v>
      </c>
      <c r="AO132">
        <v>0</v>
      </c>
      <c r="AP132">
        <v>0</v>
      </c>
      <c r="AQ132">
        <v>60</v>
      </c>
      <c r="AR132">
        <v>0</v>
      </c>
      <c r="AS132">
        <v>0</v>
      </c>
      <c r="AT132">
        <v>70</v>
      </c>
      <c r="AU132">
        <v>0</v>
      </c>
      <c r="AV132">
        <v>0</v>
      </c>
    </row>
    <row r="133" spans="1:48" x14ac:dyDescent="0.15">
      <c r="A133" s="4" t="str">
        <f>HYPERLINK("https://ibp.a2mac1.com/costing(costing:projects/details/9760/equipment/12210203)","Cleaning machine, run through ")</f>
        <v xml:space="preserve">Cleaning machine, run through </v>
      </c>
      <c r="B133">
        <v>12210203</v>
      </c>
      <c r="C133">
        <v>12083234</v>
      </c>
      <c r="H133" t="s">
        <v>162</v>
      </c>
      <c r="I133">
        <v>51904.814400000003</v>
      </c>
      <c r="J133">
        <v>0</v>
      </c>
      <c r="K133">
        <v>3.43072</v>
      </c>
      <c r="L133">
        <v>0</v>
      </c>
      <c r="M133">
        <v>14.770291584699454</v>
      </c>
      <c r="N133">
        <v>0</v>
      </c>
      <c r="O133">
        <v>0.12308576320582879</v>
      </c>
      <c r="P133">
        <v>0</v>
      </c>
      <c r="Q133">
        <v>1.3665265792349728E-4</v>
      </c>
      <c r="R133">
        <v>373000</v>
      </c>
      <c r="S133">
        <v>0</v>
      </c>
      <c r="T133">
        <v>0</v>
      </c>
      <c r="V133">
        <v>300</v>
      </c>
      <c r="W133">
        <v>10</v>
      </c>
      <c r="X133">
        <v>85</v>
      </c>
      <c r="Y133">
        <v>3</v>
      </c>
      <c r="Z133">
        <v>4</v>
      </c>
      <c r="AA133">
        <v>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100</v>
      </c>
      <c r="AM133">
        <v>41.5</v>
      </c>
      <c r="AN133">
        <v>0</v>
      </c>
      <c r="AO133">
        <v>0</v>
      </c>
      <c r="AP133">
        <v>0</v>
      </c>
      <c r="AQ133">
        <v>4</v>
      </c>
      <c r="AR133">
        <v>0</v>
      </c>
      <c r="AS133">
        <v>0</v>
      </c>
      <c r="AT133">
        <v>40</v>
      </c>
      <c r="AU133">
        <v>0</v>
      </c>
      <c r="AV133">
        <v>0</v>
      </c>
    </row>
    <row r="134" spans="1:48" x14ac:dyDescent="0.15">
      <c r="A134" s="4" t="str">
        <f>HYPERLINK("https://ibp.a2mac1.com/costing(costing:projects/details/9760/equipment/12210204)","Reaction Injection Molding Machine")</f>
        <v>Reaction Injection Molding Machine</v>
      </c>
      <c r="B134">
        <v>12210204</v>
      </c>
      <c r="C134">
        <v>12083235</v>
      </c>
      <c r="H134" t="s">
        <v>162</v>
      </c>
      <c r="I134">
        <v>172624.5359973</v>
      </c>
      <c r="J134">
        <v>0</v>
      </c>
      <c r="K134">
        <v>2.0276752</v>
      </c>
      <c r="L134">
        <v>0</v>
      </c>
      <c r="M134">
        <v>39.816896671600773</v>
      </c>
      <c r="N134">
        <v>0</v>
      </c>
      <c r="O134">
        <v>0.44240996301778635</v>
      </c>
      <c r="P134">
        <v>4.5905333333333333E-2</v>
      </c>
      <c r="Q134">
        <v>4.7139423004440694E-3</v>
      </c>
      <c r="R134">
        <v>1249999.9999800001</v>
      </c>
      <c r="S134">
        <v>0</v>
      </c>
      <c r="T134">
        <v>0</v>
      </c>
      <c r="V134">
        <v>5400</v>
      </c>
      <c r="W134">
        <v>10</v>
      </c>
      <c r="X134">
        <v>85</v>
      </c>
      <c r="Y134">
        <v>3</v>
      </c>
      <c r="Z134">
        <v>4</v>
      </c>
      <c r="AA134">
        <v>5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100</v>
      </c>
      <c r="AM134">
        <v>25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0.04</v>
      </c>
      <c r="AT134">
        <v>100</v>
      </c>
      <c r="AU134">
        <v>0</v>
      </c>
      <c r="AV134">
        <v>0</v>
      </c>
    </row>
    <row r="135" spans="1:48" x14ac:dyDescent="0.15">
      <c r="A135" s="4" t="str">
        <f>HYPERLINK("https://ibp.a2mac1.com/costing(costing:projects/details/9760/equipment/12210205)","No.01 - Die cutting - PLOTTERMAX 1725 ALLROUNDER ")</f>
        <v xml:space="preserve">No.01 - Die cutting - PLOTTERMAX 1725 ALLROUNDER </v>
      </c>
      <c r="B135">
        <v>12210205</v>
      </c>
      <c r="C135">
        <v>12083236</v>
      </c>
      <c r="H135" t="s">
        <v>162</v>
      </c>
      <c r="I135">
        <v>21501.553710728571</v>
      </c>
      <c r="J135">
        <v>0</v>
      </c>
      <c r="K135">
        <v>0.08</v>
      </c>
      <c r="L135">
        <v>0</v>
      </c>
      <c r="M135">
        <v>4.4196904065780407</v>
      </c>
      <c r="N135">
        <v>0</v>
      </c>
      <c r="O135">
        <v>1.2276917796050115E-2</v>
      </c>
      <c r="P135">
        <v>1.1476333333333333E-2</v>
      </c>
      <c r="Q135">
        <v>5.0939791219734118E-4</v>
      </c>
      <c r="R135">
        <v>109999.99997999999</v>
      </c>
      <c r="S135">
        <v>0</v>
      </c>
      <c r="T135">
        <v>0</v>
      </c>
      <c r="V135">
        <v>1800</v>
      </c>
      <c r="W135">
        <v>7</v>
      </c>
      <c r="X135">
        <v>85</v>
      </c>
      <c r="Y135">
        <v>3</v>
      </c>
      <c r="Z135">
        <v>4</v>
      </c>
      <c r="AA135">
        <v>5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100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50</v>
      </c>
      <c r="AU135">
        <v>0</v>
      </c>
      <c r="AV135">
        <v>0</v>
      </c>
    </row>
    <row r="136" spans="1:48" x14ac:dyDescent="0.15">
      <c r="A136" s="4" t="str">
        <f>HYPERLINK("https://ibp.a2mac1.com/costing(costing:projects/details/9760/equipment/12210206)","Simple Assembly Cell ")</f>
        <v xml:space="preserve">Simple Assembly Cell </v>
      </c>
      <c r="B136">
        <v>12210206</v>
      </c>
      <c r="C136">
        <v>12083237</v>
      </c>
      <c r="H136" t="s">
        <v>162</v>
      </c>
      <c r="I136">
        <v>6462.4535999999998</v>
      </c>
      <c r="J136">
        <v>0</v>
      </c>
      <c r="K136">
        <v>0.16</v>
      </c>
      <c r="L136">
        <v>0</v>
      </c>
      <c r="M136">
        <v>1.5602657666345228</v>
      </c>
      <c r="N136">
        <v>0</v>
      </c>
      <c r="O136">
        <v>0.39006644165863069</v>
      </c>
      <c r="P136">
        <v>2.0899200000000002</v>
      </c>
      <c r="Q136">
        <v>2.1180758649951784E-4</v>
      </c>
      <c r="R136">
        <v>45000</v>
      </c>
      <c r="S136">
        <v>0</v>
      </c>
      <c r="T136">
        <v>0</v>
      </c>
      <c r="V136">
        <v>900</v>
      </c>
      <c r="W136">
        <v>10</v>
      </c>
      <c r="X136">
        <v>85</v>
      </c>
      <c r="Y136">
        <v>3</v>
      </c>
      <c r="Z136">
        <v>4</v>
      </c>
      <c r="AA136">
        <v>5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100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10</v>
      </c>
      <c r="AU136">
        <v>0</v>
      </c>
      <c r="AV136">
        <v>0</v>
      </c>
    </row>
    <row r="137" spans="1:48" x14ac:dyDescent="0.15">
      <c r="A137" s="4" t="str">
        <f>HYPERLINK("https://ibp.a2mac1.com/costing(costing:projects/details/9760/equipment/12210207)","No.04 - 60000x6000x3500 - Automatic Painting Line - with 12x100kW on line ovens")</f>
        <v>No.04 - 60000x6000x3500 - Automatic Painting Line - with 12x100kW on line ovens</v>
      </c>
      <c r="B137">
        <v>12210207</v>
      </c>
      <c r="C137">
        <v>12083238</v>
      </c>
      <c r="H137" t="s">
        <v>162</v>
      </c>
      <c r="I137">
        <v>1438767.4831999999</v>
      </c>
      <c r="J137">
        <v>0</v>
      </c>
      <c r="K137">
        <v>279.76751999999999</v>
      </c>
      <c r="L137">
        <v>0</v>
      </c>
      <c r="M137">
        <v>580.11587795564128</v>
      </c>
      <c r="N137">
        <v>0</v>
      </c>
      <c r="O137">
        <v>9.180284937345165E-2</v>
      </c>
      <c r="P137">
        <v>4.5766226262626266E-3</v>
      </c>
      <c r="Q137">
        <v>0</v>
      </c>
      <c r="R137">
        <v>8600000</v>
      </c>
      <c r="S137">
        <v>0</v>
      </c>
      <c r="T137">
        <v>0</v>
      </c>
      <c r="V137">
        <v>0</v>
      </c>
      <c r="W137">
        <v>8</v>
      </c>
      <c r="X137">
        <v>85</v>
      </c>
      <c r="Y137">
        <v>3</v>
      </c>
      <c r="Z137">
        <v>4</v>
      </c>
      <c r="AA137">
        <v>5</v>
      </c>
      <c r="AB137">
        <v>0</v>
      </c>
      <c r="AC137">
        <v>0</v>
      </c>
      <c r="AD137">
        <v>0</v>
      </c>
      <c r="AE137">
        <v>0</v>
      </c>
      <c r="AF137">
        <v>7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100</v>
      </c>
      <c r="AM137">
        <v>3400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4</v>
      </c>
      <c r="AT137">
        <v>1620</v>
      </c>
      <c r="AU137">
        <v>5</v>
      </c>
      <c r="AV137">
        <v>0</v>
      </c>
    </row>
    <row r="138" spans="1:48" x14ac:dyDescent="0.15">
      <c r="A138" s="4" t="str">
        <f>HYPERLINK("https://ibp.a2mac1.com/costing(costing:projects/details/9760/equipment/12210208)","Loading + Unloading + Retouching + Checking")</f>
        <v>Loading + Unloading + Retouching + Checking</v>
      </c>
      <c r="B138">
        <v>12210208</v>
      </c>
      <c r="C138">
        <v>12083239</v>
      </c>
      <c r="H138" t="s">
        <v>162</v>
      </c>
      <c r="I138">
        <v>116.23608</v>
      </c>
      <c r="J138">
        <v>0</v>
      </c>
      <c r="K138">
        <v>0</v>
      </c>
      <c r="L138">
        <v>0</v>
      </c>
      <c r="M138">
        <v>1.8681465766634521E-2</v>
      </c>
      <c r="N138">
        <v>0</v>
      </c>
      <c r="O138">
        <v>2.956326232430379E-6</v>
      </c>
      <c r="P138">
        <v>3.9228193939393939E-2</v>
      </c>
      <c r="Q138">
        <v>0</v>
      </c>
      <c r="R138">
        <v>0</v>
      </c>
      <c r="S138">
        <v>0</v>
      </c>
      <c r="T138">
        <v>0</v>
      </c>
      <c r="V138">
        <v>0</v>
      </c>
      <c r="W138">
        <v>8</v>
      </c>
      <c r="X138">
        <v>85</v>
      </c>
      <c r="Y138">
        <v>3</v>
      </c>
      <c r="Z138">
        <v>4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60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3</v>
      </c>
      <c r="AU138">
        <v>0</v>
      </c>
      <c r="AV138">
        <v>0</v>
      </c>
    </row>
    <row r="139" spans="1:48" x14ac:dyDescent="0.15">
      <c r="A139" s="4" t="str">
        <f>HYPERLINK("https://ibp.a2mac1.com/costing(costing:projects/details/9760/equipment/12210209)","No.01 - Injection Press - 40T - 18kW - 270x270 - Max Volume 128cm3 ")</f>
        <v xml:space="preserve">No.01 - Injection Press - 40T - 18kW - 270x270 - Max Volume 128cm3 </v>
      </c>
      <c r="B139">
        <v>12210209</v>
      </c>
      <c r="C139">
        <v>12083240</v>
      </c>
      <c r="E139" t="s">
        <v>1630</v>
      </c>
      <c r="H139" t="s">
        <v>162</v>
      </c>
      <c r="I139">
        <v>13574.9072</v>
      </c>
      <c r="J139">
        <v>0</v>
      </c>
      <c r="K139">
        <v>1.6020000000000001</v>
      </c>
      <c r="L139">
        <v>0</v>
      </c>
      <c r="M139">
        <v>4.4266395371263263</v>
      </c>
      <c r="N139">
        <v>0</v>
      </c>
      <c r="O139">
        <v>1.798815390417122E-2</v>
      </c>
      <c r="P139">
        <v>4.1971848774166667E-3</v>
      </c>
      <c r="Q139">
        <v>3.5456543444551589E-3</v>
      </c>
      <c r="R139">
        <v>80000</v>
      </c>
      <c r="S139">
        <v>0</v>
      </c>
      <c r="T139">
        <v>0</v>
      </c>
      <c r="V139">
        <v>7200</v>
      </c>
      <c r="W139">
        <v>8</v>
      </c>
      <c r="X139">
        <v>85</v>
      </c>
      <c r="Y139">
        <v>3</v>
      </c>
      <c r="Z139">
        <v>4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0.25</v>
      </c>
      <c r="AG139">
        <v>0</v>
      </c>
      <c r="AH139">
        <v>0</v>
      </c>
      <c r="AI139">
        <v>2</v>
      </c>
      <c r="AJ139">
        <v>0</v>
      </c>
      <c r="AK139">
        <v>0</v>
      </c>
      <c r="AL139">
        <v>97</v>
      </c>
      <c r="AM139">
        <v>20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20</v>
      </c>
      <c r="AU139">
        <v>0.05</v>
      </c>
      <c r="AV139">
        <v>0</v>
      </c>
    </row>
    <row r="140" spans="1:48" x14ac:dyDescent="0.15">
      <c r="A140" s="4" t="str">
        <f>HYPERLINK("https://ibp.a2mac1.com/costing(costing:projects/details/9760/equipment/12210210)","Packaging")</f>
        <v>Packaging</v>
      </c>
      <c r="B140">
        <v>12210210</v>
      </c>
      <c r="C140">
        <v>12083241</v>
      </c>
      <c r="H140" t="s">
        <v>162</v>
      </c>
      <c r="I140">
        <v>4437.4535999999998</v>
      </c>
      <c r="J140">
        <v>0</v>
      </c>
      <c r="K140">
        <v>0.08</v>
      </c>
      <c r="L140">
        <v>0</v>
      </c>
      <c r="M140">
        <v>1.0342676952748313</v>
      </c>
      <c r="N140">
        <v>0</v>
      </c>
      <c r="O140">
        <v>2.8729658202078646E-3</v>
      </c>
      <c r="P140">
        <v>1.1476333333333333E-2</v>
      </c>
      <c r="Q140">
        <v>1.5514015429122468E-5</v>
      </c>
      <c r="R140">
        <v>30000</v>
      </c>
      <c r="S140">
        <v>0</v>
      </c>
      <c r="T140">
        <v>0</v>
      </c>
      <c r="V140">
        <v>900</v>
      </c>
      <c r="W140">
        <v>10</v>
      </c>
      <c r="X140">
        <v>85</v>
      </c>
      <c r="Y140">
        <v>3</v>
      </c>
      <c r="Z140">
        <v>4</v>
      </c>
      <c r="AA140">
        <v>5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50</v>
      </c>
      <c r="AM140">
        <v>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10</v>
      </c>
      <c r="AU140">
        <v>0</v>
      </c>
      <c r="AV140">
        <v>0</v>
      </c>
    </row>
    <row r="141" spans="1:48" x14ac:dyDescent="0.15">
      <c r="A141" s="4" t="str">
        <f>HYPERLINK("https://ibp.a2mac1.com/costing(costing:projects/details/9760/equipment/12210211)","No.06 - Injection Press - 200T - 45kW - 510x510 - Max Volume 624cm3 ")</f>
        <v xml:space="preserve">No.06 - Injection Press - 200T - 45kW - 510x510 - Max Volume 624cm3 </v>
      </c>
      <c r="B141">
        <v>12210211</v>
      </c>
      <c r="C141">
        <v>12083242</v>
      </c>
      <c r="E141" t="s">
        <v>1630</v>
      </c>
      <c r="H141" t="s">
        <v>162</v>
      </c>
      <c r="I141">
        <v>34247.230880000003</v>
      </c>
      <c r="J141">
        <v>0</v>
      </c>
      <c r="K141">
        <v>2.6539999999999999</v>
      </c>
      <c r="L141">
        <v>0</v>
      </c>
      <c r="M141">
        <v>9.7654160848601741</v>
      </c>
      <c r="N141">
        <v>0</v>
      </c>
      <c r="O141">
        <v>4.7180577020081861E-2</v>
      </c>
      <c r="P141">
        <v>4.9902023798333332E-3</v>
      </c>
      <c r="Q141">
        <v>4.1863075301832205E-3</v>
      </c>
      <c r="R141">
        <v>200000</v>
      </c>
      <c r="S141">
        <v>0</v>
      </c>
      <c r="T141">
        <v>0</v>
      </c>
      <c r="V141">
        <v>7200</v>
      </c>
      <c r="W141">
        <v>8</v>
      </c>
      <c r="X141">
        <v>85</v>
      </c>
      <c r="Y141">
        <v>3</v>
      </c>
      <c r="Z141">
        <v>4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0.25</v>
      </c>
      <c r="AG141">
        <v>0</v>
      </c>
      <c r="AH141">
        <v>0</v>
      </c>
      <c r="AI141">
        <v>2</v>
      </c>
      <c r="AJ141">
        <v>0</v>
      </c>
      <c r="AK141">
        <v>0</v>
      </c>
      <c r="AL141">
        <v>93</v>
      </c>
      <c r="AM141">
        <v>35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58</v>
      </c>
      <c r="AU141">
        <v>0.05</v>
      </c>
      <c r="AV141">
        <v>0</v>
      </c>
    </row>
    <row r="142" spans="1:48" x14ac:dyDescent="0.15">
      <c r="A142" s="4" t="str">
        <f>HYPERLINK("https://ibp.a2mac1.com/costing(costing:projects/details/9760/equipment/12210212)","No.04 - 60000x6000x3500 - Automatic Painting Line - with 12x100kW on line ovens")</f>
        <v>No.04 - 60000x6000x3500 - Automatic Painting Line - with 12x100kW on line ovens</v>
      </c>
      <c r="B142">
        <v>12210212</v>
      </c>
      <c r="C142">
        <v>12083243</v>
      </c>
      <c r="H142" t="s">
        <v>162</v>
      </c>
      <c r="I142">
        <v>1438767.4831999999</v>
      </c>
      <c r="J142">
        <v>0</v>
      </c>
      <c r="K142">
        <v>279.76751999999999</v>
      </c>
      <c r="L142">
        <v>0</v>
      </c>
      <c r="M142">
        <v>580.11587795564128</v>
      </c>
      <c r="N142">
        <v>0</v>
      </c>
      <c r="O142">
        <v>0.31557229472124004</v>
      </c>
      <c r="P142">
        <v>1.5732140277777779E-2</v>
      </c>
      <c r="Q142">
        <v>0</v>
      </c>
      <c r="R142">
        <v>8600000</v>
      </c>
      <c r="S142">
        <v>0</v>
      </c>
      <c r="T142">
        <v>0</v>
      </c>
      <c r="V142">
        <v>0</v>
      </c>
      <c r="W142">
        <v>8</v>
      </c>
      <c r="X142">
        <v>85</v>
      </c>
      <c r="Y142">
        <v>3</v>
      </c>
      <c r="Z142">
        <v>4</v>
      </c>
      <c r="AA142">
        <v>5</v>
      </c>
      <c r="AB142">
        <v>0</v>
      </c>
      <c r="AC142">
        <v>0</v>
      </c>
      <c r="AD142">
        <v>0</v>
      </c>
      <c r="AE142">
        <v>0</v>
      </c>
      <c r="AF142">
        <v>7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100</v>
      </c>
      <c r="AM142">
        <v>3400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4</v>
      </c>
      <c r="AT142">
        <v>1620</v>
      </c>
      <c r="AU142">
        <v>5</v>
      </c>
      <c r="AV142">
        <v>0</v>
      </c>
    </row>
    <row r="143" spans="1:48" x14ac:dyDescent="0.15">
      <c r="A143" s="4" t="str">
        <f>HYPERLINK("https://ibp.a2mac1.com/costing(costing:projects/details/9760/equipment/12210213)","Loading + Unloading + Retouching + Checking")</f>
        <v>Loading + Unloading + Retouching + Checking</v>
      </c>
      <c r="B143">
        <v>12210213</v>
      </c>
      <c r="C143">
        <v>12083244</v>
      </c>
      <c r="H143" t="s">
        <v>162</v>
      </c>
      <c r="I143">
        <v>116.23608</v>
      </c>
      <c r="J143">
        <v>0</v>
      </c>
      <c r="K143">
        <v>0</v>
      </c>
      <c r="L143">
        <v>0</v>
      </c>
      <c r="M143">
        <v>1.8681465766634521E-2</v>
      </c>
      <c r="N143">
        <v>0</v>
      </c>
      <c r="O143">
        <v>1.0162371423979428E-5</v>
      </c>
      <c r="P143">
        <v>4.4948972222222223E-2</v>
      </c>
      <c r="Q143">
        <v>0</v>
      </c>
      <c r="R143">
        <v>0</v>
      </c>
      <c r="S143">
        <v>0</v>
      </c>
      <c r="T143">
        <v>0</v>
      </c>
      <c r="V143">
        <v>0</v>
      </c>
      <c r="W143">
        <v>8</v>
      </c>
      <c r="X143">
        <v>85</v>
      </c>
      <c r="Y143">
        <v>3</v>
      </c>
      <c r="Z143">
        <v>4</v>
      </c>
      <c r="AA143">
        <v>5</v>
      </c>
      <c r="AB143">
        <v>0</v>
      </c>
      <c r="AC143">
        <v>0</v>
      </c>
      <c r="AD143">
        <v>0</v>
      </c>
      <c r="AE143">
        <v>0</v>
      </c>
      <c r="AF143">
        <v>20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</v>
      </c>
      <c r="AU143">
        <v>0</v>
      </c>
      <c r="AV143">
        <v>0</v>
      </c>
    </row>
    <row r="144" spans="1:48" x14ac:dyDescent="0.15">
      <c r="A144" s="4" t="str">
        <f>HYPERLINK("https://ibp.a2mac1.com/costing(costing:projects/details/9760/equipment/12210214)","No.05 - Injection Press - 125T - 34kW - 500x500 - Max Volume 260cm3 ")</f>
        <v xml:space="preserve">No.05 - Injection Press - 125T - 34kW - 500x500 - Max Volume 260cm3 </v>
      </c>
      <c r="B144">
        <v>12210214</v>
      </c>
      <c r="C144">
        <v>12083245</v>
      </c>
      <c r="E144" t="s">
        <v>1630</v>
      </c>
      <c r="H144" t="s">
        <v>162</v>
      </c>
      <c r="I144">
        <v>25501.382699999998</v>
      </c>
      <c r="J144">
        <v>0</v>
      </c>
      <c r="K144">
        <v>2.375</v>
      </c>
      <c r="L144">
        <v>0</v>
      </c>
      <c r="M144">
        <v>7.6789830761812921</v>
      </c>
      <c r="N144">
        <v>0</v>
      </c>
      <c r="O144">
        <v>3.7791453963661334E-2</v>
      </c>
      <c r="P144">
        <v>5.0831807634166663E-3</v>
      </c>
      <c r="Q144">
        <v>3.9359355691417552E-3</v>
      </c>
      <c r="R144">
        <v>150000</v>
      </c>
      <c r="S144">
        <v>0</v>
      </c>
      <c r="T144">
        <v>0</v>
      </c>
      <c r="V144">
        <v>7200</v>
      </c>
      <c r="W144">
        <v>8</v>
      </c>
      <c r="X144">
        <v>85</v>
      </c>
      <c r="Y144">
        <v>3</v>
      </c>
      <c r="Z144">
        <v>4</v>
      </c>
      <c r="AA144">
        <v>5</v>
      </c>
      <c r="AB144">
        <v>0</v>
      </c>
      <c r="AC144">
        <v>0</v>
      </c>
      <c r="AD144">
        <v>0</v>
      </c>
      <c r="AE144">
        <v>0</v>
      </c>
      <c r="AF144">
        <v>0.25</v>
      </c>
      <c r="AG144">
        <v>0</v>
      </c>
      <c r="AH144">
        <v>0</v>
      </c>
      <c r="AI144">
        <v>2</v>
      </c>
      <c r="AJ144">
        <v>0</v>
      </c>
      <c r="AK144">
        <v>0</v>
      </c>
      <c r="AL144">
        <v>93</v>
      </c>
      <c r="AM144">
        <v>31.25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38.75</v>
      </c>
      <c r="AU144">
        <v>0.05</v>
      </c>
      <c r="AV144">
        <v>0</v>
      </c>
    </row>
    <row r="145" spans="1:48" x14ac:dyDescent="0.15">
      <c r="A145" s="4" t="str">
        <f>HYPERLINK("https://ibp.a2mac1.com/costing(costing:projects/details/9760/equipment/12210215)","No.04 - 60000x6000x3500 - Automatic Painting Line - with 12x100kW on line ovens")</f>
        <v>No.04 - 60000x6000x3500 - Automatic Painting Line - with 12x100kW on line ovens</v>
      </c>
      <c r="B145">
        <v>12210215</v>
      </c>
      <c r="C145">
        <v>12083246</v>
      </c>
      <c r="H145" t="s">
        <v>162</v>
      </c>
      <c r="I145">
        <v>1438767.4831999999</v>
      </c>
      <c r="J145">
        <v>0</v>
      </c>
      <c r="K145">
        <v>279.76751999999999</v>
      </c>
      <c r="L145">
        <v>0</v>
      </c>
      <c r="M145">
        <v>580.11587795564128</v>
      </c>
      <c r="N145">
        <v>0</v>
      </c>
      <c r="O145">
        <v>0.17213034257522183</v>
      </c>
      <c r="P145">
        <v>8.5811674242424248E-3</v>
      </c>
      <c r="Q145">
        <v>0</v>
      </c>
      <c r="R145">
        <v>8600000</v>
      </c>
      <c r="S145">
        <v>0</v>
      </c>
      <c r="T145">
        <v>0</v>
      </c>
      <c r="V145">
        <v>0</v>
      </c>
      <c r="W145">
        <v>8</v>
      </c>
      <c r="X145">
        <v>85</v>
      </c>
      <c r="Y145">
        <v>3</v>
      </c>
      <c r="Z145">
        <v>4</v>
      </c>
      <c r="AA145">
        <v>5</v>
      </c>
      <c r="AB145">
        <v>0</v>
      </c>
      <c r="AC145">
        <v>0</v>
      </c>
      <c r="AD145">
        <v>0</v>
      </c>
      <c r="AE145">
        <v>0</v>
      </c>
      <c r="AF145">
        <v>7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100</v>
      </c>
      <c r="AM145">
        <v>3400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4</v>
      </c>
      <c r="AT145">
        <v>1620</v>
      </c>
      <c r="AU145">
        <v>5</v>
      </c>
      <c r="AV145">
        <v>0</v>
      </c>
    </row>
    <row r="146" spans="1:48" x14ac:dyDescent="0.15">
      <c r="A146" s="4" t="str">
        <f>HYPERLINK("https://ibp.a2mac1.com/costing(costing:projects/details/9760/equipment/12210216)","Loading + Unloading + Retouching + Checking")</f>
        <v>Loading + Unloading + Retouching + Checking</v>
      </c>
      <c r="B146">
        <v>12210216</v>
      </c>
      <c r="C146">
        <v>12083247</v>
      </c>
      <c r="H146" t="s">
        <v>162</v>
      </c>
      <c r="I146">
        <v>116.23608</v>
      </c>
      <c r="J146">
        <v>0</v>
      </c>
      <c r="K146">
        <v>0</v>
      </c>
      <c r="L146">
        <v>0</v>
      </c>
      <c r="M146">
        <v>1.8681465766634521E-2</v>
      </c>
      <c r="N146">
        <v>0</v>
      </c>
      <c r="O146">
        <v>5.5431116858069609E-6</v>
      </c>
      <c r="P146">
        <v>3.8002312878787879E-2</v>
      </c>
      <c r="Q146">
        <v>0</v>
      </c>
      <c r="R146">
        <v>0</v>
      </c>
      <c r="S146">
        <v>0</v>
      </c>
      <c r="T146">
        <v>0</v>
      </c>
      <c r="V146">
        <v>0</v>
      </c>
      <c r="W146">
        <v>8</v>
      </c>
      <c r="X146">
        <v>85</v>
      </c>
      <c r="Y146">
        <v>3</v>
      </c>
      <c r="Z146">
        <v>4</v>
      </c>
      <c r="AA146">
        <v>5</v>
      </c>
      <c r="AB146">
        <v>0</v>
      </c>
      <c r="AC146">
        <v>0</v>
      </c>
      <c r="AD146">
        <v>0</v>
      </c>
      <c r="AE146">
        <v>0</v>
      </c>
      <c r="AF146">
        <v>31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3</v>
      </c>
      <c r="AU146">
        <v>0</v>
      </c>
      <c r="AV146">
        <v>0</v>
      </c>
    </row>
    <row r="147" spans="1:48" x14ac:dyDescent="0.15">
      <c r="A147" s="4" t="str">
        <f>HYPERLINK("https://ibp.a2mac1.com/costing(costing:projects/details/9760/equipment/12210217)","No.01 - Injection Press - 40T - 18kW - 270x270 - Max Volume 128cm3 ")</f>
        <v xml:space="preserve">No.01 - Injection Press - 40T - 18kW - 270x270 - Max Volume 128cm3 </v>
      </c>
      <c r="B147">
        <v>12210217</v>
      </c>
      <c r="C147">
        <v>12083248</v>
      </c>
      <c r="E147" t="s">
        <v>1630</v>
      </c>
      <c r="H147" t="s">
        <v>162</v>
      </c>
      <c r="I147">
        <v>13574.9072</v>
      </c>
      <c r="J147">
        <v>0</v>
      </c>
      <c r="K147">
        <v>1.6020000000000001</v>
      </c>
      <c r="L147">
        <v>0</v>
      </c>
      <c r="M147">
        <v>4.4266395371263263</v>
      </c>
      <c r="N147">
        <v>0</v>
      </c>
      <c r="O147">
        <v>1.9169390368432446E-2</v>
      </c>
      <c r="P147">
        <v>4.4728033678333333E-3</v>
      </c>
      <c r="Q147">
        <v>3.5456543444551589E-3</v>
      </c>
      <c r="R147">
        <v>80000</v>
      </c>
      <c r="S147">
        <v>0</v>
      </c>
      <c r="T147">
        <v>0</v>
      </c>
      <c r="V147">
        <v>7200</v>
      </c>
      <c r="W147">
        <v>8</v>
      </c>
      <c r="X147">
        <v>85</v>
      </c>
      <c r="Y147">
        <v>3</v>
      </c>
      <c r="Z147">
        <v>4</v>
      </c>
      <c r="AA147">
        <v>5</v>
      </c>
      <c r="AB147">
        <v>0</v>
      </c>
      <c r="AC147">
        <v>0</v>
      </c>
      <c r="AD147">
        <v>0</v>
      </c>
      <c r="AE147">
        <v>0</v>
      </c>
      <c r="AF147">
        <v>0.25</v>
      </c>
      <c r="AG147">
        <v>0</v>
      </c>
      <c r="AH147">
        <v>0</v>
      </c>
      <c r="AI147">
        <v>2</v>
      </c>
      <c r="AJ147">
        <v>0</v>
      </c>
      <c r="AK147">
        <v>0</v>
      </c>
      <c r="AL147">
        <v>97</v>
      </c>
      <c r="AM147">
        <v>20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20</v>
      </c>
      <c r="AU147">
        <v>0.05</v>
      </c>
      <c r="AV147">
        <v>0</v>
      </c>
    </row>
    <row r="148" spans="1:48" x14ac:dyDescent="0.15">
      <c r="A148" s="4" t="str">
        <f>HYPERLINK("https://ibp.a2mac1.com/costing(costing:projects/details/9760/equipment/12210168)","DC machine - General")</f>
        <v>DC machine - General</v>
      </c>
      <c r="B148">
        <v>12210168</v>
      </c>
      <c r="C148">
        <v>12083199</v>
      </c>
      <c r="E148" t="s">
        <v>738</v>
      </c>
      <c r="H148" t="s">
        <v>162</v>
      </c>
      <c r="I148">
        <v>116914.84457142858</v>
      </c>
      <c r="J148">
        <v>0</v>
      </c>
      <c r="K148">
        <v>3.6</v>
      </c>
      <c r="L148">
        <v>0</v>
      </c>
      <c r="M148">
        <v>27.497982091197134</v>
      </c>
      <c r="N148">
        <v>0</v>
      </c>
      <c r="O148">
        <v>0.64161958212793313</v>
      </c>
      <c r="P148">
        <v>9.6401200000000006E-2</v>
      </c>
      <c r="Q148">
        <v>1.9553610627359139E-2</v>
      </c>
      <c r="R148">
        <v>635568</v>
      </c>
      <c r="S148">
        <v>0</v>
      </c>
      <c r="T148">
        <v>0</v>
      </c>
      <c r="V148">
        <v>10800</v>
      </c>
      <c r="W148">
        <v>7</v>
      </c>
      <c r="X148">
        <v>85</v>
      </c>
      <c r="Y148">
        <v>3</v>
      </c>
      <c r="Z148">
        <v>4</v>
      </c>
      <c r="AA148">
        <v>5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3</v>
      </c>
      <c r="AJ148">
        <v>0</v>
      </c>
      <c r="AK148">
        <v>0</v>
      </c>
      <c r="AL148">
        <v>100</v>
      </c>
      <c r="AM148">
        <v>45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100</v>
      </c>
      <c r="AU148">
        <v>0</v>
      </c>
      <c r="AV148">
        <v>0</v>
      </c>
    </row>
    <row r="149" spans="1:48" x14ac:dyDescent="0.15">
      <c r="A149" s="4" t="str">
        <f>HYPERLINK("https://ibp.a2mac1.com/costing(costing:projects/details/9760/equipment/12210299)","4Station Assembly line for mechanical mechanism and motor (steering column)")</f>
        <v>4Station Assembly line for mechanical mechanism and motor (steering column)</v>
      </c>
      <c r="B149">
        <v>12210299</v>
      </c>
      <c r="C149">
        <v>12083253</v>
      </c>
      <c r="E149" t="s">
        <v>738</v>
      </c>
      <c r="H149" t="s">
        <v>162</v>
      </c>
      <c r="I149">
        <v>188792.11799999999</v>
      </c>
      <c r="J149">
        <v>0</v>
      </c>
      <c r="K149">
        <v>1.08</v>
      </c>
      <c r="L149">
        <v>0</v>
      </c>
      <c r="M149">
        <v>42.545383799421408</v>
      </c>
      <c r="N149">
        <v>0</v>
      </c>
      <c r="O149">
        <v>0.7090897299903568</v>
      </c>
      <c r="P149">
        <v>5.233433333333333E-2</v>
      </c>
      <c r="Q149">
        <v>9.1842706332369013E-4</v>
      </c>
      <c r="R149">
        <v>1384110</v>
      </c>
      <c r="S149">
        <v>0</v>
      </c>
      <c r="T149">
        <v>0</v>
      </c>
      <c r="V149">
        <v>600</v>
      </c>
      <c r="W149">
        <v>10</v>
      </c>
      <c r="X149">
        <v>85</v>
      </c>
      <c r="Y149">
        <v>5</v>
      </c>
      <c r="Z149">
        <v>5</v>
      </c>
      <c r="AA149">
        <v>5</v>
      </c>
      <c r="AB149">
        <v>0</v>
      </c>
      <c r="AC149">
        <v>0</v>
      </c>
      <c r="AD149">
        <v>0.25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90</v>
      </c>
      <c r="AM149">
        <v>15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50</v>
      </c>
      <c r="AU149">
        <v>0</v>
      </c>
      <c r="AV149">
        <v>0</v>
      </c>
    </row>
    <row r="150" spans="1:48" x14ac:dyDescent="0.15">
      <c r="A150" s="4" t="str">
        <f>HYPERLINK("https://ibp.a2mac1.com/costing(costing:projects/details/9760/equipment/12210300)","4Station Assembly line for mechanical mechanism and motor (steering column)")</f>
        <v>4Station Assembly line for mechanical mechanism and motor (steering column)</v>
      </c>
      <c r="B150">
        <v>12210300</v>
      </c>
      <c r="C150">
        <v>12083254</v>
      </c>
      <c r="E150" t="s">
        <v>738</v>
      </c>
      <c r="H150" t="s">
        <v>162</v>
      </c>
      <c r="I150">
        <v>188792.11799999999</v>
      </c>
      <c r="J150">
        <v>0</v>
      </c>
      <c r="K150">
        <v>1.08</v>
      </c>
      <c r="L150">
        <v>0</v>
      </c>
      <c r="M150">
        <v>42.545383799421408</v>
      </c>
      <c r="N150">
        <v>0</v>
      </c>
      <c r="O150">
        <v>0.7090897299903568</v>
      </c>
      <c r="P150">
        <v>5.233433333333333E-2</v>
      </c>
      <c r="Q150">
        <v>9.1842706332369013E-4</v>
      </c>
      <c r="R150">
        <v>1384110</v>
      </c>
      <c r="S150">
        <v>0</v>
      </c>
      <c r="T150">
        <v>0</v>
      </c>
      <c r="V150">
        <v>600</v>
      </c>
      <c r="W150">
        <v>10</v>
      </c>
      <c r="X150">
        <v>85</v>
      </c>
      <c r="Y150">
        <v>5</v>
      </c>
      <c r="Z150">
        <v>5</v>
      </c>
      <c r="AA150">
        <v>5</v>
      </c>
      <c r="AB150">
        <v>0</v>
      </c>
      <c r="AC150">
        <v>0</v>
      </c>
      <c r="AD150">
        <v>0.25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90</v>
      </c>
      <c r="AM150">
        <v>15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50</v>
      </c>
      <c r="AU150">
        <v>0</v>
      </c>
      <c r="AV150">
        <v>0</v>
      </c>
    </row>
    <row r="151" spans="1:48" x14ac:dyDescent="0.15">
      <c r="A151" s="4" t="str">
        <f>HYPERLINK("https://ibp.a2mac1.com/costing(costing:projects/details/9760/equipment/12210218)","General production process (0.5-10€)")</f>
        <v>General production process (0.5-10€)</v>
      </c>
      <c r="B151">
        <v>12210218</v>
      </c>
      <c r="C151">
        <v>12083249</v>
      </c>
      <c r="H151" t="s">
        <v>162</v>
      </c>
      <c r="I151">
        <v>116914.84457142858</v>
      </c>
      <c r="J151">
        <v>0</v>
      </c>
      <c r="K151">
        <v>3.6</v>
      </c>
      <c r="L151">
        <v>0</v>
      </c>
      <c r="M151">
        <v>27.497982091197134</v>
      </c>
      <c r="N151">
        <v>0</v>
      </c>
      <c r="O151">
        <v>6.2634292541060139</v>
      </c>
      <c r="P151">
        <v>0.94105933333333336</v>
      </c>
      <c r="Q151">
        <v>1.1732166376415484E-2</v>
      </c>
      <c r="R151">
        <v>635568</v>
      </c>
      <c r="S151">
        <v>0</v>
      </c>
      <c r="T151">
        <v>0</v>
      </c>
      <c r="V151">
        <v>10800</v>
      </c>
      <c r="W151">
        <v>7</v>
      </c>
      <c r="X151">
        <v>85</v>
      </c>
      <c r="Y151">
        <v>3</v>
      </c>
      <c r="Z151">
        <v>4</v>
      </c>
      <c r="AA151">
        <v>5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3</v>
      </c>
      <c r="AJ151">
        <v>0</v>
      </c>
      <c r="AK151">
        <v>0</v>
      </c>
      <c r="AL151">
        <v>100</v>
      </c>
      <c r="AM151">
        <v>45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100</v>
      </c>
      <c r="AU151">
        <v>0</v>
      </c>
      <c r="AV151">
        <v>0</v>
      </c>
    </row>
    <row r="152" spans="1:48" x14ac:dyDescent="0.15">
      <c r="A152" s="4" t="str">
        <f>HYPERLINK("https://ibp.a2mac1.com/costing(costing:projects/details/9760/equipment/12210170)","General production process (0.5-10€)")</f>
        <v>General production process (0.5-10€)</v>
      </c>
      <c r="B152">
        <v>12210170</v>
      </c>
      <c r="C152">
        <v>12083223</v>
      </c>
      <c r="H152" t="s">
        <v>162</v>
      </c>
      <c r="I152">
        <v>116914.84457142858</v>
      </c>
      <c r="J152">
        <v>0</v>
      </c>
      <c r="K152">
        <v>3.6</v>
      </c>
      <c r="L152">
        <v>0</v>
      </c>
      <c r="M152">
        <v>27.497982091197134</v>
      </c>
      <c r="N152">
        <v>0</v>
      </c>
      <c r="O152">
        <v>3.666397612159618</v>
      </c>
      <c r="P152">
        <v>0.55086400000000002</v>
      </c>
      <c r="Q152">
        <v>1.9553610627359139E-2</v>
      </c>
      <c r="R152">
        <v>635568</v>
      </c>
      <c r="S152">
        <v>0</v>
      </c>
      <c r="T152">
        <v>0</v>
      </c>
      <c r="V152">
        <v>10800</v>
      </c>
      <c r="W152">
        <v>7</v>
      </c>
      <c r="X152">
        <v>85</v>
      </c>
      <c r="Y152">
        <v>3</v>
      </c>
      <c r="Z152">
        <v>4</v>
      </c>
      <c r="AA152">
        <v>5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3</v>
      </c>
      <c r="AJ152">
        <v>0</v>
      </c>
      <c r="AK152">
        <v>0</v>
      </c>
      <c r="AL152">
        <v>100</v>
      </c>
      <c r="AM152">
        <v>45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100</v>
      </c>
      <c r="AU152">
        <v>0</v>
      </c>
      <c r="AV152">
        <v>0</v>
      </c>
    </row>
    <row r="153" spans="1:48" x14ac:dyDescent="0.15">
      <c r="A153" s="4" t="str">
        <f>HYPERLINK("https://ibp.a2mac1.com/costing(costing:projects/details/9760/equipment/12210219)","General production process (0.5-10€)")</f>
        <v>General production process (0.5-10€)</v>
      </c>
      <c r="B153">
        <v>12210219</v>
      </c>
      <c r="C153">
        <v>12083250</v>
      </c>
      <c r="H153" t="s">
        <v>162</v>
      </c>
      <c r="I153">
        <v>116914.84457142858</v>
      </c>
      <c r="J153">
        <v>0</v>
      </c>
      <c r="K153">
        <v>3.6</v>
      </c>
      <c r="L153">
        <v>0</v>
      </c>
      <c r="M153">
        <v>27.497982091197134</v>
      </c>
      <c r="N153">
        <v>0</v>
      </c>
      <c r="O153">
        <v>4.0865056718862407</v>
      </c>
      <c r="P153">
        <v>0.61398383333333328</v>
      </c>
      <c r="Q153">
        <v>1.1732166376415484E-2</v>
      </c>
      <c r="R153">
        <v>635568</v>
      </c>
      <c r="S153">
        <v>0</v>
      </c>
      <c r="T153">
        <v>0</v>
      </c>
      <c r="V153">
        <v>10800</v>
      </c>
      <c r="W153">
        <v>7</v>
      </c>
      <c r="X153">
        <v>85</v>
      </c>
      <c r="Y153">
        <v>3</v>
      </c>
      <c r="Z153">
        <v>4</v>
      </c>
      <c r="AA153">
        <v>5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3</v>
      </c>
      <c r="AJ153">
        <v>0</v>
      </c>
      <c r="AK153">
        <v>0</v>
      </c>
      <c r="AL153">
        <v>100</v>
      </c>
      <c r="AM153">
        <v>45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100</v>
      </c>
      <c r="AU153">
        <v>0</v>
      </c>
      <c r="AV153">
        <v>0</v>
      </c>
    </row>
    <row r="154" spans="1:48" x14ac:dyDescent="0.15">
      <c r="A154" s="4" t="str">
        <f>HYPERLINK("https://ibp.a2mac1.com/costing(costing:projects/details/9760/equipment/12210171)","General production process (0.5-10€)")</f>
        <v>General production process (0.5-10€)</v>
      </c>
      <c r="B154">
        <v>12210171</v>
      </c>
      <c r="C154">
        <v>12083224</v>
      </c>
      <c r="H154" t="s">
        <v>162</v>
      </c>
      <c r="I154">
        <v>116914.84457142858</v>
      </c>
      <c r="J154">
        <v>0</v>
      </c>
      <c r="K154">
        <v>3.6</v>
      </c>
      <c r="L154">
        <v>0</v>
      </c>
      <c r="M154">
        <v>27.497982091197134</v>
      </c>
      <c r="N154">
        <v>0</v>
      </c>
      <c r="O154">
        <v>1.710985552341155</v>
      </c>
      <c r="P154">
        <v>0.25706986666666665</v>
      </c>
      <c r="Q154">
        <v>1.9553610627359139E-2</v>
      </c>
      <c r="R154">
        <v>635568</v>
      </c>
      <c r="S154">
        <v>0</v>
      </c>
      <c r="T154">
        <v>0</v>
      </c>
      <c r="V154">
        <v>10800</v>
      </c>
      <c r="W154">
        <v>7</v>
      </c>
      <c r="X154">
        <v>85</v>
      </c>
      <c r="Y154">
        <v>3</v>
      </c>
      <c r="Z154">
        <v>4</v>
      </c>
      <c r="AA154">
        <v>5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3</v>
      </c>
      <c r="AJ154">
        <v>0</v>
      </c>
      <c r="AK154">
        <v>0</v>
      </c>
      <c r="AL154">
        <v>100</v>
      </c>
      <c r="AM154">
        <v>45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100</v>
      </c>
      <c r="AU154">
        <v>0</v>
      </c>
      <c r="AV154">
        <v>0</v>
      </c>
    </row>
    <row r="155" spans="1:48" x14ac:dyDescent="0.15">
      <c r="A155" s="4" t="str">
        <f>HYPERLINK("https://ibp.a2mac1.com/costing(costing:projects/details/9760/equipment/12210302)","DC machine - General")</f>
        <v>DC machine - General</v>
      </c>
      <c r="B155">
        <v>12210302</v>
      </c>
      <c r="C155">
        <v>12083258</v>
      </c>
      <c r="E155" t="s">
        <v>738</v>
      </c>
      <c r="H155" t="s">
        <v>162</v>
      </c>
      <c r="I155">
        <v>116914.84457142858</v>
      </c>
      <c r="J155">
        <v>0</v>
      </c>
      <c r="K155">
        <v>3.6</v>
      </c>
      <c r="L155">
        <v>0</v>
      </c>
      <c r="M155">
        <v>27.497982091197134</v>
      </c>
      <c r="N155">
        <v>0</v>
      </c>
      <c r="O155">
        <v>0.12221325373865394</v>
      </c>
      <c r="P155">
        <v>1.8362133333333332E-2</v>
      </c>
      <c r="Q155">
        <v>1.1732166376415484E-2</v>
      </c>
      <c r="R155">
        <v>635568</v>
      </c>
      <c r="S155">
        <v>0</v>
      </c>
      <c r="T155">
        <v>0</v>
      </c>
      <c r="V155">
        <v>10800</v>
      </c>
      <c r="W155">
        <v>7</v>
      </c>
      <c r="X155">
        <v>85</v>
      </c>
      <c r="Y155">
        <v>3</v>
      </c>
      <c r="Z155">
        <v>4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3</v>
      </c>
      <c r="AJ155">
        <v>0</v>
      </c>
      <c r="AK155">
        <v>0</v>
      </c>
      <c r="AL155">
        <v>100</v>
      </c>
      <c r="AM155">
        <v>45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100</v>
      </c>
      <c r="AU155">
        <v>0</v>
      </c>
      <c r="AV155">
        <v>0</v>
      </c>
    </row>
    <row r="156" spans="1:48" x14ac:dyDescent="0.15">
      <c r="A156" s="4" t="str">
        <f>HYPERLINK("https://ibp.a2mac1.com/costing(costing:projects/details/9760/equipment/12210301)","DC machine - General")</f>
        <v>DC machine - General</v>
      </c>
      <c r="B156">
        <v>12210301</v>
      </c>
      <c r="C156">
        <v>12083255</v>
      </c>
      <c r="E156" t="s">
        <v>738</v>
      </c>
      <c r="H156" t="s">
        <v>162</v>
      </c>
      <c r="I156">
        <v>116914.84457142858</v>
      </c>
      <c r="J156">
        <v>0</v>
      </c>
      <c r="K156">
        <v>3.6</v>
      </c>
      <c r="L156">
        <v>0</v>
      </c>
      <c r="M156">
        <v>27.497982091197134</v>
      </c>
      <c r="N156">
        <v>0</v>
      </c>
      <c r="O156">
        <v>4.5829970151995227E-2</v>
      </c>
      <c r="P156">
        <v>6.8858000000000001E-3</v>
      </c>
      <c r="Q156">
        <v>1.1732166376415484E-2</v>
      </c>
      <c r="R156">
        <v>635568</v>
      </c>
      <c r="S156">
        <v>0</v>
      </c>
      <c r="T156">
        <v>0</v>
      </c>
      <c r="V156">
        <v>10800</v>
      </c>
      <c r="W156">
        <v>7</v>
      </c>
      <c r="X156">
        <v>85</v>
      </c>
      <c r="Y156">
        <v>3</v>
      </c>
      <c r="Z156">
        <v>4</v>
      </c>
      <c r="AA156">
        <v>5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3</v>
      </c>
      <c r="AJ156">
        <v>0</v>
      </c>
      <c r="AK156">
        <v>0</v>
      </c>
      <c r="AL156">
        <v>100</v>
      </c>
      <c r="AM156">
        <v>45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100</v>
      </c>
      <c r="AU156">
        <v>0</v>
      </c>
      <c r="AV156">
        <v>0</v>
      </c>
    </row>
    <row r="157" spans="1:48" x14ac:dyDescent="0.15">
      <c r="A157" s="4" t="str">
        <f>HYPERLINK("https://ibp.a2mac1.com/costing(costing:projects/details/9760/equipment/12210172)","DC machine - General")</f>
        <v>DC machine - General</v>
      </c>
      <c r="B157">
        <v>12210172</v>
      </c>
      <c r="C157">
        <v>12083225</v>
      </c>
      <c r="E157" t="s">
        <v>738</v>
      </c>
      <c r="H157" t="s">
        <v>162</v>
      </c>
      <c r="I157">
        <v>116914.84457142858</v>
      </c>
      <c r="J157">
        <v>0</v>
      </c>
      <c r="K157">
        <v>3.6</v>
      </c>
      <c r="L157">
        <v>0</v>
      </c>
      <c r="M157">
        <v>27.497982091197134</v>
      </c>
      <c r="N157">
        <v>0</v>
      </c>
      <c r="O157">
        <v>0.64925791048659898</v>
      </c>
      <c r="P157">
        <v>9.7548833333333335E-2</v>
      </c>
      <c r="Q157">
        <v>1.1732166376415484E-2</v>
      </c>
      <c r="R157">
        <v>635568</v>
      </c>
      <c r="S157">
        <v>0</v>
      </c>
      <c r="T157">
        <v>0</v>
      </c>
      <c r="V157">
        <v>10800</v>
      </c>
      <c r="W157">
        <v>7</v>
      </c>
      <c r="X157">
        <v>85</v>
      </c>
      <c r="Y157">
        <v>3</v>
      </c>
      <c r="Z157">
        <v>4</v>
      </c>
      <c r="AA157">
        <v>5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3</v>
      </c>
      <c r="AJ157">
        <v>0</v>
      </c>
      <c r="AK157">
        <v>0</v>
      </c>
      <c r="AL157">
        <v>100</v>
      </c>
      <c r="AM157">
        <v>45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100</v>
      </c>
      <c r="AU157">
        <v>0</v>
      </c>
      <c r="AV157">
        <v>0</v>
      </c>
    </row>
    <row r="158" spans="1:48" x14ac:dyDescent="0.15">
      <c r="A158" s="4" t="str">
        <f>HYPERLINK("https://ibp.a2mac1.com/costing(costing:projects/details/9760/equipment/12210173)","DC machine - General")</f>
        <v>DC machine - General</v>
      </c>
      <c r="B158">
        <v>12210173</v>
      </c>
      <c r="C158">
        <v>12083226</v>
      </c>
      <c r="E158" t="s">
        <v>738</v>
      </c>
      <c r="H158" t="s">
        <v>162</v>
      </c>
      <c r="I158">
        <v>116914.84457142858</v>
      </c>
      <c r="J158">
        <v>0</v>
      </c>
      <c r="K158">
        <v>3.6</v>
      </c>
      <c r="L158">
        <v>0</v>
      </c>
      <c r="M158">
        <v>27.497982091197134</v>
      </c>
      <c r="N158">
        <v>0</v>
      </c>
      <c r="O158">
        <v>3.0553313434663484E-2</v>
      </c>
      <c r="P158">
        <v>4.5905333333333331E-3</v>
      </c>
      <c r="Q158">
        <v>1.1732166376415484E-2</v>
      </c>
      <c r="R158">
        <v>635568</v>
      </c>
      <c r="S158">
        <v>0</v>
      </c>
      <c r="T158">
        <v>0</v>
      </c>
      <c r="V158">
        <v>10800</v>
      </c>
      <c r="W158">
        <v>7</v>
      </c>
      <c r="X158">
        <v>85</v>
      </c>
      <c r="Y158">
        <v>3</v>
      </c>
      <c r="Z158">
        <v>4</v>
      </c>
      <c r="AA158">
        <v>5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3</v>
      </c>
      <c r="AJ158">
        <v>0</v>
      </c>
      <c r="AK158">
        <v>0</v>
      </c>
      <c r="AL158">
        <v>100</v>
      </c>
      <c r="AM158">
        <v>45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100</v>
      </c>
      <c r="AU158">
        <v>0</v>
      </c>
      <c r="AV158">
        <v>0</v>
      </c>
    </row>
    <row r="159" spans="1:48" x14ac:dyDescent="0.15">
      <c r="A159" s="4" t="str">
        <f>HYPERLINK("https://ibp.a2mac1.com/costing(costing:projects/details/9760/equipment/12210174)","General production process (&gt;10€)")</f>
        <v>General production process (&gt;10€)</v>
      </c>
      <c r="B159">
        <v>12210174</v>
      </c>
      <c r="C159">
        <v>12083227</v>
      </c>
      <c r="H159" t="s">
        <v>162</v>
      </c>
      <c r="I159">
        <v>116914.84457142858</v>
      </c>
      <c r="J159">
        <v>0</v>
      </c>
      <c r="K159">
        <v>3.6</v>
      </c>
      <c r="L159">
        <v>0</v>
      </c>
      <c r="M159">
        <v>27.497982091197134</v>
      </c>
      <c r="N159">
        <v>0</v>
      </c>
      <c r="O159">
        <v>67.981122392126252</v>
      </c>
      <c r="P159">
        <v>10.213936666666667</v>
      </c>
      <c r="Q159">
        <v>0.11732166376415484</v>
      </c>
      <c r="R159">
        <v>635568</v>
      </c>
      <c r="S159">
        <v>0</v>
      </c>
      <c r="T159">
        <v>0</v>
      </c>
      <c r="V159">
        <v>108000</v>
      </c>
      <c r="W159">
        <v>7</v>
      </c>
      <c r="X159">
        <v>85</v>
      </c>
      <c r="Y159">
        <v>3</v>
      </c>
      <c r="Z159">
        <v>4</v>
      </c>
      <c r="AA159">
        <v>5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3</v>
      </c>
      <c r="AJ159">
        <v>0</v>
      </c>
      <c r="AK159">
        <v>0</v>
      </c>
      <c r="AL159">
        <v>100</v>
      </c>
      <c r="AM159">
        <v>45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100</v>
      </c>
      <c r="AU159">
        <v>0</v>
      </c>
      <c r="AV159">
        <v>0</v>
      </c>
    </row>
    <row r="160" spans="1:48" x14ac:dyDescent="0.15">
      <c r="A160" s="4" t="str">
        <f>HYPERLINK("https://ibp.a2mac1.com/costing(costing:projects/details/9760/equipment/12210169)","General production process (0.5-10€)")</f>
        <v>General production process (0.5-10€)</v>
      </c>
      <c r="B160">
        <v>12210169</v>
      </c>
      <c r="C160">
        <v>12083200</v>
      </c>
      <c r="H160" t="s">
        <v>162</v>
      </c>
      <c r="I160">
        <v>116914.84457142858</v>
      </c>
      <c r="J160">
        <v>0</v>
      </c>
      <c r="K160">
        <v>3.6</v>
      </c>
      <c r="L160">
        <v>0</v>
      </c>
      <c r="M160">
        <v>27.497982091197134</v>
      </c>
      <c r="N160">
        <v>0</v>
      </c>
      <c r="O160">
        <v>4.4302304480262054</v>
      </c>
      <c r="P160">
        <v>0.66562733333333335</v>
      </c>
      <c r="Q160">
        <v>1.9553610627359139E-2</v>
      </c>
      <c r="R160">
        <v>635568</v>
      </c>
      <c r="S160">
        <v>0</v>
      </c>
      <c r="T160">
        <v>0</v>
      </c>
      <c r="V160">
        <v>10800</v>
      </c>
      <c r="W160">
        <v>7</v>
      </c>
      <c r="X160">
        <v>85</v>
      </c>
      <c r="Y160">
        <v>3</v>
      </c>
      <c r="Z160">
        <v>4</v>
      </c>
      <c r="AA160">
        <v>5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3</v>
      </c>
      <c r="AJ160">
        <v>0</v>
      </c>
      <c r="AK160">
        <v>0</v>
      </c>
      <c r="AL160">
        <v>100</v>
      </c>
      <c r="AM160">
        <v>45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100</v>
      </c>
      <c r="AU160">
        <v>0</v>
      </c>
      <c r="AV160">
        <v>0</v>
      </c>
    </row>
    <row r="161" spans="1:48" x14ac:dyDescent="0.15">
      <c r="A161" s="4" t="str">
        <f>HYPERLINK("https://ibp.a2mac1.com/costing(costing:projects/details/9760/equipment/12210406)","General production process (0.5-10€)")</f>
        <v>General production process (0.5-10€)</v>
      </c>
      <c r="B161">
        <v>12210406</v>
      </c>
      <c r="C161">
        <v>12083316</v>
      </c>
      <c r="H161" t="s">
        <v>162</v>
      </c>
      <c r="I161">
        <v>116914.84457142858</v>
      </c>
      <c r="J161">
        <v>0</v>
      </c>
      <c r="K161">
        <v>3.6</v>
      </c>
      <c r="L161">
        <v>0</v>
      </c>
      <c r="M161">
        <v>27.497982091197134</v>
      </c>
      <c r="N161">
        <v>0</v>
      </c>
      <c r="O161">
        <v>7.6351966440388175</v>
      </c>
      <c r="P161">
        <v>1.1471628036666666</v>
      </c>
      <c r="Q161">
        <v>1.1732166376415484E-2</v>
      </c>
      <c r="R161">
        <v>635568</v>
      </c>
      <c r="S161">
        <v>0</v>
      </c>
      <c r="T161">
        <v>0</v>
      </c>
      <c r="V161">
        <v>10800</v>
      </c>
      <c r="W161">
        <v>7</v>
      </c>
      <c r="X161">
        <v>85</v>
      </c>
      <c r="Y161">
        <v>3</v>
      </c>
      <c r="Z161">
        <v>4</v>
      </c>
      <c r="AA161">
        <v>5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3</v>
      </c>
      <c r="AJ161">
        <v>0</v>
      </c>
      <c r="AK161">
        <v>0</v>
      </c>
      <c r="AL161">
        <v>100</v>
      </c>
      <c r="AM161">
        <v>45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100</v>
      </c>
      <c r="AU161">
        <v>0</v>
      </c>
      <c r="AV161">
        <v>0</v>
      </c>
    </row>
    <row r="162" spans="1:48" x14ac:dyDescent="0.15">
      <c r="A162" s="4" t="str">
        <f>HYPERLINK("https://ibp.a2mac1.com/costing(costing:projects/details/9760/equipment/12210404)","General production process (0.5-10€)")</f>
        <v>General production process (0.5-10€)</v>
      </c>
      <c r="B162">
        <v>12210404</v>
      </c>
      <c r="C162">
        <v>12083314</v>
      </c>
      <c r="H162" t="s">
        <v>162</v>
      </c>
      <c r="I162">
        <v>116914.84457142858</v>
      </c>
      <c r="J162">
        <v>0</v>
      </c>
      <c r="K162">
        <v>3.6</v>
      </c>
      <c r="L162">
        <v>0</v>
      </c>
      <c r="M162">
        <v>27.497982091197134</v>
      </c>
      <c r="N162">
        <v>0</v>
      </c>
      <c r="O162">
        <v>4.8732534928288258</v>
      </c>
      <c r="P162">
        <v>0.73219006666666664</v>
      </c>
      <c r="Q162">
        <v>1.9553610627359139E-2</v>
      </c>
      <c r="R162">
        <v>635568</v>
      </c>
      <c r="S162">
        <v>0</v>
      </c>
      <c r="T162">
        <v>0</v>
      </c>
      <c r="V162">
        <v>10800</v>
      </c>
      <c r="W162">
        <v>7</v>
      </c>
      <c r="X162">
        <v>85</v>
      </c>
      <c r="Y162">
        <v>3</v>
      </c>
      <c r="Z162">
        <v>4</v>
      </c>
      <c r="AA162">
        <v>5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3</v>
      </c>
      <c r="AJ162">
        <v>0</v>
      </c>
      <c r="AK162">
        <v>0</v>
      </c>
      <c r="AL162">
        <v>100</v>
      </c>
      <c r="AM162">
        <v>45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100</v>
      </c>
      <c r="AU162">
        <v>0</v>
      </c>
      <c r="AV162">
        <v>0</v>
      </c>
    </row>
    <row r="163" spans="1:48" x14ac:dyDescent="0.15">
      <c r="A163" s="4" t="str">
        <f>HYPERLINK("https://ibp.a2mac1.com/costing(costing:projects/details/9760/equipment/12210407)","General production process (0.5-10€)")</f>
        <v>General production process (0.5-10€)</v>
      </c>
      <c r="B163">
        <v>12210407</v>
      </c>
      <c r="C163">
        <v>12083317</v>
      </c>
      <c r="H163" t="s">
        <v>162</v>
      </c>
      <c r="I163">
        <v>116914.84457142858</v>
      </c>
      <c r="J163">
        <v>0</v>
      </c>
      <c r="K163">
        <v>3.6</v>
      </c>
      <c r="L163">
        <v>0</v>
      </c>
      <c r="M163">
        <v>27.497982091197134</v>
      </c>
      <c r="N163">
        <v>0</v>
      </c>
      <c r="O163">
        <v>5.3626411907685476</v>
      </c>
      <c r="P163">
        <v>0.8057189343333333</v>
      </c>
      <c r="Q163">
        <v>1.1732166376415484E-2</v>
      </c>
      <c r="R163">
        <v>635568</v>
      </c>
      <c r="S163">
        <v>0</v>
      </c>
      <c r="T163">
        <v>0</v>
      </c>
      <c r="V163">
        <v>10800</v>
      </c>
      <c r="W163">
        <v>7</v>
      </c>
      <c r="X163">
        <v>85</v>
      </c>
      <c r="Y163">
        <v>3</v>
      </c>
      <c r="Z163">
        <v>4</v>
      </c>
      <c r="AA163">
        <v>5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3</v>
      </c>
      <c r="AJ163">
        <v>0</v>
      </c>
      <c r="AK163">
        <v>0</v>
      </c>
      <c r="AL163">
        <v>100</v>
      </c>
      <c r="AM163">
        <v>45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100</v>
      </c>
      <c r="AU163">
        <v>0</v>
      </c>
      <c r="AV163">
        <v>0</v>
      </c>
    </row>
    <row r="164" spans="1:48" x14ac:dyDescent="0.15">
      <c r="A164" s="4" t="str">
        <f>HYPERLINK("https://ibp.a2mac1.com/costing(costing:projects/details/9760/equipment/12210408)","General production process (0.5-10€)")</f>
        <v>General production process (0.5-10€)</v>
      </c>
      <c r="B164">
        <v>12210408</v>
      </c>
      <c r="C164">
        <v>12083318</v>
      </c>
      <c r="H164" t="s">
        <v>162</v>
      </c>
      <c r="I164">
        <v>116914.84457142858</v>
      </c>
      <c r="J164">
        <v>0</v>
      </c>
      <c r="K164">
        <v>3.6</v>
      </c>
      <c r="L164">
        <v>0</v>
      </c>
      <c r="M164">
        <v>27.497982091197134</v>
      </c>
      <c r="N164">
        <v>0</v>
      </c>
      <c r="O164">
        <v>2.8672756992759947</v>
      </c>
      <c r="P164">
        <v>0.43079860066666664</v>
      </c>
      <c r="Q164">
        <v>1.1732166376415484E-2</v>
      </c>
      <c r="R164">
        <v>635568</v>
      </c>
      <c r="S164">
        <v>0</v>
      </c>
      <c r="T164">
        <v>0</v>
      </c>
      <c r="V164">
        <v>10800</v>
      </c>
      <c r="W164">
        <v>7</v>
      </c>
      <c r="X164">
        <v>85</v>
      </c>
      <c r="Y164">
        <v>3</v>
      </c>
      <c r="Z164">
        <v>4</v>
      </c>
      <c r="AA164">
        <v>5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3</v>
      </c>
      <c r="AJ164">
        <v>0</v>
      </c>
      <c r="AK164">
        <v>0</v>
      </c>
      <c r="AL164">
        <v>100</v>
      </c>
      <c r="AM164">
        <v>45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100</v>
      </c>
      <c r="AU164">
        <v>0</v>
      </c>
      <c r="AV164">
        <v>0</v>
      </c>
    </row>
    <row r="165" spans="1:48" x14ac:dyDescent="0.15">
      <c r="A165" s="4" t="str">
        <f>HYPERLINK("https://ibp.a2mac1.com/costing(costing:projects/details/9760/equipment/12210402)","General production process (&gt;10€)")</f>
        <v>General production process (&gt;10€)</v>
      </c>
      <c r="B165">
        <v>12210402</v>
      </c>
      <c r="C165">
        <v>12083312</v>
      </c>
      <c r="H165" t="s">
        <v>162</v>
      </c>
      <c r="I165">
        <v>116914.84457142858</v>
      </c>
      <c r="J165">
        <v>0</v>
      </c>
      <c r="K165">
        <v>3.6</v>
      </c>
      <c r="L165">
        <v>0</v>
      </c>
      <c r="M165">
        <v>27.497982091197134</v>
      </c>
      <c r="N165">
        <v>0</v>
      </c>
      <c r="O165">
        <v>8.6236727169337684</v>
      </c>
      <c r="P165">
        <v>1.2956780333333333</v>
      </c>
      <c r="Q165">
        <v>0.19553610627359141</v>
      </c>
      <c r="R165">
        <v>635568</v>
      </c>
      <c r="S165">
        <v>0</v>
      </c>
      <c r="T165">
        <v>0</v>
      </c>
      <c r="V165">
        <v>108000</v>
      </c>
      <c r="W165">
        <v>7</v>
      </c>
      <c r="X165">
        <v>85</v>
      </c>
      <c r="Y165">
        <v>3</v>
      </c>
      <c r="Z165">
        <v>4</v>
      </c>
      <c r="AA165">
        <v>5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3</v>
      </c>
      <c r="AJ165">
        <v>0</v>
      </c>
      <c r="AK165">
        <v>0</v>
      </c>
      <c r="AL165">
        <v>100</v>
      </c>
      <c r="AM165">
        <v>45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100</v>
      </c>
      <c r="AU165">
        <v>0</v>
      </c>
      <c r="AV165">
        <v>0</v>
      </c>
    </row>
    <row r="166" spans="1:48" x14ac:dyDescent="0.15">
      <c r="A166" s="4" t="str">
        <f>HYPERLINK("https://ibp.a2mac1.com/costing(costing:projects/details/9760/equipment/12210409)","General production process (&gt;10€)")</f>
        <v>General production process (&gt;10€)</v>
      </c>
      <c r="B166">
        <v>12210409</v>
      </c>
      <c r="C166">
        <v>12083319</v>
      </c>
      <c r="H166" t="s">
        <v>162</v>
      </c>
      <c r="I166">
        <v>116914.84457142858</v>
      </c>
      <c r="J166">
        <v>0</v>
      </c>
      <c r="K166">
        <v>3.6</v>
      </c>
      <c r="L166">
        <v>0</v>
      </c>
      <c r="M166">
        <v>27.497982091197134</v>
      </c>
      <c r="N166">
        <v>0</v>
      </c>
      <c r="O166">
        <v>8.598084316932237</v>
      </c>
      <c r="P166">
        <v>1.2918334616666667</v>
      </c>
      <c r="Q166">
        <v>0.11732166376415484</v>
      </c>
      <c r="R166">
        <v>635568</v>
      </c>
      <c r="S166">
        <v>0</v>
      </c>
      <c r="T166">
        <v>0</v>
      </c>
      <c r="V166">
        <v>108000</v>
      </c>
      <c r="W166">
        <v>7</v>
      </c>
      <c r="X166">
        <v>85</v>
      </c>
      <c r="Y166">
        <v>3</v>
      </c>
      <c r="Z166">
        <v>4</v>
      </c>
      <c r="AA166">
        <v>5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3</v>
      </c>
      <c r="AJ166">
        <v>0</v>
      </c>
      <c r="AK166">
        <v>0</v>
      </c>
      <c r="AL166">
        <v>100</v>
      </c>
      <c r="AM166">
        <v>45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100</v>
      </c>
      <c r="AU166">
        <v>0</v>
      </c>
      <c r="AV166">
        <v>0</v>
      </c>
    </row>
    <row r="167" spans="1:48" x14ac:dyDescent="0.15">
      <c r="A167" s="4" t="str">
        <f>HYPERLINK("https://ibp.a2mac1.com/costing(costing:projects/details/9760/equipment/12210405)","General production process (0.5-10€)")</f>
        <v>General production process (0.5-10€)</v>
      </c>
      <c r="B167">
        <v>12210405</v>
      </c>
      <c r="C167">
        <v>12083315</v>
      </c>
      <c r="H167" t="s">
        <v>162</v>
      </c>
      <c r="I167">
        <v>116914.84457142858</v>
      </c>
      <c r="J167">
        <v>0</v>
      </c>
      <c r="K167">
        <v>3.6</v>
      </c>
      <c r="L167">
        <v>0</v>
      </c>
      <c r="M167">
        <v>27.497982091197134</v>
      </c>
      <c r="N167">
        <v>0</v>
      </c>
      <c r="O167">
        <v>5.2551699107621195</v>
      </c>
      <c r="P167">
        <v>0.7895717333333333</v>
      </c>
      <c r="Q167">
        <v>1.9553610627359139E-2</v>
      </c>
      <c r="R167">
        <v>635568</v>
      </c>
      <c r="S167">
        <v>0</v>
      </c>
      <c r="T167">
        <v>0</v>
      </c>
      <c r="V167">
        <v>10800</v>
      </c>
      <c r="W167">
        <v>7</v>
      </c>
      <c r="X167">
        <v>85</v>
      </c>
      <c r="Y167">
        <v>3</v>
      </c>
      <c r="Z167">
        <v>4</v>
      </c>
      <c r="AA167">
        <v>5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3</v>
      </c>
      <c r="AJ167">
        <v>0</v>
      </c>
      <c r="AK167">
        <v>0</v>
      </c>
      <c r="AL167">
        <v>100</v>
      </c>
      <c r="AM167">
        <v>45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100</v>
      </c>
      <c r="AU167">
        <v>0</v>
      </c>
      <c r="AV167">
        <v>0</v>
      </c>
    </row>
    <row r="168" spans="1:48" x14ac:dyDescent="0.15">
      <c r="A168" s="4" t="str">
        <f>HYPERLINK("https://ibp.a2mac1.com/costing(costing:projects/details/9760/equipment/12210410)","General production process (0.5-10€)")</f>
        <v>General production process (0.5-10€)</v>
      </c>
      <c r="B168">
        <v>12210410</v>
      </c>
      <c r="C168">
        <v>12083320</v>
      </c>
      <c r="H168" t="s">
        <v>162</v>
      </c>
      <c r="I168">
        <v>116914.84457142858</v>
      </c>
      <c r="J168">
        <v>0</v>
      </c>
      <c r="K168">
        <v>3.6</v>
      </c>
      <c r="L168">
        <v>0</v>
      </c>
      <c r="M168">
        <v>27.497982091197134</v>
      </c>
      <c r="N168">
        <v>0</v>
      </c>
      <c r="O168">
        <v>5.295882200913808</v>
      </c>
      <c r="P168">
        <v>0.79568861899999999</v>
      </c>
      <c r="Q168">
        <v>1.1732166376415484E-2</v>
      </c>
      <c r="R168">
        <v>635568</v>
      </c>
      <c r="S168">
        <v>0</v>
      </c>
      <c r="T168">
        <v>0</v>
      </c>
      <c r="V168">
        <v>10800</v>
      </c>
      <c r="W168">
        <v>7</v>
      </c>
      <c r="X168">
        <v>85</v>
      </c>
      <c r="Y168">
        <v>3</v>
      </c>
      <c r="Z168">
        <v>4</v>
      </c>
      <c r="AA168">
        <v>5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3</v>
      </c>
      <c r="AJ168">
        <v>0</v>
      </c>
      <c r="AK168">
        <v>0</v>
      </c>
      <c r="AL168">
        <v>100</v>
      </c>
      <c r="AM168">
        <v>45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100</v>
      </c>
      <c r="AU168">
        <v>0</v>
      </c>
      <c r="AV168">
        <v>0</v>
      </c>
    </row>
    <row r="169" spans="1:48" x14ac:dyDescent="0.15">
      <c r="A169" s="4" t="str">
        <f>HYPERLINK("https://ibp.a2mac1.com/costing(costing:projects/details/9760/equipment/12210411)","General production process (0.5-10€)")</f>
        <v>General production process (0.5-10€)</v>
      </c>
      <c r="B169">
        <v>12210411</v>
      </c>
      <c r="C169">
        <v>12083321</v>
      </c>
      <c r="H169" t="s">
        <v>162</v>
      </c>
      <c r="I169">
        <v>116914.84457142858</v>
      </c>
      <c r="J169">
        <v>0</v>
      </c>
      <c r="K169">
        <v>3.6</v>
      </c>
      <c r="L169">
        <v>0</v>
      </c>
      <c r="M169">
        <v>27.497982091197134</v>
      </c>
      <c r="N169">
        <v>0</v>
      </c>
      <c r="O169">
        <v>3.1859467583995347</v>
      </c>
      <c r="P169">
        <v>0.47867786333333334</v>
      </c>
      <c r="Q169">
        <v>1.1732166376415484E-2</v>
      </c>
      <c r="R169">
        <v>635568</v>
      </c>
      <c r="S169">
        <v>0</v>
      </c>
      <c r="T169">
        <v>0</v>
      </c>
      <c r="V169">
        <v>10800</v>
      </c>
      <c r="W169">
        <v>7</v>
      </c>
      <c r="X169">
        <v>85</v>
      </c>
      <c r="Y169">
        <v>3</v>
      </c>
      <c r="Z169">
        <v>4</v>
      </c>
      <c r="AA169">
        <v>5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3</v>
      </c>
      <c r="AJ169">
        <v>0</v>
      </c>
      <c r="AK169">
        <v>0</v>
      </c>
      <c r="AL169">
        <v>100</v>
      </c>
      <c r="AM169">
        <v>45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100</v>
      </c>
      <c r="AU169">
        <v>0</v>
      </c>
      <c r="AV169">
        <v>0</v>
      </c>
    </row>
    <row r="170" spans="1:48" x14ac:dyDescent="0.15">
      <c r="A170" s="4" t="str">
        <f>HYPERLINK("https://ibp.a2mac1.com/costing(costing:projects/details/9760/equipment/12210403)","General production process (&gt;10€)")</f>
        <v>General production process (&gt;10€)</v>
      </c>
      <c r="B170">
        <v>12210403</v>
      </c>
      <c r="C170">
        <v>12083313</v>
      </c>
      <c r="H170" t="s">
        <v>162</v>
      </c>
      <c r="I170">
        <v>116914.84457142858</v>
      </c>
      <c r="J170">
        <v>0</v>
      </c>
      <c r="K170">
        <v>3.6</v>
      </c>
      <c r="L170">
        <v>0</v>
      </c>
      <c r="M170">
        <v>27.497982091197134</v>
      </c>
      <c r="N170">
        <v>0</v>
      </c>
      <c r="O170">
        <v>8.6236727169337684</v>
      </c>
      <c r="P170">
        <v>1.2956780333333333</v>
      </c>
      <c r="Q170">
        <v>0.19553610627359141</v>
      </c>
      <c r="R170">
        <v>635568</v>
      </c>
      <c r="S170">
        <v>0</v>
      </c>
      <c r="T170">
        <v>0</v>
      </c>
      <c r="V170">
        <v>108000</v>
      </c>
      <c r="W170">
        <v>7</v>
      </c>
      <c r="X170">
        <v>85</v>
      </c>
      <c r="Y170">
        <v>3</v>
      </c>
      <c r="Z170">
        <v>4</v>
      </c>
      <c r="AA170">
        <v>5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3</v>
      </c>
      <c r="AJ170">
        <v>0</v>
      </c>
      <c r="AK170">
        <v>0</v>
      </c>
      <c r="AL170">
        <v>100</v>
      </c>
      <c r="AM170">
        <v>45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100</v>
      </c>
      <c r="AU170">
        <v>0</v>
      </c>
      <c r="AV170">
        <v>0</v>
      </c>
    </row>
    <row r="171" spans="1:48" x14ac:dyDescent="0.15">
      <c r="A171" s="4" t="str">
        <f>HYPERLINK("https://ibp.a2mac1.com/costing(costing:projects/details/9760/equipment/12210875)","DC machine - General")</f>
        <v>DC machine - General</v>
      </c>
      <c r="B171">
        <v>12210875</v>
      </c>
      <c r="C171">
        <v>12083818</v>
      </c>
      <c r="E171" t="s">
        <v>738</v>
      </c>
      <c r="H171" t="s">
        <v>162</v>
      </c>
      <c r="I171">
        <v>116914.84457142858</v>
      </c>
      <c r="J171">
        <v>0</v>
      </c>
      <c r="K171">
        <v>3.6</v>
      </c>
      <c r="L171">
        <v>0</v>
      </c>
      <c r="M171">
        <v>27.497982091197134</v>
      </c>
      <c r="N171">
        <v>0</v>
      </c>
      <c r="O171">
        <v>0.30553313434663482</v>
      </c>
      <c r="P171">
        <v>4.5905333333333333E-2</v>
      </c>
      <c r="Q171">
        <v>1.1732166376415484E-2</v>
      </c>
      <c r="R171">
        <v>635568</v>
      </c>
      <c r="S171">
        <v>0</v>
      </c>
      <c r="T171">
        <v>0</v>
      </c>
      <c r="V171">
        <v>10800</v>
      </c>
      <c r="W171">
        <v>7</v>
      </c>
      <c r="X171">
        <v>85</v>
      </c>
      <c r="Y171">
        <v>3</v>
      </c>
      <c r="Z171">
        <v>4</v>
      </c>
      <c r="AA171">
        <v>5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3</v>
      </c>
      <c r="AJ171">
        <v>0</v>
      </c>
      <c r="AK171">
        <v>0</v>
      </c>
      <c r="AL171">
        <v>100</v>
      </c>
      <c r="AM171">
        <v>45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100</v>
      </c>
      <c r="AU171">
        <v>0</v>
      </c>
      <c r="AV171">
        <v>0</v>
      </c>
    </row>
    <row r="172" spans="1:48" x14ac:dyDescent="0.15">
      <c r="A172" s="4" t="str">
        <f>HYPERLINK("https://ibp.a2mac1.com/costing(costing:projects/details/9760/equipment/12210876)","DC machine - General")</f>
        <v>DC machine - General</v>
      </c>
      <c r="B172">
        <v>12210876</v>
      </c>
      <c r="C172">
        <v>12083819</v>
      </c>
      <c r="E172" t="s">
        <v>738</v>
      </c>
      <c r="H172" t="s">
        <v>162</v>
      </c>
      <c r="I172">
        <v>116914.84457142858</v>
      </c>
      <c r="J172">
        <v>0</v>
      </c>
      <c r="K172">
        <v>3.6</v>
      </c>
      <c r="L172">
        <v>0</v>
      </c>
      <c r="M172">
        <v>27.497982091197134</v>
      </c>
      <c r="N172">
        <v>0</v>
      </c>
      <c r="O172">
        <v>3.0553313434663484E-2</v>
      </c>
      <c r="P172">
        <v>4.5905333333333331E-3</v>
      </c>
      <c r="Q172">
        <v>1.1732166376415484E-2</v>
      </c>
      <c r="R172">
        <v>635568</v>
      </c>
      <c r="S172">
        <v>0</v>
      </c>
      <c r="T172">
        <v>0</v>
      </c>
      <c r="V172">
        <v>10800</v>
      </c>
      <c r="W172">
        <v>7</v>
      </c>
      <c r="X172">
        <v>85</v>
      </c>
      <c r="Y172">
        <v>3</v>
      </c>
      <c r="Z172">
        <v>4</v>
      </c>
      <c r="AA172">
        <v>5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3</v>
      </c>
      <c r="AJ172">
        <v>0</v>
      </c>
      <c r="AK172">
        <v>0</v>
      </c>
      <c r="AL172">
        <v>100</v>
      </c>
      <c r="AM172">
        <v>45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100</v>
      </c>
      <c r="AU172">
        <v>0</v>
      </c>
      <c r="AV172">
        <v>0</v>
      </c>
    </row>
    <row r="173" spans="1:48" x14ac:dyDescent="0.15">
      <c r="A173" s="4" t="str">
        <f>HYPERLINK("https://ibp.a2mac1.com/costing(costing:projects/details/9760/equipment/12210877)","DC machine - General")</f>
        <v>DC machine - General</v>
      </c>
      <c r="B173">
        <v>12210877</v>
      </c>
      <c r="C173">
        <v>12083820</v>
      </c>
      <c r="E173" t="s">
        <v>738</v>
      </c>
      <c r="H173" t="s">
        <v>162</v>
      </c>
      <c r="I173">
        <v>116914.84457142858</v>
      </c>
      <c r="J173">
        <v>0</v>
      </c>
      <c r="K173">
        <v>3.6</v>
      </c>
      <c r="L173">
        <v>0</v>
      </c>
      <c r="M173">
        <v>27.497982091197134</v>
      </c>
      <c r="N173">
        <v>0</v>
      </c>
      <c r="O173">
        <v>0.55759797018260859</v>
      </c>
      <c r="P173">
        <v>8.377723333333334E-2</v>
      </c>
      <c r="Q173">
        <v>1.1732166376415484E-2</v>
      </c>
      <c r="R173">
        <v>635568</v>
      </c>
      <c r="S173">
        <v>0</v>
      </c>
      <c r="T173">
        <v>0</v>
      </c>
      <c r="V173">
        <v>10800</v>
      </c>
      <c r="W173">
        <v>7</v>
      </c>
      <c r="X173">
        <v>85</v>
      </c>
      <c r="Y173">
        <v>3</v>
      </c>
      <c r="Z173">
        <v>4</v>
      </c>
      <c r="AA173">
        <v>5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3</v>
      </c>
      <c r="AJ173">
        <v>0</v>
      </c>
      <c r="AK173">
        <v>0</v>
      </c>
      <c r="AL173">
        <v>100</v>
      </c>
      <c r="AM173">
        <v>45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100</v>
      </c>
      <c r="AU173">
        <v>0</v>
      </c>
      <c r="AV173">
        <v>0</v>
      </c>
    </row>
    <row r="174" spans="1:48" x14ac:dyDescent="0.15">
      <c r="A174" s="4" t="str">
        <f>HYPERLINK("https://ibp.a2mac1.com/costing(costing:projects/details/9760/equipment/12210878)","DC machine - General")</f>
        <v>DC machine - General</v>
      </c>
      <c r="B174">
        <v>12210878</v>
      </c>
      <c r="C174">
        <v>12083821</v>
      </c>
      <c r="E174" t="s">
        <v>738</v>
      </c>
      <c r="H174" t="s">
        <v>162</v>
      </c>
      <c r="I174">
        <v>116914.84457142858</v>
      </c>
      <c r="J174">
        <v>0</v>
      </c>
      <c r="K174">
        <v>3.6</v>
      </c>
      <c r="L174">
        <v>0</v>
      </c>
      <c r="M174">
        <v>27.497982091197134</v>
      </c>
      <c r="N174">
        <v>0</v>
      </c>
      <c r="O174">
        <v>0.12985158209731981</v>
      </c>
      <c r="P174">
        <v>1.9509766666666668E-2</v>
      </c>
      <c r="Q174">
        <v>1.1732166376415484E-2</v>
      </c>
      <c r="R174">
        <v>635568</v>
      </c>
      <c r="S174">
        <v>0</v>
      </c>
      <c r="T174">
        <v>0</v>
      </c>
      <c r="V174">
        <v>10800</v>
      </c>
      <c r="W174">
        <v>7</v>
      </c>
      <c r="X174">
        <v>85</v>
      </c>
      <c r="Y174">
        <v>3</v>
      </c>
      <c r="Z174">
        <v>4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3</v>
      </c>
      <c r="AJ174">
        <v>0</v>
      </c>
      <c r="AK174">
        <v>0</v>
      </c>
      <c r="AL174">
        <v>100</v>
      </c>
      <c r="AM174">
        <v>45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100</v>
      </c>
      <c r="AU174">
        <v>0</v>
      </c>
      <c r="AV174">
        <v>0</v>
      </c>
    </row>
    <row r="175" spans="1:48" x14ac:dyDescent="0.15">
      <c r="A175" s="4" t="str">
        <f>HYPERLINK("https://ibp.a2mac1.com/costing(costing:projects/details/9760/equipment/12210879)","DC machine - General")</f>
        <v>DC machine - General</v>
      </c>
      <c r="B175">
        <v>12210879</v>
      </c>
      <c r="C175">
        <v>12083822</v>
      </c>
      <c r="E175" t="s">
        <v>738</v>
      </c>
      <c r="H175" t="s">
        <v>162</v>
      </c>
      <c r="I175">
        <v>116914.84457142858</v>
      </c>
      <c r="J175">
        <v>0</v>
      </c>
      <c r="K175">
        <v>3.6</v>
      </c>
      <c r="L175">
        <v>0</v>
      </c>
      <c r="M175">
        <v>27.497982091197134</v>
      </c>
      <c r="N175">
        <v>0</v>
      </c>
      <c r="O175">
        <v>0.10693659702132219</v>
      </c>
      <c r="P175">
        <v>1.6066866666666665E-2</v>
      </c>
      <c r="Q175">
        <v>1.1732166376415484E-2</v>
      </c>
      <c r="R175">
        <v>635568</v>
      </c>
      <c r="S175">
        <v>0</v>
      </c>
      <c r="T175">
        <v>0</v>
      </c>
      <c r="V175">
        <v>10800</v>
      </c>
      <c r="W175">
        <v>7</v>
      </c>
      <c r="X175">
        <v>85</v>
      </c>
      <c r="Y175">
        <v>3</v>
      </c>
      <c r="Z175">
        <v>4</v>
      </c>
      <c r="AA175">
        <v>5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3</v>
      </c>
      <c r="AJ175">
        <v>0</v>
      </c>
      <c r="AK175">
        <v>0</v>
      </c>
      <c r="AL175">
        <v>100</v>
      </c>
      <c r="AM175">
        <v>45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100</v>
      </c>
      <c r="AU175">
        <v>0</v>
      </c>
      <c r="AV175">
        <v>0</v>
      </c>
    </row>
    <row r="176" spans="1:48" x14ac:dyDescent="0.15">
      <c r="A176" s="4" t="str">
        <f>HYPERLINK("https://ibp.a2mac1.com/costing(costing:projects/details/9760/equipment/12210880)","DC machine - General")</f>
        <v>DC machine - General</v>
      </c>
      <c r="B176">
        <v>12210880</v>
      </c>
      <c r="C176">
        <v>12083823</v>
      </c>
      <c r="E176" t="s">
        <v>738</v>
      </c>
      <c r="H176" t="s">
        <v>162</v>
      </c>
      <c r="I176">
        <v>116914.84457142858</v>
      </c>
      <c r="J176">
        <v>0</v>
      </c>
      <c r="K176">
        <v>3.6</v>
      </c>
      <c r="L176">
        <v>0</v>
      </c>
      <c r="M176">
        <v>27.497982091197134</v>
      </c>
      <c r="N176">
        <v>0</v>
      </c>
      <c r="O176">
        <v>0.15276656717331741</v>
      </c>
      <c r="P176">
        <v>2.2952666666666666E-2</v>
      </c>
      <c r="Q176">
        <v>1.1732166376415484E-2</v>
      </c>
      <c r="R176">
        <v>635568</v>
      </c>
      <c r="S176">
        <v>0</v>
      </c>
      <c r="T176">
        <v>0</v>
      </c>
      <c r="V176">
        <v>10800</v>
      </c>
      <c r="W176">
        <v>7</v>
      </c>
      <c r="X176">
        <v>85</v>
      </c>
      <c r="Y176">
        <v>3</v>
      </c>
      <c r="Z176">
        <v>4</v>
      </c>
      <c r="AA176">
        <v>5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3</v>
      </c>
      <c r="AJ176">
        <v>0</v>
      </c>
      <c r="AK176">
        <v>0</v>
      </c>
      <c r="AL176">
        <v>100</v>
      </c>
      <c r="AM176">
        <v>45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100</v>
      </c>
      <c r="AU176">
        <v>0</v>
      </c>
      <c r="AV176">
        <v>0</v>
      </c>
    </row>
    <row r="177" spans="1:48" x14ac:dyDescent="0.15">
      <c r="A177" s="4" t="str">
        <f>HYPERLINK("https://ibp.a2mac1.com/costing(costing:projects/details/9760/equipment/12211008)","DC machine - General")</f>
        <v>DC machine - General</v>
      </c>
      <c r="B177">
        <v>12211008</v>
      </c>
      <c r="C177">
        <v>12083942</v>
      </c>
      <c r="E177" t="s">
        <v>738</v>
      </c>
      <c r="H177" t="s">
        <v>162</v>
      </c>
      <c r="I177">
        <v>116914.84457142858</v>
      </c>
      <c r="J177">
        <v>0</v>
      </c>
      <c r="K177">
        <v>3.6</v>
      </c>
      <c r="L177">
        <v>0</v>
      </c>
      <c r="M177">
        <v>27.497982091197134</v>
      </c>
      <c r="N177">
        <v>0</v>
      </c>
      <c r="O177">
        <v>1.5276656717331742E-2</v>
      </c>
      <c r="P177">
        <v>2.2952666666666665E-3</v>
      </c>
      <c r="Q177">
        <v>5.8660831882077422E-3</v>
      </c>
      <c r="R177">
        <v>635568</v>
      </c>
      <c r="S177">
        <v>0</v>
      </c>
      <c r="T177">
        <v>0</v>
      </c>
      <c r="V177">
        <v>10800</v>
      </c>
      <c r="W177">
        <v>7</v>
      </c>
      <c r="X177">
        <v>85</v>
      </c>
      <c r="Y177">
        <v>3</v>
      </c>
      <c r="Z177">
        <v>4</v>
      </c>
      <c r="AA177">
        <v>5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3</v>
      </c>
      <c r="AJ177">
        <v>0</v>
      </c>
      <c r="AK177">
        <v>0</v>
      </c>
      <c r="AL177">
        <v>100</v>
      </c>
      <c r="AM177">
        <v>45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100</v>
      </c>
      <c r="AU177">
        <v>0</v>
      </c>
      <c r="AV177">
        <v>0</v>
      </c>
    </row>
    <row r="178" spans="1:48" x14ac:dyDescent="0.15">
      <c r="A178" s="4" t="str">
        <f>HYPERLINK("https://ibp.a2mac1.com/costing(costing:projects/details/9760/equipment/12211009)","DC machine - General")</f>
        <v>DC machine - General</v>
      </c>
      <c r="B178">
        <v>12211009</v>
      </c>
      <c r="C178">
        <v>12083943</v>
      </c>
      <c r="E178" t="s">
        <v>738</v>
      </c>
      <c r="H178" t="s">
        <v>162</v>
      </c>
      <c r="I178">
        <v>116914.84457142858</v>
      </c>
      <c r="J178">
        <v>0</v>
      </c>
      <c r="K178">
        <v>3.6</v>
      </c>
      <c r="L178">
        <v>0</v>
      </c>
      <c r="M178">
        <v>27.497982091197134</v>
      </c>
      <c r="N178">
        <v>0</v>
      </c>
      <c r="O178">
        <v>1.588772298602501</v>
      </c>
      <c r="P178">
        <v>0.23870773333333334</v>
      </c>
      <c r="Q178">
        <v>1.1732166376415484E-2</v>
      </c>
      <c r="R178">
        <v>635568</v>
      </c>
      <c r="S178">
        <v>0</v>
      </c>
      <c r="T178">
        <v>0</v>
      </c>
      <c r="V178">
        <v>10800</v>
      </c>
      <c r="W178">
        <v>7</v>
      </c>
      <c r="X178">
        <v>85</v>
      </c>
      <c r="Y178">
        <v>3</v>
      </c>
      <c r="Z178">
        <v>4</v>
      </c>
      <c r="AA178">
        <v>5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3</v>
      </c>
      <c r="AJ178">
        <v>0</v>
      </c>
      <c r="AK178">
        <v>0</v>
      </c>
      <c r="AL178">
        <v>100</v>
      </c>
      <c r="AM178">
        <v>45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100</v>
      </c>
      <c r="AU178">
        <v>0</v>
      </c>
      <c r="AV178">
        <v>0</v>
      </c>
    </row>
    <row r="179" spans="1:48" x14ac:dyDescent="0.15">
      <c r="A179" s="4" t="str">
        <f>HYPERLINK("https://ibp.a2mac1.com/costing(costing:projects/details/9760/equipment/12211010)","DC machine - General")</f>
        <v>DC machine - General</v>
      </c>
      <c r="B179">
        <v>12211010</v>
      </c>
      <c r="C179">
        <v>12083944</v>
      </c>
      <c r="E179" t="s">
        <v>738</v>
      </c>
      <c r="H179" t="s">
        <v>162</v>
      </c>
      <c r="I179">
        <v>116914.84457142858</v>
      </c>
      <c r="J179">
        <v>0</v>
      </c>
      <c r="K179">
        <v>3.6</v>
      </c>
      <c r="L179">
        <v>0</v>
      </c>
      <c r="M179">
        <v>27.497982091197134</v>
      </c>
      <c r="N179">
        <v>0</v>
      </c>
      <c r="O179">
        <v>0.61870459705193548</v>
      </c>
      <c r="P179">
        <v>9.2958299999999994E-2</v>
      </c>
      <c r="Q179">
        <v>1.1732166376415484E-2</v>
      </c>
      <c r="R179">
        <v>635568</v>
      </c>
      <c r="S179">
        <v>0</v>
      </c>
      <c r="T179">
        <v>0</v>
      </c>
      <c r="V179">
        <v>10800</v>
      </c>
      <c r="W179">
        <v>7</v>
      </c>
      <c r="X179">
        <v>85</v>
      </c>
      <c r="Y179">
        <v>3</v>
      </c>
      <c r="Z179">
        <v>4</v>
      </c>
      <c r="AA179">
        <v>5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3</v>
      </c>
      <c r="AJ179">
        <v>0</v>
      </c>
      <c r="AK179">
        <v>0</v>
      </c>
      <c r="AL179">
        <v>100</v>
      </c>
      <c r="AM179">
        <v>45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100</v>
      </c>
      <c r="AU179">
        <v>0</v>
      </c>
      <c r="AV179">
        <v>0</v>
      </c>
    </row>
    <row r="180" spans="1:48" x14ac:dyDescent="0.15">
      <c r="A180" s="4" t="str">
        <f>HYPERLINK("https://ibp.a2mac1.com/costing(costing:projects/details/9760/equipment/12211011)","DC machine - General")</f>
        <v>DC machine - General</v>
      </c>
      <c r="B180">
        <v>12211011</v>
      </c>
      <c r="C180">
        <v>12083945</v>
      </c>
      <c r="E180" t="s">
        <v>738</v>
      </c>
      <c r="H180" t="s">
        <v>162</v>
      </c>
      <c r="I180">
        <v>116914.84457142858</v>
      </c>
      <c r="J180">
        <v>0</v>
      </c>
      <c r="K180">
        <v>3.6</v>
      </c>
      <c r="L180">
        <v>0</v>
      </c>
      <c r="M180">
        <v>27.497982091197134</v>
      </c>
      <c r="N180">
        <v>0</v>
      </c>
      <c r="O180">
        <v>0.67217289556259663</v>
      </c>
      <c r="P180">
        <v>0.10099173333333333</v>
      </c>
      <c r="Q180">
        <v>1.1732166376415484E-2</v>
      </c>
      <c r="R180">
        <v>635568</v>
      </c>
      <c r="S180">
        <v>0</v>
      </c>
      <c r="T180">
        <v>0</v>
      </c>
      <c r="V180">
        <v>10800</v>
      </c>
      <c r="W180">
        <v>7</v>
      </c>
      <c r="X180">
        <v>85</v>
      </c>
      <c r="Y180">
        <v>3</v>
      </c>
      <c r="Z180">
        <v>4</v>
      </c>
      <c r="AA180">
        <v>5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3</v>
      </c>
      <c r="AJ180">
        <v>0</v>
      </c>
      <c r="AK180">
        <v>0</v>
      </c>
      <c r="AL180">
        <v>100</v>
      </c>
      <c r="AM180">
        <v>45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100</v>
      </c>
      <c r="AU180">
        <v>0</v>
      </c>
      <c r="AV180">
        <v>0</v>
      </c>
    </row>
    <row r="181" spans="1:48" x14ac:dyDescent="0.15">
      <c r="A181" s="4" t="str">
        <f>HYPERLINK("https://ibp.a2mac1.com/costing(costing:projects/details/9760/equipment/12211012)","DC machine - General")</f>
        <v>DC machine - General</v>
      </c>
      <c r="B181">
        <v>12211012</v>
      </c>
      <c r="C181">
        <v>12083946</v>
      </c>
      <c r="E181" t="s">
        <v>738</v>
      </c>
      <c r="H181" t="s">
        <v>162</v>
      </c>
      <c r="I181">
        <v>116914.84457142858</v>
      </c>
      <c r="J181">
        <v>0</v>
      </c>
      <c r="K181">
        <v>3.6</v>
      </c>
      <c r="L181">
        <v>0</v>
      </c>
      <c r="M181">
        <v>27.497982091197134</v>
      </c>
      <c r="N181">
        <v>0</v>
      </c>
      <c r="O181">
        <v>9.9298268662656314E-2</v>
      </c>
      <c r="P181">
        <v>1.4919233333333334E-2</v>
      </c>
      <c r="Q181">
        <v>1.1732166376415484E-2</v>
      </c>
      <c r="R181">
        <v>635568</v>
      </c>
      <c r="S181">
        <v>0</v>
      </c>
      <c r="T181">
        <v>0</v>
      </c>
      <c r="V181">
        <v>10800</v>
      </c>
      <c r="W181">
        <v>7</v>
      </c>
      <c r="X181">
        <v>85</v>
      </c>
      <c r="Y181">
        <v>3</v>
      </c>
      <c r="Z181">
        <v>4</v>
      </c>
      <c r="AA181">
        <v>5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3</v>
      </c>
      <c r="AJ181">
        <v>0</v>
      </c>
      <c r="AK181">
        <v>0</v>
      </c>
      <c r="AL181">
        <v>100</v>
      </c>
      <c r="AM181">
        <v>45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100</v>
      </c>
      <c r="AU181">
        <v>0</v>
      </c>
      <c r="AV181">
        <v>0</v>
      </c>
    </row>
    <row r="182" spans="1:48" x14ac:dyDescent="0.15">
      <c r="A182" s="4" t="str">
        <f>HYPERLINK("https://ibp.a2mac1.com/costing(costing:projects/details/9760/equipment/12211013)","DC machine - General")</f>
        <v>DC machine - General</v>
      </c>
      <c r="B182">
        <v>12211013</v>
      </c>
      <c r="C182">
        <v>12083947</v>
      </c>
      <c r="E182" t="s">
        <v>738</v>
      </c>
      <c r="H182" t="s">
        <v>162</v>
      </c>
      <c r="I182">
        <v>116914.84457142858</v>
      </c>
      <c r="J182">
        <v>0</v>
      </c>
      <c r="K182">
        <v>3.6</v>
      </c>
      <c r="L182">
        <v>0</v>
      </c>
      <c r="M182">
        <v>27.497982091197134</v>
      </c>
      <c r="N182">
        <v>0</v>
      </c>
      <c r="O182">
        <v>1.5276656717331742E-2</v>
      </c>
      <c r="P182">
        <v>2.2952666666666665E-3</v>
      </c>
      <c r="Q182">
        <v>1.1732166376415484E-2</v>
      </c>
      <c r="R182">
        <v>635568</v>
      </c>
      <c r="S182">
        <v>0</v>
      </c>
      <c r="T182">
        <v>0</v>
      </c>
      <c r="V182">
        <v>10800</v>
      </c>
      <c r="W182">
        <v>7</v>
      </c>
      <c r="X182">
        <v>85</v>
      </c>
      <c r="Y182">
        <v>3</v>
      </c>
      <c r="Z182">
        <v>4</v>
      </c>
      <c r="AA182">
        <v>5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3</v>
      </c>
      <c r="AJ182">
        <v>0</v>
      </c>
      <c r="AK182">
        <v>0</v>
      </c>
      <c r="AL182">
        <v>100</v>
      </c>
      <c r="AM182">
        <v>45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100</v>
      </c>
      <c r="AU182">
        <v>0</v>
      </c>
      <c r="AV182">
        <v>0</v>
      </c>
    </row>
    <row r="183" spans="1:48" x14ac:dyDescent="0.15">
      <c r="A183" s="4" t="str">
        <f>HYPERLINK("https://ibp.a2mac1.com/costing(costing:projects/details/9760/equipment/12211014)","DC machine - General")</f>
        <v>DC machine - General</v>
      </c>
      <c r="B183">
        <v>12211014</v>
      </c>
      <c r="C183">
        <v>12083948</v>
      </c>
      <c r="E183" t="s">
        <v>738</v>
      </c>
      <c r="H183" t="s">
        <v>162</v>
      </c>
      <c r="I183">
        <v>116914.84457142858</v>
      </c>
      <c r="J183">
        <v>0</v>
      </c>
      <c r="K183">
        <v>3.6</v>
      </c>
      <c r="L183">
        <v>0</v>
      </c>
      <c r="M183">
        <v>27.497982091197134</v>
      </c>
      <c r="N183">
        <v>0</v>
      </c>
      <c r="O183">
        <v>3.0553313434663484E-2</v>
      </c>
      <c r="P183">
        <v>4.5905333333333331E-3</v>
      </c>
      <c r="Q183">
        <v>1.1732166376415484E-2</v>
      </c>
      <c r="R183">
        <v>635568</v>
      </c>
      <c r="S183">
        <v>0</v>
      </c>
      <c r="T183">
        <v>0</v>
      </c>
      <c r="V183">
        <v>10800</v>
      </c>
      <c r="W183">
        <v>7</v>
      </c>
      <c r="X183">
        <v>85</v>
      </c>
      <c r="Y183">
        <v>3</v>
      </c>
      <c r="Z183">
        <v>4</v>
      </c>
      <c r="AA183">
        <v>5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3</v>
      </c>
      <c r="AJ183">
        <v>0</v>
      </c>
      <c r="AK183">
        <v>0</v>
      </c>
      <c r="AL183">
        <v>100</v>
      </c>
      <c r="AM183">
        <v>45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100</v>
      </c>
      <c r="AU183">
        <v>0</v>
      </c>
      <c r="AV183">
        <v>0</v>
      </c>
    </row>
    <row r="184" spans="1:48" x14ac:dyDescent="0.15">
      <c r="A184" s="4" t="str">
        <f>HYPERLINK("https://ibp.a2mac1.com/costing(costing:projects/details/9760/equipment/12210881)","DC machine - General")</f>
        <v>DC machine - General</v>
      </c>
      <c r="B184">
        <v>12210881</v>
      </c>
      <c r="C184">
        <v>12083824</v>
      </c>
      <c r="E184" t="s">
        <v>738</v>
      </c>
      <c r="H184" t="s">
        <v>162</v>
      </c>
      <c r="I184">
        <v>116914.84457142858</v>
      </c>
      <c r="J184">
        <v>0</v>
      </c>
      <c r="K184">
        <v>3.6</v>
      </c>
      <c r="L184">
        <v>0</v>
      </c>
      <c r="M184">
        <v>27.497982091197134</v>
      </c>
      <c r="N184">
        <v>0</v>
      </c>
      <c r="O184">
        <v>2.7345215524023816</v>
      </c>
      <c r="P184">
        <v>0.41085273333333333</v>
      </c>
      <c r="Q184">
        <v>1.1732166376415484E-2</v>
      </c>
      <c r="R184">
        <v>635568</v>
      </c>
      <c r="S184">
        <v>0</v>
      </c>
      <c r="T184">
        <v>0</v>
      </c>
      <c r="V184">
        <v>10800</v>
      </c>
      <c r="W184">
        <v>7</v>
      </c>
      <c r="X184">
        <v>85</v>
      </c>
      <c r="Y184">
        <v>3</v>
      </c>
      <c r="Z184">
        <v>4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3</v>
      </c>
      <c r="AJ184">
        <v>0</v>
      </c>
      <c r="AK184">
        <v>0</v>
      </c>
      <c r="AL184">
        <v>100</v>
      </c>
      <c r="AM184">
        <v>45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100</v>
      </c>
      <c r="AU184">
        <v>0</v>
      </c>
      <c r="AV184">
        <v>0</v>
      </c>
    </row>
    <row r="185" spans="1:48" x14ac:dyDescent="0.15">
      <c r="A185" s="4" t="str">
        <f>HYPERLINK("https://ibp.a2mac1.com/costing(costing:projects/details/9760/equipment/12210882)","DC machine - General")</f>
        <v>DC machine - General</v>
      </c>
      <c r="B185">
        <v>12210882</v>
      </c>
      <c r="C185">
        <v>12083825</v>
      </c>
      <c r="E185" t="s">
        <v>738</v>
      </c>
      <c r="H185" t="s">
        <v>162</v>
      </c>
      <c r="I185">
        <v>116914.84457142858</v>
      </c>
      <c r="J185">
        <v>0</v>
      </c>
      <c r="K185">
        <v>3.6</v>
      </c>
      <c r="L185">
        <v>0</v>
      </c>
      <c r="M185">
        <v>27.497982091197134</v>
      </c>
      <c r="N185">
        <v>0</v>
      </c>
      <c r="O185">
        <v>0.50412967167194744</v>
      </c>
      <c r="P185">
        <v>7.57438E-2</v>
      </c>
      <c r="Q185">
        <v>1.1732166376415484E-2</v>
      </c>
      <c r="R185">
        <v>635568</v>
      </c>
      <c r="S185">
        <v>0</v>
      </c>
      <c r="T185">
        <v>0</v>
      </c>
      <c r="V185">
        <v>10800</v>
      </c>
      <c r="W185">
        <v>7</v>
      </c>
      <c r="X185">
        <v>85</v>
      </c>
      <c r="Y185">
        <v>3</v>
      </c>
      <c r="Z185">
        <v>4</v>
      </c>
      <c r="AA185">
        <v>5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3</v>
      </c>
      <c r="AJ185">
        <v>0</v>
      </c>
      <c r="AK185">
        <v>0</v>
      </c>
      <c r="AL185">
        <v>100</v>
      </c>
      <c r="AM185">
        <v>45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100</v>
      </c>
      <c r="AU185">
        <v>0</v>
      </c>
      <c r="AV185">
        <v>0</v>
      </c>
    </row>
    <row r="186" spans="1:48" x14ac:dyDescent="0.15">
      <c r="A186" s="4" t="str">
        <f>HYPERLINK("https://ibp.a2mac1.com/costing(costing:projects/details/9760/equipment/12210883)","DC machine - General")</f>
        <v>DC machine - General</v>
      </c>
      <c r="B186">
        <v>12210883</v>
      </c>
      <c r="C186">
        <v>12083826</v>
      </c>
      <c r="E186" t="s">
        <v>738</v>
      </c>
      <c r="H186" t="s">
        <v>162</v>
      </c>
      <c r="I186">
        <v>116914.84457142858</v>
      </c>
      <c r="J186">
        <v>0</v>
      </c>
      <c r="K186">
        <v>3.6</v>
      </c>
      <c r="L186">
        <v>0</v>
      </c>
      <c r="M186">
        <v>27.497982091197134</v>
      </c>
      <c r="N186">
        <v>0</v>
      </c>
      <c r="O186">
        <v>3.8191641793329352E-2</v>
      </c>
      <c r="P186">
        <v>5.7381666666666666E-3</v>
      </c>
      <c r="Q186">
        <v>1.1732166376415484E-2</v>
      </c>
      <c r="R186">
        <v>635568</v>
      </c>
      <c r="S186">
        <v>0</v>
      </c>
      <c r="T186">
        <v>0</v>
      </c>
      <c r="V186">
        <v>10800</v>
      </c>
      <c r="W186">
        <v>7</v>
      </c>
      <c r="X186">
        <v>85</v>
      </c>
      <c r="Y186">
        <v>3</v>
      </c>
      <c r="Z186">
        <v>4</v>
      </c>
      <c r="AA186">
        <v>5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3</v>
      </c>
      <c r="AJ186">
        <v>0</v>
      </c>
      <c r="AK186">
        <v>0</v>
      </c>
      <c r="AL186">
        <v>100</v>
      </c>
      <c r="AM186">
        <v>45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100</v>
      </c>
      <c r="AU186">
        <v>0</v>
      </c>
      <c r="AV186">
        <v>0</v>
      </c>
    </row>
    <row r="187" spans="1:48" x14ac:dyDescent="0.15">
      <c r="A187" s="4" t="str">
        <f>HYPERLINK("https://ibp.a2mac1.com/costing(costing:projects/details/9760/equipment/12210884)","DC machine - General")</f>
        <v>DC machine - General</v>
      </c>
      <c r="B187">
        <v>12210884</v>
      </c>
      <c r="C187">
        <v>12083827</v>
      </c>
      <c r="E187" t="s">
        <v>738</v>
      </c>
      <c r="H187" t="s">
        <v>162</v>
      </c>
      <c r="I187">
        <v>116914.84457142858</v>
      </c>
      <c r="J187">
        <v>0</v>
      </c>
      <c r="K187">
        <v>3.6</v>
      </c>
      <c r="L187">
        <v>0</v>
      </c>
      <c r="M187">
        <v>27.497982091197134</v>
      </c>
      <c r="N187">
        <v>0</v>
      </c>
      <c r="O187">
        <v>5.7669379107927323</v>
      </c>
      <c r="P187">
        <v>0.86646316666666667</v>
      </c>
      <c r="Q187">
        <v>1.1732166376415484E-2</v>
      </c>
      <c r="R187">
        <v>635568</v>
      </c>
      <c r="S187">
        <v>0</v>
      </c>
      <c r="T187">
        <v>0</v>
      </c>
      <c r="V187">
        <v>10800</v>
      </c>
      <c r="W187">
        <v>7</v>
      </c>
      <c r="X187">
        <v>85</v>
      </c>
      <c r="Y187">
        <v>3</v>
      </c>
      <c r="Z187">
        <v>4</v>
      </c>
      <c r="AA187">
        <v>5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3</v>
      </c>
      <c r="AJ187">
        <v>0</v>
      </c>
      <c r="AK187">
        <v>0</v>
      </c>
      <c r="AL187">
        <v>100</v>
      </c>
      <c r="AM187">
        <v>45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100</v>
      </c>
      <c r="AU187">
        <v>0</v>
      </c>
      <c r="AV187">
        <v>0</v>
      </c>
    </row>
    <row r="188" spans="1:48" x14ac:dyDescent="0.15">
      <c r="A188" s="4" t="str">
        <f>HYPERLINK("https://ibp.a2mac1.com/costing(costing:projects/details/9760/equipment/12210885)","DC machine - General")</f>
        <v>DC machine - General</v>
      </c>
      <c r="B188">
        <v>12210885</v>
      </c>
      <c r="C188">
        <v>12083828</v>
      </c>
      <c r="E188" t="s">
        <v>738</v>
      </c>
      <c r="H188" t="s">
        <v>162</v>
      </c>
      <c r="I188">
        <v>116914.84457142858</v>
      </c>
      <c r="J188">
        <v>0</v>
      </c>
      <c r="K188">
        <v>3.6</v>
      </c>
      <c r="L188">
        <v>0</v>
      </c>
      <c r="M188">
        <v>27.497982091197134</v>
      </c>
      <c r="N188">
        <v>0</v>
      </c>
      <c r="O188">
        <v>0.11457492537998806</v>
      </c>
      <c r="P188">
        <v>1.7214500000000001E-2</v>
      </c>
      <c r="Q188">
        <v>1.1732166376415484E-2</v>
      </c>
      <c r="R188">
        <v>635568</v>
      </c>
      <c r="S188">
        <v>0</v>
      </c>
      <c r="T188">
        <v>0</v>
      </c>
      <c r="V188">
        <v>10800</v>
      </c>
      <c r="W188">
        <v>7</v>
      </c>
      <c r="X188">
        <v>85</v>
      </c>
      <c r="Y188">
        <v>3</v>
      </c>
      <c r="Z188">
        <v>4</v>
      </c>
      <c r="AA188">
        <v>5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3</v>
      </c>
      <c r="AJ188">
        <v>0</v>
      </c>
      <c r="AK188">
        <v>0</v>
      </c>
      <c r="AL188">
        <v>100</v>
      </c>
      <c r="AM188">
        <v>45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100</v>
      </c>
      <c r="AU188">
        <v>0</v>
      </c>
      <c r="AV188">
        <v>0</v>
      </c>
    </row>
    <row r="189" spans="1:48" x14ac:dyDescent="0.15">
      <c r="A189" s="4" t="str">
        <f>HYPERLINK("https://ibp.a2mac1.com/costing(costing:projects/details/9760/equipment/12210886)","DC machine - General")</f>
        <v>DC machine - General</v>
      </c>
      <c r="B189">
        <v>12210886</v>
      </c>
      <c r="C189">
        <v>12083829</v>
      </c>
      <c r="E189" t="s">
        <v>738</v>
      </c>
      <c r="H189" t="s">
        <v>162</v>
      </c>
      <c r="I189">
        <v>116914.84457142858</v>
      </c>
      <c r="J189">
        <v>0</v>
      </c>
      <c r="K189">
        <v>3.6</v>
      </c>
      <c r="L189">
        <v>0</v>
      </c>
      <c r="M189">
        <v>27.497982091197134</v>
      </c>
      <c r="N189">
        <v>0</v>
      </c>
      <c r="O189">
        <v>0.11457492537998806</v>
      </c>
      <c r="P189">
        <v>1.7214500000000001E-2</v>
      </c>
      <c r="Q189">
        <v>1.1732166376415484E-2</v>
      </c>
      <c r="R189">
        <v>635568</v>
      </c>
      <c r="S189">
        <v>0</v>
      </c>
      <c r="T189">
        <v>0</v>
      </c>
      <c r="V189">
        <v>10800</v>
      </c>
      <c r="W189">
        <v>7</v>
      </c>
      <c r="X189">
        <v>85</v>
      </c>
      <c r="Y189">
        <v>3</v>
      </c>
      <c r="Z189">
        <v>4</v>
      </c>
      <c r="AA189">
        <v>5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3</v>
      </c>
      <c r="AJ189">
        <v>0</v>
      </c>
      <c r="AK189">
        <v>0</v>
      </c>
      <c r="AL189">
        <v>100</v>
      </c>
      <c r="AM189">
        <v>45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100</v>
      </c>
      <c r="AU189">
        <v>0</v>
      </c>
      <c r="AV189">
        <v>0</v>
      </c>
    </row>
    <row r="190" spans="1:48" x14ac:dyDescent="0.15">
      <c r="A190" s="4" t="str">
        <f>HYPERLINK("https://ibp.a2mac1.com/costing(costing:projects/details/9760/equipment/12210887)","DC machine - General")</f>
        <v>DC machine - General</v>
      </c>
      <c r="B190">
        <v>12210887</v>
      </c>
      <c r="C190">
        <v>12083830</v>
      </c>
      <c r="E190" t="s">
        <v>738</v>
      </c>
      <c r="H190" t="s">
        <v>162</v>
      </c>
      <c r="I190">
        <v>116914.84457142858</v>
      </c>
      <c r="J190">
        <v>0</v>
      </c>
      <c r="K190">
        <v>3.6</v>
      </c>
      <c r="L190">
        <v>0</v>
      </c>
      <c r="M190">
        <v>27.497982091197134</v>
      </c>
      <c r="N190">
        <v>0</v>
      </c>
      <c r="O190">
        <v>1.5276656717331742E-2</v>
      </c>
      <c r="P190">
        <v>2.2952666666666665E-3</v>
      </c>
      <c r="Q190">
        <v>1.1732166376415484E-2</v>
      </c>
      <c r="R190">
        <v>635568</v>
      </c>
      <c r="S190">
        <v>0</v>
      </c>
      <c r="T190">
        <v>0</v>
      </c>
      <c r="V190">
        <v>10800</v>
      </c>
      <c r="W190">
        <v>7</v>
      </c>
      <c r="X190">
        <v>85</v>
      </c>
      <c r="Y190">
        <v>3</v>
      </c>
      <c r="Z190">
        <v>4</v>
      </c>
      <c r="AA190">
        <v>5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3</v>
      </c>
      <c r="AJ190">
        <v>0</v>
      </c>
      <c r="AK190">
        <v>0</v>
      </c>
      <c r="AL190">
        <v>100</v>
      </c>
      <c r="AM190">
        <v>45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100</v>
      </c>
      <c r="AU190">
        <v>0</v>
      </c>
      <c r="AV190">
        <v>0</v>
      </c>
    </row>
    <row r="191" spans="1:48" x14ac:dyDescent="0.15">
      <c r="A191" s="4" t="str">
        <f>HYPERLINK("https://ibp.a2mac1.com/costing(costing:projects/details/9760/equipment/12210888)","DC machine - General")</f>
        <v>DC machine - General</v>
      </c>
      <c r="B191">
        <v>12210888</v>
      </c>
      <c r="C191">
        <v>12083831</v>
      </c>
      <c r="E191" t="s">
        <v>738</v>
      </c>
      <c r="H191" t="s">
        <v>162</v>
      </c>
      <c r="I191">
        <v>116914.84457142858</v>
      </c>
      <c r="J191">
        <v>0</v>
      </c>
      <c r="K191">
        <v>3.6</v>
      </c>
      <c r="L191">
        <v>0</v>
      </c>
      <c r="M191">
        <v>27.497982091197134</v>
      </c>
      <c r="N191">
        <v>0</v>
      </c>
      <c r="O191">
        <v>1.5276656717331742E-2</v>
      </c>
      <c r="P191">
        <v>2.2952666666666665E-3</v>
      </c>
      <c r="Q191">
        <v>1.1732166376415484E-2</v>
      </c>
      <c r="R191">
        <v>635568</v>
      </c>
      <c r="S191">
        <v>0</v>
      </c>
      <c r="T191">
        <v>0</v>
      </c>
      <c r="V191">
        <v>10800</v>
      </c>
      <c r="W191">
        <v>7</v>
      </c>
      <c r="X191">
        <v>85</v>
      </c>
      <c r="Y191">
        <v>3</v>
      </c>
      <c r="Z191">
        <v>4</v>
      </c>
      <c r="AA191">
        <v>5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3</v>
      </c>
      <c r="AJ191">
        <v>0</v>
      </c>
      <c r="AK191">
        <v>0</v>
      </c>
      <c r="AL191">
        <v>100</v>
      </c>
      <c r="AM191">
        <v>45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100</v>
      </c>
      <c r="AU191">
        <v>0</v>
      </c>
      <c r="AV191">
        <v>0</v>
      </c>
    </row>
    <row r="192" spans="1:48" x14ac:dyDescent="0.15">
      <c r="A192" s="4" t="str">
        <f>HYPERLINK("https://ibp.a2mac1.com/costing(costing:projects/details/9760/equipment/12210889)","DC machine - General")</f>
        <v>DC machine - General</v>
      </c>
      <c r="B192">
        <v>12210889</v>
      </c>
      <c r="C192">
        <v>12083832</v>
      </c>
      <c r="E192" t="s">
        <v>738</v>
      </c>
      <c r="H192" t="s">
        <v>162</v>
      </c>
      <c r="I192">
        <v>116914.84457142858</v>
      </c>
      <c r="J192">
        <v>0</v>
      </c>
      <c r="K192">
        <v>3.6</v>
      </c>
      <c r="L192">
        <v>0</v>
      </c>
      <c r="M192">
        <v>27.497982091197134</v>
      </c>
      <c r="N192">
        <v>0</v>
      </c>
      <c r="O192">
        <v>9.9298268662656314E-2</v>
      </c>
      <c r="P192">
        <v>1.4919233333333334E-2</v>
      </c>
      <c r="Q192">
        <v>1.1732166376415484E-2</v>
      </c>
      <c r="R192">
        <v>635568</v>
      </c>
      <c r="S192">
        <v>0</v>
      </c>
      <c r="T192">
        <v>0</v>
      </c>
      <c r="V192">
        <v>10800</v>
      </c>
      <c r="W192">
        <v>7</v>
      </c>
      <c r="X192">
        <v>85</v>
      </c>
      <c r="Y192">
        <v>3</v>
      </c>
      <c r="Z192">
        <v>4</v>
      </c>
      <c r="AA192">
        <v>5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3</v>
      </c>
      <c r="AJ192">
        <v>0</v>
      </c>
      <c r="AK192">
        <v>0</v>
      </c>
      <c r="AL192">
        <v>100</v>
      </c>
      <c r="AM192">
        <v>45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100</v>
      </c>
      <c r="AU192">
        <v>0</v>
      </c>
      <c r="AV192">
        <v>0</v>
      </c>
    </row>
    <row r="193" spans="1:48" x14ac:dyDescent="0.15">
      <c r="A193" s="4" t="str">
        <f>HYPERLINK("https://ibp.a2mac1.com/costing(costing:projects/details/9760/equipment/12211015)","DC machine - General")</f>
        <v>DC machine - General</v>
      </c>
      <c r="B193">
        <v>12211015</v>
      </c>
      <c r="C193">
        <v>12083949</v>
      </c>
      <c r="E193" t="s">
        <v>738</v>
      </c>
      <c r="H193" t="s">
        <v>162</v>
      </c>
      <c r="I193">
        <v>116914.84457142858</v>
      </c>
      <c r="J193">
        <v>0</v>
      </c>
      <c r="K193">
        <v>3.6</v>
      </c>
      <c r="L193">
        <v>0</v>
      </c>
      <c r="M193">
        <v>27.497982091197134</v>
      </c>
      <c r="N193">
        <v>0</v>
      </c>
      <c r="O193">
        <v>0.13748991045598569</v>
      </c>
      <c r="P193">
        <v>2.0657399999999999E-2</v>
      </c>
      <c r="Q193">
        <v>1.1732166376415484E-2</v>
      </c>
      <c r="R193">
        <v>635568</v>
      </c>
      <c r="S193">
        <v>0</v>
      </c>
      <c r="T193">
        <v>0</v>
      </c>
      <c r="V193">
        <v>10800</v>
      </c>
      <c r="W193">
        <v>7</v>
      </c>
      <c r="X193">
        <v>85</v>
      </c>
      <c r="Y193">
        <v>3</v>
      </c>
      <c r="Z193">
        <v>4</v>
      </c>
      <c r="AA193">
        <v>5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3</v>
      </c>
      <c r="AJ193">
        <v>0</v>
      </c>
      <c r="AK193">
        <v>0</v>
      </c>
      <c r="AL193">
        <v>100</v>
      </c>
      <c r="AM193">
        <v>45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100</v>
      </c>
      <c r="AU193">
        <v>0</v>
      </c>
      <c r="AV193">
        <v>0</v>
      </c>
    </row>
    <row r="194" spans="1:48" x14ac:dyDescent="0.15">
      <c r="A194" s="4" t="str">
        <f>HYPERLINK("https://ibp.a2mac1.com/costing(costing:projects/details/9760/equipment/12211016)","DC machine - General")</f>
        <v>DC machine - General</v>
      </c>
      <c r="B194">
        <v>12211016</v>
      </c>
      <c r="C194">
        <v>12083950</v>
      </c>
      <c r="E194" t="s">
        <v>738</v>
      </c>
      <c r="H194" t="s">
        <v>162</v>
      </c>
      <c r="I194">
        <v>116914.84457142858</v>
      </c>
      <c r="J194">
        <v>0</v>
      </c>
      <c r="K194">
        <v>3.6</v>
      </c>
      <c r="L194">
        <v>0</v>
      </c>
      <c r="M194">
        <v>27.497982091197134</v>
      </c>
      <c r="N194">
        <v>0</v>
      </c>
      <c r="O194">
        <v>7.6383283586658704E-2</v>
      </c>
      <c r="P194">
        <v>1.1476333333333333E-2</v>
      </c>
      <c r="Q194">
        <v>1.1732166376415484E-2</v>
      </c>
      <c r="R194">
        <v>635568</v>
      </c>
      <c r="S194">
        <v>0</v>
      </c>
      <c r="T194">
        <v>0</v>
      </c>
      <c r="V194">
        <v>10800</v>
      </c>
      <c r="W194">
        <v>7</v>
      </c>
      <c r="X194">
        <v>85</v>
      </c>
      <c r="Y194">
        <v>3</v>
      </c>
      <c r="Z194">
        <v>4</v>
      </c>
      <c r="AA194">
        <v>5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3</v>
      </c>
      <c r="AJ194">
        <v>0</v>
      </c>
      <c r="AK194">
        <v>0</v>
      </c>
      <c r="AL194">
        <v>100</v>
      </c>
      <c r="AM194">
        <v>45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100</v>
      </c>
      <c r="AU194">
        <v>0</v>
      </c>
      <c r="AV194">
        <v>0</v>
      </c>
    </row>
    <row r="195" spans="1:48" x14ac:dyDescent="0.15">
      <c r="A195" s="4" t="str">
        <f>HYPERLINK("https://ibp.a2mac1.com/costing(costing:projects/details/9760/equipment/12211017)","DC machine - General")</f>
        <v>DC machine - General</v>
      </c>
      <c r="B195">
        <v>12211017</v>
      </c>
      <c r="C195">
        <v>12083951</v>
      </c>
      <c r="E195" t="s">
        <v>738</v>
      </c>
      <c r="H195" t="s">
        <v>162</v>
      </c>
      <c r="I195">
        <v>116914.84457142858</v>
      </c>
      <c r="J195">
        <v>0</v>
      </c>
      <c r="K195">
        <v>3.6</v>
      </c>
      <c r="L195">
        <v>0</v>
      </c>
      <c r="M195">
        <v>27.497982091197134</v>
      </c>
      <c r="N195">
        <v>0</v>
      </c>
      <c r="O195">
        <v>2.2914985075997613E-2</v>
      </c>
      <c r="P195">
        <v>3.4429E-3</v>
      </c>
      <c r="Q195">
        <v>1.1732166376415484E-2</v>
      </c>
      <c r="R195">
        <v>635568</v>
      </c>
      <c r="S195">
        <v>0</v>
      </c>
      <c r="T195">
        <v>0</v>
      </c>
      <c r="V195">
        <v>10800</v>
      </c>
      <c r="W195">
        <v>7</v>
      </c>
      <c r="X195">
        <v>85</v>
      </c>
      <c r="Y195">
        <v>3</v>
      </c>
      <c r="Z195">
        <v>4</v>
      </c>
      <c r="AA195">
        <v>5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3</v>
      </c>
      <c r="AJ195">
        <v>0</v>
      </c>
      <c r="AK195">
        <v>0</v>
      </c>
      <c r="AL195">
        <v>100</v>
      </c>
      <c r="AM195">
        <v>45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100</v>
      </c>
      <c r="AU195">
        <v>0</v>
      </c>
      <c r="AV195">
        <v>0</v>
      </c>
    </row>
    <row r="196" spans="1:48" x14ac:dyDescent="0.15">
      <c r="A196" s="4" t="str">
        <f>HYPERLINK("https://ibp.a2mac1.com/costing(costing:projects/details/9760/equipment/12211018)","DC machine - General")</f>
        <v>DC machine - General</v>
      </c>
      <c r="B196">
        <v>12211018</v>
      </c>
      <c r="C196">
        <v>12083952</v>
      </c>
      <c r="E196" t="s">
        <v>738</v>
      </c>
      <c r="H196" t="s">
        <v>162</v>
      </c>
      <c r="I196">
        <v>116914.84457142858</v>
      </c>
      <c r="J196">
        <v>0</v>
      </c>
      <c r="K196">
        <v>3.6</v>
      </c>
      <c r="L196">
        <v>0</v>
      </c>
      <c r="M196">
        <v>27.497982091197134</v>
      </c>
      <c r="N196">
        <v>0</v>
      </c>
      <c r="O196">
        <v>8.4021611945324579E-2</v>
      </c>
      <c r="P196">
        <v>1.2623966666666667E-2</v>
      </c>
      <c r="Q196">
        <v>1.1732166376415484E-2</v>
      </c>
      <c r="R196">
        <v>635568</v>
      </c>
      <c r="S196">
        <v>0</v>
      </c>
      <c r="T196">
        <v>0</v>
      </c>
      <c r="V196">
        <v>10800</v>
      </c>
      <c r="W196">
        <v>7</v>
      </c>
      <c r="X196">
        <v>85</v>
      </c>
      <c r="Y196">
        <v>3</v>
      </c>
      <c r="Z196">
        <v>4</v>
      </c>
      <c r="AA196">
        <v>5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3</v>
      </c>
      <c r="AJ196">
        <v>0</v>
      </c>
      <c r="AK196">
        <v>0</v>
      </c>
      <c r="AL196">
        <v>100</v>
      </c>
      <c r="AM196">
        <v>45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100</v>
      </c>
      <c r="AU196">
        <v>0</v>
      </c>
      <c r="AV196">
        <v>0</v>
      </c>
    </row>
    <row r="197" spans="1:48" x14ac:dyDescent="0.15">
      <c r="A197" s="4" t="str">
        <f>HYPERLINK("https://ibp.a2mac1.com/costing(costing:projects/details/9760/equipment/12211019)","DC machine - General")</f>
        <v>DC machine - General</v>
      </c>
      <c r="B197">
        <v>12211019</v>
      </c>
      <c r="C197">
        <v>12083953</v>
      </c>
      <c r="E197" t="s">
        <v>738</v>
      </c>
      <c r="H197" t="s">
        <v>162</v>
      </c>
      <c r="I197">
        <v>116914.84457142858</v>
      </c>
      <c r="J197">
        <v>0</v>
      </c>
      <c r="K197">
        <v>3.6</v>
      </c>
      <c r="L197">
        <v>0</v>
      </c>
      <c r="M197">
        <v>27.497982091197134</v>
      </c>
      <c r="N197">
        <v>0</v>
      </c>
      <c r="O197">
        <v>6.8744955227992843E-2</v>
      </c>
      <c r="P197">
        <v>1.03287E-2</v>
      </c>
      <c r="Q197">
        <v>1.1732166376415484E-2</v>
      </c>
      <c r="R197">
        <v>635568</v>
      </c>
      <c r="S197">
        <v>0</v>
      </c>
      <c r="T197">
        <v>0</v>
      </c>
      <c r="V197">
        <v>10800</v>
      </c>
      <c r="W197">
        <v>7</v>
      </c>
      <c r="X197">
        <v>85</v>
      </c>
      <c r="Y197">
        <v>3</v>
      </c>
      <c r="Z197">
        <v>4</v>
      </c>
      <c r="AA197">
        <v>5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3</v>
      </c>
      <c r="AJ197">
        <v>0</v>
      </c>
      <c r="AK197">
        <v>0</v>
      </c>
      <c r="AL197">
        <v>100</v>
      </c>
      <c r="AM197">
        <v>45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100</v>
      </c>
      <c r="AU197">
        <v>0</v>
      </c>
      <c r="AV197">
        <v>0</v>
      </c>
    </row>
    <row r="198" spans="1:48" x14ac:dyDescent="0.15">
      <c r="A198" s="4" t="str">
        <f>HYPERLINK("https://ibp.a2mac1.com/costing(costing:projects/details/9760/equipment/12211020)","DC machine - General")</f>
        <v>DC machine - General</v>
      </c>
      <c r="B198">
        <v>12211020</v>
      </c>
      <c r="C198">
        <v>12083954</v>
      </c>
      <c r="E198" t="s">
        <v>738</v>
      </c>
      <c r="H198" t="s">
        <v>162</v>
      </c>
      <c r="I198">
        <v>116914.84457142858</v>
      </c>
      <c r="J198">
        <v>0</v>
      </c>
      <c r="K198">
        <v>3.6</v>
      </c>
      <c r="L198">
        <v>0</v>
      </c>
      <c r="M198">
        <v>27.497982091197134</v>
      </c>
      <c r="N198">
        <v>0</v>
      </c>
      <c r="O198">
        <v>2.2914985075997613E-2</v>
      </c>
      <c r="P198">
        <v>3.4429E-3</v>
      </c>
      <c r="Q198">
        <v>1.1732166376415484E-2</v>
      </c>
      <c r="R198">
        <v>635568</v>
      </c>
      <c r="S198">
        <v>0</v>
      </c>
      <c r="T198">
        <v>0</v>
      </c>
      <c r="V198">
        <v>10800</v>
      </c>
      <c r="W198">
        <v>7</v>
      </c>
      <c r="X198">
        <v>85</v>
      </c>
      <c r="Y198">
        <v>3</v>
      </c>
      <c r="Z198">
        <v>4</v>
      </c>
      <c r="AA198">
        <v>5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3</v>
      </c>
      <c r="AJ198">
        <v>0</v>
      </c>
      <c r="AK198">
        <v>0</v>
      </c>
      <c r="AL198">
        <v>100</v>
      </c>
      <c r="AM198">
        <v>45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100</v>
      </c>
      <c r="AU198">
        <v>0</v>
      </c>
      <c r="AV198">
        <v>0</v>
      </c>
    </row>
    <row r="199" spans="1:48" x14ac:dyDescent="0.15">
      <c r="A199" s="4" t="str">
        <f>HYPERLINK("https://ibp.a2mac1.com/costing(costing:projects/details/9760/equipment/12210890)","DC machine - General")</f>
        <v>DC machine - General</v>
      </c>
      <c r="B199">
        <v>12210890</v>
      </c>
      <c r="C199">
        <v>12083833</v>
      </c>
      <c r="E199" t="s">
        <v>738</v>
      </c>
      <c r="H199" t="s">
        <v>162</v>
      </c>
      <c r="I199">
        <v>116914.84457142858</v>
      </c>
      <c r="J199">
        <v>0</v>
      </c>
      <c r="K199">
        <v>3.6</v>
      </c>
      <c r="L199">
        <v>0</v>
      </c>
      <c r="M199">
        <v>27.497982091197134</v>
      </c>
      <c r="N199">
        <v>0</v>
      </c>
      <c r="O199">
        <v>2.4137117613384151</v>
      </c>
      <c r="P199">
        <v>0.36265213333333335</v>
      </c>
      <c r="Q199">
        <v>1.1732166376415484E-2</v>
      </c>
      <c r="R199">
        <v>635568</v>
      </c>
      <c r="S199">
        <v>0</v>
      </c>
      <c r="T199">
        <v>0</v>
      </c>
      <c r="V199">
        <v>10800</v>
      </c>
      <c r="W199">
        <v>7</v>
      </c>
      <c r="X199">
        <v>85</v>
      </c>
      <c r="Y199">
        <v>3</v>
      </c>
      <c r="Z199">
        <v>4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3</v>
      </c>
      <c r="AJ199">
        <v>0</v>
      </c>
      <c r="AK199">
        <v>0</v>
      </c>
      <c r="AL199">
        <v>100</v>
      </c>
      <c r="AM199">
        <v>45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100</v>
      </c>
      <c r="AU199">
        <v>0</v>
      </c>
      <c r="AV199">
        <v>0</v>
      </c>
    </row>
    <row r="200" spans="1:48" x14ac:dyDescent="0.15">
      <c r="A200" s="4" t="str">
        <f>HYPERLINK("https://ibp.a2mac1.com/costing(costing:projects/details/9760/equipment/12210891)","DC machine - General")</f>
        <v>DC machine - General</v>
      </c>
      <c r="B200">
        <v>12210891</v>
      </c>
      <c r="C200">
        <v>12083834</v>
      </c>
      <c r="E200" t="s">
        <v>738</v>
      </c>
      <c r="H200" t="s">
        <v>162</v>
      </c>
      <c r="I200">
        <v>116914.84457142858</v>
      </c>
      <c r="J200">
        <v>0</v>
      </c>
      <c r="K200">
        <v>3.6</v>
      </c>
      <c r="L200">
        <v>0</v>
      </c>
      <c r="M200">
        <v>27.497982091197134</v>
      </c>
      <c r="N200">
        <v>0</v>
      </c>
      <c r="O200">
        <v>0.56523629854127444</v>
      </c>
      <c r="P200">
        <v>8.4924866666666668E-2</v>
      </c>
      <c r="Q200">
        <v>1.1732166376415484E-2</v>
      </c>
      <c r="R200">
        <v>635568</v>
      </c>
      <c r="S200">
        <v>0</v>
      </c>
      <c r="T200">
        <v>0</v>
      </c>
      <c r="V200">
        <v>10800</v>
      </c>
      <c r="W200">
        <v>7</v>
      </c>
      <c r="X200">
        <v>85</v>
      </c>
      <c r="Y200">
        <v>3</v>
      </c>
      <c r="Z200">
        <v>4</v>
      </c>
      <c r="AA200">
        <v>5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3</v>
      </c>
      <c r="AJ200">
        <v>0</v>
      </c>
      <c r="AK200">
        <v>0</v>
      </c>
      <c r="AL200">
        <v>100</v>
      </c>
      <c r="AM200">
        <v>45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100</v>
      </c>
      <c r="AU200">
        <v>0</v>
      </c>
      <c r="AV200">
        <v>0</v>
      </c>
    </row>
    <row r="201" spans="1:48" x14ac:dyDescent="0.15">
      <c r="A201" s="4" t="str">
        <f>HYPERLINK("https://ibp.a2mac1.com/costing(costing:projects/details/9760/equipment/12210892)","DC machine - General")</f>
        <v>DC machine - General</v>
      </c>
      <c r="B201">
        <v>12210892</v>
      </c>
      <c r="C201">
        <v>12083835</v>
      </c>
      <c r="E201" t="s">
        <v>738</v>
      </c>
      <c r="H201" t="s">
        <v>162</v>
      </c>
      <c r="I201">
        <v>116914.84457142858</v>
      </c>
      <c r="J201">
        <v>0</v>
      </c>
      <c r="K201">
        <v>3.6</v>
      </c>
      <c r="L201">
        <v>0</v>
      </c>
      <c r="M201">
        <v>27.497982091197134</v>
      </c>
      <c r="N201">
        <v>0</v>
      </c>
      <c r="O201">
        <v>3.8191641793329352E-2</v>
      </c>
      <c r="P201">
        <v>5.7381666666666666E-3</v>
      </c>
      <c r="Q201">
        <v>1.1732166376415484E-2</v>
      </c>
      <c r="R201">
        <v>635568</v>
      </c>
      <c r="S201">
        <v>0</v>
      </c>
      <c r="T201">
        <v>0</v>
      </c>
      <c r="V201">
        <v>10800</v>
      </c>
      <c r="W201">
        <v>7</v>
      </c>
      <c r="X201">
        <v>85</v>
      </c>
      <c r="Y201">
        <v>3</v>
      </c>
      <c r="Z201">
        <v>4</v>
      </c>
      <c r="AA201">
        <v>5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3</v>
      </c>
      <c r="AJ201">
        <v>0</v>
      </c>
      <c r="AK201">
        <v>0</v>
      </c>
      <c r="AL201">
        <v>100</v>
      </c>
      <c r="AM201">
        <v>45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100</v>
      </c>
      <c r="AU201">
        <v>0</v>
      </c>
      <c r="AV201">
        <v>0</v>
      </c>
    </row>
    <row r="202" spans="1:48" x14ac:dyDescent="0.15">
      <c r="A202" s="4" t="str">
        <f>HYPERLINK("https://ibp.a2mac1.com/costing(costing:projects/details/9760/equipment/12210893)","DC machine - General")</f>
        <v>DC machine - General</v>
      </c>
      <c r="B202">
        <v>12210893</v>
      </c>
      <c r="C202">
        <v>12083836</v>
      </c>
      <c r="E202" t="s">
        <v>738</v>
      </c>
      <c r="H202" t="s">
        <v>162</v>
      </c>
      <c r="I202">
        <v>116914.84457142858</v>
      </c>
      <c r="J202">
        <v>0</v>
      </c>
      <c r="K202">
        <v>3.6</v>
      </c>
      <c r="L202">
        <v>0</v>
      </c>
      <c r="M202">
        <v>27.497982091197134</v>
      </c>
      <c r="N202">
        <v>0</v>
      </c>
      <c r="O202">
        <v>2.0547103284811192</v>
      </c>
      <c r="P202">
        <v>0.30871336666666666</v>
      </c>
      <c r="Q202">
        <v>1.1732166376415484E-2</v>
      </c>
      <c r="R202">
        <v>635568</v>
      </c>
      <c r="S202">
        <v>0</v>
      </c>
      <c r="T202">
        <v>0</v>
      </c>
      <c r="V202">
        <v>10800</v>
      </c>
      <c r="W202">
        <v>7</v>
      </c>
      <c r="X202">
        <v>85</v>
      </c>
      <c r="Y202">
        <v>3</v>
      </c>
      <c r="Z202">
        <v>4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3</v>
      </c>
      <c r="AJ202">
        <v>0</v>
      </c>
      <c r="AK202">
        <v>0</v>
      </c>
      <c r="AL202">
        <v>100</v>
      </c>
      <c r="AM202">
        <v>45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100</v>
      </c>
      <c r="AU202">
        <v>0</v>
      </c>
      <c r="AV202">
        <v>0</v>
      </c>
    </row>
    <row r="203" spans="1:48" x14ac:dyDescent="0.15">
      <c r="A203" s="4" t="str">
        <f>HYPERLINK("https://ibp.a2mac1.com/costing(costing:projects/details/9760/equipment/12210894)","DC machine - General")</f>
        <v>DC machine - General</v>
      </c>
      <c r="B203">
        <v>12210894</v>
      </c>
      <c r="C203">
        <v>12083837</v>
      </c>
      <c r="E203" t="s">
        <v>738</v>
      </c>
      <c r="H203" t="s">
        <v>162</v>
      </c>
      <c r="I203">
        <v>116914.84457142858</v>
      </c>
      <c r="J203">
        <v>0</v>
      </c>
      <c r="K203">
        <v>3.6</v>
      </c>
      <c r="L203">
        <v>0</v>
      </c>
      <c r="M203">
        <v>27.497982091197134</v>
      </c>
      <c r="N203">
        <v>0</v>
      </c>
      <c r="O203">
        <v>0.58815128361727209</v>
      </c>
      <c r="P203">
        <v>8.8367766666666667E-2</v>
      </c>
      <c r="Q203">
        <v>1.1732166376415484E-2</v>
      </c>
      <c r="R203">
        <v>635568</v>
      </c>
      <c r="S203">
        <v>0</v>
      </c>
      <c r="T203">
        <v>0</v>
      </c>
      <c r="V203">
        <v>10800</v>
      </c>
      <c r="W203">
        <v>7</v>
      </c>
      <c r="X203">
        <v>85</v>
      </c>
      <c r="Y203">
        <v>3</v>
      </c>
      <c r="Z203">
        <v>4</v>
      </c>
      <c r="AA203">
        <v>5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3</v>
      </c>
      <c r="AJ203">
        <v>0</v>
      </c>
      <c r="AK203">
        <v>0</v>
      </c>
      <c r="AL203">
        <v>100</v>
      </c>
      <c r="AM203">
        <v>45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100</v>
      </c>
      <c r="AU203">
        <v>0</v>
      </c>
      <c r="AV203">
        <v>0</v>
      </c>
    </row>
    <row r="204" spans="1:48" x14ac:dyDescent="0.15">
      <c r="A204" s="4" t="str">
        <f>HYPERLINK("https://ibp.a2mac1.com/costing(costing:projects/details/9760/equipment/12210895)","DC machine - General")</f>
        <v>DC machine - General</v>
      </c>
      <c r="B204">
        <v>12210895</v>
      </c>
      <c r="C204">
        <v>12083838</v>
      </c>
      <c r="E204" t="s">
        <v>738</v>
      </c>
      <c r="H204" t="s">
        <v>162</v>
      </c>
      <c r="I204">
        <v>116914.84457142858</v>
      </c>
      <c r="J204">
        <v>0</v>
      </c>
      <c r="K204">
        <v>3.6</v>
      </c>
      <c r="L204">
        <v>0</v>
      </c>
      <c r="M204">
        <v>27.497982091197134</v>
      </c>
      <c r="N204">
        <v>0</v>
      </c>
      <c r="O204">
        <v>1.5276656717331742E-2</v>
      </c>
      <c r="P204">
        <v>2.2952666666666665E-3</v>
      </c>
      <c r="Q204">
        <v>5.8660831882077422E-3</v>
      </c>
      <c r="R204">
        <v>635568</v>
      </c>
      <c r="S204">
        <v>0</v>
      </c>
      <c r="T204">
        <v>0</v>
      </c>
      <c r="V204">
        <v>10800</v>
      </c>
      <c r="W204">
        <v>7</v>
      </c>
      <c r="X204">
        <v>85</v>
      </c>
      <c r="Y204">
        <v>3</v>
      </c>
      <c r="Z204">
        <v>4</v>
      </c>
      <c r="AA204">
        <v>5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3</v>
      </c>
      <c r="AJ204">
        <v>0</v>
      </c>
      <c r="AK204">
        <v>0</v>
      </c>
      <c r="AL204">
        <v>100</v>
      </c>
      <c r="AM204">
        <v>45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100</v>
      </c>
      <c r="AU204">
        <v>0</v>
      </c>
      <c r="AV204">
        <v>0</v>
      </c>
    </row>
    <row r="205" spans="1:48" x14ac:dyDescent="0.15">
      <c r="A205" s="4" t="str">
        <f>HYPERLINK("https://ibp.a2mac1.com/costing(costing:projects/details/9760/equipment/12211021)","DC machine - General")</f>
        <v>DC machine - General</v>
      </c>
      <c r="B205">
        <v>12211021</v>
      </c>
      <c r="C205">
        <v>12083955</v>
      </c>
      <c r="E205" t="s">
        <v>738</v>
      </c>
      <c r="H205" t="s">
        <v>162</v>
      </c>
      <c r="I205">
        <v>116914.84457142858</v>
      </c>
      <c r="J205">
        <v>0</v>
      </c>
      <c r="K205">
        <v>3.6</v>
      </c>
      <c r="L205">
        <v>0</v>
      </c>
      <c r="M205">
        <v>27.497982091197134</v>
      </c>
      <c r="N205">
        <v>0</v>
      </c>
      <c r="O205">
        <v>0.4430230448026205</v>
      </c>
      <c r="P205">
        <v>6.6562733333333332E-2</v>
      </c>
      <c r="Q205">
        <v>1.1732166376415484E-2</v>
      </c>
      <c r="R205">
        <v>635568</v>
      </c>
      <c r="S205">
        <v>0</v>
      </c>
      <c r="T205">
        <v>0</v>
      </c>
      <c r="V205">
        <v>10800</v>
      </c>
      <c r="W205">
        <v>7</v>
      </c>
      <c r="X205">
        <v>85</v>
      </c>
      <c r="Y205">
        <v>3</v>
      </c>
      <c r="Z205">
        <v>4</v>
      </c>
      <c r="AA205">
        <v>5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3</v>
      </c>
      <c r="AJ205">
        <v>0</v>
      </c>
      <c r="AK205">
        <v>0</v>
      </c>
      <c r="AL205">
        <v>100</v>
      </c>
      <c r="AM205">
        <v>45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100</v>
      </c>
      <c r="AU205">
        <v>0</v>
      </c>
      <c r="AV205">
        <v>0</v>
      </c>
    </row>
    <row r="206" spans="1:48" x14ac:dyDescent="0.15">
      <c r="A206" s="4" t="str">
        <f>HYPERLINK("https://ibp.a2mac1.com/costing(costing:projects/details/9760/equipment/12210896)","DC machine - General")</f>
        <v>DC machine - General</v>
      </c>
      <c r="B206">
        <v>12210896</v>
      </c>
      <c r="C206">
        <v>12083839</v>
      </c>
      <c r="E206" t="s">
        <v>738</v>
      </c>
      <c r="H206" t="s">
        <v>162</v>
      </c>
      <c r="I206">
        <v>116914.84457142858</v>
      </c>
      <c r="J206">
        <v>0</v>
      </c>
      <c r="K206">
        <v>3.6</v>
      </c>
      <c r="L206">
        <v>0</v>
      </c>
      <c r="M206">
        <v>27.497982091197134</v>
      </c>
      <c r="N206">
        <v>0</v>
      </c>
      <c r="O206">
        <v>0.61106626869326963</v>
      </c>
      <c r="P206">
        <v>9.1810666666666665E-2</v>
      </c>
      <c r="Q206">
        <v>1.9553610627359139E-2</v>
      </c>
      <c r="R206">
        <v>635568</v>
      </c>
      <c r="S206">
        <v>0</v>
      </c>
      <c r="T206">
        <v>0</v>
      </c>
      <c r="V206">
        <v>10800</v>
      </c>
      <c r="W206">
        <v>7</v>
      </c>
      <c r="X206">
        <v>85</v>
      </c>
      <c r="Y206">
        <v>3</v>
      </c>
      <c r="Z206">
        <v>4</v>
      </c>
      <c r="AA206">
        <v>5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3</v>
      </c>
      <c r="AJ206">
        <v>0</v>
      </c>
      <c r="AK206">
        <v>0</v>
      </c>
      <c r="AL206">
        <v>100</v>
      </c>
      <c r="AM206">
        <v>45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100</v>
      </c>
      <c r="AU206">
        <v>0</v>
      </c>
      <c r="AV206">
        <v>0</v>
      </c>
    </row>
    <row r="207" spans="1:48" x14ac:dyDescent="0.15">
      <c r="A207" s="4" t="str">
        <f>HYPERLINK("https://ibp.a2mac1.com/costing(costing:projects/details/9760/equipment/12211022)","DC machine - General")</f>
        <v>DC machine - General</v>
      </c>
      <c r="B207">
        <v>12211022</v>
      </c>
      <c r="C207">
        <v>12083956</v>
      </c>
      <c r="E207" t="s">
        <v>738</v>
      </c>
      <c r="H207" t="s">
        <v>162</v>
      </c>
      <c r="I207">
        <v>116914.84457142858</v>
      </c>
      <c r="J207">
        <v>0</v>
      </c>
      <c r="K207">
        <v>3.6</v>
      </c>
      <c r="L207">
        <v>0</v>
      </c>
      <c r="M207">
        <v>27.497982091197134</v>
      </c>
      <c r="N207">
        <v>0</v>
      </c>
      <c r="O207">
        <v>0.50412967167194744</v>
      </c>
      <c r="P207">
        <v>7.57438E-2</v>
      </c>
      <c r="Q207">
        <v>1.1732166376415484E-2</v>
      </c>
      <c r="R207">
        <v>635568</v>
      </c>
      <c r="S207">
        <v>0</v>
      </c>
      <c r="T207">
        <v>0</v>
      </c>
      <c r="V207">
        <v>10800</v>
      </c>
      <c r="W207">
        <v>7</v>
      </c>
      <c r="X207">
        <v>85</v>
      </c>
      <c r="Y207">
        <v>3</v>
      </c>
      <c r="Z207">
        <v>4</v>
      </c>
      <c r="AA207">
        <v>5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3</v>
      </c>
      <c r="AJ207">
        <v>0</v>
      </c>
      <c r="AK207">
        <v>0</v>
      </c>
      <c r="AL207">
        <v>100</v>
      </c>
      <c r="AM207">
        <v>45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100</v>
      </c>
      <c r="AU207">
        <v>0</v>
      </c>
      <c r="AV207">
        <v>0</v>
      </c>
    </row>
    <row r="208" spans="1:48" x14ac:dyDescent="0.15">
      <c r="A208" s="4" t="str">
        <f>HYPERLINK("https://ibp.a2mac1.com/costing(costing:projects/details/9760/equipment/12210897)","DC machine - General")</f>
        <v>DC machine - General</v>
      </c>
      <c r="B208">
        <v>12210897</v>
      </c>
      <c r="C208">
        <v>12083840</v>
      </c>
      <c r="E208" t="s">
        <v>738</v>
      </c>
      <c r="H208" t="s">
        <v>162</v>
      </c>
      <c r="I208">
        <v>116914.84457142858</v>
      </c>
      <c r="J208">
        <v>0</v>
      </c>
      <c r="K208">
        <v>3.6</v>
      </c>
      <c r="L208">
        <v>0</v>
      </c>
      <c r="M208">
        <v>27.497982091197134</v>
      </c>
      <c r="N208">
        <v>0</v>
      </c>
      <c r="O208">
        <v>0.61106626869326963</v>
      </c>
      <c r="P208">
        <v>9.1810666666666665E-2</v>
      </c>
      <c r="Q208">
        <v>1.9553610627359139E-2</v>
      </c>
      <c r="R208">
        <v>635568</v>
      </c>
      <c r="S208">
        <v>0</v>
      </c>
      <c r="T208">
        <v>0</v>
      </c>
      <c r="V208">
        <v>10800</v>
      </c>
      <c r="W208">
        <v>7</v>
      </c>
      <c r="X208">
        <v>85</v>
      </c>
      <c r="Y208">
        <v>3</v>
      </c>
      <c r="Z208">
        <v>4</v>
      </c>
      <c r="AA208">
        <v>5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3</v>
      </c>
      <c r="AJ208">
        <v>0</v>
      </c>
      <c r="AK208">
        <v>0</v>
      </c>
      <c r="AL208">
        <v>100</v>
      </c>
      <c r="AM208">
        <v>45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100</v>
      </c>
      <c r="AU208">
        <v>0</v>
      </c>
      <c r="AV208">
        <v>0</v>
      </c>
    </row>
    <row r="209" spans="1:48" x14ac:dyDescent="0.15">
      <c r="A209" s="4" t="str">
        <f>HYPERLINK("https://ibp.a2mac1.com/costing(costing:projects/details/9760/equipment/12211097)","DC machine - General")</f>
        <v>DC machine - General</v>
      </c>
      <c r="B209">
        <v>12211097</v>
      </c>
      <c r="C209">
        <v>12084008</v>
      </c>
      <c r="E209" t="s">
        <v>738</v>
      </c>
      <c r="H209" t="s">
        <v>162</v>
      </c>
      <c r="I209">
        <v>116914.84457142858</v>
      </c>
      <c r="J209">
        <v>0</v>
      </c>
      <c r="K209">
        <v>3.6</v>
      </c>
      <c r="L209">
        <v>0</v>
      </c>
      <c r="M209">
        <v>27.497982091197134</v>
      </c>
      <c r="N209">
        <v>0</v>
      </c>
      <c r="O209">
        <v>2.3144134926757589</v>
      </c>
      <c r="P209">
        <v>0.34773290000000001</v>
      </c>
      <c r="Q209">
        <v>1.1732166376415484E-2</v>
      </c>
      <c r="R209">
        <v>635568</v>
      </c>
      <c r="S209">
        <v>0</v>
      </c>
      <c r="T209">
        <v>0</v>
      </c>
      <c r="V209">
        <v>10800</v>
      </c>
      <c r="W209">
        <v>7</v>
      </c>
      <c r="X209">
        <v>85</v>
      </c>
      <c r="Y209">
        <v>3</v>
      </c>
      <c r="Z209">
        <v>4</v>
      </c>
      <c r="AA209">
        <v>5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3</v>
      </c>
      <c r="AJ209">
        <v>0</v>
      </c>
      <c r="AK209">
        <v>0</v>
      </c>
      <c r="AL209">
        <v>100</v>
      </c>
      <c r="AM209">
        <v>45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100</v>
      </c>
      <c r="AU209">
        <v>0</v>
      </c>
      <c r="AV209">
        <v>0</v>
      </c>
    </row>
    <row r="210" spans="1:48" x14ac:dyDescent="0.15">
      <c r="A210" s="4" t="str">
        <f>HYPERLINK("https://ibp.a2mac1.com/costing(costing:projects/details/9760/equipment/12211098)","DC machine - General")</f>
        <v>DC machine - General</v>
      </c>
      <c r="B210">
        <v>12211098</v>
      </c>
      <c r="C210">
        <v>12084009</v>
      </c>
      <c r="E210" t="s">
        <v>738</v>
      </c>
      <c r="H210" t="s">
        <v>162</v>
      </c>
      <c r="I210">
        <v>116914.84457142858</v>
      </c>
      <c r="J210">
        <v>0</v>
      </c>
      <c r="K210">
        <v>3.6</v>
      </c>
      <c r="L210">
        <v>0</v>
      </c>
      <c r="M210">
        <v>27.497982091197134</v>
      </c>
      <c r="N210">
        <v>0</v>
      </c>
      <c r="O210">
        <v>2.3144134926757589</v>
      </c>
      <c r="P210">
        <v>0.34773290000000001</v>
      </c>
      <c r="Q210">
        <v>1.1732166376415484E-2</v>
      </c>
      <c r="R210">
        <v>635568</v>
      </c>
      <c r="S210">
        <v>0</v>
      </c>
      <c r="T210">
        <v>0</v>
      </c>
      <c r="V210">
        <v>10800</v>
      </c>
      <c r="W210">
        <v>7</v>
      </c>
      <c r="X210">
        <v>85</v>
      </c>
      <c r="Y210">
        <v>3</v>
      </c>
      <c r="Z210">
        <v>4</v>
      </c>
      <c r="AA210">
        <v>5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3</v>
      </c>
      <c r="AJ210">
        <v>0</v>
      </c>
      <c r="AK210">
        <v>0</v>
      </c>
      <c r="AL210">
        <v>100</v>
      </c>
      <c r="AM210">
        <v>45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100</v>
      </c>
      <c r="AU210">
        <v>0</v>
      </c>
      <c r="AV210">
        <v>0</v>
      </c>
    </row>
    <row r="211" spans="1:48" x14ac:dyDescent="0.15">
      <c r="A211" s="4" t="str">
        <f>HYPERLINK("https://ibp.a2mac1.com/costing(costing:projects/details/9760/equipment/12211023)","DC machine - General")</f>
        <v>DC machine - General</v>
      </c>
      <c r="B211">
        <v>12211023</v>
      </c>
      <c r="C211">
        <v>12083957</v>
      </c>
      <c r="E211" t="s">
        <v>738</v>
      </c>
      <c r="H211" t="s">
        <v>162</v>
      </c>
      <c r="I211">
        <v>116914.84457142858</v>
      </c>
      <c r="J211">
        <v>0</v>
      </c>
      <c r="K211">
        <v>3.6</v>
      </c>
      <c r="L211">
        <v>0</v>
      </c>
      <c r="M211">
        <v>27.497982091197134</v>
      </c>
      <c r="N211">
        <v>0</v>
      </c>
      <c r="O211">
        <v>8.4021611945324579E-2</v>
      </c>
      <c r="P211">
        <v>1.2623966666666667E-2</v>
      </c>
      <c r="Q211">
        <v>1.1732166376415484E-2</v>
      </c>
      <c r="R211">
        <v>635568</v>
      </c>
      <c r="S211">
        <v>0</v>
      </c>
      <c r="T211">
        <v>0</v>
      </c>
      <c r="V211">
        <v>10800</v>
      </c>
      <c r="W211">
        <v>7</v>
      </c>
      <c r="X211">
        <v>85</v>
      </c>
      <c r="Y211">
        <v>3</v>
      </c>
      <c r="Z211">
        <v>4</v>
      </c>
      <c r="AA211">
        <v>5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3</v>
      </c>
      <c r="AJ211">
        <v>0</v>
      </c>
      <c r="AK211">
        <v>0</v>
      </c>
      <c r="AL211">
        <v>100</v>
      </c>
      <c r="AM211">
        <v>45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100</v>
      </c>
      <c r="AU211">
        <v>0</v>
      </c>
      <c r="AV211">
        <v>0</v>
      </c>
    </row>
    <row r="212" spans="1:48" x14ac:dyDescent="0.15">
      <c r="A212" s="4" t="str">
        <f>HYPERLINK("https://ibp.a2mac1.com/costing(costing:projects/details/9760/equipment/12211024)","DC machine - General")</f>
        <v>DC machine - General</v>
      </c>
      <c r="B212">
        <v>12211024</v>
      </c>
      <c r="C212">
        <v>12083958</v>
      </c>
      <c r="E212" t="s">
        <v>738</v>
      </c>
      <c r="H212" t="s">
        <v>162</v>
      </c>
      <c r="I212">
        <v>116914.84457142858</v>
      </c>
      <c r="J212">
        <v>0</v>
      </c>
      <c r="K212">
        <v>3.6</v>
      </c>
      <c r="L212">
        <v>0</v>
      </c>
      <c r="M212">
        <v>27.497982091197134</v>
      </c>
      <c r="N212">
        <v>0</v>
      </c>
      <c r="O212">
        <v>3.0553313434663484E-2</v>
      </c>
      <c r="P212">
        <v>4.5905333333333331E-3</v>
      </c>
      <c r="Q212">
        <v>1.1732166376415484E-2</v>
      </c>
      <c r="R212">
        <v>635568</v>
      </c>
      <c r="S212">
        <v>0</v>
      </c>
      <c r="T212">
        <v>0</v>
      </c>
      <c r="V212">
        <v>10800</v>
      </c>
      <c r="W212">
        <v>7</v>
      </c>
      <c r="X212">
        <v>85</v>
      </c>
      <c r="Y212">
        <v>3</v>
      </c>
      <c r="Z212">
        <v>4</v>
      </c>
      <c r="AA212">
        <v>5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3</v>
      </c>
      <c r="AJ212">
        <v>0</v>
      </c>
      <c r="AK212">
        <v>0</v>
      </c>
      <c r="AL212">
        <v>100</v>
      </c>
      <c r="AM212">
        <v>45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100</v>
      </c>
      <c r="AU212">
        <v>0</v>
      </c>
      <c r="AV212">
        <v>0</v>
      </c>
    </row>
    <row r="213" spans="1:48" x14ac:dyDescent="0.15">
      <c r="A213" s="4" t="str">
        <f>HYPERLINK("https://ibp.a2mac1.com/costing(costing:projects/details/9760/equipment/12211099)","DC machine - General")</f>
        <v>DC machine - General</v>
      </c>
      <c r="B213">
        <v>12211099</v>
      </c>
      <c r="C213">
        <v>12084010</v>
      </c>
      <c r="E213" t="s">
        <v>738</v>
      </c>
      <c r="H213" t="s">
        <v>162</v>
      </c>
      <c r="I213">
        <v>116914.84457142858</v>
      </c>
      <c r="J213">
        <v>0</v>
      </c>
      <c r="K213">
        <v>3.6</v>
      </c>
      <c r="L213">
        <v>0</v>
      </c>
      <c r="M213">
        <v>27.497982091197134</v>
      </c>
      <c r="N213">
        <v>0</v>
      </c>
      <c r="O213">
        <v>3.8191641793329352E-2</v>
      </c>
      <c r="P213">
        <v>5.7381666666666666E-3</v>
      </c>
      <c r="Q213">
        <v>1.1732166376415484E-2</v>
      </c>
      <c r="R213">
        <v>635568</v>
      </c>
      <c r="S213">
        <v>0</v>
      </c>
      <c r="T213">
        <v>0</v>
      </c>
      <c r="V213">
        <v>10800</v>
      </c>
      <c r="W213">
        <v>7</v>
      </c>
      <c r="X213">
        <v>85</v>
      </c>
      <c r="Y213">
        <v>3</v>
      </c>
      <c r="Z213">
        <v>4</v>
      </c>
      <c r="AA213">
        <v>5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3</v>
      </c>
      <c r="AJ213">
        <v>0</v>
      </c>
      <c r="AK213">
        <v>0</v>
      </c>
      <c r="AL213">
        <v>100</v>
      </c>
      <c r="AM213">
        <v>45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  <c r="AU213">
        <v>0</v>
      </c>
      <c r="AV213">
        <v>0</v>
      </c>
    </row>
    <row r="214" spans="1:48" x14ac:dyDescent="0.15">
      <c r="A214" s="4" t="str">
        <f>HYPERLINK("https://ibp.a2mac1.com/costing(costing:projects/details/9760/equipment/12211100)","DC machine - General")</f>
        <v>DC machine - General</v>
      </c>
      <c r="B214">
        <v>12211100</v>
      </c>
      <c r="C214">
        <v>12084011</v>
      </c>
      <c r="E214" t="s">
        <v>738</v>
      </c>
      <c r="H214" t="s">
        <v>162</v>
      </c>
      <c r="I214">
        <v>116914.84457142858</v>
      </c>
      <c r="J214">
        <v>0</v>
      </c>
      <c r="K214">
        <v>3.6</v>
      </c>
      <c r="L214">
        <v>0</v>
      </c>
      <c r="M214">
        <v>27.497982091197134</v>
      </c>
      <c r="N214">
        <v>0</v>
      </c>
      <c r="O214">
        <v>0.19095820896664678</v>
      </c>
      <c r="P214">
        <v>2.8690833333333332E-2</v>
      </c>
      <c r="Q214">
        <v>1.1732166376415484E-2</v>
      </c>
      <c r="R214">
        <v>635568</v>
      </c>
      <c r="S214">
        <v>0</v>
      </c>
      <c r="T214">
        <v>0</v>
      </c>
      <c r="V214">
        <v>10800</v>
      </c>
      <c r="W214">
        <v>7</v>
      </c>
      <c r="X214">
        <v>85</v>
      </c>
      <c r="Y214">
        <v>3</v>
      </c>
      <c r="Z214">
        <v>4</v>
      </c>
      <c r="AA214">
        <v>5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3</v>
      </c>
      <c r="AJ214">
        <v>0</v>
      </c>
      <c r="AK214">
        <v>0</v>
      </c>
      <c r="AL214">
        <v>100</v>
      </c>
      <c r="AM214">
        <v>45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100</v>
      </c>
      <c r="AU214">
        <v>0</v>
      </c>
      <c r="AV214">
        <v>0</v>
      </c>
    </row>
    <row r="215" spans="1:48" x14ac:dyDescent="0.15">
      <c r="A215" s="4" t="str">
        <f>HYPERLINK("https://ibp.a2mac1.com/costing(costing:projects/details/9760/equipment/12211025)","DC machine - General")</f>
        <v>DC machine - General</v>
      </c>
      <c r="B215">
        <v>12211025</v>
      </c>
      <c r="C215">
        <v>12083959</v>
      </c>
      <c r="E215" t="s">
        <v>738</v>
      </c>
      <c r="H215" t="s">
        <v>162</v>
      </c>
      <c r="I215">
        <v>116914.84457142858</v>
      </c>
      <c r="J215">
        <v>0</v>
      </c>
      <c r="K215">
        <v>3.6</v>
      </c>
      <c r="L215">
        <v>0</v>
      </c>
      <c r="M215">
        <v>27.497982091197134</v>
      </c>
      <c r="N215">
        <v>0</v>
      </c>
      <c r="O215">
        <v>3.0553313434663484E-2</v>
      </c>
      <c r="P215">
        <v>4.5905333333333331E-3</v>
      </c>
      <c r="Q215">
        <v>1.1732166376415484E-2</v>
      </c>
      <c r="R215">
        <v>635568</v>
      </c>
      <c r="S215">
        <v>0</v>
      </c>
      <c r="T215">
        <v>0</v>
      </c>
      <c r="V215">
        <v>10800</v>
      </c>
      <c r="W215">
        <v>7</v>
      </c>
      <c r="X215">
        <v>85</v>
      </c>
      <c r="Y215">
        <v>3</v>
      </c>
      <c r="Z215">
        <v>4</v>
      </c>
      <c r="AA215">
        <v>5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3</v>
      </c>
      <c r="AJ215">
        <v>0</v>
      </c>
      <c r="AK215">
        <v>0</v>
      </c>
      <c r="AL215">
        <v>100</v>
      </c>
      <c r="AM215">
        <v>45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  <c r="AU215">
        <v>0</v>
      </c>
      <c r="AV215">
        <v>0</v>
      </c>
    </row>
    <row r="216" spans="1:48" x14ac:dyDescent="0.15">
      <c r="A216" s="4" t="str">
        <f>HYPERLINK("https://ibp.a2mac1.com/costing(costing:projects/details/9760/equipment/12211026)","Dummy Machine (PCBA+Final Assembly Line)")</f>
        <v>Dummy Machine (PCBA+Final Assembly Line)</v>
      </c>
      <c r="B216">
        <v>12211026</v>
      </c>
      <c r="C216">
        <v>12083960</v>
      </c>
      <c r="F216" t="s">
        <v>358</v>
      </c>
      <c r="H216" t="s">
        <v>162</v>
      </c>
      <c r="I216">
        <v>79501.662769714283</v>
      </c>
      <c r="J216">
        <v>0</v>
      </c>
      <c r="K216">
        <v>0.28895999999999999</v>
      </c>
      <c r="L216">
        <v>0</v>
      </c>
      <c r="M216">
        <v>16.624578413647427</v>
      </c>
      <c r="N216">
        <v>0</v>
      </c>
      <c r="O216">
        <v>0.43870415258236262</v>
      </c>
      <c r="P216">
        <v>7.6317616666666671E-2</v>
      </c>
      <c r="Q216">
        <v>1.1481975848188456E-4</v>
      </c>
      <c r="R216">
        <v>442771.1</v>
      </c>
      <c r="S216">
        <v>0</v>
      </c>
      <c r="T216">
        <v>0</v>
      </c>
      <c r="V216">
        <v>216</v>
      </c>
      <c r="W216">
        <v>7</v>
      </c>
      <c r="X216">
        <v>85</v>
      </c>
      <c r="Y216">
        <v>3</v>
      </c>
      <c r="Z216">
        <v>4</v>
      </c>
      <c r="AA216">
        <v>5</v>
      </c>
      <c r="AB216">
        <v>0</v>
      </c>
      <c r="AC216">
        <v>0</v>
      </c>
      <c r="AD216">
        <v>0</v>
      </c>
      <c r="AE216">
        <v>0</v>
      </c>
      <c r="AF216">
        <v>0.7</v>
      </c>
      <c r="AG216">
        <v>0</v>
      </c>
      <c r="AH216">
        <v>0</v>
      </c>
      <c r="AI216">
        <v>0.2</v>
      </c>
      <c r="AJ216">
        <v>0</v>
      </c>
      <c r="AK216">
        <v>0</v>
      </c>
      <c r="AL216">
        <v>86</v>
      </c>
      <c r="AM216">
        <v>4.2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19.399999999999999</v>
      </c>
      <c r="AU216">
        <v>0</v>
      </c>
      <c r="AV216">
        <v>0</v>
      </c>
    </row>
    <row r="217" spans="1:48" x14ac:dyDescent="0.15">
      <c r="A217" s="4" t="str">
        <f>HYPERLINK("https://ibp.a2mac1.com/costing(costing:projects/details/9760/equipment/12211101)","DC machine - General")</f>
        <v>DC machine - General</v>
      </c>
      <c r="B217">
        <v>12211101</v>
      </c>
      <c r="C217">
        <v>12084012</v>
      </c>
      <c r="E217" t="s">
        <v>738</v>
      </c>
      <c r="H217" t="s">
        <v>162</v>
      </c>
      <c r="I217">
        <v>116914.84457142858</v>
      </c>
      <c r="J217">
        <v>0</v>
      </c>
      <c r="K217">
        <v>3.6</v>
      </c>
      <c r="L217">
        <v>0</v>
      </c>
      <c r="M217">
        <v>27.497982091197134</v>
      </c>
      <c r="N217">
        <v>0</v>
      </c>
      <c r="O217">
        <v>4.5829970151995227E-2</v>
      </c>
      <c r="P217">
        <v>6.8858000000000001E-3</v>
      </c>
      <c r="Q217">
        <v>1.1732166376415484E-2</v>
      </c>
      <c r="R217">
        <v>635568</v>
      </c>
      <c r="S217">
        <v>0</v>
      </c>
      <c r="T217">
        <v>0</v>
      </c>
      <c r="V217">
        <v>10800</v>
      </c>
      <c r="W217">
        <v>7</v>
      </c>
      <c r="X217">
        <v>85</v>
      </c>
      <c r="Y217">
        <v>3</v>
      </c>
      <c r="Z217">
        <v>4</v>
      </c>
      <c r="AA217">
        <v>5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3</v>
      </c>
      <c r="AJ217">
        <v>0</v>
      </c>
      <c r="AK217">
        <v>0</v>
      </c>
      <c r="AL217">
        <v>100</v>
      </c>
      <c r="AM217">
        <v>45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  <c r="AU217">
        <v>0</v>
      </c>
      <c r="AV217">
        <v>0</v>
      </c>
    </row>
    <row r="218" spans="1:48" x14ac:dyDescent="0.15">
      <c r="A218" s="4" t="str">
        <f>HYPERLINK("https://ibp.a2mac1.com/costing(costing:projects/details/9760/equipment/12211102)","DC machine - General")</f>
        <v>DC machine - General</v>
      </c>
      <c r="B218">
        <v>12211102</v>
      </c>
      <c r="C218">
        <v>12084013</v>
      </c>
      <c r="E218" t="s">
        <v>738</v>
      </c>
      <c r="H218" t="s">
        <v>162</v>
      </c>
      <c r="I218">
        <v>116914.84457142858</v>
      </c>
      <c r="J218">
        <v>0</v>
      </c>
      <c r="K218">
        <v>3.6</v>
      </c>
      <c r="L218">
        <v>0</v>
      </c>
      <c r="M218">
        <v>27.497982091197134</v>
      </c>
      <c r="N218">
        <v>0</v>
      </c>
      <c r="O218">
        <v>3.8191641793329352E-2</v>
      </c>
      <c r="P218">
        <v>5.7381666666666666E-3</v>
      </c>
      <c r="Q218">
        <v>1.1732166376415484E-2</v>
      </c>
      <c r="R218">
        <v>635568</v>
      </c>
      <c r="S218">
        <v>0</v>
      </c>
      <c r="T218">
        <v>0</v>
      </c>
      <c r="V218">
        <v>10800</v>
      </c>
      <c r="W218">
        <v>7</v>
      </c>
      <c r="X218">
        <v>85</v>
      </c>
      <c r="Y218">
        <v>3</v>
      </c>
      <c r="Z218">
        <v>4</v>
      </c>
      <c r="AA218">
        <v>5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3</v>
      </c>
      <c r="AJ218">
        <v>0</v>
      </c>
      <c r="AK218">
        <v>0</v>
      </c>
      <c r="AL218">
        <v>100</v>
      </c>
      <c r="AM218">
        <v>45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  <c r="AU218">
        <v>0</v>
      </c>
      <c r="AV218">
        <v>0</v>
      </c>
    </row>
    <row r="219" spans="1:48" x14ac:dyDescent="0.15">
      <c r="A219" s="4" t="str">
        <f>HYPERLINK("https://ibp.a2mac1.com/costing(costing:projects/details/9760/equipment/12211027)","DC machine - General")</f>
        <v>DC machine - General</v>
      </c>
      <c r="B219">
        <v>12211027</v>
      </c>
      <c r="C219">
        <v>12083961</v>
      </c>
      <c r="E219" t="s">
        <v>738</v>
      </c>
      <c r="H219" t="s">
        <v>162</v>
      </c>
      <c r="I219">
        <v>116914.84457142858</v>
      </c>
      <c r="J219">
        <v>0</v>
      </c>
      <c r="K219">
        <v>3.6</v>
      </c>
      <c r="L219">
        <v>0</v>
      </c>
      <c r="M219">
        <v>27.497982091197134</v>
      </c>
      <c r="N219">
        <v>0</v>
      </c>
      <c r="O219">
        <v>5.3468298510661094E-2</v>
      </c>
      <c r="P219">
        <v>8.0334333333333327E-3</v>
      </c>
      <c r="Q219">
        <v>1.1732166376415484E-2</v>
      </c>
      <c r="R219">
        <v>635568</v>
      </c>
      <c r="S219">
        <v>0</v>
      </c>
      <c r="T219">
        <v>0</v>
      </c>
      <c r="V219">
        <v>10800</v>
      </c>
      <c r="W219">
        <v>7</v>
      </c>
      <c r="X219">
        <v>85</v>
      </c>
      <c r="Y219">
        <v>3</v>
      </c>
      <c r="Z219">
        <v>4</v>
      </c>
      <c r="AA219">
        <v>5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3</v>
      </c>
      <c r="AJ219">
        <v>0</v>
      </c>
      <c r="AK219">
        <v>0</v>
      </c>
      <c r="AL219">
        <v>100</v>
      </c>
      <c r="AM219">
        <v>45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  <c r="AU219">
        <v>0</v>
      </c>
      <c r="AV219">
        <v>0</v>
      </c>
    </row>
    <row r="220" spans="1:48" x14ac:dyDescent="0.15">
      <c r="A220" s="4" t="str">
        <f>HYPERLINK("https://ibp.a2mac1.com/costing(costing:projects/details/9760/equipment/12211028)","DC machine - General")</f>
        <v>DC machine - General</v>
      </c>
      <c r="B220">
        <v>12211028</v>
      </c>
      <c r="C220">
        <v>12083962</v>
      </c>
      <c r="E220" t="s">
        <v>738</v>
      </c>
      <c r="H220" t="s">
        <v>162</v>
      </c>
      <c r="I220">
        <v>116914.84457142858</v>
      </c>
      <c r="J220">
        <v>0</v>
      </c>
      <c r="K220">
        <v>3.6</v>
      </c>
      <c r="L220">
        <v>0</v>
      </c>
      <c r="M220">
        <v>27.497982091197134</v>
      </c>
      <c r="N220">
        <v>0</v>
      </c>
      <c r="O220">
        <v>8.4021611945324579E-2</v>
      </c>
      <c r="P220">
        <v>1.2623966666666667E-2</v>
      </c>
      <c r="Q220">
        <v>5.8660831882077422E-3</v>
      </c>
      <c r="R220">
        <v>635568</v>
      </c>
      <c r="S220">
        <v>0</v>
      </c>
      <c r="T220">
        <v>0</v>
      </c>
      <c r="V220">
        <v>10800</v>
      </c>
      <c r="W220">
        <v>7</v>
      </c>
      <c r="X220">
        <v>85</v>
      </c>
      <c r="Y220">
        <v>3</v>
      </c>
      <c r="Z220">
        <v>4</v>
      </c>
      <c r="AA220">
        <v>5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3</v>
      </c>
      <c r="AJ220">
        <v>0</v>
      </c>
      <c r="AK220">
        <v>0</v>
      </c>
      <c r="AL220">
        <v>100</v>
      </c>
      <c r="AM220">
        <v>45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  <c r="AU220">
        <v>0</v>
      </c>
      <c r="AV220">
        <v>0</v>
      </c>
    </row>
    <row r="221" spans="1:48" x14ac:dyDescent="0.15">
      <c r="A221" s="4" t="str">
        <f>HYPERLINK("https://ibp.a2mac1.com/costing(costing:projects/details/9760/equipment/12211029)","DC machine - General")</f>
        <v>DC machine - General</v>
      </c>
      <c r="B221">
        <v>12211029</v>
      </c>
      <c r="C221">
        <v>12083963</v>
      </c>
      <c r="E221" t="s">
        <v>738</v>
      </c>
      <c r="H221" t="s">
        <v>162</v>
      </c>
      <c r="I221">
        <v>116914.84457142858</v>
      </c>
      <c r="J221">
        <v>0</v>
      </c>
      <c r="K221">
        <v>3.6</v>
      </c>
      <c r="L221">
        <v>0</v>
      </c>
      <c r="M221">
        <v>27.497982091197134</v>
      </c>
      <c r="N221">
        <v>0</v>
      </c>
      <c r="O221">
        <v>6.8744955227992843E-2</v>
      </c>
      <c r="P221">
        <v>1.03287E-2</v>
      </c>
      <c r="Q221">
        <v>5.8660831882077422E-3</v>
      </c>
      <c r="R221">
        <v>635568</v>
      </c>
      <c r="S221">
        <v>0</v>
      </c>
      <c r="T221">
        <v>0</v>
      </c>
      <c r="V221">
        <v>10800</v>
      </c>
      <c r="W221">
        <v>7</v>
      </c>
      <c r="X221">
        <v>85</v>
      </c>
      <c r="Y221">
        <v>3</v>
      </c>
      <c r="Z221">
        <v>4</v>
      </c>
      <c r="AA221">
        <v>5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3</v>
      </c>
      <c r="AJ221">
        <v>0</v>
      </c>
      <c r="AK221">
        <v>0</v>
      </c>
      <c r="AL221">
        <v>100</v>
      </c>
      <c r="AM221">
        <v>45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100</v>
      </c>
      <c r="AU221">
        <v>0</v>
      </c>
      <c r="AV221">
        <v>0</v>
      </c>
    </row>
    <row r="222" spans="1:48" x14ac:dyDescent="0.15">
      <c r="A222" s="4" t="str">
        <f>HYPERLINK("https://ibp.a2mac1.com/costing(costing:projects/details/9760/equipment/12210898)","DC machine - General")</f>
        <v>DC machine - General</v>
      </c>
      <c r="B222">
        <v>12210898</v>
      </c>
      <c r="C222">
        <v>12083841</v>
      </c>
      <c r="E222" t="s">
        <v>738</v>
      </c>
      <c r="H222" t="s">
        <v>162</v>
      </c>
      <c r="I222">
        <v>116914.84457142858</v>
      </c>
      <c r="J222">
        <v>0</v>
      </c>
      <c r="K222">
        <v>3.6</v>
      </c>
      <c r="L222">
        <v>0</v>
      </c>
      <c r="M222">
        <v>27.497982091197134</v>
      </c>
      <c r="N222">
        <v>0</v>
      </c>
      <c r="O222">
        <v>2.2914985075997613E-2</v>
      </c>
      <c r="P222">
        <v>3.4429E-3</v>
      </c>
      <c r="Q222">
        <v>1.1732166376415484E-2</v>
      </c>
      <c r="R222">
        <v>635568</v>
      </c>
      <c r="S222">
        <v>0</v>
      </c>
      <c r="T222">
        <v>0</v>
      </c>
      <c r="V222">
        <v>10800</v>
      </c>
      <c r="W222">
        <v>7</v>
      </c>
      <c r="X222">
        <v>85</v>
      </c>
      <c r="Y222">
        <v>3</v>
      </c>
      <c r="Z222">
        <v>4</v>
      </c>
      <c r="AA222">
        <v>5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3</v>
      </c>
      <c r="AJ222">
        <v>0</v>
      </c>
      <c r="AK222">
        <v>0</v>
      </c>
      <c r="AL222">
        <v>100</v>
      </c>
      <c r="AM222">
        <v>45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  <c r="AU222">
        <v>0</v>
      </c>
      <c r="AV222">
        <v>0</v>
      </c>
    </row>
    <row r="223" spans="1:48" x14ac:dyDescent="0.15">
      <c r="A223" s="4" t="str">
        <f>HYPERLINK("https://ibp.a2mac1.com/costing(costing:projects/details/9760/equipment/12210899)","DC machine - General")</f>
        <v>DC machine - General</v>
      </c>
      <c r="B223">
        <v>12210899</v>
      </c>
      <c r="C223">
        <v>12083842</v>
      </c>
      <c r="E223" t="s">
        <v>738</v>
      </c>
      <c r="H223" t="s">
        <v>162</v>
      </c>
      <c r="I223">
        <v>116914.84457142858</v>
      </c>
      <c r="J223">
        <v>0</v>
      </c>
      <c r="K223">
        <v>3.6</v>
      </c>
      <c r="L223">
        <v>0</v>
      </c>
      <c r="M223">
        <v>27.497982091197134</v>
      </c>
      <c r="N223">
        <v>0</v>
      </c>
      <c r="O223">
        <v>7.6383283586658711E-3</v>
      </c>
      <c r="P223">
        <v>1.1476333333333333E-3</v>
      </c>
      <c r="Q223">
        <v>1.1732166376415484E-2</v>
      </c>
      <c r="R223">
        <v>635568</v>
      </c>
      <c r="S223">
        <v>0</v>
      </c>
      <c r="T223">
        <v>0</v>
      </c>
      <c r="V223">
        <v>10800</v>
      </c>
      <c r="W223">
        <v>7</v>
      </c>
      <c r="X223">
        <v>85</v>
      </c>
      <c r="Y223">
        <v>3</v>
      </c>
      <c r="Z223">
        <v>4</v>
      </c>
      <c r="AA223">
        <v>5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3</v>
      </c>
      <c r="AJ223">
        <v>0</v>
      </c>
      <c r="AK223">
        <v>0</v>
      </c>
      <c r="AL223">
        <v>100</v>
      </c>
      <c r="AM223">
        <v>45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100</v>
      </c>
      <c r="AU223">
        <v>0</v>
      </c>
      <c r="AV223">
        <v>0</v>
      </c>
    </row>
    <row r="224" spans="1:48" x14ac:dyDescent="0.15">
      <c r="A224" s="4" t="str">
        <f>HYPERLINK("https://ibp.a2mac1.com/costing(costing:projects/details/9760/equipment/12210900)","DC machine - General")</f>
        <v>DC machine - General</v>
      </c>
      <c r="B224">
        <v>12210900</v>
      </c>
      <c r="C224">
        <v>12083843</v>
      </c>
      <c r="E224" t="s">
        <v>738</v>
      </c>
      <c r="H224" t="s">
        <v>162</v>
      </c>
      <c r="I224">
        <v>116914.84457142858</v>
      </c>
      <c r="J224">
        <v>0</v>
      </c>
      <c r="K224">
        <v>3.6</v>
      </c>
      <c r="L224">
        <v>0</v>
      </c>
      <c r="M224">
        <v>27.497982091197134</v>
      </c>
      <c r="N224">
        <v>0</v>
      </c>
      <c r="O224">
        <v>7.6383283586658711E-3</v>
      </c>
      <c r="P224">
        <v>1.1476333333333333E-3</v>
      </c>
      <c r="Q224">
        <v>1.1732166376415484E-2</v>
      </c>
      <c r="R224">
        <v>635568</v>
      </c>
      <c r="S224">
        <v>0</v>
      </c>
      <c r="T224">
        <v>0</v>
      </c>
      <c r="V224">
        <v>10800</v>
      </c>
      <c r="W224">
        <v>7</v>
      </c>
      <c r="X224">
        <v>85</v>
      </c>
      <c r="Y224">
        <v>3</v>
      </c>
      <c r="Z224">
        <v>4</v>
      </c>
      <c r="AA224">
        <v>5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3</v>
      </c>
      <c r="AJ224">
        <v>0</v>
      </c>
      <c r="AK224">
        <v>0</v>
      </c>
      <c r="AL224">
        <v>100</v>
      </c>
      <c r="AM224">
        <v>45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  <c r="AU224">
        <v>0</v>
      </c>
      <c r="AV224">
        <v>0</v>
      </c>
    </row>
    <row r="225" spans="1:48" x14ac:dyDescent="0.15">
      <c r="A225" s="4" t="str">
        <f>HYPERLINK("https://ibp.a2mac1.com/costing(costing:projects/details/9760/equipment/12210901)","DC machine - General")</f>
        <v>DC machine - General</v>
      </c>
      <c r="B225">
        <v>12210901</v>
      </c>
      <c r="C225">
        <v>12083844</v>
      </c>
      <c r="E225" t="s">
        <v>738</v>
      </c>
      <c r="H225" t="s">
        <v>162</v>
      </c>
      <c r="I225">
        <v>116914.84457142858</v>
      </c>
      <c r="J225">
        <v>0</v>
      </c>
      <c r="K225">
        <v>3.6</v>
      </c>
      <c r="L225">
        <v>0</v>
      </c>
      <c r="M225">
        <v>27.497982091197134</v>
      </c>
      <c r="N225">
        <v>0</v>
      </c>
      <c r="O225">
        <v>7.6383283586658711E-3</v>
      </c>
      <c r="P225">
        <v>1.1476333333333333E-3</v>
      </c>
      <c r="Q225">
        <v>1.1732166376415484E-2</v>
      </c>
      <c r="R225">
        <v>635568</v>
      </c>
      <c r="S225">
        <v>0</v>
      </c>
      <c r="T225">
        <v>0</v>
      </c>
      <c r="V225">
        <v>10800</v>
      </c>
      <c r="W225">
        <v>7</v>
      </c>
      <c r="X225">
        <v>85</v>
      </c>
      <c r="Y225">
        <v>3</v>
      </c>
      <c r="Z225">
        <v>4</v>
      </c>
      <c r="AA225">
        <v>5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3</v>
      </c>
      <c r="AJ225">
        <v>0</v>
      </c>
      <c r="AK225">
        <v>0</v>
      </c>
      <c r="AL225">
        <v>100</v>
      </c>
      <c r="AM225">
        <v>45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  <c r="AU225">
        <v>0</v>
      </c>
      <c r="AV225">
        <v>0</v>
      </c>
    </row>
    <row r="226" spans="1:48" x14ac:dyDescent="0.15">
      <c r="A226" s="4" t="str">
        <f>HYPERLINK("https://ibp.a2mac1.com/costing(costing:projects/details/9760/equipment/12210902)","DC machine - General")</f>
        <v>DC machine - General</v>
      </c>
      <c r="B226">
        <v>12210902</v>
      </c>
      <c r="C226">
        <v>12083845</v>
      </c>
      <c r="E226" t="s">
        <v>738</v>
      </c>
      <c r="H226" t="s">
        <v>162</v>
      </c>
      <c r="I226">
        <v>116914.84457142858</v>
      </c>
      <c r="J226">
        <v>0</v>
      </c>
      <c r="K226">
        <v>3.6</v>
      </c>
      <c r="L226">
        <v>0</v>
      </c>
      <c r="M226">
        <v>27.497982091197134</v>
      </c>
      <c r="N226">
        <v>0</v>
      </c>
      <c r="O226">
        <v>7.6383283586658711E-3</v>
      </c>
      <c r="P226">
        <v>1.1476333333333333E-3</v>
      </c>
      <c r="Q226">
        <v>1.1732166376415484E-2</v>
      </c>
      <c r="R226">
        <v>635568</v>
      </c>
      <c r="S226">
        <v>0</v>
      </c>
      <c r="T226">
        <v>0</v>
      </c>
      <c r="V226">
        <v>10800</v>
      </c>
      <c r="W226">
        <v>7</v>
      </c>
      <c r="X226">
        <v>85</v>
      </c>
      <c r="Y226">
        <v>3</v>
      </c>
      <c r="Z226">
        <v>4</v>
      </c>
      <c r="AA226">
        <v>5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3</v>
      </c>
      <c r="AJ226">
        <v>0</v>
      </c>
      <c r="AK226">
        <v>0</v>
      </c>
      <c r="AL226">
        <v>100</v>
      </c>
      <c r="AM226">
        <v>45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  <c r="AU226">
        <v>0</v>
      </c>
      <c r="AV226">
        <v>0</v>
      </c>
    </row>
    <row r="227" spans="1:48" x14ac:dyDescent="0.15">
      <c r="A227" s="4" t="str">
        <f>HYPERLINK("https://ibp.a2mac1.com/costing(costing:projects/details/9760/equipment/12210903)","DC machine - General")</f>
        <v>DC machine - General</v>
      </c>
      <c r="B227">
        <v>12210903</v>
      </c>
      <c r="C227">
        <v>12083846</v>
      </c>
      <c r="E227" t="s">
        <v>738</v>
      </c>
      <c r="H227" t="s">
        <v>162</v>
      </c>
      <c r="I227">
        <v>116914.84457142858</v>
      </c>
      <c r="J227">
        <v>0</v>
      </c>
      <c r="K227">
        <v>3.6</v>
      </c>
      <c r="L227">
        <v>0</v>
      </c>
      <c r="M227">
        <v>27.497982091197134</v>
      </c>
      <c r="N227">
        <v>0</v>
      </c>
      <c r="O227">
        <v>3.0553313434663484E-2</v>
      </c>
      <c r="P227">
        <v>4.5905333333333331E-3</v>
      </c>
      <c r="Q227">
        <v>1.1732166376415484E-2</v>
      </c>
      <c r="R227">
        <v>635568</v>
      </c>
      <c r="S227">
        <v>0</v>
      </c>
      <c r="T227">
        <v>0</v>
      </c>
      <c r="V227">
        <v>10800</v>
      </c>
      <c r="W227">
        <v>7</v>
      </c>
      <c r="X227">
        <v>85</v>
      </c>
      <c r="Y227">
        <v>3</v>
      </c>
      <c r="Z227">
        <v>4</v>
      </c>
      <c r="AA227">
        <v>5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3</v>
      </c>
      <c r="AJ227">
        <v>0</v>
      </c>
      <c r="AK227">
        <v>0</v>
      </c>
      <c r="AL227">
        <v>100</v>
      </c>
      <c r="AM227">
        <v>45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100</v>
      </c>
      <c r="AU227">
        <v>0</v>
      </c>
      <c r="AV227">
        <v>0</v>
      </c>
    </row>
    <row r="228" spans="1:48" x14ac:dyDescent="0.15">
      <c r="A228" s="4" t="str">
        <f>HYPERLINK("https://ibp.a2mac1.com/costing(costing:projects/details/9760/equipment/12210904)","DC machine - General")</f>
        <v>DC machine - General</v>
      </c>
      <c r="B228">
        <v>12210904</v>
      </c>
      <c r="C228">
        <v>12083847</v>
      </c>
      <c r="E228" t="s">
        <v>738</v>
      </c>
      <c r="H228" t="s">
        <v>162</v>
      </c>
      <c r="I228">
        <v>116914.84457142858</v>
      </c>
      <c r="J228">
        <v>0</v>
      </c>
      <c r="K228">
        <v>3.6</v>
      </c>
      <c r="L228">
        <v>0</v>
      </c>
      <c r="M228">
        <v>27.497982091197134</v>
      </c>
      <c r="N228">
        <v>0</v>
      </c>
      <c r="O228">
        <v>1.1381109254412147</v>
      </c>
      <c r="P228">
        <v>0.17099736666666668</v>
      </c>
      <c r="Q228">
        <v>1.1732166376415484E-2</v>
      </c>
      <c r="R228">
        <v>635568</v>
      </c>
      <c r="S228">
        <v>0</v>
      </c>
      <c r="T228">
        <v>0</v>
      </c>
      <c r="V228">
        <v>10800</v>
      </c>
      <c r="W228">
        <v>7</v>
      </c>
      <c r="X228">
        <v>85</v>
      </c>
      <c r="Y228">
        <v>3</v>
      </c>
      <c r="Z228">
        <v>4</v>
      </c>
      <c r="AA228">
        <v>5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3</v>
      </c>
      <c r="AJ228">
        <v>0</v>
      </c>
      <c r="AK228">
        <v>0</v>
      </c>
      <c r="AL228">
        <v>100</v>
      </c>
      <c r="AM228">
        <v>45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  <c r="AU228">
        <v>0</v>
      </c>
      <c r="AV228">
        <v>0</v>
      </c>
    </row>
    <row r="229" spans="1:48" x14ac:dyDescent="0.15">
      <c r="A229" s="4" t="str">
        <f>HYPERLINK("https://ibp.a2mac1.com/costing(costing:projects/details/9760/equipment/12210905)","DC machine - General")</f>
        <v>DC machine - General</v>
      </c>
      <c r="B229">
        <v>12210905</v>
      </c>
      <c r="C229">
        <v>12083848</v>
      </c>
      <c r="E229" t="s">
        <v>738</v>
      </c>
      <c r="H229" t="s">
        <v>162</v>
      </c>
      <c r="I229">
        <v>116914.84457142858</v>
      </c>
      <c r="J229">
        <v>0</v>
      </c>
      <c r="K229">
        <v>3.6</v>
      </c>
      <c r="L229">
        <v>0</v>
      </c>
      <c r="M229">
        <v>27.497982091197134</v>
      </c>
      <c r="N229">
        <v>0</v>
      </c>
      <c r="O229">
        <v>0.88604608960524101</v>
      </c>
      <c r="P229">
        <v>0.13312546666666666</v>
      </c>
      <c r="Q229">
        <v>1.1732166376415484E-2</v>
      </c>
      <c r="R229">
        <v>635568</v>
      </c>
      <c r="S229">
        <v>0</v>
      </c>
      <c r="T229">
        <v>0</v>
      </c>
      <c r="V229">
        <v>10800</v>
      </c>
      <c r="W229">
        <v>7</v>
      </c>
      <c r="X229">
        <v>85</v>
      </c>
      <c r="Y229">
        <v>3</v>
      </c>
      <c r="Z229">
        <v>4</v>
      </c>
      <c r="AA229">
        <v>5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3</v>
      </c>
      <c r="AJ229">
        <v>0</v>
      </c>
      <c r="AK229">
        <v>0</v>
      </c>
      <c r="AL229">
        <v>100</v>
      </c>
      <c r="AM229">
        <v>45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100</v>
      </c>
      <c r="AU229">
        <v>0</v>
      </c>
      <c r="AV229">
        <v>0</v>
      </c>
    </row>
    <row r="230" spans="1:48" x14ac:dyDescent="0.15">
      <c r="A230" s="4" t="str">
        <f>HYPERLINK("https://ibp.a2mac1.com/costing(costing:projects/details/9760/equipment/12210719)","Dummy Machine (Wireharness production line)")</f>
        <v>Dummy Machine (Wireharness production line)</v>
      </c>
      <c r="B230">
        <v>12210719</v>
      </c>
      <c r="C230">
        <v>12083814</v>
      </c>
      <c r="H230" t="s">
        <v>316</v>
      </c>
      <c r="I230">
        <v>18664.599488571428</v>
      </c>
      <c r="J230">
        <v>0</v>
      </c>
      <c r="K230">
        <v>9.6320000000000003E-2</v>
      </c>
      <c r="L230">
        <v>0</v>
      </c>
      <c r="M230">
        <v>3.815112106809937</v>
      </c>
      <c r="N230">
        <v>0</v>
      </c>
      <c r="O230">
        <v>0.128230156923334</v>
      </c>
      <c r="P230">
        <v>0.49310476196666669</v>
      </c>
      <c r="Q230">
        <v>7.4898068373834779E-5</v>
      </c>
      <c r="R230">
        <v>89474.5</v>
      </c>
      <c r="S230">
        <v>0</v>
      </c>
      <c r="T230">
        <v>0</v>
      </c>
      <c r="V230">
        <v>126</v>
      </c>
      <c r="W230">
        <v>7</v>
      </c>
      <c r="X230">
        <v>85</v>
      </c>
      <c r="Y230">
        <v>3</v>
      </c>
      <c r="Z230">
        <v>4</v>
      </c>
      <c r="AA230">
        <v>5</v>
      </c>
      <c r="AB230">
        <v>0</v>
      </c>
      <c r="AC230">
        <v>0</v>
      </c>
      <c r="AD230">
        <v>0</v>
      </c>
      <c r="AE230">
        <v>0</v>
      </c>
      <c r="AF230">
        <v>3.5510000000000002</v>
      </c>
      <c r="AG230">
        <v>0</v>
      </c>
      <c r="AH230">
        <v>0</v>
      </c>
      <c r="AI230">
        <v>1.4</v>
      </c>
      <c r="AJ230">
        <v>0</v>
      </c>
      <c r="AK230">
        <v>0</v>
      </c>
      <c r="AL230">
        <v>86</v>
      </c>
      <c r="AM230">
        <v>1.4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71</v>
      </c>
      <c r="AU230">
        <v>0</v>
      </c>
      <c r="AV230">
        <v>0</v>
      </c>
    </row>
    <row r="231" spans="1:48" x14ac:dyDescent="0.15">
      <c r="A231" s="4" t="str">
        <f>HYPERLINK("https://ibp.a2mac1.com/costing(costing:projects/details/9760/equipment/12210718)","DC machine - General")</f>
        <v>DC machine - General</v>
      </c>
      <c r="B231">
        <v>12210718</v>
      </c>
      <c r="C231">
        <v>12083813</v>
      </c>
      <c r="E231" t="s">
        <v>738</v>
      </c>
      <c r="H231" t="s">
        <v>162</v>
      </c>
      <c r="I231">
        <v>116914.84457142858</v>
      </c>
      <c r="J231">
        <v>0</v>
      </c>
      <c r="K231">
        <v>3.6</v>
      </c>
      <c r="L231">
        <v>0</v>
      </c>
      <c r="M231">
        <v>27.497982091197134</v>
      </c>
      <c r="N231">
        <v>0</v>
      </c>
      <c r="O231">
        <v>9.1659940303990453E-2</v>
      </c>
      <c r="P231">
        <v>1.37716E-2</v>
      </c>
      <c r="Q231">
        <v>1.1732166376415484E-2</v>
      </c>
      <c r="R231">
        <v>635568</v>
      </c>
      <c r="S231">
        <v>0</v>
      </c>
      <c r="T231">
        <v>0</v>
      </c>
      <c r="V231">
        <v>10800</v>
      </c>
      <c r="W231">
        <v>7</v>
      </c>
      <c r="X231">
        <v>85</v>
      </c>
      <c r="Y231">
        <v>3</v>
      </c>
      <c r="Z231">
        <v>4</v>
      </c>
      <c r="AA231">
        <v>5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3</v>
      </c>
      <c r="AJ231">
        <v>0</v>
      </c>
      <c r="AK231">
        <v>0</v>
      </c>
      <c r="AL231">
        <v>100</v>
      </c>
      <c r="AM231">
        <v>45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100</v>
      </c>
      <c r="AU231">
        <v>0</v>
      </c>
      <c r="AV231">
        <v>0</v>
      </c>
    </row>
    <row r="232" spans="1:48" x14ac:dyDescent="0.15">
      <c r="A232" s="4" t="str">
        <f>HYPERLINK("https://ibp.a2mac1.com/costing(costing:projects/details/9760/equipment/12210681)","DC machine - General")</f>
        <v>DC machine - General</v>
      </c>
      <c r="B232">
        <v>12210681</v>
      </c>
      <c r="C232">
        <v>12083744</v>
      </c>
      <c r="E232" t="s">
        <v>738</v>
      </c>
      <c r="H232" t="s">
        <v>162</v>
      </c>
      <c r="I232">
        <v>116914.84457142858</v>
      </c>
      <c r="J232">
        <v>0</v>
      </c>
      <c r="K232">
        <v>3.6</v>
      </c>
      <c r="L232">
        <v>0</v>
      </c>
      <c r="M232">
        <v>27.497982091197134</v>
      </c>
      <c r="N232">
        <v>0</v>
      </c>
      <c r="O232">
        <v>7.9667764780885033</v>
      </c>
      <c r="P232">
        <v>1.1969815666666668</v>
      </c>
      <c r="Q232">
        <v>1.9553610627359139E-2</v>
      </c>
      <c r="R232">
        <v>635568</v>
      </c>
      <c r="S232">
        <v>0</v>
      </c>
      <c r="T232">
        <v>0</v>
      </c>
      <c r="V232">
        <v>10800</v>
      </c>
      <c r="W232">
        <v>7</v>
      </c>
      <c r="X232">
        <v>85</v>
      </c>
      <c r="Y232">
        <v>3</v>
      </c>
      <c r="Z232">
        <v>4</v>
      </c>
      <c r="AA232">
        <v>5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3</v>
      </c>
      <c r="AJ232">
        <v>0</v>
      </c>
      <c r="AK232">
        <v>0</v>
      </c>
      <c r="AL232">
        <v>100</v>
      </c>
      <c r="AM232">
        <v>45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100</v>
      </c>
      <c r="AU232">
        <v>0</v>
      </c>
      <c r="AV232">
        <v>0</v>
      </c>
    </row>
    <row r="233" spans="1:48" x14ac:dyDescent="0.15">
      <c r="A233" s="4" t="str">
        <f>HYPERLINK("https://ibp.a2mac1.com/costing(costing:projects/details/9760/equipment/12210720)","Dummy Machine (Wireharness production line)")</f>
        <v>Dummy Machine (Wireharness production line)</v>
      </c>
      <c r="B233">
        <v>12210720</v>
      </c>
      <c r="C233">
        <v>12083815</v>
      </c>
      <c r="H233" t="s">
        <v>316</v>
      </c>
      <c r="I233">
        <v>18664.599488571428</v>
      </c>
      <c r="J233">
        <v>0</v>
      </c>
      <c r="K233">
        <v>9.6320000000000003E-2</v>
      </c>
      <c r="L233">
        <v>0</v>
      </c>
      <c r="M233">
        <v>3.815112106809937</v>
      </c>
      <c r="N233">
        <v>0</v>
      </c>
      <c r="O233">
        <v>7.6302242136198739E-2</v>
      </c>
      <c r="P233">
        <v>0.29341770960000002</v>
      </c>
      <c r="Q233">
        <v>7.4898068373834779E-5</v>
      </c>
      <c r="R233">
        <v>89474.5</v>
      </c>
      <c r="S233">
        <v>0</v>
      </c>
      <c r="T233">
        <v>0</v>
      </c>
      <c r="V233">
        <v>126</v>
      </c>
      <c r="W233">
        <v>7</v>
      </c>
      <c r="X233">
        <v>85</v>
      </c>
      <c r="Y233">
        <v>3</v>
      </c>
      <c r="Z233">
        <v>4</v>
      </c>
      <c r="AA233">
        <v>5</v>
      </c>
      <c r="AB233">
        <v>0</v>
      </c>
      <c r="AC233">
        <v>0</v>
      </c>
      <c r="AD233">
        <v>0</v>
      </c>
      <c r="AE233">
        <v>0</v>
      </c>
      <c r="AF233">
        <v>3.5510000000000002</v>
      </c>
      <c r="AG233">
        <v>0</v>
      </c>
      <c r="AH233">
        <v>0</v>
      </c>
      <c r="AI233">
        <v>1.4</v>
      </c>
      <c r="AJ233">
        <v>0</v>
      </c>
      <c r="AK233">
        <v>0</v>
      </c>
      <c r="AL233">
        <v>86</v>
      </c>
      <c r="AM233">
        <v>1.4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71</v>
      </c>
      <c r="AU233">
        <v>0</v>
      </c>
      <c r="AV233">
        <v>0</v>
      </c>
    </row>
    <row r="234" spans="1:48" x14ac:dyDescent="0.15">
      <c r="A234" s="4" t="str">
        <f>HYPERLINK("https://ibp.a2mac1.com/costing(costing:projects/details/9760/equipment/12210906)","DC machine - General")</f>
        <v>DC machine - General</v>
      </c>
      <c r="B234">
        <v>12210906</v>
      </c>
      <c r="C234">
        <v>12083849</v>
      </c>
      <c r="E234" t="s">
        <v>738</v>
      </c>
      <c r="H234" t="s">
        <v>162</v>
      </c>
      <c r="I234">
        <v>116914.84457142858</v>
      </c>
      <c r="J234">
        <v>0</v>
      </c>
      <c r="K234">
        <v>3.6</v>
      </c>
      <c r="L234">
        <v>0</v>
      </c>
      <c r="M234">
        <v>27.497982091197134</v>
      </c>
      <c r="N234">
        <v>0</v>
      </c>
      <c r="O234">
        <v>0.30553313434663482</v>
      </c>
      <c r="P234">
        <v>4.5905333333333333E-2</v>
      </c>
      <c r="Q234">
        <v>1.1732166376415484E-2</v>
      </c>
      <c r="R234">
        <v>635568</v>
      </c>
      <c r="S234">
        <v>0</v>
      </c>
      <c r="T234">
        <v>0</v>
      </c>
      <c r="V234">
        <v>10800</v>
      </c>
      <c r="W234">
        <v>7</v>
      </c>
      <c r="X234">
        <v>85</v>
      </c>
      <c r="Y234">
        <v>3</v>
      </c>
      <c r="Z234">
        <v>4</v>
      </c>
      <c r="AA234">
        <v>5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3</v>
      </c>
      <c r="AJ234">
        <v>0</v>
      </c>
      <c r="AK234">
        <v>0</v>
      </c>
      <c r="AL234">
        <v>100</v>
      </c>
      <c r="AM234">
        <v>45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100</v>
      </c>
      <c r="AU234">
        <v>0</v>
      </c>
      <c r="AV234">
        <v>0</v>
      </c>
    </row>
    <row r="235" spans="1:48" x14ac:dyDescent="0.15">
      <c r="A235" s="4" t="str">
        <f>HYPERLINK("https://ibp.a2mac1.com/costing(costing:projects/details/9760/equipment/12210907)","DC machine - General")</f>
        <v>DC machine - General</v>
      </c>
      <c r="B235">
        <v>12210907</v>
      </c>
      <c r="C235">
        <v>12083850</v>
      </c>
      <c r="E235" t="s">
        <v>738</v>
      </c>
      <c r="H235" t="s">
        <v>162</v>
      </c>
      <c r="I235">
        <v>116914.84457142858</v>
      </c>
      <c r="J235">
        <v>0</v>
      </c>
      <c r="K235">
        <v>3.6</v>
      </c>
      <c r="L235">
        <v>0</v>
      </c>
      <c r="M235">
        <v>27.497982091197134</v>
      </c>
      <c r="N235">
        <v>0</v>
      </c>
      <c r="O235">
        <v>3.0553313434663484E-2</v>
      </c>
      <c r="P235">
        <v>4.5905333333333331E-3</v>
      </c>
      <c r="Q235">
        <v>1.1732166376415484E-2</v>
      </c>
      <c r="R235">
        <v>635568</v>
      </c>
      <c r="S235">
        <v>0</v>
      </c>
      <c r="T235">
        <v>0</v>
      </c>
      <c r="V235">
        <v>10800</v>
      </c>
      <c r="W235">
        <v>7</v>
      </c>
      <c r="X235">
        <v>85</v>
      </c>
      <c r="Y235">
        <v>3</v>
      </c>
      <c r="Z235">
        <v>4</v>
      </c>
      <c r="AA235">
        <v>5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3</v>
      </c>
      <c r="AJ235">
        <v>0</v>
      </c>
      <c r="AK235">
        <v>0</v>
      </c>
      <c r="AL235">
        <v>100</v>
      </c>
      <c r="AM235">
        <v>45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  <c r="AU235">
        <v>0</v>
      </c>
      <c r="AV235">
        <v>0</v>
      </c>
    </row>
    <row r="236" spans="1:48" x14ac:dyDescent="0.15">
      <c r="A236" s="4" t="str">
        <f>HYPERLINK("https://ibp.a2mac1.com/costing(costing:projects/details/9760/equipment/12210908)","DC machine - General")</f>
        <v>DC machine - General</v>
      </c>
      <c r="B236">
        <v>12210908</v>
      </c>
      <c r="C236">
        <v>12083851</v>
      </c>
      <c r="E236" t="s">
        <v>738</v>
      </c>
      <c r="H236" t="s">
        <v>162</v>
      </c>
      <c r="I236">
        <v>116914.84457142858</v>
      </c>
      <c r="J236">
        <v>0</v>
      </c>
      <c r="K236">
        <v>3.6</v>
      </c>
      <c r="L236">
        <v>0</v>
      </c>
      <c r="M236">
        <v>27.497982091197134</v>
      </c>
      <c r="N236">
        <v>0</v>
      </c>
      <c r="O236">
        <v>0.48885301495461575</v>
      </c>
      <c r="P236">
        <v>7.344853333333333E-2</v>
      </c>
      <c r="Q236">
        <v>1.1732166376415484E-2</v>
      </c>
      <c r="R236">
        <v>635568</v>
      </c>
      <c r="S236">
        <v>0</v>
      </c>
      <c r="T236">
        <v>0</v>
      </c>
      <c r="V236">
        <v>10800</v>
      </c>
      <c r="W236">
        <v>7</v>
      </c>
      <c r="X236">
        <v>85</v>
      </c>
      <c r="Y236">
        <v>3</v>
      </c>
      <c r="Z236">
        <v>4</v>
      </c>
      <c r="AA236">
        <v>5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3</v>
      </c>
      <c r="AJ236">
        <v>0</v>
      </c>
      <c r="AK236">
        <v>0</v>
      </c>
      <c r="AL236">
        <v>100</v>
      </c>
      <c r="AM236">
        <v>45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100</v>
      </c>
      <c r="AU236">
        <v>0</v>
      </c>
      <c r="AV236">
        <v>0</v>
      </c>
    </row>
    <row r="237" spans="1:48" x14ac:dyDescent="0.15">
      <c r="A237" s="4" t="str">
        <f>HYPERLINK("https://ibp.a2mac1.com/costing(costing:projects/details/9760/equipment/12210909)","DC machine - General")</f>
        <v>DC machine - General</v>
      </c>
      <c r="B237">
        <v>12210909</v>
      </c>
      <c r="C237">
        <v>12083852</v>
      </c>
      <c r="E237" t="s">
        <v>738</v>
      </c>
      <c r="H237" t="s">
        <v>162</v>
      </c>
      <c r="I237">
        <v>116914.84457142858</v>
      </c>
      <c r="J237">
        <v>0</v>
      </c>
      <c r="K237">
        <v>3.6</v>
      </c>
      <c r="L237">
        <v>0</v>
      </c>
      <c r="M237">
        <v>27.497982091197134</v>
      </c>
      <c r="N237">
        <v>0</v>
      </c>
      <c r="O237">
        <v>0.12985158209731981</v>
      </c>
      <c r="P237">
        <v>1.9509766666666668E-2</v>
      </c>
      <c r="Q237">
        <v>1.1732166376415484E-2</v>
      </c>
      <c r="R237">
        <v>635568</v>
      </c>
      <c r="S237">
        <v>0</v>
      </c>
      <c r="T237">
        <v>0</v>
      </c>
      <c r="V237">
        <v>10800</v>
      </c>
      <c r="W237">
        <v>7</v>
      </c>
      <c r="X237">
        <v>85</v>
      </c>
      <c r="Y237">
        <v>3</v>
      </c>
      <c r="Z237">
        <v>4</v>
      </c>
      <c r="AA237">
        <v>5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3</v>
      </c>
      <c r="AJ237">
        <v>0</v>
      </c>
      <c r="AK237">
        <v>0</v>
      </c>
      <c r="AL237">
        <v>100</v>
      </c>
      <c r="AM237">
        <v>45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100</v>
      </c>
      <c r="AU237">
        <v>0</v>
      </c>
      <c r="AV237">
        <v>0</v>
      </c>
    </row>
    <row r="238" spans="1:48" x14ac:dyDescent="0.15">
      <c r="A238" s="4" t="str">
        <f>HYPERLINK("https://ibp.a2mac1.com/costing(costing:projects/details/9760/equipment/12210910)","DC machine - General")</f>
        <v>DC machine - General</v>
      </c>
      <c r="B238">
        <v>12210910</v>
      </c>
      <c r="C238">
        <v>12083853</v>
      </c>
      <c r="E238" t="s">
        <v>738</v>
      </c>
      <c r="H238" t="s">
        <v>162</v>
      </c>
      <c r="I238">
        <v>116914.84457142858</v>
      </c>
      <c r="J238">
        <v>0</v>
      </c>
      <c r="K238">
        <v>3.6</v>
      </c>
      <c r="L238">
        <v>0</v>
      </c>
      <c r="M238">
        <v>27.497982091197134</v>
      </c>
      <c r="N238">
        <v>0</v>
      </c>
      <c r="O238">
        <v>0.10693659702132219</v>
      </c>
      <c r="P238">
        <v>1.6066866666666665E-2</v>
      </c>
      <c r="Q238">
        <v>1.1732166376415484E-2</v>
      </c>
      <c r="R238">
        <v>635568</v>
      </c>
      <c r="S238">
        <v>0</v>
      </c>
      <c r="T238">
        <v>0</v>
      </c>
      <c r="V238">
        <v>10800</v>
      </c>
      <c r="W238">
        <v>7</v>
      </c>
      <c r="X238">
        <v>85</v>
      </c>
      <c r="Y238">
        <v>3</v>
      </c>
      <c r="Z238">
        <v>4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3</v>
      </c>
      <c r="AJ238">
        <v>0</v>
      </c>
      <c r="AK238">
        <v>0</v>
      </c>
      <c r="AL238">
        <v>100</v>
      </c>
      <c r="AM238">
        <v>45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100</v>
      </c>
      <c r="AU238">
        <v>0</v>
      </c>
      <c r="AV238">
        <v>0</v>
      </c>
    </row>
    <row r="239" spans="1:48" x14ac:dyDescent="0.15">
      <c r="A239" s="4" t="str">
        <f>HYPERLINK("https://ibp.a2mac1.com/costing(costing:projects/details/9760/equipment/12210911)","DC machine - General")</f>
        <v>DC machine - General</v>
      </c>
      <c r="B239">
        <v>12210911</v>
      </c>
      <c r="C239">
        <v>12083854</v>
      </c>
      <c r="E239" t="s">
        <v>738</v>
      </c>
      <c r="H239" t="s">
        <v>162</v>
      </c>
      <c r="I239">
        <v>116914.84457142858</v>
      </c>
      <c r="J239">
        <v>0</v>
      </c>
      <c r="K239">
        <v>3.6</v>
      </c>
      <c r="L239">
        <v>0</v>
      </c>
      <c r="M239">
        <v>27.497982091197134</v>
      </c>
      <c r="N239">
        <v>0</v>
      </c>
      <c r="O239">
        <v>0.15276656717331741</v>
      </c>
      <c r="P239">
        <v>2.2952666666666666E-2</v>
      </c>
      <c r="Q239">
        <v>1.1732166376415484E-2</v>
      </c>
      <c r="R239">
        <v>635568</v>
      </c>
      <c r="S239">
        <v>0</v>
      </c>
      <c r="T239">
        <v>0</v>
      </c>
      <c r="V239">
        <v>10800</v>
      </c>
      <c r="W239">
        <v>7</v>
      </c>
      <c r="X239">
        <v>85</v>
      </c>
      <c r="Y239">
        <v>3</v>
      </c>
      <c r="Z239">
        <v>4</v>
      </c>
      <c r="AA239">
        <v>5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3</v>
      </c>
      <c r="AJ239">
        <v>0</v>
      </c>
      <c r="AK239">
        <v>0</v>
      </c>
      <c r="AL239">
        <v>100</v>
      </c>
      <c r="AM239">
        <v>45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100</v>
      </c>
      <c r="AU239">
        <v>0</v>
      </c>
      <c r="AV239">
        <v>0</v>
      </c>
    </row>
    <row r="240" spans="1:48" x14ac:dyDescent="0.15">
      <c r="A240" s="4" t="str">
        <f>HYPERLINK("https://ibp.a2mac1.com/costing(costing:projects/details/9760/equipment/12211030)","DC machine - General")</f>
        <v>DC machine - General</v>
      </c>
      <c r="B240">
        <v>12211030</v>
      </c>
      <c r="C240">
        <v>12083964</v>
      </c>
      <c r="E240" t="s">
        <v>738</v>
      </c>
      <c r="H240" t="s">
        <v>162</v>
      </c>
      <c r="I240">
        <v>116914.84457142858</v>
      </c>
      <c r="J240">
        <v>0</v>
      </c>
      <c r="K240">
        <v>3.6</v>
      </c>
      <c r="L240">
        <v>0</v>
      </c>
      <c r="M240">
        <v>27.497982091197134</v>
      </c>
      <c r="N240">
        <v>0</v>
      </c>
      <c r="O240">
        <v>1.588772298602501</v>
      </c>
      <c r="P240">
        <v>0.23870773333333334</v>
      </c>
      <c r="Q240">
        <v>1.1732166376415484E-2</v>
      </c>
      <c r="R240">
        <v>635568</v>
      </c>
      <c r="S240">
        <v>0</v>
      </c>
      <c r="T240">
        <v>0</v>
      </c>
      <c r="V240">
        <v>10800</v>
      </c>
      <c r="W240">
        <v>7</v>
      </c>
      <c r="X240">
        <v>85</v>
      </c>
      <c r="Y240">
        <v>3</v>
      </c>
      <c r="Z240">
        <v>4</v>
      </c>
      <c r="AA240">
        <v>5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3</v>
      </c>
      <c r="AJ240">
        <v>0</v>
      </c>
      <c r="AK240">
        <v>0</v>
      </c>
      <c r="AL240">
        <v>100</v>
      </c>
      <c r="AM240">
        <v>45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100</v>
      </c>
      <c r="AU240">
        <v>0</v>
      </c>
      <c r="AV240">
        <v>0</v>
      </c>
    </row>
    <row r="241" spans="1:48" x14ac:dyDescent="0.15">
      <c r="A241" s="4" t="str">
        <f>HYPERLINK("https://ibp.a2mac1.com/costing(costing:projects/details/9760/equipment/12211031)","DC machine - General")</f>
        <v>DC machine - General</v>
      </c>
      <c r="B241">
        <v>12211031</v>
      </c>
      <c r="C241">
        <v>12083965</v>
      </c>
      <c r="E241" t="s">
        <v>738</v>
      </c>
      <c r="H241" t="s">
        <v>162</v>
      </c>
      <c r="I241">
        <v>116914.84457142858</v>
      </c>
      <c r="J241">
        <v>0</v>
      </c>
      <c r="K241">
        <v>3.6</v>
      </c>
      <c r="L241">
        <v>0</v>
      </c>
      <c r="M241">
        <v>27.497982091197134</v>
      </c>
      <c r="N241">
        <v>0</v>
      </c>
      <c r="O241">
        <v>0.61870459705193548</v>
      </c>
      <c r="P241">
        <v>9.2958299999999994E-2</v>
      </c>
      <c r="Q241">
        <v>1.1732166376415484E-2</v>
      </c>
      <c r="R241">
        <v>635568</v>
      </c>
      <c r="S241">
        <v>0</v>
      </c>
      <c r="T241">
        <v>0</v>
      </c>
      <c r="V241">
        <v>10800</v>
      </c>
      <c r="W241">
        <v>7</v>
      </c>
      <c r="X241">
        <v>85</v>
      </c>
      <c r="Y241">
        <v>3</v>
      </c>
      <c r="Z241">
        <v>4</v>
      </c>
      <c r="AA241">
        <v>5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3</v>
      </c>
      <c r="AJ241">
        <v>0</v>
      </c>
      <c r="AK241">
        <v>0</v>
      </c>
      <c r="AL241">
        <v>100</v>
      </c>
      <c r="AM241">
        <v>45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100</v>
      </c>
      <c r="AU241">
        <v>0</v>
      </c>
      <c r="AV241">
        <v>0</v>
      </c>
    </row>
    <row r="242" spans="1:48" x14ac:dyDescent="0.15">
      <c r="A242" s="4" t="str">
        <f>HYPERLINK("https://ibp.a2mac1.com/costing(costing:projects/details/9760/equipment/12211032)","DC machine - General")</f>
        <v>DC machine - General</v>
      </c>
      <c r="B242">
        <v>12211032</v>
      </c>
      <c r="C242">
        <v>12083966</v>
      </c>
      <c r="E242" t="s">
        <v>738</v>
      </c>
      <c r="H242" t="s">
        <v>162</v>
      </c>
      <c r="I242">
        <v>116914.84457142858</v>
      </c>
      <c r="J242">
        <v>0</v>
      </c>
      <c r="K242">
        <v>3.6</v>
      </c>
      <c r="L242">
        <v>0</v>
      </c>
      <c r="M242">
        <v>27.497982091197134</v>
      </c>
      <c r="N242">
        <v>0</v>
      </c>
      <c r="O242">
        <v>0.67217289556259663</v>
      </c>
      <c r="P242">
        <v>0.10099173333333333</v>
      </c>
      <c r="Q242">
        <v>1.1732166376415484E-2</v>
      </c>
      <c r="R242">
        <v>635568</v>
      </c>
      <c r="S242">
        <v>0</v>
      </c>
      <c r="T242">
        <v>0</v>
      </c>
      <c r="V242">
        <v>10800</v>
      </c>
      <c r="W242">
        <v>7</v>
      </c>
      <c r="X242">
        <v>85</v>
      </c>
      <c r="Y242">
        <v>3</v>
      </c>
      <c r="Z242">
        <v>4</v>
      </c>
      <c r="AA242">
        <v>5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3</v>
      </c>
      <c r="AJ242">
        <v>0</v>
      </c>
      <c r="AK242">
        <v>0</v>
      </c>
      <c r="AL242">
        <v>100</v>
      </c>
      <c r="AM242">
        <v>45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100</v>
      </c>
      <c r="AU242">
        <v>0</v>
      </c>
      <c r="AV242">
        <v>0</v>
      </c>
    </row>
    <row r="243" spans="1:48" x14ac:dyDescent="0.15">
      <c r="A243" s="4" t="str">
        <f>HYPERLINK("https://ibp.a2mac1.com/costing(costing:projects/details/9760/equipment/12211033)","DC machine - General")</f>
        <v>DC machine - General</v>
      </c>
      <c r="B243">
        <v>12211033</v>
      </c>
      <c r="C243">
        <v>12083967</v>
      </c>
      <c r="E243" t="s">
        <v>738</v>
      </c>
      <c r="H243" t="s">
        <v>162</v>
      </c>
      <c r="I243">
        <v>116914.84457142858</v>
      </c>
      <c r="J243">
        <v>0</v>
      </c>
      <c r="K243">
        <v>3.6</v>
      </c>
      <c r="L243">
        <v>0</v>
      </c>
      <c r="M243">
        <v>27.497982091197134</v>
      </c>
      <c r="N243">
        <v>0</v>
      </c>
      <c r="O243">
        <v>9.9298268662656314E-2</v>
      </c>
      <c r="P243">
        <v>1.4919233333333334E-2</v>
      </c>
      <c r="Q243">
        <v>1.1732166376415484E-2</v>
      </c>
      <c r="R243">
        <v>635568</v>
      </c>
      <c r="S243">
        <v>0</v>
      </c>
      <c r="T243">
        <v>0</v>
      </c>
      <c r="V243">
        <v>10800</v>
      </c>
      <c r="W243">
        <v>7</v>
      </c>
      <c r="X243">
        <v>85</v>
      </c>
      <c r="Y243">
        <v>3</v>
      </c>
      <c r="Z243">
        <v>4</v>
      </c>
      <c r="AA243">
        <v>5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3</v>
      </c>
      <c r="AJ243">
        <v>0</v>
      </c>
      <c r="AK243">
        <v>0</v>
      </c>
      <c r="AL243">
        <v>100</v>
      </c>
      <c r="AM243">
        <v>45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100</v>
      </c>
      <c r="AU243">
        <v>0</v>
      </c>
      <c r="AV243">
        <v>0</v>
      </c>
    </row>
    <row r="244" spans="1:48" x14ac:dyDescent="0.15">
      <c r="A244" s="4" t="str">
        <f>HYPERLINK("https://ibp.a2mac1.com/costing(costing:projects/details/9760/equipment/12211034)","DC machine - General")</f>
        <v>DC machine - General</v>
      </c>
      <c r="B244">
        <v>12211034</v>
      </c>
      <c r="C244">
        <v>12083968</v>
      </c>
      <c r="E244" t="s">
        <v>738</v>
      </c>
      <c r="H244" t="s">
        <v>162</v>
      </c>
      <c r="I244">
        <v>116914.84457142858</v>
      </c>
      <c r="J244">
        <v>0</v>
      </c>
      <c r="K244">
        <v>3.6</v>
      </c>
      <c r="L244">
        <v>0</v>
      </c>
      <c r="M244">
        <v>27.497982091197134</v>
      </c>
      <c r="N244">
        <v>0</v>
      </c>
      <c r="O244">
        <v>3.0553313434663484E-2</v>
      </c>
      <c r="P244">
        <v>4.5905333333333331E-3</v>
      </c>
      <c r="Q244">
        <v>1.1732166376415484E-2</v>
      </c>
      <c r="R244">
        <v>635568</v>
      </c>
      <c r="S244">
        <v>0</v>
      </c>
      <c r="T244">
        <v>0</v>
      </c>
      <c r="V244">
        <v>10800</v>
      </c>
      <c r="W244">
        <v>7</v>
      </c>
      <c r="X244">
        <v>85</v>
      </c>
      <c r="Y244">
        <v>3</v>
      </c>
      <c r="Z244">
        <v>4</v>
      </c>
      <c r="AA244">
        <v>5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3</v>
      </c>
      <c r="AJ244">
        <v>0</v>
      </c>
      <c r="AK244">
        <v>0</v>
      </c>
      <c r="AL244">
        <v>100</v>
      </c>
      <c r="AM244">
        <v>45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100</v>
      </c>
      <c r="AU244">
        <v>0</v>
      </c>
      <c r="AV244">
        <v>0</v>
      </c>
    </row>
    <row r="245" spans="1:48" x14ac:dyDescent="0.15">
      <c r="A245" s="4" t="str">
        <f>HYPERLINK("https://ibp.a2mac1.com/costing(costing:projects/details/9760/equipment/12211035)","DC machine - General")</f>
        <v>DC machine - General</v>
      </c>
      <c r="B245">
        <v>12211035</v>
      </c>
      <c r="C245">
        <v>12083969</v>
      </c>
      <c r="E245" t="s">
        <v>738</v>
      </c>
      <c r="H245" t="s">
        <v>162</v>
      </c>
      <c r="I245">
        <v>116914.84457142858</v>
      </c>
      <c r="J245">
        <v>0</v>
      </c>
      <c r="K245">
        <v>3.6</v>
      </c>
      <c r="L245">
        <v>0</v>
      </c>
      <c r="M245">
        <v>27.497982091197134</v>
      </c>
      <c r="N245">
        <v>0</v>
      </c>
      <c r="O245">
        <v>1.5276656717331742E-2</v>
      </c>
      <c r="P245">
        <v>2.2952666666666665E-3</v>
      </c>
      <c r="Q245">
        <v>1.1732166376415484E-2</v>
      </c>
      <c r="R245">
        <v>635568</v>
      </c>
      <c r="S245">
        <v>0</v>
      </c>
      <c r="T245">
        <v>0</v>
      </c>
      <c r="V245">
        <v>10800</v>
      </c>
      <c r="W245">
        <v>7</v>
      </c>
      <c r="X245">
        <v>85</v>
      </c>
      <c r="Y245">
        <v>3</v>
      </c>
      <c r="Z245">
        <v>4</v>
      </c>
      <c r="AA245">
        <v>5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3</v>
      </c>
      <c r="AJ245">
        <v>0</v>
      </c>
      <c r="AK245">
        <v>0</v>
      </c>
      <c r="AL245">
        <v>100</v>
      </c>
      <c r="AM245">
        <v>45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100</v>
      </c>
      <c r="AU245">
        <v>0</v>
      </c>
      <c r="AV245">
        <v>0</v>
      </c>
    </row>
    <row r="246" spans="1:48" x14ac:dyDescent="0.15">
      <c r="A246" s="4" t="str">
        <f>HYPERLINK("https://ibp.a2mac1.com/costing(costing:projects/details/9760/equipment/12211036)","DC machine - General")</f>
        <v>DC machine - General</v>
      </c>
      <c r="B246">
        <v>12211036</v>
      </c>
      <c r="C246">
        <v>12083970</v>
      </c>
      <c r="E246" t="s">
        <v>738</v>
      </c>
      <c r="H246" t="s">
        <v>162</v>
      </c>
      <c r="I246">
        <v>116914.84457142858</v>
      </c>
      <c r="J246">
        <v>0</v>
      </c>
      <c r="K246">
        <v>3.6</v>
      </c>
      <c r="L246">
        <v>0</v>
      </c>
      <c r="M246">
        <v>27.497982091197134</v>
      </c>
      <c r="N246">
        <v>0</v>
      </c>
      <c r="O246">
        <v>1.5276656717331742E-2</v>
      </c>
      <c r="P246">
        <v>2.2952666666666665E-3</v>
      </c>
      <c r="Q246">
        <v>5.8660831882077422E-3</v>
      </c>
      <c r="R246">
        <v>635568</v>
      </c>
      <c r="S246">
        <v>0</v>
      </c>
      <c r="T246">
        <v>0</v>
      </c>
      <c r="V246">
        <v>10800</v>
      </c>
      <c r="W246">
        <v>7</v>
      </c>
      <c r="X246">
        <v>85</v>
      </c>
      <c r="Y246">
        <v>3</v>
      </c>
      <c r="Z246">
        <v>4</v>
      </c>
      <c r="AA246">
        <v>5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3</v>
      </c>
      <c r="AJ246">
        <v>0</v>
      </c>
      <c r="AK246">
        <v>0</v>
      </c>
      <c r="AL246">
        <v>100</v>
      </c>
      <c r="AM246">
        <v>45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100</v>
      </c>
      <c r="AU246">
        <v>0</v>
      </c>
      <c r="AV246">
        <v>0</v>
      </c>
    </row>
    <row r="247" spans="1:48" x14ac:dyDescent="0.15">
      <c r="A247" s="4" t="str">
        <f>HYPERLINK("https://ibp.a2mac1.com/costing(costing:projects/details/9760/equipment/12210912)","DC machine - General")</f>
        <v>DC machine - General</v>
      </c>
      <c r="B247">
        <v>12210912</v>
      </c>
      <c r="C247">
        <v>12083855</v>
      </c>
      <c r="E247" t="s">
        <v>738</v>
      </c>
      <c r="H247" t="s">
        <v>162</v>
      </c>
      <c r="I247">
        <v>116914.84457142858</v>
      </c>
      <c r="J247">
        <v>0</v>
      </c>
      <c r="K247">
        <v>3.6</v>
      </c>
      <c r="L247">
        <v>0</v>
      </c>
      <c r="M247">
        <v>27.497982091197134</v>
      </c>
      <c r="N247">
        <v>0</v>
      </c>
      <c r="O247">
        <v>0.11457492537998806</v>
      </c>
      <c r="P247">
        <v>1.7214500000000001E-2</v>
      </c>
      <c r="Q247">
        <v>1.1732166376415484E-2</v>
      </c>
      <c r="R247">
        <v>635568</v>
      </c>
      <c r="S247">
        <v>0</v>
      </c>
      <c r="T247">
        <v>0</v>
      </c>
      <c r="V247">
        <v>10800</v>
      </c>
      <c r="W247">
        <v>7</v>
      </c>
      <c r="X247">
        <v>85</v>
      </c>
      <c r="Y247">
        <v>3</v>
      </c>
      <c r="Z247">
        <v>4</v>
      </c>
      <c r="AA247">
        <v>5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3</v>
      </c>
      <c r="AJ247">
        <v>0</v>
      </c>
      <c r="AK247">
        <v>0</v>
      </c>
      <c r="AL247">
        <v>100</v>
      </c>
      <c r="AM247">
        <v>45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100</v>
      </c>
      <c r="AU247">
        <v>0</v>
      </c>
      <c r="AV247">
        <v>0</v>
      </c>
    </row>
    <row r="248" spans="1:48" x14ac:dyDescent="0.15">
      <c r="A248" s="4" t="str">
        <f>HYPERLINK("https://ibp.a2mac1.com/costing(costing:projects/details/9760/equipment/12210945)","DC machine - General")</f>
        <v>DC machine - General</v>
      </c>
      <c r="B248">
        <v>12210945</v>
      </c>
      <c r="C248">
        <v>12083856</v>
      </c>
      <c r="E248" t="s">
        <v>738</v>
      </c>
      <c r="H248" t="s">
        <v>162</v>
      </c>
      <c r="I248">
        <v>116914.84457142858</v>
      </c>
      <c r="J248">
        <v>0</v>
      </c>
      <c r="K248">
        <v>3.6</v>
      </c>
      <c r="L248">
        <v>0</v>
      </c>
      <c r="M248">
        <v>27.497982091197134</v>
      </c>
      <c r="N248">
        <v>0</v>
      </c>
      <c r="O248">
        <v>0.11457492537998806</v>
      </c>
      <c r="P248">
        <v>1.7214500000000001E-2</v>
      </c>
      <c r="Q248">
        <v>1.1732166376415484E-2</v>
      </c>
      <c r="R248">
        <v>635568</v>
      </c>
      <c r="S248">
        <v>0</v>
      </c>
      <c r="T248">
        <v>0</v>
      </c>
      <c r="V248">
        <v>10800</v>
      </c>
      <c r="W248">
        <v>7</v>
      </c>
      <c r="X248">
        <v>85</v>
      </c>
      <c r="Y248">
        <v>3</v>
      </c>
      <c r="Z248">
        <v>4</v>
      </c>
      <c r="AA248">
        <v>5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3</v>
      </c>
      <c r="AJ248">
        <v>0</v>
      </c>
      <c r="AK248">
        <v>0</v>
      </c>
      <c r="AL248">
        <v>100</v>
      </c>
      <c r="AM248">
        <v>45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100</v>
      </c>
      <c r="AU248">
        <v>0</v>
      </c>
      <c r="AV248">
        <v>0</v>
      </c>
    </row>
    <row r="249" spans="1:48" x14ac:dyDescent="0.15">
      <c r="A249" s="4" t="str">
        <f>HYPERLINK("https://ibp.a2mac1.com/costing(costing:projects/details/9760/equipment/12210946)","DC machine - General")</f>
        <v>DC machine - General</v>
      </c>
      <c r="B249">
        <v>12210946</v>
      </c>
      <c r="C249">
        <v>12083857</v>
      </c>
      <c r="E249" t="s">
        <v>738</v>
      </c>
      <c r="H249" t="s">
        <v>162</v>
      </c>
      <c r="I249">
        <v>116914.84457142858</v>
      </c>
      <c r="J249">
        <v>0</v>
      </c>
      <c r="K249">
        <v>3.6</v>
      </c>
      <c r="L249">
        <v>0</v>
      </c>
      <c r="M249">
        <v>27.497982091197134</v>
      </c>
      <c r="N249">
        <v>0</v>
      </c>
      <c r="O249">
        <v>9.9298268662656314E-2</v>
      </c>
      <c r="P249">
        <v>1.4919233333333334E-2</v>
      </c>
      <c r="Q249">
        <v>1.1732166376415484E-2</v>
      </c>
      <c r="R249">
        <v>635568</v>
      </c>
      <c r="S249">
        <v>0</v>
      </c>
      <c r="T249">
        <v>0</v>
      </c>
      <c r="V249">
        <v>10800</v>
      </c>
      <c r="W249">
        <v>7</v>
      </c>
      <c r="X249">
        <v>85</v>
      </c>
      <c r="Y249">
        <v>3</v>
      </c>
      <c r="Z249">
        <v>4</v>
      </c>
      <c r="AA249">
        <v>5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3</v>
      </c>
      <c r="AJ249">
        <v>0</v>
      </c>
      <c r="AK249">
        <v>0</v>
      </c>
      <c r="AL249">
        <v>100</v>
      </c>
      <c r="AM249">
        <v>45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100</v>
      </c>
      <c r="AU249">
        <v>0</v>
      </c>
      <c r="AV249">
        <v>0</v>
      </c>
    </row>
    <row r="250" spans="1:48" x14ac:dyDescent="0.15">
      <c r="A250" s="4" t="str">
        <f>HYPERLINK("https://ibp.a2mac1.com/costing(costing:projects/details/9760/equipment/12210947)","DC machine - General")</f>
        <v>DC machine - General</v>
      </c>
      <c r="B250">
        <v>12210947</v>
      </c>
      <c r="C250">
        <v>12083858</v>
      </c>
      <c r="E250" t="s">
        <v>738</v>
      </c>
      <c r="H250" t="s">
        <v>162</v>
      </c>
      <c r="I250">
        <v>116914.84457142858</v>
      </c>
      <c r="J250">
        <v>0</v>
      </c>
      <c r="K250">
        <v>3.6</v>
      </c>
      <c r="L250">
        <v>0</v>
      </c>
      <c r="M250">
        <v>27.497982091197134</v>
      </c>
      <c r="N250">
        <v>0</v>
      </c>
      <c r="O250">
        <v>5.7669379107927323</v>
      </c>
      <c r="P250">
        <v>0.86646316666666667</v>
      </c>
      <c r="Q250">
        <v>1.1732166376415484E-2</v>
      </c>
      <c r="R250">
        <v>635568</v>
      </c>
      <c r="S250">
        <v>0</v>
      </c>
      <c r="T250">
        <v>0</v>
      </c>
      <c r="V250">
        <v>10800</v>
      </c>
      <c r="W250">
        <v>7</v>
      </c>
      <c r="X250">
        <v>85</v>
      </c>
      <c r="Y250">
        <v>3</v>
      </c>
      <c r="Z250">
        <v>4</v>
      </c>
      <c r="AA250">
        <v>5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3</v>
      </c>
      <c r="AJ250">
        <v>0</v>
      </c>
      <c r="AK250">
        <v>0</v>
      </c>
      <c r="AL250">
        <v>100</v>
      </c>
      <c r="AM250">
        <v>45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100</v>
      </c>
      <c r="AU250">
        <v>0</v>
      </c>
      <c r="AV250">
        <v>0</v>
      </c>
    </row>
    <row r="251" spans="1:48" x14ac:dyDescent="0.15">
      <c r="A251" s="4" t="str">
        <f>HYPERLINK("https://ibp.a2mac1.com/costing(costing:projects/details/9760/equipment/12210948)","DC machine - General")</f>
        <v>DC machine - General</v>
      </c>
      <c r="B251">
        <v>12210948</v>
      </c>
      <c r="C251">
        <v>12083859</v>
      </c>
      <c r="E251" t="s">
        <v>738</v>
      </c>
      <c r="H251" t="s">
        <v>162</v>
      </c>
      <c r="I251">
        <v>116914.84457142858</v>
      </c>
      <c r="J251">
        <v>0</v>
      </c>
      <c r="K251">
        <v>3.6</v>
      </c>
      <c r="L251">
        <v>0</v>
      </c>
      <c r="M251">
        <v>27.497982091197134</v>
      </c>
      <c r="N251">
        <v>0</v>
      </c>
      <c r="O251">
        <v>3.8191641793329352E-2</v>
      </c>
      <c r="P251">
        <v>5.7381666666666666E-3</v>
      </c>
      <c r="Q251">
        <v>1.1732166376415484E-2</v>
      </c>
      <c r="R251">
        <v>635568</v>
      </c>
      <c r="S251">
        <v>0</v>
      </c>
      <c r="T251">
        <v>0</v>
      </c>
      <c r="V251">
        <v>10800</v>
      </c>
      <c r="W251">
        <v>7</v>
      </c>
      <c r="X251">
        <v>85</v>
      </c>
      <c r="Y251">
        <v>3</v>
      </c>
      <c r="Z251">
        <v>4</v>
      </c>
      <c r="AA251">
        <v>5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3</v>
      </c>
      <c r="AJ251">
        <v>0</v>
      </c>
      <c r="AK251">
        <v>0</v>
      </c>
      <c r="AL251">
        <v>100</v>
      </c>
      <c r="AM251">
        <v>45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100</v>
      </c>
      <c r="AU251">
        <v>0</v>
      </c>
      <c r="AV251">
        <v>0</v>
      </c>
    </row>
    <row r="252" spans="1:48" x14ac:dyDescent="0.15">
      <c r="A252" s="4" t="str">
        <f>HYPERLINK("https://ibp.a2mac1.com/costing(costing:projects/details/9760/equipment/12210949)","DC machine - General")</f>
        <v>DC machine - General</v>
      </c>
      <c r="B252">
        <v>12210949</v>
      </c>
      <c r="C252">
        <v>12083860</v>
      </c>
      <c r="E252" t="s">
        <v>738</v>
      </c>
      <c r="H252" t="s">
        <v>162</v>
      </c>
      <c r="I252">
        <v>116914.84457142858</v>
      </c>
      <c r="J252">
        <v>0</v>
      </c>
      <c r="K252">
        <v>3.6</v>
      </c>
      <c r="L252">
        <v>0</v>
      </c>
      <c r="M252">
        <v>27.497982091197134</v>
      </c>
      <c r="N252">
        <v>0</v>
      </c>
      <c r="O252">
        <v>0.55759797018260859</v>
      </c>
      <c r="P252">
        <v>8.377723333333334E-2</v>
      </c>
      <c r="Q252">
        <v>1.1732166376415484E-2</v>
      </c>
      <c r="R252">
        <v>635568</v>
      </c>
      <c r="S252">
        <v>0</v>
      </c>
      <c r="T252">
        <v>0</v>
      </c>
      <c r="V252">
        <v>10800</v>
      </c>
      <c r="W252">
        <v>7</v>
      </c>
      <c r="X252">
        <v>85</v>
      </c>
      <c r="Y252">
        <v>3</v>
      </c>
      <c r="Z252">
        <v>4</v>
      </c>
      <c r="AA252">
        <v>5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3</v>
      </c>
      <c r="AJ252">
        <v>0</v>
      </c>
      <c r="AK252">
        <v>0</v>
      </c>
      <c r="AL252">
        <v>100</v>
      </c>
      <c r="AM252">
        <v>45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100</v>
      </c>
      <c r="AU252">
        <v>0</v>
      </c>
      <c r="AV252">
        <v>0</v>
      </c>
    </row>
    <row r="253" spans="1:48" x14ac:dyDescent="0.15">
      <c r="A253" s="4" t="str">
        <f>HYPERLINK("https://ibp.a2mac1.com/costing(costing:projects/details/9760/equipment/12210950)","DC machine - General")</f>
        <v>DC machine - General</v>
      </c>
      <c r="B253">
        <v>12210950</v>
      </c>
      <c r="C253">
        <v>12083861</v>
      </c>
      <c r="E253" t="s">
        <v>738</v>
      </c>
      <c r="H253" t="s">
        <v>162</v>
      </c>
      <c r="I253">
        <v>116914.84457142858</v>
      </c>
      <c r="J253">
        <v>0</v>
      </c>
      <c r="K253">
        <v>3.6</v>
      </c>
      <c r="L253">
        <v>0</v>
      </c>
      <c r="M253">
        <v>27.497982091197134</v>
      </c>
      <c r="N253">
        <v>0</v>
      </c>
      <c r="O253">
        <v>2.7345215524023816</v>
      </c>
      <c r="P253">
        <v>0.41085273333333333</v>
      </c>
      <c r="Q253">
        <v>1.1732166376415484E-2</v>
      </c>
      <c r="R253">
        <v>635568</v>
      </c>
      <c r="S253">
        <v>0</v>
      </c>
      <c r="T253">
        <v>0</v>
      </c>
      <c r="V253">
        <v>10800</v>
      </c>
      <c r="W253">
        <v>7</v>
      </c>
      <c r="X253">
        <v>85</v>
      </c>
      <c r="Y253">
        <v>3</v>
      </c>
      <c r="Z253">
        <v>4</v>
      </c>
      <c r="AA253">
        <v>5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3</v>
      </c>
      <c r="AJ253">
        <v>0</v>
      </c>
      <c r="AK253">
        <v>0</v>
      </c>
      <c r="AL253">
        <v>100</v>
      </c>
      <c r="AM253">
        <v>45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100</v>
      </c>
      <c r="AU253">
        <v>0</v>
      </c>
      <c r="AV253">
        <v>0</v>
      </c>
    </row>
    <row r="254" spans="1:48" x14ac:dyDescent="0.15">
      <c r="A254" s="4" t="str">
        <f>HYPERLINK("https://ibp.a2mac1.com/costing(costing:projects/details/9760/equipment/12211037)","DC machine - General")</f>
        <v>DC machine - General</v>
      </c>
      <c r="B254">
        <v>12211037</v>
      </c>
      <c r="C254">
        <v>12083971</v>
      </c>
      <c r="E254" t="s">
        <v>738</v>
      </c>
      <c r="H254" t="s">
        <v>162</v>
      </c>
      <c r="I254">
        <v>116914.84457142858</v>
      </c>
      <c r="J254">
        <v>0</v>
      </c>
      <c r="K254">
        <v>3.6</v>
      </c>
      <c r="L254">
        <v>0</v>
      </c>
      <c r="M254">
        <v>27.497982091197134</v>
      </c>
      <c r="N254">
        <v>0</v>
      </c>
      <c r="O254">
        <v>0.13748991045598569</v>
      </c>
      <c r="P254">
        <v>2.0657399999999999E-2</v>
      </c>
      <c r="Q254">
        <v>1.1732166376415484E-2</v>
      </c>
      <c r="R254">
        <v>635568</v>
      </c>
      <c r="S254">
        <v>0</v>
      </c>
      <c r="T254">
        <v>0</v>
      </c>
      <c r="V254">
        <v>10800</v>
      </c>
      <c r="W254">
        <v>7</v>
      </c>
      <c r="X254">
        <v>85</v>
      </c>
      <c r="Y254">
        <v>3</v>
      </c>
      <c r="Z254">
        <v>4</v>
      </c>
      <c r="AA254">
        <v>5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3</v>
      </c>
      <c r="AJ254">
        <v>0</v>
      </c>
      <c r="AK254">
        <v>0</v>
      </c>
      <c r="AL254">
        <v>100</v>
      </c>
      <c r="AM254">
        <v>45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100</v>
      </c>
      <c r="AU254">
        <v>0</v>
      </c>
      <c r="AV254">
        <v>0</v>
      </c>
    </row>
    <row r="255" spans="1:48" x14ac:dyDescent="0.15">
      <c r="A255" s="4" t="str">
        <f>HYPERLINK("https://ibp.a2mac1.com/costing(costing:projects/details/9760/equipment/12211038)","DC machine - General")</f>
        <v>DC machine - General</v>
      </c>
      <c r="B255">
        <v>12211038</v>
      </c>
      <c r="C255">
        <v>12083972</v>
      </c>
      <c r="E255" t="s">
        <v>738</v>
      </c>
      <c r="H255" t="s">
        <v>162</v>
      </c>
      <c r="I255">
        <v>116914.84457142858</v>
      </c>
      <c r="J255">
        <v>0</v>
      </c>
      <c r="K255">
        <v>3.6</v>
      </c>
      <c r="L255">
        <v>0</v>
      </c>
      <c r="M255">
        <v>27.497982091197134</v>
      </c>
      <c r="N255">
        <v>0</v>
      </c>
      <c r="O255">
        <v>6.8744955227992843E-2</v>
      </c>
      <c r="P255">
        <v>1.03287E-2</v>
      </c>
      <c r="Q255">
        <v>1.1732166376415484E-2</v>
      </c>
      <c r="R255">
        <v>635568</v>
      </c>
      <c r="S255">
        <v>0</v>
      </c>
      <c r="T255">
        <v>0</v>
      </c>
      <c r="V255">
        <v>10800</v>
      </c>
      <c r="W255">
        <v>7</v>
      </c>
      <c r="X255">
        <v>85</v>
      </c>
      <c r="Y255">
        <v>3</v>
      </c>
      <c r="Z255">
        <v>4</v>
      </c>
      <c r="AA255">
        <v>5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3</v>
      </c>
      <c r="AJ255">
        <v>0</v>
      </c>
      <c r="AK255">
        <v>0</v>
      </c>
      <c r="AL255">
        <v>100</v>
      </c>
      <c r="AM255">
        <v>45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100</v>
      </c>
      <c r="AU255">
        <v>0</v>
      </c>
      <c r="AV255">
        <v>0</v>
      </c>
    </row>
    <row r="256" spans="1:48" x14ac:dyDescent="0.15">
      <c r="A256" s="4" t="str">
        <f>HYPERLINK("https://ibp.a2mac1.com/costing(costing:projects/details/9760/equipment/12211039)","DC machine - General")</f>
        <v>DC machine - General</v>
      </c>
      <c r="B256">
        <v>12211039</v>
      </c>
      <c r="C256">
        <v>12083973</v>
      </c>
      <c r="E256" t="s">
        <v>738</v>
      </c>
      <c r="H256" t="s">
        <v>162</v>
      </c>
      <c r="I256">
        <v>116914.84457142858</v>
      </c>
      <c r="J256">
        <v>0</v>
      </c>
      <c r="K256">
        <v>3.6</v>
      </c>
      <c r="L256">
        <v>0</v>
      </c>
      <c r="M256">
        <v>27.497982091197134</v>
      </c>
      <c r="N256">
        <v>0</v>
      </c>
      <c r="O256">
        <v>7.6383283586658704E-2</v>
      </c>
      <c r="P256">
        <v>1.1476333333333333E-2</v>
      </c>
      <c r="Q256">
        <v>1.1732166376415484E-2</v>
      </c>
      <c r="R256">
        <v>635568</v>
      </c>
      <c r="S256">
        <v>0</v>
      </c>
      <c r="T256">
        <v>0</v>
      </c>
      <c r="V256">
        <v>10800</v>
      </c>
      <c r="W256">
        <v>7</v>
      </c>
      <c r="X256">
        <v>85</v>
      </c>
      <c r="Y256">
        <v>3</v>
      </c>
      <c r="Z256">
        <v>4</v>
      </c>
      <c r="AA256">
        <v>5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3</v>
      </c>
      <c r="AJ256">
        <v>0</v>
      </c>
      <c r="AK256">
        <v>0</v>
      </c>
      <c r="AL256">
        <v>100</v>
      </c>
      <c r="AM256">
        <v>45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100</v>
      </c>
      <c r="AU256">
        <v>0</v>
      </c>
      <c r="AV256">
        <v>0</v>
      </c>
    </row>
    <row r="257" spans="1:48" x14ac:dyDescent="0.15">
      <c r="A257" s="4" t="str">
        <f>HYPERLINK("https://ibp.a2mac1.com/costing(costing:projects/details/9760/equipment/12211040)","DC machine - General")</f>
        <v>DC machine - General</v>
      </c>
      <c r="B257">
        <v>12211040</v>
      </c>
      <c r="C257">
        <v>12083974</v>
      </c>
      <c r="E257" t="s">
        <v>738</v>
      </c>
      <c r="H257" t="s">
        <v>162</v>
      </c>
      <c r="I257">
        <v>116914.84457142858</v>
      </c>
      <c r="J257">
        <v>0</v>
      </c>
      <c r="K257">
        <v>3.6</v>
      </c>
      <c r="L257">
        <v>0</v>
      </c>
      <c r="M257">
        <v>27.497982091197134</v>
      </c>
      <c r="N257">
        <v>0</v>
      </c>
      <c r="O257">
        <v>8.4021611945324579E-2</v>
      </c>
      <c r="P257">
        <v>1.2623966666666667E-2</v>
      </c>
      <c r="Q257">
        <v>1.1732166376415484E-2</v>
      </c>
      <c r="R257">
        <v>635568</v>
      </c>
      <c r="S257">
        <v>0</v>
      </c>
      <c r="T257">
        <v>0</v>
      </c>
      <c r="V257">
        <v>10800</v>
      </c>
      <c r="W257">
        <v>7</v>
      </c>
      <c r="X257">
        <v>85</v>
      </c>
      <c r="Y257">
        <v>3</v>
      </c>
      <c r="Z257">
        <v>4</v>
      </c>
      <c r="AA257">
        <v>5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3</v>
      </c>
      <c r="AJ257">
        <v>0</v>
      </c>
      <c r="AK257">
        <v>0</v>
      </c>
      <c r="AL257">
        <v>100</v>
      </c>
      <c r="AM257">
        <v>45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100</v>
      </c>
      <c r="AU257">
        <v>0</v>
      </c>
      <c r="AV257">
        <v>0</v>
      </c>
    </row>
    <row r="258" spans="1:48" x14ac:dyDescent="0.15">
      <c r="A258" s="4" t="str">
        <f>HYPERLINK("https://ibp.a2mac1.com/costing(costing:projects/details/9760/equipment/12211041)","DC machine - General")</f>
        <v>DC machine - General</v>
      </c>
      <c r="B258">
        <v>12211041</v>
      </c>
      <c r="C258">
        <v>12083975</v>
      </c>
      <c r="E258" t="s">
        <v>738</v>
      </c>
      <c r="H258" t="s">
        <v>162</v>
      </c>
      <c r="I258">
        <v>116914.84457142858</v>
      </c>
      <c r="J258">
        <v>0</v>
      </c>
      <c r="K258">
        <v>3.6</v>
      </c>
      <c r="L258">
        <v>0</v>
      </c>
      <c r="M258">
        <v>27.497982091197134</v>
      </c>
      <c r="N258">
        <v>0</v>
      </c>
      <c r="O258">
        <v>2.2914985075997613E-2</v>
      </c>
      <c r="P258">
        <v>3.4429E-3</v>
      </c>
      <c r="Q258">
        <v>1.1732166376415484E-2</v>
      </c>
      <c r="R258">
        <v>635568</v>
      </c>
      <c r="S258">
        <v>0</v>
      </c>
      <c r="T258">
        <v>0</v>
      </c>
      <c r="V258">
        <v>10800</v>
      </c>
      <c r="W258">
        <v>7</v>
      </c>
      <c r="X258">
        <v>85</v>
      </c>
      <c r="Y258">
        <v>3</v>
      </c>
      <c r="Z258">
        <v>4</v>
      </c>
      <c r="AA258">
        <v>5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3</v>
      </c>
      <c r="AJ258">
        <v>0</v>
      </c>
      <c r="AK258">
        <v>0</v>
      </c>
      <c r="AL258">
        <v>100</v>
      </c>
      <c r="AM258">
        <v>45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100</v>
      </c>
      <c r="AU258">
        <v>0</v>
      </c>
      <c r="AV258">
        <v>0</v>
      </c>
    </row>
    <row r="259" spans="1:48" x14ac:dyDescent="0.15">
      <c r="A259" s="4" t="str">
        <f>HYPERLINK("https://ibp.a2mac1.com/costing(costing:projects/details/9760/equipment/12211042)","DC machine - General")</f>
        <v>DC machine - General</v>
      </c>
      <c r="B259">
        <v>12211042</v>
      </c>
      <c r="C259">
        <v>12083976</v>
      </c>
      <c r="E259" t="s">
        <v>738</v>
      </c>
      <c r="H259" t="s">
        <v>162</v>
      </c>
      <c r="I259">
        <v>116914.84457142858</v>
      </c>
      <c r="J259">
        <v>0</v>
      </c>
      <c r="K259">
        <v>3.6</v>
      </c>
      <c r="L259">
        <v>0</v>
      </c>
      <c r="M259">
        <v>27.497982091197134</v>
      </c>
      <c r="N259">
        <v>0</v>
      </c>
      <c r="O259">
        <v>2.2914985075997613E-2</v>
      </c>
      <c r="P259">
        <v>3.4429E-3</v>
      </c>
      <c r="Q259">
        <v>1.1732166376415484E-2</v>
      </c>
      <c r="R259">
        <v>635568</v>
      </c>
      <c r="S259">
        <v>0</v>
      </c>
      <c r="T259">
        <v>0</v>
      </c>
      <c r="V259">
        <v>10800</v>
      </c>
      <c r="W259">
        <v>7</v>
      </c>
      <c r="X259">
        <v>85</v>
      </c>
      <c r="Y259">
        <v>3</v>
      </c>
      <c r="Z259">
        <v>4</v>
      </c>
      <c r="AA259">
        <v>5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3</v>
      </c>
      <c r="AJ259">
        <v>0</v>
      </c>
      <c r="AK259">
        <v>0</v>
      </c>
      <c r="AL259">
        <v>100</v>
      </c>
      <c r="AM259">
        <v>45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100</v>
      </c>
      <c r="AU259">
        <v>0</v>
      </c>
      <c r="AV259">
        <v>0</v>
      </c>
    </row>
    <row r="260" spans="1:48" x14ac:dyDescent="0.15">
      <c r="A260" s="4" t="str">
        <f>HYPERLINK("https://ibp.a2mac1.com/costing(costing:projects/details/9760/equipment/12210951)","DC machine - General")</f>
        <v>DC machine - General</v>
      </c>
      <c r="B260">
        <v>12210951</v>
      </c>
      <c r="C260">
        <v>12083862</v>
      </c>
      <c r="E260" t="s">
        <v>738</v>
      </c>
      <c r="H260" t="s">
        <v>162</v>
      </c>
      <c r="I260">
        <v>116914.84457142858</v>
      </c>
      <c r="J260">
        <v>0</v>
      </c>
      <c r="K260">
        <v>3.6</v>
      </c>
      <c r="L260">
        <v>0</v>
      </c>
      <c r="M260">
        <v>27.497982091197134</v>
      </c>
      <c r="N260">
        <v>0</v>
      </c>
      <c r="O260">
        <v>2.4137117613384151</v>
      </c>
      <c r="P260">
        <v>0.36265213333333335</v>
      </c>
      <c r="Q260">
        <v>1.1732166376415484E-2</v>
      </c>
      <c r="R260">
        <v>635568</v>
      </c>
      <c r="S260">
        <v>0</v>
      </c>
      <c r="T260">
        <v>0</v>
      </c>
      <c r="V260">
        <v>10800</v>
      </c>
      <c r="W260">
        <v>7</v>
      </c>
      <c r="X260">
        <v>85</v>
      </c>
      <c r="Y260">
        <v>3</v>
      </c>
      <c r="Z260">
        <v>4</v>
      </c>
      <c r="AA260">
        <v>5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3</v>
      </c>
      <c r="AJ260">
        <v>0</v>
      </c>
      <c r="AK260">
        <v>0</v>
      </c>
      <c r="AL260">
        <v>100</v>
      </c>
      <c r="AM260">
        <v>45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100</v>
      </c>
      <c r="AU260">
        <v>0</v>
      </c>
      <c r="AV260">
        <v>0</v>
      </c>
    </row>
    <row r="261" spans="1:48" x14ac:dyDescent="0.15">
      <c r="A261" s="4" t="str">
        <f>HYPERLINK("https://ibp.a2mac1.com/costing(costing:projects/details/9760/equipment/12210952)","DC machine - General")</f>
        <v>DC machine - General</v>
      </c>
      <c r="B261">
        <v>12210952</v>
      </c>
      <c r="C261">
        <v>12083863</v>
      </c>
      <c r="E261" t="s">
        <v>738</v>
      </c>
      <c r="H261" t="s">
        <v>162</v>
      </c>
      <c r="I261">
        <v>116914.84457142858</v>
      </c>
      <c r="J261">
        <v>0</v>
      </c>
      <c r="K261">
        <v>3.6</v>
      </c>
      <c r="L261">
        <v>0</v>
      </c>
      <c r="M261">
        <v>27.497982091197134</v>
      </c>
      <c r="N261">
        <v>0</v>
      </c>
      <c r="O261">
        <v>0.56523629854127444</v>
      </c>
      <c r="P261">
        <v>8.4924866666666668E-2</v>
      </c>
      <c r="Q261">
        <v>1.1732166376415484E-2</v>
      </c>
      <c r="R261">
        <v>635568</v>
      </c>
      <c r="S261">
        <v>0</v>
      </c>
      <c r="T261">
        <v>0</v>
      </c>
      <c r="V261">
        <v>10800</v>
      </c>
      <c r="W261">
        <v>7</v>
      </c>
      <c r="X261">
        <v>85</v>
      </c>
      <c r="Y261">
        <v>3</v>
      </c>
      <c r="Z261">
        <v>4</v>
      </c>
      <c r="AA261">
        <v>5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3</v>
      </c>
      <c r="AJ261">
        <v>0</v>
      </c>
      <c r="AK261">
        <v>0</v>
      </c>
      <c r="AL261">
        <v>100</v>
      </c>
      <c r="AM261">
        <v>45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100</v>
      </c>
      <c r="AU261">
        <v>0</v>
      </c>
      <c r="AV261">
        <v>0</v>
      </c>
    </row>
    <row r="262" spans="1:48" x14ac:dyDescent="0.15">
      <c r="A262" s="4" t="str">
        <f>HYPERLINK("https://ibp.a2mac1.com/costing(costing:projects/details/9760/equipment/12210953)","DC machine - General")</f>
        <v>DC machine - General</v>
      </c>
      <c r="B262">
        <v>12210953</v>
      </c>
      <c r="C262">
        <v>12083864</v>
      </c>
      <c r="E262" t="s">
        <v>738</v>
      </c>
      <c r="H262" t="s">
        <v>162</v>
      </c>
      <c r="I262">
        <v>116914.84457142858</v>
      </c>
      <c r="J262">
        <v>0</v>
      </c>
      <c r="K262">
        <v>3.6</v>
      </c>
      <c r="L262">
        <v>0</v>
      </c>
      <c r="M262">
        <v>27.497982091197134</v>
      </c>
      <c r="N262">
        <v>0</v>
      </c>
      <c r="O262">
        <v>3.009501373314353</v>
      </c>
      <c r="P262">
        <v>0.45216753333333332</v>
      </c>
      <c r="Q262">
        <v>1.1732166376415484E-2</v>
      </c>
      <c r="R262">
        <v>635568</v>
      </c>
      <c r="S262">
        <v>0</v>
      </c>
      <c r="T262">
        <v>0</v>
      </c>
      <c r="V262">
        <v>10800</v>
      </c>
      <c r="W262">
        <v>7</v>
      </c>
      <c r="X262">
        <v>85</v>
      </c>
      <c r="Y262">
        <v>3</v>
      </c>
      <c r="Z262">
        <v>4</v>
      </c>
      <c r="AA262">
        <v>5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3</v>
      </c>
      <c r="AJ262">
        <v>0</v>
      </c>
      <c r="AK262">
        <v>0</v>
      </c>
      <c r="AL262">
        <v>100</v>
      </c>
      <c r="AM262">
        <v>45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100</v>
      </c>
      <c r="AU262">
        <v>0</v>
      </c>
      <c r="AV262">
        <v>0</v>
      </c>
    </row>
    <row r="263" spans="1:48" x14ac:dyDescent="0.15">
      <c r="A263" s="4" t="str">
        <f>HYPERLINK("https://ibp.a2mac1.com/costing(costing:projects/details/9760/equipment/12210954)","DC machine - General")</f>
        <v>DC machine - General</v>
      </c>
      <c r="B263">
        <v>12210954</v>
      </c>
      <c r="C263">
        <v>12083865</v>
      </c>
      <c r="E263" t="s">
        <v>738</v>
      </c>
      <c r="H263" t="s">
        <v>162</v>
      </c>
      <c r="I263">
        <v>116914.84457142858</v>
      </c>
      <c r="J263">
        <v>0</v>
      </c>
      <c r="K263">
        <v>3.6</v>
      </c>
      <c r="L263">
        <v>0</v>
      </c>
      <c r="M263">
        <v>27.497982091197134</v>
      </c>
      <c r="N263">
        <v>0</v>
      </c>
      <c r="O263">
        <v>3.8191641793329352E-2</v>
      </c>
      <c r="P263">
        <v>5.7381666666666666E-3</v>
      </c>
      <c r="Q263">
        <v>1.1732166376415484E-2</v>
      </c>
      <c r="R263">
        <v>635568</v>
      </c>
      <c r="S263">
        <v>0</v>
      </c>
      <c r="T263">
        <v>0</v>
      </c>
      <c r="V263">
        <v>10800</v>
      </c>
      <c r="W263">
        <v>7</v>
      </c>
      <c r="X263">
        <v>85</v>
      </c>
      <c r="Y263">
        <v>3</v>
      </c>
      <c r="Z263">
        <v>4</v>
      </c>
      <c r="AA263">
        <v>5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3</v>
      </c>
      <c r="AJ263">
        <v>0</v>
      </c>
      <c r="AK263">
        <v>0</v>
      </c>
      <c r="AL263">
        <v>100</v>
      </c>
      <c r="AM263">
        <v>45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100</v>
      </c>
      <c r="AU263">
        <v>0</v>
      </c>
      <c r="AV263">
        <v>0</v>
      </c>
    </row>
    <row r="264" spans="1:48" x14ac:dyDescent="0.15">
      <c r="A264" s="4" t="str">
        <f>HYPERLINK("https://ibp.a2mac1.com/costing(costing:projects/details/9760/equipment/12211043)","DC machine - General")</f>
        <v>DC machine - General</v>
      </c>
      <c r="B264">
        <v>12211043</v>
      </c>
      <c r="C264">
        <v>12083977</v>
      </c>
      <c r="E264" t="s">
        <v>738</v>
      </c>
      <c r="H264" t="s">
        <v>162</v>
      </c>
      <c r="I264">
        <v>116914.84457142858</v>
      </c>
      <c r="J264">
        <v>0</v>
      </c>
      <c r="K264">
        <v>3.6</v>
      </c>
      <c r="L264">
        <v>0</v>
      </c>
      <c r="M264">
        <v>27.497982091197134</v>
      </c>
      <c r="N264">
        <v>0</v>
      </c>
      <c r="O264">
        <v>0.4430230448026205</v>
      </c>
      <c r="P264">
        <v>6.6562733333333332E-2</v>
      </c>
      <c r="Q264">
        <v>1.1732166376415484E-2</v>
      </c>
      <c r="R264">
        <v>635568</v>
      </c>
      <c r="S264">
        <v>0</v>
      </c>
      <c r="T264">
        <v>0</v>
      </c>
      <c r="V264">
        <v>10800</v>
      </c>
      <c r="W264">
        <v>7</v>
      </c>
      <c r="X264">
        <v>85</v>
      </c>
      <c r="Y264">
        <v>3</v>
      </c>
      <c r="Z264">
        <v>4</v>
      </c>
      <c r="AA264">
        <v>5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3</v>
      </c>
      <c r="AJ264">
        <v>0</v>
      </c>
      <c r="AK264">
        <v>0</v>
      </c>
      <c r="AL264">
        <v>100</v>
      </c>
      <c r="AM264">
        <v>45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100</v>
      </c>
      <c r="AU264">
        <v>0</v>
      </c>
      <c r="AV264">
        <v>0</v>
      </c>
    </row>
    <row r="265" spans="1:48" x14ac:dyDescent="0.15">
      <c r="A265" s="4" t="str">
        <f>HYPERLINK("https://ibp.a2mac1.com/costing(costing:projects/details/9760/equipment/12210955)","DC machine - General")</f>
        <v>DC machine - General</v>
      </c>
      <c r="B265">
        <v>12210955</v>
      </c>
      <c r="C265">
        <v>12083866</v>
      </c>
      <c r="E265" t="s">
        <v>738</v>
      </c>
      <c r="H265" t="s">
        <v>162</v>
      </c>
      <c r="I265">
        <v>116914.84457142858</v>
      </c>
      <c r="J265">
        <v>0</v>
      </c>
      <c r="K265">
        <v>3.6</v>
      </c>
      <c r="L265">
        <v>0</v>
      </c>
      <c r="M265">
        <v>27.497982091197134</v>
      </c>
      <c r="N265">
        <v>0</v>
      </c>
      <c r="O265">
        <v>0.61106626869326963</v>
      </c>
      <c r="P265">
        <v>9.1810666666666665E-2</v>
      </c>
      <c r="Q265">
        <v>1.9553610627359139E-2</v>
      </c>
      <c r="R265">
        <v>635568</v>
      </c>
      <c r="S265">
        <v>0</v>
      </c>
      <c r="T265">
        <v>0</v>
      </c>
      <c r="V265">
        <v>10800</v>
      </c>
      <c r="W265">
        <v>7</v>
      </c>
      <c r="X265">
        <v>85</v>
      </c>
      <c r="Y265">
        <v>3</v>
      </c>
      <c r="Z265">
        <v>4</v>
      </c>
      <c r="AA265">
        <v>5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3</v>
      </c>
      <c r="AJ265">
        <v>0</v>
      </c>
      <c r="AK265">
        <v>0</v>
      </c>
      <c r="AL265">
        <v>100</v>
      </c>
      <c r="AM265">
        <v>45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100</v>
      </c>
      <c r="AU265">
        <v>0</v>
      </c>
      <c r="AV265">
        <v>0</v>
      </c>
    </row>
    <row r="266" spans="1:48" x14ac:dyDescent="0.15">
      <c r="A266" s="4" t="str">
        <f>HYPERLINK("https://ibp.a2mac1.com/costing(costing:projects/details/9760/equipment/12211103)","DC machine - General")</f>
        <v>DC machine - General</v>
      </c>
      <c r="B266">
        <v>12211103</v>
      </c>
      <c r="C266">
        <v>12084014</v>
      </c>
      <c r="E266" t="s">
        <v>738</v>
      </c>
      <c r="H266" t="s">
        <v>162</v>
      </c>
      <c r="I266">
        <v>116914.84457142858</v>
      </c>
      <c r="J266">
        <v>0</v>
      </c>
      <c r="K266">
        <v>3.6</v>
      </c>
      <c r="L266">
        <v>0</v>
      </c>
      <c r="M266">
        <v>27.497982091197134</v>
      </c>
      <c r="N266">
        <v>0</v>
      </c>
      <c r="O266">
        <v>2.3144134926757589</v>
      </c>
      <c r="P266">
        <v>0.34773290000000001</v>
      </c>
      <c r="Q266">
        <v>1.1732166376415484E-2</v>
      </c>
      <c r="R266">
        <v>635568</v>
      </c>
      <c r="S266">
        <v>0</v>
      </c>
      <c r="T266">
        <v>0</v>
      </c>
      <c r="V266">
        <v>10800</v>
      </c>
      <c r="W266">
        <v>7</v>
      </c>
      <c r="X266">
        <v>85</v>
      </c>
      <c r="Y266">
        <v>3</v>
      </c>
      <c r="Z266">
        <v>4</v>
      </c>
      <c r="AA266">
        <v>5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3</v>
      </c>
      <c r="AJ266">
        <v>0</v>
      </c>
      <c r="AK266">
        <v>0</v>
      </c>
      <c r="AL266">
        <v>100</v>
      </c>
      <c r="AM266">
        <v>45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100</v>
      </c>
      <c r="AU266">
        <v>0</v>
      </c>
      <c r="AV266">
        <v>0</v>
      </c>
    </row>
    <row r="267" spans="1:48" x14ac:dyDescent="0.15">
      <c r="A267" s="4" t="str">
        <f>HYPERLINK("https://ibp.a2mac1.com/costing(costing:projects/details/9760/equipment/12211104)","DC machine - General")</f>
        <v>DC machine - General</v>
      </c>
      <c r="B267">
        <v>12211104</v>
      </c>
      <c r="C267">
        <v>12084015</v>
      </c>
      <c r="E267" t="s">
        <v>738</v>
      </c>
      <c r="H267" t="s">
        <v>162</v>
      </c>
      <c r="I267">
        <v>116914.84457142858</v>
      </c>
      <c r="J267">
        <v>0</v>
      </c>
      <c r="K267">
        <v>3.6</v>
      </c>
      <c r="L267">
        <v>0</v>
      </c>
      <c r="M267">
        <v>27.497982091197134</v>
      </c>
      <c r="N267">
        <v>0</v>
      </c>
      <c r="O267">
        <v>2.3144134926757589</v>
      </c>
      <c r="P267">
        <v>0.34773290000000001</v>
      </c>
      <c r="Q267">
        <v>1.1732166376415484E-2</v>
      </c>
      <c r="R267">
        <v>635568</v>
      </c>
      <c r="S267">
        <v>0</v>
      </c>
      <c r="T267">
        <v>0</v>
      </c>
      <c r="V267">
        <v>10800</v>
      </c>
      <c r="W267">
        <v>7</v>
      </c>
      <c r="X267">
        <v>85</v>
      </c>
      <c r="Y267">
        <v>3</v>
      </c>
      <c r="Z267">
        <v>4</v>
      </c>
      <c r="AA267">
        <v>5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3</v>
      </c>
      <c r="AJ267">
        <v>0</v>
      </c>
      <c r="AK267">
        <v>0</v>
      </c>
      <c r="AL267">
        <v>100</v>
      </c>
      <c r="AM267">
        <v>45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100</v>
      </c>
      <c r="AU267">
        <v>0</v>
      </c>
      <c r="AV267">
        <v>0</v>
      </c>
    </row>
    <row r="268" spans="1:48" x14ac:dyDescent="0.15">
      <c r="A268" s="4" t="str">
        <f>HYPERLINK("https://ibp.a2mac1.com/costing(costing:projects/details/9760/equipment/12211044)","DC machine - General")</f>
        <v>DC machine - General</v>
      </c>
      <c r="B268">
        <v>12211044</v>
      </c>
      <c r="C268">
        <v>12083978</v>
      </c>
      <c r="E268" t="s">
        <v>738</v>
      </c>
      <c r="H268" t="s">
        <v>162</v>
      </c>
      <c r="I268">
        <v>116914.84457142858</v>
      </c>
      <c r="J268">
        <v>0</v>
      </c>
      <c r="K268">
        <v>3.6</v>
      </c>
      <c r="L268">
        <v>0</v>
      </c>
      <c r="M268">
        <v>27.497982091197134</v>
      </c>
      <c r="N268">
        <v>0</v>
      </c>
      <c r="O268">
        <v>8.4021611945324579E-2</v>
      </c>
      <c r="P268">
        <v>1.2623966666666667E-2</v>
      </c>
      <c r="Q268">
        <v>1.1732166376415484E-2</v>
      </c>
      <c r="R268">
        <v>635568</v>
      </c>
      <c r="S268">
        <v>0</v>
      </c>
      <c r="T268">
        <v>0</v>
      </c>
      <c r="V268">
        <v>10800</v>
      </c>
      <c r="W268">
        <v>7</v>
      </c>
      <c r="X268">
        <v>85</v>
      </c>
      <c r="Y268">
        <v>3</v>
      </c>
      <c r="Z268">
        <v>4</v>
      </c>
      <c r="AA268">
        <v>5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3</v>
      </c>
      <c r="AJ268">
        <v>0</v>
      </c>
      <c r="AK268">
        <v>0</v>
      </c>
      <c r="AL268">
        <v>100</v>
      </c>
      <c r="AM268">
        <v>45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100</v>
      </c>
      <c r="AU268">
        <v>0</v>
      </c>
      <c r="AV268">
        <v>0</v>
      </c>
    </row>
    <row r="269" spans="1:48" x14ac:dyDescent="0.15">
      <c r="A269" s="4" t="str">
        <f>HYPERLINK("https://ibp.a2mac1.com/costing(costing:projects/details/9760/equipment/12211045)","DC machine - General")</f>
        <v>DC machine - General</v>
      </c>
      <c r="B269">
        <v>12211045</v>
      </c>
      <c r="C269">
        <v>12083979</v>
      </c>
      <c r="E269" t="s">
        <v>738</v>
      </c>
      <c r="H269" t="s">
        <v>162</v>
      </c>
      <c r="I269">
        <v>116914.84457142858</v>
      </c>
      <c r="J269">
        <v>0</v>
      </c>
      <c r="K269">
        <v>3.6</v>
      </c>
      <c r="L269">
        <v>0</v>
      </c>
      <c r="M269">
        <v>27.497982091197134</v>
      </c>
      <c r="N269">
        <v>0</v>
      </c>
      <c r="O269">
        <v>3.0553313434663484E-2</v>
      </c>
      <c r="P269">
        <v>4.5905333333333331E-3</v>
      </c>
      <c r="Q269">
        <v>1.1732166376415484E-2</v>
      </c>
      <c r="R269">
        <v>635568</v>
      </c>
      <c r="S269">
        <v>0</v>
      </c>
      <c r="T269">
        <v>0</v>
      </c>
      <c r="V269">
        <v>10800</v>
      </c>
      <c r="W269">
        <v>7</v>
      </c>
      <c r="X269">
        <v>85</v>
      </c>
      <c r="Y269">
        <v>3</v>
      </c>
      <c r="Z269">
        <v>4</v>
      </c>
      <c r="AA269">
        <v>5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3</v>
      </c>
      <c r="AJ269">
        <v>0</v>
      </c>
      <c r="AK269">
        <v>0</v>
      </c>
      <c r="AL269">
        <v>100</v>
      </c>
      <c r="AM269">
        <v>45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100</v>
      </c>
      <c r="AU269">
        <v>0</v>
      </c>
      <c r="AV269">
        <v>0</v>
      </c>
    </row>
    <row r="270" spans="1:48" x14ac:dyDescent="0.15">
      <c r="A270" s="4" t="str">
        <f>HYPERLINK("https://ibp.a2mac1.com/costing(costing:projects/details/9760/equipment/12211069)","DC machine - General")</f>
        <v>DC machine - General</v>
      </c>
      <c r="B270">
        <v>12211069</v>
      </c>
      <c r="C270">
        <v>12083980</v>
      </c>
      <c r="E270" t="s">
        <v>738</v>
      </c>
      <c r="H270" t="s">
        <v>162</v>
      </c>
      <c r="I270">
        <v>116914.84457142858</v>
      </c>
      <c r="J270">
        <v>0</v>
      </c>
      <c r="K270">
        <v>3.6</v>
      </c>
      <c r="L270">
        <v>0</v>
      </c>
      <c r="M270">
        <v>27.497982091197134</v>
      </c>
      <c r="N270">
        <v>0</v>
      </c>
      <c r="O270">
        <v>3.0553313434663484E-2</v>
      </c>
      <c r="P270">
        <v>4.5905333333333331E-3</v>
      </c>
      <c r="Q270">
        <v>1.1732166376415484E-2</v>
      </c>
      <c r="R270">
        <v>635568</v>
      </c>
      <c r="S270">
        <v>0</v>
      </c>
      <c r="T270">
        <v>0</v>
      </c>
      <c r="V270">
        <v>10800</v>
      </c>
      <c r="W270">
        <v>7</v>
      </c>
      <c r="X270">
        <v>85</v>
      </c>
      <c r="Y270">
        <v>3</v>
      </c>
      <c r="Z270">
        <v>4</v>
      </c>
      <c r="AA270">
        <v>5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3</v>
      </c>
      <c r="AJ270">
        <v>0</v>
      </c>
      <c r="AK270">
        <v>0</v>
      </c>
      <c r="AL270">
        <v>100</v>
      </c>
      <c r="AM270">
        <v>45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100</v>
      </c>
      <c r="AU270">
        <v>0</v>
      </c>
      <c r="AV270">
        <v>0</v>
      </c>
    </row>
    <row r="271" spans="1:48" x14ac:dyDescent="0.15">
      <c r="A271" s="4" t="str">
        <f>HYPERLINK("https://ibp.a2mac1.com/costing(costing:projects/details/9760/equipment/12210956)","DC machine - General")</f>
        <v>DC machine - General</v>
      </c>
      <c r="B271">
        <v>12210956</v>
      </c>
      <c r="C271">
        <v>12083867</v>
      </c>
      <c r="E271" t="s">
        <v>738</v>
      </c>
      <c r="H271" t="s">
        <v>162</v>
      </c>
      <c r="I271">
        <v>116914.84457142858</v>
      </c>
      <c r="J271">
        <v>0</v>
      </c>
      <c r="K271">
        <v>3.6</v>
      </c>
      <c r="L271">
        <v>0</v>
      </c>
      <c r="M271">
        <v>27.497982091197134</v>
      </c>
      <c r="N271">
        <v>0</v>
      </c>
      <c r="O271">
        <v>2.2914985075997613E-2</v>
      </c>
      <c r="P271">
        <v>3.4429E-3</v>
      </c>
      <c r="Q271">
        <v>1.1732166376415484E-2</v>
      </c>
      <c r="R271">
        <v>635568</v>
      </c>
      <c r="S271">
        <v>0</v>
      </c>
      <c r="T271">
        <v>0</v>
      </c>
      <c r="V271">
        <v>10800</v>
      </c>
      <c r="W271">
        <v>7</v>
      </c>
      <c r="X271">
        <v>85</v>
      </c>
      <c r="Y271">
        <v>3</v>
      </c>
      <c r="Z271">
        <v>4</v>
      </c>
      <c r="AA271">
        <v>5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3</v>
      </c>
      <c r="AJ271">
        <v>0</v>
      </c>
      <c r="AK271">
        <v>0</v>
      </c>
      <c r="AL271">
        <v>100</v>
      </c>
      <c r="AM271">
        <v>45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100</v>
      </c>
      <c r="AU271">
        <v>0</v>
      </c>
      <c r="AV271">
        <v>0</v>
      </c>
    </row>
    <row r="272" spans="1:48" x14ac:dyDescent="0.15">
      <c r="A272" s="4" t="str">
        <f>HYPERLINK("https://ibp.a2mac1.com/costing(costing:projects/details/9760/equipment/12210957)","DC machine - General")</f>
        <v>DC machine - General</v>
      </c>
      <c r="B272">
        <v>12210957</v>
      </c>
      <c r="C272">
        <v>12083868</v>
      </c>
      <c r="E272" t="s">
        <v>738</v>
      </c>
      <c r="H272" t="s">
        <v>162</v>
      </c>
      <c r="I272">
        <v>116914.84457142858</v>
      </c>
      <c r="J272">
        <v>0</v>
      </c>
      <c r="K272">
        <v>3.6</v>
      </c>
      <c r="L272">
        <v>0</v>
      </c>
      <c r="M272">
        <v>27.497982091197134</v>
      </c>
      <c r="N272">
        <v>0</v>
      </c>
      <c r="O272">
        <v>7.6383283586658711E-3</v>
      </c>
      <c r="P272">
        <v>1.1476333333333333E-3</v>
      </c>
      <c r="Q272">
        <v>1.1732166376415484E-2</v>
      </c>
      <c r="R272">
        <v>635568</v>
      </c>
      <c r="S272">
        <v>0</v>
      </c>
      <c r="T272">
        <v>0</v>
      </c>
      <c r="V272">
        <v>10800</v>
      </c>
      <c r="W272">
        <v>7</v>
      </c>
      <c r="X272">
        <v>85</v>
      </c>
      <c r="Y272">
        <v>3</v>
      </c>
      <c r="Z272">
        <v>4</v>
      </c>
      <c r="AA272">
        <v>5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3</v>
      </c>
      <c r="AJ272">
        <v>0</v>
      </c>
      <c r="AK272">
        <v>0</v>
      </c>
      <c r="AL272">
        <v>100</v>
      </c>
      <c r="AM272">
        <v>45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100</v>
      </c>
      <c r="AU272">
        <v>0</v>
      </c>
      <c r="AV272">
        <v>0</v>
      </c>
    </row>
    <row r="273" spans="1:48" x14ac:dyDescent="0.15">
      <c r="A273" s="4" t="str">
        <f>HYPERLINK("https://ibp.a2mac1.com/costing(costing:projects/details/9760/equipment/12210958)","DC machine - General")</f>
        <v>DC machine - General</v>
      </c>
      <c r="B273">
        <v>12210958</v>
      </c>
      <c r="C273">
        <v>12083869</v>
      </c>
      <c r="E273" t="s">
        <v>738</v>
      </c>
      <c r="H273" t="s">
        <v>162</v>
      </c>
      <c r="I273">
        <v>116914.84457142858</v>
      </c>
      <c r="J273">
        <v>0</v>
      </c>
      <c r="K273">
        <v>3.6</v>
      </c>
      <c r="L273">
        <v>0</v>
      </c>
      <c r="M273">
        <v>27.497982091197134</v>
      </c>
      <c r="N273">
        <v>0</v>
      </c>
      <c r="O273">
        <v>7.6383283586658711E-3</v>
      </c>
      <c r="P273">
        <v>1.1476333333333333E-3</v>
      </c>
      <c r="Q273">
        <v>1.1732166376415484E-2</v>
      </c>
      <c r="R273">
        <v>635568</v>
      </c>
      <c r="S273">
        <v>0</v>
      </c>
      <c r="T273">
        <v>0</v>
      </c>
      <c r="V273">
        <v>10800</v>
      </c>
      <c r="W273">
        <v>7</v>
      </c>
      <c r="X273">
        <v>85</v>
      </c>
      <c r="Y273">
        <v>3</v>
      </c>
      <c r="Z273">
        <v>4</v>
      </c>
      <c r="AA273">
        <v>5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3</v>
      </c>
      <c r="AJ273">
        <v>0</v>
      </c>
      <c r="AK273">
        <v>0</v>
      </c>
      <c r="AL273">
        <v>100</v>
      </c>
      <c r="AM273">
        <v>45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100</v>
      </c>
      <c r="AU273">
        <v>0</v>
      </c>
      <c r="AV273">
        <v>0</v>
      </c>
    </row>
    <row r="274" spans="1:48" x14ac:dyDescent="0.15">
      <c r="A274" s="4" t="str">
        <f>HYPERLINK("https://ibp.a2mac1.com/costing(costing:projects/details/9760/equipment/12210959)","DC machine - General")</f>
        <v>DC machine - General</v>
      </c>
      <c r="B274">
        <v>12210959</v>
      </c>
      <c r="C274">
        <v>12083870</v>
      </c>
      <c r="E274" t="s">
        <v>738</v>
      </c>
      <c r="H274" t="s">
        <v>162</v>
      </c>
      <c r="I274">
        <v>116914.84457142858</v>
      </c>
      <c r="J274">
        <v>0</v>
      </c>
      <c r="K274">
        <v>3.6</v>
      </c>
      <c r="L274">
        <v>0</v>
      </c>
      <c r="M274">
        <v>27.497982091197134</v>
      </c>
      <c r="N274">
        <v>0</v>
      </c>
      <c r="O274">
        <v>7.6383283586658711E-3</v>
      </c>
      <c r="P274">
        <v>1.1476333333333333E-3</v>
      </c>
      <c r="Q274">
        <v>1.1732166376415484E-2</v>
      </c>
      <c r="R274">
        <v>635568</v>
      </c>
      <c r="S274">
        <v>0</v>
      </c>
      <c r="T274">
        <v>0</v>
      </c>
      <c r="V274">
        <v>10800</v>
      </c>
      <c r="W274">
        <v>7</v>
      </c>
      <c r="X274">
        <v>85</v>
      </c>
      <c r="Y274">
        <v>3</v>
      </c>
      <c r="Z274">
        <v>4</v>
      </c>
      <c r="AA274">
        <v>5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3</v>
      </c>
      <c r="AJ274">
        <v>0</v>
      </c>
      <c r="AK274">
        <v>0</v>
      </c>
      <c r="AL274">
        <v>100</v>
      </c>
      <c r="AM274">
        <v>45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100</v>
      </c>
      <c r="AU274">
        <v>0</v>
      </c>
      <c r="AV274">
        <v>0</v>
      </c>
    </row>
    <row r="275" spans="1:48" x14ac:dyDescent="0.15">
      <c r="A275" s="4" t="str">
        <f>HYPERLINK("https://ibp.a2mac1.com/costing(costing:projects/details/9760/equipment/12210960)","DC machine - General")</f>
        <v>DC machine - General</v>
      </c>
      <c r="B275">
        <v>12210960</v>
      </c>
      <c r="C275">
        <v>12083871</v>
      </c>
      <c r="E275" t="s">
        <v>738</v>
      </c>
      <c r="H275" t="s">
        <v>162</v>
      </c>
      <c r="I275">
        <v>116914.84457142858</v>
      </c>
      <c r="J275">
        <v>0</v>
      </c>
      <c r="K275">
        <v>3.6</v>
      </c>
      <c r="L275">
        <v>0</v>
      </c>
      <c r="M275">
        <v>27.497982091197134</v>
      </c>
      <c r="N275">
        <v>0</v>
      </c>
      <c r="O275">
        <v>7.6383283586658711E-3</v>
      </c>
      <c r="P275">
        <v>1.1476333333333333E-3</v>
      </c>
      <c r="Q275">
        <v>1.1732166376415484E-2</v>
      </c>
      <c r="R275">
        <v>635568</v>
      </c>
      <c r="S275">
        <v>0</v>
      </c>
      <c r="T275">
        <v>0</v>
      </c>
      <c r="V275">
        <v>10800</v>
      </c>
      <c r="W275">
        <v>7</v>
      </c>
      <c r="X275">
        <v>85</v>
      </c>
      <c r="Y275">
        <v>3</v>
      </c>
      <c r="Z275">
        <v>4</v>
      </c>
      <c r="AA275">
        <v>5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3</v>
      </c>
      <c r="AJ275">
        <v>0</v>
      </c>
      <c r="AK275">
        <v>0</v>
      </c>
      <c r="AL275">
        <v>100</v>
      </c>
      <c r="AM275">
        <v>45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100</v>
      </c>
      <c r="AU275">
        <v>0</v>
      </c>
      <c r="AV275">
        <v>0</v>
      </c>
    </row>
    <row r="276" spans="1:48" x14ac:dyDescent="0.15">
      <c r="A276" s="4" t="str">
        <f>HYPERLINK("https://ibp.a2mac1.com/costing(costing:projects/details/9760/equipment/12211070)","DC machine - General")</f>
        <v>DC machine - General</v>
      </c>
      <c r="B276">
        <v>12211070</v>
      </c>
      <c r="C276">
        <v>12083981</v>
      </c>
      <c r="E276" t="s">
        <v>738</v>
      </c>
      <c r="H276" t="s">
        <v>162</v>
      </c>
      <c r="I276">
        <v>116914.84457142858</v>
      </c>
      <c r="J276">
        <v>0</v>
      </c>
      <c r="K276">
        <v>3.6</v>
      </c>
      <c r="L276">
        <v>0</v>
      </c>
      <c r="M276">
        <v>27.497982091197134</v>
      </c>
      <c r="N276">
        <v>0</v>
      </c>
      <c r="O276">
        <v>3.0553313434663484E-2</v>
      </c>
      <c r="P276">
        <v>4.5905333333333331E-3</v>
      </c>
      <c r="Q276">
        <v>1.1732166376415484E-2</v>
      </c>
      <c r="R276">
        <v>635568</v>
      </c>
      <c r="S276">
        <v>0</v>
      </c>
      <c r="T276">
        <v>0</v>
      </c>
      <c r="V276">
        <v>10800</v>
      </c>
      <c r="W276">
        <v>7</v>
      </c>
      <c r="X276">
        <v>85</v>
      </c>
      <c r="Y276">
        <v>3</v>
      </c>
      <c r="Z276">
        <v>4</v>
      </c>
      <c r="AA276">
        <v>5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3</v>
      </c>
      <c r="AJ276">
        <v>0</v>
      </c>
      <c r="AK276">
        <v>0</v>
      </c>
      <c r="AL276">
        <v>100</v>
      </c>
      <c r="AM276">
        <v>45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100</v>
      </c>
      <c r="AU276">
        <v>0</v>
      </c>
      <c r="AV276">
        <v>0</v>
      </c>
    </row>
    <row r="277" spans="1:48" x14ac:dyDescent="0.15">
      <c r="A277" s="4" t="str">
        <f>HYPERLINK("https://ibp.a2mac1.com/costing(costing:projects/details/9760/equipment/12210961)","DC machine - General")</f>
        <v>DC machine - General</v>
      </c>
      <c r="B277">
        <v>12210961</v>
      </c>
      <c r="C277">
        <v>12083872</v>
      </c>
      <c r="E277" t="s">
        <v>738</v>
      </c>
      <c r="H277" t="s">
        <v>162</v>
      </c>
      <c r="I277">
        <v>116914.84457142858</v>
      </c>
      <c r="J277">
        <v>0</v>
      </c>
      <c r="K277">
        <v>3.6</v>
      </c>
      <c r="L277">
        <v>0</v>
      </c>
      <c r="M277">
        <v>27.497982091197134</v>
      </c>
      <c r="N277">
        <v>0</v>
      </c>
      <c r="O277">
        <v>0.88604608960524101</v>
      </c>
      <c r="P277">
        <v>0.13312546666666666</v>
      </c>
      <c r="Q277">
        <v>1.1732166376415484E-2</v>
      </c>
      <c r="R277">
        <v>635568</v>
      </c>
      <c r="S277">
        <v>0</v>
      </c>
      <c r="T277">
        <v>0</v>
      </c>
      <c r="V277">
        <v>10800</v>
      </c>
      <c r="W277">
        <v>7</v>
      </c>
      <c r="X277">
        <v>85</v>
      </c>
      <c r="Y277">
        <v>3</v>
      </c>
      <c r="Z277">
        <v>4</v>
      </c>
      <c r="AA277">
        <v>5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3</v>
      </c>
      <c r="AJ277">
        <v>0</v>
      </c>
      <c r="AK277">
        <v>0</v>
      </c>
      <c r="AL277">
        <v>100</v>
      </c>
      <c r="AM277">
        <v>45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100</v>
      </c>
      <c r="AU277">
        <v>0</v>
      </c>
      <c r="AV277">
        <v>0</v>
      </c>
    </row>
    <row r="278" spans="1:48" x14ac:dyDescent="0.15">
      <c r="A278" s="4" t="str">
        <f>HYPERLINK("https://ibp.a2mac1.com/costing(costing:projects/details/9760/equipment/12210962)","DC machine - General")</f>
        <v>DC machine - General</v>
      </c>
      <c r="B278">
        <v>12210962</v>
      </c>
      <c r="C278">
        <v>12083873</v>
      </c>
      <c r="E278" t="s">
        <v>738</v>
      </c>
      <c r="H278" t="s">
        <v>162</v>
      </c>
      <c r="I278">
        <v>116914.84457142858</v>
      </c>
      <c r="J278">
        <v>0</v>
      </c>
      <c r="K278">
        <v>3.6</v>
      </c>
      <c r="L278">
        <v>0</v>
      </c>
      <c r="M278">
        <v>27.497982091197134</v>
      </c>
      <c r="N278">
        <v>0</v>
      </c>
      <c r="O278">
        <v>1.1381109254412147</v>
      </c>
      <c r="P278">
        <v>0.17099736666666668</v>
      </c>
      <c r="Q278">
        <v>1.1732166376415484E-2</v>
      </c>
      <c r="R278">
        <v>635568</v>
      </c>
      <c r="S278">
        <v>0</v>
      </c>
      <c r="T278">
        <v>0</v>
      </c>
      <c r="V278">
        <v>10800</v>
      </c>
      <c r="W278">
        <v>7</v>
      </c>
      <c r="X278">
        <v>85</v>
      </c>
      <c r="Y278">
        <v>3</v>
      </c>
      <c r="Z278">
        <v>4</v>
      </c>
      <c r="AA278">
        <v>5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3</v>
      </c>
      <c r="AJ278">
        <v>0</v>
      </c>
      <c r="AK278">
        <v>0</v>
      </c>
      <c r="AL278">
        <v>100</v>
      </c>
      <c r="AM278">
        <v>45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100</v>
      </c>
      <c r="AU278">
        <v>0</v>
      </c>
      <c r="AV278">
        <v>0</v>
      </c>
    </row>
    <row r="279" spans="1:48" x14ac:dyDescent="0.15">
      <c r="A279" s="4" t="str">
        <f>HYPERLINK("https://ibp.a2mac1.com/costing(costing:projects/details/9760/equipment/12210721)","DC machine - General")</f>
        <v>DC machine - General</v>
      </c>
      <c r="B279">
        <v>12210721</v>
      </c>
      <c r="C279">
        <v>12083816</v>
      </c>
      <c r="E279" t="s">
        <v>738</v>
      </c>
      <c r="H279" t="s">
        <v>162</v>
      </c>
      <c r="I279">
        <v>116914.84457142858</v>
      </c>
      <c r="J279">
        <v>0</v>
      </c>
      <c r="K279">
        <v>3.6</v>
      </c>
      <c r="L279">
        <v>0</v>
      </c>
      <c r="M279">
        <v>27.497982091197134</v>
      </c>
      <c r="N279">
        <v>0</v>
      </c>
      <c r="O279">
        <v>2.2914985075997613E-2</v>
      </c>
      <c r="P279">
        <v>3.4429E-3</v>
      </c>
      <c r="Q279">
        <v>1.1732166376415484E-2</v>
      </c>
      <c r="R279">
        <v>635568</v>
      </c>
      <c r="S279">
        <v>0</v>
      </c>
      <c r="T279">
        <v>0</v>
      </c>
      <c r="V279">
        <v>10800</v>
      </c>
      <c r="W279">
        <v>7</v>
      </c>
      <c r="X279">
        <v>85</v>
      </c>
      <c r="Y279">
        <v>3</v>
      </c>
      <c r="Z279">
        <v>4</v>
      </c>
      <c r="AA279">
        <v>5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3</v>
      </c>
      <c r="AJ279">
        <v>0</v>
      </c>
      <c r="AK279">
        <v>0</v>
      </c>
      <c r="AL279">
        <v>100</v>
      </c>
      <c r="AM279">
        <v>45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100</v>
      </c>
      <c r="AU279">
        <v>0</v>
      </c>
      <c r="AV279">
        <v>0</v>
      </c>
    </row>
    <row r="280" spans="1:48" x14ac:dyDescent="0.15">
      <c r="A280" s="4" t="str">
        <f>HYPERLINK("https://ibp.a2mac1.com/costing(costing:projects/details/9760/equipment/12210722)","DC machine - General")</f>
        <v>DC machine - General</v>
      </c>
      <c r="B280">
        <v>12210722</v>
      </c>
      <c r="C280">
        <v>12083817</v>
      </c>
      <c r="E280" t="s">
        <v>738</v>
      </c>
      <c r="H280" t="s">
        <v>162</v>
      </c>
      <c r="I280">
        <v>116914.84457142858</v>
      </c>
      <c r="J280">
        <v>0</v>
      </c>
      <c r="K280">
        <v>3.6</v>
      </c>
      <c r="L280">
        <v>0</v>
      </c>
      <c r="M280">
        <v>27.497982091197134</v>
      </c>
      <c r="N280">
        <v>0</v>
      </c>
      <c r="O280">
        <v>0.19859653732531263</v>
      </c>
      <c r="P280">
        <v>2.9838466666666667E-2</v>
      </c>
      <c r="Q280">
        <v>1.1732166376415484E-2</v>
      </c>
      <c r="R280">
        <v>635568</v>
      </c>
      <c r="S280">
        <v>0</v>
      </c>
      <c r="T280">
        <v>0</v>
      </c>
      <c r="V280">
        <v>10800</v>
      </c>
      <c r="W280">
        <v>7</v>
      </c>
      <c r="X280">
        <v>85</v>
      </c>
      <c r="Y280">
        <v>3</v>
      </c>
      <c r="Z280">
        <v>4</v>
      </c>
      <c r="AA280">
        <v>5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3</v>
      </c>
      <c r="AJ280">
        <v>0</v>
      </c>
      <c r="AK280">
        <v>0</v>
      </c>
      <c r="AL280">
        <v>100</v>
      </c>
      <c r="AM280">
        <v>45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100</v>
      </c>
      <c r="AU280">
        <v>0</v>
      </c>
      <c r="AV280">
        <v>0</v>
      </c>
    </row>
    <row r="281" spans="1:48" x14ac:dyDescent="0.15">
      <c r="A281" s="4" t="str">
        <f>HYPERLINK("https://ibp.a2mac1.com/costing(costing:projects/details/9760/equipment/12210682)","DC machine - General")</f>
        <v>DC machine - General</v>
      </c>
      <c r="B281">
        <v>12210682</v>
      </c>
      <c r="C281">
        <v>12083745</v>
      </c>
      <c r="E281" t="s">
        <v>738</v>
      </c>
      <c r="H281" t="s">
        <v>162</v>
      </c>
      <c r="I281">
        <v>116914.84457142858</v>
      </c>
      <c r="J281">
        <v>0</v>
      </c>
      <c r="K281">
        <v>3.6</v>
      </c>
      <c r="L281">
        <v>0</v>
      </c>
      <c r="M281">
        <v>27.497982091197134</v>
      </c>
      <c r="N281">
        <v>0</v>
      </c>
      <c r="O281">
        <v>6.6835373138326366</v>
      </c>
      <c r="P281">
        <v>1.0041791666666666</v>
      </c>
      <c r="Q281">
        <v>1.9553610627359139E-2</v>
      </c>
      <c r="R281">
        <v>635568</v>
      </c>
      <c r="S281">
        <v>0</v>
      </c>
      <c r="T281">
        <v>0</v>
      </c>
      <c r="V281">
        <v>10800</v>
      </c>
      <c r="W281">
        <v>7</v>
      </c>
      <c r="X281">
        <v>85</v>
      </c>
      <c r="Y281">
        <v>3</v>
      </c>
      <c r="Z281">
        <v>4</v>
      </c>
      <c r="AA281">
        <v>5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3</v>
      </c>
      <c r="AJ281">
        <v>0</v>
      </c>
      <c r="AK281">
        <v>0</v>
      </c>
      <c r="AL281">
        <v>100</v>
      </c>
      <c r="AM281">
        <v>45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100</v>
      </c>
      <c r="AU281">
        <v>0</v>
      </c>
      <c r="AV281">
        <v>0</v>
      </c>
    </row>
    <row r="282" spans="1:48" x14ac:dyDescent="0.15">
      <c r="A282" s="4" t="str">
        <f>HYPERLINK("https://ibp.a2mac1.com/costing(costing:projects/details/9760/equipment/12211071)","DC machine - General")</f>
        <v>DC machine - General</v>
      </c>
      <c r="B282">
        <v>12211071</v>
      </c>
      <c r="C282">
        <v>12083982</v>
      </c>
      <c r="E282" t="s">
        <v>738</v>
      </c>
      <c r="H282" t="s">
        <v>162</v>
      </c>
      <c r="I282">
        <v>116914.84457142858</v>
      </c>
      <c r="J282">
        <v>0</v>
      </c>
      <c r="K282">
        <v>3.6</v>
      </c>
      <c r="L282">
        <v>0</v>
      </c>
      <c r="M282">
        <v>27.497982091197134</v>
      </c>
      <c r="N282">
        <v>0</v>
      </c>
      <c r="O282">
        <v>0.74855617914925532</v>
      </c>
      <c r="P282">
        <v>0.11246806666666667</v>
      </c>
      <c r="Q282">
        <v>1.1732166376415484E-2</v>
      </c>
      <c r="R282">
        <v>635568</v>
      </c>
      <c r="S282">
        <v>0</v>
      </c>
      <c r="T282">
        <v>0</v>
      </c>
      <c r="V282">
        <v>10800</v>
      </c>
      <c r="W282">
        <v>7</v>
      </c>
      <c r="X282">
        <v>85</v>
      </c>
      <c r="Y282">
        <v>3</v>
      </c>
      <c r="Z282">
        <v>4</v>
      </c>
      <c r="AA282">
        <v>5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3</v>
      </c>
      <c r="AJ282">
        <v>0</v>
      </c>
      <c r="AK282">
        <v>0</v>
      </c>
      <c r="AL282">
        <v>100</v>
      </c>
      <c r="AM282">
        <v>45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100</v>
      </c>
      <c r="AU282">
        <v>0</v>
      </c>
      <c r="AV282">
        <v>0</v>
      </c>
    </row>
    <row r="283" spans="1:48" x14ac:dyDescent="0.15">
      <c r="A283" s="4" t="str">
        <f>HYPERLINK("https://ibp.a2mac1.com/costing(costing:projects/details/9760/equipment/12211072)","DC machine - General")</f>
        <v>DC machine - General</v>
      </c>
      <c r="B283">
        <v>12211072</v>
      </c>
      <c r="C283">
        <v>12083983</v>
      </c>
      <c r="E283" t="s">
        <v>738</v>
      </c>
      <c r="H283" t="s">
        <v>162</v>
      </c>
      <c r="I283">
        <v>116914.84457142858</v>
      </c>
      <c r="J283">
        <v>0</v>
      </c>
      <c r="K283">
        <v>3.6</v>
      </c>
      <c r="L283">
        <v>0</v>
      </c>
      <c r="M283">
        <v>27.497982091197134</v>
      </c>
      <c r="N283">
        <v>0</v>
      </c>
      <c r="O283">
        <v>4.5829970151995227E-2</v>
      </c>
      <c r="P283">
        <v>6.8858000000000001E-3</v>
      </c>
      <c r="Q283">
        <v>1.1732166376415484E-2</v>
      </c>
      <c r="R283">
        <v>635568</v>
      </c>
      <c r="S283">
        <v>0</v>
      </c>
      <c r="T283">
        <v>0</v>
      </c>
      <c r="V283">
        <v>10800</v>
      </c>
      <c r="W283">
        <v>7</v>
      </c>
      <c r="X283">
        <v>85</v>
      </c>
      <c r="Y283">
        <v>3</v>
      </c>
      <c r="Z283">
        <v>4</v>
      </c>
      <c r="AA283">
        <v>5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3</v>
      </c>
      <c r="AJ283">
        <v>0</v>
      </c>
      <c r="AK283">
        <v>0</v>
      </c>
      <c r="AL283">
        <v>100</v>
      </c>
      <c r="AM283">
        <v>45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100</v>
      </c>
      <c r="AU283">
        <v>0</v>
      </c>
      <c r="AV283">
        <v>0</v>
      </c>
    </row>
    <row r="284" spans="1:48" x14ac:dyDescent="0.15">
      <c r="A284" s="4" t="str">
        <f>HYPERLINK("https://ibp.a2mac1.com/costing(costing:projects/details/9760/equipment/12211073)","DC machine - General")</f>
        <v>DC machine - General</v>
      </c>
      <c r="B284">
        <v>12211073</v>
      </c>
      <c r="C284">
        <v>12083984</v>
      </c>
      <c r="E284" t="s">
        <v>738</v>
      </c>
      <c r="H284" t="s">
        <v>162</v>
      </c>
      <c r="I284">
        <v>116914.84457142858</v>
      </c>
      <c r="J284">
        <v>0</v>
      </c>
      <c r="K284">
        <v>3.6</v>
      </c>
      <c r="L284">
        <v>0</v>
      </c>
      <c r="M284">
        <v>27.497982091197134</v>
      </c>
      <c r="N284">
        <v>0</v>
      </c>
      <c r="O284">
        <v>0.53468298510661094</v>
      </c>
      <c r="P284">
        <v>8.0334333333333327E-2</v>
      </c>
      <c r="Q284">
        <v>1.1732166376415484E-2</v>
      </c>
      <c r="R284">
        <v>635568</v>
      </c>
      <c r="S284">
        <v>0</v>
      </c>
      <c r="T284">
        <v>0</v>
      </c>
      <c r="V284">
        <v>10800</v>
      </c>
      <c r="W284">
        <v>7</v>
      </c>
      <c r="X284">
        <v>85</v>
      </c>
      <c r="Y284">
        <v>3</v>
      </c>
      <c r="Z284">
        <v>4</v>
      </c>
      <c r="AA284">
        <v>5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3</v>
      </c>
      <c r="AJ284">
        <v>0</v>
      </c>
      <c r="AK284">
        <v>0</v>
      </c>
      <c r="AL284">
        <v>100</v>
      </c>
      <c r="AM284">
        <v>45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100</v>
      </c>
      <c r="AU284">
        <v>0</v>
      </c>
      <c r="AV284">
        <v>0</v>
      </c>
    </row>
    <row r="285" spans="1:48" x14ac:dyDescent="0.15">
      <c r="A285" s="4" t="str">
        <f>HYPERLINK("https://ibp.a2mac1.com/costing(costing:projects/details/9760/equipment/12211105)","DC machine - General")</f>
        <v>DC machine - General</v>
      </c>
      <c r="B285">
        <v>12211105</v>
      </c>
      <c r="C285">
        <v>12084016</v>
      </c>
      <c r="E285" t="s">
        <v>738</v>
      </c>
      <c r="H285" t="s">
        <v>162</v>
      </c>
      <c r="I285">
        <v>116914.84457142858</v>
      </c>
      <c r="J285">
        <v>0</v>
      </c>
      <c r="K285">
        <v>3.6</v>
      </c>
      <c r="L285">
        <v>0</v>
      </c>
      <c r="M285">
        <v>27.497982091197134</v>
      </c>
      <c r="N285">
        <v>0</v>
      </c>
      <c r="O285">
        <v>7.6383283586658711E-3</v>
      </c>
      <c r="P285">
        <v>1.1476333333333333E-3</v>
      </c>
      <c r="Q285">
        <v>1.1732166376415484E-2</v>
      </c>
      <c r="R285">
        <v>635568</v>
      </c>
      <c r="S285">
        <v>0</v>
      </c>
      <c r="T285">
        <v>0</v>
      </c>
      <c r="V285">
        <v>10800</v>
      </c>
      <c r="W285">
        <v>7</v>
      </c>
      <c r="X285">
        <v>85</v>
      </c>
      <c r="Y285">
        <v>3</v>
      </c>
      <c r="Z285">
        <v>4</v>
      </c>
      <c r="AA285">
        <v>5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3</v>
      </c>
      <c r="AJ285">
        <v>0</v>
      </c>
      <c r="AK285">
        <v>0</v>
      </c>
      <c r="AL285">
        <v>100</v>
      </c>
      <c r="AM285">
        <v>45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100</v>
      </c>
      <c r="AU285">
        <v>0</v>
      </c>
      <c r="AV285">
        <v>0</v>
      </c>
    </row>
    <row r="286" spans="1:48" x14ac:dyDescent="0.15">
      <c r="A286" s="4" t="str">
        <f>HYPERLINK("https://ibp.a2mac1.com/costing(costing:projects/details/9760/equipment/12211106)","DC machine - General")</f>
        <v>DC machine - General</v>
      </c>
      <c r="B286">
        <v>12211106</v>
      </c>
      <c r="C286">
        <v>12084017</v>
      </c>
      <c r="E286" t="s">
        <v>738</v>
      </c>
      <c r="H286" t="s">
        <v>162</v>
      </c>
      <c r="I286">
        <v>116914.84457142858</v>
      </c>
      <c r="J286">
        <v>0</v>
      </c>
      <c r="K286">
        <v>3.6</v>
      </c>
      <c r="L286">
        <v>0</v>
      </c>
      <c r="M286">
        <v>27.497982091197134</v>
      </c>
      <c r="N286">
        <v>0</v>
      </c>
      <c r="O286">
        <v>7.6383283586658711E-3</v>
      </c>
      <c r="P286">
        <v>1.1476333333333333E-3</v>
      </c>
      <c r="Q286">
        <v>1.1732166376415484E-2</v>
      </c>
      <c r="R286">
        <v>635568</v>
      </c>
      <c r="S286">
        <v>0</v>
      </c>
      <c r="T286">
        <v>0</v>
      </c>
      <c r="V286">
        <v>10800</v>
      </c>
      <c r="W286">
        <v>7</v>
      </c>
      <c r="X286">
        <v>85</v>
      </c>
      <c r="Y286">
        <v>3</v>
      </c>
      <c r="Z286">
        <v>4</v>
      </c>
      <c r="AA286">
        <v>5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3</v>
      </c>
      <c r="AJ286">
        <v>0</v>
      </c>
      <c r="AK286">
        <v>0</v>
      </c>
      <c r="AL286">
        <v>100</v>
      </c>
      <c r="AM286">
        <v>45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100</v>
      </c>
      <c r="AU286">
        <v>0</v>
      </c>
      <c r="AV286">
        <v>0</v>
      </c>
    </row>
    <row r="287" spans="1:48" x14ac:dyDescent="0.15">
      <c r="A287" s="4" t="str">
        <f>HYPERLINK("https://ibp.a2mac1.com/costing(costing:projects/details/9760/equipment/12211123)","DC machine - General")</f>
        <v>DC machine - General</v>
      </c>
      <c r="B287">
        <v>12211123</v>
      </c>
      <c r="C287">
        <v>12084034</v>
      </c>
      <c r="E287" t="s">
        <v>738</v>
      </c>
      <c r="H287" t="s">
        <v>162</v>
      </c>
      <c r="I287">
        <v>116914.84457142858</v>
      </c>
      <c r="J287">
        <v>0</v>
      </c>
      <c r="K287">
        <v>3.6</v>
      </c>
      <c r="L287">
        <v>0</v>
      </c>
      <c r="M287">
        <v>27.497982091197134</v>
      </c>
      <c r="N287">
        <v>0</v>
      </c>
      <c r="O287">
        <v>1.5276656717331742E-2</v>
      </c>
      <c r="P287">
        <v>2.2952666666666665E-3</v>
      </c>
      <c r="Q287">
        <v>1.1732166376415484E-2</v>
      </c>
      <c r="R287">
        <v>635568</v>
      </c>
      <c r="S287">
        <v>0</v>
      </c>
      <c r="T287">
        <v>0</v>
      </c>
      <c r="V287">
        <v>10800</v>
      </c>
      <c r="W287">
        <v>7</v>
      </c>
      <c r="X287">
        <v>85</v>
      </c>
      <c r="Y287">
        <v>3</v>
      </c>
      <c r="Z287">
        <v>4</v>
      </c>
      <c r="AA287">
        <v>5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3</v>
      </c>
      <c r="AJ287">
        <v>0</v>
      </c>
      <c r="AK287">
        <v>0</v>
      </c>
      <c r="AL287">
        <v>100</v>
      </c>
      <c r="AM287">
        <v>45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100</v>
      </c>
      <c r="AU287">
        <v>0</v>
      </c>
      <c r="AV287">
        <v>0</v>
      </c>
    </row>
    <row r="288" spans="1:48" x14ac:dyDescent="0.15">
      <c r="A288" s="4" t="str">
        <f>HYPERLINK("https://ibp.a2mac1.com/costing(costing:projects/details/9760/equipment/12211124)","DC machine - General")</f>
        <v>DC machine - General</v>
      </c>
      <c r="B288">
        <v>12211124</v>
      </c>
      <c r="C288">
        <v>12084035</v>
      </c>
      <c r="E288" t="s">
        <v>738</v>
      </c>
      <c r="H288" t="s">
        <v>162</v>
      </c>
      <c r="I288">
        <v>116914.84457142858</v>
      </c>
      <c r="J288">
        <v>0</v>
      </c>
      <c r="K288">
        <v>3.6</v>
      </c>
      <c r="L288">
        <v>0</v>
      </c>
      <c r="M288">
        <v>27.497982091197134</v>
      </c>
      <c r="N288">
        <v>0</v>
      </c>
      <c r="O288">
        <v>2.2914985075997613E-2</v>
      </c>
      <c r="P288">
        <v>3.4429E-3</v>
      </c>
      <c r="Q288">
        <v>1.1732166376415484E-2</v>
      </c>
      <c r="R288">
        <v>635568</v>
      </c>
      <c r="S288">
        <v>0</v>
      </c>
      <c r="T288">
        <v>0</v>
      </c>
      <c r="V288">
        <v>10800</v>
      </c>
      <c r="W288">
        <v>7</v>
      </c>
      <c r="X288">
        <v>85</v>
      </c>
      <c r="Y288">
        <v>3</v>
      </c>
      <c r="Z288">
        <v>4</v>
      </c>
      <c r="AA288">
        <v>5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3</v>
      </c>
      <c r="AJ288">
        <v>0</v>
      </c>
      <c r="AK288">
        <v>0</v>
      </c>
      <c r="AL288">
        <v>100</v>
      </c>
      <c r="AM288">
        <v>45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100</v>
      </c>
      <c r="AU288">
        <v>0</v>
      </c>
      <c r="AV288">
        <v>0</v>
      </c>
    </row>
    <row r="289" spans="1:48" x14ac:dyDescent="0.15">
      <c r="A289" s="4" t="str">
        <f>HYPERLINK("https://ibp.a2mac1.com/costing(costing:projects/details/9760/equipment/12211125)","DC machine - General")</f>
        <v>DC machine - General</v>
      </c>
      <c r="B289">
        <v>12211125</v>
      </c>
      <c r="C289">
        <v>12084036</v>
      </c>
      <c r="E289" t="s">
        <v>738</v>
      </c>
      <c r="H289" t="s">
        <v>162</v>
      </c>
      <c r="I289">
        <v>116914.84457142858</v>
      </c>
      <c r="J289">
        <v>0</v>
      </c>
      <c r="K289">
        <v>3.6</v>
      </c>
      <c r="L289">
        <v>0</v>
      </c>
      <c r="M289">
        <v>27.497982091197134</v>
      </c>
      <c r="N289">
        <v>0</v>
      </c>
      <c r="O289">
        <v>7.6383283586658704E-2</v>
      </c>
      <c r="P289">
        <v>1.1476333333333333E-2</v>
      </c>
      <c r="Q289">
        <v>1.1732166376415484E-2</v>
      </c>
      <c r="R289">
        <v>635568</v>
      </c>
      <c r="S289">
        <v>0</v>
      </c>
      <c r="T289">
        <v>0</v>
      </c>
      <c r="V289">
        <v>10800</v>
      </c>
      <c r="W289">
        <v>7</v>
      </c>
      <c r="X289">
        <v>85</v>
      </c>
      <c r="Y289">
        <v>3</v>
      </c>
      <c r="Z289">
        <v>4</v>
      </c>
      <c r="AA289">
        <v>5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3</v>
      </c>
      <c r="AJ289">
        <v>0</v>
      </c>
      <c r="AK289">
        <v>0</v>
      </c>
      <c r="AL289">
        <v>100</v>
      </c>
      <c r="AM289">
        <v>45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100</v>
      </c>
      <c r="AU289">
        <v>0</v>
      </c>
      <c r="AV289">
        <v>0</v>
      </c>
    </row>
    <row r="290" spans="1:48" x14ac:dyDescent="0.15">
      <c r="A290" s="4" t="str">
        <f>HYPERLINK("https://ibp.a2mac1.com/costing(costing:projects/details/9760/equipment/12211074)","DC machine - General")</f>
        <v>DC machine - General</v>
      </c>
      <c r="B290">
        <v>12211074</v>
      </c>
      <c r="C290">
        <v>12083985</v>
      </c>
      <c r="E290" t="s">
        <v>738</v>
      </c>
      <c r="H290" t="s">
        <v>162</v>
      </c>
      <c r="I290">
        <v>116914.84457142858</v>
      </c>
      <c r="J290">
        <v>0</v>
      </c>
      <c r="K290">
        <v>3.6</v>
      </c>
      <c r="L290">
        <v>0</v>
      </c>
      <c r="M290">
        <v>27.497982091197134</v>
      </c>
      <c r="N290">
        <v>0</v>
      </c>
      <c r="O290">
        <v>2.4748183882077419</v>
      </c>
      <c r="P290">
        <v>0.37183319999999997</v>
      </c>
      <c r="Q290">
        <v>1.1732166376415484E-2</v>
      </c>
      <c r="R290">
        <v>635568</v>
      </c>
      <c r="S290">
        <v>0</v>
      </c>
      <c r="T290">
        <v>0</v>
      </c>
      <c r="V290">
        <v>10800</v>
      </c>
      <c r="W290">
        <v>7</v>
      </c>
      <c r="X290">
        <v>85</v>
      </c>
      <c r="Y290">
        <v>3</v>
      </c>
      <c r="Z290">
        <v>4</v>
      </c>
      <c r="AA290">
        <v>5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3</v>
      </c>
      <c r="AJ290">
        <v>0</v>
      </c>
      <c r="AK290">
        <v>0</v>
      </c>
      <c r="AL290">
        <v>100</v>
      </c>
      <c r="AM290">
        <v>45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100</v>
      </c>
      <c r="AU290">
        <v>0</v>
      </c>
      <c r="AV290">
        <v>0</v>
      </c>
    </row>
    <row r="291" spans="1:48" x14ac:dyDescent="0.15">
      <c r="A291" s="4" t="str">
        <f>HYPERLINK("https://ibp.a2mac1.com/costing(costing:projects/details/9760/equipment/12211075)","DC machine - General")</f>
        <v>DC machine - General</v>
      </c>
      <c r="B291">
        <v>12211075</v>
      </c>
      <c r="C291">
        <v>12083986</v>
      </c>
      <c r="E291" t="s">
        <v>738</v>
      </c>
      <c r="H291" t="s">
        <v>162</v>
      </c>
      <c r="I291">
        <v>116914.84457142858</v>
      </c>
      <c r="J291">
        <v>0</v>
      </c>
      <c r="K291">
        <v>3.6</v>
      </c>
      <c r="L291">
        <v>0</v>
      </c>
      <c r="M291">
        <v>27.497982091197134</v>
      </c>
      <c r="N291">
        <v>0</v>
      </c>
      <c r="O291">
        <v>0.74855617914925532</v>
      </c>
      <c r="P291">
        <v>0.11246806666666667</v>
      </c>
      <c r="Q291">
        <v>1.1732166376415484E-2</v>
      </c>
      <c r="R291">
        <v>635568</v>
      </c>
      <c r="S291">
        <v>0</v>
      </c>
      <c r="T291">
        <v>0</v>
      </c>
      <c r="V291">
        <v>10800</v>
      </c>
      <c r="W291">
        <v>7</v>
      </c>
      <c r="X291">
        <v>85</v>
      </c>
      <c r="Y291">
        <v>3</v>
      </c>
      <c r="Z291">
        <v>4</v>
      </c>
      <c r="AA291">
        <v>5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3</v>
      </c>
      <c r="AJ291">
        <v>0</v>
      </c>
      <c r="AK291">
        <v>0</v>
      </c>
      <c r="AL291">
        <v>100</v>
      </c>
      <c r="AM291">
        <v>45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100</v>
      </c>
      <c r="AU291">
        <v>0</v>
      </c>
      <c r="AV291">
        <v>0</v>
      </c>
    </row>
    <row r="292" spans="1:48" x14ac:dyDescent="0.15">
      <c r="A292" s="4" t="str">
        <f>HYPERLINK("https://ibp.a2mac1.com/costing(costing:projects/details/9760/equipment/12211076)","DC machine - General")</f>
        <v>DC machine - General</v>
      </c>
      <c r="B292">
        <v>12211076</v>
      </c>
      <c r="C292">
        <v>12083987</v>
      </c>
      <c r="E292" t="s">
        <v>738</v>
      </c>
      <c r="H292" t="s">
        <v>162</v>
      </c>
      <c r="I292">
        <v>116914.84457142858</v>
      </c>
      <c r="J292">
        <v>0</v>
      </c>
      <c r="K292">
        <v>3.6</v>
      </c>
      <c r="L292">
        <v>0</v>
      </c>
      <c r="M292">
        <v>27.497982091197134</v>
      </c>
      <c r="N292">
        <v>0</v>
      </c>
      <c r="O292">
        <v>5.5988946869020833</v>
      </c>
      <c r="P292">
        <v>0.84121523333333337</v>
      </c>
      <c r="Q292">
        <v>1.1732166376415484E-2</v>
      </c>
      <c r="R292">
        <v>635568</v>
      </c>
      <c r="S292">
        <v>0</v>
      </c>
      <c r="T292">
        <v>0</v>
      </c>
      <c r="V292">
        <v>10800</v>
      </c>
      <c r="W292">
        <v>7</v>
      </c>
      <c r="X292">
        <v>85</v>
      </c>
      <c r="Y292">
        <v>3</v>
      </c>
      <c r="Z292">
        <v>4</v>
      </c>
      <c r="AA292">
        <v>5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3</v>
      </c>
      <c r="AJ292">
        <v>0</v>
      </c>
      <c r="AK292">
        <v>0</v>
      </c>
      <c r="AL292">
        <v>100</v>
      </c>
      <c r="AM292">
        <v>45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100</v>
      </c>
      <c r="AU292">
        <v>0</v>
      </c>
      <c r="AV292">
        <v>0</v>
      </c>
    </row>
    <row r="293" spans="1:48" x14ac:dyDescent="0.15">
      <c r="A293" s="4" t="str">
        <f>HYPERLINK("https://ibp.a2mac1.com/costing(costing:projects/details/9760/equipment/12211077)","DC machine - General")</f>
        <v>DC machine - General</v>
      </c>
      <c r="B293">
        <v>12211077</v>
      </c>
      <c r="C293">
        <v>12083988</v>
      </c>
      <c r="E293" t="s">
        <v>738</v>
      </c>
      <c r="H293" t="s">
        <v>162</v>
      </c>
      <c r="I293">
        <v>116914.84457142858</v>
      </c>
      <c r="J293">
        <v>0</v>
      </c>
      <c r="K293">
        <v>3.6</v>
      </c>
      <c r="L293">
        <v>0</v>
      </c>
      <c r="M293">
        <v>27.497982091197134</v>
      </c>
      <c r="N293">
        <v>0</v>
      </c>
      <c r="O293">
        <v>1.2221325373865393</v>
      </c>
      <c r="P293">
        <v>0.18362133333333333</v>
      </c>
      <c r="Q293">
        <v>1.1732166376415484E-2</v>
      </c>
      <c r="R293">
        <v>635568</v>
      </c>
      <c r="S293">
        <v>0</v>
      </c>
      <c r="T293">
        <v>0</v>
      </c>
      <c r="V293">
        <v>10800</v>
      </c>
      <c r="W293">
        <v>7</v>
      </c>
      <c r="X293">
        <v>85</v>
      </c>
      <c r="Y293">
        <v>3</v>
      </c>
      <c r="Z293">
        <v>4</v>
      </c>
      <c r="AA293">
        <v>5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3</v>
      </c>
      <c r="AJ293">
        <v>0</v>
      </c>
      <c r="AK293">
        <v>0</v>
      </c>
      <c r="AL293">
        <v>100</v>
      </c>
      <c r="AM293">
        <v>45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100</v>
      </c>
      <c r="AU293">
        <v>0</v>
      </c>
      <c r="AV293">
        <v>0</v>
      </c>
    </row>
    <row r="294" spans="1:48" x14ac:dyDescent="0.15">
      <c r="A294" s="4" t="str">
        <f>HYPERLINK("https://ibp.a2mac1.com/costing(costing:projects/details/9760/equipment/12211078)","DC machine - General")</f>
        <v>DC machine - General</v>
      </c>
      <c r="B294">
        <v>12211078</v>
      </c>
      <c r="C294">
        <v>12083989</v>
      </c>
      <c r="E294" t="s">
        <v>738</v>
      </c>
      <c r="H294" t="s">
        <v>162</v>
      </c>
      <c r="I294">
        <v>116914.84457142858</v>
      </c>
      <c r="J294">
        <v>0</v>
      </c>
      <c r="K294">
        <v>3.6</v>
      </c>
      <c r="L294">
        <v>0</v>
      </c>
      <c r="M294">
        <v>27.497982091197134</v>
      </c>
      <c r="N294">
        <v>0</v>
      </c>
      <c r="O294">
        <v>3.0553313434663484E-2</v>
      </c>
      <c r="P294">
        <v>4.5905333333333331E-3</v>
      </c>
      <c r="Q294">
        <v>1.1732166376415484E-2</v>
      </c>
      <c r="R294">
        <v>635568</v>
      </c>
      <c r="S294">
        <v>0</v>
      </c>
      <c r="T294">
        <v>0</v>
      </c>
      <c r="V294">
        <v>10800</v>
      </c>
      <c r="W294">
        <v>7</v>
      </c>
      <c r="X294">
        <v>85</v>
      </c>
      <c r="Y294">
        <v>3</v>
      </c>
      <c r="Z294">
        <v>4</v>
      </c>
      <c r="AA294">
        <v>5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3</v>
      </c>
      <c r="AJ294">
        <v>0</v>
      </c>
      <c r="AK294">
        <v>0</v>
      </c>
      <c r="AL294">
        <v>100</v>
      </c>
      <c r="AM294">
        <v>45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100</v>
      </c>
      <c r="AU294">
        <v>0</v>
      </c>
      <c r="AV294">
        <v>0</v>
      </c>
    </row>
    <row r="295" spans="1:48" x14ac:dyDescent="0.15">
      <c r="A295" s="4" t="str">
        <f>HYPERLINK("https://ibp.a2mac1.com/costing(costing:projects/details/9760/equipment/12211079)","DC machine - General")</f>
        <v>DC machine - General</v>
      </c>
      <c r="B295">
        <v>12211079</v>
      </c>
      <c r="C295">
        <v>12083990</v>
      </c>
      <c r="E295" t="s">
        <v>738</v>
      </c>
      <c r="H295" t="s">
        <v>162</v>
      </c>
      <c r="I295">
        <v>116914.84457142858</v>
      </c>
      <c r="J295">
        <v>0</v>
      </c>
      <c r="K295">
        <v>3.6</v>
      </c>
      <c r="L295">
        <v>0</v>
      </c>
      <c r="M295">
        <v>27.497982091197134</v>
      </c>
      <c r="N295">
        <v>0</v>
      </c>
      <c r="O295">
        <v>7.6383283586658704E-2</v>
      </c>
      <c r="P295">
        <v>1.1476333333333333E-2</v>
      </c>
      <c r="Q295">
        <v>1.1732166376415484E-2</v>
      </c>
      <c r="R295">
        <v>635568</v>
      </c>
      <c r="S295">
        <v>0</v>
      </c>
      <c r="T295">
        <v>0</v>
      </c>
      <c r="V295">
        <v>10800</v>
      </c>
      <c r="W295">
        <v>7</v>
      </c>
      <c r="X295">
        <v>85</v>
      </c>
      <c r="Y295">
        <v>3</v>
      </c>
      <c r="Z295">
        <v>4</v>
      </c>
      <c r="AA295">
        <v>5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3</v>
      </c>
      <c r="AJ295">
        <v>0</v>
      </c>
      <c r="AK295">
        <v>0</v>
      </c>
      <c r="AL295">
        <v>100</v>
      </c>
      <c r="AM295">
        <v>45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100</v>
      </c>
      <c r="AU295">
        <v>0</v>
      </c>
      <c r="AV295">
        <v>0</v>
      </c>
    </row>
    <row r="296" spans="1:48" x14ac:dyDescent="0.15">
      <c r="A296" s="4" t="str">
        <f>HYPERLINK("https://ibp.a2mac1.com/costing(costing:projects/details/9760/equipment/12211107)","DC machine - General")</f>
        <v>DC machine - General</v>
      </c>
      <c r="B296">
        <v>12211107</v>
      </c>
      <c r="C296">
        <v>12084018</v>
      </c>
      <c r="E296" t="s">
        <v>738</v>
      </c>
      <c r="H296" t="s">
        <v>162</v>
      </c>
      <c r="I296">
        <v>116914.84457142858</v>
      </c>
      <c r="J296">
        <v>0</v>
      </c>
      <c r="K296">
        <v>3.6</v>
      </c>
      <c r="L296">
        <v>0</v>
      </c>
      <c r="M296">
        <v>27.497982091197134</v>
      </c>
      <c r="N296">
        <v>0</v>
      </c>
      <c r="O296">
        <v>0.45829970151995225</v>
      </c>
      <c r="P296">
        <v>6.8858000000000003E-2</v>
      </c>
      <c r="Q296">
        <v>1.1732166376415484E-2</v>
      </c>
      <c r="R296">
        <v>635568</v>
      </c>
      <c r="S296">
        <v>0</v>
      </c>
      <c r="T296">
        <v>0</v>
      </c>
      <c r="V296">
        <v>10800</v>
      </c>
      <c r="W296">
        <v>7</v>
      </c>
      <c r="X296">
        <v>85</v>
      </c>
      <c r="Y296">
        <v>3</v>
      </c>
      <c r="Z296">
        <v>4</v>
      </c>
      <c r="AA296">
        <v>5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3</v>
      </c>
      <c r="AJ296">
        <v>0</v>
      </c>
      <c r="AK296">
        <v>0</v>
      </c>
      <c r="AL296">
        <v>100</v>
      </c>
      <c r="AM296">
        <v>45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100</v>
      </c>
      <c r="AU296">
        <v>0</v>
      </c>
      <c r="AV296">
        <v>0</v>
      </c>
    </row>
    <row r="297" spans="1:48" x14ac:dyDescent="0.15">
      <c r="A297" s="4" t="str">
        <f>HYPERLINK("https://ibp.a2mac1.com/costing(costing:projects/details/9760/equipment/12211108)","DC machine - General")</f>
        <v>DC machine - General</v>
      </c>
      <c r="B297">
        <v>12211108</v>
      </c>
      <c r="C297">
        <v>12084019</v>
      </c>
      <c r="E297" t="s">
        <v>738</v>
      </c>
      <c r="H297" t="s">
        <v>162</v>
      </c>
      <c r="I297">
        <v>116914.84457142858</v>
      </c>
      <c r="J297">
        <v>0</v>
      </c>
      <c r="K297">
        <v>3.6</v>
      </c>
      <c r="L297">
        <v>0</v>
      </c>
      <c r="M297">
        <v>27.497982091197134</v>
      </c>
      <c r="N297">
        <v>0</v>
      </c>
      <c r="O297">
        <v>2.2914985075997613E-2</v>
      </c>
      <c r="P297">
        <v>3.4429E-3</v>
      </c>
      <c r="Q297">
        <v>1.1732166376415484E-2</v>
      </c>
      <c r="R297">
        <v>635568</v>
      </c>
      <c r="S297">
        <v>0</v>
      </c>
      <c r="T297">
        <v>0</v>
      </c>
      <c r="V297">
        <v>10800</v>
      </c>
      <c r="W297">
        <v>7</v>
      </c>
      <c r="X297">
        <v>85</v>
      </c>
      <c r="Y297">
        <v>3</v>
      </c>
      <c r="Z297">
        <v>4</v>
      </c>
      <c r="AA297">
        <v>5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3</v>
      </c>
      <c r="AJ297">
        <v>0</v>
      </c>
      <c r="AK297">
        <v>0</v>
      </c>
      <c r="AL297">
        <v>100</v>
      </c>
      <c r="AM297">
        <v>45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100</v>
      </c>
      <c r="AU297">
        <v>0</v>
      </c>
      <c r="AV297">
        <v>0</v>
      </c>
    </row>
    <row r="298" spans="1:48" x14ac:dyDescent="0.15">
      <c r="A298" s="4" t="str">
        <f>HYPERLINK("https://ibp.a2mac1.com/costing(costing:projects/details/9760/equipment/12211109)","DC machine - General")</f>
        <v>DC machine - General</v>
      </c>
      <c r="B298">
        <v>12211109</v>
      </c>
      <c r="C298">
        <v>12084020</v>
      </c>
      <c r="E298" t="s">
        <v>738</v>
      </c>
      <c r="H298" t="s">
        <v>162</v>
      </c>
      <c r="I298">
        <v>116914.84457142858</v>
      </c>
      <c r="J298">
        <v>0</v>
      </c>
      <c r="K298">
        <v>3.6</v>
      </c>
      <c r="L298">
        <v>0</v>
      </c>
      <c r="M298">
        <v>27.497982091197134</v>
      </c>
      <c r="N298">
        <v>0</v>
      </c>
      <c r="O298">
        <v>0.42010805972662291</v>
      </c>
      <c r="P298">
        <v>6.3119833333333333E-2</v>
      </c>
      <c r="Q298">
        <v>1.1732166376415484E-2</v>
      </c>
      <c r="R298">
        <v>635568</v>
      </c>
      <c r="S298">
        <v>0</v>
      </c>
      <c r="T298">
        <v>0</v>
      </c>
      <c r="V298">
        <v>10800</v>
      </c>
      <c r="W298">
        <v>7</v>
      </c>
      <c r="X298">
        <v>85</v>
      </c>
      <c r="Y298">
        <v>3</v>
      </c>
      <c r="Z298">
        <v>4</v>
      </c>
      <c r="AA298">
        <v>5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100</v>
      </c>
      <c r="AM298">
        <v>45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100</v>
      </c>
      <c r="AU298">
        <v>0</v>
      </c>
      <c r="AV298">
        <v>0</v>
      </c>
    </row>
    <row r="299" spans="1:48" x14ac:dyDescent="0.15">
      <c r="A299" s="4" t="str">
        <f>HYPERLINK("https://ibp.a2mac1.com/costing(costing:projects/details/9760/equipment/12211110)","DC machine - General")</f>
        <v>DC machine - General</v>
      </c>
      <c r="B299">
        <v>12211110</v>
      </c>
      <c r="C299">
        <v>12084021</v>
      </c>
      <c r="E299" t="s">
        <v>738</v>
      </c>
      <c r="H299" t="s">
        <v>162</v>
      </c>
      <c r="I299">
        <v>116914.84457142858</v>
      </c>
      <c r="J299">
        <v>0</v>
      </c>
      <c r="K299">
        <v>3.6</v>
      </c>
      <c r="L299">
        <v>0</v>
      </c>
      <c r="M299">
        <v>27.497982091197134</v>
      </c>
      <c r="N299">
        <v>0</v>
      </c>
      <c r="O299">
        <v>0.74855617914925532</v>
      </c>
      <c r="P299">
        <v>0.11246806666666667</v>
      </c>
      <c r="Q299">
        <v>1.1732166376415484E-2</v>
      </c>
      <c r="R299">
        <v>635568</v>
      </c>
      <c r="S299">
        <v>0</v>
      </c>
      <c r="T299">
        <v>0</v>
      </c>
      <c r="V299">
        <v>10800</v>
      </c>
      <c r="W299">
        <v>7</v>
      </c>
      <c r="X299">
        <v>85</v>
      </c>
      <c r="Y299">
        <v>3</v>
      </c>
      <c r="Z299">
        <v>4</v>
      </c>
      <c r="AA299">
        <v>5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3</v>
      </c>
      <c r="AJ299">
        <v>0</v>
      </c>
      <c r="AK299">
        <v>0</v>
      </c>
      <c r="AL299">
        <v>100</v>
      </c>
      <c r="AM299">
        <v>45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100</v>
      </c>
      <c r="AU299">
        <v>0</v>
      </c>
      <c r="AV299">
        <v>0</v>
      </c>
    </row>
    <row r="300" spans="1:48" x14ac:dyDescent="0.15">
      <c r="A300" s="4" t="str">
        <f>HYPERLINK("https://ibp.a2mac1.com/costing(costing:projects/details/9760/equipment/12211111)","DC machine - General")</f>
        <v>DC machine - General</v>
      </c>
      <c r="B300">
        <v>12211111</v>
      </c>
      <c r="C300">
        <v>12084022</v>
      </c>
      <c r="E300" t="s">
        <v>738</v>
      </c>
      <c r="H300" t="s">
        <v>162</v>
      </c>
      <c r="I300">
        <v>116914.84457142858</v>
      </c>
      <c r="J300">
        <v>0</v>
      </c>
      <c r="K300">
        <v>3.6</v>
      </c>
      <c r="L300">
        <v>0</v>
      </c>
      <c r="M300">
        <v>27.497982091197134</v>
      </c>
      <c r="N300">
        <v>0</v>
      </c>
      <c r="O300">
        <v>4.5829970151995227E-2</v>
      </c>
      <c r="P300">
        <v>6.8858000000000001E-3</v>
      </c>
      <c r="Q300">
        <v>1.1732166376415484E-2</v>
      </c>
      <c r="R300">
        <v>635568</v>
      </c>
      <c r="S300">
        <v>0</v>
      </c>
      <c r="T300">
        <v>0</v>
      </c>
      <c r="V300">
        <v>10800</v>
      </c>
      <c r="W300">
        <v>7</v>
      </c>
      <c r="X300">
        <v>85</v>
      </c>
      <c r="Y300">
        <v>3</v>
      </c>
      <c r="Z300">
        <v>4</v>
      </c>
      <c r="AA300">
        <v>5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3</v>
      </c>
      <c r="AJ300">
        <v>0</v>
      </c>
      <c r="AK300">
        <v>0</v>
      </c>
      <c r="AL300">
        <v>100</v>
      </c>
      <c r="AM300">
        <v>45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100</v>
      </c>
      <c r="AU300">
        <v>0</v>
      </c>
      <c r="AV300">
        <v>0</v>
      </c>
    </row>
    <row r="301" spans="1:48" x14ac:dyDescent="0.15">
      <c r="A301" s="4" t="str">
        <f>HYPERLINK("https://ibp.a2mac1.com/costing(costing:projects/details/9760/equipment/12211112)","DC machine - General")</f>
        <v>DC machine - General</v>
      </c>
      <c r="B301">
        <v>12211112</v>
      </c>
      <c r="C301">
        <v>12084023</v>
      </c>
      <c r="E301" t="s">
        <v>738</v>
      </c>
      <c r="H301" t="s">
        <v>162</v>
      </c>
      <c r="I301">
        <v>116914.84457142858</v>
      </c>
      <c r="J301">
        <v>0</v>
      </c>
      <c r="K301">
        <v>3.6</v>
      </c>
      <c r="L301">
        <v>0</v>
      </c>
      <c r="M301">
        <v>27.497982091197134</v>
      </c>
      <c r="N301">
        <v>0</v>
      </c>
      <c r="O301">
        <v>0.53468298510661094</v>
      </c>
      <c r="P301">
        <v>8.0334333333333327E-2</v>
      </c>
      <c r="Q301">
        <v>1.1732166376415484E-2</v>
      </c>
      <c r="R301">
        <v>635568</v>
      </c>
      <c r="S301">
        <v>0</v>
      </c>
      <c r="T301">
        <v>0</v>
      </c>
      <c r="V301">
        <v>10800</v>
      </c>
      <c r="W301">
        <v>7</v>
      </c>
      <c r="X301">
        <v>85</v>
      </c>
      <c r="Y301">
        <v>3</v>
      </c>
      <c r="Z301">
        <v>4</v>
      </c>
      <c r="AA301">
        <v>5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3</v>
      </c>
      <c r="AJ301">
        <v>0</v>
      </c>
      <c r="AK301">
        <v>0</v>
      </c>
      <c r="AL301">
        <v>100</v>
      </c>
      <c r="AM301">
        <v>45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100</v>
      </c>
      <c r="AU301">
        <v>0</v>
      </c>
      <c r="AV301">
        <v>0</v>
      </c>
    </row>
    <row r="302" spans="1:48" x14ac:dyDescent="0.15">
      <c r="A302" s="4" t="str">
        <f>HYPERLINK("https://ibp.a2mac1.com/costing(costing:projects/details/9760/equipment/12211113)","DC machine - General")</f>
        <v>DC machine - General</v>
      </c>
      <c r="B302">
        <v>12211113</v>
      </c>
      <c r="C302">
        <v>12084024</v>
      </c>
      <c r="E302" t="s">
        <v>738</v>
      </c>
      <c r="H302" t="s">
        <v>162</v>
      </c>
      <c r="I302">
        <v>116914.84457142858</v>
      </c>
      <c r="J302">
        <v>0</v>
      </c>
      <c r="K302">
        <v>3.6</v>
      </c>
      <c r="L302">
        <v>0</v>
      </c>
      <c r="M302">
        <v>27.497982091197134</v>
      </c>
      <c r="N302">
        <v>0</v>
      </c>
      <c r="O302">
        <v>7.6383283586658711E-3</v>
      </c>
      <c r="P302">
        <v>1.1476333333333333E-3</v>
      </c>
      <c r="Q302">
        <v>1.1732166376415484E-2</v>
      </c>
      <c r="R302">
        <v>635568</v>
      </c>
      <c r="S302">
        <v>0</v>
      </c>
      <c r="T302">
        <v>0</v>
      </c>
      <c r="V302">
        <v>10800</v>
      </c>
      <c r="W302">
        <v>7</v>
      </c>
      <c r="X302">
        <v>85</v>
      </c>
      <c r="Y302">
        <v>3</v>
      </c>
      <c r="Z302">
        <v>4</v>
      </c>
      <c r="AA302">
        <v>5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3</v>
      </c>
      <c r="AJ302">
        <v>0</v>
      </c>
      <c r="AK302">
        <v>0</v>
      </c>
      <c r="AL302">
        <v>100</v>
      </c>
      <c r="AM302">
        <v>45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100</v>
      </c>
      <c r="AU302">
        <v>0</v>
      </c>
      <c r="AV302">
        <v>0</v>
      </c>
    </row>
    <row r="303" spans="1:48" x14ac:dyDescent="0.15">
      <c r="A303" s="4" t="str">
        <f>HYPERLINK("https://ibp.a2mac1.com/costing(costing:projects/details/9760/equipment/12211114)","DC machine - General")</f>
        <v>DC machine - General</v>
      </c>
      <c r="B303">
        <v>12211114</v>
      </c>
      <c r="C303">
        <v>12084025</v>
      </c>
      <c r="E303" t="s">
        <v>738</v>
      </c>
      <c r="H303" t="s">
        <v>162</v>
      </c>
      <c r="I303">
        <v>116914.84457142858</v>
      </c>
      <c r="J303">
        <v>0</v>
      </c>
      <c r="K303">
        <v>3.6</v>
      </c>
      <c r="L303">
        <v>0</v>
      </c>
      <c r="M303">
        <v>27.497982091197134</v>
      </c>
      <c r="N303">
        <v>0</v>
      </c>
      <c r="O303">
        <v>7.6383283586658711E-3</v>
      </c>
      <c r="P303">
        <v>1.1476333333333333E-3</v>
      </c>
      <c r="Q303">
        <v>3.9107221254718284E-3</v>
      </c>
      <c r="R303">
        <v>635568</v>
      </c>
      <c r="S303">
        <v>0</v>
      </c>
      <c r="T303">
        <v>0</v>
      </c>
      <c r="V303">
        <v>10800</v>
      </c>
      <c r="W303">
        <v>7</v>
      </c>
      <c r="X303">
        <v>85</v>
      </c>
      <c r="Y303">
        <v>3</v>
      </c>
      <c r="Z303">
        <v>4</v>
      </c>
      <c r="AA303">
        <v>5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100</v>
      </c>
      <c r="AM303">
        <v>45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100</v>
      </c>
      <c r="AU303">
        <v>0</v>
      </c>
      <c r="AV303">
        <v>0</v>
      </c>
    </row>
    <row r="304" spans="1:48" x14ac:dyDescent="0.15">
      <c r="A304" s="4" t="str">
        <f>HYPERLINK("https://ibp.a2mac1.com/costing(costing:projects/details/9760/equipment/12211126)","DC machine - General")</f>
        <v>DC machine - General</v>
      </c>
      <c r="B304">
        <v>12211126</v>
      </c>
      <c r="C304">
        <v>12084037</v>
      </c>
      <c r="E304" t="s">
        <v>738</v>
      </c>
      <c r="H304" t="s">
        <v>162</v>
      </c>
      <c r="I304">
        <v>116914.84457142858</v>
      </c>
      <c r="J304">
        <v>0</v>
      </c>
      <c r="K304">
        <v>3.6</v>
      </c>
      <c r="L304">
        <v>0</v>
      </c>
      <c r="M304">
        <v>27.497982091197134</v>
      </c>
      <c r="N304">
        <v>0</v>
      </c>
      <c r="O304">
        <v>1.5276656717331742E-2</v>
      </c>
      <c r="P304">
        <v>2.2952666666666665E-3</v>
      </c>
      <c r="Q304">
        <v>1.1732166376415484E-2</v>
      </c>
      <c r="R304">
        <v>635568</v>
      </c>
      <c r="S304">
        <v>0</v>
      </c>
      <c r="T304">
        <v>0</v>
      </c>
      <c r="V304">
        <v>10800</v>
      </c>
      <c r="W304">
        <v>7</v>
      </c>
      <c r="X304">
        <v>85</v>
      </c>
      <c r="Y304">
        <v>3</v>
      </c>
      <c r="Z304">
        <v>4</v>
      </c>
      <c r="AA304">
        <v>5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3</v>
      </c>
      <c r="AJ304">
        <v>0</v>
      </c>
      <c r="AK304">
        <v>0</v>
      </c>
      <c r="AL304">
        <v>100</v>
      </c>
      <c r="AM304">
        <v>45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100</v>
      </c>
      <c r="AU304">
        <v>0</v>
      </c>
      <c r="AV304">
        <v>0</v>
      </c>
    </row>
    <row r="305" spans="1:48" x14ac:dyDescent="0.15">
      <c r="A305" s="4" t="str">
        <f>HYPERLINK("https://ibp.a2mac1.com/costing(costing:projects/details/9760/equipment/12211127)","DC machine - General")</f>
        <v>DC machine - General</v>
      </c>
      <c r="B305">
        <v>12211127</v>
      </c>
      <c r="C305">
        <v>12084038</v>
      </c>
      <c r="E305" t="s">
        <v>738</v>
      </c>
      <c r="H305" t="s">
        <v>162</v>
      </c>
      <c r="I305">
        <v>116914.84457142858</v>
      </c>
      <c r="J305">
        <v>0</v>
      </c>
      <c r="K305">
        <v>3.6</v>
      </c>
      <c r="L305">
        <v>0</v>
      </c>
      <c r="M305">
        <v>27.497982091197134</v>
      </c>
      <c r="N305">
        <v>0</v>
      </c>
      <c r="O305">
        <v>2.2914985075997613E-2</v>
      </c>
      <c r="P305">
        <v>3.4429E-3</v>
      </c>
      <c r="Q305">
        <v>1.1732166376415484E-2</v>
      </c>
      <c r="R305">
        <v>635568</v>
      </c>
      <c r="S305">
        <v>0</v>
      </c>
      <c r="T305">
        <v>0</v>
      </c>
      <c r="V305">
        <v>10800</v>
      </c>
      <c r="W305">
        <v>7</v>
      </c>
      <c r="X305">
        <v>85</v>
      </c>
      <c r="Y305">
        <v>3</v>
      </c>
      <c r="Z305">
        <v>4</v>
      </c>
      <c r="AA305">
        <v>5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3</v>
      </c>
      <c r="AJ305">
        <v>0</v>
      </c>
      <c r="AK305">
        <v>0</v>
      </c>
      <c r="AL305">
        <v>100</v>
      </c>
      <c r="AM305">
        <v>45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100</v>
      </c>
      <c r="AU305">
        <v>0</v>
      </c>
      <c r="AV305">
        <v>0</v>
      </c>
    </row>
    <row r="306" spans="1:48" x14ac:dyDescent="0.15">
      <c r="A306" s="4" t="str">
        <f>HYPERLINK("https://ibp.a2mac1.com/costing(costing:projects/details/9760/equipment/12211128)","DC machine - General")</f>
        <v>DC machine - General</v>
      </c>
      <c r="B306">
        <v>12211128</v>
      </c>
      <c r="C306">
        <v>12084039</v>
      </c>
      <c r="E306" t="s">
        <v>738</v>
      </c>
      <c r="H306" t="s">
        <v>162</v>
      </c>
      <c r="I306">
        <v>116914.84457142858</v>
      </c>
      <c r="J306">
        <v>0</v>
      </c>
      <c r="K306">
        <v>3.6</v>
      </c>
      <c r="L306">
        <v>0</v>
      </c>
      <c r="M306">
        <v>27.497982091197134</v>
      </c>
      <c r="N306">
        <v>0</v>
      </c>
      <c r="O306">
        <v>7.6383283586658704E-2</v>
      </c>
      <c r="P306">
        <v>1.1476333333333333E-2</v>
      </c>
      <c r="Q306">
        <v>1.1732166376415484E-2</v>
      </c>
      <c r="R306">
        <v>635568</v>
      </c>
      <c r="S306">
        <v>0</v>
      </c>
      <c r="T306">
        <v>0</v>
      </c>
      <c r="V306">
        <v>10800</v>
      </c>
      <c r="W306">
        <v>7</v>
      </c>
      <c r="X306">
        <v>85</v>
      </c>
      <c r="Y306">
        <v>3</v>
      </c>
      <c r="Z306">
        <v>4</v>
      </c>
      <c r="AA306">
        <v>5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3</v>
      </c>
      <c r="AJ306">
        <v>0</v>
      </c>
      <c r="AK306">
        <v>0</v>
      </c>
      <c r="AL306">
        <v>100</v>
      </c>
      <c r="AM306">
        <v>45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100</v>
      </c>
      <c r="AU306">
        <v>0</v>
      </c>
      <c r="AV306">
        <v>0</v>
      </c>
    </row>
    <row r="307" spans="1:48" x14ac:dyDescent="0.15">
      <c r="A307" s="4" t="str">
        <f>HYPERLINK("https://ibp.a2mac1.com/costing(costing:projects/details/9760/equipment/12211129)","DC machine - General")</f>
        <v>DC machine - General</v>
      </c>
      <c r="B307">
        <v>12211129</v>
      </c>
      <c r="C307">
        <v>12084040</v>
      </c>
      <c r="E307" t="s">
        <v>738</v>
      </c>
      <c r="H307" t="s">
        <v>162</v>
      </c>
      <c r="I307">
        <v>116914.84457142858</v>
      </c>
      <c r="J307">
        <v>0</v>
      </c>
      <c r="K307">
        <v>3.6</v>
      </c>
      <c r="L307">
        <v>0</v>
      </c>
      <c r="M307">
        <v>27.497982091197134</v>
      </c>
      <c r="N307">
        <v>0</v>
      </c>
      <c r="O307">
        <v>1.5276656717331742E-2</v>
      </c>
      <c r="P307">
        <v>2.2952666666666665E-3</v>
      </c>
      <c r="Q307">
        <v>1.1732166376415484E-2</v>
      </c>
      <c r="R307">
        <v>635568</v>
      </c>
      <c r="S307">
        <v>0</v>
      </c>
      <c r="T307">
        <v>0</v>
      </c>
      <c r="V307">
        <v>10800</v>
      </c>
      <c r="W307">
        <v>7</v>
      </c>
      <c r="X307">
        <v>85</v>
      </c>
      <c r="Y307">
        <v>3</v>
      </c>
      <c r="Z307">
        <v>4</v>
      </c>
      <c r="AA307">
        <v>5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3</v>
      </c>
      <c r="AJ307">
        <v>0</v>
      </c>
      <c r="AK307">
        <v>0</v>
      </c>
      <c r="AL307">
        <v>100</v>
      </c>
      <c r="AM307">
        <v>45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100</v>
      </c>
      <c r="AU307">
        <v>0</v>
      </c>
      <c r="AV307">
        <v>0</v>
      </c>
    </row>
    <row r="308" spans="1:48" x14ac:dyDescent="0.15">
      <c r="A308" s="4" t="str">
        <f>HYPERLINK("https://ibp.a2mac1.com/costing(costing:projects/details/9760/equipment/12211130)","DC machine - General")</f>
        <v>DC machine - General</v>
      </c>
      <c r="B308">
        <v>12211130</v>
      </c>
      <c r="C308">
        <v>12084041</v>
      </c>
      <c r="E308" t="s">
        <v>738</v>
      </c>
      <c r="H308" t="s">
        <v>162</v>
      </c>
      <c r="I308">
        <v>116914.84457142858</v>
      </c>
      <c r="J308">
        <v>0</v>
      </c>
      <c r="K308">
        <v>3.6</v>
      </c>
      <c r="L308">
        <v>0</v>
      </c>
      <c r="M308">
        <v>27.497982091197134</v>
      </c>
      <c r="N308">
        <v>0</v>
      </c>
      <c r="O308">
        <v>7.6383283586658711E-3</v>
      </c>
      <c r="P308">
        <v>1.1476333333333333E-3</v>
      </c>
      <c r="Q308">
        <v>1.1732166376415484E-2</v>
      </c>
      <c r="R308">
        <v>635568</v>
      </c>
      <c r="S308">
        <v>0</v>
      </c>
      <c r="T308">
        <v>0</v>
      </c>
      <c r="V308">
        <v>10800</v>
      </c>
      <c r="W308">
        <v>7</v>
      </c>
      <c r="X308">
        <v>85</v>
      </c>
      <c r="Y308">
        <v>3</v>
      </c>
      <c r="Z308">
        <v>4</v>
      </c>
      <c r="AA308">
        <v>5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3</v>
      </c>
      <c r="AJ308">
        <v>0</v>
      </c>
      <c r="AK308">
        <v>0</v>
      </c>
      <c r="AL308">
        <v>100</v>
      </c>
      <c r="AM308">
        <v>45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100</v>
      </c>
      <c r="AU308">
        <v>0</v>
      </c>
      <c r="AV308">
        <v>0</v>
      </c>
    </row>
    <row r="309" spans="1:48" x14ac:dyDescent="0.15">
      <c r="A309" s="4" t="str">
        <f>HYPERLINK("https://ibp.a2mac1.com/costing(costing:projects/details/9760/equipment/12211131)","DC machine - General")</f>
        <v>DC machine - General</v>
      </c>
      <c r="B309">
        <v>12211131</v>
      </c>
      <c r="C309">
        <v>12084042</v>
      </c>
      <c r="E309" t="s">
        <v>738</v>
      </c>
      <c r="H309" t="s">
        <v>162</v>
      </c>
      <c r="I309">
        <v>116914.84457142858</v>
      </c>
      <c r="J309">
        <v>0</v>
      </c>
      <c r="K309">
        <v>3.6</v>
      </c>
      <c r="L309">
        <v>0</v>
      </c>
      <c r="M309">
        <v>27.497982091197134</v>
      </c>
      <c r="N309">
        <v>0</v>
      </c>
      <c r="O309">
        <v>7.6383283586658711E-3</v>
      </c>
      <c r="P309">
        <v>1.1476333333333333E-3</v>
      </c>
      <c r="Q309">
        <v>1.1732166376415484E-2</v>
      </c>
      <c r="R309">
        <v>635568</v>
      </c>
      <c r="S309">
        <v>0</v>
      </c>
      <c r="T309">
        <v>0</v>
      </c>
      <c r="V309">
        <v>10800</v>
      </c>
      <c r="W309">
        <v>7</v>
      </c>
      <c r="X309">
        <v>85</v>
      </c>
      <c r="Y309">
        <v>3</v>
      </c>
      <c r="Z309">
        <v>4</v>
      </c>
      <c r="AA309">
        <v>5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3</v>
      </c>
      <c r="AJ309">
        <v>0</v>
      </c>
      <c r="AK309">
        <v>0</v>
      </c>
      <c r="AL309">
        <v>100</v>
      </c>
      <c r="AM309">
        <v>45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100</v>
      </c>
      <c r="AU309">
        <v>0</v>
      </c>
      <c r="AV309">
        <v>0</v>
      </c>
    </row>
    <row r="310" spans="1:48" x14ac:dyDescent="0.15">
      <c r="A310" s="4" t="str">
        <f>HYPERLINK("https://ibp.a2mac1.com/costing(costing:projects/details/9760/equipment/12211132)","DC machine - General")</f>
        <v>DC machine - General</v>
      </c>
      <c r="B310">
        <v>12211132</v>
      </c>
      <c r="C310">
        <v>12084043</v>
      </c>
      <c r="E310" t="s">
        <v>738</v>
      </c>
      <c r="H310" t="s">
        <v>162</v>
      </c>
      <c r="I310">
        <v>116914.84457142858</v>
      </c>
      <c r="J310">
        <v>0</v>
      </c>
      <c r="K310">
        <v>3.6</v>
      </c>
      <c r="L310">
        <v>0</v>
      </c>
      <c r="M310">
        <v>27.497982091197134</v>
      </c>
      <c r="N310">
        <v>0</v>
      </c>
      <c r="O310">
        <v>2.2914985075997613E-2</v>
      </c>
      <c r="P310">
        <v>3.4429E-3</v>
      </c>
      <c r="Q310">
        <v>1.1732166376415484E-2</v>
      </c>
      <c r="R310">
        <v>635568</v>
      </c>
      <c r="S310">
        <v>0</v>
      </c>
      <c r="T310">
        <v>0</v>
      </c>
      <c r="V310">
        <v>10800</v>
      </c>
      <c r="W310">
        <v>7</v>
      </c>
      <c r="X310">
        <v>85</v>
      </c>
      <c r="Y310">
        <v>3</v>
      </c>
      <c r="Z310">
        <v>4</v>
      </c>
      <c r="AA310">
        <v>5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3</v>
      </c>
      <c r="AJ310">
        <v>0</v>
      </c>
      <c r="AK310">
        <v>0</v>
      </c>
      <c r="AL310">
        <v>100</v>
      </c>
      <c r="AM310">
        <v>45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100</v>
      </c>
      <c r="AU310">
        <v>0</v>
      </c>
      <c r="AV310">
        <v>0</v>
      </c>
    </row>
    <row r="311" spans="1:48" x14ac:dyDescent="0.15">
      <c r="A311" s="4" t="str">
        <f>HYPERLINK("https://ibp.a2mac1.com/costing(costing:projects/details/9760/equipment/12211133)","DC machine - General")</f>
        <v>DC machine - General</v>
      </c>
      <c r="B311">
        <v>12211133</v>
      </c>
      <c r="C311">
        <v>12084044</v>
      </c>
      <c r="E311" t="s">
        <v>738</v>
      </c>
      <c r="H311" t="s">
        <v>162</v>
      </c>
      <c r="I311">
        <v>116914.84457142858</v>
      </c>
      <c r="J311">
        <v>0</v>
      </c>
      <c r="K311">
        <v>3.6</v>
      </c>
      <c r="L311">
        <v>0</v>
      </c>
      <c r="M311">
        <v>27.497982091197134</v>
      </c>
      <c r="N311">
        <v>0</v>
      </c>
      <c r="O311">
        <v>0.11457492537998806</v>
      </c>
      <c r="P311">
        <v>1.7214500000000001E-2</v>
      </c>
      <c r="Q311">
        <v>1.1732166376415484E-2</v>
      </c>
      <c r="R311">
        <v>635568</v>
      </c>
      <c r="S311">
        <v>0</v>
      </c>
      <c r="T311">
        <v>0</v>
      </c>
      <c r="V311">
        <v>10800</v>
      </c>
      <c r="W311">
        <v>7</v>
      </c>
      <c r="X311">
        <v>85</v>
      </c>
      <c r="Y311">
        <v>3</v>
      </c>
      <c r="Z311">
        <v>4</v>
      </c>
      <c r="AA311">
        <v>5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3</v>
      </c>
      <c r="AJ311">
        <v>0</v>
      </c>
      <c r="AK311">
        <v>0</v>
      </c>
      <c r="AL311">
        <v>100</v>
      </c>
      <c r="AM311">
        <v>45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100</v>
      </c>
      <c r="AU311">
        <v>0</v>
      </c>
      <c r="AV311">
        <v>0</v>
      </c>
    </row>
    <row r="312" spans="1:48" x14ac:dyDescent="0.15">
      <c r="A312" s="4" t="str">
        <f>HYPERLINK("https://ibp.a2mac1.com/costing(costing:projects/details/9760/equipment/12211134)","DC machine - General")</f>
        <v>DC machine - General</v>
      </c>
      <c r="B312">
        <v>12211134</v>
      </c>
      <c r="C312">
        <v>12084045</v>
      </c>
      <c r="E312" t="s">
        <v>738</v>
      </c>
      <c r="H312" t="s">
        <v>162</v>
      </c>
      <c r="I312">
        <v>116914.84457142858</v>
      </c>
      <c r="J312">
        <v>0</v>
      </c>
      <c r="K312">
        <v>3.6</v>
      </c>
      <c r="L312">
        <v>0</v>
      </c>
      <c r="M312">
        <v>27.497982091197134</v>
      </c>
      <c r="N312">
        <v>0</v>
      </c>
      <c r="O312">
        <v>7.6383283586658711E-3</v>
      </c>
      <c r="P312">
        <v>1.1476333333333333E-3</v>
      </c>
      <c r="Q312">
        <v>1.1732166376415484E-2</v>
      </c>
      <c r="R312">
        <v>635568</v>
      </c>
      <c r="S312">
        <v>0</v>
      </c>
      <c r="T312">
        <v>0</v>
      </c>
      <c r="V312">
        <v>10800</v>
      </c>
      <c r="W312">
        <v>7</v>
      </c>
      <c r="X312">
        <v>85</v>
      </c>
      <c r="Y312">
        <v>3</v>
      </c>
      <c r="Z312">
        <v>4</v>
      </c>
      <c r="AA312">
        <v>5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3</v>
      </c>
      <c r="AJ312">
        <v>0</v>
      </c>
      <c r="AK312">
        <v>0</v>
      </c>
      <c r="AL312">
        <v>100</v>
      </c>
      <c r="AM312">
        <v>45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100</v>
      </c>
      <c r="AU312">
        <v>0</v>
      </c>
      <c r="AV312">
        <v>0</v>
      </c>
    </row>
    <row r="313" spans="1:48" x14ac:dyDescent="0.15">
      <c r="A313" s="4" t="str">
        <f>HYPERLINK("https://ibp.a2mac1.com/costing(costing:projects/details/9760/equipment/12211135)","DC machine - General")</f>
        <v>DC machine - General</v>
      </c>
      <c r="B313">
        <v>12211135</v>
      </c>
      <c r="C313">
        <v>12084046</v>
      </c>
      <c r="E313" t="s">
        <v>738</v>
      </c>
      <c r="H313" t="s">
        <v>162</v>
      </c>
      <c r="I313">
        <v>116914.84457142858</v>
      </c>
      <c r="J313">
        <v>0</v>
      </c>
      <c r="K313">
        <v>3.6</v>
      </c>
      <c r="L313">
        <v>0</v>
      </c>
      <c r="M313">
        <v>27.497982091197134</v>
      </c>
      <c r="N313">
        <v>0</v>
      </c>
      <c r="O313">
        <v>7.6383283586658711E-3</v>
      </c>
      <c r="P313">
        <v>1.1476333333333333E-3</v>
      </c>
      <c r="Q313">
        <v>1.1732166376415484E-2</v>
      </c>
      <c r="R313">
        <v>635568</v>
      </c>
      <c r="S313">
        <v>0</v>
      </c>
      <c r="T313">
        <v>0</v>
      </c>
      <c r="V313">
        <v>10800</v>
      </c>
      <c r="W313">
        <v>7</v>
      </c>
      <c r="X313">
        <v>85</v>
      </c>
      <c r="Y313">
        <v>3</v>
      </c>
      <c r="Z313">
        <v>4</v>
      </c>
      <c r="AA313">
        <v>5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3</v>
      </c>
      <c r="AJ313">
        <v>0</v>
      </c>
      <c r="AK313">
        <v>0</v>
      </c>
      <c r="AL313">
        <v>100</v>
      </c>
      <c r="AM313">
        <v>45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100</v>
      </c>
      <c r="AU313">
        <v>0</v>
      </c>
      <c r="AV313">
        <v>0</v>
      </c>
    </row>
    <row r="314" spans="1:48" x14ac:dyDescent="0.15">
      <c r="A314" s="4" t="str">
        <f>HYPERLINK("https://ibp.a2mac1.com/costing(costing:projects/details/9760/equipment/12211136)","DC machine - General")</f>
        <v>DC machine - General</v>
      </c>
      <c r="B314">
        <v>12211136</v>
      </c>
      <c r="C314">
        <v>12084047</v>
      </c>
      <c r="E314" t="s">
        <v>738</v>
      </c>
      <c r="H314" t="s">
        <v>162</v>
      </c>
      <c r="I314">
        <v>116914.84457142858</v>
      </c>
      <c r="J314">
        <v>0</v>
      </c>
      <c r="K314">
        <v>3.6</v>
      </c>
      <c r="L314">
        <v>0</v>
      </c>
      <c r="M314">
        <v>27.497982091197134</v>
      </c>
      <c r="N314">
        <v>0</v>
      </c>
      <c r="O314">
        <v>5.3468298510661094E-2</v>
      </c>
      <c r="P314">
        <v>8.0334333333333327E-3</v>
      </c>
      <c r="Q314">
        <v>1.1732166376415484E-2</v>
      </c>
      <c r="R314">
        <v>635568</v>
      </c>
      <c r="S314">
        <v>0</v>
      </c>
      <c r="T314">
        <v>0</v>
      </c>
      <c r="V314">
        <v>10800</v>
      </c>
      <c r="W314">
        <v>7</v>
      </c>
      <c r="X314">
        <v>85</v>
      </c>
      <c r="Y314">
        <v>3</v>
      </c>
      <c r="Z314">
        <v>4</v>
      </c>
      <c r="AA314">
        <v>5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3</v>
      </c>
      <c r="AJ314">
        <v>0</v>
      </c>
      <c r="AK314">
        <v>0</v>
      </c>
      <c r="AL314">
        <v>100</v>
      </c>
      <c r="AM314">
        <v>45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100</v>
      </c>
      <c r="AU314">
        <v>0</v>
      </c>
      <c r="AV314">
        <v>0</v>
      </c>
    </row>
    <row r="315" spans="1:48" x14ac:dyDescent="0.15">
      <c r="A315" s="4" t="str">
        <f>HYPERLINK("https://ibp.a2mac1.com/costing(costing:projects/details/9760/equipment/12211115)","DC machine - General")</f>
        <v>DC machine - General</v>
      </c>
      <c r="B315">
        <v>12211115</v>
      </c>
      <c r="C315">
        <v>12084026</v>
      </c>
      <c r="E315" t="s">
        <v>738</v>
      </c>
      <c r="H315" t="s">
        <v>162</v>
      </c>
      <c r="I315">
        <v>116914.84457142858</v>
      </c>
      <c r="J315">
        <v>0</v>
      </c>
      <c r="K315">
        <v>3.6</v>
      </c>
      <c r="L315">
        <v>0</v>
      </c>
      <c r="M315">
        <v>27.497982091197134</v>
      </c>
      <c r="N315">
        <v>0</v>
      </c>
      <c r="O315">
        <v>0.77910949258391882</v>
      </c>
      <c r="P315">
        <v>0.1170586</v>
      </c>
      <c r="Q315">
        <v>1.1732166376415484E-2</v>
      </c>
      <c r="R315">
        <v>635568</v>
      </c>
      <c r="S315">
        <v>0</v>
      </c>
      <c r="T315">
        <v>0</v>
      </c>
      <c r="V315">
        <v>10800</v>
      </c>
      <c r="W315">
        <v>7</v>
      </c>
      <c r="X315">
        <v>85</v>
      </c>
      <c r="Y315">
        <v>3</v>
      </c>
      <c r="Z315">
        <v>4</v>
      </c>
      <c r="AA315">
        <v>5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3</v>
      </c>
      <c r="AJ315">
        <v>0</v>
      </c>
      <c r="AK315">
        <v>0</v>
      </c>
      <c r="AL315">
        <v>100</v>
      </c>
      <c r="AM315">
        <v>45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100</v>
      </c>
      <c r="AU315">
        <v>0</v>
      </c>
      <c r="AV315">
        <v>0</v>
      </c>
    </row>
    <row r="316" spans="1:48" x14ac:dyDescent="0.15">
      <c r="A316" s="4" t="str">
        <f>HYPERLINK("https://ibp.a2mac1.com/costing(costing:projects/details/9760/equipment/12211116)","DC machine - General")</f>
        <v>DC machine - General</v>
      </c>
      <c r="B316">
        <v>12211116</v>
      </c>
      <c r="C316">
        <v>12084027</v>
      </c>
      <c r="E316" t="s">
        <v>738</v>
      </c>
      <c r="H316" t="s">
        <v>162</v>
      </c>
      <c r="I316">
        <v>116914.84457142858</v>
      </c>
      <c r="J316">
        <v>0</v>
      </c>
      <c r="K316">
        <v>3.6</v>
      </c>
      <c r="L316">
        <v>0</v>
      </c>
      <c r="M316">
        <v>27.497982091197134</v>
      </c>
      <c r="N316">
        <v>0</v>
      </c>
      <c r="O316">
        <v>0.19859653732531263</v>
      </c>
      <c r="P316">
        <v>2.9838466666666667E-2</v>
      </c>
      <c r="Q316">
        <v>1.1732166376415484E-2</v>
      </c>
      <c r="R316">
        <v>635568</v>
      </c>
      <c r="S316">
        <v>0</v>
      </c>
      <c r="T316">
        <v>0</v>
      </c>
      <c r="V316">
        <v>10800</v>
      </c>
      <c r="W316">
        <v>7</v>
      </c>
      <c r="X316">
        <v>85</v>
      </c>
      <c r="Y316">
        <v>3</v>
      </c>
      <c r="Z316">
        <v>4</v>
      </c>
      <c r="AA316">
        <v>5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3</v>
      </c>
      <c r="AJ316">
        <v>0</v>
      </c>
      <c r="AK316">
        <v>0</v>
      </c>
      <c r="AL316">
        <v>100</v>
      </c>
      <c r="AM316">
        <v>45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100</v>
      </c>
      <c r="AU316">
        <v>0</v>
      </c>
      <c r="AV316">
        <v>0</v>
      </c>
    </row>
    <row r="317" spans="1:48" x14ac:dyDescent="0.15">
      <c r="A317" s="4" t="str">
        <f>HYPERLINK("https://ibp.a2mac1.com/costing(costing:projects/details/9760/equipment/12211117)","DC machine - General")</f>
        <v>DC machine - General</v>
      </c>
      <c r="B317">
        <v>12211117</v>
      </c>
      <c r="C317">
        <v>12084028</v>
      </c>
      <c r="E317" t="s">
        <v>738</v>
      </c>
      <c r="H317" t="s">
        <v>162</v>
      </c>
      <c r="I317">
        <v>116914.84457142858</v>
      </c>
      <c r="J317">
        <v>0</v>
      </c>
      <c r="K317">
        <v>3.6</v>
      </c>
      <c r="L317">
        <v>0</v>
      </c>
      <c r="M317">
        <v>27.497982091197134</v>
      </c>
      <c r="N317">
        <v>0</v>
      </c>
      <c r="O317">
        <v>0.54232131346527679</v>
      </c>
      <c r="P317">
        <v>8.1481966666666669E-2</v>
      </c>
      <c r="Q317">
        <v>1.1732166376415484E-2</v>
      </c>
      <c r="R317">
        <v>635568</v>
      </c>
      <c r="S317">
        <v>0</v>
      </c>
      <c r="T317">
        <v>0</v>
      </c>
      <c r="V317">
        <v>10800</v>
      </c>
      <c r="W317">
        <v>7</v>
      </c>
      <c r="X317">
        <v>85</v>
      </c>
      <c r="Y317">
        <v>3</v>
      </c>
      <c r="Z317">
        <v>4</v>
      </c>
      <c r="AA317">
        <v>5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3</v>
      </c>
      <c r="AJ317">
        <v>0</v>
      </c>
      <c r="AK317">
        <v>0</v>
      </c>
      <c r="AL317">
        <v>100</v>
      </c>
      <c r="AM317">
        <v>45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100</v>
      </c>
      <c r="AU317">
        <v>0</v>
      </c>
      <c r="AV317">
        <v>0</v>
      </c>
    </row>
    <row r="318" spans="1:48" x14ac:dyDescent="0.15">
      <c r="A318" s="4" t="str">
        <f>HYPERLINK("https://ibp.a2mac1.com/costing(costing:projects/details/9760/equipment/12211118)","DC machine - General")</f>
        <v>DC machine - General</v>
      </c>
      <c r="B318">
        <v>12211118</v>
      </c>
      <c r="C318">
        <v>12084029</v>
      </c>
      <c r="E318" t="s">
        <v>738</v>
      </c>
      <c r="H318" t="s">
        <v>162</v>
      </c>
      <c r="I318">
        <v>116914.84457142858</v>
      </c>
      <c r="J318">
        <v>0</v>
      </c>
      <c r="K318">
        <v>3.6</v>
      </c>
      <c r="L318">
        <v>0</v>
      </c>
      <c r="M318">
        <v>27.497982091197134</v>
      </c>
      <c r="N318">
        <v>0</v>
      </c>
      <c r="O318">
        <v>7.6383283586658711E-3</v>
      </c>
      <c r="P318">
        <v>1.1476333333333333E-3</v>
      </c>
      <c r="Q318">
        <v>1.1732166376415484E-2</v>
      </c>
      <c r="R318">
        <v>635568</v>
      </c>
      <c r="S318">
        <v>0</v>
      </c>
      <c r="T318">
        <v>0</v>
      </c>
      <c r="V318">
        <v>10800</v>
      </c>
      <c r="W318">
        <v>7</v>
      </c>
      <c r="X318">
        <v>85</v>
      </c>
      <c r="Y318">
        <v>3</v>
      </c>
      <c r="Z318">
        <v>4</v>
      </c>
      <c r="AA318">
        <v>5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3</v>
      </c>
      <c r="AJ318">
        <v>0</v>
      </c>
      <c r="AK318">
        <v>0</v>
      </c>
      <c r="AL318">
        <v>100</v>
      </c>
      <c r="AM318">
        <v>45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100</v>
      </c>
      <c r="AU318">
        <v>0</v>
      </c>
      <c r="AV318">
        <v>0</v>
      </c>
    </row>
    <row r="319" spans="1:48" x14ac:dyDescent="0.15">
      <c r="A319" s="4" t="str">
        <f>HYPERLINK("https://ibp.a2mac1.com/costing(costing:projects/details/9760/equipment/12211080)","DC machine - General")</f>
        <v>DC machine - General</v>
      </c>
      <c r="B319">
        <v>12211080</v>
      </c>
      <c r="C319">
        <v>12083991</v>
      </c>
      <c r="E319" t="s">
        <v>738</v>
      </c>
      <c r="H319" t="s">
        <v>162</v>
      </c>
      <c r="I319">
        <v>116914.84457142858</v>
      </c>
      <c r="J319">
        <v>0</v>
      </c>
      <c r="K319">
        <v>3.6</v>
      </c>
      <c r="L319">
        <v>0</v>
      </c>
      <c r="M319">
        <v>27.497982091197134</v>
      </c>
      <c r="N319">
        <v>0</v>
      </c>
      <c r="O319">
        <v>3.4143327763236444</v>
      </c>
      <c r="P319">
        <v>0.51299209999999995</v>
      </c>
      <c r="Q319">
        <v>1.1732166376415484E-2</v>
      </c>
      <c r="R319">
        <v>635568</v>
      </c>
      <c r="S319">
        <v>0</v>
      </c>
      <c r="T319">
        <v>0</v>
      </c>
      <c r="V319">
        <v>10800</v>
      </c>
      <c r="W319">
        <v>7</v>
      </c>
      <c r="X319">
        <v>85</v>
      </c>
      <c r="Y319">
        <v>3</v>
      </c>
      <c r="Z319">
        <v>4</v>
      </c>
      <c r="AA319">
        <v>5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3</v>
      </c>
      <c r="AJ319">
        <v>0</v>
      </c>
      <c r="AK319">
        <v>0</v>
      </c>
      <c r="AL319">
        <v>100</v>
      </c>
      <c r="AM319">
        <v>45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100</v>
      </c>
      <c r="AU319">
        <v>0</v>
      </c>
      <c r="AV319">
        <v>0</v>
      </c>
    </row>
    <row r="320" spans="1:48" x14ac:dyDescent="0.15">
      <c r="A320" s="4" t="str">
        <f>HYPERLINK("https://ibp.a2mac1.com/costing(costing:projects/details/9760/equipment/12211081)","DC machine - General")</f>
        <v>DC machine - General</v>
      </c>
      <c r="B320">
        <v>12211081</v>
      </c>
      <c r="C320">
        <v>12083992</v>
      </c>
      <c r="E320" t="s">
        <v>738</v>
      </c>
      <c r="H320" t="s">
        <v>162</v>
      </c>
      <c r="I320">
        <v>116914.84457142858</v>
      </c>
      <c r="J320">
        <v>0</v>
      </c>
      <c r="K320">
        <v>3.6</v>
      </c>
      <c r="L320">
        <v>0</v>
      </c>
      <c r="M320">
        <v>27.497982091197134</v>
      </c>
      <c r="N320">
        <v>0</v>
      </c>
      <c r="O320">
        <v>1.0388126567785585</v>
      </c>
      <c r="P320">
        <v>0.15607813333333334</v>
      </c>
      <c r="Q320">
        <v>1.1732166376415484E-2</v>
      </c>
      <c r="R320">
        <v>635568</v>
      </c>
      <c r="S320">
        <v>0</v>
      </c>
      <c r="T320">
        <v>0</v>
      </c>
      <c r="V320">
        <v>10800</v>
      </c>
      <c r="W320">
        <v>7</v>
      </c>
      <c r="X320">
        <v>85</v>
      </c>
      <c r="Y320">
        <v>3</v>
      </c>
      <c r="Z320">
        <v>4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3</v>
      </c>
      <c r="AJ320">
        <v>0</v>
      </c>
      <c r="AK320">
        <v>0</v>
      </c>
      <c r="AL320">
        <v>100</v>
      </c>
      <c r="AM320">
        <v>45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100</v>
      </c>
      <c r="AU320">
        <v>0</v>
      </c>
      <c r="AV320">
        <v>0</v>
      </c>
    </row>
    <row r="321" spans="1:48" x14ac:dyDescent="0.15">
      <c r="A321" s="4" t="str">
        <f>HYPERLINK("https://ibp.a2mac1.com/costing(costing:projects/details/9760/equipment/12211082)","DC machine - General")</f>
        <v>DC machine - General</v>
      </c>
      <c r="B321">
        <v>12211082</v>
      </c>
      <c r="C321">
        <v>12083993</v>
      </c>
      <c r="E321" t="s">
        <v>738</v>
      </c>
      <c r="H321" t="s">
        <v>162</v>
      </c>
      <c r="I321">
        <v>116914.84457142858</v>
      </c>
      <c r="J321">
        <v>0</v>
      </c>
      <c r="K321">
        <v>3.6</v>
      </c>
      <c r="L321">
        <v>0</v>
      </c>
      <c r="M321">
        <v>27.497982091197134</v>
      </c>
      <c r="N321">
        <v>0</v>
      </c>
      <c r="O321">
        <v>10.907532896174864</v>
      </c>
      <c r="P321">
        <v>1.6388204</v>
      </c>
      <c r="Q321">
        <v>1.1732166376415484E-2</v>
      </c>
      <c r="R321">
        <v>635568</v>
      </c>
      <c r="S321">
        <v>0</v>
      </c>
      <c r="T321">
        <v>0</v>
      </c>
      <c r="V321">
        <v>10800</v>
      </c>
      <c r="W321">
        <v>7</v>
      </c>
      <c r="X321">
        <v>85</v>
      </c>
      <c r="Y321">
        <v>3</v>
      </c>
      <c r="Z321">
        <v>4</v>
      </c>
      <c r="AA321">
        <v>5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3</v>
      </c>
      <c r="AJ321">
        <v>0</v>
      </c>
      <c r="AK321">
        <v>0</v>
      </c>
      <c r="AL321">
        <v>100</v>
      </c>
      <c r="AM321">
        <v>45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100</v>
      </c>
      <c r="AU321">
        <v>0</v>
      </c>
      <c r="AV321">
        <v>0</v>
      </c>
    </row>
    <row r="322" spans="1:48" x14ac:dyDescent="0.15">
      <c r="A322" s="4" t="str">
        <f>HYPERLINK("https://ibp.a2mac1.com/costing(costing:projects/details/9760/equipment/12211083)","DC machine - General")</f>
        <v>DC machine - General</v>
      </c>
      <c r="B322">
        <v>12211083</v>
      </c>
      <c r="C322">
        <v>12083994</v>
      </c>
      <c r="E322" t="s">
        <v>738</v>
      </c>
      <c r="H322" t="s">
        <v>162</v>
      </c>
      <c r="I322">
        <v>116914.84457142858</v>
      </c>
      <c r="J322">
        <v>0</v>
      </c>
      <c r="K322">
        <v>3.6</v>
      </c>
      <c r="L322">
        <v>0</v>
      </c>
      <c r="M322">
        <v>27.497982091197134</v>
      </c>
      <c r="N322">
        <v>0</v>
      </c>
      <c r="O322">
        <v>1.8637521195144724</v>
      </c>
      <c r="P322">
        <v>0.28002253333333332</v>
      </c>
      <c r="Q322">
        <v>1.1732166376415484E-2</v>
      </c>
      <c r="R322">
        <v>635568</v>
      </c>
      <c r="S322">
        <v>0</v>
      </c>
      <c r="T322">
        <v>0</v>
      </c>
      <c r="V322">
        <v>10800</v>
      </c>
      <c r="W322">
        <v>7</v>
      </c>
      <c r="X322">
        <v>85</v>
      </c>
      <c r="Y322">
        <v>3</v>
      </c>
      <c r="Z322">
        <v>4</v>
      </c>
      <c r="AA322">
        <v>5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3</v>
      </c>
      <c r="AJ322">
        <v>0</v>
      </c>
      <c r="AK322">
        <v>0</v>
      </c>
      <c r="AL322">
        <v>100</v>
      </c>
      <c r="AM322">
        <v>45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100</v>
      </c>
      <c r="AU322">
        <v>0</v>
      </c>
      <c r="AV322">
        <v>0</v>
      </c>
    </row>
    <row r="323" spans="1:48" x14ac:dyDescent="0.15">
      <c r="A323" s="4" t="str">
        <f>HYPERLINK("https://ibp.a2mac1.com/costing(costing:projects/details/9760/equipment/12211084)","DC machine - General")</f>
        <v>DC machine - General</v>
      </c>
      <c r="B323">
        <v>12211084</v>
      </c>
      <c r="C323">
        <v>12083995</v>
      </c>
      <c r="E323" t="s">
        <v>738</v>
      </c>
      <c r="H323" t="s">
        <v>162</v>
      </c>
      <c r="I323">
        <v>116914.84457142858</v>
      </c>
      <c r="J323">
        <v>0</v>
      </c>
      <c r="K323">
        <v>3.6</v>
      </c>
      <c r="L323">
        <v>0</v>
      </c>
      <c r="M323">
        <v>27.497982091197134</v>
      </c>
      <c r="N323">
        <v>0</v>
      </c>
      <c r="O323">
        <v>3.8191641793329352E-2</v>
      </c>
      <c r="P323">
        <v>5.7381666666666666E-3</v>
      </c>
      <c r="Q323">
        <v>1.1732166376415484E-2</v>
      </c>
      <c r="R323">
        <v>635568</v>
      </c>
      <c r="S323">
        <v>0</v>
      </c>
      <c r="T323">
        <v>0</v>
      </c>
      <c r="V323">
        <v>10800</v>
      </c>
      <c r="W323">
        <v>7</v>
      </c>
      <c r="X323">
        <v>85</v>
      </c>
      <c r="Y323">
        <v>3</v>
      </c>
      <c r="Z323">
        <v>4</v>
      </c>
      <c r="AA323">
        <v>5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3</v>
      </c>
      <c r="AJ323">
        <v>0</v>
      </c>
      <c r="AK323">
        <v>0</v>
      </c>
      <c r="AL323">
        <v>100</v>
      </c>
      <c r="AM323">
        <v>45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100</v>
      </c>
      <c r="AU323">
        <v>0</v>
      </c>
      <c r="AV323">
        <v>0</v>
      </c>
    </row>
    <row r="324" spans="1:48" x14ac:dyDescent="0.15">
      <c r="A324" s="4" t="str">
        <f>HYPERLINK("https://ibp.a2mac1.com/costing(costing:projects/details/9760/equipment/12211085)","DC machine - General")</f>
        <v>DC machine - General</v>
      </c>
      <c r="B324">
        <v>12211085</v>
      </c>
      <c r="C324">
        <v>12083996</v>
      </c>
      <c r="E324" t="s">
        <v>738</v>
      </c>
      <c r="H324" t="s">
        <v>162</v>
      </c>
      <c r="I324">
        <v>116914.84457142858</v>
      </c>
      <c r="J324">
        <v>0</v>
      </c>
      <c r="K324">
        <v>3.6</v>
      </c>
      <c r="L324">
        <v>0</v>
      </c>
      <c r="M324">
        <v>27.497982091197134</v>
      </c>
      <c r="N324">
        <v>0</v>
      </c>
      <c r="O324">
        <v>7.6383283586658704E-2</v>
      </c>
      <c r="P324">
        <v>1.1476333333333333E-2</v>
      </c>
      <c r="Q324">
        <v>1.1732166376415484E-2</v>
      </c>
      <c r="R324">
        <v>635568</v>
      </c>
      <c r="S324">
        <v>0</v>
      </c>
      <c r="T324">
        <v>0</v>
      </c>
      <c r="V324">
        <v>10800</v>
      </c>
      <c r="W324">
        <v>7</v>
      </c>
      <c r="X324">
        <v>85</v>
      </c>
      <c r="Y324">
        <v>3</v>
      </c>
      <c r="Z324">
        <v>4</v>
      </c>
      <c r="AA324">
        <v>5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3</v>
      </c>
      <c r="AJ324">
        <v>0</v>
      </c>
      <c r="AK324">
        <v>0</v>
      </c>
      <c r="AL324">
        <v>100</v>
      </c>
      <c r="AM324">
        <v>45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100</v>
      </c>
      <c r="AU324">
        <v>0</v>
      </c>
      <c r="AV324">
        <v>0</v>
      </c>
    </row>
    <row r="325" spans="1:48" x14ac:dyDescent="0.15">
      <c r="A325" s="4" t="str">
        <f>HYPERLINK("https://ibp.a2mac1.com/costing(costing:projects/details/9760/equipment/12211086)","DC machine - General")</f>
        <v>DC machine - General</v>
      </c>
      <c r="B325">
        <v>12211086</v>
      </c>
      <c r="C325">
        <v>12083997</v>
      </c>
      <c r="E325" t="s">
        <v>738</v>
      </c>
      <c r="H325" t="s">
        <v>162</v>
      </c>
      <c r="I325">
        <v>116914.84457142858</v>
      </c>
      <c r="J325">
        <v>0</v>
      </c>
      <c r="K325">
        <v>3.6</v>
      </c>
      <c r="L325">
        <v>0</v>
      </c>
      <c r="M325">
        <v>27.497982091197134</v>
      </c>
      <c r="N325">
        <v>0</v>
      </c>
      <c r="O325">
        <v>0.45829970151995225</v>
      </c>
      <c r="P325">
        <v>6.8858000000000003E-2</v>
      </c>
      <c r="Q325">
        <v>1.1732166376415484E-2</v>
      </c>
      <c r="R325">
        <v>635568</v>
      </c>
      <c r="S325">
        <v>0</v>
      </c>
      <c r="T325">
        <v>0</v>
      </c>
      <c r="V325">
        <v>10800</v>
      </c>
      <c r="W325">
        <v>7</v>
      </c>
      <c r="X325">
        <v>85</v>
      </c>
      <c r="Y325">
        <v>3</v>
      </c>
      <c r="Z325">
        <v>4</v>
      </c>
      <c r="AA325">
        <v>5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3</v>
      </c>
      <c r="AJ325">
        <v>0</v>
      </c>
      <c r="AK325">
        <v>0</v>
      </c>
      <c r="AL325">
        <v>100</v>
      </c>
      <c r="AM325">
        <v>45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100</v>
      </c>
      <c r="AU325">
        <v>0</v>
      </c>
      <c r="AV325">
        <v>0</v>
      </c>
    </row>
    <row r="326" spans="1:48" x14ac:dyDescent="0.15">
      <c r="A326" s="4" t="str">
        <f>HYPERLINK("https://ibp.a2mac1.com/costing(costing:projects/details/9760/equipment/12210963)","DC machine - General")</f>
        <v>DC machine - General</v>
      </c>
      <c r="B326">
        <v>12210963</v>
      </c>
      <c r="C326">
        <v>12083874</v>
      </c>
      <c r="E326" t="s">
        <v>738</v>
      </c>
      <c r="H326" t="s">
        <v>162</v>
      </c>
      <c r="I326">
        <v>116914.84457142858</v>
      </c>
      <c r="J326">
        <v>0</v>
      </c>
      <c r="K326">
        <v>3.6</v>
      </c>
      <c r="L326">
        <v>0</v>
      </c>
      <c r="M326">
        <v>27.497982091197134</v>
      </c>
      <c r="N326">
        <v>0</v>
      </c>
      <c r="O326">
        <v>2.2991368359584272</v>
      </c>
      <c r="P326">
        <v>0.34543763333333333</v>
      </c>
      <c r="Q326">
        <v>1.1732166376415484E-2</v>
      </c>
      <c r="R326">
        <v>635568</v>
      </c>
      <c r="S326">
        <v>0</v>
      </c>
      <c r="T326">
        <v>0</v>
      </c>
      <c r="V326">
        <v>10800</v>
      </c>
      <c r="W326">
        <v>7</v>
      </c>
      <c r="X326">
        <v>85</v>
      </c>
      <c r="Y326">
        <v>3</v>
      </c>
      <c r="Z326">
        <v>4</v>
      </c>
      <c r="AA326">
        <v>5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3</v>
      </c>
      <c r="AJ326">
        <v>0</v>
      </c>
      <c r="AK326">
        <v>0</v>
      </c>
      <c r="AL326">
        <v>100</v>
      </c>
      <c r="AM326">
        <v>45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100</v>
      </c>
      <c r="AU326">
        <v>0</v>
      </c>
      <c r="AV326">
        <v>0</v>
      </c>
    </row>
    <row r="327" spans="1:48" x14ac:dyDescent="0.15">
      <c r="A327" s="4" t="str">
        <f>HYPERLINK("https://ibp.a2mac1.com/costing(costing:projects/details/9760/equipment/12210964)","DC machine - General")</f>
        <v>DC machine - General</v>
      </c>
      <c r="B327">
        <v>12210964</v>
      </c>
      <c r="C327">
        <v>12083875</v>
      </c>
      <c r="E327" t="s">
        <v>738</v>
      </c>
      <c r="H327" t="s">
        <v>162</v>
      </c>
      <c r="I327">
        <v>116914.84457142858</v>
      </c>
      <c r="J327">
        <v>0</v>
      </c>
      <c r="K327">
        <v>3.6</v>
      </c>
      <c r="L327">
        <v>0</v>
      </c>
      <c r="M327">
        <v>27.497982091197134</v>
      </c>
      <c r="N327">
        <v>0</v>
      </c>
      <c r="O327">
        <v>4.437868776384871</v>
      </c>
      <c r="P327">
        <v>0.66677496666666669</v>
      </c>
      <c r="Q327">
        <v>1.1732166376415484E-2</v>
      </c>
      <c r="R327">
        <v>635568</v>
      </c>
      <c r="S327">
        <v>0</v>
      </c>
      <c r="T327">
        <v>0</v>
      </c>
      <c r="V327">
        <v>10800</v>
      </c>
      <c r="W327">
        <v>7</v>
      </c>
      <c r="X327">
        <v>85</v>
      </c>
      <c r="Y327">
        <v>3</v>
      </c>
      <c r="Z327">
        <v>4</v>
      </c>
      <c r="AA327">
        <v>5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3</v>
      </c>
      <c r="AJ327">
        <v>0</v>
      </c>
      <c r="AK327">
        <v>0</v>
      </c>
      <c r="AL327">
        <v>100</v>
      </c>
      <c r="AM327">
        <v>45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100</v>
      </c>
      <c r="AU327">
        <v>0</v>
      </c>
      <c r="AV327">
        <v>0</v>
      </c>
    </row>
    <row r="328" spans="1:48" x14ac:dyDescent="0.15">
      <c r="A328" s="4" t="str">
        <f>HYPERLINK("https://ibp.a2mac1.com/costing(costing:projects/details/9760/equipment/12210965)","DC machine - General")</f>
        <v>DC machine - General</v>
      </c>
      <c r="B328">
        <v>12210965</v>
      </c>
      <c r="C328">
        <v>12083876</v>
      </c>
      <c r="E328" t="s">
        <v>738</v>
      </c>
      <c r="H328" t="s">
        <v>162</v>
      </c>
      <c r="I328">
        <v>116914.84457142858</v>
      </c>
      <c r="J328">
        <v>0</v>
      </c>
      <c r="K328">
        <v>3.6</v>
      </c>
      <c r="L328">
        <v>0</v>
      </c>
      <c r="M328">
        <v>27.497982091197134</v>
      </c>
      <c r="N328">
        <v>0</v>
      </c>
      <c r="O328">
        <v>1.7033472239824892</v>
      </c>
      <c r="P328">
        <v>0.25592223333333336</v>
      </c>
      <c r="Q328">
        <v>1.1732166376415484E-2</v>
      </c>
      <c r="R328">
        <v>635568</v>
      </c>
      <c r="S328">
        <v>0</v>
      </c>
      <c r="T328">
        <v>0</v>
      </c>
      <c r="V328">
        <v>10800</v>
      </c>
      <c r="W328">
        <v>7</v>
      </c>
      <c r="X328">
        <v>85</v>
      </c>
      <c r="Y328">
        <v>3</v>
      </c>
      <c r="Z328">
        <v>4</v>
      </c>
      <c r="AA328">
        <v>5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3</v>
      </c>
      <c r="AJ328">
        <v>0</v>
      </c>
      <c r="AK328">
        <v>0</v>
      </c>
      <c r="AL328">
        <v>100</v>
      </c>
      <c r="AM328">
        <v>45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100</v>
      </c>
      <c r="AU328">
        <v>0</v>
      </c>
      <c r="AV328">
        <v>0</v>
      </c>
    </row>
    <row r="329" spans="1:48" x14ac:dyDescent="0.15">
      <c r="A329" s="4" t="str">
        <f>HYPERLINK("https://ibp.a2mac1.com/costing(costing:projects/details/9760/equipment/12210966)","DC machine - General")</f>
        <v>DC machine - General</v>
      </c>
      <c r="B329">
        <v>12210966</v>
      </c>
      <c r="C329">
        <v>12083877</v>
      </c>
      <c r="E329" t="s">
        <v>738</v>
      </c>
      <c r="H329" t="s">
        <v>162</v>
      </c>
      <c r="I329">
        <v>116914.84457142858</v>
      </c>
      <c r="J329">
        <v>0</v>
      </c>
      <c r="K329">
        <v>3.6</v>
      </c>
      <c r="L329">
        <v>0</v>
      </c>
      <c r="M329">
        <v>27.497982091197134</v>
      </c>
      <c r="N329">
        <v>0</v>
      </c>
      <c r="O329">
        <v>6.1106626869326969E-2</v>
      </c>
      <c r="P329">
        <v>9.1810666666666662E-3</v>
      </c>
      <c r="Q329">
        <v>5.8660831882077422E-3</v>
      </c>
      <c r="R329">
        <v>635568</v>
      </c>
      <c r="S329">
        <v>0</v>
      </c>
      <c r="T329">
        <v>0</v>
      </c>
      <c r="V329">
        <v>10800</v>
      </c>
      <c r="W329">
        <v>7</v>
      </c>
      <c r="X329">
        <v>85</v>
      </c>
      <c r="Y329">
        <v>3</v>
      </c>
      <c r="Z329">
        <v>4</v>
      </c>
      <c r="AA329">
        <v>5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3</v>
      </c>
      <c r="AJ329">
        <v>0</v>
      </c>
      <c r="AK329">
        <v>0</v>
      </c>
      <c r="AL329">
        <v>100</v>
      </c>
      <c r="AM329">
        <v>45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100</v>
      </c>
      <c r="AU329">
        <v>0</v>
      </c>
      <c r="AV329">
        <v>0</v>
      </c>
    </row>
    <row r="330" spans="1:48" x14ac:dyDescent="0.15">
      <c r="A330" s="4" t="str">
        <f>HYPERLINK("https://ibp.a2mac1.com/costing(costing:projects/details/9760/equipment/12210967)","Dummy Machine (Wireharness production line)")</f>
        <v>Dummy Machine (Wireharness production line)</v>
      </c>
      <c r="B330">
        <v>12210967</v>
      </c>
      <c r="C330">
        <v>12083878</v>
      </c>
      <c r="H330" t="s">
        <v>316</v>
      </c>
      <c r="I330">
        <v>18664.599488571428</v>
      </c>
      <c r="J330">
        <v>0</v>
      </c>
      <c r="K330">
        <v>9.6320000000000003E-2</v>
      </c>
      <c r="L330">
        <v>0</v>
      </c>
      <c r="M330">
        <v>3.815112106809937</v>
      </c>
      <c r="N330">
        <v>0</v>
      </c>
      <c r="O330">
        <v>2.5434080712066248E-2</v>
      </c>
      <c r="P330">
        <v>9.7805903200000002E-2</v>
      </c>
      <c r="Q330">
        <v>7.4898068373834779E-5</v>
      </c>
      <c r="R330">
        <v>89474.5</v>
      </c>
      <c r="S330">
        <v>0</v>
      </c>
      <c r="T330">
        <v>0</v>
      </c>
      <c r="V330">
        <v>126</v>
      </c>
      <c r="W330">
        <v>7</v>
      </c>
      <c r="X330">
        <v>85</v>
      </c>
      <c r="Y330">
        <v>3</v>
      </c>
      <c r="Z330">
        <v>4</v>
      </c>
      <c r="AA330">
        <v>5</v>
      </c>
      <c r="AB330">
        <v>0</v>
      </c>
      <c r="AC330">
        <v>0</v>
      </c>
      <c r="AD330">
        <v>0</v>
      </c>
      <c r="AE330">
        <v>0</v>
      </c>
      <c r="AF330">
        <v>3.5510000000000002</v>
      </c>
      <c r="AG330">
        <v>0</v>
      </c>
      <c r="AH330">
        <v>0</v>
      </c>
      <c r="AI330">
        <v>1.4</v>
      </c>
      <c r="AJ330">
        <v>0</v>
      </c>
      <c r="AK330">
        <v>0</v>
      </c>
      <c r="AL330">
        <v>86</v>
      </c>
      <c r="AM330">
        <v>1.4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71</v>
      </c>
      <c r="AU330">
        <v>0</v>
      </c>
      <c r="AV330">
        <v>0</v>
      </c>
    </row>
    <row r="331" spans="1:48" x14ac:dyDescent="0.15">
      <c r="A331" s="4" t="str">
        <f>HYPERLINK("https://ibp.a2mac1.com/costing(costing:projects/details/9760/equipment/12211087)","DC machine - General")</f>
        <v>DC machine - General</v>
      </c>
      <c r="B331">
        <v>12211087</v>
      </c>
      <c r="C331">
        <v>12083998</v>
      </c>
      <c r="E331" t="s">
        <v>738</v>
      </c>
      <c r="H331" t="s">
        <v>162</v>
      </c>
      <c r="I331">
        <v>116914.84457142858</v>
      </c>
      <c r="J331">
        <v>0</v>
      </c>
      <c r="K331">
        <v>3.6</v>
      </c>
      <c r="L331">
        <v>0</v>
      </c>
      <c r="M331">
        <v>27.497982091197134</v>
      </c>
      <c r="N331">
        <v>0</v>
      </c>
      <c r="O331">
        <v>3.8191641793329352E-2</v>
      </c>
      <c r="P331">
        <v>5.7381666666666666E-3</v>
      </c>
      <c r="Q331">
        <v>1.1732166376415484E-2</v>
      </c>
      <c r="R331">
        <v>635568</v>
      </c>
      <c r="S331">
        <v>0</v>
      </c>
      <c r="T331">
        <v>0</v>
      </c>
      <c r="V331">
        <v>10800</v>
      </c>
      <c r="W331">
        <v>7</v>
      </c>
      <c r="X331">
        <v>85</v>
      </c>
      <c r="Y331">
        <v>3</v>
      </c>
      <c r="Z331">
        <v>4</v>
      </c>
      <c r="AA331">
        <v>5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3</v>
      </c>
      <c r="AJ331">
        <v>0</v>
      </c>
      <c r="AK331">
        <v>0</v>
      </c>
      <c r="AL331">
        <v>100</v>
      </c>
      <c r="AM331">
        <v>45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100</v>
      </c>
      <c r="AU331">
        <v>0</v>
      </c>
      <c r="AV331">
        <v>0</v>
      </c>
    </row>
    <row r="332" spans="1:48" x14ac:dyDescent="0.15">
      <c r="A332" s="4" t="str">
        <f>HYPERLINK("https://ibp.a2mac1.com/costing(costing:projects/details/9760/equipment/12211088)","DC machine - General")</f>
        <v>DC machine - General</v>
      </c>
      <c r="B332">
        <v>12211088</v>
      </c>
      <c r="C332">
        <v>12083999</v>
      </c>
      <c r="E332" t="s">
        <v>738</v>
      </c>
      <c r="H332" t="s">
        <v>162</v>
      </c>
      <c r="I332">
        <v>116914.84457142858</v>
      </c>
      <c r="J332">
        <v>0</v>
      </c>
      <c r="K332">
        <v>3.6</v>
      </c>
      <c r="L332">
        <v>0</v>
      </c>
      <c r="M332">
        <v>27.497982091197134</v>
      </c>
      <c r="N332">
        <v>0</v>
      </c>
      <c r="O332">
        <v>3.8191641793329352E-2</v>
      </c>
      <c r="P332">
        <v>5.7381666666666666E-3</v>
      </c>
      <c r="Q332">
        <v>1.1732166376415484E-2</v>
      </c>
      <c r="R332">
        <v>635568</v>
      </c>
      <c r="S332">
        <v>0</v>
      </c>
      <c r="T332">
        <v>0</v>
      </c>
      <c r="V332">
        <v>10800</v>
      </c>
      <c r="W332">
        <v>7</v>
      </c>
      <c r="X332">
        <v>85</v>
      </c>
      <c r="Y332">
        <v>3</v>
      </c>
      <c r="Z332">
        <v>4</v>
      </c>
      <c r="AA332">
        <v>5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3</v>
      </c>
      <c r="AJ332">
        <v>0</v>
      </c>
      <c r="AK332">
        <v>0</v>
      </c>
      <c r="AL332">
        <v>100</v>
      </c>
      <c r="AM332">
        <v>45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100</v>
      </c>
      <c r="AU332">
        <v>0</v>
      </c>
      <c r="AV332">
        <v>0</v>
      </c>
    </row>
    <row r="333" spans="1:48" x14ac:dyDescent="0.15">
      <c r="A333" s="4" t="str">
        <f>HYPERLINK("https://ibp.a2mac1.com/costing(costing:projects/details/9760/equipment/12211119)","DC machine - General")</f>
        <v>DC machine - General</v>
      </c>
      <c r="B333">
        <v>12211119</v>
      </c>
      <c r="C333">
        <v>12084030</v>
      </c>
      <c r="E333" t="s">
        <v>738</v>
      </c>
      <c r="H333" t="s">
        <v>162</v>
      </c>
      <c r="I333">
        <v>116914.84457142858</v>
      </c>
      <c r="J333">
        <v>0</v>
      </c>
      <c r="K333">
        <v>3.6</v>
      </c>
      <c r="L333">
        <v>0</v>
      </c>
      <c r="M333">
        <v>27.497982091197134</v>
      </c>
      <c r="N333">
        <v>0</v>
      </c>
      <c r="O333">
        <v>0.15276656717331741</v>
      </c>
      <c r="P333">
        <v>2.2952666666666666E-2</v>
      </c>
      <c r="Q333">
        <v>1.1732166376415484E-2</v>
      </c>
      <c r="R333">
        <v>635568</v>
      </c>
      <c r="S333">
        <v>0</v>
      </c>
      <c r="T333">
        <v>0</v>
      </c>
      <c r="V333">
        <v>10800</v>
      </c>
      <c r="W333">
        <v>7</v>
      </c>
      <c r="X333">
        <v>85</v>
      </c>
      <c r="Y333">
        <v>3</v>
      </c>
      <c r="Z333">
        <v>4</v>
      </c>
      <c r="AA333">
        <v>5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3</v>
      </c>
      <c r="AJ333">
        <v>0</v>
      </c>
      <c r="AK333">
        <v>0</v>
      </c>
      <c r="AL333">
        <v>100</v>
      </c>
      <c r="AM333">
        <v>45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100</v>
      </c>
      <c r="AU333">
        <v>0</v>
      </c>
      <c r="AV333">
        <v>0</v>
      </c>
    </row>
    <row r="334" spans="1:48" x14ac:dyDescent="0.15">
      <c r="A334" s="4" t="str">
        <f>HYPERLINK("https://ibp.a2mac1.com/costing(costing:projects/details/9760/equipment/12211120)","DC machine - General")</f>
        <v>DC machine - General</v>
      </c>
      <c r="B334">
        <v>12211120</v>
      </c>
      <c r="C334">
        <v>12084031</v>
      </c>
      <c r="E334" t="s">
        <v>738</v>
      </c>
      <c r="H334" t="s">
        <v>162</v>
      </c>
      <c r="I334">
        <v>116914.84457142858</v>
      </c>
      <c r="J334">
        <v>0</v>
      </c>
      <c r="K334">
        <v>3.6</v>
      </c>
      <c r="L334">
        <v>0</v>
      </c>
      <c r="M334">
        <v>27.497982091197134</v>
      </c>
      <c r="N334">
        <v>0</v>
      </c>
      <c r="O334">
        <v>1.649878925471828</v>
      </c>
      <c r="P334">
        <v>0.24788879999999999</v>
      </c>
      <c r="Q334">
        <v>1.1732166376415484E-2</v>
      </c>
      <c r="R334">
        <v>635568</v>
      </c>
      <c r="S334">
        <v>0</v>
      </c>
      <c r="T334">
        <v>0</v>
      </c>
      <c r="V334">
        <v>10800</v>
      </c>
      <c r="W334">
        <v>7</v>
      </c>
      <c r="X334">
        <v>85</v>
      </c>
      <c r="Y334">
        <v>3</v>
      </c>
      <c r="Z334">
        <v>4</v>
      </c>
      <c r="AA334">
        <v>5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3</v>
      </c>
      <c r="AJ334">
        <v>0</v>
      </c>
      <c r="AK334">
        <v>0</v>
      </c>
      <c r="AL334">
        <v>100</v>
      </c>
      <c r="AM334">
        <v>45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100</v>
      </c>
      <c r="AU334">
        <v>0</v>
      </c>
      <c r="AV334">
        <v>0</v>
      </c>
    </row>
    <row r="335" spans="1:48" x14ac:dyDescent="0.15">
      <c r="A335" s="4" t="str">
        <f>HYPERLINK("https://ibp.a2mac1.com/costing(costing:projects/details/9760/equipment/12211121)","DC machine - General")</f>
        <v>DC machine - General</v>
      </c>
      <c r="B335">
        <v>12211121</v>
      </c>
      <c r="C335">
        <v>12084032</v>
      </c>
      <c r="E335" t="s">
        <v>738</v>
      </c>
      <c r="H335" t="s">
        <v>162</v>
      </c>
      <c r="I335">
        <v>116914.84457142858</v>
      </c>
      <c r="J335">
        <v>0</v>
      </c>
      <c r="K335">
        <v>3.6</v>
      </c>
      <c r="L335">
        <v>0</v>
      </c>
      <c r="M335">
        <v>27.497982091197134</v>
      </c>
      <c r="N335">
        <v>0</v>
      </c>
      <c r="O335">
        <v>0.15276656717331741</v>
      </c>
      <c r="P335">
        <v>2.2952666666666666E-2</v>
      </c>
      <c r="Q335">
        <v>1.1732166376415484E-2</v>
      </c>
      <c r="R335">
        <v>635568</v>
      </c>
      <c r="S335">
        <v>0</v>
      </c>
      <c r="T335">
        <v>0</v>
      </c>
      <c r="V335">
        <v>10800</v>
      </c>
      <c r="W335">
        <v>7</v>
      </c>
      <c r="X335">
        <v>85</v>
      </c>
      <c r="Y335">
        <v>3</v>
      </c>
      <c r="Z335">
        <v>4</v>
      </c>
      <c r="AA335">
        <v>5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3</v>
      </c>
      <c r="AJ335">
        <v>0</v>
      </c>
      <c r="AK335">
        <v>0</v>
      </c>
      <c r="AL335">
        <v>100</v>
      </c>
      <c r="AM335">
        <v>45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100</v>
      </c>
      <c r="AU335">
        <v>0</v>
      </c>
      <c r="AV335">
        <v>0</v>
      </c>
    </row>
    <row r="336" spans="1:48" x14ac:dyDescent="0.15">
      <c r="A336" s="4" t="str">
        <f>HYPERLINK("https://ibp.a2mac1.com/costing(costing:projects/details/9760/equipment/12211122)","DC machine - General")</f>
        <v>DC machine - General</v>
      </c>
      <c r="B336">
        <v>12211122</v>
      </c>
      <c r="C336">
        <v>12084033</v>
      </c>
      <c r="E336" t="s">
        <v>738</v>
      </c>
      <c r="H336" t="s">
        <v>162</v>
      </c>
      <c r="I336">
        <v>116914.84457142858</v>
      </c>
      <c r="J336">
        <v>0</v>
      </c>
      <c r="K336">
        <v>3.6</v>
      </c>
      <c r="L336">
        <v>0</v>
      </c>
      <c r="M336">
        <v>27.497982091197134</v>
      </c>
      <c r="N336">
        <v>0</v>
      </c>
      <c r="O336">
        <v>6.8744955227992843E-2</v>
      </c>
      <c r="P336">
        <v>1.03287E-2</v>
      </c>
      <c r="Q336">
        <v>5.8660831882077422E-3</v>
      </c>
      <c r="R336">
        <v>635568</v>
      </c>
      <c r="S336">
        <v>0</v>
      </c>
      <c r="T336">
        <v>0</v>
      </c>
      <c r="V336">
        <v>10800</v>
      </c>
      <c r="W336">
        <v>7</v>
      </c>
      <c r="X336">
        <v>85</v>
      </c>
      <c r="Y336">
        <v>3</v>
      </c>
      <c r="Z336">
        <v>4</v>
      </c>
      <c r="AA336">
        <v>5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3</v>
      </c>
      <c r="AJ336">
        <v>0</v>
      </c>
      <c r="AK336">
        <v>0</v>
      </c>
      <c r="AL336">
        <v>100</v>
      </c>
      <c r="AM336">
        <v>45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100</v>
      </c>
      <c r="AU336">
        <v>0</v>
      </c>
      <c r="AV336">
        <v>0</v>
      </c>
    </row>
    <row r="337" spans="1:48" x14ac:dyDescent="0.15">
      <c r="A337" s="4" t="str">
        <f>HYPERLINK("https://ibp.a2mac1.com/costing(costing:projects/details/9760/equipment/12210968)","DC machine - General")</f>
        <v>DC machine - General</v>
      </c>
      <c r="B337">
        <v>12210968</v>
      </c>
      <c r="C337">
        <v>12083879</v>
      </c>
      <c r="E337" t="s">
        <v>738</v>
      </c>
      <c r="H337" t="s">
        <v>162</v>
      </c>
      <c r="I337">
        <v>116914.84457142858</v>
      </c>
      <c r="J337">
        <v>0</v>
      </c>
      <c r="K337">
        <v>3.6</v>
      </c>
      <c r="L337">
        <v>0</v>
      </c>
      <c r="M337">
        <v>27.497982091197134</v>
      </c>
      <c r="N337">
        <v>0</v>
      </c>
      <c r="O337">
        <v>7.6383283586658711E-3</v>
      </c>
      <c r="P337">
        <v>1.1476333333333333E-3</v>
      </c>
      <c r="Q337">
        <v>2.9330415941038711E-3</v>
      </c>
      <c r="R337">
        <v>635568</v>
      </c>
      <c r="S337">
        <v>0</v>
      </c>
      <c r="T337">
        <v>0</v>
      </c>
      <c r="V337">
        <v>10800</v>
      </c>
      <c r="W337">
        <v>7</v>
      </c>
      <c r="X337">
        <v>85</v>
      </c>
      <c r="Y337">
        <v>3</v>
      </c>
      <c r="Z337">
        <v>4</v>
      </c>
      <c r="AA337">
        <v>5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3</v>
      </c>
      <c r="AJ337">
        <v>0</v>
      </c>
      <c r="AK337">
        <v>0</v>
      </c>
      <c r="AL337">
        <v>100</v>
      </c>
      <c r="AM337">
        <v>45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100</v>
      </c>
      <c r="AU337">
        <v>0</v>
      </c>
      <c r="AV337">
        <v>0</v>
      </c>
    </row>
    <row r="338" spans="1:48" x14ac:dyDescent="0.15">
      <c r="A338" s="4" t="str">
        <f>HYPERLINK("https://ibp.a2mac1.com/costing(costing:projects/details/9760/equipment/12210969)","DC machine - General")</f>
        <v>DC machine - General</v>
      </c>
      <c r="B338">
        <v>12210969</v>
      </c>
      <c r="C338">
        <v>12083880</v>
      </c>
      <c r="E338" t="s">
        <v>738</v>
      </c>
      <c r="H338" t="s">
        <v>162</v>
      </c>
      <c r="I338">
        <v>116914.84457142858</v>
      </c>
      <c r="J338">
        <v>0</v>
      </c>
      <c r="K338">
        <v>3.6</v>
      </c>
      <c r="L338">
        <v>0</v>
      </c>
      <c r="M338">
        <v>27.497982091197134</v>
      </c>
      <c r="N338">
        <v>0</v>
      </c>
      <c r="O338">
        <v>1.5276656717331742E-2</v>
      </c>
      <c r="P338">
        <v>2.2952666666666665E-3</v>
      </c>
      <c r="Q338">
        <v>2.9330415941038711E-3</v>
      </c>
      <c r="R338">
        <v>635568</v>
      </c>
      <c r="S338">
        <v>0</v>
      </c>
      <c r="T338">
        <v>0</v>
      </c>
      <c r="V338">
        <v>10800</v>
      </c>
      <c r="W338">
        <v>7</v>
      </c>
      <c r="X338">
        <v>85</v>
      </c>
      <c r="Y338">
        <v>3</v>
      </c>
      <c r="Z338">
        <v>4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3</v>
      </c>
      <c r="AJ338">
        <v>0</v>
      </c>
      <c r="AK338">
        <v>0</v>
      </c>
      <c r="AL338">
        <v>100</v>
      </c>
      <c r="AM338">
        <v>45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100</v>
      </c>
      <c r="AU338">
        <v>0</v>
      </c>
      <c r="AV338">
        <v>0</v>
      </c>
    </row>
    <row r="339" spans="1:48" x14ac:dyDescent="0.15">
      <c r="A339" s="4" t="str">
        <f>HYPERLINK("https://ibp.a2mac1.com/costing(costing:projects/details/9760/equipment/12210683)","DC machine - General")</f>
        <v>DC machine - General</v>
      </c>
      <c r="B339">
        <v>12210683</v>
      </c>
      <c r="C339">
        <v>12083746</v>
      </c>
      <c r="E339" t="s">
        <v>738</v>
      </c>
      <c r="H339" t="s">
        <v>162</v>
      </c>
      <c r="I339">
        <v>116914.84457142858</v>
      </c>
      <c r="J339">
        <v>0</v>
      </c>
      <c r="K339">
        <v>3.6</v>
      </c>
      <c r="L339">
        <v>0</v>
      </c>
      <c r="M339">
        <v>27.497982091197134</v>
      </c>
      <c r="N339">
        <v>0</v>
      </c>
      <c r="O339">
        <v>6.9279638213099446</v>
      </c>
      <c r="P339">
        <v>1.0409034333333333</v>
      </c>
      <c r="Q339">
        <v>1.9553610627359139E-2</v>
      </c>
      <c r="R339">
        <v>635568</v>
      </c>
      <c r="S339">
        <v>0</v>
      </c>
      <c r="T339">
        <v>0</v>
      </c>
      <c r="V339">
        <v>10800</v>
      </c>
      <c r="W339">
        <v>7</v>
      </c>
      <c r="X339">
        <v>85</v>
      </c>
      <c r="Y339">
        <v>3</v>
      </c>
      <c r="Z339">
        <v>4</v>
      </c>
      <c r="AA339">
        <v>5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3</v>
      </c>
      <c r="AJ339">
        <v>0</v>
      </c>
      <c r="AK339">
        <v>0</v>
      </c>
      <c r="AL339">
        <v>100</v>
      </c>
      <c r="AM339">
        <v>45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100</v>
      </c>
      <c r="AU339">
        <v>0</v>
      </c>
      <c r="AV339">
        <v>0</v>
      </c>
    </row>
    <row r="340" spans="1:48" x14ac:dyDescent="0.15">
      <c r="A340" s="4" t="str">
        <f>HYPERLINK("https://ibp.a2mac1.com/costing(costing:projects/details/9760/equipment/12211174)","General production process (0.5-10€)")</f>
        <v>General production process (0.5-10€)</v>
      </c>
      <c r="B340">
        <v>12211174</v>
      </c>
      <c r="C340">
        <v>12084092</v>
      </c>
      <c r="H340" t="s">
        <v>162</v>
      </c>
      <c r="I340">
        <v>116914.84457142858</v>
      </c>
      <c r="J340">
        <v>0</v>
      </c>
      <c r="K340">
        <v>3.6</v>
      </c>
      <c r="L340">
        <v>0</v>
      </c>
      <c r="M340">
        <v>27.497982091197134</v>
      </c>
      <c r="N340">
        <v>0</v>
      </c>
      <c r="O340">
        <v>5.6981929555647399</v>
      </c>
      <c r="P340">
        <v>0.8561344666666667</v>
      </c>
      <c r="Q340">
        <v>1.1732166376415484E-2</v>
      </c>
      <c r="R340">
        <v>635568</v>
      </c>
      <c r="S340">
        <v>0</v>
      </c>
      <c r="T340">
        <v>0</v>
      </c>
      <c r="V340">
        <v>10800</v>
      </c>
      <c r="W340">
        <v>7</v>
      </c>
      <c r="X340">
        <v>85</v>
      </c>
      <c r="Y340">
        <v>3</v>
      </c>
      <c r="Z340">
        <v>4</v>
      </c>
      <c r="AA340">
        <v>5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3</v>
      </c>
      <c r="AJ340">
        <v>0</v>
      </c>
      <c r="AK340">
        <v>0</v>
      </c>
      <c r="AL340">
        <v>100</v>
      </c>
      <c r="AM340">
        <v>45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100</v>
      </c>
      <c r="AU340">
        <v>0</v>
      </c>
      <c r="AV340">
        <v>0</v>
      </c>
    </row>
    <row r="341" spans="1:48" x14ac:dyDescent="0.15">
      <c r="A341" s="4" t="str">
        <f>HYPERLINK("https://ibp.a2mac1.com/costing(costing:projects/details/9760/equipment/12211137)","General production process (&gt;10€)")</f>
        <v>General production process (&gt;10€)</v>
      </c>
      <c r="B341">
        <v>12211137</v>
      </c>
      <c r="C341">
        <v>12084049</v>
      </c>
      <c r="H341" t="s">
        <v>162</v>
      </c>
      <c r="I341">
        <v>116914.84457142858</v>
      </c>
      <c r="J341">
        <v>0</v>
      </c>
      <c r="K341">
        <v>3.6</v>
      </c>
      <c r="L341">
        <v>0</v>
      </c>
      <c r="M341">
        <v>27.497982091197134</v>
      </c>
      <c r="N341">
        <v>0</v>
      </c>
      <c r="O341">
        <v>9.1736323587577111</v>
      </c>
      <c r="P341">
        <v>1.3783076333333333</v>
      </c>
      <c r="Q341">
        <v>0.19553610627359141</v>
      </c>
      <c r="R341">
        <v>635568</v>
      </c>
      <c r="S341">
        <v>0</v>
      </c>
      <c r="T341">
        <v>0</v>
      </c>
      <c r="V341">
        <v>108000</v>
      </c>
      <c r="W341">
        <v>7</v>
      </c>
      <c r="X341">
        <v>85</v>
      </c>
      <c r="Y341">
        <v>3</v>
      </c>
      <c r="Z341">
        <v>4</v>
      </c>
      <c r="AA341">
        <v>5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3</v>
      </c>
      <c r="AJ341">
        <v>0</v>
      </c>
      <c r="AK341">
        <v>0</v>
      </c>
      <c r="AL341">
        <v>100</v>
      </c>
      <c r="AM341">
        <v>45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100</v>
      </c>
      <c r="AU341">
        <v>0</v>
      </c>
      <c r="AV341">
        <v>0</v>
      </c>
    </row>
    <row r="342" spans="1:48" x14ac:dyDescent="0.15">
      <c r="A342" s="4" t="str">
        <f>HYPERLINK("https://ibp.a2mac1.com/costing(costing:projects/details/9760/equipment/12211186)","General production process (&gt;10€)")</f>
        <v>General production process (&gt;10€)</v>
      </c>
      <c r="B342">
        <v>12211186</v>
      </c>
      <c r="C342">
        <v>12084106</v>
      </c>
      <c r="H342" t="s">
        <v>162</v>
      </c>
      <c r="I342">
        <v>116914.84456965</v>
      </c>
      <c r="J342">
        <v>0</v>
      </c>
      <c r="K342">
        <v>3.6</v>
      </c>
      <c r="L342">
        <v>0</v>
      </c>
      <c r="M342">
        <v>27.497982090830924</v>
      </c>
      <c r="N342">
        <v>0</v>
      </c>
      <c r="O342">
        <v>12.450475224459556</v>
      </c>
      <c r="P342">
        <v>1.8706423333333333</v>
      </c>
      <c r="Q342">
        <v>1.1732166376349567E-2</v>
      </c>
      <c r="R342">
        <v>635567.99999000004</v>
      </c>
      <c r="S342">
        <v>0</v>
      </c>
      <c r="T342">
        <v>0</v>
      </c>
      <c r="V342">
        <v>10800</v>
      </c>
      <c r="W342">
        <v>7</v>
      </c>
      <c r="X342">
        <v>85</v>
      </c>
      <c r="Y342">
        <v>3</v>
      </c>
      <c r="Z342">
        <v>4</v>
      </c>
      <c r="AA342">
        <v>5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3</v>
      </c>
      <c r="AJ342">
        <v>0</v>
      </c>
      <c r="AK342">
        <v>0</v>
      </c>
      <c r="AL342">
        <v>100</v>
      </c>
      <c r="AM342">
        <v>45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100</v>
      </c>
      <c r="AU342">
        <v>0</v>
      </c>
      <c r="AV342">
        <v>0</v>
      </c>
    </row>
    <row r="343" spans="1:48" x14ac:dyDescent="0.15">
      <c r="A343" s="4" t="str">
        <f>HYPERLINK("https://ibp.a2mac1.com/costing(costing:projects/details/9760/equipment/12211182)","General production process (&gt;10€)")</f>
        <v>General production process (&gt;10€)</v>
      </c>
      <c r="B343">
        <v>12211182</v>
      </c>
      <c r="C343">
        <v>12084102</v>
      </c>
      <c r="H343" t="s">
        <v>162</v>
      </c>
      <c r="I343">
        <v>116914.84456965</v>
      </c>
      <c r="J343">
        <v>0</v>
      </c>
      <c r="K343">
        <v>3.6</v>
      </c>
      <c r="L343">
        <v>0</v>
      </c>
      <c r="M343">
        <v>27.497982090830924</v>
      </c>
      <c r="N343">
        <v>0</v>
      </c>
      <c r="O343">
        <v>23.663541254831721</v>
      </c>
      <c r="P343">
        <v>3.5553680666666665</v>
      </c>
      <c r="Q343">
        <v>1.1732166376349567E-2</v>
      </c>
      <c r="R343">
        <v>635567.99999000004</v>
      </c>
      <c r="S343">
        <v>0</v>
      </c>
      <c r="T343">
        <v>0</v>
      </c>
      <c r="V343">
        <v>10800</v>
      </c>
      <c r="W343">
        <v>7</v>
      </c>
      <c r="X343">
        <v>85</v>
      </c>
      <c r="Y343">
        <v>3</v>
      </c>
      <c r="Z343">
        <v>4</v>
      </c>
      <c r="AA343">
        <v>5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3</v>
      </c>
      <c r="AJ343">
        <v>0</v>
      </c>
      <c r="AK343">
        <v>0</v>
      </c>
      <c r="AL343">
        <v>100</v>
      </c>
      <c r="AM343">
        <v>45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100</v>
      </c>
      <c r="AU343">
        <v>0</v>
      </c>
      <c r="AV343">
        <v>0</v>
      </c>
    </row>
    <row r="344" spans="1:48" x14ac:dyDescent="0.15">
      <c r="A344" s="4" t="str">
        <f>HYPERLINK("https://ibp.a2mac1.com/costing(costing:projects/details/9760/equipment/12211183)","General production process (&gt;10€)")</f>
        <v>General production process (&gt;10€)</v>
      </c>
      <c r="B344">
        <v>12211183</v>
      </c>
      <c r="C344">
        <v>12084103</v>
      </c>
      <c r="H344" t="s">
        <v>162</v>
      </c>
      <c r="I344">
        <v>116914.84456965</v>
      </c>
      <c r="J344">
        <v>0</v>
      </c>
      <c r="K344">
        <v>3.6</v>
      </c>
      <c r="L344">
        <v>0</v>
      </c>
      <c r="M344">
        <v>27.497982090830924</v>
      </c>
      <c r="N344">
        <v>0</v>
      </c>
      <c r="O344">
        <v>33.264920001546855</v>
      </c>
      <c r="P344">
        <v>4.9979431666666665</v>
      </c>
      <c r="Q344">
        <v>1.1732166376349567E-2</v>
      </c>
      <c r="R344">
        <v>635567.99999000004</v>
      </c>
      <c r="S344">
        <v>0</v>
      </c>
      <c r="T344">
        <v>0</v>
      </c>
      <c r="V344">
        <v>10800</v>
      </c>
      <c r="W344">
        <v>7</v>
      </c>
      <c r="X344">
        <v>85</v>
      </c>
      <c r="Y344">
        <v>3</v>
      </c>
      <c r="Z344">
        <v>4</v>
      </c>
      <c r="AA344">
        <v>5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3</v>
      </c>
      <c r="AJ344">
        <v>0</v>
      </c>
      <c r="AK344">
        <v>0</v>
      </c>
      <c r="AL344">
        <v>100</v>
      </c>
      <c r="AM344">
        <v>45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100</v>
      </c>
      <c r="AU344">
        <v>0</v>
      </c>
      <c r="AV344">
        <v>0</v>
      </c>
    </row>
    <row r="345" spans="1:48" x14ac:dyDescent="0.15">
      <c r="A345" s="4" t="str">
        <f>HYPERLINK("https://ibp.a2mac1.com/costing(costing:projects/details/9760/equipment/12211184)","General production process (&gt;10€)")</f>
        <v>General production process (&gt;10€)</v>
      </c>
      <c r="B345">
        <v>12211184</v>
      </c>
      <c r="C345">
        <v>12084104</v>
      </c>
      <c r="H345" t="s">
        <v>162</v>
      </c>
      <c r="I345">
        <v>116914.84456965</v>
      </c>
      <c r="J345">
        <v>0</v>
      </c>
      <c r="K345">
        <v>3.6</v>
      </c>
      <c r="L345">
        <v>0</v>
      </c>
      <c r="M345">
        <v>27.497982090830924</v>
      </c>
      <c r="N345">
        <v>0</v>
      </c>
      <c r="O345">
        <v>31.966404180590949</v>
      </c>
      <c r="P345">
        <v>4.8028455000000001</v>
      </c>
      <c r="Q345">
        <v>1.1732166376349567E-2</v>
      </c>
      <c r="R345">
        <v>635567.99999000004</v>
      </c>
      <c r="S345">
        <v>0</v>
      </c>
      <c r="T345">
        <v>0</v>
      </c>
      <c r="V345">
        <v>10800</v>
      </c>
      <c r="W345">
        <v>7</v>
      </c>
      <c r="X345">
        <v>85</v>
      </c>
      <c r="Y345">
        <v>3</v>
      </c>
      <c r="Z345">
        <v>4</v>
      </c>
      <c r="AA345">
        <v>5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3</v>
      </c>
      <c r="AJ345">
        <v>0</v>
      </c>
      <c r="AK345">
        <v>0</v>
      </c>
      <c r="AL345">
        <v>100</v>
      </c>
      <c r="AM345">
        <v>45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100</v>
      </c>
      <c r="AU345">
        <v>0</v>
      </c>
      <c r="AV345">
        <v>0</v>
      </c>
    </row>
    <row r="346" spans="1:48" x14ac:dyDescent="0.15">
      <c r="A346" s="4" t="str">
        <f>HYPERLINK("https://ibp.a2mac1.com/costing(costing:projects/details/9760/equipment/12211185)","General production process (&gt;10€)")</f>
        <v>General production process (&gt;10€)</v>
      </c>
      <c r="B346">
        <v>12211185</v>
      </c>
      <c r="C346">
        <v>12084105</v>
      </c>
      <c r="H346" t="s">
        <v>162</v>
      </c>
      <c r="I346">
        <v>116914.84456965</v>
      </c>
      <c r="J346">
        <v>0</v>
      </c>
      <c r="K346">
        <v>3.6</v>
      </c>
      <c r="L346">
        <v>0</v>
      </c>
      <c r="M346">
        <v>27.497982090830924</v>
      </c>
      <c r="N346">
        <v>0</v>
      </c>
      <c r="O346">
        <v>15.658573135056498</v>
      </c>
      <c r="P346">
        <v>2.3526483333333332</v>
      </c>
      <c r="Q346">
        <v>1.1732166376349567E-2</v>
      </c>
      <c r="R346">
        <v>635567.99999000004</v>
      </c>
      <c r="S346">
        <v>0</v>
      </c>
      <c r="T346">
        <v>0</v>
      </c>
      <c r="V346">
        <v>10800</v>
      </c>
      <c r="W346">
        <v>7</v>
      </c>
      <c r="X346">
        <v>85</v>
      </c>
      <c r="Y346">
        <v>3</v>
      </c>
      <c r="Z346">
        <v>4</v>
      </c>
      <c r="AA346">
        <v>5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3</v>
      </c>
      <c r="AJ346">
        <v>0</v>
      </c>
      <c r="AK346">
        <v>0</v>
      </c>
      <c r="AL346">
        <v>100</v>
      </c>
      <c r="AM346">
        <v>45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100</v>
      </c>
      <c r="AU346">
        <v>0</v>
      </c>
      <c r="AV346">
        <v>0</v>
      </c>
    </row>
    <row r="347" spans="1:48" x14ac:dyDescent="0.15">
      <c r="A347" s="4" t="str">
        <f>HYPERLINK("https://ibp.a2mac1.com/costing(costing:projects/details/9760/equipment/12211178)","General production process (&gt;10€)")</f>
        <v>General production process (&gt;10€)</v>
      </c>
      <c r="B347">
        <v>12211178</v>
      </c>
      <c r="C347">
        <v>12084098</v>
      </c>
      <c r="H347" t="s">
        <v>162</v>
      </c>
      <c r="I347">
        <v>116914.84456965</v>
      </c>
      <c r="J347">
        <v>0</v>
      </c>
      <c r="K347">
        <v>3.6</v>
      </c>
      <c r="L347">
        <v>0</v>
      </c>
      <c r="M347">
        <v>27.497982090830924</v>
      </c>
      <c r="N347">
        <v>0</v>
      </c>
      <c r="O347">
        <v>9.1659940302769733</v>
      </c>
      <c r="P347">
        <v>1.3771599999999999</v>
      </c>
      <c r="Q347">
        <v>1.1732166376349567E-2</v>
      </c>
      <c r="R347">
        <v>635567.99999000004</v>
      </c>
      <c r="S347">
        <v>0</v>
      </c>
      <c r="T347">
        <v>0</v>
      </c>
      <c r="V347">
        <v>10800</v>
      </c>
      <c r="W347">
        <v>7</v>
      </c>
      <c r="X347">
        <v>85</v>
      </c>
      <c r="Y347">
        <v>3</v>
      </c>
      <c r="Z347">
        <v>4</v>
      </c>
      <c r="AA347">
        <v>5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3</v>
      </c>
      <c r="AJ347">
        <v>0</v>
      </c>
      <c r="AK347">
        <v>0</v>
      </c>
      <c r="AL347">
        <v>100</v>
      </c>
      <c r="AM347">
        <v>45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100</v>
      </c>
      <c r="AU347">
        <v>0</v>
      </c>
      <c r="AV347">
        <v>0</v>
      </c>
    </row>
    <row r="348" spans="1:48" x14ac:dyDescent="0.15">
      <c r="A348" s="4" t="str">
        <f>HYPERLINK("https://ibp.a2mac1.com/costing(costing:projects/details/9760/equipment/12211179)","General production process (&gt;10€)")</f>
        <v>General production process (&gt;10€)</v>
      </c>
      <c r="B348">
        <v>12211179</v>
      </c>
      <c r="C348">
        <v>12084099</v>
      </c>
      <c r="H348" t="s">
        <v>162</v>
      </c>
      <c r="I348">
        <v>116914.84456965</v>
      </c>
      <c r="J348">
        <v>0</v>
      </c>
      <c r="K348">
        <v>3.6</v>
      </c>
      <c r="L348">
        <v>0</v>
      </c>
      <c r="M348">
        <v>27.497982090830924</v>
      </c>
      <c r="N348">
        <v>0</v>
      </c>
      <c r="O348">
        <v>5.9884494331142895</v>
      </c>
      <c r="P348">
        <v>0.89974453333333337</v>
      </c>
      <c r="Q348">
        <v>1.1732166376349567E-2</v>
      </c>
      <c r="R348">
        <v>635567.99999000004</v>
      </c>
      <c r="S348">
        <v>0</v>
      </c>
      <c r="T348">
        <v>0</v>
      </c>
      <c r="V348">
        <v>10800</v>
      </c>
      <c r="W348">
        <v>7</v>
      </c>
      <c r="X348">
        <v>85</v>
      </c>
      <c r="Y348">
        <v>3</v>
      </c>
      <c r="Z348">
        <v>4</v>
      </c>
      <c r="AA348">
        <v>5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3</v>
      </c>
      <c r="AJ348">
        <v>0</v>
      </c>
      <c r="AK348">
        <v>0</v>
      </c>
      <c r="AL348">
        <v>100</v>
      </c>
      <c r="AM348">
        <v>45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100</v>
      </c>
      <c r="AU348">
        <v>0</v>
      </c>
      <c r="AV348">
        <v>0</v>
      </c>
    </row>
    <row r="349" spans="1:48" x14ac:dyDescent="0.15">
      <c r="A349" s="4" t="str">
        <f>HYPERLINK("https://ibp.a2mac1.com/costing(costing:projects/details/9760/equipment/12211180)","General production process (&gt;10€)")</f>
        <v>General production process (&gt;10€)</v>
      </c>
      <c r="B349">
        <v>12211180</v>
      </c>
      <c r="C349">
        <v>12084100</v>
      </c>
      <c r="H349" t="s">
        <v>162</v>
      </c>
      <c r="I349">
        <v>116914.84456965</v>
      </c>
      <c r="J349">
        <v>0</v>
      </c>
      <c r="K349">
        <v>3.6</v>
      </c>
      <c r="L349">
        <v>0</v>
      </c>
      <c r="M349">
        <v>27.497982090830924</v>
      </c>
      <c r="N349">
        <v>0</v>
      </c>
      <c r="O349">
        <v>5.7287462689231088</v>
      </c>
      <c r="P349">
        <v>0.86072499999999996</v>
      </c>
      <c r="Q349">
        <v>1.1732166376349567E-2</v>
      </c>
      <c r="R349">
        <v>635567.99999000004</v>
      </c>
      <c r="S349">
        <v>0</v>
      </c>
      <c r="T349">
        <v>0</v>
      </c>
      <c r="V349">
        <v>10800</v>
      </c>
      <c r="W349">
        <v>7</v>
      </c>
      <c r="X349">
        <v>85</v>
      </c>
      <c r="Y349">
        <v>3</v>
      </c>
      <c r="Z349">
        <v>4</v>
      </c>
      <c r="AA349">
        <v>5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3</v>
      </c>
      <c r="AJ349">
        <v>0</v>
      </c>
      <c r="AK349">
        <v>0</v>
      </c>
      <c r="AL349">
        <v>100</v>
      </c>
      <c r="AM349">
        <v>45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100</v>
      </c>
      <c r="AU349">
        <v>0</v>
      </c>
      <c r="AV349">
        <v>0</v>
      </c>
    </row>
    <row r="350" spans="1:48" x14ac:dyDescent="0.15">
      <c r="A350" s="4" t="str">
        <f>HYPERLINK("https://ibp.a2mac1.com/costing(costing:projects/details/9760/equipment/12211181)","General production process (&gt;10€)")</f>
        <v>General production process (&gt;10€)</v>
      </c>
      <c r="B350">
        <v>12211181</v>
      </c>
      <c r="C350">
        <v>12084101</v>
      </c>
      <c r="H350" t="s">
        <v>162</v>
      </c>
      <c r="I350">
        <v>116914.84456965</v>
      </c>
      <c r="J350">
        <v>0</v>
      </c>
      <c r="K350">
        <v>3.6</v>
      </c>
      <c r="L350">
        <v>0</v>
      </c>
      <c r="M350">
        <v>27.497982090830924</v>
      </c>
      <c r="N350">
        <v>0</v>
      </c>
      <c r="O350">
        <v>4.2774638807959215</v>
      </c>
      <c r="P350">
        <v>0.64267466666666662</v>
      </c>
      <c r="Q350">
        <v>1.1732166376349567E-2</v>
      </c>
      <c r="R350">
        <v>635567.99999000004</v>
      </c>
      <c r="S350">
        <v>0</v>
      </c>
      <c r="T350">
        <v>0</v>
      </c>
      <c r="V350">
        <v>10800</v>
      </c>
      <c r="W350">
        <v>7</v>
      </c>
      <c r="X350">
        <v>85</v>
      </c>
      <c r="Y350">
        <v>3</v>
      </c>
      <c r="Z350">
        <v>4</v>
      </c>
      <c r="AA350">
        <v>5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3</v>
      </c>
      <c r="AJ350">
        <v>0</v>
      </c>
      <c r="AK350">
        <v>0</v>
      </c>
      <c r="AL350">
        <v>100</v>
      </c>
      <c r="AM350">
        <v>45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100</v>
      </c>
      <c r="AU350">
        <v>0</v>
      </c>
      <c r="AV350">
        <v>0</v>
      </c>
    </row>
    <row r="351" spans="1:48" x14ac:dyDescent="0.15">
      <c r="A351" s="4" t="str">
        <f>HYPERLINK("https://ibp.a2mac1.com/costing(costing:projects/details/9760/equipment/12211175)","General production process (&gt;10€)")</f>
        <v>General production process (&gt;10€)</v>
      </c>
      <c r="B351">
        <v>12211175</v>
      </c>
      <c r="C351">
        <v>12084095</v>
      </c>
      <c r="H351" t="s">
        <v>162</v>
      </c>
      <c r="I351">
        <v>116914.84456965</v>
      </c>
      <c r="J351">
        <v>0</v>
      </c>
      <c r="K351">
        <v>3.6</v>
      </c>
      <c r="L351">
        <v>0</v>
      </c>
      <c r="M351">
        <v>27.497982090830924</v>
      </c>
      <c r="N351">
        <v>0</v>
      </c>
      <c r="O351">
        <v>16.116872836570348</v>
      </c>
      <c r="P351">
        <v>2.4215063333333333</v>
      </c>
      <c r="Q351">
        <v>1.1732166376349567E-2</v>
      </c>
      <c r="R351">
        <v>635567.99999000004</v>
      </c>
      <c r="S351">
        <v>0</v>
      </c>
      <c r="T351">
        <v>0</v>
      </c>
      <c r="V351">
        <v>10800</v>
      </c>
      <c r="W351">
        <v>7</v>
      </c>
      <c r="X351">
        <v>85</v>
      </c>
      <c r="Y351">
        <v>3</v>
      </c>
      <c r="Z351">
        <v>4</v>
      </c>
      <c r="AA351">
        <v>5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3</v>
      </c>
      <c r="AJ351">
        <v>0</v>
      </c>
      <c r="AK351">
        <v>0</v>
      </c>
      <c r="AL351">
        <v>100</v>
      </c>
      <c r="AM351">
        <v>45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100</v>
      </c>
      <c r="AU351">
        <v>0</v>
      </c>
      <c r="AV351">
        <v>0</v>
      </c>
    </row>
    <row r="352" spans="1:48" x14ac:dyDescent="0.15">
      <c r="A352" s="4" t="str">
        <f>HYPERLINK("https://ibp.a2mac1.com/costing(costing:projects/details/9760/equipment/12211176)","General production process (&gt;10€)")</f>
        <v>General production process (&gt;10€)</v>
      </c>
      <c r="B352">
        <v>12211176</v>
      </c>
      <c r="C352">
        <v>12084096</v>
      </c>
      <c r="H352" t="s">
        <v>162</v>
      </c>
      <c r="I352">
        <v>116914.84456965</v>
      </c>
      <c r="J352">
        <v>0</v>
      </c>
      <c r="K352">
        <v>3.6</v>
      </c>
      <c r="L352">
        <v>0</v>
      </c>
      <c r="M352">
        <v>27.497982090830924</v>
      </c>
      <c r="N352">
        <v>0</v>
      </c>
      <c r="O352">
        <v>2.1387319403979608</v>
      </c>
      <c r="P352">
        <v>0.32133733333333331</v>
      </c>
      <c r="Q352">
        <v>1.1732166376349567E-2</v>
      </c>
      <c r="R352">
        <v>635567.99999000004</v>
      </c>
      <c r="S352">
        <v>0</v>
      </c>
      <c r="T352">
        <v>0</v>
      </c>
      <c r="V352">
        <v>10800</v>
      </c>
      <c r="W352">
        <v>7</v>
      </c>
      <c r="X352">
        <v>85</v>
      </c>
      <c r="Y352">
        <v>3</v>
      </c>
      <c r="Z352">
        <v>4</v>
      </c>
      <c r="AA352">
        <v>5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3</v>
      </c>
      <c r="AJ352">
        <v>0</v>
      </c>
      <c r="AK352">
        <v>0</v>
      </c>
      <c r="AL352">
        <v>100</v>
      </c>
      <c r="AM352">
        <v>45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100</v>
      </c>
      <c r="AU352">
        <v>0</v>
      </c>
      <c r="AV352">
        <v>0</v>
      </c>
    </row>
    <row r="353" spans="1:48" x14ac:dyDescent="0.15">
      <c r="A353" s="4" t="str">
        <f>HYPERLINK("https://ibp.a2mac1.com/costing(costing:projects/details/9760/equipment/12211177)","General production process (&gt;10€)")</f>
        <v>General production process (&gt;10€)</v>
      </c>
      <c r="B353">
        <v>12211177</v>
      </c>
      <c r="C353">
        <v>12084097</v>
      </c>
      <c r="H353" t="s">
        <v>162</v>
      </c>
      <c r="I353">
        <v>116914.84456965</v>
      </c>
      <c r="J353">
        <v>0</v>
      </c>
      <c r="K353">
        <v>3.6</v>
      </c>
      <c r="L353">
        <v>0</v>
      </c>
      <c r="M353">
        <v>27.497982090830924</v>
      </c>
      <c r="N353">
        <v>0</v>
      </c>
      <c r="O353">
        <v>3.2692045374654541</v>
      </c>
      <c r="P353">
        <v>0.49118706666666667</v>
      </c>
      <c r="Q353">
        <v>1.1732166376349567E-2</v>
      </c>
      <c r="R353">
        <v>635567.99999000004</v>
      </c>
      <c r="S353">
        <v>0</v>
      </c>
      <c r="T353">
        <v>0</v>
      </c>
      <c r="V353">
        <v>10800</v>
      </c>
      <c r="W353">
        <v>7</v>
      </c>
      <c r="X353">
        <v>85</v>
      </c>
      <c r="Y353">
        <v>3</v>
      </c>
      <c r="Z353">
        <v>4</v>
      </c>
      <c r="AA353">
        <v>5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3</v>
      </c>
      <c r="AJ353">
        <v>0</v>
      </c>
      <c r="AK353">
        <v>0</v>
      </c>
      <c r="AL353">
        <v>100</v>
      </c>
      <c r="AM353">
        <v>45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100</v>
      </c>
      <c r="AU353">
        <v>0</v>
      </c>
      <c r="AV353">
        <v>0</v>
      </c>
    </row>
    <row r="354" spans="1:48" x14ac:dyDescent="0.15">
      <c r="A354" s="4" t="str">
        <f>HYPERLINK("https://ibp.a2mac1.com/costing(costing:projects/details/9760/equipment/12211138)","Machine 1")</f>
        <v>Machine 1</v>
      </c>
      <c r="B354">
        <v>12211138</v>
      </c>
      <c r="C354">
        <v>12084051</v>
      </c>
      <c r="H354" t="s">
        <v>162</v>
      </c>
      <c r="I354">
        <v>415707.97400804999</v>
      </c>
      <c r="J354">
        <v>0</v>
      </c>
      <c r="K354">
        <v>5.1996000000000002</v>
      </c>
      <c r="L354">
        <v>0</v>
      </c>
      <c r="M354">
        <v>90.689817505552881</v>
      </c>
      <c r="N354">
        <v>0</v>
      </c>
      <c r="O354">
        <v>1.5114969584258813</v>
      </c>
      <c r="P354">
        <v>6.8858000000000003E-2</v>
      </c>
      <c r="Q354">
        <v>5.162502875277644E-3</v>
      </c>
      <c r="R354">
        <v>2324243.1862300001</v>
      </c>
      <c r="S354">
        <v>0</v>
      </c>
      <c r="T354">
        <v>0</v>
      </c>
      <c r="V354">
        <v>1800</v>
      </c>
      <c r="W354">
        <v>7</v>
      </c>
      <c r="X354">
        <v>85</v>
      </c>
      <c r="Y354">
        <v>3</v>
      </c>
      <c r="Z354">
        <v>4</v>
      </c>
      <c r="AA354">
        <v>5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86.66</v>
      </c>
      <c r="AM354">
        <v>75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60</v>
      </c>
      <c r="AU354">
        <v>0</v>
      </c>
      <c r="AV354">
        <v>0</v>
      </c>
    </row>
    <row r="355" spans="1:48" x14ac:dyDescent="0.15">
      <c r="A355" s="4" t="str">
        <f>HYPERLINK("https://ibp.a2mac1.com/costing(costing:projects/details/9760/equipment/12211139)","Machine 1")</f>
        <v>Machine 1</v>
      </c>
      <c r="B355">
        <v>12211139</v>
      </c>
      <c r="C355">
        <v>12084052</v>
      </c>
      <c r="H355" t="s">
        <v>162</v>
      </c>
      <c r="I355">
        <v>2012747.1448928572</v>
      </c>
      <c r="J355">
        <v>0</v>
      </c>
      <c r="K355">
        <v>5.1996000000000002</v>
      </c>
      <c r="L355">
        <v>0</v>
      </c>
      <c r="M355">
        <v>419.52395541511686</v>
      </c>
      <c r="N355">
        <v>0</v>
      </c>
      <c r="O355">
        <v>6.9920659235852813</v>
      </c>
      <c r="P355">
        <v>6.8858000000000003E-2</v>
      </c>
      <c r="Q355">
        <v>2.1604209770755844E-2</v>
      </c>
      <c r="R355">
        <v>11303579.890000001</v>
      </c>
      <c r="S355">
        <v>0</v>
      </c>
      <c r="T355">
        <v>0</v>
      </c>
      <c r="V355">
        <v>1800</v>
      </c>
      <c r="W355">
        <v>7</v>
      </c>
      <c r="X355">
        <v>85</v>
      </c>
      <c r="Y355">
        <v>3</v>
      </c>
      <c r="Z355">
        <v>4</v>
      </c>
      <c r="AA355">
        <v>5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86.66</v>
      </c>
      <c r="AM355">
        <v>75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60</v>
      </c>
      <c r="AU355">
        <v>0</v>
      </c>
      <c r="AV355">
        <v>0</v>
      </c>
    </row>
    <row r="356" spans="1:48" x14ac:dyDescent="0.15">
      <c r="A356" s="4" t="str">
        <f>HYPERLINK("https://ibp.a2mac1.com/costing(costing:projects/details/9760/equipment/12211140)","Machine 1")</f>
        <v>Machine 1</v>
      </c>
      <c r="B356">
        <v>12211140</v>
      </c>
      <c r="C356">
        <v>12084053</v>
      </c>
      <c r="H356" t="s">
        <v>162</v>
      </c>
      <c r="I356">
        <v>140832.9629721643</v>
      </c>
      <c r="J356">
        <v>0</v>
      </c>
      <c r="K356">
        <v>5.1996000000000002</v>
      </c>
      <c r="L356">
        <v>0</v>
      </c>
      <c r="M356">
        <v>34.092403406567712</v>
      </c>
      <c r="N356">
        <v>0</v>
      </c>
      <c r="O356">
        <v>0.5682067234427951</v>
      </c>
      <c r="P356">
        <v>6.8858000000000003E-2</v>
      </c>
      <c r="Q356">
        <v>2.3326321703283854E-3</v>
      </c>
      <c r="R356">
        <v>778761.19646999997</v>
      </c>
      <c r="S356">
        <v>0</v>
      </c>
      <c r="T356">
        <v>0</v>
      </c>
      <c r="V356">
        <v>1800</v>
      </c>
      <c r="W356">
        <v>7</v>
      </c>
      <c r="X356">
        <v>85</v>
      </c>
      <c r="Y356">
        <v>3</v>
      </c>
      <c r="Z356">
        <v>4</v>
      </c>
      <c r="AA356">
        <v>5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86.66</v>
      </c>
      <c r="AM356">
        <v>75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60</v>
      </c>
      <c r="AU356">
        <v>0</v>
      </c>
      <c r="AV356">
        <v>0</v>
      </c>
    </row>
    <row r="357" spans="1:48" x14ac:dyDescent="0.15">
      <c r="A357" s="4" t="str">
        <f>HYPERLINK("https://ibp.a2mac1.com/costing(costing:projects/details/9760/equipment/12211141)","Machine 1")</f>
        <v>Machine 1</v>
      </c>
      <c r="B357">
        <v>12211141</v>
      </c>
      <c r="C357">
        <v>12084054</v>
      </c>
      <c r="H357" t="s">
        <v>162</v>
      </c>
      <c r="I357">
        <v>202955.55307457142</v>
      </c>
      <c r="J357">
        <v>0</v>
      </c>
      <c r="K357">
        <v>5.1996000000000002</v>
      </c>
      <c r="L357">
        <v>0</v>
      </c>
      <c r="M357">
        <v>46.883591458465354</v>
      </c>
      <c r="N357">
        <v>0</v>
      </c>
      <c r="O357">
        <v>0.7813931909744225</v>
      </c>
      <c r="P357">
        <v>6.8858000000000003E-2</v>
      </c>
      <c r="Q357">
        <v>2.9721915729232678E-3</v>
      </c>
      <c r="R357">
        <v>1128044.8356000001</v>
      </c>
      <c r="S357">
        <v>0</v>
      </c>
      <c r="T357">
        <v>0</v>
      </c>
      <c r="V357">
        <v>1800</v>
      </c>
      <c r="W357">
        <v>7</v>
      </c>
      <c r="X357">
        <v>85</v>
      </c>
      <c r="Y357">
        <v>3</v>
      </c>
      <c r="Z357">
        <v>4</v>
      </c>
      <c r="AA357">
        <v>5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86.66</v>
      </c>
      <c r="AM357">
        <v>75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60</v>
      </c>
      <c r="AU357">
        <v>0</v>
      </c>
      <c r="AV357">
        <v>0</v>
      </c>
    </row>
    <row r="358" spans="1:48" x14ac:dyDescent="0.15">
      <c r="A358" s="4" t="str">
        <f>HYPERLINK("https://ibp.a2mac1.com/costing(costing:projects/details/9760/equipment/12211142)","Machine 1")</f>
        <v>Machine 1</v>
      </c>
      <c r="B358">
        <v>12211142</v>
      </c>
      <c r="C358">
        <v>12084055</v>
      </c>
      <c r="H358" t="s">
        <v>162</v>
      </c>
      <c r="I358">
        <v>921902.38234298571</v>
      </c>
      <c r="J358">
        <v>0</v>
      </c>
      <c r="K358">
        <v>5.1996000000000002</v>
      </c>
      <c r="L358">
        <v>0</v>
      </c>
      <c r="M358">
        <v>194.91644194535289</v>
      </c>
      <c r="N358">
        <v>0</v>
      </c>
      <c r="O358">
        <v>3.2486073657558814</v>
      </c>
      <c r="P358">
        <v>6.8858000000000003E-2</v>
      </c>
      <c r="Q358">
        <v>1.0373834097267646E-2</v>
      </c>
      <c r="R358">
        <v>5170316.1648199996</v>
      </c>
      <c r="S358">
        <v>0</v>
      </c>
      <c r="T358">
        <v>0</v>
      </c>
      <c r="V358">
        <v>1800</v>
      </c>
      <c r="W358">
        <v>7</v>
      </c>
      <c r="X358">
        <v>85</v>
      </c>
      <c r="Y358">
        <v>3</v>
      </c>
      <c r="Z358">
        <v>4</v>
      </c>
      <c r="AA358">
        <v>5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86.66</v>
      </c>
      <c r="AM358">
        <v>75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60</v>
      </c>
      <c r="AU358">
        <v>0</v>
      </c>
      <c r="AV358">
        <v>0</v>
      </c>
    </row>
    <row r="359" spans="1:48" x14ac:dyDescent="0.15">
      <c r="A359" s="4" t="str">
        <f>HYPERLINK("https://ibp.a2mac1.com/costing(costing:projects/details/9760/equipment/12211143)","Machine 1")</f>
        <v>Machine 1</v>
      </c>
      <c r="B359">
        <v>12211143</v>
      </c>
      <c r="C359">
        <v>12084056</v>
      </c>
      <c r="H359" t="s">
        <v>162</v>
      </c>
      <c r="I359">
        <v>379132.42657641426</v>
      </c>
      <c r="J359">
        <v>0</v>
      </c>
      <c r="K359">
        <v>5.1996000000000002</v>
      </c>
      <c r="L359">
        <v>0</v>
      </c>
      <c r="M359">
        <v>83.158825888366167</v>
      </c>
      <c r="N359">
        <v>0</v>
      </c>
      <c r="O359">
        <v>1.3859804314727695</v>
      </c>
      <c r="P359">
        <v>6.8858000000000003E-2</v>
      </c>
      <c r="Q359">
        <v>4.7859532944183082E-3</v>
      </c>
      <c r="R359">
        <v>2118597.5380199999</v>
      </c>
      <c r="S359">
        <v>0</v>
      </c>
      <c r="T359">
        <v>0</v>
      </c>
      <c r="V359">
        <v>1800</v>
      </c>
      <c r="W359">
        <v>7</v>
      </c>
      <c r="X359">
        <v>85</v>
      </c>
      <c r="Y359">
        <v>3</v>
      </c>
      <c r="Z359">
        <v>4</v>
      </c>
      <c r="AA359">
        <v>5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86.66</v>
      </c>
      <c r="AM359">
        <v>75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60</v>
      </c>
      <c r="AU359">
        <v>0</v>
      </c>
      <c r="AV359">
        <v>0</v>
      </c>
    </row>
    <row r="360" spans="1:48" x14ac:dyDescent="0.15">
      <c r="A360" s="4" t="str">
        <f>HYPERLINK("https://ibp.a2mac1.com/costing(costing:projects/details/9760/equipment/12211144)","Machine 1")</f>
        <v>Machine 1</v>
      </c>
      <c r="B360">
        <v>12211144</v>
      </c>
      <c r="C360">
        <v>12084057</v>
      </c>
      <c r="H360" t="s">
        <v>162</v>
      </c>
      <c r="I360">
        <v>379132.42657641426</v>
      </c>
      <c r="J360">
        <v>0</v>
      </c>
      <c r="K360">
        <v>5.1996000000000002</v>
      </c>
      <c r="L360">
        <v>0</v>
      </c>
      <c r="M360">
        <v>83.158825888366167</v>
      </c>
      <c r="N360">
        <v>0</v>
      </c>
      <c r="O360">
        <v>1.3859804314727695</v>
      </c>
      <c r="P360">
        <v>6.8858000000000003E-2</v>
      </c>
      <c r="Q360">
        <v>4.7859532944183082E-3</v>
      </c>
      <c r="R360">
        <v>2118597.5380199999</v>
      </c>
      <c r="S360">
        <v>0</v>
      </c>
      <c r="T360">
        <v>0</v>
      </c>
      <c r="V360">
        <v>1800</v>
      </c>
      <c r="W360">
        <v>7</v>
      </c>
      <c r="X360">
        <v>85</v>
      </c>
      <c r="Y360">
        <v>3</v>
      </c>
      <c r="Z360">
        <v>4</v>
      </c>
      <c r="AA360">
        <v>5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86.66</v>
      </c>
      <c r="AM360">
        <v>75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60</v>
      </c>
      <c r="AU360">
        <v>0</v>
      </c>
      <c r="AV360">
        <v>0</v>
      </c>
    </row>
    <row r="361" spans="1:48" x14ac:dyDescent="0.15">
      <c r="A361" s="4" t="str">
        <f>HYPERLINK("https://ibp.a2mac1.com/costing(costing:projects/details/9760/equipment/12211145)","General production process (&gt;10€)")</f>
        <v>General production process (&gt;10€)</v>
      </c>
      <c r="B361">
        <v>12211145</v>
      </c>
      <c r="C361">
        <v>12084058</v>
      </c>
      <c r="H361" t="s">
        <v>162</v>
      </c>
      <c r="I361">
        <v>116914.84457142858</v>
      </c>
      <c r="J361">
        <v>0</v>
      </c>
      <c r="K361">
        <v>3.6</v>
      </c>
      <c r="L361">
        <v>0</v>
      </c>
      <c r="M361">
        <v>27.497982091197134</v>
      </c>
      <c r="N361">
        <v>0</v>
      </c>
      <c r="O361">
        <v>1.9095820896664677</v>
      </c>
      <c r="P361">
        <v>0.28690833333333332</v>
      </c>
      <c r="Q361">
        <v>7.0392998258492909</v>
      </c>
      <c r="R361">
        <v>635568</v>
      </c>
      <c r="S361">
        <v>0</v>
      </c>
      <c r="T361">
        <v>0</v>
      </c>
      <c r="V361">
        <v>6480000</v>
      </c>
      <c r="W361">
        <v>7</v>
      </c>
      <c r="X361">
        <v>85</v>
      </c>
      <c r="Y361">
        <v>3</v>
      </c>
      <c r="Z361">
        <v>4</v>
      </c>
      <c r="AA361">
        <v>5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3</v>
      </c>
      <c r="AJ361">
        <v>0</v>
      </c>
      <c r="AK361">
        <v>0</v>
      </c>
      <c r="AL361">
        <v>100</v>
      </c>
      <c r="AM361">
        <v>45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100</v>
      </c>
      <c r="AU361">
        <v>0</v>
      </c>
      <c r="AV361">
        <v>0</v>
      </c>
    </row>
    <row r="362" spans="1:48" x14ac:dyDescent="0.15">
      <c r="A362" s="4" t="str">
        <f>HYPERLINK("https://ibp.a2mac1.com/costing(costing:projects/details/9760/equipment/12211156)","General production process (0.5-10€)")</f>
        <v>General production process (0.5-10€)</v>
      </c>
      <c r="B362">
        <v>12211156</v>
      </c>
      <c r="C362">
        <v>12084069</v>
      </c>
      <c r="H362" t="s">
        <v>162</v>
      </c>
      <c r="I362">
        <v>116914.84457142858</v>
      </c>
      <c r="J362">
        <v>0</v>
      </c>
      <c r="K362">
        <v>3.6</v>
      </c>
      <c r="L362">
        <v>0</v>
      </c>
      <c r="M362">
        <v>27.497982091197134</v>
      </c>
      <c r="N362">
        <v>0</v>
      </c>
      <c r="O362">
        <v>2.0317953434051215</v>
      </c>
      <c r="P362">
        <v>0.30527046666666668</v>
      </c>
      <c r="Q362">
        <v>1.1732166376415484E-2</v>
      </c>
      <c r="R362">
        <v>635568</v>
      </c>
      <c r="S362">
        <v>0</v>
      </c>
      <c r="T362">
        <v>0</v>
      </c>
      <c r="V362">
        <v>10800</v>
      </c>
      <c r="W362">
        <v>7</v>
      </c>
      <c r="X362">
        <v>85</v>
      </c>
      <c r="Y362">
        <v>3</v>
      </c>
      <c r="Z362">
        <v>4</v>
      </c>
      <c r="AA362">
        <v>5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3</v>
      </c>
      <c r="AJ362">
        <v>0</v>
      </c>
      <c r="AK362">
        <v>0</v>
      </c>
      <c r="AL362">
        <v>100</v>
      </c>
      <c r="AM362">
        <v>45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100</v>
      </c>
      <c r="AU362">
        <v>0</v>
      </c>
      <c r="AV362">
        <v>0</v>
      </c>
    </row>
    <row r="363" spans="1:48" x14ac:dyDescent="0.15">
      <c r="A363" s="4" t="str">
        <f>HYPERLINK("https://ibp.a2mac1.com/costing(costing:projects/details/9760/equipment/12211152)","General production process (0.5-10€)")</f>
        <v>General production process (0.5-10€)</v>
      </c>
      <c r="B363">
        <v>12211152</v>
      </c>
      <c r="C363">
        <v>12084065</v>
      </c>
      <c r="H363" t="s">
        <v>162</v>
      </c>
      <c r="I363">
        <v>116914.84457142858</v>
      </c>
      <c r="J363">
        <v>0</v>
      </c>
      <c r="K363">
        <v>3.6</v>
      </c>
      <c r="L363">
        <v>0</v>
      </c>
      <c r="M363">
        <v>27.497982091197134</v>
      </c>
      <c r="N363">
        <v>0</v>
      </c>
      <c r="O363">
        <v>4.7892318808835013</v>
      </c>
      <c r="P363">
        <v>0.71956609999999999</v>
      </c>
      <c r="Q363">
        <v>1.9553610627359139E-2</v>
      </c>
      <c r="R363">
        <v>635568</v>
      </c>
      <c r="S363">
        <v>0</v>
      </c>
      <c r="T363">
        <v>0</v>
      </c>
      <c r="V363">
        <v>10800</v>
      </c>
      <c r="W363">
        <v>7</v>
      </c>
      <c r="X363">
        <v>85</v>
      </c>
      <c r="Y363">
        <v>3</v>
      </c>
      <c r="Z363">
        <v>4</v>
      </c>
      <c r="AA363">
        <v>5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3</v>
      </c>
      <c r="AJ363">
        <v>0</v>
      </c>
      <c r="AK363">
        <v>0</v>
      </c>
      <c r="AL363">
        <v>100</v>
      </c>
      <c r="AM363">
        <v>45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100</v>
      </c>
      <c r="AU363">
        <v>0</v>
      </c>
      <c r="AV363">
        <v>0</v>
      </c>
    </row>
    <row r="364" spans="1:48" x14ac:dyDescent="0.15">
      <c r="A364" s="4" t="str">
        <f>HYPERLINK("https://ibp.a2mac1.com/costing(costing:projects/details/9760/equipment/12211157)","General production process (0.5-10€)")</f>
        <v>General production process (0.5-10€)</v>
      </c>
      <c r="B364">
        <v>12211157</v>
      </c>
      <c r="C364">
        <v>12084070</v>
      </c>
      <c r="H364" t="s">
        <v>162</v>
      </c>
      <c r="I364">
        <v>116914.84457142858</v>
      </c>
      <c r="J364">
        <v>0</v>
      </c>
      <c r="K364">
        <v>3.6</v>
      </c>
      <c r="L364">
        <v>0</v>
      </c>
      <c r="M364">
        <v>27.497982091197134</v>
      </c>
      <c r="N364">
        <v>0</v>
      </c>
      <c r="O364">
        <v>1.894305432949136</v>
      </c>
      <c r="P364">
        <v>0.28461306666666669</v>
      </c>
      <c r="Q364">
        <v>1.1732166376415484E-2</v>
      </c>
      <c r="R364">
        <v>635568</v>
      </c>
      <c r="S364">
        <v>0</v>
      </c>
      <c r="T364">
        <v>0</v>
      </c>
      <c r="V364">
        <v>10800</v>
      </c>
      <c r="W364">
        <v>7</v>
      </c>
      <c r="X364">
        <v>85</v>
      </c>
      <c r="Y364">
        <v>3</v>
      </c>
      <c r="Z364">
        <v>4</v>
      </c>
      <c r="AA364">
        <v>5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3</v>
      </c>
      <c r="AJ364">
        <v>0</v>
      </c>
      <c r="AK364">
        <v>0</v>
      </c>
      <c r="AL364">
        <v>100</v>
      </c>
      <c r="AM364">
        <v>45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100</v>
      </c>
      <c r="AU364">
        <v>0</v>
      </c>
      <c r="AV364">
        <v>0</v>
      </c>
    </row>
    <row r="365" spans="1:48" x14ac:dyDescent="0.15">
      <c r="A365" s="4" t="str">
        <f>HYPERLINK("https://ibp.a2mac1.com/costing(costing:projects/details/9760/equipment/12211158)","General production process (0.5-10€)")</f>
        <v>General production process (0.5-10€)</v>
      </c>
      <c r="B365">
        <v>12211158</v>
      </c>
      <c r="C365">
        <v>12084071</v>
      </c>
      <c r="H365" t="s">
        <v>162</v>
      </c>
      <c r="I365">
        <v>116914.84457142858</v>
      </c>
      <c r="J365">
        <v>0</v>
      </c>
      <c r="K365">
        <v>3.6</v>
      </c>
      <c r="L365">
        <v>0</v>
      </c>
      <c r="M365">
        <v>27.497982091197134</v>
      </c>
      <c r="N365">
        <v>0</v>
      </c>
      <c r="O365">
        <v>2.6810532538917204</v>
      </c>
      <c r="P365">
        <v>0.40281929999999999</v>
      </c>
      <c r="Q365">
        <v>1.1732166376415484E-2</v>
      </c>
      <c r="R365">
        <v>635568</v>
      </c>
      <c r="S365">
        <v>0</v>
      </c>
      <c r="T365">
        <v>0</v>
      </c>
      <c r="V365">
        <v>10800</v>
      </c>
      <c r="W365">
        <v>7</v>
      </c>
      <c r="X365">
        <v>85</v>
      </c>
      <c r="Y365">
        <v>3</v>
      </c>
      <c r="Z365">
        <v>4</v>
      </c>
      <c r="AA365">
        <v>5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3</v>
      </c>
      <c r="AJ365">
        <v>0</v>
      </c>
      <c r="AK365">
        <v>0</v>
      </c>
      <c r="AL365">
        <v>100</v>
      </c>
      <c r="AM365">
        <v>45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100</v>
      </c>
      <c r="AU365">
        <v>0</v>
      </c>
      <c r="AV365">
        <v>0</v>
      </c>
    </row>
    <row r="366" spans="1:48" x14ac:dyDescent="0.15">
      <c r="A366" s="4" t="str">
        <f>HYPERLINK("https://ibp.a2mac1.com/costing(costing:projects/details/9760/equipment/12211153)","General production process (0.5-10€)")</f>
        <v>General production process (0.5-10€)</v>
      </c>
      <c r="B366">
        <v>12211153</v>
      </c>
      <c r="C366">
        <v>12084066</v>
      </c>
      <c r="H366" t="s">
        <v>162</v>
      </c>
      <c r="I366">
        <v>116914.84457142858</v>
      </c>
      <c r="J366">
        <v>0</v>
      </c>
      <c r="K366">
        <v>3.6</v>
      </c>
      <c r="L366">
        <v>0</v>
      </c>
      <c r="M366">
        <v>27.497982091197134</v>
      </c>
      <c r="N366">
        <v>0</v>
      </c>
      <c r="O366">
        <v>1.5811339702438352</v>
      </c>
      <c r="P366">
        <v>0.2375601</v>
      </c>
      <c r="Q366">
        <v>1.9553610627359139E-2</v>
      </c>
      <c r="R366">
        <v>635568</v>
      </c>
      <c r="S366">
        <v>0</v>
      </c>
      <c r="T366">
        <v>0</v>
      </c>
      <c r="V366">
        <v>10800</v>
      </c>
      <c r="W366">
        <v>7</v>
      </c>
      <c r="X366">
        <v>85</v>
      </c>
      <c r="Y366">
        <v>3</v>
      </c>
      <c r="Z366">
        <v>4</v>
      </c>
      <c r="AA366">
        <v>5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3</v>
      </c>
      <c r="AJ366">
        <v>0</v>
      </c>
      <c r="AK366">
        <v>0</v>
      </c>
      <c r="AL366">
        <v>100</v>
      </c>
      <c r="AM366">
        <v>45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100</v>
      </c>
      <c r="AU366">
        <v>0</v>
      </c>
      <c r="AV366">
        <v>0</v>
      </c>
    </row>
    <row r="367" spans="1:48" x14ac:dyDescent="0.15">
      <c r="A367" s="4" t="str">
        <f>HYPERLINK("https://ibp.a2mac1.com/costing(costing:projects/details/9760/equipment/12211159)","General production process (0.5-10€)")</f>
        <v>General production process (0.5-10€)</v>
      </c>
      <c r="B367">
        <v>12211159</v>
      </c>
      <c r="C367">
        <v>12084072</v>
      </c>
      <c r="H367" t="s">
        <v>162</v>
      </c>
      <c r="I367">
        <v>116914.84457142858</v>
      </c>
      <c r="J367">
        <v>0</v>
      </c>
      <c r="K367">
        <v>3.6</v>
      </c>
      <c r="L367">
        <v>0</v>
      </c>
      <c r="M367">
        <v>27.497982091197134</v>
      </c>
      <c r="N367">
        <v>0</v>
      </c>
      <c r="O367">
        <v>6.4467491347139951</v>
      </c>
      <c r="P367">
        <v>0.96860253333333335</v>
      </c>
      <c r="Q367">
        <v>1.1732166376415484E-2</v>
      </c>
      <c r="R367">
        <v>635568</v>
      </c>
      <c r="S367">
        <v>0</v>
      </c>
      <c r="T367">
        <v>0</v>
      </c>
      <c r="V367">
        <v>10800</v>
      </c>
      <c r="W367">
        <v>7</v>
      </c>
      <c r="X367">
        <v>85</v>
      </c>
      <c r="Y367">
        <v>3</v>
      </c>
      <c r="Z367">
        <v>4</v>
      </c>
      <c r="AA367">
        <v>5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3</v>
      </c>
      <c r="AJ367">
        <v>0</v>
      </c>
      <c r="AK367">
        <v>0</v>
      </c>
      <c r="AL367">
        <v>100</v>
      </c>
      <c r="AM367">
        <v>45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100</v>
      </c>
      <c r="AU367">
        <v>0</v>
      </c>
      <c r="AV367">
        <v>0</v>
      </c>
    </row>
    <row r="368" spans="1:48" x14ac:dyDescent="0.15">
      <c r="A368" s="4" t="str">
        <f>HYPERLINK("https://ibp.a2mac1.com/costing(costing:projects/details/9760/equipment/12211160)","General production process (0.5-10€)")</f>
        <v>General production process (0.5-10€)</v>
      </c>
      <c r="B368">
        <v>12211160</v>
      </c>
      <c r="C368">
        <v>12084073</v>
      </c>
      <c r="H368" t="s">
        <v>162</v>
      </c>
      <c r="I368">
        <v>116914.84457142858</v>
      </c>
      <c r="J368">
        <v>0</v>
      </c>
      <c r="K368">
        <v>3.6</v>
      </c>
      <c r="L368">
        <v>0</v>
      </c>
      <c r="M368">
        <v>27.497982091197134</v>
      </c>
      <c r="N368">
        <v>0</v>
      </c>
      <c r="O368">
        <v>1.9172204180251335</v>
      </c>
      <c r="P368">
        <v>0.28805596666666666</v>
      </c>
      <c r="Q368">
        <v>1.1732166376415484E-2</v>
      </c>
      <c r="R368">
        <v>635568</v>
      </c>
      <c r="S368">
        <v>0</v>
      </c>
      <c r="T368">
        <v>0</v>
      </c>
      <c r="V368">
        <v>10800</v>
      </c>
      <c r="W368">
        <v>7</v>
      </c>
      <c r="X368">
        <v>85</v>
      </c>
      <c r="Y368">
        <v>3</v>
      </c>
      <c r="Z368">
        <v>4</v>
      </c>
      <c r="AA368">
        <v>5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3</v>
      </c>
      <c r="AJ368">
        <v>0</v>
      </c>
      <c r="AK368">
        <v>0</v>
      </c>
      <c r="AL368">
        <v>100</v>
      </c>
      <c r="AM368">
        <v>45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100</v>
      </c>
      <c r="AU368">
        <v>0</v>
      </c>
      <c r="AV368">
        <v>0</v>
      </c>
    </row>
    <row r="369" spans="1:48" x14ac:dyDescent="0.15">
      <c r="A369" s="4" t="str">
        <f>HYPERLINK("https://ibp.a2mac1.com/costing(costing:projects/details/9760/equipment/12211146)","General production process (0.5-10€)")</f>
        <v>General production process (0.5-10€)</v>
      </c>
      <c r="B369">
        <v>12211146</v>
      </c>
      <c r="C369">
        <v>12084059</v>
      </c>
      <c r="H369" t="s">
        <v>162</v>
      </c>
      <c r="I369">
        <v>116914.84457142858</v>
      </c>
      <c r="J369">
        <v>0</v>
      </c>
      <c r="K369">
        <v>3.6</v>
      </c>
      <c r="L369">
        <v>0</v>
      </c>
      <c r="M369">
        <v>27.497982091197134</v>
      </c>
      <c r="N369">
        <v>0</v>
      </c>
      <c r="O369">
        <v>4.1246973136795706</v>
      </c>
      <c r="P369">
        <v>0.619722</v>
      </c>
      <c r="Q369">
        <v>1.9553610627359139E-2</v>
      </c>
      <c r="R369">
        <v>635568</v>
      </c>
      <c r="S369">
        <v>0</v>
      </c>
      <c r="T369">
        <v>0</v>
      </c>
      <c r="V369">
        <v>10800</v>
      </c>
      <c r="W369">
        <v>7</v>
      </c>
      <c r="X369">
        <v>85</v>
      </c>
      <c r="Y369">
        <v>3</v>
      </c>
      <c r="Z369">
        <v>4</v>
      </c>
      <c r="AA369">
        <v>5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3</v>
      </c>
      <c r="AJ369">
        <v>0</v>
      </c>
      <c r="AK369">
        <v>0</v>
      </c>
      <c r="AL369">
        <v>100</v>
      </c>
      <c r="AM369">
        <v>45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100</v>
      </c>
      <c r="AU369">
        <v>0</v>
      </c>
      <c r="AV369">
        <v>0</v>
      </c>
    </row>
    <row r="370" spans="1:48" x14ac:dyDescent="0.15">
      <c r="A370" s="4" t="str">
        <f>HYPERLINK("https://ibp.a2mac1.com/costing(costing:projects/details/9760/equipment/12211161)","General production process (0.5-10€)")</f>
        <v>General production process (0.5-10€)</v>
      </c>
      <c r="B370">
        <v>12211161</v>
      </c>
      <c r="C370">
        <v>12084074</v>
      </c>
      <c r="H370" t="s">
        <v>162</v>
      </c>
      <c r="I370">
        <v>116914.84457142858</v>
      </c>
      <c r="J370">
        <v>0</v>
      </c>
      <c r="K370">
        <v>3.6</v>
      </c>
      <c r="L370">
        <v>0</v>
      </c>
      <c r="M370">
        <v>27.497982091197134</v>
      </c>
      <c r="N370">
        <v>0</v>
      </c>
      <c r="O370">
        <v>2.5970316419463959</v>
      </c>
      <c r="P370">
        <v>0.39019533333333334</v>
      </c>
      <c r="Q370">
        <v>0.703929982584929</v>
      </c>
      <c r="R370">
        <v>635568</v>
      </c>
      <c r="S370">
        <v>0</v>
      </c>
      <c r="T370">
        <v>0</v>
      </c>
      <c r="V370">
        <v>648000</v>
      </c>
      <c r="W370">
        <v>7</v>
      </c>
      <c r="X370">
        <v>85</v>
      </c>
      <c r="Y370">
        <v>3</v>
      </c>
      <c r="Z370">
        <v>4</v>
      </c>
      <c r="AA370">
        <v>5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3</v>
      </c>
      <c r="AJ370">
        <v>0</v>
      </c>
      <c r="AK370">
        <v>0</v>
      </c>
      <c r="AL370">
        <v>100</v>
      </c>
      <c r="AM370">
        <v>45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100</v>
      </c>
      <c r="AU370">
        <v>0</v>
      </c>
      <c r="AV370">
        <v>0</v>
      </c>
    </row>
    <row r="371" spans="1:48" x14ac:dyDescent="0.15">
      <c r="A371" s="4" t="str">
        <f>HYPERLINK("https://ibp.a2mac1.com/costing(costing:projects/details/9760/equipment/12211154)","General production process (0.5-10€)")</f>
        <v>General production process (0.5-10€)</v>
      </c>
      <c r="B371">
        <v>12211154</v>
      </c>
      <c r="C371">
        <v>12084067</v>
      </c>
      <c r="H371" t="s">
        <v>162</v>
      </c>
      <c r="I371">
        <v>116914.84457142858</v>
      </c>
      <c r="J371">
        <v>0</v>
      </c>
      <c r="K371">
        <v>3.6</v>
      </c>
      <c r="L371">
        <v>0</v>
      </c>
      <c r="M371">
        <v>27.497982091197134</v>
      </c>
      <c r="N371">
        <v>0</v>
      </c>
      <c r="O371">
        <v>4.7892318808835013</v>
      </c>
      <c r="P371">
        <v>0.71956609999999999</v>
      </c>
      <c r="Q371">
        <v>1.9553610627359139E-2</v>
      </c>
      <c r="R371">
        <v>635568</v>
      </c>
      <c r="S371">
        <v>0</v>
      </c>
      <c r="T371">
        <v>0</v>
      </c>
      <c r="V371">
        <v>10800</v>
      </c>
      <c r="W371">
        <v>7</v>
      </c>
      <c r="X371">
        <v>85</v>
      </c>
      <c r="Y371">
        <v>3</v>
      </c>
      <c r="Z371">
        <v>4</v>
      </c>
      <c r="AA371">
        <v>5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3</v>
      </c>
      <c r="AJ371">
        <v>0</v>
      </c>
      <c r="AK371">
        <v>0</v>
      </c>
      <c r="AL371">
        <v>100</v>
      </c>
      <c r="AM371">
        <v>45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100</v>
      </c>
      <c r="AU371">
        <v>0</v>
      </c>
      <c r="AV371">
        <v>0</v>
      </c>
    </row>
    <row r="372" spans="1:48" x14ac:dyDescent="0.15">
      <c r="A372" s="4" t="str">
        <f>HYPERLINK("https://ibp.a2mac1.com/costing(costing:projects/details/9760/equipment/12211162)","General production process (0.5-10€)")</f>
        <v>General production process (0.5-10€)</v>
      </c>
      <c r="B372">
        <v>12211162</v>
      </c>
      <c r="C372">
        <v>12084075</v>
      </c>
      <c r="H372" t="s">
        <v>162</v>
      </c>
      <c r="I372">
        <v>116914.84457142858</v>
      </c>
      <c r="J372">
        <v>0</v>
      </c>
      <c r="K372">
        <v>3.6</v>
      </c>
      <c r="L372">
        <v>0</v>
      </c>
      <c r="M372">
        <v>27.497982091197134</v>
      </c>
      <c r="N372">
        <v>0</v>
      </c>
      <c r="O372">
        <v>2.8261814927063722</v>
      </c>
      <c r="P372">
        <v>0.42462433333333333</v>
      </c>
      <c r="Q372">
        <v>1.1732166376415484E-2</v>
      </c>
      <c r="R372">
        <v>635568</v>
      </c>
      <c r="S372">
        <v>0</v>
      </c>
      <c r="T372">
        <v>0</v>
      </c>
      <c r="V372">
        <v>10800</v>
      </c>
      <c r="W372">
        <v>7</v>
      </c>
      <c r="X372">
        <v>85</v>
      </c>
      <c r="Y372">
        <v>3</v>
      </c>
      <c r="Z372">
        <v>4</v>
      </c>
      <c r="AA372">
        <v>5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3</v>
      </c>
      <c r="AJ372">
        <v>0</v>
      </c>
      <c r="AK372">
        <v>0</v>
      </c>
      <c r="AL372">
        <v>100</v>
      </c>
      <c r="AM372">
        <v>45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100</v>
      </c>
      <c r="AU372">
        <v>0</v>
      </c>
      <c r="AV372">
        <v>0</v>
      </c>
    </row>
    <row r="373" spans="1:48" x14ac:dyDescent="0.15">
      <c r="A373" s="4" t="str">
        <f>HYPERLINK("https://ibp.a2mac1.com/costing(costing:projects/details/9760/equipment/12211163)","General production process (0.5-10€)")</f>
        <v>General production process (0.5-10€)</v>
      </c>
      <c r="B373">
        <v>12211163</v>
      </c>
      <c r="C373">
        <v>12084076</v>
      </c>
      <c r="H373" t="s">
        <v>162</v>
      </c>
      <c r="I373">
        <v>116914.84457142858</v>
      </c>
      <c r="J373">
        <v>0</v>
      </c>
      <c r="K373">
        <v>3.6</v>
      </c>
      <c r="L373">
        <v>0</v>
      </c>
      <c r="M373">
        <v>27.497982091197134</v>
      </c>
      <c r="N373">
        <v>0</v>
      </c>
      <c r="O373">
        <v>3.177544597205002</v>
      </c>
      <c r="P373">
        <v>0.47741546666666668</v>
      </c>
      <c r="Q373">
        <v>1.1732166376415484E-2</v>
      </c>
      <c r="R373">
        <v>635568</v>
      </c>
      <c r="S373">
        <v>0</v>
      </c>
      <c r="T373">
        <v>0</v>
      </c>
      <c r="V373">
        <v>10800</v>
      </c>
      <c r="W373">
        <v>7</v>
      </c>
      <c r="X373">
        <v>85</v>
      </c>
      <c r="Y373">
        <v>3</v>
      </c>
      <c r="Z373">
        <v>4</v>
      </c>
      <c r="AA373">
        <v>5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3</v>
      </c>
      <c r="AJ373">
        <v>0</v>
      </c>
      <c r="AK373">
        <v>0</v>
      </c>
      <c r="AL373">
        <v>100</v>
      </c>
      <c r="AM373">
        <v>45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100</v>
      </c>
      <c r="AU373">
        <v>0</v>
      </c>
      <c r="AV373">
        <v>0</v>
      </c>
    </row>
    <row r="374" spans="1:48" x14ac:dyDescent="0.15">
      <c r="A374" s="4" t="str">
        <f>HYPERLINK("https://ibp.a2mac1.com/costing(costing:projects/details/9760/equipment/12211155)","General production process (0.5-10€)")</f>
        <v>General production process (0.5-10€)</v>
      </c>
      <c r="B374">
        <v>12211155</v>
      </c>
      <c r="C374">
        <v>12084068</v>
      </c>
      <c r="H374" t="s">
        <v>162</v>
      </c>
      <c r="I374">
        <v>116914.84457142858</v>
      </c>
      <c r="J374">
        <v>0</v>
      </c>
      <c r="K374">
        <v>3.6</v>
      </c>
      <c r="L374">
        <v>0</v>
      </c>
      <c r="M374">
        <v>27.497982091197134</v>
      </c>
      <c r="N374">
        <v>0</v>
      </c>
      <c r="O374">
        <v>1.6040489553198329</v>
      </c>
      <c r="P374">
        <v>0.241003</v>
      </c>
      <c r="Q374">
        <v>1.9553610627359139E-2</v>
      </c>
      <c r="R374">
        <v>635568</v>
      </c>
      <c r="S374">
        <v>0</v>
      </c>
      <c r="T374">
        <v>0</v>
      </c>
      <c r="V374">
        <v>10800</v>
      </c>
      <c r="W374">
        <v>7</v>
      </c>
      <c r="X374">
        <v>85</v>
      </c>
      <c r="Y374">
        <v>3</v>
      </c>
      <c r="Z374">
        <v>4</v>
      </c>
      <c r="AA374">
        <v>5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3</v>
      </c>
      <c r="AJ374">
        <v>0</v>
      </c>
      <c r="AK374">
        <v>0</v>
      </c>
      <c r="AL374">
        <v>100</v>
      </c>
      <c r="AM374">
        <v>45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100</v>
      </c>
      <c r="AU374">
        <v>0</v>
      </c>
      <c r="AV374">
        <v>0</v>
      </c>
    </row>
    <row r="375" spans="1:48" x14ac:dyDescent="0.15">
      <c r="A375" s="4" t="str">
        <f>HYPERLINK("https://ibp.a2mac1.com/costing(costing:projects/details/9760/equipment/12211164)","General production process (0.5-10€)")</f>
        <v>General production process (0.5-10€)</v>
      </c>
      <c r="B375">
        <v>12211164</v>
      </c>
      <c r="C375">
        <v>12084077</v>
      </c>
      <c r="H375" t="s">
        <v>162</v>
      </c>
      <c r="I375">
        <v>116914.84457142858</v>
      </c>
      <c r="J375">
        <v>0</v>
      </c>
      <c r="K375">
        <v>3.6</v>
      </c>
      <c r="L375">
        <v>0</v>
      </c>
      <c r="M375">
        <v>27.497982091197134</v>
      </c>
      <c r="N375">
        <v>0</v>
      </c>
      <c r="O375">
        <v>7.0043471048966035</v>
      </c>
      <c r="P375">
        <v>1.0523797666666668</v>
      </c>
      <c r="Q375">
        <v>1.1732166376415484E-2</v>
      </c>
      <c r="R375">
        <v>635568</v>
      </c>
      <c r="S375">
        <v>0</v>
      </c>
      <c r="T375">
        <v>0</v>
      </c>
      <c r="V375">
        <v>10800</v>
      </c>
      <c r="W375">
        <v>7</v>
      </c>
      <c r="X375">
        <v>85</v>
      </c>
      <c r="Y375">
        <v>3</v>
      </c>
      <c r="Z375">
        <v>4</v>
      </c>
      <c r="AA375">
        <v>5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3</v>
      </c>
      <c r="AJ375">
        <v>0</v>
      </c>
      <c r="AK375">
        <v>0</v>
      </c>
      <c r="AL375">
        <v>100</v>
      </c>
      <c r="AM375">
        <v>45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100</v>
      </c>
      <c r="AU375">
        <v>0</v>
      </c>
      <c r="AV375">
        <v>0</v>
      </c>
    </row>
    <row r="376" spans="1:48" x14ac:dyDescent="0.15">
      <c r="A376" s="4" t="str">
        <f>HYPERLINK("https://ibp.a2mac1.com/costing(costing:projects/details/9760/equipment/12211165)","General production process (0.5-10€)")</f>
        <v>General production process (0.5-10€)</v>
      </c>
      <c r="B376">
        <v>12211165</v>
      </c>
      <c r="C376">
        <v>12084078</v>
      </c>
      <c r="H376" t="s">
        <v>162</v>
      </c>
      <c r="I376">
        <v>116914.84457142858</v>
      </c>
      <c r="J376">
        <v>0</v>
      </c>
      <c r="K376">
        <v>3.6</v>
      </c>
      <c r="L376">
        <v>0</v>
      </c>
      <c r="M376">
        <v>27.497982091197134</v>
      </c>
      <c r="N376">
        <v>0</v>
      </c>
      <c r="O376">
        <v>2.0012420299704581</v>
      </c>
      <c r="P376">
        <v>0.30067993333333332</v>
      </c>
      <c r="Q376">
        <v>0.703929982584929</v>
      </c>
      <c r="R376">
        <v>635568</v>
      </c>
      <c r="S376">
        <v>0</v>
      </c>
      <c r="T376">
        <v>0</v>
      </c>
      <c r="V376">
        <v>648000</v>
      </c>
      <c r="W376">
        <v>7</v>
      </c>
      <c r="X376">
        <v>85</v>
      </c>
      <c r="Y376">
        <v>3</v>
      </c>
      <c r="Z376">
        <v>4</v>
      </c>
      <c r="AA376">
        <v>5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3</v>
      </c>
      <c r="AJ376">
        <v>0</v>
      </c>
      <c r="AK376">
        <v>0</v>
      </c>
      <c r="AL376">
        <v>100</v>
      </c>
      <c r="AM376">
        <v>45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100</v>
      </c>
      <c r="AU376">
        <v>0</v>
      </c>
      <c r="AV376">
        <v>0</v>
      </c>
    </row>
    <row r="377" spans="1:48" x14ac:dyDescent="0.15">
      <c r="A377" s="4" t="str">
        <f>HYPERLINK("https://ibp.a2mac1.com/costing(costing:projects/details/9760/equipment/12211147)","General production process (0.5-10€)")</f>
        <v>General production process (0.5-10€)</v>
      </c>
      <c r="B377">
        <v>12211147</v>
      </c>
      <c r="C377">
        <v>12084060</v>
      </c>
      <c r="H377" t="s">
        <v>162</v>
      </c>
      <c r="I377">
        <v>116914.84457142858</v>
      </c>
      <c r="J377">
        <v>0</v>
      </c>
      <c r="K377">
        <v>3.6</v>
      </c>
      <c r="L377">
        <v>0</v>
      </c>
      <c r="M377">
        <v>27.497982091197134</v>
      </c>
      <c r="N377">
        <v>0</v>
      </c>
      <c r="O377">
        <v>4.1246973136795706</v>
      </c>
      <c r="P377">
        <v>0.619722</v>
      </c>
      <c r="Q377">
        <v>1.9553610627359139E-2</v>
      </c>
      <c r="R377">
        <v>635568</v>
      </c>
      <c r="S377">
        <v>0</v>
      </c>
      <c r="T377">
        <v>0</v>
      </c>
      <c r="V377">
        <v>10800</v>
      </c>
      <c r="W377">
        <v>7</v>
      </c>
      <c r="X377">
        <v>85</v>
      </c>
      <c r="Y377">
        <v>3</v>
      </c>
      <c r="Z377">
        <v>4</v>
      </c>
      <c r="AA377">
        <v>5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3</v>
      </c>
      <c r="AJ377">
        <v>0</v>
      </c>
      <c r="AK377">
        <v>0</v>
      </c>
      <c r="AL377">
        <v>100</v>
      </c>
      <c r="AM377">
        <v>45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100</v>
      </c>
      <c r="AU377">
        <v>0</v>
      </c>
      <c r="AV377">
        <v>0</v>
      </c>
    </row>
    <row r="378" spans="1:48" x14ac:dyDescent="0.15">
      <c r="A378" s="4" t="str">
        <f>HYPERLINK("https://ibp.a2mac1.com/costing(costing:projects/details/9760/equipment/12211170)","General production process (0.5-10€)")</f>
        <v>General production process (0.5-10€)</v>
      </c>
      <c r="B378">
        <v>12211170</v>
      </c>
      <c r="C378">
        <v>12084087</v>
      </c>
      <c r="H378" t="s">
        <v>162</v>
      </c>
      <c r="I378">
        <v>116914.84457142858</v>
      </c>
      <c r="J378">
        <v>0</v>
      </c>
      <c r="K378">
        <v>3.6</v>
      </c>
      <c r="L378">
        <v>0</v>
      </c>
      <c r="M378">
        <v>27.497982091197134</v>
      </c>
      <c r="N378">
        <v>0</v>
      </c>
      <c r="O378">
        <v>0.74855617914925532</v>
      </c>
      <c r="P378">
        <v>0.11246806666666667</v>
      </c>
      <c r="Q378">
        <v>1.1732166376415484E-2</v>
      </c>
      <c r="R378">
        <v>635568</v>
      </c>
      <c r="S378">
        <v>0</v>
      </c>
      <c r="T378">
        <v>0</v>
      </c>
      <c r="V378">
        <v>10800</v>
      </c>
      <c r="W378">
        <v>7</v>
      </c>
      <c r="X378">
        <v>85</v>
      </c>
      <c r="Y378">
        <v>3</v>
      </c>
      <c r="Z378">
        <v>4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3</v>
      </c>
      <c r="AJ378">
        <v>0</v>
      </c>
      <c r="AK378">
        <v>0</v>
      </c>
      <c r="AL378">
        <v>100</v>
      </c>
      <c r="AM378">
        <v>45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100</v>
      </c>
      <c r="AU378">
        <v>0</v>
      </c>
      <c r="AV378">
        <v>0</v>
      </c>
    </row>
    <row r="379" spans="1:48" x14ac:dyDescent="0.15">
      <c r="A379" s="4" t="str">
        <f>HYPERLINK("https://ibp.a2mac1.com/costing(costing:projects/details/9760/equipment/12211171)","General production process (0.5-10€)")</f>
        <v>General production process (0.5-10€)</v>
      </c>
      <c r="B379">
        <v>12211171</v>
      </c>
      <c r="C379">
        <v>12084088</v>
      </c>
      <c r="H379" t="s">
        <v>162</v>
      </c>
      <c r="I379">
        <v>116914.84457142858</v>
      </c>
      <c r="J379">
        <v>0</v>
      </c>
      <c r="K379">
        <v>3.6</v>
      </c>
      <c r="L379">
        <v>0</v>
      </c>
      <c r="M379">
        <v>27.497982091197134</v>
      </c>
      <c r="N379">
        <v>0</v>
      </c>
      <c r="O379">
        <v>2.894926447934365</v>
      </c>
      <c r="P379">
        <v>0.43495303333333335</v>
      </c>
      <c r="Q379">
        <v>1.1732166376415484E-2</v>
      </c>
      <c r="R379">
        <v>635568</v>
      </c>
      <c r="S379">
        <v>0</v>
      </c>
      <c r="T379">
        <v>0</v>
      </c>
      <c r="V379">
        <v>10800</v>
      </c>
      <c r="W379">
        <v>7</v>
      </c>
      <c r="X379">
        <v>85</v>
      </c>
      <c r="Y379">
        <v>3</v>
      </c>
      <c r="Z379">
        <v>4</v>
      </c>
      <c r="AA379">
        <v>5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3</v>
      </c>
      <c r="AJ379">
        <v>0</v>
      </c>
      <c r="AK379">
        <v>0</v>
      </c>
      <c r="AL379">
        <v>100</v>
      </c>
      <c r="AM379">
        <v>45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100</v>
      </c>
      <c r="AU379">
        <v>0</v>
      </c>
      <c r="AV379">
        <v>0</v>
      </c>
    </row>
    <row r="380" spans="1:48" x14ac:dyDescent="0.15">
      <c r="A380" s="4" t="str">
        <f>HYPERLINK("https://ibp.a2mac1.com/costing(costing:projects/details/9760/equipment/12211148)","General production process (&gt;10€)")</f>
        <v>General production process (&gt;10€)</v>
      </c>
      <c r="B380">
        <v>12211148</v>
      </c>
      <c r="C380">
        <v>12084061</v>
      </c>
      <c r="H380" t="s">
        <v>162</v>
      </c>
      <c r="I380">
        <v>116914.84457142858</v>
      </c>
      <c r="J380">
        <v>0</v>
      </c>
      <c r="K380">
        <v>3.6</v>
      </c>
      <c r="L380">
        <v>0</v>
      </c>
      <c r="M380">
        <v>27.497982091197134</v>
      </c>
      <c r="N380">
        <v>0</v>
      </c>
      <c r="O380">
        <v>7.8292865676325176</v>
      </c>
      <c r="P380">
        <v>1.1763241666666666</v>
      </c>
      <c r="Q380">
        <v>0.19553610627359141</v>
      </c>
      <c r="R380">
        <v>635568</v>
      </c>
      <c r="S380">
        <v>0</v>
      </c>
      <c r="T380">
        <v>0</v>
      </c>
      <c r="V380">
        <v>108000</v>
      </c>
      <c r="W380">
        <v>7</v>
      </c>
      <c r="X380">
        <v>85</v>
      </c>
      <c r="Y380">
        <v>3</v>
      </c>
      <c r="Z380">
        <v>4</v>
      </c>
      <c r="AA380">
        <v>5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3</v>
      </c>
      <c r="AJ380">
        <v>0</v>
      </c>
      <c r="AK380">
        <v>0</v>
      </c>
      <c r="AL380">
        <v>100</v>
      </c>
      <c r="AM380">
        <v>45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100</v>
      </c>
      <c r="AU380">
        <v>0</v>
      </c>
      <c r="AV380">
        <v>0</v>
      </c>
    </row>
    <row r="381" spans="1:48" x14ac:dyDescent="0.15">
      <c r="A381" s="4" t="str">
        <f>HYPERLINK("https://ibp.a2mac1.com/costing(costing:projects/details/9760/equipment/12211172)","General production process (0.5-10€)")</f>
        <v>General production process (0.5-10€)</v>
      </c>
      <c r="B381">
        <v>12211172</v>
      </c>
      <c r="C381">
        <v>12084089</v>
      </c>
      <c r="H381" t="s">
        <v>162</v>
      </c>
      <c r="I381">
        <v>116914.84457142858</v>
      </c>
      <c r="J381">
        <v>0</v>
      </c>
      <c r="K381">
        <v>3.6</v>
      </c>
      <c r="L381">
        <v>0</v>
      </c>
      <c r="M381">
        <v>27.497982091197134</v>
      </c>
      <c r="N381">
        <v>0</v>
      </c>
      <c r="O381">
        <v>6.1106626869326969E-2</v>
      </c>
      <c r="P381">
        <v>9.1810666666666662E-3</v>
      </c>
      <c r="Q381">
        <v>1.1732166376415484E-2</v>
      </c>
      <c r="R381">
        <v>635568</v>
      </c>
      <c r="S381">
        <v>0</v>
      </c>
      <c r="T381">
        <v>0</v>
      </c>
      <c r="V381">
        <v>10800</v>
      </c>
      <c r="W381">
        <v>7</v>
      </c>
      <c r="X381">
        <v>85</v>
      </c>
      <c r="Y381">
        <v>3</v>
      </c>
      <c r="Z381">
        <v>4</v>
      </c>
      <c r="AA381">
        <v>5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3</v>
      </c>
      <c r="AJ381">
        <v>0</v>
      </c>
      <c r="AK381">
        <v>0</v>
      </c>
      <c r="AL381">
        <v>100</v>
      </c>
      <c r="AM381">
        <v>45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100</v>
      </c>
      <c r="AU381">
        <v>0</v>
      </c>
      <c r="AV381">
        <v>0</v>
      </c>
    </row>
    <row r="382" spans="1:48" x14ac:dyDescent="0.15">
      <c r="A382" s="4" t="str">
        <f>HYPERLINK("https://ibp.a2mac1.com/costing(costing:projects/details/9760/equipment/12211149)","General production process (&gt;10€)")</f>
        <v>General production process (&gt;10€)</v>
      </c>
      <c r="B382">
        <v>12211149</v>
      </c>
      <c r="C382">
        <v>12084062</v>
      </c>
      <c r="H382" t="s">
        <v>162</v>
      </c>
      <c r="I382">
        <v>116914.84457142858</v>
      </c>
      <c r="J382">
        <v>0</v>
      </c>
      <c r="K382">
        <v>3.6</v>
      </c>
      <c r="L382">
        <v>0</v>
      </c>
      <c r="M382">
        <v>27.497982091197134</v>
      </c>
      <c r="N382">
        <v>0</v>
      </c>
      <c r="O382">
        <v>7.8292865676325176</v>
      </c>
      <c r="P382">
        <v>1.1763241666666666</v>
      </c>
      <c r="Q382">
        <v>0.19553610627359141</v>
      </c>
      <c r="R382">
        <v>635568</v>
      </c>
      <c r="S382">
        <v>0</v>
      </c>
      <c r="T382">
        <v>0</v>
      </c>
      <c r="V382">
        <v>108000</v>
      </c>
      <c r="W382">
        <v>7</v>
      </c>
      <c r="X382">
        <v>85</v>
      </c>
      <c r="Y382">
        <v>3</v>
      </c>
      <c r="Z382">
        <v>4</v>
      </c>
      <c r="AA382">
        <v>5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3</v>
      </c>
      <c r="AJ382">
        <v>0</v>
      </c>
      <c r="AK382">
        <v>0</v>
      </c>
      <c r="AL382">
        <v>100</v>
      </c>
      <c r="AM382">
        <v>45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100</v>
      </c>
      <c r="AU382">
        <v>0</v>
      </c>
      <c r="AV382">
        <v>0</v>
      </c>
    </row>
    <row r="383" spans="1:48" x14ac:dyDescent="0.15">
      <c r="A383" s="4" t="str">
        <f>HYPERLINK("https://ibp.a2mac1.com/costing(costing:projects/details/9760/equipment/12211173)","General production process (0.5-10€)")</f>
        <v>General production process (0.5-10€)</v>
      </c>
      <c r="B383">
        <v>12211173</v>
      </c>
      <c r="C383">
        <v>12084090</v>
      </c>
      <c r="H383" t="s">
        <v>162</v>
      </c>
      <c r="I383">
        <v>116914.84457142858</v>
      </c>
      <c r="J383">
        <v>0</v>
      </c>
      <c r="K383">
        <v>3.6</v>
      </c>
      <c r="L383">
        <v>0</v>
      </c>
      <c r="M383">
        <v>27.497982091197134</v>
      </c>
      <c r="N383">
        <v>0</v>
      </c>
      <c r="O383">
        <v>4.6975719405795102</v>
      </c>
      <c r="P383">
        <v>0.70579449999999999</v>
      </c>
      <c r="Q383">
        <v>1.1732166376415484E-2</v>
      </c>
      <c r="R383">
        <v>635568</v>
      </c>
      <c r="S383">
        <v>0</v>
      </c>
      <c r="T383">
        <v>0</v>
      </c>
      <c r="V383">
        <v>10800</v>
      </c>
      <c r="W383">
        <v>7</v>
      </c>
      <c r="X383">
        <v>85</v>
      </c>
      <c r="Y383">
        <v>3</v>
      </c>
      <c r="Z383">
        <v>4</v>
      </c>
      <c r="AA383">
        <v>5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3</v>
      </c>
      <c r="AJ383">
        <v>0</v>
      </c>
      <c r="AK383">
        <v>0</v>
      </c>
      <c r="AL383">
        <v>100</v>
      </c>
      <c r="AM383">
        <v>45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100</v>
      </c>
      <c r="AU383">
        <v>0</v>
      </c>
      <c r="AV383">
        <v>0</v>
      </c>
    </row>
    <row r="384" spans="1:48" x14ac:dyDescent="0.15">
      <c r="A384" s="4" t="str">
        <f>HYPERLINK("https://ibp.a2mac1.com/costing(costing:projects/details/9760/equipment/12211150)","General production process (0.5-10€)")</f>
        <v>General production process (0.5-10€)</v>
      </c>
      <c r="B384">
        <v>12211150</v>
      </c>
      <c r="C384">
        <v>12084063</v>
      </c>
      <c r="H384" t="s">
        <v>162</v>
      </c>
      <c r="I384">
        <v>116914.84457142858</v>
      </c>
      <c r="J384">
        <v>0</v>
      </c>
      <c r="K384">
        <v>3.6</v>
      </c>
      <c r="L384">
        <v>0</v>
      </c>
      <c r="M384">
        <v>27.497982091197134</v>
      </c>
      <c r="N384">
        <v>0</v>
      </c>
      <c r="O384">
        <v>7.0960070452005937</v>
      </c>
      <c r="P384">
        <v>1.0661513666666667</v>
      </c>
      <c r="Q384">
        <v>1.9553610627359139E-2</v>
      </c>
      <c r="R384">
        <v>635568</v>
      </c>
      <c r="S384">
        <v>0</v>
      </c>
      <c r="T384">
        <v>0</v>
      </c>
      <c r="V384">
        <v>10800</v>
      </c>
      <c r="W384">
        <v>7</v>
      </c>
      <c r="X384">
        <v>85</v>
      </c>
      <c r="Y384">
        <v>3</v>
      </c>
      <c r="Z384">
        <v>4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3</v>
      </c>
      <c r="AJ384">
        <v>0</v>
      </c>
      <c r="AK384">
        <v>0</v>
      </c>
      <c r="AL384">
        <v>100</v>
      </c>
      <c r="AM384">
        <v>45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100</v>
      </c>
      <c r="AU384">
        <v>0</v>
      </c>
      <c r="AV384">
        <v>0</v>
      </c>
    </row>
    <row r="385" spans="1:48" x14ac:dyDescent="0.15">
      <c r="A385" s="4" t="str">
        <f>HYPERLINK("https://ibp.a2mac1.com/costing(costing:projects/details/9760/equipment/12211151)","Machine 1")</f>
        <v>Machine 1</v>
      </c>
      <c r="B385">
        <v>12211151</v>
      </c>
      <c r="C385">
        <v>12084064</v>
      </c>
      <c r="H385" t="s">
        <v>162</v>
      </c>
      <c r="I385">
        <v>277100.60937662143</v>
      </c>
      <c r="J385">
        <v>0</v>
      </c>
      <c r="K385">
        <v>5.1996000000000002</v>
      </c>
      <c r="L385">
        <v>0</v>
      </c>
      <c r="M385">
        <v>62.150233701080268</v>
      </c>
      <c r="N385">
        <v>0</v>
      </c>
      <c r="O385">
        <v>1.0358372283513377</v>
      </c>
      <c r="P385">
        <v>6.8858000000000003E-2</v>
      </c>
      <c r="Q385">
        <v>3.7355236850540132E-3</v>
      </c>
      <c r="R385">
        <v>1544924.67023</v>
      </c>
      <c r="S385">
        <v>0</v>
      </c>
      <c r="T385">
        <v>0</v>
      </c>
      <c r="V385">
        <v>1800</v>
      </c>
      <c r="W385">
        <v>7</v>
      </c>
      <c r="X385">
        <v>85</v>
      </c>
      <c r="Y385">
        <v>3</v>
      </c>
      <c r="Z385">
        <v>4</v>
      </c>
      <c r="AA385">
        <v>5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86.66</v>
      </c>
      <c r="AM385">
        <v>75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60</v>
      </c>
      <c r="AU385">
        <v>0</v>
      </c>
      <c r="AV385">
        <v>0</v>
      </c>
    </row>
    <row r="386" spans="1:48" x14ac:dyDescent="0.15">
      <c r="A386" s="4" t="str">
        <f>HYPERLINK("https://ibp.a2mac1.com/costing(costing:projects/details/9760/equipment/12211791)","DC machine - General")</f>
        <v>DC machine - General</v>
      </c>
      <c r="B386">
        <v>12211791</v>
      </c>
      <c r="C386">
        <v>12084693</v>
      </c>
      <c r="E386" t="s">
        <v>738</v>
      </c>
      <c r="H386" t="s">
        <v>162</v>
      </c>
      <c r="I386">
        <v>116914.84457142858</v>
      </c>
      <c r="J386">
        <v>0</v>
      </c>
      <c r="K386">
        <v>3.6</v>
      </c>
      <c r="L386">
        <v>0</v>
      </c>
      <c r="M386">
        <v>27.497982091197134</v>
      </c>
      <c r="N386">
        <v>0</v>
      </c>
      <c r="O386">
        <v>0.39719307465062526</v>
      </c>
      <c r="P386">
        <v>5.9676933333333335E-2</v>
      </c>
      <c r="Q386">
        <v>1.1732166376415484E-2</v>
      </c>
      <c r="R386">
        <v>635568</v>
      </c>
      <c r="S386">
        <v>0</v>
      </c>
      <c r="T386">
        <v>0</v>
      </c>
      <c r="V386">
        <v>10800</v>
      </c>
      <c r="W386">
        <v>7</v>
      </c>
      <c r="X386">
        <v>85</v>
      </c>
      <c r="Y386">
        <v>3</v>
      </c>
      <c r="Z386">
        <v>4</v>
      </c>
      <c r="AA386">
        <v>5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3</v>
      </c>
      <c r="AJ386">
        <v>0</v>
      </c>
      <c r="AK386">
        <v>0</v>
      </c>
      <c r="AL386">
        <v>100</v>
      </c>
      <c r="AM386">
        <v>45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100</v>
      </c>
      <c r="AU386">
        <v>0</v>
      </c>
      <c r="AV386">
        <v>0</v>
      </c>
    </row>
    <row r="387" spans="1:48" x14ac:dyDescent="0.15">
      <c r="A387" s="4" t="str">
        <f>HYPERLINK("https://ibp.a2mac1.com/costing(costing:projects/details/9760/equipment/12211792)","DC machine - General")</f>
        <v>DC machine - General</v>
      </c>
      <c r="B387">
        <v>12211792</v>
      </c>
      <c r="C387">
        <v>12084694</v>
      </c>
      <c r="E387" t="s">
        <v>738</v>
      </c>
      <c r="H387" t="s">
        <v>162</v>
      </c>
      <c r="I387">
        <v>116914.84457142858</v>
      </c>
      <c r="J387">
        <v>0</v>
      </c>
      <c r="K387">
        <v>3.6</v>
      </c>
      <c r="L387">
        <v>0</v>
      </c>
      <c r="M387">
        <v>27.497982091197134</v>
      </c>
      <c r="N387">
        <v>0</v>
      </c>
      <c r="O387">
        <v>0.16804322389064916</v>
      </c>
      <c r="P387">
        <v>2.5247933333333333E-2</v>
      </c>
      <c r="Q387">
        <v>1.1732166376415484E-2</v>
      </c>
      <c r="R387">
        <v>635568</v>
      </c>
      <c r="S387">
        <v>0</v>
      </c>
      <c r="T387">
        <v>0</v>
      </c>
      <c r="V387">
        <v>10800</v>
      </c>
      <c r="W387">
        <v>7</v>
      </c>
      <c r="X387">
        <v>85</v>
      </c>
      <c r="Y387">
        <v>3</v>
      </c>
      <c r="Z387">
        <v>4</v>
      </c>
      <c r="AA387">
        <v>5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3</v>
      </c>
      <c r="AJ387">
        <v>0</v>
      </c>
      <c r="AK387">
        <v>0</v>
      </c>
      <c r="AL387">
        <v>100</v>
      </c>
      <c r="AM387">
        <v>45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100</v>
      </c>
      <c r="AU387">
        <v>0</v>
      </c>
      <c r="AV387">
        <v>0</v>
      </c>
    </row>
    <row r="388" spans="1:48" x14ac:dyDescent="0.15">
      <c r="A388" s="4" t="str">
        <f>HYPERLINK("https://ibp.a2mac1.com/costing(costing:projects/details/9760/equipment/12211690)","DC machine - General")</f>
        <v>DC machine - General</v>
      </c>
      <c r="B388">
        <v>12211690</v>
      </c>
      <c r="C388">
        <v>12084592</v>
      </c>
      <c r="E388" t="s">
        <v>738</v>
      </c>
      <c r="H388" t="s">
        <v>162</v>
      </c>
      <c r="I388">
        <v>116914.84457142858</v>
      </c>
      <c r="J388">
        <v>0</v>
      </c>
      <c r="K388">
        <v>3.6</v>
      </c>
      <c r="L388">
        <v>0</v>
      </c>
      <c r="M388">
        <v>27.497982091197134</v>
      </c>
      <c r="N388">
        <v>0</v>
      </c>
      <c r="O388">
        <v>14.192014090401187</v>
      </c>
      <c r="P388">
        <v>2.1323027333333333</v>
      </c>
      <c r="Q388">
        <v>1.1732166376415484E-2</v>
      </c>
      <c r="R388">
        <v>635568</v>
      </c>
      <c r="S388">
        <v>0</v>
      </c>
      <c r="T388">
        <v>0</v>
      </c>
      <c r="V388">
        <v>10800</v>
      </c>
      <c r="W388">
        <v>7</v>
      </c>
      <c r="X388">
        <v>85</v>
      </c>
      <c r="Y388">
        <v>3</v>
      </c>
      <c r="Z388">
        <v>4</v>
      </c>
      <c r="AA388">
        <v>5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3</v>
      </c>
      <c r="AJ388">
        <v>0</v>
      </c>
      <c r="AK388">
        <v>0</v>
      </c>
      <c r="AL388">
        <v>100</v>
      </c>
      <c r="AM388">
        <v>45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100</v>
      </c>
      <c r="AU388">
        <v>0</v>
      </c>
      <c r="AV388">
        <v>0</v>
      </c>
    </row>
    <row r="389" spans="1:48" x14ac:dyDescent="0.15">
      <c r="A389" s="4" t="str">
        <f>HYPERLINK("https://ibp.a2mac1.com/costing(costing:projects/details/9760/equipment/12211691)","DC machine - General")</f>
        <v>DC machine - General</v>
      </c>
      <c r="B389">
        <v>12211691</v>
      </c>
      <c r="C389">
        <v>12084593</v>
      </c>
      <c r="E389" t="s">
        <v>738</v>
      </c>
      <c r="H389" t="s">
        <v>162</v>
      </c>
      <c r="I389">
        <v>116914.84457142858</v>
      </c>
      <c r="J389">
        <v>0</v>
      </c>
      <c r="K389">
        <v>3.6</v>
      </c>
      <c r="L389">
        <v>0</v>
      </c>
      <c r="M389">
        <v>27.497982091197134</v>
      </c>
      <c r="N389">
        <v>0</v>
      </c>
      <c r="O389">
        <v>7.6383283586658711E-3</v>
      </c>
      <c r="P389">
        <v>1.1476333333333333E-3</v>
      </c>
      <c r="Q389">
        <v>1.1732166376415484E-2</v>
      </c>
      <c r="R389">
        <v>635568</v>
      </c>
      <c r="S389">
        <v>0</v>
      </c>
      <c r="T389">
        <v>0</v>
      </c>
      <c r="V389">
        <v>10800</v>
      </c>
      <c r="W389">
        <v>7</v>
      </c>
      <c r="X389">
        <v>85</v>
      </c>
      <c r="Y389">
        <v>3</v>
      </c>
      <c r="Z389">
        <v>4</v>
      </c>
      <c r="AA389">
        <v>5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3</v>
      </c>
      <c r="AJ389">
        <v>0</v>
      </c>
      <c r="AK389">
        <v>0</v>
      </c>
      <c r="AL389">
        <v>100</v>
      </c>
      <c r="AM389">
        <v>45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100</v>
      </c>
      <c r="AU389">
        <v>0</v>
      </c>
      <c r="AV389">
        <v>0</v>
      </c>
    </row>
    <row r="390" spans="1:48" x14ac:dyDescent="0.15">
      <c r="A390" s="4" t="str">
        <f>HYPERLINK("https://ibp.a2mac1.com/costing(costing:projects/details/9760/equipment/12211793)","DC machine - General")</f>
        <v>DC machine - General</v>
      </c>
      <c r="B390">
        <v>12211793</v>
      </c>
      <c r="C390">
        <v>12084695</v>
      </c>
      <c r="E390" t="s">
        <v>738</v>
      </c>
      <c r="H390" t="s">
        <v>162</v>
      </c>
      <c r="I390">
        <v>116914.84457142858</v>
      </c>
      <c r="J390">
        <v>0</v>
      </c>
      <c r="K390">
        <v>3.6</v>
      </c>
      <c r="L390">
        <v>0</v>
      </c>
      <c r="M390">
        <v>27.497982091197134</v>
      </c>
      <c r="N390">
        <v>0</v>
      </c>
      <c r="O390">
        <v>0.19095820896664678</v>
      </c>
      <c r="P390">
        <v>2.8690833333333332E-2</v>
      </c>
      <c r="Q390">
        <v>1.1732166376415484E-2</v>
      </c>
      <c r="R390">
        <v>635568</v>
      </c>
      <c r="S390">
        <v>0</v>
      </c>
      <c r="T390">
        <v>0</v>
      </c>
      <c r="V390">
        <v>10800</v>
      </c>
      <c r="W390">
        <v>7</v>
      </c>
      <c r="X390">
        <v>85</v>
      </c>
      <c r="Y390">
        <v>3</v>
      </c>
      <c r="Z390">
        <v>4</v>
      </c>
      <c r="AA390">
        <v>5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3</v>
      </c>
      <c r="AJ390">
        <v>0</v>
      </c>
      <c r="AK390">
        <v>0</v>
      </c>
      <c r="AL390">
        <v>100</v>
      </c>
      <c r="AM390">
        <v>45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100</v>
      </c>
      <c r="AU390">
        <v>0</v>
      </c>
      <c r="AV390">
        <v>0</v>
      </c>
    </row>
    <row r="391" spans="1:48" x14ac:dyDescent="0.15">
      <c r="A391" s="4" t="str">
        <f>HYPERLINK("https://ibp.a2mac1.com/costing(costing:projects/details/9760/equipment/12211794)","DC machine - General")</f>
        <v>DC machine - General</v>
      </c>
      <c r="B391">
        <v>12211794</v>
      </c>
      <c r="C391">
        <v>12084696</v>
      </c>
      <c r="E391" t="s">
        <v>738</v>
      </c>
      <c r="H391" t="s">
        <v>162</v>
      </c>
      <c r="I391">
        <v>116914.84457142858</v>
      </c>
      <c r="J391">
        <v>0</v>
      </c>
      <c r="K391">
        <v>3.6</v>
      </c>
      <c r="L391">
        <v>0</v>
      </c>
      <c r="M391">
        <v>27.497982091197134</v>
      </c>
      <c r="N391">
        <v>0</v>
      </c>
      <c r="O391">
        <v>2.3984351046210834</v>
      </c>
      <c r="P391">
        <v>0.36035686666666666</v>
      </c>
      <c r="Q391">
        <v>1.1732166376415484E-2</v>
      </c>
      <c r="R391">
        <v>635568</v>
      </c>
      <c r="S391">
        <v>0</v>
      </c>
      <c r="T391">
        <v>0</v>
      </c>
      <c r="V391">
        <v>10800</v>
      </c>
      <c r="W391">
        <v>7</v>
      </c>
      <c r="X391">
        <v>85</v>
      </c>
      <c r="Y391">
        <v>3</v>
      </c>
      <c r="Z391">
        <v>4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3</v>
      </c>
      <c r="AJ391">
        <v>0</v>
      </c>
      <c r="AK391">
        <v>0</v>
      </c>
      <c r="AL391">
        <v>100</v>
      </c>
      <c r="AM391">
        <v>45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100</v>
      </c>
      <c r="AU391">
        <v>0</v>
      </c>
      <c r="AV391">
        <v>0</v>
      </c>
    </row>
    <row r="392" spans="1:48" x14ac:dyDescent="0.15">
      <c r="A392" s="4" t="str">
        <f>HYPERLINK("https://ibp.a2mac1.com/costing(costing:projects/details/9760/equipment/12211795)","DC machine - General")</f>
        <v>DC machine - General</v>
      </c>
      <c r="B392">
        <v>12211795</v>
      </c>
      <c r="C392">
        <v>12084697</v>
      </c>
      <c r="E392" t="s">
        <v>738</v>
      </c>
      <c r="H392" t="s">
        <v>162</v>
      </c>
      <c r="I392">
        <v>116914.84457142858</v>
      </c>
      <c r="J392">
        <v>0</v>
      </c>
      <c r="K392">
        <v>3.6</v>
      </c>
      <c r="L392">
        <v>0</v>
      </c>
      <c r="M392">
        <v>27.497982091197134</v>
      </c>
      <c r="N392">
        <v>0</v>
      </c>
      <c r="O392">
        <v>0.16804322389064916</v>
      </c>
      <c r="P392">
        <v>2.5247933333333333E-2</v>
      </c>
      <c r="Q392">
        <v>1.1732166376415484E-2</v>
      </c>
      <c r="R392">
        <v>635568</v>
      </c>
      <c r="S392">
        <v>0</v>
      </c>
      <c r="T392">
        <v>0</v>
      </c>
      <c r="V392">
        <v>10800</v>
      </c>
      <c r="W392">
        <v>7</v>
      </c>
      <c r="X392">
        <v>85</v>
      </c>
      <c r="Y392">
        <v>3</v>
      </c>
      <c r="Z392">
        <v>4</v>
      </c>
      <c r="AA392">
        <v>5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3</v>
      </c>
      <c r="AJ392">
        <v>0</v>
      </c>
      <c r="AK392">
        <v>0</v>
      </c>
      <c r="AL392">
        <v>100</v>
      </c>
      <c r="AM392">
        <v>45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100</v>
      </c>
      <c r="AU392">
        <v>0</v>
      </c>
      <c r="AV392">
        <v>0</v>
      </c>
    </row>
    <row r="393" spans="1:48" x14ac:dyDescent="0.15">
      <c r="A393" s="4" t="str">
        <f>HYPERLINK("https://ibp.a2mac1.com/costing(costing:projects/details/9760/equipment/12211796)","DC machine - General")</f>
        <v>DC machine - General</v>
      </c>
      <c r="B393">
        <v>12211796</v>
      </c>
      <c r="C393">
        <v>12084698</v>
      </c>
      <c r="E393" t="s">
        <v>738</v>
      </c>
      <c r="H393" t="s">
        <v>162</v>
      </c>
      <c r="I393">
        <v>116914.84457142858</v>
      </c>
      <c r="J393">
        <v>0</v>
      </c>
      <c r="K393">
        <v>3.6</v>
      </c>
      <c r="L393">
        <v>0</v>
      </c>
      <c r="M393">
        <v>27.497982091197134</v>
      </c>
      <c r="N393">
        <v>0</v>
      </c>
      <c r="O393">
        <v>2.5512016717944008</v>
      </c>
      <c r="P393">
        <v>0.38330953333333334</v>
      </c>
      <c r="Q393">
        <v>1.1732166376415484E-2</v>
      </c>
      <c r="R393">
        <v>635568</v>
      </c>
      <c r="S393">
        <v>0</v>
      </c>
      <c r="T393">
        <v>0</v>
      </c>
      <c r="V393">
        <v>10800</v>
      </c>
      <c r="W393">
        <v>7</v>
      </c>
      <c r="X393">
        <v>85</v>
      </c>
      <c r="Y393">
        <v>3</v>
      </c>
      <c r="Z393">
        <v>4</v>
      </c>
      <c r="AA393">
        <v>5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3</v>
      </c>
      <c r="AJ393">
        <v>0</v>
      </c>
      <c r="AK393">
        <v>0</v>
      </c>
      <c r="AL393">
        <v>100</v>
      </c>
      <c r="AM393">
        <v>45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100</v>
      </c>
      <c r="AU393">
        <v>0</v>
      </c>
      <c r="AV393">
        <v>0</v>
      </c>
    </row>
    <row r="394" spans="1:48" x14ac:dyDescent="0.15">
      <c r="A394" s="4" t="str">
        <f>HYPERLINK("https://ibp.a2mac1.com/costing(costing:projects/details/9760/equipment/12211797)","DC machine - General")</f>
        <v>DC machine - General</v>
      </c>
      <c r="B394">
        <v>12211797</v>
      </c>
      <c r="C394">
        <v>12084699</v>
      </c>
      <c r="E394" t="s">
        <v>738</v>
      </c>
      <c r="H394" t="s">
        <v>162</v>
      </c>
      <c r="I394">
        <v>116914.84457142858</v>
      </c>
      <c r="J394">
        <v>0</v>
      </c>
      <c r="K394">
        <v>3.6</v>
      </c>
      <c r="L394">
        <v>0</v>
      </c>
      <c r="M394">
        <v>27.497982091197134</v>
      </c>
      <c r="N394">
        <v>0</v>
      </c>
      <c r="O394">
        <v>5.1864249555341262</v>
      </c>
      <c r="P394">
        <v>0.77924303333333333</v>
      </c>
      <c r="Q394">
        <v>1.1732166376415484E-2</v>
      </c>
      <c r="R394">
        <v>635568</v>
      </c>
      <c r="S394">
        <v>0</v>
      </c>
      <c r="T394">
        <v>0</v>
      </c>
      <c r="V394">
        <v>10800</v>
      </c>
      <c r="W394">
        <v>7</v>
      </c>
      <c r="X394">
        <v>85</v>
      </c>
      <c r="Y394">
        <v>3</v>
      </c>
      <c r="Z394">
        <v>4</v>
      </c>
      <c r="AA394">
        <v>5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3</v>
      </c>
      <c r="AJ394">
        <v>0</v>
      </c>
      <c r="AK394">
        <v>0</v>
      </c>
      <c r="AL394">
        <v>100</v>
      </c>
      <c r="AM394">
        <v>45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100</v>
      </c>
      <c r="AU394">
        <v>0</v>
      </c>
      <c r="AV394">
        <v>0</v>
      </c>
    </row>
    <row r="395" spans="1:48" x14ac:dyDescent="0.15">
      <c r="A395" s="4" t="str">
        <f>HYPERLINK("https://ibp.a2mac1.com/costing(costing:projects/details/9760/equipment/12211798)","DC machine - General")</f>
        <v>DC machine - General</v>
      </c>
      <c r="B395">
        <v>12211798</v>
      </c>
      <c r="C395">
        <v>12084700</v>
      </c>
      <c r="E395" t="s">
        <v>738</v>
      </c>
      <c r="H395" t="s">
        <v>162</v>
      </c>
      <c r="I395">
        <v>116914.84457142858</v>
      </c>
      <c r="J395">
        <v>0</v>
      </c>
      <c r="K395">
        <v>3.6</v>
      </c>
      <c r="L395">
        <v>0</v>
      </c>
      <c r="M395">
        <v>27.497982091197134</v>
      </c>
      <c r="N395">
        <v>0</v>
      </c>
      <c r="O395">
        <v>1.5276656717331742E-2</v>
      </c>
      <c r="P395">
        <v>2.2952666666666665E-3</v>
      </c>
      <c r="Q395">
        <v>1.1732166376415484E-2</v>
      </c>
      <c r="R395">
        <v>635568</v>
      </c>
      <c r="S395">
        <v>0</v>
      </c>
      <c r="T395">
        <v>0</v>
      </c>
      <c r="V395">
        <v>10800</v>
      </c>
      <c r="W395">
        <v>7</v>
      </c>
      <c r="X395">
        <v>85</v>
      </c>
      <c r="Y395">
        <v>3</v>
      </c>
      <c r="Z395">
        <v>4</v>
      </c>
      <c r="AA395">
        <v>5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3</v>
      </c>
      <c r="AJ395">
        <v>0</v>
      </c>
      <c r="AK395">
        <v>0</v>
      </c>
      <c r="AL395">
        <v>100</v>
      </c>
      <c r="AM395">
        <v>45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100</v>
      </c>
      <c r="AU395">
        <v>0</v>
      </c>
      <c r="AV395">
        <v>0</v>
      </c>
    </row>
    <row r="396" spans="1:48" x14ac:dyDescent="0.15">
      <c r="A396" s="4" t="str">
        <f>HYPERLINK("https://ibp.a2mac1.com/costing(costing:projects/details/9760/equipment/12211692)","DC machine - General")</f>
        <v>DC machine - General</v>
      </c>
      <c r="B396">
        <v>12211692</v>
      </c>
      <c r="C396">
        <v>12084594</v>
      </c>
      <c r="E396" t="s">
        <v>738</v>
      </c>
      <c r="H396" t="s">
        <v>162</v>
      </c>
      <c r="I396">
        <v>116914.84457142858</v>
      </c>
      <c r="J396">
        <v>0</v>
      </c>
      <c r="K396">
        <v>3.6</v>
      </c>
      <c r="L396">
        <v>0</v>
      </c>
      <c r="M396">
        <v>27.497982091197134</v>
      </c>
      <c r="N396">
        <v>0</v>
      </c>
      <c r="O396">
        <v>9.1659940303990453E-2</v>
      </c>
      <c r="P396">
        <v>1.37716E-2</v>
      </c>
      <c r="Q396">
        <v>1.1732166376415484E-2</v>
      </c>
      <c r="R396">
        <v>635568</v>
      </c>
      <c r="S396">
        <v>0</v>
      </c>
      <c r="T396">
        <v>0</v>
      </c>
      <c r="V396">
        <v>10800</v>
      </c>
      <c r="W396">
        <v>7</v>
      </c>
      <c r="X396">
        <v>85</v>
      </c>
      <c r="Y396">
        <v>3</v>
      </c>
      <c r="Z396">
        <v>4</v>
      </c>
      <c r="AA396">
        <v>5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3</v>
      </c>
      <c r="AJ396">
        <v>0</v>
      </c>
      <c r="AK396">
        <v>0</v>
      </c>
      <c r="AL396">
        <v>100</v>
      </c>
      <c r="AM396">
        <v>45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100</v>
      </c>
      <c r="AU396">
        <v>0</v>
      </c>
      <c r="AV396">
        <v>0</v>
      </c>
    </row>
    <row r="397" spans="1:48" x14ac:dyDescent="0.15">
      <c r="A397" s="4" t="str">
        <f>HYPERLINK("https://ibp.a2mac1.com/costing(costing:projects/details/9760/equipment/12211693)","DC machine - General")</f>
        <v>DC machine - General</v>
      </c>
      <c r="B397">
        <v>12211693</v>
      </c>
      <c r="C397">
        <v>12084595</v>
      </c>
      <c r="E397" t="s">
        <v>738</v>
      </c>
      <c r="H397" t="s">
        <v>162</v>
      </c>
      <c r="I397">
        <v>116914.84457142858</v>
      </c>
      <c r="J397">
        <v>0</v>
      </c>
      <c r="K397">
        <v>3.6</v>
      </c>
      <c r="L397">
        <v>0</v>
      </c>
      <c r="M397">
        <v>27.497982091197134</v>
      </c>
      <c r="N397">
        <v>0</v>
      </c>
      <c r="O397">
        <v>9.1659940303990453E-2</v>
      </c>
      <c r="P397">
        <v>1.37716E-2</v>
      </c>
      <c r="Q397">
        <v>1.1732166376415484E-2</v>
      </c>
      <c r="R397">
        <v>635568</v>
      </c>
      <c r="S397">
        <v>0</v>
      </c>
      <c r="T397">
        <v>0</v>
      </c>
      <c r="V397">
        <v>10800</v>
      </c>
      <c r="W397">
        <v>7</v>
      </c>
      <c r="X397">
        <v>85</v>
      </c>
      <c r="Y397">
        <v>3</v>
      </c>
      <c r="Z397">
        <v>4</v>
      </c>
      <c r="AA397">
        <v>5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3</v>
      </c>
      <c r="AJ397">
        <v>0</v>
      </c>
      <c r="AK397">
        <v>0</v>
      </c>
      <c r="AL397">
        <v>100</v>
      </c>
      <c r="AM397">
        <v>45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100</v>
      </c>
      <c r="AU397">
        <v>0</v>
      </c>
      <c r="AV397">
        <v>0</v>
      </c>
    </row>
    <row r="398" spans="1:48" x14ac:dyDescent="0.15">
      <c r="A398" s="4" t="str">
        <f>HYPERLINK("https://ibp.a2mac1.com/costing(costing:projects/details/9760/equipment/12211694)","DC machine - General")</f>
        <v>DC machine - General</v>
      </c>
      <c r="B398">
        <v>12211694</v>
      </c>
      <c r="C398">
        <v>12084596</v>
      </c>
      <c r="E398" t="s">
        <v>738</v>
      </c>
      <c r="H398" t="s">
        <v>162</v>
      </c>
      <c r="I398">
        <v>116914.84457142858</v>
      </c>
      <c r="J398">
        <v>0</v>
      </c>
      <c r="K398">
        <v>3.6</v>
      </c>
      <c r="L398">
        <v>0</v>
      </c>
      <c r="M398">
        <v>27.497982091197134</v>
      </c>
      <c r="N398">
        <v>0</v>
      </c>
      <c r="O398">
        <v>9.9298268662656314E-2</v>
      </c>
      <c r="P398">
        <v>1.4919233333333334E-2</v>
      </c>
      <c r="Q398">
        <v>1.1732166376415484E-2</v>
      </c>
      <c r="R398">
        <v>635568</v>
      </c>
      <c r="S398">
        <v>0</v>
      </c>
      <c r="T398">
        <v>0</v>
      </c>
      <c r="V398">
        <v>10800</v>
      </c>
      <c r="W398">
        <v>7</v>
      </c>
      <c r="X398">
        <v>85</v>
      </c>
      <c r="Y398">
        <v>3</v>
      </c>
      <c r="Z398">
        <v>4</v>
      </c>
      <c r="AA398">
        <v>5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3</v>
      </c>
      <c r="AJ398">
        <v>0</v>
      </c>
      <c r="AK398">
        <v>0</v>
      </c>
      <c r="AL398">
        <v>100</v>
      </c>
      <c r="AM398">
        <v>45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100</v>
      </c>
      <c r="AU398">
        <v>0</v>
      </c>
      <c r="AV398">
        <v>0</v>
      </c>
    </row>
    <row r="399" spans="1:48" x14ac:dyDescent="0.15">
      <c r="A399" s="4" t="str">
        <f>HYPERLINK("https://ibp.a2mac1.com/costing(costing:projects/details/9760/equipment/12211695)","DC machine - General")</f>
        <v>DC machine - General</v>
      </c>
      <c r="B399">
        <v>12211695</v>
      </c>
      <c r="C399">
        <v>12084597</v>
      </c>
      <c r="E399" t="s">
        <v>738</v>
      </c>
      <c r="H399" t="s">
        <v>162</v>
      </c>
      <c r="I399">
        <v>116914.84457142858</v>
      </c>
      <c r="J399">
        <v>0</v>
      </c>
      <c r="K399">
        <v>3.6</v>
      </c>
      <c r="L399">
        <v>0</v>
      </c>
      <c r="M399">
        <v>27.497982091197134</v>
      </c>
      <c r="N399">
        <v>0</v>
      </c>
      <c r="O399">
        <v>1.5276656717331742E-2</v>
      </c>
      <c r="P399">
        <v>2.2952666666666665E-3</v>
      </c>
      <c r="Q399">
        <v>1.1732166376415484E-2</v>
      </c>
      <c r="R399">
        <v>635568</v>
      </c>
      <c r="S399">
        <v>0</v>
      </c>
      <c r="T399">
        <v>0</v>
      </c>
      <c r="V399">
        <v>10800</v>
      </c>
      <c r="W399">
        <v>7</v>
      </c>
      <c r="X399">
        <v>85</v>
      </c>
      <c r="Y399">
        <v>3</v>
      </c>
      <c r="Z399">
        <v>4</v>
      </c>
      <c r="AA399">
        <v>5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3</v>
      </c>
      <c r="AJ399">
        <v>0</v>
      </c>
      <c r="AK399">
        <v>0</v>
      </c>
      <c r="AL399">
        <v>100</v>
      </c>
      <c r="AM399">
        <v>45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100</v>
      </c>
      <c r="AU399">
        <v>0</v>
      </c>
      <c r="AV399">
        <v>0</v>
      </c>
    </row>
    <row r="400" spans="1:48" x14ac:dyDescent="0.15">
      <c r="A400" s="4" t="str">
        <f>HYPERLINK("https://ibp.a2mac1.com/costing(costing:projects/details/9760/equipment/12211696)","DC machine - General")</f>
        <v>DC machine - General</v>
      </c>
      <c r="B400">
        <v>12211696</v>
      </c>
      <c r="C400">
        <v>12084598</v>
      </c>
      <c r="E400" t="s">
        <v>738</v>
      </c>
      <c r="H400" t="s">
        <v>162</v>
      </c>
      <c r="I400">
        <v>116914.84457142858</v>
      </c>
      <c r="J400">
        <v>0</v>
      </c>
      <c r="K400">
        <v>3.6</v>
      </c>
      <c r="L400">
        <v>0</v>
      </c>
      <c r="M400">
        <v>27.497982091197134</v>
      </c>
      <c r="N400">
        <v>0</v>
      </c>
      <c r="O400">
        <v>6.8744955227992843E-2</v>
      </c>
      <c r="P400">
        <v>1.03287E-2</v>
      </c>
      <c r="Q400">
        <v>1.1732166376415484E-2</v>
      </c>
      <c r="R400">
        <v>635568</v>
      </c>
      <c r="S400">
        <v>0</v>
      </c>
      <c r="T400">
        <v>0</v>
      </c>
      <c r="V400">
        <v>10800</v>
      </c>
      <c r="W400">
        <v>7</v>
      </c>
      <c r="X400">
        <v>85</v>
      </c>
      <c r="Y400">
        <v>3</v>
      </c>
      <c r="Z400">
        <v>4</v>
      </c>
      <c r="AA400">
        <v>5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3</v>
      </c>
      <c r="AJ400">
        <v>0</v>
      </c>
      <c r="AK400">
        <v>0</v>
      </c>
      <c r="AL400">
        <v>100</v>
      </c>
      <c r="AM400">
        <v>45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100</v>
      </c>
      <c r="AU400">
        <v>0</v>
      </c>
      <c r="AV400">
        <v>0</v>
      </c>
    </row>
    <row r="401" spans="1:48" x14ac:dyDescent="0.15">
      <c r="A401" s="4" t="str">
        <f>HYPERLINK("https://ibp.a2mac1.com/costing(costing:projects/details/9760/equipment/12211918)","DC machine - General")</f>
        <v>DC machine - General</v>
      </c>
      <c r="B401">
        <v>12211918</v>
      </c>
      <c r="C401">
        <v>12084797</v>
      </c>
      <c r="E401" t="s">
        <v>738</v>
      </c>
      <c r="H401" t="s">
        <v>162</v>
      </c>
      <c r="I401">
        <v>116914.84457142858</v>
      </c>
      <c r="J401">
        <v>0</v>
      </c>
      <c r="K401">
        <v>3.6</v>
      </c>
      <c r="L401">
        <v>0</v>
      </c>
      <c r="M401">
        <v>27.497982091197134</v>
      </c>
      <c r="N401">
        <v>0</v>
      </c>
      <c r="O401">
        <v>7.6383283586658711E-3</v>
      </c>
      <c r="P401">
        <v>1.1476333333333333E-3</v>
      </c>
      <c r="Q401">
        <v>1.1732166376415484E-2</v>
      </c>
      <c r="R401">
        <v>635568</v>
      </c>
      <c r="S401">
        <v>0</v>
      </c>
      <c r="T401">
        <v>0</v>
      </c>
      <c r="V401">
        <v>10800</v>
      </c>
      <c r="W401">
        <v>7</v>
      </c>
      <c r="X401">
        <v>85</v>
      </c>
      <c r="Y401">
        <v>3</v>
      </c>
      <c r="Z401">
        <v>4</v>
      </c>
      <c r="AA401">
        <v>5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3</v>
      </c>
      <c r="AJ401">
        <v>0</v>
      </c>
      <c r="AK401">
        <v>0</v>
      </c>
      <c r="AL401">
        <v>100</v>
      </c>
      <c r="AM401">
        <v>45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100</v>
      </c>
      <c r="AU401">
        <v>0</v>
      </c>
      <c r="AV401">
        <v>0</v>
      </c>
    </row>
    <row r="402" spans="1:48" x14ac:dyDescent="0.15">
      <c r="A402" s="4" t="str">
        <f>HYPERLINK("https://ibp.a2mac1.com/costing(costing:projects/details/9760/equipment/12211799)","DC machine - General")</f>
        <v>DC machine - General</v>
      </c>
      <c r="B402">
        <v>12211799</v>
      </c>
      <c r="C402">
        <v>12084701</v>
      </c>
      <c r="E402" t="s">
        <v>738</v>
      </c>
      <c r="H402" t="s">
        <v>162</v>
      </c>
      <c r="I402">
        <v>116914.84457142858</v>
      </c>
      <c r="J402">
        <v>0</v>
      </c>
      <c r="K402">
        <v>3.6</v>
      </c>
      <c r="L402">
        <v>0</v>
      </c>
      <c r="M402">
        <v>27.497982091197134</v>
      </c>
      <c r="N402">
        <v>0</v>
      </c>
      <c r="O402">
        <v>0.29025647762930307</v>
      </c>
      <c r="P402">
        <v>4.3610066666666669E-2</v>
      </c>
      <c r="Q402">
        <v>1.1732166376415484E-2</v>
      </c>
      <c r="R402">
        <v>635568</v>
      </c>
      <c r="S402">
        <v>0</v>
      </c>
      <c r="T402">
        <v>0</v>
      </c>
      <c r="V402">
        <v>10800</v>
      </c>
      <c r="W402">
        <v>7</v>
      </c>
      <c r="X402">
        <v>85</v>
      </c>
      <c r="Y402">
        <v>3</v>
      </c>
      <c r="Z402">
        <v>4</v>
      </c>
      <c r="AA402">
        <v>5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3</v>
      </c>
      <c r="AJ402">
        <v>0</v>
      </c>
      <c r="AK402">
        <v>0</v>
      </c>
      <c r="AL402">
        <v>100</v>
      </c>
      <c r="AM402">
        <v>45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100</v>
      </c>
      <c r="AU402">
        <v>0</v>
      </c>
      <c r="AV402">
        <v>0</v>
      </c>
    </row>
    <row r="403" spans="1:48" x14ac:dyDescent="0.15">
      <c r="A403" s="4" t="str">
        <f>HYPERLINK("https://ibp.a2mac1.com/costing(costing:projects/details/9760/equipment/12211800)","DC machine - General")</f>
        <v>DC machine - General</v>
      </c>
      <c r="B403">
        <v>12211800</v>
      </c>
      <c r="C403">
        <v>12084702</v>
      </c>
      <c r="E403" t="s">
        <v>738</v>
      </c>
      <c r="H403" t="s">
        <v>162</v>
      </c>
      <c r="I403">
        <v>116914.84457142858</v>
      </c>
      <c r="J403">
        <v>0</v>
      </c>
      <c r="K403">
        <v>3.6</v>
      </c>
      <c r="L403">
        <v>0</v>
      </c>
      <c r="M403">
        <v>27.497982091197134</v>
      </c>
      <c r="N403">
        <v>0</v>
      </c>
      <c r="O403">
        <v>0.39719307465062526</v>
      </c>
      <c r="P403">
        <v>5.9676933333333335E-2</v>
      </c>
      <c r="Q403">
        <v>1.1732166376415484E-2</v>
      </c>
      <c r="R403">
        <v>635568</v>
      </c>
      <c r="S403">
        <v>0</v>
      </c>
      <c r="T403">
        <v>0</v>
      </c>
      <c r="V403">
        <v>10800</v>
      </c>
      <c r="W403">
        <v>7</v>
      </c>
      <c r="X403">
        <v>85</v>
      </c>
      <c r="Y403">
        <v>3</v>
      </c>
      <c r="Z403">
        <v>4</v>
      </c>
      <c r="AA403">
        <v>5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3</v>
      </c>
      <c r="AJ403">
        <v>0</v>
      </c>
      <c r="AK403">
        <v>0</v>
      </c>
      <c r="AL403">
        <v>100</v>
      </c>
      <c r="AM403">
        <v>45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100</v>
      </c>
      <c r="AU403">
        <v>0</v>
      </c>
      <c r="AV403">
        <v>0</v>
      </c>
    </row>
    <row r="404" spans="1:48" x14ac:dyDescent="0.15">
      <c r="A404" s="4" t="str">
        <f>HYPERLINK("https://ibp.a2mac1.com/costing(costing:projects/details/9760/equipment/12211801)","DC machine - General")</f>
        <v>DC machine - General</v>
      </c>
      <c r="B404">
        <v>12211801</v>
      </c>
      <c r="C404">
        <v>12084703</v>
      </c>
      <c r="E404" t="s">
        <v>738</v>
      </c>
      <c r="H404" t="s">
        <v>162</v>
      </c>
      <c r="I404">
        <v>116914.84457142858</v>
      </c>
      <c r="J404">
        <v>0</v>
      </c>
      <c r="K404">
        <v>3.6</v>
      </c>
      <c r="L404">
        <v>0</v>
      </c>
      <c r="M404">
        <v>27.497982091197134</v>
      </c>
      <c r="N404">
        <v>0</v>
      </c>
      <c r="O404">
        <v>5.3468298510661094E-2</v>
      </c>
      <c r="P404">
        <v>8.0334333333333327E-3</v>
      </c>
      <c r="Q404">
        <v>1.1732166376415484E-2</v>
      </c>
      <c r="R404">
        <v>635568</v>
      </c>
      <c r="S404">
        <v>0</v>
      </c>
      <c r="T404">
        <v>0</v>
      </c>
      <c r="V404">
        <v>10800</v>
      </c>
      <c r="W404">
        <v>7</v>
      </c>
      <c r="X404">
        <v>85</v>
      </c>
      <c r="Y404">
        <v>3</v>
      </c>
      <c r="Z404">
        <v>4</v>
      </c>
      <c r="AA404">
        <v>5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3</v>
      </c>
      <c r="AJ404">
        <v>0</v>
      </c>
      <c r="AK404">
        <v>0</v>
      </c>
      <c r="AL404">
        <v>100</v>
      </c>
      <c r="AM404">
        <v>45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100</v>
      </c>
      <c r="AU404">
        <v>0</v>
      </c>
      <c r="AV404">
        <v>0</v>
      </c>
    </row>
    <row r="405" spans="1:48" x14ac:dyDescent="0.15">
      <c r="A405" s="4" t="str">
        <f>HYPERLINK("https://ibp.a2mac1.com/costing(costing:projects/details/9760/equipment/12211802)","DC machine - General")</f>
        <v>DC machine - General</v>
      </c>
      <c r="B405">
        <v>12211802</v>
      </c>
      <c r="C405">
        <v>12084704</v>
      </c>
      <c r="E405" t="s">
        <v>738</v>
      </c>
      <c r="H405" t="s">
        <v>162</v>
      </c>
      <c r="I405">
        <v>116914.84457142858</v>
      </c>
      <c r="J405">
        <v>0</v>
      </c>
      <c r="K405">
        <v>3.6</v>
      </c>
      <c r="L405">
        <v>0</v>
      </c>
      <c r="M405">
        <v>27.497982091197134</v>
      </c>
      <c r="N405">
        <v>0</v>
      </c>
      <c r="O405">
        <v>0.93951438811590204</v>
      </c>
      <c r="P405">
        <v>0.1411589</v>
      </c>
      <c r="Q405">
        <v>1.1732166376415484E-2</v>
      </c>
      <c r="R405">
        <v>635568</v>
      </c>
      <c r="S405">
        <v>0</v>
      </c>
      <c r="T405">
        <v>0</v>
      </c>
      <c r="V405">
        <v>10800</v>
      </c>
      <c r="W405">
        <v>7</v>
      </c>
      <c r="X405">
        <v>85</v>
      </c>
      <c r="Y405">
        <v>3</v>
      </c>
      <c r="Z405">
        <v>4</v>
      </c>
      <c r="AA405">
        <v>5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3</v>
      </c>
      <c r="AJ405">
        <v>0</v>
      </c>
      <c r="AK405">
        <v>0</v>
      </c>
      <c r="AL405">
        <v>100</v>
      </c>
      <c r="AM405">
        <v>45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100</v>
      </c>
      <c r="AU405">
        <v>0</v>
      </c>
      <c r="AV405">
        <v>0</v>
      </c>
    </row>
    <row r="406" spans="1:48" x14ac:dyDescent="0.15">
      <c r="A406" s="4" t="str">
        <f>HYPERLINK("https://ibp.a2mac1.com/costing(costing:projects/details/9760/equipment/12211803)","DC machine - General")</f>
        <v>DC machine - General</v>
      </c>
      <c r="B406">
        <v>12211803</v>
      </c>
      <c r="C406">
        <v>12084705</v>
      </c>
      <c r="E406" t="s">
        <v>738</v>
      </c>
      <c r="H406" t="s">
        <v>162</v>
      </c>
      <c r="I406">
        <v>116914.84457142858</v>
      </c>
      <c r="J406">
        <v>0</v>
      </c>
      <c r="K406">
        <v>3.6</v>
      </c>
      <c r="L406">
        <v>0</v>
      </c>
      <c r="M406">
        <v>27.497982091197134</v>
      </c>
      <c r="N406">
        <v>0</v>
      </c>
      <c r="O406">
        <v>3.0553313434663484E-2</v>
      </c>
      <c r="P406">
        <v>4.5905333333333331E-3</v>
      </c>
      <c r="Q406">
        <v>1.1732166376415484E-2</v>
      </c>
      <c r="R406">
        <v>635568</v>
      </c>
      <c r="S406">
        <v>0</v>
      </c>
      <c r="T406">
        <v>0</v>
      </c>
      <c r="V406">
        <v>10800</v>
      </c>
      <c r="W406">
        <v>7</v>
      </c>
      <c r="X406">
        <v>85</v>
      </c>
      <c r="Y406">
        <v>3</v>
      </c>
      <c r="Z406">
        <v>4</v>
      </c>
      <c r="AA406">
        <v>5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3</v>
      </c>
      <c r="AJ406">
        <v>0</v>
      </c>
      <c r="AK406">
        <v>0</v>
      </c>
      <c r="AL406">
        <v>100</v>
      </c>
      <c r="AM406">
        <v>45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100</v>
      </c>
      <c r="AU406">
        <v>0</v>
      </c>
      <c r="AV406">
        <v>0</v>
      </c>
    </row>
    <row r="407" spans="1:48" x14ac:dyDescent="0.15">
      <c r="A407" s="4" t="str">
        <f>HYPERLINK("https://ibp.a2mac1.com/costing(costing:projects/details/9760/equipment/12211804)","DC machine - General")</f>
        <v>DC machine - General</v>
      </c>
      <c r="B407">
        <v>12211804</v>
      </c>
      <c r="C407">
        <v>12084706</v>
      </c>
      <c r="E407" t="s">
        <v>738</v>
      </c>
      <c r="H407" t="s">
        <v>162</v>
      </c>
      <c r="I407">
        <v>116914.84457142858</v>
      </c>
      <c r="J407">
        <v>0</v>
      </c>
      <c r="K407">
        <v>3.6</v>
      </c>
      <c r="L407">
        <v>0</v>
      </c>
      <c r="M407">
        <v>27.497982091197134</v>
      </c>
      <c r="N407">
        <v>0</v>
      </c>
      <c r="O407">
        <v>7.6383283586658704E-2</v>
      </c>
      <c r="P407">
        <v>1.1476333333333333E-2</v>
      </c>
      <c r="Q407">
        <v>1.1732166376415484E-2</v>
      </c>
      <c r="R407">
        <v>635568</v>
      </c>
      <c r="S407">
        <v>0</v>
      </c>
      <c r="T407">
        <v>0</v>
      </c>
      <c r="V407">
        <v>10800</v>
      </c>
      <c r="W407">
        <v>7</v>
      </c>
      <c r="X407">
        <v>85</v>
      </c>
      <c r="Y407">
        <v>3</v>
      </c>
      <c r="Z407">
        <v>4</v>
      </c>
      <c r="AA407">
        <v>5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3</v>
      </c>
      <c r="AJ407">
        <v>0</v>
      </c>
      <c r="AK407">
        <v>0</v>
      </c>
      <c r="AL407">
        <v>100</v>
      </c>
      <c r="AM407">
        <v>45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100</v>
      </c>
      <c r="AU407">
        <v>0</v>
      </c>
      <c r="AV407">
        <v>0</v>
      </c>
    </row>
    <row r="408" spans="1:48" x14ac:dyDescent="0.15">
      <c r="A408" s="4" t="str">
        <f>HYPERLINK("https://ibp.a2mac1.com/costing(costing:projects/details/9760/equipment/12211920)","Dummy Machine (Wireharness production line)")</f>
        <v>Dummy Machine (Wireharness production line)</v>
      </c>
      <c r="B408">
        <v>12211920</v>
      </c>
      <c r="C408">
        <v>12084799</v>
      </c>
      <c r="H408" t="s">
        <v>316</v>
      </c>
      <c r="I408">
        <v>18664.599488571428</v>
      </c>
      <c r="J408">
        <v>0</v>
      </c>
      <c r="K408">
        <v>9.6320000000000003E-2</v>
      </c>
      <c r="L408">
        <v>0</v>
      </c>
      <c r="M408">
        <v>3.815112106809937</v>
      </c>
      <c r="N408">
        <v>0</v>
      </c>
      <c r="O408">
        <v>2.4374327349063488E-2</v>
      </c>
      <c r="P408">
        <v>9.3730657233333334E-2</v>
      </c>
      <c r="Q408">
        <v>7.4898068373834779E-5</v>
      </c>
      <c r="R408">
        <v>89474.5</v>
      </c>
      <c r="S408">
        <v>0</v>
      </c>
      <c r="T408">
        <v>0</v>
      </c>
      <c r="V408">
        <v>126</v>
      </c>
      <c r="W408">
        <v>7</v>
      </c>
      <c r="X408">
        <v>85</v>
      </c>
      <c r="Y408">
        <v>3</v>
      </c>
      <c r="Z408">
        <v>4</v>
      </c>
      <c r="AA408">
        <v>5</v>
      </c>
      <c r="AB408">
        <v>0</v>
      </c>
      <c r="AC408">
        <v>0</v>
      </c>
      <c r="AD408">
        <v>0</v>
      </c>
      <c r="AE408">
        <v>0</v>
      </c>
      <c r="AF408">
        <v>3.5510000000000002</v>
      </c>
      <c r="AG408">
        <v>0</v>
      </c>
      <c r="AH408">
        <v>0</v>
      </c>
      <c r="AI408">
        <v>1.4</v>
      </c>
      <c r="AJ408">
        <v>0</v>
      </c>
      <c r="AK408">
        <v>0</v>
      </c>
      <c r="AL408">
        <v>86</v>
      </c>
      <c r="AM408">
        <v>1.4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71</v>
      </c>
      <c r="AU408">
        <v>0</v>
      </c>
      <c r="AV408">
        <v>0</v>
      </c>
    </row>
    <row r="409" spans="1:48" x14ac:dyDescent="0.15">
      <c r="A409" s="4" t="str">
        <f>HYPERLINK("https://ibp.a2mac1.com/costing(costing:projects/details/9760/equipment/12211919)","DC machine - General")</f>
        <v>DC machine - General</v>
      </c>
      <c r="B409">
        <v>12211919</v>
      </c>
      <c r="C409">
        <v>12084798</v>
      </c>
      <c r="E409" t="s">
        <v>738</v>
      </c>
      <c r="H409" t="s">
        <v>162</v>
      </c>
      <c r="I409">
        <v>116914.84457142858</v>
      </c>
      <c r="J409">
        <v>0</v>
      </c>
      <c r="K409">
        <v>3.6</v>
      </c>
      <c r="L409">
        <v>0</v>
      </c>
      <c r="M409">
        <v>27.497982091197134</v>
      </c>
      <c r="N409">
        <v>0</v>
      </c>
      <c r="O409">
        <v>7.6383283586658711E-3</v>
      </c>
      <c r="P409">
        <v>1.1476333333333333E-3</v>
      </c>
      <c r="Q409">
        <v>5.8660831882077422E-3</v>
      </c>
      <c r="R409">
        <v>635568</v>
      </c>
      <c r="S409">
        <v>0</v>
      </c>
      <c r="T409">
        <v>0</v>
      </c>
      <c r="V409">
        <v>10800</v>
      </c>
      <c r="W409">
        <v>7</v>
      </c>
      <c r="X409">
        <v>85</v>
      </c>
      <c r="Y409">
        <v>3</v>
      </c>
      <c r="Z409">
        <v>4</v>
      </c>
      <c r="AA409">
        <v>5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3</v>
      </c>
      <c r="AJ409">
        <v>0</v>
      </c>
      <c r="AK409">
        <v>0</v>
      </c>
      <c r="AL409">
        <v>100</v>
      </c>
      <c r="AM409">
        <v>45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100</v>
      </c>
      <c r="AU409">
        <v>0</v>
      </c>
      <c r="AV409">
        <v>0</v>
      </c>
    </row>
    <row r="410" spans="1:48" x14ac:dyDescent="0.15">
      <c r="A410" s="4" t="str">
        <f>HYPERLINK("https://ibp.a2mac1.com/costing(costing:projects/details/9760/equipment/12211805)","DC machine - General")</f>
        <v>DC machine - General</v>
      </c>
      <c r="B410">
        <v>12211805</v>
      </c>
      <c r="C410">
        <v>12084707</v>
      </c>
      <c r="E410" t="s">
        <v>738</v>
      </c>
      <c r="H410" t="s">
        <v>162</v>
      </c>
      <c r="I410">
        <v>116914.84457142858</v>
      </c>
      <c r="J410">
        <v>0</v>
      </c>
      <c r="K410">
        <v>3.6</v>
      </c>
      <c r="L410">
        <v>0</v>
      </c>
      <c r="M410">
        <v>27.497982091197134</v>
      </c>
      <c r="N410">
        <v>0</v>
      </c>
      <c r="O410">
        <v>0.38955474629195941</v>
      </c>
      <c r="P410">
        <v>5.8529299999999999E-2</v>
      </c>
      <c r="Q410">
        <v>1.1732166376415484E-2</v>
      </c>
      <c r="R410">
        <v>635568</v>
      </c>
      <c r="S410">
        <v>0</v>
      </c>
      <c r="T410">
        <v>0</v>
      </c>
      <c r="V410">
        <v>10800</v>
      </c>
      <c r="W410">
        <v>7</v>
      </c>
      <c r="X410">
        <v>85</v>
      </c>
      <c r="Y410">
        <v>3</v>
      </c>
      <c r="Z410">
        <v>4</v>
      </c>
      <c r="AA410">
        <v>5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3</v>
      </c>
      <c r="AJ410">
        <v>0</v>
      </c>
      <c r="AK410">
        <v>0</v>
      </c>
      <c r="AL410">
        <v>100</v>
      </c>
      <c r="AM410">
        <v>45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100</v>
      </c>
      <c r="AU410">
        <v>0</v>
      </c>
      <c r="AV410">
        <v>0</v>
      </c>
    </row>
    <row r="411" spans="1:48" x14ac:dyDescent="0.15">
      <c r="A411" s="4" t="str">
        <f>HYPERLINK("https://ibp.a2mac1.com/costing(costing:projects/details/9760/equipment/12211806)","DC machine - General")</f>
        <v>DC machine - General</v>
      </c>
      <c r="B411">
        <v>12211806</v>
      </c>
      <c r="C411">
        <v>12084708</v>
      </c>
      <c r="E411" t="s">
        <v>738</v>
      </c>
      <c r="H411" t="s">
        <v>162</v>
      </c>
      <c r="I411">
        <v>116914.84457142858</v>
      </c>
      <c r="J411">
        <v>0</v>
      </c>
      <c r="K411">
        <v>3.6</v>
      </c>
      <c r="L411">
        <v>0</v>
      </c>
      <c r="M411">
        <v>27.497982091197134</v>
      </c>
      <c r="N411">
        <v>0</v>
      </c>
      <c r="O411">
        <v>7.6383283586658711E-3</v>
      </c>
      <c r="P411">
        <v>1.1476333333333333E-3</v>
      </c>
      <c r="Q411">
        <v>1.1732166376415484E-2</v>
      </c>
      <c r="R411">
        <v>635568</v>
      </c>
      <c r="S411">
        <v>0</v>
      </c>
      <c r="T411">
        <v>0</v>
      </c>
      <c r="V411">
        <v>10800</v>
      </c>
      <c r="W411">
        <v>7</v>
      </c>
      <c r="X411">
        <v>85</v>
      </c>
      <c r="Y411">
        <v>3</v>
      </c>
      <c r="Z411">
        <v>4</v>
      </c>
      <c r="AA411">
        <v>5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3</v>
      </c>
      <c r="AJ411">
        <v>0</v>
      </c>
      <c r="AK411">
        <v>0</v>
      </c>
      <c r="AL411">
        <v>100</v>
      </c>
      <c r="AM411">
        <v>45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100</v>
      </c>
      <c r="AU411">
        <v>0</v>
      </c>
      <c r="AV411">
        <v>0</v>
      </c>
    </row>
    <row r="412" spans="1:48" x14ac:dyDescent="0.15">
      <c r="A412" s="4" t="str">
        <f>HYPERLINK("https://ibp.a2mac1.com/costing(costing:projects/details/9760/equipment/12211807)","DC machine - General")</f>
        <v>DC machine - General</v>
      </c>
      <c r="B412">
        <v>12211807</v>
      </c>
      <c r="C412">
        <v>12084709</v>
      </c>
      <c r="E412" t="s">
        <v>738</v>
      </c>
      <c r="H412" t="s">
        <v>162</v>
      </c>
      <c r="I412">
        <v>116914.84457142858</v>
      </c>
      <c r="J412">
        <v>0</v>
      </c>
      <c r="K412">
        <v>3.6</v>
      </c>
      <c r="L412">
        <v>0</v>
      </c>
      <c r="M412">
        <v>27.497982091197134</v>
      </c>
      <c r="N412">
        <v>0</v>
      </c>
      <c r="O412">
        <v>4.5829970151995227E-2</v>
      </c>
      <c r="P412">
        <v>6.8858000000000001E-3</v>
      </c>
      <c r="Q412">
        <v>1.1732166376415484E-2</v>
      </c>
      <c r="R412">
        <v>635568</v>
      </c>
      <c r="S412">
        <v>0</v>
      </c>
      <c r="T412">
        <v>0</v>
      </c>
      <c r="V412">
        <v>10800</v>
      </c>
      <c r="W412">
        <v>7</v>
      </c>
      <c r="X412">
        <v>85</v>
      </c>
      <c r="Y412">
        <v>3</v>
      </c>
      <c r="Z412">
        <v>4</v>
      </c>
      <c r="AA412">
        <v>5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3</v>
      </c>
      <c r="AJ412">
        <v>0</v>
      </c>
      <c r="AK412">
        <v>0</v>
      </c>
      <c r="AL412">
        <v>100</v>
      </c>
      <c r="AM412">
        <v>45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100</v>
      </c>
      <c r="AU412">
        <v>0</v>
      </c>
      <c r="AV412">
        <v>0</v>
      </c>
    </row>
    <row r="413" spans="1:48" x14ac:dyDescent="0.15">
      <c r="A413" s="4" t="str">
        <f>HYPERLINK("https://ibp.a2mac1.com/costing(costing:projects/details/9760/equipment/12211808)","DC machine - General")</f>
        <v>DC machine - General</v>
      </c>
      <c r="B413">
        <v>12211808</v>
      </c>
      <c r="C413">
        <v>12084710</v>
      </c>
      <c r="E413" t="s">
        <v>738</v>
      </c>
      <c r="H413" t="s">
        <v>162</v>
      </c>
      <c r="I413">
        <v>116914.84457142858</v>
      </c>
      <c r="J413">
        <v>0</v>
      </c>
      <c r="K413">
        <v>3.6</v>
      </c>
      <c r="L413">
        <v>0</v>
      </c>
      <c r="M413">
        <v>27.497982091197134</v>
      </c>
      <c r="N413">
        <v>0</v>
      </c>
      <c r="O413">
        <v>0.25970316419463962</v>
      </c>
      <c r="P413">
        <v>3.9019533333333335E-2</v>
      </c>
      <c r="Q413">
        <v>1.1732166376415484E-2</v>
      </c>
      <c r="R413">
        <v>635568</v>
      </c>
      <c r="S413">
        <v>0</v>
      </c>
      <c r="T413">
        <v>0</v>
      </c>
      <c r="V413">
        <v>10800</v>
      </c>
      <c r="W413">
        <v>7</v>
      </c>
      <c r="X413">
        <v>85</v>
      </c>
      <c r="Y413">
        <v>3</v>
      </c>
      <c r="Z413">
        <v>4</v>
      </c>
      <c r="AA413">
        <v>5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3</v>
      </c>
      <c r="AJ413">
        <v>0</v>
      </c>
      <c r="AK413">
        <v>0</v>
      </c>
      <c r="AL413">
        <v>100</v>
      </c>
      <c r="AM413">
        <v>45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100</v>
      </c>
      <c r="AU413">
        <v>0</v>
      </c>
      <c r="AV413">
        <v>0</v>
      </c>
    </row>
    <row r="414" spans="1:48" x14ac:dyDescent="0.15">
      <c r="A414" s="4" t="str">
        <f>HYPERLINK("https://ibp.a2mac1.com/costing(costing:projects/details/9760/equipment/12211809)","DC machine - General")</f>
        <v>DC machine - General</v>
      </c>
      <c r="B414">
        <v>12211809</v>
      </c>
      <c r="C414">
        <v>12084711</v>
      </c>
      <c r="E414" t="s">
        <v>738</v>
      </c>
      <c r="H414" t="s">
        <v>162</v>
      </c>
      <c r="I414">
        <v>116914.84457142858</v>
      </c>
      <c r="J414">
        <v>0</v>
      </c>
      <c r="K414">
        <v>3.6</v>
      </c>
      <c r="L414">
        <v>0</v>
      </c>
      <c r="M414">
        <v>27.497982091197134</v>
      </c>
      <c r="N414">
        <v>0</v>
      </c>
      <c r="O414">
        <v>0.40483140300929116</v>
      </c>
      <c r="P414">
        <v>6.082456666666667E-2</v>
      </c>
      <c r="Q414">
        <v>1.1732166376415484E-2</v>
      </c>
      <c r="R414">
        <v>635568</v>
      </c>
      <c r="S414">
        <v>0</v>
      </c>
      <c r="T414">
        <v>0</v>
      </c>
      <c r="V414">
        <v>10800</v>
      </c>
      <c r="W414">
        <v>7</v>
      </c>
      <c r="X414">
        <v>85</v>
      </c>
      <c r="Y414">
        <v>3</v>
      </c>
      <c r="Z414">
        <v>4</v>
      </c>
      <c r="AA414">
        <v>5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3</v>
      </c>
      <c r="AJ414">
        <v>0</v>
      </c>
      <c r="AK414">
        <v>0</v>
      </c>
      <c r="AL414">
        <v>100</v>
      </c>
      <c r="AM414">
        <v>45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100</v>
      </c>
      <c r="AU414">
        <v>0</v>
      </c>
      <c r="AV414">
        <v>0</v>
      </c>
    </row>
    <row r="415" spans="1:48" x14ac:dyDescent="0.15">
      <c r="A415" s="4" t="str">
        <f>HYPERLINK("https://ibp.a2mac1.com/costing(costing:projects/details/9760/equipment/12211810)","DC machine - General")</f>
        <v>DC machine - General</v>
      </c>
      <c r="B415">
        <v>12211810</v>
      </c>
      <c r="C415">
        <v>12084712</v>
      </c>
      <c r="E415" t="s">
        <v>738</v>
      </c>
      <c r="H415" t="s">
        <v>162</v>
      </c>
      <c r="I415">
        <v>116914.84457142858</v>
      </c>
      <c r="J415">
        <v>0</v>
      </c>
      <c r="K415">
        <v>3.6</v>
      </c>
      <c r="L415">
        <v>0</v>
      </c>
      <c r="M415">
        <v>27.497982091197134</v>
      </c>
      <c r="N415">
        <v>0</v>
      </c>
      <c r="O415">
        <v>1.9095820896664676E-2</v>
      </c>
      <c r="P415">
        <v>2.8690833333333333E-3</v>
      </c>
      <c r="Q415">
        <v>5.8660831882077422E-3</v>
      </c>
      <c r="R415">
        <v>635568</v>
      </c>
      <c r="S415">
        <v>0</v>
      </c>
      <c r="T415">
        <v>0</v>
      </c>
      <c r="V415">
        <v>10800</v>
      </c>
      <c r="W415">
        <v>7</v>
      </c>
      <c r="X415">
        <v>85</v>
      </c>
      <c r="Y415">
        <v>3</v>
      </c>
      <c r="Z415">
        <v>4</v>
      </c>
      <c r="AA415">
        <v>5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3</v>
      </c>
      <c r="AJ415">
        <v>0</v>
      </c>
      <c r="AK415">
        <v>0</v>
      </c>
      <c r="AL415">
        <v>100</v>
      </c>
      <c r="AM415">
        <v>45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100</v>
      </c>
      <c r="AU415">
        <v>0</v>
      </c>
      <c r="AV415">
        <v>0</v>
      </c>
    </row>
    <row r="416" spans="1:48" x14ac:dyDescent="0.15">
      <c r="A416" s="4" t="str">
        <f>HYPERLINK("https://ibp.a2mac1.com/costing(costing:projects/details/9760/equipment/12211811)","DC machine - General")</f>
        <v>DC machine - General</v>
      </c>
      <c r="B416">
        <v>12211811</v>
      </c>
      <c r="C416">
        <v>12084713</v>
      </c>
      <c r="E416" t="s">
        <v>738</v>
      </c>
      <c r="H416" t="s">
        <v>162</v>
      </c>
      <c r="I416">
        <v>116914.84457142858</v>
      </c>
      <c r="J416">
        <v>0</v>
      </c>
      <c r="K416">
        <v>3.6</v>
      </c>
      <c r="L416">
        <v>0</v>
      </c>
      <c r="M416">
        <v>27.497982091197134</v>
      </c>
      <c r="N416">
        <v>0</v>
      </c>
      <c r="O416">
        <v>8.4021611945324579E-2</v>
      </c>
      <c r="P416">
        <v>1.2623966666666667E-2</v>
      </c>
      <c r="Q416">
        <v>1.1732166376415484E-2</v>
      </c>
      <c r="R416">
        <v>635568</v>
      </c>
      <c r="S416">
        <v>0</v>
      </c>
      <c r="T416">
        <v>0</v>
      </c>
      <c r="V416">
        <v>10800</v>
      </c>
      <c r="W416">
        <v>7</v>
      </c>
      <c r="X416">
        <v>85</v>
      </c>
      <c r="Y416">
        <v>3</v>
      </c>
      <c r="Z416">
        <v>4</v>
      </c>
      <c r="AA416">
        <v>5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3</v>
      </c>
      <c r="AJ416">
        <v>0</v>
      </c>
      <c r="AK416">
        <v>0</v>
      </c>
      <c r="AL416">
        <v>100</v>
      </c>
      <c r="AM416">
        <v>45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100</v>
      </c>
      <c r="AU416">
        <v>0</v>
      </c>
      <c r="AV416">
        <v>0</v>
      </c>
    </row>
    <row r="417" spans="1:48" x14ac:dyDescent="0.15">
      <c r="A417" s="4" t="str">
        <f>HYPERLINK("https://ibp.a2mac1.com/costing(costing:projects/details/9760/equipment/12211812)","Dummy Machine (PCBA+Final Assembly Line)")</f>
        <v>Dummy Machine (PCBA+Final Assembly Line)</v>
      </c>
      <c r="B417">
        <v>12211812</v>
      </c>
      <c r="C417">
        <v>12084714</v>
      </c>
      <c r="F417" t="s">
        <v>358</v>
      </c>
      <c r="H417" t="s">
        <v>162</v>
      </c>
      <c r="I417">
        <v>79501.662769714283</v>
      </c>
      <c r="J417">
        <v>0</v>
      </c>
      <c r="K417">
        <v>0.28895999999999999</v>
      </c>
      <c r="L417">
        <v>0</v>
      </c>
      <c r="M417">
        <v>16.624578413647427</v>
      </c>
      <c r="N417">
        <v>0</v>
      </c>
      <c r="O417">
        <v>0.72963427482119259</v>
      </c>
      <c r="P417">
        <v>0.12692824666666666</v>
      </c>
      <c r="Q417">
        <v>1.1481975848188456E-4</v>
      </c>
      <c r="R417">
        <v>442771.1</v>
      </c>
      <c r="S417">
        <v>0</v>
      </c>
      <c r="T417">
        <v>0</v>
      </c>
      <c r="V417">
        <v>216</v>
      </c>
      <c r="W417">
        <v>7</v>
      </c>
      <c r="X417">
        <v>85</v>
      </c>
      <c r="Y417">
        <v>3</v>
      </c>
      <c r="Z417">
        <v>4</v>
      </c>
      <c r="AA417">
        <v>5</v>
      </c>
      <c r="AB417">
        <v>0</v>
      </c>
      <c r="AC417">
        <v>0</v>
      </c>
      <c r="AD417">
        <v>0</v>
      </c>
      <c r="AE417">
        <v>0</v>
      </c>
      <c r="AF417">
        <v>0.7</v>
      </c>
      <c r="AG417">
        <v>0</v>
      </c>
      <c r="AH417">
        <v>0</v>
      </c>
      <c r="AI417">
        <v>0.2</v>
      </c>
      <c r="AJ417">
        <v>0</v>
      </c>
      <c r="AK417">
        <v>0</v>
      </c>
      <c r="AL417">
        <v>86</v>
      </c>
      <c r="AM417">
        <v>4.2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19.399999999999999</v>
      </c>
      <c r="AU417">
        <v>0</v>
      </c>
      <c r="AV417">
        <v>0</v>
      </c>
    </row>
    <row r="418" spans="1:48" x14ac:dyDescent="0.15">
      <c r="A418" s="4" t="str">
        <f>HYPERLINK("https://ibp.a2mac1.com/costing(costing:projects/details/9760/equipment/12211815)","Dummy Machine (PCBA+Final Assembly Line)")</f>
        <v>Dummy Machine (PCBA+Final Assembly Line)</v>
      </c>
      <c r="B418">
        <v>12211815</v>
      </c>
      <c r="C418">
        <v>12084717</v>
      </c>
      <c r="F418" t="s">
        <v>358</v>
      </c>
      <c r="H418" t="s">
        <v>162</v>
      </c>
      <c r="I418">
        <v>79501.662769714283</v>
      </c>
      <c r="J418">
        <v>0</v>
      </c>
      <c r="K418">
        <v>0.28895999999999999</v>
      </c>
      <c r="L418">
        <v>0</v>
      </c>
      <c r="M418">
        <v>16.624578413647427</v>
      </c>
      <c r="N418">
        <v>0</v>
      </c>
      <c r="O418">
        <v>0.5633884906847183</v>
      </c>
      <c r="P418">
        <v>9.8007886666666669E-2</v>
      </c>
      <c r="Q418">
        <v>1.1481975848188456E-4</v>
      </c>
      <c r="R418">
        <v>442771.1</v>
      </c>
      <c r="S418">
        <v>0</v>
      </c>
      <c r="T418">
        <v>0</v>
      </c>
      <c r="V418">
        <v>216</v>
      </c>
      <c r="W418">
        <v>7</v>
      </c>
      <c r="X418">
        <v>85</v>
      </c>
      <c r="Y418">
        <v>3</v>
      </c>
      <c r="Z418">
        <v>4</v>
      </c>
      <c r="AA418">
        <v>5</v>
      </c>
      <c r="AB418">
        <v>0</v>
      </c>
      <c r="AC418">
        <v>0</v>
      </c>
      <c r="AD418">
        <v>0</v>
      </c>
      <c r="AE418">
        <v>0</v>
      </c>
      <c r="AF418">
        <v>0.7</v>
      </c>
      <c r="AG418">
        <v>0</v>
      </c>
      <c r="AH418">
        <v>0</v>
      </c>
      <c r="AI418">
        <v>0.2</v>
      </c>
      <c r="AJ418">
        <v>0</v>
      </c>
      <c r="AK418">
        <v>0</v>
      </c>
      <c r="AL418">
        <v>86</v>
      </c>
      <c r="AM418">
        <v>4.2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19.399999999999999</v>
      </c>
      <c r="AU418">
        <v>0</v>
      </c>
      <c r="AV418">
        <v>0</v>
      </c>
    </row>
    <row r="419" spans="1:48" x14ac:dyDescent="0.15">
      <c r="A419" s="4" t="str">
        <f>HYPERLINK("https://ibp.a2mac1.com/costing(costing:projects/details/9760/equipment/12211921)","DC machine - General")</f>
        <v>DC machine - General</v>
      </c>
      <c r="B419">
        <v>12211921</v>
      </c>
      <c r="C419">
        <v>12084800</v>
      </c>
      <c r="E419" t="s">
        <v>738</v>
      </c>
      <c r="H419" t="s">
        <v>162</v>
      </c>
      <c r="I419">
        <v>116914.84457142858</v>
      </c>
      <c r="J419">
        <v>0</v>
      </c>
      <c r="K419">
        <v>3.6</v>
      </c>
      <c r="L419">
        <v>0</v>
      </c>
      <c r="M419">
        <v>27.497982091197134</v>
      </c>
      <c r="N419">
        <v>0</v>
      </c>
      <c r="O419">
        <v>0.16040489553198328</v>
      </c>
      <c r="P419">
        <v>2.4100300000000002E-2</v>
      </c>
      <c r="Q419">
        <v>1.1732166376415484E-2</v>
      </c>
      <c r="R419">
        <v>635568</v>
      </c>
      <c r="S419">
        <v>0</v>
      </c>
      <c r="T419">
        <v>0</v>
      </c>
      <c r="V419">
        <v>10800</v>
      </c>
      <c r="W419">
        <v>7</v>
      </c>
      <c r="X419">
        <v>85</v>
      </c>
      <c r="Y419">
        <v>3</v>
      </c>
      <c r="Z419">
        <v>4</v>
      </c>
      <c r="AA419">
        <v>5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3</v>
      </c>
      <c r="AJ419">
        <v>0</v>
      </c>
      <c r="AK419">
        <v>0</v>
      </c>
      <c r="AL419">
        <v>100</v>
      </c>
      <c r="AM419">
        <v>45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100</v>
      </c>
      <c r="AU419">
        <v>0</v>
      </c>
      <c r="AV419">
        <v>0</v>
      </c>
    </row>
    <row r="420" spans="1:48" x14ac:dyDescent="0.15">
      <c r="A420" s="4" t="str">
        <f>HYPERLINK("https://ibp.a2mac1.com/costing(costing:projects/details/9760/equipment/12211922)","DC machine - General")</f>
        <v>DC machine - General</v>
      </c>
      <c r="B420">
        <v>12211922</v>
      </c>
      <c r="C420">
        <v>12084801</v>
      </c>
      <c r="E420" t="s">
        <v>738</v>
      </c>
      <c r="H420" t="s">
        <v>162</v>
      </c>
      <c r="I420">
        <v>116914.84457142858</v>
      </c>
      <c r="J420">
        <v>0</v>
      </c>
      <c r="K420">
        <v>3.6</v>
      </c>
      <c r="L420">
        <v>0</v>
      </c>
      <c r="M420">
        <v>27.497982091197134</v>
      </c>
      <c r="N420">
        <v>0</v>
      </c>
      <c r="O420">
        <v>0.16040489553198328</v>
      </c>
      <c r="P420">
        <v>2.4100300000000002E-2</v>
      </c>
      <c r="Q420">
        <v>1.1732166376415484E-2</v>
      </c>
      <c r="R420">
        <v>635568</v>
      </c>
      <c r="S420">
        <v>0</v>
      </c>
      <c r="T420">
        <v>0</v>
      </c>
      <c r="V420">
        <v>10800</v>
      </c>
      <c r="W420">
        <v>7</v>
      </c>
      <c r="X420">
        <v>85</v>
      </c>
      <c r="Y420">
        <v>3</v>
      </c>
      <c r="Z420">
        <v>4</v>
      </c>
      <c r="AA420">
        <v>5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3</v>
      </c>
      <c r="AJ420">
        <v>0</v>
      </c>
      <c r="AK420">
        <v>0</v>
      </c>
      <c r="AL420">
        <v>100</v>
      </c>
      <c r="AM420">
        <v>45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100</v>
      </c>
      <c r="AU420">
        <v>0</v>
      </c>
      <c r="AV420">
        <v>0</v>
      </c>
    </row>
    <row r="421" spans="1:48" x14ac:dyDescent="0.15">
      <c r="A421" s="4" t="str">
        <f>HYPERLINK("https://ibp.a2mac1.com/costing(costing:projects/details/9760/equipment/12211813)","DC machine - General")</f>
        <v>DC machine - General</v>
      </c>
      <c r="B421">
        <v>12211813</v>
      </c>
      <c r="C421">
        <v>12084715</v>
      </c>
      <c r="E421" t="s">
        <v>738</v>
      </c>
      <c r="H421" t="s">
        <v>162</v>
      </c>
      <c r="I421">
        <v>116914.84457142858</v>
      </c>
      <c r="J421">
        <v>0</v>
      </c>
      <c r="K421">
        <v>3.6</v>
      </c>
      <c r="L421">
        <v>0</v>
      </c>
      <c r="M421">
        <v>27.497982091197134</v>
      </c>
      <c r="N421">
        <v>0</v>
      </c>
      <c r="O421">
        <v>7.6383283586658711E-3</v>
      </c>
      <c r="P421">
        <v>1.1476333333333333E-3</v>
      </c>
      <c r="Q421">
        <v>1.1732166376415484E-2</v>
      </c>
      <c r="R421">
        <v>635568</v>
      </c>
      <c r="S421">
        <v>0</v>
      </c>
      <c r="T421">
        <v>0</v>
      </c>
      <c r="V421">
        <v>10800</v>
      </c>
      <c r="W421">
        <v>7</v>
      </c>
      <c r="X421">
        <v>85</v>
      </c>
      <c r="Y421">
        <v>3</v>
      </c>
      <c r="Z421">
        <v>4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3</v>
      </c>
      <c r="AJ421">
        <v>0</v>
      </c>
      <c r="AK421">
        <v>0</v>
      </c>
      <c r="AL421">
        <v>100</v>
      </c>
      <c r="AM421">
        <v>45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100</v>
      </c>
      <c r="AU421">
        <v>0</v>
      </c>
      <c r="AV421">
        <v>0</v>
      </c>
    </row>
    <row r="422" spans="1:48" x14ac:dyDescent="0.15">
      <c r="A422" s="4" t="str">
        <f>HYPERLINK("https://ibp.a2mac1.com/costing(costing:projects/details/9760/equipment/12211814)","DC machine - General")</f>
        <v>DC machine - General</v>
      </c>
      <c r="B422">
        <v>12211814</v>
      </c>
      <c r="C422">
        <v>12084716</v>
      </c>
      <c r="E422" t="s">
        <v>738</v>
      </c>
      <c r="H422" t="s">
        <v>162</v>
      </c>
      <c r="I422">
        <v>116914.84457142858</v>
      </c>
      <c r="J422">
        <v>0</v>
      </c>
      <c r="K422">
        <v>3.6</v>
      </c>
      <c r="L422">
        <v>0</v>
      </c>
      <c r="M422">
        <v>27.497982091197134</v>
      </c>
      <c r="N422">
        <v>0</v>
      </c>
      <c r="O422">
        <v>1.5276656717331742E-2</v>
      </c>
      <c r="P422">
        <v>2.2952666666666665E-3</v>
      </c>
      <c r="Q422">
        <v>1.1732166376415484E-2</v>
      </c>
      <c r="R422">
        <v>635568</v>
      </c>
      <c r="S422">
        <v>0</v>
      </c>
      <c r="T422">
        <v>0</v>
      </c>
      <c r="V422">
        <v>10800</v>
      </c>
      <c r="W422">
        <v>7</v>
      </c>
      <c r="X422">
        <v>85</v>
      </c>
      <c r="Y422">
        <v>3</v>
      </c>
      <c r="Z422">
        <v>4</v>
      </c>
      <c r="AA422">
        <v>5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3</v>
      </c>
      <c r="AJ422">
        <v>0</v>
      </c>
      <c r="AK422">
        <v>0</v>
      </c>
      <c r="AL422">
        <v>100</v>
      </c>
      <c r="AM422">
        <v>45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100</v>
      </c>
      <c r="AU422">
        <v>0</v>
      </c>
      <c r="AV422">
        <v>0</v>
      </c>
    </row>
    <row r="423" spans="1:48" x14ac:dyDescent="0.15">
      <c r="A423" s="4" t="str">
        <f>HYPERLINK("https://ibp.a2mac1.com/costing(costing:projects/details/9760/equipment/12211816)","Dummy Machine (PCBA+Final Assembly Line)")</f>
        <v>Dummy Machine (PCBA+Final Assembly Line)</v>
      </c>
      <c r="B423">
        <v>12211816</v>
      </c>
      <c r="C423">
        <v>12084718</v>
      </c>
      <c r="F423" t="s">
        <v>358</v>
      </c>
      <c r="H423" t="s">
        <v>162</v>
      </c>
      <c r="I423">
        <v>79501.662769714283</v>
      </c>
      <c r="J423">
        <v>0</v>
      </c>
      <c r="K423">
        <v>0.28895999999999999</v>
      </c>
      <c r="L423">
        <v>0</v>
      </c>
      <c r="M423">
        <v>16.624578413647427</v>
      </c>
      <c r="N423">
        <v>0</v>
      </c>
      <c r="O423">
        <v>8.3122892068237135</v>
      </c>
      <c r="P423">
        <v>1.446018</v>
      </c>
      <c r="Q423">
        <v>1.1481975848188456E-4</v>
      </c>
      <c r="R423">
        <v>442771.1</v>
      </c>
      <c r="S423">
        <v>0</v>
      </c>
      <c r="T423">
        <v>0</v>
      </c>
      <c r="V423">
        <v>216</v>
      </c>
      <c r="W423">
        <v>7</v>
      </c>
      <c r="X423">
        <v>85</v>
      </c>
      <c r="Y423">
        <v>3</v>
      </c>
      <c r="Z423">
        <v>4</v>
      </c>
      <c r="AA423">
        <v>5</v>
      </c>
      <c r="AB423">
        <v>0</v>
      </c>
      <c r="AC423">
        <v>0</v>
      </c>
      <c r="AD423">
        <v>0</v>
      </c>
      <c r="AE423">
        <v>0</v>
      </c>
      <c r="AF423">
        <v>0.7</v>
      </c>
      <c r="AG423">
        <v>0</v>
      </c>
      <c r="AH423">
        <v>0</v>
      </c>
      <c r="AI423">
        <v>0.2</v>
      </c>
      <c r="AJ423">
        <v>0</v>
      </c>
      <c r="AK423">
        <v>0</v>
      </c>
      <c r="AL423">
        <v>86</v>
      </c>
      <c r="AM423">
        <v>4.2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19.399999999999999</v>
      </c>
      <c r="AU423">
        <v>0</v>
      </c>
      <c r="AV423">
        <v>0</v>
      </c>
    </row>
    <row r="424" spans="1:48" x14ac:dyDescent="0.15">
      <c r="A424" s="4" t="str">
        <f>HYPERLINK("https://ibp.a2mac1.com/costing(costing:projects/details/9760/equipment/12211817)","DC machine - General")</f>
        <v>DC machine - General</v>
      </c>
      <c r="B424">
        <v>12211817</v>
      </c>
      <c r="C424">
        <v>12084719</v>
      </c>
      <c r="E424" t="s">
        <v>738</v>
      </c>
      <c r="H424" t="s">
        <v>162</v>
      </c>
      <c r="I424">
        <v>116914.84457142858</v>
      </c>
      <c r="J424">
        <v>0</v>
      </c>
      <c r="K424">
        <v>3.6</v>
      </c>
      <c r="L424">
        <v>0</v>
      </c>
      <c r="M424">
        <v>27.497982091197134</v>
      </c>
      <c r="N424">
        <v>0</v>
      </c>
      <c r="O424">
        <v>2.2914985075997613E-2</v>
      </c>
      <c r="P424">
        <v>3.4429E-3</v>
      </c>
      <c r="Q424">
        <v>1.1732166376415484E-2</v>
      </c>
      <c r="R424">
        <v>635568</v>
      </c>
      <c r="S424">
        <v>0</v>
      </c>
      <c r="T424">
        <v>0</v>
      </c>
      <c r="V424">
        <v>10800</v>
      </c>
      <c r="W424">
        <v>7</v>
      </c>
      <c r="X424">
        <v>85</v>
      </c>
      <c r="Y424">
        <v>3</v>
      </c>
      <c r="Z424">
        <v>4</v>
      </c>
      <c r="AA424">
        <v>5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3</v>
      </c>
      <c r="AJ424">
        <v>0</v>
      </c>
      <c r="AK424">
        <v>0</v>
      </c>
      <c r="AL424">
        <v>100</v>
      </c>
      <c r="AM424">
        <v>45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100</v>
      </c>
      <c r="AU424">
        <v>0</v>
      </c>
      <c r="AV424">
        <v>0</v>
      </c>
    </row>
    <row r="425" spans="1:48" x14ac:dyDescent="0.15">
      <c r="A425" s="4" t="str">
        <f>HYPERLINK("https://ibp.a2mac1.com/costing(costing:projects/details/9760/equipment/12211818)","DC machine - General")</f>
        <v>DC machine - General</v>
      </c>
      <c r="B425">
        <v>12211818</v>
      </c>
      <c r="C425">
        <v>12084720</v>
      </c>
      <c r="E425" t="s">
        <v>738</v>
      </c>
      <c r="H425" t="s">
        <v>162</v>
      </c>
      <c r="I425">
        <v>116914.84457142858</v>
      </c>
      <c r="J425">
        <v>0</v>
      </c>
      <c r="K425">
        <v>3.6</v>
      </c>
      <c r="L425">
        <v>0</v>
      </c>
      <c r="M425">
        <v>27.497982091197134</v>
      </c>
      <c r="N425">
        <v>0</v>
      </c>
      <c r="O425">
        <v>8.4021611945324579E-2</v>
      </c>
      <c r="P425">
        <v>1.2623966666666667E-2</v>
      </c>
      <c r="Q425">
        <v>1.1732166376415484E-2</v>
      </c>
      <c r="R425">
        <v>635568</v>
      </c>
      <c r="S425">
        <v>0</v>
      </c>
      <c r="T425">
        <v>0</v>
      </c>
      <c r="V425">
        <v>10800</v>
      </c>
      <c r="W425">
        <v>7</v>
      </c>
      <c r="X425">
        <v>85</v>
      </c>
      <c r="Y425">
        <v>3</v>
      </c>
      <c r="Z425">
        <v>4</v>
      </c>
      <c r="AA425">
        <v>5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3</v>
      </c>
      <c r="AJ425">
        <v>0</v>
      </c>
      <c r="AK425">
        <v>0</v>
      </c>
      <c r="AL425">
        <v>100</v>
      </c>
      <c r="AM425">
        <v>45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100</v>
      </c>
      <c r="AU425">
        <v>0</v>
      </c>
      <c r="AV425">
        <v>0</v>
      </c>
    </row>
    <row r="426" spans="1:48" x14ac:dyDescent="0.15">
      <c r="A426" s="4" t="str">
        <f>HYPERLINK("https://ibp.a2mac1.com/costing(costing:projects/details/9760/equipment/12211819)","DC machine - General")</f>
        <v>DC machine - General</v>
      </c>
      <c r="B426">
        <v>12211819</v>
      </c>
      <c r="C426">
        <v>12084721</v>
      </c>
      <c r="E426" t="s">
        <v>738</v>
      </c>
      <c r="H426" t="s">
        <v>162</v>
      </c>
      <c r="I426">
        <v>116914.84457142858</v>
      </c>
      <c r="J426">
        <v>0</v>
      </c>
      <c r="K426">
        <v>3.6</v>
      </c>
      <c r="L426">
        <v>0</v>
      </c>
      <c r="M426">
        <v>27.497982091197134</v>
      </c>
      <c r="N426">
        <v>0</v>
      </c>
      <c r="O426">
        <v>9.1659940303990453E-2</v>
      </c>
      <c r="P426">
        <v>1.37716E-2</v>
      </c>
      <c r="Q426">
        <v>1.1732166376415484E-2</v>
      </c>
      <c r="R426">
        <v>635568</v>
      </c>
      <c r="S426">
        <v>0</v>
      </c>
      <c r="T426">
        <v>0</v>
      </c>
      <c r="V426">
        <v>10800</v>
      </c>
      <c r="W426">
        <v>7</v>
      </c>
      <c r="X426">
        <v>85</v>
      </c>
      <c r="Y426">
        <v>3</v>
      </c>
      <c r="Z426">
        <v>4</v>
      </c>
      <c r="AA426">
        <v>5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3</v>
      </c>
      <c r="AJ426">
        <v>0</v>
      </c>
      <c r="AK426">
        <v>0</v>
      </c>
      <c r="AL426">
        <v>100</v>
      </c>
      <c r="AM426">
        <v>45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100</v>
      </c>
      <c r="AU426">
        <v>0</v>
      </c>
      <c r="AV426">
        <v>0</v>
      </c>
    </row>
    <row r="427" spans="1:48" x14ac:dyDescent="0.15">
      <c r="A427" s="4" t="str">
        <f>HYPERLINK("https://ibp.a2mac1.com/costing(costing:projects/details/9760/equipment/12211820)","DC machine - General")</f>
        <v>DC machine - General</v>
      </c>
      <c r="B427">
        <v>12211820</v>
      </c>
      <c r="C427">
        <v>12084722</v>
      </c>
      <c r="E427" t="s">
        <v>738</v>
      </c>
      <c r="H427" t="s">
        <v>162</v>
      </c>
      <c r="I427">
        <v>116914.84457142858</v>
      </c>
      <c r="J427">
        <v>0</v>
      </c>
      <c r="K427">
        <v>3.6</v>
      </c>
      <c r="L427">
        <v>0</v>
      </c>
      <c r="M427">
        <v>27.497982091197134</v>
      </c>
      <c r="N427">
        <v>0</v>
      </c>
      <c r="O427">
        <v>2.2914985075997613E-2</v>
      </c>
      <c r="P427">
        <v>3.4429E-3</v>
      </c>
      <c r="Q427">
        <v>1.1732166376415484E-2</v>
      </c>
      <c r="R427">
        <v>635568</v>
      </c>
      <c r="S427">
        <v>0</v>
      </c>
      <c r="T427">
        <v>0</v>
      </c>
      <c r="V427">
        <v>10800</v>
      </c>
      <c r="W427">
        <v>7</v>
      </c>
      <c r="X427">
        <v>85</v>
      </c>
      <c r="Y427">
        <v>3</v>
      </c>
      <c r="Z427">
        <v>4</v>
      </c>
      <c r="AA427">
        <v>5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3</v>
      </c>
      <c r="AJ427">
        <v>0</v>
      </c>
      <c r="AK427">
        <v>0</v>
      </c>
      <c r="AL427">
        <v>100</v>
      </c>
      <c r="AM427">
        <v>45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100</v>
      </c>
      <c r="AU427">
        <v>0</v>
      </c>
      <c r="AV427">
        <v>0</v>
      </c>
    </row>
    <row r="428" spans="1:48" x14ac:dyDescent="0.15">
      <c r="A428" s="4" t="str">
        <f>HYPERLINK("https://ibp.a2mac1.com/costing(costing:projects/details/9760/equipment/12211821)","DC machine - General")</f>
        <v>DC machine - General</v>
      </c>
      <c r="B428">
        <v>12211821</v>
      </c>
      <c r="C428">
        <v>12084723</v>
      </c>
      <c r="E428" t="s">
        <v>738</v>
      </c>
      <c r="H428" t="s">
        <v>162</v>
      </c>
      <c r="I428">
        <v>116914.84457142858</v>
      </c>
      <c r="J428">
        <v>0</v>
      </c>
      <c r="K428">
        <v>3.6</v>
      </c>
      <c r="L428">
        <v>0</v>
      </c>
      <c r="M428">
        <v>27.497982091197134</v>
      </c>
      <c r="N428">
        <v>0</v>
      </c>
      <c r="O428">
        <v>7.6383283586658711E-3</v>
      </c>
      <c r="P428">
        <v>1.1476333333333333E-3</v>
      </c>
      <c r="Q428">
        <v>1.1732166376415484E-2</v>
      </c>
      <c r="R428">
        <v>635568</v>
      </c>
      <c r="S428">
        <v>0</v>
      </c>
      <c r="T428">
        <v>0</v>
      </c>
      <c r="V428">
        <v>10800</v>
      </c>
      <c r="W428">
        <v>7</v>
      </c>
      <c r="X428">
        <v>85</v>
      </c>
      <c r="Y428">
        <v>3</v>
      </c>
      <c r="Z428">
        <v>4</v>
      </c>
      <c r="AA428">
        <v>5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3</v>
      </c>
      <c r="AJ428">
        <v>0</v>
      </c>
      <c r="AK428">
        <v>0</v>
      </c>
      <c r="AL428">
        <v>100</v>
      </c>
      <c r="AM428">
        <v>45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100</v>
      </c>
      <c r="AU428">
        <v>0</v>
      </c>
      <c r="AV428">
        <v>0</v>
      </c>
    </row>
    <row r="429" spans="1:48" x14ac:dyDescent="0.15">
      <c r="A429" s="4" t="str">
        <f>HYPERLINK("https://ibp.a2mac1.com/costing(costing:projects/details/9760/equipment/12211822)","Dummy Machine (PCBA+Final Assembly Line)")</f>
        <v>Dummy Machine (PCBA+Final Assembly Line)</v>
      </c>
      <c r="B429">
        <v>12211822</v>
      </c>
      <c r="C429">
        <v>12084724</v>
      </c>
      <c r="F429" t="s">
        <v>358</v>
      </c>
      <c r="H429" t="s">
        <v>162</v>
      </c>
      <c r="I429">
        <v>79501.662769714283</v>
      </c>
      <c r="J429">
        <v>0</v>
      </c>
      <c r="K429">
        <v>0.28895999999999999</v>
      </c>
      <c r="L429">
        <v>0</v>
      </c>
      <c r="M429">
        <v>16.624578413647427</v>
      </c>
      <c r="N429">
        <v>0</v>
      </c>
      <c r="O429">
        <v>0.69269076723530942</v>
      </c>
      <c r="P429">
        <v>0.1205015</v>
      </c>
      <c r="Q429">
        <v>1.1481975848188456E-4</v>
      </c>
      <c r="R429">
        <v>442771.1</v>
      </c>
      <c r="S429">
        <v>0</v>
      </c>
      <c r="T429">
        <v>0</v>
      </c>
      <c r="V429">
        <v>216</v>
      </c>
      <c r="W429">
        <v>7</v>
      </c>
      <c r="X429">
        <v>85</v>
      </c>
      <c r="Y429">
        <v>3</v>
      </c>
      <c r="Z429">
        <v>4</v>
      </c>
      <c r="AA429">
        <v>5</v>
      </c>
      <c r="AB429">
        <v>0</v>
      </c>
      <c r="AC429">
        <v>0</v>
      </c>
      <c r="AD429">
        <v>0</v>
      </c>
      <c r="AE429">
        <v>0</v>
      </c>
      <c r="AF429">
        <v>0.7</v>
      </c>
      <c r="AG429">
        <v>0</v>
      </c>
      <c r="AH429">
        <v>0</v>
      </c>
      <c r="AI429">
        <v>0.2</v>
      </c>
      <c r="AJ429">
        <v>0</v>
      </c>
      <c r="AK429">
        <v>0</v>
      </c>
      <c r="AL429">
        <v>86</v>
      </c>
      <c r="AM429">
        <v>4.2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19.399999999999999</v>
      </c>
      <c r="AU429">
        <v>0</v>
      </c>
      <c r="AV429">
        <v>0</v>
      </c>
    </row>
    <row r="430" spans="1:48" x14ac:dyDescent="0.15">
      <c r="A430" s="4" t="str">
        <f>HYPERLINK("https://ibp.a2mac1.com/costing(costing:projects/details/9760/equipment/12211823)","Dummy Machine (PCBA+Final Assembly Line)")</f>
        <v>Dummy Machine (PCBA+Final Assembly Line)</v>
      </c>
      <c r="B430">
        <v>12211823</v>
      </c>
      <c r="C430">
        <v>12084725</v>
      </c>
      <c r="F430" t="s">
        <v>358</v>
      </c>
      <c r="H430" t="s">
        <v>162</v>
      </c>
      <c r="I430">
        <v>79501.662769714283</v>
      </c>
      <c r="J430">
        <v>0</v>
      </c>
      <c r="K430">
        <v>0.28895999999999999</v>
      </c>
      <c r="L430">
        <v>0</v>
      </c>
      <c r="M430">
        <v>16.624578413647427</v>
      </c>
      <c r="N430">
        <v>0</v>
      </c>
      <c r="O430">
        <v>0.70654458258001562</v>
      </c>
      <c r="P430">
        <v>0.12291153</v>
      </c>
      <c r="Q430">
        <v>1.1481975848188456E-4</v>
      </c>
      <c r="R430">
        <v>442771.1</v>
      </c>
      <c r="S430">
        <v>0</v>
      </c>
      <c r="T430">
        <v>0</v>
      </c>
      <c r="V430">
        <v>216</v>
      </c>
      <c r="W430">
        <v>7</v>
      </c>
      <c r="X430">
        <v>85</v>
      </c>
      <c r="Y430">
        <v>3</v>
      </c>
      <c r="Z430">
        <v>4</v>
      </c>
      <c r="AA430">
        <v>5</v>
      </c>
      <c r="AB430">
        <v>0</v>
      </c>
      <c r="AC430">
        <v>0</v>
      </c>
      <c r="AD430">
        <v>0</v>
      </c>
      <c r="AE430">
        <v>0</v>
      </c>
      <c r="AF430">
        <v>0.7</v>
      </c>
      <c r="AG430">
        <v>0</v>
      </c>
      <c r="AH430">
        <v>0</v>
      </c>
      <c r="AI430">
        <v>0.2</v>
      </c>
      <c r="AJ430">
        <v>0</v>
      </c>
      <c r="AK430">
        <v>0</v>
      </c>
      <c r="AL430">
        <v>86</v>
      </c>
      <c r="AM430">
        <v>4.2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19.399999999999999</v>
      </c>
      <c r="AU430">
        <v>0</v>
      </c>
      <c r="AV430">
        <v>0</v>
      </c>
    </row>
    <row r="431" spans="1:48" x14ac:dyDescent="0.15">
      <c r="A431" s="4" t="str">
        <f>HYPERLINK("https://ibp.a2mac1.com/costing(costing:projects/details/9760/equipment/12211824)","Dummy Machine (PCBA+Final Assembly Line)")</f>
        <v>Dummy Machine (PCBA+Final Assembly Line)</v>
      </c>
      <c r="B431">
        <v>12211824</v>
      </c>
      <c r="C431">
        <v>12084726</v>
      </c>
      <c r="F431" t="s">
        <v>358</v>
      </c>
      <c r="H431" t="s">
        <v>162</v>
      </c>
      <c r="I431">
        <v>79501.662769714283</v>
      </c>
      <c r="J431">
        <v>0</v>
      </c>
      <c r="K431">
        <v>0.28895999999999999</v>
      </c>
      <c r="L431">
        <v>0</v>
      </c>
      <c r="M431">
        <v>16.624578413647427</v>
      </c>
      <c r="N431">
        <v>0</v>
      </c>
      <c r="O431">
        <v>0.46179384482353963</v>
      </c>
      <c r="P431">
        <v>8.0334333333333327E-2</v>
      </c>
      <c r="Q431">
        <v>1.1481975848188456E-4</v>
      </c>
      <c r="R431">
        <v>442771.1</v>
      </c>
      <c r="S431">
        <v>0</v>
      </c>
      <c r="T431">
        <v>0</v>
      </c>
      <c r="V431">
        <v>216</v>
      </c>
      <c r="W431">
        <v>7</v>
      </c>
      <c r="X431">
        <v>85</v>
      </c>
      <c r="Y431">
        <v>3</v>
      </c>
      <c r="Z431">
        <v>4</v>
      </c>
      <c r="AA431">
        <v>5</v>
      </c>
      <c r="AB431">
        <v>0</v>
      </c>
      <c r="AC431">
        <v>0</v>
      </c>
      <c r="AD431">
        <v>0</v>
      </c>
      <c r="AE431">
        <v>0</v>
      </c>
      <c r="AF431">
        <v>0.7</v>
      </c>
      <c r="AG431">
        <v>0</v>
      </c>
      <c r="AH431">
        <v>0</v>
      </c>
      <c r="AI431">
        <v>0.2</v>
      </c>
      <c r="AJ431">
        <v>0</v>
      </c>
      <c r="AK431">
        <v>0</v>
      </c>
      <c r="AL431">
        <v>86</v>
      </c>
      <c r="AM431">
        <v>4.2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19.399999999999999</v>
      </c>
      <c r="AU431">
        <v>0</v>
      </c>
      <c r="AV431">
        <v>0</v>
      </c>
    </row>
    <row r="432" spans="1:48" x14ac:dyDescent="0.15">
      <c r="A432" s="4" t="str">
        <f>HYPERLINK("https://ibp.a2mac1.com/costing(costing:projects/details/9760/equipment/12211825)","Dummy Machine (PCBA+Final Assembly Line)")</f>
        <v>Dummy Machine (PCBA+Final Assembly Line)</v>
      </c>
      <c r="B432">
        <v>12211825</v>
      </c>
      <c r="C432">
        <v>12084727</v>
      </c>
      <c r="F432" t="s">
        <v>358</v>
      </c>
      <c r="H432" t="s">
        <v>162</v>
      </c>
      <c r="I432">
        <v>79501.662769714283</v>
      </c>
      <c r="J432">
        <v>0</v>
      </c>
      <c r="K432">
        <v>0.28895999999999999</v>
      </c>
      <c r="L432">
        <v>0</v>
      </c>
      <c r="M432">
        <v>16.624578413647427</v>
      </c>
      <c r="N432">
        <v>0</v>
      </c>
      <c r="O432">
        <v>2.0919261170506345</v>
      </c>
      <c r="P432">
        <v>0.36391453000000001</v>
      </c>
      <c r="Q432">
        <v>1.1481975848188456E-4</v>
      </c>
      <c r="R432">
        <v>442771.1</v>
      </c>
      <c r="S432">
        <v>0</v>
      </c>
      <c r="T432">
        <v>0</v>
      </c>
      <c r="V432">
        <v>216</v>
      </c>
      <c r="W432">
        <v>7</v>
      </c>
      <c r="X432">
        <v>85</v>
      </c>
      <c r="Y432">
        <v>3</v>
      </c>
      <c r="Z432">
        <v>4</v>
      </c>
      <c r="AA432">
        <v>5</v>
      </c>
      <c r="AB432">
        <v>0</v>
      </c>
      <c r="AC432">
        <v>0</v>
      </c>
      <c r="AD432">
        <v>0</v>
      </c>
      <c r="AE432">
        <v>0</v>
      </c>
      <c r="AF432">
        <v>0.7</v>
      </c>
      <c r="AG432">
        <v>0</v>
      </c>
      <c r="AH432">
        <v>0</v>
      </c>
      <c r="AI432">
        <v>0.2</v>
      </c>
      <c r="AJ432">
        <v>0</v>
      </c>
      <c r="AK432">
        <v>0</v>
      </c>
      <c r="AL432">
        <v>86</v>
      </c>
      <c r="AM432">
        <v>4.2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19.399999999999999</v>
      </c>
      <c r="AU432">
        <v>0</v>
      </c>
      <c r="AV432">
        <v>0</v>
      </c>
    </row>
    <row r="433" spans="1:48" x14ac:dyDescent="0.15">
      <c r="A433" s="4" t="str">
        <f>HYPERLINK("https://ibp.a2mac1.com/costing(costing:projects/details/9760/equipment/12211697)","DC machine - General")</f>
        <v>DC machine - General</v>
      </c>
      <c r="B433">
        <v>12211697</v>
      </c>
      <c r="C433">
        <v>12084599</v>
      </c>
      <c r="E433" t="s">
        <v>738</v>
      </c>
      <c r="H433" t="s">
        <v>162</v>
      </c>
      <c r="I433">
        <v>116914.84457142858</v>
      </c>
      <c r="J433">
        <v>0</v>
      </c>
      <c r="K433">
        <v>3.6</v>
      </c>
      <c r="L433">
        <v>0</v>
      </c>
      <c r="M433">
        <v>27.497982091197134</v>
      </c>
      <c r="N433">
        <v>0</v>
      </c>
      <c r="O433">
        <v>0.14512823881465153</v>
      </c>
      <c r="P433">
        <v>2.1805033333333335E-2</v>
      </c>
      <c r="Q433">
        <v>1.1732166376415484E-2</v>
      </c>
      <c r="R433">
        <v>635568</v>
      </c>
      <c r="S433">
        <v>0</v>
      </c>
      <c r="T433">
        <v>0</v>
      </c>
      <c r="V433">
        <v>10800</v>
      </c>
      <c r="W433">
        <v>7</v>
      </c>
      <c r="X433">
        <v>85</v>
      </c>
      <c r="Y433">
        <v>3</v>
      </c>
      <c r="Z433">
        <v>4</v>
      </c>
      <c r="AA433">
        <v>5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3</v>
      </c>
      <c r="AJ433">
        <v>0</v>
      </c>
      <c r="AK433">
        <v>0</v>
      </c>
      <c r="AL433">
        <v>100</v>
      </c>
      <c r="AM433">
        <v>45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100</v>
      </c>
      <c r="AU433">
        <v>0</v>
      </c>
      <c r="AV433">
        <v>0</v>
      </c>
    </row>
    <row r="434" spans="1:48" x14ac:dyDescent="0.15">
      <c r="A434" s="4" t="str">
        <f>HYPERLINK("https://ibp.a2mac1.com/costing(costing:projects/details/9760/equipment/12211698)","DC machine - General")</f>
        <v>DC machine - General</v>
      </c>
      <c r="B434">
        <v>12211698</v>
      </c>
      <c r="C434">
        <v>12084600</v>
      </c>
      <c r="E434" t="s">
        <v>738</v>
      </c>
      <c r="H434" t="s">
        <v>162</v>
      </c>
      <c r="I434">
        <v>116914.84457142858</v>
      </c>
      <c r="J434">
        <v>0</v>
      </c>
      <c r="K434">
        <v>3.6</v>
      </c>
      <c r="L434">
        <v>0</v>
      </c>
      <c r="M434">
        <v>27.497982091197134</v>
      </c>
      <c r="N434">
        <v>0</v>
      </c>
      <c r="O434">
        <v>7.6383283586658711E-3</v>
      </c>
      <c r="P434">
        <v>1.1476333333333333E-3</v>
      </c>
      <c r="Q434">
        <v>1.1732166376415484E-2</v>
      </c>
      <c r="R434">
        <v>635568</v>
      </c>
      <c r="S434">
        <v>0</v>
      </c>
      <c r="T434">
        <v>0</v>
      </c>
      <c r="V434">
        <v>10800</v>
      </c>
      <c r="W434">
        <v>7</v>
      </c>
      <c r="X434">
        <v>85</v>
      </c>
      <c r="Y434">
        <v>3</v>
      </c>
      <c r="Z434">
        <v>4</v>
      </c>
      <c r="AA434">
        <v>5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3</v>
      </c>
      <c r="AJ434">
        <v>0</v>
      </c>
      <c r="AK434">
        <v>0</v>
      </c>
      <c r="AL434">
        <v>100</v>
      </c>
      <c r="AM434">
        <v>45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100</v>
      </c>
      <c r="AU434">
        <v>0</v>
      </c>
      <c r="AV434">
        <v>0</v>
      </c>
    </row>
    <row r="435" spans="1:48" x14ac:dyDescent="0.15">
      <c r="A435" s="4" t="str">
        <f>HYPERLINK("https://ibp.a2mac1.com/costing(costing:projects/details/9760/equipment/12211826)","DC machine - General")</f>
        <v>DC machine - General</v>
      </c>
      <c r="B435">
        <v>12211826</v>
      </c>
      <c r="C435">
        <v>12084728</v>
      </c>
      <c r="E435" t="s">
        <v>738</v>
      </c>
      <c r="H435" t="s">
        <v>162</v>
      </c>
      <c r="I435">
        <v>116914.84457142858</v>
      </c>
      <c r="J435">
        <v>0</v>
      </c>
      <c r="K435">
        <v>3.6</v>
      </c>
      <c r="L435">
        <v>0</v>
      </c>
      <c r="M435">
        <v>27.497982091197134</v>
      </c>
      <c r="N435">
        <v>0</v>
      </c>
      <c r="O435">
        <v>6.8744955227992843E-2</v>
      </c>
      <c r="P435">
        <v>1.03287E-2</v>
      </c>
      <c r="Q435">
        <v>1.1732166376415484E-2</v>
      </c>
      <c r="R435">
        <v>635568</v>
      </c>
      <c r="S435">
        <v>0</v>
      </c>
      <c r="T435">
        <v>0</v>
      </c>
      <c r="V435">
        <v>10800</v>
      </c>
      <c r="W435">
        <v>7</v>
      </c>
      <c r="X435">
        <v>85</v>
      </c>
      <c r="Y435">
        <v>3</v>
      </c>
      <c r="Z435">
        <v>4</v>
      </c>
      <c r="AA435">
        <v>5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3</v>
      </c>
      <c r="AJ435">
        <v>0</v>
      </c>
      <c r="AK435">
        <v>0</v>
      </c>
      <c r="AL435">
        <v>100</v>
      </c>
      <c r="AM435">
        <v>45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100</v>
      </c>
      <c r="AU435">
        <v>0</v>
      </c>
      <c r="AV435">
        <v>0</v>
      </c>
    </row>
    <row r="436" spans="1:48" x14ac:dyDescent="0.15">
      <c r="A436" s="4" t="str">
        <f>HYPERLINK("https://ibp.a2mac1.com/costing(costing:projects/details/9760/equipment/12211827)","DC machine - General")</f>
        <v>DC machine - General</v>
      </c>
      <c r="B436">
        <v>12211827</v>
      </c>
      <c r="C436">
        <v>12084729</v>
      </c>
      <c r="E436" t="s">
        <v>738</v>
      </c>
      <c r="H436" t="s">
        <v>162</v>
      </c>
      <c r="I436">
        <v>116914.84457142858</v>
      </c>
      <c r="J436">
        <v>0</v>
      </c>
      <c r="K436">
        <v>3.6</v>
      </c>
      <c r="L436">
        <v>0</v>
      </c>
      <c r="M436">
        <v>27.497982091197134</v>
      </c>
      <c r="N436">
        <v>0</v>
      </c>
      <c r="O436">
        <v>0.19095820896664678</v>
      </c>
      <c r="P436">
        <v>2.8690833333333332E-2</v>
      </c>
      <c r="Q436">
        <v>1.1732166376415484E-2</v>
      </c>
      <c r="R436">
        <v>635568</v>
      </c>
      <c r="S436">
        <v>0</v>
      </c>
      <c r="T436">
        <v>0</v>
      </c>
      <c r="V436">
        <v>10800</v>
      </c>
      <c r="W436">
        <v>7</v>
      </c>
      <c r="X436">
        <v>85</v>
      </c>
      <c r="Y436">
        <v>3</v>
      </c>
      <c r="Z436">
        <v>4</v>
      </c>
      <c r="AA436">
        <v>5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3</v>
      </c>
      <c r="AJ436">
        <v>0</v>
      </c>
      <c r="AK436">
        <v>0</v>
      </c>
      <c r="AL436">
        <v>100</v>
      </c>
      <c r="AM436">
        <v>45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100</v>
      </c>
      <c r="AU436">
        <v>0</v>
      </c>
      <c r="AV436">
        <v>0</v>
      </c>
    </row>
    <row r="437" spans="1:48" x14ac:dyDescent="0.15">
      <c r="A437" s="4" t="str">
        <f>HYPERLINK("https://ibp.a2mac1.com/costing(costing:projects/details/9760/equipment/12211828)","DC machine - General")</f>
        <v>DC machine - General</v>
      </c>
      <c r="B437">
        <v>12211828</v>
      </c>
      <c r="C437">
        <v>12084730</v>
      </c>
      <c r="E437" t="s">
        <v>738</v>
      </c>
      <c r="H437" t="s">
        <v>162</v>
      </c>
      <c r="I437">
        <v>116914.84457142858</v>
      </c>
      <c r="J437">
        <v>0</v>
      </c>
      <c r="K437">
        <v>3.6</v>
      </c>
      <c r="L437">
        <v>0</v>
      </c>
      <c r="M437">
        <v>27.497982091197134</v>
      </c>
      <c r="N437">
        <v>0</v>
      </c>
      <c r="O437">
        <v>3.0553313434663484E-2</v>
      </c>
      <c r="P437">
        <v>4.5905333333333331E-3</v>
      </c>
      <c r="Q437">
        <v>1.1732166376415484E-2</v>
      </c>
      <c r="R437">
        <v>635568</v>
      </c>
      <c r="S437">
        <v>0</v>
      </c>
      <c r="T437">
        <v>0</v>
      </c>
      <c r="V437">
        <v>10800</v>
      </c>
      <c r="W437">
        <v>7</v>
      </c>
      <c r="X437">
        <v>85</v>
      </c>
      <c r="Y437">
        <v>3</v>
      </c>
      <c r="Z437">
        <v>4</v>
      </c>
      <c r="AA437">
        <v>5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3</v>
      </c>
      <c r="AJ437">
        <v>0</v>
      </c>
      <c r="AK437">
        <v>0</v>
      </c>
      <c r="AL437">
        <v>100</v>
      </c>
      <c r="AM437">
        <v>45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100</v>
      </c>
      <c r="AU437">
        <v>0</v>
      </c>
      <c r="AV437">
        <v>0</v>
      </c>
    </row>
    <row r="438" spans="1:48" x14ac:dyDescent="0.15">
      <c r="A438" s="4" t="str">
        <f>HYPERLINK("https://ibp.a2mac1.com/costing(costing:projects/details/9760/equipment/12211829)","DC machine - General")</f>
        <v>DC machine - General</v>
      </c>
      <c r="B438">
        <v>12211829</v>
      </c>
      <c r="C438">
        <v>12084731</v>
      </c>
      <c r="E438" t="s">
        <v>738</v>
      </c>
      <c r="H438" t="s">
        <v>162</v>
      </c>
      <c r="I438">
        <v>116914.84457142858</v>
      </c>
      <c r="J438">
        <v>0</v>
      </c>
      <c r="K438">
        <v>3.6</v>
      </c>
      <c r="L438">
        <v>0</v>
      </c>
      <c r="M438">
        <v>27.497982091197134</v>
      </c>
      <c r="N438">
        <v>0</v>
      </c>
      <c r="O438">
        <v>7.6383283586658711E-3</v>
      </c>
      <c r="P438">
        <v>1.1476333333333333E-3</v>
      </c>
      <c r="Q438">
        <v>1.1732166376415484E-2</v>
      </c>
      <c r="R438">
        <v>635568</v>
      </c>
      <c r="S438">
        <v>0</v>
      </c>
      <c r="T438">
        <v>0</v>
      </c>
      <c r="V438">
        <v>10800</v>
      </c>
      <c r="W438">
        <v>7</v>
      </c>
      <c r="X438">
        <v>85</v>
      </c>
      <c r="Y438">
        <v>3</v>
      </c>
      <c r="Z438">
        <v>4</v>
      </c>
      <c r="AA438">
        <v>5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3</v>
      </c>
      <c r="AJ438">
        <v>0</v>
      </c>
      <c r="AK438">
        <v>0</v>
      </c>
      <c r="AL438">
        <v>100</v>
      </c>
      <c r="AM438">
        <v>45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100</v>
      </c>
      <c r="AU438">
        <v>0</v>
      </c>
      <c r="AV438">
        <v>0</v>
      </c>
    </row>
    <row r="439" spans="1:48" x14ac:dyDescent="0.15">
      <c r="A439" s="4" t="str">
        <f>HYPERLINK("https://ibp.a2mac1.com/costing(costing:projects/details/9760/equipment/12211830)","DC machine - General")</f>
        <v>DC machine - General</v>
      </c>
      <c r="B439">
        <v>12211830</v>
      </c>
      <c r="C439">
        <v>12084732</v>
      </c>
      <c r="E439" t="s">
        <v>738</v>
      </c>
      <c r="H439" t="s">
        <v>162</v>
      </c>
      <c r="I439">
        <v>116914.84457142858</v>
      </c>
      <c r="J439">
        <v>0</v>
      </c>
      <c r="K439">
        <v>3.6</v>
      </c>
      <c r="L439">
        <v>0</v>
      </c>
      <c r="M439">
        <v>27.497982091197134</v>
      </c>
      <c r="N439">
        <v>0</v>
      </c>
      <c r="O439">
        <v>5.3468298510661094E-2</v>
      </c>
      <c r="P439">
        <v>8.0334333333333327E-3</v>
      </c>
      <c r="Q439">
        <v>1.1732166376415484E-2</v>
      </c>
      <c r="R439">
        <v>635568</v>
      </c>
      <c r="S439">
        <v>0</v>
      </c>
      <c r="T439">
        <v>0</v>
      </c>
      <c r="V439">
        <v>10800</v>
      </c>
      <c r="W439">
        <v>7</v>
      </c>
      <c r="X439">
        <v>85</v>
      </c>
      <c r="Y439">
        <v>3</v>
      </c>
      <c r="Z439">
        <v>4</v>
      </c>
      <c r="AA439">
        <v>5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3</v>
      </c>
      <c r="AJ439">
        <v>0</v>
      </c>
      <c r="AK439">
        <v>0</v>
      </c>
      <c r="AL439">
        <v>100</v>
      </c>
      <c r="AM439">
        <v>45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100</v>
      </c>
      <c r="AU439">
        <v>0</v>
      </c>
      <c r="AV439">
        <v>0</v>
      </c>
    </row>
    <row r="440" spans="1:48" x14ac:dyDescent="0.15">
      <c r="A440" s="4" t="str">
        <f>HYPERLINK("https://ibp.a2mac1.com/costing(costing:projects/details/9760/equipment/12211831)","DC machine - General")</f>
        <v>DC machine - General</v>
      </c>
      <c r="B440">
        <v>12211831</v>
      </c>
      <c r="C440">
        <v>12084733</v>
      </c>
      <c r="E440" t="s">
        <v>738</v>
      </c>
      <c r="H440" t="s">
        <v>162</v>
      </c>
      <c r="I440">
        <v>116914.84457142858</v>
      </c>
      <c r="J440">
        <v>0</v>
      </c>
      <c r="K440">
        <v>3.6</v>
      </c>
      <c r="L440">
        <v>0</v>
      </c>
      <c r="M440">
        <v>27.497982091197134</v>
      </c>
      <c r="N440">
        <v>0</v>
      </c>
      <c r="O440">
        <v>0.19095820896664678</v>
      </c>
      <c r="P440">
        <v>2.8690833333333332E-2</v>
      </c>
      <c r="Q440">
        <v>1.1732166376415484E-2</v>
      </c>
      <c r="R440">
        <v>635568</v>
      </c>
      <c r="S440">
        <v>0</v>
      </c>
      <c r="T440">
        <v>0</v>
      </c>
      <c r="V440">
        <v>10800</v>
      </c>
      <c r="W440">
        <v>7</v>
      </c>
      <c r="X440">
        <v>85</v>
      </c>
      <c r="Y440">
        <v>3</v>
      </c>
      <c r="Z440">
        <v>4</v>
      </c>
      <c r="AA440">
        <v>5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3</v>
      </c>
      <c r="AJ440">
        <v>0</v>
      </c>
      <c r="AK440">
        <v>0</v>
      </c>
      <c r="AL440">
        <v>100</v>
      </c>
      <c r="AM440">
        <v>45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100</v>
      </c>
      <c r="AU440">
        <v>0</v>
      </c>
      <c r="AV440">
        <v>0</v>
      </c>
    </row>
    <row r="441" spans="1:48" x14ac:dyDescent="0.15">
      <c r="A441" s="4" t="str">
        <f>HYPERLINK("https://ibp.a2mac1.com/costing(costing:projects/details/9760/equipment/12211832)","DC machine - General")</f>
        <v>DC machine - General</v>
      </c>
      <c r="B441">
        <v>12211832</v>
      </c>
      <c r="C441">
        <v>12084734</v>
      </c>
      <c r="E441" t="s">
        <v>738</v>
      </c>
      <c r="H441" t="s">
        <v>162</v>
      </c>
      <c r="I441">
        <v>116914.84457142858</v>
      </c>
      <c r="J441">
        <v>0</v>
      </c>
      <c r="K441">
        <v>3.6</v>
      </c>
      <c r="L441">
        <v>0</v>
      </c>
      <c r="M441">
        <v>27.497982091197134</v>
      </c>
      <c r="N441">
        <v>0</v>
      </c>
      <c r="O441">
        <v>0.18331988060798091</v>
      </c>
      <c r="P441">
        <v>2.75432E-2</v>
      </c>
      <c r="Q441">
        <v>1.1732166376415484E-2</v>
      </c>
      <c r="R441">
        <v>635568</v>
      </c>
      <c r="S441">
        <v>0</v>
      </c>
      <c r="T441">
        <v>0</v>
      </c>
      <c r="V441">
        <v>10800</v>
      </c>
      <c r="W441">
        <v>7</v>
      </c>
      <c r="X441">
        <v>85</v>
      </c>
      <c r="Y441">
        <v>3</v>
      </c>
      <c r="Z441">
        <v>4</v>
      </c>
      <c r="AA441">
        <v>5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3</v>
      </c>
      <c r="AJ441">
        <v>0</v>
      </c>
      <c r="AK441">
        <v>0</v>
      </c>
      <c r="AL441">
        <v>100</v>
      </c>
      <c r="AM441">
        <v>45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100</v>
      </c>
      <c r="AU441">
        <v>0</v>
      </c>
      <c r="AV441">
        <v>0</v>
      </c>
    </row>
    <row r="442" spans="1:48" x14ac:dyDescent="0.15">
      <c r="A442" s="4" t="str">
        <f>HYPERLINK("https://ibp.a2mac1.com/costing(costing:projects/details/9760/equipment/12211833)","DC machine - General")</f>
        <v>DC machine - General</v>
      </c>
      <c r="B442">
        <v>12211833</v>
      </c>
      <c r="C442">
        <v>12084735</v>
      </c>
      <c r="E442" t="s">
        <v>738</v>
      </c>
      <c r="H442" t="s">
        <v>162</v>
      </c>
      <c r="I442">
        <v>116914.84457142858</v>
      </c>
      <c r="J442">
        <v>0</v>
      </c>
      <c r="K442">
        <v>3.6</v>
      </c>
      <c r="L442">
        <v>0</v>
      </c>
      <c r="M442">
        <v>27.497982091197134</v>
      </c>
      <c r="N442">
        <v>0</v>
      </c>
      <c r="O442">
        <v>0.38191641793329356</v>
      </c>
      <c r="P442">
        <v>5.7381666666666664E-2</v>
      </c>
      <c r="Q442">
        <v>1.1732166376415484E-2</v>
      </c>
      <c r="R442">
        <v>635568</v>
      </c>
      <c r="S442">
        <v>0</v>
      </c>
      <c r="T442">
        <v>0</v>
      </c>
      <c r="V442">
        <v>10800</v>
      </c>
      <c r="W442">
        <v>7</v>
      </c>
      <c r="X442">
        <v>85</v>
      </c>
      <c r="Y442">
        <v>3</v>
      </c>
      <c r="Z442">
        <v>4</v>
      </c>
      <c r="AA442">
        <v>5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3</v>
      </c>
      <c r="AJ442">
        <v>0</v>
      </c>
      <c r="AK442">
        <v>0</v>
      </c>
      <c r="AL442">
        <v>100</v>
      </c>
      <c r="AM442">
        <v>45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100</v>
      </c>
      <c r="AU442">
        <v>0</v>
      </c>
      <c r="AV442">
        <v>0</v>
      </c>
    </row>
    <row r="443" spans="1:48" x14ac:dyDescent="0.15">
      <c r="A443" s="4" t="str">
        <f>HYPERLINK("https://ibp.a2mac1.com/costing(costing:projects/details/9760/equipment/12211699)","DC machine - General")</f>
        <v>DC machine - General</v>
      </c>
      <c r="B443">
        <v>12211699</v>
      </c>
      <c r="C443">
        <v>12084601</v>
      </c>
      <c r="E443" t="s">
        <v>738</v>
      </c>
      <c r="H443" t="s">
        <v>162</v>
      </c>
      <c r="I443">
        <v>116914.84457142858</v>
      </c>
      <c r="J443">
        <v>0</v>
      </c>
      <c r="K443">
        <v>3.6</v>
      </c>
      <c r="L443">
        <v>0</v>
      </c>
      <c r="M443">
        <v>27.497982091197134</v>
      </c>
      <c r="N443">
        <v>0</v>
      </c>
      <c r="O443">
        <v>4.5829970151995227E-2</v>
      </c>
      <c r="P443">
        <v>6.8858000000000001E-3</v>
      </c>
      <c r="Q443">
        <v>1.1732166376415484E-2</v>
      </c>
      <c r="R443">
        <v>635568</v>
      </c>
      <c r="S443">
        <v>0</v>
      </c>
      <c r="T443">
        <v>0</v>
      </c>
      <c r="V443">
        <v>10800</v>
      </c>
      <c r="W443">
        <v>7</v>
      </c>
      <c r="X443">
        <v>85</v>
      </c>
      <c r="Y443">
        <v>3</v>
      </c>
      <c r="Z443">
        <v>4</v>
      </c>
      <c r="AA443">
        <v>5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3</v>
      </c>
      <c r="AJ443">
        <v>0</v>
      </c>
      <c r="AK443">
        <v>0</v>
      </c>
      <c r="AL443">
        <v>100</v>
      </c>
      <c r="AM443">
        <v>45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100</v>
      </c>
      <c r="AU443">
        <v>0</v>
      </c>
      <c r="AV443">
        <v>0</v>
      </c>
    </row>
    <row r="444" spans="1:48" x14ac:dyDescent="0.15">
      <c r="A444" s="4" t="str">
        <f>HYPERLINK("https://ibp.a2mac1.com/costing(costing:projects/details/9760/equipment/12211700)","DC machine - General")</f>
        <v>DC machine - General</v>
      </c>
      <c r="B444">
        <v>12211700</v>
      </c>
      <c r="C444">
        <v>12084602</v>
      </c>
      <c r="E444" t="s">
        <v>738</v>
      </c>
      <c r="H444" t="s">
        <v>162</v>
      </c>
      <c r="I444">
        <v>116914.84457142858</v>
      </c>
      <c r="J444">
        <v>0</v>
      </c>
      <c r="K444">
        <v>3.6</v>
      </c>
      <c r="L444">
        <v>0</v>
      </c>
      <c r="M444">
        <v>27.497982091197134</v>
      </c>
      <c r="N444">
        <v>0</v>
      </c>
      <c r="O444">
        <v>0.38955474629195941</v>
      </c>
      <c r="P444">
        <v>5.8529299999999999E-2</v>
      </c>
      <c r="Q444">
        <v>1.1732166376415484E-2</v>
      </c>
      <c r="R444">
        <v>635568</v>
      </c>
      <c r="S444">
        <v>0</v>
      </c>
      <c r="T444">
        <v>0</v>
      </c>
      <c r="V444">
        <v>10800</v>
      </c>
      <c r="W444">
        <v>7</v>
      </c>
      <c r="X444">
        <v>85</v>
      </c>
      <c r="Y444">
        <v>3</v>
      </c>
      <c r="Z444">
        <v>4</v>
      </c>
      <c r="AA444">
        <v>5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3</v>
      </c>
      <c r="AJ444">
        <v>0</v>
      </c>
      <c r="AK444">
        <v>0</v>
      </c>
      <c r="AL444">
        <v>100</v>
      </c>
      <c r="AM444">
        <v>45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100</v>
      </c>
      <c r="AU444">
        <v>0</v>
      </c>
      <c r="AV444">
        <v>0</v>
      </c>
    </row>
    <row r="445" spans="1:48" x14ac:dyDescent="0.15">
      <c r="A445" s="4" t="str">
        <f>HYPERLINK("https://ibp.a2mac1.com/costing(costing:projects/details/9760/equipment/12211923)","DC machine - General")</f>
        <v>DC machine - General</v>
      </c>
      <c r="B445">
        <v>12211923</v>
      </c>
      <c r="C445">
        <v>12084802</v>
      </c>
      <c r="E445" t="s">
        <v>738</v>
      </c>
      <c r="H445" t="s">
        <v>162</v>
      </c>
      <c r="I445">
        <v>116914.84457142858</v>
      </c>
      <c r="J445">
        <v>0</v>
      </c>
      <c r="K445">
        <v>3.6</v>
      </c>
      <c r="L445">
        <v>0</v>
      </c>
      <c r="M445">
        <v>27.497982091197134</v>
      </c>
      <c r="N445">
        <v>0</v>
      </c>
      <c r="O445">
        <v>9.1659940303990453E-2</v>
      </c>
      <c r="P445">
        <v>1.37716E-2</v>
      </c>
      <c r="Q445">
        <v>1.1732166376415484E-2</v>
      </c>
      <c r="R445">
        <v>635568</v>
      </c>
      <c r="S445">
        <v>0</v>
      </c>
      <c r="T445">
        <v>0</v>
      </c>
      <c r="V445">
        <v>10800</v>
      </c>
      <c r="W445">
        <v>7</v>
      </c>
      <c r="X445">
        <v>85</v>
      </c>
      <c r="Y445">
        <v>3</v>
      </c>
      <c r="Z445">
        <v>4</v>
      </c>
      <c r="AA445">
        <v>5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3</v>
      </c>
      <c r="AJ445">
        <v>0</v>
      </c>
      <c r="AK445">
        <v>0</v>
      </c>
      <c r="AL445">
        <v>100</v>
      </c>
      <c r="AM445">
        <v>45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100</v>
      </c>
      <c r="AU445">
        <v>0</v>
      </c>
      <c r="AV445">
        <v>0</v>
      </c>
    </row>
    <row r="446" spans="1:48" x14ac:dyDescent="0.15">
      <c r="A446" s="4" t="str">
        <f>HYPERLINK("https://ibp.a2mac1.com/costing(costing:projects/details/9760/equipment/12211924)","DC machine - General")</f>
        <v>DC machine - General</v>
      </c>
      <c r="B446">
        <v>12211924</v>
      </c>
      <c r="C446">
        <v>12084803</v>
      </c>
      <c r="E446" t="s">
        <v>738</v>
      </c>
      <c r="H446" t="s">
        <v>162</v>
      </c>
      <c r="I446">
        <v>116914.84457142858</v>
      </c>
      <c r="J446">
        <v>0</v>
      </c>
      <c r="K446">
        <v>3.6</v>
      </c>
      <c r="L446">
        <v>0</v>
      </c>
      <c r="M446">
        <v>27.497982091197134</v>
      </c>
      <c r="N446">
        <v>0</v>
      </c>
      <c r="O446">
        <v>1.5276656717331742E-2</v>
      </c>
      <c r="P446">
        <v>2.2952666666666665E-3</v>
      </c>
      <c r="Q446">
        <v>1.1732166376415484E-2</v>
      </c>
      <c r="R446">
        <v>635568</v>
      </c>
      <c r="S446">
        <v>0</v>
      </c>
      <c r="T446">
        <v>0</v>
      </c>
      <c r="V446">
        <v>10800</v>
      </c>
      <c r="W446">
        <v>7</v>
      </c>
      <c r="X446">
        <v>85</v>
      </c>
      <c r="Y446">
        <v>3</v>
      </c>
      <c r="Z446">
        <v>4</v>
      </c>
      <c r="AA446">
        <v>5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3</v>
      </c>
      <c r="AJ446">
        <v>0</v>
      </c>
      <c r="AK446">
        <v>0</v>
      </c>
      <c r="AL446">
        <v>100</v>
      </c>
      <c r="AM446">
        <v>45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100</v>
      </c>
      <c r="AU446">
        <v>0</v>
      </c>
      <c r="AV446">
        <v>0</v>
      </c>
    </row>
    <row r="447" spans="1:48" x14ac:dyDescent="0.15">
      <c r="A447" s="4" t="str">
        <f>HYPERLINK("https://ibp.a2mac1.com/costing(costing:projects/details/9760/equipment/12211925)","DC machine - General")</f>
        <v>DC machine - General</v>
      </c>
      <c r="B447">
        <v>12211925</v>
      </c>
      <c r="C447">
        <v>12084804</v>
      </c>
      <c r="E447" t="s">
        <v>738</v>
      </c>
      <c r="H447" t="s">
        <v>162</v>
      </c>
      <c r="I447">
        <v>116914.84457142858</v>
      </c>
      <c r="J447">
        <v>0</v>
      </c>
      <c r="K447">
        <v>3.6</v>
      </c>
      <c r="L447">
        <v>0</v>
      </c>
      <c r="M447">
        <v>27.497982091197134</v>
      </c>
      <c r="N447">
        <v>0</v>
      </c>
      <c r="O447">
        <v>7.6383283586658711E-3</v>
      </c>
      <c r="P447">
        <v>1.1476333333333333E-3</v>
      </c>
      <c r="Q447">
        <v>1.1732166376415484E-2</v>
      </c>
      <c r="R447">
        <v>635568</v>
      </c>
      <c r="S447">
        <v>0</v>
      </c>
      <c r="T447">
        <v>0</v>
      </c>
      <c r="V447">
        <v>10800</v>
      </c>
      <c r="W447">
        <v>7</v>
      </c>
      <c r="X447">
        <v>85</v>
      </c>
      <c r="Y447">
        <v>3</v>
      </c>
      <c r="Z447">
        <v>4</v>
      </c>
      <c r="AA447">
        <v>5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3</v>
      </c>
      <c r="AJ447">
        <v>0</v>
      </c>
      <c r="AK447">
        <v>0</v>
      </c>
      <c r="AL447">
        <v>100</v>
      </c>
      <c r="AM447">
        <v>45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100</v>
      </c>
      <c r="AU447">
        <v>0</v>
      </c>
      <c r="AV447">
        <v>0</v>
      </c>
    </row>
    <row r="448" spans="1:48" x14ac:dyDescent="0.15">
      <c r="A448" s="4" t="str">
        <f>HYPERLINK("https://ibp.a2mac1.com/costing(costing:projects/details/9760/equipment/12211926)","DC machine - General")</f>
        <v>DC machine - General</v>
      </c>
      <c r="B448">
        <v>12211926</v>
      </c>
      <c r="C448">
        <v>12084805</v>
      </c>
      <c r="E448" t="s">
        <v>738</v>
      </c>
      <c r="H448" t="s">
        <v>162</v>
      </c>
      <c r="I448">
        <v>116914.84457142858</v>
      </c>
      <c r="J448">
        <v>0</v>
      </c>
      <c r="K448">
        <v>3.6</v>
      </c>
      <c r="L448">
        <v>0</v>
      </c>
      <c r="M448">
        <v>27.497982091197134</v>
      </c>
      <c r="N448">
        <v>0</v>
      </c>
      <c r="O448">
        <v>7.6383283586658711E-3</v>
      </c>
      <c r="P448">
        <v>1.1476333333333333E-3</v>
      </c>
      <c r="Q448">
        <v>1.1732166376415484E-2</v>
      </c>
      <c r="R448">
        <v>635568</v>
      </c>
      <c r="S448">
        <v>0</v>
      </c>
      <c r="T448">
        <v>0</v>
      </c>
      <c r="V448">
        <v>10800</v>
      </c>
      <c r="W448">
        <v>7</v>
      </c>
      <c r="X448">
        <v>85</v>
      </c>
      <c r="Y448">
        <v>3</v>
      </c>
      <c r="Z448">
        <v>4</v>
      </c>
      <c r="AA448">
        <v>5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3</v>
      </c>
      <c r="AJ448">
        <v>0</v>
      </c>
      <c r="AK448">
        <v>0</v>
      </c>
      <c r="AL448">
        <v>100</v>
      </c>
      <c r="AM448">
        <v>45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100</v>
      </c>
      <c r="AU448">
        <v>0</v>
      </c>
      <c r="AV448">
        <v>0</v>
      </c>
    </row>
    <row r="449" spans="1:48" x14ac:dyDescent="0.15">
      <c r="A449" s="4" t="str">
        <f>HYPERLINK("https://ibp.a2mac1.com/costing(costing:projects/details/9760/equipment/12211927)","DC machine - General")</f>
        <v>DC machine - General</v>
      </c>
      <c r="B449">
        <v>12211927</v>
      </c>
      <c r="C449">
        <v>12084806</v>
      </c>
      <c r="E449" t="s">
        <v>738</v>
      </c>
      <c r="H449" t="s">
        <v>162</v>
      </c>
      <c r="I449">
        <v>116914.84457142858</v>
      </c>
      <c r="J449">
        <v>0</v>
      </c>
      <c r="K449">
        <v>3.6</v>
      </c>
      <c r="L449">
        <v>0</v>
      </c>
      <c r="M449">
        <v>27.497982091197134</v>
      </c>
      <c r="N449">
        <v>0</v>
      </c>
      <c r="O449">
        <v>1.5276656717331742E-2</v>
      </c>
      <c r="P449">
        <v>2.2952666666666665E-3</v>
      </c>
      <c r="Q449">
        <v>1.1732166376415484E-2</v>
      </c>
      <c r="R449">
        <v>635568</v>
      </c>
      <c r="S449">
        <v>0</v>
      </c>
      <c r="T449">
        <v>0</v>
      </c>
      <c r="V449">
        <v>10800</v>
      </c>
      <c r="W449">
        <v>7</v>
      </c>
      <c r="X449">
        <v>85</v>
      </c>
      <c r="Y449">
        <v>3</v>
      </c>
      <c r="Z449">
        <v>4</v>
      </c>
      <c r="AA449">
        <v>5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3</v>
      </c>
      <c r="AJ449">
        <v>0</v>
      </c>
      <c r="AK449">
        <v>0</v>
      </c>
      <c r="AL449">
        <v>100</v>
      </c>
      <c r="AM449">
        <v>45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100</v>
      </c>
      <c r="AU449">
        <v>0</v>
      </c>
      <c r="AV449">
        <v>0</v>
      </c>
    </row>
    <row r="450" spans="1:48" x14ac:dyDescent="0.15">
      <c r="A450" s="4" t="str">
        <f>HYPERLINK("https://ibp.a2mac1.com/costing(costing:projects/details/9760/equipment/12211928)","DC machine - General")</f>
        <v>DC machine - General</v>
      </c>
      <c r="B450">
        <v>12211928</v>
      </c>
      <c r="C450">
        <v>12084807</v>
      </c>
      <c r="E450" t="s">
        <v>738</v>
      </c>
      <c r="H450" t="s">
        <v>162</v>
      </c>
      <c r="I450">
        <v>116914.84457142858</v>
      </c>
      <c r="J450">
        <v>0</v>
      </c>
      <c r="K450">
        <v>3.6</v>
      </c>
      <c r="L450">
        <v>0</v>
      </c>
      <c r="M450">
        <v>27.497982091197134</v>
      </c>
      <c r="N450">
        <v>0</v>
      </c>
      <c r="O450">
        <v>7.6383283586658711E-3</v>
      </c>
      <c r="P450">
        <v>1.1476333333333333E-3</v>
      </c>
      <c r="Q450">
        <v>1.1732166376415484E-2</v>
      </c>
      <c r="R450">
        <v>635568</v>
      </c>
      <c r="S450">
        <v>0</v>
      </c>
      <c r="T450">
        <v>0</v>
      </c>
      <c r="V450">
        <v>10800</v>
      </c>
      <c r="W450">
        <v>7</v>
      </c>
      <c r="X450">
        <v>85</v>
      </c>
      <c r="Y450">
        <v>3</v>
      </c>
      <c r="Z450">
        <v>4</v>
      </c>
      <c r="AA450">
        <v>5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3</v>
      </c>
      <c r="AJ450">
        <v>0</v>
      </c>
      <c r="AK450">
        <v>0</v>
      </c>
      <c r="AL450">
        <v>100</v>
      </c>
      <c r="AM450">
        <v>45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100</v>
      </c>
      <c r="AU450">
        <v>0</v>
      </c>
      <c r="AV450">
        <v>0</v>
      </c>
    </row>
    <row r="451" spans="1:48" x14ac:dyDescent="0.15">
      <c r="A451" s="4" t="str">
        <f>HYPERLINK("https://ibp.a2mac1.com/costing(costing:projects/details/9760/equipment/12211929)","DC machine - General")</f>
        <v>DC machine - General</v>
      </c>
      <c r="B451">
        <v>12211929</v>
      </c>
      <c r="C451">
        <v>12084808</v>
      </c>
      <c r="E451" t="s">
        <v>738</v>
      </c>
      <c r="H451" t="s">
        <v>162</v>
      </c>
      <c r="I451">
        <v>116914.84457142858</v>
      </c>
      <c r="J451">
        <v>0</v>
      </c>
      <c r="K451">
        <v>3.6</v>
      </c>
      <c r="L451">
        <v>0</v>
      </c>
      <c r="M451">
        <v>27.497982091197134</v>
      </c>
      <c r="N451">
        <v>0</v>
      </c>
      <c r="O451">
        <v>1.9095820896664678E-3</v>
      </c>
      <c r="P451">
        <v>2.8690833333333332E-4</v>
      </c>
      <c r="Q451">
        <v>1.1732166376415484E-2</v>
      </c>
      <c r="R451">
        <v>635568</v>
      </c>
      <c r="S451">
        <v>0</v>
      </c>
      <c r="T451">
        <v>0</v>
      </c>
      <c r="V451">
        <v>10800</v>
      </c>
      <c r="W451">
        <v>7</v>
      </c>
      <c r="X451">
        <v>85</v>
      </c>
      <c r="Y451">
        <v>3</v>
      </c>
      <c r="Z451">
        <v>4</v>
      </c>
      <c r="AA451">
        <v>5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3</v>
      </c>
      <c r="AJ451">
        <v>0</v>
      </c>
      <c r="AK451">
        <v>0</v>
      </c>
      <c r="AL451">
        <v>100</v>
      </c>
      <c r="AM451">
        <v>45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100</v>
      </c>
      <c r="AU451">
        <v>0</v>
      </c>
      <c r="AV451">
        <v>0</v>
      </c>
    </row>
    <row r="452" spans="1:48" x14ac:dyDescent="0.15">
      <c r="A452" s="4" t="str">
        <f>HYPERLINK("https://ibp.a2mac1.com/costing(costing:projects/details/9760/equipment/12211834)","DC machine - General")</f>
        <v>DC machine - General</v>
      </c>
      <c r="B452">
        <v>12211834</v>
      </c>
      <c r="C452">
        <v>12084736</v>
      </c>
      <c r="E452" t="s">
        <v>738</v>
      </c>
      <c r="H452" t="s">
        <v>162</v>
      </c>
      <c r="I452">
        <v>116914.84457142858</v>
      </c>
      <c r="J452">
        <v>0</v>
      </c>
      <c r="K452">
        <v>3.6</v>
      </c>
      <c r="L452">
        <v>0</v>
      </c>
      <c r="M452">
        <v>27.497982091197134</v>
      </c>
      <c r="N452">
        <v>0</v>
      </c>
      <c r="O452">
        <v>0.81730113437724816</v>
      </c>
      <c r="P452">
        <v>0.12279676666666667</v>
      </c>
      <c r="Q452">
        <v>1.1732166376415484E-2</v>
      </c>
      <c r="R452">
        <v>635568</v>
      </c>
      <c r="S452">
        <v>0</v>
      </c>
      <c r="T452">
        <v>0</v>
      </c>
      <c r="V452">
        <v>10800</v>
      </c>
      <c r="W452">
        <v>7</v>
      </c>
      <c r="X452">
        <v>85</v>
      </c>
      <c r="Y452">
        <v>3</v>
      </c>
      <c r="Z452">
        <v>4</v>
      </c>
      <c r="AA452">
        <v>5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3</v>
      </c>
      <c r="AJ452">
        <v>0</v>
      </c>
      <c r="AK452">
        <v>0</v>
      </c>
      <c r="AL452">
        <v>100</v>
      </c>
      <c r="AM452">
        <v>45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100</v>
      </c>
      <c r="AU452">
        <v>0</v>
      </c>
      <c r="AV452">
        <v>0</v>
      </c>
    </row>
    <row r="453" spans="1:48" x14ac:dyDescent="0.15">
      <c r="A453" s="4" t="str">
        <f>HYPERLINK("https://ibp.a2mac1.com/costing(costing:projects/details/9760/equipment/12211835)","DC machine - General")</f>
        <v>DC machine - General</v>
      </c>
      <c r="B453">
        <v>12211835</v>
      </c>
      <c r="C453">
        <v>12084737</v>
      </c>
      <c r="E453" t="s">
        <v>738</v>
      </c>
      <c r="H453" t="s">
        <v>162</v>
      </c>
      <c r="I453">
        <v>116914.84457142858</v>
      </c>
      <c r="J453">
        <v>0</v>
      </c>
      <c r="K453">
        <v>3.6</v>
      </c>
      <c r="L453">
        <v>0</v>
      </c>
      <c r="M453">
        <v>27.497982091197134</v>
      </c>
      <c r="N453">
        <v>0</v>
      </c>
      <c r="O453">
        <v>0.29789480598796897</v>
      </c>
      <c r="P453">
        <v>4.4757699999999997E-2</v>
      </c>
      <c r="Q453">
        <v>1.1732166376415484E-2</v>
      </c>
      <c r="R453">
        <v>635568</v>
      </c>
      <c r="S453">
        <v>0</v>
      </c>
      <c r="T453">
        <v>0</v>
      </c>
      <c r="V453">
        <v>10800</v>
      </c>
      <c r="W453">
        <v>7</v>
      </c>
      <c r="X453">
        <v>85</v>
      </c>
      <c r="Y453">
        <v>3</v>
      </c>
      <c r="Z453">
        <v>4</v>
      </c>
      <c r="AA453">
        <v>5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3</v>
      </c>
      <c r="AJ453">
        <v>0</v>
      </c>
      <c r="AK453">
        <v>0</v>
      </c>
      <c r="AL453">
        <v>100</v>
      </c>
      <c r="AM453">
        <v>45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100</v>
      </c>
      <c r="AU453">
        <v>0</v>
      </c>
      <c r="AV453">
        <v>0</v>
      </c>
    </row>
    <row r="454" spans="1:48" x14ac:dyDescent="0.15">
      <c r="A454" s="4" t="str">
        <f>HYPERLINK("https://ibp.a2mac1.com/costing(costing:projects/details/9760/equipment/12211836)","DC machine - General")</f>
        <v>DC machine - General</v>
      </c>
      <c r="B454">
        <v>12211836</v>
      </c>
      <c r="C454">
        <v>12084738</v>
      </c>
      <c r="E454" t="s">
        <v>738</v>
      </c>
      <c r="H454" t="s">
        <v>162</v>
      </c>
      <c r="I454">
        <v>116914.84457142858</v>
      </c>
      <c r="J454">
        <v>0</v>
      </c>
      <c r="K454">
        <v>3.6</v>
      </c>
      <c r="L454">
        <v>0</v>
      </c>
      <c r="M454">
        <v>27.497982091197134</v>
      </c>
      <c r="N454">
        <v>0</v>
      </c>
      <c r="O454">
        <v>1.2297708657452051</v>
      </c>
      <c r="P454">
        <v>0.18476896666666667</v>
      </c>
      <c r="Q454">
        <v>1.1732166376415484E-2</v>
      </c>
      <c r="R454">
        <v>635568</v>
      </c>
      <c r="S454">
        <v>0</v>
      </c>
      <c r="T454">
        <v>0</v>
      </c>
      <c r="V454">
        <v>10800</v>
      </c>
      <c r="W454">
        <v>7</v>
      </c>
      <c r="X454">
        <v>85</v>
      </c>
      <c r="Y454">
        <v>3</v>
      </c>
      <c r="Z454">
        <v>4</v>
      </c>
      <c r="AA454">
        <v>5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3</v>
      </c>
      <c r="AJ454">
        <v>0</v>
      </c>
      <c r="AK454">
        <v>0</v>
      </c>
      <c r="AL454">
        <v>100</v>
      </c>
      <c r="AM454">
        <v>45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100</v>
      </c>
      <c r="AU454">
        <v>0</v>
      </c>
      <c r="AV454">
        <v>0</v>
      </c>
    </row>
    <row r="455" spans="1:48" x14ac:dyDescent="0.15">
      <c r="A455" s="4" t="str">
        <f>HYPERLINK("https://ibp.a2mac1.com/costing(costing:projects/details/9760/equipment/12211837)","DC machine - General")</f>
        <v>DC machine - General</v>
      </c>
      <c r="B455">
        <v>12211837</v>
      </c>
      <c r="C455">
        <v>12084739</v>
      </c>
      <c r="E455" t="s">
        <v>738</v>
      </c>
      <c r="H455" t="s">
        <v>162</v>
      </c>
      <c r="I455">
        <v>116914.84457142858</v>
      </c>
      <c r="J455">
        <v>0</v>
      </c>
      <c r="K455">
        <v>3.6</v>
      </c>
      <c r="L455">
        <v>0</v>
      </c>
      <c r="M455">
        <v>27.497982091197134</v>
      </c>
      <c r="N455">
        <v>0</v>
      </c>
      <c r="O455">
        <v>3.8191641793329352E-2</v>
      </c>
      <c r="P455">
        <v>5.7381666666666666E-3</v>
      </c>
      <c r="Q455">
        <v>1.1732166376415484E-2</v>
      </c>
      <c r="R455">
        <v>635568</v>
      </c>
      <c r="S455">
        <v>0</v>
      </c>
      <c r="T455">
        <v>0</v>
      </c>
      <c r="V455">
        <v>10800</v>
      </c>
      <c r="W455">
        <v>7</v>
      </c>
      <c r="X455">
        <v>85</v>
      </c>
      <c r="Y455">
        <v>3</v>
      </c>
      <c r="Z455">
        <v>4</v>
      </c>
      <c r="AA455">
        <v>5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3</v>
      </c>
      <c r="AJ455">
        <v>0</v>
      </c>
      <c r="AK455">
        <v>0</v>
      </c>
      <c r="AL455">
        <v>100</v>
      </c>
      <c r="AM455">
        <v>45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100</v>
      </c>
      <c r="AU455">
        <v>0</v>
      </c>
      <c r="AV455">
        <v>0</v>
      </c>
    </row>
    <row r="456" spans="1:48" x14ac:dyDescent="0.15">
      <c r="A456" s="4" t="str">
        <f>HYPERLINK("https://ibp.a2mac1.com/costing(costing:projects/details/9760/equipment/12211838)","DC machine - General")</f>
        <v>DC machine - General</v>
      </c>
      <c r="B456">
        <v>12211838</v>
      </c>
      <c r="C456">
        <v>12084740</v>
      </c>
      <c r="E456" t="s">
        <v>738</v>
      </c>
      <c r="H456" t="s">
        <v>162</v>
      </c>
      <c r="I456">
        <v>116914.84457142858</v>
      </c>
      <c r="J456">
        <v>0</v>
      </c>
      <c r="K456">
        <v>3.6</v>
      </c>
      <c r="L456">
        <v>0</v>
      </c>
      <c r="M456">
        <v>27.497982091197134</v>
      </c>
      <c r="N456">
        <v>0</v>
      </c>
      <c r="O456">
        <v>7.6383283586658711E-3</v>
      </c>
      <c r="P456">
        <v>1.1476333333333333E-3</v>
      </c>
      <c r="Q456">
        <v>1.1732166376415484E-2</v>
      </c>
      <c r="R456">
        <v>635568</v>
      </c>
      <c r="S456">
        <v>0</v>
      </c>
      <c r="T456">
        <v>0</v>
      </c>
      <c r="V456">
        <v>10800</v>
      </c>
      <c r="W456">
        <v>7</v>
      </c>
      <c r="X456">
        <v>85</v>
      </c>
      <c r="Y456">
        <v>3</v>
      </c>
      <c r="Z456">
        <v>4</v>
      </c>
      <c r="AA456">
        <v>5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3</v>
      </c>
      <c r="AJ456">
        <v>0</v>
      </c>
      <c r="AK456">
        <v>0</v>
      </c>
      <c r="AL456">
        <v>100</v>
      </c>
      <c r="AM456">
        <v>45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100</v>
      </c>
      <c r="AU456">
        <v>0</v>
      </c>
      <c r="AV456">
        <v>0</v>
      </c>
    </row>
    <row r="457" spans="1:48" x14ac:dyDescent="0.15">
      <c r="A457" s="4" t="str">
        <f>HYPERLINK("https://ibp.a2mac1.com/costing(costing:projects/details/9760/equipment/12211930)","DC machine - General")</f>
        <v>DC machine - General</v>
      </c>
      <c r="B457">
        <v>12211930</v>
      </c>
      <c r="C457">
        <v>12084809</v>
      </c>
      <c r="E457" t="s">
        <v>738</v>
      </c>
      <c r="H457" t="s">
        <v>162</v>
      </c>
      <c r="I457">
        <v>116914.84457142858</v>
      </c>
      <c r="J457">
        <v>0</v>
      </c>
      <c r="K457">
        <v>3.6</v>
      </c>
      <c r="L457">
        <v>0</v>
      </c>
      <c r="M457">
        <v>27.497982091197134</v>
      </c>
      <c r="N457">
        <v>0</v>
      </c>
      <c r="O457">
        <v>0.10693659702132219</v>
      </c>
      <c r="P457">
        <v>1.6066866666666665E-2</v>
      </c>
      <c r="Q457">
        <v>1.1732166376415484E-2</v>
      </c>
      <c r="R457">
        <v>635568</v>
      </c>
      <c r="S457">
        <v>0</v>
      </c>
      <c r="T457">
        <v>0</v>
      </c>
      <c r="V457">
        <v>10800</v>
      </c>
      <c r="W457">
        <v>7</v>
      </c>
      <c r="X457">
        <v>85</v>
      </c>
      <c r="Y457">
        <v>3</v>
      </c>
      <c r="Z457">
        <v>4</v>
      </c>
      <c r="AA457">
        <v>5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3</v>
      </c>
      <c r="AJ457">
        <v>0</v>
      </c>
      <c r="AK457">
        <v>0</v>
      </c>
      <c r="AL457">
        <v>100</v>
      </c>
      <c r="AM457">
        <v>45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100</v>
      </c>
      <c r="AU457">
        <v>0</v>
      </c>
      <c r="AV457">
        <v>0</v>
      </c>
    </row>
    <row r="458" spans="1:48" x14ac:dyDescent="0.15">
      <c r="A458" s="4" t="str">
        <f>HYPERLINK("https://ibp.a2mac1.com/costing(costing:projects/details/9760/equipment/12211931)","DC machine - General")</f>
        <v>DC machine - General</v>
      </c>
      <c r="B458">
        <v>12211931</v>
      </c>
      <c r="C458">
        <v>12084810</v>
      </c>
      <c r="E458" t="s">
        <v>738</v>
      </c>
      <c r="H458" t="s">
        <v>162</v>
      </c>
      <c r="I458">
        <v>116914.84457142858</v>
      </c>
      <c r="J458">
        <v>0</v>
      </c>
      <c r="K458">
        <v>3.6</v>
      </c>
      <c r="L458">
        <v>0</v>
      </c>
      <c r="M458">
        <v>27.497982091197134</v>
      </c>
      <c r="N458">
        <v>0</v>
      </c>
      <c r="O458">
        <v>0.19095820896664678</v>
      </c>
      <c r="P458">
        <v>2.8690833333333332E-2</v>
      </c>
      <c r="Q458">
        <v>1.1732166376415484E-2</v>
      </c>
      <c r="R458">
        <v>635568</v>
      </c>
      <c r="S458">
        <v>0</v>
      </c>
      <c r="T458">
        <v>0</v>
      </c>
      <c r="V458">
        <v>10800</v>
      </c>
      <c r="W458">
        <v>7</v>
      </c>
      <c r="X458">
        <v>85</v>
      </c>
      <c r="Y458">
        <v>3</v>
      </c>
      <c r="Z458">
        <v>4</v>
      </c>
      <c r="AA458">
        <v>5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3</v>
      </c>
      <c r="AJ458">
        <v>0</v>
      </c>
      <c r="AK458">
        <v>0</v>
      </c>
      <c r="AL458">
        <v>100</v>
      </c>
      <c r="AM458">
        <v>45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100</v>
      </c>
      <c r="AU458">
        <v>0</v>
      </c>
      <c r="AV458">
        <v>0</v>
      </c>
    </row>
    <row r="459" spans="1:48" x14ac:dyDescent="0.15">
      <c r="A459" s="4" t="str">
        <f>HYPERLINK("https://ibp.a2mac1.com/costing(costing:projects/details/9760/equipment/12211932)","DC machine - General")</f>
        <v>DC machine - General</v>
      </c>
      <c r="B459">
        <v>12211932</v>
      </c>
      <c r="C459">
        <v>12084811</v>
      </c>
      <c r="E459" t="s">
        <v>738</v>
      </c>
      <c r="H459" t="s">
        <v>162</v>
      </c>
      <c r="I459">
        <v>116914.84457142858</v>
      </c>
      <c r="J459">
        <v>0</v>
      </c>
      <c r="K459">
        <v>3.6</v>
      </c>
      <c r="L459">
        <v>0</v>
      </c>
      <c r="M459">
        <v>27.497982091197134</v>
      </c>
      <c r="N459">
        <v>0</v>
      </c>
      <c r="O459">
        <v>0.10693659702132219</v>
      </c>
      <c r="P459">
        <v>1.6066866666666665E-2</v>
      </c>
      <c r="Q459">
        <v>1.1732166376415484E-2</v>
      </c>
      <c r="R459">
        <v>635568</v>
      </c>
      <c r="S459">
        <v>0</v>
      </c>
      <c r="T459">
        <v>0</v>
      </c>
      <c r="V459">
        <v>10800</v>
      </c>
      <c r="W459">
        <v>7</v>
      </c>
      <c r="X459">
        <v>85</v>
      </c>
      <c r="Y459">
        <v>3</v>
      </c>
      <c r="Z459">
        <v>4</v>
      </c>
      <c r="AA459">
        <v>5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100</v>
      </c>
      <c r="AM459">
        <v>45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100</v>
      </c>
      <c r="AU459">
        <v>0</v>
      </c>
      <c r="AV459">
        <v>0</v>
      </c>
    </row>
    <row r="460" spans="1:48" x14ac:dyDescent="0.15">
      <c r="A460" s="4" t="str">
        <f>HYPERLINK("https://ibp.a2mac1.com/costing(costing:projects/details/9760/equipment/12211671)","DC machine - General")</f>
        <v>DC machine - General</v>
      </c>
      <c r="B460">
        <v>12211671</v>
      </c>
      <c r="C460">
        <v>12084573</v>
      </c>
      <c r="E460" t="s">
        <v>738</v>
      </c>
      <c r="H460" t="s">
        <v>162</v>
      </c>
      <c r="I460">
        <v>116914.84457142858</v>
      </c>
      <c r="J460">
        <v>0</v>
      </c>
      <c r="K460">
        <v>3.6</v>
      </c>
      <c r="L460">
        <v>0</v>
      </c>
      <c r="M460">
        <v>27.497982091197134</v>
      </c>
      <c r="N460">
        <v>0</v>
      </c>
      <c r="O460">
        <v>1.7033472239824892</v>
      </c>
      <c r="P460">
        <v>0.25592223333333336</v>
      </c>
      <c r="Q460">
        <v>1.1732166376415484E-2</v>
      </c>
      <c r="R460">
        <v>635568</v>
      </c>
      <c r="S460">
        <v>0</v>
      </c>
      <c r="T460">
        <v>0</v>
      </c>
      <c r="V460">
        <v>10800</v>
      </c>
      <c r="W460">
        <v>7</v>
      </c>
      <c r="X460">
        <v>85</v>
      </c>
      <c r="Y460">
        <v>3</v>
      </c>
      <c r="Z460">
        <v>4</v>
      </c>
      <c r="AA460">
        <v>5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3</v>
      </c>
      <c r="AJ460">
        <v>0</v>
      </c>
      <c r="AK460">
        <v>0</v>
      </c>
      <c r="AL460">
        <v>100</v>
      </c>
      <c r="AM460">
        <v>45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100</v>
      </c>
      <c r="AU460">
        <v>0</v>
      </c>
      <c r="AV460">
        <v>0</v>
      </c>
    </row>
    <row r="461" spans="1:48" x14ac:dyDescent="0.15">
      <c r="A461" s="4" t="str">
        <f>HYPERLINK("https://ibp.a2mac1.com/costing(costing:projects/details/9760/equipment/12211701)","DC machine - General")</f>
        <v>DC machine - General</v>
      </c>
      <c r="B461">
        <v>12211701</v>
      </c>
      <c r="C461">
        <v>12084603</v>
      </c>
      <c r="E461" t="s">
        <v>738</v>
      </c>
      <c r="H461" t="s">
        <v>162</v>
      </c>
      <c r="I461">
        <v>116914.84457142858</v>
      </c>
      <c r="J461">
        <v>0</v>
      </c>
      <c r="K461">
        <v>3.6</v>
      </c>
      <c r="L461">
        <v>0</v>
      </c>
      <c r="M461">
        <v>27.497982091197134</v>
      </c>
      <c r="N461">
        <v>0</v>
      </c>
      <c r="O461">
        <v>2.3831584479037518</v>
      </c>
      <c r="P461">
        <v>0.35806159999999998</v>
      </c>
      <c r="Q461">
        <v>1.1732166376415484E-2</v>
      </c>
      <c r="R461">
        <v>635568</v>
      </c>
      <c r="S461">
        <v>0</v>
      </c>
      <c r="T461">
        <v>0</v>
      </c>
      <c r="V461">
        <v>10800</v>
      </c>
      <c r="W461">
        <v>7</v>
      </c>
      <c r="X461">
        <v>85</v>
      </c>
      <c r="Y461">
        <v>3</v>
      </c>
      <c r="Z461">
        <v>4</v>
      </c>
      <c r="AA461">
        <v>5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3</v>
      </c>
      <c r="AJ461">
        <v>0</v>
      </c>
      <c r="AK461">
        <v>0</v>
      </c>
      <c r="AL461">
        <v>100</v>
      </c>
      <c r="AM461">
        <v>45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100</v>
      </c>
      <c r="AU461">
        <v>0</v>
      </c>
      <c r="AV461">
        <v>0</v>
      </c>
    </row>
    <row r="462" spans="1:48" x14ac:dyDescent="0.15">
      <c r="A462" s="4" t="str">
        <f>HYPERLINK("https://ibp.a2mac1.com/costing(costing:projects/details/9760/equipment/12211702)","DC machine - General")</f>
        <v>DC machine - General</v>
      </c>
      <c r="B462">
        <v>12211702</v>
      </c>
      <c r="C462">
        <v>12084604</v>
      </c>
      <c r="E462" t="s">
        <v>738</v>
      </c>
      <c r="H462" t="s">
        <v>162</v>
      </c>
      <c r="I462">
        <v>116914.84457142858</v>
      </c>
      <c r="J462">
        <v>0</v>
      </c>
      <c r="K462">
        <v>3.6</v>
      </c>
      <c r="L462">
        <v>0</v>
      </c>
      <c r="M462">
        <v>27.497982091197134</v>
      </c>
      <c r="N462">
        <v>0</v>
      </c>
      <c r="O462">
        <v>2.3831584479037518</v>
      </c>
      <c r="P462">
        <v>0.35806159999999998</v>
      </c>
      <c r="Q462">
        <v>1.1732166376415484E-2</v>
      </c>
      <c r="R462">
        <v>635568</v>
      </c>
      <c r="S462">
        <v>0</v>
      </c>
      <c r="T462">
        <v>0</v>
      </c>
      <c r="V462">
        <v>10800</v>
      </c>
      <c r="W462">
        <v>7</v>
      </c>
      <c r="X462">
        <v>85</v>
      </c>
      <c r="Y462">
        <v>3</v>
      </c>
      <c r="Z462">
        <v>4</v>
      </c>
      <c r="AA462">
        <v>5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3</v>
      </c>
      <c r="AJ462">
        <v>0</v>
      </c>
      <c r="AK462">
        <v>0</v>
      </c>
      <c r="AL462">
        <v>100</v>
      </c>
      <c r="AM462">
        <v>45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100</v>
      </c>
      <c r="AU462">
        <v>0</v>
      </c>
      <c r="AV462">
        <v>0</v>
      </c>
    </row>
    <row r="463" spans="1:48" x14ac:dyDescent="0.15">
      <c r="A463" s="4" t="str">
        <f>HYPERLINK("https://ibp.a2mac1.com/costing(costing:projects/details/9760/equipment/12211703)","DC machine - General")</f>
        <v>DC machine - General</v>
      </c>
      <c r="B463">
        <v>12211703</v>
      </c>
      <c r="C463">
        <v>12084605</v>
      </c>
      <c r="E463" t="s">
        <v>738</v>
      </c>
      <c r="H463" t="s">
        <v>162</v>
      </c>
      <c r="I463">
        <v>116914.84457142858</v>
      </c>
      <c r="J463">
        <v>0</v>
      </c>
      <c r="K463">
        <v>3.6</v>
      </c>
      <c r="L463">
        <v>0</v>
      </c>
      <c r="M463">
        <v>27.497982091197134</v>
      </c>
      <c r="N463">
        <v>0</v>
      </c>
      <c r="O463">
        <v>8.4021611945324579E-2</v>
      </c>
      <c r="P463">
        <v>1.2623966666666667E-2</v>
      </c>
      <c r="Q463">
        <v>1.1732166376415484E-2</v>
      </c>
      <c r="R463">
        <v>635568</v>
      </c>
      <c r="S463">
        <v>0</v>
      </c>
      <c r="T463">
        <v>0</v>
      </c>
      <c r="V463">
        <v>10800</v>
      </c>
      <c r="W463">
        <v>7</v>
      </c>
      <c r="X463">
        <v>85</v>
      </c>
      <c r="Y463">
        <v>3</v>
      </c>
      <c r="Z463">
        <v>4</v>
      </c>
      <c r="AA463">
        <v>5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3</v>
      </c>
      <c r="AJ463">
        <v>0</v>
      </c>
      <c r="AK463">
        <v>0</v>
      </c>
      <c r="AL463">
        <v>100</v>
      </c>
      <c r="AM463">
        <v>45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100</v>
      </c>
      <c r="AU463">
        <v>0</v>
      </c>
      <c r="AV463">
        <v>0</v>
      </c>
    </row>
    <row r="464" spans="1:48" x14ac:dyDescent="0.15">
      <c r="A464" s="4" t="str">
        <f>HYPERLINK("https://ibp.a2mac1.com/costing(costing:projects/details/9760/equipment/12211704)","DC machine - General")</f>
        <v>DC machine - General</v>
      </c>
      <c r="B464">
        <v>12211704</v>
      </c>
      <c r="C464">
        <v>12084606</v>
      </c>
      <c r="E464" t="s">
        <v>738</v>
      </c>
      <c r="H464" t="s">
        <v>162</v>
      </c>
      <c r="I464">
        <v>116914.84457142858</v>
      </c>
      <c r="J464">
        <v>0</v>
      </c>
      <c r="K464">
        <v>3.6</v>
      </c>
      <c r="L464">
        <v>0</v>
      </c>
      <c r="M464">
        <v>27.497982091197134</v>
      </c>
      <c r="N464">
        <v>0</v>
      </c>
      <c r="O464">
        <v>8.4021611945324579E-2</v>
      </c>
      <c r="P464">
        <v>1.2623966666666667E-2</v>
      </c>
      <c r="Q464">
        <v>1.1732166376415484E-2</v>
      </c>
      <c r="R464">
        <v>635568</v>
      </c>
      <c r="S464">
        <v>0</v>
      </c>
      <c r="T464">
        <v>0</v>
      </c>
      <c r="V464">
        <v>10800</v>
      </c>
      <c r="W464">
        <v>7</v>
      </c>
      <c r="X464">
        <v>85</v>
      </c>
      <c r="Y464">
        <v>3</v>
      </c>
      <c r="Z464">
        <v>4</v>
      </c>
      <c r="AA464">
        <v>5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3</v>
      </c>
      <c r="AJ464">
        <v>0</v>
      </c>
      <c r="AK464">
        <v>0</v>
      </c>
      <c r="AL464">
        <v>100</v>
      </c>
      <c r="AM464">
        <v>45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100</v>
      </c>
      <c r="AU464">
        <v>0</v>
      </c>
      <c r="AV464">
        <v>0</v>
      </c>
    </row>
    <row r="465" spans="1:48" x14ac:dyDescent="0.15">
      <c r="A465" s="4" t="str">
        <f>HYPERLINK("https://ibp.a2mac1.com/costing(costing:projects/details/9760/equipment/12211705)","DC machine - General")</f>
        <v>DC machine - General</v>
      </c>
      <c r="B465">
        <v>12211705</v>
      </c>
      <c r="C465">
        <v>12084607</v>
      </c>
      <c r="E465" t="s">
        <v>738</v>
      </c>
      <c r="H465" t="s">
        <v>162</v>
      </c>
      <c r="I465">
        <v>116914.84457142858</v>
      </c>
      <c r="J465">
        <v>0</v>
      </c>
      <c r="K465">
        <v>3.6</v>
      </c>
      <c r="L465">
        <v>0</v>
      </c>
      <c r="M465">
        <v>27.497982091197134</v>
      </c>
      <c r="N465">
        <v>0</v>
      </c>
      <c r="O465">
        <v>0.12985158209731981</v>
      </c>
      <c r="P465">
        <v>1.9509766666666668E-2</v>
      </c>
      <c r="Q465">
        <v>1.1732166376415484E-2</v>
      </c>
      <c r="R465">
        <v>635568</v>
      </c>
      <c r="S465">
        <v>0</v>
      </c>
      <c r="T465">
        <v>0</v>
      </c>
      <c r="V465">
        <v>10800</v>
      </c>
      <c r="W465">
        <v>7</v>
      </c>
      <c r="X465">
        <v>85</v>
      </c>
      <c r="Y465">
        <v>3</v>
      </c>
      <c r="Z465">
        <v>4</v>
      </c>
      <c r="AA465">
        <v>5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3</v>
      </c>
      <c r="AJ465">
        <v>0</v>
      </c>
      <c r="AK465">
        <v>0</v>
      </c>
      <c r="AL465">
        <v>100</v>
      </c>
      <c r="AM465">
        <v>45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100</v>
      </c>
      <c r="AU465">
        <v>0</v>
      </c>
      <c r="AV465">
        <v>0</v>
      </c>
    </row>
    <row r="466" spans="1:48" x14ac:dyDescent="0.15">
      <c r="A466" s="4" t="str">
        <f>HYPERLINK("https://ibp.a2mac1.com/costing(costing:projects/details/9760/equipment/12211706)","DC machine - General")</f>
        <v>DC machine - General</v>
      </c>
      <c r="B466">
        <v>12211706</v>
      </c>
      <c r="C466">
        <v>12084608</v>
      </c>
      <c r="E466" t="s">
        <v>738</v>
      </c>
      <c r="H466" t="s">
        <v>162</v>
      </c>
      <c r="I466">
        <v>116914.84457142858</v>
      </c>
      <c r="J466">
        <v>0</v>
      </c>
      <c r="K466">
        <v>3.6</v>
      </c>
      <c r="L466">
        <v>0</v>
      </c>
      <c r="M466">
        <v>27.497982091197134</v>
      </c>
      <c r="N466">
        <v>0</v>
      </c>
      <c r="O466">
        <v>0.12985158209731981</v>
      </c>
      <c r="P466">
        <v>1.9509766666666668E-2</v>
      </c>
      <c r="Q466">
        <v>1.1732166376415484E-2</v>
      </c>
      <c r="R466">
        <v>635568</v>
      </c>
      <c r="S466">
        <v>0</v>
      </c>
      <c r="T466">
        <v>0</v>
      </c>
      <c r="V466">
        <v>10800</v>
      </c>
      <c r="W466">
        <v>7</v>
      </c>
      <c r="X466">
        <v>85</v>
      </c>
      <c r="Y466">
        <v>3</v>
      </c>
      <c r="Z466">
        <v>4</v>
      </c>
      <c r="AA466">
        <v>5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3</v>
      </c>
      <c r="AJ466">
        <v>0</v>
      </c>
      <c r="AK466">
        <v>0</v>
      </c>
      <c r="AL466">
        <v>100</v>
      </c>
      <c r="AM466">
        <v>45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100</v>
      </c>
      <c r="AU466">
        <v>0</v>
      </c>
      <c r="AV466">
        <v>0</v>
      </c>
    </row>
    <row r="467" spans="1:48" x14ac:dyDescent="0.15">
      <c r="A467" s="4" t="str">
        <f>HYPERLINK("https://ibp.a2mac1.com/costing(costing:projects/details/9760/equipment/12211707)","DC machine - General")</f>
        <v>DC machine - General</v>
      </c>
      <c r="B467">
        <v>12211707</v>
      </c>
      <c r="C467">
        <v>12084609</v>
      </c>
      <c r="E467" t="s">
        <v>738</v>
      </c>
      <c r="H467" t="s">
        <v>162</v>
      </c>
      <c r="I467">
        <v>116914.84457142858</v>
      </c>
      <c r="J467">
        <v>0</v>
      </c>
      <c r="K467">
        <v>3.6</v>
      </c>
      <c r="L467">
        <v>0</v>
      </c>
      <c r="M467">
        <v>27.497982091197134</v>
      </c>
      <c r="N467">
        <v>0</v>
      </c>
      <c r="O467">
        <v>4.5829970151995227E-2</v>
      </c>
      <c r="P467">
        <v>6.8858000000000001E-3</v>
      </c>
      <c r="Q467">
        <v>1.1732166376415484E-2</v>
      </c>
      <c r="R467">
        <v>635568</v>
      </c>
      <c r="S467">
        <v>0</v>
      </c>
      <c r="T467">
        <v>0</v>
      </c>
      <c r="V467">
        <v>10800</v>
      </c>
      <c r="W467">
        <v>7</v>
      </c>
      <c r="X467">
        <v>85</v>
      </c>
      <c r="Y467">
        <v>3</v>
      </c>
      <c r="Z467">
        <v>4</v>
      </c>
      <c r="AA467">
        <v>5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3</v>
      </c>
      <c r="AJ467">
        <v>0</v>
      </c>
      <c r="AK467">
        <v>0</v>
      </c>
      <c r="AL467">
        <v>100</v>
      </c>
      <c r="AM467">
        <v>45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100</v>
      </c>
      <c r="AU467">
        <v>0</v>
      </c>
      <c r="AV467">
        <v>0</v>
      </c>
    </row>
    <row r="468" spans="1:48" x14ac:dyDescent="0.15">
      <c r="A468" s="4" t="str">
        <f>HYPERLINK("https://ibp.a2mac1.com/costing(costing:projects/details/9760/equipment/12211708)","DC machine - General")</f>
        <v>DC machine - General</v>
      </c>
      <c r="B468">
        <v>12211708</v>
      </c>
      <c r="C468">
        <v>12084610</v>
      </c>
      <c r="E468" t="s">
        <v>738</v>
      </c>
      <c r="H468" t="s">
        <v>162</v>
      </c>
      <c r="I468">
        <v>116914.84457142858</v>
      </c>
      <c r="J468">
        <v>0</v>
      </c>
      <c r="K468">
        <v>3.6</v>
      </c>
      <c r="L468">
        <v>0</v>
      </c>
      <c r="M468">
        <v>27.497982091197134</v>
      </c>
      <c r="N468">
        <v>0</v>
      </c>
      <c r="O468">
        <v>4.5829970151995227E-2</v>
      </c>
      <c r="P468">
        <v>6.8858000000000001E-3</v>
      </c>
      <c r="Q468">
        <v>1.1732166376415484E-2</v>
      </c>
      <c r="R468">
        <v>635568</v>
      </c>
      <c r="S468">
        <v>0</v>
      </c>
      <c r="T468">
        <v>0</v>
      </c>
      <c r="V468">
        <v>10800</v>
      </c>
      <c r="W468">
        <v>7</v>
      </c>
      <c r="X468">
        <v>85</v>
      </c>
      <c r="Y468">
        <v>3</v>
      </c>
      <c r="Z468">
        <v>4</v>
      </c>
      <c r="AA468">
        <v>5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3</v>
      </c>
      <c r="AJ468">
        <v>0</v>
      </c>
      <c r="AK468">
        <v>0</v>
      </c>
      <c r="AL468">
        <v>100</v>
      </c>
      <c r="AM468">
        <v>45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100</v>
      </c>
      <c r="AU468">
        <v>0</v>
      </c>
      <c r="AV468">
        <v>0</v>
      </c>
    </row>
    <row r="469" spans="1:48" x14ac:dyDescent="0.15">
      <c r="A469" s="4" t="str">
        <f>HYPERLINK("https://ibp.a2mac1.com/costing(costing:projects/details/9760/equipment/12211709)","DC machine - General")</f>
        <v>DC machine - General</v>
      </c>
      <c r="B469">
        <v>12211709</v>
      </c>
      <c r="C469">
        <v>12084611</v>
      </c>
      <c r="E469" t="s">
        <v>738</v>
      </c>
      <c r="H469" t="s">
        <v>162</v>
      </c>
      <c r="I469">
        <v>116914.84457142858</v>
      </c>
      <c r="J469">
        <v>0</v>
      </c>
      <c r="K469">
        <v>3.6</v>
      </c>
      <c r="L469">
        <v>0</v>
      </c>
      <c r="M469">
        <v>27.497982091197134</v>
      </c>
      <c r="N469">
        <v>0</v>
      </c>
      <c r="O469">
        <v>8.4021611945324579E-2</v>
      </c>
      <c r="P469">
        <v>1.2623966666666667E-2</v>
      </c>
      <c r="Q469">
        <v>1.1732166376415484E-2</v>
      </c>
      <c r="R469">
        <v>635568</v>
      </c>
      <c r="S469">
        <v>0</v>
      </c>
      <c r="T469">
        <v>0</v>
      </c>
      <c r="V469">
        <v>10800</v>
      </c>
      <c r="W469">
        <v>7</v>
      </c>
      <c r="X469">
        <v>85</v>
      </c>
      <c r="Y469">
        <v>3</v>
      </c>
      <c r="Z469">
        <v>4</v>
      </c>
      <c r="AA469">
        <v>5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3</v>
      </c>
      <c r="AJ469">
        <v>0</v>
      </c>
      <c r="AK469">
        <v>0</v>
      </c>
      <c r="AL469">
        <v>100</v>
      </c>
      <c r="AM469">
        <v>45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100</v>
      </c>
      <c r="AU469">
        <v>0</v>
      </c>
      <c r="AV469">
        <v>0</v>
      </c>
    </row>
    <row r="470" spans="1:48" x14ac:dyDescent="0.15">
      <c r="A470" s="4" t="str">
        <f>HYPERLINK("https://ibp.a2mac1.com/costing(costing:projects/details/9760/equipment/12211710)","DC machine - General")</f>
        <v>DC machine - General</v>
      </c>
      <c r="B470">
        <v>12211710</v>
      </c>
      <c r="C470">
        <v>12084612</v>
      </c>
      <c r="E470" t="s">
        <v>738</v>
      </c>
      <c r="H470" t="s">
        <v>162</v>
      </c>
      <c r="I470">
        <v>116914.84457142858</v>
      </c>
      <c r="J470">
        <v>0</v>
      </c>
      <c r="K470">
        <v>3.6</v>
      </c>
      <c r="L470">
        <v>0</v>
      </c>
      <c r="M470">
        <v>27.497982091197134</v>
      </c>
      <c r="N470">
        <v>0</v>
      </c>
      <c r="O470">
        <v>8.4021611945324579E-2</v>
      </c>
      <c r="P470">
        <v>1.2623966666666667E-2</v>
      </c>
      <c r="Q470">
        <v>1.1732166376415484E-2</v>
      </c>
      <c r="R470">
        <v>635568</v>
      </c>
      <c r="S470">
        <v>0</v>
      </c>
      <c r="T470">
        <v>0</v>
      </c>
      <c r="V470">
        <v>10800</v>
      </c>
      <c r="W470">
        <v>7</v>
      </c>
      <c r="X470">
        <v>85</v>
      </c>
      <c r="Y470">
        <v>3</v>
      </c>
      <c r="Z470">
        <v>4</v>
      </c>
      <c r="AA470">
        <v>5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3</v>
      </c>
      <c r="AJ470">
        <v>0</v>
      </c>
      <c r="AK470">
        <v>0</v>
      </c>
      <c r="AL470">
        <v>100</v>
      </c>
      <c r="AM470">
        <v>45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100</v>
      </c>
      <c r="AU470">
        <v>0</v>
      </c>
      <c r="AV470">
        <v>0</v>
      </c>
    </row>
    <row r="471" spans="1:48" x14ac:dyDescent="0.15">
      <c r="A471" s="4" t="str">
        <f>HYPERLINK("https://ibp.a2mac1.com/costing(costing:projects/details/9760/equipment/12211711)","DC machine - General")</f>
        <v>DC machine - General</v>
      </c>
      <c r="B471">
        <v>12211711</v>
      </c>
      <c r="C471">
        <v>12084613</v>
      </c>
      <c r="E471" t="s">
        <v>738</v>
      </c>
      <c r="H471" t="s">
        <v>162</v>
      </c>
      <c r="I471">
        <v>116914.84457142858</v>
      </c>
      <c r="J471">
        <v>0</v>
      </c>
      <c r="K471">
        <v>3.6</v>
      </c>
      <c r="L471">
        <v>0</v>
      </c>
      <c r="M471">
        <v>27.497982091197134</v>
      </c>
      <c r="N471">
        <v>0</v>
      </c>
      <c r="O471">
        <v>3.0553313434663484E-2</v>
      </c>
      <c r="P471">
        <v>4.5905333333333331E-3</v>
      </c>
      <c r="Q471">
        <v>5.8660831882077422E-3</v>
      </c>
      <c r="R471">
        <v>635568</v>
      </c>
      <c r="S471">
        <v>0</v>
      </c>
      <c r="T471">
        <v>0</v>
      </c>
      <c r="V471">
        <v>10800</v>
      </c>
      <c r="W471">
        <v>7</v>
      </c>
      <c r="X471">
        <v>85</v>
      </c>
      <c r="Y471">
        <v>3</v>
      </c>
      <c r="Z471">
        <v>4</v>
      </c>
      <c r="AA471">
        <v>5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3</v>
      </c>
      <c r="AJ471">
        <v>0</v>
      </c>
      <c r="AK471">
        <v>0</v>
      </c>
      <c r="AL471">
        <v>100</v>
      </c>
      <c r="AM471">
        <v>45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100</v>
      </c>
      <c r="AU471">
        <v>0</v>
      </c>
      <c r="AV471">
        <v>0</v>
      </c>
    </row>
    <row r="472" spans="1:48" x14ac:dyDescent="0.15">
      <c r="A472" s="4" t="str">
        <f>HYPERLINK("https://ibp.a2mac1.com/costing(costing:projects/details/9760/equipment/12211712)","DC machine - General")</f>
        <v>DC machine - General</v>
      </c>
      <c r="B472">
        <v>12211712</v>
      </c>
      <c r="C472">
        <v>12084614</v>
      </c>
      <c r="E472" t="s">
        <v>738</v>
      </c>
      <c r="H472" t="s">
        <v>162</v>
      </c>
      <c r="I472">
        <v>116914.84457142858</v>
      </c>
      <c r="J472">
        <v>0</v>
      </c>
      <c r="K472">
        <v>3.6</v>
      </c>
      <c r="L472">
        <v>0</v>
      </c>
      <c r="M472">
        <v>27.497982091197134</v>
      </c>
      <c r="N472">
        <v>0</v>
      </c>
      <c r="O472">
        <v>4.5829970151995227E-2</v>
      </c>
      <c r="P472">
        <v>6.8858000000000001E-3</v>
      </c>
      <c r="Q472">
        <v>5.8660831882077422E-3</v>
      </c>
      <c r="R472">
        <v>635568</v>
      </c>
      <c r="S472">
        <v>0</v>
      </c>
      <c r="T472">
        <v>0</v>
      </c>
      <c r="V472">
        <v>10800</v>
      </c>
      <c r="W472">
        <v>7</v>
      </c>
      <c r="X472">
        <v>85</v>
      </c>
      <c r="Y472">
        <v>3</v>
      </c>
      <c r="Z472">
        <v>4</v>
      </c>
      <c r="AA472">
        <v>5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3</v>
      </c>
      <c r="AJ472">
        <v>0</v>
      </c>
      <c r="AK472">
        <v>0</v>
      </c>
      <c r="AL472">
        <v>100</v>
      </c>
      <c r="AM472">
        <v>45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100</v>
      </c>
      <c r="AU472">
        <v>0</v>
      </c>
      <c r="AV472">
        <v>0</v>
      </c>
    </row>
    <row r="473" spans="1:48" x14ac:dyDescent="0.15">
      <c r="A473" s="4" t="str">
        <f>HYPERLINK("https://ibp.a2mac1.com/costing(costing:projects/details/9760/equipment/12211713)","DC machine - General")</f>
        <v>DC machine - General</v>
      </c>
      <c r="B473">
        <v>12211713</v>
      </c>
      <c r="C473">
        <v>12084615</v>
      </c>
      <c r="E473" t="s">
        <v>738</v>
      </c>
      <c r="H473" t="s">
        <v>162</v>
      </c>
      <c r="I473">
        <v>116914.84457142858</v>
      </c>
      <c r="J473">
        <v>0</v>
      </c>
      <c r="K473">
        <v>3.6</v>
      </c>
      <c r="L473">
        <v>0</v>
      </c>
      <c r="M473">
        <v>27.497982091197134</v>
      </c>
      <c r="N473">
        <v>0</v>
      </c>
      <c r="O473">
        <v>3.0553313434663484E-2</v>
      </c>
      <c r="P473">
        <v>4.5905333333333331E-3</v>
      </c>
      <c r="Q473">
        <v>5.8660831882077422E-3</v>
      </c>
      <c r="R473">
        <v>635568</v>
      </c>
      <c r="S473">
        <v>0</v>
      </c>
      <c r="T473">
        <v>0</v>
      </c>
      <c r="V473">
        <v>10800</v>
      </c>
      <c r="W473">
        <v>7</v>
      </c>
      <c r="X473">
        <v>85</v>
      </c>
      <c r="Y473">
        <v>3</v>
      </c>
      <c r="Z473">
        <v>4</v>
      </c>
      <c r="AA473">
        <v>5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3</v>
      </c>
      <c r="AJ473">
        <v>0</v>
      </c>
      <c r="AK473">
        <v>0</v>
      </c>
      <c r="AL473">
        <v>100</v>
      </c>
      <c r="AM473">
        <v>45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100</v>
      </c>
      <c r="AU473">
        <v>0</v>
      </c>
      <c r="AV473">
        <v>0</v>
      </c>
    </row>
    <row r="474" spans="1:48" x14ac:dyDescent="0.15">
      <c r="A474" s="4" t="str">
        <f>HYPERLINK("https://ibp.a2mac1.com/costing(costing:projects/details/9760/equipment/12211714)","DC machine - General")</f>
        <v>DC machine - General</v>
      </c>
      <c r="B474">
        <v>12211714</v>
      </c>
      <c r="C474">
        <v>12084616</v>
      </c>
      <c r="E474" t="s">
        <v>738</v>
      </c>
      <c r="H474" t="s">
        <v>162</v>
      </c>
      <c r="I474">
        <v>116914.84457142858</v>
      </c>
      <c r="J474">
        <v>0</v>
      </c>
      <c r="K474">
        <v>3.6</v>
      </c>
      <c r="L474">
        <v>0</v>
      </c>
      <c r="M474">
        <v>27.497982091197134</v>
      </c>
      <c r="N474">
        <v>0</v>
      </c>
      <c r="O474">
        <v>3.0553313434663484E-2</v>
      </c>
      <c r="P474">
        <v>4.5905333333333331E-3</v>
      </c>
      <c r="Q474">
        <v>5.8660831882077422E-3</v>
      </c>
      <c r="R474">
        <v>635568</v>
      </c>
      <c r="S474">
        <v>0</v>
      </c>
      <c r="T474">
        <v>0</v>
      </c>
      <c r="V474">
        <v>10800</v>
      </c>
      <c r="W474">
        <v>7</v>
      </c>
      <c r="X474">
        <v>85</v>
      </c>
      <c r="Y474">
        <v>3</v>
      </c>
      <c r="Z474">
        <v>4</v>
      </c>
      <c r="AA474">
        <v>5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3</v>
      </c>
      <c r="AJ474">
        <v>0</v>
      </c>
      <c r="AK474">
        <v>0</v>
      </c>
      <c r="AL474">
        <v>100</v>
      </c>
      <c r="AM474">
        <v>45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100</v>
      </c>
      <c r="AU474">
        <v>0</v>
      </c>
      <c r="AV474">
        <v>0</v>
      </c>
    </row>
    <row r="475" spans="1:48" x14ac:dyDescent="0.15">
      <c r="A475" s="4" t="str">
        <f>HYPERLINK("https://ibp.a2mac1.com/costing(costing:projects/details/9760/equipment/12211715)","DC machine - General")</f>
        <v>DC machine - General</v>
      </c>
      <c r="B475">
        <v>12211715</v>
      </c>
      <c r="C475">
        <v>12084617</v>
      </c>
      <c r="E475" t="s">
        <v>738</v>
      </c>
      <c r="H475" t="s">
        <v>162</v>
      </c>
      <c r="I475">
        <v>116914.84457142858</v>
      </c>
      <c r="J475">
        <v>0</v>
      </c>
      <c r="K475">
        <v>3.6</v>
      </c>
      <c r="L475">
        <v>0</v>
      </c>
      <c r="M475">
        <v>27.497982091197134</v>
      </c>
      <c r="N475">
        <v>0</v>
      </c>
      <c r="O475">
        <v>3.0553313434663484E-2</v>
      </c>
      <c r="P475">
        <v>4.5905333333333331E-3</v>
      </c>
      <c r="Q475">
        <v>5.8660831882077422E-3</v>
      </c>
      <c r="R475">
        <v>635568</v>
      </c>
      <c r="S475">
        <v>0</v>
      </c>
      <c r="T475">
        <v>0</v>
      </c>
      <c r="V475">
        <v>10800</v>
      </c>
      <c r="W475">
        <v>7</v>
      </c>
      <c r="X475">
        <v>85</v>
      </c>
      <c r="Y475">
        <v>3</v>
      </c>
      <c r="Z475">
        <v>4</v>
      </c>
      <c r="AA475">
        <v>5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3</v>
      </c>
      <c r="AJ475">
        <v>0</v>
      </c>
      <c r="AK475">
        <v>0</v>
      </c>
      <c r="AL475">
        <v>100</v>
      </c>
      <c r="AM475">
        <v>45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100</v>
      </c>
      <c r="AU475">
        <v>0</v>
      </c>
      <c r="AV475">
        <v>0</v>
      </c>
    </row>
    <row r="476" spans="1:48" x14ac:dyDescent="0.15">
      <c r="A476" s="4" t="str">
        <f>HYPERLINK("https://ibp.a2mac1.com/costing(costing:projects/details/9760/equipment/12211716)","DC machine - General")</f>
        <v>DC machine - General</v>
      </c>
      <c r="B476">
        <v>12211716</v>
      </c>
      <c r="C476">
        <v>12084618</v>
      </c>
      <c r="E476" t="s">
        <v>738</v>
      </c>
      <c r="H476" t="s">
        <v>162</v>
      </c>
      <c r="I476">
        <v>116914.84457142858</v>
      </c>
      <c r="J476">
        <v>0</v>
      </c>
      <c r="K476">
        <v>3.6</v>
      </c>
      <c r="L476">
        <v>0</v>
      </c>
      <c r="M476">
        <v>27.497982091197134</v>
      </c>
      <c r="N476">
        <v>0</v>
      </c>
      <c r="O476">
        <v>2.2914985075997613E-2</v>
      </c>
      <c r="P476">
        <v>3.4429E-3</v>
      </c>
      <c r="Q476">
        <v>5.8660831882077422E-3</v>
      </c>
      <c r="R476">
        <v>635568</v>
      </c>
      <c r="S476">
        <v>0</v>
      </c>
      <c r="T476">
        <v>0</v>
      </c>
      <c r="V476">
        <v>10800</v>
      </c>
      <c r="W476">
        <v>7</v>
      </c>
      <c r="X476">
        <v>85</v>
      </c>
      <c r="Y476">
        <v>3</v>
      </c>
      <c r="Z476">
        <v>4</v>
      </c>
      <c r="AA476">
        <v>5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3</v>
      </c>
      <c r="AJ476">
        <v>0</v>
      </c>
      <c r="AK476">
        <v>0</v>
      </c>
      <c r="AL476">
        <v>100</v>
      </c>
      <c r="AM476">
        <v>45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100</v>
      </c>
      <c r="AU476">
        <v>0</v>
      </c>
      <c r="AV476">
        <v>0</v>
      </c>
    </row>
    <row r="477" spans="1:48" x14ac:dyDescent="0.15">
      <c r="A477" s="4" t="str">
        <f>HYPERLINK("https://ibp.a2mac1.com/costing(costing:projects/details/9760/equipment/12211717)","DC machine - General")</f>
        <v>DC machine - General</v>
      </c>
      <c r="B477">
        <v>12211717</v>
      </c>
      <c r="C477">
        <v>12084619</v>
      </c>
      <c r="E477" t="s">
        <v>738</v>
      </c>
      <c r="H477" t="s">
        <v>162</v>
      </c>
      <c r="I477">
        <v>116914.84457142858</v>
      </c>
      <c r="J477">
        <v>0</v>
      </c>
      <c r="K477">
        <v>3.6</v>
      </c>
      <c r="L477">
        <v>0</v>
      </c>
      <c r="M477">
        <v>27.497982091197134</v>
      </c>
      <c r="N477">
        <v>0</v>
      </c>
      <c r="O477">
        <v>4.5829970151995227E-2</v>
      </c>
      <c r="P477">
        <v>6.8858000000000001E-3</v>
      </c>
      <c r="Q477">
        <v>1.1732166376415484E-2</v>
      </c>
      <c r="R477">
        <v>635568</v>
      </c>
      <c r="S477">
        <v>0</v>
      </c>
      <c r="T477">
        <v>0</v>
      </c>
      <c r="V477">
        <v>10800</v>
      </c>
      <c r="W477">
        <v>7</v>
      </c>
      <c r="X477">
        <v>85</v>
      </c>
      <c r="Y477">
        <v>3</v>
      </c>
      <c r="Z477">
        <v>4</v>
      </c>
      <c r="AA477">
        <v>5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3</v>
      </c>
      <c r="AJ477">
        <v>0</v>
      </c>
      <c r="AK477">
        <v>0</v>
      </c>
      <c r="AL477">
        <v>100</v>
      </c>
      <c r="AM477">
        <v>45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100</v>
      </c>
      <c r="AU477">
        <v>0</v>
      </c>
      <c r="AV477">
        <v>0</v>
      </c>
    </row>
    <row r="478" spans="1:48" x14ac:dyDescent="0.15">
      <c r="A478" s="4" t="str">
        <f>HYPERLINK("https://ibp.a2mac1.com/costing(costing:projects/details/9760/equipment/12211718)","DC machine - General")</f>
        <v>DC machine - General</v>
      </c>
      <c r="B478">
        <v>12211718</v>
      </c>
      <c r="C478">
        <v>12084620</v>
      </c>
      <c r="E478" t="s">
        <v>738</v>
      </c>
      <c r="H478" t="s">
        <v>162</v>
      </c>
      <c r="I478">
        <v>116914.84457142858</v>
      </c>
      <c r="J478">
        <v>0</v>
      </c>
      <c r="K478">
        <v>3.6</v>
      </c>
      <c r="L478">
        <v>0</v>
      </c>
      <c r="M478">
        <v>27.497982091197134</v>
      </c>
      <c r="N478">
        <v>0</v>
      </c>
      <c r="O478">
        <v>4.5829970151995227E-2</v>
      </c>
      <c r="P478">
        <v>6.8858000000000001E-3</v>
      </c>
      <c r="Q478">
        <v>1.1732166376415484E-2</v>
      </c>
      <c r="R478">
        <v>635568</v>
      </c>
      <c r="S478">
        <v>0</v>
      </c>
      <c r="T478">
        <v>0</v>
      </c>
      <c r="V478">
        <v>10800</v>
      </c>
      <c r="W478">
        <v>7</v>
      </c>
      <c r="X478">
        <v>85</v>
      </c>
      <c r="Y478">
        <v>3</v>
      </c>
      <c r="Z478">
        <v>4</v>
      </c>
      <c r="AA478">
        <v>5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3</v>
      </c>
      <c r="AJ478">
        <v>0</v>
      </c>
      <c r="AK478">
        <v>0</v>
      </c>
      <c r="AL478">
        <v>100</v>
      </c>
      <c r="AM478">
        <v>45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100</v>
      </c>
      <c r="AU478">
        <v>0</v>
      </c>
      <c r="AV478">
        <v>0</v>
      </c>
    </row>
    <row r="479" spans="1:48" x14ac:dyDescent="0.15">
      <c r="A479" s="4" t="str">
        <f>HYPERLINK("https://ibp.a2mac1.com/costing(costing:projects/details/9760/equipment/12211719)","DC machine - General")</f>
        <v>DC machine - General</v>
      </c>
      <c r="B479">
        <v>12211719</v>
      </c>
      <c r="C479">
        <v>12084621</v>
      </c>
      <c r="E479" t="s">
        <v>738</v>
      </c>
      <c r="H479" t="s">
        <v>162</v>
      </c>
      <c r="I479">
        <v>116914.84457142858</v>
      </c>
      <c r="J479">
        <v>0</v>
      </c>
      <c r="K479">
        <v>3.6</v>
      </c>
      <c r="L479">
        <v>0</v>
      </c>
      <c r="M479">
        <v>27.497982091197134</v>
      </c>
      <c r="N479">
        <v>0</v>
      </c>
      <c r="O479">
        <v>4.5829970151995227E-2</v>
      </c>
      <c r="P479">
        <v>6.8858000000000001E-3</v>
      </c>
      <c r="Q479">
        <v>1.1732166376415484E-2</v>
      </c>
      <c r="R479">
        <v>635568</v>
      </c>
      <c r="S479">
        <v>0</v>
      </c>
      <c r="T479">
        <v>0</v>
      </c>
      <c r="V479">
        <v>10800</v>
      </c>
      <c r="W479">
        <v>7</v>
      </c>
      <c r="X479">
        <v>85</v>
      </c>
      <c r="Y479">
        <v>3</v>
      </c>
      <c r="Z479">
        <v>4</v>
      </c>
      <c r="AA479">
        <v>5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3</v>
      </c>
      <c r="AJ479">
        <v>0</v>
      </c>
      <c r="AK479">
        <v>0</v>
      </c>
      <c r="AL479">
        <v>100</v>
      </c>
      <c r="AM479">
        <v>45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100</v>
      </c>
      <c r="AU479">
        <v>0</v>
      </c>
      <c r="AV479">
        <v>0</v>
      </c>
    </row>
    <row r="480" spans="1:48" x14ac:dyDescent="0.15">
      <c r="A480" s="4" t="str">
        <f>HYPERLINK("https://ibp.a2mac1.com/costing(costing:projects/details/9760/equipment/12211720)","DC machine - General")</f>
        <v>DC machine - General</v>
      </c>
      <c r="B480">
        <v>12211720</v>
      </c>
      <c r="C480">
        <v>12084622</v>
      </c>
      <c r="E480" t="s">
        <v>738</v>
      </c>
      <c r="H480" t="s">
        <v>162</v>
      </c>
      <c r="I480">
        <v>116914.84457142858</v>
      </c>
      <c r="J480">
        <v>0</v>
      </c>
      <c r="K480">
        <v>3.6</v>
      </c>
      <c r="L480">
        <v>0</v>
      </c>
      <c r="M480">
        <v>27.497982091197134</v>
      </c>
      <c r="N480">
        <v>0</v>
      </c>
      <c r="O480">
        <v>2.2914985075997613E-2</v>
      </c>
      <c r="P480">
        <v>3.4429E-3</v>
      </c>
      <c r="Q480">
        <v>1.1732166376415484E-2</v>
      </c>
      <c r="R480">
        <v>635568</v>
      </c>
      <c r="S480">
        <v>0</v>
      </c>
      <c r="T480">
        <v>0</v>
      </c>
      <c r="V480">
        <v>10800</v>
      </c>
      <c r="W480">
        <v>7</v>
      </c>
      <c r="X480">
        <v>85</v>
      </c>
      <c r="Y480">
        <v>3</v>
      </c>
      <c r="Z480">
        <v>4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3</v>
      </c>
      <c r="AJ480">
        <v>0</v>
      </c>
      <c r="AK480">
        <v>0</v>
      </c>
      <c r="AL480">
        <v>100</v>
      </c>
      <c r="AM480">
        <v>45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100</v>
      </c>
      <c r="AU480">
        <v>0</v>
      </c>
      <c r="AV480">
        <v>0</v>
      </c>
    </row>
    <row r="481" spans="1:48" x14ac:dyDescent="0.15">
      <c r="A481" s="4" t="str">
        <f>HYPERLINK("https://ibp.a2mac1.com/costing(costing:projects/details/9760/equipment/12211839)","DC machine - General")</f>
        <v>DC machine - General</v>
      </c>
      <c r="B481">
        <v>12211839</v>
      </c>
      <c r="C481">
        <v>12084741</v>
      </c>
      <c r="E481" t="s">
        <v>738</v>
      </c>
      <c r="H481" t="s">
        <v>162</v>
      </c>
      <c r="I481">
        <v>116914.84457142858</v>
      </c>
      <c r="J481">
        <v>0</v>
      </c>
      <c r="K481">
        <v>3.6</v>
      </c>
      <c r="L481">
        <v>0</v>
      </c>
      <c r="M481">
        <v>27.497982091197134</v>
      </c>
      <c r="N481">
        <v>0</v>
      </c>
      <c r="O481">
        <v>3.0553313434663484E-2</v>
      </c>
      <c r="P481">
        <v>4.5905333333333331E-3</v>
      </c>
      <c r="Q481">
        <v>1.1732166376415484E-2</v>
      </c>
      <c r="R481">
        <v>635568</v>
      </c>
      <c r="S481">
        <v>0</v>
      </c>
      <c r="T481">
        <v>0</v>
      </c>
      <c r="V481">
        <v>10800</v>
      </c>
      <c r="W481">
        <v>7</v>
      </c>
      <c r="X481">
        <v>85</v>
      </c>
      <c r="Y481">
        <v>3</v>
      </c>
      <c r="Z481">
        <v>4</v>
      </c>
      <c r="AA481">
        <v>5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3</v>
      </c>
      <c r="AJ481">
        <v>0</v>
      </c>
      <c r="AK481">
        <v>0</v>
      </c>
      <c r="AL481">
        <v>100</v>
      </c>
      <c r="AM481">
        <v>45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100</v>
      </c>
      <c r="AU481">
        <v>0</v>
      </c>
      <c r="AV481">
        <v>0</v>
      </c>
    </row>
    <row r="482" spans="1:48" x14ac:dyDescent="0.15">
      <c r="A482" s="4" t="str">
        <f>HYPERLINK("https://ibp.a2mac1.com/costing(costing:projects/details/9760/equipment/12211721)","DC machine - General")</f>
        <v>DC machine - General</v>
      </c>
      <c r="B482">
        <v>12211721</v>
      </c>
      <c r="C482">
        <v>12084623</v>
      </c>
      <c r="E482" t="s">
        <v>738</v>
      </c>
      <c r="H482" t="s">
        <v>162</v>
      </c>
      <c r="I482">
        <v>116914.84457142858</v>
      </c>
      <c r="J482">
        <v>0</v>
      </c>
      <c r="K482">
        <v>3.6</v>
      </c>
      <c r="L482">
        <v>0</v>
      </c>
      <c r="M482">
        <v>27.497982091197134</v>
      </c>
      <c r="N482">
        <v>0</v>
      </c>
      <c r="O482">
        <v>3.8191641793329352E-2</v>
      </c>
      <c r="P482">
        <v>5.7381666666666666E-3</v>
      </c>
      <c r="Q482">
        <v>1.1732166376415484E-2</v>
      </c>
      <c r="R482">
        <v>635568</v>
      </c>
      <c r="S482">
        <v>0</v>
      </c>
      <c r="T482">
        <v>0</v>
      </c>
      <c r="V482">
        <v>10800</v>
      </c>
      <c r="W482">
        <v>7</v>
      </c>
      <c r="X482">
        <v>85</v>
      </c>
      <c r="Y482">
        <v>3</v>
      </c>
      <c r="Z482">
        <v>4</v>
      </c>
      <c r="AA482">
        <v>5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3</v>
      </c>
      <c r="AJ482">
        <v>0</v>
      </c>
      <c r="AK482">
        <v>0</v>
      </c>
      <c r="AL482">
        <v>100</v>
      </c>
      <c r="AM482">
        <v>45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100</v>
      </c>
      <c r="AU482">
        <v>0</v>
      </c>
      <c r="AV482">
        <v>0</v>
      </c>
    </row>
    <row r="483" spans="1:48" x14ac:dyDescent="0.15">
      <c r="A483" s="4" t="str">
        <f>HYPERLINK("https://ibp.a2mac1.com/costing(costing:projects/details/9760/equipment/12211722)","DC machine - General")</f>
        <v>DC machine - General</v>
      </c>
      <c r="B483">
        <v>12211722</v>
      </c>
      <c r="C483">
        <v>12084624</v>
      </c>
      <c r="E483" t="s">
        <v>738</v>
      </c>
      <c r="H483" t="s">
        <v>162</v>
      </c>
      <c r="I483">
        <v>116914.84457142858</v>
      </c>
      <c r="J483">
        <v>0</v>
      </c>
      <c r="K483">
        <v>3.6</v>
      </c>
      <c r="L483">
        <v>0</v>
      </c>
      <c r="M483">
        <v>27.497982091197134</v>
      </c>
      <c r="N483">
        <v>0</v>
      </c>
      <c r="O483">
        <v>3.0553313434663484E-2</v>
      </c>
      <c r="P483">
        <v>4.5905333333333331E-3</v>
      </c>
      <c r="Q483">
        <v>1.1732166376415484E-2</v>
      </c>
      <c r="R483">
        <v>635568</v>
      </c>
      <c r="S483">
        <v>0</v>
      </c>
      <c r="T483">
        <v>0</v>
      </c>
      <c r="V483">
        <v>10800</v>
      </c>
      <c r="W483">
        <v>7</v>
      </c>
      <c r="X483">
        <v>85</v>
      </c>
      <c r="Y483">
        <v>3</v>
      </c>
      <c r="Z483">
        <v>4</v>
      </c>
      <c r="AA483">
        <v>5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3</v>
      </c>
      <c r="AJ483">
        <v>0</v>
      </c>
      <c r="AK483">
        <v>0</v>
      </c>
      <c r="AL483">
        <v>100</v>
      </c>
      <c r="AM483">
        <v>45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100</v>
      </c>
      <c r="AU483">
        <v>0</v>
      </c>
      <c r="AV483">
        <v>0</v>
      </c>
    </row>
    <row r="484" spans="1:48" x14ac:dyDescent="0.15">
      <c r="A484" s="4" t="str">
        <f>HYPERLINK("https://ibp.a2mac1.com/costing(costing:projects/details/9760/equipment/12211723)","DC machine - General")</f>
        <v>DC machine - General</v>
      </c>
      <c r="B484">
        <v>12211723</v>
      </c>
      <c r="C484">
        <v>12084625</v>
      </c>
      <c r="E484" t="s">
        <v>738</v>
      </c>
      <c r="H484" t="s">
        <v>162</v>
      </c>
      <c r="I484">
        <v>116914.84457142858</v>
      </c>
      <c r="J484">
        <v>0</v>
      </c>
      <c r="K484">
        <v>3.6</v>
      </c>
      <c r="L484">
        <v>0</v>
      </c>
      <c r="M484">
        <v>27.497982091197134</v>
      </c>
      <c r="N484">
        <v>0</v>
      </c>
      <c r="O484">
        <v>3.0553313434663484E-2</v>
      </c>
      <c r="P484">
        <v>4.5905333333333331E-3</v>
      </c>
      <c r="Q484">
        <v>1.1732166376415484E-2</v>
      </c>
      <c r="R484">
        <v>635568</v>
      </c>
      <c r="S484">
        <v>0</v>
      </c>
      <c r="T484">
        <v>0</v>
      </c>
      <c r="V484">
        <v>10800</v>
      </c>
      <c r="W484">
        <v>7</v>
      </c>
      <c r="X484">
        <v>85</v>
      </c>
      <c r="Y484">
        <v>3</v>
      </c>
      <c r="Z484">
        <v>4</v>
      </c>
      <c r="AA484">
        <v>5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3</v>
      </c>
      <c r="AJ484">
        <v>0</v>
      </c>
      <c r="AK484">
        <v>0</v>
      </c>
      <c r="AL484">
        <v>100</v>
      </c>
      <c r="AM484">
        <v>45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100</v>
      </c>
      <c r="AU484">
        <v>0</v>
      </c>
      <c r="AV484">
        <v>0</v>
      </c>
    </row>
    <row r="485" spans="1:48" x14ac:dyDescent="0.15">
      <c r="A485" s="4" t="str">
        <f>HYPERLINK("https://ibp.a2mac1.com/costing(costing:projects/details/9760/equipment/12211724)","DC machine - General")</f>
        <v>DC machine - General</v>
      </c>
      <c r="B485">
        <v>12211724</v>
      </c>
      <c r="C485">
        <v>12084626</v>
      </c>
      <c r="E485" t="s">
        <v>738</v>
      </c>
      <c r="H485" t="s">
        <v>162</v>
      </c>
      <c r="I485">
        <v>116914.84457142858</v>
      </c>
      <c r="J485">
        <v>0</v>
      </c>
      <c r="K485">
        <v>3.6</v>
      </c>
      <c r="L485">
        <v>0</v>
      </c>
      <c r="M485">
        <v>27.497982091197134</v>
      </c>
      <c r="N485">
        <v>0</v>
      </c>
      <c r="O485">
        <v>2.2914985075997613E-2</v>
      </c>
      <c r="P485">
        <v>3.4429E-3</v>
      </c>
      <c r="Q485">
        <v>1.1732166376415484E-2</v>
      </c>
      <c r="R485">
        <v>635568</v>
      </c>
      <c r="S485">
        <v>0</v>
      </c>
      <c r="T485">
        <v>0</v>
      </c>
      <c r="V485">
        <v>10800</v>
      </c>
      <c r="W485">
        <v>7</v>
      </c>
      <c r="X485">
        <v>85</v>
      </c>
      <c r="Y485">
        <v>3</v>
      </c>
      <c r="Z485">
        <v>4</v>
      </c>
      <c r="AA485">
        <v>5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3</v>
      </c>
      <c r="AJ485">
        <v>0</v>
      </c>
      <c r="AK485">
        <v>0</v>
      </c>
      <c r="AL485">
        <v>100</v>
      </c>
      <c r="AM485">
        <v>45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100</v>
      </c>
      <c r="AU485">
        <v>0</v>
      </c>
      <c r="AV485">
        <v>0</v>
      </c>
    </row>
    <row r="486" spans="1:48" x14ac:dyDescent="0.15">
      <c r="A486" s="4" t="str">
        <f>HYPERLINK("https://ibp.a2mac1.com/costing(costing:projects/details/9760/equipment/12211725)","DC machine - General")</f>
        <v>DC machine - General</v>
      </c>
      <c r="B486">
        <v>12211725</v>
      </c>
      <c r="C486">
        <v>12084627</v>
      </c>
      <c r="E486" t="s">
        <v>738</v>
      </c>
      <c r="H486" t="s">
        <v>162</v>
      </c>
      <c r="I486">
        <v>116914.84457142858</v>
      </c>
      <c r="J486">
        <v>0</v>
      </c>
      <c r="K486">
        <v>3.6</v>
      </c>
      <c r="L486">
        <v>0</v>
      </c>
      <c r="M486">
        <v>27.497982091197134</v>
      </c>
      <c r="N486">
        <v>0</v>
      </c>
      <c r="O486">
        <v>2.2914985075997613E-2</v>
      </c>
      <c r="P486">
        <v>3.4429E-3</v>
      </c>
      <c r="Q486">
        <v>1.1732166376415484E-2</v>
      </c>
      <c r="R486">
        <v>635568</v>
      </c>
      <c r="S486">
        <v>0</v>
      </c>
      <c r="T486">
        <v>0</v>
      </c>
      <c r="V486">
        <v>10800</v>
      </c>
      <c r="W486">
        <v>7</v>
      </c>
      <c r="X486">
        <v>85</v>
      </c>
      <c r="Y486">
        <v>3</v>
      </c>
      <c r="Z486">
        <v>4</v>
      </c>
      <c r="AA486">
        <v>5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3</v>
      </c>
      <c r="AJ486">
        <v>0</v>
      </c>
      <c r="AK486">
        <v>0</v>
      </c>
      <c r="AL486">
        <v>100</v>
      </c>
      <c r="AM486">
        <v>45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100</v>
      </c>
      <c r="AU486">
        <v>0</v>
      </c>
      <c r="AV486">
        <v>0</v>
      </c>
    </row>
    <row r="487" spans="1:48" x14ac:dyDescent="0.15">
      <c r="A487" s="4" t="str">
        <f>HYPERLINK("https://ibp.a2mac1.com/costing(costing:projects/details/9760/equipment/12211726)","DC machine - General")</f>
        <v>DC machine - General</v>
      </c>
      <c r="B487">
        <v>12211726</v>
      </c>
      <c r="C487">
        <v>12084628</v>
      </c>
      <c r="E487" t="s">
        <v>738</v>
      </c>
      <c r="H487" t="s">
        <v>162</v>
      </c>
      <c r="I487">
        <v>116914.84457142858</v>
      </c>
      <c r="J487">
        <v>0</v>
      </c>
      <c r="K487">
        <v>3.6</v>
      </c>
      <c r="L487">
        <v>0</v>
      </c>
      <c r="M487">
        <v>27.497982091197134</v>
      </c>
      <c r="N487">
        <v>0</v>
      </c>
      <c r="O487">
        <v>3.0553313434663484E-2</v>
      </c>
      <c r="P487">
        <v>4.5905333333333331E-3</v>
      </c>
      <c r="Q487">
        <v>1.1732166376415484E-2</v>
      </c>
      <c r="R487">
        <v>635568</v>
      </c>
      <c r="S487">
        <v>0</v>
      </c>
      <c r="T487">
        <v>0</v>
      </c>
      <c r="V487">
        <v>10800</v>
      </c>
      <c r="W487">
        <v>7</v>
      </c>
      <c r="X487">
        <v>85</v>
      </c>
      <c r="Y487">
        <v>3</v>
      </c>
      <c r="Z487">
        <v>4</v>
      </c>
      <c r="AA487">
        <v>5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3</v>
      </c>
      <c r="AJ487">
        <v>0</v>
      </c>
      <c r="AK487">
        <v>0</v>
      </c>
      <c r="AL487">
        <v>100</v>
      </c>
      <c r="AM487">
        <v>45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100</v>
      </c>
      <c r="AU487">
        <v>0</v>
      </c>
      <c r="AV487">
        <v>0</v>
      </c>
    </row>
    <row r="488" spans="1:48" x14ac:dyDescent="0.15">
      <c r="A488" s="4" t="str">
        <f>HYPERLINK("https://ibp.a2mac1.com/costing(costing:projects/details/9760/equipment/12211727)","DC machine - General")</f>
        <v>DC machine - General</v>
      </c>
      <c r="B488">
        <v>12211727</v>
      </c>
      <c r="C488">
        <v>12084629</v>
      </c>
      <c r="E488" t="s">
        <v>738</v>
      </c>
      <c r="H488" t="s">
        <v>162</v>
      </c>
      <c r="I488">
        <v>116914.84457142858</v>
      </c>
      <c r="J488">
        <v>0</v>
      </c>
      <c r="K488">
        <v>3.6</v>
      </c>
      <c r="L488">
        <v>0</v>
      </c>
      <c r="M488">
        <v>27.497982091197134</v>
      </c>
      <c r="N488">
        <v>0</v>
      </c>
      <c r="O488">
        <v>3.0553313434663484E-2</v>
      </c>
      <c r="P488">
        <v>4.5905333333333331E-3</v>
      </c>
      <c r="Q488">
        <v>1.1732166376415484E-2</v>
      </c>
      <c r="R488">
        <v>635568</v>
      </c>
      <c r="S488">
        <v>0</v>
      </c>
      <c r="T488">
        <v>0</v>
      </c>
      <c r="V488">
        <v>10800</v>
      </c>
      <c r="W488">
        <v>7</v>
      </c>
      <c r="X488">
        <v>85</v>
      </c>
      <c r="Y488">
        <v>3</v>
      </c>
      <c r="Z488">
        <v>4</v>
      </c>
      <c r="AA488">
        <v>5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3</v>
      </c>
      <c r="AJ488">
        <v>0</v>
      </c>
      <c r="AK488">
        <v>0</v>
      </c>
      <c r="AL488">
        <v>100</v>
      </c>
      <c r="AM488">
        <v>45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100</v>
      </c>
      <c r="AU488">
        <v>0</v>
      </c>
      <c r="AV488">
        <v>0</v>
      </c>
    </row>
    <row r="489" spans="1:48" x14ac:dyDescent="0.15">
      <c r="A489" s="4" t="str">
        <f>HYPERLINK("https://ibp.a2mac1.com/costing(costing:projects/details/9760/equipment/12211672)","DC machine - General")</f>
        <v>DC machine - General</v>
      </c>
      <c r="B489">
        <v>12211672</v>
      </c>
      <c r="C489">
        <v>12084574</v>
      </c>
      <c r="E489" t="s">
        <v>738</v>
      </c>
      <c r="H489" t="s">
        <v>162</v>
      </c>
      <c r="I489">
        <v>116914.84457142858</v>
      </c>
      <c r="J489">
        <v>0</v>
      </c>
      <c r="K489">
        <v>3.6</v>
      </c>
      <c r="L489">
        <v>0</v>
      </c>
      <c r="M489">
        <v>27.497982091197134</v>
      </c>
      <c r="N489">
        <v>0</v>
      </c>
      <c r="O489">
        <v>2.1692852538611072</v>
      </c>
      <c r="P489">
        <v>0.32592786666666668</v>
      </c>
      <c r="Q489">
        <v>1.1732166376415484E-2</v>
      </c>
      <c r="R489">
        <v>635568</v>
      </c>
      <c r="S489">
        <v>0</v>
      </c>
      <c r="T489">
        <v>0</v>
      </c>
      <c r="V489">
        <v>10800</v>
      </c>
      <c r="W489">
        <v>7</v>
      </c>
      <c r="X489">
        <v>85</v>
      </c>
      <c r="Y489">
        <v>3</v>
      </c>
      <c r="Z489">
        <v>4</v>
      </c>
      <c r="AA489">
        <v>5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3</v>
      </c>
      <c r="AJ489">
        <v>0</v>
      </c>
      <c r="AK489">
        <v>0</v>
      </c>
      <c r="AL489">
        <v>100</v>
      </c>
      <c r="AM489">
        <v>45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100</v>
      </c>
      <c r="AU489">
        <v>0</v>
      </c>
      <c r="AV489">
        <v>0</v>
      </c>
    </row>
    <row r="490" spans="1:48" x14ac:dyDescent="0.15">
      <c r="A490" s="4" t="str">
        <f>HYPERLINK("https://ibp.a2mac1.com/costing(costing:projects/details/9760/equipment/12211673)","DC machine - General")</f>
        <v>DC machine - General</v>
      </c>
      <c r="B490">
        <v>12211673</v>
      </c>
      <c r="C490">
        <v>12084575</v>
      </c>
      <c r="E490" t="s">
        <v>738</v>
      </c>
      <c r="H490" t="s">
        <v>162</v>
      </c>
      <c r="I490">
        <v>116914.84457142858</v>
      </c>
      <c r="J490">
        <v>0</v>
      </c>
      <c r="K490">
        <v>3.6</v>
      </c>
      <c r="L490">
        <v>0</v>
      </c>
      <c r="M490">
        <v>27.497982091197134</v>
      </c>
      <c r="N490">
        <v>0</v>
      </c>
      <c r="O490">
        <v>3.0935229852596775</v>
      </c>
      <c r="P490">
        <v>0.46479150000000002</v>
      </c>
      <c r="Q490">
        <v>1.1732166376415484E-2</v>
      </c>
      <c r="R490">
        <v>635568</v>
      </c>
      <c r="S490">
        <v>0</v>
      </c>
      <c r="T490">
        <v>0</v>
      </c>
      <c r="V490">
        <v>10800</v>
      </c>
      <c r="W490">
        <v>7</v>
      </c>
      <c r="X490">
        <v>85</v>
      </c>
      <c r="Y490">
        <v>3</v>
      </c>
      <c r="Z490">
        <v>4</v>
      </c>
      <c r="AA490">
        <v>5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3</v>
      </c>
      <c r="AJ490">
        <v>0</v>
      </c>
      <c r="AK490">
        <v>0</v>
      </c>
      <c r="AL490">
        <v>100</v>
      </c>
      <c r="AM490">
        <v>45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100</v>
      </c>
      <c r="AU490">
        <v>0</v>
      </c>
      <c r="AV490">
        <v>0</v>
      </c>
    </row>
    <row r="491" spans="1:48" x14ac:dyDescent="0.15">
      <c r="A491" s="4" t="str">
        <f>HYPERLINK("https://ibp.a2mac1.com/costing(costing:projects/details/9760/equipment/12211674)","DC machine - General")</f>
        <v>DC machine - General</v>
      </c>
      <c r="B491">
        <v>12211674</v>
      </c>
      <c r="C491">
        <v>12084576</v>
      </c>
      <c r="E491" t="s">
        <v>738</v>
      </c>
      <c r="H491" t="s">
        <v>162</v>
      </c>
      <c r="I491">
        <v>116914.84457142858</v>
      </c>
      <c r="J491">
        <v>0</v>
      </c>
      <c r="K491">
        <v>3.6</v>
      </c>
      <c r="L491">
        <v>0</v>
      </c>
      <c r="M491">
        <v>27.497982091197134</v>
      </c>
      <c r="N491">
        <v>0</v>
      </c>
      <c r="O491">
        <v>2.2914985075997613E-2</v>
      </c>
      <c r="P491">
        <v>3.4429E-3</v>
      </c>
      <c r="Q491">
        <v>1.1732166376415484E-2</v>
      </c>
      <c r="R491">
        <v>635568</v>
      </c>
      <c r="S491">
        <v>0</v>
      </c>
      <c r="T491">
        <v>0</v>
      </c>
      <c r="V491">
        <v>10800</v>
      </c>
      <c r="W491">
        <v>7</v>
      </c>
      <c r="X491">
        <v>85</v>
      </c>
      <c r="Y491">
        <v>3</v>
      </c>
      <c r="Z491">
        <v>4</v>
      </c>
      <c r="AA491">
        <v>5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3</v>
      </c>
      <c r="AJ491">
        <v>0</v>
      </c>
      <c r="AK491">
        <v>0</v>
      </c>
      <c r="AL491">
        <v>100</v>
      </c>
      <c r="AM491">
        <v>45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100</v>
      </c>
      <c r="AU491">
        <v>0</v>
      </c>
      <c r="AV491">
        <v>0</v>
      </c>
    </row>
    <row r="492" spans="1:48" x14ac:dyDescent="0.15">
      <c r="A492" s="4" t="str">
        <f>HYPERLINK("https://ibp.a2mac1.com/costing(costing:projects/details/9760/equipment/12211675)","DC machine - General")</f>
        <v>DC machine - General</v>
      </c>
      <c r="B492">
        <v>12211675</v>
      </c>
      <c r="C492">
        <v>12084577</v>
      </c>
      <c r="E492" t="s">
        <v>738</v>
      </c>
      <c r="H492" t="s">
        <v>162</v>
      </c>
      <c r="I492">
        <v>116914.84457142858</v>
      </c>
      <c r="J492">
        <v>0</v>
      </c>
      <c r="K492">
        <v>3.6</v>
      </c>
      <c r="L492">
        <v>0</v>
      </c>
      <c r="M492">
        <v>27.497982091197134</v>
      </c>
      <c r="N492">
        <v>0</v>
      </c>
      <c r="O492">
        <v>2.2914985075997613E-2</v>
      </c>
      <c r="P492">
        <v>3.4429E-3</v>
      </c>
      <c r="Q492">
        <v>1.1732166376415484E-2</v>
      </c>
      <c r="R492">
        <v>635568</v>
      </c>
      <c r="S492">
        <v>0</v>
      </c>
      <c r="T492">
        <v>0</v>
      </c>
      <c r="V492">
        <v>10800</v>
      </c>
      <c r="W492">
        <v>7</v>
      </c>
      <c r="X492">
        <v>85</v>
      </c>
      <c r="Y492">
        <v>3</v>
      </c>
      <c r="Z492">
        <v>4</v>
      </c>
      <c r="AA492">
        <v>5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3</v>
      </c>
      <c r="AJ492">
        <v>0</v>
      </c>
      <c r="AK492">
        <v>0</v>
      </c>
      <c r="AL492">
        <v>100</v>
      </c>
      <c r="AM492">
        <v>45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100</v>
      </c>
      <c r="AU492">
        <v>0</v>
      </c>
      <c r="AV492">
        <v>0</v>
      </c>
    </row>
    <row r="493" spans="1:48" x14ac:dyDescent="0.15">
      <c r="A493" s="4" t="str">
        <f>HYPERLINK("https://ibp.a2mac1.com/costing(costing:projects/details/9760/equipment/12211676)","DC machine - General")</f>
        <v>DC machine - General</v>
      </c>
      <c r="B493">
        <v>12211676</v>
      </c>
      <c r="C493">
        <v>12084578</v>
      </c>
      <c r="E493" t="s">
        <v>738</v>
      </c>
      <c r="H493" t="s">
        <v>162</v>
      </c>
      <c r="I493">
        <v>116914.84457142858</v>
      </c>
      <c r="J493">
        <v>0</v>
      </c>
      <c r="K493">
        <v>3.6</v>
      </c>
      <c r="L493">
        <v>0</v>
      </c>
      <c r="M493">
        <v>27.497982091197134</v>
      </c>
      <c r="N493">
        <v>0</v>
      </c>
      <c r="O493">
        <v>2.2914985075997613E-2</v>
      </c>
      <c r="P493">
        <v>3.4429E-3</v>
      </c>
      <c r="Q493">
        <v>1.1732166376415484E-2</v>
      </c>
      <c r="R493">
        <v>635568</v>
      </c>
      <c r="S493">
        <v>0</v>
      </c>
      <c r="T493">
        <v>0</v>
      </c>
      <c r="V493">
        <v>10800</v>
      </c>
      <c r="W493">
        <v>7</v>
      </c>
      <c r="X493">
        <v>85</v>
      </c>
      <c r="Y493">
        <v>3</v>
      </c>
      <c r="Z493">
        <v>4</v>
      </c>
      <c r="AA493">
        <v>5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3</v>
      </c>
      <c r="AJ493">
        <v>0</v>
      </c>
      <c r="AK493">
        <v>0</v>
      </c>
      <c r="AL493">
        <v>100</v>
      </c>
      <c r="AM493">
        <v>45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100</v>
      </c>
      <c r="AU493">
        <v>0</v>
      </c>
      <c r="AV493">
        <v>0</v>
      </c>
    </row>
    <row r="494" spans="1:48" x14ac:dyDescent="0.15">
      <c r="A494" s="4" t="str">
        <f>HYPERLINK("https://ibp.a2mac1.com/costing(costing:projects/details/9760/equipment/12211677)","DC machine - General")</f>
        <v>DC machine - General</v>
      </c>
      <c r="B494">
        <v>12211677</v>
      </c>
      <c r="C494">
        <v>12084579</v>
      </c>
      <c r="E494" t="s">
        <v>738</v>
      </c>
      <c r="H494" t="s">
        <v>162</v>
      </c>
      <c r="I494">
        <v>116914.84457142858</v>
      </c>
      <c r="J494">
        <v>0</v>
      </c>
      <c r="K494">
        <v>3.6</v>
      </c>
      <c r="L494">
        <v>0</v>
      </c>
      <c r="M494">
        <v>27.497982091197134</v>
      </c>
      <c r="N494">
        <v>0</v>
      </c>
      <c r="O494">
        <v>3.0553313434663484E-2</v>
      </c>
      <c r="P494">
        <v>4.5905333333333331E-3</v>
      </c>
      <c r="Q494">
        <v>1.1732166376415484E-2</v>
      </c>
      <c r="R494">
        <v>635568</v>
      </c>
      <c r="S494">
        <v>0</v>
      </c>
      <c r="T494">
        <v>0</v>
      </c>
      <c r="V494">
        <v>10800</v>
      </c>
      <c r="W494">
        <v>7</v>
      </c>
      <c r="X494">
        <v>85</v>
      </c>
      <c r="Y494">
        <v>3</v>
      </c>
      <c r="Z494">
        <v>4</v>
      </c>
      <c r="AA494">
        <v>5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3</v>
      </c>
      <c r="AJ494">
        <v>0</v>
      </c>
      <c r="AK494">
        <v>0</v>
      </c>
      <c r="AL494">
        <v>100</v>
      </c>
      <c r="AM494">
        <v>45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100</v>
      </c>
      <c r="AU494">
        <v>0</v>
      </c>
      <c r="AV494">
        <v>0</v>
      </c>
    </row>
    <row r="495" spans="1:48" x14ac:dyDescent="0.15">
      <c r="A495" s="4" t="str">
        <f>HYPERLINK("https://ibp.a2mac1.com/costing(costing:projects/details/9760/equipment/12211678)","DC machine - General")</f>
        <v>DC machine - General</v>
      </c>
      <c r="B495">
        <v>12211678</v>
      </c>
      <c r="C495">
        <v>12084580</v>
      </c>
      <c r="E495" t="s">
        <v>738</v>
      </c>
      <c r="H495" t="s">
        <v>162</v>
      </c>
      <c r="I495">
        <v>116914.84457142858</v>
      </c>
      <c r="J495">
        <v>0</v>
      </c>
      <c r="K495">
        <v>3.6</v>
      </c>
      <c r="L495">
        <v>0</v>
      </c>
      <c r="M495">
        <v>27.497982091197134</v>
      </c>
      <c r="N495">
        <v>0</v>
      </c>
      <c r="O495">
        <v>2.2914985075997613E-2</v>
      </c>
      <c r="P495">
        <v>3.4429E-3</v>
      </c>
      <c r="Q495">
        <v>1.1732166376415484E-2</v>
      </c>
      <c r="R495">
        <v>635568</v>
      </c>
      <c r="S495">
        <v>0</v>
      </c>
      <c r="T495">
        <v>0</v>
      </c>
      <c r="V495">
        <v>10800</v>
      </c>
      <c r="W495">
        <v>7</v>
      </c>
      <c r="X495">
        <v>85</v>
      </c>
      <c r="Y495">
        <v>3</v>
      </c>
      <c r="Z495">
        <v>4</v>
      </c>
      <c r="AA495">
        <v>5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3</v>
      </c>
      <c r="AJ495">
        <v>0</v>
      </c>
      <c r="AK495">
        <v>0</v>
      </c>
      <c r="AL495">
        <v>100</v>
      </c>
      <c r="AM495">
        <v>45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100</v>
      </c>
      <c r="AU495">
        <v>0</v>
      </c>
      <c r="AV495">
        <v>0</v>
      </c>
    </row>
    <row r="496" spans="1:48" x14ac:dyDescent="0.15">
      <c r="A496" s="4" t="str">
        <f>HYPERLINK("https://ibp.a2mac1.com/costing(costing:projects/details/9760/equipment/12211679)","DC machine - General")</f>
        <v>DC machine - General</v>
      </c>
      <c r="B496">
        <v>12211679</v>
      </c>
      <c r="C496">
        <v>12084581</v>
      </c>
      <c r="E496" t="s">
        <v>738</v>
      </c>
      <c r="H496" t="s">
        <v>162</v>
      </c>
      <c r="I496">
        <v>116914.84457142858</v>
      </c>
      <c r="J496">
        <v>0</v>
      </c>
      <c r="K496">
        <v>3.6</v>
      </c>
      <c r="L496">
        <v>0</v>
      </c>
      <c r="M496">
        <v>27.497982091197134</v>
      </c>
      <c r="N496">
        <v>0</v>
      </c>
      <c r="O496">
        <v>3.0553313434663484E-2</v>
      </c>
      <c r="P496">
        <v>4.5905333333333331E-3</v>
      </c>
      <c r="Q496">
        <v>1.1732166376415484E-2</v>
      </c>
      <c r="R496">
        <v>635568</v>
      </c>
      <c r="S496">
        <v>0</v>
      </c>
      <c r="T496">
        <v>0</v>
      </c>
      <c r="V496">
        <v>10800</v>
      </c>
      <c r="W496">
        <v>7</v>
      </c>
      <c r="X496">
        <v>85</v>
      </c>
      <c r="Y496">
        <v>3</v>
      </c>
      <c r="Z496">
        <v>4</v>
      </c>
      <c r="AA496">
        <v>5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3</v>
      </c>
      <c r="AJ496">
        <v>0</v>
      </c>
      <c r="AK496">
        <v>0</v>
      </c>
      <c r="AL496">
        <v>100</v>
      </c>
      <c r="AM496">
        <v>45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100</v>
      </c>
      <c r="AU496">
        <v>0</v>
      </c>
      <c r="AV496">
        <v>0</v>
      </c>
    </row>
    <row r="497" spans="1:48" x14ac:dyDescent="0.15">
      <c r="A497" s="4" t="str">
        <f>HYPERLINK("https://ibp.a2mac1.com/costing(costing:projects/details/9760/equipment/12211680)","DC machine - General")</f>
        <v>DC machine - General</v>
      </c>
      <c r="B497">
        <v>12211680</v>
      </c>
      <c r="C497">
        <v>12084582</v>
      </c>
      <c r="E497" t="s">
        <v>738</v>
      </c>
      <c r="H497" t="s">
        <v>162</v>
      </c>
      <c r="I497">
        <v>116914.84457142858</v>
      </c>
      <c r="J497">
        <v>0</v>
      </c>
      <c r="K497">
        <v>3.6</v>
      </c>
      <c r="L497">
        <v>0</v>
      </c>
      <c r="M497">
        <v>27.497982091197134</v>
      </c>
      <c r="N497">
        <v>0</v>
      </c>
      <c r="O497">
        <v>3.0553313434663484E-2</v>
      </c>
      <c r="P497">
        <v>4.5905333333333331E-3</v>
      </c>
      <c r="Q497">
        <v>1.1732166376415484E-2</v>
      </c>
      <c r="R497">
        <v>635568</v>
      </c>
      <c r="S497">
        <v>0</v>
      </c>
      <c r="T497">
        <v>0</v>
      </c>
      <c r="V497">
        <v>10800</v>
      </c>
      <c r="W497">
        <v>7</v>
      </c>
      <c r="X497">
        <v>85</v>
      </c>
      <c r="Y497">
        <v>3</v>
      </c>
      <c r="Z497">
        <v>4</v>
      </c>
      <c r="AA497">
        <v>5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3</v>
      </c>
      <c r="AJ497">
        <v>0</v>
      </c>
      <c r="AK497">
        <v>0</v>
      </c>
      <c r="AL497">
        <v>100</v>
      </c>
      <c r="AM497">
        <v>45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100</v>
      </c>
      <c r="AU497">
        <v>0</v>
      </c>
      <c r="AV497">
        <v>0</v>
      </c>
    </row>
    <row r="498" spans="1:48" x14ac:dyDescent="0.15">
      <c r="A498" s="4" t="str">
        <f>HYPERLINK("https://ibp.a2mac1.com/costing(costing:projects/details/9760/equipment/12211681)","DC machine - General")</f>
        <v>DC machine - General</v>
      </c>
      <c r="B498">
        <v>12211681</v>
      </c>
      <c r="C498">
        <v>12084583</v>
      </c>
      <c r="E498" t="s">
        <v>738</v>
      </c>
      <c r="H498" t="s">
        <v>162</v>
      </c>
      <c r="I498">
        <v>116914.84457142858</v>
      </c>
      <c r="J498">
        <v>0</v>
      </c>
      <c r="K498">
        <v>3.6</v>
      </c>
      <c r="L498">
        <v>0</v>
      </c>
      <c r="M498">
        <v>27.497982091197134</v>
      </c>
      <c r="N498">
        <v>0</v>
      </c>
      <c r="O498">
        <v>1.0770042985718877</v>
      </c>
      <c r="P498">
        <v>0.1618163</v>
      </c>
      <c r="Q498">
        <v>1.1732166376415484E-2</v>
      </c>
      <c r="R498">
        <v>635568</v>
      </c>
      <c r="S498">
        <v>0</v>
      </c>
      <c r="T498">
        <v>0</v>
      </c>
      <c r="V498">
        <v>10800</v>
      </c>
      <c r="W498">
        <v>7</v>
      </c>
      <c r="X498">
        <v>85</v>
      </c>
      <c r="Y498">
        <v>3</v>
      </c>
      <c r="Z498">
        <v>4</v>
      </c>
      <c r="AA498">
        <v>5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3</v>
      </c>
      <c r="AJ498">
        <v>0</v>
      </c>
      <c r="AK498">
        <v>0</v>
      </c>
      <c r="AL498">
        <v>100</v>
      </c>
      <c r="AM498">
        <v>45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100</v>
      </c>
      <c r="AU498">
        <v>0</v>
      </c>
      <c r="AV498">
        <v>0</v>
      </c>
    </row>
    <row r="499" spans="1:48" x14ac:dyDescent="0.15">
      <c r="A499" s="4" t="str">
        <f>HYPERLINK("https://ibp.a2mac1.com/costing(costing:projects/details/9760/equipment/12211682)","DC machine - General")</f>
        <v>DC machine - General</v>
      </c>
      <c r="B499">
        <v>12211682</v>
      </c>
      <c r="C499">
        <v>12084584</v>
      </c>
      <c r="E499" t="s">
        <v>738</v>
      </c>
      <c r="H499" t="s">
        <v>162</v>
      </c>
      <c r="I499">
        <v>116914.84457142858</v>
      </c>
      <c r="J499">
        <v>0</v>
      </c>
      <c r="K499">
        <v>3.6</v>
      </c>
      <c r="L499">
        <v>0</v>
      </c>
      <c r="M499">
        <v>27.497982091197134</v>
      </c>
      <c r="N499">
        <v>0</v>
      </c>
      <c r="O499">
        <v>2.2914985075997613E-2</v>
      </c>
      <c r="P499">
        <v>3.4429E-3</v>
      </c>
      <c r="Q499">
        <v>1.1732166376415484E-2</v>
      </c>
      <c r="R499">
        <v>635568</v>
      </c>
      <c r="S499">
        <v>0</v>
      </c>
      <c r="T499">
        <v>0</v>
      </c>
      <c r="V499">
        <v>10800</v>
      </c>
      <c r="W499">
        <v>7</v>
      </c>
      <c r="X499">
        <v>85</v>
      </c>
      <c r="Y499">
        <v>3</v>
      </c>
      <c r="Z499">
        <v>4</v>
      </c>
      <c r="AA499">
        <v>5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3</v>
      </c>
      <c r="AJ499">
        <v>0</v>
      </c>
      <c r="AK499">
        <v>0</v>
      </c>
      <c r="AL499">
        <v>100</v>
      </c>
      <c r="AM499">
        <v>45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100</v>
      </c>
      <c r="AU499">
        <v>0</v>
      </c>
      <c r="AV499">
        <v>0</v>
      </c>
    </row>
    <row r="500" spans="1:48" x14ac:dyDescent="0.15">
      <c r="A500" s="4" t="str">
        <f>HYPERLINK("https://ibp.a2mac1.com/costing(costing:projects/details/9760/equipment/12211683)","DC machine - General")</f>
        <v>DC machine - General</v>
      </c>
      <c r="B500">
        <v>12211683</v>
      </c>
      <c r="C500">
        <v>12084585</v>
      </c>
      <c r="E500" t="s">
        <v>738</v>
      </c>
      <c r="H500" t="s">
        <v>162</v>
      </c>
      <c r="I500">
        <v>116914.84457142858</v>
      </c>
      <c r="J500">
        <v>0</v>
      </c>
      <c r="K500">
        <v>3.6</v>
      </c>
      <c r="L500">
        <v>0</v>
      </c>
      <c r="M500">
        <v>27.497982091197134</v>
      </c>
      <c r="N500">
        <v>0</v>
      </c>
      <c r="O500">
        <v>2.2914985075997613E-2</v>
      </c>
      <c r="P500">
        <v>3.4429E-3</v>
      </c>
      <c r="Q500">
        <v>1.1732166376415484E-2</v>
      </c>
      <c r="R500">
        <v>635568</v>
      </c>
      <c r="S500">
        <v>0</v>
      </c>
      <c r="T500">
        <v>0</v>
      </c>
      <c r="V500">
        <v>10800</v>
      </c>
      <c r="W500">
        <v>7</v>
      </c>
      <c r="X500">
        <v>85</v>
      </c>
      <c r="Y500">
        <v>3</v>
      </c>
      <c r="Z500">
        <v>4</v>
      </c>
      <c r="AA500">
        <v>5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3</v>
      </c>
      <c r="AJ500">
        <v>0</v>
      </c>
      <c r="AK500">
        <v>0</v>
      </c>
      <c r="AL500">
        <v>100</v>
      </c>
      <c r="AM500">
        <v>45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100</v>
      </c>
      <c r="AU500">
        <v>0</v>
      </c>
      <c r="AV500">
        <v>0</v>
      </c>
    </row>
    <row r="501" spans="1:48" x14ac:dyDescent="0.15">
      <c r="A501" s="4" t="str">
        <f>HYPERLINK("https://ibp.a2mac1.com/costing(costing:projects/details/9760/equipment/12211728)","DC machine - General")</f>
        <v>DC machine - General</v>
      </c>
      <c r="B501">
        <v>12211728</v>
      </c>
      <c r="C501">
        <v>12084630</v>
      </c>
      <c r="E501" t="s">
        <v>738</v>
      </c>
      <c r="H501" t="s">
        <v>162</v>
      </c>
      <c r="I501">
        <v>116914.84457142858</v>
      </c>
      <c r="J501">
        <v>0</v>
      </c>
      <c r="K501">
        <v>3.6</v>
      </c>
      <c r="L501">
        <v>0</v>
      </c>
      <c r="M501">
        <v>27.497982091197134</v>
      </c>
      <c r="N501">
        <v>0</v>
      </c>
      <c r="O501">
        <v>1.1992175523105417</v>
      </c>
      <c r="P501">
        <v>0.18017843333333333</v>
      </c>
      <c r="Q501">
        <v>1.1732166376415484E-2</v>
      </c>
      <c r="R501">
        <v>635568</v>
      </c>
      <c r="S501">
        <v>0</v>
      </c>
      <c r="T501">
        <v>0</v>
      </c>
      <c r="V501">
        <v>10800</v>
      </c>
      <c r="W501">
        <v>7</v>
      </c>
      <c r="X501">
        <v>85</v>
      </c>
      <c r="Y501">
        <v>3</v>
      </c>
      <c r="Z501">
        <v>4</v>
      </c>
      <c r="AA501">
        <v>5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3</v>
      </c>
      <c r="AJ501">
        <v>0</v>
      </c>
      <c r="AK501">
        <v>0</v>
      </c>
      <c r="AL501">
        <v>100</v>
      </c>
      <c r="AM501">
        <v>45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100</v>
      </c>
      <c r="AU501">
        <v>0</v>
      </c>
      <c r="AV501">
        <v>0</v>
      </c>
    </row>
    <row r="502" spans="1:48" x14ac:dyDescent="0.15">
      <c r="A502" s="4" t="str">
        <f>HYPERLINK("https://ibp.a2mac1.com/costing(costing:projects/details/9760/equipment/12211729)","DC machine - General")</f>
        <v>DC machine - General</v>
      </c>
      <c r="B502">
        <v>12211729</v>
      </c>
      <c r="C502">
        <v>12084631</v>
      </c>
      <c r="E502" t="s">
        <v>738</v>
      </c>
      <c r="H502" t="s">
        <v>162</v>
      </c>
      <c r="I502">
        <v>116914.84457142858</v>
      </c>
      <c r="J502">
        <v>0</v>
      </c>
      <c r="K502">
        <v>3.6</v>
      </c>
      <c r="L502">
        <v>0</v>
      </c>
      <c r="M502">
        <v>27.497982091197134</v>
      </c>
      <c r="N502">
        <v>0</v>
      </c>
      <c r="O502">
        <v>0.63398125376926728</v>
      </c>
      <c r="P502">
        <v>9.5253566666666664E-2</v>
      </c>
      <c r="Q502">
        <v>1.1732166376415484E-2</v>
      </c>
      <c r="R502">
        <v>635568</v>
      </c>
      <c r="S502">
        <v>0</v>
      </c>
      <c r="T502">
        <v>0</v>
      </c>
      <c r="V502">
        <v>10800</v>
      </c>
      <c r="W502">
        <v>7</v>
      </c>
      <c r="X502">
        <v>85</v>
      </c>
      <c r="Y502">
        <v>3</v>
      </c>
      <c r="Z502">
        <v>4</v>
      </c>
      <c r="AA502">
        <v>5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3</v>
      </c>
      <c r="AJ502">
        <v>0</v>
      </c>
      <c r="AK502">
        <v>0</v>
      </c>
      <c r="AL502">
        <v>100</v>
      </c>
      <c r="AM502">
        <v>45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100</v>
      </c>
      <c r="AU502">
        <v>0</v>
      </c>
      <c r="AV502">
        <v>0</v>
      </c>
    </row>
    <row r="503" spans="1:48" x14ac:dyDescent="0.15">
      <c r="A503" s="4" t="str">
        <f>HYPERLINK("https://ibp.a2mac1.com/costing(costing:projects/details/9760/equipment/12211730)","DC machine - General")</f>
        <v>DC machine - General</v>
      </c>
      <c r="B503">
        <v>12211730</v>
      </c>
      <c r="C503">
        <v>12084632</v>
      </c>
      <c r="E503" t="s">
        <v>738</v>
      </c>
      <c r="H503" t="s">
        <v>162</v>
      </c>
      <c r="I503">
        <v>116914.84457142858</v>
      </c>
      <c r="J503">
        <v>0</v>
      </c>
      <c r="K503">
        <v>3.6</v>
      </c>
      <c r="L503">
        <v>0</v>
      </c>
      <c r="M503">
        <v>27.497982091197134</v>
      </c>
      <c r="N503">
        <v>0</v>
      </c>
      <c r="O503">
        <v>1.0082593433438949</v>
      </c>
      <c r="P503">
        <v>0.1514876</v>
      </c>
      <c r="Q503">
        <v>1.1732166376415484E-2</v>
      </c>
      <c r="R503">
        <v>635568</v>
      </c>
      <c r="S503">
        <v>0</v>
      </c>
      <c r="T503">
        <v>0</v>
      </c>
      <c r="V503">
        <v>10800</v>
      </c>
      <c r="W503">
        <v>7</v>
      </c>
      <c r="X503">
        <v>85</v>
      </c>
      <c r="Y503">
        <v>3</v>
      </c>
      <c r="Z503">
        <v>4</v>
      </c>
      <c r="AA503">
        <v>5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3</v>
      </c>
      <c r="AJ503">
        <v>0</v>
      </c>
      <c r="AK503">
        <v>0</v>
      </c>
      <c r="AL503">
        <v>100</v>
      </c>
      <c r="AM503">
        <v>45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100</v>
      </c>
      <c r="AU503">
        <v>0</v>
      </c>
      <c r="AV503">
        <v>0</v>
      </c>
    </row>
    <row r="504" spans="1:48" x14ac:dyDescent="0.15">
      <c r="A504" s="4" t="str">
        <f>HYPERLINK("https://ibp.a2mac1.com/costing(costing:projects/details/9760/equipment/12211731)","DC machine - General")</f>
        <v>DC machine - General</v>
      </c>
      <c r="B504">
        <v>12211731</v>
      </c>
      <c r="C504">
        <v>12084633</v>
      </c>
      <c r="E504" t="s">
        <v>738</v>
      </c>
      <c r="H504" t="s">
        <v>162</v>
      </c>
      <c r="I504">
        <v>116914.84457142858</v>
      </c>
      <c r="J504">
        <v>0</v>
      </c>
      <c r="K504">
        <v>3.6</v>
      </c>
      <c r="L504">
        <v>0</v>
      </c>
      <c r="M504">
        <v>27.497982091197134</v>
      </c>
      <c r="N504">
        <v>0</v>
      </c>
      <c r="O504">
        <v>0.67217289556259663</v>
      </c>
      <c r="P504">
        <v>0.10099173333333333</v>
      </c>
      <c r="Q504">
        <v>1.1732166376415484E-2</v>
      </c>
      <c r="R504">
        <v>635568</v>
      </c>
      <c r="S504">
        <v>0</v>
      </c>
      <c r="T504">
        <v>0</v>
      </c>
      <c r="V504">
        <v>10800</v>
      </c>
      <c r="W504">
        <v>7</v>
      </c>
      <c r="X504">
        <v>85</v>
      </c>
      <c r="Y504">
        <v>3</v>
      </c>
      <c r="Z504">
        <v>4</v>
      </c>
      <c r="AA504">
        <v>5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3</v>
      </c>
      <c r="AJ504">
        <v>0</v>
      </c>
      <c r="AK504">
        <v>0</v>
      </c>
      <c r="AL504">
        <v>100</v>
      </c>
      <c r="AM504">
        <v>45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100</v>
      </c>
      <c r="AU504">
        <v>0</v>
      </c>
      <c r="AV504">
        <v>0</v>
      </c>
    </row>
    <row r="505" spans="1:48" x14ac:dyDescent="0.15">
      <c r="A505" s="4" t="str">
        <f>HYPERLINK("https://ibp.a2mac1.com/costing(costing:projects/details/9760/equipment/12211732)","DC machine - General")</f>
        <v>DC machine - General</v>
      </c>
      <c r="B505">
        <v>12211732</v>
      </c>
      <c r="C505">
        <v>12084634</v>
      </c>
      <c r="E505" t="s">
        <v>738</v>
      </c>
      <c r="H505" t="s">
        <v>162</v>
      </c>
      <c r="I505">
        <v>116914.84457142858</v>
      </c>
      <c r="J505">
        <v>0</v>
      </c>
      <c r="K505">
        <v>3.6</v>
      </c>
      <c r="L505">
        <v>0</v>
      </c>
      <c r="M505">
        <v>27.497982091197134</v>
      </c>
      <c r="N505">
        <v>0</v>
      </c>
      <c r="O505">
        <v>0.50412967167194744</v>
      </c>
      <c r="P505">
        <v>7.57438E-2</v>
      </c>
      <c r="Q505">
        <v>1.1732166376415484E-2</v>
      </c>
      <c r="R505">
        <v>635568</v>
      </c>
      <c r="S505">
        <v>0</v>
      </c>
      <c r="T505">
        <v>0</v>
      </c>
      <c r="V505">
        <v>10800</v>
      </c>
      <c r="W505">
        <v>7</v>
      </c>
      <c r="X505">
        <v>85</v>
      </c>
      <c r="Y505">
        <v>3</v>
      </c>
      <c r="Z505">
        <v>4</v>
      </c>
      <c r="AA505">
        <v>5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3</v>
      </c>
      <c r="AJ505">
        <v>0</v>
      </c>
      <c r="AK505">
        <v>0</v>
      </c>
      <c r="AL505">
        <v>100</v>
      </c>
      <c r="AM505">
        <v>45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100</v>
      </c>
      <c r="AU505">
        <v>0</v>
      </c>
      <c r="AV505">
        <v>0</v>
      </c>
    </row>
    <row r="506" spans="1:48" x14ac:dyDescent="0.15">
      <c r="A506" s="4" t="str">
        <f>HYPERLINK("https://ibp.a2mac1.com/costing(costing:projects/details/9760/equipment/12211840)","DC machine - General")</f>
        <v>DC machine - General</v>
      </c>
      <c r="B506">
        <v>12211840</v>
      </c>
      <c r="C506">
        <v>12084742</v>
      </c>
      <c r="E506" t="s">
        <v>738</v>
      </c>
      <c r="H506" t="s">
        <v>162</v>
      </c>
      <c r="I506">
        <v>116914.84457142858</v>
      </c>
      <c r="J506">
        <v>0</v>
      </c>
      <c r="K506">
        <v>3.6</v>
      </c>
      <c r="L506">
        <v>0</v>
      </c>
      <c r="M506">
        <v>27.497982091197134</v>
      </c>
      <c r="N506">
        <v>0</v>
      </c>
      <c r="O506">
        <v>0.45829970151995225</v>
      </c>
      <c r="P506">
        <v>6.8858000000000003E-2</v>
      </c>
      <c r="Q506">
        <v>1.1732166376415484E-2</v>
      </c>
      <c r="R506">
        <v>635568</v>
      </c>
      <c r="S506">
        <v>0</v>
      </c>
      <c r="T506">
        <v>0</v>
      </c>
      <c r="V506">
        <v>10800</v>
      </c>
      <c r="W506">
        <v>7</v>
      </c>
      <c r="X506">
        <v>85</v>
      </c>
      <c r="Y506">
        <v>3</v>
      </c>
      <c r="Z506">
        <v>4</v>
      </c>
      <c r="AA506">
        <v>5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3</v>
      </c>
      <c r="AJ506">
        <v>0</v>
      </c>
      <c r="AK506">
        <v>0</v>
      </c>
      <c r="AL506">
        <v>100</v>
      </c>
      <c r="AM506">
        <v>45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100</v>
      </c>
      <c r="AU506">
        <v>0</v>
      </c>
      <c r="AV506">
        <v>0</v>
      </c>
    </row>
    <row r="507" spans="1:48" x14ac:dyDescent="0.15">
      <c r="A507" s="4" t="str">
        <f>HYPERLINK("https://ibp.a2mac1.com/costing(costing:projects/details/9760/equipment/12211841)","DC machine - General")</f>
        <v>DC machine - General</v>
      </c>
      <c r="B507">
        <v>12211841</v>
      </c>
      <c r="C507">
        <v>12084743</v>
      </c>
      <c r="E507" t="s">
        <v>738</v>
      </c>
      <c r="H507" t="s">
        <v>162</v>
      </c>
      <c r="I507">
        <v>116914.84457142858</v>
      </c>
      <c r="J507">
        <v>0</v>
      </c>
      <c r="K507">
        <v>3.6</v>
      </c>
      <c r="L507">
        <v>0</v>
      </c>
      <c r="M507">
        <v>27.497982091197134</v>
      </c>
      <c r="N507">
        <v>0</v>
      </c>
      <c r="O507">
        <v>0.236788179118642</v>
      </c>
      <c r="P507">
        <v>3.5576633333333336E-2</v>
      </c>
      <c r="Q507">
        <v>1.1732166376415484E-2</v>
      </c>
      <c r="R507">
        <v>635568</v>
      </c>
      <c r="S507">
        <v>0</v>
      </c>
      <c r="T507">
        <v>0</v>
      </c>
      <c r="V507">
        <v>10800</v>
      </c>
      <c r="W507">
        <v>7</v>
      </c>
      <c r="X507">
        <v>85</v>
      </c>
      <c r="Y507">
        <v>3</v>
      </c>
      <c r="Z507">
        <v>4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3</v>
      </c>
      <c r="AJ507">
        <v>0</v>
      </c>
      <c r="AK507">
        <v>0</v>
      </c>
      <c r="AL507">
        <v>100</v>
      </c>
      <c r="AM507">
        <v>45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100</v>
      </c>
      <c r="AU507">
        <v>0</v>
      </c>
      <c r="AV507">
        <v>0</v>
      </c>
    </row>
    <row r="508" spans="1:48" x14ac:dyDescent="0.15">
      <c r="A508" s="4" t="str">
        <f>HYPERLINK("https://ibp.a2mac1.com/costing(costing:projects/details/9760/equipment/12211842)","DC machine - General")</f>
        <v>DC machine - General</v>
      </c>
      <c r="B508">
        <v>12211842</v>
      </c>
      <c r="C508">
        <v>12084744</v>
      </c>
      <c r="E508" t="s">
        <v>738</v>
      </c>
      <c r="H508" t="s">
        <v>162</v>
      </c>
      <c r="I508">
        <v>116914.84457142858</v>
      </c>
      <c r="J508">
        <v>0</v>
      </c>
      <c r="K508">
        <v>3.6</v>
      </c>
      <c r="L508">
        <v>0</v>
      </c>
      <c r="M508">
        <v>27.497982091197134</v>
      </c>
      <c r="N508">
        <v>0</v>
      </c>
      <c r="O508">
        <v>0.36663976121596181</v>
      </c>
      <c r="P508">
        <v>5.5086400000000001E-2</v>
      </c>
      <c r="Q508">
        <v>1.1732166376415484E-2</v>
      </c>
      <c r="R508">
        <v>635568</v>
      </c>
      <c r="S508">
        <v>0</v>
      </c>
      <c r="T508">
        <v>0</v>
      </c>
      <c r="V508">
        <v>10800</v>
      </c>
      <c r="W508">
        <v>7</v>
      </c>
      <c r="X508">
        <v>85</v>
      </c>
      <c r="Y508">
        <v>3</v>
      </c>
      <c r="Z508">
        <v>4</v>
      </c>
      <c r="AA508">
        <v>5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3</v>
      </c>
      <c r="AJ508">
        <v>0</v>
      </c>
      <c r="AK508">
        <v>0</v>
      </c>
      <c r="AL508">
        <v>100</v>
      </c>
      <c r="AM508">
        <v>45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100</v>
      </c>
      <c r="AU508">
        <v>0</v>
      </c>
      <c r="AV508">
        <v>0</v>
      </c>
    </row>
    <row r="509" spans="1:48" x14ac:dyDescent="0.15">
      <c r="A509" s="4" t="str">
        <f>HYPERLINK("https://ibp.a2mac1.com/costing(costing:projects/details/9760/equipment/12211843)","DC machine - General")</f>
        <v>DC machine - General</v>
      </c>
      <c r="B509">
        <v>12211843</v>
      </c>
      <c r="C509">
        <v>12084745</v>
      </c>
      <c r="E509" t="s">
        <v>738</v>
      </c>
      <c r="H509" t="s">
        <v>162</v>
      </c>
      <c r="I509">
        <v>116914.84457142858</v>
      </c>
      <c r="J509">
        <v>0</v>
      </c>
      <c r="K509">
        <v>3.6</v>
      </c>
      <c r="L509">
        <v>0</v>
      </c>
      <c r="M509">
        <v>27.497982091197134</v>
      </c>
      <c r="N509">
        <v>0</v>
      </c>
      <c r="O509">
        <v>0.45829970151995225</v>
      </c>
      <c r="P509">
        <v>6.8858000000000003E-2</v>
      </c>
      <c r="Q509">
        <v>1.1732166376415484E-2</v>
      </c>
      <c r="R509">
        <v>635568</v>
      </c>
      <c r="S509">
        <v>0</v>
      </c>
      <c r="T509">
        <v>0</v>
      </c>
      <c r="V509">
        <v>10800</v>
      </c>
      <c r="W509">
        <v>7</v>
      </c>
      <c r="X509">
        <v>85</v>
      </c>
      <c r="Y509">
        <v>3</v>
      </c>
      <c r="Z509">
        <v>4</v>
      </c>
      <c r="AA509">
        <v>5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3</v>
      </c>
      <c r="AJ509">
        <v>0</v>
      </c>
      <c r="AK509">
        <v>0</v>
      </c>
      <c r="AL509">
        <v>100</v>
      </c>
      <c r="AM509">
        <v>45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100</v>
      </c>
      <c r="AU509">
        <v>0</v>
      </c>
      <c r="AV509">
        <v>0</v>
      </c>
    </row>
    <row r="510" spans="1:48" x14ac:dyDescent="0.15">
      <c r="A510" s="4" t="str">
        <f>HYPERLINK("https://ibp.a2mac1.com/costing(costing:projects/details/9760/equipment/12211844)","DC machine - General")</f>
        <v>DC machine - General</v>
      </c>
      <c r="B510">
        <v>12211844</v>
      </c>
      <c r="C510">
        <v>12084746</v>
      </c>
      <c r="E510" t="s">
        <v>738</v>
      </c>
      <c r="H510" t="s">
        <v>162</v>
      </c>
      <c r="I510">
        <v>116914.84457142858</v>
      </c>
      <c r="J510">
        <v>0</v>
      </c>
      <c r="K510">
        <v>3.6</v>
      </c>
      <c r="L510">
        <v>0</v>
      </c>
      <c r="M510">
        <v>27.497982091197134</v>
      </c>
      <c r="N510">
        <v>0</v>
      </c>
      <c r="O510">
        <v>0.236788179118642</v>
      </c>
      <c r="P510">
        <v>3.5576633333333336E-2</v>
      </c>
      <c r="Q510">
        <v>1.1732166376415484E-2</v>
      </c>
      <c r="R510">
        <v>635568</v>
      </c>
      <c r="S510">
        <v>0</v>
      </c>
      <c r="T510">
        <v>0</v>
      </c>
      <c r="V510">
        <v>10800</v>
      </c>
      <c r="W510">
        <v>7</v>
      </c>
      <c r="X510">
        <v>85</v>
      </c>
      <c r="Y510">
        <v>3</v>
      </c>
      <c r="Z510">
        <v>4</v>
      </c>
      <c r="AA510">
        <v>5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3</v>
      </c>
      <c r="AJ510">
        <v>0</v>
      </c>
      <c r="AK510">
        <v>0</v>
      </c>
      <c r="AL510">
        <v>100</v>
      </c>
      <c r="AM510">
        <v>45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100</v>
      </c>
      <c r="AU510">
        <v>0</v>
      </c>
      <c r="AV510">
        <v>0</v>
      </c>
    </row>
    <row r="511" spans="1:48" x14ac:dyDescent="0.15">
      <c r="A511" s="4" t="str">
        <f>HYPERLINK("https://ibp.a2mac1.com/costing(costing:projects/details/9760/equipment/12211845)","DC machine - General")</f>
        <v>DC machine - General</v>
      </c>
      <c r="B511">
        <v>12211845</v>
      </c>
      <c r="C511">
        <v>12084747</v>
      </c>
      <c r="E511" t="s">
        <v>738</v>
      </c>
      <c r="H511" t="s">
        <v>162</v>
      </c>
      <c r="I511">
        <v>116914.84457142858</v>
      </c>
      <c r="J511">
        <v>0</v>
      </c>
      <c r="K511">
        <v>3.6</v>
      </c>
      <c r="L511">
        <v>0</v>
      </c>
      <c r="M511">
        <v>27.497982091197134</v>
      </c>
      <c r="N511">
        <v>0</v>
      </c>
      <c r="O511">
        <v>0.36663976121596181</v>
      </c>
      <c r="P511">
        <v>5.5086400000000001E-2</v>
      </c>
      <c r="Q511">
        <v>1.1732166376415484E-2</v>
      </c>
      <c r="R511">
        <v>635568</v>
      </c>
      <c r="S511">
        <v>0</v>
      </c>
      <c r="T511">
        <v>0</v>
      </c>
      <c r="V511">
        <v>10800</v>
      </c>
      <c r="W511">
        <v>7</v>
      </c>
      <c r="X511">
        <v>85</v>
      </c>
      <c r="Y511">
        <v>3</v>
      </c>
      <c r="Z511">
        <v>4</v>
      </c>
      <c r="AA511">
        <v>5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3</v>
      </c>
      <c r="AJ511">
        <v>0</v>
      </c>
      <c r="AK511">
        <v>0</v>
      </c>
      <c r="AL511">
        <v>100</v>
      </c>
      <c r="AM511">
        <v>45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100</v>
      </c>
      <c r="AU511">
        <v>0</v>
      </c>
      <c r="AV511">
        <v>0</v>
      </c>
    </row>
    <row r="512" spans="1:48" x14ac:dyDescent="0.15">
      <c r="A512" s="4" t="str">
        <f>HYPERLINK("https://ibp.a2mac1.com/costing(costing:projects/details/9760/equipment/12211733)","DC machine - General")</f>
        <v>DC machine - General</v>
      </c>
      <c r="B512">
        <v>12211733</v>
      </c>
      <c r="C512">
        <v>12084635</v>
      </c>
      <c r="E512" t="s">
        <v>738</v>
      </c>
      <c r="H512" t="s">
        <v>162</v>
      </c>
      <c r="I512">
        <v>116914.84457142858</v>
      </c>
      <c r="J512">
        <v>0</v>
      </c>
      <c r="K512">
        <v>3.6</v>
      </c>
      <c r="L512">
        <v>0</v>
      </c>
      <c r="M512">
        <v>27.497982091197134</v>
      </c>
      <c r="N512">
        <v>0</v>
      </c>
      <c r="O512">
        <v>0.22151152240131025</v>
      </c>
      <c r="P512">
        <v>3.3281366666666666E-2</v>
      </c>
      <c r="Q512">
        <v>1.1732166376415484E-2</v>
      </c>
      <c r="R512">
        <v>635568</v>
      </c>
      <c r="S512">
        <v>0</v>
      </c>
      <c r="T512">
        <v>0</v>
      </c>
      <c r="V512">
        <v>10800</v>
      </c>
      <c r="W512">
        <v>7</v>
      </c>
      <c r="X512">
        <v>85</v>
      </c>
      <c r="Y512">
        <v>3</v>
      </c>
      <c r="Z512">
        <v>4</v>
      </c>
      <c r="AA512">
        <v>5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3</v>
      </c>
      <c r="AJ512">
        <v>0</v>
      </c>
      <c r="AK512">
        <v>0</v>
      </c>
      <c r="AL512">
        <v>100</v>
      </c>
      <c r="AM512">
        <v>45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100</v>
      </c>
      <c r="AU512">
        <v>0</v>
      </c>
      <c r="AV512">
        <v>0</v>
      </c>
    </row>
    <row r="513" spans="1:48" x14ac:dyDescent="0.15">
      <c r="A513" s="4" t="str">
        <f>HYPERLINK("https://ibp.a2mac1.com/costing(costing:projects/details/9760/equipment/12211734)","DC machine - General")</f>
        <v>DC machine - General</v>
      </c>
      <c r="B513">
        <v>12211734</v>
      </c>
      <c r="C513">
        <v>12084636</v>
      </c>
      <c r="E513" t="s">
        <v>738</v>
      </c>
      <c r="H513" t="s">
        <v>162</v>
      </c>
      <c r="I513">
        <v>116914.84457142858</v>
      </c>
      <c r="J513">
        <v>0</v>
      </c>
      <c r="K513">
        <v>3.6</v>
      </c>
      <c r="L513">
        <v>0</v>
      </c>
      <c r="M513">
        <v>27.497982091197134</v>
      </c>
      <c r="N513">
        <v>0</v>
      </c>
      <c r="O513">
        <v>6.8744955227992843E-2</v>
      </c>
      <c r="P513">
        <v>1.03287E-2</v>
      </c>
      <c r="Q513">
        <v>1.1732166376415484E-2</v>
      </c>
      <c r="R513">
        <v>635568</v>
      </c>
      <c r="S513">
        <v>0</v>
      </c>
      <c r="T513">
        <v>0</v>
      </c>
      <c r="V513">
        <v>10800</v>
      </c>
      <c r="W513">
        <v>7</v>
      </c>
      <c r="X513">
        <v>85</v>
      </c>
      <c r="Y513">
        <v>3</v>
      </c>
      <c r="Z513">
        <v>4</v>
      </c>
      <c r="AA513">
        <v>5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3</v>
      </c>
      <c r="AJ513">
        <v>0</v>
      </c>
      <c r="AK513">
        <v>0</v>
      </c>
      <c r="AL513">
        <v>100</v>
      </c>
      <c r="AM513">
        <v>45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100</v>
      </c>
      <c r="AU513">
        <v>0</v>
      </c>
      <c r="AV513">
        <v>0</v>
      </c>
    </row>
    <row r="514" spans="1:48" x14ac:dyDescent="0.15">
      <c r="A514" s="4" t="str">
        <f>HYPERLINK("https://ibp.a2mac1.com/costing(costing:projects/details/9760/equipment/12211735)","DC machine - General")</f>
        <v>DC machine - General</v>
      </c>
      <c r="B514">
        <v>12211735</v>
      </c>
      <c r="C514">
        <v>12084637</v>
      </c>
      <c r="E514" t="s">
        <v>738</v>
      </c>
      <c r="H514" t="s">
        <v>162</v>
      </c>
      <c r="I514">
        <v>116914.84457142858</v>
      </c>
      <c r="J514">
        <v>0</v>
      </c>
      <c r="K514">
        <v>3.6</v>
      </c>
      <c r="L514">
        <v>0</v>
      </c>
      <c r="M514">
        <v>27.497982091197134</v>
      </c>
      <c r="N514">
        <v>0</v>
      </c>
      <c r="O514">
        <v>1.5276656717331742E-2</v>
      </c>
      <c r="P514">
        <v>2.2952666666666665E-3</v>
      </c>
      <c r="Q514">
        <v>1.1732166376415484E-2</v>
      </c>
      <c r="R514">
        <v>635568</v>
      </c>
      <c r="S514">
        <v>0</v>
      </c>
      <c r="T514">
        <v>0</v>
      </c>
      <c r="V514">
        <v>10800</v>
      </c>
      <c r="W514">
        <v>7</v>
      </c>
      <c r="X514">
        <v>85</v>
      </c>
      <c r="Y514">
        <v>3</v>
      </c>
      <c r="Z514">
        <v>4</v>
      </c>
      <c r="AA514">
        <v>5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3</v>
      </c>
      <c r="AJ514">
        <v>0</v>
      </c>
      <c r="AK514">
        <v>0</v>
      </c>
      <c r="AL514">
        <v>100</v>
      </c>
      <c r="AM514">
        <v>45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100</v>
      </c>
      <c r="AU514">
        <v>0</v>
      </c>
      <c r="AV514">
        <v>0</v>
      </c>
    </row>
    <row r="515" spans="1:48" x14ac:dyDescent="0.15">
      <c r="A515" s="4" t="str">
        <f>HYPERLINK("https://ibp.a2mac1.com/costing(costing:projects/details/9760/equipment/12211736)","DC machine - General")</f>
        <v>DC machine - General</v>
      </c>
      <c r="B515">
        <v>12211736</v>
      </c>
      <c r="C515">
        <v>12084638</v>
      </c>
      <c r="E515" t="s">
        <v>738</v>
      </c>
      <c r="H515" t="s">
        <v>162</v>
      </c>
      <c r="I515">
        <v>116914.84457142858</v>
      </c>
      <c r="J515">
        <v>0</v>
      </c>
      <c r="K515">
        <v>3.6</v>
      </c>
      <c r="L515">
        <v>0</v>
      </c>
      <c r="M515">
        <v>27.497982091197134</v>
      </c>
      <c r="N515">
        <v>0</v>
      </c>
      <c r="O515">
        <v>6.1106626869326969E-2</v>
      </c>
      <c r="P515">
        <v>9.1810666666666662E-3</v>
      </c>
      <c r="Q515">
        <v>1.1732166376415484E-2</v>
      </c>
      <c r="R515">
        <v>635568</v>
      </c>
      <c r="S515">
        <v>0</v>
      </c>
      <c r="T515">
        <v>0</v>
      </c>
      <c r="V515">
        <v>10800</v>
      </c>
      <c r="W515">
        <v>7</v>
      </c>
      <c r="X515">
        <v>85</v>
      </c>
      <c r="Y515">
        <v>3</v>
      </c>
      <c r="Z515">
        <v>4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3</v>
      </c>
      <c r="AJ515">
        <v>0</v>
      </c>
      <c r="AK515">
        <v>0</v>
      </c>
      <c r="AL515">
        <v>100</v>
      </c>
      <c r="AM515">
        <v>45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100</v>
      </c>
      <c r="AU515">
        <v>0</v>
      </c>
      <c r="AV515">
        <v>0</v>
      </c>
    </row>
    <row r="516" spans="1:48" x14ac:dyDescent="0.15">
      <c r="A516" s="4" t="str">
        <f>HYPERLINK("https://ibp.a2mac1.com/costing(costing:projects/details/9760/equipment/12211737)","DC machine - General")</f>
        <v>DC machine - General</v>
      </c>
      <c r="B516">
        <v>12211737</v>
      </c>
      <c r="C516">
        <v>12084639</v>
      </c>
      <c r="E516" t="s">
        <v>738</v>
      </c>
      <c r="H516" t="s">
        <v>162</v>
      </c>
      <c r="I516">
        <v>116914.84457142858</v>
      </c>
      <c r="J516">
        <v>0</v>
      </c>
      <c r="K516">
        <v>3.6</v>
      </c>
      <c r="L516">
        <v>0</v>
      </c>
      <c r="M516">
        <v>27.497982091197134</v>
      </c>
      <c r="N516">
        <v>0</v>
      </c>
      <c r="O516">
        <v>1.5276656717331742E-2</v>
      </c>
      <c r="P516">
        <v>2.2952666666666665E-3</v>
      </c>
      <c r="Q516">
        <v>1.1732166376415484E-2</v>
      </c>
      <c r="R516">
        <v>635568</v>
      </c>
      <c r="S516">
        <v>0</v>
      </c>
      <c r="T516">
        <v>0</v>
      </c>
      <c r="V516">
        <v>10800</v>
      </c>
      <c r="W516">
        <v>7</v>
      </c>
      <c r="X516">
        <v>85</v>
      </c>
      <c r="Y516">
        <v>3</v>
      </c>
      <c r="Z516">
        <v>4</v>
      </c>
      <c r="AA516">
        <v>5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3</v>
      </c>
      <c r="AJ516">
        <v>0</v>
      </c>
      <c r="AK516">
        <v>0</v>
      </c>
      <c r="AL516">
        <v>100</v>
      </c>
      <c r="AM516">
        <v>45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100</v>
      </c>
      <c r="AU516">
        <v>0</v>
      </c>
      <c r="AV516">
        <v>0</v>
      </c>
    </row>
    <row r="517" spans="1:48" x14ac:dyDescent="0.15">
      <c r="A517" s="4" t="str">
        <f>HYPERLINK("https://ibp.a2mac1.com/costing(costing:projects/details/9760/equipment/12211738)","DC machine - General")</f>
        <v>DC machine - General</v>
      </c>
      <c r="B517">
        <v>12211738</v>
      </c>
      <c r="C517">
        <v>12084640</v>
      </c>
      <c r="E517" t="s">
        <v>738</v>
      </c>
      <c r="H517" t="s">
        <v>162</v>
      </c>
      <c r="I517">
        <v>116914.84457142858</v>
      </c>
      <c r="J517">
        <v>0</v>
      </c>
      <c r="K517">
        <v>3.6</v>
      </c>
      <c r="L517">
        <v>0</v>
      </c>
      <c r="M517">
        <v>27.497982091197134</v>
      </c>
      <c r="N517">
        <v>0</v>
      </c>
      <c r="O517">
        <v>0.71036453735592597</v>
      </c>
      <c r="P517">
        <v>0.1067299</v>
      </c>
      <c r="Q517">
        <v>1.1732166376415484E-2</v>
      </c>
      <c r="R517">
        <v>635568</v>
      </c>
      <c r="S517">
        <v>0</v>
      </c>
      <c r="T517">
        <v>0</v>
      </c>
      <c r="V517">
        <v>10800</v>
      </c>
      <c r="W517">
        <v>7</v>
      </c>
      <c r="X517">
        <v>85</v>
      </c>
      <c r="Y517">
        <v>3</v>
      </c>
      <c r="Z517">
        <v>4</v>
      </c>
      <c r="AA517">
        <v>5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3</v>
      </c>
      <c r="AJ517">
        <v>0</v>
      </c>
      <c r="AK517">
        <v>0</v>
      </c>
      <c r="AL517">
        <v>100</v>
      </c>
      <c r="AM517">
        <v>45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100</v>
      </c>
      <c r="AU517">
        <v>0</v>
      </c>
      <c r="AV517">
        <v>0</v>
      </c>
    </row>
    <row r="518" spans="1:48" x14ac:dyDescent="0.15">
      <c r="A518" s="4" t="str">
        <f>HYPERLINK("https://ibp.a2mac1.com/costing(costing:projects/details/9760/equipment/12211739)","DC machine - General")</f>
        <v>DC machine - General</v>
      </c>
      <c r="B518">
        <v>12211739</v>
      </c>
      <c r="C518">
        <v>12084641</v>
      </c>
      <c r="E518" t="s">
        <v>738</v>
      </c>
      <c r="H518" t="s">
        <v>162</v>
      </c>
      <c r="I518">
        <v>116914.84457142858</v>
      </c>
      <c r="J518">
        <v>0</v>
      </c>
      <c r="K518">
        <v>3.6</v>
      </c>
      <c r="L518">
        <v>0</v>
      </c>
      <c r="M518">
        <v>27.497982091197134</v>
      </c>
      <c r="N518">
        <v>0</v>
      </c>
      <c r="O518">
        <v>0.24442650747730787</v>
      </c>
      <c r="P518">
        <v>3.6724266666666665E-2</v>
      </c>
      <c r="Q518">
        <v>1.1732166376415484E-2</v>
      </c>
      <c r="R518">
        <v>635568</v>
      </c>
      <c r="S518">
        <v>0</v>
      </c>
      <c r="T518">
        <v>0</v>
      </c>
      <c r="V518">
        <v>10800</v>
      </c>
      <c r="W518">
        <v>7</v>
      </c>
      <c r="X518">
        <v>85</v>
      </c>
      <c r="Y518">
        <v>3</v>
      </c>
      <c r="Z518">
        <v>4</v>
      </c>
      <c r="AA518">
        <v>5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3</v>
      </c>
      <c r="AJ518">
        <v>0</v>
      </c>
      <c r="AK518">
        <v>0</v>
      </c>
      <c r="AL518">
        <v>100</v>
      </c>
      <c r="AM518">
        <v>45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100</v>
      </c>
      <c r="AU518">
        <v>0</v>
      </c>
      <c r="AV518">
        <v>0</v>
      </c>
    </row>
    <row r="519" spans="1:48" x14ac:dyDescent="0.15">
      <c r="A519" s="4" t="str">
        <f>HYPERLINK("https://ibp.a2mac1.com/costing(costing:projects/details/9760/equipment/12211740)","DC machine - General")</f>
        <v>DC machine - General</v>
      </c>
      <c r="B519">
        <v>12211740</v>
      </c>
      <c r="C519">
        <v>12084642</v>
      </c>
      <c r="E519" t="s">
        <v>738</v>
      </c>
      <c r="H519" t="s">
        <v>162</v>
      </c>
      <c r="I519">
        <v>116914.84457142858</v>
      </c>
      <c r="J519">
        <v>0</v>
      </c>
      <c r="K519">
        <v>3.6</v>
      </c>
      <c r="L519">
        <v>0</v>
      </c>
      <c r="M519">
        <v>27.497982091197134</v>
      </c>
      <c r="N519">
        <v>0</v>
      </c>
      <c r="O519">
        <v>0.71800286571459182</v>
      </c>
      <c r="P519">
        <v>0.10787753333333333</v>
      </c>
      <c r="Q519">
        <v>1.1732166376415484E-2</v>
      </c>
      <c r="R519">
        <v>635568</v>
      </c>
      <c r="S519">
        <v>0</v>
      </c>
      <c r="T519">
        <v>0</v>
      </c>
      <c r="V519">
        <v>10800</v>
      </c>
      <c r="W519">
        <v>7</v>
      </c>
      <c r="X519">
        <v>85</v>
      </c>
      <c r="Y519">
        <v>3</v>
      </c>
      <c r="Z519">
        <v>4</v>
      </c>
      <c r="AA519">
        <v>5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3</v>
      </c>
      <c r="AJ519">
        <v>0</v>
      </c>
      <c r="AK519">
        <v>0</v>
      </c>
      <c r="AL519">
        <v>100</v>
      </c>
      <c r="AM519">
        <v>45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100</v>
      </c>
      <c r="AU519">
        <v>0</v>
      </c>
      <c r="AV519">
        <v>0</v>
      </c>
    </row>
    <row r="520" spans="1:48" x14ac:dyDescent="0.15">
      <c r="A520" s="4" t="str">
        <f>HYPERLINK("https://ibp.a2mac1.com/costing(costing:projects/details/9760/equipment/12211741)","DC machine - General")</f>
        <v>DC machine - General</v>
      </c>
      <c r="B520">
        <v>12211741</v>
      </c>
      <c r="C520">
        <v>12084643</v>
      </c>
      <c r="E520" t="s">
        <v>738</v>
      </c>
      <c r="H520" t="s">
        <v>162</v>
      </c>
      <c r="I520">
        <v>116914.84457142858</v>
      </c>
      <c r="J520">
        <v>0</v>
      </c>
      <c r="K520">
        <v>3.6</v>
      </c>
      <c r="L520">
        <v>0</v>
      </c>
      <c r="M520">
        <v>27.497982091197134</v>
      </c>
      <c r="N520">
        <v>0</v>
      </c>
      <c r="O520">
        <v>3.8191641793329352E-2</v>
      </c>
      <c r="P520">
        <v>5.7381666666666666E-3</v>
      </c>
      <c r="Q520">
        <v>1.1732166376415484E-2</v>
      </c>
      <c r="R520">
        <v>635568</v>
      </c>
      <c r="S520">
        <v>0</v>
      </c>
      <c r="T520">
        <v>0</v>
      </c>
      <c r="V520">
        <v>10800</v>
      </c>
      <c r="W520">
        <v>7</v>
      </c>
      <c r="X520">
        <v>85</v>
      </c>
      <c r="Y520">
        <v>3</v>
      </c>
      <c r="Z520">
        <v>4</v>
      </c>
      <c r="AA520">
        <v>5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3</v>
      </c>
      <c r="AJ520">
        <v>0</v>
      </c>
      <c r="AK520">
        <v>0</v>
      </c>
      <c r="AL520">
        <v>100</v>
      </c>
      <c r="AM520">
        <v>45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100</v>
      </c>
      <c r="AU520">
        <v>0</v>
      </c>
      <c r="AV520">
        <v>0</v>
      </c>
    </row>
    <row r="521" spans="1:48" x14ac:dyDescent="0.15">
      <c r="A521" s="4" t="str">
        <f>HYPERLINK("https://ibp.a2mac1.com/costing(costing:projects/details/9760/equipment/12211742)","DC machine - General")</f>
        <v>DC machine - General</v>
      </c>
      <c r="B521">
        <v>12211742</v>
      </c>
      <c r="C521">
        <v>12084644</v>
      </c>
      <c r="E521" t="s">
        <v>738</v>
      </c>
      <c r="H521" t="s">
        <v>162</v>
      </c>
      <c r="I521">
        <v>116914.84457142858</v>
      </c>
      <c r="J521">
        <v>0</v>
      </c>
      <c r="K521">
        <v>3.6</v>
      </c>
      <c r="L521">
        <v>0</v>
      </c>
      <c r="M521">
        <v>27.497982091197134</v>
      </c>
      <c r="N521">
        <v>0</v>
      </c>
      <c r="O521">
        <v>8.4021611945324579E-2</v>
      </c>
      <c r="P521">
        <v>1.2623966666666667E-2</v>
      </c>
      <c r="Q521">
        <v>1.1732166376415484E-2</v>
      </c>
      <c r="R521">
        <v>635568</v>
      </c>
      <c r="S521">
        <v>0</v>
      </c>
      <c r="T521">
        <v>0</v>
      </c>
      <c r="V521">
        <v>10800</v>
      </c>
      <c r="W521">
        <v>7</v>
      </c>
      <c r="X521">
        <v>85</v>
      </c>
      <c r="Y521">
        <v>3</v>
      </c>
      <c r="Z521">
        <v>4</v>
      </c>
      <c r="AA521">
        <v>5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3</v>
      </c>
      <c r="AJ521">
        <v>0</v>
      </c>
      <c r="AK521">
        <v>0</v>
      </c>
      <c r="AL521">
        <v>100</v>
      </c>
      <c r="AM521">
        <v>45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100</v>
      </c>
      <c r="AU521">
        <v>0</v>
      </c>
      <c r="AV521">
        <v>0</v>
      </c>
    </row>
    <row r="522" spans="1:48" x14ac:dyDescent="0.15">
      <c r="A522" s="4" t="str">
        <f>HYPERLINK("https://ibp.a2mac1.com/costing(costing:projects/details/9760/equipment/12211743)","DC machine - General")</f>
        <v>DC machine - General</v>
      </c>
      <c r="B522">
        <v>12211743</v>
      </c>
      <c r="C522">
        <v>12084645</v>
      </c>
      <c r="E522" t="s">
        <v>738</v>
      </c>
      <c r="H522" t="s">
        <v>162</v>
      </c>
      <c r="I522">
        <v>116914.84457142858</v>
      </c>
      <c r="J522">
        <v>0</v>
      </c>
      <c r="K522">
        <v>3.6</v>
      </c>
      <c r="L522">
        <v>0</v>
      </c>
      <c r="M522">
        <v>27.497982091197134</v>
      </c>
      <c r="N522">
        <v>0</v>
      </c>
      <c r="O522">
        <v>9.1659940303990453E-2</v>
      </c>
      <c r="P522">
        <v>1.37716E-2</v>
      </c>
      <c r="Q522">
        <v>1.1732166376415484E-2</v>
      </c>
      <c r="R522">
        <v>635568</v>
      </c>
      <c r="S522">
        <v>0</v>
      </c>
      <c r="T522">
        <v>0</v>
      </c>
      <c r="V522">
        <v>10800</v>
      </c>
      <c r="W522">
        <v>7</v>
      </c>
      <c r="X522">
        <v>85</v>
      </c>
      <c r="Y522">
        <v>3</v>
      </c>
      <c r="Z522">
        <v>4</v>
      </c>
      <c r="AA522">
        <v>5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3</v>
      </c>
      <c r="AJ522">
        <v>0</v>
      </c>
      <c r="AK522">
        <v>0</v>
      </c>
      <c r="AL522">
        <v>100</v>
      </c>
      <c r="AM522">
        <v>45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100</v>
      </c>
      <c r="AU522">
        <v>0</v>
      </c>
      <c r="AV522">
        <v>0</v>
      </c>
    </row>
    <row r="523" spans="1:48" x14ac:dyDescent="0.15">
      <c r="A523" s="4" t="str">
        <f>HYPERLINK("https://ibp.a2mac1.com/costing(costing:projects/details/9760/equipment/12211744)","DC machine - General")</f>
        <v>DC machine - General</v>
      </c>
      <c r="B523">
        <v>12211744</v>
      </c>
      <c r="C523">
        <v>12084646</v>
      </c>
      <c r="E523" t="s">
        <v>738</v>
      </c>
      <c r="H523" t="s">
        <v>162</v>
      </c>
      <c r="I523">
        <v>116914.84457142858</v>
      </c>
      <c r="J523">
        <v>0</v>
      </c>
      <c r="K523">
        <v>3.6</v>
      </c>
      <c r="L523">
        <v>0</v>
      </c>
      <c r="M523">
        <v>27.497982091197134</v>
      </c>
      <c r="N523">
        <v>0</v>
      </c>
      <c r="O523">
        <v>3.8191641793329352E-2</v>
      </c>
      <c r="P523">
        <v>5.7381666666666666E-3</v>
      </c>
      <c r="Q523">
        <v>1.1732166376415484E-2</v>
      </c>
      <c r="R523">
        <v>635568</v>
      </c>
      <c r="S523">
        <v>0</v>
      </c>
      <c r="T523">
        <v>0</v>
      </c>
      <c r="V523">
        <v>10800</v>
      </c>
      <c r="W523">
        <v>7</v>
      </c>
      <c r="X523">
        <v>85</v>
      </c>
      <c r="Y523">
        <v>3</v>
      </c>
      <c r="Z523">
        <v>4</v>
      </c>
      <c r="AA523">
        <v>5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3</v>
      </c>
      <c r="AJ523">
        <v>0</v>
      </c>
      <c r="AK523">
        <v>0</v>
      </c>
      <c r="AL523">
        <v>100</v>
      </c>
      <c r="AM523">
        <v>45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100</v>
      </c>
      <c r="AU523">
        <v>0</v>
      </c>
      <c r="AV523">
        <v>0</v>
      </c>
    </row>
    <row r="524" spans="1:48" x14ac:dyDescent="0.15">
      <c r="A524" s="4" t="str">
        <f>HYPERLINK("https://ibp.a2mac1.com/costing(costing:projects/details/9760/equipment/12211745)","DC machine - General")</f>
        <v>DC machine - General</v>
      </c>
      <c r="B524">
        <v>12211745</v>
      </c>
      <c r="C524">
        <v>12084647</v>
      </c>
      <c r="E524" t="s">
        <v>738</v>
      </c>
      <c r="H524" t="s">
        <v>162</v>
      </c>
      <c r="I524">
        <v>116914.84457142858</v>
      </c>
      <c r="J524">
        <v>0</v>
      </c>
      <c r="K524">
        <v>3.6</v>
      </c>
      <c r="L524">
        <v>0</v>
      </c>
      <c r="M524">
        <v>27.497982091197134</v>
      </c>
      <c r="N524">
        <v>0</v>
      </c>
      <c r="O524">
        <v>3.0553313434663484E-2</v>
      </c>
      <c r="P524">
        <v>4.5905333333333331E-3</v>
      </c>
      <c r="Q524">
        <v>1.1732166376415484E-2</v>
      </c>
      <c r="R524">
        <v>635568</v>
      </c>
      <c r="S524">
        <v>0</v>
      </c>
      <c r="T524">
        <v>0</v>
      </c>
      <c r="V524">
        <v>10800</v>
      </c>
      <c r="W524">
        <v>7</v>
      </c>
      <c r="X524">
        <v>85</v>
      </c>
      <c r="Y524">
        <v>3</v>
      </c>
      <c r="Z524">
        <v>4</v>
      </c>
      <c r="AA524">
        <v>5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3</v>
      </c>
      <c r="AJ524">
        <v>0</v>
      </c>
      <c r="AK524">
        <v>0</v>
      </c>
      <c r="AL524">
        <v>100</v>
      </c>
      <c r="AM524">
        <v>45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100</v>
      </c>
      <c r="AU524">
        <v>0</v>
      </c>
      <c r="AV524">
        <v>0</v>
      </c>
    </row>
    <row r="525" spans="1:48" x14ac:dyDescent="0.15">
      <c r="A525" s="4" t="str">
        <f>HYPERLINK("https://ibp.a2mac1.com/costing(costing:projects/details/9760/equipment/12211746)","DC machine - General")</f>
        <v>DC machine - General</v>
      </c>
      <c r="B525">
        <v>12211746</v>
      </c>
      <c r="C525">
        <v>12084648</v>
      </c>
      <c r="E525" t="s">
        <v>738</v>
      </c>
      <c r="H525" t="s">
        <v>162</v>
      </c>
      <c r="I525">
        <v>116914.84457142858</v>
      </c>
      <c r="J525">
        <v>0</v>
      </c>
      <c r="K525">
        <v>3.6</v>
      </c>
      <c r="L525">
        <v>0</v>
      </c>
      <c r="M525">
        <v>27.497982091197134</v>
      </c>
      <c r="N525">
        <v>0</v>
      </c>
      <c r="O525">
        <v>2.2914985075997613E-2</v>
      </c>
      <c r="P525">
        <v>3.4429E-3</v>
      </c>
      <c r="Q525">
        <v>1.1732166376415484E-2</v>
      </c>
      <c r="R525">
        <v>635568</v>
      </c>
      <c r="S525">
        <v>0</v>
      </c>
      <c r="T525">
        <v>0</v>
      </c>
      <c r="V525">
        <v>10800</v>
      </c>
      <c r="W525">
        <v>7</v>
      </c>
      <c r="X525">
        <v>85</v>
      </c>
      <c r="Y525">
        <v>3</v>
      </c>
      <c r="Z525">
        <v>4</v>
      </c>
      <c r="AA525">
        <v>5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3</v>
      </c>
      <c r="AJ525">
        <v>0</v>
      </c>
      <c r="AK525">
        <v>0</v>
      </c>
      <c r="AL525">
        <v>100</v>
      </c>
      <c r="AM525">
        <v>45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100</v>
      </c>
      <c r="AU525">
        <v>0</v>
      </c>
      <c r="AV525">
        <v>0</v>
      </c>
    </row>
    <row r="526" spans="1:48" x14ac:dyDescent="0.15">
      <c r="A526" s="4" t="str">
        <f>HYPERLINK("https://ibp.a2mac1.com/costing(costing:projects/details/9760/equipment/12211747)","DC machine - General")</f>
        <v>DC machine - General</v>
      </c>
      <c r="B526">
        <v>12211747</v>
      </c>
      <c r="C526">
        <v>12084649</v>
      </c>
      <c r="E526" t="s">
        <v>738</v>
      </c>
      <c r="H526" t="s">
        <v>162</v>
      </c>
      <c r="I526">
        <v>116914.84457142858</v>
      </c>
      <c r="J526">
        <v>0</v>
      </c>
      <c r="K526">
        <v>3.6</v>
      </c>
      <c r="L526">
        <v>0</v>
      </c>
      <c r="M526">
        <v>27.497982091197134</v>
      </c>
      <c r="N526">
        <v>0</v>
      </c>
      <c r="O526">
        <v>7.6383283586658711E-3</v>
      </c>
      <c r="P526">
        <v>1.1476333333333333E-3</v>
      </c>
      <c r="Q526">
        <v>2.9330415941038711E-3</v>
      </c>
      <c r="R526">
        <v>635568</v>
      </c>
      <c r="S526">
        <v>0</v>
      </c>
      <c r="T526">
        <v>0</v>
      </c>
      <c r="V526">
        <v>10800</v>
      </c>
      <c r="W526">
        <v>7</v>
      </c>
      <c r="X526">
        <v>85</v>
      </c>
      <c r="Y526">
        <v>3</v>
      </c>
      <c r="Z526">
        <v>4</v>
      </c>
      <c r="AA526">
        <v>5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3</v>
      </c>
      <c r="AJ526">
        <v>0</v>
      </c>
      <c r="AK526">
        <v>0</v>
      </c>
      <c r="AL526">
        <v>100</v>
      </c>
      <c r="AM526">
        <v>45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100</v>
      </c>
      <c r="AU526">
        <v>0</v>
      </c>
      <c r="AV526">
        <v>0</v>
      </c>
    </row>
    <row r="527" spans="1:48" x14ac:dyDescent="0.15">
      <c r="A527" s="4" t="str">
        <f>HYPERLINK("https://ibp.a2mac1.com/costing(costing:projects/details/9760/equipment/12211748)","DC machine - General")</f>
        <v>DC machine - General</v>
      </c>
      <c r="B527">
        <v>12211748</v>
      </c>
      <c r="C527">
        <v>12084650</v>
      </c>
      <c r="E527" t="s">
        <v>738</v>
      </c>
      <c r="H527" t="s">
        <v>162</v>
      </c>
      <c r="I527">
        <v>116914.84457142858</v>
      </c>
      <c r="J527">
        <v>0</v>
      </c>
      <c r="K527">
        <v>3.6</v>
      </c>
      <c r="L527">
        <v>0</v>
      </c>
      <c r="M527">
        <v>27.497982091197134</v>
      </c>
      <c r="N527">
        <v>0</v>
      </c>
      <c r="O527">
        <v>1.5276656717331742E-2</v>
      </c>
      <c r="P527">
        <v>2.2952666666666665E-3</v>
      </c>
      <c r="Q527">
        <v>5.8660831882077422E-3</v>
      </c>
      <c r="R527">
        <v>635568</v>
      </c>
      <c r="S527">
        <v>0</v>
      </c>
      <c r="T527">
        <v>0</v>
      </c>
      <c r="V527">
        <v>10800</v>
      </c>
      <c r="W527">
        <v>7</v>
      </c>
      <c r="X527">
        <v>85</v>
      </c>
      <c r="Y527">
        <v>3</v>
      </c>
      <c r="Z527">
        <v>4</v>
      </c>
      <c r="AA527">
        <v>5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3</v>
      </c>
      <c r="AJ527">
        <v>0</v>
      </c>
      <c r="AK527">
        <v>0</v>
      </c>
      <c r="AL527">
        <v>100</v>
      </c>
      <c r="AM527">
        <v>45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100</v>
      </c>
      <c r="AU527">
        <v>0</v>
      </c>
      <c r="AV527">
        <v>0</v>
      </c>
    </row>
    <row r="528" spans="1:48" x14ac:dyDescent="0.15">
      <c r="A528" s="4" t="str">
        <f>HYPERLINK("https://ibp.a2mac1.com/costing(costing:projects/details/9760/equipment/12211749)","DC machine - General")</f>
        <v>DC machine - General</v>
      </c>
      <c r="B528">
        <v>12211749</v>
      </c>
      <c r="C528">
        <v>12084651</v>
      </c>
      <c r="E528" t="s">
        <v>738</v>
      </c>
      <c r="H528" t="s">
        <v>162</v>
      </c>
      <c r="I528">
        <v>116914.84457142858</v>
      </c>
      <c r="J528">
        <v>0</v>
      </c>
      <c r="K528">
        <v>3.6</v>
      </c>
      <c r="L528">
        <v>0</v>
      </c>
      <c r="M528">
        <v>27.497982091197134</v>
      </c>
      <c r="N528">
        <v>0</v>
      </c>
      <c r="O528">
        <v>4.5829970151995227E-2</v>
      </c>
      <c r="P528">
        <v>6.8858000000000001E-3</v>
      </c>
      <c r="Q528">
        <v>1.1732166376415484E-2</v>
      </c>
      <c r="R528">
        <v>635568</v>
      </c>
      <c r="S528">
        <v>0</v>
      </c>
      <c r="T528">
        <v>0</v>
      </c>
      <c r="V528">
        <v>10800</v>
      </c>
      <c r="W528">
        <v>7</v>
      </c>
      <c r="X528">
        <v>85</v>
      </c>
      <c r="Y528">
        <v>3</v>
      </c>
      <c r="Z528">
        <v>4</v>
      </c>
      <c r="AA528">
        <v>5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3</v>
      </c>
      <c r="AJ528">
        <v>0</v>
      </c>
      <c r="AK528">
        <v>0</v>
      </c>
      <c r="AL528">
        <v>100</v>
      </c>
      <c r="AM528">
        <v>45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100</v>
      </c>
      <c r="AU528">
        <v>0</v>
      </c>
      <c r="AV528">
        <v>0</v>
      </c>
    </row>
    <row r="529" spans="1:48" x14ac:dyDescent="0.15">
      <c r="A529" s="4" t="str">
        <f>HYPERLINK("https://ibp.a2mac1.com/costing(costing:projects/details/9760/equipment/12211750)","DC machine - General")</f>
        <v>DC machine - General</v>
      </c>
      <c r="B529">
        <v>12211750</v>
      </c>
      <c r="C529">
        <v>12084652</v>
      </c>
      <c r="E529" t="s">
        <v>738</v>
      </c>
      <c r="H529" t="s">
        <v>162</v>
      </c>
      <c r="I529">
        <v>116914.84457142858</v>
      </c>
      <c r="J529">
        <v>0</v>
      </c>
      <c r="K529">
        <v>3.6</v>
      </c>
      <c r="L529">
        <v>0</v>
      </c>
      <c r="M529">
        <v>27.497982091197134</v>
      </c>
      <c r="N529">
        <v>0</v>
      </c>
      <c r="O529">
        <v>0.28261814927063722</v>
      </c>
      <c r="P529">
        <v>4.2462433333333334E-2</v>
      </c>
      <c r="Q529">
        <v>1.1732166376415484E-2</v>
      </c>
      <c r="R529">
        <v>635568</v>
      </c>
      <c r="S529">
        <v>0</v>
      </c>
      <c r="T529">
        <v>0</v>
      </c>
      <c r="V529">
        <v>10800</v>
      </c>
      <c r="W529">
        <v>7</v>
      </c>
      <c r="X529">
        <v>85</v>
      </c>
      <c r="Y529">
        <v>3</v>
      </c>
      <c r="Z529">
        <v>4</v>
      </c>
      <c r="AA529">
        <v>5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3</v>
      </c>
      <c r="AJ529">
        <v>0</v>
      </c>
      <c r="AK529">
        <v>0</v>
      </c>
      <c r="AL529">
        <v>100</v>
      </c>
      <c r="AM529">
        <v>45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100</v>
      </c>
      <c r="AU529">
        <v>0</v>
      </c>
      <c r="AV529">
        <v>0</v>
      </c>
    </row>
    <row r="530" spans="1:48" x14ac:dyDescent="0.15">
      <c r="A530" s="4" t="str">
        <f>HYPERLINK("https://ibp.a2mac1.com/costing(costing:projects/details/9760/equipment/12211751)","DC machine - General")</f>
        <v>DC machine - General</v>
      </c>
      <c r="B530">
        <v>12211751</v>
      </c>
      <c r="C530">
        <v>12084653</v>
      </c>
      <c r="E530" t="s">
        <v>738</v>
      </c>
      <c r="H530" t="s">
        <v>162</v>
      </c>
      <c r="I530">
        <v>116914.84457142858</v>
      </c>
      <c r="J530">
        <v>0</v>
      </c>
      <c r="K530">
        <v>3.6</v>
      </c>
      <c r="L530">
        <v>0</v>
      </c>
      <c r="M530">
        <v>27.497982091197134</v>
      </c>
      <c r="N530">
        <v>0</v>
      </c>
      <c r="O530">
        <v>2.2914985075997613E-2</v>
      </c>
      <c r="P530">
        <v>3.4429E-3</v>
      </c>
      <c r="Q530">
        <v>1.1732166376415484E-2</v>
      </c>
      <c r="R530">
        <v>635568</v>
      </c>
      <c r="S530">
        <v>0</v>
      </c>
      <c r="T530">
        <v>0</v>
      </c>
      <c r="V530">
        <v>10800</v>
      </c>
      <c r="W530">
        <v>7</v>
      </c>
      <c r="X530">
        <v>85</v>
      </c>
      <c r="Y530">
        <v>3</v>
      </c>
      <c r="Z530">
        <v>4</v>
      </c>
      <c r="AA530">
        <v>5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3</v>
      </c>
      <c r="AJ530">
        <v>0</v>
      </c>
      <c r="AK530">
        <v>0</v>
      </c>
      <c r="AL530">
        <v>100</v>
      </c>
      <c r="AM530">
        <v>45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100</v>
      </c>
      <c r="AU530">
        <v>0</v>
      </c>
      <c r="AV530">
        <v>0</v>
      </c>
    </row>
    <row r="531" spans="1:48" x14ac:dyDescent="0.15">
      <c r="A531" s="4" t="str">
        <f>HYPERLINK("https://ibp.a2mac1.com/costing(costing:projects/details/9760/equipment/12211752)","DC machine - General")</f>
        <v>DC machine - General</v>
      </c>
      <c r="B531">
        <v>12211752</v>
      </c>
      <c r="C531">
        <v>12084654</v>
      </c>
      <c r="E531" t="s">
        <v>738</v>
      </c>
      <c r="H531" t="s">
        <v>162</v>
      </c>
      <c r="I531">
        <v>116914.84457142858</v>
      </c>
      <c r="J531">
        <v>0</v>
      </c>
      <c r="K531">
        <v>3.6</v>
      </c>
      <c r="L531">
        <v>0</v>
      </c>
      <c r="M531">
        <v>27.497982091197134</v>
      </c>
      <c r="N531">
        <v>0</v>
      </c>
      <c r="O531">
        <v>0.24442650747730787</v>
      </c>
      <c r="P531">
        <v>3.6724266666666665E-2</v>
      </c>
      <c r="Q531">
        <v>1.1732166376415484E-2</v>
      </c>
      <c r="R531">
        <v>635568</v>
      </c>
      <c r="S531">
        <v>0</v>
      </c>
      <c r="T531">
        <v>0</v>
      </c>
      <c r="V531">
        <v>10800</v>
      </c>
      <c r="W531">
        <v>7</v>
      </c>
      <c r="X531">
        <v>85</v>
      </c>
      <c r="Y531">
        <v>3</v>
      </c>
      <c r="Z531">
        <v>4</v>
      </c>
      <c r="AA531">
        <v>5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3</v>
      </c>
      <c r="AJ531">
        <v>0</v>
      </c>
      <c r="AK531">
        <v>0</v>
      </c>
      <c r="AL531">
        <v>100</v>
      </c>
      <c r="AM531">
        <v>45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100</v>
      </c>
      <c r="AU531">
        <v>0</v>
      </c>
      <c r="AV531">
        <v>0</v>
      </c>
    </row>
    <row r="532" spans="1:48" x14ac:dyDescent="0.15">
      <c r="A532" s="4" t="str">
        <f>HYPERLINK("https://ibp.a2mac1.com/costing(costing:projects/details/9760/equipment/12211753)","DC machine - General")</f>
        <v>DC machine - General</v>
      </c>
      <c r="B532">
        <v>12211753</v>
      </c>
      <c r="C532">
        <v>12084655</v>
      </c>
      <c r="E532" t="s">
        <v>738</v>
      </c>
      <c r="H532" t="s">
        <v>162</v>
      </c>
      <c r="I532">
        <v>116914.84457142858</v>
      </c>
      <c r="J532">
        <v>0</v>
      </c>
      <c r="K532">
        <v>3.6</v>
      </c>
      <c r="L532">
        <v>0</v>
      </c>
      <c r="M532">
        <v>27.497982091197134</v>
      </c>
      <c r="N532">
        <v>0</v>
      </c>
      <c r="O532">
        <v>8.4021611945324579E-2</v>
      </c>
      <c r="P532">
        <v>1.2623966666666667E-2</v>
      </c>
      <c r="Q532">
        <v>1.1732166376415484E-2</v>
      </c>
      <c r="R532">
        <v>635568</v>
      </c>
      <c r="S532">
        <v>0</v>
      </c>
      <c r="T532">
        <v>0</v>
      </c>
      <c r="V532">
        <v>10800</v>
      </c>
      <c r="W532">
        <v>7</v>
      </c>
      <c r="X532">
        <v>85</v>
      </c>
      <c r="Y532">
        <v>3</v>
      </c>
      <c r="Z532">
        <v>4</v>
      </c>
      <c r="AA532">
        <v>5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3</v>
      </c>
      <c r="AJ532">
        <v>0</v>
      </c>
      <c r="AK532">
        <v>0</v>
      </c>
      <c r="AL532">
        <v>100</v>
      </c>
      <c r="AM532">
        <v>45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100</v>
      </c>
      <c r="AU532">
        <v>0</v>
      </c>
      <c r="AV532">
        <v>0</v>
      </c>
    </row>
    <row r="533" spans="1:48" x14ac:dyDescent="0.15">
      <c r="A533" s="4" t="str">
        <f>HYPERLINK("https://ibp.a2mac1.com/costing(costing:projects/details/9760/equipment/12211754)","DC machine - General")</f>
        <v>DC machine - General</v>
      </c>
      <c r="B533">
        <v>12211754</v>
      </c>
      <c r="C533">
        <v>12084656</v>
      </c>
      <c r="E533" t="s">
        <v>738</v>
      </c>
      <c r="H533" t="s">
        <v>162</v>
      </c>
      <c r="I533">
        <v>116914.84457142858</v>
      </c>
      <c r="J533">
        <v>0</v>
      </c>
      <c r="K533">
        <v>3.6</v>
      </c>
      <c r="L533">
        <v>0</v>
      </c>
      <c r="M533">
        <v>27.497982091197134</v>
      </c>
      <c r="N533">
        <v>0</v>
      </c>
      <c r="O533">
        <v>0.22151152240131025</v>
      </c>
      <c r="P533">
        <v>3.3281366666666666E-2</v>
      </c>
      <c r="Q533">
        <v>1.1732166376415484E-2</v>
      </c>
      <c r="R533">
        <v>635568</v>
      </c>
      <c r="S533">
        <v>0</v>
      </c>
      <c r="T533">
        <v>0</v>
      </c>
      <c r="V533">
        <v>10800</v>
      </c>
      <c r="W533">
        <v>7</v>
      </c>
      <c r="X533">
        <v>85</v>
      </c>
      <c r="Y533">
        <v>3</v>
      </c>
      <c r="Z533">
        <v>4</v>
      </c>
      <c r="AA533">
        <v>5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3</v>
      </c>
      <c r="AJ533">
        <v>0</v>
      </c>
      <c r="AK533">
        <v>0</v>
      </c>
      <c r="AL533">
        <v>100</v>
      </c>
      <c r="AM533">
        <v>45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100</v>
      </c>
      <c r="AU533">
        <v>0</v>
      </c>
      <c r="AV533">
        <v>0</v>
      </c>
    </row>
    <row r="534" spans="1:48" x14ac:dyDescent="0.15">
      <c r="A534" s="4" t="str">
        <f>HYPERLINK("https://ibp.a2mac1.com/costing(costing:projects/details/9760/equipment/12211755)","DC machine - General")</f>
        <v>DC machine - General</v>
      </c>
      <c r="B534">
        <v>12211755</v>
      </c>
      <c r="C534">
        <v>12084657</v>
      </c>
      <c r="E534" t="s">
        <v>738</v>
      </c>
      <c r="H534" t="s">
        <v>162</v>
      </c>
      <c r="I534">
        <v>116914.84457142858</v>
      </c>
      <c r="J534">
        <v>0</v>
      </c>
      <c r="K534">
        <v>3.6</v>
      </c>
      <c r="L534">
        <v>0</v>
      </c>
      <c r="M534">
        <v>27.497982091197134</v>
      </c>
      <c r="N534">
        <v>0</v>
      </c>
      <c r="O534">
        <v>0.473576358237284</v>
      </c>
      <c r="P534">
        <v>7.1153266666666673E-2</v>
      </c>
      <c r="Q534">
        <v>1.1732166376415484E-2</v>
      </c>
      <c r="R534">
        <v>635568</v>
      </c>
      <c r="S534">
        <v>0</v>
      </c>
      <c r="T534">
        <v>0</v>
      </c>
      <c r="V534">
        <v>10800</v>
      </c>
      <c r="W534">
        <v>7</v>
      </c>
      <c r="X534">
        <v>85</v>
      </c>
      <c r="Y534">
        <v>3</v>
      </c>
      <c r="Z534">
        <v>4</v>
      </c>
      <c r="AA534">
        <v>5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3</v>
      </c>
      <c r="AJ534">
        <v>0</v>
      </c>
      <c r="AK534">
        <v>0</v>
      </c>
      <c r="AL534">
        <v>100</v>
      </c>
      <c r="AM534">
        <v>45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100</v>
      </c>
      <c r="AU534">
        <v>0</v>
      </c>
      <c r="AV534">
        <v>0</v>
      </c>
    </row>
    <row r="535" spans="1:48" x14ac:dyDescent="0.15">
      <c r="A535" s="4" t="str">
        <f>HYPERLINK("https://ibp.a2mac1.com/costing(costing:projects/details/9760/equipment/12211756)","DC machine - General")</f>
        <v>DC machine - General</v>
      </c>
      <c r="B535">
        <v>12211756</v>
      </c>
      <c r="C535">
        <v>12084658</v>
      </c>
      <c r="E535" t="s">
        <v>738</v>
      </c>
      <c r="H535" t="s">
        <v>162</v>
      </c>
      <c r="I535">
        <v>116914.84457142858</v>
      </c>
      <c r="J535">
        <v>0</v>
      </c>
      <c r="K535">
        <v>3.6</v>
      </c>
      <c r="L535">
        <v>0</v>
      </c>
      <c r="M535">
        <v>27.497982091197134</v>
      </c>
      <c r="N535">
        <v>0</v>
      </c>
      <c r="O535">
        <v>0.18331988060798091</v>
      </c>
      <c r="P535">
        <v>2.75432E-2</v>
      </c>
      <c r="Q535">
        <v>1.1732166376415484E-2</v>
      </c>
      <c r="R535">
        <v>635568</v>
      </c>
      <c r="S535">
        <v>0</v>
      </c>
      <c r="T535">
        <v>0</v>
      </c>
      <c r="V535">
        <v>10800</v>
      </c>
      <c r="W535">
        <v>7</v>
      </c>
      <c r="X535">
        <v>85</v>
      </c>
      <c r="Y535">
        <v>3</v>
      </c>
      <c r="Z535">
        <v>4</v>
      </c>
      <c r="AA535">
        <v>5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3</v>
      </c>
      <c r="AJ535">
        <v>0</v>
      </c>
      <c r="AK535">
        <v>0</v>
      </c>
      <c r="AL535">
        <v>100</v>
      </c>
      <c r="AM535">
        <v>45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100</v>
      </c>
      <c r="AU535">
        <v>0</v>
      </c>
      <c r="AV535">
        <v>0</v>
      </c>
    </row>
    <row r="536" spans="1:48" x14ac:dyDescent="0.15">
      <c r="A536" s="4" t="str">
        <f>HYPERLINK("https://ibp.a2mac1.com/costing(costing:projects/details/9760/equipment/12211757)","DC machine - General")</f>
        <v>DC machine - General</v>
      </c>
      <c r="B536">
        <v>12211757</v>
      </c>
      <c r="C536">
        <v>12084659</v>
      </c>
      <c r="E536" t="s">
        <v>738</v>
      </c>
      <c r="H536" t="s">
        <v>162</v>
      </c>
      <c r="I536">
        <v>116914.84457142858</v>
      </c>
      <c r="J536">
        <v>0</v>
      </c>
      <c r="K536">
        <v>3.6</v>
      </c>
      <c r="L536">
        <v>0</v>
      </c>
      <c r="M536">
        <v>27.497982091197134</v>
      </c>
      <c r="N536">
        <v>0</v>
      </c>
      <c r="O536">
        <v>2.2914985075997613E-2</v>
      </c>
      <c r="P536">
        <v>3.4429E-3</v>
      </c>
      <c r="Q536">
        <v>1.1732166376415484E-2</v>
      </c>
      <c r="R536">
        <v>635568</v>
      </c>
      <c r="S536">
        <v>0</v>
      </c>
      <c r="T536">
        <v>0</v>
      </c>
      <c r="V536">
        <v>10800</v>
      </c>
      <c r="W536">
        <v>7</v>
      </c>
      <c r="X536">
        <v>85</v>
      </c>
      <c r="Y536">
        <v>3</v>
      </c>
      <c r="Z536">
        <v>4</v>
      </c>
      <c r="AA536">
        <v>5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3</v>
      </c>
      <c r="AJ536">
        <v>0</v>
      </c>
      <c r="AK536">
        <v>0</v>
      </c>
      <c r="AL536">
        <v>100</v>
      </c>
      <c r="AM536">
        <v>45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100</v>
      </c>
      <c r="AU536">
        <v>0</v>
      </c>
      <c r="AV536">
        <v>0</v>
      </c>
    </row>
    <row r="537" spans="1:48" x14ac:dyDescent="0.15">
      <c r="A537" s="4" t="str">
        <f>HYPERLINK("https://ibp.a2mac1.com/costing(costing:projects/details/9760/equipment/12211846)","DC machine - General")</f>
        <v>DC machine - General</v>
      </c>
      <c r="B537">
        <v>12211846</v>
      </c>
      <c r="C537">
        <v>12084748</v>
      </c>
      <c r="E537" t="s">
        <v>738</v>
      </c>
      <c r="H537" t="s">
        <v>162</v>
      </c>
      <c r="I537">
        <v>116914.84457142858</v>
      </c>
      <c r="J537">
        <v>0</v>
      </c>
      <c r="K537">
        <v>3.6</v>
      </c>
      <c r="L537">
        <v>0</v>
      </c>
      <c r="M537">
        <v>27.497982091197134</v>
      </c>
      <c r="N537">
        <v>0</v>
      </c>
      <c r="O537">
        <v>0.12985158209731981</v>
      </c>
      <c r="P537">
        <v>1.9509766666666668E-2</v>
      </c>
      <c r="Q537">
        <v>1.1732166376415484E-2</v>
      </c>
      <c r="R537">
        <v>635568</v>
      </c>
      <c r="S537">
        <v>0</v>
      </c>
      <c r="T537">
        <v>0</v>
      </c>
      <c r="V537">
        <v>10800</v>
      </c>
      <c r="W537">
        <v>7</v>
      </c>
      <c r="X537">
        <v>85</v>
      </c>
      <c r="Y537">
        <v>3</v>
      </c>
      <c r="Z537">
        <v>4</v>
      </c>
      <c r="AA537">
        <v>5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3</v>
      </c>
      <c r="AJ537">
        <v>0</v>
      </c>
      <c r="AK537">
        <v>0</v>
      </c>
      <c r="AL537">
        <v>100</v>
      </c>
      <c r="AM537">
        <v>45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100</v>
      </c>
      <c r="AU537">
        <v>0</v>
      </c>
      <c r="AV537">
        <v>0</v>
      </c>
    </row>
    <row r="538" spans="1:48" x14ac:dyDescent="0.15">
      <c r="A538" s="4" t="str">
        <f>HYPERLINK("https://ibp.a2mac1.com/costing(costing:projects/details/9760/equipment/12211847)","DC machine - General")</f>
        <v>DC machine - General</v>
      </c>
      <c r="B538">
        <v>12211847</v>
      </c>
      <c r="C538">
        <v>12084749</v>
      </c>
      <c r="E538" t="s">
        <v>738</v>
      </c>
      <c r="H538" t="s">
        <v>162</v>
      </c>
      <c r="I538">
        <v>116914.84457142858</v>
      </c>
      <c r="J538">
        <v>0</v>
      </c>
      <c r="K538">
        <v>3.6</v>
      </c>
      <c r="L538">
        <v>0</v>
      </c>
      <c r="M538">
        <v>27.497982091197134</v>
      </c>
      <c r="N538">
        <v>0</v>
      </c>
      <c r="O538">
        <v>1.5276656717331742E-2</v>
      </c>
      <c r="P538">
        <v>2.2952666666666665E-3</v>
      </c>
      <c r="Q538">
        <v>1.1732166376415484E-2</v>
      </c>
      <c r="R538">
        <v>635568</v>
      </c>
      <c r="S538">
        <v>0</v>
      </c>
      <c r="T538">
        <v>0</v>
      </c>
      <c r="V538">
        <v>10800</v>
      </c>
      <c r="W538">
        <v>7</v>
      </c>
      <c r="X538">
        <v>85</v>
      </c>
      <c r="Y538">
        <v>3</v>
      </c>
      <c r="Z538">
        <v>4</v>
      </c>
      <c r="AA538">
        <v>5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3</v>
      </c>
      <c r="AJ538">
        <v>0</v>
      </c>
      <c r="AK538">
        <v>0</v>
      </c>
      <c r="AL538">
        <v>100</v>
      </c>
      <c r="AM538">
        <v>45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100</v>
      </c>
      <c r="AU538">
        <v>0</v>
      </c>
      <c r="AV538">
        <v>0</v>
      </c>
    </row>
    <row r="539" spans="1:48" x14ac:dyDescent="0.15">
      <c r="A539" s="4" t="str">
        <f>HYPERLINK("https://ibp.a2mac1.com/costing(costing:projects/details/9760/equipment/12211848)","DC machine - General")</f>
        <v>DC machine - General</v>
      </c>
      <c r="B539">
        <v>12211848</v>
      </c>
      <c r="C539">
        <v>12084750</v>
      </c>
      <c r="E539" t="s">
        <v>738</v>
      </c>
      <c r="H539" t="s">
        <v>162</v>
      </c>
      <c r="I539">
        <v>116914.84457142858</v>
      </c>
      <c r="J539">
        <v>0</v>
      </c>
      <c r="K539">
        <v>3.6</v>
      </c>
      <c r="L539">
        <v>0</v>
      </c>
      <c r="M539">
        <v>27.497982091197134</v>
      </c>
      <c r="N539">
        <v>0</v>
      </c>
      <c r="O539">
        <v>0.87840776124657516</v>
      </c>
      <c r="P539">
        <v>0.13197783333333332</v>
      </c>
      <c r="Q539">
        <v>1.1732166376415484E-2</v>
      </c>
      <c r="R539">
        <v>635568</v>
      </c>
      <c r="S539">
        <v>0</v>
      </c>
      <c r="T539">
        <v>0</v>
      </c>
      <c r="V539">
        <v>10800</v>
      </c>
      <c r="W539">
        <v>7</v>
      </c>
      <c r="X539">
        <v>85</v>
      </c>
      <c r="Y539">
        <v>3</v>
      </c>
      <c r="Z539">
        <v>4</v>
      </c>
      <c r="AA539">
        <v>5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3</v>
      </c>
      <c r="AJ539">
        <v>0</v>
      </c>
      <c r="AK539">
        <v>0</v>
      </c>
      <c r="AL539">
        <v>100</v>
      </c>
      <c r="AM539">
        <v>45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100</v>
      </c>
      <c r="AU539">
        <v>0</v>
      </c>
      <c r="AV539">
        <v>0</v>
      </c>
    </row>
    <row r="540" spans="1:48" x14ac:dyDescent="0.15">
      <c r="A540" s="4" t="str">
        <f>HYPERLINK("https://ibp.a2mac1.com/costing(costing:projects/details/9760/equipment/12211773)","Dummy Machine (PCBA+Final Assembly Line)")</f>
        <v>Dummy Machine (PCBA+Final Assembly Line)</v>
      </c>
      <c r="B540">
        <v>12211773</v>
      </c>
      <c r="C540">
        <v>12084675</v>
      </c>
      <c r="F540" t="s">
        <v>358</v>
      </c>
      <c r="H540" t="s">
        <v>162</v>
      </c>
      <c r="I540">
        <v>79501.662769714283</v>
      </c>
      <c r="J540">
        <v>0</v>
      </c>
      <c r="K540">
        <v>0.28895999999999999</v>
      </c>
      <c r="L540">
        <v>0</v>
      </c>
      <c r="M540">
        <v>16.624578413647427</v>
      </c>
      <c r="N540">
        <v>0</v>
      </c>
      <c r="O540">
        <v>0.30940187603177155</v>
      </c>
      <c r="P540">
        <v>5.3824003333333335E-2</v>
      </c>
      <c r="Q540">
        <v>1.1481975848188456E-4</v>
      </c>
      <c r="R540">
        <v>442771.1</v>
      </c>
      <c r="S540">
        <v>0</v>
      </c>
      <c r="T540">
        <v>0</v>
      </c>
      <c r="V540">
        <v>216</v>
      </c>
      <c r="W540">
        <v>7</v>
      </c>
      <c r="X540">
        <v>85</v>
      </c>
      <c r="Y540">
        <v>3</v>
      </c>
      <c r="Z540">
        <v>4</v>
      </c>
      <c r="AA540">
        <v>5</v>
      </c>
      <c r="AB540">
        <v>0</v>
      </c>
      <c r="AC540">
        <v>0</v>
      </c>
      <c r="AD540">
        <v>0</v>
      </c>
      <c r="AE540">
        <v>0</v>
      </c>
      <c r="AF540">
        <v>0.7</v>
      </c>
      <c r="AG540">
        <v>0</v>
      </c>
      <c r="AH540">
        <v>0</v>
      </c>
      <c r="AI540">
        <v>0.2</v>
      </c>
      <c r="AJ540">
        <v>0</v>
      </c>
      <c r="AK540">
        <v>0</v>
      </c>
      <c r="AL540">
        <v>86</v>
      </c>
      <c r="AM540">
        <v>4.2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19.399999999999999</v>
      </c>
      <c r="AU540">
        <v>0</v>
      </c>
      <c r="AV540">
        <v>0</v>
      </c>
    </row>
    <row r="541" spans="1:48" x14ac:dyDescent="0.15">
      <c r="A541" s="4" t="str">
        <f>HYPERLINK("https://ibp.a2mac1.com/costing(costing:projects/details/9760/equipment/12211758)","DC machine - General")</f>
        <v>DC machine - General</v>
      </c>
      <c r="B541">
        <v>12211758</v>
      </c>
      <c r="C541">
        <v>12084660</v>
      </c>
      <c r="E541" t="s">
        <v>738</v>
      </c>
      <c r="H541" t="s">
        <v>162</v>
      </c>
      <c r="I541">
        <v>116914.84457142858</v>
      </c>
      <c r="J541">
        <v>0</v>
      </c>
      <c r="K541">
        <v>3.6</v>
      </c>
      <c r="L541">
        <v>0</v>
      </c>
      <c r="M541">
        <v>27.497982091197134</v>
      </c>
      <c r="N541">
        <v>0</v>
      </c>
      <c r="O541">
        <v>9.9298268662656314E-2</v>
      </c>
      <c r="P541">
        <v>1.4919233333333334E-2</v>
      </c>
      <c r="Q541">
        <v>1.1732166376415484E-2</v>
      </c>
      <c r="R541">
        <v>635568</v>
      </c>
      <c r="S541">
        <v>0</v>
      </c>
      <c r="T541">
        <v>0</v>
      </c>
      <c r="V541">
        <v>10800</v>
      </c>
      <c r="W541">
        <v>7</v>
      </c>
      <c r="X541">
        <v>85</v>
      </c>
      <c r="Y541">
        <v>3</v>
      </c>
      <c r="Z541">
        <v>4</v>
      </c>
      <c r="AA541">
        <v>5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3</v>
      </c>
      <c r="AJ541">
        <v>0</v>
      </c>
      <c r="AK541">
        <v>0</v>
      </c>
      <c r="AL541">
        <v>100</v>
      </c>
      <c r="AM541">
        <v>45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100</v>
      </c>
      <c r="AU541">
        <v>0</v>
      </c>
      <c r="AV541">
        <v>0</v>
      </c>
    </row>
    <row r="542" spans="1:48" x14ac:dyDescent="0.15">
      <c r="A542" s="4" t="str">
        <f>HYPERLINK("https://ibp.a2mac1.com/costing(costing:projects/details/9760/equipment/12211759)","DC machine - General")</f>
        <v>DC machine - General</v>
      </c>
      <c r="B542">
        <v>12211759</v>
      </c>
      <c r="C542">
        <v>12084661</v>
      </c>
      <c r="E542" t="s">
        <v>738</v>
      </c>
      <c r="H542" t="s">
        <v>162</v>
      </c>
      <c r="I542">
        <v>116914.84457142858</v>
      </c>
      <c r="J542">
        <v>0</v>
      </c>
      <c r="K542">
        <v>3.6</v>
      </c>
      <c r="L542">
        <v>0</v>
      </c>
      <c r="M542">
        <v>27.497982091197134</v>
      </c>
      <c r="N542">
        <v>0</v>
      </c>
      <c r="O542">
        <v>0.54232131346527679</v>
      </c>
      <c r="P542">
        <v>8.1481966666666669E-2</v>
      </c>
      <c r="Q542">
        <v>1.1732166376415484E-2</v>
      </c>
      <c r="R542">
        <v>635568</v>
      </c>
      <c r="S542">
        <v>0</v>
      </c>
      <c r="T542">
        <v>0</v>
      </c>
      <c r="V542">
        <v>10800</v>
      </c>
      <c r="W542">
        <v>7</v>
      </c>
      <c r="X542">
        <v>85</v>
      </c>
      <c r="Y542">
        <v>3</v>
      </c>
      <c r="Z542">
        <v>4</v>
      </c>
      <c r="AA542">
        <v>5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3</v>
      </c>
      <c r="AJ542">
        <v>0</v>
      </c>
      <c r="AK542">
        <v>0</v>
      </c>
      <c r="AL542">
        <v>100</v>
      </c>
      <c r="AM542">
        <v>45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100</v>
      </c>
      <c r="AU542">
        <v>0</v>
      </c>
      <c r="AV542">
        <v>0</v>
      </c>
    </row>
    <row r="543" spans="1:48" x14ac:dyDescent="0.15">
      <c r="A543" s="4" t="str">
        <f>HYPERLINK("https://ibp.a2mac1.com/costing(costing:projects/details/9760/equipment/12211760)","DC machine - General")</f>
        <v>DC machine - General</v>
      </c>
      <c r="B543">
        <v>12211760</v>
      </c>
      <c r="C543">
        <v>12084662</v>
      </c>
      <c r="E543" t="s">
        <v>738</v>
      </c>
      <c r="H543" t="s">
        <v>162</v>
      </c>
      <c r="I543">
        <v>116914.84457142858</v>
      </c>
      <c r="J543">
        <v>0</v>
      </c>
      <c r="K543">
        <v>3.6</v>
      </c>
      <c r="L543">
        <v>0</v>
      </c>
      <c r="M543">
        <v>27.497982091197134</v>
      </c>
      <c r="N543">
        <v>0</v>
      </c>
      <c r="O543">
        <v>1.5276656717331742E-2</v>
      </c>
      <c r="P543">
        <v>2.2952666666666665E-3</v>
      </c>
      <c r="Q543">
        <v>1.1732166376415484E-2</v>
      </c>
      <c r="R543">
        <v>635568</v>
      </c>
      <c r="S543">
        <v>0</v>
      </c>
      <c r="T543">
        <v>0</v>
      </c>
      <c r="V543">
        <v>10800</v>
      </c>
      <c r="W543">
        <v>7</v>
      </c>
      <c r="X543">
        <v>85</v>
      </c>
      <c r="Y543">
        <v>3</v>
      </c>
      <c r="Z543">
        <v>4</v>
      </c>
      <c r="AA543">
        <v>5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3</v>
      </c>
      <c r="AJ543">
        <v>0</v>
      </c>
      <c r="AK543">
        <v>0</v>
      </c>
      <c r="AL543">
        <v>100</v>
      </c>
      <c r="AM543">
        <v>45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100</v>
      </c>
      <c r="AU543">
        <v>0</v>
      </c>
      <c r="AV543">
        <v>0</v>
      </c>
    </row>
    <row r="544" spans="1:48" x14ac:dyDescent="0.15">
      <c r="A544" s="4" t="str">
        <f>HYPERLINK("https://ibp.a2mac1.com/costing(costing:projects/details/9760/equipment/12211761)","DC machine - General")</f>
        <v>DC machine - General</v>
      </c>
      <c r="B544">
        <v>12211761</v>
      </c>
      <c r="C544">
        <v>12084663</v>
      </c>
      <c r="E544" t="s">
        <v>738</v>
      </c>
      <c r="H544" t="s">
        <v>162</v>
      </c>
      <c r="I544">
        <v>116914.84457142858</v>
      </c>
      <c r="J544">
        <v>0</v>
      </c>
      <c r="K544">
        <v>3.6</v>
      </c>
      <c r="L544">
        <v>0</v>
      </c>
      <c r="M544">
        <v>27.497982091197134</v>
      </c>
      <c r="N544">
        <v>0</v>
      </c>
      <c r="O544">
        <v>0.32080979106396657</v>
      </c>
      <c r="P544">
        <v>4.8200600000000003E-2</v>
      </c>
      <c r="Q544">
        <v>1.1732166376415484E-2</v>
      </c>
      <c r="R544">
        <v>635568</v>
      </c>
      <c r="S544">
        <v>0</v>
      </c>
      <c r="T544">
        <v>0</v>
      </c>
      <c r="V544">
        <v>10800</v>
      </c>
      <c r="W544">
        <v>7</v>
      </c>
      <c r="X544">
        <v>85</v>
      </c>
      <c r="Y544">
        <v>3</v>
      </c>
      <c r="Z544">
        <v>4</v>
      </c>
      <c r="AA544">
        <v>5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3</v>
      </c>
      <c r="AJ544">
        <v>0</v>
      </c>
      <c r="AK544">
        <v>0</v>
      </c>
      <c r="AL544">
        <v>100</v>
      </c>
      <c r="AM544">
        <v>45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100</v>
      </c>
      <c r="AU544">
        <v>0</v>
      </c>
      <c r="AV544">
        <v>0</v>
      </c>
    </row>
    <row r="545" spans="1:48" x14ac:dyDescent="0.15">
      <c r="A545" s="4" t="str">
        <f>HYPERLINK("https://ibp.a2mac1.com/costing(costing:projects/details/9760/equipment/12211762)","DC machine - General")</f>
        <v>DC machine - General</v>
      </c>
      <c r="B545">
        <v>12211762</v>
      </c>
      <c r="C545">
        <v>12084664</v>
      </c>
      <c r="E545" t="s">
        <v>738</v>
      </c>
      <c r="H545" t="s">
        <v>162</v>
      </c>
      <c r="I545">
        <v>116914.84457142858</v>
      </c>
      <c r="J545">
        <v>0</v>
      </c>
      <c r="K545">
        <v>3.6</v>
      </c>
      <c r="L545">
        <v>0</v>
      </c>
      <c r="M545">
        <v>27.497982091197134</v>
      </c>
      <c r="N545">
        <v>0</v>
      </c>
      <c r="O545">
        <v>6.8744955227992843E-2</v>
      </c>
      <c r="P545">
        <v>1.03287E-2</v>
      </c>
      <c r="Q545">
        <v>1.1732166376415484E-2</v>
      </c>
      <c r="R545">
        <v>635568</v>
      </c>
      <c r="S545">
        <v>0</v>
      </c>
      <c r="T545">
        <v>0</v>
      </c>
      <c r="V545">
        <v>10800</v>
      </c>
      <c r="W545">
        <v>7</v>
      </c>
      <c r="X545">
        <v>85</v>
      </c>
      <c r="Y545">
        <v>3</v>
      </c>
      <c r="Z545">
        <v>4</v>
      </c>
      <c r="AA545">
        <v>5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3</v>
      </c>
      <c r="AJ545">
        <v>0</v>
      </c>
      <c r="AK545">
        <v>0</v>
      </c>
      <c r="AL545">
        <v>100</v>
      </c>
      <c r="AM545">
        <v>45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100</v>
      </c>
      <c r="AU545">
        <v>0</v>
      </c>
      <c r="AV545">
        <v>0</v>
      </c>
    </row>
    <row r="546" spans="1:48" x14ac:dyDescent="0.15">
      <c r="A546" s="4" t="str">
        <f>HYPERLINK("https://ibp.a2mac1.com/costing(costing:projects/details/9760/equipment/12211763)","DC machine - General")</f>
        <v>DC machine - General</v>
      </c>
      <c r="B546">
        <v>12211763</v>
      </c>
      <c r="C546">
        <v>12084665</v>
      </c>
      <c r="E546" t="s">
        <v>738</v>
      </c>
      <c r="H546" t="s">
        <v>162</v>
      </c>
      <c r="I546">
        <v>116914.84457142858</v>
      </c>
      <c r="J546">
        <v>0</v>
      </c>
      <c r="K546">
        <v>3.6</v>
      </c>
      <c r="L546">
        <v>0</v>
      </c>
      <c r="M546">
        <v>27.497982091197134</v>
      </c>
      <c r="N546">
        <v>0</v>
      </c>
      <c r="O546">
        <v>9.1659940303990453E-2</v>
      </c>
      <c r="P546">
        <v>1.37716E-2</v>
      </c>
      <c r="Q546">
        <v>1.1732166376415484E-2</v>
      </c>
      <c r="R546">
        <v>635568</v>
      </c>
      <c r="S546">
        <v>0</v>
      </c>
      <c r="T546">
        <v>0</v>
      </c>
      <c r="V546">
        <v>10800</v>
      </c>
      <c r="W546">
        <v>7</v>
      </c>
      <c r="X546">
        <v>85</v>
      </c>
      <c r="Y546">
        <v>3</v>
      </c>
      <c r="Z546">
        <v>4</v>
      </c>
      <c r="AA546">
        <v>5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3</v>
      </c>
      <c r="AJ546">
        <v>0</v>
      </c>
      <c r="AK546">
        <v>0</v>
      </c>
      <c r="AL546">
        <v>100</v>
      </c>
      <c r="AM546">
        <v>45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100</v>
      </c>
      <c r="AU546">
        <v>0</v>
      </c>
      <c r="AV546">
        <v>0</v>
      </c>
    </row>
    <row r="547" spans="1:48" x14ac:dyDescent="0.15">
      <c r="A547" s="4" t="str">
        <f>HYPERLINK("https://ibp.a2mac1.com/costing(costing:projects/details/9760/equipment/12211764)","DC machine - General")</f>
        <v>DC machine - General</v>
      </c>
      <c r="B547">
        <v>12211764</v>
      </c>
      <c r="C547">
        <v>12084666</v>
      </c>
      <c r="E547" t="s">
        <v>738</v>
      </c>
      <c r="H547" t="s">
        <v>162</v>
      </c>
      <c r="I547">
        <v>116914.84457142858</v>
      </c>
      <c r="J547">
        <v>0</v>
      </c>
      <c r="K547">
        <v>3.6</v>
      </c>
      <c r="L547">
        <v>0</v>
      </c>
      <c r="M547">
        <v>27.497982091197134</v>
      </c>
      <c r="N547">
        <v>0</v>
      </c>
      <c r="O547">
        <v>0.29025647762930307</v>
      </c>
      <c r="P547">
        <v>4.3610066666666669E-2</v>
      </c>
      <c r="Q547">
        <v>5.8660831882077422E-3</v>
      </c>
      <c r="R547">
        <v>635568</v>
      </c>
      <c r="S547">
        <v>0</v>
      </c>
      <c r="T547">
        <v>0</v>
      </c>
      <c r="V547">
        <v>10800</v>
      </c>
      <c r="W547">
        <v>7</v>
      </c>
      <c r="X547">
        <v>85</v>
      </c>
      <c r="Y547">
        <v>3</v>
      </c>
      <c r="Z547">
        <v>4</v>
      </c>
      <c r="AA547">
        <v>5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3</v>
      </c>
      <c r="AJ547">
        <v>0</v>
      </c>
      <c r="AK547">
        <v>0</v>
      </c>
      <c r="AL547">
        <v>100</v>
      </c>
      <c r="AM547">
        <v>45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100</v>
      </c>
      <c r="AU547">
        <v>0</v>
      </c>
      <c r="AV547">
        <v>0</v>
      </c>
    </row>
    <row r="548" spans="1:48" x14ac:dyDescent="0.15">
      <c r="A548" s="4" t="str">
        <f>HYPERLINK("https://ibp.a2mac1.com/costing(costing:projects/details/9760/equipment/12211765)","DC machine - General")</f>
        <v>DC machine - General</v>
      </c>
      <c r="B548">
        <v>12211765</v>
      </c>
      <c r="C548">
        <v>12084667</v>
      </c>
      <c r="E548" t="s">
        <v>738</v>
      </c>
      <c r="H548" t="s">
        <v>162</v>
      </c>
      <c r="I548">
        <v>116914.84457142858</v>
      </c>
      <c r="J548">
        <v>0</v>
      </c>
      <c r="K548">
        <v>3.6</v>
      </c>
      <c r="L548">
        <v>0</v>
      </c>
      <c r="M548">
        <v>27.497982091197134</v>
      </c>
      <c r="N548">
        <v>0</v>
      </c>
      <c r="O548">
        <v>8.4021611945324579E-2</v>
      </c>
      <c r="P548">
        <v>1.2623966666666667E-2</v>
      </c>
      <c r="Q548">
        <v>1.1732166376415484E-2</v>
      </c>
      <c r="R548">
        <v>635568</v>
      </c>
      <c r="S548">
        <v>0</v>
      </c>
      <c r="T548">
        <v>0</v>
      </c>
      <c r="V548">
        <v>10800</v>
      </c>
      <c r="W548">
        <v>7</v>
      </c>
      <c r="X548">
        <v>85</v>
      </c>
      <c r="Y548">
        <v>3</v>
      </c>
      <c r="Z548">
        <v>4</v>
      </c>
      <c r="AA548">
        <v>5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3</v>
      </c>
      <c r="AJ548">
        <v>0</v>
      </c>
      <c r="AK548">
        <v>0</v>
      </c>
      <c r="AL548">
        <v>100</v>
      </c>
      <c r="AM548">
        <v>45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100</v>
      </c>
      <c r="AU548">
        <v>0</v>
      </c>
      <c r="AV548">
        <v>0</v>
      </c>
    </row>
    <row r="549" spans="1:48" x14ac:dyDescent="0.15">
      <c r="A549" s="4" t="str">
        <f>HYPERLINK("https://ibp.a2mac1.com/costing(costing:projects/details/9760/equipment/12211766)","DC machine - General")</f>
        <v>DC machine - General</v>
      </c>
      <c r="B549">
        <v>12211766</v>
      </c>
      <c r="C549">
        <v>12084668</v>
      </c>
      <c r="E549" t="s">
        <v>738</v>
      </c>
      <c r="H549" t="s">
        <v>162</v>
      </c>
      <c r="I549">
        <v>116914.84457142858</v>
      </c>
      <c r="J549">
        <v>0</v>
      </c>
      <c r="K549">
        <v>3.6</v>
      </c>
      <c r="L549">
        <v>0</v>
      </c>
      <c r="M549">
        <v>27.497982091197134</v>
      </c>
      <c r="N549">
        <v>0</v>
      </c>
      <c r="O549">
        <v>0.18331988060798091</v>
      </c>
      <c r="P549">
        <v>2.75432E-2</v>
      </c>
      <c r="Q549">
        <v>1.1732166376415484E-2</v>
      </c>
      <c r="R549">
        <v>635568</v>
      </c>
      <c r="S549">
        <v>0</v>
      </c>
      <c r="T549">
        <v>0</v>
      </c>
      <c r="V549">
        <v>10800</v>
      </c>
      <c r="W549">
        <v>7</v>
      </c>
      <c r="X549">
        <v>85</v>
      </c>
      <c r="Y549">
        <v>3</v>
      </c>
      <c r="Z549">
        <v>4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3</v>
      </c>
      <c r="AJ549">
        <v>0</v>
      </c>
      <c r="AK549">
        <v>0</v>
      </c>
      <c r="AL549">
        <v>100</v>
      </c>
      <c r="AM549">
        <v>45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100</v>
      </c>
      <c r="AU549">
        <v>0</v>
      </c>
      <c r="AV549">
        <v>0</v>
      </c>
    </row>
    <row r="550" spans="1:48" x14ac:dyDescent="0.15">
      <c r="A550" s="4" t="str">
        <f>HYPERLINK("https://ibp.a2mac1.com/costing(costing:projects/details/9760/equipment/12211767)","DC machine - General")</f>
        <v>DC machine - General</v>
      </c>
      <c r="B550">
        <v>12211767</v>
      </c>
      <c r="C550">
        <v>12084669</v>
      </c>
      <c r="E550" t="s">
        <v>738</v>
      </c>
      <c r="H550" t="s">
        <v>162</v>
      </c>
      <c r="I550">
        <v>116914.84457142858</v>
      </c>
      <c r="J550">
        <v>0</v>
      </c>
      <c r="K550">
        <v>3.6</v>
      </c>
      <c r="L550">
        <v>0</v>
      </c>
      <c r="M550">
        <v>27.497982091197134</v>
      </c>
      <c r="N550">
        <v>0</v>
      </c>
      <c r="O550">
        <v>3.0553313434663484E-2</v>
      </c>
      <c r="P550">
        <v>4.5905333333333331E-3</v>
      </c>
      <c r="Q550">
        <v>1.1732166376415484E-2</v>
      </c>
      <c r="R550">
        <v>635568</v>
      </c>
      <c r="S550">
        <v>0</v>
      </c>
      <c r="T550">
        <v>0</v>
      </c>
      <c r="V550">
        <v>10800</v>
      </c>
      <c r="W550">
        <v>7</v>
      </c>
      <c r="X550">
        <v>85</v>
      </c>
      <c r="Y550">
        <v>3</v>
      </c>
      <c r="Z550">
        <v>4</v>
      </c>
      <c r="AA550">
        <v>5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3</v>
      </c>
      <c r="AJ550">
        <v>0</v>
      </c>
      <c r="AK550">
        <v>0</v>
      </c>
      <c r="AL550">
        <v>100</v>
      </c>
      <c r="AM550">
        <v>45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100</v>
      </c>
      <c r="AU550">
        <v>0</v>
      </c>
      <c r="AV550">
        <v>0</v>
      </c>
    </row>
    <row r="551" spans="1:48" x14ac:dyDescent="0.15">
      <c r="A551" s="4" t="str">
        <f>HYPERLINK("https://ibp.a2mac1.com/costing(costing:projects/details/9760/equipment/12211768)","DC machine - General")</f>
        <v>DC machine - General</v>
      </c>
      <c r="B551">
        <v>12211768</v>
      </c>
      <c r="C551">
        <v>12084670</v>
      </c>
      <c r="E551" t="s">
        <v>738</v>
      </c>
      <c r="H551" t="s">
        <v>162</v>
      </c>
      <c r="I551">
        <v>116914.84457142858</v>
      </c>
      <c r="J551">
        <v>0</v>
      </c>
      <c r="K551">
        <v>3.6</v>
      </c>
      <c r="L551">
        <v>0</v>
      </c>
      <c r="M551">
        <v>27.497982091197134</v>
      </c>
      <c r="N551">
        <v>0</v>
      </c>
      <c r="O551">
        <v>2.2914985075997613E-2</v>
      </c>
      <c r="P551">
        <v>3.4429E-3</v>
      </c>
      <c r="Q551">
        <v>1.1732166376415484E-2</v>
      </c>
      <c r="R551">
        <v>635568</v>
      </c>
      <c r="S551">
        <v>0</v>
      </c>
      <c r="T551">
        <v>0</v>
      </c>
      <c r="V551">
        <v>10800</v>
      </c>
      <c r="W551">
        <v>7</v>
      </c>
      <c r="X551">
        <v>85</v>
      </c>
      <c r="Y551">
        <v>3</v>
      </c>
      <c r="Z551">
        <v>4</v>
      </c>
      <c r="AA551">
        <v>5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3</v>
      </c>
      <c r="AJ551">
        <v>0</v>
      </c>
      <c r="AK551">
        <v>0</v>
      </c>
      <c r="AL551">
        <v>100</v>
      </c>
      <c r="AM551">
        <v>45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100</v>
      </c>
      <c r="AU551">
        <v>0</v>
      </c>
      <c r="AV551">
        <v>0</v>
      </c>
    </row>
    <row r="552" spans="1:48" x14ac:dyDescent="0.15">
      <c r="A552" s="4" t="str">
        <f>HYPERLINK("https://ibp.a2mac1.com/costing(costing:projects/details/9760/equipment/12211769)","DC machine - General")</f>
        <v>DC machine - General</v>
      </c>
      <c r="B552">
        <v>12211769</v>
      </c>
      <c r="C552">
        <v>12084671</v>
      </c>
      <c r="E552" t="s">
        <v>738</v>
      </c>
      <c r="H552" t="s">
        <v>162</v>
      </c>
      <c r="I552">
        <v>116914.84457142858</v>
      </c>
      <c r="J552">
        <v>0</v>
      </c>
      <c r="K552">
        <v>3.6</v>
      </c>
      <c r="L552">
        <v>0</v>
      </c>
      <c r="M552">
        <v>27.497982091197134</v>
      </c>
      <c r="N552">
        <v>0</v>
      </c>
      <c r="O552">
        <v>2.2914985075997613E-2</v>
      </c>
      <c r="P552">
        <v>3.4429E-3</v>
      </c>
      <c r="Q552">
        <v>1.1732166376415484E-2</v>
      </c>
      <c r="R552">
        <v>635568</v>
      </c>
      <c r="S552">
        <v>0</v>
      </c>
      <c r="T552">
        <v>0</v>
      </c>
      <c r="V552">
        <v>10800</v>
      </c>
      <c r="W552">
        <v>7</v>
      </c>
      <c r="X552">
        <v>85</v>
      </c>
      <c r="Y552">
        <v>3</v>
      </c>
      <c r="Z552">
        <v>4</v>
      </c>
      <c r="AA552">
        <v>5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3</v>
      </c>
      <c r="AJ552">
        <v>0</v>
      </c>
      <c r="AK552">
        <v>0</v>
      </c>
      <c r="AL552">
        <v>100</v>
      </c>
      <c r="AM552">
        <v>45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100</v>
      </c>
      <c r="AU552">
        <v>0</v>
      </c>
      <c r="AV552">
        <v>0</v>
      </c>
    </row>
    <row r="553" spans="1:48" x14ac:dyDescent="0.15">
      <c r="A553" s="4" t="str">
        <f>HYPERLINK("https://ibp.a2mac1.com/costing(costing:projects/details/9760/equipment/12211770)","DC machine - General")</f>
        <v>DC machine - General</v>
      </c>
      <c r="B553">
        <v>12211770</v>
      </c>
      <c r="C553">
        <v>12084672</v>
      </c>
      <c r="E553" t="s">
        <v>738</v>
      </c>
      <c r="H553" t="s">
        <v>162</v>
      </c>
      <c r="I553">
        <v>116914.84457142858</v>
      </c>
      <c r="J553">
        <v>0</v>
      </c>
      <c r="K553">
        <v>3.6</v>
      </c>
      <c r="L553">
        <v>0</v>
      </c>
      <c r="M553">
        <v>27.497982091197134</v>
      </c>
      <c r="N553">
        <v>0</v>
      </c>
      <c r="O553">
        <v>1.5276656717331742E-2</v>
      </c>
      <c r="P553">
        <v>2.2952666666666665E-3</v>
      </c>
      <c r="Q553">
        <v>1.1732166376415484E-2</v>
      </c>
      <c r="R553">
        <v>635568</v>
      </c>
      <c r="S553">
        <v>0</v>
      </c>
      <c r="T553">
        <v>0</v>
      </c>
      <c r="V553">
        <v>10800</v>
      </c>
      <c r="W553">
        <v>7</v>
      </c>
      <c r="X553">
        <v>85</v>
      </c>
      <c r="Y553">
        <v>3</v>
      </c>
      <c r="Z553">
        <v>4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3</v>
      </c>
      <c r="AJ553">
        <v>0</v>
      </c>
      <c r="AK553">
        <v>0</v>
      </c>
      <c r="AL553">
        <v>100</v>
      </c>
      <c r="AM553">
        <v>45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100</v>
      </c>
      <c r="AU553">
        <v>0</v>
      </c>
      <c r="AV553">
        <v>0</v>
      </c>
    </row>
    <row r="554" spans="1:48" x14ac:dyDescent="0.15">
      <c r="A554" s="4" t="str">
        <f>HYPERLINK("https://ibp.a2mac1.com/costing(costing:projects/details/9760/equipment/12211771)","DC machine - General")</f>
        <v>DC machine - General</v>
      </c>
      <c r="B554">
        <v>12211771</v>
      </c>
      <c r="C554">
        <v>12084673</v>
      </c>
      <c r="E554" t="s">
        <v>738</v>
      </c>
      <c r="H554" t="s">
        <v>162</v>
      </c>
      <c r="I554">
        <v>116914.84457142858</v>
      </c>
      <c r="J554">
        <v>0</v>
      </c>
      <c r="K554">
        <v>3.6</v>
      </c>
      <c r="L554">
        <v>0</v>
      </c>
      <c r="M554">
        <v>27.497982091197134</v>
      </c>
      <c r="N554">
        <v>0</v>
      </c>
      <c r="O554">
        <v>1.5276656717331742E-2</v>
      </c>
      <c r="P554">
        <v>2.2952666666666665E-3</v>
      </c>
      <c r="Q554">
        <v>1.1732166376415484E-2</v>
      </c>
      <c r="R554">
        <v>635568</v>
      </c>
      <c r="S554">
        <v>0</v>
      </c>
      <c r="T554">
        <v>0</v>
      </c>
      <c r="V554">
        <v>10800</v>
      </c>
      <c r="W554">
        <v>7</v>
      </c>
      <c r="X554">
        <v>85</v>
      </c>
      <c r="Y554">
        <v>3</v>
      </c>
      <c r="Z554">
        <v>4</v>
      </c>
      <c r="AA554">
        <v>5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3</v>
      </c>
      <c r="AJ554">
        <v>0</v>
      </c>
      <c r="AK554">
        <v>0</v>
      </c>
      <c r="AL554">
        <v>100</v>
      </c>
      <c r="AM554">
        <v>45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100</v>
      </c>
      <c r="AU554">
        <v>0</v>
      </c>
      <c r="AV554">
        <v>0</v>
      </c>
    </row>
    <row r="555" spans="1:48" x14ac:dyDescent="0.15">
      <c r="A555" s="4" t="str">
        <f>HYPERLINK("https://ibp.a2mac1.com/costing(costing:projects/details/9760/equipment/12211772)","DC machine - General")</f>
        <v>DC machine - General</v>
      </c>
      <c r="B555">
        <v>12211772</v>
      </c>
      <c r="C555">
        <v>12084674</v>
      </c>
      <c r="E555" t="s">
        <v>738</v>
      </c>
      <c r="H555" t="s">
        <v>162</v>
      </c>
      <c r="I555">
        <v>116914.84457142858</v>
      </c>
      <c r="J555">
        <v>0</v>
      </c>
      <c r="K555">
        <v>3.6</v>
      </c>
      <c r="L555">
        <v>0</v>
      </c>
      <c r="M555">
        <v>27.497982091197134</v>
      </c>
      <c r="N555">
        <v>0</v>
      </c>
      <c r="O555">
        <v>3.8191641793329352E-2</v>
      </c>
      <c r="P555">
        <v>5.7381666666666666E-3</v>
      </c>
      <c r="Q555">
        <v>1.1732166376415484E-2</v>
      </c>
      <c r="R555">
        <v>635568</v>
      </c>
      <c r="S555">
        <v>0</v>
      </c>
      <c r="T555">
        <v>0</v>
      </c>
      <c r="V555">
        <v>10800</v>
      </c>
      <c r="W555">
        <v>7</v>
      </c>
      <c r="X555">
        <v>85</v>
      </c>
      <c r="Y555">
        <v>3</v>
      </c>
      <c r="Z555">
        <v>4</v>
      </c>
      <c r="AA555">
        <v>5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3</v>
      </c>
      <c r="AJ555">
        <v>0</v>
      </c>
      <c r="AK555">
        <v>0</v>
      </c>
      <c r="AL555">
        <v>100</v>
      </c>
      <c r="AM555">
        <v>45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100</v>
      </c>
      <c r="AU555">
        <v>0</v>
      </c>
      <c r="AV555">
        <v>0</v>
      </c>
    </row>
    <row r="556" spans="1:48" x14ac:dyDescent="0.15">
      <c r="A556" s="4" t="str">
        <f>HYPERLINK("https://ibp.a2mac1.com/costing(costing:projects/details/9760/equipment/12211774)","DC machine - General")</f>
        <v>DC machine - General</v>
      </c>
      <c r="B556">
        <v>12211774</v>
      </c>
      <c r="C556">
        <v>12084676</v>
      </c>
      <c r="E556" t="s">
        <v>738</v>
      </c>
      <c r="H556" t="s">
        <v>162</v>
      </c>
      <c r="I556">
        <v>116914.84457142858</v>
      </c>
      <c r="J556">
        <v>0</v>
      </c>
      <c r="K556">
        <v>3.6</v>
      </c>
      <c r="L556">
        <v>0</v>
      </c>
      <c r="M556">
        <v>27.497982091197134</v>
      </c>
      <c r="N556">
        <v>0</v>
      </c>
      <c r="O556">
        <v>7.6383283586658711E-3</v>
      </c>
      <c r="P556">
        <v>1.1476333333333333E-3</v>
      </c>
      <c r="Q556">
        <v>2.3464332752830969E-3</v>
      </c>
      <c r="R556">
        <v>635568</v>
      </c>
      <c r="S556">
        <v>0</v>
      </c>
      <c r="T556">
        <v>0</v>
      </c>
      <c r="V556">
        <v>10800</v>
      </c>
      <c r="W556">
        <v>7</v>
      </c>
      <c r="X556">
        <v>85</v>
      </c>
      <c r="Y556">
        <v>3</v>
      </c>
      <c r="Z556">
        <v>4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3</v>
      </c>
      <c r="AJ556">
        <v>0</v>
      </c>
      <c r="AK556">
        <v>0</v>
      </c>
      <c r="AL556">
        <v>100</v>
      </c>
      <c r="AM556">
        <v>45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100</v>
      </c>
      <c r="AU556">
        <v>0</v>
      </c>
      <c r="AV556">
        <v>0</v>
      </c>
    </row>
    <row r="557" spans="1:48" x14ac:dyDescent="0.15">
      <c r="A557" s="4" t="str">
        <f>HYPERLINK("https://ibp.a2mac1.com/costing(costing:projects/details/9760/equipment/12211775)","DC machine - General")</f>
        <v>DC machine - General</v>
      </c>
      <c r="B557">
        <v>12211775</v>
      </c>
      <c r="C557">
        <v>12084677</v>
      </c>
      <c r="E557" t="s">
        <v>738</v>
      </c>
      <c r="H557" t="s">
        <v>162</v>
      </c>
      <c r="I557">
        <v>116914.84457142858</v>
      </c>
      <c r="J557">
        <v>0</v>
      </c>
      <c r="K557">
        <v>3.6</v>
      </c>
      <c r="L557">
        <v>0</v>
      </c>
      <c r="M557">
        <v>27.497982091197134</v>
      </c>
      <c r="N557">
        <v>0</v>
      </c>
      <c r="O557">
        <v>7.6383283586658711E-3</v>
      </c>
      <c r="P557">
        <v>1.1476333333333333E-3</v>
      </c>
      <c r="Q557">
        <v>1.1732166376415484E-2</v>
      </c>
      <c r="R557">
        <v>635568</v>
      </c>
      <c r="S557">
        <v>0</v>
      </c>
      <c r="T557">
        <v>0</v>
      </c>
      <c r="V557">
        <v>10800</v>
      </c>
      <c r="W557">
        <v>7</v>
      </c>
      <c r="X557">
        <v>85</v>
      </c>
      <c r="Y557">
        <v>3</v>
      </c>
      <c r="Z557">
        <v>4</v>
      </c>
      <c r="AA557">
        <v>5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3</v>
      </c>
      <c r="AJ557">
        <v>0</v>
      </c>
      <c r="AK557">
        <v>0</v>
      </c>
      <c r="AL557">
        <v>100</v>
      </c>
      <c r="AM557">
        <v>45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100</v>
      </c>
      <c r="AU557">
        <v>0</v>
      </c>
      <c r="AV557">
        <v>0</v>
      </c>
    </row>
    <row r="558" spans="1:48" x14ac:dyDescent="0.15">
      <c r="A558" s="4" t="str">
        <f>HYPERLINK("https://ibp.a2mac1.com/costing(costing:projects/details/9760/equipment/12211776)","DC machine - General")</f>
        <v>DC machine - General</v>
      </c>
      <c r="B558">
        <v>12211776</v>
      </c>
      <c r="C558">
        <v>12084678</v>
      </c>
      <c r="E558" t="s">
        <v>738</v>
      </c>
      <c r="H558" t="s">
        <v>162</v>
      </c>
      <c r="I558">
        <v>116914.84457142858</v>
      </c>
      <c r="J558">
        <v>0</v>
      </c>
      <c r="K558">
        <v>3.6</v>
      </c>
      <c r="L558">
        <v>0</v>
      </c>
      <c r="M558">
        <v>27.497982091197134</v>
      </c>
      <c r="N558">
        <v>0</v>
      </c>
      <c r="O558">
        <v>7.6383283586658711E-3</v>
      </c>
      <c r="P558">
        <v>1.1476333333333333E-3</v>
      </c>
      <c r="Q558">
        <v>1.1732166376415484E-2</v>
      </c>
      <c r="R558">
        <v>635568</v>
      </c>
      <c r="S558">
        <v>0</v>
      </c>
      <c r="T558">
        <v>0</v>
      </c>
      <c r="V558">
        <v>10800</v>
      </c>
      <c r="W558">
        <v>7</v>
      </c>
      <c r="X558">
        <v>85</v>
      </c>
      <c r="Y558">
        <v>3</v>
      </c>
      <c r="Z558">
        <v>4</v>
      </c>
      <c r="AA558">
        <v>5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3</v>
      </c>
      <c r="AJ558">
        <v>0</v>
      </c>
      <c r="AK558">
        <v>0</v>
      </c>
      <c r="AL558">
        <v>100</v>
      </c>
      <c r="AM558">
        <v>45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100</v>
      </c>
      <c r="AU558">
        <v>0</v>
      </c>
      <c r="AV558">
        <v>0</v>
      </c>
    </row>
    <row r="559" spans="1:48" x14ac:dyDescent="0.15">
      <c r="A559" s="4" t="str">
        <f>HYPERLINK("https://ibp.a2mac1.com/costing(costing:projects/details/9760/equipment/12211777)","DC machine - General")</f>
        <v>DC machine - General</v>
      </c>
      <c r="B559">
        <v>12211777</v>
      </c>
      <c r="C559">
        <v>12084679</v>
      </c>
      <c r="E559" t="s">
        <v>738</v>
      </c>
      <c r="H559" t="s">
        <v>162</v>
      </c>
      <c r="I559">
        <v>116914.84457142858</v>
      </c>
      <c r="J559">
        <v>0</v>
      </c>
      <c r="K559">
        <v>3.6</v>
      </c>
      <c r="L559">
        <v>0</v>
      </c>
      <c r="M559">
        <v>27.497982091197134</v>
      </c>
      <c r="N559">
        <v>0</v>
      </c>
      <c r="O559">
        <v>1.5276656717331742E-2</v>
      </c>
      <c r="P559">
        <v>2.2952666666666665E-3</v>
      </c>
      <c r="Q559">
        <v>1.1732166376415484E-2</v>
      </c>
      <c r="R559">
        <v>635568</v>
      </c>
      <c r="S559">
        <v>0</v>
      </c>
      <c r="T559">
        <v>0</v>
      </c>
      <c r="V559">
        <v>10800</v>
      </c>
      <c r="W559">
        <v>7</v>
      </c>
      <c r="X559">
        <v>85</v>
      </c>
      <c r="Y559">
        <v>3</v>
      </c>
      <c r="Z559">
        <v>4</v>
      </c>
      <c r="AA559">
        <v>5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3</v>
      </c>
      <c r="AJ559">
        <v>0</v>
      </c>
      <c r="AK559">
        <v>0</v>
      </c>
      <c r="AL559">
        <v>100</v>
      </c>
      <c r="AM559">
        <v>45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100</v>
      </c>
      <c r="AU559">
        <v>0</v>
      </c>
      <c r="AV559">
        <v>0</v>
      </c>
    </row>
    <row r="560" spans="1:48" x14ac:dyDescent="0.15">
      <c r="A560" s="4" t="str">
        <f>HYPERLINK("https://ibp.a2mac1.com/costing(costing:projects/details/9760/equipment/12211778)","DC machine - General")</f>
        <v>DC machine - General</v>
      </c>
      <c r="B560">
        <v>12211778</v>
      </c>
      <c r="C560">
        <v>12084680</v>
      </c>
      <c r="E560" t="s">
        <v>738</v>
      </c>
      <c r="H560" t="s">
        <v>162</v>
      </c>
      <c r="I560">
        <v>116914.84457142858</v>
      </c>
      <c r="J560">
        <v>0</v>
      </c>
      <c r="K560">
        <v>3.6</v>
      </c>
      <c r="L560">
        <v>0</v>
      </c>
      <c r="M560">
        <v>27.497982091197134</v>
      </c>
      <c r="N560">
        <v>0</v>
      </c>
      <c r="O560">
        <v>7.6383283586658711E-3</v>
      </c>
      <c r="P560">
        <v>1.1476333333333333E-3</v>
      </c>
      <c r="Q560">
        <v>1.1732166376415484E-2</v>
      </c>
      <c r="R560">
        <v>635568</v>
      </c>
      <c r="S560">
        <v>0</v>
      </c>
      <c r="T560">
        <v>0</v>
      </c>
      <c r="V560">
        <v>10800</v>
      </c>
      <c r="W560">
        <v>7</v>
      </c>
      <c r="X560">
        <v>85</v>
      </c>
      <c r="Y560">
        <v>3</v>
      </c>
      <c r="Z560">
        <v>4</v>
      </c>
      <c r="AA560">
        <v>5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3</v>
      </c>
      <c r="AJ560">
        <v>0</v>
      </c>
      <c r="AK560">
        <v>0</v>
      </c>
      <c r="AL560">
        <v>100</v>
      </c>
      <c r="AM560">
        <v>45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100</v>
      </c>
      <c r="AU560">
        <v>0</v>
      </c>
      <c r="AV560">
        <v>0</v>
      </c>
    </row>
    <row r="561" spans="1:48" x14ac:dyDescent="0.15">
      <c r="A561" s="4" t="str">
        <f>HYPERLINK("https://ibp.a2mac1.com/costing(costing:projects/details/9760/equipment/12211779)","DC machine - General")</f>
        <v>DC machine - General</v>
      </c>
      <c r="B561">
        <v>12211779</v>
      </c>
      <c r="C561">
        <v>12084681</v>
      </c>
      <c r="E561" t="s">
        <v>738</v>
      </c>
      <c r="H561" t="s">
        <v>162</v>
      </c>
      <c r="I561">
        <v>116914.84457142858</v>
      </c>
      <c r="J561">
        <v>0</v>
      </c>
      <c r="K561">
        <v>3.6</v>
      </c>
      <c r="L561">
        <v>0</v>
      </c>
      <c r="M561">
        <v>27.497982091197134</v>
      </c>
      <c r="N561">
        <v>0</v>
      </c>
      <c r="O561">
        <v>8.4021611945324579E-2</v>
      </c>
      <c r="P561">
        <v>1.2623966666666667E-2</v>
      </c>
      <c r="Q561">
        <v>5.8660831882077422E-3</v>
      </c>
      <c r="R561">
        <v>635568</v>
      </c>
      <c r="S561">
        <v>0</v>
      </c>
      <c r="T561">
        <v>0</v>
      </c>
      <c r="V561">
        <v>10800</v>
      </c>
      <c r="W561">
        <v>7</v>
      </c>
      <c r="X561">
        <v>85</v>
      </c>
      <c r="Y561">
        <v>3</v>
      </c>
      <c r="Z561">
        <v>4</v>
      </c>
      <c r="AA561">
        <v>5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3</v>
      </c>
      <c r="AJ561">
        <v>0</v>
      </c>
      <c r="AK561">
        <v>0</v>
      </c>
      <c r="AL561">
        <v>100</v>
      </c>
      <c r="AM561">
        <v>45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100</v>
      </c>
      <c r="AU561">
        <v>0</v>
      </c>
      <c r="AV561">
        <v>0</v>
      </c>
    </row>
    <row r="562" spans="1:48" x14ac:dyDescent="0.15">
      <c r="A562" s="4" t="str">
        <f>HYPERLINK("https://ibp.a2mac1.com/costing(costing:projects/details/9760/equipment/12211684)","DC machine - General")</f>
        <v>DC machine - General</v>
      </c>
      <c r="B562">
        <v>12211684</v>
      </c>
      <c r="C562">
        <v>12084586</v>
      </c>
      <c r="E562" t="s">
        <v>738</v>
      </c>
      <c r="H562" t="s">
        <v>162</v>
      </c>
      <c r="I562">
        <v>116914.84457142858</v>
      </c>
      <c r="J562">
        <v>0</v>
      </c>
      <c r="K562">
        <v>3.6</v>
      </c>
      <c r="L562">
        <v>0</v>
      </c>
      <c r="M562">
        <v>27.497982091197134</v>
      </c>
      <c r="N562">
        <v>0</v>
      </c>
      <c r="O562">
        <v>0.14512823881465153</v>
      </c>
      <c r="P562">
        <v>2.1805033333333335E-2</v>
      </c>
      <c r="Q562">
        <v>1.1732166376415484E-2</v>
      </c>
      <c r="R562">
        <v>635568</v>
      </c>
      <c r="S562">
        <v>0</v>
      </c>
      <c r="T562">
        <v>0</v>
      </c>
      <c r="V562">
        <v>10800</v>
      </c>
      <c r="W562">
        <v>7</v>
      </c>
      <c r="X562">
        <v>85</v>
      </c>
      <c r="Y562">
        <v>3</v>
      </c>
      <c r="Z562">
        <v>4</v>
      </c>
      <c r="AA562">
        <v>5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3</v>
      </c>
      <c r="AJ562">
        <v>0</v>
      </c>
      <c r="AK562">
        <v>0</v>
      </c>
      <c r="AL562">
        <v>100</v>
      </c>
      <c r="AM562">
        <v>45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100</v>
      </c>
      <c r="AU562">
        <v>0</v>
      </c>
      <c r="AV562">
        <v>0</v>
      </c>
    </row>
    <row r="563" spans="1:48" x14ac:dyDescent="0.15">
      <c r="A563" s="4" t="str">
        <f>HYPERLINK("https://ibp.a2mac1.com/costing(costing:projects/details/9760/equipment/12211685)","DC machine - General")</f>
        <v>DC machine - General</v>
      </c>
      <c r="B563">
        <v>12211685</v>
      </c>
      <c r="C563">
        <v>12084587</v>
      </c>
      <c r="E563" t="s">
        <v>738</v>
      </c>
      <c r="H563" t="s">
        <v>162</v>
      </c>
      <c r="I563">
        <v>116914.84457142858</v>
      </c>
      <c r="J563">
        <v>0</v>
      </c>
      <c r="K563">
        <v>3.6</v>
      </c>
      <c r="L563">
        <v>0</v>
      </c>
      <c r="M563">
        <v>27.497982091197134</v>
      </c>
      <c r="N563">
        <v>0</v>
      </c>
      <c r="O563">
        <v>0.67217289556259663</v>
      </c>
      <c r="P563">
        <v>0.10099173333333333</v>
      </c>
      <c r="Q563">
        <v>1.1732166376415484E-2</v>
      </c>
      <c r="R563">
        <v>635568</v>
      </c>
      <c r="S563">
        <v>0</v>
      </c>
      <c r="T563">
        <v>0</v>
      </c>
      <c r="V563">
        <v>10800</v>
      </c>
      <c r="W563">
        <v>7</v>
      </c>
      <c r="X563">
        <v>85</v>
      </c>
      <c r="Y563">
        <v>3</v>
      </c>
      <c r="Z563">
        <v>4</v>
      </c>
      <c r="AA563">
        <v>5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3</v>
      </c>
      <c r="AJ563">
        <v>0</v>
      </c>
      <c r="AK563">
        <v>0</v>
      </c>
      <c r="AL563">
        <v>100</v>
      </c>
      <c r="AM563">
        <v>45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100</v>
      </c>
      <c r="AU563">
        <v>0</v>
      </c>
      <c r="AV563">
        <v>0</v>
      </c>
    </row>
    <row r="564" spans="1:48" x14ac:dyDescent="0.15">
      <c r="A564" s="4" t="str">
        <f>HYPERLINK("https://ibp.a2mac1.com/costing(costing:projects/details/9760/equipment/12211686)","DC machine - General")</f>
        <v>DC machine - General</v>
      </c>
      <c r="B564">
        <v>12211686</v>
      </c>
      <c r="C564">
        <v>12084588</v>
      </c>
      <c r="E564" t="s">
        <v>738</v>
      </c>
      <c r="H564" t="s">
        <v>162</v>
      </c>
      <c r="I564">
        <v>116914.84457142858</v>
      </c>
      <c r="J564">
        <v>0</v>
      </c>
      <c r="K564">
        <v>3.6</v>
      </c>
      <c r="L564">
        <v>0</v>
      </c>
      <c r="M564">
        <v>27.497982091197134</v>
      </c>
      <c r="N564">
        <v>0</v>
      </c>
      <c r="O564">
        <v>7.6383283586658711E-3</v>
      </c>
      <c r="P564">
        <v>1.1476333333333333E-3</v>
      </c>
      <c r="Q564">
        <v>1.1732166376415484E-2</v>
      </c>
      <c r="R564">
        <v>635568</v>
      </c>
      <c r="S564">
        <v>0</v>
      </c>
      <c r="T564">
        <v>0</v>
      </c>
      <c r="V564">
        <v>10800</v>
      </c>
      <c r="W564">
        <v>7</v>
      </c>
      <c r="X564">
        <v>85</v>
      </c>
      <c r="Y564">
        <v>3</v>
      </c>
      <c r="Z564">
        <v>4</v>
      </c>
      <c r="AA564">
        <v>5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3</v>
      </c>
      <c r="AJ564">
        <v>0</v>
      </c>
      <c r="AK564">
        <v>0</v>
      </c>
      <c r="AL564">
        <v>100</v>
      </c>
      <c r="AM564">
        <v>45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100</v>
      </c>
      <c r="AU564">
        <v>0</v>
      </c>
      <c r="AV564">
        <v>0</v>
      </c>
    </row>
    <row r="565" spans="1:48" x14ac:dyDescent="0.15">
      <c r="A565" s="4" t="str">
        <f>HYPERLINK("https://ibp.a2mac1.com/costing(costing:projects/details/9760/equipment/12211687)","DC machine - General")</f>
        <v>DC machine - General</v>
      </c>
      <c r="B565">
        <v>12211687</v>
      </c>
      <c r="C565">
        <v>12084589</v>
      </c>
      <c r="E565" t="s">
        <v>738</v>
      </c>
      <c r="H565" t="s">
        <v>162</v>
      </c>
      <c r="I565">
        <v>116914.84457142858</v>
      </c>
      <c r="J565">
        <v>0</v>
      </c>
      <c r="K565">
        <v>3.6</v>
      </c>
      <c r="L565">
        <v>0</v>
      </c>
      <c r="M565">
        <v>27.497982091197134</v>
      </c>
      <c r="N565">
        <v>0</v>
      </c>
      <c r="O565">
        <v>7.6383283586658711E-3</v>
      </c>
      <c r="P565">
        <v>1.1476333333333333E-3</v>
      </c>
      <c r="Q565">
        <v>1.1732166376415484E-2</v>
      </c>
      <c r="R565">
        <v>635568</v>
      </c>
      <c r="S565">
        <v>0</v>
      </c>
      <c r="T565">
        <v>0</v>
      </c>
      <c r="V565">
        <v>10800</v>
      </c>
      <c r="W565">
        <v>7</v>
      </c>
      <c r="X565">
        <v>85</v>
      </c>
      <c r="Y565">
        <v>3</v>
      </c>
      <c r="Z565">
        <v>4</v>
      </c>
      <c r="AA565">
        <v>5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3</v>
      </c>
      <c r="AJ565">
        <v>0</v>
      </c>
      <c r="AK565">
        <v>0</v>
      </c>
      <c r="AL565">
        <v>100</v>
      </c>
      <c r="AM565">
        <v>45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100</v>
      </c>
      <c r="AU565">
        <v>0</v>
      </c>
      <c r="AV565">
        <v>0</v>
      </c>
    </row>
    <row r="566" spans="1:48" x14ac:dyDescent="0.15">
      <c r="A566" s="4" t="str">
        <f>HYPERLINK("https://ibp.a2mac1.com/costing(costing:projects/details/9760/equipment/12211688)","DC machine - General")</f>
        <v>DC machine - General</v>
      </c>
      <c r="B566">
        <v>12211688</v>
      </c>
      <c r="C566">
        <v>12084590</v>
      </c>
      <c r="E566" t="s">
        <v>738</v>
      </c>
      <c r="H566" t="s">
        <v>162</v>
      </c>
      <c r="I566">
        <v>116914.84457142858</v>
      </c>
      <c r="J566">
        <v>0</v>
      </c>
      <c r="K566">
        <v>3.6</v>
      </c>
      <c r="L566">
        <v>0</v>
      </c>
      <c r="M566">
        <v>27.497982091197134</v>
      </c>
      <c r="N566">
        <v>0</v>
      </c>
      <c r="O566">
        <v>7.6383283586658711E-3</v>
      </c>
      <c r="P566">
        <v>1.1476333333333333E-3</v>
      </c>
      <c r="Q566">
        <v>1.1732166376415484E-2</v>
      </c>
      <c r="R566">
        <v>635568</v>
      </c>
      <c r="S566">
        <v>0</v>
      </c>
      <c r="T566">
        <v>0</v>
      </c>
      <c r="V566">
        <v>10800</v>
      </c>
      <c r="W566">
        <v>7</v>
      </c>
      <c r="X566">
        <v>85</v>
      </c>
      <c r="Y566">
        <v>3</v>
      </c>
      <c r="Z566">
        <v>4</v>
      </c>
      <c r="AA566">
        <v>5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3</v>
      </c>
      <c r="AJ566">
        <v>0</v>
      </c>
      <c r="AK566">
        <v>0</v>
      </c>
      <c r="AL566">
        <v>100</v>
      </c>
      <c r="AM566">
        <v>45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100</v>
      </c>
      <c r="AU566">
        <v>0</v>
      </c>
      <c r="AV566">
        <v>0</v>
      </c>
    </row>
    <row r="567" spans="1:48" x14ac:dyDescent="0.15">
      <c r="A567" s="4" t="str">
        <f>HYPERLINK("https://ibp.a2mac1.com/costing(costing:projects/details/9760/equipment/12211689)","DC machine - General")</f>
        <v>DC machine - General</v>
      </c>
      <c r="B567">
        <v>12211689</v>
      </c>
      <c r="C567">
        <v>12084591</v>
      </c>
      <c r="E567" t="s">
        <v>738</v>
      </c>
      <c r="H567" t="s">
        <v>162</v>
      </c>
      <c r="I567">
        <v>116914.84457142858</v>
      </c>
      <c r="J567">
        <v>0</v>
      </c>
      <c r="K567">
        <v>3.6</v>
      </c>
      <c r="L567">
        <v>0</v>
      </c>
      <c r="M567">
        <v>27.497982091197134</v>
      </c>
      <c r="N567">
        <v>0</v>
      </c>
      <c r="O567">
        <v>3.0553313434663484E-2</v>
      </c>
      <c r="P567">
        <v>4.5905333333333331E-3</v>
      </c>
      <c r="Q567">
        <v>5.8660831882077422E-3</v>
      </c>
      <c r="R567">
        <v>635568</v>
      </c>
      <c r="S567">
        <v>0</v>
      </c>
      <c r="T567">
        <v>0</v>
      </c>
      <c r="V567">
        <v>10800</v>
      </c>
      <c r="W567">
        <v>7</v>
      </c>
      <c r="X567">
        <v>85</v>
      </c>
      <c r="Y567">
        <v>3</v>
      </c>
      <c r="Z567">
        <v>4</v>
      </c>
      <c r="AA567">
        <v>5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3</v>
      </c>
      <c r="AJ567">
        <v>0</v>
      </c>
      <c r="AK567">
        <v>0</v>
      </c>
      <c r="AL567">
        <v>100</v>
      </c>
      <c r="AM567">
        <v>45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100</v>
      </c>
      <c r="AU567">
        <v>0</v>
      </c>
      <c r="AV567">
        <v>0</v>
      </c>
    </row>
    <row r="568" spans="1:48" x14ac:dyDescent="0.15">
      <c r="A568" s="4" t="str">
        <f>HYPERLINK("https://ibp.a2mac1.com/costing(costing:projects/details/9760/equipment/12211780)","DC machine - General")</f>
        <v>DC machine - General</v>
      </c>
      <c r="B568">
        <v>12211780</v>
      </c>
      <c r="C568">
        <v>12084682</v>
      </c>
      <c r="E568" t="s">
        <v>738</v>
      </c>
      <c r="H568" t="s">
        <v>162</v>
      </c>
      <c r="I568">
        <v>116914.84457142858</v>
      </c>
      <c r="J568">
        <v>0</v>
      </c>
      <c r="K568">
        <v>3.6</v>
      </c>
      <c r="L568">
        <v>0</v>
      </c>
      <c r="M568">
        <v>27.497982091197134</v>
      </c>
      <c r="N568">
        <v>0</v>
      </c>
      <c r="O568">
        <v>8.0507980900338278</v>
      </c>
      <c r="P568">
        <v>1.2096055333333333</v>
      </c>
      <c r="Q568">
        <v>1.1732166376415484E-2</v>
      </c>
      <c r="R568">
        <v>635568</v>
      </c>
      <c r="S568">
        <v>0</v>
      </c>
      <c r="T568">
        <v>0</v>
      </c>
      <c r="V568">
        <v>10800</v>
      </c>
      <c r="W568">
        <v>7</v>
      </c>
      <c r="X568">
        <v>85</v>
      </c>
      <c r="Y568">
        <v>3</v>
      </c>
      <c r="Z568">
        <v>4</v>
      </c>
      <c r="AA568">
        <v>5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3</v>
      </c>
      <c r="AJ568">
        <v>0</v>
      </c>
      <c r="AK568">
        <v>0</v>
      </c>
      <c r="AL568">
        <v>100</v>
      </c>
      <c r="AM568">
        <v>45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100</v>
      </c>
      <c r="AU568">
        <v>0</v>
      </c>
      <c r="AV568">
        <v>0</v>
      </c>
    </row>
    <row r="569" spans="1:48" x14ac:dyDescent="0.15">
      <c r="A569" s="4" t="str">
        <f>HYPERLINK("https://ibp.a2mac1.com/costing(costing:projects/details/9760/equipment/12211849)","DC machine - General")</f>
        <v>DC machine - General</v>
      </c>
      <c r="B569">
        <v>12211849</v>
      </c>
      <c r="C569">
        <v>12084751</v>
      </c>
      <c r="E569" t="s">
        <v>738</v>
      </c>
      <c r="H569" t="s">
        <v>162</v>
      </c>
      <c r="I569">
        <v>116914.84457142858</v>
      </c>
      <c r="J569">
        <v>0</v>
      </c>
      <c r="K569">
        <v>3.6</v>
      </c>
      <c r="L569">
        <v>0</v>
      </c>
      <c r="M569">
        <v>27.497982091197134</v>
      </c>
      <c r="N569">
        <v>0</v>
      </c>
      <c r="O569">
        <v>3.017139701673019</v>
      </c>
      <c r="P569">
        <v>0.45331516666666666</v>
      </c>
      <c r="Q569">
        <v>1.1732166376415484E-2</v>
      </c>
      <c r="R569">
        <v>635568</v>
      </c>
      <c r="S569">
        <v>0</v>
      </c>
      <c r="T569">
        <v>0</v>
      </c>
      <c r="V569">
        <v>10800</v>
      </c>
      <c r="W569">
        <v>7</v>
      </c>
      <c r="X569">
        <v>85</v>
      </c>
      <c r="Y569">
        <v>3</v>
      </c>
      <c r="Z569">
        <v>4</v>
      </c>
      <c r="AA569">
        <v>5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3</v>
      </c>
      <c r="AJ569">
        <v>0</v>
      </c>
      <c r="AK569">
        <v>0</v>
      </c>
      <c r="AL569">
        <v>100</v>
      </c>
      <c r="AM569">
        <v>45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100</v>
      </c>
      <c r="AU569">
        <v>0</v>
      </c>
      <c r="AV569">
        <v>0</v>
      </c>
    </row>
    <row r="570" spans="1:48" x14ac:dyDescent="0.15">
      <c r="A570" s="4" t="str">
        <f>HYPERLINK("https://ibp.a2mac1.com/costing(costing:projects/details/9760/equipment/12211850)","DC machine - General")</f>
        <v>DC machine - General</v>
      </c>
      <c r="B570">
        <v>12211850</v>
      </c>
      <c r="C570">
        <v>12084752</v>
      </c>
      <c r="E570" t="s">
        <v>738</v>
      </c>
      <c r="H570" t="s">
        <v>162</v>
      </c>
      <c r="I570">
        <v>116914.84457142858</v>
      </c>
      <c r="J570">
        <v>0</v>
      </c>
      <c r="K570">
        <v>3.6</v>
      </c>
      <c r="L570">
        <v>0</v>
      </c>
      <c r="M570">
        <v>27.497982091197134</v>
      </c>
      <c r="N570">
        <v>0</v>
      </c>
      <c r="O570">
        <v>3.017139701673019</v>
      </c>
      <c r="P570">
        <v>0.45331516666666666</v>
      </c>
      <c r="Q570">
        <v>1.1732166376415484E-2</v>
      </c>
      <c r="R570">
        <v>635568</v>
      </c>
      <c r="S570">
        <v>0</v>
      </c>
      <c r="T570">
        <v>0</v>
      </c>
      <c r="V570">
        <v>10800</v>
      </c>
      <c r="W570">
        <v>7</v>
      </c>
      <c r="X570">
        <v>85</v>
      </c>
      <c r="Y570">
        <v>3</v>
      </c>
      <c r="Z570">
        <v>4</v>
      </c>
      <c r="AA570">
        <v>5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3</v>
      </c>
      <c r="AJ570">
        <v>0</v>
      </c>
      <c r="AK570">
        <v>0</v>
      </c>
      <c r="AL570">
        <v>100</v>
      </c>
      <c r="AM570">
        <v>45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100</v>
      </c>
      <c r="AU570">
        <v>0</v>
      </c>
      <c r="AV570">
        <v>0</v>
      </c>
    </row>
    <row r="571" spans="1:48" x14ac:dyDescent="0.15">
      <c r="A571" s="4" t="str">
        <f>HYPERLINK("https://ibp.a2mac1.com/costing(costing:projects/details/9760/equipment/12211851)","DC machine - General")</f>
        <v>DC machine - General</v>
      </c>
      <c r="B571">
        <v>12211851</v>
      </c>
      <c r="C571">
        <v>12084753</v>
      </c>
      <c r="E571" t="s">
        <v>738</v>
      </c>
      <c r="H571" t="s">
        <v>162</v>
      </c>
      <c r="I571">
        <v>116914.84457142858</v>
      </c>
      <c r="J571">
        <v>0</v>
      </c>
      <c r="K571">
        <v>3.6</v>
      </c>
      <c r="L571">
        <v>0</v>
      </c>
      <c r="M571">
        <v>27.497982091197134</v>
      </c>
      <c r="N571">
        <v>0</v>
      </c>
      <c r="O571">
        <v>0.21387319404264438</v>
      </c>
      <c r="P571">
        <v>3.2133733333333331E-2</v>
      </c>
      <c r="Q571">
        <v>1.1732166376415484E-2</v>
      </c>
      <c r="R571">
        <v>635568</v>
      </c>
      <c r="S571">
        <v>0</v>
      </c>
      <c r="T571">
        <v>0</v>
      </c>
      <c r="V571">
        <v>10800</v>
      </c>
      <c r="W571">
        <v>7</v>
      </c>
      <c r="X571">
        <v>85</v>
      </c>
      <c r="Y571">
        <v>3</v>
      </c>
      <c r="Z571">
        <v>4</v>
      </c>
      <c r="AA571">
        <v>5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3</v>
      </c>
      <c r="AJ571">
        <v>0</v>
      </c>
      <c r="AK571">
        <v>0</v>
      </c>
      <c r="AL571">
        <v>100</v>
      </c>
      <c r="AM571">
        <v>45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100</v>
      </c>
      <c r="AU571">
        <v>0</v>
      </c>
      <c r="AV571">
        <v>0</v>
      </c>
    </row>
    <row r="572" spans="1:48" x14ac:dyDescent="0.15">
      <c r="A572" s="4" t="str">
        <f>HYPERLINK("https://ibp.a2mac1.com/costing(costing:projects/details/9760/equipment/12211852)","DC machine - General")</f>
        <v>DC machine - General</v>
      </c>
      <c r="B572">
        <v>12211852</v>
      </c>
      <c r="C572">
        <v>12084754</v>
      </c>
      <c r="E572" t="s">
        <v>738</v>
      </c>
      <c r="H572" t="s">
        <v>162</v>
      </c>
      <c r="I572">
        <v>116914.84457142858</v>
      </c>
      <c r="J572">
        <v>0</v>
      </c>
      <c r="K572">
        <v>3.6</v>
      </c>
      <c r="L572">
        <v>0</v>
      </c>
      <c r="M572">
        <v>27.497982091197134</v>
      </c>
      <c r="N572">
        <v>0</v>
      </c>
      <c r="O572">
        <v>0.21387319404264438</v>
      </c>
      <c r="P572">
        <v>3.2133733333333331E-2</v>
      </c>
      <c r="Q572">
        <v>5.8660831882077422E-3</v>
      </c>
      <c r="R572">
        <v>635568</v>
      </c>
      <c r="S572">
        <v>0</v>
      </c>
      <c r="T572">
        <v>0</v>
      </c>
      <c r="V572">
        <v>10800</v>
      </c>
      <c r="W572">
        <v>7</v>
      </c>
      <c r="X572">
        <v>85</v>
      </c>
      <c r="Y572">
        <v>3</v>
      </c>
      <c r="Z572">
        <v>4</v>
      </c>
      <c r="AA572">
        <v>5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3</v>
      </c>
      <c r="AJ572">
        <v>0</v>
      </c>
      <c r="AK572">
        <v>0</v>
      </c>
      <c r="AL572">
        <v>100</v>
      </c>
      <c r="AM572">
        <v>45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100</v>
      </c>
      <c r="AU572">
        <v>0</v>
      </c>
      <c r="AV572">
        <v>0</v>
      </c>
    </row>
    <row r="573" spans="1:48" x14ac:dyDescent="0.15">
      <c r="A573" s="4" t="str">
        <f>HYPERLINK("https://ibp.a2mac1.com/costing(costing:projects/details/9760/equipment/12211853)","DC machine - General")</f>
        <v>DC machine - General</v>
      </c>
      <c r="B573">
        <v>12211853</v>
      </c>
      <c r="C573">
        <v>12084755</v>
      </c>
      <c r="E573" t="s">
        <v>738</v>
      </c>
      <c r="H573" t="s">
        <v>162</v>
      </c>
      <c r="I573">
        <v>116914.84457142858</v>
      </c>
      <c r="J573">
        <v>0</v>
      </c>
      <c r="K573">
        <v>3.6</v>
      </c>
      <c r="L573">
        <v>0</v>
      </c>
      <c r="M573">
        <v>27.497982091197134</v>
      </c>
      <c r="N573">
        <v>0</v>
      </c>
      <c r="O573">
        <v>5.3468298510661094E-2</v>
      </c>
      <c r="P573">
        <v>8.0334333333333327E-3</v>
      </c>
      <c r="Q573">
        <v>1.1732166376415484E-2</v>
      </c>
      <c r="R573">
        <v>635568</v>
      </c>
      <c r="S573">
        <v>0</v>
      </c>
      <c r="T573">
        <v>0</v>
      </c>
      <c r="V573">
        <v>10800</v>
      </c>
      <c r="W573">
        <v>7</v>
      </c>
      <c r="X573">
        <v>85</v>
      </c>
      <c r="Y573">
        <v>3</v>
      </c>
      <c r="Z573">
        <v>4</v>
      </c>
      <c r="AA573">
        <v>5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3</v>
      </c>
      <c r="AJ573">
        <v>0</v>
      </c>
      <c r="AK573">
        <v>0</v>
      </c>
      <c r="AL573">
        <v>100</v>
      </c>
      <c r="AM573">
        <v>45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100</v>
      </c>
      <c r="AU573">
        <v>0</v>
      </c>
      <c r="AV573">
        <v>0</v>
      </c>
    </row>
    <row r="574" spans="1:48" x14ac:dyDescent="0.15">
      <c r="A574" s="4" t="str">
        <f>HYPERLINK("https://ibp.a2mac1.com/costing(costing:projects/details/9760/equipment/12211854)","DC machine - General")</f>
        <v>DC machine - General</v>
      </c>
      <c r="B574">
        <v>12211854</v>
      </c>
      <c r="C574">
        <v>12084756</v>
      </c>
      <c r="E574" t="s">
        <v>738</v>
      </c>
      <c r="H574" t="s">
        <v>162</v>
      </c>
      <c r="I574">
        <v>116914.84457142858</v>
      </c>
      <c r="J574">
        <v>0</v>
      </c>
      <c r="K574">
        <v>3.6</v>
      </c>
      <c r="L574">
        <v>0</v>
      </c>
      <c r="M574">
        <v>27.497982091197134</v>
      </c>
      <c r="N574">
        <v>0</v>
      </c>
      <c r="O574">
        <v>5.3468298510661094E-2</v>
      </c>
      <c r="P574">
        <v>8.0334333333333327E-3</v>
      </c>
      <c r="Q574">
        <v>5.8660831882077422E-3</v>
      </c>
      <c r="R574">
        <v>635568</v>
      </c>
      <c r="S574">
        <v>0</v>
      </c>
      <c r="T574">
        <v>0</v>
      </c>
      <c r="V574">
        <v>10800</v>
      </c>
      <c r="W574">
        <v>7</v>
      </c>
      <c r="X574">
        <v>85</v>
      </c>
      <c r="Y574">
        <v>3</v>
      </c>
      <c r="Z574">
        <v>4</v>
      </c>
      <c r="AA574">
        <v>5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3</v>
      </c>
      <c r="AJ574">
        <v>0</v>
      </c>
      <c r="AK574">
        <v>0</v>
      </c>
      <c r="AL574">
        <v>100</v>
      </c>
      <c r="AM574">
        <v>45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100</v>
      </c>
      <c r="AU574">
        <v>0</v>
      </c>
      <c r="AV574">
        <v>0</v>
      </c>
    </row>
    <row r="575" spans="1:48" x14ac:dyDescent="0.15">
      <c r="A575" s="4" t="str">
        <f>HYPERLINK("https://ibp.a2mac1.com/costing(costing:projects/details/9760/equipment/12211855)","Dummy Machine (PCBA+Final Assembly Line)")</f>
        <v>Dummy Machine (PCBA+Final Assembly Line)</v>
      </c>
      <c r="B575">
        <v>12211855</v>
      </c>
      <c r="C575">
        <v>12084757</v>
      </c>
      <c r="F575" t="s">
        <v>358</v>
      </c>
      <c r="H575" t="s">
        <v>162</v>
      </c>
      <c r="I575">
        <v>79501.662769714283</v>
      </c>
      <c r="J575">
        <v>0</v>
      </c>
      <c r="K575">
        <v>0.28895999999999999</v>
      </c>
      <c r="L575">
        <v>0</v>
      </c>
      <c r="M575">
        <v>16.624578413647427</v>
      </c>
      <c r="N575">
        <v>0</v>
      </c>
      <c r="O575">
        <v>0.13392021499882648</v>
      </c>
      <c r="P575">
        <v>2.3296956666666667E-2</v>
      </c>
      <c r="Q575">
        <v>1.1481975848188456E-4</v>
      </c>
      <c r="R575">
        <v>442771.1</v>
      </c>
      <c r="S575">
        <v>0</v>
      </c>
      <c r="T575">
        <v>0</v>
      </c>
      <c r="V575">
        <v>216</v>
      </c>
      <c r="W575">
        <v>7</v>
      </c>
      <c r="X575">
        <v>85</v>
      </c>
      <c r="Y575">
        <v>3</v>
      </c>
      <c r="Z575">
        <v>4</v>
      </c>
      <c r="AA575">
        <v>5</v>
      </c>
      <c r="AB575">
        <v>0</v>
      </c>
      <c r="AC575">
        <v>0</v>
      </c>
      <c r="AD575">
        <v>0</v>
      </c>
      <c r="AE575">
        <v>0</v>
      </c>
      <c r="AF575">
        <v>0.7</v>
      </c>
      <c r="AG575">
        <v>0</v>
      </c>
      <c r="AH575">
        <v>0</v>
      </c>
      <c r="AI575">
        <v>0.2</v>
      </c>
      <c r="AJ575">
        <v>0</v>
      </c>
      <c r="AK575">
        <v>0</v>
      </c>
      <c r="AL575">
        <v>86</v>
      </c>
      <c r="AM575">
        <v>4.2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19.399999999999999</v>
      </c>
      <c r="AU575">
        <v>0</v>
      </c>
      <c r="AV575">
        <v>0</v>
      </c>
    </row>
    <row r="576" spans="1:48" x14ac:dyDescent="0.15">
      <c r="A576" s="4" t="str">
        <f>HYPERLINK("https://ibp.a2mac1.com/costing(costing:projects/details/9760/equipment/12211781)","DC machine - General")</f>
        <v>DC machine - General</v>
      </c>
      <c r="B576">
        <v>12211781</v>
      </c>
      <c r="C576">
        <v>12084683</v>
      </c>
      <c r="E576" t="s">
        <v>738</v>
      </c>
      <c r="H576" t="s">
        <v>162</v>
      </c>
      <c r="I576">
        <v>116914.84457142858</v>
      </c>
      <c r="J576">
        <v>0</v>
      </c>
      <c r="K576">
        <v>3.6</v>
      </c>
      <c r="L576">
        <v>0</v>
      </c>
      <c r="M576">
        <v>27.497982091197134</v>
      </c>
      <c r="N576">
        <v>0</v>
      </c>
      <c r="O576">
        <v>4.5829970151995227E-2</v>
      </c>
      <c r="P576">
        <v>6.8858000000000001E-3</v>
      </c>
      <c r="Q576">
        <v>5.8660831882077422E-3</v>
      </c>
      <c r="R576">
        <v>635568</v>
      </c>
      <c r="S576">
        <v>0</v>
      </c>
      <c r="T576">
        <v>0</v>
      </c>
      <c r="V576">
        <v>10800</v>
      </c>
      <c r="W576">
        <v>7</v>
      </c>
      <c r="X576">
        <v>85</v>
      </c>
      <c r="Y576">
        <v>3</v>
      </c>
      <c r="Z576">
        <v>4</v>
      </c>
      <c r="AA576">
        <v>5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3</v>
      </c>
      <c r="AJ576">
        <v>0</v>
      </c>
      <c r="AK576">
        <v>0</v>
      </c>
      <c r="AL576">
        <v>100</v>
      </c>
      <c r="AM576">
        <v>45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100</v>
      </c>
      <c r="AU576">
        <v>0</v>
      </c>
      <c r="AV576">
        <v>0</v>
      </c>
    </row>
    <row r="577" spans="1:48" x14ac:dyDescent="0.15">
      <c r="A577" s="4" t="str">
        <f>HYPERLINK("https://ibp.a2mac1.com/costing(costing:projects/details/9760/equipment/12211933)","DC machine - General")</f>
        <v>DC machine - General</v>
      </c>
      <c r="B577">
        <v>12211933</v>
      </c>
      <c r="C577">
        <v>12084812</v>
      </c>
      <c r="E577" t="s">
        <v>738</v>
      </c>
      <c r="H577" t="s">
        <v>162</v>
      </c>
      <c r="I577">
        <v>116914.84457142858</v>
      </c>
      <c r="J577">
        <v>0</v>
      </c>
      <c r="K577">
        <v>3.6</v>
      </c>
      <c r="L577">
        <v>0</v>
      </c>
      <c r="M577">
        <v>27.497982091197134</v>
      </c>
      <c r="N577">
        <v>0</v>
      </c>
      <c r="O577">
        <v>0.15276656717331741</v>
      </c>
      <c r="P577">
        <v>2.2952666666666666E-2</v>
      </c>
      <c r="Q577">
        <v>1.1732166376415484E-2</v>
      </c>
      <c r="R577">
        <v>635568</v>
      </c>
      <c r="S577">
        <v>0</v>
      </c>
      <c r="T577">
        <v>0</v>
      </c>
      <c r="V577">
        <v>10800</v>
      </c>
      <c r="W577">
        <v>7</v>
      </c>
      <c r="X577">
        <v>85</v>
      </c>
      <c r="Y577">
        <v>3</v>
      </c>
      <c r="Z577">
        <v>4</v>
      </c>
      <c r="AA577">
        <v>5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3</v>
      </c>
      <c r="AJ577">
        <v>0</v>
      </c>
      <c r="AK577">
        <v>0</v>
      </c>
      <c r="AL577">
        <v>100</v>
      </c>
      <c r="AM577">
        <v>45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100</v>
      </c>
      <c r="AU577">
        <v>0</v>
      </c>
      <c r="AV577">
        <v>0</v>
      </c>
    </row>
    <row r="578" spans="1:48" x14ac:dyDescent="0.15">
      <c r="A578" s="4" t="str">
        <f>HYPERLINK("https://ibp.a2mac1.com/costing(costing:projects/details/9760/equipment/12211856)","Equipment")</f>
        <v>Equipment</v>
      </c>
      <c r="B578">
        <v>12211856</v>
      </c>
      <c r="C578">
        <v>12084758</v>
      </c>
      <c r="E578" t="s">
        <v>738</v>
      </c>
      <c r="F578" t="s">
        <v>4667</v>
      </c>
      <c r="H578" t="s">
        <v>162</v>
      </c>
      <c r="I578">
        <v>116914.84457142858</v>
      </c>
      <c r="J578">
        <v>0</v>
      </c>
      <c r="K578">
        <v>3.6</v>
      </c>
      <c r="L578">
        <v>0</v>
      </c>
      <c r="M578">
        <v>27.497982091197134</v>
      </c>
      <c r="N578">
        <v>0</v>
      </c>
      <c r="O578">
        <v>0.80966280601858232</v>
      </c>
      <c r="P578">
        <v>0.12164913333333334</v>
      </c>
      <c r="Q578">
        <v>1.1732166376415484E-2</v>
      </c>
      <c r="R578">
        <v>635568</v>
      </c>
      <c r="S578">
        <v>0</v>
      </c>
      <c r="T578">
        <v>0</v>
      </c>
      <c r="V578">
        <v>10800</v>
      </c>
      <c r="W578">
        <v>7</v>
      </c>
      <c r="X578">
        <v>85</v>
      </c>
      <c r="Y578">
        <v>3</v>
      </c>
      <c r="Z578">
        <v>4</v>
      </c>
      <c r="AA578">
        <v>5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3</v>
      </c>
      <c r="AJ578">
        <v>0</v>
      </c>
      <c r="AK578">
        <v>0</v>
      </c>
      <c r="AL578">
        <v>100</v>
      </c>
      <c r="AM578">
        <v>45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100</v>
      </c>
      <c r="AU578">
        <v>0</v>
      </c>
      <c r="AV578">
        <v>0</v>
      </c>
    </row>
    <row r="579" spans="1:48" x14ac:dyDescent="0.15">
      <c r="A579" s="4" t="str">
        <f>HYPERLINK("https://ibp.a2mac1.com/costing(costing:projects/details/9760/equipment/12211857)","DC machine - General")</f>
        <v>DC machine - General</v>
      </c>
      <c r="B579">
        <v>12211857</v>
      </c>
      <c r="C579">
        <v>12084759</v>
      </c>
      <c r="E579" t="s">
        <v>738</v>
      </c>
      <c r="H579" t="s">
        <v>162</v>
      </c>
      <c r="I579">
        <v>116914.84457142858</v>
      </c>
      <c r="J579">
        <v>0</v>
      </c>
      <c r="K579">
        <v>3.6</v>
      </c>
      <c r="L579">
        <v>0</v>
      </c>
      <c r="M579">
        <v>27.497982091197134</v>
      </c>
      <c r="N579">
        <v>0</v>
      </c>
      <c r="O579">
        <v>0.32080979106396657</v>
      </c>
      <c r="P579">
        <v>4.8200600000000003E-2</v>
      </c>
      <c r="Q579">
        <v>1.1732166376415484E-2</v>
      </c>
      <c r="R579">
        <v>635568</v>
      </c>
      <c r="S579">
        <v>0</v>
      </c>
      <c r="T579">
        <v>0</v>
      </c>
      <c r="V579">
        <v>10800</v>
      </c>
      <c r="W579">
        <v>7</v>
      </c>
      <c r="X579">
        <v>85</v>
      </c>
      <c r="Y579">
        <v>3</v>
      </c>
      <c r="Z579">
        <v>4</v>
      </c>
      <c r="AA579">
        <v>5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3</v>
      </c>
      <c r="AJ579">
        <v>0</v>
      </c>
      <c r="AK579">
        <v>0</v>
      </c>
      <c r="AL579">
        <v>100</v>
      </c>
      <c r="AM579">
        <v>45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100</v>
      </c>
      <c r="AU579">
        <v>0</v>
      </c>
      <c r="AV579">
        <v>0</v>
      </c>
    </row>
    <row r="580" spans="1:48" x14ac:dyDescent="0.15">
      <c r="A580" s="4" t="str">
        <f>HYPERLINK("https://ibp.a2mac1.com/costing(costing:projects/details/9760/equipment/12211858)","Equipment")</f>
        <v>Equipment</v>
      </c>
      <c r="B580">
        <v>12211858</v>
      </c>
      <c r="C580">
        <v>12084760</v>
      </c>
      <c r="E580" t="s">
        <v>738</v>
      </c>
      <c r="F580" t="s">
        <v>4667</v>
      </c>
      <c r="H580" t="s">
        <v>162</v>
      </c>
      <c r="I580">
        <v>116914.84457142858</v>
      </c>
      <c r="J580">
        <v>0</v>
      </c>
      <c r="K580">
        <v>3.6</v>
      </c>
      <c r="L580">
        <v>0</v>
      </c>
      <c r="M580">
        <v>27.497982091197134</v>
      </c>
      <c r="N580">
        <v>0</v>
      </c>
      <c r="O580">
        <v>0.35136310449863006</v>
      </c>
      <c r="P580">
        <v>5.279113333333333E-2</v>
      </c>
      <c r="Q580">
        <v>1.1732166376415484E-2</v>
      </c>
      <c r="R580">
        <v>635568</v>
      </c>
      <c r="S580">
        <v>0</v>
      </c>
      <c r="T580">
        <v>0</v>
      </c>
      <c r="V580">
        <v>10800</v>
      </c>
      <c r="W580">
        <v>7</v>
      </c>
      <c r="X580">
        <v>85</v>
      </c>
      <c r="Y580">
        <v>3</v>
      </c>
      <c r="Z580">
        <v>4</v>
      </c>
      <c r="AA580">
        <v>5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3</v>
      </c>
      <c r="AJ580">
        <v>0</v>
      </c>
      <c r="AK580">
        <v>0</v>
      </c>
      <c r="AL580">
        <v>100</v>
      </c>
      <c r="AM580">
        <v>45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100</v>
      </c>
      <c r="AU580">
        <v>0</v>
      </c>
      <c r="AV580">
        <v>0</v>
      </c>
    </row>
    <row r="581" spans="1:48" x14ac:dyDescent="0.15">
      <c r="A581" s="4" t="str">
        <f>HYPERLINK("https://ibp.a2mac1.com/costing(costing:projects/details/9760/equipment/12211859)","DC machine - General")</f>
        <v>DC machine - General</v>
      </c>
      <c r="B581">
        <v>12211859</v>
      </c>
      <c r="C581">
        <v>12084761</v>
      </c>
      <c r="E581" t="s">
        <v>738</v>
      </c>
      <c r="H581" t="s">
        <v>162</v>
      </c>
      <c r="I581">
        <v>116914.84457142858</v>
      </c>
      <c r="J581">
        <v>0</v>
      </c>
      <c r="K581">
        <v>3.6</v>
      </c>
      <c r="L581">
        <v>0</v>
      </c>
      <c r="M581">
        <v>27.497982091197134</v>
      </c>
      <c r="N581">
        <v>0</v>
      </c>
      <c r="O581">
        <v>0.39719307465062526</v>
      </c>
      <c r="P581">
        <v>5.9676933333333335E-2</v>
      </c>
      <c r="Q581">
        <v>1.1732166376415484E-2</v>
      </c>
      <c r="R581">
        <v>635568</v>
      </c>
      <c r="S581">
        <v>0</v>
      </c>
      <c r="T581">
        <v>0</v>
      </c>
      <c r="V581">
        <v>10800</v>
      </c>
      <c r="W581">
        <v>7</v>
      </c>
      <c r="X581">
        <v>85</v>
      </c>
      <c r="Y581">
        <v>3</v>
      </c>
      <c r="Z581">
        <v>4</v>
      </c>
      <c r="AA581">
        <v>5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3</v>
      </c>
      <c r="AJ581">
        <v>0</v>
      </c>
      <c r="AK581">
        <v>0</v>
      </c>
      <c r="AL581">
        <v>100</v>
      </c>
      <c r="AM581">
        <v>45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100</v>
      </c>
      <c r="AU581">
        <v>0</v>
      </c>
      <c r="AV581">
        <v>0</v>
      </c>
    </row>
    <row r="582" spans="1:48" x14ac:dyDescent="0.15">
      <c r="A582" s="4" t="str">
        <f>HYPERLINK("https://ibp.a2mac1.com/costing(costing:projects/details/9760/equipment/12211860)","Equipment")</f>
        <v>Equipment</v>
      </c>
      <c r="B582">
        <v>12211860</v>
      </c>
      <c r="C582">
        <v>12084762</v>
      </c>
      <c r="E582" t="s">
        <v>738</v>
      </c>
      <c r="F582" t="s">
        <v>4667</v>
      </c>
      <c r="H582" t="s">
        <v>162</v>
      </c>
      <c r="I582">
        <v>116914.84457142858</v>
      </c>
      <c r="J582">
        <v>0</v>
      </c>
      <c r="K582">
        <v>3.6</v>
      </c>
      <c r="L582">
        <v>0</v>
      </c>
      <c r="M582">
        <v>27.497982091197134</v>
      </c>
      <c r="N582">
        <v>0</v>
      </c>
      <c r="O582">
        <v>0.48121468659594985</v>
      </c>
      <c r="P582">
        <v>7.2300900000000001E-2</v>
      </c>
      <c r="Q582">
        <v>1.1732166376415484E-2</v>
      </c>
      <c r="R582">
        <v>635568</v>
      </c>
      <c r="S582">
        <v>0</v>
      </c>
      <c r="T582">
        <v>0</v>
      </c>
      <c r="V582">
        <v>10800</v>
      </c>
      <c r="W582">
        <v>7</v>
      </c>
      <c r="X582">
        <v>85</v>
      </c>
      <c r="Y582">
        <v>3</v>
      </c>
      <c r="Z582">
        <v>4</v>
      </c>
      <c r="AA582">
        <v>5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3</v>
      </c>
      <c r="AJ582">
        <v>0</v>
      </c>
      <c r="AK582">
        <v>0</v>
      </c>
      <c r="AL582">
        <v>100</v>
      </c>
      <c r="AM582">
        <v>45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100</v>
      </c>
      <c r="AU582">
        <v>0</v>
      </c>
      <c r="AV582">
        <v>0</v>
      </c>
    </row>
    <row r="583" spans="1:48" x14ac:dyDescent="0.15">
      <c r="A583" s="4" t="str">
        <f>HYPERLINK("https://ibp.a2mac1.com/costing(costing:projects/details/9760/equipment/12211861)","Equipment")</f>
        <v>Equipment</v>
      </c>
      <c r="B583">
        <v>12211861</v>
      </c>
      <c r="C583">
        <v>12084763</v>
      </c>
      <c r="E583" t="s">
        <v>738</v>
      </c>
      <c r="F583" t="s">
        <v>4667</v>
      </c>
      <c r="H583" t="s">
        <v>162</v>
      </c>
      <c r="I583">
        <v>116914.84457142858</v>
      </c>
      <c r="J583">
        <v>0</v>
      </c>
      <c r="K583">
        <v>3.6</v>
      </c>
      <c r="L583">
        <v>0</v>
      </c>
      <c r="M583">
        <v>27.497982091197134</v>
      </c>
      <c r="N583">
        <v>0</v>
      </c>
      <c r="O583">
        <v>0.79438614930125051</v>
      </c>
      <c r="P583">
        <v>0.11935386666666667</v>
      </c>
      <c r="Q583">
        <v>1.1732166376415484E-2</v>
      </c>
      <c r="R583">
        <v>635568</v>
      </c>
      <c r="S583">
        <v>0</v>
      </c>
      <c r="T583">
        <v>0</v>
      </c>
      <c r="V583">
        <v>10800</v>
      </c>
      <c r="W583">
        <v>7</v>
      </c>
      <c r="X583">
        <v>85</v>
      </c>
      <c r="Y583">
        <v>3</v>
      </c>
      <c r="Z583">
        <v>4</v>
      </c>
      <c r="AA583">
        <v>5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3</v>
      </c>
      <c r="AJ583">
        <v>0</v>
      </c>
      <c r="AK583">
        <v>0</v>
      </c>
      <c r="AL583">
        <v>100</v>
      </c>
      <c r="AM583">
        <v>45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100</v>
      </c>
      <c r="AU583">
        <v>0</v>
      </c>
      <c r="AV583">
        <v>0</v>
      </c>
    </row>
    <row r="584" spans="1:48" x14ac:dyDescent="0.15">
      <c r="A584" s="4" t="str">
        <f>HYPERLINK("https://ibp.a2mac1.com/costing(costing:projects/details/9760/equipment/12211862)","DC machine - General")</f>
        <v>DC machine - General</v>
      </c>
      <c r="B584">
        <v>12211862</v>
      </c>
      <c r="C584">
        <v>12084764</v>
      </c>
      <c r="E584" t="s">
        <v>738</v>
      </c>
      <c r="H584" t="s">
        <v>162</v>
      </c>
      <c r="I584">
        <v>116914.84457142858</v>
      </c>
      <c r="J584">
        <v>0</v>
      </c>
      <c r="K584">
        <v>3.6</v>
      </c>
      <c r="L584">
        <v>0</v>
      </c>
      <c r="M584">
        <v>27.497982091197134</v>
      </c>
      <c r="N584">
        <v>0</v>
      </c>
      <c r="O584">
        <v>0.22151152240131025</v>
      </c>
      <c r="P584">
        <v>3.3281366666666666E-2</v>
      </c>
      <c r="Q584">
        <v>1.1732166376415484E-2</v>
      </c>
      <c r="R584">
        <v>635568</v>
      </c>
      <c r="S584">
        <v>0</v>
      </c>
      <c r="T584">
        <v>0</v>
      </c>
      <c r="V584">
        <v>10800</v>
      </c>
      <c r="W584">
        <v>7</v>
      </c>
      <c r="X584">
        <v>85</v>
      </c>
      <c r="Y584">
        <v>3</v>
      </c>
      <c r="Z584">
        <v>4</v>
      </c>
      <c r="AA584">
        <v>5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3</v>
      </c>
      <c r="AJ584">
        <v>0</v>
      </c>
      <c r="AK584">
        <v>0</v>
      </c>
      <c r="AL584">
        <v>100</v>
      </c>
      <c r="AM584">
        <v>45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100</v>
      </c>
      <c r="AU584">
        <v>0</v>
      </c>
      <c r="AV584">
        <v>0</v>
      </c>
    </row>
    <row r="585" spans="1:48" x14ac:dyDescent="0.15">
      <c r="A585" s="4" t="str">
        <f>HYPERLINK("https://ibp.a2mac1.com/costing(costing:projects/details/9760/equipment/12211863)","DC machine - General")</f>
        <v>DC machine - General</v>
      </c>
      <c r="B585">
        <v>12211863</v>
      </c>
      <c r="C585">
        <v>12084765</v>
      </c>
      <c r="E585" t="s">
        <v>738</v>
      </c>
      <c r="H585" t="s">
        <v>162</v>
      </c>
      <c r="I585">
        <v>116914.84457142858</v>
      </c>
      <c r="J585">
        <v>0</v>
      </c>
      <c r="K585">
        <v>3.6</v>
      </c>
      <c r="L585">
        <v>0</v>
      </c>
      <c r="M585">
        <v>27.497982091197134</v>
      </c>
      <c r="N585">
        <v>0</v>
      </c>
      <c r="O585">
        <v>0.13748991045598569</v>
      </c>
      <c r="P585">
        <v>2.0657399999999999E-2</v>
      </c>
      <c r="Q585">
        <v>1.1732166376415484E-2</v>
      </c>
      <c r="R585">
        <v>635568</v>
      </c>
      <c r="S585">
        <v>0</v>
      </c>
      <c r="T585">
        <v>0</v>
      </c>
      <c r="V585">
        <v>10800</v>
      </c>
      <c r="W585">
        <v>7</v>
      </c>
      <c r="X585">
        <v>85</v>
      </c>
      <c r="Y585">
        <v>3</v>
      </c>
      <c r="Z585">
        <v>4</v>
      </c>
      <c r="AA585">
        <v>5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3</v>
      </c>
      <c r="AJ585">
        <v>0</v>
      </c>
      <c r="AK585">
        <v>0</v>
      </c>
      <c r="AL585">
        <v>100</v>
      </c>
      <c r="AM585">
        <v>45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100</v>
      </c>
      <c r="AU585">
        <v>0</v>
      </c>
      <c r="AV585">
        <v>0</v>
      </c>
    </row>
    <row r="586" spans="1:48" x14ac:dyDescent="0.15">
      <c r="A586" s="4" t="str">
        <f>HYPERLINK("https://ibp.a2mac1.com/costing(costing:projects/details/9760/equipment/12211864)","DC machine - General")</f>
        <v>DC machine - General</v>
      </c>
      <c r="B586">
        <v>12211864</v>
      </c>
      <c r="C586">
        <v>12084766</v>
      </c>
      <c r="E586" t="s">
        <v>738</v>
      </c>
      <c r="H586" t="s">
        <v>162</v>
      </c>
      <c r="I586">
        <v>116914.84457142858</v>
      </c>
      <c r="J586">
        <v>0</v>
      </c>
      <c r="K586">
        <v>3.6</v>
      </c>
      <c r="L586">
        <v>0</v>
      </c>
      <c r="M586">
        <v>27.497982091197134</v>
      </c>
      <c r="N586">
        <v>0</v>
      </c>
      <c r="O586">
        <v>0.34372477613996416</v>
      </c>
      <c r="P586">
        <v>5.1643500000000002E-2</v>
      </c>
      <c r="Q586">
        <v>1.1732166376415484E-2</v>
      </c>
      <c r="R586">
        <v>635568</v>
      </c>
      <c r="S586">
        <v>0</v>
      </c>
      <c r="T586">
        <v>0</v>
      </c>
      <c r="V586">
        <v>10800</v>
      </c>
      <c r="W586">
        <v>7</v>
      </c>
      <c r="X586">
        <v>85</v>
      </c>
      <c r="Y586">
        <v>3</v>
      </c>
      <c r="Z586">
        <v>4</v>
      </c>
      <c r="AA586">
        <v>5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3</v>
      </c>
      <c r="AJ586">
        <v>0</v>
      </c>
      <c r="AK586">
        <v>0</v>
      </c>
      <c r="AL586">
        <v>100</v>
      </c>
      <c r="AM586">
        <v>45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100</v>
      </c>
      <c r="AU586">
        <v>0</v>
      </c>
      <c r="AV586">
        <v>0</v>
      </c>
    </row>
    <row r="587" spans="1:48" x14ac:dyDescent="0.15">
      <c r="A587" s="4" t="str">
        <f>HYPERLINK("https://ibp.a2mac1.com/costing(costing:projects/details/9760/equipment/12211865)","DC machine - General")</f>
        <v>DC machine - General</v>
      </c>
      <c r="B587">
        <v>12211865</v>
      </c>
      <c r="C587">
        <v>12084767</v>
      </c>
      <c r="E587" t="s">
        <v>738</v>
      </c>
      <c r="H587" t="s">
        <v>162</v>
      </c>
      <c r="I587">
        <v>116914.84457142858</v>
      </c>
      <c r="J587">
        <v>0</v>
      </c>
      <c r="K587">
        <v>3.6</v>
      </c>
      <c r="L587">
        <v>0</v>
      </c>
      <c r="M587">
        <v>27.497982091197134</v>
      </c>
      <c r="N587">
        <v>0</v>
      </c>
      <c r="O587">
        <v>0.24442650747730787</v>
      </c>
      <c r="P587">
        <v>3.6724266666666665E-2</v>
      </c>
      <c r="Q587">
        <v>1.1732166376415484E-2</v>
      </c>
      <c r="R587">
        <v>635568</v>
      </c>
      <c r="S587">
        <v>0</v>
      </c>
      <c r="T587">
        <v>0</v>
      </c>
      <c r="V587">
        <v>10800</v>
      </c>
      <c r="W587">
        <v>7</v>
      </c>
      <c r="X587">
        <v>85</v>
      </c>
      <c r="Y587">
        <v>3</v>
      </c>
      <c r="Z587">
        <v>4</v>
      </c>
      <c r="AA587">
        <v>5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3</v>
      </c>
      <c r="AJ587">
        <v>0</v>
      </c>
      <c r="AK587">
        <v>0</v>
      </c>
      <c r="AL587">
        <v>100</v>
      </c>
      <c r="AM587">
        <v>45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100</v>
      </c>
      <c r="AU587">
        <v>0</v>
      </c>
      <c r="AV587">
        <v>0</v>
      </c>
    </row>
    <row r="588" spans="1:48" x14ac:dyDescent="0.15">
      <c r="A588" s="4" t="str">
        <f>HYPERLINK("https://ibp.a2mac1.com/costing(costing:projects/details/9760/equipment/12211866)","Equipment")</f>
        <v>Equipment</v>
      </c>
      <c r="B588">
        <v>12211866</v>
      </c>
      <c r="C588">
        <v>12084768</v>
      </c>
      <c r="E588" t="s">
        <v>738</v>
      </c>
      <c r="F588" t="s">
        <v>4667</v>
      </c>
      <c r="H588" t="s">
        <v>162</v>
      </c>
      <c r="I588">
        <v>116914.84457142858</v>
      </c>
      <c r="J588">
        <v>0</v>
      </c>
      <c r="K588">
        <v>3.6</v>
      </c>
      <c r="L588">
        <v>0</v>
      </c>
      <c r="M588">
        <v>27.497982091197134</v>
      </c>
      <c r="N588">
        <v>0</v>
      </c>
      <c r="O588">
        <v>1.0770042985718877</v>
      </c>
      <c r="P588">
        <v>0.1618163</v>
      </c>
      <c r="Q588">
        <v>1.1732166376415484E-2</v>
      </c>
      <c r="R588">
        <v>635568</v>
      </c>
      <c r="S588">
        <v>0</v>
      </c>
      <c r="T588">
        <v>0</v>
      </c>
      <c r="V588">
        <v>10800</v>
      </c>
      <c r="W588">
        <v>7</v>
      </c>
      <c r="X588">
        <v>85</v>
      </c>
      <c r="Y588">
        <v>3</v>
      </c>
      <c r="Z588">
        <v>4</v>
      </c>
      <c r="AA588">
        <v>5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3</v>
      </c>
      <c r="AJ588">
        <v>0</v>
      </c>
      <c r="AK588">
        <v>0</v>
      </c>
      <c r="AL588">
        <v>100</v>
      </c>
      <c r="AM588">
        <v>45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100</v>
      </c>
      <c r="AU588">
        <v>0</v>
      </c>
      <c r="AV588">
        <v>0</v>
      </c>
    </row>
    <row r="589" spans="1:48" x14ac:dyDescent="0.15">
      <c r="A589" s="4" t="str">
        <f>HYPERLINK("https://ibp.a2mac1.com/costing(costing:projects/details/9760/equipment/12211934)","DC machine - General")</f>
        <v>DC machine - General</v>
      </c>
      <c r="B589">
        <v>12211934</v>
      </c>
      <c r="C589">
        <v>12084835</v>
      </c>
      <c r="E589" t="s">
        <v>738</v>
      </c>
      <c r="H589" t="s">
        <v>162</v>
      </c>
      <c r="I589">
        <v>116914.84457142858</v>
      </c>
      <c r="J589">
        <v>0</v>
      </c>
      <c r="K589">
        <v>3.6</v>
      </c>
      <c r="L589">
        <v>0</v>
      </c>
      <c r="M589">
        <v>27.497982091197134</v>
      </c>
      <c r="N589">
        <v>0</v>
      </c>
      <c r="O589">
        <v>1.5276656717331742</v>
      </c>
      <c r="P589">
        <v>0.22952666666666666</v>
      </c>
      <c r="Q589">
        <v>1.1732166376415484E-2</v>
      </c>
      <c r="R589">
        <v>635568</v>
      </c>
      <c r="S589">
        <v>0</v>
      </c>
      <c r="T589">
        <v>0</v>
      </c>
      <c r="V589">
        <v>10800</v>
      </c>
      <c r="W589">
        <v>7</v>
      </c>
      <c r="X589">
        <v>85</v>
      </c>
      <c r="Y589">
        <v>3</v>
      </c>
      <c r="Z589">
        <v>4</v>
      </c>
      <c r="AA589">
        <v>5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3</v>
      </c>
      <c r="AJ589">
        <v>0</v>
      </c>
      <c r="AK589">
        <v>0</v>
      </c>
      <c r="AL589">
        <v>100</v>
      </c>
      <c r="AM589">
        <v>45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100</v>
      </c>
      <c r="AU589">
        <v>0</v>
      </c>
      <c r="AV589">
        <v>0</v>
      </c>
    </row>
    <row r="590" spans="1:48" x14ac:dyDescent="0.15">
      <c r="A590" s="4" t="str">
        <f>HYPERLINK("https://ibp.a2mac1.com/costing(costing:projects/details/9760/equipment/12211935)","DC machine - General")</f>
        <v>DC machine - General</v>
      </c>
      <c r="B590">
        <v>12211935</v>
      </c>
      <c r="C590">
        <v>12084836</v>
      </c>
      <c r="E590" t="s">
        <v>738</v>
      </c>
      <c r="H590" t="s">
        <v>162</v>
      </c>
      <c r="I590">
        <v>116914.84457142858</v>
      </c>
      <c r="J590">
        <v>0</v>
      </c>
      <c r="K590">
        <v>3.6</v>
      </c>
      <c r="L590">
        <v>0</v>
      </c>
      <c r="M590">
        <v>27.497982091197134</v>
      </c>
      <c r="N590">
        <v>0</v>
      </c>
      <c r="O590">
        <v>5.3468298510661094E-2</v>
      </c>
      <c r="P590">
        <v>8.0334333333333327E-3</v>
      </c>
      <c r="Q590">
        <v>1.1732166376415484E-2</v>
      </c>
      <c r="R590">
        <v>635568</v>
      </c>
      <c r="S590">
        <v>0</v>
      </c>
      <c r="T590">
        <v>0</v>
      </c>
      <c r="V590">
        <v>10800</v>
      </c>
      <c r="W590">
        <v>7</v>
      </c>
      <c r="X590">
        <v>85</v>
      </c>
      <c r="Y590">
        <v>3</v>
      </c>
      <c r="Z590">
        <v>4</v>
      </c>
      <c r="AA590">
        <v>5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3</v>
      </c>
      <c r="AJ590">
        <v>0</v>
      </c>
      <c r="AK590">
        <v>0</v>
      </c>
      <c r="AL590">
        <v>100</v>
      </c>
      <c r="AM590">
        <v>45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100</v>
      </c>
      <c r="AU590">
        <v>0</v>
      </c>
      <c r="AV590">
        <v>0</v>
      </c>
    </row>
    <row r="591" spans="1:48" x14ac:dyDescent="0.15">
      <c r="A591" s="4" t="str">
        <f>HYPERLINK("https://ibp.a2mac1.com/costing(costing:projects/details/9760/equipment/12211936)","DC machine - General")</f>
        <v>DC machine - General</v>
      </c>
      <c r="B591">
        <v>12211936</v>
      </c>
      <c r="C591">
        <v>12084837</v>
      </c>
      <c r="E591" t="s">
        <v>738</v>
      </c>
      <c r="H591" t="s">
        <v>162</v>
      </c>
      <c r="I591">
        <v>116914.84457142858</v>
      </c>
      <c r="J591">
        <v>0</v>
      </c>
      <c r="K591">
        <v>3.6</v>
      </c>
      <c r="L591">
        <v>0</v>
      </c>
      <c r="M591">
        <v>27.497982091197134</v>
      </c>
      <c r="N591">
        <v>0</v>
      </c>
      <c r="O591">
        <v>1.5276656717331742</v>
      </c>
      <c r="P591">
        <v>0.22952666666666666</v>
      </c>
      <c r="Q591">
        <v>1.1732166376415484E-2</v>
      </c>
      <c r="R591">
        <v>635568</v>
      </c>
      <c r="S591">
        <v>0</v>
      </c>
      <c r="T591">
        <v>0</v>
      </c>
      <c r="V591">
        <v>10800</v>
      </c>
      <c r="W591">
        <v>7</v>
      </c>
      <c r="X591">
        <v>85</v>
      </c>
      <c r="Y591">
        <v>3</v>
      </c>
      <c r="Z591">
        <v>4</v>
      </c>
      <c r="AA591">
        <v>5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3</v>
      </c>
      <c r="AJ591">
        <v>0</v>
      </c>
      <c r="AK591">
        <v>0</v>
      </c>
      <c r="AL591">
        <v>100</v>
      </c>
      <c r="AM591">
        <v>45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100</v>
      </c>
      <c r="AU591">
        <v>0</v>
      </c>
      <c r="AV591">
        <v>0</v>
      </c>
    </row>
    <row r="592" spans="1:48" x14ac:dyDescent="0.15">
      <c r="A592" s="4" t="str">
        <f>HYPERLINK("https://ibp.a2mac1.com/costing(costing:projects/details/9760/equipment/12211870)","DC machine - General")</f>
        <v>DC machine - General</v>
      </c>
      <c r="B592">
        <v>12211870</v>
      </c>
      <c r="C592">
        <v>12084769</v>
      </c>
      <c r="E592" t="s">
        <v>738</v>
      </c>
      <c r="H592" t="s">
        <v>162</v>
      </c>
      <c r="I592">
        <v>116914.84457142858</v>
      </c>
      <c r="J592">
        <v>0</v>
      </c>
      <c r="K592">
        <v>3.6</v>
      </c>
      <c r="L592">
        <v>0</v>
      </c>
      <c r="M592">
        <v>27.497982091197134</v>
      </c>
      <c r="N592">
        <v>0</v>
      </c>
      <c r="O592">
        <v>0.4964913433132816</v>
      </c>
      <c r="P592">
        <v>7.4596166666666672E-2</v>
      </c>
      <c r="Q592">
        <v>1.1732166376415484E-2</v>
      </c>
      <c r="R592">
        <v>635568</v>
      </c>
      <c r="S592">
        <v>0</v>
      </c>
      <c r="T592">
        <v>0</v>
      </c>
      <c r="V592">
        <v>10800</v>
      </c>
      <c r="W592">
        <v>7</v>
      </c>
      <c r="X592">
        <v>85</v>
      </c>
      <c r="Y592">
        <v>3</v>
      </c>
      <c r="Z592">
        <v>4</v>
      </c>
      <c r="AA592">
        <v>5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3</v>
      </c>
      <c r="AJ592">
        <v>0</v>
      </c>
      <c r="AK592">
        <v>0</v>
      </c>
      <c r="AL592">
        <v>100</v>
      </c>
      <c r="AM592">
        <v>45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100</v>
      </c>
      <c r="AU592">
        <v>0</v>
      </c>
      <c r="AV592">
        <v>0</v>
      </c>
    </row>
    <row r="593" spans="1:48" x14ac:dyDescent="0.15">
      <c r="A593" s="4" t="str">
        <f>HYPERLINK("https://ibp.a2mac1.com/costing(costing:projects/details/9760/equipment/12211871)","DC machine - General")</f>
        <v>DC machine - General</v>
      </c>
      <c r="B593">
        <v>12211871</v>
      </c>
      <c r="C593">
        <v>12084770</v>
      </c>
      <c r="E593" t="s">
        <v>738</v>
      </c>
      <c r="H593" t="s">
        <v>162</v>
      </c>
      <c r="I593">
        <v>116914.84457142858</v>
      </c>
      <c r="J593">
        <v>0</v>
      </c>
      <c r="K593">
        <v>3.6</v>
      </c>
      <c r="L593">
        <v>0</v>
      </c>
      <c r="M593">
        <v>27.497982091197134</v>
      </c>
      <c r="N593">
        <v>0</v>
      </c>
      <c r="O593">
        <v>3.0553313434663484E-2</v>
      </c>
      <c r="P593">
        <v>4.5905333333333331E-3</v>
      </c>
      <c r="Q593">
        <v>5.8660831882077422E-3</v>
      </c>
      <c r="R593">
        <v>635568</v>
      </c>
      <c r="S593">
        <v>0</v>
      </c>
      <c r="T593">
        <v>0</v>
      </c>
      <c r="V593">
        <v>10800</v>
      </c>
      <c r="W593">
        <v>7</v>
      </c>
      <c r="X593">
        <v>85</v>
      </c>
      <c r="Y593">
        <v>3</v>
      </c>
      <c r="Z593">
        <v>4</v>
      </c>
      <c r="AA593">
        <v>5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3</v>
      </c>
      <c r="AJ593">
        <v>0</v>
      </c>
      <c r="AK593">
        <v>0</v>
      </c>
      <c r="AL593">
        <v>100</v>
      </c>
      <c r="AM593">
        <v>45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100</v>
      </c>
      <c r="AU593">
        <v>0</v>
      </c>
      <c r="AV593">
        <v>0</v>
      </c>
    </row>
    <row r="594" spans="1:48" x14ac:dyDescent="0.15">
      <c r="A594" s="4" t="str">
        <f>HYPERLINK("https://ibp.a2mac1.com/costing(costing:projects/details/9760/equipment/12211937)","DC machine - General")</f>
        <v>DC machine - General</v>
      </c>
      <c r="B594">
        <v>12211937</v>
      </c>
      <c r="C594">
        <v>12084838</v>
      </c>
      <c r="E594" t="s">
        <v>738</v>
      </c>
      <c r="H594" t="s">
        <v>162</v>
      </c>
      <c r="I594">
        <v>116914.84457142858</v>
      </c>
      <c r="J594">
        <v>0</v>
      </c>
      <c r="K594">
        <v>3.6</v>
      </c>
      <c r="L594">
        <v>0</v>
      </c>
      <c r="M594">
        <v>27.497982091197134</v>
      </c>
      <c r="N594">
        <v>0</v>
      </c>
      <c r="O594">
        <v>0.15276656717331741</v>
      </c>
      <c r="P594">
        <v>2.2952666666666666E-2</v>
      </c>
      <c r="Q594">
        <v>1.1732166376415484E-2</v>
      </c>
      <c r="R594">
        <v>635568</v>
      </c>
      <c r="S594">
        <v>0</v>
      </c>
      <c r="T594">
        <v>0</v>
      </c>
      <c r="V594">
        <v>10800</v>
      </c>
      <c r="W594">
        <v>7</v>
      </c>
      <c r="X594">
        <v>85</v>
      </c>
      <c r="Y594">
        <v>3</v>
      </c>
      <c r="Z594">
        <v>4</v>
      </c>
      <c r="AA594">
        <v>5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3</v>
      </c>
      <c r="AJ594">
        <v>0</v>
      </c>
      <c r="AK594">
        <v>0</v>
      </c>
      <c r="AL594">
        <v>100</v>
      </c>
      <c r="AM594">
        <v>45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100</v>
      </c>
      <c r="AU594">
        <v>0</v>
      </c>
      <c r="AV594">
        <v>0</v>
      </c>
    </row>
    <row r="595" spans="1:48" x14ac:dyDescent="0.15">
      <c r="A595" s="4" t="str">
        <f>HYPERLINK("https://ibp.a2mac1.com/costing(costing:projects/details/9760/equipment/12211872)","Equipment")</f>
        <v>Equipment</v>
      </c>
      <c r="B595">
        <v>12211872</v>
      </c>
      <c r="C595">
        <v>12084771</v>
      </c>
      <c r="E595" t="s">
        <v>738</v>
      </c>
      <c r="F595" t="s">
        <v>4667</v>
      </c>
      <c r="H595" t="s">
        <v>162</v>
      </c>
      <c r="I595">
        <v>116914.84457142858</v>
      </c>
      <c r="J595">
        <v>0</v>
      </c>
      <c r="K595">
        <v>3.6</v>
      </c>
      <c r="L595">
        <v>0</v>
      </c>
      <c r="M595">
        <v>27.497982091197134</v>
      </c>
      <c r="N595">
        <v>0</v>
      </c>
      <c r="O595">
        <v>0.80966280601858232</v>
      </c>
      <c r="P595">
        <v>0.12164913333333334</v>
      </c>
      <c r="Q595">
        <v>1.1732166376415484E-2</v>
      </c>
      <c r="R595">
        <v>635568</v>
      </c>
      <c r="S595">
        <v>0</v>
      </c>
      <c r="T595">
        <v>0</v>
      </c>
      <c r="V595">
        <v>10800</v>
      </c>
      <c r="W595">
        <v>7</v>
      </c>
      <c r="X595">
        <v>85</v>
      </c>
      <c r="Y595">
        <v>3</v>
      </c>
      <c r="Z595">
        <v>4</v>
      </c>
      <c r="AA595">
        <v>5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3</v>
      </c>
      <c r="AJ595">
        <v>0</v>
      </c>
      <c r="AK595">
        <v>0</v>
      </c>
      <c r="AL595">
        <v>100</v>
      </c>
      <c r="AM595">
        <v>45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100</v>
      </c>
      <c r="AU595">
        <v>0</v>
      </c>
      <c r="AV595">
        <v>0</v>
      </c>
    </row>
    <row r="596" spans="1:48" x14ac:dyDescent="0.15">
      <c r="A596" s="4" t="str">
        <f>HYPERLINK("https://ibp.a2mac1.com/costing(costing:projects/details/9760/equipment/12211873)","DC machine - General")</f>
        <v>DC machine - General</v>
      </c>
      <c r="B596">
        <v>12211873</v>
      </c>
      <c r="C596">
        <v>12084772</v>
      </c>
      <c r="E596" t="s">
        <v>738</v>
      </c>
      <c r="H596" t="s">
        <v>162</v>
      </c>
      <c r="I596">
        <v>116914.84457142858</v>
      </c>
      <c r="J596">
        <v>0</v>
      </c>
      <c r="K596">
        <v>3.6</v>
      </c>
      <c r="L596">
        <v>0</v>
      </c>
      <c r="M596">
        <v>27.497982091197134</v>
      </c>
      <c r="N596">
        <v>0</v>
      </c>
      <c r="O596">
        <v>0.32080979106396657</v>
      </c>
      <c r="P596">
        <v>4.8200600000000003E-2</v>
      </c>
      <c r="Q596">
        <v>1.1732166376415484E-2</v>
      </c>
      <c r="R596">
        <v>635568</v>
      </c>
      <c r="S596">
        <v>0</v>
      </c>
      <c r="T596">
        <v>0</v>
      </c>
      <c r="V596">
        <v>10800</v>
      </c>
      <c r="W596">
        <v>7</v>
      </c>
      <c r="X596">
        <v>85</v>
      </c>
      <c r="Y596">
        <v>3</v>
      </c>
      <c r="Z596">
        <v>4</v>
      </c>
      <c r="AA596">
        <v>5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3</v>
      </c>
      <c r="AJ596">
        <v>0</v>
      </c>
      <c r="AK596">
        <v>0</v>
      </c>
      <c r="AL596">
        <v>100</v>
      </c>
      <c r="AM596">
        <v>45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100</v>
      </c>
      <c r="AU596">
        <v>0</v>
      </c>
      <c r="AV596">
        <v>0</v>
      </c>
    </row>
    <row r="597" spans="1:48" x14ac:dyDescent="0.15">
      <c r="A597" s="4" t="str">
        <f>HYPERLINK("https://ibp.a2mac1.com/costing(costing:projects/details/9760/equipment/12211874)","Equipment")</f>
        <v>Equipment</v>
      </c>
      <c r="B597">
        <v>12211874</v>
      </c>
      <c r="C597">
        <v>12084773</v>
      </c>
      <c r="E597" t="s">
        <v>738</v>
      </c>
      <c r="F597" t="s">
        <v>4667</v>
      </c>
      <c r="H597" t="s">
        <v>162</v>
      </c>
      <c r="I597">
        <v>116914.84457142858</v>
      </c>
      <c r="J597">
        <v>0</v>
      </c>
      <c r="K597">
        <v>3.6</v>
      </c>
      <c r="L597">
        <v>0</v>
      </c>
      <c r="M597">
        <v>27.497982091197134</v>
      </c>
      <c r="N597">
        <v>0</v>
      </c>
      <c r="O597">
        <v>0.35136310449863006</v>
      </c>
      <c r="P597">
        <v>5.279113333333333E-2</v>
      </c>
      <c r="Q597">
        <v>1.1732166376415484E-2</v>
      </c>
      <c r="R597">
        <v>635568</v>
      </c>
      <c r="S597">
        <v>0</v>
      </c>
      <c r="T597">
        <v>0</v>
      </c>
      <c r="V597">
        <v>10800</v>
      </c>
      <c r="W597">
        <v>7</v>
      </c>
      <c r="X597">
        <v>85</v>
      </c>
      <c r="Y597">
        <v>3</v>
      </c>
      <c r="Z597">
        <v>4</v>
      </c>
      <c r="AA597">
        <v>5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3</v>
      </c>
      <c r="AJ597">
        <v>0</v>
      </c>
      <c r="AK597">
        <v>0</v>
      </c>
      <c r="AL597">
        <v>100</v>
      </c>
      <c r="AM597">
        <v>45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100</v>
      </c>
      <c r="AU597">
        <v>0</v>
      </c>
      <c r="AV597">
        <v>0</v>
      </c>
    </row>
    <row r="598" spans="1:48" x14ac:dyDescent="0.15">
      <c r="A598" s="4" t="str">
        <f>HYPERLINK("https://ibp.a2mac1.com/costing(costing:projects/details/9760/equipment/12211875)","DC machine - General")</f>
        <v>DC machine - General</v>
      </c>
      <c r="B598">
        <v>12211875</v>
      </c>
      <c r="C598">
        <v>12084774</v>
      </c>
      <c r="E598" t="s">
        <v>738</v>
      </c>
      <c r="H598" t="s">
        <v>162</v>
      </c>
      <c r="I598">
        <v>116914.84457142858</v>
      </c>
      <c r="J598">
        <v>0</v>
      </c>
      <c r="K598">
        <v>3.6</v>
      </c>
      <c r="L598">
        <v>0</v>
      </c>
      <c r="M598">
        <v>27.497982091197134</v>
      </c>
      <c r="N598">
        <v>0</v>
      </c>
      <c r="O598">
        <v>0.39719307465062526</v>
      </c>
      <c r="P598">
        <v>5.9676933333333335E-2</v>
      </c>
      <c r="Q598">
        <v>1.1732166376415484E-2</v>
      </c>
      <c r="R598">
        <v>635568</v>
      </c>
      <c r="S598">
        <v>0</v>
      </c>
      <c r="T598">
        <v>0</v>
      </c>
      <c r="V598">
        <v>10800</v>
      </c>
      <c r="W598">
        <v>7</v>
      </c>
      <c r="X598">
        <v>85</v>
      </c>
      <c r="Y598">
        <v>3</v>
      </c>
      <c r="Z598">
        <v>4</v>
      </c>
      <c r="AA598">
        <v>5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3</v>
      </c>
      <c r="AJ598">
        <v>0</v>
      </c>
      <c r="AK598">
        <v>0</v>
      </c>
      <c r="AL598">
        <v>100</v>
      </c>
      <c r="AM598">
        <v>45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100</v>
      </c>
      <c r="AU598">
        <v>0</v>
      </c>
      <c r="AV598">
        <v>0</v>
      </c>
    </row>
    <row r="599" spans="1:48" x14ac:dyDescent="0.15">
      <c r="A599" s="4" t="str">
        <f>HYPERLINK("https://ibp.a2mac1.com/costing(costing:projects/details/9760/equipment/12211876)","Equipment")</f>
        <v>Equipment</v>
      </c>
      <c r="B599">
        <v>12211876</v>
      </c>
      <c r="C599">
        <v>12084775</v>
      </c>
      <c r="E599" t="s">
        <v>738</v>
      </c>
      <c r="F599" t="s">
        <v>4667</v>
      </c>
      <c r="H599" t="s">
        <v>162</v>
      </c>
      <c r="I599">
        <v>116914.84457142858</v>
      </c>
      <c r="J599">
        <v>0</v>
      </c>
      <c r="K599">
        <v>3.6</v>
      </c>
      <c r="L599">
        <v>0</v>
      </c>
      <c r="M599">
        <v>27.497982091197134</v>
      </c>
      <c r="N599">
        <v>0</v>
      </c>
      <c r="O599">
        <v>0.48121468659594985</v>
      </c>
      <c r="P599">
        <v>7.2300900000000001E-2</v>
      </c>
      <c r="Q599">
        <v>1.1732166376415484E-2</v>
      </c>
      <c r="R599">
        <v>635568</v>
      </c>
      <c r="S599">
        <v>0</v>
      </c>
      <c r="T599">
        <v>0</v>
      </c>
      <c r="V599">
        <v>10800</v>
      </c>
      <c r="W599">
        <v>7</v>
      </c>
      <c r="X599">
        <v>85</v>
      </c>
      <c r="Y599">
        <v>3</v>
      </c>
      <c r="Z599">
        <v>4</v>
      </c>
      <c r="AA599">
        <v>5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3</v>
      </c>
      <c r="AJ599">
        <v>0</v>
      </c>
      <c r="AK599">
        <v>0</v>
      </c>
      <c r="AL599">
        <v>100</v>
      </c>
      <c r="AM599">
        <v>45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100</v>
      </c>
      <c r="AU599">
        <v>0</v>
      </c>
      <c r="AV599">
        <v>0</v>
      </c>
    </row>
    <row r="600" spans="1:48" x14ac:dyDescent="0.15">
      <c r="A600" s="4" t="str">
        <f>HYPERLINK("https://ibp.a2mac1.com/costing(costing:projects/details/9760/equipment/12211877)","Equipment")</f>
        <v>Equipment</v>
      </c>
      <c r="B600">
        <v>12211877</v>
      </c>
      <c r="C600">
        <v>12084776</v>
      </c>
      <c r="E600" t="s">
        <v>738</v>
      </c>
      <c r="F600" t="s">
        <v>4667</v>
      </c>
      <c r="H600" t="s">
        <v>162</v>
      </c>
      <c r="I600">
        <v>116914.84457142858</v>
      </c>
      <c r="J600">
        <v>0</v>
      </c>
      <c r="K600">
        <v>3.6</v>
      </c>
      <c r="L600">
        <v>0</v>
      </c>
      <c r="M600">
        <v>27.497982091197134</v>
      </c>
      <c r="N600">
        <v>0</v>
      </c>
      <c r="O600">
        <v>0.79438614930125051</v>
      </c>
      <c r="P600">
        <v>0.11935386666666667</v>
      </c>
      <c r="Q600">
        <v>1.1732166376415484E-2</v>
      </c>
      <c r="R600">
        <v>635568</v>
      </c>
      <c r="S600">
        <v>0</v>
      </c>
      <c r="T600">
        <v>0</v>
      </c>
      <c r="V600">
        <v>10800</v>
      </c>
      <c r="W600">
        <v>7</v>
      </c>
      <c r="X600">
        <v>85</v>
      </c>
      <c r="Y600">
        <v>3</v>
      </c>
      <c r="Z600">
        <v>4</v>
      </c>
      <c r="AA600">
        <v>5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3</v>
      </c>
      <c r="AJ600">
        <v>0</v>
      </c>
      <c r="AK600">
        <v>0</v>
      </c>
      <c r="AL600">
        <v>100</v>
      </c>
      <c r="AM600">
        <v>45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100</v>
      </c>
      <c r="AU600">
        <v>0</v>
      </c>
      <c r="AV600">
        <v>0</v>
      </c>
    </row>
    <row r="601" spans="1:48" x14ac:dyDescent="0.15">
      <c r="A601" s="4" t="str">
        <f>HYPERLINK("https://ibp.a2mac1.com/costing(costing:projects/details/9760/equipment/12211878)","DC machine - General")</f>
        <v>DC machine - General</v>
      </c>
      <c r="B601">
        <v>12211878</v>
      </c>
      <c r="C601">
        <v>12084777</v>
      </c>
      <c r="E601" t="s">
        <v>738</v>
      </c>
      <c r="H601" t="s">
        <v>162</v>
      </c>
      <c r="I601">
        <v>116914.84457142858</v>
      </c>
      <c r="J601">
        <v>0</v>
      </c>
      <c r="K601">
        <v>3.6</v>
      </c>
      <c r="L601">
        <v>0</v>
      </c>
      <c r="M601">
        <v>27.497982091197134</v>
      </c>
      <c r="N601">
        <v>0</v>
      </c>
      <c r="O601">
        <v>0.22151152240131025</v>
      </c>
      <c r="P601">
        <v>3.3281366666666666E-2</v>
      </c>
      <c r="Q601">
        <v>1.1732166376415484E-2</v>
      </c>
      <c r="R601">
        <v>635568</v>
      </c>
      <c r="S601">
        <v>0</v>
      </c>
      <c r="T601">
        <v>0</v>
      </c>
      <c r="V601">
        <v>10800</v>
      </c>
      <c r="W601">
        <v>7</v>
      </c>
      <c r="X601">
        <v>85</v>
      </c>
      <c r="Y601">
        <v>3</v>
      </c>
      <c r="Z601">
        <v>4</v>
      </c>
      <c r="AA601">
        <v>5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3</v>
      </c>
      <c r="AJ601">
        <v>0</v>
      </c>
      <c r="AK601">
        <v>0</v>
      </c>
      <c r="AL601">
        <v>100</v>
      </c>
      <c r="AM601">
        <v>45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100</v>
      </c>
      <c r="AU601">
        <v>0</v>
      </c>
      <c r="AV601">
        <v>0</v>
      </c>
    </row>
    <row r="602" spans="1:48" x14ac:dyDescent="0.15">
      <c r="A602" s="4" t="str">
        <f>HYPERLINK("https://ibp.a2mac1.com/costing(costing:projects/details/9760/equipment/12211879)","DC machine - General")</f>
        <v>DC machine - General</v>
      </c>
      <c r="B602">
        <v>12211879</v>
      </c>
      <c r="C602">
        <v>12084778</v>
      </c>
      <c r="E602" t="s">
        <v>738</v>
      </c>
      <c r="H602" t="s">
        <v>162</v>
      </c>
      <c r="I602">
        <v>116914.84457142858</v>
      </c>
      <c r="J602">
        <v>0</v>
      </c>
      <c r="K602">
        <v>3.6</v>
      </c>
      <c r="L602">
        <v>0</v>
      </c>
      <c r="M602">
        <v>27.497982091197134</v>
      </c>
      <c r="N602">
        <v>0</v>
      </c>
      <c r="O602">
        <v>0.13748991045598569</v>
      </c>
      <c r="P602">
        <v>2.0657399999999999E-2</v>
      </c>
      <c r="Q602">
        <v>1.1732166376415484E-2</v>
      </c>
      <c r="R602">
        <v>635568</v>
      </c>
      <c r="S602">
        <v>0</v>
      </c>
      <c r="T602">
        <v>0</v>
      </c>
      <c r="V602">
        <v>10800</v>
      </c>
      <c r="W602">
        <v>7</v>
      </c>
      <c r="X602">
        <v>85</v>
      </c>
      <c r="Y602">
        <v>3</v>
      </c>
      <c r="Z602">
        <v>4</v>
      </c>
      <c r="AA602">
        <v>5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3</v>
      </c>
      <c r="AJ602">
        <v>0</v>
      </c>
      <c r="AK602">
        <v>0</v>
      </c>
      <c r="AL602">
        <v>100</v>
      </c>
      <c r="AM602">
        <v>45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100</v>
      </c>
      <c r="AU602">
        <v>0</v>
      </c>
      <c r="AV602">
        <v>0</v>
      </c>
    </row>
    <row r="603" spans="1:48" x14ac:dyDescent="0.15">
      <c r="A603" s="4" t="str">
        <f>HYPERLINK("https://ibp.a2mac1.com/costing(costing:projects/details/9760/equipment/12211880)","DC machine - General")</f>
        <v>DC machine - General</v>
      </c>
      <c r="B603">
        <v>12211880</v>
      </c>
      <c r="C603">
        <v>12084779</v>
      </c>
      <c r="E603" t="s">
        <v>738</v>
      </c>
      <c r="H603" t="s">
        <v>162</v>
      </c>
      <c r="I603">
        <v>116914.84457142858</v>
      </c>
      <c r="J603">
        <v>0</v>
      </c>
      <c r="K603">
        <v>3.6</v>
      </c>
      <c r="L603">
        <v>0</v>
      </c>
      <c r="M603">
        <v>27.497982091197134</v>
      </c>
      <c r="N603">
        <v>0</v>
      </c>
      <c r="O603">
        <v>0.34372477613996416</v>
      </c>
      <c r="P603">
        <v>5.1643500000000002E-2</v>
      </c>
      <c r="Q603">
        <v>1.1732166376415484E-2</v>
      </c>
      <c r="R603">
        <v>635568</v>
      </c>
      <c r="S603">
        <v>0</v>
      </c>
      <c r="T603">
        <v>0</v>
      </c>
      <c r="V603">
        <v>10800</v>
      </c>
      <c r="W603">
        <v>7</v>
      </c>
      <c r="X603">
        <v>85</v>
      </c>
      <c r="Y603">
        <v>3</v>
      </c>
      <c r="Z603">
        <v>4</v>
      </c>
      <c r="AA603">
        <v>5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3</v>
      </c>
      <c r="AJ603">
        <v>0</v>
      </c>
      <c r="AK603">
        <v>0</v>
      </c>
      <c r="AL603">
        <v>100</v>
      </c>
      <c r="AM603">
        <v>45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100</v>
      </c>
      <c r="AU603">
        <v>0</v>
      </c>
      <c r="AV603">
        <v>0</v>
      </c>
    </row>
    <row r="604" spans="1:48" x14ac:dyDescent="0.15">
      <c r="A604" s="4" t="str">
        <f>HYPERLINK("https://ibp.a2mac1.com/costing(costing:projects/details/9760/equipment/12211881)","DC machine - General")</f>
        <v>DC machine - General</v>
      </c>
      <c r="B604">
        <v>12211881</v>
      </c>
      <c r="C604">
        <v>12084780</v>
      </c>
      <c r="E604" t="s">
        <v>738</v>
      </c>
      <c r="H604" t="s">
        <v>162</v>
      </c>
      <c r="I604">
        <v>116914.84457142858</v>
      </c>
      <c r="J604">
        <v>0</v>
      </c>
      <c r="K604">
        <v>3.6</v>
      </c>
      <c r="L604">
        <v>0</v>
      </c>
      <c r="M604">
        <v>27.497982091197134</v>
      </c>
      <c r="N604">
        <v>0</v>
      </c>
      <c r="O604">
        <v>0.24442650747730787</v>
      </c>
      <c r="P604">
        <v>3.6724266666666665E-2</v>
      </c>
      <c r="Q604">
        <v>1.1732166376415484E-2</v>
      </c>
      <c r="R604">
        <v>635568</v>
      </c>
      <c r="S604">
        <v>0</v>
      </c>
      <c r="T604">
        <v>0</v>
      </c>
      <c r="V604">
        <v>10800</v>
      </c>
      <c r="W604">
        <v>7</v>
      </c>
      <c r="X604">
        <v>85</v>
      </c>
      <c r="Y604">
        <v>3</v>
      </c>
      <c r="Z604">
        <v>4</v>
      </c>
      <c r="AA604">
        <v>5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3</v>
      </c>
      <c r="AJ604">
        <v>0</v>
      </c>
      <c r="AK604">
        <v>0</v>
      </c>
      <c r="AL604">
        <v>100</v>
      </c>
      <c r="AM604">
        <v>45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100</v>
      </c>
      <c r="AU604">
        <v>0</v>
      </c>
      <c r="AV604">
        <v>0</v>
      </c>
    </row>
    <row r="605" spans="1:48" x14ac:dyDescent="0.15">
      <c r="A605" s="4" t="str">
        <f>HYPERLINK("https://ibp.a2mac1.com/costing(costing:projects/details/9760/equipment/12211882)","Equipment")</f>
        <v>Equipment</v>
      </c>
      <c r="B605">
        <v>12211882</v>
      </c>
      <c r="C605">
        <v>12084781</v>
      </c>
      <c r="E605" t="s">
        <v>738</v>
      </c>
      <c r="F605" t="s">
        <v>4667</v>
      </c>
      <c r="H605" t="s">
        <v>162</v>
      </c>
      <c r="I605">
        <v>116914.84457142858</v>
      </c>
      <c r="J605">
        <v>0</v>
      </c>
      <c r="K605">
        <v>3.6</v>
      </c>
      <c r="L605">
        <v>0</v>
      </c>
      <c r="M605">
        <v>27.497982091197134</v>
      </c>
      <c r="N605">
        <v>0</v>
      </c>
      <c r="O605">
        <v>1.0770042985718877</v>
      </c>
      <c r="P605">
        <v>0.1618163</v>
      </c>
      <c r="Q605">
        <v>1.1732166376415484E-2</v>
      </c>
      <c r="R605">
        <v>635568</v>
      </c>
      <c r="S605">
        <v>0</v>
      </c>
      <c r="T605">
        <v>0</v>
      </c>
      <c r="V605">
        <v>10800</v>
      </c>
      <c r="W605">
        <v>7</v>
      </c>
      <c r="X605">
        <v>85</v>
      </c>
      <c r="Y605">
        <v>3</v>
      </c>
      <c r="Z605">
        <v>4</v>
      </c>
      <c r="AA605">
        <v>5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3</v>
      </c>
      <c r="AJ605">
        <v>0</v>
      </c>
      <c r="AK605">
        <v>0</v>
      </c>
      <c r="AL605">
        <v>100</v>
      </c>
      <c r="AM605">
        <v>45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100</v>
      </c>
      <c r="AU605">
        <v>0</v>
      </c>
      <c r="AV605">
        <v>0</v>
      </c>
    </row>
    <row r="606" spans="1:48" x14ac:dyDescent="0.15">
      <c r="A606" s="4" t="str">
        <f>HYPERLINK("https://ibp.a2mac1.com/costing(costing:projects/details/9760/equipment/12211782)","DC machine - General")</f>
        <v>DC machine - General</v>
      </c>
      <c r="B606">
        <v>12211782</v>
      </c>
      <c r="C606">
        <v>12084684</v>
      </c>
      <c r="E606" t="s">
        <v>738</v>
      </c>
      <c r="H606" t="s">
        <v>162</v>
      </c>
      <c r="I606">
        <v>116914.84457142858</v>
      </c>
      <c r="J606">
        <v>0</v>
      </c>
      <c r="K606">
        <v>3.6</v>
      </c>
      <c r="L606">
        <v>0</v>
      </c>
      <c r="M606">
        <v>27.497982091197134</v>
      </c>
      <c r="N606">
        <v>0</v>
      </c>
      <c r="O606">
        <v>9.1659940303990453E-2</v>
      </c>
      <c r="P606">
        <v>1.37716E-2</v>
      </c>
      <c r="Q606">
        <v>1.1732166376415484E-2</v>
      </c>
      <c r="R606">
        <v>635568</v>
      </c>
      <c r="S606">
        <v>0</v>
      </c>
      <c r="T606">
        <v>0</v>
      </c>
      <c r="V606">
        <v>10800</v>
      </c>
      <c r="W606">
        <v>7</v>
      </c>
      <c r="X606">
        <v>85</v>
      </c>
      <c r="Y606">
        <v>3</v>
      </c>
      <c r="Z606">
        <v>4</v>
      </c>
      <c r="AA606">
        <v>5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3</v>
      </c>
      <c r="AJ606">
        <v>0</v>
      </c>
      <c r="AK606">
        <v>0</v>
      </c>
      <c r="AL606">
        <v>100</v>
      </c>
      <c r="AM606">
        <v>45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100</v>
      </c>
      <c r="AU606">
        <v>0</v>
      </c>
      <c r="AV606">
        <v>0</v>
      </c>
    </row>
    <row r="607" spans="1:48" x14ac:dyDescent="0.15">
      <c r="A607" s="4" t="str">
        <f>HYPERLINK("https://ibp.a2mac1.com/costing(costing:projects/details/9760/equipment/12211783)","DC machine - General")</f>
        <v>DC machine - General</v>
      </c>
      <c r="B607">
        <v>12211783</v>
      </c>
      <c r="C607">
        <v>12084685</v>
      </c>
      <c r="E607" t="s">
        <v>738</v>
      </c>
      <c r="H607" t="s">
        <v>162</v>
      </c>
      <c r="I607">
        <v>116914.84457142858</v>
      </c>
      <c r="J607">
        <v>0</v>
      </c>
      <c r="K607">
        <v>3.6</v>
      </c>
      <c r="L607">
        <v>0</v>
      </c>
      <c r="M607">
        <v>27.497982091197134</v>
      </c>
      <c r="N607">
        <v>0</v>
      </c>
      <c r="O607">
        <v>1.5276656717331742E-2</v>
      </c>
      <c r="P607">
        <v>2.2952666666666665E-3</v>
      </c>
      <c r="Q607">
        <v>1.1732166376415484E-2</v>
      </c>
      <c r="R607">
        <v>635568</v>
      </c>
      <c r="S607">
        <v>0</v>
      </c>
      <c r="T607">
        <v>0</v>
      </c>
      <c r="V607">
        <v>10800</v>
      </c>
      <c r="W607">
        <v>7</v>
      </c>
      <c r="X607">
        <v>85</v>
      </c>
      <c r="Y607">
        <v>3</v>
      </c>
      <c r="Z607">
        <v>4</v>
      </c>
      <c r="AA607">
        <v>5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3</v>
      </c>
      <c r="AJ607">
        <v>0</v>
      </c>
      <c r="AK607">
        <v>0</v>
      </c>
      <c r="AL607">
        <v>100</v>
      </c>
      <c r="AM607">
        <v>45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100</v>
      </c>
      <c r="AU607">
        <v>0</v>
      </c>
      <c r="AV607">
        <v>0</v>
      </c>
    </row>
    <row r="608" spans="1:48" x14ac:dyDescent="0.15">
      <c r="A608" s="4" t="str">
        <f>HYPERLINK("https://ibp.a2mac1.com/costing(costing:projects/details/9760/equipment/12211784)","DC machine - General")</f>
        <v>DC machine - General</v>
      </c>
      <c r="B608">
        <v>12211784</v>
      </c>
      <c r="C608">
        <v>12084686</v>
      </c>
      <c r="E608" t="s">
        <v>738</v>
      </c>
      <c r="H608" t="s">
        <v>162</v>
      </c>
      <c r="I608">
        <v>116914.84457142858</v>
      </c>
      <c r="J608">
        <v>0</v>
      </c>
      <c r="K608">
        <v>3.6</v>
      </c>
      <c r="L608">
        <v>0</v>
      </c>
      <c r="M608">
        <v>27.497982091197134</v>
      </c>
      <c r="N608">
        <v>0</v>
      </c>
      <c r="O608">
        <v>4.5829970151995227E-2</v>
      </c>
      <c r="P608">
        <v>6.8858000000000001E-3</v>
      </c>
      <c r="Q608">
        <v>1.1732166376415484E-2</v>
      </c>
      <c r="R608">
        <v>635568</v>
      </c>
      <c r="S608">
        <v>0</v>
      </c>
      <c r="T608">
        <v>0</v>
      </c>
      <c r="V608">
        <v>10800</v>
      </c>
      <c r="W608">
        <v>7</v>
      </c>
      <c r="X608">
        <v>85</v>
      </c>
      <c r="Y608">
        <v>3</v>
      </c>
      <c r="Z608">
        <v>4</v>
      </c>
      <c r="AA608">
        <v>5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3</v>
      </c>
      <c r="AJ608">
        <v>0</v>
      </c>
      <c r="AK608">
        <v>0</v>
      </c>
      <c r="AL608">
        <v>100</v>
      </c>
      <c r="AM608">
        <v>45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100</v>
      </c>
      <c r="AU608">
        <v>0</v>
      </c>
      <c r="AV608">
        <v>0</v>
      </c>
    </row>
    <row r="609" spans="1:48" x14ac:dyDescent="0.15">
      <c r="A609" s="4" t="str">
        <f>HYPERLINK("https://ibp.a2mac1.com/costing(costing:projects/details/9760/equipment/12211785)","DC machine - General")</f>
        <v>DC machine - General</v>
      </c>
      <c r="B609">
        <v>12211785</v>
      </c>
      <c r="C609">
        <v>12084687</v>
      </c>
      <c r="E609" t="s">
        <v>738</v>
      </c>
      <c r="H609" t="s">
        <v>162</v>
      </c>
      <c r="I609">
        <v>116914.84457142858</v>
      </c>
      <c r="J609">
        <v>0</v>
      </c>
      <c r="K609">
        <v>3.6</v>
      </c>
      <c r="L609">
        <v>0</v>
      </c>
      <c r="M609">
        <v>27.497982091197134</v>
      </c>
      <c r="N609">
        <v>0</v>
      </c>
      <c r="O609">
        <v>1.955412059818463</v>
      </c>
      <c r="P609">
        <v>0.29379413333333332</v>
      </c>
      <c r="Q609">
        <v>1.1732166376415484E-2</v>
      </c>
      <c r="R609">
        <v>635568</v>
      </c>
      <c r="S609">
        <v>0</v>
      </c>
      <c r="T609">
        <v>0</v>
      </c>
      <c r="V609">
        <v>10800</v>
      </c>
      <c r="W609">
        <v>7</v>
      </c>
      <c r="X609">
        <v>85</v>
      </c>
      <c r="Y609">
        <v>3</v>
      </c>
      <c r="Z609">
        <v>4</v>
      </c>
      <c r="AA609">
        <v>5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3</v>
      </c>
      <c r="AJ609">
        <v>0</v>
      </c>
      <c r="AK609">
        <v>0</v>
      </c>
      <c r="AL609">
        <v>100</v>
      </c>
      <c r="AM609">
        <v>45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100</v>
      </c>
      <c r="AU609">
        <v>0</v>
      </c>
      <c r="AV609">
        <v>0</v>
      </c>
    </row>
    <row r="610" spans="1:48" x14ac:dyDescent="0.15">
      <c r="A610" s="4" t="str">
        <f>HYPERLINK("https://ibp.a2mac1.com/costing(costing:projects/details/9760/equipment/12211883)","DC machine - General")</f>
        <v>DC machine - General</v>
      </c>
      <c r="B610">
        <v>12211883</v>
      </c>
      <c r="C610">
        <v>12084782</v>
      </c>
      <c r="E610" t="s">
        <v>738</v>
      </c>
      <c r="H610" t="s">
        <v>162</v>
      </c>
      <c r="I610">
        <v>116914.84457142858</v>
      </c>
      <c r="J610">
        <v>0</v>
      </c>
      <c r="K610">
        <v>3.6</v>
      </c>
      <c r="L610">
        <v>0</v>
      </c>
      <c r="M610">
        <v>27.497982091197134</v>
      </c>
      <c r="N610">
        <v>0</v>
      </c>
      <c r="O610">
        <v>1.9248587463837994</v>
      </c>
      <c r="P610">
        <v>0.28920360000000001</v>
      </c>
      <c r="Q610">
        <v>1.1732166376415484E-2</v>
      </c>
      <c r="R610">
        <v>635568</v>
      </c>
      <c r="S610">
        <v>0</v>
      </c>
      <c r="T610">
        <v>0</v>
      </c>
      <c r="V610">
        <v>10800</v>
      </c>
      <c r="W610">
        <v>7</v>
      </c>
      <c r="X610">
        <v>85</v>
      </c>
      <c r="Y610">
        <v>3</v>
      </c>
      <c r="Z610">
        <v>4</v>
      </c>
      <c r="AA610">
        <v>5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3</v>
      </c>
      <c r="AJ610">
        <v>0</v>
      </c>
      <c r="AK610">
        <v>0</v>
      </c>
      <c r="AL610">
        <v>100</v>
      </c>
      <c r="AM610">
        <v>45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100</v>
      </c>
      <c r="AU610">
        <v>0</v>
      </c>
      <c r="AV610">
        <v>0</v>
      </c>
    </row>
    <row r="611" spans="1:48" x14ac:dyDescent="0.15">
      <c r="A611" s="4" t="str">
        <f>HYPERLINK("https://ibp.a2mac1.com/costing(costing:projects/details/9760/equipment/12211884)","DC machine - General")</f>
        <v>DC machine - General</v>
      </c>
      <c r="B611">
        <v>12211884</v>
      </c>
      <c r="C611">
        <v>12084783</v>
      </c>
      <c r="E611" t="s">
        <v>738</v>
      </c>
      <c r="H611" t="s">
        <v>162</v>
      </c>
      <c r="I611">
        <v>116914.84457142858</v>
      </c>
      <c r="J611">
        <v>0</v>
      </c>
      <c r="K611">
        <v>3.6</v>
      </c>
      <c r="L611">
        <v>0</v>
      </c>
      <c r="M611">
        <v>27.497982091197134</v>
      </c>
      <c r="N611">
        <v>0</v>
      </c>
      <c r="O611">
        <v>7.6383283586658711E-3</v>
      </c>
      <c r="P611">
        <v>1.1476333333333333E-3</v>
      </c>
      <c r="Q611">
        <v>5.8660831882077422E-3</v>
      </c>
      <c r="R611">
        <v>635568</v>
      </c>
      <c r="S611">
        <v>0</v>
      </c>
      <c r="T611">
        <v>0</v>
      </c>
      <c r="V611">
        <v>10800</v>
      </c>
      <c r="W611">
        <v>7</v>
      </c>
      <c r="X611">
        <v>85</v>
      </c>
      <c r="Y611">
        <v>3</v>
      </c>
      <c r="Z611">
        <v>4</v>
      </c>
      <c r="AA611">
        <v>5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3</v>
      </c>
      <c r="AJ611">
        <v>0</v>
      </c>
      <c r="AK611">
        <v>0</v>
      </c>
      <c r="AL611">
        <v>100</v>
      </c>
      <c r="AM611">
        <v>45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100</v>
      </c>
      <c r="AU611">
        <v>0</v>
      </c>
      <c r="AV611">
        <v>0</v>
      </c>
    </row>
    <row r="612" spans="1:48" x14ac:dyDescent="0.15">
      <c r="A612" s="4" t="str">
        <f>HYPERLINK("https://ibp.a2mac1.com/costing(costing:projects/details/9760/equipment/12211885)","Equipment (Stamping)")</f>
        <v>Equipment (Stamping)</v>
      </c>
      <c r="B612">
        <v>12211885</v>
      </c>
      <c r="C612">
        <v>12084784</v>
      </c>
      <c r="H612" t="s">
        <v>162</v>
      </c>
      <c r="I612">
        <v>3219.2716612285712</v>
      </c>
      <c r="J612">
        <v>0</v>
      </c>
      <c r="K612">
        <v>0.14384</v>
      </c>
      <c r="L612">
        <v>0</v>
      </c>
      <c r="M612">
        <v>0.79489217956100477</v>
      </c>
      <c r="N612">
        <v>0</v>
      </c>
      <c r="O612">
        <v>1.3248202992683412E-2</v>
      </c>
      <c r="P612">
        <v>1.5479278400000001E-3</v>
      </c>
      <c r="Q612">
        <v>3.4946879384138013E-3</v>
      </c>
      <c r="R612">
        <v>16631.5</v>
      </c>
      <c r="S612">
        <v>0</v>
      </c>
      <c r="T612">
        <v>0</v>
      </c>
      <c r="V612">
        <v>8091</v>
      </c>
      <c r="W612">
        <v>7</v>
      </c>
      <c r="X612">
        <v>85</v>
      </c>
      <c r="Y612">
        <v>3</v>
      </c>
      <c r="Z612">
        <v>4</v>
      </c>
      <c r="AA612">
        <v>5</v>
      </c>
      <c r="AB612">
        <v>0</v>
      </c>
      <c r="AC612">
        <v>0</v>
      </c>
      <c r="AD612">
        <v>0</v>
      </c>
      <c r="AE612">
        <v>0</v>
      </c>
      <c r="AF612">
        <v>2.248E-2</v>
      </c>
      <c r="AG612">
        <v>0</v>
      </c>
      <c r="AH612">
        <v>0</v>
      </c>
      <c r="AI612">
        <v>2</v>
      </c>
      <c r="AJ612">
        <v>0</v>
      </c>
      <c r="AK612">
        <v>0</v>
      </c>
      <c r="AL612">
        <v>80</v>
      </c>
      <c r="AM612">
        <v>2.2475000000000001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6.7424999999999997</v>
      </c>
      <c r="AU612">
        <v>0</v>
      </c>
      <c r="AV612">
        <v>0</v>
      </c>
    </row>
    <row r="613" spans="1:48" x14ac:dyDescent="0.15">
      <c r="A613" s="4" t="str">
        <f>HYPERLINK("https://ibp.a2mac1.com/costing(costing:projects/details/9760/equipment/12211886)","Equipment (Injection Molding)")</f>
        <v>Equipment (Injection Molding)</v>
      </c>
      <c r="B613">
        <v>12211886</v>
      </c>
      <c r="C613">
        <v>12084784</v>
      </c>
      <c r="H613" t="s">
        <v>162</v>
      </c>
      <c r="I613">
        <v>23691.302949000001</v>
      </c>
      <c r="J613">
        <v>0</v>
      </c>
      <c r="K613">
        <v>1.00688</v>
      </c>
      <c r="L613">
        <v>0</v>
      </c>
      <c r="M613">
        <v>5.8259579410157505</v>
      </c>
      <c r="N613">
        <v>0</v>
      </c>
      <c r="O613">
        <v>9.709929901692918E-2</v>
      </c>
      <c r="P613">
        <v>6.1903341999999997E-3</v>
      </c>
      <c r="Q613">
        <v>6.2596907345189613E-4</v>
      </c>
      <c r="R613">
        <v>125860</v>
      </c>
      <c r="S613">
        <v>0</v>
      </c>
      <c r="T613">
        <v>0</v>
      </c>
      <c r="V613">
        <v>1213.6500000000001</v>
      </c>
      <c r="W613">
        <v>7</v>
      </c>
      <c r="X613">
        <v>85</v>
      </c>
      <c r="Y613">
        <v>3</v>
      </c>
      <c r="Z613">
        <v>4</v>
      </c>
      <c r="AA613">
        <v>5</v>
      </c>
      <c r="AB613">
        <v>0</v>
      </c>
      <c r="AC613">
        <v>0</v>
      </c>
      <c r="AD613">
        <v>0</v>
      </c>
      <c r="AE613">
        <v>0</v>
      </c>
      <c r="AF613">
        <v>8.9899999999999994E-2</v>
      </c>
      <c r="AG613">
        <v>0</v>
      </c>
      <c r="AH613">
        <v>0</v>
      </c>
      <c r="AI613">
        <v>2</v>
      </c>
      <c r="AJ613">
        <v>0</v>
      </c>
      <c r="AK613">
        <v>0</v>
      </c>
      <c r="AL613">
        <v>80</v>
      </c>
      <c r="AM613">
        <v>15.7325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33.712499999999999</v>
      </c>
      <c r="AU613">
        <v>0</v>
      </c>
      <c r="AV613">
        <v>0</v>
      </c>
    </row>
    <row r="614" spans="1:48" x14ac:dyDescent="0.15">
      <c r="A614" s="4" t="str">
        <f>HYPERLINK("https://ibp.a2mac1.com/costing(costing:projects/details/9760/equipment/12211789)","DC machine - General")</f>
        <v>DC machine - General</v>
      </c>
      <c r="B614">
        <v>12211789</v>
      </c>
      <c r="C614">
        <v>12084691</v>
      </c>
      <c r="E614" t="s">
        <v>738</v>
      </c>
      <c r="H614" t="s">
        <v>162</v>
      </c>
      <c r="I614">
        <v>116914.84457142858</v>
      </c>
      <c r="J614">
        <v>0</v>
      </c>
      <c r="K614">
        <v>3.6</v>
      </c>
      <c r="L614">
        <v>0</v>
      </c>
      <c r="M614">
        <v>27.497982091197134</v>
      </c>
      <c r="N614">
        <v>0</v>
      </c>
      <c r="O614">
        <v>7.6383283586658704E-2</v>
      </c>
      <c r="P614">
        <v>1.1476333333333333E-2</v>
      </c>
      <c r="Q614">
        <v>1.9553610627359139E-2</v>
      </c>
      <c r="R614">
        <v>635568</v>
      </c>
      <c r="S614">
        <v>0</v>
      </c>
      <c r="T614">
        <v>0</v>
      </c>
      <c r="V614">
        <v>10800</v>
      </c>
      <c r="W614">
        <v>7</v>
      </c>
      <c r="X614">
        <v>85</v>
      </c>
      <c r="Y614">
        <v>3</v>
      </c>
      <c r="Z614">
        <v>4</v>
      </c>
      <c r="AA614">
        <v>5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3</v>
      </c>
      <c r="AJ614">
        <v>0</v>
      </c>
      <c r="AK614">
        <v>0</v>
      </c>
      <c r="AL614">
        <v>100</v>
      </c>
      <c r="AM614">
        <v>45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100</v>
      </c>
      <c r="AU614">
        <v>0</v>
      </c>
      <c r="AV614">
        <v>0</v>
      </c>
    </row>
    <row r="615" spans="1:48" x14ac:dyDescent="0.15">
      <c r="A615" s="4" t="str">
        <f>HYPERLINK("https://ibp.a2mac1.com/costing(costing:projects/details/9760/equipment/12211786)","DC machine - General")</f>
        <v>DC machine - General</v>
      </c>
      <c r="B615">
        <v>12211786</v>
      </c>
      <c r="C615">
        <v>12084688</v>
      </c>
      <c r="E615" t="s">
        <v>738</v>
      </c>
      <c r="H615" t="s">
        <v>162</v>
      </c>
      <c r="I615">
        <v>116914.84457142858</v>
      </c>
      <c r="J615">
        <v>0</v>
      </c>
      <c r="K615">
        <v>3.6</v>
      </c>
      <c r="L615">
        <v>0</v>
      </c>
      <c r="M615">
        <v>27.497982091197134</v>
      </c>
      <c r="N615">
        <v>0</v>
      </c>
      <c r="O615">
        <v>0.30553313434663482</v>
      </c>
      <c r="P615">
        <v>4.5905333333333333E-2</v>
      </c>
      <c r="Q615">
        <v>1.1732166376415484E-2</v>
      </c>
      <c r="R615">
        <v>635568</v>
      </c>
      <c r="S615">
        <v>0</v>
      </c>
      <c r="T615">
        <v>0</v>
      </c>
      <c r="V615">
        <v>10800</v>
      </c>
      <c r="W615">
        <v>7</v>
      </c>
      <c r="X615">
        <v>85</v>
      </c>
      <c r="Y615">
        <v>3</v>
      </c>
      <c r="Z615">
        <v>4</v>
      </c>
      <c r="AA615">
        <v>5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3</v>
      </c>
      <c r="AJ615">
        <v>0</v>
      </c>
      <c r="AK615">
        <v>0</v>
      </c>
      <c r="AL615">
        <v>100</v>
      </c>
      <c r="AM615">
        <v>45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100</v>
      </c>
      <c r="AU615">
        <v>0</v>
      </c>
      <c r="AV615">
        <v>0</v>
      </c>
    </row>
    <row r="616" spans="1:48" x14ac:dyDescent="0.15">
      <c r="A616" s="4" t="str">
        <f>HYPERLINK("https://ibp.a2mac1.com/costing(costing:projects/details/9760/equipment/12211787)","DC machine - General")</f>
        <v>DC machine - General</v>
      </c>
      <c r="B616">
        <v>12211787</v>
      </c>
      <c r="C616">
        <v>12084689</v>
      </c>
      <c r="E616" t="s">
        <v>738</v>
      </c>
      <c r="H616" t="s">
        <v>162</v>
      </c>
      <c r="I616">
        <v>116914.84457142858</v>
      </c>
      <c r="J616">
        <v>0</v>
      </c>
      <c r="K616">
        <v>3.6</v>
      </c>
      <c r="L616">
        <v>0</v>
      </c>
      <c r="M616">
        <v>27.497982091197134</v>
      </c>
      <c r="N616">
        <v>0</v>
      </c>
      <c r="O616">
        <v>0.2062348656839785</v>
      </c>
      <c r="P616">
        <v>3.0986099999999999E-2</v>
      </c>
      <c r="Q616">
        <v>1.1732166376415484E-2</v>
      </c>
      <c r="R616">
        <v>635568</v>
      </c>
      <c r="S616">
        <v>0</v>
      </c>
      <c r="T616">
        <v>0</v>
      </c>
      <c r="V616">
        <v>10800</v>
      </c>
      <c r="W616">
        <v>7</v>
      </c>
      <c r="X616">
        <v>85</v>
      </c>
      <c r="Y616">
        <v>3</v>
      </c>
      <c r="Z616">
        <v>4</v>
      </c>
      <c r="AA616">
        <v>5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3</v>
      </c>
      <c r="AJ616">
        <v>0</v>
      </c>
      <c r="AK616">
        <v>0</v>
      </c>
      <c r="AL616">
        <v>100</v>
      </c>
      <c r="AM616">
        <v>45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100</v>
      </c>
      <c r="AU616">
        <v>0</v>
      </c>
      <c r="AV616">
        <v>0</v>
      </c>
    </row>
    <row r="617" spans="1:48" x14ac:dyDescent="0.15">
      <c r="A617" s="4" t="str">
        <f>HYPERLINK("https://ibp.a2mac1.com/costing(costing:projects/details/9760/equipment/12211788)","DC machine - General")</f>
        <v>DC machine - General</v>
      </c>
      <c r="B617">
        <v>12211788</v>
      </c>
      <c r="C617">
        <v>12084690</v>
      </c>
      <c r="E617" t="s">
        <v>738</v>
      </c>
      <c r="H617" t="s">
        <v>162</v>
      </c>
      <c r="I617">
        <v>116914.84457142858</v>
      </c>
      <c r="J617">
        <v>0</v>
      </c>
      <c r="K617">
        <v>3.6</v>
      </c>
      <c r="L617">
        <v>0</v>
      </c>
      <c r="M617">
        <v>27.497982091197134</v>
      </c>
      <c r="N617">
        <v>0</v>
      </c>
      <c r="O617">
        <v>0.35136310449863006</v>
      </c>
      <c r="P617">
        <v>5.279113333333333E-2</v>
      </c>
      <c r="Q617">
        <v>1.1732166376415484E-2</v>
      </c>
      <c r="R617">
        <v>635568</v>
      </c>
      <c r="S617">
        <v>0</v>
      </c>
      <c r="T617">
        <v>0</v>
      </c>
      <c r="V617">
        <v>10800</v>
      </c>
      <c r="W617">
        <v>7</v>
      </c>
      <c r="X617">
        <v>85</v>
      </c>
      <c r="Y617">
        <v>3</v>
      </c>
      <c r="Z617">
        <v>4</v>
      </c>
      <c r="AA617">
        <v>5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3</v>
      </c>
      <c r="AJ617">
        <v>0</v>
      </c>
      <c r="AK617">
        <v>0</v>
      </c>
      <c r="AL617">
        <v>100</v>
      </c>
      <c r="AM617">
        <v>45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100</v>
      </c>
      <c r="AU617">
        <v>0</v>
      </c>
      <c r="AV617">
        <v>0</v>
      </c>
    </row>
    <row r="618" spans="1:48" x14ac:dyDescent="0.15">
      <c r="A618" s="4" t="str">
        <f>HYPERLINK("https://ibp.a2mac1.com/costing(costing:projects/details/9760/equipment/12211938)","DC machine - General")</f>
        <v>DC machine - General</v>
      </c>
      <c r="B618">
        <v>12211938</v>
      </c>
      <c r="C618">
        <v>12084839</v>
      </c>
      <c r="E618" t="s">
        <v>738</v>
      </c>
      <c r="H618" t="s">
        <v>162</v>
      </c>
      <c r="I618">
        <v>116914.84457142858</v>
      </c>
      <c r="J618">
        <v>0</v>
      </c>
      <c r="K618">
        <v>3.6</v>
      </c>
      <c r="L618">
        <v>0</v>
      </c>
      <c r="M618">
        <v>27.497982091197134</v>
      </c>
      <c r="N618">
        <v>0</v>
      </c>
      <c r="O618">
        <v>0.84021611945324581</v>
      </c>
      <c r="P618">
        <v>0.12623966666666667</v>
      </c>
      <c r="Q618">
        <v>1.1732166376415484E-2</v>
      </c>
      <c r="R618">
        <v>635568</v>
      </c>
      <c r="S618">
        <v>0</v>
      </c>
      <c r="T618">
        <v>0</v>
      </c>
      <c r="V618">
        <v>10800</v>
      </c>
      <c r="W618">
        <v>7</v>
      </c>
      <c r="X618">
        <v>85</v>
      </c>
      <c r="Y618">
        <v>3</v>
      </c>
      <c r="Z618">
        <v>4</v>
      </c>
      <c r="AA618">
        <v>5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3</v>
      </c>
      <c r="AJ618">
        <v>0</v>
      </c>
      <c r="AK618">
        <v>0</v>
      </c>
      <c r="AL618">
        <v>100</v>
      </c>
      <c r="AM618">
        <v>45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100</v>
      </c>
      <c r="AU618">
        <v>0</v>
      </c>
      <c r="AV618">
        <v>0</v>
      </c>
    </row>
    <row r="619" spans="1:48" x14ac:dyDescent="0.15">
      <c r="A619" s="4" t="str">
        <f>HYPERLINK("https://ibp.a2mac1.com/costing(costing:projects/details/9760/equipment/12211939)","DC machine - General")</f>
        <v>DC machine - General</v>
      </c>
      <c r="B619">
        <v>12211939</v>
      </c>
      <c r="C619">
        <v>12084840</v>
      </c>
      <c r="E619" t="s">
        <v>738</v>
      </c>
      <c r="H619" t="s">
        <v>162</v>
      </c>
      <c r="I619">
        <v>116914.84457142858</v>
      </c>
      <c r="J619">
        <v>0</v>
      </c>
      <c r="K619">
        <v>3.6</v>
      </c>
      <c r="L619">
        <v>0</v>
      </c>
      <c r="M619">
        <v>27.497982091197134</v>
      </c>
      <c r="N619">
        <v>0</v>
      </c>
      <c r="O619">
        <v>0.84021611945324581</v>
      </c>
      <c r="P619">
        <v>0.12623966666666667</v>
      </c>
      <c r="Q619">
        <v>1.1732166376415484E-2</v>
      </c>
      <c r="R619">
        <v>635568</v>
      </c>
      <c r="S619">
        <v>0</v>
      </c>
      <c r="T619">
        <v>0</v>
      </c>
      <c r="V619">
        <v>10800</v>
      </c>
      <c r="W619">
        <v>7</v>
      </c>
      <c r="X619">
        <v>85</v>
      </c>
      <c r="Y619">
        <v>3</v>
      </c>
      <c r="Z619">
        <v>4</v>
      </c>
      <c r="AA619">
        <v>5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3</v>
      </c>
      <c r="AJ619">
        <v>0</v>
      </c>
      <c r="AK619">
        <v>0</v>
      </c>
      <c r="AL619">
        <v>100</v>
      </c>
      <c r="AM619">
        <v>45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100</v>
      </c>
      <c r="AU619">
        <v>0</v>
      </c>
      <c r="AV619">
        <v>0</v>
      </c>
    </row>
    <row r="620" spans="1:48" x14ac:dyDescent="0.15">
      <c r="A620" s="4" t="str">
        <f>HYPERLINK("https://ibp.a2mac1.com/costing(costing:projects/details/9760/equipment/12211940)","DC machine - General")</f>
        <v>DC machine - General</v>
      </c>
      <c r="B620">
        <v>12211940</v>
      </c>
      <c r="C620">
        <v>12084841</v>
      </c>
      <c r="E620" t="s">
        <v>738</v>
      </c>
      <c r="H620" t="s">
        <v>162</v>
      </c>
      <c r="I620">
        <v>116914.84457142858</v>
      </c>
      <c r="J620">
        <v>0</v>
      </c>
      <c r="K620">
        <v>3.6</v>
      </c>
      <c r="L620">
        <v>0</v>
      </c>
      <c r="M620">
        <v>27.497982091197134</v>
      </c>
      <c r="N620">
        <v>0</v>
      </c>
      <c r="O620">
        <v>1.3748991045598566</v>
      </c>
      <c r="P620">
        <v>0.20657400000000001</v>
      </c>
      <c r="Q620">
        <v>1.1732166376415484E-2</v>
      </c>
      <c r="R620">
        <v>635568</v>
      </c>
      <c r="S620">
        <v>0</v>
      </c>
      <c r="T620">
        <v>0</v>
      </c>
      <c r="V620">
        <v>10800</v>
      </c>
      <c r="W620">
        <v>7</v>
      </c>
      <c r="X620">
        <v>85</v>
      </c>
      <c r="Y620">
        <v>3</v>
      </c>
      <c r="Z620">
        <v>4</v>
      </c>
      <c r="AA620">
        <v>5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3</v>
      </c>
      <c r="AJ620">
        <v>0</v>
      </c>
      <c r="AK620">
        <v>0</v>
      </c>
      <c r="AL620">
        <v>100</v>
      </c>
      <c r="AM620">
        <v>45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100</v>
      </c>
      <c r="AU620">
        <v>0</v>
      </c>
      <c r="AV620">
        <v>0</v>
      </c>
    </row>
    <row r="621" spans="1:48" x14ac:dyDescent="0.15">
      <c r="A621" s="4" t="str">
        <f>HYPERLINK("https://ibp.a2mac1.com/costing(costing:projects/details/9760/equipment/12211887)","DC machine - General")</f>
        <v>DC machine - General</v>
      </c>
      <c r="B621">
        <v>12211887</v>
      </c>
      <c r="C621">
        <v>12084785</v>
      </c>
      <c r="E621" t="s">
        <v>738</v>
      </c>
      <c r="H621" t="s">
        <v>162</v>
      </c>
      <c r="I621">
        <v>116914.84457142858</v>
      </c>
      <c r="J621">
        <v>0</v>
      </c>
      <c r="K621">
        <v>3.6</v>
      </c>
      <c r="L621">
        <v>0</v>
      </c>
      <c r="M621">
        <v>27.497982091197134</v>
      </c>
      <c r="N621">
        <v>0</v>
      </c>
      <c r="O621">
        <v>4.8961684779048236</v>
      </c>
      <c r="P621">
        <v>0.73563296666666667</v>
      </c>
      <c r="Q621">
        <v>1.1732166376415484E-2</v>
      </c>
      <c r="R621">
        <v>635568</v>
      </c>
      <c r="S621">
        <v>0</v>
      </c>
      <c r="T621">
        <v>0</v>
      </c>
      <c r="V621">
        <v>10800</v>
      </c>
      <c r="W621">
        <v>7</v>
      </c>
      <c r="X621">
        <v>85</v>
      </c>
      <c r="Y621">
        <v>3</v>
      </c>
      <c r="Z621">
        <v>4</v>
      </c>
      <c r="AA621">
        <v>5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3</v>
      </c>
      <c r="AJ621">
        <v>0</v>
      </c>
      <c r="AK621">
        <v>0</v>
      </c>
      <c r="AL621">
        <v>100</v>
      </c>
      <c r="AM621">
        <v>45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100</v>
      </c>
      <c r="AU621">
        <v>0</v>
      </c>
      <c r="AV621">
        <v>0</v>
      </c>
    </row>
    <row r="622" spans="1:48" x14ac:dyDescent="0.15">
      <c r="A622" s="4" t="str">
        <f>HYPERLINK("https://ibp.a2mac1.com/costing(costing:projects/details/9760/equipment/12211888)","DC machine - General")</f>
        <v>DC machine - General</v>
      </c>
      <c r="B622">
        <v>12211888</v>
      </c>
      <c r="C622">
        <v>12084786</v>
      </c>
      <c r="E622" t="s">
        <v>738</v>
      </c>
      <c r="H622" t="s">
        <v>162</v>
      </c>
      <c r="I622">
        <v>116914.84457142858</v>
      </c>
      <c r="J622">
        <v>0</v>
      </c>
      <c r="K622">
        <v>3.6</v>
      </c>
      <c r="L622">
        <v>0</v>
      </c>
      <c r="M622">
        <v>27.497982091197134</v>
      </c>
      <c r="N622">
        <v>0</v>
      </c>
      <c r="O622">
        <v>2.1922002389371049</v>
      </c>
      <c r="P622">
        <v>0.32937076666666665</v>
      </c>
      <c r="Q622">
        <v>1.1732166376415484E-2</v>
      </c>
      <c r="R622">
        <v>635568</v>
      </c>
      <c r="S622">
        <v>0</v>
      </c>
      <c r="T622">
        <v>0</v>
      </c>
      <c r="V622">
        <v>10800</v>
      </c>
      <c r="W622">
        <v>7</v>
      </c>
      <c r="X622">
        <v>85</v>
      </c>
      <c r="Y622">
        <v>3</v>
      </c>
      <c r="Z622">
        <v>4</v>
      </c>
      <c r="AA622">
        <v>5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3</v>
      </c>
      <c r="AJ622">
        <v>0</v>
      </c>
      <c r="AK622">
        <v>0</v>
      </c>
      <c r="AL622">
        <v>100</v>
      </c>
      <c r="AM622">
        <v>45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100</v>
      </c>
      <c r="AU622">
        <v>0</v>
      </c>
      <c r="AV622">
        <v>0</v>
      </c>
    </row>
    <row r="623" spans="1:48" x14ac:dyDescent="0.15">
      <c r="A623" s="4" t="str">
        <f>HYPERLINK("https://ibp.a2mac1.com/costing(costing:projects/details/9760/equipment/12211889)","DC machine - General")</f>
        <v>DC machine - General</v>
      </c>
      <c r="B623">
        <v>12211889</v>
      </c>
      <c r="C623">
        <v>12084787</v>
      </c>
      <c r="E623" t="s">
        <v>738</v>
      </c>
      <c r="H623" t="s">
        <v>162</v>
      </c>
      <c r="I623">
        <v>116914.84457142858</v>
      </c>
      <c r="J623">
        <v>0</v>
      </c>
      <c r="K623">
        <v>3.6</v>
      </c>
      <c r="L623">
        <v>0</v>
      </c>
      <c r="M623">
        <v>27.497982091197134</v>
      </c>
      <c r="N623">
        <v>0</v>
      </c>
      <c r="O623">
        <v>5.3468298510661094E-2</v>
      </c>
      <c r="P623">
        <v>8.0334333333333327E-3</v>
      </c>
      <c r="Q623">
        <v>1.1732166376415484E-2</v>
      </c>
      <c r="R623">
        <v>635568</v>
      </c>
      <c r="S623">
        <v>0</v>
      </c>
      <c r="T623">
        <v>0</v>
      </c>
      <c r="V623">
        <v>10800</v>
      </c>
      <c r="W623">
        <v>7</v>
      </c>
      <c r="X623">
        <v>85</v>
      </c>
      <c r="Y623">
        <v>3</v>
      </c>
      <c r="Z623">
        <v>4</v>
      </c>
      <c r="AA623">
        <v>5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3</v>
      </c>
      <c r="AJ623">
        <v>0</v>
      </c>
      <c r="AK623">
        <v>0</v>
      </c>
      <c r="AL623">
        <v>100</v>
      </c>
      <c r="AM623">
        <v>45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100</v>
      </c>
      <c r="AU623">
        <v>0</v>
      </c>
      <c r="AV623">
        <v>0</v>
      </c>
    </row>
    <row r="624" spans="1:48" x14ac:dyDescent="0.15">
      <c r="A624" s="4" t="str">
        <f>HYPERLINK("https://ibp.a2mac1.com/costing(costing:projects/details/9760/equipment/12211890)","DC machine - General")</f>
        <v>DC machine - General</v>
      </c>
      <c r="B624">
        <v>12211890</v>
      </c>
      <c r="C624">
        <v>12084788</v>
      </c>
      <c r="E624" t="s">
        <v>738</v>
      </c>
      <c r="H624" t="s">
        <v>162</v>
      </c>
      <c r="I624">
        <v>116914.84457142858</v>
      </c>
      <c r="J624">
        <v>0</v>
      </c>
      <c r="K624">
        <v>3.6</v>
      </c>
      <c r="L624">
        <v>0</v>
      </c>
      <c r="M624">
        <v>27.497982091197134</v>
      </c>
      <c r="N624">
        <v>0</v>
      </c>
      <c r="O624">
        <v>8.4021611945324579E-2</v>
      </c>
      <c r="P624">
        <v>1.2623966666666667E-2</v>
      </c>
      <c r="Q624">
        <v>1.1732166376415484E-2</v>
      </c>
      <c r="R624">
        <v>635568</v>
      </c>
      <c r="S624">
        <v>0</v>
      </c>
      <c r="T624">
        <v>0</v>
      </c>
      <c r="V624">
        <v>10800</v>
      </c>
      <c r="W624">
        <v>7</v>
      </c>
      <c r="X624">
        <v>85</v>
      </c>
      <c r="Y624">
        <v>3</v>
      </c>
      <c r="Z624">
        <v>4</v>
      </c>
      <c r="AA624">
        <v>5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3</v>
      </c>
      <c r="AJ624">
        <v>0</v>
      </c>
      <c r="AK624">
        <v>0</v>
      </c>
      <c r="AL624">
        <v>100</v>
      </c>
      <c r="AM624">
        <v>45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100</v>
      </c>
      <c r="AU624">
        <v>0</v>
      </c>
      <c r="AV624">
        <v>0</v>
      </c>
    </row>
    <row r="625" spans="1:48" x14ac:dyDescent="0.15">
      <c r="A625" s="4" t="str">
        <f>HYPERLINK("https://ibp.a2mac1.com/costing(costing:projects/details/9760/equipment/12211943)","DC machine - General")</f>
        <v>DC machine - General</v>
      </c>
      <c r="B625">
        <v>12211943</v>
      </c>
      <c r="C625">
        <v>12084862</v>
      </c>
      <c r="E625" t="s">
        <v>738</v>
      </c>
      <c r="H625" t="s">
        <v>162</v>
      </c>
      <c r="I625">
        <v>116914.84457142858</v>
      </c>
      <c r="J625">
        <v>0</v>
      </c>
      <c r="K625">
        <v>3.6</v>
      </c>
      <c r="L625">
        <v>0</v>
      </c>
      <c r="M625">
        <v>27.497982091197134</v>
      </c>
      <c r="N625">
        <v>0</v>
      </c>
      <c r="O625">
        <v>0.9624293731918997</v>
      </c>
      <c r="P625">
        <v>0.1446018</v>
      </c>
      <c r="Q625">
        <v>1.1732166376415484E-2</v>
      </c>
      <c r="R625">
        <v>635568</v>
      </c>
      <c r="S625">
        <v>0</v>
      </c>
      <c r="T625">
        <v>0</v>
      </c>
      <c r="V625">
        <v>10800</v>
      </c>
      <c r="W625">
        <v>7</v>
      </c>
      <c r="X625">
        <v>85</v>
      </c>
      <c r="Y625">
        <v>3</v>
      </c>
      <c r="Z625">
        <v>4</v>
      </c>
      <c r="AA625">
        <v>5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3</v>
      </c>
      <c r="AJ625">
        <v>0</v>
      </c>
      <c r="AK625">
        <v>0</v>
      </c>
      <c r="AL625">
        <v>100</v>
      </c>
      <c r="AM625">
        <v>45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100</v>
      </c>
      <c r="AU625">
        <v>0</v>
      </c>
      <c r="AV625">
        <v>0</v>
      </c>
    </row>
    <row r="626" spans="1:48" x14ac:dyDescent="0.15">
      <c r="A626" s="4" t="str">
        <f>HYPERLINK("https://ibp.a2mac1.com/costing(costing:projects/details/9760/equipment/12211941)","DC machine - General")</f>
        <v>DC machine - General</v>
      </c>
      <c r="B626">
        <v>12211941</v>
      </c>
      <c r="C626">
        <v>12084842</v>
      </c>
      <c r="E626" t="s">
        <v>738</v>
      </c>
      <c r="H626" t="s">
        <v>162</v>
      </c>
      <c r="I626">
        <v>116914.84457142858</v>
      </c>
      <c r="J626">
        <v>0</v>
      </c>
      <c r="K626">
        <v>3.6</v>
      </c>
      <c r="L626">
        <v>0</v>
      </c>
      <c r="M626">
        <v>27.497982091197134</v>
      </c>
      <c r="N626">
        <v>0</v>
      </c>
      <c r="O626">
        <v>2.3067751643170928</v>
      </c>
      <c r="P626">
        <v>0.34658526666666667</v>
      </c>
      <c r="Q626">
        <v>1.1732166376415484E-2</v>
      </c>
      <c r="R626">
        <v>635568</v>
      </c>
      <c r="S626">
        <v>0</v>
      </c>
      <c r="T626">
        <v>0</v>
      </c>
      <c r="V626">
        <v>10800</v>
      </c>
      <c r="W626">
        <v>7</v>
      </c>
      <c r="X626">
        <v>85</v>
      </c>
      <c r="Y626">
        <v>3</v>
      </c>
      <c r="Z626">
        <v>4</v>
      </c>
      <c r="AA626">
        <v>5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3</v>
      </c>
      <c r="AJ626">
        <v>0</v>
      </c>
      <c r="AK626">
        <v>0</v>
      </c>
      <c r="AL626">
        <v>100</v>
      </c>
      <c r="AM626">
        <v>45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100</v>
      </c>
      <c r="AU626">
        <v>0</v>
      </c>
      <c r="AV626">
        <v>0</v>
      </c>
    </row>
    <row r="627" spans="1:48" x14ac:dyDescent="0.15">
      <c r="A627" s="4" t="str">
        <f>HYPERLINK("https://ibp.a2mac1.com/costing(costing:projects/details/9760/equipment/12211942)","DC machine - General")</f>
        <v>DC machine - General</v>
      </c>
      <c r="B627">
        <v>12211942</v>
      </c>
      <c r="C627">
        <v>12084843</v>
      </c>
      <c r="E627" t="s">
        <v>738</v>
      </c>
      <c r="H627" t="s">
        <v>162</v>
      </c>
      <c r="I627">
        <v>116914.84457142858</v>
      </c>
      <c r="J627">
        <v>0</v>
      </c>
      <c r="K627">
        <v>3.6</v>
      </c>
      <c r="L627">
        <v>0</v>
      </c>
      <c r="M627">
        <v>27.497982091197134</v>
      </c>
      <c r="N627">
        <v>0</v>
      </c>
      <c r="O627">
        <v>2.2914985075997613E-2</v>
      </c>
      <c r="P627">
        <v>3.4429E-3</v>
      </c>
      <c r="Q627">
        <v>1.1732166376415484E-2</v>
      </c>
      <c r="R627">
        <v>635568</v>
      </c>
      <c r="S627">
        <v>0</v>
      </c>
      <c r="T627">
        <v>0</v>
      </c>
      <c r="V627">
        <v>10800</v>
      </c>
      <c r="W627">
        <v>7</v>
      </c>
      <c r="X627">
        <v>85</v>
      </c>
      <c r="Y627">
        <v>3</v>
      </c>
      <c r="Z627">
        <v>4</v>
      </c>
      <c r="AA627">
        <v>5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3</v>
      </c>
      <c r="AJ627">
        <v>0</v>
      </c>
      <c r="AK627">
        <v>0</v>
      </c>
      <c r="AL627">
        <v>100</v>
      </c>
      <c r="AM627">
        <v>45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100</v>
      </c>
      <c r="AU627">
        <v>0</v>
      </c>
      <c r="AV627">
        <v>0</v>
      </c>
    </row>
    <row r="628" spans="1:48" x14ac:dyDescent="0.15">
      <c r="A628" s="4" t="str">
        <f>HYPERLINK("https://ibp.a2mac1.com/costing(costing:projects/details/9760/equipment/12211891)","DC machine - General")</f>
        <v>DC machine - General</v>
      </c>
      <c r="B628">
        <v>12211891</v>
      </c>
      <c r="C628">
        <v>12084789</v>
      </c>
      <c r="E628" t="s">
        <v>738</v>
      </c>
      <c r="H628" t="s">
        <v>162</v>
      </c>
      <c r="I628">
        <v>116914.84457142858</v>
      </c>
      <c r="J628">
        <v>0</v>
      </c>
      <c r="K628">
        <v>3.6</v>
      </c>
      <c r="L628">
        <v>0</v>
      </c>
      <c r="M628">
        <v>27.497982091197134</v>
      </c>
      <c r="N628">
        <v>0</v>
      </c>
      <c r="O628">
        <v>1.0922809552892194</v>
      </c>
      <c r="P628">
        <v>0.16411156666666665</v>
      </c>
      <c r="Q628">
        <v>1.1732166376415484E-2</v>
      </c>
      <c r="R628">
        <v>635568</v>
      </c>
      <c r="S628">
        <v>0</v>
      </c>
      <c r="T628">
        <v>0</v>
      </c>
      <c r="V628">
        <v>10800</v>
      </c>
      <c r="W628">
        <v>7</v>
      </c>
      <c r="X628">
        <v>85</v>
      </c>
      <c r="Y628">
        <v>3</v>
      </c>
      <c r="Z628">
        <v>4</v>
      </c>
      <c r="AA628">
        <v>5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3</v>
      </c>
      <c r="AJ628">
        <v>0</v>
      </c>
      <c r="AK628">
        <v>0</v>
      </c>
      <c r="AL628">
        <v>100</v>
      </c>
      <c r="AM628">
        <v>45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100</v>
      </c>
      <c r="AU628">
        <v>0</v>
      </c>
      <c r="AV628">
        <v>0</v>
      </c>
    </row>
    <row r="629" spans="1:48" x14ac:dyDescent="0.15">
      <c r="A629" s="4" t="str">
        <f>HYPERLINK("https://ibp.a2mac1.com/costing(costing:projects/details/9760/equipment/12211892)","DC machine - General")</f>
        <v>DC machine - General</v>
      </c>
      <c r="B629">
        <v>12211892</v>
      </c>
      <c r="C629">
        <v>12084790</v>
      </c>
      <c r="E629" t="s">
        <v>738</v>
      </c>
      <c r="H629" t="s">
        <v>162</v>
      </c>
      <c r="I629">
        <v>116914.84457142858</v>
      </c>
      <c r="J629">
        <v>0</v>
      </c>
      <c r="K629">
        <v>3.6</v>
      </c>
      <c r="L629">
        <v>0</v>
      </c>
      <c r="M629">
        <v>27.497982091197134</v>
      </c>
      <c r="N629">
        <v>0</v>
      </c>
      <c r="O629">
        <v>2.2914985075997613E-2</v>
      </c>
      <c r="P629">
        <v>3.4429E-3</v>
      </c>
      <c r="Q629">
        <v>5.8660831882077422E-3</v>
      </c>
      <c r="R629">
        <v>635568</v>
      </c>
      <c r="S629">
        <v>0</v>
      </c>
      <c r="T629">
        <v>0</v>
      </c>
      <c r="V629">
        <v>10800</v>
      </c>
      <c r="W629">
        <v>7</v>
      </c>
      <c r="X629">
        <v>85</v>
      </c>
      <c r="Y629">
        <v>3</v>
      </c>
      <c r="Z629">
        <v>4</v>
      </c>
      <c r="AA629">
        <v>5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3</v>
      </c>
      <c r="AJ629">
        <v>0</v>
      </c>
      <c r="AK629">
        <v>0</v>
      </c>
      <c r="AL629">
        <v>100</v>
      </c>
      <c r="AM629">
        <v>45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100</v>
      </c>
      <c r="AU629">
        <v>0</v>
      </c>
      <c r="AV629">
        <v>0</v>
      </c>
    </row>
    <row r="630" spans="1:48" x14ac:dyDescent="0.15">
      <c r="A630" s="4" t="str">
        <f>HYPERLINK("https://ibp.a2mac1.com/costing(costing:projects/details/9760/equipment/12211893)","DC machine - General")</f>
        <v>DC machine - General</v>
      </c>
      <c r="B630">
        <v>12211893</v>
      </c>
      <c r="C630">
        <v>12084791</v>
      </c>
      <c r="E630" t="s">
        <v>738</v>
      </c>
      <c r="H630" t="s">
        <v>162</v>
      </c>
      <c r="I630">
        <v>116914.84457142858</v>
      </c>
      <c r="J630">
        <v>0</v>
      </c>
      <c r="K630">
        <v>3.6</v>
      </c>
      <c r="L630">
        <v>0</v>
      </c>
      <c r="M630">
        <v>27.497982091197134</v>
      </c>
      <c r="N630">
        <v>0</v>
      </c>
      <c r="O630">
        <v>2.2914985075997613E-2</v>
      </c>
      <c r="P630">
        <v>3.4429E-3</v>
      </c>
      <c r="Q630">
        <v>5.8660831882077422E-3</v>
      </c>
      <c r="R630">
        <v>635568</v>
      </c>
      <c r="S630">
        <v>0</v>
      </c>
      <c r="T630">
        <v>0</v>
      </c>
      <c r="V630">
        <v>10800</v>
      </c>
      <c r="W630">
        <v>7</v>
      </c>
      <c r="X630">
        <v>85</v>
      </c>
      <c r="Y630">
        <v>3</v>
      </c>
      <c r="Z630">
        <v>4</v>
      </c>
      <c r="AA630">
        <v>5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3</v>
      </c>
      <c r="AJ630">
        <v>0</v>
      </c>
      <c r="AK630">
        <v>0</v>
      </c>
      <c r="AL630">
        <v>100</v>
      </c>
      <c r="AM630">
        <v>45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100</v>
      </c>
      <c r="AU630">
        <v>0</v>
      </c>
      <c r="AV630">
        <v>0</v>
      </c>
    </row>
    <row r="631" spans="1:48" x14ac:dyDescent="0.15">
      <c r="A631" s="4" t="str">
        <f>HYPERLINK("https://ibp.a2mac1.com/costing(costing:projects/details/9760/equipment/12211894)","DC machine - General")</f>
        <v>DC machine - General</v>
      </c>
      <c r="B631">
        <v>12211894</v>
      </c>
      <c r="C631">
        <v>12084792</v>
      </c>
      <c r="E631" t="s">
        <v>738</v>
      </c>
      <c r="H631" t="s">
        <v>162</v>
      </c>
      <c r="I631">
        <v>116914.84457142858</v>
      </c>
      <c r="J631">
        <v>0</v>
      </c>
      <c r="K631">
        <v>3.6</v>
      </c>
      <c r="L631">
        <v>0</v>
      </c>
      <c r="M631">
        <v>27.497982091197134</v>
      </c>
      <c r="N631">
        <v>0</v>
      </c>
      <c r="O631">
        <v>2.2914985075997613E-2</v>
      </c>
      <c r="P631">
        <v>3.4429E-3</v>
      </c>
      <c r="Q631">
        <v>5.8660831882077422E-3</v>
      </c>
      <c r="R631">
        <v>635568</v>
      </c>
      <c r="S631">
        <v>0</v>
      </c>
      <c r="T631">
        <v>0</v>
      </c>
      <c r="V631">
        <v>10800</v>
      </c>
      <c r="W631">
        <v>7</v>
      </c>
      <c r="X631">
        <v>85</v>
      </c>
      <c r="Y631">
        <v>3</v>
      </c>
      <c r="Z631">
        <v>4</v>
      </c>
      <c r="AA631">
        <v>5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3</v>
      </c>
      <c r="AJ631">
        <v>0</v>
      </c>
      <c r="AK631">
        <v>0</v>
      </c>
      <c r="AL631">
        <v>100</v>
      </c>
      <c r="AM631">
        <v>45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100</v>
      </c>
      <c r="AU631">
        <v>0</v>
      </c>
      <c r="AV631">
        <v>0</v>
      </c>
    </row>
    <row r="632" spans="1:48" x14ac:dyDescent="0.15">
      <c r="A632" s="4" t="str">
        <f>HYPERLINK("https://ibp.a2mac1.com/costing(costing:projects/details/9760/equipment/12211895)","DC machine - General")</f>
        <v>DC machine - General</v>
      </c>
      <c r="B632">
        <v>12211895</v>
      </c>
      <c r="C632">
        <v>12084793</v>
      </c>
      <c r="E632" t="s">
        <v>738</v>
      </c>
      <c r="H632" t="s">
        <v>162</v>
      </c>
      <c r="I632">
        <v>116914.84457142858</v>
      </c>
      <c r="J632">
        <v>0</v>
      </c>
      <c r="K632">
        <v>3.6</v>
      </c>
      <c r="L632">
        <v>0</v>
      </c>
      <c r="M632">
        <v>27.497982091197134</v>
      </c>
      <c r="N632">
        <v>0</v>
      </c>
      <c r="O632">
        <v>8.4021611945324579E-2</v>
      </c>
      <c r="P632">
        <v>1.2623966666666667E-2</v>
      </c>
      <c r="Q632">
        <v>5.8660831882077422E-3</v>
      </c>
      <c r="R632">
        <v>635568</v>
      </c>
      <c r="S632">
        <v>0</v>
      </c>
      <c r="T632">
        <v>0</v>
      </c>
      <c r="V632">
        <v>10800</v>
      </c>
      <c r="W632">
        <v>7</v>
      </c>
      <c r="X632">
        <v>85</v>
      </c>
      <c r="Y632">
        <v>3</v>
      </c>
      <c r="Z632">
        <v>4</v>
      </c>
      <c r="AA632">
        <v>5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3</v>
      </c>
      <c r="AJ632">
        <v>0</v>
      </c>
      <c r="AK632">
        <v>0</v>
      </c>
      <c r="AL632">
        <v>100</v>
      </c>
      <c r="AM632">
        <v>45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100</v>
      </c>
      <c r="AU632">
        <v>0</v>
      </c>
      <c r="AV632">
        <v>0</v>
      </c>
    </row>
    <row r="633" spans="1:48" x14ac:dyDescent="0.15">
      <c r="A633" s="4" t="str">
        <f>HYPERLINK("https://ibp.a2mac1.com/costing(costing:projects/details/9760/equipment/12211790)","DC machine - General")</f>
        <v>DC machine - General</v>
      </c>
      <c r="B633">
        <v>12211790</v>
      </c>
      <c r="C633">
        <v>12084692</v>
      </c>
      <c r="E633" t="s">
        <v>738</v>
      </c>
      <c r="H633" t="s">
        <v>162</v>
      </c>
      <c r="I633">
        <v>116914.84457142858</v>
      </c>
      <c r="J633">
        <v>0</v>
      </c>
      <c r="K633">
        <v>3.6</v>
      </c>
      <c r="L633">
        <v>0</v>
      </c>
      <c r="M633">
        <v>27.497982091197134</v>
      </c>
      <c r="N633">
        <v>0</v>
      </c>
      <c r="O633">
        <v>2.2914985075997613E-2</v>
      </c>
      <c r="P633">
        <v>3.4429E-3</v>
      </c>
      <c r="Q633">
        <v>1.1732166376415484E-2</v>
      </c>
      <c r="R633">
        <v>635568</v>
      </c>
      <c r="S633">
        <v>0</v>
      </c>
      <c r="T633">
        <v>0</v>
      </c>
      <c r="V633">
        <v>10800</v>
      </c>
      <c r="W633">
        <v>7</v>
      </c>
      <c r="X633">
        <v>85</v>
      </c>
      <c r="Y633">
        <v>3</v>
      </c>
      <c r="Z633">
        <v>4</v>
      </c>
      <c r="AA633">
        <v>5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3</v>
      </c>
      <c r="AJ633">
        <v>0</v>
      </c>
      <c r="AK633">
        <v>0</v>
      </c>
      <c r="AL633">
        <v>100</v>
      </c>
      <c r="AM633">
        <v>45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100</v>
      </c>
      <c r="AU633">
        <v>0</v>
      </c>
      <c r="AV633">
        <v>0</v>
      </c>
    </row>
    <row r="634" spans="1:48" x14ac:dyDescent="0.15">
      <c r="A634" s="4" t="str">
        <f>HYPERLINK("https://ibp.a2mac1.com/costing(costing:projects/details/9760/equipment/12213121)","Manufacturing Equipment")</f>
        <v>Manufacturing Equipment</v>
      </c>
      <c r="B634">
        <v>12213121</v>
      </c>
      <c r="C634">
        <v>12085963</v>
      </c>
      <c r="H634" t="s">
        <v>162</v>
      </c>
      <c r="I634">
        <v>373962.1752</v>
      </c>
      <c r="J634">
        <v>0</v>
      </c>
      <c r="K634">
        <v>3.3919999999999999</v>
      </c>
      <c r="L634">
        <v>0</v>
      </c>
      <c r="M634">
        <v>85.594213950498229</v>
      </c>
      <c r="N634">
        <v>0</v>
      </c>
      <c r="O634">
        <v>1.183174525718667</v>
      </c>
      <c r="P634">
        <v>5.7109723472000003E-2</v>
      </c>
      <c r="Q634">
        <v>8.8339008555448403E-3</v>
      </c>
      <c r="R634">
        <v>2750000</v>
      </c>
      <c r="S634">
        <v>0</v>
      </c>
      <c r="T634">
        <v>0</v>
      </c>
      <c r="V634">
        <v>5400</v>
      </c>
      <c r="W634">
        <v>10</v>
      </c>
      <c r="X634">
        <v>85</v>
      </c>
      <c r="Y634">
        <v>4</v>
      </c>
      <c r="Z634">
        <v>4</v>
      </c>
      <c r="AA634">
        <v>5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80</v>
      </c>
      <c r="AM634">
        <v>53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70</v>
      </c>
      <c r="AU634">
        <v>0</v>
      </c>
      <c r="AV634">
        <v>0</v>
      </c>
    </row>
    <row r="635" spans="1:48" x14ac:dyDescent="0.15">
      <c r="A635" s="4" t="str">
        <f>HYPERLINK("https://ibp.a2mac1.com/costing(costing:projects/details/9760/equipment/12213294)","Manufacturing Equipment")</f>
        <v>Manufacturing Equipment</v>
      </c>
      <c r="B635">
        <v>12213294</v>
      </c>
      <c r="C635">
        <v>12086161</v>
      </c>
      <c r="H635" t="s">
        <v>162</v>
      </c>
      <c r="I635">
        <v>373962.1752</v>
      </c>
      <c r="J635">
        <v>0</v>
      </c>
      <c r="K635">
        <v>3.3919999999999999</v>
      </c>
      <c r="L635">
        <v>0</v>
      </c>
      <c r="M635">
        <v>85.594213950498229</v>
      </c>
      <c r="N635">
        <v>0</v>
      </c>
      <c r="O635">
        <v>5.7636766057211332E-2</v>
      </c>
      <c r="P635">
        <v>2.7820238686666666E-3</v>
      </c>
      <c r="Q635">
        <v>8.8339008555448403E-3</v>
      </c>
      <c r="R635">
        <v>2750000</v>
      </c>
      <c r="S635">
        <v>0</v>
      </c>
      <c r="T635">
        <v>0</v>
      </c>
      <c r="V635">
        <v>5400</v>
      </c>
      <c r="W635">
        <v>10</v>
      </c>
      <c r="X635">
        <v>85</v>
      </c>
      <c r="Y635">
        <v>4</v>
      </c>
      <c r="Z635">
        <v>4</v>
      </c>
      <c r="AA635">
        <v>5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80</v>
      </c>
      <c r="AM635">
        <v>53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70</v>
      </c>
      <c r="AU635">
        <v>0</v>
      </c>
      <c r="AV635">
        <v>0</v>
      </c>
    </row>
    <row r="636" spans="1:48" x14ac:dyDescent="0.15">
      <c r="A636" s="4" t="str">
        <f>HYPERLINK("https://ibp.a2mac1.com/costing(costing:projects/details/9760/equipment/12213295)","Manufacturing Equipment")</f>
        <v>Manufacturing Equipment</v>
      </c>
      <c r="B636">
        <v>12213295</v>
      </c>
      <c r="C636">
        <v>12086162</v>
      </c>
      <c r="H636" t="s">
        <v>162</v>
      </c>
      <c r="I636">
        <v>373962.1752</v>
      </c>
      <c r="J636">
        <v>0</v>
      </c>
      <c r="K636">
        <v>3.3919999999999999</v>
      </c>
      <c r="L636">
        <v>0</v>
      </c>
      <c r="M636">
        <v>85.594213950498229</v>
      </c>
      <c r="N636">
        <v>0</v>
      </c>
      <c r="O636">
        <v>1.2396538677939033E-2</v>
      </c>
      <c r="P636">
        <v>5.9835880550000004E-4</v>
      </c>
      <c r="Q636">
        <v>8.8339008555448403E-3</v>
      </c>
      <c r="R636">
        <v>2750000</v>
      </c>
      <c r="S636">
        <v>0</v>
      </c>
      <c r="T636">
        <v>0</v>
      </c>
      <c r="V636">
        <v>5400</v>
      </c>
      <c r="W636">
        <v>10</v>
      </c>
      <c r="X636">
        <v>85</v>
      </c>
      <c r="Y636">
        <v>4</v>
      </c>
      <c r="Z636">
        <v>4</v>
      </c>
      <c r="AA636">
        <v>5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80</v>
      </c>
      <c r="AM636">
        <v>53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70</v>
      </c>
      <c r="AU636">
        <v>0</v>
      </c>
      <c r="AV636">
        <v>0</v>
      </c>
    </row>
    <row r="637" spans="1:48" x14ac:dyDescent="0.15">
      <c r="A637" s="4" t="str">
        <f>HYPERLINK("https://ibp.a2mac1.com/costing(costing:projects/details/9760/equipment/12213296)","Manufacturing Equipment")</f>
        <v>Manufacturing Equipment</v>
      </c>
      <c r="B637">
        <v>12213296</v>
      </c>
      <c r="C637">
        <v>12086163</v>
      </c>
      <c r="H637" t="s">
        <v>162</v>
      </c>
      <c r="I637">
        <v>373962.1752</v>
      </c>
      <c r="J637">
        <v>0</v>
      </c>
      <c r="K637">
        <v>3.3919999999999999</v>
      </c>
      <c r="L637">
        <v>0</v>
      </c>
      <c r="M637">
        <v>85.594213950498229</v>
      </c>
      <c r="N637">
        <v>0</v>
      </c>
      <c r="O637">
        <v>5.7636766057211332E-2</v>
      </c>
      <c r="P637">
        <v>2.7820238686666666E-3</v>
      </c>
      <c r="Q637">
        <v>8.8339008555448403E-3</v>
      </c>
      <c r="R637">
        <v>2750000</v>
      </c>
      <c r="S637">
        <v>0</v>
      </c>
      <c r="T637">
        <v>0</v>
      </c>
      <c r="V637">
        <v>5400</v>
      </c>
      <c r="W637">
        <v>10</v>
      </c>
      <c r="X637">
        <v>85</v>
      </c>
      <c r="Y637">
        <v>4</v>
      </c>
      <c r="Z637">
        <v>4</v>
      </c>
      <c r="AA637">
        <v>5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80</v>
      </c>
      <c r="AM637">
        <v>53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70</v>
      </c>
      <c r="AU637">
        <v>0</v>
      </c>
      <c r="AV637">
        <v>0</v>
      </c>
    </row>
    <row r="638" spans="1:48" x14ac:dyDescent="0.15">
      <c r="A638" s="4" t="str">
        <f>HYPERLINK("https://ibp.a2mac1.com/costing(costing:projects/details/9760/equipment/12213297)","Manufacturing Equipment")</f>
        <v>Manufacturing Equipment</v>
      </c>
      <c r="B638">
        <v>12213297</v>
      </c>
      <c r="C638">
        <v>12086164</v>
      </c>
      <c r="H638" t="s">
        <v>162</v>
      </c>
      <c r="I638">
        <v>373962.1752</v>
      </c>
      <c r="J638">
        <v>0</v>
      </c>
      <c r="K638">
        <v>3.3919999999999999</v>
      </c>
      <c r="L638">
        <v>0</v>
      </c>
      <c r="M638">
        <v>85.594213950498229</v>
      </c>
      <c r="N638">
        <v>0</v>
      </c>
      <c r="O638">
        <v>5.9929264420852175E-2</v>
      </c>
      <c r="P638">
        <v>2.8926786746666668E-3</v>
      </c>
      <c r="Q638">
        <v>8.8339008555448403E-3</v>
      </c>
      <c r="R638">
        <v>2750000</v>
      </c>
      <c r="S638">
        <v>0</v>
      </c>
      <c r="T638">
        <v>0</v>
      </c>
      <c r="V638">
        <v>5400</v>
      </c>
      <c r="W638">
        <v>10</v>
      </c>
      <c r="X638">
        <v>85</v>
      </c>
      <c r="Y638">
        <v>4</v>
      </c>
      <c r="Z638">
        <v>4</v>
      </c>
      <c r="AA638">
        <v>5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80</v>
      </c>
      <c r="AM638">
        <v>53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70</v>
      </c>
      <c r="AU638">
        <v>0</v>
      </c>
      <c r="AV638">
        <v>0</v>
      </c>
    </row>
    <row r="639" spans="1:48" x14ac:dyDescent="0.15">
      <c r="A639" s="4" t="str">
        <f>HYPERLINK("https://ibp.a2mac1.com/costing(costing:projects/details/9760/equipment/12213122)","Manufacturing Equipment")</f>
        <v>Manufacturing Equipment</v>
      </c>
      <c r="B639">
        <v>12213122</v>
      </c>
      <c r="C639">
        <v>12085964</v>
      </c>
      <c r="H639" t="s">
        <v>162</v>
      </c>
      <c r="I639">
        <v>373962.1752</v>
      </c>
      <c r="J639">
        <v>0</v>
      </c>
      <c r="K639">
        <v>3.3919999999999999</v>
      </c>
      <c r="L639">
        <v>0</v>
      </c>
      <c r="M639">
        <v>85.594213950498229</v>
      </c>
      <c r="N639">
        <v>0</v>
      </c>
      <c r="O639">
        <v>1.4982316105213044E-2</v>
      </c>
      <c r="P639">
        <v>7.231696686666667E-4</v>
      </c>
      <c r="Q639">
        <v>8.8339008555448403E-3</v>
      </c>
      <c r="R639">
        <v>2750000</v>
      </c>
      <c r="S639">
        <v>0</v>
      </c>
      <c r="T639">
        <v>0</v>
      </c>
      <c r="V639">
        <v>5400</v>
      </c>
      <c r="W639">
        <v>10</v>
      </c>
      <c r="X639">
        <v>85</v>
      </c>
      <c r="Y639">
        <v>4</v>
      </c>
      <c r="Z639">
        <v>4</v>
      </c>
      <c r="AA639">
        <v>5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80</v>
      </c>
      <c r="AM639">
        <v>53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70</v>
      </c>
      <c r="AU639">
        <v>0</v>
      </c>
      <c r="AV639">
        <v>0</v>
      </c>
    </row>
    <row r="640" spans="1:48" x14ac:dyDescent="0.15">
      <c r="A640" s="4" t="str">
        <f>HYPERLINK("https://ibp.a2mac1.com/costing(costing:projects/details/9760/equipment/12213585)","Manufacturing Equipment")</f>
        <v>Manufacturing Equipment</v>
      </c>
      <c r="B640">
        <v>12213585</v>
      </c>
      <c r="C640">
        <v>12086440</v>
      </c>
      <c r="H640" t="s">
        <v>162</v>
      </c>
      <c r="I640">
        <v>373962.1752</v>
      </c>
      <c r="J640">
        <v>0</v>
      </c>
      <c r="K640">
        <v>3.3919999999999999</v>
      </c>
      <c r="L640">
        <v>0</v>
      </c>
      <c r="M640">
        <v>85.594213950498229</v>
      </c>
      <c r="N640">
        <v>0</v>
      </c>
      <c r="O640">
        <v>0.18665625340867317</v>
      </c>
      <c r="P640">
        <v>9.0095643413333325E-3</v>
      </c>
      <c r="Q640">
        <v>8.8339008555448403E-3</v>
      </c>
      <c r="R640">
        <v>2750000</v>
      </c>
      <c r="S640">
        <v>0</v>
      </c>
      <c r="T640">
        <v>0</v>
      </c>
      <c r="V640">
        <v>5400</v>
      </c>
      <c r="W640">
        <v>10</v>
      </c>
      <c r="X640">
        <v>85</v>
      </c>
      <c r="Y640">
        <v>4</v>
      </c>
      <c r="Z640">
        <v>4</v>
      </c>
      <c r="AA640">
        <v>5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80</v>
      </c>
      <c r="AM640">
        <v>53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70</v>
      </c>
      <c r="AU640">
        <v>0</v>
      </c>
      <c r="AV640">
        <v>0</v>
      </c>
    </row>
    <row r="641" spans="1:48" x14ac:dyDescent="0.15">
      <c r="A641" s="4" t="str">
        <f>HYPERLINK("https://ibp.a2mac1.com/costing(costing:projects/details/9760/equipment/12213586)","Manufacturing Equipment")</f>
        <v>Manufacturing Equipment</v>
      </c>
      <c r="B641">
        <v>12213586</v>
      </c>
      <c r="C641">
        <v>12086441</v>
      </c>
      <c r="H641" t="s">
        <v>162</v>
      </c>
      <c r="I641">
        <v>373962.1752</v>
      </c>
      <c r="J641">
        <v>0</v>
      </c>
      <c r="K641">
        <v>3.3919999999999999</v>
      </c>
      <c r="L641">
        <v>0</v>
      </c>
      <c r="M641">
        <v>85.594213950498229</v>
      </c>
      <c r="N641">
        <v>0</v>
      </c>
      <c r="O641">
        <v>6.1760980599392832E-3</v>
      </c>
      <c r="P641">
        <v>2.9810923466666665E-4</v>
      </c>
      <c r="Q641">
        <v>8.8339008555448403E-3</v>
      </c>
      <c r="R641">
        <v>2750000</v>
      </c>
      <c r="S641">
        <v>0</v>
      </c>
      <c r="T641">
        <v>0</v>
      </c>
      <c r="V641">
        <v>5400</v>
      </c>
      <c r="W641">
        <v>10</v>
      </c>
      <c r="X641">
        <v>85</v>
      </c>
      <c r="Y641">
        <v>4</v>
      </c>
      <c r="Z641">
        <v>4</v>
      </c>
      <c r="AA641">
        <v>5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80</v>
      </c>
      <c r="AM641">
        <v>53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70</v>
      </c>
      <c r="AU641">
        <v>0</v>
      </c>
      <c r="AV641">
        <v>0</v>
      </c>
    </row>
    <row r="642" spans="1:48" x14ac:dyDescent="0.15">
      <c r="A642" s="4" t="str">
        <f>HYPERLINK("https://ibp.a2mac1.com/costing(costing:projects/details/9760/equipment/12213298)","Manufacturing Equipment")</f>
        <v>Manufacturing Equipment</v>
      </c>
      <c r="B642">
        <v>12213298</v>
      </c>
      <c r="C642">
        <v>12086165</v>
      </c>
      <c r="H642" t="s">
        <v>162</v>
      </c>
      <c r="I642">
        <v>373962.1752</v>
      </c>
      <c r="J642">
        <v>0</v>
      </c>
      <c r="K642">
        <v>3.3919999999999999</v>
      </c>
      <c r="L642">
        <v>0</v>
      </c>
      <c r="M642">
        <v>85.594213950498229</v>
      </c>
      <c r="N642">
        <v>0</v>
      </c>
      <c r="O642">
        <v>9.3250854150075724E-2</v>
      </c>
      <c r="P642">
        <v>4.5010523623333337E-3</v>
      </c>
      <c r="Q642">
        <v>8.8339008555448403E-3</v>
      </c>
      <c r="R642">
        <v>2750000</v>
      </c>
      <c r="S642">
        <v>0</v>
      </c>
      <c r="T642">
        <v>0</v>
      </c>
      <c r="V642">
        <v>5400</v>
      </c>
      <c r="W642">
        <v>10</v>
      </c>
      <c r="X642">
        <v>85</v>
      </c>
      <c r="Y642">
        <v>4</v>
      </c>
      <c r="Z642">
        <v>4</v>
      </c>
      <c r="AA642">
        <v>5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80</v>
      </c>
      <c r="AM642">
        <v>53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70</v>
      </c>
      <c r="AU642">
        <v>0</v>
      </c>
      <c r="AV642">
        <v>0</v>
      </c>
    </row>
    <row r="643" spans="1:48" x14ac:dyDescent="0.15">
      <c r="A643" s="4" t="str">
        <f>HYPERLINK("https://ibp.a2mac1.com/costing(costing:projects/details/9760/equipment/12213123)","Manufacturing Equipment")</f>
        <v>Manufacturing Equipment</v>
      </c>
      <c r="B643">
        <v>12213123</v>
      </c>
      <c r="C643">
        <v>12085965</v>
      </c>
      <c r="H643" t="s">
        <v>162</v>
      </c>
      <c r="I643">
        <v>373962.1752</v>
      </c>
      <c r="J643">
        <v>0</v>
      </c>
      <c r="K643">
        <v>3.3919999999999999</v>
      </c>
      <c r="L643">
        <v>0</v>
      </c>
      <c r="M643">
        <v>85.594213950498229</v>
      </c>
      <c r="N643">
        <v>0</v>
      </c>
      <c r="O643">
        <v>1.183174525718667</v>
      </c>
      <c r="P643">
        <v>5.7109723472000003E-2</v>
      </c>
      <c r="Q643">
        <v>8.8339008555448403E-3</v>
      </c>
      <c r="R643">
        <v>2750000</v>
      </c>
      <c r="S643">
        <v>0</v>
      </c>
      <c r="T643">
        <v>0</v>
      </c>
      <c r="V643">
        <v>5400</v>
      </c>
      <c r="W643">
        <v>10</v>
      </c>
      <c r="X643">
        <v>85</v>
      </c>
      <c r="Y643">
        <v>4</v>
      </c>
      <c r="Z643">
        <v>4</v>
      </c>
      <c r="AA643">
        <v>5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80</v>
      </c>
      <c r="AM643">
        <v>53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70</v>
      </c>
      <c r="AU643">
        <v>0</v>
      </c>
      <c r="AV643">
        <v>0</v>
      </c>
    </row>
    <row r="644" spans="1:48" x14ac:dyDescent="0.15">
      <c r="A644" s="4" t="str">
        <f>HYPERLINK("https://ibp.a2mac1.com/costing(costing:projects/details/9760/equipment/12213124)","Manufacturing Equipment")</f>
        <v>Manufacturing Equipment</v>
      </c>
      <c r="B644">
        <v>12213124</v>
      </c>
      <c r="C644">
        <v>12085966</v>
      </c>
      <c r="H644" t="s">
        <v>162</v>
      </c>
      <c r="I644">
        <v>373962.1752</v>
      </c>
      <c r="J644">
        <v>0</v>
      </c>
      <c r="K644">
        <v>3.3919999999999999</v>
      </c>
      <c r="L644">
        <v>0</v>
      </c>
      <c r="M644">
        <v>85.594213950498229</v>
      </c>
      <c r="N644">
        <v>0</v>
      </c>
      <c r="O644">
        <v>4.9900951209729635E-2</v>
      </c>
      <c r="P644">
        <v>2.4086298873333334E-3</v>
      </c>
      <c r="Q644">
        <v>8.8339008555448403E-3</v>
      </c>
      <c r="R644">
        <v>2750000</v>
      </c>
      <c r="S644">
        <v>0</v>
      </c>
      <c r="T644">
        <v>0</v>
      </c>
      <c r="V644">
        <v>5400</v>
      </c>
      <c r="W644">
        <v>10</v>
      </c>
      <c r="X644">
        <v>85</v>
      </c>
      <c r="Y644">
        <v>4</v>
      </c>
      <c r="Z644">
        <v>4</v>
      </c>
      <c r="AA644">
        <v>5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80</v>
      </c>
      <c r="AM644">
        <v>53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70</v>
      </c>
      <c r="AU644">
        <v>0</v>
      </c>
      <c r="AV644">
        <v>0</v>
      </c>
    </row>
    <row r="645" spans="1:48" x14ac:dyDescent="0.15">
      <c r="A645" s="4" t="str">
        <f>HYPERLINK("https://ibp.a2mac1.com/costing(costing:projects/details/9760/equipment/12213125)","Manufacturing Equipment")</f>
        <v>Manufacturing Equipment</v>
      </c>
      <c r="B645">
        <v>12213125</v>
      </c>
      <c r="C645">
        <v>12085967</v>
      </c>
      <c r="H645" t="s">
        <v>162</v>
      </c>
      <c r="I645">
        <v>373962.1752</v>
      </c>
      <c r="J645">
        <v>0</v>
      </c>
      <c r="K645">
        <v>3.3919999999999999</v>
      </c>
      <c r="L645">
        <v>0</v>
      </c>
      <c r="M645">
        <v>85.594213950498229</v>
      </c>
      <c r="N645">
        <v>0</v>
      </c>
      <c r="O645">
        <v>4.9900951209729635E-2</v>
      </c>
      <c r="P645">
        <v>2.4086298873333334E-3</v>
      </c>
      <c r="Q645">
        <v>8.8339008555448403E-3</v>
      </c>
      <c r="R645">
        <v>2750000</v>
      </c>
      <c r="S645">
        <v>0</v>
      </c>
      <c r="T645">
        <v>0</v>
      </c>
      <c r="V645">
        <v>5400</v>
      </c>
      <c r="W645">
        <v>10</v>
      </c>
      <c r="X645">
        <v>85</v>
      </c>
      <c r="Y645">
        <v>4</v>
      </c>
      <c r="Z645">
        <v>4</v>
      </c>
      <c r="AA645">
        <v>5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80</v>
      </c>
      <c r="AM645">
        <v>53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70</v>
      </c>
      <c r="AU645">
        <v>0</v>
      </c>
      <c r="AV645">
        <v>0</v>
      </c>
    </row>
    <row r="646" spans="1:48" x14ac:dyDescent="0.15">
      <c r="A646" s="4" t="str">
        <f>HYPERLINK("https://ibp.a2mac1.com/costing(costing:projects/details/9760/equipment/12213126)","Manufacturing Equipment")</f>
        <v>Manufacturing Equipment</v>
      </c>
      <c r="B646">
        <v>12213126</v>
      </c>
      <c r="C646">
        <v>12085968</v>
      </c>
      <c r="H646" t="s">
        <v>162</v>
      </c>
      <c r="I646">
        <v>373962.1752</v>
      </c>
      <c r="J646">
        <v>0</v>
      </c>
      <c r="K646">
        <v>3.3919999999999999</v>
      </c>
      <c r="L646">
        <v>0</v>
      </c>
      <c r="M646">
        <v>85.594213950498229</v>
      </c>
      <c r="N646">
        <v>0</v>
      </c>
      <c r="O646">
        <v>4.9900951209729635E-2</v>
      </c>
      <c r="P646">
        <v>2.4086298873333334E-3</v>
      </c>
      <c r="Q646">
        <v>8.8339008555448403E-3</v>
      </c>
      <c r="R646">
        <v>2750000</v>
      </c>
      <c r="S646">
        <v>0</v>
      </c>
      <c r="T646">
        <v>0</v>
      </c>
      <c r="V646">
        <v>5400</v>
      </c>
      <c r="W646">
        <v>10</v>
      </c>
      <c r="X646">
        <v>85</v>
      </c>
      <c r="Y646">
        <v>4</v>
      </c>
      <c r="Z646">
        <v>4</v>
      </c>
      <c r="AA646">
        <v>5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80</v>
      </c>
      <c r="AM646">
        <v>53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70</v>
      </c>
      <c r="AU646">
        <v>0</v>
      </c>
      <c r="AV646">
        <v>0</v>
      </c>
    </row>
    <row r="647" spans="1:48" x14ac:dyDescent="0.15">
      <c r="A647" s="4" t="str">
        <f>HYPERLINK("https://ibp.a2mac1.com/costing(costing:projects/details/9760/equipment/12213127)","Manufacturing Equipment")</f>
        <v>Manufacturing Equipment</v>
      </c>
      <c r="B647">
        <v>12213127</v>
      </c>
      <c r="C647">
        <v>12085969</v>
      </c>
      <c r="H647" t="s">
        <v>162</v>
      </c>
      <c r="I647">
        <v>373962.1752</v>
      </c>
      <c r="J647">
        <v>0</v>
      </c>
      <c r="K647">
        <v>3.3919999999999999</v>
      </c>
      <c r="L647">
        <v>0</v>
      </c>
      <c r="M647">
        <v>85.594213950498229</v>
      </c>
      <c r="N647">
        <v>0</v>
      </c>
      <c r="O647">
        <v>4.9900951209729635E-2</v>
      </c>
      <c r="P647">
        <v>2.4086298873333334E-3</v>
      </c>
      <c r="Q647">
        <v>8.8339008555448403E-3</v>
      </c>
      <c r="R647">
        <v>2750000</v>
      </c>
      <c r="S647">
        <v>0</v>
      </c>
      <c r="T647">
        <v>0</v>
      </c>
      <c r="V647">
        <v>5400</v>
      </c>
      <c r="W647">
        <v>10</v>
      </c>
      <c r="X647">
        <v>85</v>
      </c>
      <c r="Y647">
        <v>4</v>
      </c>
      <c r="Z647">
        <v>4</v>
      </c>
      <c r="AA647">
        <v>5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80</v>
      </c>
      <c r="AM647">
        <v>53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70</v>
      </c>
      <c r="AU647">
        <v>0</v>
      </c>
      <c r="AV647">
        <v>0</v>
      </c>
    </row>
    <row r="648" spans="1:48" x14ac:dyDescent="0.15">
      <c r="A648" s="4" t="str">
        <f>HYPERLINK("https://ibp.a2mac1.com/costing(costing:projects/details/9760/equipment/12213128)","Manufacturing Equipment")</f>
        <v>Manufacturing Equipment</v>
      </c>
      <c r="B648">
        <v>12213128</v>
      </c>
      <c r="C648">
        <v>12085970</v>
      </c>
      <c r="H648" t="s">
        <v>162</v>
      </c>
      <c r="I648">
        <v>373962.1752</v>
      </c>
      <c r="J648">
        <v>0</v>
      </c>
      <c r="K648">
        <v>3.3919999999999999</v>
      </c>
      <c r="L648">
        <v>0</v>
      </c>
      <c r="M648">
        <v>85.594213950498229</v>
      </c>
      <c r="N648">
        <v>0</v>
      </c>
      <c r="O648">
        <v>4.9900951209729635E-2</v>
      </c>
      <c r="P648">
        <v>2.4086298873333334E-3</v>
      </c>
      <c r="Q648">
        <v>8.8339008555448403E-3</v>
      </c>
      <c r="R648">
        <v>2750000</v>
      </c>
      <c r="S648">
        <v>0</v>
      </c>
      <c r="T648">
        <v>0</v>
      </c>
      <c r="V648">
        <v>5400</v>
      </c>
      <c r="W648">
        <v>10</v>
      </c>
      <c r="X648">
        <v>85</v>
      </c>
      <c r="Y648">
        <v>4</v>
      </c>
      <c r="Z648">
        <v>4</v>
      </c>
      <c r="AA648">
        <v>5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80</v>
      </c>
      <c r="AM648">
        <v>53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70</v>
      </c>
      <c r="AU648">
        <v>0</v>
      </c>
      <c r="AV648">
        <v>0</v>
      </c>
    </row>
    <row r="649" spans="1:48" x14ac:dyDescent="0.15">
      <c r="A649" s="4" t="str">
        <f>HYPERLINK("https://ibp.a2mac1.com/costing(costing:projects/details/9760/equipment/12213299)","Manufacturing Equipment")</f>
        <v>Manufacturing Equipment</v>
      </c>
      <c r="B649">
        <v>12213299</v>
      </c>
      <c r="C649">
        <v>12086166</v>
      </c>
      <c r="H649" t="s">
        <v>162</v>
      </c>
      <c r="I649">
        <v>373962.1752</v>
      </c>
      <c r="J649">
        <v>0</v>
      </c>
      <c r="K649">
        <v>3.3919999999999999</v>
      </c>
      <c r="L649">
        <v>0</v>
      </c>
      <c r="M649">
        <v>85.594213950498229</v>
      </c>
      <c r="N649">
        <v>0</v>
      </c>
      <c r="O649">
        <v>2.9650073474158005E-3</v>
      </c>
      <c r="P649">
        <v>1.4311561483333334E-4</v>
      </c>
      <c r="Q649">
        <v>8.8339008555448403E-3</v>
      </c>
      <c r="R649">
        <v>2750000</v>
      </c>
      <c r="S649">
        <v>0</v>
      </c>
      <c r="T649">
        <v>0</v>
      </c>
      <c r="V649">
        <v>5400</v>
      </c>
      <c r="W649">
        <v>10</v>
      </c>
      <c r="X649">
        <v>85</v>
      </c>
      <c r="Y649">
        <v>4</v>
      </c>
      <c r="Z649">
        <v>4</v>
      </c>
      <c r="AA649">
        <v>5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80</v>
      </c>
      <c r="AM649">
        <v>53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70</v>
      </c>
      <c r="AU649">
        <v>0</v>
      </c>
      <c r="AV649">
        <v>0</v>
      </c>
    </row>
    <row r="650" spans="1:48" x14ac:dyDescent="0.15">
      <c r="A650" s="4" t="str">
        <f>HYPERLINK("https://ibp.a2mac1.com/costing(costing:projects/details/9760/equipment/12213300)","Manufacturing Equipment")</f>
        <v>Manufacturing Equipment</v>
      </c>
      <c r="B650">
        <v>12213300</v>
      </c>
      <c r="C650">
        <v>12086167</v>
      </c>
      <c r="H650" t="s">
        <v>162</v>
      </c>
      <c r="I650">
        <v>373962.1752</v>
      </c>
      <c r="J650">
        <v>0</v>
      </c>
      <c r="K650">
        <v>3.3919999999999999</v>
      </c>
      <c r="L650">
        <v>0</v>
      </c>
      <c r="M650">
        <v>85.594213950498229</v>
      </c>
      <c r="N650">
        <v>0</v>
      </c>
      <c r="O650">
        <v>2.9650073474158005E-3</v>
      </c>
      <c r="P650">
        <v>1.4311561483333334E-4</v>
      </c>
      <c r="Q650">
        <v>8.8339008555448403E-3</v>
      </c>
      <c r="R650">
        <v>2750000</v>
      </c>
      <c r="S650">
        <v>0</v>
      </c>
      <c r="T650">
        <v>0</v>
      </c>
      <c r="V650">
        <v>5400</v>
      </c>
      <c r="W650">
        <v>10</v>
      </c>
      <c r="X650">
        <v>85</v>
      </c>
      <c r="Y650">
        <v>4</v>
      </c>
      <c r="Z650">
        <v>4</v>
      </c>
      <c r="AA650">
        <v>5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80</v>
      </c>
      <c r="AM650">
        <v>53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70</v>
      </c>
      <c r="AU650">
        <v>0</v>
      </c>
      <c r="AV650">
        <v>0</v>
      </c>
    </row>
    <row r="651" spans="1:48" x14ac:dyDescent="0.15">
      <c r="A651" s="4" t="str">
        <f>HYPERLINK("https://ibp.a2mac1.com/costing(costing:projects/details/9760/equipment/12212176)","Assembly Station ")</f>
        <v xml:space="preserve">Assembly Station </v>
      </c>
      <c r="B651">
        <v>12212176</v>
      </c>
      <c r="C651">
        <v>12085085</v>
      </c>
      <c r="E651" t="s">
        <v>1630</v>
      </c>
      <c r="F651" t="s">
        <v>5068</v>
      </c>
      <c r="G651" t="s">
        <v>8</v>
      </c>
      <c r="H651" t="s">
        <v>162</v>
      </c>
      <c r="I651">
        <v>4824.9071999999996</v>
      </c>
      <c r="J651">
        <v>0</v>
      </c>
      <c r="K651">
        <v>0.10768</v>
      </c>
      <c r="L651">
        <v>0</v>
      </c>
      <c r="M651">
        <v>1.1242192478302797</v>
      </c>
      <c r="N651">
        <v>0</v>
      </c>
      <c r="O651">
        <v>0.14052740597878496</v>
      </c>
      <c r="P651">
        <v>0.51643499999999998</v>
      </c>
      <c r="Q651">
        <v>2.2807432079717134E-4</v>
      </c>
      <c r="R651">
        <v>30000</v>
      </c>
      <c r="S651">
        <v>0</v>
      </c>
      <c r="T651">
        <v>0</v>
      </c>
      <c r="V651">
        <v>600</v>
      </c>
      <c r="W651">
        <v>10</v>
      </c>
      <c r="X651">
        <v>85</v>
      </c>
      <c r="Y651">
        <v>3</v>
      </c>
      <c r="Z651">
        <v>4</v>
      </c>
      <c r="AA651">
        <v>5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100</v>
      </c>
      <c r="AM651">
        <v>1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20</v>
      </c>
      <c r="AU651">
        <v>0</v>
      </c>
      <c r="AV651">
        <v>0</v>
      </c>
    </row>
    <row r="652" spans="1:48" x14ac:dyDescent="0.15">
      <c r="A652" s="4" t="str">
        <f>HYPERLINK("https://ibp.a2mac1.com/costing(costing:projects/details/9760/equipment/12212625)","DC machine - General")</f>
        <v>DC machine - General</v>
      </c>
      <c r="B652">
        <v>12212625</v>
      </c>
      <c r="C652">
        <v>12085465</v>
      </c>
      <c r="E652" t="s">
        <v>738</v>
      </c>
      <c r="H652" t="s">
        <v>162</v>
      </c>
      <c r="I652">
        <v>116914.84457142858</v>
      </c>
      <c r="J652">
        <v>0</v>
      </c>
      <c r="K652">
        <v>3.6</v>
      </c>
      <c r="L652">
        <v>0</v>
      </c>
      <c r="M652">
        <v>27.497982091197134</v>
      </c>
      <c r="N652">
        <v>0</v>
      </c>
      <c r="O652">
        <v>0.34372477613996416</v>
      </c>
      <c r="P652">
        <v>5.1643500000000002E-2</v>
      </c>
      <c r="Q652">
        <v>1.1732166376415484E-2</v>
      </c>
      <c r="R652">
        <v>635568</v>
      </c>
      <c r="S652">
        <v>0</v>
      </c>
      <c r="T652">
        <v>0</v>
      </c>
      <c r="V652">
        <v>10800</v>
      </c>
      <c r="W652">
        <v>7</v>
      </c>
      <c r="X652">
        <v>85</v>
      </c>
      <c r="Y652">
        <v>3</v>
      </c>
      <c r="Z652">
        <v>4</v>
      </c>
      <c r="AA652">
        <v>5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3</v>
      </c>
      <c r="AJ652">
        <v>0</v>
      </c>
      <c r="AK652">
        <v>0</v>
      </c>
      <c r="AL652">
        <v>100</v>
      </c>
      <c r="AM652">
        <v>45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100</v>
      </c>
      <c r="AU652">
        <v>0</v>
      </c>
      <c r="AV652">
        <v>0</v>
      </c>
    </row>
    <row r="653" spans="1:48" x14ac:dyDescent="0.15">
      <c r="A653" s="4" t="str">
        <f>HYPERLINK("https://ibp.a2mac1.com/costing(costing:projects/details/9760/equipment/12212626)","DC machine - General")</f>
        <v>DC machine - General</v>
      </c>
      <c r="B653">
        <v>12212626</v>
      </c>
      <c r="C653">
        <v>12085466</v>
      </c>
      <c r="E653" t="s">
        <v>738</v>
      </c>
      <c r="H653" t="s">
        <v>162</v>
      </c>
      <c r="I653">
        <v>116914.84457142858</v>
      </c>
      <c r="J653">
        <v>0</v>
      </c>
      <c r="K653">
        <v>3.6</v>
      </c>
      <c r="L653">
        <v>0</v>
      </c>
      <c r="M653">
        <v>27.497982091197134</v>
      </c>
      <c r="N653">
        <v>0</v>
      </c>
      <c r="O653">
        <v>0.45829970151995225</v>
      </c>
      <c r="P653">
        <v>6.8858000000000003E-2</v>
      </c>
      <c r="Q653">
        <v>1.1732166376415484E-2</v>
      </c>
      <c r="R653">
        <v>635568</v>
      </c>
      <c r="S653">
        <v>0</v>
      </c>
      <c r="T653">
        <v>0</v>
      </c>
      <c r="V653">
        <v>10800</v>
      </c>
      <c r="W653">
        <v>7</v>
      </c>
      <c r="X653">
        <v>85</v>
      </c>
      <c r="Y653">
        <v>3</v>
      </c>
      <c r="Z653">
        <v>4</v>
      </c>
      <c r="AA653">
        <v>5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3</v>
      </c>
      <c r="AJ653">
        <v>0</v>
      </c>
      <c r="AK653">
        <v>0</v>
      </c>
      <c r="AL653">
        <v>100</v>
      </c>
      <c r="AM653">
        <v>45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100</v>
      </c>
      <c r="AU653">
        <v>0</v>
      </c>
      <c r="AV653">
        <v>0</v>
      </c>
    </row>
    <row r="654" spans="1:48" x14ac:dyDescent="0.15">
      <c r="A654" s="4" t="str">
        <f>HYPERLINK("https://ibp.a2mac1.com/costing(costing:projects/details/9760/equipment/12212627)","DC machine - General")</f>
        <v>DC machine - General</v>
      </c>
      <c r="B654">
        <v>12212627</v>
      </c>
      <c r="C654">
        <v>12085467</v>
      </c>
      <c r="E654" t="s">
        <v>738</v>
      </c>
      <c r="H654" t="s">
        <v>162</v>
      </c>
      <c r="I654">
        <v>116914.84457142858</v>
      </c>
      <c r="J654">
        <v>0</v>
      </c>
      <c r="K654">
        <v>3.6</v>
      </c>
      <c r="L654">
        <v>0</v>
      </c>
      <c r="M654">
        <v>27.497982091197134</v>
      </c>
      <c r="N654">
        <v>0</v>
      </c>
      <c r="O654">
        <v>2.2914985075997613E-2</v>
      </c>
      <c r="P654">
        <v>3.4429E-3</v>
      </c>
      <c r="Q654">
        <v>1.1732166376415484E-2</v>
      </c>
      <c r="R654">
        <v>635568</v>
      </c>
      <c r="S654">
        <v>0</v>
      </c>
      <c r="T654">
        <v>0</v>
      </c>
      <c r="V654">
        <v>10800</v>
      </c>
      <c r="W654">
        <v>7</v>
      </c>
      <c r="X654">
        <v>85</v>
      </c>
      <c r="Y654">
        <v>3</v>
      </c>
      <c r="Z654">
        <v>4</v>
      </c>
      <c r="AA654">
        <v>5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3</v>
      </c>
      <c r="AJ654">
        <v>0</v>
      </c>
      <c r="AK654">
        <v>0</v>
      </c>
      <c r="AL654">
        <v>100</v>
      </c>
      <c r="AM654">
        <v>45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100</v>
      </c>
      <c r="AU654">
        <v>0</v>
      </c>
      <c r="AV654">
        <v>0</v>
      </c>
    </row>
    <row r="655" spans="1:48" x14ac:dyDescent="0.15">
      <c r="A655" s="4" t="str">
        <f>HYPERLINK("https://ibp.a2mac1.com/costing(costing:projects/details/9760/equipment/12212628)","DC machine - General")</f>
        <v>DC machine - General</v>
      </c>
      <c r="B655">
        <v>12212628</v>
      </c>
      <c r="C655">
        <v>12085468</v>
      </c>
      <c r="E655" t="s">
        <v>738</v>
      </c>
      <c r="H655" t="s">
        <v>162</v>
      </c>
      <c r="I655">
        <v>116914.84457142858</v>
      </c>
      <c r="J655">
        <v>0</v>
      </c>
      <c r="K655">
        <v>3.6</v>
      </c>
      <c r="L655">
        <v>0</v>
      </c>
      <c r="M655">
        <v>27.497982091197134</v>
      </c>
      <c r="N655">
        <v>0</v>
      </c>
      <c r="O655">
        <v>6.1106626869326969E-2</v>
      </c>
      <c r="P655">
        <v>9.1810666666666662E-3</v>
      </c>
      <c r="Q655">
        <v>1.1732166376415484E-2</v>
      </c>
      <c r="R655">
        <v>635568</v>
      </c>
      <c r="S655">
        <v>0</v>
      </c>
      <c r="T655">
        <v>0</v>
      </c>
      <c r="V655">
        <v>10800</v>
      </c>
      <c r="W655">
        <v>7</v>
      </c>
      <c r="X655">
        <v>85</v>
      </c>
      <c r="Y655">
        <v>3</v>
      </c>
      <c r="Z655">
        <v>4</v>
      </c>
      <c r="AA655">
        <v>5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3</v>
      </c>
      <c r="AJ655">
        <v>0</v>
      </c>
      <c r="AK655">
        <v>0</v>
      </c>
      <c r="AL655">
        <v>100</v>
      </c>
      <c r="AM655">
        <v>45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100</v>
      </c>
      <c r="AU655">
        <v>0</v>
      </c>
      <c r="AV655">
        <v>0</v>
      </c>
    </row>
    <row r="656" spans="1:48" x14ac:dyDescent="0.15">
      <c r="A656" s="4" t="str">
        <f>HYPERLINK("https://ibp.a2mac1.com/costing(costing:projects/details/9760/equipment/12212629)","DC machine - General")</f>
        <v>DC machine - General</v>
      </c>
      <c r="B656">
        <v>12212629</v>
      </c>
      <c r="C656">
        <v>12085469</v>
      </c>
      <c r="E656" t="s">
        <v>738</v>
      </c>
      <c r="H656" t="s">
        <v>162</v>
      </c>
      <c r="I656">
        <v>116914.84457142858</v>
      </c>
      <c r="J656">
        <v>0</v>
      </c>
      <c r="K656">
        <v>3.6</v>
      </c>
      <c r="L656">
        <v>0</v>
      </c>
      <c r="M656">
        <v>27.497982091197134</v>
      </c>
      <c r="N656">
        <v>0</v>
      </c>
      <c r="O656">
        <v>2.2914985075997613E-2</v>
      </c>
      <c r="P656">
        <v>3.4429E-3</v>
      </c>
      <c r="Q656">
        <v>1.1732166376415484E-2</v>
      </c>
      <c r="R656">
        <v>635568</v>
      </c>
      <c r="S656">
        <v>0</v>
      </c>
      <c r="T656">
        <v>0</v>
      </c>
      <c r="V656">
        <v>10800</v>
      </c>
      <c r="W656">
        <v>7</v>
      </c>
      <c r="X656">
        <v>85</v>
      </c>
      <c r="Y656">
        <v>3</v>
      </c>
      <c r="Z656">
        <v>4</v>
      </c>
      <c r="AA656">
        <v>5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3</v>
      </c>
      <c r="AJ656">
        <v>0</v>
      </c>
      <c r="AK656">
        <v>0</v>
      </c>
      <c r="AL656">
        <v>100</v>
      </c>
      <c r="AM656">
        <v>45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100</v>
      </c>
      <c r="AU656">
        <v>0</v>
      </c>
      <c r="AV656">
        <v>0</v>
      </c>
    </row>
    <row r="657" spans="1:48" x14ac:dyDescent="0.15">
      <c r="A657" s="4" t="str">
        <f>HYPERLINK("https://ibp.a2mac1.com/costing(costing:projects/details/9760/equipment/12212630)","DC machine - General")</f>
        <v>DC machine - General</v>
      </c>
      <c r="B657">
        <v>12212630</v>
      </c>
      <c r="C657">
        <v>12085470</v>
      </c>
      <c r="E657" t="s">
        <v>738</v>
      </c>
      <c r="H657" t="s">
        <v>162</v>
      </c>
      <c r="I657">
        <v>116914.84457142858</v>
      </c>
      <c r="J657">
        <v>0</v>
      </c>
      <c r="K657">
        <v>3.6</v>
      </c>
      <c r="L657">
        <v>0</v>
      </c>
      <c r="M657">
        <v>27.497982091197134</v>
      </c>
      <c r="N657">
        <v>0</v>
      </c>
      <c r="O657">
        <v>7.6383283586658711E-3</v>
      </c>
      <c r="P657">
        <v>1.1476333333333333E-3</v>
      </c>
      <c r="Q657">
        <v>1.1732166376415484E-2</v>
      </c>
      <c r="R657">
        <v>635568</v>
      </c>
      <c r="S657">
        <v>0</v>
      </c>
      <c r="T657">
        <v>0</v>
      </c>
      <c r="V657">
        <v>10800</v>
      </c>
      <c r="W657">
        <v>7</v>
      </c>
      <c r="X657">
        <v>85</v>
      </c>
      <c r="Y657">
        <v>3</v>
      </c>
      <c r="Z657">
        <v>4</v>
      </c>
      <c r="AA657">
        <v>5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3</v>
      </c>
      <c r="AJ657">
        <v>0</v>
      </c>
      <c r="AK657">
        <v>0</v>
      </c>
      <c r="AL657">
        <v>100</v>
      </c>
      <c r="AM657">
        <v>45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100</v>
      </c>
      <c r="AU657">
        <v>0</v>
      </c>
      <c r="AV657">
        <v>0</v>
      </c>
    </row>
    <row r="658" spans="1:48" x14ac:dyDescent="0.15">
      <c r="A658" s="4" t="str">
        <f>HYPERLINK("https://ibp.a2mac1.com/costing(costing:projects/details/9760/equipment/12212631)","DC machine - General")</f>
        <v>DC machine - General</v>
      </c>
      <c r="B658">
        <v>12212631</v>
      </c>
      <c r="C658">
        <v>12085471</v>
      </c>
      <c r="E658" t="s">
        <v>738</v>
      </c>
      <c r="H658" t="s">
        <v>162</v>
      </c>
      <c r="I658">
        <v>116914.84457142858</v>
      </c>
      <c r="J658">
        <v>0</v>
      </c>
      <c r="K658">
        <v>3.6</v>
      </c>
      <c r="L658">
        <v>0</v>
      </c>
      <c r="M658">
        <v>27.497982091197134</v>
      </c>
      <c r="N658">
        <v>0</v>
      </c>
      <c r="O658">
        <v>0.45829970151995225</v>
      </c>
      <c r="P658">
        <v>6.8858000000000003E-2</v>
      </c>
      <c r="Q658">
        <v>1.1732166376415484E-2</v>
      </c>
      <c r="R658">
        <v>635568</v>
      </c>
      <c r="S658">
        <v>0</v>
      </c>
      <c r="T658">
        <v>0</v>
      </c>
      <c r="V658">
        <v>10800</v>
      </c>
      <c r="W658">
        <v>7</v>
      </c>
      <c r="X658">
        <v>85</v>
      </c>
      <c r="Y658">
        <v>3</v>
      </c>
      <c r="Z658">
        <v>4</v>
      </c>
      <c r="AA658">
        <v>5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3</v>
      </c>
      <c r="AJ658">
        <v>0</v>
      </c>
      <c r="AK658">
        <v>0</v>
      </c>
      <c r="AL658">
        <v>100</v>
      </c>
      <c r="AM658">
        <v>45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100</v>
      </c>
      <c r="AU658">
        <v>0</v>
      </c>
      <c r="AV658">
        <v>0</v>
      </c>
    </row>
    <row r="659" spans="1:48" x14ac:dyDescent="0.15">
      <c r="A659" s="4" t="str">
        <f>HYPERLINK("https://ibp.a2mac1.com/costing(costing:projects/details/9760/equipment/12212632)","DC machine - General")</f>
        <v>DC machine - General</v>
      </c>
      <c r="B659">
        <v>12212632</v>
      </c>
      <c r="C659">
        <v>12085472</v>
      </c>
      <c r="E659" t="s">
        <v>738</v>
      </c>
      <c r="H659" t="s">
        <v>162</v>
      </c>
      <c r="I659">
        <v>116914.84457142858</v>
      </c>
      <c r="J659">
        <v>0</v>
      </c>
      <c r="K659">
        <v>3.6</v>
      </c>
      <c r="L659">
        <v>0</v>
      </c>
      <c r="M659">
        <v>27.497982091197134</v>
      </c>
      <c r="N659">
        <v>0</v>
      </c>
      <c r="O659">
        <v>3.0553313434663484E-3</v>
      </c>
      <c r="P659">
        <v>4.5905333333333333E-4</v>
      </c>
      <c r="Q659">
        <v>1.1732166376415484E-2</v>
      </c>
      <c r="R659">
        <v>635568</v>
      </c>
      <c r="S659">
        <v>0</v>
      </c>
      <c r="T659">
        <v>0</v>
      </c>
      <c r="V659">
        <v>10800</v>
      </c>
      <c r="W659">
        <v>7</v>
      </c>
      <c r="X659">
        <v>85</v>
      </c>
      <c r="Y659">
        <v>3</v>
      </c>
      <c r="Z659">
        <v>4</v>
      </c>
      <c r="AA659">
        <v>5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3</v>
      </c>
      <c r="AJ659">
        <v>0</v>
      </c>
      <c r="AK659">
        <v>0</v>
      </c>
      <c r="AL659">
        <v>100</v>
      </c>
      <c r="AM659">
        <v>45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100</v>
      </c>
      <c r="AU659">
        <v>0</v>
      </c>
      <c r="AV659">
        <v>0</v>
      </c>
    </row>
    <row r="660" spans="1:48" x14ac:dyDescent="0.15">
      <c r="A660" s="4" t="str">
        <f>HYPERLINK("https://ibp.a2mac1.com/costing(costing:projects/details/9760/equipment/12212285)","DC machine - General")</f>
        <v>DC machine - General</v>
      </c>
      <c r="B660">
        <v>12212285</v>
      </c>
      <c r="C660">
        <v>12085190</v>
      </c>
      <c r="E660" t="s">
        <v>738</v>
      </c>
      <c r="H660" t="s">
        <v>162</v>
      </c>
      <c r="I660">
        <v>116914.84457142858</v>
      </c>
      <c r="J660">
        <v>0</v>
      </c>
      <c r="K660">
        <v>3.6</v>
      </c>
      <c r="L660">
        <v>0</v>
      </c>
      <c r="M660">
        <v>27.497982091197134</v>
      </c>
      <c r="N660">
        <v>0</v>
      </c>
      <c r="O660">
        <v>0.90896107468123866</v>
      </c>
      <c r="P660">
        <v>0.13656836666666666</v>
      </c>
      <c r="Q660">
        <v>1.1732166376415484E-2</v>
      </c>
      <c r="R660">
        <v>635568</v>
      </c>
      <c r="S660">
        <v>0</v>
      </c>
      <c r="T660">
        <v>0</v>
      </c>
      <c r="V660">
        <v>10800</v>
      </c>
      <c r="W660">
        <v>7</v>
      </c>
      <c r="X660">
        <v>85</v>
      </c>
      <c r="Y660">
        <v>3</v>
      </c>
      <c r="Z660">
        <v>4</v>
      </c>
      <c r="AA660">
        <v>5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3</v>
      </c>
      <c r="AJ660">
        <v>0</v>
      </c>
      <c r="AK660">
        <v>0</v>
      </c>
      <c r="AL660">
        <v>100</v>
      </c>
      <c r="AM660">
        <v>45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100</v>
      </c>
      <c r="AU660">
        <v>0</v>
      </c>
      <c r="AV660">
        <v>0</v>
      </c>
    </row>
    <row r="661" spans="1:48" x14ac:dyDescent="0.15">
      <c r="A661" s="4" t="str">
        <f>HYPERLINK("https://ibp.a2mac1.com/costing(costing:projects/details/9760/equipment/12212286)","DC machine - General")</f>
        <v>DC machine - General</v>
      </c>
      <c r="B661">
        <v>12212286</v>
      </c>
      <c r="C661">
        <v>12085191</v>
      </c>
      <c r="E661" t="s">
        <v>738</v>
      </c>
      <c r="H661" t="s">
        <v>162</v>
      </c>
      <c r="I661">
        <v>116914.84457142858</v>
      </c>
      <c r="J661">
        <v>0</v>
      </c>
      <c r="K661">
        <v>3.6</v>
      </c>
      <c r="L661">
        <v>0</v>
      </c>
      <c r="M661">
        <v>27.497982091197134</v>
      </c>
      <c r="N661">
        <v>0</v>
      </c>
      <c r="O661">
        <v>0.56523629854127444</v>
      </c>
      <c r="P661">
        <v>8.4924866666666668E-2</v>
      </c>
      <c r="Q661">
        <v>1.1732166376415484E-2</v>
      </c>
      <c r="R661">
        <v>635568</v>
      </c>
      <c r="S661">
        <v>0</v>
      </c>
      <c r="T661">
        <v>0</v>
      </c>
      <c r="V661">
        <v>10800</v>
      </c>
      <c r="W661">
        <v>7</v>
      </c>
      <c r="X661">
        <v>85</v>
      </c>
      <c r="Y661">
        <v>3</v>
      </c>
      <c r="Z661">
        <v>4</v>
      </c>
      <c r="AA661">
        <v>5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3</v>
      </c>
      <c r="AJ661">
        <v>0</v>
      </c>
      <c r="AK661">
        <v>0</v>
      </c>
      <c r="AL661">
        <v>100</v>
      </c>
      <c r="AM661">
        <v>45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100</v>
      </c>
      <c r="AU661">
        <v>0</v>
      </c>
      <c r="AV661">
        <v>0</v>
      </c>
    </row>
    <row r="662" spans="1:48" x14ac:dyDescent="0.15">
      <c r="A662" s="4" t="str">
        <f>HYPERLINK("https://ibp.a2mac1.com/costing(costing:projects/details/9760/equipment/12212287)","DC machine - General")</f>
        <v>DC machine - General</v>
      </c>
      <c r="B662">
        <v>12212287</v>
      </c>
      <c r="C662">
        <v>12085192</v>
      </c>
      <c r="E662" t="s">
        <v>738</v>
      </c>
      <c r="H662" t="s">
        <v>162</v>
      </c>
      <c r="I662">
        <v>116914.84457142858</v>
      </c>
      <c r="J662">
        <v>0</v>
      </c>
      <c r="K662">
        <v>3.6</v>
      </c>
      <c r="L662">
        <v>0</v>
      </c>
      <c r="M662">
        <v>27.497982091197134</v>
      </c>
      <c r="N662">
        <v>0</v>
      </c>
      <c r="O662">
        <v>1.6727939105478258</v>
      </c>
      <c r="P662">
        <v>0.25133169999999999</v>
      </c>
      <c r="Q662">
        <v>1.1732166376415484E-2</v>
      </c>
      <c r="R662">
        <v>635568</v>
      </c>
      <c r="S662">
        <v>0</v>
      </c>
      <c r="T662">
        <v>0</v>
      </c>
      <c r="V662">
        <v>10800</v>
      </c>
      <c r="W662">
        <v>7</v>
      </c>
      <c r="X662">
        <v>85</v>
      </c>
      <c r="Y662">
        <v>3</v>
      </c>
      <c r="Z662">
        <v>4</v>
      </c>
      <c r="AA662">
        <v>5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3</v>
      </c>
      <c r="AJ662">
        <v>0</v>
      </c>
      <c r="AK662">
        <v>0</v>
      </c>
      <c r="AL662">
        <v>100</v>
      </c>
      <c r="AM662">
        <v>45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100</v>
      </c>
      <c r="AU662">
        <v>0</v>
      </c>
      <c r="AV662">
        <v>0</v>
      </c>
    </row>
    <row r="663" spans="1:48" x14ac:dyDescent="0.15">
      <c r="A663" s="4" t="str">
        <f>HYPERLINK("https://ibp.a2mac1.com/costing(costing:projects/details/9760/equipment/12212288)","DC machine - General")</f>
        <v>DC machine - General</v>
      </c>
      <c r="B663">
        <v>12212288</v>
      </c>
      <c r="C663">
        <v>12085193</v>
      </c>
      <c r="E663" t="s">
        <v>738</v>
      </c>
      <c r="H663" t="s">
        <v>162</v>
      </c>
      <c r="I663">
        <v>116914.84457142858</v>
      </c>
      <c r="J663">
        <v>0</v>
      </c>
      <c r="K663">
        <v>3.6</v>
      </c>
      <c r="L663">
        <v>0</v>
      </c>
      <c r="M663">
        <v>27.497982091197134</v>
      </c>
      <c r="N663">
        <v>0</v>
      </c>
      <c r="O663">
        <v>0.31317146270530072</v>
      </c>
      <c r="P663">
        <v>4.7052966666666668E-2</v>
      </c>
      <c r="Q663">
        <v>1.1732166376415484E-2</v>
      </c>
      <c r="R663">
        <v>635568</v>
      </c>
      <c r="S663">
        <v>0</v>
      </c>
      <c r="T663">
        <v>0</v>
      </c>
      <c r="V663">
        <v>10800</v>
      </c>
      <c r="W663">
        <v>7</v>
      </c>
      <c r="X663">
        <v>85</v>
      </c>
      <c r="Y663">
        <v>3</v>
      </c>
      <c r="Z663">
        <v>4</v>
      </c>
      <c r="AA663">
        <v>5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3</v>
      </c>
      <c r="AJ663">
        <v>0</v>
      </c>
      <c r="AK663">
        <v>0</v>
      </c>
      <c r="AL663">
        <v>100</v>
      </c>
      <c r="AM663">
        <v>45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100</v>
      </c>
      <c r="AU663">
        <v>0</v>
      </c>
      <c r="AV663">
        <v>0</v>
      </c>
    </row>
    <row r="664" spans="1:48" x14ac:dyDescent="0.15">
      <c r="A664" s="4" t="str">
        <f>HYPERLINK("https://ibp.a2mac1.com/costing(costing:projects/details/9760/equipment/12212289)","DC machine - General")</f>
        <v>DC machine - General</v>
      </c>
      <c r="B664">
        <v>12212289</v>
      </c>
      <c r="C664">
        <v>12085194</v>
      </c>
      <c r="E664" t="s">
        <v>738</v>
      </c>
      <c r="H664" t="s">
        <v>162</v>
      </c>
      <c r="I664">
        <v>116914.84457142858</v>
      </c>
      <c r="J664">
        <v>0</v>
      </c>
      <c r="K664">
        <v>3.6</v>
      </c>
      <c r="L664">
        <v>0</v>
      </c>
      <c r="M664">
        <v>27.497982091197134</v>
      </c>
      <c r="N664">
        <v>0</v>
      </c>
      <c r="O664">
        <v>0.71036453735592597</v>
      </c>
      <c r="P664">
        <v>0.1067299</v>
      </c>
      <c r="Q664">
        <v>1.1732166376415484E-2</v>
      </c>
      <c r="R664">
        <v>635568</v>
      </c>
      <c r="S664">
        <v>0</v>
      </c>
      <c r="T664">
        <v>0</v>
      </c>
      <c r="V664">
        <v>10800</v>
      </c>
      <c r="W664">
        <v>7</v>
      </c>
      <c r="X664">
        <v>85</v>
      </c>
      <c r="Y664">
        <v>3</v>
      </c>
      <c r="Z664">
        <v>4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3</v>
      </c>
      <c r="AJ664">
        <v>0</v>
      </c>
      <c r="AK664">
        <v>0</v>
      </c>
      <c r="AL664">
        <v>100</v>
      </c>
      <c r="AM664">
        <v>45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100</v>
      </c>
      <c r="AU664">
        <v>0</v>
      </c>
      <c r="AV664">
        <v>0</v>
      </c>
    </row>
    <row r="665" spans="1:48" x14ac:dyDescent="0.15">
      <c r="A665" s="4" t="str">
        <f>HYPERLINK("https://ibp.a2mac1.com/costing(costing:projects/details/9760/equipment/12212290)","DC machine - General")</f>
        <v>DC machine - General</v>
      </c>
      <c r="B665">
        <v>12212290</v>
      </c>
      <c r="C665">
        <v>12085195</v>
      </c>
      <c r="E665" t="s">
        <v>738</v>
      </c>
      <c r="H665" t="s">
        <v>162</v>
      </c>
      <c r="I665">
        <v>116914.84457142858</v>
      </c>
      <c r="J665">
        <v>0</v>
      </c>
      <c r="K665">
        <v>3.6</v>
      </c>
      <c r="L665">
        <v>0</v>
      </c>
      <c r="M665">
        <v>27.497982091197134</v>
      </c>
      <c r="N665">
        <v>0</v>
      </c>
      <c r="O665">
        <v>0.26734149255330547</v>
      </c>
      <c r="P665">
        <v>4.0167166666666664E-2</v>
      </c>
      <c r="Q665">
        <v>1.1732166376415484E-2</v>
      </c>
      <c r="R665">
        <v>635568</v>
      </c>
      <c r="S665">
        <v>0</v>
      </c>
      <c r="T665">
        <v>0</v>
      </c>
      <c r="V665">
        <v>10800</v>
      </c>
      <c r="W665">
        <v>7</v>
      </c>
      <c r="X665">
        <v>85</v>
      </c>
      <c r="Y665">
        <v>3</v>
      </c>
      <c r="Z665">
        <v>4</v>
      </c>
      <c r="AA665">
        <v>5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3</v>
      </c>
      <c r="AJ665">
        <v>0</v>
      </c>
      <c r="AK665">
        <v>0</v>
      </c>
      <c r="AL665">
        <v>100</v>
      </c>
      <c r="AM665">
        <v>45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100</v>
      </c>
      <c r="AU665">
        <v>0</v>
      </c>
      <c r="AV665">
        <v>0</v>
      </c>
    </row>
    <row r="666" spans="1:48" x14ac:dyDescent="0.15">
      <c r="A666" s="4" t="str">
        <f>HYPERLINK("https://ibp.a2mac1.com/costing(costing:projects/details/9760/equipment/12212291)","DC machine - General")</f>
        <v>DC machine - General</v>
      </c>
      <c r="B666">
        <v>12212291</v>
      </c>
      <c r="C666">
        <v>12085196</v>
      </c>
      <c r="E666" t="s">
        <v>738</v>
      </c>
      <c r="H666" t="s">
        <v>162</v>
      </c>
      <c r="I666">
        <v>116914.84457142858</v>
      </c>
      <c r="J666">
        <v>0</v>
      </c>
      <c r="K666">
        <v>3.6</v>
      </c>
      <c r="L666">
        <v>0</v>
      </c>
      <c r="M666">
        <v>27.497982091197134</v>
      </c>
      <c r="N666">
        <v>0</v>
      </c>
      <c r="O666">
        <v>0.10693659702132219</v>
      </c>
      <c r="P666">
        <v>1.6066866666666665E-2</v>
      </c>
      <c r="Q666">
        <v>1.1732166376415484E-2</v>
      </c>
      <c r="R666">
        <v>635568</v>
      </c>
      <c r="S666">
        <v>0</v>
      </c>
      <c r="T666">
        <v>0</v>
      </c>
      <c r="V666">
        <v>10800</v>
      </c>
      <c r="W666">
        <v>7</v>
      </c>
      <c r="X666">
        <v>85</v>
      </c>
      <c r="Y666">
        <v>3</v>
      </c>
      <c r="Z666">
        <v>4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3</v>
      </c>
      <c r="AJ666">
        <v>0</v>
      </c>
      <c r="AK666">
        <v>0</v>
      </c>
      <c r="AL666">
        <v>100</v>
      </c>
      <c r="AM666">
        <v>45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100</v>
      </c>
      <c r="AU666">
        <v>0</v>
      </c>
      <c r="AV666">
        <v>0</v>
      </c>
    </row>
    <row r="667" spans="1:48" x14ac:dyDescent="0.15">
      <c r="A667" s="4" t="str">
        <f>HYPERLINK("https://ibp.a2mac1.com/costing(costing:projects/details/9760/equipment/12212292)","DC machine - General")</f>
        <v>DC machine - General</v>
      </c>
      <c r="B667">
        <v>12212292</v>
      </c>
      <c r="C667">
        <v>12085197</v>
      </c>
      <c r="E667" t="s">
        <v>738</v>
      </c>
      <c r="H667" t="s">
        <v>162</v>
      </c>
      <c r="I667">
        <v>116914.84457142858</v>
      </c>
      <c r="J667">
        <v>0</v>
      </c>
      <c r="K667">
        <v>3.6</v>
      </c>
      <c r="L667">
        <v>0</v>
      </c>
      <c r="M667">
        <v>27.497982091197134</v>
      </c>
      <c r="N667">
        <v>0</v>
      </c>
      <c r="O667">
        <v>6.1106626869326969E-2</v>
      </c>
      <c r="P667">
        <v>9.1810666666666662E-3</v>
      </c>
      <c r="Q667">
        <v>1.1732166376415484E-2</v>
      </c>
      <c r="R667">
        <v>635568</v>
      </c>
      <c r="S667">
        <v>0</v>
      </c>
      <c r="T667">
        <v>0</v>
      </c>
      <c r="V667">
        <v>10800</v>
      </c>
      <c r="W667">
        <v>7</v>
      </c>
      <c r="X667">
        <v>85</v>
      </c>
      <c r="Y667">
        <v>3</v>
      </c>
      <c r="Z667">
        <v>4</v>
      </c>
      <c r="AA667">
        <v>5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3</v>
      </c>
      <c r="AJ667">
        <v>0</v>
      </c>
      <c r="AK667">
        <v>0</v>
      </c>
      <c r="AL667">
        <v>100</v>
      </c>
      <c r="AM667">
        <v>45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100</v>
      </c>
      <c r="AU667">
        <v>0</v>
      </c>
      <c r="AV667">
        <v>0</v>
      </c>
    </row>
    <row r="668" spans="1:48" x14ac:dyDescent="0.15">
      <c r="A668" s="4" t="str">
        <f>HYPERLINK("https://ibp.a2mac1.com/costing(costing:projects/details/9760/equipment/12212293)","DC machine - General")</f>
        <v>DC machine - General</v>
      </c>
      <c r="B668">
        <v>12212293</v>
      </c>
      <c r="C668">
        <v>12085198</v>
      </c>
      <c r="E668" t="s">
        <v>738</v>
      </c>
      <c r="H668" t="s">
        <v>162</v>
      </c>
      <c r="I668">
        <v>116914.84457142858</v>
      </c>
      <c r="J668">
        <v>0</v>
      </c>
      <c r="K668">
        <v>3.6</v>
      </c>
      <c r="L668">
        <v>0</v>
      </c>
      <c r="M668">
        <v>27.497982091197134</v>
      </c>
      <c r="N668">
        <v>0</v>
      </c>
      <c r="O668">
        <v>4.5829970151995227E-2</v>
      </c>
      <c r="P668">
        <v>6.8858000000000001E-3</v>
      </c>
      <c r="Q668">
        <v>1.1732166376415484E-2</v>
      </c>
      <c r="R668">
        <v>635568</v>
      </c>
      <c r="S668">
        <v>0</v>
      </c>
      <c r="T668">
        <v>0</v>
      </c>
      <c r="V668">
        <v>10800</v>
      </c>
      <c r="W668">
        <v>7</v>
      </c>
      <c r="X668">
        <v>85</v>
      </c>
      <c r="Y668">
        <v>3</v>
      </c>
      <c r="Z668">
        <v>4</v>
      </c>
      <c r="AA668">
        <v>5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3</v>
      </c>
      <c r="AJ668">
        <v>0</v>
      </c>
      <c r="AK668">
        <v>0</v>
      </c>
      <c r="AL668">
        <v>100</v>
      </c>
      <c r="AM668">
        <v>45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100</v>
      </c>
      <c r="AU668">
        <v>0</v>
      </c>
      <c r="AV668">
        <v>0</v>
      </c>
    </row>
    <row r="669" spans="1:48" x14ac:dyDescent="0.15">
      <c r="A669" s="4" t="str">
        <f>HYPERLINK("https://ibp.a2mac1.com/costing(costing:projects/details/9760/equipment/12212294)","DC machine - General")</f>
        <v>DC machine - General</v>
      </c>
      <c r="B669">
        <v>12212294</v>
      </c>
      <c r="C669">
        <v>12085199</v>
      </c>
      <c r="E669" t="s">
        <v>738</v>
      </c>
      <c r="H669" t="s">
        <v>162</v>
      </c>
      <c r="I669">
        <v>116914.84457142858</v>
      </c>
      <c r="J669">
        <v>0</v>
      </c>
      <c r="K669">
        <v>3.6</v>
      </c>
      <c r="L669">
        <v>0</v>
      </c>
      <c r="M669">
        <v>27.497982091197134</v>
      </c>
      <c r="N669">
        <v>0</v>
      </c>
      <c r="O669">
        <v>0.14512823881465153</v>
      </c>
      <c r="P669">
        <v>2.1805033333333335E-2</v>
      </c>
      <c r="Q669">
        <v>1.1732166376415484E-2</v>
      </c>
      <c r="R669">
        <v>635568</v>
      </c>
      <c r="S669">
        <v>0</v>
      </c>
      <c r="T669">
        <v>0</v>
      </c>
      <c r="V669">
        <v>10800</v>
      </c>
      <c r="W669">
        <v>7</v>
      </c>
      <c r="X669">
        <v>85</v>
      </c>
      <c r="Y669">
        <v>3</v>
      </c>
      <c r="Z669">
        <v>4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3</v>
      </c>
      <c r="AJ669">
        <v>0</v>
      </c>
      <c r="AK669">
        <v>0</v>
      </c>
      <c r="AL669">
        <v>100</v>
      </c>
      <c r="AM669">
        <v>45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100</v>
      </c>
      <c r="AU669">
        <v>0</v>
      </c>
      <c r="AV669">
        <v>0</v>
      </c>
    </row>
    <row r="670" spans="1:48" x14ac:dyDescent="0.15">
      <c r="A670" s="4" t="str">
        <f>HYPERLINK("https://ibp.a2mac1.com/costing(costing:projects/details/9760/equipment/12212295)","DC machine - General")</f>
        <v>DC machine - General</v>
      </c>
      <c r="B670">
        <v>12212295</v>
      </c>
      <c r="C670">
        <v>12085200</v>
      </c>
      <c r="E670" t="s">
        <v>738</v>
      </c>
      <c r="H670" t="s">
        <v>162</v>
      </c>
      <c r="I670">
        <v>116914.84457142858</v>
      </c>
      <c r="J670">
        <v>0</v>
      </c>
      <c r="K670">
        <v>3.6</v>
      </c>
      <c r="L670">
        <v>0</v>
      </c>
      <c r="M670">
        <v>27.497982091197134</v>
      </c>
      <c r="N670">
        <v>0</v>
      </c>
      <c r="O670">
        <v>7.6383283586658711E-3</v>
      </c>
      <c r="P670">
        <v>1.1476333333333333E-3</v>
      </c>
      <c r="Q670">
        <v>1.1732166376415484E-2</v>
      </c>
      <c r="R670">
        <v>635568</v>
      </c>
      <c r="S670">
        <v>0</v>
      </c>
      <c r="T670">
        <v>0</v>
      </c>
      <c r="V670">
        <v>10800</v>
      </c>
      <c r="W670">
        <v>7</v>
      </c>
      <c r="X670">
        <v>85</v>
      </c>
      <c r="Y670">
        <v>3</v>
      </c>
      <c r="Z670">
        <v>4</v>
      </c>
      <c r="AA670">
        <v>5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3</v>
      </c>
      <c r="AJ670">
        <v>0</v>
      </c>
      <c r="AK670">
        <v>0</v>
      </c>
      <c r="AL670">
        <v>100</v>
      </c>
      <c r="AM670">
        <v>45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100</v>
      </c>
      <c r="AU670">
        <v>0</v>
      </c>
      <c r="AV670">
        <v>0</v>
      </c>
    </row>
    <row r="671" spans="1:48" x14ac:dyDescent="0.15">
      <c r="A671" s="4" t="str">
        <f>HYPERLINK("https://ibp.a2mac1.com/costing(costing:projects/details/9760/equipment/12212296)","DC machine - General")</f>
        <v>DC machine - General</v>
      </c>
      <c r="B671">
        <v>12212296</v>
      </c>
      <c r="C671">
        <v>12085201</v>
      </c>
      <c r="E671" t="s">
        <v>738</v>
      </c>
      <c r="H671" t="s">
        <v>162</v>
      </c>
      <c r="I671">
        <v>116914.84457142858</v>
      </c>
      <c r="J671">
        <v>0</v>
      </c>
      <c r="K671">
        <v>3.6</v>
      </c>
      <c r="L671">
        <v>0</v>
      </c>
      <c r="M671">
        <v>27.497982091197134</v>
      </c>
      <c r="N671">
        <v>0</v>
      </c>
      <c r="O671">
        <v>1.5276656717331742E-2</v>
      </c>
      <c r="P671">
        <v>2.2952666666666665E-3</v>
      </c>
      <c r="Q671">
        <v>1.1732166376415484E-2</v>
      </c>
      <c r="R671">
        <v>635568</v>
      </c>
      <c r="S671">
        <v>0</v>
      </c>
      <c r="T671">
        <v>0</v>
      </c>
      <c r="V671">
        <v>10800</v>
      </c>
      <c r="W671">
        <v>7</v>
      </c>
      <c r="X671">
        <v>85</v>
      </c>
      <c r="Y671">
        <v>3</v>
      </c>
      <c r="Z671">
        <v>4</v>
      </c>
      <c r="AA671">
        <v>5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3</v>
      </c>
      <c r="AJ671">
        <v>0</v>
      </c>
      <c r="AK671">
        <v>0</v>
      </c>
      <c r="AL671">
        <v>100</v>
      </c>
      <c r="AM671">
        <v>45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100</v>
      </c>
      <c r="AU671">
        <v>0</v>
      </c>
      <c r="AV671">
        <v>0</v>
      </c>
    </row>
    <row r="672" spans="1:48" x14ac:dyDescent="0.15">
      <c r="A672" s="4" t="str">
        <f>HYPERLINK("https://ibp.a2mac1.com/costing(costing:projects/details/9760/equipment/12212645)","Dummy Machine (PCBA+Final Assembly Line)")</f>
        <v>Dummy Machine (PCBA+Final Assembly Line)</v>
      </c>
      <c r="B672">
        <v>12212645</v>
      </c>
      <c r="C672">
        <v>12085485</v>
      </c>
      <c r="F672" t="s">
        <v>358</v>
      </c>
      <c r="H672" t="s">
        <v>162</v>
      </c>
      <c r="I672">
        <v>79501.662769714283</v>
      </c>
      <c r="J672">
        <v>0</v>
      </c>
      <c r="K672">
        <v>0.28895999999999999</v>
      </c>
      <c r="L672">
        <v>0</v>
      </c>
      <c r="M672">
        <v>16.624578413647427</v>
      </c>
      <c r="N672">
        <v>0</v>
      </c>
      <c r="O672">
        <v>0.40979585789640904</v>
      </c>
      <c r="P672">
        <v>7.1288687399999995E-2</v>
      </c>
      <c r="Q672">
        <v>1.1481975848188456E-4</v>
      </c>
      <c r="R672">
        <v>442771.1</v>
      </c>
      <c r="S672">
        <v>0</v>
      </c>
      <c r="T672">
        <v>0</v>
      </c>
      <c r="V672">
        <v>216</v>
      </c>
      <c r="W672">
        <v>7</v>
      </c>
      <c r="X672">
        <v>85</v>
      </c>
      <c r="Y672">
        <v>3</v>
      </c>
      <c r="Z672">
        <v>4</v>
      </c>
      <c r="AA672">
        <v>5</v>
      </c>
      <c r="AB672">
        <v>0</v>
      </c>
      <c r="AC672">
        <v>0</v>
      </c>
      <c r="AD672">
        <v>0</v>
      </c>
      <c r="AE672">
        <v>0</v>
      </c>
      <c r="AF672">
        <v>0.7</v>
      </c>
      <c r="AG672">
        <v>0</v>
      </c>
      <c r="AH672">
        <v>0</v>
      </c>
      <c r="AI672">
        <v>0.2</v>
      </c>
      <c r="AJ672">
        <v>0</v>
      </c>
      <c r="AK672">
        <v>0</v>
      </c>
      <c r="AL672">
        <v>86</v>
      </c>
      <c r="AM672">
        <v>4.2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19.399999999999999</v>
      </c>
      <c r="AU672">
        <v>0</v>
      </c>
      <c r="AV672">
        <v>0</v>
      </c>
    </row>
    <row r="673" spans="1:48" x14ac:dyDescent="0.15">
      <c r="A673" s="4" t="str">
        <f>HYPERLINK("https://ibp.a2mac1.com/costing(costing:projects/details/9760/equipment/12212647)","Dummy Machine (PCBA+Final Assembly Line)")</f>
        <v>Dummy Machine (PCBA+Final Assembly Line)</v>
      </c>
      <c r="B673">
        <v>12212647</v>
      </c>
      <c r="C673">
        <v>12085487</v>
      </c>
      <c r="F673" t="s">
        <v>358</v>
      </c>
      <c r="H673" t="s">
        <v>162</v>
      </c>
      <c r="I673">
        <v>79501.662769714283</v>
      </c>
      <c r="J673">
        <v>0</v>
      </c>
      <c r="K673">
        <v>0.28895999999999999</v>
      </c>
      <c r="L673">
        <v>0</v>
      </c>
      <c r="M673">
        <v>16.624578413647427</v>
      </c>
      <c r="N673">
        <v>0</v>
      </c>
      <c r="O673">
        <v>1.51468381102121</v>
      </c>
      <c r="P673">
        <v>0.26349661333333335</v>
      </c>
      <c r="Q673">
        <v>1.1481975848188456E-4</v>
      </c>
      <c r="R673">
        <v>442771.1</v>
      </c>
      <c r="S673">
        <v>0</v>
      </c>
      <c r="T673">
        <v>0</v>
      </c>
      <c r="V673">
        <v>216</v>
      </c>
      <c r="W673">
        <v>7</v>
      </c>
      <c r="X673">
        <v>85</v>
      </c>
      <c r="Y673">
        <v>3</v>
      </c>
      <c r="Z673">
        <v>4</v>
      </c>
      <c r="AA673">
        <v>5</v>
      </c>
      <c r="AB673">
        <v>0</v>
      </c>
      <c r="AC673">
        <v>0</v>
      </c>
      <c r="AD673">
        <v>0</v>
      </c>
      <c r="AE673">
        <v>0</v>
      </c>
      <c r="AF673">
        <v>0.7</v>
      </c>
      <c r="AG673">
        <v>0</v>
      </c>
      <c r="AH673">
        <v>0</v>
      </c>
      <c r="AI673">
        <v>0.2</v>
      </c>
      <c r="AJ673">
        <v>0</v>
      </c>
      <c r="AK673">
        <v>0</v>
      </c>
      <c r="AL673">
        <v>86</v>
      </c>
      <c r="AM673">
        <v>4.2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19.399999999999999</v>
      </c>
      <c r="AU673">
        <v>0</v>
      </c>
      <c r="AV673">
        <v>0</v>
      </c>
    </row>
    <row r="674" spans="1:48" x14ac:dyDescent="0.15">
      <c r="A674" s="4" t="str">
        <f>HYPERLINK("https://ibp.a2mac1.com/costing(costing:projects/details/9760/equipment/12212633)","No.02 - T,TF 40/11 ")</f>
        <v xml:space="preserve">No.02 - T,TF 40/11 </v>
      </c>
      <c r="B674">
        <v>12212633</v>
      </c>
      <c r="C674">
        <v>12085473</v>
      </c>
      <c r="E674" t="s">
        <v>1630</v>
      </c>
      <c r="H674" t="s">
        <v>162</v>
      </c>
      <c r="I674">
        <v>10787.453600000001</v>
      </c>
      <c r="J674">
        <v>0</v>
      </c>
      <c r="K674">
        <v>2.3279999999999998</v>
      </c>
      <c r="L674">
        <v>0</v>
      </c>
      <c r="M674">
        <v>4.5840999035679841</v>
      </c>
      <c r="N674">
        <v>0</v>
      </c>
      <c r="O674">
        <v>2.4674172403171542E-2</v>
      </c>
      <c r="P674">
        <v>0</v>
      </c>
      <c r="Q674">
        <v>0</v>
      </c>
      <c r="R674">
        <v>65000</v>
      </c>
      <c r="S674">
        <v>0</v>
      </c>
      <c r="T674">
        <v>0</v>
      </c>
      <c r="V674">
        <v>0</v>
      </c>
      <c r="W674">
        <v>8</v>
      </c>
      <c r="X674">
        <v>85</v>
      </c>
      <c r="Y674">
        <v>3</v>
      </c>
      <c r="Z674">
        <v>4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97</v>
      </c>
      <c r="AM674">
        <v>30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10</v>
      </c>
      <c r="AU674">
        <v>0</v>
      </c>
      <c r="AV674">
        <v>0</v>
      </c>
    </row>
    <row r="675" spans="1:48" x14ac:dyDescent="0.15">
      <c r="A675" s="4" t="str">
        <f>HYPERLINK("https://ibp.a2mac1.com/costing(costing:projects/details/9760/equipment/12212634)","No.01 - Buhler ladel Model 4,5L ")</f>
        <v xml:space="preserve">No.01 - Buhler ladel Model 4,5L </v>
      </c>
      <c r="B675">
        <v>12212634</v>
      </c>
      <c r="C675">
        <v>12085474</v>
      </c>
      <c r="E675" t="s">
        <v>1630</v>
      </c>
      <c r="H675" t="s">
        <v>162</v>
      </c>
      <c r="I675">
        <v>4348.7082399999999</v>
      </c>
      <c r="J675">
        <v>0</v>
      </c>
      <c r="K675">
        <v>0.98399999999999999</v>
      </c>
      <c r="L675">
        <v>0</v>
      </c>
      <c r="M675">
        <v>1.8838245323047251</v>
      </c>
      <c r="N675">
        <v>0</v>
      </c>
      <c r="O675">
        <v>1.0139790202048644E-2</v>
      </c>
      <c r="P675">
        <v>0</v>
      </c>
      <c r="Q675">
        <v>2.8257367984570879E-5</v>
      </c>
      <c r="R675">
        <v>25000</v>
      </c>
      <c r="S675">
        <v>0</v>
      </c>
      <c r="T675">
        <v>0</v>
      </c>
      <c r="V675">
        <v>900</v>
      </c>
      <c r="W675">
        <v>8</v>
      </c>
      <c r="X675">
        <v>85</v>
      </c>
      <c r="Y675">
        <v>3</v>
      </c>
      <c r="Z675">
        <v>4</v>
      </c>
      <c r="AA675">
        <v>5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98</v>
      </c>
      <c r="AM675">
        <v>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9</v>
      </c>
      <c r="AU675">
        <v>0.2</v>
      </c>
      <c r="AV675">
        <v>0</v>
      </c>
    </row>
    <row r="676" spans="1:48" x14ac:dyDescent="0.15">
      <c r="A676" s="4" t="str">
        <f>HYPERLINK("https://ibp.a2mac1.com/costing(costing:projects/details/9760/equipment/12212635)","No.01 - Idra - OL 420 S ")</f>
        <v xml:space="preserve">No.01 - Idra - OL 420 S </v>
      </c>
      <c r="B676">
        <v>12212635</v>
      </c>
      <c r="C676">
        <v>12085475</v>
      </c>
      <c r="E676" t="s">
        <v>1630</v>
      </c>
      <c r="H676" t="s">
        <v>162</v>
      </c>
      <c r="I676">
        <v>55937.267999999996</v>
      </c>
      <c r="J676">
        <v>0</v>
      </c>
      <c r="K676">
        <v>3.5209988000000001</v>
      </c>
      <c r="L676">
        <v>0</v>
      </c>
      <c r="M676">
        <v>15.725638465702346</v>
      </c>
      <c r="N676">
        <v>0</v>
      </c>
      <c r="O676">
        <v>8.4644122688224313E-2</v>
      </c>
      <c r="P676">
        <v>7.3385138067999997E-3</v>
      </c>
      <c r="Q676">
        <v>4.9015342158842817E-3</v>
      </c>
      <c r="R676">
        <v>400000</v>
      </c>
      <c r="S676">
        <v>0</v>
      </c>
      <c r="T676">
        <v>0</v>
      </c>
      <c r="V676">
        <v>7200</v>
      </c>
      <c r="W676">
        <v>10</v>
      </c>
      <c r="X676">
        <v>85</v>
      </c>
      <c r="Y676">
        <v>3</v>
      </c>
      <c r="Z676">
        <v>4</v>
      </c>
      <c r="AA676">
        <v>5</v>
      </c>
      <c r="AB676">
        <v>0</v>
      </c>
      <c r="AC676">
        <v>0</v>
      </c>
      <c r="AD676">
        <v>0</v>
      </c>
      <c r="AE676">
        <v>0</v>
      </c>
      <c r="AF676">
        <v>0.33</v>
      </c>
      <c r="AG676">
        <v>0</v>
      </c>
      <c r="AH676">
        <v>0</v>
      </c>
      <c r="AI676">
        <v>2</v>
      </c>
      <c r="AJ676">
        <v>0</v>
      </c>
      <c r="AK676">
        <v>0</v>
      </c>
      <c r="AL676">
        <v>93</v>
      </c>
      <c r="AM676">
        <v>45</v>
      </c>
      <c r="AN676">
        <v>0</v>
      </c>
      <c r="AO676">
        <v>0</v>
      </c>
      <c r="AP676">
        <v>0</v>
      </c>
      <c r="AQ676">
        <v>6</v>
      </c>
      <c r="AR676">
        <v>0</v>
      </c>
      <c r="AS676">
        <v>0.01</v>
      </c>
      <c r="AT676">
        <v>50</v>
      </c>
      <c r="AU676">
        <v>0</v>
      </c>
      <c r="AV676">
        <v>0</v>
      </c>
    </row>
    <row r="677" spans="1:48" x14ac:dyDescent="0.15">
      <c r="A677" s="4" t="str">
        <f>HYPERLINK("https://ibp.a2mac1.com/costing(costing:projects/details/9760/equipment/12212636)","No.02 - Injection Press - 60T - 25kW - 320x320 - Max Volume 164cm3 ")</f>
        <v xml:space="preserve">No.02 - Injection Press - 60T - 25kW - 320x320 - Max Volume 164cm3 </v>
      </c>
      <c r="B677">
        <v>12212636</v>
      </c>
      <c r="C677">
        <v>12085476</v>
      </c>
      <c r="E677" t="s">
        <v>1630</v>
      </c>
      <c r="H677" t="s">
        <v>162</v>
      </c>
      <c r="I677">
        <v>16929.888640000001</v>
      </c>
      <c r="J677">
        <v>0</v>
      </c>
      <c r="K677">
        <v>1.9124000000000001</v>
      </c>
      <c r="L677">
        <v>0</v>
      </c>
      <c r="M677">
        <v>5.4369722661523623</v>
      </c>
      <c r="N677">
        <v>0</v>
      </c>
      <c r="O677">
        <v>3.2530326333134685E-2</v>
      </c>
      <c r="P677">
        <v>6.1798362240833337E-3</v>
      </c>
      <c r="Q677">
        <v>3.6668942719382835E-3</v>
      </c>
      <c r="R677">
        <v>100000</v>
      </c>
      <c r="S677">
        <v>0</v>
      </c>
      <c r="T677">
        <v>0</v>
      </c>
      <c r="V677">
        <v>7200</v>
      </c>
      <c r="W677">
        <v>8</v>
      </c>
      <c r="X677">
        <v>85</v>
      </c>
      <c r="Y677">
        <v>3</v>
      </c>
      <c r="Z677">
        <v>4</v>
      </c>
      <c r="AA677">
        <v>5</v>
      </c>
      <c r="AB677">
        <v>0</v>
      </c>
      <c r="AC677">
        <v>0</v>
      </c>
      <c r="AD677">
        <v>0</v>
      </c>
      <c r="AE677">
        <v>0</v>
      </c>
      <c r="AF677">
        <v>0.25</v>
      </c>
      <c r="AG677">
        <v>0</v>
      </c>
      <c r="AH677">
        <v>0</v>
      </c>
      <c r="AI677">
        <v>2</v>
      </c>
      <c r="AJ677">
        <v>0</v>
      </c>
      <c r="AK677">
        <v>0</v>
      </c>
      <c r="AL677">
        <v>97</v>
      </c>
      <c r="AM677">
        <v>24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24</v>
      </c>
      <c r="AU677">
        <v>0.05</v>
      </c>
      <c r="AV677">
        <v>0</v>
      </c>
    </row>
    <row r="678" spans="1:48" x14ac:dyDescent="0.15">
      <c r="A678" s="4" t="str">
        <f>HYPERLINK("https://ibp.a2mac1.com/costing(costing:projects/details/9760/equipment/12212637)","Equipment (Injection Molding)")</f>
        <v>Equipment (Injection Molding)</v>
      </c>
      <c r="B678">
        <v>12212637</v>
      </c>
      <c r="C678">
        <v>12085477</v>
      </c>
      <c r="H678" t="s">
        <v>162</v>
      </c>
      <c r="I678">
        <v>4216.4721600000003</v>
      </c>
      <c r="J678">
        <v>0</v>
      </c>
      <c r="K678">
        <v>0.1792</v>
      </c>
      <c r="L678">
        <v>0</v>
      </c>
      <c r="M678">
        <v>1.0368779427836707</v>
      </c>
      <c r="N678">
        <v>0</v>
      </c>
      <c r="O678">
        <v>1.7281299046394513E-2</v>
      </c>
      <c r="P678">
        <v>1.101728E-3</v>
      </c>
      <c r="Q678">
        <v>9.4166488594021219E-5</v>
      </c>
      <c r="R678">
        <v>22400</v>
      </c>
      <c r="S678">
        <v>0</v>
      </c>
      <c r="T678">
        <v>0</v>
      </c>
      <c r="V678">
        <v>216</v>
      </c>
      <c r="W678">
        <v>7</v>
      </c>
      <c r="X678">
        <v>85</v>
      </c>
      <c r="Y678">
        <v>3</v>
      </c>
      <c r="Z678">
        <v>4</v>
      </c>
      <c r="AA678">
        <v>5</v>
      </c>
      <c r="AB678">
        <v>0</v>
      </c>
      <c r="AC678">
        <v>0</v>
      </c>
      <c r="AD678">
        <v>0</v>
      </c>
      <c r="AE678">
        <v>0</v>
      </c>
      <c r="AF678">
        <v>1.6E-2</v>
      </c>
      <c r="AG678">
        <v>0</v>
      </c>
      <c r="AH678">
        <v>0</v>
      </c>
      <c r="AI678">
        <v>2</v>
      </c>
      <c r="AJ678">
        <v>0</v>
      </c>
      <c r="AK678">
        <v>0</v>
      </c>
      <c r="AL678">
        <v>80</v>
      </c>
      <c r="AM678">
        <v>2.8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6</v>
      </c>
      <c r="AU678">
        <v>0</v>
      </c>
      <c r="AV678">
        <v>0</v>
      </c>
    </row>
    <row r="679" spans="1:48" x14ac:dyDescent="0.15">
      <c r="A679" s="4" t="str">
        <f>HYPERLINK("https://ibp.a2mac1.com/costing(costing:projects/details/9760/equipment/12212638)","No.04 - 60000x6000x3500 - Automatic Painting Line - with 12x100kW on line ovens ")</f>
        <v xml:space="preserve">No.04 - 60000x6000x3500 - Automatic Painting Line - with 12x100kW on line ovens </v>
      </c>
      <c r="B679">
        <v>12212638</v>
      </c>
      <c r="C679">
        <v>12085478</v>
      </c>
      <c r="E679" t="s">
        <v>1630</v>
      </c>
      <c r="G679" t="s">
        <v>5227</v>
      </c>
      <c r="H679" t="s">
        <v>162</v>
      </c>
      <c r="I679">
        <v>1438767.4831999999</v>
      </c>
      <c r="J679">
        <v>0</v>
      </c>
      <c r="K679">
        <v>279.76751999999999</v>
      </c>
      <c r="L679">
        <v>0</v>
      </c>
      <c r="M679">
        <v>580.11587795564128</v>
      </c>
      <c r="N679">
        <v>0</v>
      </c>
      <c r="O679">
        <v>0.45120123840994319</v>
      </c>
      <c r="P679">
        <v>2.2493613333333332E-2</v>
      </c>
      <c r="Q679">
        <v>0</v>
      </c>
      <c r="R679">
        <v>8600000</v>
      </c>
      <c r="S679">
        <v>0</v>
      </c>
      <c r="T679">
        <v>0</v>
      </c>
      <c r="V679">
        <v>0</v>
      </c>
      <c r="W679">
        <v>8</v>
      </c>
      <c r="X679">
        <v>85</v>
      </c>
      <c r="Y679">
        <v>3</v>
      </c>
      <c r="Z679">
        <v>4</v>
      </c>
      <c r="AA679">
        <v>5</v>
      </c>
      <c r="AB679">
        <v>0</v>
      </c>
      <c r="AC679">
        <v>0</v>
      </c>
      <c r="AD679">
        <v>0</v>
      </c>
      <c r="AE679">
        <v>0</v>
      </c>
      <c r="AF679">
        <v>7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100</v>
      </c>
      <c r="AM679">
        <v>3400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4</v>
      </c>
      <c r="AT679">
        <v>1620</v>
      </c>
      <c r="AU679">
        <v>5</v>
      </c>
      <c r="AV679">
        <v>0</v>
      </c>
    </row>
    <row r="680" spans="1:48" x14ac:dyDescent="0.15">
      <c r="A680" s="4" t="str">
        <f>HYPERLINK("https://ibp.a2mac1.com/costing(costing:projects/details/9760/equipment/12212639)","Equipment (Injection Molding)")</f>
        <v>Equipment (Injection Molding)</v>
      </c>
      <c r="B680">
        <v>12212639</v>
      </c>
      <c r="C680">
        <v>12085479</v>
      </c>
      <c r="H680" t="s">
        <v>162</v>
      </c>
      <c r="I680">
        <v>2635.2950999999998</v>
      </c>
      <c r="J680">
        <v>0</v>
      </c>
      <c r="K680">
        <v>0.112</v>
      </c>
      <c r="L680">
        <v>0</v>
      </c>
      <c r="M680">
        <v>0.64804871423979427</v>
      </c>
      <c r="N680">
        <v>0</v>
      </c>
      <c r="O680">
        <v>1.0800811903996571E-2</v>
      </c>
      <c r="P680">
        <v>6.8858000000000005E-4</v>
      </c>
      <c r="Q680">
        <v>5.7979189607039537E-5</v>
      </c>
      <c r="R680">
        <v>14000</v>
      </c>
      <c r="S680">
        <v>0</v>
      </c>
      <c r="T680">
        <v>0</v>
      </c>
      <c r="V680">
        <v>135</v>
      </c>
      <c r="W680">
        <v>7</v>
      </c>
      <c r="X680">
        <v>85</v>
      </c>
      <c r="Y680">
        <v>3</v>
      </c>
      <c r="Z680">
        <v>4</v>
      </c>
      <c r="AA680">
        <v>5</v>
      </c>
      <c r="AB680">
        <v>0</v>
      </c>
      <c r="AC680">
        <v>0</v>
      </c>
      <c r="AD680">
        <v>0</v>
      </c>
      <c r="AE680">
        <v>0</v>
      </c>
      <c r="AF680">
        <v>0.01</v>
      </c>
      <c r="AG680">
        <v>0</v>
      </c>
      <c r="AH680">
        <v>0</v>
      </c>
      <c r="AI680">
        <v>2</v>
      </c>
      <c r="AJ680">
        <v>0</v>
      </c>
      <c r="AK680">
        <v>0</v>
      </c>
      <c r="AL680">
        <v>80</v>
      </c>
      <c r="AM680">
        <v>1.75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3.75</v>
      </c>
      <c r="AU680">
        <v>0</v>
      </c>
      <c r="AV680">
        <v>0</v>
      </c>
    </row>
    <row r="681" spans="1:48" x14ac:dyDescent="0.15">
      <c r="A681" s="4" t="str">
        <f>HYPERLINK("https://ibp.a2mac1.com/costing(costing:projects/details/9760/equipment/12212640)","Equipment (Injection Molding)")</f>
        <v>Equipment (Injection Molding)</v>
      </c>
      <c r="B681">
        <v>12212640</v>
      </c>
      <c r="C681">
        <v>12085480</v>
      </c>
      <c r="H681" t="s">
        <v>162</v>
      </c>
      <c r="I681">
        <v>2635.2950999999998</v>
      </c>
      <c r="J681">
        <v>0</v>
      </c>
      <c r="K681">
        <v>0.112</v>
      </c>
      <c r="L681">
        <v>0</v>
      </c>
      <c r="M681">
        <v>0.64804871423979427</v>
      </c>
      <c r="N681">
        <v>0</v>
      </c>
      <c r="O681">
        <v>1.0800811903996571E-2</v>
      </c>
      <c r="P681">
        <v>6.8858000000000005E-4</v>
      </c>
      <c r="Q681">
        <v>5.7979189607039537E-5</v>
      </c>
      <c r="R681">
        <v>14000</v>
      </c>
      <c r="S681">
        <v>0</v>
      </c>
      <c r="T681">
        <v>0</v>
      </c>
      <c r="V681">
        <v>135</v>
      </c>
      <c r="W681">
        <v>7</v>
      </c>
      <c r="X681">
        <v>85</v>
      </c>
      <c r="Y681">
        <v>3</v>
      </c>
      <c r="Z681">
        <v>4</v>
      </c>
      <c r="AA681">
        <v>5</v>
      </c>
      <c r="AB681">
        <v>0</v>
      </c>
      <c r="AC681">
        <v>0</v>
      </c>
      <c r="AD681">
        <v>0</v>
      </c>
      <c r="AE681">
        <v>0</v>
      </c>
      <c r="AF681">
        <v>0.01</v>
      </c>
      <c r="AG681">
        <v>0</v>
      </c>
      <c r="AH681">
        <v>0</v>
      </c>
      <c r="AI681">
        <v>2</v>
      </c>
      <c r="AJ681">
        <v>0</v>
      </c>
      <c r="AK681">
        <v>0</v>
      </c>
      <c r="AL681">
        <v>80</v>
      </c>
      <c r="AM681">
        <v>1.75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3.75</v>
      </c>
      <c r="AU681">
        <v>0</v>
      </c>
      <c r="AV681">
        <v>0</v>
      </c>
    </row>
    <row r="682" spans="1:48" x14ac:dyDescent="0.15">
      <c r="A682" s="4" t="str">
        <f>HYPERLINK("https://ibp.a2mac1.com/costing(costing:projects/details/9760/equipment/12212641)","Equipment (Injection Molding)")</f>
        <v>Equipment (Injection Molding)</v>
      </c>
      <c r="B682">
        <v>12212641</v>
      </c>
      <c r="C682">
        <v>12085481</v>
      </c>
      <c r="H682" t="s">
        <v>162</v>
      </c>
      <c r="I682">
        <v>342.58836300000002</v>
      </c>
      <c r="J682">
        <v>0</v>
      </c>
      <c r="K682">
        <v>1.456E-2</v>
      </c>
      <c r="L682">
        <v>0</v>
      </c>
      <c r="M682">
        <v>8.424633285117325E-2</v>
      </c>
      <c r="N682">
        <v>0</v>
      </c>
      <c r="O682">
        <v>1.4041055475195543E-3</v>
      </c>
      <c r="P682">
        <v>8.95154E-5</v>
      </c>
      <c r="Q682">
        <v>7.3723824523589685E-6</v>
      </c>
      <c r="R682">
        <v>1820</v>
      </c>
      <c r="S682">
        <v>0</v>
      </c>
      <c r="T682">
        <v>0</v>
      </c>
      <c r="V682">
        <v>17.55</v>
      </c>
      <c r="W682">
        <v>7</v>
      </c>
      <c r="X682">
        <v>85</v>
      </c>
      <c r="Y682">
        <v>3</v>
      </c>
      <c r="Z682">
        <v>4</v>
      </c>
      <c r="AA682">
        <v>5</v>
      </c>
      <c r="AB682">
        <v>0</v>
      </c>
      <c r="AC682">
        <v>0</v>
      </c>
      <c r="AD682">
        <v>0</v>
      </c>
      <c r="AE682">
        <v>0</v>
      </c>
      <c r="AF682">
        <v>1.2999999999999999E-3</v>
      </c>
      <c r="AG682">
        <v>0</v>
      </c>
      <c r="AH682">
        <v>0</v>
      </c>
      <c r="AI682">
        <v>2</v>
      </c>
      <c r="AJ682">
        <v>0</v>
      </c>
      <c r="AK682">
        <v>0</v>
      </c>
      <c r="AL682">
        <v>80</v>
      </c>
      <c r="AM682">
        <v>0.22750000000000001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0.48749999999999999</v>
      </c>
      <c r="AU682">
        <v>0</v>
      </c>
      <c r="AV682">
        <v>0</v>
      </c>
    </row>
    <row r="683" spans="1:48" x14ac:dyDescent="0.15">
      <c r="A683" s="4" t="str">
        <f>HYPERLINK("https://ibp.a2mac1.com/costing(costing:projects/details/9760/equipment/12212642)","Equipment (Injection Molding)")</f>
        <v>Equipment (Injection Molding)</v>
      </c>
      <c r="B683">
        <v>12212642</v>
      </c>
      <c r="C683">
        <v>12085482</v>
      </c>
      <c r="H683" t="s">
        <v>162</v>
      </c>
      <c r="I683">
        <v>210.82360800000001</v>
      </c>
      <c r="J683">
        <v>0</v>
      </c>
      <c r="K683">
        <v>8.9599999999999992E-3</v>
      </c>
      <c r="L683">
        <v>0</v>
      </c>
      <c r="M683">
        <v>5.184389713918354E-2</v>
      </c>
      <c r="N683">
        <v>0</v>
      </c>
      <c r="O683">
        <v>8.6406495231972568E-4</v>
      </c>
      <c r="P683">
        <v>5.5086400000000002E-5</v>
      </c>
      <c r="Q683">
        <v>4.5310183014850531E-6</v>
      </c>
      <c r="R683">
        <v>1120</v>
      </c>
      <c r="S683">
        <v>0</v>
      </c>
      <c r="T683">
        <v>0</v>
      </c>
      <c r="V683">
        <v>10.8</v>
      </c>
      <c r="W683">
        <v>7</v>
      </c>
      <c r="X683">
        <v>85</v>
      </c>
      <c r="Y683">
        <v>3</v>
      </c>
      <c r="Z683">
        <v>4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8.0000000000000004E-4</v>
      </c>
      <c r="AG683">
        <v>0</v>
      </c>
      <c r="AH683">
        <v>0</v>
      </c>
      <c r="AI683">
        <v>2</v>
      </c>
      <c r="AJ683">
        <v>0</v>
      </c>
      <c r="AK683">
        <v>0</v>
      </c>
      <c r="AL683">
        <v>80</v>
      </c>
      <c r="AM683">
        <v>0.14000000000000001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0.3</v>
      </c>
      <c r="AU683">
        <v>0</v>
      </c>
      <c r="AV683">
        <v>0</v>
      </c>
    </row>
    <row r="684" spans="1:48" x14ac:dyDescent="0.15">
      <c r="A684" s="4" t="str">
        <f>HYPERLINK("https://ibp.a2mac1.com/costing(costing:projects/details/9760/equipment/12212643)","Equipment (Injection Molding)")</f>
        <v>Equipment (Injection Molding)</v>
      </c>
      <c r="B684">
        <v>12212643</v>
      </c>
      <c r="C684">
        <v>12085483</v>
      </c>
      <c r="H684" t="s">
        <v>162</v>
      </c>
      <c r="I684">
        <v>263.52951000000002</v>
      </c>
      <c r="J684">
        <v>0</v>
      </c>
      <c r="K684">
        <v>1.12E-2</v>
      </c>
      <c r="L684">
        <v>0</v>
      </c>
      <c r="M684">
        <v>6.4804871423979421E-2</v>
      </c>
      <c r="N684">
        <v>0</v>
      </c>
      <c r="O684">
        <v>1.0800811903996571E-3</v>
      </c>
      <c r="P684">
        <v>6.8857999999999997E-5</v>
      </c>
      <c r="Q684">
        <v>5.6666890960703958E-6</v>
      </c>
      <c r="R684">
        <v>1400</v>
      </c>
      <c r="S684">
        <v>0</v>
      </c>
      <c r="T684">
        <v>0</v>
      </c>
      <c r="V684">
        <v>13.5</v>
      </c>
      <c r="W684">
        <v>7</v>
      </c>
      <c r="X684">
        <v>85</v>
      </c>
      <c r="Y684">
        <v>3</v>
      </c>
      <c r="Z684">
        <v>4</v>
      </c>
      <c r="AA684">
        <v>5</v>
      </c>
      <c r="AB684">
        <v>0</v>
      </c>
      <c r="AC684">
        <v>0</v>
      </c>
      <c r="AD684">
        <v>0</v>
      </c>
      <c r="AE684">
        <v>0</v>
      </c>
      <c r="AF684">
        <v>1E-3</v>
      </c>
      <c r="AG684">
        <v>0</v>
      </c>
      <c r="AH684">
        <v>0</v>
      </c>
      <c r="AI684">
        <v>2</v>
      </c>
      <c r="AJ684">
        <v>0</v>
      </c>
      <c r="AK684">
        <v>0</v>
      </c>
      <c r="AL684">
        <v>80</v>
      </c>
      <c r="AM684">
        <v>0.17499999999999999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0.375</v>
      </c>
      <c r="AU684">
        <v>0</v>
      </c>
      <c r="AV684">
        <v>0</v>
      </c>
    </row>
    <row r="685" spans="1:48" x14ac:dyDescent="0.15">
      <c r="A685" s="4" t="str">
        <f>HYPERLINK("https://ibp.a2mac1.com/costing(costing:projects/details/9760/equipment/12212644)","Equipment (Injection Molding)")</f>
        <v>Equipment (Injection Molding)</v>
      </c>
      <c r="B685">
        <v>12212644</v>
      </c>
      <c r="C685">
        <v>12085484</v>
      </c>
      <c r="H685" t="s">
        <v>162</v>
      </c>
      <c r="I685">
        <v>448.00016699999998</v>
      </c>
      <c r="J685">
        <v>0</v>
      </c>
      <c r="K685">
        <v>1.9040000000000001E-2</v>
      </c>
      <c r="L685">
        <v>0</v>
      </c>
      <c r="M685">
        <v>0.11016828142076503</v>
      </c>
      <c r="N685">
        <v>0</v>
      </c>
      <c r="O685">
        <v>1.8361380236794171E-3</v>
      </c>
      <c r="P685">
        <v>1.170586E-4</v>
      </c>
      <c r="Q685">
        <v>9.6507229676434433E-6</v>
      </c>
      <c r="R685">
        <v>2380</v>
      </c>
      <c r="S685">
        <v>0</v>
      </c>
      <c r="T685">
        <v>0</v>
      </c>
      <c r="V685">
        <v>22.95</v>
      </c>
      <c r="W685">
        <v>7</v>
      </c>
      <c r="X685">
        <v>85</v>
      </c>
      <c r="Y685">
        <v>3</v>
      </c>
      <c r="Z685">
        <v>4</v>
      </c>
      <c r="AA685">
        <v>5</v>
      </c>
      <c r="AB685">
        <v>0</v>
      </c>
      <c r="AC685">
        <v>0</v>
      </c>
      <c r="AD685">
        <v>0</v>
      </c>
      <c r="AE685">
        <v>0</v>
      </c>
      <c r="AF685">
        <v>1.6999999999999999E-3</v>
      </c>
      <c r="AG685">
        <v>0</v>
      </c>
      <c r="AH685">
        <v>0</v>
      </c>
      <c r="AI685">
        <v>2</v>
      </c>
      <c r="AJ685">
        <v>0</v>
      </c>
      <c r="AK685">
        <v>0</v>
      </c>
      <c r="AL685">
        <v>80</v>
      </c>
      <c r="AM685">
        <v>0.29749999999999999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0.63749999999999996</v>
      </c>
      <c r="AU685">
        <v>0</v>
      </c>
      <c r="AV685">
        <v>0</v>
      </c>
    </row>
    <row r="686" spans="1:48" x14ac:dyDescent="0.15">
      <c r="A686" s="4" t="str">
        <f>HYPERLINK("https://ibp.a2mac1.com/costing(costing:projects/details/9760/equipment/12212646)","Equipment (Injection Molding)")</f>
        <v>Equipment (Injection Molding)</v>
      </c>
      <c r="B686">
        <v>12212646</v>
      </c>
      <c r="C686">
        <v>12085486</v>
      </c>
      <c r="H686" t="s">
        <v>162</v>
      </c>
      <c r="I686">
        <v>1739.294766</v>
      </c>
      <c r="J686">
        <v>0</v>
      </c>
      <c r="K686">
        <v>7.392E-2</v>
      </c>
      <c r="L686">
        <v>0</v>
      </c>
      <c r="M686">
        <v>0.42771215139826424</v>
      </c>
      <c r="N686">
        <v>0</v>
      </c>
      <c r="O686">
        <v>7.1285358566377374E-3</v>
      </c>
      <c r="P686">
        <v>4.5446279999999999E-4</v>
      </c>
      <c r="Q686">
        <v>3.7939065344826423E-5</v>
      </c>
      <c r="R686">
        <v>9240</v>
      </c>
      <c r="S686">
        <v>0</v>
      </c>
      <c r="T686">
        <v>0</v>
      </c>
      <c r="V686">
        <v>89.1</v>
      </c>
      <c r="W686">
        <v>7</v>
      </c>
      <c r="X686">
        <v>85</v>
      </c>
      <c r="Y686">
        <v>3</v>
      </c>
      <c r="Z686">
        <v>4</v>
      </c>
      <c r="AA686">
        <v>5</v>
      </c>
      <c r="AB686">
        <v>0</v>
      </c>
      <c r="AC686">
        <v>0</v>
      </c>
      <c r="AD686">
        <v>0</v>
      </c>
      <c r="AE686">
        <v>0</v>
      </c>
      <c r="AF686">
        <v>6.6E-3</v>
      </c>
      <c r="AG686">
        <v>0</v>
      </c>
      <c r="AH686">
        <v>0</v>
      </c>
      <c r="AI686">
        <v>2</v>
      </c>
      <c r="AJ686">
        <v>0</v>
      </c>
      <c r="AK686">
        <v>0</v>
      </c>
      <c r="AL686">
        <v>80</v>
      </c>
      <c r="AM686">
        <v>1.155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2.4750000000000001</v>
      </c>
      <c r="AU686">
        <v>0</v>
      </c>
      <c r="AV686">
        <v>0</v>
      </c>
    </row>
    <row r="687" spans="1:48" x14ac:dyDescent="0.15">
      <c r="A687" s="4" t="str">
        <f>HYPERLINK("https://ibp.a2mac1.com/costing(costing:projects/details/9760/equipment/12212648)","Equipment (Injection Molding)")</f>
        <v>Equipment (Injection Molding)</v>
      </c>
      <c r="B687">
        <v>12212648</v>
      </c>
      <c r="C687">
        <v>12085488</v>
      </c>
      <c r="H687" t="s">
        <v>162</v>
      </c>
      <c r="I687">
        <v>316.235412</v>
      </c>
      <c r="J687">
        <v>0</v>
      </c>
      <c r="K687">
        <v>1.3440000000000001E-2</v>
      </c>
      <c r="L687">
        <v>0</v>
      </c>
      <c r="M687">
        <v>7.7765845708775316E-2</v>
      </c>
      <c r="N687">
        <v>0</v>
      </c>
      <c r="O687">
        <v>1.2960974284795886E-3</v>
      </c>
      <c r="P687">
        <v>8.2629599999999999E-5</v>
      </c>
      <c r="Q687">
        <v>6.8035263783413695E-6</v>
      </c>
      <c r="R687">
        <v>1680</v>
      </c>
      <c r="S687">
        <v>0</v>
      </c>
      <c r="T687">
        <v>0</v>
      </c>
      <c r="V687">
        <v>16.2</v>
      </c>
      <c r="W687">
        <v>7</v>
      </c>
      <c r="X687">
        <v>85</v>
      </c>
      <c r="Y687">
        <v>3</v>
      </c>
      <c r="Z687">
        <v>4</v>
      </c>
      <c r="AA687">
        <v>5</v>
      </c>
      <c r="AB687">
        <v>0</v>
      </c>
      <c r="AC687">
        <v>0</v>
      </c>
      <c r="AD687">
        <v>0</v>
      </c>
      <c r="AE687">
        <v>0</v>
      </c>
      <c r="AF687">
        <v>1.1999999999999999E-3</v>
      </c>
      <c r="AG687">
        <v>0</v>
      </c>
      <c r="AH687">
        <v>0</v>
      </c>
      <c r="AI687">
        <v>2</v>
      </c>
      <c r="AJ687">
        <v>0</v>
      </c>
      <c r="AK687">
        <v>0</v>
      </c>
      <c r="AL687">
        <v>80</v>
      </c>
      <c r="AM687">
        <v>0.21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0.45</v>
      </c>
      <c r="AU687">
        <v>0</v>
      </c>
      <c r="AV687">
        <v>0</v>
      </c>
    </row>
    <row r="688" spans="1:48" x14ac:dyDescent="0.15">
      <c r="A688" s="4" t="str">
        <f>HYPERLINK("https://ibp.a2mac1.com/costing(costing:projects/details/9760/equipment/12212649)","No.05 - Injection Press - 125T - 34kW - 500x500 - Max Volume 260cm3 ")</f>
        <v xml:space="preserve">No.05 - Injection Press - 125T - 34kW - 500x500 - Max Volume 260cm3 </v>
      </c>
      <c r="B688">
        <v>12212649</v>
      </c>
      <c r="C688">
        <v>12085489</v>
      </c>
      <c r="E688" t="s">
        <v>1630</v>
      </c>
      <c r="H688" t="s">
        <v>162</v>
      </c>
      <c r="I688">
        <v>25501.382699999998</v>
      </c>
      <c r="J688">
        <v>0</v>
      </c>
      <c r="K688">
        <v>2.375</v>
      </c>
      <c r="L688">
        <v>0</v>
      </c>
      <c r="M688">
        <v>7.6789830761812921</v>
      </c>
      <c r="N688">
        <v>0</v>
      </c>
      <c r="O688">
        <v>6.30714981402834E-2</v>
      </c>
      <c r="P688">
        <v>8.4835006976666672E-3</v>
      </c>
      <c r="Q688">
        <v>3.9359355691417552E-3</v>
      </c>
      <c r="R688">
        <v>150000</v>
      </c>
      <c r="S688">
        <v>0</v>
      </c>
      <c r="T688">
        <v>0</v>
      </c>
      <c r="V688">
        <v>7200</v>
      </c>
      <c r="W688">
        <v>8</v>
      </c>
      <c r="X688">
        <v>85</v>
      </c>
      <c r="Y688">
        <v>3</v>
      </c>
      <c r="Z688">
        <v>4</v>
      </c>
      <c r="AA688">
        <v>5</v>
      </c>
      <c r="AB688">
        <v>0</v>
      </c>
      <c r="AC688">
        <v>0</v>
      </c>
      <c r="AD688">
        <v>0</v>
      </c>
      <c r="AE688">
        <v>0</v>
      </c>
      <c r="AF688">
        <v>0.25</v>
      </c>
      <c r="AG688">
        <v>0</v>
      </c>
      <c r="AH688">
        <v>0</v>
      </c>
      <c r="AI688">
        <v>2</v>
      </c>
      <c r="AJ688">
        <v>0</v>
      </c>
      <c r="AK688">
        <v>0</v>
      </c>
      <c r="AL688">
        <v>93</v>
      </c>
      <c r="AM688">
        <v>31.25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38.75</v>
      </c>
      <c r="AU688">
        <v>0.05</v>
      </c>
      <c r="AV688">
        <v>0</v>
      </c>
    </row>
    <row r="689" spans="1:48" x14ac:dyDescent="0.15">
      <c r="A689" s="4" t="str">
        <f>HYPERLINK("https://ibp.a2mac1.com/costing(costing:projects/details/9760/equipment/12212650)","No.04 - 60000x6000x3500 - Automatic Painting Line - with 12x100kW on line ovens ")</f>
        <v xml:space="preserve">No.04 - 60000x6000x3500 - Automatic Painting Line - with 12x100kW on line ovens </v>
      </c>
      <c r="B689">
        <v>12212650</v>
      </c>
      <c r="C689">
        <v>12085490</v>
      </c>
      <c r="E689" t="s">
        <v>1630</v>
      </c>
      <c r="G689" t="s">
        <v>5227</v>
      </c>
      <c r="H689" t="s">
        <v>162</v>
      </c>
      <c r="I689">
        <v>1438767.4831999999</v>
      </c>
      <c r="J689">
        <v>0</v>
      </c>
      <c r="K689">
        <v>279.76751999999999</v>
      </c>
      <c r="L689">
        <v>0</v>
      </c>
      <c r="M689">
        <v>580.11587795564128</v>
      </c>
      <c r="N689">
        <v>0</v>
      </c>
      <c r="O689">
        <v>0.60589880586478084</v>
      </c>
      <c r="P689">
        <v>3.0205709333333334E-2</v>
      </c>
      <c r="Q689">
        <v>0</v>
      </c>
      <c r="R689">
        <v>8600000</v>
      </c>
      <c r="S689">
        <v>0</v>
      </c>
      <c r="T689">
        <v>0</v>
      </c>
      <c r="V689">
        <v>0</v>
      </c>
      <c r="W689">
        <v>8</v>
      </c>
      <c r="X689">
        <v>85</v>
      </c>
      <c r="Y689">
        <v>3</v>
      </c>
      <c r="Z689">
        <v>4</v>
      </c>
      <c r="AA689">
        <v>5</v>
      </c>
      <c r="AB689">
        <v>0</v>
      </c>
      <c r="AC689">
        <v>0</v>
      </c>
      <c r="AD689">
        <v>0</v>
      </c>
      <c r="AE689">
        <v>0</v>
      </c>
      <c r="AF689">
        <v>7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100</v>
      </c>
      <c r="AM689">
        <v>3400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T689">
        <v>1620</v>
      </c>
      <c r="AU689">
        <v>5</v>
      </c>
      <c r="AV689">
        <v>0</v>
      </c>
    </row>
    <row r="690" spans="1:48" x14ac:dyDescent="0.15">
      <c r="A690" s="4" t="str">
        <f>HYPERLINK("https://ibp.a2mac1.com/costing(costing:projects/details/9760/equipment/12212651)","Packaging station")</f>
        <v>Packaging station</v>
      </c>
      <c r="B690">
        <v>12212651</v>
      </c>
      <c r="C690">
        <v>12085491</v>
      </c>
      <c r="H690" t="s">
        <v>162</v>
      </c>
      <c r="I690">
        <v>4437.4535999999998</v>
      </c>
      <c r="J690">
        <v>0</v>
      </c>
      <c r="K690">
        <v>0.16</v>
      </c>
      <c r="L690">
        <v>0</v>
      </c>
      <c r="M690">
        <v>1.1142676952748312</v>
      </c>
      <c r="N690">
        <v>0</v>
      </c>
      <c r="O690">
        <v>1.8571128254580519E-2</v>
      </c>
      <c r="P690">
        <v>6.8858000000000003E-2</v>
      </c>
      <c r="Q690">
        <v>2.0511761542912248E-4</v>
      </c>
      <c r="R690">
        <v>30000</v>
      </c>
      <c r="S690">
        <v>0</v>
      </c>
      <c r="T690">
        <v>0</v>
      </c>
      <c r="V690">
        <v>900</v>
      </c>
      <c r="W690">
        <v>10</v>
      </c>
      <c r="X690">
        <v>85</v>
      </c>
      <c r="Y690">
        <v>3</v>
      </c>
      <c r="Z690">
        <v>4</v>
      </c>
      <c r="AA690">
        <v>5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100</v>
      </c>
      <c r="AM690">
        <v>2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10</v>
      </c>
      <c r="AU690">
        <v>0</v>
      </c>
      <c r="AV690">
        <v>0</v>
      </c>
    </row>
    <row r="691" spans="1:48" x14ac:dyDescent="0.15">
      <c r="A691" s="4" t="str">
        <f>HYPERLINK("https://ibp.a2mac1.com/costing(costing:projects/details/9760/equipment/12212300)","Assembly Station ")</f>
        <v xml:space="preserve">Assembly Station </v>
      </c>
      <c r="B691">
        <v>12212300</v>
      </c>
      <c r="C691">
        <v>12085205</v>
      </c>
      <c r="E691" t="s">
        <v>1630</v>
      </c>
      <c r="F691" t="s">
        <v>5068</v>
      </c>
      <c r="G691" t="s">
        <v>8</v>
      </c>
      <c r="H691" t="s">
        <v>162</v>
      </c>
      <c r="I691">
        <v>4824.9071999999996</v>
      </c>
      <c r="J691">
        <v>0</v>
      </c>
      <c r="K691">
        <v>0.10768</v>
      </c>
      <c r="L691">
        <v>0</v>
      </c>
      <c r="M691">
        <v>1.1242192478302797</v>
      </c>
      <c r="N691">
        <v>0</v>
      </c>
      <c r="O691">
        <v>4.6842468659594988E-2</v>
      </c>
      <c r="P691">
        <v>0.17214499999999999</v>
      </c>
      <c r="Q691">
        <v>2.2807432079717134E-4</v>
      </c>
      <c r="R691">
        <v>30000</v>
      </c>
      <c r="S691">
        <v>0</v>
      </c>
      <c r="T691">
        <v>0</v>
      </c>
      <c r="V691">
        <v>600</v>
      </c>
      <c r="W691">
        <v>10</v>
      </c>
      <c r="X691">
        <v>85</v>
      </c>
      <c r="Y691">
        <v>3</v>
      </c>
      <c r="Z691">
        <v>4</v>
      </c>
      <c r="AA691">
        <v>5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100</v>
      </c>
      <c r="AM691">
        <v>1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20</v>
      </c>
      <c r="AU691">
        <v>0</v>
      </c>
      <c r="AV691">
        <v>0</v>
      </c>
    </row>
    <row r="692" spans="1:48" x14ac:dyDescent="0.15">
      <c r="A692" s="4" t="str">
        <f>HYPERLINK("https://ibp.a2mac1.com/costing(costing:projects/details/9760/equipment/12212297)","Equipment (Injection Molding)")</f>
        <v>Equipment (Injection Molding)</v>
      </c>
      <c r="B692">
        <v>12212297</v>
      </c>
      <c r="C692">
        <v>12085202</v>
      </c>
      <c r="H692" t="s">
        <v>162</v>
      </c>
      <c r="I692">
        <v>579.76492199999996</v>
      </c>
      <c r="J692">
        <v>0</v>
      </c>
      <c r="K692">
        <v>2.4639999999999999E-2</v>
      </c>
      <c r="L692">
        <v>0</v>
      </c>
      <c r="M692">
        <v>0.14257071713275474</v>
      </c>
      <c r="N692">
        <v>0</v>
      </c>
      <c r="O692">
        <v>2.3761786188792457E-3</v>
      </c>
      <c r="P692">
        <v>1.514876E-4</v>
      </c>
      <c r="Q692">
        <v>1.2505210104980714E-5</v>
      </c>
      <c r="R692">
        <v>3080</v>
      </c>
      <c r="S692">
        <v>0</v>
      </c>
      <c r="T692">
        <v>0</v>
      </c>
      <c r="V692">
        <v>29.7</v>
      </c>
      <c r="W692">
        <v>7</v>
      </c>
      <c r="X692">
        <v>85</v>
      </c>
      <c r="Y692">
        <v>3</v>
      </c>
      <c r="Z692">
        <v>4</v>
      </c>
      <c r="AA692">
        <v>5</v>
      </c>
      <c r="AB692">
        <v>0</v>
      </c>
      <c r="AC692">
        <v>0</v>
      </c>
      <c r="AD692">
        <v>0</v>
      </c>
      <c r="AE692">
        <v>0</v>
      </c>
      <c r="AF692">
        <v>2.2000000000000001E-3</v>
      </c>
      <c r="AG692">
        <v>0</v>
      </c>
      <c r="AH692">
        <v>0</v>
      </c>
      <c r="AI692">
        <v>2</v>
      </c>
      <c r="AJ692">
        <v>0</v>
      </c>
      <c r="AK692">
        <v>0</v>
      </c>
      <c r="AL692">
        <v>80</v>
      </c>
      <c r="AM692">
        <v>0.38500000000000001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0.82499999999999996</v>
      </c>
      <c r="AU692">
        <v>0</v>
      </c>
      <c r="AV692">
        <v>0</v>
      </c>
    </row>
    <row r="693" spans="1:48" x14ac:dyDescent="0.15">
      <c r="A693" s="4" t="str">
        <f>HYPERLINK("https://ibp.a2mac1.com/costing(costing:projects/details/9760/equipment/12212298)","EPP-EPS Press No. 01 - 800 x 600")</f>
        <v>EPP-EPS Press No. 01 - 800 x 600</v>
      </c>
      <c r="B693">
        <v>12212298</v>
      </c>
      <c r="C693">
        <v>12085203</v>
      </c>
      <c r="E693" t="s">
        <v>9</v>
      </c>
      <c r="F693" t="s">
        <v>5291</v>
      </c>
      <c r="G693" t="s">
        <v>9</v>
      </c>
      <c r="H693" t="s">
        <v>162</v>
      </c>
      <c r="I693">
        <v>31764.962879999999</v>
      </c>
      <c r="J693">
        <v>0</v>
      </c>
      <c r="K693">
        <v>2.1718799999999998</v>
      </c>
      <c r="L693">
        <v>0</v>
      </c>
      <c r="M693">
        <v>9.1495339504982329</v>
      </c>
      <c r="N693">
        <v>0</v>
      </c>
      <c r="O693">
        <v>0.10166148833886925</v>
      </c>
      <c r="P693">
        <v>4.5905333333333333E-2</v>
      </c>
      <c r="Q693">
        <v>1.3025864370298939E-3</v>
      </c>
      <c r="R693">
        <v>233000</v>
      </c>
      <c r="S693">
        <v>0</v>
      </c>
      <c r="T693">
        <v>800000</v>
      </c>
      <c r="U693" t="s">
        <v>9</v>
      </c>
      <c r="V693">
        <v>3600</v>
      </c>
      <c r="W693">
        <v>10</v>
      </c>
      <c r="X693">
        <v>85</v>
      </c>
      <c r="Y693">
        <v>3</v>
      </c>
      <c r="Z693">
        <v>4</v>
      </c>
      <c r="AA693">
        <v>5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100</v>
      </c>
      <c r="AM693">
        <v>18.5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8</v>
      </c>
      <c r="AU693">
        <v>0</v>
      </c>
      <c r="AV693">
        <v>0</v>
      </c>
    </row>
    <row r="694" spans="1:48" x14ac:dyDescent="0.15">
      <c r="A694" s="4" t="str">
        <f>HYPERLINK("https://ibp.a2mac1.com/costing(costing:projects/details/9760/equipment/12212299)","EPP-EPS Foaming - Steam Facility")</f>
        <v>EPP-EPS Foaming - Steam Facility</v>
      </c>
      <c r="B694">
        <v>12212299</v>
      </c>
      <c r="C694">
        <v>12085204</v>
      </c>
      <c r="E694" t="s">
        <v>1596</v>
      </c>
      <c r="F694" t="s">
        <v>9</v>
      </c>
      <c r="G694" t="s">
        <v>9</v>
      </c>
      <c r="H694" t="s">
        <v>162</v>
      </c>
      <c r="I694">
        <v>40021.770600000003</v>
      </c>
      <c r="J694">
        <v>0</v>
      </c>
      <c r="K694">
        <v>1.9958800000000001</v>
      </c>
      <c r="L694">
        <v>0</v>
      </c>
      <c r="M694">
        <v>10.75862037287046</v>
      </c>
      <c r="N694">
        <v>0</v>
      </c>
      <c r="O694">
        <v>1.6602809217392686E-3</v>
      </c>
      <c r="P694">
        <v>6.3757407407407404E-4</v>
      </c>
      <c r="Q694">
        <v>1.3991316223722276E-3</v>
      </c>
      <c r="R694">
        <v>290000</v>
      </c>
      <c r="S694">
        <v>0</v>
      </c>
      <c r="T694">
        <v>800000</v>
      </c>
      <c r="U694" t="s">
        <v>9</v>
      </c>
      <c r="V694">
        <v>3600</v>
      </c>
      <c r="W694">
        <v>10</v>
      </c>
      <c r="X694">
        <v>85</v>
      </c>
      <c r="Y694">
        <v>3</v>
      </c>
      <c r="Z694">
        <v>4</v>
      </c>
      <c r="AA694">
        <v>5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100</v>
      </c>
      <c r="AM694">
        <v>16.3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22.5</v>
      </c>
      <c r="AU694">
        <v>0</v>
      </c>
      <c r="AV694">
        <v>0</v>
      </c>
    </row>
    <row r="695" spans="1:48" x14ac:dyDescent="0.15">
      <c r="A695" s="4" t="str">
        <f>HYPERLINK("https://ibp.a2mac1.com/costing(costing:projects/details/9760/equipment/12212302)","No.01 - Injection Press - 40T - 18kW - 270x270 - Max Volume 128cm3 ")</f>
        <v xml:space="preserve">No.01 - Injection Press - 40T - 18kW - 270x270 - Max Volume 128cm3 </v>
      </c>
      <c r="B695">
        <v>12212302</v>
      </c>
      <c r="C695">
        <v>12085207</v>
      </c>
      <c r="E695" t="s">
        <v>1630</v>
      </c>
      <c r="H695" t="s">
        <v>162</v>
      </c>
      <c r="I695">
        <v>13574.9072</v>
      </c>
      <c r="J695">
        <v>0</v>
      </c>
      <c r="K695">
        <v>1.6020000000000001</v>
      </c>
      <c r="L695">
        <v>0</v>
      </c>
      <c r="M695">
        <v>4.4266395371263263</v>
      </c>
      <c r="N695">
        <v>0</v>
      </c>
      <c r="O695">
        <v>5.2050702478404584E-2</v>
      </c>
      <c r="P695">
        <v>1.2145016240416667E-2</v>
      </c>
      <c r="Q695">
        <v>3.5456543444551589E-3</v>
      </c>
      <c r="R695">
        <v>80000</v>
      </c>
      <c r="S695">
        <v>0</v>
      </c>
      <c r="T695">
        <v>0</v>
      </c>
      <c r="V695">
        <v>7200</v>
      </c>
      <c r="W695">
        <v>8</v>
      </c>
      <c r="X695">
        <v>85</v>
      </c>
      <c r="Y695">
        <v>3</v>
      </c>
      <c r="Z695">
        <v>4</v>
      </c>
      <c r="AA695">
        <v>5</v>
      </c>
      <c r="AB695">
        <v>0</v>
      </c>
      <c r="AC695">
        <v>0</v>
      </c>
      <c r="AD695">
        <v>0</v>
      </c>
      <c r="AE695">
        <v>0</v>
      </c>
      <c r="AF695">
        <v>0.25</v>
      </c>
      <c r="AG695">
        <v>0</v>
      </c>
      <c r="AH695">
        <v>0</v>
      </c>
      <c r="AI695">
        <v>2</v>
      </c>
      <c r="AJ695">
        <v>0</v>
      </c>
      <c r="AK695">
        <v>0</v>
      </c>
      <c r="AL695">
        <v>97</v>
      </c>
      <c r="AM695">
        <v>20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20</v>
      </c>
      <c r="AU695">
        <v>0.05</v>
      </c>
      <c r="AV695">
        <v>0</v>
      </c>
    </row>
    <row r="696" spans="1:48" x14ac:dyDescent="0.15">
      <c r="A696" s="4" t="str">
        <f>HYPERLINK("https://ibp.a2mac1.com/costing(costing:projects/details/9760/equipment/12212301)","Packaging")</f>
        <v>Packaging</v>
      </c>
      <c r="B696">
        <v>12212301</v>
      </c>
      <c r="C696">
        <v>12085206</v>
      </c>
      <c r="H696" t="s">
        <v>162</v>
      </c>
      <c r="I696">
        <v>4437.4535986499995</v>
      </c>
      <c r="J696">
        <v>0</v>
      </c>
      <c r="K696">
        <v>0.08</v>
      </c>
      <c r="L696">
        <v>0</v>
      </c>
      <c r="M696">
        <v>1.0342676949774992</v>
      </c>
      <c r="N696">
        <v>0</v>
      </c>
      <c r="O696">
        <v>2.8729658193819424E-3</v>
      </c>
      <c r="P696">
        <v>1.1476333333333333E-2</v>
      </c>
      <c r="Q696">
        <v>1.5514015424662487E-5</v>
      </c>
      <c r="R696">
        <v>29999.99999</v>
      </c>
      <c r="S696">
        <v>0</v>
      </c>
      <c r="T696">
        <v>0</v>
      </c>
      <c r="V696">
        <v>900</v>
      </c>
      <c r="W696">
        <v>10</v>
      </c>
      <c r="X696">
        <v>85</v>
      </c>
      <c r="Y696">
        <v>3</v>
      </c>
      <c r="Z696">
        <v>4</v>
      </c>
      <c r="AA696">
        <v>5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50</v>
      </c>
      <c r="AM696">
        <v>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10</v>
      </c>
      <c r="AU696">
        <v>0</v>
      </c>
      <c r="AV696">
        <v>0</v>
      </c>
    </row>
    <row r="697" spans="1:48" x14ac:dyDescent="0.15">
      <c r="A697" s="4" t="str">
        <f>HYPERLINK("https://ibp.a2mac1.com/costing(costing:projects/details/9760/equipment/12212303)","No.01 - Injection Press - 40T - 18kW - 270x270 - Max Volume 128cm3 ")</f>
        <v xml:space="preserve">No.01 - Injection Press - 40T - 18kW - 270x270 - Max Volume 128cm3 </v>
      </c>
      <c r="B697">
        <v>12212303</v>
      </c>
      <c r="C697">
        <v>12085208</v>
      </c>
      <c r="E697" t="s">
        <v>1630</v>
      </c>
      <c r="H697" t="s">
        <v>162</v>
      </c>
      <c r="I697">
        <v>13574.9072</v>
      </c>
      <c r="J697">
        <v>0</v>
      </c>
      <c r="K697">
        <v>1.6020000000000001</v>
      </c>
      <c r="L697">
        <v>0</v>
      </c>
      <c r="M697">
        <v>4.4266395371263263</v>
      </c>
      <c r="N697">
        <v>0</v>
      </c>
      <c r="O697">
        <v>2.6470394511666131E-2</v>
      </c>
      <c r="P697">
        <v>6.1763502878333333E-3</v>
      </c>
      <c r="Q697">
        <v>3.5456543444551589E-3</v>
      </c>
      <c r="R697">
        <v>80000</v>
      </c>
      <c r="S697">
        <v>0</v>
      </c>
      <c r="T697">
        <v>0</v>
      </c>
      <c r="V697">
        <v>7200</v>
      </c>
      <c r="W697">
        <v>8</v>
      </c>
      <c r="X697">
        <v>85</v>
      </c>
      <c r="Y697">
        <v>3</v>
      </c>
      <c r="Z697">
        <v>4</v>
      </c>
      <c r="AA697">
        <v>5</v>
      </c>
      <c r="AB697">
        <v>0</v>
      </c>
      <c r="AC697">
        <v>0</v>
      </c>
      <c r="AD697">
        <v>0</v>
      </c>
      <c r="AE697">
        <v>0</v>
      </c>
      <c r="AF697">
        <v>0.25</v>
      </c>
      <c r="AG697">
        <v>0</v>
      </c>
      <c r="AH697">
        <v>0</v>
      </c>
      <c r="AI697">
        <v>2</v>
      </c>
      <c r="AJ697">
        <v>0</v>
      </c>
      <c r="AK697">
        <v>0</v>
      </c>
      <c r="AL697">
        <v>97</v>
      </c>
      <c r="AM697">
        <v>20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20</v>
      </c>
      <c r="AU697">
        <v>0.05</v>
      </c>
      <c r="AV697">
        <v>0</v>
      </c>
    </row>
    <row r="698" spans="1:48" x14ac:dyDescent="0.15">
      <c r="A698" s="4" t="str">
        <f>HYPERLINK("https://ibp.a2mac1.com/costing(costing:projects/details/9760/equipment/12212304)","Packaging")</f>
        <v>Packaging</v>
      </c>
      <c r="B698">
        <v>12212304</v>
      </c>
      <c r="C698">
        <v>12085209</v>
      </c>
      <c r="H698" t="s">
        <v>162</v>
      </c>
      <c r="I698">
        <v>4437.4535986499995</v>
      </c>
      <c r="J698">
        <v>0</v>
      </c>
      <c r="K698">
        <v>0.08</v>
      </c>
      <c r="L698">
        <v>0</v>
      </c>
      <c r="M698">
        <v>1.0342676949774992</v>
      </c>
      <c r="N698">
        <v>0</v>
      </c>
      <c r="O698">
        <v>2.8729658193819424E-3</v>
      </c>
      <c r="P698">
        <v>1.1476333333333333E-2</v>
      </c>
      <c r="Q698">
        <v>1.5514015424662487E-5</v>
      </c>
      <c r="R698">
        <v>29999.99999</v>
      </c>
      <c r="S698">
        <v>0</v>
      </c>
      <c r="T698">
        <v>0</v>
      </c>
      <c r="V698">
        <v>900</v>
      </c>
      <c r="W698">
        <v>10</v>
      </c>
      <c r="X698">
        <v>85</v>
      </c>
      <c r="Y698">
        <v>3</v>
      </c>
      <c r="Z698">
        <v>4</v>
      </c>
      <c r="AA698">
        <v>5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50</v>
      </c>
      <c r="AM698">
        <v>2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10</v>
      </c>
      <c r="AU698">
        <v>0</v>
      </c>
      <c r="AV698">
        <v>0</v>
      </c>
    </row>
    <row r="699" spans="1:48" x14ac:dyDescent="0.15">
      <c r="A699" s="4" t="str">
        <f>HYPERLINK("https://ibp.a2mac1.com/costing(costing:projects/details/9760/equipment/12212653)","No.10 - Injection Press - 500T - 98kW - 900x900 - Max Volume 1936cm3 ")</f>
        <v xml:space="preserve">No.10 - Injection Press - 500T - 98kW - 900x900 - Max Volume 1936cm3 </v>
      </c>
      <c r="B699">
        <v>12212653</v>
      </c>
      <c r="C699">
        <v>12085493</v>
      </c>
      <c r="E699" t="s">
        <v>1630</v>
      </c>
      <c r="H699" t="s">
        <v>162</v>
      </c>
      <c r="I699">
        <v>55874.536</v>
      </c>
      <c r="J699">
        <v>0</v>
      </c>
      <c r="K699">
        <v>3.88</v>
      </c>
      <c r="L699">
        <v>0</v>
      </c>
      <c r="M699">
        <v>15.471857280617165</v>
      </c>
      <c r="N699">
        <v>0</v>
      </c>
      <c r="O699">
        <v>4.1292431611116467E-2</v>
      </c>
      <c r="P699">
        <v>2.7565994867083331E-3</v>
      </c>
      <c r="Q699">
        <v>7.3066207105110898E-3</v>
      </c>
      <c r="R699">
        <v>325000</v>
      </c>
      <c r="S699">
        <v>0</v>
      </c>
      <c r="T699">
        <v>0</v>
      </c>
      <c r="V699">
        <v>10800</v>
      </c>
      <c r="W699">
        <v>8</v>
      </c>
      <c r="X699">
        <v>85</v>
      </c>
      <c r="Y699">
        <v>3</v>
      </c>
      <c r="Z699">
        <v>4</v>
      </c>
      <c r="AA699">
        <v>5</v>
      </c>
      <c r="AB699">
        <v>0</v>
      </c>
      <c r="AC699">
        <v>0</v>
      </c>
      <c r="AD699">
        <v>0</v>
      </c>
      <c r="AE699">
        <v>0</v>
      </c>
      <c r="AF699">
        <v>0.25</v>
      </c>
      <c r="AG699">
        <v>0</v>
      </c>
      <c r="AH699">
        <v>0</v>
      </c>
      <c r="AI699">
        <v>2</v>
      </c>
      <c r="AJ699">
        <v>0</v>
      </c>
      <c r="AK699">
        <v>0</v>
      </c>
      <c r="AL699">
        <v>92</v>
      </c>
      <c r="AM699">
        <v>50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100</v>
      </c>
      <c r="AU699">
        <v>0.2</v>
      </c>
      <c r="AV699">
        <v>0</v>
      </c>
    </row>
    <row r="700" spans="1:48" x14ac:dyDescent="0.15">
      <c r="A700" s="4" t="str">
        <f>HYPERLINK("https://ibp.a2mac1.com/costing(costing:projects/details/9760/equipment/12212652)","Packaging")</f>
        <v>Packaging</v>
      </c>
      <c r="B700">
        <v>12212652</v>
      </c>
      <c r="C700">
        <v>12085492</v>
      </c>
      <c r="H700" t="s">
        <v>162</v>
      </c>
      <c r="I700">
        <v>4437.4535986499995</v>
      </c>
      <c r="J700">
        <v>0</v>
      </c>
      <c r="K700">
        <v>0.08</v>
      </c>
      <c r="L700">
        <v>0</v>
      </c>
      <c r="M700">
        <v>1.0342676949774992</v>
      </c>
      <c r="N700">
        <v>0</v>
      </c>
      <c r="O700">
        <v>2.8729658193819424E-3</v>
      </c>
      <c r="P700">
        <v>1.1476333333333333E-2</v>
      </c>
      <c r="Q700">
        <v>1.5514015424662487E-5</v>
      </c>
      <c r="R700">
        <v>29999.99999</v>
      </c>
      <c r="S700">
        <v>0</v>
      </c>
      <c r="T700">
        <v>0</v>
      </c>
      <c r="V700">
        <v>900</v>
      </c>
      <c r="W700">
        <v>10</v>
      </c>
      <c r="X700">
        <v>85</v>
      </c>
      <c r="Y700">
        <v>3</v>
      </c>
      <c r="Z700">
        <v>4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50</v>
      </c>
      <c r="AM700">
        <v>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10</v>
      </c>
      <c r="AU700">
        <v>0</v>
      </c>
      <c r="AV700">
        <v>0</v>
      </c>
    </row>
    <row r="701" spans="1:48" x14ac:dyDescent="0.15">
      <c r="A701" s="4" t="str">
        <f>HYPERLINK("https://ibp.a2mac1.com/costing(costing:projects/details/9760/equipment/12212654)","No.10 - Injection Press - 500T - 98kW - 900x900 - Max Volume 1936cm3 ")</f>
        <v xml:space="preserve">No.10 - Injection Press - 500T - 98kW - 900x900 - Max Volume 1936cm3 </v>
      </c>
      <c r="B701">
        <v>12212654</v>
      </c>
      <c r="C701">
        <v>12085494</v>
      </c>
      <c r="E701" t="s">
        <v>1630</v>
      </c>
      <c r="H701" t="s">
        <v>162</v>
      </c>
      <c r="I701">
        <v>55874.536</v>
      </c>
      <c r="J701">
        <v>0</v>
      </c>
      <c r="K701">
        <v>3.88</v>
      </c>
      <c r="L701">
        <v>0</v>
      </c>
      <c r="M701">
        <v>15.471857280617165</v>
      </c>
      <c r="N701">
        <v>0</v>
      </c>
      <c r="O701">
        <v>3.318981995325726E-2</v>
      </c>
      <c r="P701">
        <v>2.2156854677083332E-3</v>
      </c>
      <c r="Q701">
        <v>7.3066207105110898E-3</v>
      </c>
      <c r="R701">
        <v>325000</v>
      </c>
      <c r="S701">
        <v>0</v>
      </c>
      <c r="T701">
        <v>0</v>
      </c>
      <c r="V701">
        <v>10800</v>
      </c>
      <c r="W701">
        <v>8</v>
      </c>
      <c r="X701">
        <v>85</v>
      </c>
      <c r="Y701">
        <v>3</v>
      </c>
      <c r="Z701">
        <v>4</v>
      </c>
      <c r="AA701">
        <v>5</v>
      </c>
      <c r="AB701">
        <v>0</v>
      </c>
      <c r="AC701">
        <v>0</v>
      </c>
      <c r="AD701">
        <v>0</v>
      </c>
      <c r="AE701">
        <v>0</v>
      </c>
      <c r="AF701">
        <v>0.25</v>
      </c>
      <c r="AG701">
        <v>0</v>
      </c>
      <c r="AH701">
        <v>0</v>
      </c>
      <c r="AI701">
        <v>2</v>
      </c>
      <c r="AJ701">
        <v>0</v>
      </c>
      <c r="AK701">
        <v>0</v>
      </c>
      <c r="AL701">
        <v>92</v>
      </c>
      <c r="AM701">
        <v>50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100</v>
      </c>
      <c r="AU701">
        <v>0.2</v>
      </c>
      <c r="AV701">
        <v>0</v>
      </c>
    </row>
    <row r="702" spans="1:48" x14ac:dyDescent="0.15">
      <c r="A702" s="4" t="str">
        <f>HYPERLINK("https://ibp.a2mac1.com/costing(costing:projects/details/9760/equipment/12212655)","Packaging")</f>
        <v>Packaging</v>
      </c>
      <c r="B702">
        <v>12212655</v>
      </c>
      <c r="C702">
        <v>12085495</v>
      </c>
      <c r="H702" t="s">
        <v>162</v>
      </c>
      <c r="I702">
        <v>4437.4535986499995</v>
      </c>
      <c r="J702">
        <v>0</v>
      </c>
      <c r="K702">
        <v>0.08</v>
      </c>
      <c r="L702">
        <v>0</v>
      </c>
      <c r="M702">
        <v>1.0342676949774992</v>
      </c>
      <c r="N702">
        <v>0</v>
      </c>
      <c r="O702">
        <v>2.8729658193819424E-3</v>
      </c>
      <c r="P702">
        <v>1.1476333333333333E-2</v>
      </c>
      <c r="Q702">
        <v>1.5514015424662487E-5</v>
      </c>
      <c r="R702">
        <v>29999.99999</v>
      </c>
      <c r="S702">
        <v>0</v>
      </c>
      <c r="T702">
        <v>0</v>
      </c>
      <c r="V702">
        <v>900</v>
      </c>
      <c r="W702">
        <v>10</v>
      </c>
      <c r="X702">
        <v>85</v>
      </c>
      <c r="Y702">
        <v>3</v>
      </c>
      <c r="Z702">
        <v>4</v>
      </c>
      <c r="AA702">
        <v>5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10</v>
      </c>
      <c r="AU702">
        <v>0</v>
      </c>
      <c r="AV702">
        <v>0</v>
      </c>
    </row>
    <row r="703" spans="1:48" x14ac:dyDescent="0.15">
      <c r="A703" s="4" t="str">
        <f>HYPERLINK("https://ibp.a2mac1.com/costing(costing:projects/details/9760/equipment/12212305)","DC machine - General")</f>
        <v>DC machine - General</v>
      </c>
      <c r="B703">
        <v>12212305</v>
      </c>
      <c r="C703">
        <v>12085210</v>
      </c>
      <c r="E703" t="s">
        <v>738</v>
      </c>
      <c r="H703" t="s">
        <v>162</v>
      </c>
      <c r="I703">
        <v>116914.84457142858</v>
      </c>
      <c r="J703">
        <v>0</v>
      </c>
      <c r="K703">
        <v>3.6</v>
      </c>
      <c r="L703">
        <v>0</v>
      </c>
      <c r="M703">
        <v>27.497982091197134</v>
      </c>
      <c r="N703">
        <v>0</v>
      </c>
      <c r="O703">
        <v>0.76383283586658712</v>
      </c>
      <c r="P703">
        <v>0.11476333333333333</v>
      </c>
      <c r="Q703">
        <v>1.1732166376415484E-2</v>
      </c>
      <c r="R703">
        <v>635568</v>
      </c>
      <c r="S703">
        <v>0</v>
      </c>
      <c r="T703">
        <v>0</v>
      </c>
      <c r="V703">
        <v>10800</v>
      </c>
      <c r="W703">
        <v>7</v>
      </c>
      <c r="X703">
        <v>85</v>
      </c>
      <c r="Y703">
        <v>3</v>
      </c>
      <c r="Z703">
        <v>4</v>
      </c>
      <c r="AA703">
        <v>5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3</v>
      </c>
      <c r="AJ703">
        <v>0</v>
      </c>
      <c r="AK703">
        <v>0</v>
      </c>
      <c r="AL703">
        <v>100</v>
      </c>
      <c r="AM703">
        <v>45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100</v>
      </c>
      <c r="AU703">
        <v>0</v>
      </c>
      <c r="AV703">
        <v>0</v>
      </c>
    </row>
    <row r="704" spans="1:48" x14ac:dyDescent="0.15">
      <c r="A704" s="4" t="str">
        <f>HYPERLINK("https://ibp.a2mac1.com/costing(costing:projects/details/9760/equipment/12212656)","Manufacturing Equipment")</f>
        <v>Manufacturing Equipment</v>
      </c>
      <c r="B704">
        <v>12212656</v>
      </c>
      <c r="C704">
        <v>12085496</v>
      </c>
      <c r="H704" t="s">
        <v>162</v>
      </c>
      <c r="I704">
        <v>373962.1752</v>
      </c>
      <c r="J704">
        <v>0</v>
      </c>
      <c r="K704">
        <v>3.3919999999999999</v>
      </c>
      <c r="L704">
        <v>0</v>
      </c>
      <c r="M704">
        <v>85.594213950498229</v>
      </c>
      <c r="N704">
        <v>0</v>
      </c>
      <c r="O704">
        <v>0.8690587395077799</v>
      </c>
      <c r="P704">
        <v>4.1947914880999998E-2</v>
      </c>
      <c r="Q704">
        <v>8.8339008555448403E-3</v>
      </c>
      <c r="R704">
        <v>2750000</v>
      </c>
      <c r="S704">
        <v>0</v>
      </c>
      <c r="T704">
        <v>0</v>
      </c>
      <c r="V704">
        <v>5400</v>
      </c>
      <c r="W704">
        <v>10</v>
      </c>
      <c r="X704">
        <v>85</v>
      </c>
      <c r="Y704">
        <v>4</v>
      </c>
      <c r="Z704">
        <v>4</v>
      </c>
      <c r="AA704">
        <v>5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80</v>
      </c>
      <c r="AM704">
        <v>53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70</v>
      </c>
      <c r="AU704">
        <v>0</v>
      </c>
      <c r="AV704">
        <v>0</v>
      </c>
    </row>
    <row r="705" spans="1:48" x14ac:dyDescent="0.15">
      <c r="A705" s="4" t="str">
        <f>HYPERLINK("https://ibp.a2mac1.com/costing(costing:projects/details/9760/equipment/12212657)","Manufacturing Equipment")</f>
        <v>Manufacturing Equipment</v>
      </c>
      <c r="B705">
        <v>12212657</v>
      </c>
      <c r="C705">
        <v>12085497</v>
      </c>
      <c r="H705" t="s">
        <v>162</v>
      </c>
      <c r="I705">
        <v>373962.1752</v>
      </c>
      <c r="J705">
        <v>0</v>
      </c>
      <c r="K705">
        <v>3.3919999999999999</v>
      </c>
      <c r="L705">
        <v>0</v>
      </c>
      <c r="M705">
        <v>85.594213950498229</v>
      </c>
      <c r="N705">
        <v>0</v>
      </c>
      <c r="O705">
        <v>1.0699276743812278</v>
      </c>
      <c r="P705">
        <v>5.1643500000000002E-2</v>
      </c>
      <c r="Q705">
        <v>8.8339008555448403E-3</v>
      </c>
      <c r="R705">
        <v>2750000</v>
      </c>
      <c r="S705">
        <v>0</v>
      </c>
      <c r="T705">
        <v>0</v>
      </c>
      <c r="V705">
        <v>5400</v>
      </c>
      <c r="W705">
        <v>10</v>
      </c>
      <c r="X705">
        <v>85</v>
      </c>
      <c r="Y705">
        <v>4</v>
      </c>
      <c r="Z705">
        <v>4</v>
      </c>
      <c r="AA705">
        <v>5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80</v>
      </c>
      <c r="AM705">
        <v>53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70</v>
      </c>
      <c r="AU705">
        <v>0</v>
      </c>
      <c r="AV705">
        <v>0</v>
      </c>
    </row>
    <row r="706" spans="1:48" x14ac:dyDescent="0.15">
      <c r="A706" s="4" t="str">
        <f>HYPERLINK("https://ibp.a2mac1.com/costing(costing:projects/details/9760/equipment/12212658)","Manufacturing Equipment")</f>
        <v>Manufacturing Equipment</v>
      </c>
      <c r="B706">
        <v>12212658</v>
      </c>
      <c r="C706">
        <v>12085498</v>
      </c>
      <c r="H706" t="s">
        <v>162</v>
      </c>
      <c r="I706">
        <v>373962.1752</v>
      </c>
      <c r="J706">
        <v>0</v>
      </c>
      <c r="K706">
        <v>3.3919999999999999</v>
      </c>
      <c r="L706">
        <v>0</v>
      </c>
      <c r="M706">
        <v>85.594213950498229</v>
      </c>
      <c r="N706">
        <v>0</v>
      </c>
      <c r="O706">
        <v>1.0699276743812278</v>
      </c>
      <c r="P706">
        <v>5.1643500000000002E-2</v>
      </c>
      <c r="Q706">
        <v>8.8339008555448403E-3</v>
      </c>
      <c r="R706">
        <v>2750000</v>
      </c>
      <c r="S706">
        <v>0</v>
      </c>
      <c r="T706">
        <v>0</v>
      </c>
      <c r="V706">
        <v>5400</v>
      </c>
      <c r="W706">
        <v>10</v>
      </c>
      <c r="X706">
        <v>85</v>
      </c>
      <c r="Y706">
        <v>4</v>
      </c>
      <c r="Z706">
        <v>4</v>
      </c>
      <c r="AA706">
        <v>5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80</v>
      </c>
      <c r="AM706">
        <v>53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70</v>
      </c>
      <c r="AU706">
        <v>0</v>
      </c>
      <c r="AV706">
        <v>0</v>
      </c>
    </row>
    <row r="707" spans="1:48" x14ac:dyDescent="0.15">
      <c r="A707" s="4" t="str">
        <f>HYPERLINK("https://ibp.a2mac1.com/costing(costing:projects/details/9760/equipment/12212659)","Manufacturing Equipment")</f>
        <v>Manufacturing Equipment</v>
      </c>
      <c r="B707">
        <v>12212659</v>
      </c>
      <c r="C707">
        <v>12085499</v>
      </c>
      <c r="H707" t="s">
        <v>162</v>
      </c>
      <c r="I707">
        <v>373962.1752</v>
      </c>
      <c r="J707">
        <v>0</v>
      </c>
      <c r="K707">
        <v>3.3919999999999999</v>
      </c>
      <c r="L707">
        <v>0</v>
      </c>
      <c r="M707">
        <v>85.594213950498229</v>
      </c>
      <c r="N707">
        <v>0</v>
      </c>
      <c r="O707">
        <v>1.0699276743812278</v>
      </c>
      <c r="P707">
        <v>5.1643500000000002E-2</v>
      </c>
      <c r="Q707">
        <v>8.8339008555448403E-3</v>
      </c>
      <c r="R707">
        <v>2750000</v>
      </c>
      <c r="S707">
        <v>0</v>
      </c>
      <c r="T707">
        <v>0</v>
      </c>
      <c r="V707">
        <v>5400</v>
      </c>
      <c r="W707">
        <v>10</v>
      </c>
      <c r="X707">
        <v>85</v>
      </c>
      <c r="Y707">
        <v>4</v>
      </c>
      <c r="Z707">
        <v>4</v>
      </c>
      <c r="AA707">
        <v>5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80</v>
      </c>
      <c r="AM707">
        <v>53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70</v>
      </c>
      <c r="AU707">
        <v>0</v>
      </c>
      <c r="AV707">
        <v>0</v>
      </c>
    </row>
    <row r="708" spans="1:48" x14ac:dyDescent="0.15">
      <c r="A708" s="4" t="str">
        <f>HYPERLINK("https://ibp.a2mac1.com/costing(costing:projects/details/9760/equipment/12212306)","Equipment (Injection Molding)")</f>
        <v>Equipment (Injection Molding)</v>
      </c>
      <c r="B708">
        <v>12212306</v>
      </c>
      <c r="C708">
        <v>12085211</v>
      </c>
      <c r="H708" t="s">
        <v>162</v>
      </c>
      <c r="I708">
        <v>1792.0006679999999</v>
      </c>
      <c r="J708">
        <v>0</v>
      </c>
      <c r="K708">
        <v>7.6160000000000005E-2</v>
      </c>
      <c r="L708">
        <v>0</v>
      </c>
      <c r="M708">
        <v>0.44067312568306011</v>
      </c>
      <c r="N708">
        <v>0</v>
      </c>
      <c r="O708">
        <v>7.3445520947176685E-3</v>
      </c>
      <c r="P708">
        <v>4.6823440000000002E-4</v>
      </c>
      <c r="Q708">
        <v>3.9108564282295083E-5</v>
      </c>
      <c r="R708">
        <v>9520</v>
      </c>
      <c r="S708">
        <v>0</v>
      </c>
      <c r="T708">
        <v>0</v>
      </c>
      <c r="V708">
        <v>91.8</v>
      </c>
      <c r="W708">
        <v>7</v>
      </c>
      <c r="X708">
        <v>85</v>
      </c>
      <c r="Y708">
        <v>3</v>
      </c>
      <c r="Z708">
        <v>4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6.7999999999999996E-3</v>
      </c>
      <c r="AG708">
        <v>0</v>
      </c>
      <c r="AH708">
        <v>0</v>
      </c>
      <c r="AI708">
        <v>2</v>
      </c>
      <c r="AJ708">
        <v>0</v>
      </c>
      <c r="AK708">
        <v>0</v>
      </c>
      <c r="AL708">
        <v>80</v>
      </c>
      <c r="AM708">
        <v>1.19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2.5499999999999998</v>
      </c>
      <c r="AU708">
        <v>0</v>
      </c>
      <c r="AV708">
        <v>0</v>
      </c>
    </row>
    <row r="709" spans="1:48" x14ac:dyDescent="0.15">
      <c r="A709" s="4" t="str">
        <f>HYPERLINK("https://ibp.a2mac1.com/costing(costing:projects/details/9760/equipment/12212661)","Rubber Extrusion machine")</f>
        <v>Rubber Extrusion machine</v>
      </c>
      <c r="B709">
        <v>12212661</v>
      </c>
      <c r="C709">
        <v>12085501</v>
      </c>
      <c r="E709" t="s">
        <v>1596</v>
      </c>
      <c r="H709" t="s">
        <v>162</v>
      </c>
      <c r="I709">
        <v>127372.68</v>
      </c>
      <c r="J709">
        <v>0</v>
      </c>
      <c r="K709">
        <v>8.8000000000000007</v>
      </c>
      <c r="L709">
        <v>0</v>
      </c>
      <c r="M709">
        <v>35.700141433622626</v>
      </c>
      <c r="N709">
        <v>0</v>
      </c>
      <c r="O709">
        <v>0.44625176792028287</v>
      </c>
      <c r="P709">
        <v>0.103287</v>
      </c>
      <c r="Q709">
        <v>1.4478114430086788E-3</v>
      </c>
      <c r="R709">
        <v>800000</v>
      </c>
      <c r="S709">
        <v>0</v>
      </c>
      <c r="T709">
        <v>0</v>
      </c>
      <c r="V709">
        <v>1800</v>
      </c>
      <c r="W709">
        <v>10</v>
      </c>
      <c r="X709">
        <v>85</v>
      </c>
      <c r="Y709">
        <v>3</v>
      </c>
      <c r="Z709">
        <v>4</v>
      </c>
      <c r="AA709">
        <v>5</v>
      </c>
      <c r="AB709">
        <v>0</v>
      </c>
      <c r="AC709">
        <v>0</v>
      </c>
      <c r="AD709">
        <v>0</v>
      </c>
      <c r="AE709">
        <v>0</v>
      </c>
      <c r="AF709">
        <v>2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100</v>
      </c>
      <c r="AM709">
        <v>110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500</v>
      </c>
      <c r="AU709">
        <v>0</v>
      </c>
      <c r="AV709">
        <v>0</v>
      </c>
    </row>
    <row r="710" spans="1:48" x14ac:dyDescent="0.15">
      <c r="A710" s="4" t="str">
        <f>HYPERLINK("https://ibp.a2mac1.com/costing(costing:projects/details/9760/equipment/12212660)","Seal welding/joining station, manual")</f>
        <v>Seal welding/joining station, manual</v>
      </c>
      <c r="B710">
        <v>12212660</v>
      </c>
      <c r="C710">
        <v>12085500</v>
      </c>
      <c r="E710" t="s">
        <v>738</v>
      </c>
      <c r="H710" t="s">
        <v>162</v>
      </c>
      <c r="I710">
        <v>4149.9071999999996</v>
      </c>
      <c r="J710">
        <v>0</v>
      </c>
      <c r="K710">
        <v>0.24</v>
      </c>
      <c r="L710">
        <v>0</v>
      </c>
      <c r="M710">
        <v>1.0275132111861138</v>
      </c>
      <c r="N710">
        <v>0</v>
      </c>
      <c r="O710">
        <v>8.5626100932176142E-3</v>
      </c>
      <c r="P710">
        <v>6.9664000000000004E-2</v>
      </c>
      <c r="Q710">
        <v>9.3871932111861135E-5</v>
      </c>
      <c r="R710">
        <v>25000</v>
      </c>
      <c r="S710">
        <v>0</v>
      </c>
      <c r="T710">
        <v>0</v>
      </c>
      <c r="V710">
        <v>600</v>
      </c>
      <c r="W710">
        <v>10</v>
      </c>
      <c r="X710">
        <v>85</v>
      </c>
      <c r="Y710">
        <v>3</v>
      </c>
      <c r="Z710">
        <v>3</v>
      </c>
      <c r="AA710">
        <v>3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100</v>
      </c>
      <c r="AM710">
        <v>3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20</v>
      </c>
      <c r="AU710">
        <v>0</v>
      </c>
      <c r="AV710">
        <v>0</v>
      </c>
    </row>
    <row r="711" spans="1:48" x14ac:dyDescent="0.15">
      <c r="A711" s="4" t="str">
        <f>HYPERLINK("https://ibp.a2mac1.com/costing(costing:projects/details/9760/equipment/12212662)","Rubber Extrusion machine")</f>
        <v>Rubber Extrusion machine</v>
      </c>
      <c r="B711">
        <v>12212662</v>
      </c>
      <c r="C711">
        <v>12085502</v>
      </c>
      <c r="E711" t="s">
        <v>1596</v>
      </c>
      <c r="H711" t="s">
        <v>162</v>
      </c>
      <c r="I711">
        <v>127372.68</v>
      </c>
      <c r="J711">
        <v>0</v>
      </c>
      <c r="K711">
        <v>8.8000000000000007</v>
      </c>
      <c r="L711">
        <v>0</v>
      </c>
      <c r="M711">
        <v>35.700141433622626</v>
      </c>
      <c r="N711">
        <v>0</v>
      </c>
      <c r="O711">
        <v>0.44625176792028287</v>
      </c>
      <c r="P711">
        <v>0.103287</v>
      </c>
      <c r="Q711">
        <v>1.4478114430086788E-3</v>
      </c>
      <c r="R711">
        <v>800000</v>
      </c>
      <c r="S711">
        <v>0</v>
      </c>
      <c r="T711">
        <v>0</v>
      </c>
      <c r="V711">
        <v>1800</v>
      </c>
      <c r="W711">
        <v>10</v>
      </c>
      <c r="X711">
        <v>85</v>
      </c>
      <c r="Y711">
        <v>3</v>
      </c>
      <c r="Z711">
        <v>4</v>
      </c>
      <c r="AA711">
        <v>5</v>
      </c>
      <c r="AB711">
        <v>0</v>
      </c>
      <c r="AC711">
        <v>0</v>
      </c>
      <c r="AD711">
        <v>0</v>
      </c>
      <c r="AE711">
        <v>0</v>
      </c>
      <c r="AF711">
        <v>2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100</v>
      </c>
      <c r="AM711">
        <v>110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500</v>
      </c>
      <c r="AU711">
        <v>0</v>
      </c>
      <c r="AV711">
        <v>0</v>
      </c>
    </row>
    <row r="712" spans="1:48" x14ac:dyDescent="0.15">
      <c r="A712" s="4" t="str">
        <f>HYPERLINK("https://ibp.a2mac1.com/costing(costing:projects/details/9760/equipment/12212307)","Rubber Extrusion machine")</f>
        <v>Rubber Extrusion machine</v>
      </c>
      <c r="B712">
        <v>12212307</v>
      </c>
      <c r="C712">
        <v>12085212</v>
      </c>
      <c r="E712" t="s">
        <v>1596</v>
      </c>
      <c r="H712" t="s">
        <v>162</v>
      </c>
      <c r="I712">
        <v>127372.68</v>
      </c>
      <c r="J712">
        <v>0</v>
      </c>
      <c r="K712">
        <v>8.8000000000000007</v>
      </c>
      <c r="L712">
        <v>0</v>
      </c>
      <c r="M712">
        <v>35.700141433622626</v>
      </c>
      <c r="N712">
        <v>0</v>
      </c>
      <c r="O712">
        <v>0.19833411907568127</v>
      </c>
      <c r="P712">
        <v>4.5905333333333333E-2</v>
      </c>
      <c r="Q712">
        <v>1.4478114430086788E-3</v>
      </c>
      <c r="R712">
        <v>800000</v>
      </c>
      <c r="S712">
        <v>0</v>
      </c>
      <c r="T712">
        <v>0</v>
      </c>
      <c r="V712">
        <v>1800</v>
      </c>
      <c r="W712">
        <v>10</v>
      </c>
      <c r="X712">
        <v>85</v>
      </c>
      <c r="Y712">
        <v>3</v>
      </c>
      <c r="Z712">
        <v>4</v>
      </c>
      <c r="AA712">
        <v>5</v>
      </c>
      <c r="AB712">
        <v>0</v>
      </c>
      <c r="AC712">
        <v>0</v>
      </c>
      <c r="AD712">
        <v>0</v>
      </c>
      <c r="AE712">
        <v>0</v>
      </c>
      <c r="AF712">
        <v>2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100</v>
      </c>
      <c r="AM712">
        <v>110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500</v>
      </c>
      <c r="AU712">
        <v>0</v>
      </c>
      <c r="AV712">
        <v>0</v>
      </c>
    </row>
    <row r="713" spans="1:48" x14ac:dyDescent="0.15">
      <c r="A713" s="4" t="str">
        <f>HYPERLINK("https://ibp.a2mac1.com/costing(costing:projects/details/9760/equipment/12212308)","Rubber Extrusion machine")</f>
        <v>Rubber Extrusion machine</v>
      </c>
      <c r="B713">
        <v>12212308</v>
      </c>
      <c r="C713">
        <v>12085213</v>
      </c>
      <c r="E713" t="s">
        <v>1596</v>
      </c>
      <c r="H713" t="s">
        <v>162</v>
      </c>
      <c r="I713">
        <v>127372.68</v>
      </c>
      <c r="J713">
        <v>0</v>
      </c>
      <c r="K713">
        <v>8.8000000000000007</v>
      </c>
      <c r="L713">
        <v>0</v>
      </c>
      <c r="M713">
        <v>35.700141433622626</v>
      </c>
      <c r="N713">
        <v>0</v>
      </c>
      <c r="O713">
        <v>0.14875058930676097</v>
      </c>
      <c r="P713">
        <v>3.4429000000000001E-2</v>
      </c>
      <c r="Q713">
        <v>1.4478114430086788E-3</v>
      </c>
      <c r="R713">
        <v>800000</v>
      </c>
      <c r="S713">
        <v>0</v>
      </c>
      <c r="T713">
        <v>0</v>
      </c>
      <c r="V713">
        <v>1800</v>
      </c>
      <c r="W713">
        <v>10</v>
      </c>
      <c r="X713">
        <v>85</v>
      </c>
      <c r="Y713">
        <v>3</v>
      </c>
      <c r="Z713">
        <v>4</v>
      </c>
      <c r="AA713">
        <v>5</v>
      </c>
      <c r="AB713">
        <v>0</v>
      </c>
      <c r="AC713">
        <v>0</v>
      </c>
      <c r="AD713">
        <v>0</v>
      </c>
      <c r="AE713">
        <v>0</v>
      </c>
      <c r="AF713">
        <v>2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100</v>
      </c>
      <c r="AM713">
        <v>110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500</v>
      </c>
      <c r="AU713">
        <v>0</v>
      </c>
      <c r="AV713">
        <v>0</v>
      </c>
    </row>
    <row r="714" spans="1:48" x14ac:dyDescent="0.15">
      <c r="A714" s="4" t="str">
        <f>HYPERLINK("https://ibp.a2mac1.com/costing(costing:projects/details/9760/equipment/12212309)","No.01 - Extrusion Press Line - 600T ")</f>
        <v xml:space="preserve">No.01 - Extrusion Press Line - 600T </v>
      </c>
      <c r="B714">
        <v>12212309</v>
      </c>
      <c r="C714">
        <v>12085214</v>
      </c>
      <c r="E714" t="s">
        <v>1630</v>
      </c>
      <c r="H714" t="s">
        <v>162</v>
      </c>
      <c r="I714">
        <v>538349.80249599996</v>
      </c>
      <c r="J714">
        <v>0</v>
      </c>
      <c r="K714">
        <v>67.951880000000003</v>
      </c>
      <c r="L714">
        <v>0</v>
      </c>
      <c r="M714">
        <v>180.59247827965285</v>
      </c>
      <c r="N714">
        <v>0</v>
      </c>
      <c r="O714">
        <v>0.23176586522905748</v>
      </c>
      <c r="P714">
        <v>2.1332895914000002E-2</v>
      </c>
      <c r="Q714">
        <v>1.1589163096779171E-3</v>
      </c>
      <c r="R714">
        <v>3250000</v>
      </c>
      <c r="S714">
        <v>0</v>
      </c>
      <c r="T714">
        <v>0</v>
      </c>
      <c r="V714">
        <v>360</v>
      </c>
      <c r="W714">
        <v>8</v>
      </c>
      <c r="X714">
        <v>85</v>
      </c>
      <c r="Y714">
        <v>3</v>
      </c>
      <c r="Z714">
        <v>4</v>
      </c>
      <c r="AA714">
        <v>5</v>
      </c>
      <c r="AB714">
        <v>0</v>
      </c>
      <c r="AC714">
        <v>1</v>
      </c>
      <c r="AD714">
        <v>0</v>
      </c>
      <c r="AE714">
        <v>0</v>
      </c>
      <c r="AF714">
        <v>2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99</v>
      </c>
      <c r="AM714">
        <v>800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473.6</v>
      </c>
      <c r="AU714">
        <v>3.9</v>
      </c>
      <c r="AV714">
        <v>0</v>
      </c>
    </row>
    <row r="715" spans="1:48" x14ac:dyDescent="0.15">
      <c r="A715" s="4" t="str">
        <f>HYPERLINK("https://ibp.a2mac1.com/costing(costing:projects/details/9760/equipment/12212310)","Dummy Machine (PCBA+Final Assembly Line)")</f>
        <v>Dummy Machine (PCBA+Final Assembly Line)</v>
      </c>
      <c r="B715">
        <v>12212310</v>
      </c>
      <c r="C715">
        <v>12085215</v>
      </c>
      <c r="F715" t="s">
        <v>358</v>
      </c>
      <c r="H715" t="s">
        <v>162</v>
      </c>
      <c r="I715">
        <v>79501.662769714283</v>
      </c>
      <c r="J715">
        <v>0</v>
      </c>
      <c r="K715">
        <v>0.28895999999999999</v>
      </c>
      <c r="L715">
        <v>0</v>
      </c>
      <c r="M715">
        <v>16.624578413647427</v>
      </c>
      <c r="N715">
        <v>0</v>
      </c>
      <c r="O715">
        <v>0.36943507585883167</v>
      </c>
      <c r="P715">
        <v>6.4267466666666662E-2</v>
      </c>
      <c r="Q715">
        <v>1.1481975848188456E-4</v>
      </c>
      <c r="R715">
        <v>442771.1</v>
      </c>
      <c r="S715">
        <v>0</v>
      </c>
      <c r="T715">
        <v>0</v>
      </c>
      <c r="V715">
        <v>216</v>
      </c>
      <c r="W715">
        <v>7</v>
      </c>
      <c r="X715">
        <v>85</v>
      </c>
      <c r="Y715">
        <v>3</v>
      </c>
      <c r="Z715">
        <v>4</v>
      </c>
      <c r="AA715">
        <v>5</v>
      </c>
      <c r="AB715">
        <v>0</v>
      </c>
      <c r="AC715">
        <v>0</v>
      </c>
      <c r="AD715">
        <v>0</v>
      </c>
      <c r="AE715">
        <v>0</v>
      </c>
      <c r="AF715">
        <v>0.7</v>
      </c>
      <c r="AG715">
        <v>0</v>
      </c>
      <c r="AH715">
        <v>0</v>
      </c>
      <c r="AI715">
        <v>0.2</v>
      </c>
      <c r="AJ715">
        <v>0</v>
      </c>
      <c r="AK715">
        <v>0</v>
      </c>
      <c r="AL715">
        <v>86</v>
      </c>
      <c r="AM715">
        <v>4.2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19.399999999999999</v>
      </c>
      <c r="AU715">
        <v>0</v>
      </c>
      <c r="AV715">
        <v>0</v>
      </c>
    </row>
    <row r="716" spans="1:48" x14ac:dyDescent="0.15">
      <c r="A716" s="4" t="str">
        <f>HYPERLINK("https://ibp.a2mac1.com/costing(costing:projects/details/9760/equipment/12212701)","DC machine - General")</f>
        <v>DC machine - General</v>
      </c>
      <c r="B716">
        <v>12212701</v>
      </c>
      <c r="C716">
        <v>12085503</v>
      </c>
      <c r="E716" t="s">
        <v>738</v>
      </c>
      <c r="H716" t="s">
        <v>162</v>
      </c>
      <c r="I716">
        <v>116914.84457142858</v>
      </c>
      <c r="J716">
        <v>0</v>
      </c>
      <c r="K716">
        <v>3.6</v>
      </c>
      <c r="L716">
        <v>0</v>
      </c>
      <c r="M716">
        <v>27.497982091197134</v>
      </c>
      <c r="N716">
        <v>0</v>
      </c>
      <c r="O716">
        <v>7.4244551646232262</v>
      </c>
      <c r="P716">
        <v>1.1154995999999999</v>
      </c>
      <c r="Q716">
        <v>1.1732166376415484E-2</v>
      </c>
      <c r="R716">
        <v>635568</v>
      </c>
      <c r="S716">
        <v>0</v>
      </c>
      <c r="T716">
        <v>0</v>
      </c>
      <c r="V716">
        <v>10800</v>
      </c>
      <c r="W716">
        <v>7</v>
      </c>
      <c r="X716">
        <v>85</v>
      </c>
      <c r="Y716">
        <v>3</v>
      </c>
      <c r="Z716">
        <v>4</v>
      </c>
      <c r="AA716">
        <v>5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3</v>
      </c>
      <c r="AJ716">
        <v>0</v>
      </c>
      <c r="AK716">
        <v>0</v>
      </c>
      <c r="AL716">
        <v>100</v>
      </c>
      <c r="AM716">
        <v>45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100</v>
      </c>
      <c r="AU716">
        <v>0</v>
      </c>
      <c r="AV716">
        <v>0</v>
      </c>
    </row>
    <row r="717" spans="1:48" x14ac:dyDescent="0.15">
      <c r="A717" s="4" t="str">
        <f>HYPERLINK("https://ibp.a2mac1.com/costing(costing:projects/details/9760/equipment/12212702)","Equipment (Injection Molding)")</f>
        <v>Equipment (Injection Molding)</v>
      </c>
      <c r="B717">
        <v>12212702</v>
      </c>
      <c r="C717">
        <v>12085504</v>
      </c>
      <c r="H717" t="s">
        <v>162</v>
      </c>
      <c r="I717">
        <v>342.58836300000002</v>
      </c>
      <c r="J717">
        <v>0</v>
      </c>
      <c r="K717">
        <v>1.456E-2</v>
      </c>
      <c r="L717">
        <v>0</v>
      </c>
      <c r="M717">
        <v>8.424633285117325E-2</v>
      </c>
      <c r="N717">
        <v>0</v>
      </c>
      <c r="O717">
        <v>1.4041055475195543E-3</v>
      </c>
      <c r="P717">
        <v>8.95154E-5</v>
      </c>
      <c r="Q717">
        <v>7.3723824523589685E-6</v>
      </c>
      <c r="R717">
        <v>1820</v>
      </c>
      <c r="S717">
        <v>0</v>
      </c>
      <c r="T717">
        <v>0</v>
      </c>
      <c r="V717">
        <v>17.55</v>
      </c>
      <c r="W717">
        <v>7</v>
      </c>
      <c r="X717">
        <v>85</v>
      </c>
      <c r="Y717">
        <v>3</v>
      </c>
      <c r="Z717">
        <v>4</v>
      </c>
      <c r="AA717">
        <v>5</v>
      </c>
      <c r="AB717">
        <v>0</v>
      </c>
      <c r="AC717">
        <v>0</v>
      </c>
      <c r="AD717">
        <v>0</v>
      </c>
      <c r="AE717">
        <v>0</v>
      </c>
      <c r="AF717">
        <v>1.2999999999999999E-3</v>
      </c>
      <c r="AG717">
        <v>0</v>
      </c>
      <c r="AH717">
        <v>0</v>
      </c>
      <c r="AI717">
        <v>2</v>
      </c>
      <c r="AJ717">
        <v>0</v>
      </c>
      <c r="AK717">
        <v>0</v>
      </c>
      <c r="AL717">
        <v>80</v>
      </c>
      <c r="AM717">
        <v>0.22750000000000001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0.48749999999999999</v>
      </c>
      <c r="AU717">
        <v>0</v>
      </c>
      <c r="AV717">
        <v>0</v>
      </c>
    </row>
    <row r="718" spans="1:48" x14ac:dyDescent="0.15">
      <c r="A718" s="4" t="str">
        <f>HYPERLINK("https://ibp.a2mac1.com/costing(costing:projects/details/9760/equipment/12212703)","No.01 - Injection Press - 40T - 18kW - 270x270 - Max Volume 128cm3 ")</f>
        <v xml:space="preserve">No.01 - Injection Press - 40T - 18kW - 270x270 - Max Volume 128cm3 </v>
      </c>
      <c r="B718">
        <v>12212703</v>
      </c>
      <c r="C718">
        <v>12085505</v>
      </c>
      <c r="E718" t="s">
        <v>1630</v>
      </c>
      <c r="H718" t="s">
        <v>162</v>
      </c>
      <c r="I718">
        <v>13574.9072</v>
      </c>
      <c r="J718">
        <v>0</v>
      </c>
      <c r="K718">
        <v>1.6020000000000001</v>
      </c>
      <c r="L718">
        <v>0</v>
      </c>
      <c r="M718">
        <v>4.4266395371263263</v>
      </c>
      <c r="N718">
        <v>0</v>
      </c>
      <c r="O718">
        <v>1.9626797491047895E-2</v>
      </c>
      <c r="P718">
        <v>4.5795303987500001E-3</v>
      </c>
      <c r="Q718">
        <v>3.5456543444551589E-3</v>
      </c>
      <c r="R718">
        <v>80000</v>
      </c>
      <c r="S718">
        <v>0</v>
      </c>
      <c r="T718">
        <v>0</v>
      </c>
      <c r="V718">
        <v>7200</v>
      </c>
      <c r="W718">
        <v>8</v>
      </c>
      <c r="X718">
        <v>85</v>
      </c>
      <c r="Y718">
        <v>3</v>
      </c>
      <c r="Z718">
        <v>4</v>
      </c>
      <c r="AA718">
        <v>5</v>
      </c>
      <c r="AB718">
        <v>0</v>
      </c>
      <c r="AC718">
        <v>0</v>
      </c>
      <c r="AD718">
        <v>0</v>
      </c>
      <c r="AE718">
        <v>0</v>
      </c>
      <c r="AF718">
        <v>0.25</v>
      </c>
      <c r="AG718">
        <v>0</v>
      </c>
      <c r="AH718">
        <v>0</v>
      </c>
      <c r="AI718">
        <v>2</v>
      </c>
      <c r="AJ718">
        <v>0</v>
      </c>
      <c r="AK718">
        <v>0</v>
      </c>
      <c r="AL718">
        <v>97</v>
      </c>
      <c r="AM718">
        <v>20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20</v>
      </c>
      <c r="AU718">
        <v>0.05</v>
      </c>
      <c r="AV718">
        <v>0</v>
      </c>
    </row>
    <row r="719" spans="1:48" x14ac:dyDescent="0.15">
      <c r="A719" s="4" t="str">
        <f>HYPERLINK("https://ibp.a2mac1.com/costing(costing:projects/details/9760/equipment/12212704)","Coiler Equipment ")</f>
        <v xml:space="preserve">Coiler Equipment </v>
      </c>
      <c r="B719">
        <v>12212704</v>
      </c>
      <c r="C719">
        <v>12085506</v>
      </c>
      <c r="F719" t="s">
        <v>5446</v>
      </c>
      <c r="H719" t="s">
        <v>162</v>
      </c>
      <c r="I719">
        <v>36268.448389199999</v>
      </c>
      <c r="J719">
        <v>0</v>
      </c>
      <c r="K719">
        <v>1.08</v>
      </c>
      <c r="L719">
        <v>0</v>
      </c>
      <c r="M719">
        <v>8.918066278559948</v>
      </c>
      <c r="N719">
        <v>0</v>
      </c>
      <c r="O719">
        <v>7.4317218987999575E-2</v>
      </c>
      <c r="P719">
        <v>3.4832000000000002E-2</v>
      </c>
      <c r="Q719">
        <v>5.1057819417839919E-4</v>
      </c>
      <c r="R719">
        <v>249999.99992</v>
      </c>
      <c r="S719">
        <v>0</v>
      </c>
      <c r="T719">
        <v>0</v>
      </c>
      <c r="V719">
        <v>900</v>
      </c>
      <c r="W719">
        <v>10</v>
      </c>
      <c r="X719">
        <v>85</v>
      </c>
      <c r="Y719">
        <v>3</v>
      </c>
      <c r="Z719">
        <v>4</v>
      </c>
      <c r="AA719">
        <v>5</v>
      </c>
      <c r="AB719">
        <v>0</v>
      </c>
      <c r="AC719">
        <v>0.5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</v>
      </c>
      <c r="AJ719">
        <v>0</v>
      </c>
      <c r="AK719">
        <v>0</v>
      </c>
      <c r="AL719">
        <v>90</v>
      </c>
      <c r="AM719">
        <v>15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65</v>
      </c>
      <c r="AU719">
        <v>0</v>
      </c>
      <c r="AV719">
        <v>0</v>
      </c>
    </row>
    <row r="720" spans="1:48" x14ac:dyDescent="0.15">
      <c r="A720" s="4" t="str">
        <f>HYPERLINK("https://ibp.a2mac1.com/costing(costing:projects/details/9760/equipment/12212705)","Furnace hardening line ")</f>
        <v xml:space="preserve">Furnace hardening line </v>
      </c>
      <c r="B720">
        <v>12212705</v>
      </c>
      <c r="C720">
        <v>12085507</v>
      </c>
      <c r="E720" t="s">
        <v>1630</v>
      </c>
      <c r="F720" t="s">
        <v>5447</v>
      </c>
      <c r="G720" t="s">
        <v>5448</v>
      </c>
      <c r="H720" t="s">
        <v>162</v>
      </c>
      <c r="I720">
        <v>61614.573120000001</v>
      </c>
      <c r="J720">
        <v>0</v>
      </c>
      <c r="K720">
        <v>1.4737359999999999</v>
      </c>
      <c r="L720">
        <v>0</v>
      </c>
      <c r="M720">
        <v>14.831912329154612</v>
      </c>
      <c r="N720">
        <v>0</v>
      </c>
      <c r="O720">
        <v>7.4159561645773059E-2</v>
      </c>
      <c r="P720">
        <v>2.0657399999999999E-2</v>
      </c>
      <c r="Q720">
        <v>8.2176456987463837E-4</v>
      </c>
      <c r="R720">
        <v>430000</v>
      </c>
      <c r="S720">
        <v>0</v>
      </c>
      <c r="T720">
        <v>0</v>
      </c>
      <c r="V720">
        <v>1800</v>
      </c>
      <c r="W720">
        <v>10</v>
      </c>
      <c r="X720">
        <v>85</v>
      </c>
      <c r="Y720">
        <v>3</v>
      </c>
      <c r="Z720">
        <v>4</v>
      </c>
      <c r="AA720">
        <v>5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100</v>
      </c>
      <c r="AM720">
        <v>16</v>
      </c>
      <c r="AN720">
        <v>0</v>
      </c>
      <c r="AO720">
        <v>0</v>
      </c>
      <c r="AP720">
        <v>0</v>
      </c>
      <c r="AQ720">
        <v>2</v>
      </c>
      <c r="AR720">
        <v>0</v>
      </c>
      <c r="AS720">
        <v>0.2</v>
      </c>
      <c r="AT720">
        <v>92</v>
      </c>
      <c r="AU720">
        <v>0</v>
      </c>
      <c r="AV720">
        <v>0</v>
      </c>
    </row>
    <row r="721" spans="1:48" x14ac:dyDescent="0.15">
      <c r="A721" s="4" t="str">
        <f>HYPERLINK("https://ibp.a2mac1.com/costing(costing:projects/details/9760/equipment/12212706)","No.01 - Injection Press - 40T - 18kW - 270x270 - Max Volume 128cm3 ")</f>
        <v xml:space="preserve">No.01 - Injection Press - 40T - 18kW - 270x270 - Max Volume 128cm3 </v>
      </c>
      <c r="B721">
        <v>12212706</v>
      </c>
      <c r="C721">
        <v>12085508</v>
      </c>
      <c r="E721" t="s">
        <v>1630</v>
      </c>
      <c r="H721" t="s">
        <v>162</v>
      </c>
      <c r="I721">
        <v>13574.9072</v>
      </c>
      <c r="J721">
        <v>0</v>
      </c>
      <c r="K721">
        <v>1.6020000000000001</v>
      </c>
      <c r="L721">
        <v>0</v>
      </c>
      <c r="M721">
        <v>4.4266395371263263</v>
      </c>
      <c r="N721">
        <v>0</v>
      </c>
      <c r="O721">
        <v>1.5201387576015215E-2</v>
      </c>
      <c r="P721">
        <v>3.5469473070833335E-3</v>
      </c>
      <c r="Q721">
        <v>3.5456543444551589E-3</v>
      </c>
      <c r="R721">
        <v>80000</v>
      </c>
      <c r="S721">
        <v>0</v>
      </c>
      <c r="T721">
        <v>0</v>
      </c>
      <c r="V721">
        <v>7200</v>
      </c>
      <c r="W721">
        <v>8</v>
      </c>
      <c r="X721">
        <v>85</v>
      </c>
      <c r="Y721">
        <v>3</v>
      </c>
      <c r="Z721">
        <v>4</v>
      </c>
      <c r="AA721">
        <v>5</v>
      </c>
      <c r="AB721">
        <v>0</v>
      </c>
      <c r="AC721">
        <v>0</v>
      </c>
      <c r="AD721">
        <v>0</v>
      </c>
      <c r="AE721">
        <v>0</v>
      </c>
      <c r="AF721">
        <v>0.25</v>
      </c>
      <c r="AG721">
        <v>0</v>
      </c>
      <c r="AH721">
        <v>0</v>
      </c>
      <c r="AI721">
        <v>2</v>
      </c>
      <c r="AJ721">
        <v>0</v>
      </c>
      <c r="AK721">
        <v>0</v>
      </c>
      <c r="AL721">
        <v>97</v>
      </c>
      <c r="AM721">
        <v>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20</v>
      </c>
      <c r="AU721">
        <v>0.05</v>
      </c>
      <c r="AV721">
        <v>0</v>
      </c>
    </row>
    <row r="722" spans="1:48" x14ac:dyDescent="0.15">
      <c r="A722" s="4" t="str">
        <f>HYPERLINK("https://ibp.a2mac1.com/costing(costing:projects/details/9760/equipment/12212707)","No.06 - Injection Press - 200T - 45kW - 510x510 - Max Volume 624cm3 ")</f>
        <v xml:space="preserve">No.06 - Injection Press - 200T - 45kW - 510x510 - Max Volume 624cm3 </v>
      </c>
      <c r="B722">
        <v>12212707</v>
      </c>
      <c r="C722">
        <v>12085509</v>
      </c>
      <c r="E722" t="s">
        <v>1630</v>
      </c>
      <c r="H722" t="s">
        <v>162</v>
      </c>
      <c r="I722">
        <v>34247.230880000003</v>
      </c>
      <c r="J722">
        <v>0</v>
      </c>
      <c r="K722">
        <v>2.6539999999999999</v>
      </c>
      <c r="L722">
        <v>0</v>
      </c>
      <c r="M722">
        <v>9.7654160848601741</v>
      </c>
      <c r="N722">
        <v>0</v>
      </c>
      <c r="O722">
        <v>0.13025673485411379</v>
      </c>
      <c r="P722">
        <v>1.377701396025E-2</v>
      </c>
      <c r="Q722">
        <v>4.1863075301832205E-3</v>
      </c>
      <c r="R722">
        <v>200000</v>
      </c>
      <c r="S722">
        <v>0</v>
      </c>
      <c r="T722">
        <v>0</v>
      </c>
      <c r="V722">
        <v>7200</v>
      </c>
      <c r="W722">
        <v>8</v>
      </c>
      <c r="X722">
        <v>85</v>
      </c>
      <c r="Y722">
        <v>3</v>
      </c>
      <c r="Z722">
        <v>4</v>
      </c>
      <c r="AA722">
        <v>5</v>
      </c>
      <c r="AB722">
        <v>0</v>
      </c>
      <c r="AC722">
        <v>0</v>
      </c>
      <c r="AD722">
        <v>0</v>
      </c>
      <c r="AE722">
        <v>0</v>
      </c>
      <c r="AF722">
        <v>0.25</v>
      </c>
      <c r="AG722">
        <v>0</v>
      </c>
      <c r="AH722">
        <v>0</v>
      </c>
      <c r="AI722">
        <v>2</v>
      </c>
      <c r="AJ722">
        <v>0</v>
      </c>
      <c r="AK722">
        <v>0</v>
      </c>
      <c r="AL722">
        <v>93</v>
      </c>
      <c r="AM722">
        <v>35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58</v>
      </c>
      <c r="AU722">
        <v>0.05</v>
      </c>
      <c r="AV722">
        <v>0</v>
      </c>
    </row>
    <row r="723" spans="1:48" x14ac:dyDescent="0.15">
      <c r="A723" s="4" t="str">
        <f>HYPERLINK("https://ibp.a2mac1.com/costing(costing:projects/details/9760/equipment/12212708)","No.02 - Injection Press - 60T - 25kW - 320x320 - Max Volume 164cm3 ")</f>
        <v xml:space="preserve">No.02 - Injection Press - 60T - 25kW - 320x320 - Max Volume 164cm3 </v>
      </c>
      <c r="B723">
        <v>12212708</v>
      </c>
      <c r="C723">
        <v>12085510</v>
      </c>
      <c r="E723" t="s">
        <v>1630</v>
      </c>
      <c r="H723" t="s">
        <v>162</v>
      </c>
      <c r="I723">
        <v>16929.888640000001</v>
      </c>
      <c r="J723">
        <v>0</v>
      </c>
      <c r="K723">
        <v>1.9124000000000001</v>
      </c>
      <c r="L723">
        <v>0</v>
      </c>
      <c r="M723">
        <v>5.4369722661523623</v>
      </c>
      <c r="N723">
        <v>0</v>
      </c>
      <c r="O723">
        <v>3.1146420556289297E-2</v>
      </c>
      <c r="P723">
        <v>5.9169335110000002E-3</v>
      </c>
      <c r="Q723">
        <v>3.6668942719382835E-3</v>
      </c>
      <c r="R723">
        <v>100000</v>
      </c>
      <c r="S723">
        <v>0</v>
      </c>
      <c r="T723">
        <v>0</v>
      </c>
      <c r="V723">
        <v>7200</v>
      </c>
      <c r="W723">
        <v>8</v>
      </c>
      <c r="X723">
        <v>85</v>
      </c>
      <c r="Y723">
        <v>3</v>
      </c>
      <c r="Z723">
        <v>4</v>
      </c>
      <c r="AA723">
        <v>5</v>
      </c>
      <c r="AB723">
        <v>0</v>
      </c>
      <c r="AC723">
        <v>0</v>
      </c>
      <c r="AD723">
        <v>0</v>
      </c>
      <c r="AE723">
        <v>0</v>
      </c>
      <c r="AF723">
        <v>0.25</v>
      </c>
      <c r="AG723">
        <v>0</v>
      </c>
      <c r="AH723">
        <v>0</v>
      </c>
      <c r="AI723">
        <v>2</v>
      </c>
      <c r="AJ723">
        <v>0</v>
      </c>
      <c r="AK723">
        <v>0</v>
      </c>
      <c r="AL723">
        <v>97</v>
      </c>
      <c r="AM723">
        <v>24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24</v>
      </c>
      <c r="AU723">
        <v>0.05</v>
      </c>
      <c r="AV723">
        <v>0</v>
      </c>
    </row>
    <row r="724" spans="1:48" x14ac:dyDescent="0.15">
      <c r="A724" s="4" t="str">
        <f>HYPERLINK("https://ibp.a2mac1.com/costing(costing:projects/details/9760/equipment/12212709)","No.04 - 60000x6000x3500 - Automatic Painting Line - with 12x100kW on line ovens ")</f>
        <v xml:space="preserve">No.04 - 60000x6000x3500 - Automatic Painting Line - with 12x100kW on line ovens </v>
      </c>
      <c r="B724">
        <v>12212709</v>
      </c>
      <c r="C724">
        <v>12085511</v>
      </c>
      <c r="E724" t="s">
        <v>1630</v>
      </c>
      <c r="G724" t="s">
        <v>5227</v>
      </c>
      <c r="H724" t="s">
        <v>162</v>
      </c>
      <c r="I724">
        <v>1438767.4831999999</v>
      </c>
      <c r="J724">
        <v>0</v>
      </c>
      <c r="K724">
        <v>279.76751999999999</v>
      </c>
      <c r="L724">
        <v>0</v>
      </c>
      <c r="M724">
        <v>580.11587795564128</v>
      </c>
      <c r="N724">
        <v>0</v>
      </c>
      <c r="O724">
        <v>0.43508690846673098</v>
      </c>
      <c r="P724">
        <v>2.1690270000000001E-2</v>
      </c>
      <c r="Q724">
        <v>0</v>
      </c>
      <c r="R724">
        <v>8600000</v>
      </c>
      <c r="S724">
        <v>0</v>
      </c>
      <c r="T724">
        <v>0</v>
      </c>
      <c r="V724">
        <v>0</v>
      </c>
      <c r="W724">
        <v>8</v>
      </c>
      <c r="X724">
        <v>85</v>
      </c>
      <c r="Y724">
        <v>3</v>
      </c>
      <c r="Z724">
        <v>4</v>
      </c>
      <c r="AA724">
        <v>5</v>
      </c>
      <c r="AB724">
        <v>0</v>
      </c>
      <c r="AC724">
        <v>0</v>
      </c>
      <c r="AD724">
        <v>0</v>
      </c>
      <c r="AE724">
        <v>0</v>
      </c>
      <c r="AF724">
        <v>7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100</v>
      </c>
      <c r="AM724">
        <v>3400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4</v>
      </c>
      <c r="AT724">
        <v>1620</v>
      </c>
      <c r="AU724">
        <v>5</v>
      </c>
      <c r="AV724">
        <v>0</v>
      </c>
    </row>
    <row r="725" spans="1:48" x14ac:dyDescent="0.15">
      <c r="A725" s="4" t="str">
        <f>HYPERLINK("https://ibp.a2mac1.com/costing(costing:projects/details/9760/equipment/12212710)","Loading + Unloading, Retouching, Checking")</f>
        <v>Loading + Unloading, Retouching, Checking</v>
      </c>
      <c r="B725">
        <v>12212710</v>
      </c>
      <c r="C725">
        <v>12085511</v>
      </c>
      <c r="E725" t="s">
        <v>1630</v>
      </c>
      <c r="H725" t="s">
        <v>162</v>
      </c>
      <c r="I725">
        <v>116.23608</v>
      </c>
      <c r="J725">
        <v>0</v>
      </c>
      <c r="K725">
        <v>0</v>
      </c>
      <c r="L725">
        <v>0</v>
      </c>
      <c r="M725">
        <v>1.8681465766634521E-2</v>
      </c>
      <c r="N725">
        <v>0</v>
      </c>
      <c r="O725">
        <v>1.4011099324975892E-5</v>
      </c>
      <c r="P725">
        <v>3.7183319999999999E-2</v>
      </c>
      <c r="Q725">
        <v>0</v>
      </c>
      <c r="R725">
        <v>0</v>
      </c>
      <c r="S725">
        <v>0</v>
      </c>
      <c r="T725">
        <v>0</v>
      </c>
      <c r="V725">
        <v>0</v>
      </c>
      <c r="W725">
        <v>8</v>
      </c>
      <c r="X725">
        <v>85</v>
      </c>
      <c r="Y725">
        <v>3</v>
      </c>
      <c r="Z725">
        <v>4</v>
      </c>
      <c r="AA725">
        <v>5</v>
      </c>
      <c r="AB725">
        <v>0</v>
      </c>
      <c r="AC725">
        <v>0</v>
      </c>
      <c r="AD725">
        <v>0</v>
      </c>
      <c r="AE725">
        <v>0</v>
      </c>
      <c r="AF725">
        <v>12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100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3</v>
      </c>
      <c r="AU725">
        <v>0</v>
      </c>
      <c r="AV725">
        <v>0</v>
      </c>
    </row>
    <row r="726" spans="1:48" x14ac:dyDescent="0.15">
      <c r="A726" s="4" t="str">
        <f>HYPERLINK("https://ibp.a2mac1.com/costing(costing:projects/details/9760/equipment/12212713)","Equipment (Injection Molding)")</f>
        <v>Equipment (Injection Molding)</v>
      </c>
      <c r="B726">
        <v>12212713</v>
      </c>
      <c r="C726">
        <v>12085513</v>
      </c>
      <c r="H726" t="s">
        <v>162</v>
      </c>
      <c r="I726">
        <v>2371.76559</v>
      </c>
      <c r="J726">
        <v>0</v>
      </c>
      <c r="K726">
        <v>0.1008</v>
      </c>
      <c r="L726">
        <v>0</v>
      </c>
      <c r="M726">
        <v>0.58324384281581487</v>
      </c>
      <c r="N726">
        <v>0</v>
      </c>
      <c r="O726">
        <v>9.7207307135969145E-3</v>
      </c>
      <c r="P726">
        <v>6.1972199999999996E-4</v>
      </c>
      <c r="Q726">
        <v>5.2050040781702022E-5</v>
      </c>
      <c r="R726">
        <v>12600</v>
      </c>
      <c r="S726">
        <v>0</v>
      </c>
      <c r="T726">
        <v>0</v>
      </c>
      <c r="V726">
        <v>121.5</v>
      </c>
      <c r="W726">
        <v>7</v>
      </c>
      <c r="X726">
        <v>85</v>
      </c>
      <c r="Y726">
        <v>3</v>
      </c>
      <c r="Z726">
        <v>4</v>
      </c>
      <c r="AA726">
        <v>5</v>
      </c>
      <c r="AB726">
        <v>0</v>
      </c>
      <c r="AC726">
        <v>0</v>
      </c>
      <c r="AD726">
        <v>0</v>
      </c>
      <c r="AE726">
        <v>0</v>
      </c>
      <c r="AF726">
        <v>8.9999999999999993E-3</v>
      </c>
      <c r="AG726">
        <v>0</v>
      </c>
      <c r="AH726">
        <v>0</v>
      </c>
      <c r="AI726">
        <v>2</v>
      </c>
      <c r="AJ726">
        <v>0</v>
      </c>
      <c r="AK726">
        <v>0</v>
      </c>
      <c r="AL726">
        <v>80</v>
      </c>
      <c r="AM726">
        <v>1.575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3.375</v>
      </c>
      <c r="AU726">
        <v>0</v>
      </c>
      <c r="AV726">
        <v>0</v>
      </c>
    </row>
    <row r="727" spans="1:48" x14ac:dyDescent="0.15">
      <c r="A727" s="4" t="str">
        <f>HYPERLINK("https://ibp.a2mac1.com/costing(costing:projects/details/9760/equipment/12212711)","No.04 - 60000x6000x3500 - Automatic Painting Line - with 12x100kW on line ovens ")</f>
        <v xml:space="preserve">No.04 - 60000x6000x3500 - Automatic Painting Line - with 12x100kW on line ovens </v>
      </c>
      <c r="B727">
        <v>12212711</v>
      </c>
      <c r="C727">
        <v>12085512</v>
      </c>
      <c r="E727" t="s">
        <v>1630</v>
      </c>
      <c r="G727" t="s">
        <v>5227</v>
      </c>
      <c r="H727" t="s">
        <v>162</v>
      </c>
      <c r="I727">
        <v>1438767.4831999999</v>
      </c>
      <c r="J727">
        <v>0</v>
      </c>
      <c r="K727">
        <v>279.76751999999999</v>
      </c>
      <c r="L727">
        <v>0</v>
      </c>
      <c r="M727">
        <v>580.11587795564128</v>
      </c>
      <c r="N727">
        <v>0</v>
      </c>
      <c r="O727">
        <v>0.43508690846673098</v>
      </c>
      <c r="P727">
        <v>2.1690270000000001E-2</v>
      </c>
      <c r="Q727">
        <v>0</v>
      </c>
      <c r="R727">
        <v>8600000</v>
      </c>
      <c r="S727">
        <v>0</v>
      </c>
      <c r="T727">
        <v>0</v>
      </c>
      <c r="V727">
        <v>0</v>
      </c>
      <c r="W727">
        <v>8</v>
      </c>
      <c r="X727">
        <v>85</v>
      </c>
      <c r="Y727">
        <v>3</v>
      </c>
      <c r="Z727">
        <v>4</v>
      </c>
      <c r="AA727">
        <v>5</v>
      </c>
      <c r="AB727">
        <v>0</v>
      </c>
      <c r="AC727">
        <v>0</v>
      </c>
      <c r="AD727">
        <v>0</v>
      </c>
      <c r="AE727">
        <v>0</v>
      </c>
      <c r="AF727">
        <v>7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100</v>
      </c>
      <c r="AM727">
        <v>3400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4</v>
      </c>
      <c r="AT727">
        <v>1620</v>
      </c>
      <c r="AU727">
        <v>5</v>
      </c>
      <c r="AV727">
        <v>0</v>
      </c>
    </row>
    <row r="728" spans="1:48" x14ac:dyDescent="0.15">
      <c r="A728" s="4" t="str">
        <f>HYPERLINK("https://ibp.a2mac1.com/costing(costing:projects/details/9760/equipment/12212712)","Loading + Unloading, Retouching, Checking")</f>
        <v>Loading + Unloading, Retouching, Checking</v>
      </c>
      <c r="B728">
        <v>12212712</v>
      </c>
      <c r="C728">
        <v>12085512</v>
      </c>
      <c r="E728" t="s">
        <v>1630</v>
      </c>
      <c r="H728" t="s">
        <v>162</v>
      </c>
      <c r="I728">
        <v>116.23608</v>
      </c>
      <c r="J728">
        <v>0</v>
      </c>
      <c r="K728">
        <v>0</v>
      </c>
      <c r="L728">
        <v>0</v>
      </c>
      <c r="M728">
        <v>1.8681465766634521E-2</v>
      </c>
      <c r="N728">
        <v>0</v>
      </c>
      <c r="O728">
        <v>1.4011099324975892E-5</v>
      </c>
      <c r="P728">
        <v>3.7183319999999999E-2</v>
      </c>
      <c r="Q728">
        <v>0</v>
      </c>
      <c r="R728">
        <v>0</v>
      </c>
      <c r="S728">
        <v>0</v>
      </c>
      <c r="T728">
        <v>0</v>
      </c>
      <c r="V728">
        <v>0</v>
      </c>
      <c r="W728">
        <v>8</v>
      </c>
      <c r="X728">
        <v>85</v>
      </c>
      <c r="Y728">
        <v>3</v>
      </c>
      <c r="Z728">
        <v>4</v>
      </c>
      <c r="AA728">
        <v>5</v>
      </c>
      <c r="AB728">
        <v>0</v>
      </c>
      <c r="AC728">
        <v>0</v>
      </c>
      <c r="AD728">
        <v>0</v>
      </c>
      <c r="AE728">
        <v>0</v>
      </c>
      <c r="AF728">
        <v>12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100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</v>
      </c>
      <c r="AU728">
        <v>0</v>
      </c>
      <c r="AV728">
        <v>0</v>
      </c>
    </row>
    <row r="729" spans="1:48" x14ac:dyDescent="0.15">
      <c r="A729" s="4" t="str">
        <f>HYPERLINK("https://ibp.a2mac1.com/costing(costing:projects/details/9760/equipment/12212714)","No.01 - Injection Press - 40T - 18kW - 270x270 - Max Volume 128cm3 ")</f>
        <v xml:space="preserve">No.01 - Injection Press - 40T - 18kW - 270x270 - Max Volume 128cm3 </v>
      </c>
      <c r="B729">
        <v>12212714</v>
      </c>
      <c r="C729">
        <v>12085514</v>
      </c>
      <c r="E729" t="s">
        <v>1630</v>
      </c>
      <c r="H729" t="s">
        <v>162</v>
      </c>
      <c r="I729">
        <v>13574.9072</v>
      </c>
      <c r="J729">
        <v>0</v>
      </c>
      <c r="K729">
        <v>1.6020000000000001</v>
      </c>
      <c r="L729">
        <v>0</v>
      </c>
      <c r="M729">
        <v>4.4266395371263263</v>
      </c>
      <c r="N729">
        <v>0</v>
      </c>
      <c r="O729">
        <v>3.1364327333040821E-2</v>
      </c>
      <c r="P729">
        <v>7.3182540617499998E-3</v>
      </c>
      <c r="Q729">
        <v>3.5456543444551589E-3</v>
      </c>
      <c r="R729">
        <v>80000</v>
      </c>
      <c r="S729">
        <v>0</v>
      </c>
      <c r="T729">
        <v>0</v>
      </c>
      <c r="V729">
        <v>7200</v>
      </c>
      <c r="W729">
        <v>8</v>
      </c>
      <c r="X729">
        <v>85</v>
      </c>
      <c r="Y729">
        <v>3</v>
      </c>
      <c r="Z729">
        <v>4</v>
      </c>
      <c r="AA729">
        <v>5</v>
      </c>
      <c r="AB729">
        <v>0</v>
      </c>
      <c r="AC729">
        <v>0</v>
      </c>
      <c r="AD729">
        <v>0</v>
      </c>
      <c r="AE729">
        <v>0</v>
      </c>
      <c r="AF729">
        <v>0.25</v>
      </c>
      <c r="AG729">
        <v>0</v>
      </c>
      <c r="AH729">
        <v>0</v>
      </c>
      <c r="AI729">
        <v>2</v>
      </c>
      <c r="AJ729">
        <v>0</v>
      </c>
      <c r="AK729">
        <v>0</v>
      </c>
      <c r="AL729">
        <v>97</v>
      </c>
      <c r="AM729">
        <v>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20</v>
      </c>
      <c r="AU729">
        <v>0.05</v>
      </c>
      <c r="AV729">
        <v>0</v>
      </c>
    </row>
    <row r="730" spans="1:48" x14ac:dyDescent="0.15">
      <c r="A730" s="4" t="str">
        <f>HYPERLINK("https://ibp.a2mac1.com/costing(costing:projects/details/9760/equipment/12212312)","Equipment (Stamping)")</f>
        <v>Equipment (Stamping)</v>
      </c>
      <c r="B730">
        <v>12212312</v>
      </c>
      <c r="C730">
        <v>12085217</v>
      </c>
      <c r="H730" t="s">
        <v>162</v>
      </c>
      <c r="I730">
        <v>716.18946857142862</v>
      </c>
      <c r="J730">
        <v>0</v>
      </c>
      <c r="K730">
        <v>3.2000000000000001E-2</v>
      </c>
      <c r="L730">
        <v>0</v>
      </c>
      <c r="M730">
        <v>0.17683919456307112</v>
      </c>
      <c r="N730">
        <v>0</v>
      </c>
      <c r="O730">
        <v>1.2280499622435495E-4</v>
      </c>
      <c r="P730">
        <v>1.4345416666666667E-5</v>
      </c>
      <c r="Q730">
        <v>7.589195758368921E-4</v>
      </c>
      <c r="R730">
        <v>3700</v>
      </c>
      <c r="S730">
        <v>0</v>
      </c>
      <c r="T730">
        <v>0</v>
      </c>
      <c r="V730">
        <v>1800</v>
      </c>
      <c r="W730">
        <v>7</v>
      </c>
      <c r="X730">
        <v>85</v>
      </c>
      <c r="Y730">
        <v>3</v>
      </c>
      <c r="Z730">
        <v>4</v>
      </c>
      <c r="AA730">
        <v>5</v>
      </c>
      <c r="AB730">
        <v>0</v>
      </c>
      <c r="AC730">
        <v>0</v>
      </c>
      <c r="AD730">
        <v>0</v>
      </c>
      <c r="AE730">
        <v>0</v>
      </c>
      <c r="AF730">
        <v>5.0000000000000001E-3</v>
      </c>
      <c r="AG730">
        <v>0</v>
      </c>
      <c r="AH730">
        <v>0</v>
      </c>
      <c r="AI730">
        <v>2</v>
      </c>
      <c r="AJ730">
        <v>0</v>
      </c>
      <c r="AK730">
        <v>0</v>
      </c>
      <c r="AL730">
        <v>80</v>
      </c>
      <c r="AM730">
        <v>0.5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1.5</v>
      </c>
      <c r="AU730">
        <v>0</v>
      </c>
      <c r="AV730">
        <v>0</v>
      </c>
    </row>
    <row r="731" spans="1:48" x14ac:dyDescent="0.15">
      <c r="A731" s="4" t="str">
        <f>HYPERLINK("https://ibp.a2mac1.com/costing(costing:projects/details/9760/equipment/12212313)","No.01 - Generic CN Wire Bending ")</f>
        <v xml:space="preserve">No.01 - Generic CN Wire Bending </v>
      </c>
      <c r="B731">
        <v>12212313</v>
      </c>
      <c r="C731">
        <v>12085218</v>
      </c>
      <c r="E731" t="s">
        <v>1630</v>
      </c>
      <c r="G731" t="s">
        <v>5494</v>
      </c>
      <c r="H731" t="s">
        <v>162</v>
      </c>
      <c r="I731">
        <v>39737.935922999997</v>
      </c>
      <c r="J731">
        <v>0</v>
      </c>
      <c r="K731">
        <v>0.40079999999999999</v>
      </c>
      <c r="L731">
        <v>0</v>
      </c>
      <c r="M731">
        <v>8.547922760045001</v>
      </c>
      <c r="N731">
        <v>0</v>
      </c>
      <c r="O731">
        <v>1.1872114944506946E-2</v>
      </c>
      <c r="P731">
        <v>5.7381666666666666E-3</v>
      </c>
      <c r="Q731">
        <v>7.0127896560270007E-4</v>
      </c>
      <c r="R731">
        <v>219069.2378</v>
      </c>
      <c r="S731">
        <v>0</v>
      </c>
      <c r="T731">
        <v>0</v>
      </c>
      <c r="V731">
        <v>3600</v>
      </c>
      <c r="W731">
        <v>7</v>
      </c>
      <c r="X731">
        <v>85</v>
      </c>
      <c r="Y731">
        <v>3</v>
      </c>
      <c r="Z731">
        <v>4</v>
      </c>
      <c r="AA731">
        <v>5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0.25</v>
      </c>
      <c r="AJ731">
        <v>0</v>
      </c>
      <c r="AK731">
        <v>0</v>
      </c>
      <c r="AL731">
        <v>94</v>
      </c>
      <c r="AM731">
        <v>4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20</v>
      </c>
      <c r="AU731">
        <v>0.1</v>
      </c>
      <c r="AV731">
        <v>0</v>
      </c>
    </row>
    <row r="732" spans="1:48" x14ac:dyDescent="0.15">
      <c r="A732" s="4" t="str">
        <f>HYPERLINK("https://ibp.a2mac1.com/costing(costing:projects/details/9760/equipment/12212311)","No.04 - Press Fit Assembly ")</f>
        <v xml:space="preserve">No.04 - Press Fit Assembly </v>
      </c>
      <c r="B732">
        <v>12212311</v>
      </c>
      <c r="C732">
        <v>12085216</v>
      </c>
      <c r="E732" t="s">
        <v>1630</v>
      </c>
      <c r="H732" t="s">
        <v>162</v>
      </c>
      <c r="I732">
        <v>13962.360798399999</v>
      </c>
      <c r="J732">
        <v>0</v>
      </c>
      <c r="K732">
        <v>0.39200000000000002</v>
      </c>
      <c r="L732">
        <v>0</v>
      </c>
      <c r="M732">
        <v>3.2789110893442621</v>
      </c>
      <c r="N732">
        <v>0</v>
      </c>
      <c r="O732">
        <v>1.3662129538934427E-2</v>
      </c>
      <c r="P732">
        <v>1.7214500000000001E-2</v>
      </c>
      <c r="Q732">
        <v>4.7517453268032787E-5</v>
      </c>
      <c r="R732">
        <v>79999.999989999997</v>
      </c>
      <c r="S732">
        <v>0</v>
      </c>
      <c r="T732">
        <v>0</v>
      </c>
      <c r="V732">
        <v>180</v>
      </c>
      <c r="W732">
        <v>8</v>
      </c>
      <c r="X732">
        <v>85</v>
      </c>
      <c r="Y732">
        <v>3</v>
      </c>
      <c r="Z732">
        <v>4</v>
      </c>
      <c r="AA732">
        <v>5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98</v>
      </c>
      <c r="AM732">
        <v>5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30</v>
      </c>
      <c r="AU732">
        <v>0</v>
      </c>
      <c r="AV732">
        <v>0</v>
      </c>
    </row>
    <row r="733" spans="1:48" x14ac:dyDescent="0.15">
      <c r="A733" s="4" t="str">
        <f>HYPERLINK("https://ibp.a2mac1.com/costing(costing:projects/details/9760/equipment/12212314)","Equipment (Injection Molding)")</f>
        <v>Equipment (Injection Molding)</v>
      </c>
      <c r="B733">
        <v>12212314</v>
      </c>
      <c r="C733">
        <v>12085219</v>
      </c>
      <c r="H733" t="s">
        <v>162</v>
      </c>
      <c r="I733">
        <v>105.411804</v>
      </c>
      <c r="J733">
        <v>0</v>
      </c>
      <c r="K733">
        <v>4.4799999999999996E-3</v>
      </c>
      <c r="L733">
        <v>0</v>
      </c>
      <c r="M733">
        <v>2.592194856959177E-2</v>
      </c>
      <c r="N733">
        <v>0</v>
      </c>
      <c r="O733">
        <v>4.3203247615986284E-4</v>
      </c>
      <c r="P733">
        <v>2.7543200000000001E-5</v>
      </c>
      <c r="Q733">
        <v>2.2631761753712633E-6</v>
      </c>
      <c r="R733">
        <v>560</v>
      </c>
      <c r="S733">
        <v>0</v>
      </c>
      <c r="T733">
        <v>0</v>
      </c>
      <c r="V733">
        <v>5.4</v>
      </c>
      <c r="W733">
        <v>7</v>
      </c>
      <c r="X733">
        <v>85</v>
      </c>
      <c r="Y733">
        <v>3</v>
      </c>
      <c r="Z733">
        <v>4</v>
      </c>
      <c r="AA733">
        <v>5</v>
      </c>
      <c r="AB733">
        <v>0</v>
      </c>
      <c r="AC733">
        <v>0</v>
      </c>
      <c r="AD733">
        <v>0</v>
      </c>
      <c r="AE733">
        <v>0</v>
      </c>
      <c r="AF733">
        <v>4.0000000000000002E-4</v>
      </c>
      <c r="AG733">
        <v>0</v>
      </c>
      <c r="AH733">
        <v>0</v>
      </c>
      <c r="AI733">
        <v>2</v>
      </c>
      <c r="AJ733">
        <v>0</v>
      </c>
      <c r="AK733">
        <v>0</v>
      </c>
      <c r="AL733">
        <v>80</v>
      </c>
      <c r="AM733">
        <v>7.0000000000000007E-2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0.15</v>
      </c>
      <c r="AU733">
        <v>0</v>
      </c>
      <c r="AV733">
        <v>0</v>
      </c>
    </row>
    <row r="734" spans="1:48" x14ac:dyDescent="0.15">
      <c r="A734" s="4" t="str">
        <f>HYPERLINK("https://ibp.a2mac1.com/costing(costing:projects/details/9760/equipment/12212179)","Assembly Station ")</f>
        <v xml:space="preserve">Assembly Station </v>
      </c>
      <c r="B734">
        <v>12212179</v>
      </c>
      <c r="C734">
        <v>12085088</v>
      </c>
      <c r="E734" t="s">
        <v>1630</v>
      </c>
      <c r="F734" t="s">
        <v>5068</v>
      </c>
      <c r="G734" t="s">
        <v>8</v>
      </c>
      <c r="H734" t="s">
        <v>162</v>
      </c>
      <c r="I734">
        <v>4824.9071999999996</v>
      </c>
      <c r="J734">
        <v>0</v>
      </c>
      <c r="K734">
        <v>0.10768</v>
      </c>
      <c r="L734">
        <v>0</v>
      </c>
      <c r="M734">
        <v>1.1242192478302797</v>
      </c>
      <c r="N734">
        <v>0</v>
      </c>
      <c r="O734">
        <v>4.6842468659594988E-2</v>
      </c>
      <c r="P734">
        <v>0.17214499999999999</v>
      </c>
      <c r="Q734">
        <v>2.2807432079717134E-4</v>
      </c>
      <c r="R734">
        <v>30000</v>
      </c>
      <c r="S734">
        <v>0</v>
      </c>
      <c r="T734">
        <v>0</v>
      </c>
      <c r="V734">
        <v>600</v>
      </c>
      <c r="W734">
        <v>10</v>
      </c>
      <c r="X734">
        <v>85</v>
      </c>
      <c r="Y734">
        <v>3</v>
      </c>
      <c r="Z734">
        <v>4</v>
      </c>
      <c r="AA734">
        <v>5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100</v>
      </c>
      <c r="AM734">
        <v>1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20</v>
      </c>
      <c r="AU734">
        <v>0</v>
      </c>
      <c r="AV734">
        <v>0</v>
      </c>
    </row>
    <row r="735" spans="1:48" x14ac:dyDescent="0.15">
      <c r="A735" s="4" t="str">
        <f>HYPERLINK("https://ibp.a2mac1.com/costing(costing:projects/details/9760/equipment/12212177)","Thermocompression ")</f>
        <v xml:space="preserve">Thermocompression </v>
      </c>
      <c r="B735">
        <v>12212177</v>
      </c>
      <c r="C735">
        <v>12085086</v>
      </c>
      <c r="E735" t="s">
        <v>5510</v>
      </c>
      <c r="F735" t="s">
        <v>5511</v>
      </c>
      <c r="H735" t="s">
        <v>162</v>
      </c>
      <c r="I735">
        <v>52467.857137521431</v>
      </c>
      <c r="J735">
        <v>0</v>
      </c>
      <c r="K735">
        <v>0</v>
      </c>
      <c r="L735">
        <v>0</v>
      </c>
      <c r="M735">
        <v>10.434962918532884</v>
      </c>
      <c r="N735">
        <v>0</v>
      </c>
      <c r="O735">
        <v>5.7972016214071581E-2</v>
      </c>
      <c r="P735">
        <v>6.9779111111111111E-2</v>
      </c>
      <c r="Q735">
        <v>6.8985608755598653E-4</v>
      </c>
      <c r="R735">
        <v>294999.99997</v>
      </c>
      <c r="S735">
        <v>99651.6</v>
      </c>
      <c r="T735">
        <v>800000</v>
      </c>
      <c r="V735">
        <v>1800</v>
      </c>
      <c r="W735">
        <v>7</v>
      </c>
      <c r="X735">
        <v>88</v>
      </c>
      <c r="Y735">
        <v>3</v>
      </c>
      <c r="Z735">
        <v>4</v>
      </c>
      <c r="AA735">
        <v>5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100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15">
      <c r="A736" s="4" t="str">
        <f>HYPERLINK("https://ibp.a2mac1.com/costing(costing:projects/details/9760/equipment/12212178)","Placement robot, 6 axis, 2.5kg ")</f>
        <v xml:space="preserve">Placement robot, 6 axis, 2.5kg </v>
      </c>
      <c r="B736">
        <v>12212178</v>
      </c>
      <c r="C736">
        <v>12085087</v>
      </c>
      <c r="E736" t="s">
        <v>1630</v>
      </c>
      <c r="F736" t="s">
        <v>5512</v>
      </c>
      <c r="H736" t="s">
        <v>162</v>
      </c>
      <c r="I736">
        <v>14424.755758650001</v>
      </c>
      <c r="J736">
        <v>0</v>
      </c>
      <c r="K736">
        <v>0.16</v>
      </c>
      <c r="L736">
        <v>0</v>
      </c>
      <c r="M736">
        <v>3.3000925358646738</v>
      </c>
      <c r="N736">
        <v>0</v>
      </c>
      <c r="O736">
        <v>4.5834618553676027E-3</v>
      </c>
      <c r="P736">
        <v>0</v>
      </c>
      <c r="Q736">
        <v>9.5161995215188046E-4</v>
      </c>
      <c r="R736">
        <v>102257.99999</v>
      </c>
      <c r="S736">
        <v>0</v>
      </c>
      <c r="T736">
        <v>0</v>
      </c>
      <c r="V736">
        <v>3600</v>
      </c>
      <c r="W736">
        <v>10</v>
      </c>
      <c r="X736">
        <v>85</v>
      </c>
      <c r="Y736">
        <v>3</v>
      </c>
      <c r="Z736">
        <v>4</v>
      </c>
      <c r="AA736">
        <v>5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100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16</v>
      </c>
      <c r="AU736">
        <v>0</v>
      </c>
      <c r="AV736">
        <v>0</v>
      </c>
    </row>
    <row r="737" spans="1:48" x14ac:dyDescent="0.15">
      <c r="A737" s="4" t="str">
        <f>HYPERLINK("https://ibp.a2mac1.com/costing(costing:projects/details/9760/equipment/12212153)","Assembly Station ")</f>
        <v xml:space="preserve">Assembly Station </v>
      </c>
      <c r="B737">
        <v>12212153</v>
      </c>
      <c r="C737">
        <v>12085061</v>
      </c>
      <c r="E737" t="s">
        <v>1630</v>
      </c>
      <c r="F737" t="s">
        <v>5068</v>
      </c>
      <c r="G737" t="s">
        <v>8</v>
      </c>
      <c r="H737" t="s">
        <v>162</v>
      </c>
      <c r="I737">
        <v>4824.9071999999996</v>
      </c>
      <c r="J737">
        <v>0</v>
      </c>
      <c r="K737">
        <v>0.10768</v>
      </c>
      <c r="L737">
        <v>0</v>
      </c>
      <c r="M737">
        <v>1.1242192478302797</v>
      </c>
      <c r="N737">
        <v>0</v>
      </c>
      <c r="O737">
        <v>0.14052740597878496</v>
      </c>
      <c r="P737">
        <v>0.51643499999999998</v>
      </c>
      <c r="Q737">
        <v>2.2807432079717134E-4</v>
      </c>
      <c r="R737">
        <v>30000</v>
      </c>
      <c r="S737">
        <v>0</v>
      </c>
      <c r="T737">
        <v>0</v>
      </c>
      <c r="V737">
        <v>600</v>
      </c>
      <c r="W737">
        <v>10</v>
      </c>
      <c r="X737">
        <v>85</v>
      </c>
      <c r="Y737">
        <v>3</v>
      </c>
      <c r="Z737">
        <v>4</v>
      </c>
      <c r="AA737">
        <v>5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100</v>
      </c>
      <c r="AM737">
        <v>1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20</v>
      </c>
      <c r="AU737">
        <v>0</v>
      </c>
      <c r="AV737">
        <v>0</v>
      </c>
    </row>
    <row r="738" spans="1:48" x14ac:dyDescent="0.15">
      <c r="A738" s="4" t="str">
        <f>HYPERLINK("https://ibp.a2mac1.com/costing(costing:projects/details/9760/equipment/12212715)","Manufacturing Equipment")</f>
        <v>Manufacturing Equipment</v>
      </c>
      <c r="B738">
        <v>12212715</v>
      </c>
      <c r="C738">
        <v>12085515</v>
      </c>
      <c r="H738" t="s">
        <v>162</v>
      </c>
      <c r="I738">
        <v>373962.1752</v>
      </c>
      <c r="J738">
        <v>0</v>
      </c>
      <c r="K738">
        <v>3.3919999999999999</v>
      </c>
      <c r="L738">
        <v>0</v>
      </c>
      <c r="M738">
        <v>85.594213950498229</v>
      </c>
      <c r="N738">
        <v>0</v>
      </c>
      <c r="O738">
        <v>5.9929264420852175E-2</v>
      </c>
      <c r="P738">
        <v>2.8926786746666668E-3</v>
      </c>
      <c r="Q738">
        <v>8.8339008555448403E-3</v>
      </c>
      <c r="R738">
        <v>2750000</v>
      </c>
      <c r="S738">
        <v>0</v>
      </c>
      <c r="T738">
        <v>0</v>
      </c>
      <c r="V738">
        <v>5400</v>
      </c>
      <c r="W738">
        <v>10</v>
      </c>
      <c r="X738">
        <v>85</v>
      </c>
      <c r="Y738">
        <v>4</v>
      </c>
      <c r="Z738">
        <v>4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80</v>
      </c>
      <c r="AM738">
        <v>53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70</v>
      </c>
      <c r="AU738">
        <v>0</v>
      </c>
      <c r="AV738">
        <v>0</v>
      </c>
    </row>
    <row r="739" spans="1:48" x14ac:dyDescent="0.15">
      <c r="A739" s="4" t="str">
        <f>HYPERLINK("https://ibp.a2mac1.com/costing(costing:projects/details/9760/equipment/12212716)","Manufacturing Equipment")</f>
        <v>Manufacturing Equipment</v>
      </c>
      <c r="B739">
        <v>12212716</v>
      </c>
      <c r="C739">
        <v>12085516</v>
      </c>
      <c r="H739" t="s">
        <v>162</v>
      </c>
      <c r="I739">
        <v>373962.1752</v>
      </c>
      <c r="J739">
        <v>0</v>
      </c>
      <c r="K739">
        <v>3.3919999999999999</v>
      </c>
      <c r="L739">
        <v>0</v>
      </c>
      <c r="M739">
        <v>85.594213950498229</v>
      </c>
      <c r="N739">
        <v>0</v>
      </c>
      <c r="O739">
        <v>1.4982316105213044E-2</v>
      </c>
      <c r="P739">
        <v>7.231696686666667E-4</v>
      </c>
      <c r="Q739">
        <v>8.8339008555448403E-3</v>
      </c>
      <c r="R739">
        <v>2750000</v>
      </c>
      <c r="S739">
        <v>0</v>
      </c>
      <c r="T739">
        <v>0</v>
      </c>
      <c r="V739">
        <v>5400</v>
      </c>
      <c r="W739">
        <v>10</v>
      </c>
      <c r="X739">
        <v>85</v>
      </c>
      <c r="Y739">
        <v>4</v>
      </c>
      <c r="Z739">
        <v>4</v>
      </c>
      <c r="AA739">
        <v>5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80</v>
      </c>
      <c r="AM739">
        <v>53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70</v>
      </c>
      <c r="AU739">
        <v>0</v>
      </c>
      <c r="AV739">
        <v>0</v>
      </c>
    </row>
    <row r="740" spans="1:48" x14ac:dyDescent="0.15">
      <c r="A740" s="4" t="str">
        <f>HYPERLINK("https://ibp.a2mac1.com/costing(costing:projects/details/9760/equipment/12212717)","Manufacturing Equipment")</f>
        <v>Manufacturing Equipment</v>
      </c>
      <c r="B740">
        <v>12212717</v>
      </c>
      <c r="C740">
        <v>12085517</v>
      </c>
      <c r="H740" t="s">
        <v>162</v>
      </c>
      <c r="I740">
        <v>373962.1752</v>
      </c>
      <c r="J740">
        <v>0</v>
      </c>
      <c r="K740">
        <v>3.3919999999999999</v>
      </c>
      <c r="L740">
        <v>0</v>
      </c>
      <c r="M740">
        <v>85.594213950498229</v>
      </c>
      <c r="N740">
        <v>0</v>
      </c>
      <c r="O740">
        <v>4.9900951209729635E-2</v>
      </c>
      <c r="P740">
        <v>2.4086298873333334E-3</v>
      </c>
      <c r="Q740">
        <v>8.8339008555448403E-3</v>
      </c>
      <c r="R740">
        <v>2750000</v>
      </c>
      <c r="S740">
        <v>0</v>
      </c>
      <c r="T740">
        <v>0</v>
      </c>
      <c r="V740">
        <v>5400</v>
      </c>
      <c r="W740">
        <v>10</v>
      </c>
      <c r="X740">
        <v>85</v>
      </c>
      <c r="Y740">
        <v>4</v>
      </c>
      <c r="Z740">
        <v>4</v>
      </c>
      <c r="AA740">
        <v>5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80</v>
      </c>
      <c r="AM740">
        <v>53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70</v>
      </c>
      <c r="AU740">
        <v>0</v>
      </c>
      <c r="AV740">
        <v>0</v>
      </c>
    </row>
    <row r="741" spans="1:48" x14ac:dyDescent="0.15">
      <c r="A741" s="4" t="str">
        <f>HYPERLINK("https://ibp.a2mac1.com/costing(costing:projects/details/9760/equipment/12212718)","Manufacturing Equipment")</f>
        <v>Manufacturing Equipment</v>
      </c>
      <c r="B741">
        <v>12212718</v>
      </c>
      <c r="C741">
        <v>12085518</v>
      </c>
      <c r="H741" t="s">
        <v>162</v>
      </c>
      <c r="I741">
        <v>373962.1752</v>
      </c>
      <c r="J741">
        <v>0</v>
      </c>
      <c r="K741">
        <v>3.3919999999999999</v>
      </c>
      <c r="L741">
        <v>0</v>
      </c>
      <c r="M741">
        <v>85.594213950498229</v>
      </c>
      <c r="N741">
        <v>0</v>
      </c>
      <c r="O741">
        <v>5.9929264420852175E-2</v>
      </c>
      <c r="P741">
        <v>2.8926786746666668E-3</v>
      </c>
      <c r="Q741">
        <v>8.8339008555448403E-3</v>
      </c>
      <c r="R741">
        <v>2750000</v>
      </c>
      <c r="S741">
        <v>0</v>
      </c>
      <c r="T741">
        <v>0</v>
      </c>
      <c r="V741">
        <v>5400</v>
      </c>
      <c r="W741">
        <v>10</v>
      </c>
      <c r="X741">
        <v>85</v>
      </c>
      <c r="Y741">
        <v>4</v>
      </c>
      <c r="Z741">
        <v>4</v>
      </c>
      <c r="AA741">
        <v>5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80</v>
      </c>
      <c r="AM741">
        <v>53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70</v>
      </c>
      <c r="AU741">
        <v>0</v>
      </c>
      <c r="AV741">
        <v>0</v>
      </c>
    </row>
    <row r="742" spans="1:48" x14ac:dyDescent="0.15">
      <c r="A742" s="4" t="str">
        <f>HYPERLINK("https://ibp.a2mac1.com/costing(costing:projects/details/9760/equipment/12212719)","Manufacturing Equipment")</f>
        <v>Manufacturing Equipment</v>
      </c>
      <c r="B742">
        <v>12212719</v>
      </c>
      <c r="C742">
        <v>12085519</v>
      </c>
      <c r="H742" t="s">
        <v>162</v>
      </c>
      <c r="I742">
        <v>373962.1752</v>
      </c>
      <c r="J742">
        <v>0</v>
      </c>
      <c r="K742">
        <v>3.3919999999999999</v>
      </c>
      <c r="L742">
        <v>0</v>
      </c>
      <c r="M742">
        <v>85.594213950498229</v>
      </c>
      <c r="N742">
        <v>0</v>
      </c>
      <c r="O742">
        <v>1.4982316105213044E-2</v>
      </c>
      <c r="P742">
        <v>7.231696686666667E-4</v>
      </c>
      <c r="Q742">
        <v>8.8339008555448403E-3</v>
      </c>
      <c r="R742">
        <v>2750000</v>
      </c>
      <c r="S742">
        <v>0</v>
      </c>
      <c r="T742">
        <v>0</v>
      </c>
      <c r="V742">
        <v>5400</v>
      </c>
      <c r="W742">
        <v>10</v>
      </c>
      <c r="X742">
        <v>85</v>
      </c>
      <c r="Y742">
        <v>4</v>
      </c>
      <c r="Z742">
        <v>4</v>
      </c>
      <c r="AA742">
        <v>5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80</v>
      </c>
      <c r="AM742">
        <v>53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70</v>
      </c>
      <c r="AU742">
        <v>0</v>
      </c>
      <c r="AV742">
        <v>0</v>
      </c>
    </row>
    <row r="743" spans="1:48" x14ac:dyDescent="0.15">
      <c r="A743" s="4" t="str">
        <f>HYPERLINK("https://ibp.a2mac1.com/costing(costing:projects/details/9760/equipment/12212720)","Manufacturing Equipment")</f>
        <v>Manufacturing Equipment</v>
      </c>
      <c r="B743">
        <v>12212720</v>
      </c>
      <c r="C743">
        <v>12085520</v>
      </c>
      <c r="H743" t="s">
        <v>162</v>
      </c>
      <c r="I743">
        <v>373962.1752</v>
      </c>
      <c r="J743">
        <v>0</v>
      </c>
      <c r="K743">
        <v>3.3919999999999999</v>
      </c>
      <c r="L743">
        <v>0</v>
      </c>
      <c r="M743">
        <v>85.594213950498229</v>
      </c>
      <c r="N743">
        <v>0</v>
      </c>
      <c r="O743">
        <v>4.9900951209729635E-2</v>
      </c>
      <c r="P743">
        <v>2.4086298873333334E-3</v>
      </c>
      <c r="Q743">
        <v>8.8339008555448403E-3</v>
      </c>
      <c r="R743">
        <v>2750000</v>
      </c>
      <c r="S743">
        <v>0</v>
      </c>
      <c r="T743">
        <v>0</v>
      </c>
      <c r="V743">
        <v>5400</v>
      </c>
      <c r="W743">
        <v>10</v>
      </c>
      <c r="X743">
        <v>85</v>
      </c>
      <c r="Y743">
        <v>4</v>
      </c>
      <c r="Z743">
        <v>4</v>
      </c>
      <c r="AA743">
        <v>5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80</v>
      </c>
      <c r="AM743">
        <v>53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70</v>
      </c>
      <c r="AU743">
        <v>0</v>
      </c>
      <c r="AV743">
        <v>0</v>
      </c>
    </row>
    <row r="744" spans="1:48" x14ac:dyDescent="0.15">
      <c r="A744" s="4" t="str">
        <f>HYPERLINK("https://ibp.a2mac1.com/costing(costing:projects/details/9760/equipment/12212721)","Rubber Extrusion Line")</f>
        <v>Rubber Extrusion Line</v>
      </c>
      <c r="B744">
        <v>12212721</v>
      </c>
      <c r="C744">
        <v>12085521</v>
      </c>
      <c r="G744" t="s">
        <v>5551</v>
      </c>
      <c r="H744" t="s">
        <v>162</v>
      </c>
      <c r="I744">
        <v>166162.22784291429</v>
      </c>
      <c r="J744">
        <v>0</v>
      </c>
      <c r="K744">
        <v>8.8002768000000007</v>
      </c>
      <c r="L744">
        <v>0</v>
      </c>
      <c r="M744">
        <v>41.437926725894293</v>
      </c>
      <c r="N744">
        <v>0</v>
      </c>
      <c r="O744">
        <v>0.11510535201637304</v>
      </c>
      <c r="P744">
        <v>2.2952666666666666E-2</v>
      </c>
      <c r="Q744">
        <v>1.6199450017768287E-3</v>
      </c>
      <c r="R744">
        <v>738184.59991999995</v>
      </c>
      <c r="S744">
        <v>0</v>
      </c>
      <c r="T744">
        <v>0</v>
      </c>
      <c r="V744">
        <v>1800</v>
      </c>
      <c r="W744">
        <v>7</v>
      </c>
      <c r="X744">
        <v>85</v>
      </c>
      <c r="Y744">
        <v>3</v>
      </c>
      <c r="Z744">
        <v>4</v>
      </c>
      <c r="AA744">
        <v>5</v>
      </c>
      <c r="AB744">
        <v>0</v>
      </c>
      <c r="AC744">
        <v>0</v>
      </c>
      <c r="AD744">
        <v>0</v>
      </c>
      <c r="AE744">
        <v>0</v>
      </c>
      <c r="AF744">
        <v>2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100</v>
      </c>
      <c r="AM744">
        <v>110</v>
      </c>
      <c r="AN744">
        <v>0</v>
      </c>
      <c r="AO744">
        <v>0</v>
      </c>
      <c r="AP744">
        <v>0</v>
      </c>
      <c r="AQ744">
        <v>0.01</v>
      </c>
      <c r="AR744">
        <v>0</v>
      </c>
      <c r="AS744">
        <v>0</v>
      </c>
      <c r="AT744">
        <v>900</v>
      </c>
      <c r="AU744">
        <v>0</v>
      </c>
      <c r="AV744">
        <v>0</v>
      </c>
    </row>
    <row r="745" spans="1:48" x14ac:dyDescent="0.15">
      <c r="A745" s="4" t="str">
        <f>HYPERLINK("https://ibp.a2mac1.com/costing(costing:projects/details/9760/equipment/12212722)","No.01 - Injection Press - 40T - 18kW - 270x270 - Max Volume 128cm3 ")</f>
        <v xml:space="preserve">No.01 - Injection Press - 40T - 18kW - 270x270 - Max Volume 128cm3 </v>
      </c>
      <c r="B745">
        <v>12212722</v>
      </c>
      <c r="C745">
        <v>12085522</v>
      </c>
      <c r="E745" t="s">
        <v>1630</v>
      </c>
      <c r="H745" t="s">
        <v>162</v>
      </c>
      <c r="I745">
        <v>13574.9071984</v>
      </c>
      <c r="J745">
        <v>0</v>
      </c>
      <c r="K745">
        <v>1.6020000000000001</v>
      </c>
      <c r="L745">
        <v>0</v>
      </c>
      <c r="M745">
        <v>4.4266395367888141</v>
      </c>
      <c r="N745">
        <v>0</v>
      </c>
      <c r="O745">
        <v>1.3192123592886797E-3</v>
      </c>
      <c r="P745">
        <v>3.0781247449999997E-4</v>
      </c>
      <c r="Q745">
        <v>3.5456543444146575E-3</v>
      </c>
      <c r="R745">
        <v>79999.999989999997</v>
      </c>
      <c r="S745">
        <v>39573.360000000001</v>
      </c>
      <c r="T745">
        <v>0</v>
      </c>
      <c r="V745">
        <v>7200</v>
      </c>
      <c r="W745">
        <v>8</v>
      </c>
      <c r="X745">
        <v>85</v>
      </c>
      <c r="Y745">
        <v>3</v>
      </c>
      <c r="Z745">
        <v>4</v>
      </c>
      <c r="AA745">
        <v>5</v>
      </c>
      <c r="AB745">
        <v>0</v>
      </c>
      <c r="AC745">
        <v>0</v>
      </c>
      <c r="AD745">
        <v>0</v>
      </c>
      <c r="AE745">
        <v>0</v>
      </c>
      <c r="AF745">
        <v>0.25</v>
      </c>
      <c r="AG745">
        <v>0</v>
      </c>
      <c r="AH745">
        <v>0</v>
      </c>
      <c r="AI745">
        <v>2</v>
      </c>
      <c r="AJ745">
        <v>0</v>
      </c>
      <c r="AK745">
        <v>0</v>
      </c>
      <c r="AL745">
        <v>97</v>
      </c>
      <c r="AM745">
        <v>20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20</v>
      </c>
      <c r="AU745">
        <v>0.05</v>
      </c>
      <c r="AV745">
        <v>0</v>
      </c>
    </row>
    <row r="746" spans="1:48" x14ac:dyDescent="0.15">
      <c r="A746" s="4" t="str">
        <f>HYPERLINK("https://ibp.a2mac1.com/costing(costing:projects/details/9760/equipment/12212723)","No.01 - Foaming Carrousel ")</f>
        <v xml:space="preserve">No.01 - Foaming Carrousel </v>
      </c>
      <c r="B746">
        <v>12212723</v>
      </c>
      <c r="C746">
        <v>12085523</v>
      </c>
      <c r="H746" t="s">
        <v>162</v>
      </c>
      <c r="I746">
        <v>173623.60800000001</v>
      </c>
      <c r="J746">
        <v>0</v>
      </c>
      <c r="K746">
        <v>12.8</v>
      </c>
      <c r="L746">
        <v>0</v>
      </c>
      <c r="M746">
        <v>50.347992285438764</v>
      </c>
      <c r="N746">
        <v>0</v>
      </c>
      <c r="O746">
        <v>3.4963883531554697E-2</v>
      </c>
      <c r="P746">
        <v>8.6072500000000003E-3</v>
      </c>
      <c r="Q746">
        <v>1.887246968563163E-3</v>
      </c>
      <c r="R746">
        <v>1200000</v>
      </c>
      <c r="S746">
        <v>0</v>
      </c>
      <c r="T746">
        <v>800000</v>
      </c>
      <c r="V746">
        <v>1800</v>
      </c>
      <c r="W746">
        <v>10</v>
      </c>
      <c r="X746">
        <v>85</v>
      </c>
      <c r="Y746">
        <v>3</v>
      </c>
      <c r="Z746">
        <v>4</v>
      </c>
      <c r="AA746">
        <v>5</v>
      </c>
      <c r="AB746">
        <v>0</v>
      </c>
      <c r="AC746">
        <v>0</v>
      </c>
      <c r="AD746">
        <v>0</v>
      </c>
      <c r="AE746">
        <v>0</v>
      </c>
      <c r="AF746">
        <v>3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100</v>
      </c>
      <c r="AM746">
        <v>160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300</v>
      </c>
      <c r="AU746">
        <v>0</v>
      </c>
      <c r="AV746">
        <v>0</v>
      </c>
    </row>
    <row r="747" spans="1:48" x14ac:dyDescent="0.15">
      <c r="A747" s="4" t="str">
        <f>HYPERLINK("https://ibp.a2mac1.com/costing(costing:projects/details/9760/equipment/12212315)","Assembly Station ")</f>
        <v xml:space="preserve">Assembly Station </v>
      </c>
      <c r="B747">
        <v>12212315</v>
      </c>
      <c r="C747">
        <v>12085220</v>
      </c>
      <c r="E747" t="s">
        <v>1630</v>
      </c>
      <c r="F747" t="s">
        <v>5068</v>
      </c>
      <c r="G747" t="s">
        <v>8</v>
      </c>
      <c r="H747" t="s">
        <v>162</v>
      </c>
      <c r="I747">
        <v>4824.9071999999996</v>
      </c>
      <c r="J747">
        <v>0</v>
      </c>
      <c r="K747">
        <v>0.10768</v>
      </c>
      <c r="L747">
        <v>0</v>
      </c>
      <c r="M747">
        <v>1.1242192478302797</v>
      </c>
      <c r="N747">
        <v>0</v>
      </c>
      <c r="O747">
        <v>9.3684937319189979E-3</v>
      </c>
      <c r="P747">
        <v>3.4429000000000001E-2</v>
      </c>
      <c r="Q747">
        <v>2.2807432079717134E-4</v>
      </c>
      <c r="R747">
        <v>30000</v>
      </c>
      <c r="S747">
        <v>0</v>
      </c>
      <c r="T747">
        <v>0</v>
      </c>
      <c r="V747">
        <v>600</v>
      </c>
      <c r="W747">
        <v>10</v>
      </c>
      <c r="X747">
        <v>85</v>
      </c>
      <c r="Y747">
        <v>3</v>
      </c>
      <c r="Z747">
        <v>4</v>
      </c>
      <c r="AA747">
        <v>5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100</v>
      </c>
      <c r="AM747">
        <v>1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20</v>
      </c>
      <c r="AU747">
        <v>0</v>
      </c>
      <c r="AV747">
        <v>0</v>
      </c>
    </row>
    <row r="748" spans="1:48" x14ac:dyDescent="0.15">
      <c r="A748" s="4" t="str">
        <f>HYPERLINK("https://ibp.a2mac1.com/costing(costing:projects/details/9760/equipment/12212317)","No.04 - Injection Press - 100T - 33kW - 400x400 - Max Volume 260cm3 ")</f>
        <v xml:space="preserve">No.04 - Injection Press - 100T - 33kW - 400x400 - Max Volume 260cm3 </v>
      </c>
      <c r="B748">
        <v>12212317</v>
      </c>
      <c r="C748">
        <v>12085222</v>
      </c>
      <c r="E748" t="s">
        <v>1630</v>
      </c>
      <c r="H748" t="s">
        <v>162</v>
      </c>
      <c r="I748">
        <v>22101.844096000001</v>
      </c>
      <c r="J748">
        <v>0</v>
      </c>
      <c r="K748">
        <v>2.282</v>
      </c>
      <c r="L748">
        <v>0</v>
      </c>
      <c r="M748">
        <v>6.8788891186113794</v>
      </c>
      <c r="N748">
        <v>0</v>
      </c>
      <c r="O748">
        <v>4.8200299622008613E-2</v>
      </c>
      <c r="P748">
        <v>7.2373086136666665E-3</v>
      </c>
      <c r="Q748">
        <v>3.8399242942333653E-3</v>
      </c>
      <c r="R748">
        <v>130000</v>
      </c>
      <c r="S748">
        <v>0</v>
      </c>
      <c r="T748">
        <v>0</v>
      </c>
      <c r="V748">
        <v>7200</v>
      </c>
      <c r="W748">
        <v>8</v>
      </c>
      <c r="X748">
        <v>85</v>
      </c>
      <c r="Y748">
        <v>3</v>
      </c>
      <c r="Z748">
        <v>4</v>
      </c>
      <c r="AA748">
        <v>5</v>
      </c>
      <c r="AB748">
        <v>0</v>
      </c>
      <c r="AC748">
        <v>0</v>
      </c>
      <c r="AD748">
        <v>0</v>
      </c>
      <c r="AE748">
        <v>0</v>
      </c>
      <c r="AF748">
        <v>0.25</v>
      </c>
      <c r="AG748">
        <v>0</v>
      </c>
      <c r="AH748">
        <v>0</v>
      </c>
      <c r="AI748">
        <v>2</v>
      </c>
      <c r="AJ748">
        <v>0</v>
      </c>
      <c r="AK748">
        <v>0</v>
      </c>
      <c r="AL748">
        <v>93</v>
      </c>
      <c r="AM748">
        <v>30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33.6</v>
      </c>
      <c r="AU748">
        <v>0.05</v>
      </c>
      <c r="AV748">
        <v>0</v>
      </c>
    </row>
    <row r="749" spans="1:48" x14ac:dyDescent="0.15">
      <c r="A749" s="4" t="str">
        <f>HYPERLINK("https://ibp.a2mac1.com/costing(costing:projects/details/9760/equipment/12212316)","Packaging")</f>
        <v>Packaging</v>
      </c>
      <c r="B749">
        <v>12212316</v>
      </c>
      <c r="C749">
        <v>12085221</v>
      </c>
      <c r="H749" t="s">
        <v>162</v>
      </c>
      <c r="I749">
        <v>4437.4535986499995</v>
      </c>
      <c r="J749">
        <v>0</v>
      </c>
      <c r="K749">
        <v>0.08</v>
      </c>
      <c r="L749">
        <v>0</v>
      </c>
      <c r="M749">
        <v>1.0342676949774992</v>
      </c>
      <c r="N749">
        <v>0</v>
      </c>
      <c r="O749">
        <v>1.7237794916291654E-2</v>
      </c>
      <c r="P749">
        <v>6.8858000000000003E-2</v>
      </c>
      <c r="Q749">
        <v>1.5514015424662487E-5</v>
      </c>
      <c r="R749">
        <v>29999.99999</v>
      </c>
      <c r="S749">
        <v>0</v>
      </c>
      <c r="T749">
        <v>0</v>
      </c>
      <c r="V749">
        <v>900</v>
      </c>
      <c r="W749">
        <v>10</v>
      </c>
      <c r="X749">
        <v>85</v>
      </c>
      <c r="Y749">
        <v>3</v>
      </c>
      <c r="Z749">
        <v>4</v>
      </c>
      <c r="AA749">
        <v>5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50</v>
      </c>
      <c r="AM749">
        <v>2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10</v>
      </c>
      <c r="AU749">
        <v>0</v>
      </c>
      <c r="AV749">
        <v>0</v>
      </c>
    </row>
    <row r="750" spans="1:48" x14ac:dyDescent="0.15">
      <c r="A750" s="4" t="str">
        <f>HYPERLINK("https://ibp.a2mac1.com/costing(costing:projects/details/9760/equipment/12212318)","No.04 - Injection Press - 100T - 33kW - 400x400 - Max Volume 260cm3 ")</f>
        <v xml:space="preserve">No.04 - Injection Press - 100T - 33kW - 400x400 - Max Volume 260cm3 </v>
      </c>
      <c r="B750">
        <v>12212318</v>
      </c>
      <c r="C750">
        <v>12085223</v>
      </c>
      <c r="E750" t="s">
        <v>1630</v>
      </c>
      <c r="H750" t="s">
        <v>162</v>
      </c>
      <c r="I750">
        <v>22101.844096000001</v>
      </c>
      <c r="J750">
        <v>0</v>
      </c>
      <c r="K750">
        <v>2.282</v>
      </c>
      <c r="L750">
        <v>0</v>
      </c>
      <c r="M750">
        <v>6.8788891186113794</v>
      </c>
      <c r="N750">
        <v>0</v>
      </c>
      <c r="O750">
        <v>1.7743893847192091E-2</v>
      </c>
      <c r="P750">
        <v>2.664258039625E-3</v>
      </c>
      <c r="Q750">
        <v>3.8399242942333653E-3</v>
      </c>
      <c r="R750">
        <v>130000</v>
      </c>
      <c r="S750">
        <v>0</v>
      </c>
      <c r="T750">
        <v>0</v>
      </c>
      <c r="V750">
        <v>7200</v>
      </c>
      <c r="W750">
        <v>8</v>
      </c>
      <c r="X750">
        <v>85</v>
      </c>
      <c r="Y750">
        <v>3</v>
      </c>
      <c r="Z750">
        <v>4</v>
      </c>
      <c r="AA750">
        <v>5</v>
      </c>
      <c r="AB750">
        <v>0</v>
      </c>
      <c r="AC750">
        <v>0</v>
      </c>
      <c r="AD750">
        <v>0</v>
      </c>
      <c r="AE750">
        <v>0</v>
      </c>
      <c r="AF750">
        <v>0.25</v>
      </c>
      <c r="AG750">
        <v>0</v>
      </c>
      <c r="AH750">
        <v>0</v>
      </c>
      <c r="AI750">
        <v>2</v>
      </c>
      <c r="AJ750">
        <v>0</v>
      </c>
      <c r="AK750">
        <v>0</v>
      </c>
      <c r="AL750">
        <v>93</v>
      </c>
      <c r="AM750">
        <v>30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33.6</v>
      </c>
      <c r="AU750">
        <v>0.05</v>
      </c>
      <c r="AV750">
        <v>0</v>
      </c>
    </row>
    <row r="751" spans="1:48" x14ac:dyDescent="0.15">
      <c r="A751" s="4" t="str">
        <f>HYPERLINK("https://ibp.a2mac1.com/costing(costing:projects/details/9760/equipment/12212319)","Packaging")</f>
        <v>Packaging</v>
      </c>
      <c r="B751">
        <v>12212319</v>
      </c>
      <c r="C751">
        <v>12085224</v>
      </c>
      <c r="H751" t="s">
        <v>162</v>
      </c>
      <c r="I751">
        <v>4437.4535986499995</v>
      </c>
      <c r="J751">
        <v>0</v>
      </c>
      <c r="K751">
        <v>0.08</v>
      </c>
      <c r="L751">
        <v>0</v>
      </c>
      <c r="M751">
        <v>1.0342676949774992</v>
      </c>
      <c r="N751">
        <v>0</v>
      </c>
      <c r="O751">
        <v>1.2928346187218741E-2</v>
      </c>
      <c r="P751">
        <v>5.1643500000000002E-2</v>
      </c>
      <c r="Q751">
        <v>1.5514015424662487E-5</v>
      </c>
      <c r="R751">
        <v>29999.99999</v>
      </c>
      <c r="S751">
        <v>0</v>
      </c>
      <c r="T751">
        <v>0</v>
      </c>
      <c r="V751">
        <v>900</v>
      </c>
      <c r="W751">
        <v>10</v>
      </c>
      <c r="X751">
        <v>85</v>
      </c>
      <c r="Y751">
        <v>3</v>
      </c>
      <c r="Z751">
        <v>4</v>
      </c>
      <c r="AA751">
        <v>5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50</v>
      </c>
      <c r="AM751">
        <v>2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10</v>
      </c>
      <c r="AU751">
        <v>0</v>
      </c>
      <c r="AV751">
        <v>0</v>
      </c>
    </row>
    <row r="752" spans="1:48" x14ac:dyDescent="0.15">
      <c r="A752" s="4" t="str">
        <f>HYPERLINK("https://ibp.a2mac1.com/costing(costing:projects/details/9760/equipment/12212321)","No.01 - Foaming Carrousel ")</f>
        <v xml:space="preserve">No.01 - Foaming Carrousel </v>
      </c>
      <c r="B752">
        <v>12212321</v>
      </c>
      <c r="C752">
        <v>12085226</v>
      </c>
      <c r="E752" t="s">
        <v>9</v>
      </c>
      <c r="F752" t="s">
        <v>9</v>
      </c>
      <c r="G752" t="s">
        <v>9</v>
      </c>
      <c r="H752" t="s">
        <v>162</v>
      </c>
      <c r="I752">
        <v>173623.60800000001</v>
      </c>
      <c r="J752">
        <v>0</v>
      </c>
      <c r="K752">
        <v>12.8</v>
      </c>
      <c r="L752">
        <v>0</v>
      </c>
      <c r="M752">
        <v>50.347992285438764</v>
      </c>
      <c r="N752">
        <v>0</v>
      </c>
      <c r="O752">
        <v>0.41956660237865639</v>
      </c>
      <c r="P752">
        <v>0.103287</v>
      </c>
      <c r="Q752">
        <v>1.887246968563163E-3</v>
      </c>
      <c r="R752">
        <v>1200000</v>
      </c>
      <c r="S752">
        <v>0</v>
      </c>
      <c r="T752">
        <v>800000</v>
      </c>
      <c r="U752" t="s">
        <v>9</v>
      </c>
      <c r="V752">
        <v>1800</v>
      </c>
      <c r="W752">
        <v>10</v>
      </c>
      <c r="X752">
        <v>85</v>
      </c>
      <c r="Y752">
        <v>3</v>
      </c>
      <c r="Z752">
        <v>4</v>
      </c>
      <c r="AA752">
        <v>5</v>
      </c>
      <c r="AB752">
        <v>0</v>
      </c>
      <c r="AC752">
        <v>0</v>
      </c>
      <c r="AD752">
        <v>0</v>
      </c>
      <c r="AE752">
        <v>0</v>
      </c>
      <c r="AF752">
        <v>3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100</v>
      </c>
      <c r="AM752">
        <v>160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300</v>
      </c>
      <c r="AU752">
        <v>0</v>
      </c>
      <c r="AV752">
        <v>0</v>
      </c>
    </row>
    <row r="753" spans="1:48" x14ac:dyDescent="0.15">
      <c r="A753" s="4" t="str">
        <f>HYPERLINK("https://ibp.a2mac1.com/costing(costing:projects/details/9760/equipment/12212320)","Packaging")</f>
        <v>Packaging</v>
      </c>
      <c r="B753">
        <v>12212320</v>
      </c>
      <c r="C753">
        <v>12085225</v>
      </c>
      <c r="H753" t="s">
        <v>162</v>
      </c>
      <c r="I753">
        <v>4437.4535986499995</v>
      </c>
      <c r="J753">
        <v>0</v>
      </c>
      <c r="K753">
        <v>0.08</v>
      </c>
      <c r="L753">
        <v>0</v>
      </c>
      <c r="M753">
        <v>1.0342676949774992</v>
      </c>
      <c r="N753">
        <v>0</v>
      </c>
      <c r="O753">
        <v>8.6188974581458272E-3</v>
      </c>
      <c r="P753">
        <v>3.4429000000000001E-2</v>
      </c>
      <c r="Q753">
        <v>1.5514015424662487E-5</v>
      </c>
      <c r="R753">
        <v>29999.99999</v>
      </c>
      <c r="S753">
        <v>0</v>
      </c>
      <c r="T753">
        <v>0</v>
      </c>
      <c r="V753">
        <v>900</v>
      </c>
      <c r="W753">
        <v>10</v>
      </c>
      <c r="X753">
        <v>85</v>
      </c>
      <c r="Y753">
        <v>3</v>
      </c>
      <c r="Z753">
        <v>4</v>
      </c>
      <c r="AA753">
        <v>5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50</v>
      </c>
      <c r="AM753">
        <v>2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10</v>
      </c>
      <c r="AU753">
        <v>0</v>
      </c>
      <c r="AV753">
        <v>0</v>
      </c>
    </row>
    <row r="754" spans="1:48" x14ac:dyDescent="0.15">
      <c r="A754" s="4" t="str">
        <f>HYPERLINK("https://ibp.a2mac1.com/costing(costing:projects/details/9760/equipment/12212322)","No.01 - Foaming Carrousel ")</f>
        <v xml:space="preserve">No.01 - Foaming Carrousel </v>
      </c>
      <c r="B754">
        <v>12212322</v>
      </c>
      <c r="C754">
        <v>12085227</v>
      </c>
      <c r="E754" t="s">
        <v>9</v>
      </c>
      <c r="F754" t="s">
        <v>9</v>
      </c>
      <c r="G754" t="s">
        <v>9</v>
      </c>
      <c r="H754" t="s">
        <v>162</v>
      </c>
      <c r="I754">
        <v>173623.60800000001</v>
      </c>
      <c r="J754">
        <v>0</v>
      </c>
      <c r="K754">
        <v>12.8</v>
      </c>
      <c r="L754">
        <v>0</v>
      </c>
      <c r="M754">
        <v>50.347992285438764</v>
      </c>
      <c r="N754">
        <v>0</v>
      </c>
      <c r="O754">
        <v>0.41956660237865639</v>
      </c>
      <c r="P754">
        <v>0.103287</v>
      </c>
      <c r="Q754">
        <v>1.887246968563163E-3</v>
      </c>
      <c r="R754">
        <v>1200000</v>
      </c>
      <c r="S754">
        <v>0</v>
      </c>
      <c r="T754">
        <v>800000</v>
      </c>
      <c r="U754" t="s">
        <v>9</v>
      </c>
      <c r="V754">
        <v>1800</v>
      </c>
      <c r="W754">
        <v>10</v>
      </c>
      <c r="X754">
        <v>85</v>
      </c>
      <c r="Y754">
        <v>3</v>
      </c>
      <c r="Z754">
        <v>4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3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100</v>
      </c>
      <c r="AM754">
        <v>160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300</v>
      </c>
      <c r="AU754">
        <v>0</v>
      </c>
      <c r="AV754">
        <v>0</v>
      </c>
    </row>
    <row r="755" spans="1:48" x14ac:dyDescent="0.15">
      <c r="A755" s="4" t="str">
        <f>HYPERLINK("https://ibp.a2mac1.com/costing(costing:projects/details/9760/equipment/12212323)","Packaging")</f>
        <v>Packaging</v>
      </c>
      <c r="B755">
        <v>12212323</v>
      </c>
      <c r="C755">
        <v>12085228</v>
      </c>
      <c r="H755" t="s">
        <v>162</v>
      </c>
      <c r="I755">
        <v>4437.4535986499995</v>
      </c>
      <c r="J755">
        <v>0</v>
      </c>
      <c r="K755">
        <v>0.08</v>
      </c>
      <c r="L755">
        <v>0</v>
      </c>
      <c r="M755">
        <v>1.0342676949774992</v>
      </c>
      <c r="N755">
        <v>0</v>
      </c>
      <c r="O755">
        <v>8.6188974581458272E-3</v>
      </c>
      <c r="P755">
        <v>3.4429000000000001E-2</v>
      </c>
      <c r="Q755">
        <v>1.5514015424662487E-5</v>
      </c>
      <c r="R755">
        <v>29999.99999</v>
      </c>
      <c r="S755">
        <v>0</v>
      </c>
      <c r="T755">
        <v>0</v>
      </c>
      <c r="V755">
        <v>900</v>
      </c>
      <c r="W755">
        <v>10</v>
      </c>
      <c r="X755">
        <v>85</v>
      </c>
      <c r="Y755">
        <v>3</v>
      </c>
      <c r="Z755">
        <v>4</v>
      </c>
      <c r="AA755">
        <v>5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50</v>
      </c>
      <c r="AM755">
        <v>2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10</v>
      </c>
      <c r="AU755">
        <v>0</v>
      </c>
      <c r="AV755">
        <v>0</v>
      </c>
    </row>
    <row r="756" spans="1:48" x14ac:dyDescent="0.15">
      <c r="A756" s="4" t="str">
        <f>HYPERLINK("https://ibp.a2mac1.com/costing(costing:projects/details/9760/equipment/12212324)","Equipment (Injection Molding)")</f>
        <v>Equipment (Injection Molding)</v>
      </c>
      <c r="B756">
        <v>12212324</v>
      </c>
      <c r="C756">
        <v>12085229</v>
      </c>
      <c r="H756" t="s">
        <v>162</v>
      </c>
      <c r="I756">
        <v>1633.8829619999999</v>
      </c>
      <c r="J756">
        <v>0</v>
      </c>
      <c r="K756">
        <v>6.9440000000000002E-2</v>
      </c>
      <c r="L756">
        <v>0</v>
      </c>
      <c r="M756">
        <v>0.40179020282867245</v>
      </c>
      <c r="N756">
        <v>0</v>
      </c>
      <c r="O756">
        <v>6.6965033804778744E-3</v>
      </c>
      <c r="P756">
        <v>4.2691959999999998E-4</v>
      </c>
      <c r="Q756">
        <v>1.7801783466473E-5</v>
      </c>
      <c r="R756">
        <v>8680</v>
      </c>
      <c r="S756">
        <v>0</v>
      </c>
      <c r="T756">
        <v>0</v>
      </c>
      <c r="V756">
        <v>83.7</v>
      </c>
      <c r="W756">
        <v>7</v>
      </c>
      <c r="X756">
        <v>85</v>
      </c>
      <c r="Y756">
        <v>3</v>
      </c>
      <c r="Z756">
        <v>4</v>
      </c>
      <c r="AA756">
        <v>5</v>
      </c>
      <c r="AB756">
        <v>0</v>
      </c>
      <c r="AC756">
        <v>0</v>
      </c>
      <c r="AD756">
        <v>0</v>
      </c>
      <c r="AE756">
        <v>0</v>
      </c>
      <c r="AF756">
        <v>6.1999999999999998E-3</v>
      </c>
      <c r="AG756">
        <v>0</v>
      </c>
      <c r="AH756">
        <v>0</v>
      </c>
      <c r="AI756">
        <v>2</v>
      </c>
      <c r="AJ756">
        <v>0</v>
      </c>
      <c r="AK756">
        <v>0</v>
      </c>
      <c r="AL756">
        <v>80</v>
      </c>
      <c r="AM756">
        <v>1.085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2.3250000000000002</v>
      </c>
      <c r="AU756">
        <v>0</v>
      </c>
      <c r="AV756">
        <v>0</v>
      </c>
    </row>
    <row r="757" spans="1:48" x14ac:dyDescent="0.15">
      <c r="A757" s="4" t="str">
        <f>HYPERLINK("https://ibp.a2mac1.com/costing(costing:projects/details/9760/equipment/12212325)","Equipment (Injection Molding)")</f>
        <v>Equipment (Injection Molding)</v>
      </c>
      <c r="B757">
        <v>12212325</v>
      </c>
      <c r="C757">
        <v>12085230</v>
      </c>
      <c r="H757" t="s">
        <v>162</v>
      </c>
      <c r="I757">
        <v>1633.8829619999999</v>
      </c>
      <c r="J757">
        <v>0</v>
      </c>
      <c r="K757">
        <v>6.9440000000000002E-2</v>
      </c>
      <c r="L757">
        <v>0</v>
      </c>
      <c r="M757">
        <v>0.40179020282867245</v>
      </c>
      <c r="N757">
        <v>0</v>
      </c>
      <c r="O757">
        <v>6.6965033804778744E-3</v>
      </c>
      <c r="P757">
        <v>4.2691959999999998E-4</v>
      </c>
      <c r="Q757">
        <v>1.7801783466473E-5</v>
      </c>
      <c r="R757">
        <v>8680</v>
      </c>
      <c r="S757">
        <v>0</v>
      </c>
      <c r="T757">
        <v>0</v>
      </c>
      <c r="V757">
        <v>83.7</v>
      </c>
      <c r="W757">
        <v>7</v>
      </c>
      <c r="X757">
        <v>85</v>
      </c>
      <c r="Y757">
        <v>3</v>
      </c>
      <c r="Z757">
        <v>4</v>
      </c>
      <c r="AA757">
        <v>5</v>
      </c>
      <c r="AB757">
        <v>0</v>
      </c>
      <c r="AC757">
        <v>0</v>
      </c>
      <c r="AD757">
        <v>0</v>
      </c>
      <c r="AE757">
        <v>0</v>
      </c>
      <c r="AF757">
        <v>6.1999999999999998E-3</v>
      </c>
      <c r="AG757">
        <v>0</v>
      </c>
      <c r="AH757">
        <v>0</v>
      </c>
      <c r="AI757">
        <v>2</v>
      </c>
      <c r="AJ757">
        <v>0</v>
      </c>
      <c r="AK757">
        <v>0</v>
      </c>
      <c r="AL757">
        <v>80</v>
      </c>
      <c r="AM757">
        <v>1.085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2.3250000000000002</v>
      </c>
      <c r="AU757">
        <v>0</v>
      </c>
      <c r="AV757">
        <v>0</v>
      </c>
    </row>
    <row r="758" spans="1:48" x14ac:dyDescent="0.15">
      <c r="A758" s="4" t="str">
        <f>HYPERLINK("https://ibp.a2mac1.com/costing(costing:projects/details/9760/equipment/12213130)","No.01 - Tandem Press Line - 500T + 4 x 250T ")</f>
        <v xml:space="preserve">No.01 - Tandem Press Line - 500T + 4 x 250T </v>
      </c>
      <c r="B758">
        <v>12213130</v>
      </c>
      <c r="C758">
        <v>12085972</v>
      </c>
      <c r="E758" t="s">
        <v>1630</v>
      </c>
      <c r="H758" t="s">
        <v>162</v>
      </c>
      <c r="I758">
        <v>754141.34571428574</v>
      </c>
      <c r="J758">
        <v>0</v>
      </c>
      <c r="K758">
        <v>51.76</v>
      </c>
      <c r="L758">
        <v>0</v>
      </c>
      <c r="M758">
        <v>203.1006212976994</v>
      </c>
      <c r="N758">
        <v>0</v>
      </c>
      <c r="O758">
        <v>0.17270435664692871</v>
      </c>
      <c r="P758">
        <v>3.5131581126666665E-3</v>
      </c>
      <c r="Q758">
        <v>1.3693266077861964E-2</v>
      </c>
      <c r="R758">
        <v>3750000</v>
      </c>
      <c r="S758">
        <v>0</v>
      </c>
      <c r="T758">
        <v>0</v>
      </c>
      <c r="V758">
        <v>3600</v>
      </c>
      <c r="W758">
        <v>7</v>
      </c>
      <c r="X758">
        <v>85</v>
      </c>
      <c r="Y758">
        <v>3</v>
      </c>
      <c r="Z758">
        <v>4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2</v>
      </c>
      <c r="AJ758">
        <v>0</v>
      </c>
      <c r="AK758">
        <v>0</v>
      </c>
      <c r="AL758">
        <v>87</v>
      </c>
      <c r="AM758">
        <v>600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2250</v>
      </c>
      <c r="AU758">
        <v>10</v>
      </c>
      <c r="AV758">
        <v>0</v>
      </c>
    </row>
    <row r="759" spans="1:48" x14ac:dyDescent="0.15">
      <c r="A759" s="4" t="str">
        <f>HYPERLINK("https://ibp.a2mac1.com/costing(costing:projects/details/9760/equipment/12213129)","No.01 - Blanking Press - 500T ")</f>
        <v xml:space="preserve">No.01 - Blanking Press - 500T </v>
      </c>
      <c r="B759">
        <v>12213129</v>
      </c>
      <c r="C759">
        <v>12085971</v>
      </c>
      <c r="E759" t="s">
        <v>1630</v>
      </c>
      <c r="H759" t="s">
        <v>162</v>
      </c>
      <c r="I759">
        <v>346492.33714285714</v>
      </c>
      <c r="J759">
        <v>0</v>
      </c>
      <c r="K759">
        <v>8.5425520000000006</v>
      </c>
      <c r="L759">
        <v>0</v>
      </c>
      <c r="M759">
        <v>70.257810300041328</v>
      </c>
      <c r="N759">
        <v>0</v>
      </c>
      <c r="O759">
        <v>0.13266235869321136</v>
      </c>
      <c r="P759">
        <v>1.1701728519999999E-2</v>
      </c>
      <c r="Q759">
        <v>1.2422707545006199E-3</v>
      </c>
      <c r="R759">
        <v>750000</v>
      </c>
      <c r="S759">
        <v>0</v>
      </c>
      <c r="T759">
        <v>0</v>
      </c>
      <c r="V759">
        <v>900</v>
      </c>
      <c r="W759">
        <v>7</v>
      </c>
      <c r="X759">
        <v>85</v>
      </c>
      <c r="Y759">
        <v>3</v>
      </c>
      <c r="Z759">
        <v>4</v>
      </c>
      <c r="AA759">
        <v>5</v>
      </c>
      <c r="AB759">
        <v>0</v>
      </c>
      <c r="AC759">
        <v>0</v>
      </c>
      <c r="AD759">
        <v>0</v>
      </c>
      <c r="AE759">
        <v>0</v>
      </c>
      <c r="AF759">
        <v>1.5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87</v>
      </c>
      <c r="AM759">
        <v>108.37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5500</v>
      </c>
      <c r="AU759">
        <v>1</v>
      </c>
      <c r="AV759">
        <v>0</v>
      </c>
    </row>
    <row r="760" spans="1:48" x14ac:dyDescent="0.15">
      <c r="A760" s="4" t="str">
        <f>HYPERLINK("https://ibp.a2mac1.com/costing(costing:projects/details/9760/equipment/12213131)","Manufacturing Equipment")</f>
        <v>Manufacturing Equipment</v>
      </c>
      <c r="B760">
        <v>12213131</v>
      </c>
      <c r="C760">
        <v>12085973</v>
      </c>
      <c r="H760" t="s">
        <v>162</v>
      </c>
      <c r="I760">
        <v>373962.1752</v>
      </c>
      <c r="J760">
        <v>0</v>
      </c>
      <c r="K760">
        <v>3.3919999999999999</v>
      </c>
      <c r="L760">
        <v>0</v>
      </c>
      <c r="M760">
        <v>85.594213950498229</v>
      </c>
      <c r="N760">
        <v>0</v>
      </c>
      <c r="O760">
        <v>1.4982316105213044E-2</v>
      </c>
      <c r="P760">
        <v>7.231696686666667E-4</v>
      </c>
      <c r="Q760">
        <v>8.8339008555448403E-3</v>
      </c>
      <c r="R760">
        <v>2750000</v>
      </c>
      <c r="S760">
        <v>0</v>
      </c>
      <c r="T760">
        <v>0</v>
      </c>
      <c r="V760">
        <v>5400</v>
      </c>
      <c r="W760">
        <v>10</v>
      </c>
      <c r="X760">
        <v>85</v>
      </c>
      <c r="Y760">
        <v>4</v>
      </c>
      <c r="Z760">
        <v>4</v>
      </c>
      <c r="AA760">
        <v>5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80</v>
      </c>
      <c r="AM760">
        <v>53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70</v>
      </c>
      <c r="AU760">
        <v>0</v>
      </c>
      <c r="AV760">
        <v>0</v>
      </c>
    </row>
    <row r="761" spans="1:48" x14ac:dyDescent="0.15">
      <c r="A761" s="4" t="str">
        <f>HYPERLINK("https://ibp.a2mac1.com/costing(costing:projects/details/9760/equipment/12213132)","Manufacturing Equipment")</f>
        <v>Manufacturing Equipment</v>
      </c>
      <c r="B761">
        <v>12213132</v>
      </c>
      <c r="C761">
        <v>12085974</v>
      </c>
      <c r="H761" t="s">
        <v>162</v>
      </c>
      <c r="I761">
        <v>373962.1752</v>
      </c>
      <c r="J761">
        <v>0</v>
      </c>
      <c r="K761">
        <v>3.3919999999999999</v>
      </c>
      <c r="L761">
        <v>0</v>
      </c>
      <c r="M761">
        <v>85.594213950498229</v>
      </c>
      <c r="N761">
        <v>0</v>
      </c>
      <c r="O761">
        <v>5.9929264420852175E-2</v>
      </c>
      <c r="P761">
        <v>2.8926786746666668E-3</v>
      </c>
      <c r="Q761">
        <v>4.4169504277724201E-3</v>
      </c>
      <c r="R761">
        <v>2750000</v>
      </c>
      <c r="S761">
        <v>0</v>
      </c>
      <c r="T761">
        <v>0</v>
      </c>
      <c r="V761">
        <v>5400</v>
      </c>
      <c r="W761">
        <v>10</v>
      </c>
      <c r="X761">
        <v>85</v>
      </c>
      <c r="Y761">
        <v>4</v>
      </c>
      <c r="Z761">
        <v>4</v>
      </c>
      <c r="AA761">
        <v>5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80</v>
      </c>
      <c r="AM761">
        <v>53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70</v>
      </c>
      <c r="AU761">
        <v>0</v>
      </c>
      <c r="AV761">
        <v>0</v>
      </c>
    </row>
    <row r="762" spans="1:48" x14ac:dyDescent="0.15">
      <c r="A762" s="4" t="str">
        <f>HYPERLINK("https://ibp.a2mac1.com/costing(costing:projects/details/9760/equipment/12213133)","Manufacturing Equipment")</f>
        <v>Manufacturing Equipment</v>
      </c>
      <c r="B762">
        <v>12213133</v>
      </c>
      <c r="C762">
        <v>12085975</v>
      </c>
      <c r="H762" t="s">
        <v>162</v>
      </c>
      <c r="I762">
        <v>373962.1752</v>
      </c>
      <c r="J762">
        <v>0</v>
      </c>
      <c r="K762">
        <v>3.3919999999999999</v>
      </c>
      <c r="L762">
        <v>0</v>
      </c>
      <c r="M762">
        <v>85.594213950498229</v>
      </c>
      <c r="N762">
        <v>0</v>
      </c>
      <c r="O762">
        <v>4.9900951209729635E-2</v>
      </c>
      <c r="P762">
        <v>2.4086298873333334E-3</v>
      </c>
      <c r="Q762">
        <v>8.8339008555448403E-3</v>
      </c>
      <c r="R762">
        <v>2750000</v>
      </c>
      <c r="S762">
        <v>0</v>
      </c>
      <c r="T762">
        <v>0</v>
      </c>
      <c r="V762">
        <v>5400</v>
      </c>
      <c r="W762">
        <v>10</v>
      </c>
      <c r="X762">
        <v>85</v>
      </c>
      <c r="Y762">
        <v>4</v>
      </c>
      <c r="Z762">
        <v>4</v>
      </c>
      <c r="AA762">
        <v>5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80</v>
      </c>
      <c r="AM762">
        <v>53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70</v>
      </c>
      <c r="AU762">
        <v>0</v>
      </c>
      <c r="AV762">
        <v>0</v>
      </c>
    </row>
    <row r="763" spans="1:48" x14ac:dyDescent="0.15">
      <c r="A763" s="4" t="str">
        <f>HYPERLINK("https://ibp.a2mac1.com/costing(costing:projects/details/9760/equipment/12213134)","Manufacturing Equipment")</f>
        <v>Manufacturing Equipment</v>
      </c>
      <c r="B763">
        <v>12213134</v>
      </c>
      <c r="C763">
        <v>12085976</v>
      </c>
      <c r="H763" t="s">
        <v>162</v>
      </c>
      <c r="I763">
        <v>373962.1752</v>
      </c>
      <c r="J763">
        <v>0</v>
      </c>
      <c r="K763">
        <v>3.3919999999999999</v>
      </c>
      <c r="L763">
        <v>0</v>
      </c>
      <c r="M763">
        <v>85.594213950498229</v>
      </c>
      <c r="N763">
        <v>0</v>
      </c>
      <c r="O763">
        <v>0.19129260666432515</v>
      </c>
      <c r="P763">
        <v>9.2333528413333331E-3</v>
      </c>
      <c r="Q763">
        <v>8.8339008555448403E-3</v>
      </c>
      <c r="R763">
        <v>2750000</v>
      </c>
      <c r="S763">
        <v>0</v>
      </c>
      <c r="T763">
        <v>0</v>
      </c>
      <c r="V763">
        <v>5400</v>
      </c>
      <c r="W763">
        <v>10</v>
      </c>
      <c r="X763">
        <v>85</v>
      </c>
      <c r="Y763">
        <v>4</v>
      </c>
      <c r="Z763">
        <v>4</v>
      </c>
      <c r="AA763">
        <v>5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80</v>
      </c>
      <c r="AM763">
        <v>53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70</v>
      </c>
      <c r="AU763">
        <v>0</v>
      </c>
      <c r="AV763">
        <v>0</v>
      </c>
    </row>
    <row r="764" spans="1:48" x14ac:dyDescent="0.15">
      <c r="A764" s="4" t="str">
        <f>HYPERLINK("https://ibp.a2mac1.com/costing(costing:projects/details/9760/equipment/12212724)","Manufacturing Equipment")</f>
        <v>Manufacturing Equipment</v>
      </c>
      <c r="B764">
        <v>12212724</v>
      </c>
      <c r="C764">
        <v>12085524</v>
      </c>
      <c r="H764" t="s">
        <v>162</v>
      </c>
      <c r="I764">
        <v>373962.1752</v>
      </c>
      <c r="J764">
        <v>0</v>
      </c>
      <c r="K764">
        <v>3.3919999999999999</v>
      </c>
      <c r="L764">
        <v>0</v>
      </c>
      <c r="M764">
        <v>85.594213950498229</v>
      </c>
      <c r="N764">
        <v>0</v>
      </c>
      <c r="O764">
        <v>1.183174525718667</v>
      </c>
      <c r="P764">
        <v>5.7109723472000003E-2</v>
      </c>
      <c r="Q764">
        <v>8.8339008555448403E-3</v>
      </c>
      <c r="R764">
        <v>2750000</v>
      </c>
      <c r="S764">
        <v>0</v>
      </c>
      <c r="T764">
        <v>0</v>
      </c>
      <c r="V764">
        <v>5400</v>
      </c>
      <c r="W764">
        <v>10</v>
      </c>
      <c r="X764">
        <v>85</v>
      </c>
      <c r="Y764">
        <v>4</v>
      </c>
      <c r="Z764">
        <v>4</v>
      </c>
      <c r="AA764">
        <v>5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80</v>
      </c>
      <c r="AM764">
        <v>53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70</v>
      </c>
      <c r="AU764">
        <v>0</v>
      </c>
      <c r="AV764">
        <v>0</v>
      </c>
    </row>
    <row r="765" spans="1:48" x14ac:dyDescent="0.15">
      <c r="A765" s="4" t="str">
        <f>HYPERLINK("https://ibp.a2mac1.com/costing(costing:projects/details/9760/equipment/12212184)","Assembly line")</f>
        <v>Assembly line</v>
      </c>
      <c r="B765">
        <v>12212184</v>
      </c>
      <c r="C765">
        <v>12085092</v>
      </c>
      <c r="H765" t="s">
        <v>162</v>
      </c>
      <c r="I765">
        <v>63074.721599999997</v>
      </c>
      <c r="J765">
        <v>0</v>
      </c>
      <c r="K765">
        <v>5.2000019999999996</v>
      </c>
      <c r="L765">
        <v>0</v>
      </c>
      <c r="M765">
        <v>18.953573456123433</v>
      </c>
      <c r="N765">
        <v>0</v>
      </c>
      <c r="O765">
        <v>1.5794644546769527</v>
      </c>
      <c r="P765">
        <v>0.34428999999999998</v>
      </c>
      <c r="Q765">
        <v>1.5756906728061717E-3</v>
      </c>
      <c r="R765">
        <v>450000</v>
      </c>
      <c r="S765">
        <v>0</v>
      </c>
      <c r="T765">
        <v>0</v>
      </c>
      <c r="V765">
        <v>1800</v>
      </c>
      <c r="W765">
        <v>10</v>
      </c>
      <c r="X765">
        <v>85</v>
      </c>
      <c r="Y765">
        <v>3</v>
      </c>
      <c r="Z765">
        <v>4</v>
      </c>
      <c r="AA765">
        <v>5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86.666700000000006</v>
      </c>
      <c r="AM765">
        <v>75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60</v>
      </c>
      <c r="AU765">
        <v>0</v>
      </c>
      <c r="AV765">
        <v>0</v>
      </c>
    </row>
    <row r="766" spans="1:48" x14ac:dyDescent="0.15">
      <c r="A766" s="4" t="str">
        <f>HYPERLINK("https://ibp.a2mac1.com/costing(costing:projects/details/9760/equipment/12212183)","No.05 - Injection Press - 125T - 34kW - 500x500 - Max Volume 260cm3 ")</f>
        <v xml:space="preserve">No.05 - Injection Press - 125T - 34kW - 500x500 - Max Volume 260cm3 </v>
      </c>
      <c r="B766">
        <v>12212183</v>
      </c>
      <c r="C766">
        <v>12085091</v>
      </c>
      <c r="E766" t="s">
        <v>1630</v>
      </c>
      <c r="H766" t="s">
        <v>162</v>
      </c>
      <c r="I766">
        <v>25501.382699999998</v>
      </c>
      <c r="J766">
        <v>0</v>
      </c>
      <c r="K766">
        <v>2.375</v>
      </c>
      <c r="L766">
        <v>0</v>
      </c>
      <c r="M766">
        <v>7.6789830761812921</v>
      </c>
      <c r="N766">
        <v>0</v>
      </c>
      <c r="O766">
        <v>2.6007057231986666E-2</v>
      </c>
      <c r="P766">
        <v>3.4981076187708335E-3</v>
      </c>
      <c r="Q766">
        <v>3.9359355691417552E-3</v>
      </c>
      <c r="R766">
        <v>150000</v>
      </c>
      <c r="S766">
        <v>0</v>
      </c>
      <c r="T766">
        <v>0</v>
      </c>
      <c r="V766">
        <v>7200</v>
      </c>
      <c r="W766">
        <v>8</v>
      </c>
      <c r="X766">
        <v>85</v>
      </c>
      <c r="Y766">
        <v>3</v>
      </c>
      <c r="Z766">
        <v>4</v>
      </c>
      <c r="AA766">
        <v>5</v>
      </c>
      <c r="AB766">
        <v>0</v>
      </c>
      <c r="AC766">
        <v>0</v>
      </c>
      <c r="AD766">
        <v>0</v>
      </c>
      <c r="AE766">
        <v>0</v>
      </c>
      <c r="AF766">
        <v>0.25</v>
      </c>
      <c r="AG766">
        <v>0</v>
      </c>
      <c r="AH766">
        <v>0</v>
      </c>
      <c r="AI766">
        <v>2</v>
      </c>
      <c r="AJ766">
        <v>0</v>
      </c>
      <c r="AK766">
        <v>0</v>
      </c>
      <c r="AL766">
        <v>93</v>
      </c>
      <c r="AM766">
        <v>31.25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38.75</v>
      </c>
      <c r="AU766">
        <v>0.05</v>
      </c>
      <c r="AV766">
        <v>0</v>
      </c>
    </row>
    <row r="767" spans="1:48" x14ac:dyDescent="0.15">
      <c r="A767" s="4" t="str">
        <f>HYPERLINK("https://ibp.a2mac1.com/costing(costing:projects/details/9760/equipment/12212181)","No.01 - 25000x3000x3000 - Automatic Painting Line - with 12x10kW on line ovens ")</f>
        <v xml:space="preserve">No.01 - 25000x3000x3000 - Automatic Painting Line - with 12x10kW on line ovens </v>
      </c>
      <c r="B767">
        <v>12212181</v>
      </c>
      <c r="C767">
        <v>12085090</v>
      </c>
      <c r="E767" t="s">
        <v>1630</v>
      </c>
      <c r="G767" t="s">
        <v>5227</v>
      </c>
      <c r="H767" t="s">
        <v>162</v>
      </c>
      <c r="I767">
        <v>426153.1179744</v>
      </c>
      <c r="J767">
        <v>0</v>
      </c>
      <c r="K767">
        <v>169.38376</v>
      </c>
      <c r="L767">
        <v>0</v>
      </c>
      <c r="M767">
        <v>257.96510329257472</v>
      </c>
      <c r="N767">
        <v>0</v>
      </c>
      <c r="O767">
        <v>0.35828486568413159</v>
      </c>
      <c r="P767">
        <v>2.2952666666666666E-2</v>
      </c>
      <c r="Q767">
        <v>0</v>
      </c>
      <c r="R767">
        <v>2499999.9998400002</v>
      </c>
      <c r="S767">
        <v>252118.54800000001</v>
      </c>
      <c r="T767">
        <v>0</v>
      </c>
      <c r="V767">
        <v>0</v>
      </c>
      <c r="W767">
        <v>8</v>
      </c>
      <c r="X767">
        <v>85</v>
      </c>
      <c r="Y767">
        <v>3</v>
      </c>
      <c r="Z767">
        <v>4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4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100</v>
      </c>
      <c r="AM767">
        <v>2100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</v>
      </c>
      <c r="AT767">
        <v>675</v>
      </c>
      <c r="AU767">
        <v>0</v>
      </c>
      <c r="AV767">
        <v>0</v>
      </c>
    </row>
    <row r="768" spans="1:48" x14ac:dyDescent="0.15">
      <c r="A768" s="4" t="str">
        <f>HYPERLINK("https://ibp.a2mac1.com/costing(costing:projects/details/9760/equipment/12212182)","Loading + Unloading, Retouching, Checking")</f>
        <v>Loading + Unloading, Retouching, Checking</v>
      </c>
      <c r="B768">
        <v>12212182</v>
      </c>
      <c r="C768">
        <v>12085090</v>
      </c>
      <c r="E768" t="s">
        <v>1630</v>
      </c>
      <c r="H768" t="s">
        <v>162</v>
      </c>
      <c r="I768">
        <v>116.23608</v>
      </c>
      <c r="J768">
        <v>0</v>
      </c>
      <c r="K768">
        <v>0</v>
      </c>
      <c r="L768">
        <v>0</v>
      </c>
      <c r="M768">
        <v>1.8681465766634521E-2</v>
      </c>
      <c r="N768">
        <v>0</v>
      </c>
      <c r="O768">
        <v>2.5946480231436837E-5</v>
      </c>
      <c r="P768">
        <v>6.8858000000000003E-2</v>
      </c>
      <c r="Q768">
        <v>0</v>
      </c>
      <c r="R768">
        <v>0</v>
      </c>
      <c r="S768">
        <v>0</v>
      </c>
      <c r="T768">
        <v>0</v>
      </c>
      <c r="V768">
        <v>0</v>
      </c>
      <c r="W768">
        <v>8</v>
      </c>
      <c r="X768">
        <v>85</v>
      </c>
      <c r="Y768">
        <v>3</v>
      </c>
      <c r="Z768">
        <v>4</v>
      </c>
      <c r="AA768">
        <v>5</v>
      </c>
      <c r="AB768">
        <v>0</v>
      </c>
      <c r="AC768">
        <v>0</v>
      </c>
      <c r="AD768">
        <v>0</v>
      </c>
      <c r="AE768">
        <v>0</v>
      </c>
      <c r="AF768">
        <v>12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100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3</v>
      </c>
      <c r="AU768">
        <v>0</v>
      </c>
      <c r="AV768">
        <v>0</v>
      </c>
    </row>
    <row r="769" spans="1:48" x14ac:dyDescent="0.15">
      <c r="A769" s="4" t="str">
        <f>HYPERLINK("https://ibp.a2mac1.com/costing(costing:projects/details/9760/equipment/12212180)","Chroming line - Small Parts")</f>
        <v>Chroming line - Small Parts</v>
      </c>
      <c r="B769">
        <v>12212180</v>
      </c>
      <c r="C769">
        <v>12085089</v>
      </c>
      <c r="H769" t="s">
        <v>162</v>
      </c>
      <c r="I769">
        <v>1104334.5916800001</v>
      </c>
      <c r="J769">
        <v>0</v>
      </c>
      <c r="K769">
        <v>70.09872</v>
      </c>
      <c r="L769">
        <v>0</v>
      </c>
      <c r="M769">
        <v>313.1209944583735</v>
      </c>
      <c r="N769">
        <v>0</v>
      </c>
      <c r="O769">
        <v>4.3489027008107431E-2</v>
      </c>
      <c r="P769">
        <v>0</v>
      </c>
      <c r="Q769">
        <v>0</v>
      </c>
      <c r="R769">
        <v>8155000</v>
      </c>
      <c r="S769">
        <v>1845.4</v>
      </c>
      <c r="T769">
        <v>0</v>
      </c>
      <c r="V769">
        <v>0</v>
      </c>
      <c r="W769">
        <v>10</v>
      </c>
      <c r="X769">
        <v>85</v>
      </c>
      <c r="Y769">
        <v>3</v>
      </c>
      <c r="Z769">
        <v>4</v>
      </c>
      <c r="AA769">
        <v>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100</v>
      </c>
      <c r="AM769">
        <v>10</v>
      </c>
      <c r="AN769">
        <v>0</v>
      </c>
      <c r="AO769">
        <v>0</v>
      </c>
      <c r="AP769">
        <v>0</v>
      </c>
      <c r="AQ769">
        <v>4</v>
      </c>
      <c r="AR769">
        <v>0</v>
      </c>
      <c r="AS769">
        <v>100</v>
      </c>
      <c r="AT769">
        <v>88</v>
      </c>
      <c r="AU769">
        <v>0</v>
      </c>
      <c r="AV769">
        <v>0</v>
      </c>
    </row>
    <row r="770" spans="1:48" x14ac:dyDescent="0.15">
      <c r="A770" s="4" t="str">
        <f>HYPERLINK("https://ibp.a2mac1.com/costing(costing:projects/details/9760/equipment/12212154)","Assembly Station ")</f>
        <v xml:space="preserve">Assembly Station </v>
      </c>
      <c r="B770">
        <v>12212154</v>
      </c>
      <c r="C770">
        <v>12085062</v>
      </c>
      <c r="E770" t="s">
        <v>1630</v>
      </c>
      <c r="F770" t="s">
        <v>5068</v>
      </c>
      <c r="G770" t="s">
        <v>8</v>
      </c>
      <c r="H770" t="s">
        <v>162</v>
      </c>
      <c r="I770">
        <v>4824.9071999999996</v>
      </c>
      <c r="J770">
        <v>0</v>
      </c>
      <c r="K770">
        <v>0.10768</v>
      </c>
      <c r="L770">
        <v>0</v>
      </c>
      <c r="M770">
        <v>1.1242192478302797</v>
      </c>
      <c r="N770">
        <v>0</v>
      </c>
      <c r="O770">
        <v>9.3684937319189976E-2</v>
      </c>
      <c r="P770">
        <v>0.34428999999999998</v>
      </c>
      <c r="Q770">
        <v>2.2807432079717134E-4</v>
      </c>
      <c r="R770">
        <v>30000</v>
      </c>
      <c r="S770">
        <v>0</v>
      </c>
      <c r="T770">
        <v>0</v>
      </c>
      <c r="V770">
        <v>600</v>
      </c>
      <c r="W770">
        <v>10</v>
      </c>
      <c r="X770">
        <v>85</v>
      </c>
      <c r="Y770">
        <v>3</v>
      </c>
      <c r="Z770">
        <v>4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100</v>
      </c>
      <c r="AM770">
        <v>1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20</v>
      </c>
      <c r="AU770">
        <v>0</v>
      </c>
      <c r="AV770">
        <v>0</v>
      </c>
    </row>
    <row r="771" spans="1:48" x14ac:dyDescent="0.15">
      <c r="A771" s="4" t="str">
        <f>HYPERLINK("https://ibp.a2mac1.com/costing(costing:projects/details/9760/equipment/12213301)","Manufacturing Equipment")</f>
        <v>Manufacturing Equipment</v>
      </c>
      <c r="B771">
        <v>12213301</v>
      </c>
      <c r="C771">
        <v>12086168</v>
      </c>
      <c r="H771" t="s">
        <v>162</v>
      </c>
      <c r="I771">
        <v>373962.1752</v>
      </c>
      <c r="J771">
        <v>0</v>
      </c>
      <c r="K771">
        <v>3.3919999999999999</v>
      </c>
      <c r="L771">
        <v>0</v>
      </c>
      <c r="M771">
        <v>85.594213950498229</v>
      </c>
      <c r="N771">
        <v>0</v>
      </c>
      <c r="O771">
        <v>1.183174525718667</v>
      </c>
      <c r="P771">
        <v>5.7109723472000003E-2</v>
      </c>
      <c r="Q771">
        <v>8.8339008555448403E-3</v>
      </c>
      <c r="R771">
        <v>2750000</v>
      </c>
      <c r="S771">
        <v>0</v>
      </c>
      <c r="T771">
        <v>0</v>
      </c>
      <c r="V771">
        <v>5400</v>
      </c>
      <c r="W771">
        <v>10</v>
      </c>
      <c r="X771">
        <v>85</v>
      </c>
      <c r="Y771">
        <v>4</v>
      </c>
      <c r="Z771">
        <v>4</v>
      </c>
      <c r="AA771">
        <v>5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80</v>
      </c>
      <c r="AM771">
        <v>53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70</v>
      </c>
      <c r="AU771">
        <v>0</v>
      </c>
      <c r="AV771">
        <v>0</v>
      </c>
    </row>
    <row r="772" spans="1:48" x14ac:dyDescent="0.15">
      <c r="A772" s="4" t="str">
        <f>HYPERLINK("https://ibp.a2mac1.com/costing(costing:projects/details/9760/equipment/12213302)","Manufacturing Equipment")</f>
        <v>Manufacturing Equipment</v>
      </c>
      <c r="B772">
        <v>12213302</v>
      </c>
      <c r="C772">
        <v>12086169</v>
      </c>
      <c r="H772" t="s">
        <v>162</v>
      </c>
      <c r="I772">
        <v>373962.1752</v>
      </c>
      <c r="J772">
        <v>0</v>
      </c>
      <c r="K772">
        <v>3.3919999999999999</v>
      </c>
      <c r="L772">
        <v>0</v>
      </c>
      <c r="M772">
        <v>85.594213950498229</v>
      </c>
      <c r="N772">
        <v>0</v>
      </c>
      <c r="O772">
        <v>1.4982316105213044E-2</v>
      </c>
      <c r="P772">
        <v>7.231696686666667E-4</v>
      </c>
      <c r="Q772">
        <v>4.4169504277724201E-3</v>
      </c>
      <c r="R772">
        <v>2750000</v>
      </c>
      <c r="S772">
        <v>0</v>
      </c>
      <c r="T772">
        <v>0</v>
      </c>
      <c r="V772">
        <v>5400</v>
      </c>
      <c r="W772">
        <v>10</v>
      </c>
      <c r="X772">
        <v>85</v>
      </c>
      <c r="Y772">
        <v>4</v>
      </c>
      <c r="Z772">
        <v>4</v>
      </c>
      <c r="AA772">
        <v>5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80</v>
      </c>
      <c r="AM772">
        <v>53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70</v>
      </c>
      <c r="AU772">
        <v>0</v>
      </c>
      <c r="AV772">
        <v>0</v>
      </c>
    </row>
    <row r="773" spans="1:48" x14ac:dyDescent="0.15">
      <c r="A773" s="4" t="str">
        <f>HYPERLINK("https://ibp.a2mac1.com/costing(costing:projects/details/9760/equipment/12213303)","Manufacturing Equipment")</f>
        <v>Manufacturing Equipment</v>
      </c>
      <c r="B773">
        <v>12213303</v>
      </c>
      <c r="C773">
        <v>12086170</v>
      </c>
      <c r="H773" t="s">
        <v>162</v>
      </c>
      <c r="I773">
        <v>373962.1752</v>
      </c>
      <c r="J773">
        <v>0</v>
      </c>
      <c r="K773">
        <v>3.3919999999999999</v>
      </c>
      <c r="L773">
        <v>0</v>
      </c>
      <c r="M773">
        <v>85.594213950498229</v>
      </c>
      <c r="N773">
        <v>0</v>
      </c>
      <c r="O773">
        <v>1.4982316105213044E-2</v>
      </c>
      <c r="P773">
        <v>7.231696686666667E-4</v>
      </c>
      <c r="Q773">
        <v>4.4169504277724201E-3</v>
      </c>
      <c r="R773">
        <v>2750000</v>
      </c>
      <c r="S773">
        <v>0</v>
      </c>
      <c r="T773">
        <v>0</v>
      </c>
      <c r="V773">
        <v>5400</v>
      </c>
      <c r="W773">
        <v>10</v>
      </c>
      <c r="X773">
        <v>85</v>
      </c>
      <c r="Y773">
        <v>4</v>
      </c>
      <c r="Z773">
        <v>4</v>
      </c>
      <c r="AA773">
        <v>5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80</v>
      </c>
      <c r="AM773">
        <v>53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70</v>
      </c>
      <c r="AU773">
        <v>0</v>
      </c>
      <c r="AV773">
        <v>0</v>
      </c>
    </row>
    <row r="774" spans="1:48" x14ac:dyDescent="0.15">
      <c r="A774" s="4" t="str">
        <f>HYPERLINK("https://ibp.a2mac1.com/costing(costing:projects/details/9760/equipment/12213304)","Manufacturing Equipment")</f>
        <v>Manufacturing Equipment</v>
      </c>
      <c r="B774">
        <v>12213304</v>
      </c>
      <c r="C774">
        <v>12086171</v>
      </c>
      <c r="H774" t="s">
        <v>162</v>
      </c>
      <c r="I774">
        <v>373962.1752</v>
      </c>
      <c r="J774">
        <v>0</v>
      </c>
      <c r="K774">
        <v>3.3919999999999999</v>
      </c>
      <c r="L774">
        <v>0</v>
      </c>
      <c r="M774">
        <v>85.594213950498229</v>
      </c>
      <c r="N774">
        <v>0</v>
      </c>
      <c r="O774">
        <v>4.9900951209729635E-2</v>
      </c>
      <c r="P774">
        <v>2.4086298873333334E-3</v>
      </c>
      <c r="Q774">
        <v>4.4169504277724201E-3</v>
      </c>
      <c r="R774">
        <v>2750000</v>
      </c>
      <c r="S774">
        <v>0</v>
      </c>
      <c r="T774">
        <v>0</v>
      </c>
      <c r="V774">
        <v>5400</v>
      </c>
      <c r="W774">
        <v>10</v>
      </c>
      <c r="X774">
        <v>85</v>
      </c>
      <c r="Y774">
        <v>4</v>
      </c>
      <c r="Z774">
        <v>4</v>
      </c>
      <c r="AA774">
        <v>5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80</v>
      </c>
      <c r="AM774">
        <v>53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70</v>
      </c>
      <c r="AU774">
        <v>0</v>
      </c>
      <c r="AV774">
        <v>0</v>
      </c>
    </row>
    <row r="775" spans="1:48" x14ac:dyDescent="0.15">
      <c r="A775" s="4" t="str">
        <f>HYPERLINK("https://ibp.a2mac1.com/costing(costing:projects/details/9760/equipment/12213305)","Manufacturing Equipment")</f>
        <v>Manufacturing Equipment</v>
      </c>
      <c r="B775">
        <v>12213305</v>
      </c>
      <c r="C775">
        <v>12086172</v>
      </c>
      <c r="H775" t="s">
        <v>162</v>
      </c>
      <c r="I775">
        <v>373962.1752</v>
      </c>
      <c r="J775">
        <v>0</v>
      </c>
      <c r="K775">
        <v>3.3919999999999999</v>
      </c>
      <c r="L775">
        <v>0</v>
      </c>
      <c r="M775">
        <v>85.594213950498229</v>
      </c>
      <c r="N775">
        <v>0</v>
      </c>
      <c r="O775">
        <v>4.9900951209729635E-2</v>
      </c>
      <c r="P775">
        <v>2.4086298873333334E-3</v>
      </c>
      <c r="Q775">
        <v>8.8339008555448403E-3</v>
      </c>
      <c r="R775">
        <v>2750000</v>
      </c>
      <c r="S775">
        <v>0</v>
      </c>
      <c r="T775">
        <v>0</v>
      </c>
      <c r="V775">
        <v>5400</v>
      </c>
      <c r="W775">
        <v>10</v>
      </c>
      <c r="X775">
        <v>85</v>
      </c>
      <c r="Y775">
        <v>4</v>
      </c>
      <c r="Z775">
        <v>4</v>
      </c>
      <c r="AA775">
        <v>5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80</v>
      </c>
      <c r="AM775">
        <v>53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70</v>
      </c>
      <c r="AU775">
        <v>0</v>
      </c>
      <c r="AV775">
        <v>0</v>
      </c>
    </row>
    <row r="776" spans="1:48" x14ac:dyDescent="0.15">
      <c r="A776" s="4" t="str">
        <f>HYPERLINK("https://ibp.a2mac1.com/costing(costing:projects/details/9760/equipment/12213306)","Manufacturing Equipment")</f>
        <v>Manufacturing Equipment</v>
      </c>
      <c r="B776">
        <v>12213306</v>
      </c>
      <c r="C776">
        <v>12086173</v>
      </c>
      <c r="H776" t="s">
        <v>162</v>
      </c>
      <c r="I776">
        <v>373962.1752</v>
      </c>
      <c r="J776">
        <v>0</v>
      </c>
      <c r="K776">
        <v>3.3919999999999999</v>
      </c>
      <c r="L776">
        <v>0</v>
      </c>
      <c r="M776">
        <v>85.594213950498229</v>
      </c>
      <c r="N776">
        <v>0</v>
      </c>
      <c r="O776">
        <v>1.183174525718667</v>
      </c>
      <c r="P776">
        <v>5.7109723472000003E-2</v>
      </c>
      <c r="Q776">
        <v>8.8339008555448403E-3</v>
      </c>
      <c r="R776">
        <v>2750000</v>
      </c>
      <c r="S776">
        <v>0</v>
      </c>
      <c r="T776">
        <v>0</v>
      </c>
      <c r="V776">
        <v>5400</v>
      </c>
      <c r="W776">
        <v>10</v>
      </c>
      <c r="X776">
        <v>85</v>
      </c>
      <c r="Y776">
        <v>4</v>
      </c>
      <c r="Z776">
        <v>4</v>
      </c>
      <c r="AA776">
        <v>5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80</v>
      </c>
      <c r="AM776">
        <v>53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70</v>
      </c>
      <c r="AU776">
        <v>0</v>
      </c>
      <c r="AV776">
        <v>0</v>
      </c>
    </row>
    <row r="777" spans="1:48" x14ac:dyDescent="0.15">
      <c r="A777" s="4" t="str">
        <f>HYPERLINK("https://ibp.a2mac1.com/costing(costing:projects/details/9760/equipment/12213307)","Manufacturing Equipment")</f>
        <v>Manufacturing Equipment</v>
      </c>
      <c r="B777">
        <v>12213307</v>
      </c>
      <c r="C777">
        <v>12086174</v>
      </c>
      <c r="H777" t="s">
        <v>162</v>
      </c>
      <c r="I777">
        <v>373962.1752</v>
      </c>
      <c r="J777">
        <v>0</v>
      </c>
      <c r="K777">
        <v>3.3919999999999999</v>
      </c>
      <c r="L777">
        <v>0</v>
      </c>
      <c r="M777">
        <v>85.594213950498229</v>
      </c>
      <c r="N777">
        <v>0</v>
      </c>
      <c r="O777">
        <v>9.3250854150075724E-2</v>
      </c>
      <c r="P777">
        <v>4.5010523623333337E-3</v>
      </c>
      <c r="Q777">
        <v>8.8339008555448403E-3</v>
      </c>
      <c r="R777">
        <v>2750000</v>
      </c>
      <c r="S777">
        <v>0</v>
      </c>
      <c r="T777">
        <v>0</v>
      </c>
      <c r="V777">
        <v>5400</v>
      </c>
      <c r="W777">
        <v>10</v>
      </c>
      <c r="X777">
        <v>85</v>
      </c>
      <c r="Y777">
        <v>4</v>
      </c>
      <c r="Z777">
        <v>4</v>
      </c>
      <c r="AA777">
        <v>5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80</v>
      </c>
      <c r="AM777">
        <v>53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70</v>
      </c>
      <c r="AU777">
        <v>0</v>
      </c>
      <c r="AV777">
        <v>0</v>
      </c>
    </row>
    <row r="778" spans="1:48" x14ac:dyDescent="0.15">
      <c r="A778" s="4" t="str">
        <f>HYPERLINK("https://ibp.a2mac1.com/costing(costing:projects/details/9760/equipment/12213308)","Manufacturing Equipment")</f>
        <v>Manufacturing Equipment</v>
      </c>
      <c r="B778">
        <v>12213308</v>
      </c>
      <c r="C778">
        <v>12086175</v>
      </c>
      <c r="H778" t="s">
        <v>162</v>
      </c>
      <c r="I778">
        <v>373962.1752</v>
      </c>
      <c r="J778">
        <v>0</v>
      </c>
      <c r="K778">
        <v>3.3919999999999999</v>
      </c>
      <c r="L778">
        <v>0</v>
      </c>
      <c r="M778">
        <v>85.594213950498229</v>
      </c>
      <c r="N778">
        <v>0</v>
      </c>
      <c r="O778">
        <v>9.3250854150075724E-2</v>
      </c>
      <c r="P778">
        <v>4.5010523623333337E-3</v>
      </c>
      <c r="Q778">
        <v>8.8339008555448403E-3</v>
      </c>
      <c r="R778">
        <v>2750000</v>
      </c>
      <c r="S778">
        <v>0</v>
      </c>
      <c r="T778">
        <v>0</v>
      </c>
      <c r="V778">
        <v>5400</v>
      </c>
      <c r="W778">
        <v>10</v>
      </c>
      <c r="X778">
        <v>85</v>
      </c>
      <c r="Y778">
        <v>4</v>
      </c>
      <c r="Z778">
        <v>4</v>
      </c>
      <c r="AA778">
        <v>5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80</v>
      </c>
      <c r="AM778">
        <v>53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70</v>
      </c>
      <c r="AU778">
        <v>0</v>
      </c>
      <c r="AV778">
        <v>0</v>
      </c>
    </row>
    <row r="779" spans="1:48" x14ac:dyDescent="0.15">
      <c r="A779" s="4" t="str">
        <f>HYPERLINK("https://ibp.a2mac1.com/costing(costing:projects/details/9760/equipment/12212185)","Assembly line")</f>
        <v>Assembly line</v>
      </c>
      <c r="B779">
        <v>12212185</v>
      </c>
      <c r="C779">
        <v>12085093</v>
      </c>
      <c r="H779" t="s">
        <v>162</v>
      </c>
      <c r="I779">
        <v>63074.721599999997</v>
      </c>
      <c r="J779">
        <v>0</v>
      </c>
      <c r="K779">
        <v>5.2000019999999996</v>
      </c>
      <c r="L779">
        <v>0</v>
      </c>
      <c r="M779">
        <v>18.953573456123433</v>
      </c>
      <c r="N779">
        <v>0</v>
      </c>
      <c r="O779">
        <v>1.5794644546769527</v>
      </c>
      <c r="P779">
        <v>0.34428999999999998</v>
      </c>
      <c r="Q779">
        <v>1.5756906728061717E-3</v>
      </c>
      <c r="R779">
        <v>450000</v>
      </c>
      <c r="S779">
        <v>0</v>
      </c>
      <c r="T779">
        <v>0</v>
      </c>
      <c r="V779">
        <v>1800</v>
      </c>
      <c r="W779">
        <v>10</v>
      </c>
      <c r="X779">
        <v>85</v>
      </c>
      <c r="Y779">
        <v>3</v>
      </c>
      <c r="Z779">
        <v>4</v>
      </c>
      <c r="AA779">
        <v>5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86.666700000000006</v>
      </c>
      <c r="AM779">
        <v>75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60</v>
      </c>
      <c r="AU779">
        <v>0</v>
      </c>
      <c r="AV779">
        <v>0</v>
      </c>
    </row>
    <row r="780" spans="1:48" x14ac:dyDescent="0.15">
      <c r="A780" s="4" t="str">
        <f>HYPERLINK("https://ibp.a2mac1.com/costing(costing:projects/details/9760/equipment/12212326)","No.01 - Progressive Press - 250T ")</f>
        <v xml:space="preserve">No.01 - Progressive Press - 250T </v>
      </c>
      <c r="B780">
        <v>12212326</v>
      </c>
      <c r="C780">
        <v>12085231</v>
      </c>
      <c r="E780" t="s">
        <v>1630</v>
      </c>
      <c r="H780" t="s">
        <v>162</v>
      </c>
      <c r="I780">
        <v>295789.00731428573</v>
      </c>
      <c r="J780">
        <v>0</v>
      </c>
      <c r="K780">
        <v>5.82</v>
      </c>
      <c r="L780">
        <v>0</v>
      </c>
      <c r="M780">
        <v>66.618618983331032</v>
      </c>
      <c r="N780">
        <v>0</v>
      </c>
      <c r="O780">
        <v>3.1647545051470207E-3</v>
      </c>
      <c r="P780">
        <v>1.9626825266666665E-4</v>
      </c>
      <c r="Q780">
        <v>2.3753657694999312E-3</v>
      </c>
      <c r="R780">
        <v>1650000</v>
      </c>
      <c r="S780">
        <v>0</v>
      </c>
      <c r="T780">
        <v>0</v>
      </c>
      <c r="V780">
        <v>1800</v>
      </c>
      <c r="W780">
        <v>7</v>
      </c>
      <c r="X780">
        <v>85</v>
      </c>
      <c r="Y780">
        <v>3</v>
      </c>
      <c r="Z780">
        <v>4</v>
      </c>
      <c r="AA780">
        <v>5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87</v>
      </c>
      <c r="AM780">
        <v>75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60</v>
      </c>
      <c r="AU780">
        <v>0.6</v>
      </c>
      <c r="AV780">
        <v>0</v>
      </c>
    </row>
    <row r="781" spans="1:48" x14ac:dyDescent="0.15">
      <c r="A781" s="4" t="str">
        <f>HYPERLINK("https://ibp.a2mac1.com/costing(costing:projects/details/9760/equipment/12212327)","No.01 - Progressive Press - 250T ")</f>
        <v xml:space="preserve">No.01 - Progressive Press - 250T </v>
      </c>
      <c r="B781">
        <v>12212327</v>
      </c>
      <c r="C781">
        <v>12085232</v>
      </c>
      <c r="E781" t="s">
        <v>1630</v>
      </c>
      <c r="H781" t="s">
        <v>162</v>
      </c>
      <c r="I781">
        <v>295789.00731428573</v>
      </c>
      <c r="J781">
        <v>0</v>
      </c>
      <c r="K781">
        <v>5.82</v>
      </c>
      <c r="L781">
        <v>0</v>
      </c>
      <c r="M781">
        <v>66.618618983331032</v>
      </c>
      <c r="N781">
        <v>0</v>
      </c>
      <c r="O781">
        <v>3.1647545051470207E-3</v>
      </c>
      <c r="P781">
        <v>1.9626825266666665E-4</v>
      </c>
      <c r="Q781">
        <v>2.3753657694999312E-3</v>
      </c>
      <c r="R781">
        <v>1650000</v>
      </c>
      <c r="S781">
        <v>0</v>
      </c>
      <c r="T781">
        <v>0</v>
      </c>
      <c r="V781">
        <v>1800</v>
      </c>
      <c r="W781">
        <v>7</v>
      </c>
      <c r="X781">
        <v>85</v>
      </c>
      <c r="Y781">
        <v>3</v>
      </c>
      <c r="Z781">
        <v>4</v>
      </c>
      <c r="AA781">
        <v>5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87</v>
      </c>
      <c r="AM781">
        <v>75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60</v>
      </c>
      <c r="AU781">
        <v>0.6</v>
      </c>
      <c r="AV781">
        <v>0</v>
      </c>
    </row>
    <row r="782" spans="1:48" x14ac:dyDescent="0.15">
      <c r="A782" s="4" t="str">
        <f>HYPERLINK("https://ibp.a2mac1.com/costing(costing:projects/details/9760/equipment/12212328)","No.01 - Progressive Press - 250T ")</f>
        <v xml:space="preserve">No.01 - Progressive Press - 250T </v>
      </c>
      <c r="B782">
        <v>12212328</v>
      </c>
      <c r="C782">
        <v>12085233</v>
      </c>
      <c r="E782" t="s">
        <v>1630</v>
      </c>
      <c r="H782" t="s">
        <v>162</v>
      </c>
      <c r="I782">
        <v>295789.00731428573</v>
      </c>
      <c r="J782">
        <v>0</v>
      </c>
      <c r="K782">
        <v>5.82</v>
      </c>
      <c r="L782">
        <v>0</v>
      </c>
      <c r="M782">
        <v>66.618618983331032</v>
      </c>
      <c r="N782">
        <v>0</v>
      </c>
      <c r="O782">
        <v>3.1647545051470207E-3</v>
      </c>
      <c r="P782">
        <v>1.9626825266666665E-4</v>
      </c>
      <c r="Q782">
        <v>2.3753657694999312E-3</v>
      </c>
      <c r="R782">
        <v>1650000</v>
      </c>
      <c r="S782">
        <v>0</v>
      </c>
      <c r="T782">
        <v>0</v>
      </c>
      <c r="V782">
        <v>1800</v>
      </c>
      <c r="W782">
        <v>7</v>
      </c>
      <c r="X782">
        <v>85</v>
      </c>
      <c r="Y782">
        <v>3</v>
      </c>
      <c r="Z782">
        <v>4</v>
      </c>
      <c r="AA782">
        <v>5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87</v>
      </c>
      <c r="AM782">
        <v>75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60</v>
      </c>
      <c r="AU782">
        <v>0.6</v>
      </c>
      <c r="AV782">
        <v>0</v>
      </c>
    </row>
    <row r="783" spans="1:48" x14ac:dyDescent="0.15">
      <c r="A783" s="4" t="str">
        <f>HYPERLINK("https://ibp.a2mac1.com/costing(costing:projects/details/9760/equipment/12212329)","No.01 - Progressive Press - 250T ")</f>
        <v xml:space="preserve">No.01 - Progressive Press - 250T </v>
      </c>
      <c r="B783">
        <v>12212329</v>
      </c>
      <c r="C783">
        <v>12085234</v>
      </c>
      <c r="E783" t="s">
        <v>1630</v>
      </c>
      <c r="H783" t="s">
        <v>162</v>
      </c>
      <c r="I783">
        <v>295789.00731428573</v>
      </c>
      <c r="J783">
        <v>0</v>
      </c>
      <c r="K783">
        <v>5.82</v>
      </c>
      <c r="L783">
        <v>0</v>
      </c>
      <c r="M783">
        <v>66.618618983331032</v>
      </c>
      <c r="N783">
        <v>0</v>
      </c>
      <c r="O783">
        <v>3.1647545051470207E-3</v>
      </c>
      <c r="P783">
        <v>1.9626825266666665E-4</v>
      </c>
      <c r="Q783">
        <v>2.3753657694999312E-3</v>
      </c>
      <c r="R783">
        <v>1650000</v>
      </c>
      <c r="S783">
        <v>0</v>
      </c>
      <c r="T783">
        <v>0</v>
      </c>
      <c r="V783">
        <v>1800</v>
      </c>
      <c r="W783">
        <v>7</v>
      </c>
      <c r="X783">
        <v>85</v>
      </c>
      <c r="Y783">
        <v>3</v>
      </c>
      <c r="Z783">
        <v>4</v>
      </c>
      <c r="AA783">
        <v>5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87</v>
      </c>
      <c r="AM783">
        <v>75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60</v>
      </c>
      <c r="AU783">
        <v>0.6</v>
      </c>
      <c r="AV783">
        <v>0</v>
      </c>
    </row>
    <row r="784" spans="1:48" x14ac:dyDescent="0.15">
      <c r="A784" s="4" t="str">
        <f>HYPERLINK("https://ibp.a2mac1.com/costing(costing:projects/details/9760/equipment/12212330)","No.01 - Progressive Press - 250T ")</f>
        <v xml:space="preserve">No.01 - Progressive Press - 250T </v>
      </c>
      <c r="B784">
        <v>12212330</v>
      </c>
      <c r="C784">
        <v>12085235</v>
      </c>
      <c r="E784" t="s">
        <v>1630</v>
      </c>
      <c r="H784" t="s">
        <v>162</v>
      </c>
      <c r="I784">
        <v>295789.00731428573</v>
      </c>
      <c r="J784">
        <v>0</v>
      </c>
      <c r="K784">
        <v>5.82</v>
      </c>
      <c r="L784">
        <v>0</v>
      </c>
      <c r="M784">
        <v>66.618618983331032</v>
      </c>
      <c r="N784">
        <v>0</v>
      </c>
      <c r="O784">
        <v>3.1647545051470207E-3</v>
      </c>
      <c r="P784">
        <v>1.9626825266666665E-4</v>
      </c>
      <c r="Q784">
        <v>2.3753657694999312E-3</v>
      </c>
      <c r="R784">
        <v>1650000</v>
      </c>
      <c r="S784">
        <v>0</v>
      </c>
      <c r="T784">
        <v>0</v>
      </c>
      <c r="V784">
        <v>1800</v>
      </c>
      <c r="W784">
        <v>7</v>
      </c>
      <c r="X784">
        <v>85</v>
      </c>
      <c r="Y784">
        <v>3</v>
      </c>
      <c r="Z784">
        <v>4</v>
      </c>
      <c r="AA784">
        <v>5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87</v>
      </c>
      <c r="AM784">
        <v>75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60</v>
      </c>
      <c r="AU784">
        <v>0.6</v>
      </c>
      <c r="AV784">
        <v>0</v>
      </c>
    </row>
    <row r="785" spans="1:48" x14ac:dyDescent="0.15">
      <c r="A785" s="4" t="str">
        <f>HYPERLINK("https://ibp.a2mac1.com/costing(costing:projects/details/9760/equipment/12212331)","No.01 - Progressive Press - 250T ")</f>
        <v xml:space="preserve">No.01 - Progressive Press - 250T </v>
      </c>
      <c r="B785">
        <v>12212331</v>
      </c>
      <c r="C785">
        <v>12085236</v>
      </c>
      <c r="E785" t="s">
        <v>1630</v>
      </c>
      <c r="H785" t="s">
        <v>162</v>
      </c>
      <c r="I785">
        <v>295789.00731428573</v>
      </c>
      <c r="J785">
        <v>0</v>
      </c>
      <c r="K785">
        <v>5.82</v>
      </c>
      <c r="L785">
        <v>0</v>
      </c>
      <c r="M785">
        <v>66.618618983331032</v>
      </c>
      <c r="N785">
        <v>0</v>
      </c>
      <c r="O785">
        <v>3.1647545051470207E-3</v>
      </c>
      <c r="P785">
        <v>1.9626825266666665E-4</v>
      </c>
      <c r="Q785">
        <v>2.3753657694999312E-3</v>
      </c>
      <c r="R785">
        <v>1650000</v>
      </c>
      <c r="S785">
        <v>0</v>
      </c>
      <c r="T785">
        <v>0</v>
      </c>
      <c r="V785">
        <v>1800</v>
      </c>
      <c r="W785">
        <v>7</v>
      </c>
      <c r="X785">
        <v>85</v>
      </c>
      <c r="Y785">
        <v>3</v>
      </c>
      <c r="Z785">
        <v>4</v>
      </c>
      <c r="AA785">
        <v>5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87</v>
      </c>
      <c r="AM785">
        <v>75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60</v>
      </c>
      <c r="AU785">
        <v>0.6</v>
      </c>
      <c r="AV785">
        <v>0</v>
      </c>
    </row>
    <row r="786" spans="1:48" x14ac:dyDescent="0.15">
      <c r="A786" s="4" t="str">
        <f>HYPERLINK("https://ibp.a2mac1.com/costing(costing:projects/details/9760/equipment/12212191)","No.02 - Cleaning - Batch - 1000x1000x800 - 200kg/batch - 1200kg/h ")</f>
        <v xml:space="preserve">No.02 - Cleaning - Batch - 1000x1000x800 - 200kg/batch - 1200kg/h </v>
      </c>
      <c r="B786">
        <v>12212191</v>
      </c>
      <c r="C786">
        <v>12085099</v>
      </c>
      <c r="E786" t="s">
        <v>1630</v>
      </c>
      <c r="G786" t="s">
        <v>5720</v>
      </c>
      <c r="H786" t="s">
        <v>162</v>
      </c>
      <c r="I786">
        <v>29768.633999999998</v>
      </c>
      <c r="J786">
        <v>0</v>
      </c>
      <c r="K786">
        <v>3.8</v>
      </c>
      <c r="L786">
        <v>0</v>
      </c>
      <c r="M786">
        <v>10.030895853423337</v>
      </c>
      <c r="N786">
        <v>0</v>
      </c>
      <c r="O786">
        <v>4.1795399389263903E-2</v>
      </c>
      <c r="P786">
        <v>1.72145E-3</v>
      </c>
      <c r="Q786">
        <v>0</v>
      </c>
      <c r="R786">
        <v>180000</v>
      </c>
      <c r="S786">
        <v>0</v>
      </c>
      <c r="T786">
        <v>0</v>
      </c>
      <c r="V786">
        <v>0</v>
      </c>
      <c r="W786">
        <v>8</v>
      </c>
      <c r="X786">
        <v>85</v>
      </c>
      <c r="Y786">
        <v>3</v>
      </c>
      <c r="Z786">
        <v>4</v>
      </c>
      <c r="AA786">
        <v>5</v>
      </c>
      <c r="AB786">
        <v>0</v>
      </c>
      <c r="AC786">
        <v>0</v>
      </c>
      <c r="AD786">
        <v>0</v>
      </c>
      <c r="AE786">
        <v>0</v>
      </c>
      <c r="AF786">
        <v>0.1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100</v>
      </c>
      <c r="AM786">
        <v>25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25</v>
      </c>
      <c r="AU786">
        <v>1.8</v>
      </c>
      <c r="AV786">
        <v>0</v>
      </c>
    </row>
    <row r="787" spans="1:48" x14ac:dyDescent="0.15">
      <c r="A787" s="4" t="str">
        <f>HYPERLINK("https://ibp.a2mac1.com/costing(costing:projects/details/9760/equipment/12212190)","Packaging ")</f>
        <v xml:space="preserve">Packaging </v>
      </c>
      <c r="B787">
        <v>12212190</v>
      </c>
      <c r="C787">
        <v>12085098</v>
      </c>
      <c r="E787" t="s">
        <v>1630</v>
      </c>
      <c r="G787" t="s">
        <v>5722</v>
      </c>
      <c r="H787" t="s">
        <v>162</v>
      </c>
      <c r="I787">
        <v>4437.4535999999998</v>
      </c>
      <c r="J787">
        <v>0</v>
      </c>
      <c r="K787">
        <v>0.10768</v>
      </c>
      <c r="L787">
        <v>0</v>
      </c>
      <c r="M787">
        <v>1.0619476952748312</v>
      </c>
      <c r="N787">
        <v>0</v>
      </c>
      <c r="O787">
        <v>4.4247820636451303E-3</v>
      </c>
      <c r="P787">
        <v>1.7214500000000001E-2</v>
      </c>
      <c r="Q787">
        <v>3.4055469238187077E-4</v>
      </c>
      <c r="R787">
        <v>30000</v>
      </c>
      <c r="S787">
        <v>0</v>
      </c>
      <c r="T787">
        <v>0</v>
      </c>
      <c r="V787">
        <v>900</v>
      </c>
      <c r="W787">
        <v>10</v>
      </c>
      <c r="X787">
        <v>85</v>
      </c>
      <c r="Y787">
        <v>3</v>
      </c>
      <c r="Z787">
        <v>4</v>
      </c>
      <c r="AA787">
        <v>5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50</v>
      </c>
      <c r="AM787">
        <v>2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10</v>
      </c>
      <c r="AU787">
        <v>0</v>
      </c>
      <c r="AV787">
        <v>0</v>
      </c>
    </row>
    <row r="788" spans="1:48" x14ac:dyDescent="0.15">
      <c r="A788" s="4" t="str">
        <f>HYPERLINK("https://ibp.a2mac1.com/costing(costing:projects/details/9760/equipment/12212725)","Manufacturing Equipment")</f>
        <v>Manufacturing Equipment</v>
      </c>
      <c r="B788">
        <v>12212725</v>
      </c>
      <c r="C788">
        <v>12085525</v>
      </c>
      <c r="H788" t="s">
        <v>162</v>
      </c>
      <c r="I788">
        <v>373962.1752</v>
      </c>
      <c r="J788">
        <v>0</v>
      </c>
      <c r="K788">
        <v>3.3919999999999999</v>
      </c>
      <c r="L788">
        <v>0</v>
      </c>
      <c r="M788">
        <v>85.594213950498229</v>
      </c>
      <c r="N788">
        <v>0</v>
      </c>
      <c r="O788">
        <v>1.4982316105213044E-2</v>
      </c>
      <c r="P788">
        <v>7.231696686666667E-4</v>
      </c>
      <c r="Q788">
        <v>8.8339008555448403E-3</v>
      </c>
      <c r="R788">
        <v>2750000</v>
      </c>
      <c r="S788">
        <v>0</v>
      </c>
      <c r="T788">
        <v>0</v>
      </c>
      <c r="V788">
        <v>5400</v>
      </c>
      <c r="W788">
        <v>10</v>
      </c>
      <c r="X788">
        <v>85</v>
      </c>
      <c r="Y788">
        <v>4</v>
      </c>
      <c r="Z788">
        <v>4</v>
      </c>
      <c r="AA788">
        <v>5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80</v>
      </c>
      <c r="AM788">
        <v>53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70</v>
      </c>
      <c r="AU788">
        <v>0</v>
      </c>
      <c r="AV788">
        <v>0</v>
      </c>
    </row>
    <row r="789" spans="1:48" x14ac:dyDescent="0.15">
      <c r="A789" s="4" t="str">
        <f>HYPERLINK("https://ibp.a2mac1.com/costing(costing:projects/details/9760/equipment/12212726)","Manufacturing Equipment")</f>
        <v>Manufacturing Equipment</v>
      </c>
      <c r="B789">
        <v>12212726</v>
      </c>
      <c r="C789">
        <v>12085526</v>
      </c>
      <c r="H789" t="s">
        <v>162</v>
      </c>
      <c r="I789">
        <v>373962.1752</v>
      </c>
      <c r="J789">
        <v>0</v>
      </c>
      <c r="K789">
        <v>3.3919999999999999</v>
      </c>
      <c r="L789">
        <v>0</v>
      </c>
      <c r="M789">
        <v>85.594213950498229</v>
      </c>
      <c r="N789">
        <v>0</v>
      </c>
      <c r="O789">
        <v>1.4982316105213044E-2</v>
      </c>
      <c r="P789">
        <v>7.231696686666667E-4</v>
      </c>
      <c r="Q789">
        <v>8.8339008555448403E-3</v>
      </c>
      <c r="R789">
        <v>2750000</v>
      </c>
      <c r="S789">
        <v>0</v>
      </c>
      <c r="T789">
        <v>0</v>
      </c>
      <c r="V789">
        <v>5400</v>
      </c>
      <c r="W789">
        <v>10</v>
      </c>
      <c r="X789">
        <v>85</v>
      </c>
      <c r="Y789">
        <v>4</v>
      </c>
      <c r="Z789">
        <v>4</v>
      </c>
      <c r="AA789">
        <v>5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80</v>
      </c>
      <c r="AM789">
        <v>53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70</v>
      </c>
      <c r="AU789">
        <v>0</v>
      </c>
      <c r="AV789">
        <v>0</v>
      </c>
    </row>
    <row r="790" spans="1:48" x14ac:dyDescent="0.15">
      <c r="A790" s="4" t="str">
        <f>HYPERLINK("https://ibp.a2mac1.com/costing(costing:projects/details/9760/equipment/12212727)","Manufacturing Equipment")</f>
        <v>Manufacturing Equipment</v>
      </c>
      <c r="B790">
        <v>12212727</v>
      </c>
      <c r="C790">
        <v>12085527</v>
      </c>
      <c r="H790" t="s">
        <v>162</v>
      </c>
      <c r="I790">
        <v>373962.1752</v>
      </c>
      <c r="J790">
        <v>0</v>
      </c>
      <c r="K790">
        <v>3.3919999999999999</v>
      </c>
      <c r="L790">
        <v>0</v>
      </c>
      <c r="M790">
        <v>85.594213950498229</v>
      </c>
      <c r="N790">
        <v>0</v>
      </c>
      <c r="O790">
        <v>0.19129260666432515</v>
      </c>
      <c r="P790">
        <v>9.2333528413333331E-3</v>
      </c>
      <c r="Q790">
        <v>8.8339008555448403E-3</v>
      </c>
      <c r="R790">
        <v>2750000</v>
      </c>
      <c r="S790">
        <v>0</v>
      </c>
      <c r="T790">
        <v>0</v>
      </c>
      <c r="V790">
        <v>5400</v>
      </c>
      <c r="W790">
        <v>10</v>
      </c>
      <c r="X790">
        <v>85</v>
      </c>
      <c r="Y790">
        <v>4</v>
      </c>
      <c r="Z790">
        <v>4</v>
      </c>
      <c r="AA790">
        <v>5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80</v>
      </c>
      <c r="AM790">
        <v>53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70</v>
      </c>
      <c r="AU790">
        <v>0</v>
      </c>
      <c r="AV790">
        <v>0</v>
      </c>
    </row>
    <row r="791" spans="1:48" x14ac:dyDescent="0.15">
      <c r="A791" s="4" t="str">
        <f>HYPERLINK("https://ibp.a2mac1.com/costing(costing:projects/details/9760/equipment/12212728)","Manufacturing Equipment")</f>
        <v>Manufacturing Equipment</v>
      </c>
      <c r="B791">
        <v>12212728</v>
      </c>
      <c r="C791">
        <v>12085528</v>
      </c>
      <c r="H791" t="s">
        <v>162</v>
      </c>
      <c r="I791">
        <v>373962.1752</v>
      </c>
      <c r="J791">
        <v>0</v>
      </c>
      <c r="K791">
        <v>3.3919999999999999</v>
      </c>
      <c r="L791">
        <v>0</v>
      </c>
      <c r="M791">
        <v>85.594213950498229</v>
      </c>
      <c r="N791">
        <v>0</v>
      </c>
      <c r="O791">
        <v>6.1760980599392832E-3</v>
      </c>
      <c r="P791">
        <v>2.9810923466666665E-4</v>
      </c>
      <c r="Q791">
        <v>8.8339008555448403E-3</v>
      </c>
      <c r="R791">
        <v>2750000</v>
      </c>
      <c r="S791">
        <v>0</v>
      </c>
      <c r="T791">
        <v>0</v>
      </c>
      <c r="V791">
        <v>5400</v>
      </c>
      <c r="W791">
        <v>10</v>
      </c>
      <c r="X791">
        <v>85</v>
      </c>
      <c r="Y791">
        <v>4</v>
      </c>
      <c r="Z791">
        <v>4</v>
      </c>
      <c r="AA791">
        <v>5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80</v>
      </c>
      <c r="AM791">
        <v>53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70</v>
      </c>
      <c r="AU791">
        <v>0</v>
      </c>
      <c r="AV791">
        <v>0</v>
      </c>
    </row>
    <row r="792" spans="1:48" x14ac:dyDescent="0.15">
      <c r="A792" s="4" t="str">
        <f>HYPERLINK("https://ibp.a2mac1.com/costing(costing:projects/details/9760/equipment/12212729)","Manufacturing Equipment")</f>
        <v>Manufacturing Equipment</v>
      </c>
      <c r="B792">
        <v>12212729</v>
      </c>
      <c r="C792">
        <v>12085529</v>
      </c>
      <c r="H792" t="s">
        <v>162</v>
      </c>
      <c r="I792">
        <v>373962.1752</v>
      </c>
      <c r="J792">
        <v>0</v>
      </c>
      <c r="K792">
        <v>3.3919999999999999</v>
      </c>
      <c r="L792">
        <v>0</v>
      </c>
      <c r="M792">
        <v>85.594213950498229</v>
      </c>
      <c r="N792">
        <v>0</v>
      </c>
      <c r="O792">
        <v>1.4982316105213044E-2</v>
      </c>
      <c r="P792">
        <v>7.231696686666667E-4</v>
      </c>
      <c r="Q792">
        <v>8.8339008555448403E-3</v>
      </c>
      <c r="R792">
        <v>2750000</v>
      </c>
      <c r="S792">
        <v>0</v>
      </c>
      <c r="T792">
        <v>0</v>
      </c>
      <c r="V792">
        <v>5400</v>
      </c>
      <c r="W792">
        <v>10</v>
      </c>
      <c r="X792">
        <v>85</v>
      </c>
      <c r="Y792">
        <v>4</v>
      </c>
      <c r="Z792">
        <v>4</v>
      </c>
      <c r="AA792">
        <v>5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80</v>
      </c>
      <c r="AM792">
        <v>53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70</v>
      </c>
      <c r="AU792">
        <v>0</v>
      </c>
      <c r="AV792">
        <v>0</v>
      </c>
    </row>
    <row r="793" spans="1:48" x14ac:dyDescent="0.15">
      <c r="A793" s="4" t="str">
        <f>HYPERLINK("https://ibp.a2mac1.com/costing(costing:projects/details/9760/equipment/12212730)","Manufacturing Equipment")</f>
        <v>Manufacturing Equipment</v>
      </c>
      <c r="B793">
        <v>12212730</v>
      </c>
      <c r="C793">
        <v>12085530</v>
      </c>
      <c r="H793" t="s">
        <v>162</v>
      </c>
      <c r="I793">
        <v>373962.1752</v>
      </c>
      <c r="J793">
        <v>0</v>
      </c>
      <c r="K793">
        <v>3.3919999999999999</v>
      </c>
      <c r="L793">
        <v>0</v>
      </c>
      <c r="M793">
        <v>85.594213950498229</v>
      </c>
      <c r="N793">
        <v>0</v>
      </c>
      <c r="O793">
        <v>1.4982316105213044E-2</v>
      </c>
      <c r="P793">
        <v>7.231696686666667E-4</v>
      </c>
      <c r="Q793">
        <v>8.8339008555448403E-3</v>
      </c>
      <c r="R793">
        <v>2750000</v>
      </c>
      <c r="S793">
        <v>0</v>
      </c>
      <c r="T793">
        <v>0</v>
      </c>
      <c r="V793">
        <v>5400</v>
      </c>
      <c r="W793">
        <v>10</v>
      </c>
      <c r="X793">
        <v>85</v>
      </c>
      <c r="Y793">
        <v>4</v>
      </c>
      <c r="Z793">
        <v>4</v>
      </c>
      <c r="AA793">
        <v>5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80</v>
      </c>
      <c r="AM793">
        <v>53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70</v>
      </c>
      <c r="AU793">
        <v>0</v>
      </c>
      <c r="AV793">
        <v>0</v>
      </c>
    </row>
    <row r="794" spans="1:48" x14ac:dyDescent="0.15">
      <c r="A794" s="4" t="str">
        <f>HYPERLINK("https://ibp.a2mac1.com/costing(costing:projects/details/9760/equipment/12212731)","Manufacturing Equipment")</f>
        <v>Manufacturing Equipment</v>
      </c>
      <c r="B794">
        <v>12212731</v>
      </c>
      <c r="C794">
        <v>12085531</v>
      </c>
      <c r="H794" t="s">
        <v>162</v>
      </c>
      <c r="I794">
        <v>373962.1752</v>
      </c>
      <c r="J794">
        <v>0</v>
      </c>
      <c r="K794">
        <v>3.3919999999999999</v>
      </c>
      <c r="L794">
        <v>0</v>
      </c>
      <c r="M794">
        <v>85.594213950498229</v>
      </c>
      <c r="N794">
        <v>0</v>
      </c>
      <c r="O794">
        <v>0.19129260666432515</v>
      </c>
      <c r="P794">
        <v>9.2333528413333331E-3</v>
      </c>
      <c r="Q794">
        <v>8.8339008555448403E-3</v>
      </c>
      <c r="R794">
        <v>2750000</v>
      </c>
      <c r="S794">
        <v>0</v>
      </c>
      <c r="T794">
        <v>0</v>
      </c>
      <c r="V794">
        <v>5400</v>
      </c>
      <c r="W794">
        <v>10</v>
      </c>
      <c r="X794">
        <v>85</v>
      </c>
      <c r="Y794">
        <v>4</v>
      </c>
      <c r="Z794">
        <v>4</v>
      </c>
      <c r="AA794">
        <v>5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80</v>
      </c>
      <c r="AM794">
        <v>53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70</v>
      </c>
      <c r="AU794">
        <v>0</v>
      </c>
      <c r="AV794">
        <v>0</v>
      </c>
    </row>
    <row r="795" spans="1:48" x14ac:dyDescent="0.15">
      <c r="A795" s="4" t="str">
        <f>HYPERLINK("https://ibp.a2mac1.com/costing(costing:projects/details/9760/equipment/12212732)","Manufacturing Equipment")</f>
        <v>Manufacturing Equipment</v>
      </c>
      <c r="B795">
        <v>12212732</v>
      </c>
      <c r="C795">
        <v>12085532</v>
      </c>
      <c r="H795" t="s">
        <v>162</v>
      </c>
      <c r="I795">
        <v>373962.1752</v>
      </c>
      <c r="J795">
        <v>0</v>
      </c>
      <c r="K795">
        <v>3.3919999999999999</v>
      </c>
      <c r="L795">
        <v>0</v>
      </c>
      <c r="M795">
        <v>85.594213950498229</v>
      </c>
      <c r="N795">
        <v>0</v>
      </c>
      <c r="O795">
        <v>6.1760980599392832E-3</v>
      </c>
      <c r="P795">
        <v>2.9810923466666665E-4</v>
      </c>
      <c r="Q795">
        <v>8.8339008555448403E-3</v>
      </c>
      <c r="R795">
        <v>2750000</v>
      </c>
      <c r="S795">
        <v>0</v>
      </c>
      <c r="T795">
        <v>0</v>
      </c>
      <c r="V795">
        <v>5400</v>
      </c>
      <c r="W795">
        <v>10</v>
      </c>
      <c r="X795">
        <v>85</v>
      </c>
      <c r="Y795">
        <v>4</v>
      </c>
      <c r="Z795">
        <v>4</v>
      </c>
      <c r="AA795">
        <v>5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80</v>
      </c>
      <c r="AM795">
        <v>53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70</v>
      </c>
      <c r="AU795">
        <v>0</v>
      </c>
      <c r="AV795">
        <v>0</v>
      </c>
    </row>
    <row r="796" spans="1:48" x14ac:dyDescent="0.15">
      <c r="A796" s="4" t="str">
        <f>HYPERLINK("https://ibp.a2mac1.com/costing(costing:projects/details/9760/equipment/12212333)","No.06 - Injection Press - 200T - 45kW - 510x510 - Max Volume 624cm3 ")</f>
        <v xml:space="preserve">No.06 - Injection Press - 200T - 45kW - 510x510 - Max Volume 624cm3 </v>
      </c>
      <c r="B796">
        <v>12212333</v>
      </c>
      <c r="C796">
        <v>12085238</v>
      </c>
      <c r="E796" t="s">
        <v>1630</v>
      </c>
      <c r="H796" t="s">
        <v>162</v>
      </c>
      <c r="I796">
        <v>34247.230880000003</v>
      </c>
      <c r="J796">
        <v>0</v>
      </c>
      <c r="K796">
        <v>2.6539999999999999</v>
      </c>
      <c r="L796">
        <v>0</v>
      </c>
      <c r="M796">
        <v>9.7654160848601741</v>
      </c>
      <c r="N796">
        <v>0</v>
      </c>
      <c r="O796">
        <v>6.0538554051783135E-2</v>
      </c>
      <c r="P796">
        <v>6.4030509074166665E-3</v>
      </c>
      <c r="Q796">
        <v>4.1863075301832205E-3</v>
      </c>
      <c r="R796">
        <v>200000</v>
      </c>
      <c r="S796">
        <v>0</v>
      </c>
      <c r="T796">
        <v>0</v>
      </c>
      <c r="V796">
        <v>7200</v>
      </c>
      <c r="W796">
        <v>8</v>
      </c>
      <c r="X796">
        <v>85</v>
      </c>
      <c r="Y796">
        <v>3</v>
      </c>
      <c r="Z796">
        <v>4</v>
      </c>
      <c r="AA796">
        <v>5</v>
      </c>
      <c r="AB796">
        <v>0</v>
      </c>
      <c r="AC796">
        <v>0</v>
      </c>
      <c r="AD796">
        <v>0</v>
      </c>
      <c r="AE796">
        <v>0</v>
      </c>
      <c r="AF796">
        <v>0.25</v>
      </c>
      <c r="AG796">
        <v>0</v>
      </c>
      <c r="AH796">
        <v>0</v>
      </c>
      <c r="AI796">
        <v>2</v>
      </c>
      <c r="AJ796">
        <v>0</v>
      </c>
      <c r="AK796">
        <v>0</v>
      </c>
      <c r="AL796">
        <v>93</v>
      </c>
      <c r="AM796">
        <v>35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58</v>
      </c>
      <c r="AU796">
        <v>0.05</v>
      </c>
      <c r="AV796">
        <v>0</v>
      </c>
    </row>
    <row r="797" spans="1:48" x14ac:dyDescent="0.15">
      <c r="A797" s="4" t="str">
        <f>HYPERLINK("https://ibp.a2mac1.com/costing(costing:projects/details/9760/equipment/12212332)","Packaging")</f>
        <v>Packaging</v>
      </c>
      <c r="B797">
        <v>12212332</v>
      </c>
      <c r="C797">
        <v>12085237</v>
      </c>
      <c r="H797" t="s">
        <v>162</v>
      </c>
      <c r="I797">
        <v>4437.4535986499995</v>
      </c>
      <c r="J797">
        <v>0</v>
      </c>
      <c r="K797">
        <v>0.08</v>
      </c>
      <c r="L797">
        <v>0</v>
      </c>
      <c r="M797">
        <v>1.0342676949774992</v>
      </c>
      <c r="N797">
        <v>0</v>
      </c>
      <c r="O797">
        <v>8.6188974581458272E-3</v>
      </c>
      <c r="P797">
        <v>3.4429000000000001E-2</v>
      </c>
      <c r="Q797">
        <v>1.5514015424662487E-5</v>
      </c>
      <c r="R797">
        <v>29999.99999</v>
      </c>
      <c r="S797">
        <v>0</v>
      </c>
      <c r="T797">
        <v>0</v>
      </c>
      <c r="V797">
        <v>900</v>
      </c>
      <c r="W797">
        <v>10</v>
      </c>
      <c r="X797">
        <v>85</v>
      </c>
      <c r="Y797">
        <v>3</v>
      </c>
      <c r="Z797">
        <v>4</v>
      </c>
      <c r="AA797">
        <v>5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50</v>
      </c>
      <c r="AM797">
        <v>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10</v>
      </c>
      <c r="AU797">
        <v>0</v>
      </c>
      <c r="AV797">
        <v>0</v>
      </c>
    </row>
    <row r="798" spans="1:48" x14ac:dyDescent="0.15">
      <c r="A798" s="4" t="str">
        <f>HYPERLINK("https://ibp.a2mac1.com/costing(costing:projects/details/9760/equipment/12212334)","No.06 - Injection Press - 200T - 45kW - 510x510 - Max Volume 624cm3 ")</f>
        <v xml:space="preserve">No.06 - Injection Press - 200T - 45kW - 510x510 - Max Volume 624cm3 </v>
      </c>
      <c r="B798">
        <v>12212334</v>
      </c>
      <c r="C798">
        <v>12085239</v>
      </c>
      <c r="E798" t="s">
        <v>1630</v>
      </c>
      <c r="H798" t="s">
        <v>162</v>
      </c>
      <c r="I798">
        <v>34247.230880000003</v>
      </c>
      <c r="J798">
        <v>0</v>
      </c>
      <c r="K798">
        <v>2.6539999999999999</v>
      </c>
      <c r="L798">
        <v>0</v>
      </c>
      <c r="M798">
        <v>9.7654160848601741</v>
      </c>
      <c r="N798">
        <v>0</v>
      </c>
      <c r="O798">
        <v>6.0538554051783135E-2</v>
      </c>
      <c r="P798">
        <v>6.4030509074166665E-3</v>
      </c>
      <c r="Q798">
        <v>4.1863075301832205E-3</v>
      </c>
      <c r="R798">
        <v>200000</v>
      </c>
      <c r="S798">
        <v>0</v>
      </c>
      <c r="T798">
        <v>0</v>
      </c>
      <c r="V798">
        <v>7200</v>
      </c>
      <c r="W798">
        <v>8</v>
      </c>
      <c r="X798">
        <v>85</v>
      </c>
      <c r="Y798">
        <v>3</v>
      </c>
      <c r="Z798">
        <v>4</v>
      </c>
      <c r="AA798">
        <v>5</v>
      </c>
      <c r="AB798">
        <v>0</v>
      </c>
      <c r="AC798">
        <v>0</v>
      </c>
      <c r="AD798">
        <v>0</v>
      </c>
      <c r="AE798">
        <v>0</v>
      </c>
      <c r="AF798">
        <v>0.25</v>
      </c>
      <c r="AG798">
        <v>0</v>
      </c>
      <c r="AH798">
        <v>0</v>
      </c>
      <c r="AI798">
        <v>2</v>
      </c>
      <c r="AJ798">
        <v>0</v>
      </c>
      <c r="AK798">
        <v>0</v>
      </c>
      <c r="AL798">
        <v>93</v>
      </c>
      <c r="AM798">
        <v>35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58</v>
      </c>
      <c r="AU798">
        <v>0.05</v>
      </c>
      <c r="AV798">
        <v>0</v>
      </c>
    </row>
    <row r="799" spans="1:48" x14ac:dyDescent="0.15">
      <c r="A799" s="4" t="str">
        <f>HYPERLINK("https://ibp.a2mac1.com/costing(costing:projects/details/9760/equipment/12212335)","Packaging")</f>
        <v>Packaging</v>
      </c>
      <c r="B799">
        <v>12212335</v>
      </c>
      <c r="C799">
        <v>12085240</v>
      </c>
      <c r="H799" t="s">
        <v>162</v>
      </c>
      <c r="I799">
        <v>4437.4535986499995</v>
      </c>
      <c r="J799">
        <v>0</v>
      </c>
      <c r="K799">
        <v>0.08</v>
      </c>
      <c r="L799">
        <v>0</v>
      </c>
      <c r="M799">
        <v>1.0342676949774992</v>
      </c>
      <c r="N799">
        <v>0</v>
      </c>
      <c r="O799">
        <v>8.6188974581458272E-3</v>
      </c>
      <c r="P799">
        <v>3.4429000000000001E-2</v>
      </c>
      <c r="Q799">
        <v>1.5514015424662487E-5</v>
      </c>
      <c r="R799">
        <v>29999.99999</v>
      </c>
      <c r="S799">
        <v>0</v>
      </c>
      <c r="T799">
        <v>0</v>
      </c>
      <c r="V799">
        <v>900</v>
      </c>
      <c r="W799">
        <v>10</v>
      </c>
      <c r="X799">
        <v>85</v>
      </c>
      <c r="Y799">
        <v>3</v>
      </c>
      <c r="Z799">
        <v>4</v>
      </c>
      <c r="AA799">
        <v>5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50</v>
      </c>
      <c r="AM799">
        <v>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10</v>
      </c>
      <c r="AU799">
        <v>0</v>
      </c>
      <c r="AV799">
        <v>0</v>
      </c>
    </row>
    <row r="800" spans="1:48" x14ac:dyDescent="0.15">
      <c r="A800" s="4" t="str">
        <f>HYPERLINK("https://ibp.a2mac1.com/costing(costing:projects/details/9760/equipment/12212336)","No.01 - Progressive Press - 250T ")</f>
        <v xml:space="preserve">No.01 - Progressive Press - 250T </v>
      </c>
      <c r="B800">
        <v>12212336</v>
      </c>
      <c r="C800">
        <v>12085241</v>
      </c>
      <c r="E800" t="s">
        <v>1630</v>
      </c>
      <c r="H800" t="s">
        <v>162</v>
      </c>
      <c r="I800">
        <v>295789.00731428573</v>
      </c>
      <c r="J800">
        <v>0</v>
      </c>
      <c r="K800">
        <v>5.82</v>
      </c>
      <c r="L800">
        <v>0</v>
      </c>
      <c r="M800">
        <v>66.618618983331032</v>
      </c>
      <c r="N800">
        <v>0</v>
      </c>
      <c r="O800">
        <v>1.58239575774545E-2</v>
      </c>
      <c r="P800">
        <v>9.8135273966666668E-4</v>
      </c>
      <c r="Q800">
        <v>1.1876828847499656E-3</v>
      </c>
      <c r="R800">
        <v>1650000</v>
      </c>
      <c r="S800">
        <v>0</v>
      </c>
      <c r="T800">
        <v>0</v>
      </c>
      <c r="V800">
        <v>1800</v>
      </c>
      <c r="W800">
        <v>7</v>
      </c>
      <c r="X800">
        <v>85</v>
      </c>
      <c r="Y800">
        <v>3</v>
      </c>
      <c r="Z800">
        <v>4</v>
      </c>
      <c r="AA800">
        <v>5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87</v>
      </c>
      <c r="AM800">
        <v>75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60</v>
      </c>
      <c r="AU800">
        <v>0.6</v>
      </c>
      <c r="AV800">
        <v>0</v>
      </c>
    </row>
    <row r="801" spans="1:48" x14ac:dyDescent="0.15">
      <c r="A801" s="4" t="str">
        <f>HYPERLINK("https://ibp.a2mac1.com/costing(costing:projects/details/9760/equipment/12212337)","No.05 - Cleaning - Batch - 2000x2000x1200 - 500kg/batch - 3000kg/h ")</f>
        <v xml:space="preserve">No.05 - Cleaning - Batch - 2000x2000x1200 - 500kg/batch - 3000kg/h </v>
      </c>
      <c r="B801">
        <v>12212337</v>
      </c>
      <c r="C801">
        <v>12085242</v>
      </c>
      <c r="E801" t="s">
        <v>1630</v>
      </c>
      <c r="H801" t="s">
        <v>162</v>
      </c>
      <c r="I801">
        <v>36749.814400000003</v>
      </c>
      <c r="J801">
        <v>0</v>
      </c>
      <c r="K801">
        <v>7.6</v>
      </c>
      <c r="L801">
        <v>0</v>
      </c>
      <c r="M801">
        <v>15.274351398264224</v>
      </c>
      <c r="N801">
        <v>0</v>
      </c>
      <c r="O801">
        <v>4.2428753884067291E-2</v>
      </c>
      <c r="P801">
        <v>2.4368966666666665E-2</v>
      </c>
      <c r="Q801">
        <v>0</v>
      </c>
      <c r="R801">
        <v>220000</v>
      </c>
      <c r="S801">
        <v>0</v>
      </c>
      <c r="T801">
        <v>0</v>
      </c>
      <c r="V801">
        <v>0</v>
      </c>
      <c r="W801">
        <v>8</v>
      </c>
      <c r="X801">
        <v>85</v>
      </c>
      <c r="Y801">
        <v>3</v>
      </c>
      <c r="Z801">
        <v>4</v>
      </c>
      <c r="AA801">
        <v>5</v>
      </c>
      <c r="AB801">
        <v>0</v>
      </c>
      <c r="AC801">
        <v>1</v>
      </c>
      <c r="AD801">
        <v>0</v>
      </c>
      <c r="AE801">
        <v>0</v>
      </c>
      <c r="AF801">
        <v>0.1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100</v>
      </c>
      <c r="AM801">
        <v>60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40</v>
      </c>
      <c r="AU801">
        <v>2.8</v>
      </c>
      <c r="AV801">
        <v>0</v>
      </c>
    </row>
    <row r="802" spans="1:48" x14ac:dyDescent="0.15">
      <c r="A802" s="4" t="str">
        <f>HYPERLINK("https://ibp.a2mac1.com/costing(costing:projects/details/9760/equipment/12212338)","Packaging ")</f>
        <v xml:space="preserve">Packaging </v>
      </c>
      <c r="B802">
        <v>12212338</v>
      </c>
      <c r="C802">
        <v>12085243</v>
      </c>
      <c r="E802" t="s">
        <v>1630</v>
      </c>
      <c r="H802" t="s">
        <v>162</v>
      </c>
      <c r="I802">
        <v>4437.4535999999998</v>
      </c>
      <c r="J802">
        <v>0</v>
      </c>
      <c r="K802">
        <v>0.10768</v>
      </c>
      <c r="L802">
        <v>0</v>
      </c>
      <c r="M802">
        <v>1.0619476952748312</v>
      </c>
      <c r="N802">
        <v>0</v>
      </c>
      <c r="O802">
        <v>2.3598837672774028E-3</v>
      </c>
      <c r="P802">
        <v>2.7758133333333334E-2</v>
      </c>
      <c r="Q802">
        <v>1.0216640771456123E-4</v>
      </c>
      <c r="R802">
        <v>30000</v>
      </c>
      <c r="S802">
        <v>0</v>
      </c>
      <c r="T802">
        <v>0</v>
      </c>
      <c r="V802">
        <v>900</v>
      </c>
      <c r="W802">
        <v>10</v>
      </c>
      <c r="X802">
        <v>85</v>
      </c>
      <c r="Y802">
        <v>3</v>
      </c>
      <c r="Z802">
        <v>4</v>
      </c>
      <c r="AA802">
        <v>5</v>
      </c>
      <c r="AB802">
        <v>0</v>
      </c>
      <c r="AC802">
        <v>1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50</v>
      </c>
      <c r="AM802">
        <v>2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10</v>
      </c>
      <c r="AU802">
        <v>0</v>
      </c>
      <c r="AV802">
        <v>0</v>
      </c>
    </row>
    <row r="803" spans="1:48" x14ac:dyDescent="0.15">
      <c r="A803" s="4" t="str">
        <f>HYPERLINK("https://ibp.a2mac1.com/costing(costing:projects/details/9760/equipment/12212339)","Rubber Extrusion machine")</f>
        <v>Rubber Extrusion machine</v>
      </c>
      <c r="B803">
        <v>12212339</v>
      </c>
      <c r="C803">
        <v>12085244</v>
      </c>
      <c r="E803" t="s">
        <v>1596</v>
      </c>
      <c r="H803" t="s">
        <v>162</v>
      </c>
      <c r="I803">
        <v>127372.68</v>
      </c>
      <c r="J803">
        <v>0</v>
      </c>
      <c r="K803">
        <v>8.8000000000000007</v>
      </c>
      <c r="L803">
        <v>0</v>
      </c>
      <c r="M803">
        <v>35.700141433622626</v>
      </c>
      <c r="N803">
        <v>0</v>
      </c>
      <c r="O803">
        <v>0.29750117861352193</v>
      </c>
      <c r="P803">
        <v>6.8858000000000003E-2</v>
      </c>
      <c r="Q803">
        <v>1.4478114430086788E-3</v>
      </c>
      <c r="R803">
        <v>800000</v>
      </c>
      <c r="S803">
        <v>0</v>
      </c>
      <c r="T803">
        <v>0</v>
      </c>
      <c r="V803">
        <v>1800</v>
      </c>
      <c r="W803">
        <v>10</v>
      </c>
      <c r="X803">
        <v>85</v>
      </c>
      <c r="Y803">
        <v>3</v>
      </c>
      <c r="Z803">
        <v>4</v>
      </c>
      <c r="AA803">
        <v>5</v>
      </c>
      <c r="AB803">
        <v>0</v>
      </c>
      <c r="AC803">
        <v>0</v>
      </c>
      <c r="AD803">
        <v>0</v>
      </c>
      <c r="AE803">
        <v>0</v>
      </c>
      <c r="AF803">
        <v>2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100</v>
      </c>
      <c r="AM803">
        <v>110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500</v>
      </c>
      <c r="AU803">
        <v>0</v>
      </c>
      <c r="AV803">
        <v>0</v>
      </c>
    </row>
    <row r="804" spans="1:48" x14ac:dyDescent="0.15">
      <c r="A804" s="4" t="str">
        <f>HYPERLINK("https://ibp.a2mac1.com/costing(costing:projects/details/9760/equipment/12212340)","Seal welding/joining station, manual")</f>
        <v>Seal welding/joining station, manual</v>
      </c>
      <c r="B804">
        <v>12212340</v>
      </c>
      <c r="C804">
        <v>12085245</v>
      </c>
      <c r="E804" t="s">
        <v>738</v>
      </c>
      <c r="H804" t="s">
        <v>162</v>
      </c>
      <c r="I804">
        <v>4149.9071999999996</v>
      </c>
      <c r="J804">
        <v>0</v>
      </c>
      <c r="K804">
        <v>0.24</v>
      </c>
      <c r="L804">
        <v>0</v>
      </c>
      <c r="M804">
        <v>1.0275132111861138</v>
      </c>
      <c r="N804">
        <v>0</v>
      </c>
      <c r="O804">
        <v>8.5626100932176142E-3</v>
      </c>
      <c r="P804">
        <v>6.9664000000000004E-2</v>
      </c>
      <c r="Q804">
        <v>9.3871932111861135E-5</v>
      </c>
      <c r="R804">
        <v>25000</v>
      </c>
      <c r="S804">
        <v>0</v>
      </c>
      <c r="T804">
        <v>0</v>
      </c>
      <c r="V804">
        <v>600</v>
      </c>
      <c r="W804">
        <v>10</v>
      </c>
      <c r="X804">
        <v>85</v>
      </c>
      <c r="Y804">
        <v>3</v>
      </c>
      <c r="Z804">
        <v>3</v>
      </c>
      <c r="AA804">
        <v>3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100</v>
      </c>
      <c r="AM804">
        <v>3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20</v>
      </c>
      <c r="AU804">
        <v>0</v>
      </c>
      <c r="AV804">
        <v>0</v>
      </c>
    </row>
    <row r="805" spans="1:48" x14ac:dyDescent="0.15">
      <c r="A805" s="4" t="str">
        <f>HYPERLINK("https://ibp.a2mac1.com/costing(costing:projects/details/9760/equipment/12212733)","No.03 - Injection Press - 80T - 30kW - 370x370 - Max Volume 260cm3 ")</f>
        <v xml:space="preserve">No.03 - Injection Press - 80T - 30kW - 370x370 - Max Volume 260cm3 </v>
      </c>
      <c r="B805">
        <v>12212733</v>
      </c>
      <c r="C805">
        <v>12085533</v>
      </c>
      <c r="E805" t="s">
        <v>1630</v>
      </c>
      <c r="H805" t="s">
        <v>162</v>
      </c>
      <c r="I805">
        <v>19639.85152</v>
      </c>
      <c r="J805">
        <v>0</v>
      </c>
      <c r="K805">
        <v>2.1332</v>
      </c>
      <c r="L805">
        <v>0</v>
      </c>
      <c r="M805">
        <v>6.2138575891996144</v>
      </c>
      <c r="N805">
        <v>0</v>
      </c>
      <c r="O805">
        <v>4.0650279616345226E-3</v>
      </c>
      <c r="P805">
        <v>6.7569064312500004E-4</v>
      </c>
      <c r="Q805">
        <v>3.7601205107039536E-3</v>
      </c>
      <c r="R805">
        <v>115000</v>
      </c>
      <c r="S805">
        <v>0</v>
      </c>
      <c r="T805">
        <v>0</v>
      </c>
      <c r="V805">
        <v>7200</v>
      </c>
      <c r="W805">
        <v>8</v>
      </c>
      <c r="X805">
        <v>85</v>
      </c>
      <c r="Y805">
        <v>3</v>
      </c>
      <c r="Z805">
        <v>4</v>
      </c>
      <c r="AA805">
        <v>5</v>
      </c>
      <c r="AB805">
        <v>0</v>
      </c>
      <c r="AC805">
        <v>0</v>
      </c>
      <c r="AD805">
        <v>0</v>
      </c>
      <c r="AE805">
        <v>0</v>
      </c>
      <c r="AF805">
        <v>0.25</v>
      </c>
      <c r="AG805">
        <v>0</v>
      </c>
      <c r="AH805">
        <v>0</v>
      </c>
      <c r="AI805">
        <v>2</v>
      </c>
      <c r="AJ805">
        <v>0</v>
      </c>
      <c r="AK805">
        <v>0</v>
      </c>
      <c r="AL805">
        <v>93</v>
      </c>
      <c r="AM805">
        <v>28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32</v>
      </c>
      <c r="AU805">
        <v>0.05</v>
      </c>
      <c r="AV805">
        <v>0</v>
      </c>
    </row>
    <row r="806" spans="1:48" x14ac:dyDescent="0.15">
      <c r="A806" s="4" t="str">
        <f>HYPERLINK("https://ibp.a2mac1.com/costing(costing:projects/details/9760/equipment/12212734)","Packaging")</f>
        <v>Packaging</v>
      </c>
      <c r="B806">
        <v>12212734</v>
      </c>
      <c r="C806">
        <v>12085534</v>
      </c>
      <c r="H806" t="s">
        <v>162</v>
      </c>
      <c r="I806">
        <v>4437.4535986499995</v>
      </c>
      <c r="J806">
        <v>0</v>
      </c>
      <c r="K806">
        <v>0.08</v>
      </c>
      <c r="L806">
        <v>0</v>
      </c>
      <c r="M806">
        <v>1.0342676949774992</v>
      </c>
      <c r="N806">
        <v>0</v>
      </c>
      <c r="O806">
        <v>2.8729658193819424E-3</v>
      </c>
      <c r="P806">
        <v>1.1476333333333333E-2</v>
      </c>
      <c r="Q806">
        <v>1.5514015424662487E-5</v>
      </c>
      <c r="R806">
        <v>29999.99999</v>
      </c>
      <c r="S806">
        <v>0</v>
      </c>
      <c r="T806">
        <v>0</v>
      </c>
      <c r="V806">
        <v>900</v>
      </c>
      <c r="W806">
        <v>10</v>
      </c>
      <c r="X806">
        <v>85</v>
      </c>
      <c r="Y806">
        <v>3</v>
      </c>
      <c r="Z806">
        <v>4</v>
      </c>
      <c r="AA806">
        <v>5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50</v>
      </c>
      <c r="AM806">
        <v>2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10</v>
      </c>
      <c r="AU806">
        <v>0</v>
      </c>
      <c r="AV806">
        <v>0</v>
      </c>
    </row>
    <row r="807" spans="1:48" x14ac:dyDescent="0.15">
      <c r="A807" s="4" t="str">
        <f>HYPERLINK("https://ibp.a2mac1.com/costing(costing:projects/details/9760/equipment/12212342)","No.03 - Injection Press - 80T - 30kW - 370x370 - Max Volume 260cm3 ")</f>
        <v xml:space="preserve">No.03 - Injection Press - 80T - 30kW - 370x370 - Max Volume 260cm3 </v>
      </c>
      <c r="B807">
        <v>12212342</v>
      </c>
      <c r="C807">
        <v>12085247</v>
      </c>
      <c r="E807" t="s">
        <v>1630</v>
      </c>
      <c r="H807" t="s">
        <v>162</v>
      </c>
      <c r="I807">
        <v>19639.85152</v>
      </c>
      <c r="J807">
        <v>0</v>
      </c>
      <c r="K807">
        <v>2.1332</v>
      </c>
      <c r="L807">
        <v>0</v>
      </c>
      <c r="M807">
        <v>6.2138575891996144</v>
      </c>
      <c r="N807">
        <v>0</v>
      </c>
      <c r="O807">
        <v>1.9233805177996142E-2</v>
      </c>
      <c r="P807">
        <v>3.1970511182499999E-3</v>
      </c>
      <c r="Q807">
        <v>3.7601205107039536E-3</v>
      </c>
      <c r="R807">
        <v>115000</v>
      </c>
      <c r="S807">
        <v>0</v>
      </c>
      <c r="T807">
        <v>0</v>
      </c>
      <c r="V807">
        <v>7200</v>
      </c>
      <c r="W807">
        <v>8</v>
      </c>
      <c r="X807">
        <v>85</v>
      </c>
      <c r="Y807">
        <v>3</v>
      </c>
      <c r="Z807">
        <v>4</v>
      </c>
      <c r="AA807">
        <v>5</v>
      </c>
      <c r="AB807">
        <v>0</v>
      </c>
      <c r="AC807">
        <v>0</v>
      </c>
      <c r="AD807">
        <v>0</v>
      </c>
      <c r="AE807">
        <v>0</v>
      </c>
      <c r="AF807">
        <v>0.25</v>
      </c>
      <c r="AG807">
        <v>0</v>
      </c>
      <c r="AH807">
        <v>0</v>
      </c>
      <c r="AI807">
        <v>2</v>
      </c>
      <c r="AJ807">
        <v>0</v>
      </c>
      <c r="AK807">
        <v>0</v>
      </c>
      <c r="AL807">
        <v>93</v>
      </c>
      <c r="AM807">
        <v>28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32</v>
      </c>
      <c r="AU807">
        <v>0.05</v>
      </c>
      <c r="AV807">
        <v>0</v>
      </c>
    </row>
    <row r="808" spans="1:48" x14ac:dyDescent="0.15">
      <c r="A808" s="4" t="str">
        <f>HYPERLINK("https://ibp.a2mac1.com/costing(costing:projects/details/9760/equipment/12212341)","Packaging")</f>
        <v>Packaging</v>
      </c>
      <c r="B808">
        <v>12212341</v>
      </c>
      <c r="C808">
        <v>12085246</v>
      </c>
      <c r="H808" t="s">
        <v>162</v>
      </c>
      <c r="I808">
        <v>4437.4535986499995</v>
      </c>
      <c r="J808">
        <v>0</v>
      </c>
      <c r="K808">
        <v>0.08</v>
      </c>
      <c r="L808">
        <v>0</v>
      </c>
      <c r="M808">
        <v>1.0342676949774992</v>
      </c>
      <c r="N808">
        <v>0</v>
      </c>
      <c r="O808">
        <v>2.8729658193819424E-3</v>
      </c>
      <c r="P808">
        <v>1.1476333333333333E-2</v>
      </c>
      <c r="Q808">
        <v>1.5514015424662487E-5</v>
      </c>
      <c r="R808">
        <v>29999.99999</v>
      </c>
      <c r="S808">
        <v>0</v>
      </c>
      <c r="T808">
        <v>0</v>
      </c>
      <c r="V808">
        <v>900</v>
      </c>
      <c r="W808">
        <v>10</v>
      </c>
      <c r="X808">
        <v>85</v>
      </c>
      <c r="Y808">
        <v>3</v>
      </c>
      <c r="Z808">
        <v>4</v>
      </c>
      <c r="AA808">
        <v>5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50</v>
      </c>
      <c r="AM808">
        <v>2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10</v>
      </c>
      <c r="AU808">
        <v>0</v>
      </c>
      <c r="AV808">
        <v>0</v>
      </c>
    </row>
    <row r="809" spans="1:48" x14ac:dyDescent="0.15">
      <c r="A809" s="4" t="str">
        <f>HYPERLINK("https://ibp.a2mac1.com/costing(costing:projects/details/9760/equipment/12212345)","Equipment (Stamping)")</f>
        <v>Equipment (Stamping)</v>
      </c>
      <c r="B809">
        <v>12212345</v>
      </c>
      <c r="C809">
        <v>12085250</v>
      </c>
      <c r="H809" t="s">
        <v>162</v>
      </c>
      <c r="I809">
        <v>716.18946857142862</v>
      </c>
      <c r="J809">
        <v>0</v>
      </c>
      <c r="K809">
        <v>3.2000000000000001E-2</v>
      </c>
      <c r="L809">
        <v>0</v>
      </c>
      <c r="M809">
        <v>0.17683919456307112</v>
      </c>
      <c r="N809">
        <v>0</v>
      </c>
      <c r="O809">
        <v>4.9121998489741979E-4</v>
      </c>
      <c r="P809">
        <v>5.7381666666666666E-5</v>
      </c>
      <c r="Q809">
        <v>7.589195758368921E-4</v>
      </c>
      <c r="R809">
        <v>3700</v>
      </c>
      <c r="S809">
        <v>0</v>
      </c>
      <c r="T809">
        <v>0</v>
      </c>
      <c r="V809">
        <v>1800</v>
      </c>
      <c r="W809">
        <v>7</v>
      </c>
      <c r="X809">
        <v>85</v>
      </c>
      <c r="Y809">
        <v>3</v>
      </c>
      <c r="Z809">
        <v>4</v>
      </c>
      <c r="AA809">
        <v>5</v>
      </c>
      <c r="AB809">
        <v>0</v>
      </c>
      <c r="AC809">
        <v>0</v>
      </c>
      <c r="AD809">
        <v>0</v>
      </c>
      <c r="AE809">
        <v>0</v>
      </c>
      <c r="AF809">
        <v>5.0000000000000001E-3</v>
      </c>
      <c r="AG809">
        <v>0</v>
      </c>
      <c r="AH809">
        <v>0</v>
      </c>
      <c r="AI809">
        <v>2</v>
      </c>
      <c r="AJ809">
        <v>0</v>
      </c>
      <c r="AK809">
        <v>0</v>
      </c>
      <c r="AL809">
        <v>80</v>
      </c>
      <c r="AM809">
        <v>0.5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1.5</v>
      </c>
      <c r="AU809">
        <v>0</v>
      </c>
      <c r="AV809">
        <v>0</v>
      </c>
    </row>
    <row r="810" spans="1:48" x14ac:dyDescent="0.15">
      <c r="A810" s="4" t="str">
        <f>HYPERLINK("https://ibp.a2mac1.com/costing(costing:projects/details/9760/equipment/12212344)","No.01 - Generic CN Wire Bending ")</f>
        <v xml:space="preserve">No.01 - Generic CN Wire Bending </v>
      </c>
      <c r="B810">
        <v>12212344</v>
      </c>
      <c r="C810">
        <v>12085249</v>
      </c>
      <c r="E810" t="s">
        <v>1630</v>
      </c>
      <c r="G810" t="s">
        <v>5494</v>
      </c>
      <c r="H810" t="s">
        <v>162</v>
      </c>
      <c r="I810">
        <v>39737.935922999997</v>
      </c>
      <c r="J810">
        <v>0</v>
      </c>
      <c r="K810">
        <v>0.40079999999999999</v>
      </c>
      <c r="L810">
        <v>0</v>
      </c>
      <c r="M810">
        <v>8.547922760045001</v>
      </c>
      <c r="N810">
        <v>0</v>
      </c>
      <c r="O810">
        <v>1.1872114944506946E-2</v>
      </c>
      <c r="P810">
        <v>5.7381666666666666E-3</v>
      </c>
      <c r="Q810">
        <v>7.0127896560270007E-4</v>
      </c>
      <c r="R810">
        <v>219069.2378</v>
      </c>
      <c r="S810">
        <v>0</v>
      </c>
      <c r="T810">
        <v>0</v>
      </c>
      <c r="V810">
        <v>3600</v>
      </c>
      <c r="W810">
        <v>7</v>
      </c>
      <c r="X810">
        <v>85</v>
      </c>
      <c r="Y810">
        <v>3</v>
      </c>
      <c r="Z810">
        <v>4</v>
      </c>
      <c r="AA810">
        <v>5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0.25</v>
      </c>
      <c r="AJ810">
        <v>0</v>
      </c>
      <c r="AK810">
        <v>0</v>
      </c>
      <c r="AL810">
        <v>94</v>
      </c>
      <c r="AM810">
        <v>4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20</v>
      </c>
      <c r="AU810">
        <v>0.1</v>
      </c>
      <c r="AV810">
        <v>0</v>
      </c>
    </row>
    <row r="811" spans="1:48" x14ac:dyDescent="0.15">
      <c r="A811" s="4" t="str">
        <f>HYPERLINK("https://ibp.a2mac1.com/costing(costing:projects/details/9760/equipment/12212343)","No.04 - Press Fit Assembly ")</f>
        <v xml:space="preserve">No.04 - Press Fit Assembly </v>
      </c>
      <c r="B811">
        <v>12212343</v>
      </c>
      <c r="C811">
        <v>12085248</v>
      </c>
      <c r="E811" t="s">
        <v>1630</v>
      </c>
      <c r="H811" t="s">
        <v>162</v>
      </c>
      <c r="I811">
        <v>13962.360798399999</v>
      </c>
      <c r="J811">
        <v>0</v>
      </c>
      <c r="K811">
        <v>0.39200000000000002</v>
      </c>
      <c r="L811">
        <v>0</v>
      </c>
      <c r="M811">
        <v>3.2789110893442621</v>
      </c>
      <c r="N811">
        <v>0</v>
      </c>
      <c r="O811">
        <v>1.3662129538934427E-2</v>
      </c>
      <c r="P811">
        <v>1.7214500000000001E-2</v>
      </c>
      <c r="Q811">
        <v>4.7517453268032787E-5</v>
      </c>
      <c r="R811">
        <v>79999.999989999997</v>
      </c>
      <c r="S811">
        <v>0</v>
      </c>
      <c r="T811">
        <v>0</v>
      </c>
      <c r="V811">
        <v>180</v>
      </c>
      <c r="W811">
        <v>8</v>
      </c>
      <c r="X811">
        <v>85</v>
      </c>
      <c r="Y811">
        <v>3</v>
      </c>
      <c r="Z811">
        <v>4</v>
      </c>
      <c r="AA811">
        <v>5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98</v>
      </c>
      <c r="AM811">
        <v>5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30</v>
      </c>
      <c r="AU811">
        <v>0</v>
      </c>
      <c r="AV811">
        <v>0</v>
      </c>
    </row>
    <row r="812" spans="1:48" x14ac:dyDescent="0.15">
      <c r="A812" s="4" t="str">
        <f>HYPERLINK("https://ibp.a2mac1.com/costing(costing:projects/details/9760/equipment/12212346)","No.01 - Injection Press - 40T - 18kW - 270x270 - Max Volume 128cm3 ")</f>
        <v xml:space="preserve">No.01 - Injection Press - 40T - 18kW - 270x270 - Max Volume 128cm3 </v>
      </c>
      <c r="B812">
        <v>12212346</v>
      </c>
      <c r="C812">
        <v>12085251</v>
      </c>
      <c r="E812" t="s">
        <v>1630</v>
      </c>
      <c r="H812" t="s">
        <v>162</v>
      </c>
      <c r="I812">
        <v>13574.9072</v>
      </c>
      <c r="J812">
        <v>0</v>
      </c>
      <c r="K812">
        <v>1.6020000000000001</v>
      </c>
      <c r="L812">
        <v>0</v>
      </c>
      <c r="M812">
        <v>4.4266395371263263</v>
      </c>
      <c r="N812">
        <v>0</v>
      </c>
      <c r="O812">
        <v>2.0790450359369976E-3</v>
      </c>
      <c r="P812">
        <v>4.8510460999999998E-4</v>
      </c>
      <c r="Q812">
        <v>3.5456543444551589E-3</v>
      </c>
      <c r="R812">
        <v>80000</v>
      </c>
      <c r="S812">
        <v>0</v>
      </c>
      <c r="T812">
        <v>0</v>
      </c>
      <c r="V812">
        <v>7200</v>
      </c>
      <c r="W812">
        <v>8</v>
      </c>
      <c r="X812">
        <v>85</v>
      </c>
      <c r="Y812">
        <v>3</v>
      </c>
      <c r="Z812">
        <v>4</v>
      </c>
      <c r="AA812">
        <v>5</v>
      </c>
      <c r="AB812">
        <v>0</v>
      </c>
      <c r="AC812">
        <v>0</v>
      </c>
      <c r="AD812">
        <v>0</v>
      </c>
      <c r="AE812">
        <v>0</v>
      </c>
      <c r="AF812">
        <v>0.25</v>
      </c>
      <c r="AG812">
        <v>0</v>
      </c>
      <c r="AH812">
        <v>0</v>
      </c>
      <c r="AI812">
        <v>2</v>
      </c>
      <c r="AJ812">
        <v>0</v>
      </c>
      <c r="AK812">
        <v>0</v>
      </c>
      <c r="AL812">
        <v>97</v>
      </c>
      <c r="AM812">
        <v>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20</v>
      </c>
      <c r="AU812">
        <v>0.05</v>
      </c>
      <c r="AV812">
        <v>0</v>
      </c>
    </row>
    <row r="813" spans="1:48" x14ac:dyDescent="0.15">
      <c r="A813" s="4" t="str">
        <f>HYPERLINK("https://ibp.a2mac1.com/costing(costing:projects/details/9760/equipment/12212347)","Equipment (Injection Molding)")</f>
        <v>Equipment (Injection Molding)</v>
      </c>
      <c r="B813">
        <v>12212347</v>
      </c>
      <c r="C813">
        <v>12085252</v>
      </c>
      <c r="H813" t="s">
        <v>162</v>
      </c>
      <c r="I813">
        <v>1528.4711580000001</v>
      </c>
      <c r="J813">
        <v>0</v>
      </c>
      <c r="K813">
        <v>6.4960000000000004E-2</v>
      </c>
      <c r="L813">
        <v>0</v>
      </c>
      <c r="M813">
        <v>0.37586825425908066</v>
      </c>
      <c r="N813">
        <v>0</v>
      </c>
      <c r="O813">
        <v>7.8305886303975142E-4</v>
      </c>
      <c r="P813">
        <v>4.9922049999999997E-5</v>
      </c>
      <c r="Q813">
        <v>1.6636367235904051E-5</v>
      </c>
      <c r="R813">
        <v>8120</v>
      </c>
      <c r="S813">
        <v>0</v>
      </c>
      <c r="T813">
        <v>0</v>
      </c>
      <c r="V813">
        <v>78.3</v>
      </c>
      <c r="W813">
        <v>7</v>
      </c>
      <c r="X813">
        <v>85</v>
      </c>
      <c r="Y813">
        <v>3</v>
      </c>
      <c r="Z813">
        <v>4</v>
      </c>
      <c r="AA813">
        <v>5</v>
      </c>
      <c r="AB813">
        <v>0</v>
      </c>
      <c r="AC813">
        <v>0</v>
      </c>
      <c r="AD813">
        <v>0</v>
      </c>
      <c r="AE813">
        <v>0</v>
      </c>
      <c r="AF813">
        <v>5.7999999999999996E-3</v>
      </c>
      <c r="AG813">
        <v>0</v>
      </c>
      <c r="AH813">
        <v>0</v>
      </c>
      <c r="AI813">
        <v>2</v>
      </c>
      <c r="AJ813">
        <v>0</v>
      </c>
      <c r="AK813">
        <v>0</v>
      </c>
      <c r="AL813">
        <v>80</v>
      </c>
      <c r="AM813">
        <v>1.0149999999999999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2.1749999999999998</v>
      </c>
      <c r="AU813">
        <v>0</v>
      </c>
      <c r="AV813">
        <v>0</v>
      </c>
    </row>
    <row r="814" spans="1:48" x14ac:dyDescent="0.15">
      <c r="A814" s="4" t="str">
        <f>HYPERLINK("https://ibp.a2mac1.com/costing(costing:projects/details/9760/equipment/12212348)","Equipment (Injection Molding)")</f>
        <v>Equipment (Injection Molding)</v>
      </c>
      <c r="B814">
        <v>12212348</v>
      </c>
      <c r="C814">
        <v>12085253</v>
      </c>
      <c r="H814" t="s">
        <v>162</v>
      </c>
      <c r="I814">
        <v>1027.765089</v>
      </c>
      <c r="J814">
        <v>0</v>
      </c>
      <c r="K814">
        <v>4.3679999999999997E-2</v>
      </c>
      <c r="L814">
        <v>0</v>
      </c>
      <c r="M814">
        <v>0.25273899855351978</v>
      </c>
      <c r="N814">
        <v>0</v>
      </c>
      <c r="O814">
        <v>4.2123166425586632E-3</v>
      </c>
      <c r="P814">
        <v>2.685462E-4</v>
      </c>
      <c r="Q814">
        <v>1.1132499835615356E-5</v>
      </c>
      <c r="R814">
        <v>5460</v>
      </c>
      <c r="S814">
        <v>0</v>
      </c>
      <c r="T814">
        <v>0</v>
      </c>
      <c r="V814">
        <v>52.65</v>
      </c>
      <c r="W814">
        <v>7</v>
      </c>
      <c r="X814">
        <v>85</v>
      </c>
      <c r="Y814">
        <v>3</v>
      </c>
      <c r="Z814">
        <v>4</v>
      </c>
      <c r="AA814">
        <v>5</v>
      </c>
      <c r="AB814">
        <v>0</v>
      </c>
      <c r="AC814">
        <v>0</v>
      </c>
      <c r="AD814">
        <v>0</v>
      </c>
      <c r="AE814">
        <v>0</v>
      </c>
      <c r="AF814">
        <v>3.8999999999999998E-3</v>
      </c>
      <c r="AG814">
        <v>0</v>
      </c>
      <c r="AH814">
        <v>0</v>
      </c>
      <c r="AI814">
        <v>2</v>
      </c>
      <c r="AJ814">
        <v>0</v>
      </c>
      <c r="AK814">
        <v>0</v>
      </c>
      <c r="AL814">
        <v>80</v>
      </c>
      <c r="AM814">
        <v>0.6825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1.4624999999999999</v>
      </c>
      <c r="AU814">
        <v>0</v>
      </c>
      <c r="AV814">
        <v>0</v>
      </c>
    </row>
    <row r="815" spans="1:48" x14ac:dyDescent="0.15">
      <c r="A815" s="4" t="str">
        <f>HYPERLINK("https://ibp.a2mac1.com/costing(costing:projects/details/9760/equipment/12212349)","Equipment (Injection Molding)")</f>
        <v>Equipment (Injection Molding)</v>
      </c>
      <c r="B815">
        <v>12212349</v>
      </c>
      <c r="C815">
        <v>12085254</v>
      </c>
      <c r="H815" t="s">
        <v>162</v>
      </c>
      <c r="I815">
        <v>632.47082399999999</v>
      </c>
      <c r="J815">
        <v>0</v>
      </c>
      <c r="K815">
        <v>2.6880000000000001E-2</v>
      </c>
      <c r="L815">
        <v>0</v>
      </c>
      <c r="M815">
        <v>0.15553169141755063</v>
      </c>
      <c r="N815">
        <v>0</v>
      </c>
      <c r="O815">
        <v>6.4804871423979429E-4</v>
      </c>
      <c r="P815">
        <v>4.13148E-5</v>
      </c>
      <c r="Q815">
        <v>6.8245231566827384E-6</v>
      </c>
      <c r="R815">
        <v>3360</v>
      </c>
      <c r="S815">
        <v>0</v>
      </c>
      <c r="T815">
        <v>0</v>
      </c>
      <c r="V815">
        <v>32.4</v>
      </c>
      <c r="W815">
        <v>7</v>
      </c>
      <c r="X815">
        <v>85</v>
      </c>
      <c r="Y815">
        <v>3</v>
      </c>
      <c r="Z815">
        <v>4</v>
      </c>
      <c r="AA815">
        <v>5</v>
      </c>
      <c r="AB815">
        <v>0</v>
      </c>
      <c r="AC815">
        <v>0</v>
      </c>
      <c r="AD815">
        <v>0</v>
      </c>
      <c r="AE815">
        <v>0</v>
      </c>
      <c r="AF815">
        <v>2.3999999999999998E-3</v>
      </c>
      <c r="AG815">
        <v>0</v>
      </c>
      <c r="AH815">
        <v>0</v>
      </c>
      <c r="AI815">
        <v>2</v>
      </c>
      <c r="AJ815">
        <v>0</v>
      </c>
      <c r="AK815">
        <v>0</v>
      </c>
      <c r="AL815">
        <v>80</v>
      </c>
      <c r="AM815">
        <v>0.42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0.9</v>
      </c>
      <c r="AU815">
        <v>0</v>
      </c>
      <c r="AV815">
        <v>0</v>
      </c>
    </row>
    <row r="816" spans="1:48" x14ac:dyDescent="0.15">
      <c r="A816" s="4" t="str">
        <f>HYPERLINK("https://ibp.a2mac1.com/costing(costing:projects/details/9760/equipment/12212350)","Equipment (Injection Molding)")</f>
        <v>Equipment (Injection Molding)</v>
      </c>
      <c r="B816">
        <v>12212350</v>
      </c>
      <c r="C816">
        <v>12085255</v>
      </c>
      <c r="H816" t="s">
        <v>162</v>
      </c>
      <c r="I816">
        <v>579.76492199999996</v>
      </c>
      <c r="J816">
        <v>0</v>
      </c>
      <c r="K816">
        <v>2.4639999999999999E-2</v>
      </c>
      <c r="L816">
        <v>0</v>
      </c>
      <c r="M816">
        <v>0.14257071713275474</v>
      </c>
      <c r="N816">
        <v>0</v>
      </c>
      <c r="O816">
        <v>2.9702232735990571E-4</v>
      </c>
      <c r="P816">
        <v>1.893595E-5</v>
      </c>
      <c r="Q816">
        <v>6.2526050524903569E-6</v>
      </c>
      <c r="R816">
        <v>3080</v>
      </c>
      <c r="S816">
        <v>0</v>
      </c>
      <c r="T816">
        <v>0</v>
      </c>
      <c r="V816">
        <v>29.7</v>
      </c>
      <c r="W816">
        <v>7</v>
      </c>
      <c r="X816">
        <v>85</v>
      </c>
      <c r="Y816">
        <v>3</v>
      </c>
      <c r="Z816">
        <v>4</v>
      </c>
      <c r="AA816">
        <v>5</v>
      </c>
      <c r="AB816">
        <v>0</v>
      </c>
      <c r="AC816">
        <v>0</v>
      </c>
      <c r="AD816">
        <v>0</v>
      </c>
      <c r="AE816">
        <v>0</v>
      </c>
      <c r="AF816">
        <v>2.2000000000000001E-3</v>
      </c>
      <c r="AG816">
        <v>0</v>
      </c>
      <c r="AH816">
        <v>0</v>
      </c>
      <c r="AI816">
        <v>2</v>
      </c>
      <c r="AJ816">
        <v>0</v>
      </c>
      <c r="AK816">
        <v>0</v>
      </c>
      <c r="AL816">
        <v>80</v>
      </c>
      <c r="AM816">
        <v>0.38500000000000001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0.82499999999999996</v>
      </c>
      <c r="AU816">
        <v>0</v>
      </c>
      <c r="AV816">
        <v>0</v>
      </c>
    </row>
    <row r="817" spans="1:48" x14ac:dyDescent="0.15">
      <c r="A817" s="4" t="str">
        <f>HYPERLINK("https://ibp.a2mac1.com/costing(costing:projects/details/9760/equipment/12212735)","Stamping Equipment")</f>
        <v>Stamping Equipment</v>
      </c>
      <c r="B817">
        <v>12212735</v>
      </c>
      <c r="C817">
        <v>12085535</v>
      </c>
      <c r="F817" t="s">
        <v>5842</v>
      </c>
      <c r="H817" t="s">
        <v>162</v>
      </c>
      <c r="I817">
        <v>232987.08240000001</v>
      </c>
      <c r="J817">
        <v>0</v>
      </c>
      <c r="K817">
        <v>7.92</v>
      </c>
      <c r="L817">
        <v>0</v>
      </c>
      <c r="M817">
        <v>59.026892060430733</v>
      </c>
      <c r="N817">
        <v>0</v>
      </c>
      <c r="O817">
        <v>8.198179452837602E-2</v>
      </c>
      <c r="P817">
        <v>1.1610666666666667E-2</v>
      </c>
      <c r="Q817">
        <v>3.7866317427193829E-3</v>
      </c>
      <c r="R817">
        <v>1700000</v>
      </c>
      <c r="S817">
        <v>0</v>
      </c>
      <c r="T817">
        <v>0</v>
      </c>
      <c r="V817">
        <v>2700</v>
      </c>
      <c r="W817">
        <v>10</v>
      </c>
      <c r="X817">
        <v>85</v>
      </c>
      <c r="Y817">
        <v>3</v>
      </c>
      <c r="Z817">
        <v>4</v>
      </c>
      <c r="AA817">
        <v>5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</v>
      </c>
      <c r="AJ817">
        <v>0</v>
      </c>
      <c r="AK817">
        <v>0</v>
      </c>
      <c r="AL817">
        <v>55</v>
      </c>
      <c r="AM817">
        <v>180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90</v>
      </c>
      <c r="AU817">
        <v>0</v>
      </c>
      <c r="AV817">
        <v>0</v>
      </c>
    </row>
    <row r="818" spans="1:48" x14ac:dyDescent="0.15">
      <c r="A818" s="4" t="str">
        <f>HYPERLINK("https://ibp.a2mac1.com/costing(costing:projects/details/9760/equipment/12212736)","Stamping Equipment")</f>
        <v>Stamping Equipment</v>
      </c>
      <c r="B818">
        <v>12212736</v>
      </c>
      <c r="C818">
        <v>12085536</v>
      </c>
      <c r="F818" t="s">
        <v>5842</v>
      </c>
      <c r="H818" t="s">
        <v>162</v>
      </c>
      <c r="I818">
        <v>232987.08240000001</v>
      </c>
      <c r="J818">
        <v>0</v>
      </c>
      <c r="K818">
        <v>7.92</v>
      </c>
      <c r="L818">
        <v>0</v>
      </c>
      <c r="M818">
        <v>59.026892060430733</v>
      </c>
      <c r="N818">
        <v>0</v>
      </c>
      <c r="O818">
        <v>8.198179452837602E-2</v>
      </c>
      <c r="P818">
        <v>1.1610666666666667E-2</v>
      </c>
      <c r="Q818">
        <v>3.7866317427193829E-3</v>
      </c>
      <c r="R818">
        <v>1700000</v>
      </c>
      <c r="S818">
        <v>0</v>
      </c>
      <c r="T818">
        <v>0</v>
      </c>
      <c r="V818">
        <v>2700</v>
      </c>
      <c r="W818">
        <v>10</v>
      </c>
      <c r="X818">
        <v>85</v>
      </c>
      <c r="Y818">
        <v>3</v>
      </c>
      <c r="Z818">
        <v>4</v>
      </c>
      <c r="AA818">
        <v>5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</v>
      </c>
      <c r="AJ818">
        <v>0</v>
      </c>
      <c r="AK818">
        <v>0</v>
      </c>
      <c r="AL818">
        <v>55</v>
      </c>
      <c r="AM818">
        <v>180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90</v>
      </c>
      <c r="AU818">
        <v>0</v>
      </c>
      <c r="AV818">
        <v>0</v>
      </c>
    </row>
    <row r="819" spans="1:48" x14ac:dyDescent="0.15">
      <c r="A819" s="4" t="str">
        <f>HYPERLINK("https://ibp.a2mac1.com/costing(costing:projects/details/9760/equipment/12212737)","Stamping Equipment")</f>
        <v>Stamping Equipment</v>
      </c>
      <c r="B819">
        <v>12212737</v>
      </c>
      <c r="C819">
        <v>12085537</v>
      </c>
      <c r="F819" t="s">
        <v>5842</v>
      </c>
      <c r="H819" t="s">
        <v>162</v>
      </c>
      <c r="I819">
        <v>232987.08240000001</v>
      </c>
      <c r="J819">
        <v>0</v>
      </c>
      <c r="K819">
        <v>7.92</v>
      </c>
      <c r="L819">
        <v>0</v>
      </c>
      <c r="M819">
        <v>59.026892060430733</v>
      </c>
      <c r="N819">
        <v>0</v>
      </c>
      <c r="O819">
        <v>8.198179452837602E-2</v>
      </c>
      <c r="P819">
        <v>1.1610666666666667E-2</v>
      </c>
      <c r="Q819">
        <v>3.7866317427193829E-3</v>
      </c>
      <c r="R819">
        <v>1700000</v>
      </c>
      <c r="S819">
        <v>0</v>
      </c>
      <c r="T819">
        <v>0</v>
      </c>
      <c r="V819">
        <v>2700</v>
      </c>
      <c r="W819">
        <v>10</v>
      </c>
      <c r="X819">
        <v>85</v>
      </c>
      <c r="Y819">
        <v>3</v>
      </c>
      <c r="Z819">
        <v>4</v>
      </c>
      <c r="AA819">
        <v>5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2</v>
      </c>
      <c r="AJ819">
        <v>0</v>
      </c>
      <c r="AK819">
        <v>0</v>
      </c>
      <c r="AL819">
        <v>55</v>
      </c>
      <c r="AM819">
        <v>180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90</v>
      </c>
      <c r="AU819">
        <v>0</v>
      </c>
      <c r="AV819">
        <v>0</v>
      </c>
    </row>
    <row r="820" spans="1:48" x14ac:dyDescent="0.15">
      <c r="A820" s="4" t="str">
        <f>HYPERLINK("https://ibp.a2mac1.com/costing(costing:projects/details/9760/equipment/12212738)","Stamping Equipment")</f>
        <v>Stamping Equipment</v>
      </c>
      <c r="B820">
        <v>12212738</v>
      </c>
      <c r="C820">
        <v>12085538</v>
      </c>
      <c r="F820" t="s">
        <v>5842</v>
      </c>
      <c r="H820" t="s">
        <v>162</v>
      </c>
      <c r="I820">
        <v>232987.08240000001</v>
      </c>
      <c r="J820">
        <v>0</v>
      </c>
      <c r="K820">
        <v>7.92</v>
      </c>
      <c r="L820">
        <v>0</v>
      </c>
      <c r="M820">
        <v>59.026892060430733</v>
      </c>
      <c r="N820">
        <v>0</v>
      </c>
      <c r="O820">
        <v>8.198179452837602E-2</v>
      </c>
      <c r="P820">
        <v>1.1610666666666667E-2</v>
      </c>
      <c r="Q820">
        <v>3.7866317427193829E-3</v>
      </c>
      <c r="R820">
        <v>1700000</v>
      </c>
      <c r="S820">
        <v>0</v>
      </c>
      <c r="T820">
        <v>0</v>
      </c>
      <c r="V820">
        <v>2700</v>
      </c>
      <c r="W820">
        <v>10</v>
      </c>
      <c r="X820">
        <v>85</v>
      </c>
      <c r="Y820">
        <v>3</v>
      </c>
      <c r="Z820">
        <v>4</v>
      </c>
      <c r="AA820">
        <v>5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</v>
      </c>
      <c r="AJ820">
        <v>0</v>
      </c>
      <c r="AK820">
        <v>0</v>
      </c>
      <c r="AL820">
        <v>55</v>
      </c>
      <c r="AM820">
        <v>180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90</v>
      </c>
      <c r="AU820">
        <v>0</v>
      </c>
      <c r="AV820">
        <v>0</v>
      </c>
    </row>
    <row r="821" spans="1:48" x14ac:dyDescent="0.15">
      <c r="A821" s="4" t="str">
        <f>HYPERLINK("https://ibp.a2mac1.com/costing(costing:projects/details/9760/equipment/12212777)","Machining Center, small ")</f>
        <v xml:space="preserve">Machining Center, small </v>
      </c>
      <c r="B821">
        <v>12212777</v>
      </c>
      <c r="C821">
        <v>12085539</v>
      </c>
      <c r="E821" t="s">
        <v>1630</v>
      </c>
      <c r="F821" t="s">
        <v>5859</v>
      </c>
      <c r="G821" t="s">
        <v>5860</v>
      </c>
      <c r="H821" t="s">
        <v>162</v>
      </c>
      <c r="I821">
        <v>32676.768</v>
      </c>
      <c r="J821">
        <v>0</v>
      </c>
      <c r="K821">
        <v>2.9383759999999999</v>
      </c>
      <c r="L821">
        <v>0</v>
      </c>
      <c r="M821">
        <v>10.019984486017357</v>
      </c>
      <c r="N821">
        <v>0</v>
      </c>
      <c r="O821">
        <v>0.16699974143362262</v>
      </c>
      <c r="P821">
        <v>0.20933733333333332</v>
      </c>
      <c r="Q821">
        <v>2.7096269383220829E-3</v>
      </c>
      <c r="R821">
        <v>227700</v>
      </c>
      <c r="S821">
        <v>0</v>
      </c>
      <c r="T821">
        <v>0</v>
      </c>
      <c r="V821">
        <v>7200</v>
      </c>
      <c r="W821">
        <v>10</v>
      </c>
      <c r="X821">
        <v>85</v>
      </c>
      <c r="Y821">
        <v>3</v>
      </c>
      <c r="Z821">
        <v>4</v>
      </c>
      <c r="AA821">
        <v>5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100</v>
      </c>
      <c r="AM821">
        <v>35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0.2</v>
      </c>
      <c r="AT821">
        <v>50</v>
      </c>
      <c r="AU821">
        <v>0</v>
      </c>
      <c r="AV821">
        <v>0</v>
      </c>
    </row>
    <row r="822" spans="1:48" x14ac:dyDescent="0.15">
      <c r="A822" s="4" t="str">
        <f>HYPERLINK("https://ibp.a2mac1.com/costing(costing:projects/details/9760/equipment/12212359)","No.01 - 1500x800x500 - 45kg - electrophoresis line - with 10x10kW on line ovens ")</f>
        <v xml:space="preserve">No.01 - 1500x800x500 - 45kg - electrophoresis line - with 10x10kW on line ovens </v>
      </c>
      <c r="B822">
        <v>12212359</v>
      </c>
      <c r="C822">
        <v>12085263</v>
      </c>
      <c r="E822" t="s">
        <v>1630</v>
      </c>
      <c r="H822" t="s">
        <v>162</v>
      </c>
      <c r="I822">
        <v>489873.05119999999</v>
      </c>
      <c r="J822">
        <v>0</v>
      </c>
      <c r="K822">
        <v>148.9</v>
      </c>
      <c r="L822">
        <v>0</v>
      </c>
      <c r="M822">
        <v>251.41897319189971</v>
      </c>
      <c r="N822">
        <v>0</v>
      </c>
      <c r="O822">
        <v>0.97548745794761815</v>
      </c>
      <c r="P822">
        <v>3.6442415649166664E-2</v>
      </c>
      <c r="Q822">
        <v>0</v>
      </c>
      <c r="R822">
        <v>2960000</v>
      </c>
      <c r="S822">
        <v>0</v>
      </c>
      <c r="T822">
        <v>0</v>
      </c>
      <c r="V822">
        <v>0</v>
      </c>
      <c r="W822">
        <v>8</v>
      </c>
      <c r="X822">
        <v>85</v>
      </c>
      <c r="Y822">
        <v>3</v>
      </c>
      <c r="Z822">
        <v>4</v>
      </c>
      <c r="AA822">
        <v>5</v>
      </c>
      <c r="AB822">
        <v>0</v>
      </c>
      <c r="AC822">
        <v>1</v>
      </c>
      <c r="AD822">
        <v>0</v>
      </c>
      <c r="AE822">
        <v>0</v>
      </c>
      <c r="AF822">
        <v>0.25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100</v>
      </c>
      <c r="AM822">
        <v>1860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420</v>
      </c>
      <c r="AU822">
        <v>0.1</v>
      </c>
      <c r="AV822">
        <v>0</v>
      </c>
    </row>
    <row r="823" spans="1:48" x14ac:dyDescent="0.15">
      <c r="A823" s="4" t="str">
        <f>HYPERLINK("https://ibp.a2mac1.com/costing(costing:projects/details/9760/equipment/12212360)","Assembly Station ")</f>
        <v xml:space="preserve">Assembly Station </v>
      </c>
      <c r="B823">
        <v>12212360</v>
      </c>
      <c r="C823">
        <v>12085264</v>
      </c>
      <c r="E823" t="s">
        <v>1630</v>
      </c>
      <c r="F823" t="s">
        <v>5068</v>
      </c>
      <c r="G823" t="s">
        <v>8</v>
      </c>
      <c r="H823" t="s">
        <v>162</v>
      </c>
      <c r="I823">
        <v>4824.9071999999996</v>
      </c>
      <c r="J823">
        <v>0</v>
      </c>
      <c r="K823">
        <v>0.10768</v>
      </c>
      <c r="L823">
        <v>0</v>
      </c>
      <c r="M823">
        <v>1.1242192478302797</v>
      </c>
      <c r="N823">
        <v>0</v>
      </c>
      <c r="O823">
        <v>9.3684937319189979E-3</v>
      </c>
      <c r="P823">
        <v>3.4429000000000001E-2</v>
      </c>
      <c r="Q823">
        <v>2.2807432079717134E-4</v>
      </c>
      <c r="R823">
        <v>30000</v>
      </c>
      <c r="S823">
        <v>0</v>
      </c>
      <c r="T823">
        <v>0</v>
      </c>
      <c r="V823">
        <v>600</v>
      </c>
      <c r="W823">
        <v>10</v>
      </c>
      <c r="X823">
        <v>85</v>
      </c>
      <c r="Y823">
        <v>3</v>
      </c>
      <c r="Z823">
        <v>4</v>
      </c>
      <c r="AA823">
        <v>5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100</v>
      </c>
      <c r="AM823">
        <v>1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20</v>
      </c>
      <c r="AU823">
        <v>0</v>
      </c>
      <c r="AV823">
        <v>0</v>
      </c>
    </row>
    <row r="824" spans="1:48" x14ac:dyDescent="0.15">
      <c r="A824" s="4" t="str">
        <f>HYPERLINK("https://ibp.a2mac1.com/costing(costing:projects/details/9760/equipment/12212778)","Stamping Equipment")</f>
        <v>Stamping Equipment</v>
      </c>
      <c r="B824">
        <v>12212778</v>
      </c>
      <c r="C824">
        <v>12085540</v>
      </c>
      <c r="F824" t="s">
        <v>5842</v>
      </c>
      <c r="H824" t="s">
        <v>162</v>
      </c>
      <c r="I824">
        <v>232987.08240000001</v>
      </c>
      <c r="J824">
        <v>0</v>
      </c>
      <c r="K824">
        <v>7.92</v>
      </c>
      <c r="L824">
        <v>0</v>
      </c>
      <c r="M824">
        <v>59.026892060430733</v>
      </c>
      <c r="N824">
        <v>0</v>
      </c>
      <c r="O824">
        <v>8.198179452837602E-2</v>
      </c>
      <c r="P824">
        <v>1.1610666666666667E-2</v>
      </c>
      <c r="Q824">
        <v>3.7866317427193829E-3</v>
      </c>
      <c r="R824">
        <v>1700000</v>
      </c>
      <c r="S824">
        <v>0</v>
      </c>
      <c r="T824">
        <v>0</v>
      </c>
      <c r="V824">
        <v>2700</v>
      </c>
      <c r="W824">
        <v>10</v>
      </c>
      <c r="X824">
        <v>85</v>
      </c>
      <c r="Y824">
        <v>3</v>
      </c>
      <c r="Z824">
        <v>4</v>
      </c>
      <c r="AA824">
        <v>5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</v>
      </c>
      <c r="AJ824">
        <v>0</v>
      </c>
      <c r="AK824">
        <v>0</v>
      </c>
      <c r="AL824">
        <v>55</v>
      </c>
      <c r="AM824">
        <v>180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90</v>
      </c>
      <c r="AU824">
        <v>0</v>
      </c>
      <c r="AV824">
        <v>0</v>
      </c>
    </row>
    <row r="825" spans="1:48" x14ac:dyDescent="0.15">
      <c r="A825" s="4" t="str">
        <f>HYPERLINK("https://ibp.a2mac1.com/costing(costing:projects/details/9760/equipment/12212779)","Stamping Equipment")</f>
        <v>Stamping Equipment</v>
      </c>
      <c r="B825">
        <v>12212779</v>
      </c>
      <c r="C825">
        <v>12085541</v>
      </c>
      <c r="F825" t="s">
        <v>5842</v>
      </c>
      <c r="H825" t="s">
        <v>162</v>
      </c>
      <c r="I825">
        <v>232987.08240000001</v>
      </c>
      <c r="J825">
        <v>0</v>
      </c>
      <c r="K825">
        <v>7.92</v>
      </c>
      <c r="L825">
        <v>0</v>
      </c>
      <c r="M825">
        <v>59.026892060430733</v>
      </c>
      <c r="N825">
        <v>0</v>
      </c>
      <c r="O825">
        <v>8.198179452837602E-2</v>
      </c>
      <c r="P825">
        <v>1.1610666666666667E-2</v>
      </c>
      <c r="Q825">
        <v>3.7866317427193829E-3</v>
      </c>
      <c r="R825">
        <v>1700000</v>
      </c>
      <c r="S825">
        <v>0</v>
      </c>
      <c r="T825">
        <v>0</v>
      </c>
      <c r="V825">
        <v>2700</v>
      </c>
      <c r="W825">
        <v>10</v>
      </c>
      <c r="X825">
        <v>85</v>
      </c>
      <c r="Y825">
        <v>3</v>
      </c>
      <c r="Z825">
        <v>4</v>
      </c>
      <c r="AA825">
        <v>5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</v>
      </c>
      <c r="AK825">
        <v>0</v>
      </c>
      <c r="AL825">
        <v>55</v>
      </c>
      <c r="AM825">
        <v>180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90</v>
      </c>
      <c r="AU825">
        <v>0</v>
      </c>
      <c r="AV825">
        <v>0</v>
      </c>
    </row>
    <row r="826" spans="1:48" x14ac:dyDescent="0.15">
      <c r="A826" s="4" t="str">
        <f>HYPERLINK("https://ibp.a2mac1.com/costing(costing:projects/details/9760/equipment/12212780)","Stamping Equipment")</f>
        <v>Stamping Equipment</v>
      </c>
      <c r="B826">
        <v>12212780</v>
      </c>
      <c r="C826">
        <v>12085542</v>
      </c>
      <c r="F826" t="s">
        <v>5842</v>
      </c>
      <c r="H826" t="s">
        <v>162</v>
      </c>
      <c r="I826">
        <v>232987.08240000001</v>
      </c>
      <c r="J826">
        <v>0</v>
      </c>
      <c r="K826">
        <v>7.92</v>
      </c>
      <c r="L826">
        <v>0</v>
      </c>
      <c r="M826">
        <v>59.026892060430733</v>
      </c>
      <c r="N826">
        <v>0</v>
      </c>
      <c r="O826">
        <v>8.198179452837602E-2</v>
      </c>
      <c r="P826">
        <v>1.1610666666666667E-2</v>
      </c>
      <c r="Q826">
        <v>3.7866317427193829E-3</v>
      </c>
      <c r="R826">
        <v>1700000</v>
      </c>
      <c r="S826">
        <v>0</v>
      </c>
      <c r="T826">
        <v>0</v>
      </c>
      <c r="V826">
        <v>2700</v>
      </c>
      <c r="W826">
        <v>10</v>
      </c>
      <c r="X826">
        <v>85</v>
      </c>
      <c r="Y826">
        <v>3</v>
      </c>
      <c r="Z826">
        <v>4</v>
      </c>
      <c r="AA826">
        <v>5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</v>
      </c>
      <c r="AJ826">
        <v>0</v>
      </c>
      <c r="AK826">
        <v>0</v>
      </c>
      <c r="AL826">
        <v>55</v>
      </c>
      <c r="AM826">
        <v>180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90</v>
      </c>
      <c r="AU826">
        <v>0</v>
      </c>
      <c r="AV826">
        <v>0</v>
      </c>
    </row>
    <row r="827" spans="1:48" x14ac:dyDescent="0.15">
      <c r="A827" s="4" t="str">
        <f>HYPERLINK("https://ibp.a2mac1.com/costing(costing:projects/details/9760/equipment/12212781)","Stamping Equipment")</f>
        <v>Stamping Equipment</v>
      </c>
      <c r="B827">
        <v>12212781</v>
      </c>
      <c r="C827">
        <v>12085543</v>
      </c>
      <c r="F827" t="s">
        <v>5842</v>
      </c>
      <c r="H827" t="s">
        <v>162</v>
      </c>
      <c r="I827">
        <v>232987.08240000001</v>
      </c>
      <c r="J827">
        <v>0</v>
      </c>
      <c r="K827">
        <v>7.92</v>
      </c>
      <c r="L827">
        <v>0</v>
      </c>
      <c r="M827">
        <v>59.026892060430733</v>
      </c>
      <c r="N827">
        <v>0</v>
      </c>
      <c r="O827">
        <v>8.198179452837602E-2</v>
      </c>
      <c r="P827">
        <v>1.1610666666666667E-2</v>
      </c>
      <c r="Q827">
        <v>3.7866317427193829E-3</v>
      </c>
      <c r="R827">
        <v>1700000</v>
      </c>
      <c r="S827">
        <v>0</v>
      </c>
      <c r="T827">
        <v>0</v>
      </c>
      <c r="V827">
        <v>2700</v>
      </c>
      <c r="W827">
        <v>10</v>
      </c>
      <c r="X827">
        <v>85</v>
      </c>
      <c r="Y827">
        <v>3</v>
      </c>
      <c r="Z827">
        <v>4</v>
      </c>
      <c r="AA827">
        <v>5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</v>
      </c>
      <c r="AJ827">
        <v>0</v>
      </c>
      <c r="AK827">
        <v>0</v>
      </c>
      <c r="AL827">
        <v>55</v>
      </c>
      <c r="AM827">
        <v>180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90</v>
      </c>
      <c r="AU827">
        <v>0</v>
      </c>
      <c r="AV827">
        <v>0</v>
      </c>
    </row>
    <row r="828" spans="1:48" x14ac:dyDescent="0.15">
      <c r="A828" s="4" t="str">
        <f>HYPERLINK("https://ibp.a2mac1.com/costing(costing:projects/details/9760/equipment/12212782)","Machining Center, small ")</f>
        <v xml:space="preserve">Machining Center, small </v>
      </c>
      <c r="B828">
        <v>12212782</v>
      </c>
      <c r="C828">
        <v>12085544</v>
      </c>
      <c r="E828" t="s">
        <v>1630</v>
      </c>
      <c r="F828" t="s">
        <v>5859</v>
      </c>
      <c r="G828" t="s">
        <v>5860</v>
      </c>
      <c r="H828" t="s">
        <v>162</v>
      </c>
      <c r="I828">
        <v>32676.768</v>
      </c>
      <c r="J828">
        <v>0</v>
      </c>
      <c r="K828">
        <v>2.9383759999999999</v>
      </c>
      <c r="L828">
        <v>0</v>
      </c>
      <c r="M828">
        <v>10.019984486017357</v>
      </c>
      <c r="N828">
        <v>0</v>
      </c>
      <c r="O828">
        <v>0.16699974143362262</v>
      </c>
      <c r="P828">
        <v>0.20933733333333332</v>
      </c>
      <c r="Q828">
        <v>2.7096269383220829E-3</v>
      </c>
      <c r="R828">
        <v>227700</v>
      </c>
      <c r="S828">
        <v>0</v>
      </c>
      <c r="T828">
        <v>0</v>
      </c>
      <c r="V828">
        <v>7200</v>
      </c>
      <c r="W828">
        <v>10</v>
      </c>
      <c r="X828">
        <v>85</v>
      </c>
      <c r="Y828">
        <v>3</v>
      </c>
      <c r="Z828">
        <v>4</v>
      </c>
      <c r="AA828">
        <v>5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100</v>
      </c>
      <c r="AM828">
        <v>35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0.2</v>
      </c>
      <c r="AT828">
        <v>50</v>
      </c>
      <c r="AU828">
        <v>0</v>
      </c>
      <c r="AV828">
        <v>0</v>
      </c>
    </row>
    <row r="829" spans="1:48" x14ac:dyDescent="0.15">
      <c r="A829" s="4" t="str">
        <f>HYPERLINK("https://ibp.a2mac1.com/costing(costing:projects/details/9760/equipment/12212361)","No.01 - 1500x800x500 - 45kg - electrophoresis line - with 10x10kW on line ovens ")</f>
        <v xml:space="preserve">No.01 - 1500x800x500 - 45kg - electrophoresis line - with 10x10kW on line ovens </v>
      </c>
      <c r="B829">
        <v>12212361</v>
      </c>
      <c r="C829">
        <v>12085265</v>
      </c>
      <c r="E829" t="s">
        <v>1630</v>
      </c>
      <c r="H829" t="s">
        <v>162</v>
      </c>
      <c r="I829">
        <v>489873.05119999999</v>
      </c>
      <c r="J829">
        <v>0</v>
      </c>
      <c r="K829">
        <v>148.9</v>
      </c>
      <c r="L829">
        <v>0</v>
      </c>
      <c r="M829">
        <v>251.41897319189971</v>
      </c>
      <c r="N829">
        <v>0</v>
      </c>
      <c r="O829">
        <v>0.97548745794761815</v>
      </c>
      <c r="P829">
        <v>3.6442415649166664E-2</v>
      </c>
      <c r="Q829">
        <v>0</v>
      </c>
      <c r="R829">
        <v>2960000</v>
      </c>
      <c r="S829">
        <v>0</v>
      </c>
      <c r="T829">
        <v>0</v>
      </c>
      <c r="V829">
        <v>0</v>
      </c>
      <c r="W829">
        <v>8</v>
      </c>
      <c r="X829">
        <v>85</v>
      </c>
      <c r="Y829">
        <v>3</v>
      </c>
      <c r="Z829">
        <v>4</v>
      </c>
      <c r="AA829">
        <v>5</v>
      </c>
      <c r="AB829">
        <v>0</v>
      </c>
      <c r="AC829">
        <v>1</v>
      </c>
      <c r="AD829">
        <v>0</v>
      </c>
      <c r="AE829">
        <v>0</v>
      </c>
      <c r="AF829">
        <v>0.25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100</v>
      </c>
      <c r="AM829">
        <v>1860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420</v>
      </c>
      <c r="AU829">
        <v>0.1</v>
      </c>
      <c r="AV829">
        <v>0</v>
      </c>
    </row>
    <row r="830" spans="1:48" x14ac:dyDescent="0.15">
      <c r="A830" s="4" t="str">
        <f>HYPERLINK("https://ibp.a2mac1.com/costing(costing:projects/details/9760/equipment/12212362)","Assembly Station ")</f>
        <v xml:space="preserve">Assembly Station </v>
      </c>
      <c r="B830">
        <v>12212362</v>
      </c>
      <c r="C830">
        <v>12085266</v>
      </c>
      <c r="E830" t="s">
        <v>1630</v>
      </c>
      <c r="F830" t="s">
        <v>5068</v>
      </c>
      <c r="G830" t="s">
        <v>8</v>
      </c>
      <c r="H830" t="s">
        <v>162</v>
      </c>
      <c r="I830">
        <v>4824.9071999999996</v>
      </c>
      <c r="J830">
        <v>0</v>
      </c>
      <c r="K830">
        <v>0.10768</v>
      </c>
      <c r="L830">
        <v>0</v>
      </c>
      <c r="M830">
        <v>1.1242192478302797</v>
      </c>
      <c r="N830">
        <v>0</v>
      </c>
      <c r="O830">
        <v>9.3684937319189979E-3</v>
      </c>
      <c r="P830">
        <v>3.4429000000000001E-2</v>
      </c>
      <c r="Q830">
        <v>2.2807432079717134E-4</v>
      </c>
      <c r="R830">
        <v>30000</v>
      </c>
      <c r="S830">
        <v>0</v>
      </c>
      <c r="T830">
        <v>0</v>
      </c>
      <c r="V830">
        <v>600</v>
      </c>
      <c r="W830">
        <v>10</v>
      </c>
      <c r="X830">
        <v>85</v>
      </c>
      <c r="Y830">
        <v>3</v>
      </c>
      <c r="Z830">
        <v>4</v>
      </c>
      <c r="AA830">
        <v>5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100</v>
      </c>
      <c r="AM830">
        <v>1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20</v>
      </c>
      <c r="AU830">
        <v>0</v>
      </c>
      <c r="AV830">
        <v>0</v>
      </c>
    </row>
    <row r="831" spans="1:48" x14ac:dyDescent="0.15">
      <c r="A831" s="4" t="str">
        <f>HYPERLINK("https://ibp.a2mac1.com/costing(costing:projects/details/9760/equipment/12212369)","Dummy Machine (PCBA+Final Assembly Line)")</f>
        <v>Dummy Machine (PCBA+Final Assembly Line)</v>
      </c>
      <c r="B831">
        <v>12212369</v>
      </c>
      <c r="C831">
        <v>12085273</v>
      </c>
      <c r="F831" t="s">
        <v>358</v>
      </c>
      <c r="H831" t="s">
        <v>162</v>
      </c>
      <c r="I831">
        <v>79501.662769714283</v>
      </c>
      <c r="J831">
        <v>0</v>
      </c>
      <c r="K831">
        <v>0.28895999999999999</v>
      </c>
      <c r="L831">
        <v>0</v>
      </c>
      <c r="M831">
        <v>16.624578413647427</v>
      </c>
      <c r="N831">
        <v>0</v>
      </c>
      <c r="O831">
        <v>0.25952814079082925</v>
      </c>
      <c r="P831">
        <v>4.5147895333333334E-2</v>
      </c>
      <c r="Q831">
        <v>1.1481975848188456E-4</v>
      </c>
      <c r="R831">
        <v>442771.1</v>
      </c>
      <c r="S831">
        <v>0</v>
      </c>
      <c r="T831">
        <v>0</v>
      </c>
      <c r="V831">
        <v>216</v>
      </c>
      <c r="W831">
        <v>7</v>
      </c>
      <c r="X831">
        <v>85</v>
      </c>
      <c r="Y831">
        <v>3</v>
      </c>
      <c r="Z831">
        <v>4</v>
      </c>
      <c r="AA831">
        <v>5</v>
      </c>
      <c r="AB831">
        <v>0</v>
      </c>
      <c r="AC831">
        <v>0</v>
      </c>
      <c r="AD831">
        <v>0</v>
      </c>
      <c r="AE831">
        <v>0</v>
      </c>
      <c r="AF831">
        <v>0.7</v>
      </c>
      <c r="AG831">
        <v>0</v>
      </c>
      <c r="AH831">
        <v>0</v>
      </c>
      <c r="AI831">
        <v>0.2</v>
      </c>
      <c r="AJ831">
        <v>0</v>
      </c>
      <c r="AK831">
        <v>0</v>
      </c>
      <c r="AL831">
        <v>86</v>
      </c>
      <c r="AM831">
        <v>4.2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19.399999999999999</v>
      </c>
      <c r="AU831">
        <v>0</v>
      </c>
      <c r="AV831">
        <v>0</v>
      </c>
    </row>
    <row r="832" spans="1:48" x14ac:dyDescent="0.15">
      <c r="A832" s="4" t="str">
        <f>HYPERLINK("https://ibp.a2mac1.com/costing(costing:projects/details/9760/equipment/12212351)","No.14 - Injection Press - 1500T - 205kW - 1400x1250 - Max Volume 11230cm3 ")</f>
        <v xml:space="preserve">No.14 - Injection Press - 1500T - 205kW - 1400x1250 - Max Volume 11230cm3 </v>
      </c>
      <c r="B832">
        <v>12212351</v>
      </c>
      <c r="C832">
        <v>12085256</v>
      </c>
      <c r="E832" t="s">
        <v>1630</v>
      </c>
      <c r="H832" t="s">
        <v>162</v>
      </c>
      <c r="I832">
        <v>152061.24720000001</v>
      </c>
      <c r="J832">
        <v>0</v>
      </c>
      <c r="K832">
        <v>8.84</v>
      </c>
      <c r="L832">
        <v>0</v>
      </c>
      <c r="M832">
        <v>40.39114869816779</v>
      </c>
      <c r="N832">
        <v>0</v>
      </c>
      <c r="O832">
        <v>0.64677807861726777</v>
      </c>
      <c r="P832">
        <v>3.3078419188000002E-2</v>
      </c>
      <c r="Q832">
        <v>2.3421560609450338E-2</v>
      </c>
      <c r="R832">
        <v>885000</v>
      </c>
      <c r="S832">
        <v>0</v>
      </c>
      <c r="T832">
        <v>0</v>
      </c>
      <c r="V832">
        <v>18000</v>
      </c>
      <c r="W832">
        <v>8</v>
      </c>
      <c r="X832">
        <v>85</v>
      </c>
      <c r="Y832">
        <v>3</v>
      </c>
      <c r="Z832">
        <v>4</v>
      </c>
      <c r="AA832">
        <v>5</v>
      </c>
      <c r="AB832">
        <v>0</v>
      </c>
      <c r="AC832">
        <v>0</v>
      </c>
      <c r="AD832">
        <v>0</v>
      </c>
      <c r="AE832">
        <v>0</v>
      </c>
      <c r="AF832">
        <v>0.5</v>
      </c>
      <c r="AG832">
        <v>0</v>
      </c>
      <c r="AH832">
        <v>0</v>
      </c>
      <c r="AI832">
        <v>3</v>
      </c>
      <c r="AJ832">
        <v>0</v>
      </c>
      <c r="AK832">
        <v>0</v>
      </c>
      <c r="AL832">
        <v>90</v>
      </c>
      <c r="AM832">
        <v>120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270</v>
      </c>
      <c r="AU832">
        <v>0.2</v>
      </c>
      <c r="AV832">
        <v>0</v>
      </c>
    </row>
    <row r="833" spans="1:48" x14ac:dyDescent="0.15">
      <c r="A833" s="4" t="str">
        <f>HYPERLINK("https://ibp.a2mac1.com/costing(costing:projects/details/9760/equipment/12212352)","No.04 - 60000x6000x3500 - Automatic Painting Line - with 12x100kW on line ovens ")</f>
        <v xml:space="preserve">No.04 - 60000x6000x3500 - Automatic Painting Line - with 12x100kW on line ovens </v>
      </c>
      <c r="B833">
        <v>12212352</v>
      </c>
      <c r="C833">
        <v>12085257</v>
      </c>
      <c r="E833" t="s">
        <v>1630</v>
      </c>
      <c r="G833" t="s">
        <v>5227</v>
      </c>
      <c r="H833" t="s">
        <v>162</v>
      </c>
      <c r="I833">
        <v>1438767.4831999999</v>
      </c>
      <c r="J833">
        <v>0</v>
      </c>
      <c r="K833">
        <v>279.76751999999999</v>
      </c>
      <c r="L833">
        <v>0</v>
      </c>
      <c r="M833">
        <v>580.11587795564128</v>
      </c>
      <c r="N833">
        <v>0</v>
      </c>
      <c r="O833">
        <v>5.6400154801242905</v>
      </c>
      <c r="P833">
        <v>0.241003</v>
      </c>
      <c r="Q833">
        <v>0</v>
      </c>
      <c r="R833">
        <v>8600000</v>
      </c>
      <c r="S833">
        <v>0</v>
      </c>
      <c r="T833">
        <v>0</v>
      </c>
      <c r="V833">
        <v>0</v>
      </c>
      <c r="W833">
        <v>8</v>
      </c>
      <c r="X833">
        <v>85</v>
      </c>
      <c r="Y833">
        <v>3</v>
      </c>
      <c r="Z833">
        <v>4</v>
      </c>
      <c r="AA833">
        <v>5</v>
      </c>
      <c r="AB833">
        <v>0</v>
      </c>
      <c r="AC833">
        <v>0</v>
      </c>
      <c r="AD833">
        <v>0</v>
      </c>
      <c r="AE833">
        <v>0</v>
      </c>
      <c r="AF833">
        <v>6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100</v>
      </c>
      <c r="AM833">
        <v>3400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4</v>
      </c>
      <c r="AT833">
        <v>1620</v>
      </c>
      <c r="AU833">
        <v>5</v>
      </c>
      <c r="AV833">
        <v>0</v>
      </c>
    </row>
    <row r="834" spans="1:48" x14ac:dyDescent="0.15">
      <c r="A834" s="4" t="str">
        <f>HYPERLINK("https://ibp.a2mac1.com/costing(costing:projects/details/9760/equipment/12212353)","Loading + Unloading, Retouching, Checking")</f>
        <v>Loading + Unloading, Retouching, Checking</v>
      </c>
      <c r="B834">
        <v>12212353</v>
      </c>
      <c r="C834">
        <v>12085257</v>
      </c>
      <c r="E834" t="s">
        <v>1630</v>
      </c>
      <c r="H834" t="s">
        <v>162</v>
      </c>
      <c r="I834">
        <v>116.23608</v>
      </c>
      <c r="J834">
        <v>0</v>
      </c>
      <c r="K834">
        <v>0</v>
      </c>
      <c r="L834">
        <v>0</v>
      </c>
      <c r="M834">
        <v>1.8681465766634521E-2</v>
      </c>
      <c r="N834">
        <v>0</v>
      </c>
      <c r="O834">
        <v>1.8162536162005786E-4</v>
      </c>
      <c r="P834">
        <v>0.48200599999999999</v>
      </c>
      <c r="Q834">
        <v>0</v>
      </c>
      <c r="R834">
        <v>0</v>
      </c>
      <c r="S834">
        <v>0</v>
      </c>
      <c r="T834">
        <v>0</v>
      </c>
      <c r="V834">
        <v>0</v>
      </c>
      <c r="W834">
        <v>8</v>
      </c>
      <c r="X834">
        <v>85</v>
      </c>
      <c r="Y834">
        <v>3</v>
      </c>
      <c r="Z834">
        <v>4</v>
      </c>
      <c r="AA834">
        <v>5</v>
      </c>
      <c r="AB834">
        <v>0</v>
      </c>
      <c r="AC834">
        <v>0</v>
      </c>
      <c r="AD834">
        <v>0</v>
      </c>
      <c r="AE834">
        <v>0</v>
      </c>
      <c r="AF834">
        <v>12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100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3</v>
      </c>
      <c r="AU834">
        <v>0</v>
      </c>
      <c r="AV834">
        <v>0</v>
      </c>
    </row>
    <row r="835" spans="1:48" x14ac:dyDescent="0.15">
      <c r="A835" s="4" t="str">
        <f>HYPERLINK("https://ibp.a2mac1.com/costing(costing:projects/details/9760/equipment/12212354)","Packaging")</f>
        <v>Packaging</v>
      </c>
      <c r="B835">
        <v>12212354</v>
      </c>
      <c r="C835">
        <v>12085258</v>
      </c>
      <c r="H835" t="s">
        <v>162</v>
      </c>
      <c r="I835">
        <v>4437.4535986499995</v>
      </c>
      <c r="J835">
        <v>0</v>
      </c>
      <c r="K835">
        <v>0.08</v>
      </c>
      <c r="L835">
        <v>0</v>
      </c>
      <c r="M835">
        <v>1.0342676949774992</v>
      </c>
      <c r="N835">
        <v>0</v>
      </c>
      <c r="O835">
        <v>1.7237794916291654E-2</v>
      </c>
      <c r="P835">
        <v>6.8858000000000003E-2</v>
      </c>
      <c r="Q835">
        <v>1.5514015424662487E-5</v>
      </c>
      <c r="R835">
        <v>29999.99999</v>
      </c>
      <c r="S835">
        <v>0</v>
      </c>
      <c r="T835">
        <v>0</v>
      </c>
      <c r="V835">
        <v>900</v>
      </c>
      <c r="W835">
        <v>10</v>
      </c>
      <c r="X835">
        <v>85</v>
      </c>
      <c r="Y835">
        <v>3</v>
      </c>
      <c r="Z835">
        <v>4</v>
      </c>
      <c r="AA835">
        <v>5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50</v>
      </c>
      <c r="AM835">
        <v>2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10</v>
      </c>
      <c r="AU835">
        <v>0</v>
      </c>
      <c r="AV835">
        <v>0</v>
      </c>
    </row>
    <row r="836" spans="1:48" x14ac:dyDescent="0.15">
      <c r="A836" s="4" t="str">
        <f>HYPERLINK("https://ibp.a2mac1.com/costing(costing:projects/details/9760/equipment/12212357)","No.03 - Progressive Press - 500T ")</f>
        <v xml:space="preserve">No.03 - Progressive Press - 500T </v>
      </c>
      <c r="B836">
        <v>12212357</v>
      </c>
      <c r="C836">
        <v>12085261</v>
      </c>
      <c r="E836" t="s">
        <v>1630</v>
      </c>
      <c r="H836" t="s">
        <v>162</v>
      </c>
      <c r="I836">
        <v>510767.39314285712</v>
      </c>
      <c r="J836">
        <v>0</v>
      </c>
      <c r="K836">
        <v>10.45</v>
      </c>
      <c r="L836">
        <v>0</v>
      </c>
      <c r="M836">
        <v>115.44315222482436</v>
      </c>
      <c r="N836">
        <v>0</v>
      </c>
      <c r="O836">
        <v>1.6740539774290918E-2</v>
      </c>
      <c r="P836">
        <v>8.98665758E-4</v>
      </c>
      <c r="Q836">
        <v>1.9200508833723652E-3</v>
      </c>
      <c r="R836">
        <v>2850000</v>
      </c>
      <c r="S836">
        <v>0</v>
      </c>
      <c r="T836">
        <v>0</v>
      </c>
      <c r="V836">
        <v>1800</v>
      </c>
      <c r="W836">
        <v>7</v>
      </c>
      <c r="X836">
        <v>85</v>
      </c>
      <c r="Y836">
        <v>3</v>
      </c>
      <c r="Z836">
        <v>4</v>
      </c>
      <c r="AA836">
        <v>5</v>
      </c>
      <c r="AB836">
        <v>0</v>
      </c>
      <c r="AC836">
        <v>0</v>
      </c>
      <c r="AD836">
        <v>0</v>
      </c>
      <c r="AE836">
        <v>0</v>
      </c>
      <c r="AF836">
        <v>1.5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87</v>
      </c>
      <c r="AM836">
        <v>125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100</v>
      </c>
      <c r="AU836">
        <v>1.75</v>
      </c>
      <c r="AV836">
        <v>0</v>
      </c>
    </row>
    <row r="837" spans="1:48" x14ac:dyDescent="0.15">
      <c r="A837" s="4" t="str">
        <f>HYPERLINK("https://ibp.a2mac1.com/costing(costing:projects/details/9760/equipment/12212355)","No.05 - Cleaning - Batch - 2000x2000x1200 - 500kg/batch - 3000kg/h ")</f>
        <v xml:space="preserve">No.05 - Cleaning - Batch - 2000x2000x1200 - 500kg/batch - 3000kg/h </v>
      </c>
      <c r="B837">
        <v>12212355</v>
      </c>
      <c r="C837">
        <v>12085259</v>
      </c>
      <c r="E837" t="s">
        <v>1630</v>
      </c>
      <c r="H837" t="s">
        <v>162</v>
      </c>
      <c r="I837">
        <v>36749.814400000003</v>
      </c>
      <c r="J837">
        <v>0</v>
      </c>
      <c r="K837">
        <v>7.6</v>
      </c>
      <c r="L837">
        <v>0</v>
      </c>
      <c r="M837">
        <v>15.274351398264224</v>
      </c>
      <c r="N837">
        <v>0</v>
      </c>
      <c r="O837">
        <v>4.2428753884067291E-2</v>
      </c>
      <c r="P837">
        <v>2.4368966666666665E-2</v>
      </c>
      <c r="Q837">
        <v>0</v>
      </c>
      <c r="R837">
        <v>220000</v>
      </c>
      <c r="S837">
        <v>0</v>
      </c>
      <c r="T837">
        <v>0</v>
      </c>
      <c r="V837">
        <v>0</v>
      </c>
      <c r="W837">
        <v>8</v>
      </c>
      <c r="X837">
        <v>85</v>
      </c>
      <c r="Y837">
        <v>3</v>
      </c>
      <c r="Z837">
        <v>4</v>
      </c>
      <c r="AA837">
        <v>5</v>
      </c>
      <c r="AB837">
        <v>0</v>
      </c>
      <c r="AC837">
        <v>1</v>
      </c>
      <c r="AD837">
        <v>0</v>
      </c>
      <c r="AE837">
        <v>0</v>
      </c>
      <c r="AF837">
        <v>0.1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100</v>
      </c>
      <c r="AM837">
        <v>60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40</v>
      </c>
      <c r="AU837">
        <v>2.8</v>
      </c>
      <c r="AV837">
        <v>0</v>
      </c>
    </row>
    <row r="838" spans="1:48" x14ac:dyDescent="0.15">
      <c r="A838" s="4" t="str">
        <f>HYPERLINK("https://ibp.a2mac1.com/costing(costing:projects/details/9760/equipment/12212356)","Packaging ")</f>
        <v xml:space="preserve">Packaging </v>
      </c>
      <c r="B838">
        <v>12212356</v>
      </c>
      <c r="C838">
        <v>12085260</v>
      </c>
      <c r="E838" t="s">
        <v>1630</v>
      </c>
      <c r="H838" t="s">
        <v>162</v>
      </c>
      <c r="I838">
        <v>4437.4535999999998</v>
      </c>
      <c r="J838">
        <v>0</v>
      </c>
      <c r="K838">
        <v>0.10768</v>
      </c>
      <c r="L838">
        <v>0</v>
      </c>
      <c r="M838">
        <v>1.0619476952748312</v>
      </c>
      <c r="N838">
        <v>0</v>
      </c>
      <c r="O838">
        <v>2.3598837672774028E-3</v>
      </c>
      <c r="P838">
        <v>2.7758133333333334E-2</v>
      </c>
      <c r="Q838">
        <v>1.0216640771456123E-4</v>
      </c>
      <c r="R838">
        <v>30000</v>
      </c>
      <c r="S838">
        <v>0</v>
      </c>
      <c r="T838">
        <v>0</v>
      </c>
      <c r="V838">
        <v>900</v>
      </c>
      <c r="W838">
        <v>10</v>
      </c>
      <c r="X838">
        <v>85</v>
      </c>
      <c r="Y838">
        <v>3</v>
      </c>
      <c r="Z838">
        <v>4</v>
      </c>
      <c r="AA838">
        <v>5</v>
      </c>
      <c r="AB838">
        <v>0</v>
      </c>
      <c r="AC838">
        <v>1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50</v>
      </c>
      <c r="AM838">
        <v>2</v>
      </c>
      <c r="AN838">
        <v>0</v>
      </c>
      <c r="AO838">
        <v>0</v>
      </c>
      <c r="AP838">
        <v>0</v>
      </c>
      <c r="AQ838">
        <v>1</v>
      </c>
      <c r="AR838">
        <v>0</v>
      </c>
      <c r="AS838">
        <v>0</v>
      </c>
      <c r="AT838">
        <v>10</v>
      </c>
      <c r="AU838">
        <v>0</v>
      </c>
      <c r="AV838">
        <v>0</v>
      </c>
    </row>
    <row r="839" spans="1:48" x14ac:dyDescent="0.15">
      <c r="A839" s="4" t="str">
        <f>HYPERLINK("https://ibp.a2mac1.com/costing(costing:projects/details/9760/equipment/12212358)","Equipment (Injection Molding)")</f>
        <v>Equipment (Injection Molding)</v>
      </c>
      <c r="B839">
        <v>12212358</v>
      </c>
      <c r="C839">
        <v>12085262</v>
      </c>
      <c r="H839" t="s">
        <v>162</v>
      </c>
      <c r="I839">
        <v>2793.4128059999998</v>
      </c>
      <c r="J839">
        <v>0</v>
      </c>
      <c r="K839">
        <v>0.11872000000000001</v>
      </c>
      <c r="L839">
        <v>0</v>
      </c>
      <c r="M839">
        <v>0.68693163709418192</v>
      </c>
      <c r="N839">
        <v>0</v>
      </c>
      <c r="O839">
        <v>5.7244303091181824E-3</v>
      </c>
      <c r="P839">
        <v>3.6494739999999999E-4</v>
      </c>
      <c r="Q839">
        <v>3.0775338377234811E-5</v>
      </c>
      <c r="R839">
        <v>14840</v>
      </c>
      <c r="S839">
        <v>0</v>
      </c>
      <c r="T839">
        <v>0</v>
      </c>
      <c r="V839">
        <v>143.1</v>
      </c>
      <c r="W839">
        <v>7</v>
      </c>
      <c r="X839">
        <v>85</v>
      </c>
      <c r="Y839">
        <v>3</v>
      </c>
      <c r="Z839">
        <v>4</v>
      </c>
      <c r="AA839">
        <v>5</v>
      </c>
      <c r="AB839">
        <v>0</v>
      </c>
      <c r="AC839">
        <v>0</v>
      </c>
      <c r="AD839">
        <v>0</v>
      </c>
      <c r="AE839">
        <v>0</v>
      </c>
      <c r="AF839">
        <v>1.06E-2</v>
      </c>
      <c r="AG839">
        <v>0</v>
      </c>
      <c r="AH839">
        <v>0</v>
      </c>
      <c r="AI839">
        <v>2</v>
      </c>
      <c r="AJ839">
        <v>0</v>
      </c>
      <c r="AK839">
        <v>0</v>
      </c>
      <c r="AL839">
        <v>80</v>
      </c>
      <c r="AM839">
        <v>1.855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3.9750000000000001</v>
      </c>
      <c r="AU839">
        <v>0</v>
      </c>
      <c r="AV839">
        <v>0</v>
      </c>
    </row>
    <row r="840" spans="1:48" x14ac:dyDescent="0.15">
      <c r="A840" s="4" t="str">
        <f>HYPERLINK("https://ibp.a2mac1.com/costing(costing:projects/details/9760/equipment/12212363)","No.04 - Blanking Press - 1000T ")</f>
        <v xml:space="preserve">No.04 - Blanking Press - 1000T </v>
      </c>
      <c r="B840">
        <v>12212363</v>
      </c>
      <c r="C840">
        <v>12085267</v>
      </c>
      <c r="E840" t="s">
        <v>1630</v>
      </c>
      <c r="H840" t="s">
        <v>162</v>
      </c>
      <c r="I840">
        <v>511324.66285714286</v>
      </c>
      <c r="J840">
        <v>0</v>
      </c>
      <c r="K840">
        <v>47.24</v>
      </c>
      <c r="L840">
        <v>0</v>
      </c>
      <c r="M840">
        <v>140.26871469899436</v>
      </c>
      <c r="N840">
        <v>0</v>
      </c>
      <c r="O840">
        <v>0.15616583569821371</v>
      </c>
      <c r="P840">
        <v>6.8995716000000004E-3</v>
      </c>
      <c r="Q840">
        <v>2.2924343204849154E-3</v>
      </c>
      <c r="R840">
        <v>1350000</v>
      </c>
      <c r="S840">
        <v>0</v>
      </c>
      <c r="T840">
        <v>0</v>
      </c>
      <c r="V840">
        <v>900</v>
      </c>
      <c r="W840">
        <v>7</v>
      </c>
      <c r="X840">
        <v>85</v>
      </c>
      <c r="Y840">
        <v>3</v>
      </c>
      <c r="Z840">
        <v>4</v>
      </c>
      <c r="AA840">
        <v>5</v>
      </c>
      <c r="AB840">
        <v>0</v>
      </c>
      <c r="AC840">
        <v>0</v>
      </c>
      <c r="AD840">
        <v>0</v>
      </c>
      <c r="AE840">
        <v>0</v>
      </c>
      <c r="AF840">
        <v>1.5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87</v>
      </c>
      <c r="AM840">
        <v>650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7000</v>
      </c>
      <c r="AU840">
        <v>2</v>
      </c>
      <c r="AV840">
        <v>0</v>
      </c>
    </row>
    <row r="841" spans="1:48" x14ac:dyDescent="0.15">
      <c r="A841" s="4" t="str">
        <f>HYPERLINK("https://ibp.a2mac1.com/costing(costing:projects/details/9760/equipment/12212364)","No.05 - Transfer Press - 1000T ")</f>
        <v xml:space="preserve">No.05 - Transfer Press - 1000T </v>
      </c>
      <c r="B841">
        <v>12212364</v>
      </c>
      <c r="C841">
        <v>12085268</v>
      </c>
      <c r="E841" t="s">
        <v>1630</v>
      </c>
      <c r="H841" t="s">
        <v>162</v>
      </c>
      <c r="I841">
        <v>680137.70811428572</v>
      </c>
      <c r="J841">
        <v>0</v>
      </c>
      <c r="K841">
        <v>24.08</v>
      </c>
      <c r="L841">
        <v>0</v>
      </c>
      <c r="M841">
        <v>163.52675475960876</v>
      </c>
      <c r="N841">
        <v>0</v>
      </c>
      <c r="O841">
        <v>0.18456765144633053</v>
      </c>
      <c r="P841">
        <v>1.1657688090833333E-2</v>
      </c>
      <c r="Q841">
        <v>1.0565219685576525E-2</v>
      </c>
      <c r="R841">
        <v>3750000</v>
      </c>
      <c r="S841">
        <v>0</v>
      </c>
      <c r="T841">
        <v>0</v>
      </c>
      <c r="V841">
        <v>3600</v>
      </c>
      <c r="W841">
        <v>7</v>
      </c>
      <c r="X841">
        <v>85</v>
      </c>
      <c r="Y841">
        <v>3</v>
      </c>
      <c r="Z841">
        <v>4</v>
      </c>
      <c r="AA841">
        <v>5</v>
      </c>
      <c r="AB841">
        <v>0</v>
      </c>
      <c r="AC841">
        <v>0</v>
      </c>
      <c r="AD841">
        <v>0</v>
      </c>
      <c r="AE841">
        <v>0</v>
      </c>
      <c r="AF841">
        <v>2.5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87</v>
      </c>
      <c r="AM841">
        <v>300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340</v>
      </c>
      <c r="AU841">
        <v>3.2</v>
      </c>
      <c r="AV841">
        <v>0</v>
      </c>
    </row>
    <row r="842" spans="1:48" x14ac:dyDescent="0.15">
      <c r="A842" s="4" t="str">
        <f>HYPERLINK("https://ibp.a2mac1.com/costing(costing:projects/details/9760/equipment/12212366)","No.05 - Cleaning - Batch - 2000x2000x1200 - 500kg/batch - 3000kg/h ")</f>
        <v xml:space="preserve">No.05 - Cleaning - Batch - 2000x2000x1200 - 500kg/batch - 3000kg/h </v>
      </c>
      <c r="B842">
        <v>12212366</v>
      </c>
      <c r="C842">
        <v>12085270</v>
      </c>
      <c r="E842" t="s">
        <v>1630</v>
      </c>
      <c r="H842" t="s">
        <v>162</v>
      </c>
      <c r="I842">
        <v>36749.814400000003</v>
      </c>
      <c r="J842">
        <v>0</v>
      </c>
      <c r="K842">
        <v>7.6</v>
      </c>
      <c r="L842">
        <v>0</v>
      </c>
      <c r="M842">
        <v>15.274351398264224</v>
      </c>
      <c r="N842">
        <v>0</v>
      </c>
      <c r="O842">
        <v>4.2428753884067291E-2</v>
      </c>
      <c r="P842">
        <v>2.4368966666666665E-2</v>
      </c>
      <c r="Q842">
        <v>0</v>
      </c>
      <c r="R842">
        <v>220000</v>
      </c>
      <c r="S842">
        <v>0</v>
      </c>
      <c r="T842">
        <v>0</v>
      </c>
      <c r="V842">
        <v>0</v>
      </c>
      <c r="W842">
        <v>8</v>
      </c>
      <c r="X842">
        <v>85</v>
      </c>
      <c r="Y842">
        <v>3</v>
      </c>
      <c r="Z842">
        <v>4</v>
      </c>
      <c r="AA842">
        <v>5</v>
      </c>
      <c r="AB842">
        <v>0</v>
      </c>
      <c r="AC842">
        <v>1</v>
      </c>
      <c r="AD842">
        <v>0</v>
      </c>
      <c r="AE842">
        <v>0</v>
      </c>
      <c r="AF842">
        <v>0.1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100</v>
      </c>
      <c r="AM842">
        <v>60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40</v>
      </c>
      <c r="AU842">
        <v>2.8</v>
      </c>
      <c r="AV842">
        <v>0</v>
      </c>
    </row>
    <row r="843" spans="1:48" x14ac:dyDescent="0.15">
      <c r="A843" s="4" t="str">
        <f>HYPERLINK("https://ibp.a2mac1.com/costing(costing:projects/details/9760/equipment/12212365)","Packaging ")</f>
        <v xml:space="preserve">Packaging </v>
      </c>
      <c r="B843">
        <v>12212365</v>
      </c>
      <c r="C843">
        <v>12085269</v>
      </c>
      <c r="E843" t="s">
        <v>1630</v>
      </c>
      <c r="H843" t="s">
        <v>162</v>
      </c>
      <c r="I843">
        <v>4437.4535999999998</v>
      </c>
      <c r="J843">
        <v>0</v>
      </c>
      <c r="K843">
        <v>0.10768</v>
      </c>
      <c r="L843">
        <v>0</v>
      </c>
      <c r="M843">
        <v>1.0619476952748312</v>
      </c>
      <c r="N843">
        <v>0</v>
      </c>
      <c r="O843">
        <v>2.3598837672774028E-3</v>
      </c>
      <c r="P843">
        <v>2.7758133333333334E-2</v>
      </c>
      <c r="Q843">
        <v>2.0433281542912247E-4</v>
      </c>
      <c r="R843">
        <v>30000</v>
      </c>
      <c r="S843">
        <v>0</v>
      </c>
      <c r="T843">
        <v>0</v>
      </c>
      <c r="V843">
        <v>900</v>
      </c>
      <c r="W843">
        <v>10</v>
      </c>
      <c r="X843">
        <v>85</v>
      </c>
      <c r="Y843">
        <v>3</v>
      </c>
      <c r="Z843">
        <v>4</v>
      </c>
      <c r="AA843">
        <v>5</v>
      </c>
      <c r="AB843">
        <v>0</v>
      </c>
      <c r="AC843">
        <v>1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50</v>
      </c>
      <c r="AM843">
        <v>2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10</v>
      </c>
      <c r="AU843">
        <v>0</v>
      </c>
      <c r="AV843">
        <v>0</v>
      </c>
    </row>
    <row r="844" spans="1:48" x14ac:dyDescent="0.15">
      <c r="A844" s="4" t="str">
        <f>HYPERLINK("https://ibp.a2mac1.com/costing(costing:projects/details/9760/equipment/12212367)","No.02 - Broaching - 100kN ")</f>
        <v xml:space="preserve">No.02 - Broaching - 100kN </v>
      </c>
      <c r="B844">
        <v>12212367</v>
      </c>
      <c r="C844">
        <v>12085271</v>
      </c>
      <c r="E844" t="s">
        <v>1630</v>
      </c>
      <c r="G844" t="s">
        <v>5917</v>
      </c>
      <c r="H844" t="s">
        <v>162</v>
      </c>
      <c r="I844">
        <v>42437.267999999996</v>
      </c>
      <c r="J844">
        <v>0</v>
      </c>
      <c r="K844">
        <v>1.9572000000000001</v>
      </c>
      <c r="L844">
        <v>0</v>
      </c>
      <c r="M844">
        <v>11.188519189971071</v>
      </c>
      <c r="N844">
        <v>0</v>
      </c>
      <c r="O844">
        <v>9.3237659916425589E-2</v>
      </c>
      <c r="P844">
        <v>3.4429000000000001E-2</v>
      </c>
      <c r="Q844">
        <v>3.5623138784956603E-4</v>
      </c>
      <c r="R844">
        <v>300000</v>
      </c>
      <c r="S844">
        <v>0</v>
      </c>
      <c r="T844">
        <v>0</v>
      </c>
      <c r="V844">
        <v>900</v>
      </c>
      <c r="W844">
        <v>10</v>
      </c>
      <c r="X844">
        <v>85</v>
      </c>
      <c r="Y844">
        <v>3</v>
      </c>
      <c r="Z844">
        <v>4</v>
      </c>
      <c r="AA844">
        <v>5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97</v>
      </c>
      <c r="AM844">
        <v>22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50</v>
      </c>
      <c r="AU844">
        <v>0.25</v>
      </c>
      <c r="AV844">
        <v>0</v>
      </c>
    </row>
    <row r="845" spans="1:48" x14ac:dyDescent="0.15">
      <c r="A845" s="4" t="str">
        <f>HYPERLINK("https://ibp.a2mac1.com/costing(costing:projects/details/9760/equipment/12212368)","Autom anodizing system including hot water compression ")</f>
        <v xml:space="preserve">Autom anodizing system including hot water compression </v>
      </c>
      <c r="B845">
        <v>12212368</v>
      </c>
      <c r="C845">
        <v>12085272</v>
      </c>
      <c r="E845" t="s">
        <v>1630</v>
      </c>
      <c r="F845" t="s">
        <v>5918</v>
      </c>
      <c r="G845" t="s">
        <v>5919</v>
      </c>
      <c r="H845" t="s">
        <v>162</v>
      </c>
      <c r="I845">
        <v>263985.99822000001</v>
      </c>
      <c r="J845">
        <v>0</v>
      </c>
      <c r="K845">
        <v>10.937936000000001</v>
      </c>
      <c r="L845">
        <v>0</v>
      </c>
      <c r="M845">
        <v>68.15724439279974</v>
      </c>
      <c r="N845">
        <v>0</v>
      </c>
      <c r="O845">
        <v>0.14199425915166614</v>
      </c>
      <c r="P845">
        <v>8.6072500000000003E-3</v>
      </c>
      <c r="Q845">
        <v>2.4215245317839923E-3</v>
      </c>
      <c r="R845">
        <v>1840650.7720000001</v>
      </c>
      <c r="S845">
        <v>0</v>
      </c>
      <c r="T845">
        <v>0</v>
      </c>
      <c r="V845">
        <v>1800</v>
      </c>
      <c r="W845">
        <v>10</v>
      </c>
      <c r="X845">
        <v>85</v>
      </c>
      <c r="Y845">
        <v>3</v>
      </c>
      <c r="Z845">
        <v>4</v>
      </c>
      <c r="AA845">
        <v>5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90</v>
      </c>
      <c r="AM845">
        <v>140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1.2</v>
      </c>
      <c r="AT845">
        <v>400</v>
      </c>
      <c r="AU845">
        <v>0</v>
      </c>
      <c r="AV845">
        <v>0</v>
      </c>
    </row>
    <row r="846" spans="1:48" x14ac:dyDescent="0.15">
      <c r="A846" s="4" t="str">
        <f>HYPERLINK("https://ibp.a2mac1.com/costing(costing:projects/details/9760/equipment/12212370)","Rubber Extrusion Line")</f>
        <v>Rubber Extrusion Line</v>
      </c>
      <c r="B846">
        <v>12212370</v>
      </c>
      <c r="C846">
        <v>12085274</v>
      </c>
      <c r="G846" t="s">
        <v>5551</v>
      </c>
      <c r="H846" t="s">
        <v>162</v>
      </c>
      <c r="I846">
        <v>166162.22784291429</v>
      </c>
      <c r="J846">
        <v>0</v>
      </c>
      <c r="K846">
        <v>8.8002768000000007</v>
      </c>
      <c r="L846">
        <v>0</v>
      </c>
      <c r="M846">
        <v>41.437926725894293</v>
      </c>
      <c r="N846">
        <v>0</v>
      </c>
      <c r="O846">
        <v>5.7552676008186518E-2</v>
      </c>
      <c r="P846">
        <v>1.1476333333333333E-2</v>
      </c>
      <c r="Q846">
        <v>8.0997250088841435E-4</v>
      </c>
      <c r="R846">
        <v>738184.59991999995</v>
      </c>
      <c r="S846">
        <v>0</v>
      </c>
      <c r="T846">
        <v>0</v>
      </c>
      <c r="V846">
        <v>1800</v>
      </c>
      <c r="W846">
        <v>7</v>
      </c>
      <c r="X846">
        <v>85</v>
      </c>
      <c r="Y846">
        <v>3</v>
      </c>
      <c r="Z846">
        <v>4</v>
      </c>
      <c r="AA846">
        <v>5</v>
      </c>
      <c r="AB846">
        <v>0</v>
      </c>
      <c r="AC846">
        <v>0</v>
      </c>
      <c r="AD846">
        <v>0</v>
      </c>
      <c r="AE846">
        <v>0</v>
      </c>
      <c r="AF846">
        <v>2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100</v>
      </c>
      <c r="AM846">
        <v>110</v>
      </c>
      <c r="AN846">
        <v>0</v>
      </c>
      <c r="AO846">
        <v>0</v>
      </c>
      <c r="AP846">
        <v>0</v>
      </c>
      <c r="AQ846">
        <v>0.01</v>
      </c>
      <c r="AR846">
        <v>0</v>
      </c>
      <c r="AS846">
        <v>0</v>
      </c>
      <c r="AT846">
        <v>900</v>
      </c>
      <c r="AU846">
        <v>0</v>
      </c>
      <c r="AV846">
        <v>0</v>
      </c>
    </row>
    <row r="847" spans="1:48" x14ac:dyDescent="0.15">
      <c r="A847" s="4" t="str">
        <f>HYPERLINK("https://ibp.a2mac1.com/costing(costing:projects/details/9760/equipment/12212371)","Packaging")</f>
        <v>Packaging</v>
      </c>
      <c r="B847">
        <v>12212371</v>
      </c>
      <c r="C847">
        <v>12085275</v>
      </c>
      <c r="H847" t="s">
        <v>162</v>
      </c>
      <c r="I847">
        <v>4437.4535986499995</v>
      </c>
      <c r="J847">
        <v>0</v>
      </c>
      <c r="K847">
        <v>0.08</v>
      </c>
      <c r="L847">
        <v>0</v>
      </c>
      <c r="M847">
        <v>1.0342676949774992</v>
      </c>
      <c r="N847">
        <v>0</v>
      </c>
      <c r="O847">
        <v>2.8729658193819424E-3</v>
      </c>
      <c r="P847">
        <v>1.1476333333333333E-2</v>
      </c>
      <c r="Q847">
        <v>7.7570077123312437E-6</v>
      </c>
      <c r="R847">
        <v>29999.99999</v>
      </c>
      <c r="S847">
        <v>0</v>
      </c>
      <c r="T847">
        <v>0</v>
      </c>
      <c r="V847">
        <v>900</v>
      </c>
      <c r="W847">
        <v>10</v>
      </c>
      <c r="X847">
        <v>85</v>
      </c>
      <c r="Y847">
        <v>3</v>
      </c>
      <c r="Z847">
        <v>4</v>
      </c>
      <c r="AA847">
        <v>5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50</v>
      </c>
      <c r="AM847">
        <v>2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10</v>
      </c>
      <c r="AU847">
        <v>0</v>
      </c>
      <c r="AV847">
        <v>0</v>
      </c>
    </row>
    <row r="848" spans="1:48" x14ac:dyDescent="0.15">
      <c r="A848" s="4" t="str">
        <f>HYPERLINK("https://ibp.a2mac1.com/costing(costing:projects/details/9760/equipment/12212373)","No.01 - Injection Press - 40T - 18kW - 270x270 - Max Volume 128cm3 ")</f>
        <v xml:space="preserve">No.01 - Injection Press - 40T - 18kW - 270x270 - Max Volume 128cm3 </v>
      </c>
      <c r="B848">
        <v>12212373</v>
      </c>
      <c r="C848">
        <v>12085277</v>
      </c>
      <c r="E848" t="s">
        <v>1630</v>
      </c>
      <c r="H848" t="s">
        <v>162</v>
      </c>
      <c r="I848">
        <v>13574.9072</v>
      </c>
      <c r="J848">
        <v>0</v>
      </c>
      <c r="K848">
        <v>1.6020000000000001</v>
      </c>
      <c r="L848">
        <v>0</v>
      </c>
      <c r="M848">
        <v>4.4266395371263263</v>
      </c>
      <c r="N848">
        <v>0</v>
      </c>
      <c r="O848">
        <v>4.186045530173042E-3</v>
      </c>
      <c r="P848">
        <v>9.7673208095833326E-4</v>
      </c>
      <c r="Q848">
        <v>1.7728271722275795E-3</v>
      </c>
      <c r="R848">
        <v>80000</v>
      </c>
      <c r="S848">
        <v>0</v>
      </c>
      <c r="T848">
        <v>0</v>
      </c>
      <c r="V848">
        <v>7200</v>
      </c>
      <c r="W848">
        <v>8</v>
      </c>
      <c r="X848">
        <v>85</v>
      </c>
      <c r="Y848">
        <v>3</v>
      </c>
      <c r="Z848">
        <v>4</v>
      </c>
      <c r="AA848">
        <v>5</v>
      </c>
      <c r="AB848">
        <v>0</v>
      </c>
      <c r="AC848">
        <v>0</v>
      </c>
      <c r="AD848">
        <v>0</v>
      </c>
      <c r="AE848">
        <v>0</v>
      </c>
      <c r="AF848">
        <v>0.25</v>
      </c>
      <c r="AG848">
        <v>0</v>
      </c>
      <c r="AH848">
        <v>0</v>
      </c>
      <c r="AI848">
        <v>2</v>
      </c>
      <c r="AJ848">
        <v>0</v>
      </c>
      <c r="AK848">
        <v>0</v>
      </c>
      <c r="AL848">
        <v>97</v>
      </c>
      <c r="AM848">
        <v>20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20</v>
      </c>
      <c r="AU848">
        <v>0.05</v>
      </c>
      <c r="AV848">
        <v>0</v>
      </c>
    </row>
    <row r="849" spans="1:48" x14ac:dyDescent="0.15">
      <c r="A849" s="4" t="str">
        <f>HYPERLINK("https://ibp.a2mac1.com/costing(costing:projects/details/9760/equipment/12212372)","Packaging")</f>
        <v>Packaging</v>
      </c>
      <c r="B849">
        <v>12212372</v>
      </c>
      <c r="C849">
        <v>12085276</v>
      </c>
      <c r="H849" t="s">
        <v>162</v>
      </c>
      <c r="I849">
        <v>4437.4535986499995</v>
      </c>
      <c r="J849">
        <v>0</v>
      </c>
      <c r="K849">
        <v>0.08</v>
      </c>
      <c r="L849">
        <v>0</v>
      </c>
      <c r="M849">
        <v>1.0342676949774992</v>
      </c>
      <c r="N849">
        <v>0</v>
      </c>
      <c r="O849">
        <v>2.8729658193819424E-3</v>
      </c>
      <c r="P849">
        <v>1.1476333333333333E-2</v>
      </c>
      <c r="Q849">
        <v>7.7570077123312437E-6</v>
      </c>
      <c r="R849">
        <v>29999.99999</v>
      </c>
      <c r="S849">
        <v>0</v>
      </c>
      <c r="T849">
        <v>0</v>
      </c>
      <c r="V849">
        <v>900</v>
      </c>
      <c r="W849">
        <v>10</v>
      </c>
      <c r="X849">
        <v>85</v>
      </c>
      <c r="Y849">
        <v>3</v>
      </c>
      <c r="Z849">
        <v>4</v>
      </c>
      <c r="AA849">
        <v>5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50</v>
      </c>
      <c r="AM849">
        <v>2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10</v>
      </c>
      <c r="AU849">
        <v>0</v>
      </c>
      <c r="AV849">
        <v>0</v>
      </c>
    </row>
    <row r="850" spans="1:48" x14ac:dyDescent="0.15">
      <c r="A850" s="4" t="str">
        <f>HYPERLINK("https://ibp.a2mac1.com/costing(costing:projects/details/9760/equipment/12212374)","No.02 - Broaching - 100kN ")</f>
        <v xml:space="preserve">No.02 - Broaching - 100kN </v>
      </c>
      <c r="B850">
        <v>12212374</v>
      </c>
      <c r="C850">
        <v>12085278</v>
      </c>
      <c r="E850" t="s">
        <v>1630</v>
      </c>
      <c r="G850" t="s">
        <v>5917</v>
      </c>
      <c r="H850" t="s">
        <v>162</v>
      </c>
      <c r="I850">
        <v>42437.267999999996</v>
      </c>
      <c r="J850">
        <v>0</v>
      </c>
      <c r="K850">
        <v>1.9572000000000001</v>
      </c>
      <c r="L850">
        <v>0</v>
      </c>
      <c r="M850">
        <v>11.188519189971071</v>
      </c>
      <c r="N850">
        <v>0</v>
      </c>
      <c r="O850">
        <v>9.3237659916425589E-2</v>
      </c>
      <c r="P850">
        <v>3.4429000000000001E-2</v>
      </c>
      <c r="Q850">
        <v>3.5623138784956603E-4</v>
      </c>
      <c r="R850">
        <v>300000</v>
      </c>
      <c r="S850">
        <v>0</v>
      </c>
      <c r="T850">
        <v>0</v>
      </c>
      <c r="V850">
        <v>900</v>
      </c>
      <c r="W850">
        <v>10</v>
      </c>
      <c r="X850">
        <v>85</v>
      </c>
      <c r="Y850">
        <v>3</v>
      </c>
      <c r="Z850">
        <v>4</v>
      </c>
      <c r="AA850">
        <v>5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97</v>
      </c>
      <c r="AM850">
        <v>22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50</v>
      </c>
      <c r="AU850">
        <v>0.25</v>
      </c>
      <c r="AV850">
        <v>0</v>
      </c>
    </row>
    <row r="851" spans="1:48" x14ac:dyDescent="0.15">
      <c r="A851" s="4" t="str">
        <f>HYPERLINK("https://ibp.a2mac1.com/costing(costing:projects/details/9760/equipment/12212375)","Autom anodizing system including hot water compression ")</f>
        <v xml:space="preserve">Autom anodizing system including hot water compression </v>
      </c>
      <c r="B851">
        <v>12212375</v>
      </c>
      <c r="C851">
        <v>12085279</v>
      </c>
      <c r="E851" t="s">
        <v>1630</v>
      </c>
      <c r="F851" t="s">
        <v>5918</v>
      </c>
      <c r="G851" t="s">
        <v>5919</v>
      </c>
      <c r="H851" t="s">
        <v>162</v>
      </c>
      <c r="I851">
        <v>263985.99822000001</v>
      </c>
      <c r="J851">
        <v>0</v>
      </c>
      <c r="K851">
        <v>10.937936000000001</v>
      </c>
      <c r="L851">
        <v>0</v>
      </c>
      <c r="M851">
        <v>68.15724439279974</v>
      </c>
      <c r="N851">
        <v>0</v>
      </c>
      <c r="O851">
        <v>0.14199425915166614</v>
      </c>
      <c r="P851">
        <v>8.6072500000000003E-3</v>
      </c>
      <c r="Q851">
        <v>2.4215245317839923E-3</v>
      </c>
      <c r="R851">
        <v>1840650.7720000001</v>
      </c>
      <c r="S851">
        <v>0</v>
      </c>
      <c r="T851">
        <v>0</v>
      </c>
      <c r="V851">
        <v>1800</v>
      </c>
      <c r="W851">
        <v>10</v>
      </c>
      <c r="X851">
        <v>85</v>
      </c>
      <c r="Y851">
        <v>3</v>
      </c>
      <c r="Z851">
        <v>4</v>
      </c>
      <c r="AA851">
        <v>5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90</v>
      </c>
      <c r="AM851">
        <v>140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1.2</v>
      </c>
      <c r="AT851">
        <v>400</v>
      </c>
      <c r="AU851">
        <v>0</v>
      </c>
      <c r="AV851">
        <v>0</v>
      </c>
    </row>
    <row r="852" spans="1:48" x14ac:dyDescent="0.15">
      <c r="A852" s="4" t="str">
        <f>HYPERLINK("https://ibp.a2mac1.com/costing(costing:projects/details/9760/equipment/12212376)","No.01 - Injection Press - 40T - 18kW - 270x270 - Max Volume 128cm3 ")</f>
        <v xml:space="preserve">No.01 - Injection Press - 40T - 18kW - 270x270 - Max Volume 128cm3 </v>
      </c>
      <c r="B852">
        <v>12212376</v>
      </c>
      <c r="C852">
        <v>12085280</v>
      </c>
      <c r="E852" t="s">
        <v>1630</v>
      </c>
      <c r="H852" t="s">
        <v>162</v>
      </c>
      <c r="I852">
        <v>13574.9072</v>
      </c>
      <c r="J852">
        <v>0</v>
      </c>
      <c r="K852">
        <v>1.6020000000000001</v>
      </c>
      <c r="L852">
        <v>0</v>
      </c>
      <c r="M852">
        <v>4.4266395371263263</v>
      </c>
      <c r="N852">
        <v>0</v>
      </c>
      <c r="O852">
        <v>9.9309813582288656E-4</v>
      </c>
      <c r="P852">
        <v>2.3172008087500001E-4</v>
      </c>
      <c r="Q852">
        <v>1.7728271722275795E-3</v>
      </c>
      <c r="R852">
        <v>80000</v>
      </c>
      <c r="S852">
        <v>0</v>
      </c>
      <c r="T852">
        <v>0</v>
      </c>
      <c r="V852">
        <v>7200</v>
      </c>
      <c r="W852">
        <v>8</v>
      </c>
      <c r="X852">
        <v>85</v>
      </c>
      <c r="Y852">
        <v>3</v>
      </c>
      <c r="Z852">
        <v>4</v>
      </c>
      <c r="AA852">
        <v>5</v>
      </c>
      <c r="AB852">
        <v>0</v>
      </c>
      <c r="AC852">
        <v>0</v>
      </c>
      <c r="AD852">
        <v>0</v>
      </c>
      <c r="AE852">
        <v>0</v>
      </c>
      <c r="AF852">
        <v>0.25</v>
      </c>
      <c r="AG852">
        <v>0</v>
      </c>
      <c r="AH852">
        <v>0</v>
      </c>
      <c r="AI852">
        <v>2</v>
      </c>
      <c r="AJ852">
        <v>0</v>
      </c>
      <c r="AK852">
        <v>0</v>
      </c>
      <c r="AL852">
        <v>97</v>
      </c>
      <c r="AM852">
        <v>20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20</v>
      </c>
      <c r="AU852">
        <v>0.05</v>
      </c>
      <c r="AV852">
        <v>0</v>
      </c>
    </row>
    <row r="853" spans="1:48" x14ac:dyDescent="0.15">
      <c r="A853" s="4" t="str">
        <f>HYPERLINK("https://ibp.a2mac1.com/costing(costing:projects/details/9760/equipment/12212377)","Packaging")</f>
        <v>Packaging</v>
      </c>
      <c r="B853">
        <v>12212377</v>
      </c>
      <c r="C853">
        <v>12085281</v>
      </c>
      <c r="H853" t="s">
        <v>162</v>
      </c>
      <c r="I853">
        <v>4437.4535986499995</v>
      </c>
      <c r="J853">
        <v>0</v>
      </c>
      <c r="K853">
        <v>0.08</v>
      </c>
      <c r="L853">
        <v>0</v>
      </c>
      <c r="M853">
        <v>1.0342676949774992</v>
      </c>
      <c r="N853">
        <v>0</v>
      </c>
      <c r="O853">
        <v>2.8729658193819424E-3</v>
      </c>
      <c r="P853">
        <v>1.1476333333333333E-2</v>
      </c>
      <c r="Q853">
        <v>7.7570077123312437E-6</v>
      </c>
      <c r="R853">
        <v>29999.99999</v>
      </c>
      <c r="S853">
        <v>0</v>
      </c>
      <c r="T853">
        <v>0</v>
      </c>
      <c r="V853">
        <v>900</v>
      </c>
      <c r="W853">
        <v>10</v>
      </c>
      <c r="X853">
        <v>85</v>
      </c>
      <c r="Y853">
        <v>3</v>
      </c>
      <c r="Z853">
        <v>4</v>
      </c>
      <c r="AA853">
        <v>5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50</v>
      </c>
      <c r="AM853">
        <v>2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10</v>
      </c>
      <c r="AU853">
        <v>0</v>
      </c>
      <c r="AV853">
        <v>0</v>
      </c>
    </row>
    <row r="854" spans="1:48" x14ac:dyDescent="0.15">
      <c r="A854" s="4" t="str">
        <f>HYPERLINK("https://ibp.a2mac1.com/costing(costing:projects/details/9760/equipment/12212194)","Assembly Station ")</f>
        <v xml:space="preserve">Assembly Station </v>
      </c>
      <c r="B854">
        <v>12212194</v>
      </c>
      <c r="C854">
        <v>12085102</v>
      </c>
      <c r="E854" t="s">
        <v>1630</v>
      </c>
      <c r="F854" t="s">
        <v>5068</v>
      </c>
      <c r="G854" t="s">
        <v>8</v>
      </c>
      <c r="H854" t="s">
        <v>162</v>
      </c>
      <c r="I854">
        <v>4824.9071999999996</v>
      </c>
      <c r="J854">
        <v>0</v>
      </c>
      <c r="K854">
        <v>0.10768</v>
      </c>
      <c r="L854">
        <v>0</v>
      </c>
      <c r="M854">
        <v>1.1242192478302797</v>
      </c>
      <c r="N854">
        <v>0</v>
      </c>
      <c r="O854">
        <v>5.6210962391513984E-2</v>
      </c>
      <c r="P854">
        <v>0.20657400000000001</v>
      </c>
      <c r="Q854">
        <v>2.2807432079717134E-4</v>
      </c>
      <c r="R854">
        <v>30000</v>
      </c>
      <c r="S854">
        <v>0</v>
      </c>
      <c r="T854">
        <v>0</v>
      </c>
      <c r="V854">
        <v>600</v>
      </c>
      <c r="W854">
        <v>10</v>
      </c>
      <c r="X854">
        <v>85</v>
      </c>
      <c r="Y854">
        <v>3</v>
      </c>
      <c r="Z854">
        <v>4</v>
      </c>
      <c r="AA854">
        <v>5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100</v>
      </c>
      <c r="AM854">
        <v>1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20</v>
      </c>
      <c r="AU854">
        <v>0</v>
      </c>
      <c r="AV854">
        <v>0</v>
      </c>
    </row>
    <row r="855" spans="1:48" x14ac:dyDescent="0.15">
      <c r="A855" s="4" t="str">
        <f>HYPERLINK("https://ibp.a2mac1.com/costing(costing:projects/details/9760/equipment/12212187)","Thermocompression ")</f>
        <v xml:space="preserve">Thermocompression </v>
      </c>
      <c r="B855">
        <v>12212187</v>
      </c>
      <c r="C855">
        <v>12085095</v>
      </c>
      <c r="E855" t="s">
        <v>5510</v>
      </c>
      <c r="F855" t="s">
        <v>5511</v>
      </c>
      <c r="H855" t="s">
        <v>162</v>
      </c>
      <c r="I855">
        <v>52467.857137521431</v>
      </c>
      <c r="J855">
        <v>0</v>
      </c>
      <c r="K855">
        <v>0</v>
      </c>
      <c r="L855">
        <v>0</v>
      </c>
      <c r="M855">
        <v>10.434962918532884</v>
      </c>
      <c r="N855">
        <v>0</v>
      </c>
      <c r="O855">
        <v>5.7972016214071581E-2</v>
      </c>
      <c r="P855">
        <v>6.9779111111111111E-2</v>
      </c>
      <c r="Q855">
        <v>6.8985608755598653E-4</v>
      </c>
      <c r="R855">
        <v>294999.99997</v>
      </c>
      <c r="S855">
        <v>99651.6</v>
      </c>
      <c r="T855">
        <v>800000</v>
      </c>
      <c r="V855">
        <v>1800</v>
      </c>
      <c r="W855">
        <v>7</v>
      </c>
      <c r="X855">
        <v>88</v>
      </c>
      <c r="Y855">
        <v>3</v>
      </c>
      <c r="Z855">
        <v>4</v>
      </c>
      <c r="AA855">
        <v>5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100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15">
      <c r="A856" s="4" t="str">
        <f>HYPERLINK("https://ibp.a2mac1.com/costing(costing:projects/details/9760/equipment/12212186)","Placement robot, 6 axis, 2.5kg ")</f>
        <v xml:space="preserve">Placement robot, 6 axis, 2.5kg </v>
      </c>
      <c r="B856">
        <v>12212186</v>
      </c>
      <c r="C856">
        <v>12085094</v>
      </c>
      <c r="E856" t="s">
        <v>1630</v>
      </c>
      <c r="F856" t="s">
        <v>5512</v>
      </c>
      <c r="H856" t="s">
        <v>162</v>
      </c>
      <c r="I856">
        <v>14424.755758650001</v>
      </c>
      <c r="J856">
        <v>0</v>
      </c>
      <c r="K856">
        <v>0.16</v>
      </c>
      <c r="L856">
        <v>0</v>
      </c>
      <c r="M856">
        <v>3.3000925358646738</v>
      </c>
      <c r="N856">
        <v>0</v>
      </c>
      <c r="O856">
        <v>4.5834618553676027E-3</v>
      </c>
      <c r="P856">
        <v>0</v>
      </c>
      <c r="Q856">
        <v>9.5161995215188046E-4</v>
      </c>
      <c r="R856">
        <v>102257.99999</v>
      </c>
      <c r="S856">
        <v>0</v>
      </c>
      <c r="T856">
        <v>0</v>
      </c>
      <c r="V856">
        <v>3600</v>
      </c>
      <c r="W856">
        <v>10</v>
      </c>
      <c r="X856">
        <v>85</v>
      </c>
      <c r="Y856">
        <v>3</v>
      </c>
      <c r="Z856">
        <v>4</v>
      </c>
      <c r="AA856">
        <v>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100</v>
      </c>
      <c r="AM856">
        <v>2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16</v>
      </c>
      <c r="AU856">
        <v>0</v>
      </c>
      <c r="AV856">
        <v>0</v>
      </c>
    </row>
    <row r="857" spans="1:48" x14ac:dyDescent="0.15">
      <c r="A857" s="4" t="str">
        <f>HYPERLINK("https://ibp.a2mac1.com/costing(costing:projects/details/9760/equipment/12212188)","No.13 - Injection Press - 1000T - 191kW - 1230x1230 - Max Volume 7815cm3 ")</f>
        <v xml:space="preserve">No.13 - Injection Press - 1000T - 191kW - 1230x1230 - Max Volume 7815cm3 </v>
      </c>
      <c r="B857">
        <v>12212188</v>
      </c>
      <c r="C857">
        <v>12085096</v>
      </c>
      <c r="E857" t="s">
        <v>1630</v>
      </c>
      <c r="H857" t="s">
        <v>162</v>
      </c>
      <c r="I857">
        <v>102974.1648</v>
      </c>
      <c r="J857">
        <v>0</v>
      </c>
      <c r="K857">
        <v>6.4560000000000004</v>
      </c>
      <c r="L857">
        <v>0</v>
      </c>
      <c r="M857">
        <v>27.827611186113788</v>
      </c>
      <c r="N857">
        <v>0</v>
      </c>
      <c r="O857">
        <v>0.29783915442173575</v>
      </c>
      <c r="P857">
        <v>2.2109632434499999E-2</v>
      </c>
      <c r="Q857">
        <v>1.572199948466731E-2</v>
      </c>
      <c r="R857">
        <v>600000</v>
      </c>
      <c r="S857">
        <v>0</v>
      </c>
      <c r="T857">
        <v>0</v>
      </c>
      <c r="V857">
        <v>14400</v>
      </c>
      <c r="W857">
        <v>8</v>
      </c>
      <c r="X857">
        <v>85</v>
      </c>
      <c r="Y857">
        <v>3</v>
      </c>
      <c r="Z857">
        <v>4</v>
      </c>
      <c r="AA857">
        <v>5</v>
      </c>
      <c r="AB857">
        <v>0</v>
      </c>
      <c r="AC857">
        <v>0</v>
      </c>
      <c r="AD857">
        <v>0</v>
      </c>
      <c r="AE857">
        <v>0</v>
      </c>
      <c r="AF857">
        <v>0.5</v>
      </c>
      <c r="AG857">
        <v>0</v>
      </c>
      <c r="AH857">
        <v>0</v>
      </c>
      <c r="AI857">
        <v>3</v>
      </c>
      <c r="AJ857">
        <v>0</v>
      </c>
      <c r="AK857">
        <v>0</v>
      </c>
      <c r="AL857">
        <v>92</v>
      </c>
      <c r="AM857">
        <v>85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180</v>
      </c>
      <c r="AU857">
        <v>0.2</v>
      </c>
      <c r="AV857">
        <v>0</v>
      </c>
    </row>
    <row r="858" spans="1:48" x14ac:dyDescent="0.15">
      <c r="A858" s="4" t="str">
        <f>HYPERLINK("https://ibp.a2mac1.com/costing(costing:projects/details/9760/equipment/12212189)","Packaging")</f>
        <v>Packaging</v>
      </c>
      <c r="B858">
        <v>12212189</v>
      </c>
      <c r="C858">
        <v>12085097</v>
      </c>
      <c r="H858" t="s">
        <v>162</v>
      </c>
      <c r="I858">
        <v>4437.4535986499995</v>
      </c>
      <c r="J858">
        <v>0</v>
      </c>
      <c r="K858">
        <v>0.08</v>
      </c>
      <c r="L858">
        <v>0</v>
      </c>
      <c r="M858">
        <v>1.0342676949774992</v>
      </c>
      <c r="N858">
        <v>0</v>
      </c>
      <c r="O858">
        <v>1.2928346187218741E-2</v>
      </c>
      <c r="P858">
        <v>5.1643500000000002E-2</v>
      </c>
      <c r="Q858">
        <v>1.5514015424662487E-5</v>
      </c>
      <c r="R858">
        <v>29999.99999</v>
      </c>
      <c r="S858">
        <v>0</v>
      </c>
      <c r="T858">
        <v>0</v>
      </c>
      <c r="V858">
        <v>900</v>
      </c>
      <c r="W858">
        <v>10</v>
      </c>
      <c r="X858">
        <v>85</v>
      </c>
      <c r="Y858">
        <v>3</v>
      </c>
      <c r="Z858">
        <v>4</v>
      </c>
      <c r="AA858">
        <v>5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50</v>
      </c>
      <c r="AM858">
        <v>2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10</v>
      </c>
      <c r="AU858">
        <v>0</v>
      </c>
      <c r="AV858">
        <v>0</v>
      </c>
    </row>
    <row r="859" spans="1:48" x14ac:dyDescent="0.15">
      <c r="A859" s="4" t="str">
        <f>HYPERLINK("https://ibp.a2mac1.com/costing(costing:projects/details/9760/equipment/12212192)","No.01 - Injection Press - 40T - 18kW - 270x270 - Max Volume 128cm3 ")</f>
        <v xml:space="preserve">No.01 - Injection Press - 40T - 18kW - 270x270 - Max Volume 128cm3 </v>
      </c>
      <c r="B859">
        <v>12212192</v>
      </c>
      <c r="C859">
        <v>12085100</v>
      </c>
      <c r="E859" t="s">
        <v>1630</v>
      </c>
      <c r="H859" t="s">
        <v>162</v>
      </c>
      <c r="I859">
        <v>13574.9072</v>
      </c>
      <c r="J859">
        <v>0</v>
      </c>
      <c r="K859">
        <v>1.6020000000000001</v>
      </c>
      <c r="L859">
        <v>0</v>
      </c>
      <c r="M859">
        <v>4.4266395371263263</v>
      </c>
      <c r="N859">
        <v>0</v>
      </c>
      <c r="O859">
        <v>1.3036238252970643E-3</v>
      </c>
      <c r="P859">
        <v>3.0417519410416667E-4</v>
      </c>
      <c r="Q859">
        <v>1.1818847814850531E-3</v>
      </c>
      <c r="R859">
        <v>80000</v>
      </c>
      <c r="S859">
        <v>0</v>
      </c>
      <c r="T859">
        <v>0</v>
      </c>
      <c r="V859">
        <v>7200</v>
      </c>
      <c r="W859">
        <v>8</v>
      </c>
      <c r="X859">
        <v>85</v>
      </c>
      <c r="Y859">
        <v>3</v>
      </c>
      <c r="Z859">
        <v>4</v>
      </c>
      <c r="AA859">
        <v>5</v>
      </c>
      <c r="AB859">
        <v>0</v>
      </c>
      <c r="AC859">
        <v>0</v>
      </c>
      <c r="AD859">
        <v>0</v>
      </c>
      <c r="AE859">
        <v>0</v>
      </c>
      <c r="AF859">
        <v>0.25</v>
      </c>
      <c r="AG859">
        <v>0</v>
      </c>
      <c r="AH859">
        <v>0</v>
      </c>
      <c r="AI859">
        <v>2</v>
      </c>
      <c r="AJ859">
        <v>0</v>
      </c>
      <c r="AK859">
        <v>0</v>
      </c>
      <c r="AL859">
        <v>97</v>
      </c>
      <c r="AM859">
        <v>20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20</v>
      </c>
      <c r="AU859">
        <v>0.05</v>
      </c>
      <c r="AV859">
        <v>0</v>
      </c>
    </row>
    <row r="860" spans="1:48" x14ac:dyDescent="0.15">
      <c r="A860" s="4" t="str">
        <f>HYPERLINK("https://ibp.a2mac1.com/costing(costing:projects/details/9760/equipment/12212193)","Packaging")</f>
        <v>Packaging</v>
      </c>
      <c r="B860">
        <v>12212193</v>
      </c>
      <c r="C860">
        <v>12085101</v>
      </c>
      <c r="H860" t="s">
        <v>162</v>
      </c>
      <c r="I860">
        <v>4437.4535986499995</v>
      </c>
      <c r="J860">
        <v>0</v>
      </c>
      <c r="K860">
        <v>0.08</v>
      </c>
      <c r="L860">
        <v>0</v>
      </c>
      <c r="M860">
        <v>1.0342676949774992</v>
      </c>
      <c r="N860">
        <v>0</v>
      </c>
      <c r="O860">
        <v>2.8729658193819424E-3</v>
      </c>
      <c r="P860">
        <v>1.1476333333333333E-2</v>
      </c>
      <c r="Q860">
        <v>5.1713384748874961E-6</v>
      </c>
      <c r="R860">
        <v>29999.99999</v>
      </c>
      <c r="S860">
        <v>0</v>
      </c>
      <c r="T860">
        <v>0</v>
      </c>
      <c r="V860">
        <v>900</v>
      </c>
      <c r="W860">
        <v>10</v>
      </c>
      <c r="X860">
        <v>85</v>
      </c>
      <c r="Y860">
        <v>3</v>
      </c>
      <c r="Z860">
        <v>4</v>
      </c>
      <c r="AA860">
        <v>5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50</v>
      </c>
      <c r="AM860">
        <v>2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10</v>
      </c>
      <c r="AU860">
        <v>0</v>
      </c>
      <c r="AV860">
        <v>0</v>
      </c>
    </row>
    <row r="861" spans="1:48" x14ac:dyDescent="0.15">
      <c r="A861" s="4" t="str">
        <f>HYPERLINK("https://ibp.a2mac1.com/costing(costing:projects/details/9760/equipment/12212155)","Assembly Station ")</f>
        <v xml:space="preserve">Assembly Station </v>
      </c>
      <c r="B861">
        <v>12212155</v>
      </c>
      <c r="C861">
        <v>12085063</v>
      </c>
      <c r="E861" t="s">
        <v>1630</v>
      </c>
      <c r="F861" t="s">
        <v>5068</v>
      </c>
      <c r="G861" t="s">
        <v>8</v>
      </c>
      <c r="H861" t="s">
        <v>162</v>
      </c>
      <c r="I861">
        <v>4824.9071999999996</v>
      </c>
      <c r="J861">
        <v>0</v>
      </c>
      <c r="K861">
        <v>0.10768</v>
      </c>
      <c r="L861">
        <v>0</v>
      </c>
      <c r="M861">
        <v>1.1242192478302797</v>
      </c>
      <c r="N861">
        <v>0</v>
      </c>
      <c r="O861">
        <v>0.18736987463837995</v>
      </c>
      <c r="P861">
        <v>0.68857999999999997</v>
      </c>
      <c r="Q861">
        <v>2.2807432079717134E-4</v>
      </c>
      <c r="R861">
        <v>30000</v>
      </c>
      <c r="S861">
        <v>0</v>
      </c>
      <c r="T861">
        <v>0</v>
      </c>
      <c r="V861">
        <v>600</v>
      </c>
      <c r="W861">
        <v>10</v>
      </c>
      <c r="X861">
        <v>85</v>
      </c>
      <c r="Y861">
        <v>3</v>
      </c>
      <c r="Z861">
        <v>4</v>
      </c>
      <c r="AA861">
        <v>5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100</v>
      </c>
      <c r="AM861">
        <v>1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20</v>
      </c>
      <c r="AU861">
        <v>0</v>
      </c>
      <c r="AV861">
        <v>0</v>
      </c>
    </row>
    <row r="862" spans="1:48" x14ac:dyDescent="0.15">
      <c r="A862" s="4" t="str">
        <f>HYPERLINK("https://ibp.a2mac1.com/costing(costing:projects/details/9760/equipment/12213135)","Manufacturing Equipment")</f>
        <v>Manufacturing Equipment</v>
      </c>
      <c r="B862">
        <v>12213135</v>
      </c>
      <c r="C862">
        <v>12085977</v>
      </c>
      <c r="H862" t="s">
        <v>162</v>
      </c>
      <c r="I862">
        <v>373962.1752</v>
      </c>
      <c r="J862">
        <v>0</v>
      </c>
      <c r="K862">
        <v>3.3919999999999999</v>
      </c>
      <c r="L862">
        <v>0</v>
      </c>
      <c r="M862">
        <v>85.594213950498229</v>
      </c>
      <c r="N862">
        <v>0</v>
      </c>
      <c r="O862">
        <v>1.183174525718667</v>
      </c>
      <c r="P862">
        <v>5.7109723472000003E-2</v>
      </c>
      <c r="Q862">
        <v>8.8339008555448403E-3</v>
      </c>
      <c r="R862">
        <v>2750000</v>
      </c>
      <c r="S862">
        <v>0</v>
      </c>
      <c r="T862">
        <v>0</v>
      </c>
      <c r="V862">
        <v>5400</v>
      </c>
      <c r="W862">
        <v>10</v>
      </c>
      <c r="X862">
        <v>85</v>
      </c>
      <c r="Y862">
        <v>4</v>
      </c>
      <c r="Z862">
        <v>4</v>
      </c>
      <c r="AA862">
        <v>5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80</v>
      </c>
      <c r="AM862">
        <v>53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70</v>
      </c>
      <c r="AU862">
        <v>0</v>
      </c>
      <c r="AV862">
        <v>0</v>
      </c>
    </row>
    <row r="863" spans="1:48" x14ac:dyDescent="0.15">
      <c r="A863" s="4" t="str">
        <f>HYPERLINK("https://ibp.a2mac1.com/costing(costing:projects/details/9760/equipment/12213136)","Manufacturing Equipment")</f>
        <v>Manufacturing Equipment</v>
      </c>
      <c r="B863">
        <v>12213136</v>
      </c>
      <c r="C863">
        <v>12085978</v>
      </c>
      <c r="H863" t="s">
        <v>162</v>
      </c>
      <c r="I863">
        <v>373962.1752</v>
      </c>
      <c r="J863">
        <v>0</v>
      </c>
      <c r="K863">
        <v>3.3919999999999999</v>
      </c>
      <c r="L863">
        <v>0</v>
      </c>
      <c r="M863">
        <v>85.594213950498229</v>
      </c>
      <c r="N863">
        <v>0</v>
      </c>
      <c r="O863">
        <v>4.9900951209729635E-2</v>
      </c>
      <c r="P863">
        <v>2.4086298873333334E-3</v>
      </c>
      <c r="Q863">
        <v>8.8339008555448403E-3</v>
      </c>
      <c r="R863">
        <v>2750000</v>
      </c>
      <c r="S863">
        <v>0</v>
      </c>
      <c r="T863">
        <v>0</v>
      </c>
      <c r="V863">
        <v>5400</v>
      </c>
      <c r="W863">
        <v>10</v>
      </c>
      <c r="X863">
        <v>85</v>
      </c>
      <c r="Y863">
        <v>4</v>
      </c>
      <c r="Z863">
        <v>4</v>
      </c>
      <c r="AA863">
        <v>5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80</v>
      </c>
      <c r="AM863">
        <v>53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70</v>
      </c>
      <c r="AU863">
        <v>0</v>
      </c>
      <c r="AV863">
        <v>0</v>
      </c>
    </row>
    <row r="864" spans="1:48" x14ac:dyDescent="0.15">
      <c r="A864" s="4" t="str">
        <f>HYPERLINK("https://ibp.a2mac1.com/costing(costing:projects/details/9760/equipment/12213137)","Manufacturing Equipment")</f>
        <v>Manufacturing Equipment</v>
      </c>
      <c r="B864">
        <v>12213137</v>
      </c>
      <c r="C864">
        <v>12085979</v>
      </c>
      <c r="H864" t="s">
        <v>162</v>
      </c>
      <c r="I864">
        <v>373962.1752</v>
      </c>
      <c r="J864">
        <v>0</v>
      </c>
      <c r="K864">
        <v>3.3919999999999999</v>
      </c>
      <c r="L864">
        <v>0</v>
      </c>
      <c r="M864">
        <v>85.594213950498229</v>
      </c>
      <c r="N864">
        <v>0</v>
      </c>
      <c r="O864">
        <v>4.9900951209729635E-2</v>
      </c>
      <c r="P864">
        <v>2.4086298873333334E-3</v>
      </c>
      <c r="Q864">
        <v>8.8339008555448403E-3</v>
      </c>
      <c r="R864">
        <v>2750000</v>
      </c>
      <c r="S864">
        <v>0</v>
      </c>
      <c r="T864">
        <v>0</v>
      </c>
      <c r="V864">
        <v>5400</v>
      </c>
      <c r="W864">
        <v>10</v>
      </c>
      <c r="X864">
        <v>85</v>
      </c>
      <c r="Y864">
        <v>4</v>
      </c>
      <c r="Z864">
        <v>4</v>
      </c>
      <c r="AA864">
        <v>5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80</v>
      </c>
      <c r="AM864">
        <v>53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70</v>
      </c>
      <c r="AU864">
        <v>0</v>
      </c>
      <c r="AV864">
        <v>0</v>
      </c>
    </row>
    <row r="865" spans="1:48" x14ac:dyDescent="0.15">
      <c r="A865" s="4" t="str">
        <f>HYPERLINK("https://ibp.a2mac1.com/costing(costing:projects/details/9760/equipment/12213138)","Manufacturing Equipment")</f>
        <v>Manufacturing Equipment</v>
      </c>
      <c r="B865">
        <v>12213138</v>
      </c>
      <c r="C865">
        <v>12085980</v>
      </c>
      <c r="H865" t="s">
        <v>162</v>
      </c>
      <c r="I865">
        <v>373962.1752</v>
      </c>
      <c r="J865">
        <v>0</v>
      </c>
      <c r="K865">
        <v>3.3919999999999999</v>
      </c>
      <c r="L865">
        <v>0</v>
      </c>
      <c r="M865">
        <v>85.594213950498229</v>
      </c>
      <c r="N865">
        <v>0</v>
      </c>
      <c r="O865">
        <v>4.9900951209729635E-2</v>
      </c>
      <c r="P865">
        <v>2.4086298873333334E-3</v>
      </c>
      <c r="Q865">
        <v>8.8339008555448403E-3</v>
      </c>
      <c r="R865">
        <v>2750000</v>
      </c>
      <c r="S865">
        <v>0</v>
      </c>
      <c r="T865">
        <v>0</v>
      </c>
      <c r="V865">
        <v>5400</v>
      </c>
      <c r="W865">
        <v>10</v>
      </c>
      <c r="X865">
        <v>85</v>
      </c>
      <c r="Y865">
        <v>4</v>
      </c>
      <c r="Z865">
        <v>4</v>
      </c>
      <c r="AA865">
        <v>5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80</v>
      </c>
      <c r="AM865">
        <v>53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70</v>
      </c>
      <c r="AU865">
        <v>0</v>
      </c>
      <c r="AV865">
        <v>0</v>
      </c>
    </row>
    <row r="866" spans="1:48" x14ac:dyDescent="0.15">
      <c r="A866" s="4" t="str">
        <f>HYPERLINK("https://ibp.a2mac1.com/costing(costing:projects/details/9760/equipment/12213139)","Manufacturing Equipment")</f>
        <v>Manufacturing Equipment</v>
      </c>
      <c r="B866">
        <v>12213139</v>
      </c>
      <c r="C866">
        <v>12085981</v>
      </c>
      <c r="H866" t="s">
        <v>162</v>
      </c>
      <c r="I866">
        <v>373962.1752</v>
      </c>
      <c r="J866">
        <v>0</v>
      </c>
      <c r="K866">
        <v>3.3919999999999999</v>
      </c>
      <c r="L866">
        <v>0</v>
      </c>
      <c r="M866">
        <v>85.594213950498229</v>
      </c>
      <c r="N866">
        <v>0</v>
      </c>
      <c r="O866">
        <v>4.9900951209729635E-2</v>
      </c>
      <c r="P866">
        <v>2.4086298873333334E-3</v>
      </c>
      <c r="Q866">
        <v>8.8339008555448403E-3</v>
      </c>
      <c r="R866">
        <v>2750000</v>
      </c>
      <c r="S866">
        <v>0</v>
      </c>
      <c r="T866">
        <v>0</v>
      </c>
      <c r="V866">
        <v>5400</v>
      </c>
      <c r="W866">
        <v>10</v>
      </c>
      <c r="X866">
        <v>85</v>
      </c>
      <c r="Y866">
        <v>4</v>
      </c>
      <c r="Z866">
        <v>4</v>
      </c>
      <c r="AA866">
        <v>5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80</v>
      </c>
      <c r="AM866">
        <v>53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70</v>
      </c>
      <c r="AU866">
        <v>0</v>
      </c>
      <c r="AV866">
        <v>0</v>
      </c>
    </row>
    <row r="867" spans="1:48" x14ac:dyDescent="0.15">
      <c r="A867" s="4" t="str">
        <f>HYPERLINK("https://ibp.a2mac1.com/costing(costing:projects/details/9760/equipment/12213309)","Manufacturing Equipment")</f>
        <v>Manufacturing Equipment</v>
      </c>
      <c r="B867">
        <v>12213309</v>
      </c>
      <c r="C867">
        <v>12086176</v>
      </c>
      <c r="H867" t="s">
        <v>162</v>
      </c>
      <c r="I867">
        <v>373962.1752</v>
      </c>
      <c r="J867">
        <v>0</v>
      </c>
      <c r="K867">
        <v>3.3919999999999999</v>
      </c>
      <c r="L867">
        <v>0</v>
      </c>
      <c r="M867">
        <v>85.594213950498229</v>
      </c>
      <c r="N867">
        <v>0</v>
      </c>
      <c r="O867">
        <v>2.9650073474158005E-3</v>
      </c>
      <c r="P867">
        <v>1.4311561483333334E-4</v>
      </c>
      <c r="Q867">
        <v>8.8339008555448403E-3</v>
      </c>
      <c r="R867">
        <v>2750000</v>
      </c>
      <c r="S867">
        <v>0</v>
      </c>
      <c r="T867">
        <v>0</v>
      </c>
      <c r="V867">
        <v>5400</v>
      </c>
      <c r="W867">
        <v>10</v>
      </c>
      <c r="X867">
        <v>85</v>
      </c>
      <c r="Y867">
        <v>4</v>
      </c>
      <c r="Z867">
        <v>4</v>
      </c>
      <c r="AA867">
        <v>5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80</v>
      </c>
      <c r="AM867">
        <v>53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70</v>
      </c>
      <c r="AU867">
        <v>0</v>
      </c>
      <c r="AV867">
        <v>0</v>
      </c>
    </row>
    <row r="868" spans="1:48" x14ac:dyDescent="0.15">
      <c r="A868" s="4" t="str">
        <f>HYPERLINK("https://ibp.a2mac1.com/costing(costing:projects/details/9760/equipment/12213310)","Manufacturing Equipment")</f>
        <v>Manufacturing Equipment</v>
      </c>
      <c r="B868">
        <v>12213310</v>
      </c>
      <c r="C868">
        <v>12086177</v>
      </c>
      <c r="H868" t="s">
        <v>162</v>
      </c>
      <c r="I868">
        <v>373962.1752</v>
      </c>
      <c r="J868">
        <v>0</v>
      </c>
      <c r="K868">
        <v>3.3919999999999999</v>
      </c>
      <c r="L868">
        <v>0</v>
      </c>
      <c r="M868">
        <v>85.594213950498229</v>
      </c>
      <c r="N868">
        <v>0</v>
      </c>
      <c r="O868">
        <v>2.9650073474158005E-3</v>
      </c>
      <c r="P868">
        <v>1.4311561483333334E-4</v>
      </c>
      <c r="Q868">
        <v>8.8339008555448403E-3</v>
      </c>
      <c r="R868">
        <v>2750000</v>
      </c>
      <c r="S868">
        <v>0</v>
      </c>
      <c r="T868">
        <v>0</v>
      </c>
      <c r="V868">
        <v>5400</v>
      </c>
      <c r="W868">
        <v>10</v>
      </c>
      <c r="X868">
        <v>85</v>
      </c>
      <c r="Y868">
        <v>4</v>
      </c>
      <c r="Z868">
        <v>4</v>
      </c>
      <c r="AA868">
        <v>5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80</v>
      </c>
      <c r="AM868">
        <v>53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70</v>
      </c>
      <c r="AU868">
        <v>0</v>
      </c>
      <c r="AV868">
        <v>0</v>
      </c>
    </row>
    <row r="869" spans="1:48" x14ac:dyDescent="0.15">
      <c r="A869" s="4" t="str">
        <f>HYPERLINK("https://ibp.a2mac1.com/costing(costing:projects/details/9760/equipment/12213311)","Manufacturing Equipment")</f>
        <v>Manufacturing Equipment</v>
      </c>
      <c r="B869">
        <v>12213311</v>
      </c>
      <c r="C869">
        <v>12086178</v>
      </c>
      <c r="H869" t="s">
        <v>162</v>
      </c>
      <c r="I869">
        <v>373962.1752</v>
      </c>
      <c r="J869">
        <v>0</v>
      </c>
      <c r="K869">
        <v>3.3919999999999999</v>
      </c>
      <c r="L869">
        <v>0</v>
      </c>
      <c r="M869">
        <v>85.594213950498229</v>
      </c>
      <c r="N869">
        <v>0</v>
      </c>
      <c r="O869">
        <v>5.7636766057211332E-2</v>
      </c>
      <c r="P869">
        <v>2.7820238686666666E-3</v>
      </c>
      <c r="Q869">
        <v>8.8339008555448403E-3</v>
      </c>
      <c r="R869">
        <v>2750000</v>
      </c>
      <c r="S869">
        <v>0</v>
      </c>
      <c r="T869">
        <v>0</v>
      </c>
      <c r="V869">
        <v>5400</v>
      </c>
      <c r="W869">
        <v>10</v>
      </c>
      <c r="X869">
        <v>85</v>
      </c>
      <c r="Y869">
        <v>4</v>
      </c>
      <c r="Z869">
        <v>4</v>
      </c>
      <c r="AA869">
        <v>5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80</v>
      </c>
      <c r="AM869">
        <v>53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70</v>
      </c>
      <c r="AU869">
        <v>0</v>
      </c>
      <c r="AV869">
        <v>0</v>
      </c>
    </row>
    <row r="870" spans="1:48" x14ac:dyDescent="0.15">
      <c r="A870" s="4" t="str">
        <f>HYPERLINK("https://ibp.a2mac1.com/costing(costing:projects/details/9760/equipment/12213312)","Manufacturing Equipment")</f>
        <v>Manufacturing Equipment</v>
      </c>
      <c r="B870">
        <v>12213312</v>
      </c>
      <c r="C870">
        <v>12086179</v>
      </c>
      <c r="H870" t="s">
        <v>162</v>
      </c>
      <c r="I870">
        <v>373962.1752</v>
      </c>
      <c r="J870">
        <v>0</v>
      </c>
      <c r="K870">
        <v>3.3919999999999999</v>
      </c>
      <c r="L870">
        <v>0</v>
      </c>
      <c r="M870">
        <v>85.594213950498229</v>
      </c>
      <c r="N870">
        <v>0</v>
      </c>
      <c r="O870">
        <v>5.7636766057211332E-2</v>
      </c>
      <c r="P870">
        <v>2.7820238686666666E-3</v>
      </c>
      <c r="Q870">
        <v>8.8339008555448403E-3</v>
      </c>
      <c r="R870">
        <v>2750000</v>
      </c>
      <c r="S870">
        <v>0</v>
      </c>
      <c r="T870">
        <v>0</v>
      </c>
      <c r="V870">
        <v>5400</v>
      </c>
      <c r="W870">
        <v>10</v>
      </c>
      <c r="X870">
        <v>85</v>
      </c>
      <c r="Y870">
        <v>4</v>
      </c>
      <c r="Z870">
        <v>4</v>
      </c>
      <c r="AA870">
        <v>5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80</v>
      </c>
      <c r="AM870">
        <v>53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70</v>
      </c>
      <c r="AU870">
        <v>0</v>
      </c>
      <c r="AV870">
        <v>0</v>
      </c>
    </row>
    <row r="871" spans="1:48" x14ac:dyDescent="0.15">
      <c r="A871" s="4" t="str">
        <f>HYPERLINK("https://ibp.a2mac1.com/costing(costing:projects/details/9760/equipment/12213313)","Manufacturing Equipment")</f>
        <v>Manufacturing Equipment</v>
      </c>
      <c r="B871">
        <v>12213313</v>
      </c>
      <c r="C871">
        <v>12086180</v>
      </c>
      <c r="H871" t="s">
        <v>162</v>
      </c>
      <c r="I871">
        <v>373962.1752</v>
      </c>
      <c r="J871">
        <v>0</v>
      </c>
      <c r="K871">
        <v>3.3919999999999999</v>
      </c>
      <c r="L871">
        <v>0</v>
      </c>
      <c r="M871">
        <v>85.594213950498229</v>
      </c>
      <c r="N871">
        <v>0</v>
      </c>
      <c r="O871">
        <v>5.7636766057211332E-2</v>
      </c>
      <c r="P871">
        <v>2.7820238686666666E-3</v>
      </c>
      <c r="Q871">
        <v>8.8339008555448403E-3</v>
      </c>
      <c r="R871">
        <v>2750000</v>
      </c>
      <c r="S871">
        <v>0</v>
      </c>
      <c r="T871">
        <v>0</v>
      </c>
      <c r="V871">
        <v>5400</v>
      </c>
      <c r="W871">
        <v>10</v>
      </c>
      <c r="X871">
        <v>85</v>
      </c>
      <c r="Y871">
        <v>4</v>
      </c>
      <c r="Z871">
        <v>4</v>
      </c>
      <c r="AA871">
        <v>5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80</v>
      </c>
      <c r="AM871">
        <v>53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70</v>
      </c>
      <c r="AU871">
        <v>0</v>
      </c>
      <c r="AV871">
        <v>0</v>
      </c>
    </row>
    <row r="872" spans="1:48" x14ac:dyDescent="0.15">
      <c r="A872" s="4" t="str">
        <f>HYPERLINK("https://ibp.a2mac1.com/costing(costing:projects/details/9760/equipment/12213140)","Manufacturing Equipment")</f>
        <v>Manufacturing Equipment</v>
      </c>
      <c r="B872">
        <v>12213140</v>
      </c>
      <c r="C872">
        <v>12085982</v>
      </c>
      <c r="H872" t="s">
        <v>162</v>
      </c>
      <c r="I872">
        <v>373962.1752</v>
      </c>
      <c r="J872">
        <v>0</v>
      </c>
      <c r="K872">
        <v>3.3919999999999999</v>
      </c>
      <c r="L872">
        <v>0</v>
      </c>
      <c r="M872">
        <v>85.594213950498229</v>
      </c>
      <c r="N872">
        <v>0</v>
      </c>
      <c r="O872">
        <v>1.183174525718667</v>
      </c>
      <c r="P872">
        <v>5.7109723472000003E-2</v>
      </c>
      <c r="Q872">
        <v>8.8339008555448403E-3</v>
      </c>
      <c r="R872">
        <v>2750000</v>
      </c>
      <c r="S872">
        <v>0</v>
      </c>
      <c r="T872">
        <v>0</v>
      </c>
      <c r="V872">
        <v>5400</v>
      </c>
      <c r="W872">
        <v>10</v>
      </c>
      <c r="X872">
        <v>85</v>
      </c>
      <c r="Y872">
        <v>4</v>
      </c>
      <c r="Z872">
        <v>4</v>
      </c>
      <c r="AA872">
        <v>5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80</v>
      </c>
      <c r="AM872">
        <v>53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70</v>
      </c>
      <c r="AU872">
        <v>0</v>
      </c>
      <c r="AV872">
        <v>0</v>
      </c>
    </row>
    <row r="873" spans="1:48" x14ac:dyDescent="0.15">
      <c r="A873" s="4" t="str">
        <f>HYPERLINK("https://ibp.a2mac1.com/costing(costing:projects/details/9760/equipment/12212195)","Assembly Station ")</f>
        <v xml:space="preserve">Assembly Station </v>
      </c>
      <c r="B873">
        <v>12212195</v>
      </c>
      <c r="C873">
        <v>12085103</v>
      </c>
      <c r="E873" t="s">
        <v>1630</v>
      </c>
      <c r="F873" t="s">
        <v>5068</v>
      </c>
      <c r="G873" t="s">
        <v>8</v>
      </c>
      <c r="H873" t="s">
        <v>162</v>
      </c>
      <c r="I873">
        <v>4824.9071999999996</v>
      </c>
      <c r="J873">
        <v>0</v>
      </c>
      <c r="K873">
        <v>0.10768</v>
      </c>
      <c r="L873">
        <v>0</v>
      </c>
      <c r="M873">
        <v>1.1242192478302797</v>
      </c>
      <c r="N873">
        <v>0</v>
      </c>
      <c r="O873">
        <v>0.14052740597878496</v>
      </c>
      <c r="P873">
        <v>0.51643499999999998</v>
      </c>
      <c r="Q873">
        <v>2.2807432079717134E-4</v>
      </c>
      <c r="R873">
        <v>30000</v>
      </c>
      <c r="S873">
        <v>0</v>
      </c>
      <c r="T873">
        <v>0</v>
      </c>
      <c r="V873">
        <v>600</v>
      </c>
      <c r="W873">
        <v>10</v>
      </c>
      <c r="X873">
        <v>85</v>
      </c>
      <c r="Y873">
        <v>3</v>
      </c>
      <c r="Z873">
        <v>4</v>
      </c>
      <c r="AA873">
        <v>5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100</v>
      </c>
      <c r="AM873">
        <v>1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20</v>
      </c>
      <c r="AU873">
        <v>0</v>
      </c>
      <c r="AV873">
        <v>0</v>
      </c>
    </row>
    <row r="874" spans="1:48" x14ac:dyDescent="0.15">
      <c r="A874" s="4" t="str">
        <f>HYPERLINK("https://ibp.a2mac1.com/costing(costing:projects/details/9760/equipment/12212783)","DC machine - General")</f>
        <v>DC machine - General</v>
      </c>
      <c r="B874">
        <v>12212783</v>
      </c>
      <c r="C874">
        <v>12085545</v>
      </c>
      <c r="E874" t="s">
        <v>738</v>
      </c>
      <c r="H874" t="s">
        <v>162</v>
      </c>
      <c r="I874">
        <v>116914.84457142858</v>
      </c>
      <c r="J874">
        <v>0</v>
      </c>
      <c r="K874">
        <v>3.6</v>
      </c>
      <c r="L874">
        <v>0</v>
      </c>
      <c r="M874">
        <v>27.497982091197134</v>
      </c>
      <c r="N874">
        <v>0</v>
      </c>
      <c r="O874">
        <v>0.35136310449863006</v>
      </c>
      <c r="P874">
        <v>5.279113333333333E-2</v>
      </c>
      <c r="Q874">
        <v>1.1732166376415484E-2</v>
      </c>
      <c r="R874">
        <v>635568</v>
      </c>
      <c r="S874">
        <v>0</v>
      </c>
      <c r="T874">
        <v>0</v>
      </c>
      <c r="V874">
        <v>10800</v>
      </c>
      <c r="W874">
        <v>7</v>
      </c>
      <c r="X874">
        <v>85</v>
      </c>
      <c r="Y874">
        <v>3</v>
      </c>
      <c r="Z874">
        <v>4</v>
      </c>
      <c r="AA874">
        <v>5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3</v>
      </c>
      <c r="AJ874">
        <v>0</v>
      </c>
      <c r="AK874">
        <v>0</v>
      </c>
      <c r="AL874">
        <v>100</v>
      </c>
      <c r="AM874">
        <v>45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100</v>
      </c>
      <c r="AU874">
        <v>0</v>
      </c>
      <c r="AV874">
        <v>0</v>
      </c>
    </row>
    <row r="875" spans="1:48" x14ac:dyDescent="0.15">
      <c r="A875" s="4" t="str">
        <f>HYPERLINK("https://ibp.a2mac1.com/costing(costing:projects/details/9760/equipment/12212784)","DC machine - General")</f>
        <v>DC machine - General</v>
      </c>
      <c r="B875">
        <v>12212784</v>
      </c>
      <c r="C875">
        <v>12085546</v>
      </c>
      <c r="E875" t="s">
        <v>738</v>
      </c>
      <c r="H875" t="s">
        <v>162</v>
      </c>
      <c r="I875">
        <v>116914.84457142858</v>
      </c>
      <c r="J875">
        <v>0</v>
      </c>
      <c r="K875">
        <v>3.6</v>
      </c>
      <c r="L875">
        <v>0</v>
      </c>
      <c r="M875">
        <v>27.497982091197134</v>
      </c>
      <c r="N875">
        <v>0</v>
      </c>
      <c r="O875">
        <v>0.42774638808528875</v>
      </c>
      <c r="P875">
        <v>6.4267466666666662E-2</v>
      </c>
      <c r="Q875">
        <v>1.1732166376415484E-2</v>
      </c>
      <c r="R875">
        <v>635568</v>
      </c>
      <c r="S875">
        <v>0</v>
      </c>
      <c r="T875">
        <v>0</v>
      </c>
      <c r="V875">
        <v>10800</v>
      </c>
      <c r="W875">
        <v>7</v>
      </c>
      <c r="X875">
        <v>85</v>
      </c>
      <c r="Y875">
        <v>3</v>
      </c>
      <c r="Z875">
        <v>4</v>
      </c>
      <c r="AA875">
        <v>5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3</v>
      </c>
      <c r="AJ875">
        <v>0</v>
      </c>
      <c r="AK875">
        <v>0</v>
      </c>
      <c r="AL875">
        <v>100</v>
      </c>
      <c r="AM875">
        <v>45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100</v>
      </c>
      <c r="AU875">
        <v>0</v>
      </c>
      <c r="AV875">
        <v>0</v>
      </c>
    </row>
    <row r="876" spans="1:48" x14ac:dyDescent="0.15">
      <c r="A876" s="4" t="str">
        <f>HYPERLINK("https://ibp.a2mac1.com/costing(costing:projects/details/9760/equipment/12212785)","DC machine - General")</f>
        <v>DC machine - General</v>
      </c>
      <c r="B876">
        <v>12212785</v>
      </c>
      <c r="C876">
        <v>12085547</v>
      </c>
      <c r="E876" t="s">
        <v>738</v>
      </c>
      <c r="H876" t="s">
        <v>162</v>
      </c>
      <c r="I876">
        <v>116914.84457142858</v>
      </c>
      <c r="J876">
        <v>0</v>
      </c>
      <c r="K876">
        <v>3.6</v>
      </c>
      <c r="L876">
        <v>0</v>
      </c>
      <c r="M876">
        <v>27.497982091197134</v>
      </c>
      <c r="N876">
        <v>0</v>
      </c>
      <c r="O876">
        <v>5.3468298510661094E-2</v>
      </c>
      <c r="P876">
        <v>8.0334333333333327E-3</v>
      </c>
      <c r="Q876">
        <v>1.1732166376415484E-2</v>
      </c>
      <c r="R876">
        <v>635568</v>
      </c>
      <c r="S876">
        <v>0</v>
      </c>
      <c r="T876">
        <v>0</v>
      </c>
      <c r="V876">
        <v>10800</v>
      </c>
      <c r="W876">
        <v>7</v>
      </c>
      <c r="X876">
        <v>85</v>
      </c>
      <c r="Y876">
        <v>3</v>
      </c>
      <c r="Z876">
        <v>4</v>
      </c>
      <c r="AA876">
        <v>5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3</v>
      </c>
      <c r="AJ876">
        <v>0</v>
      </c>
      <c r="AK876">
        <v>0</v>
      </c>
      <c r="AL876">
        <v>100</v>
      </c>
      <c r="AM876">
        <v>45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100</v>
      </c>
      <c r="AU876">
        <v>0</v>
      </c>
      <c r="AV876">
        <v>0</v>
      </c>
    </row>
    <row r="877" spans="1:48" x14ac:dyDescent="0.15">
      <c r="A877" s="4" t="str">
        <f>HYPERLINK("https://ibp.a2mac1.com/costing(costing:projects/details/9760/equipment/12212786)","DC machine - General")</f>
        <v>DC machine - General</v>
      </c>
      <c r="B877">
        <v>12212786</v>
      </c>
      <c r="C877">
        <v>12085548</v>
      </c>
      <c r="E877" t="s">
        <v>738</v>
      </c>
      <c r="H877" t="s">
        <v>162</v>
      </c>
      <c r="I877">
        <v>116914.84457142858</v>
      </c>
      <c r="J877">
        <v>0</v>
      </c>
      <c r="K877">
        <v>3.6</v>
      </c>
      <c r="L877">
        <v>0</v>
      </c>
      <c r="M877">
        <v>27.497982091197134</v>
      </c>
      <c r="N877">
        <v>0</v>
      </c>
      <c r="O877">
        <v>0.45829970151995225</v>
      </c>
      <c r="P877">
        <v>6.8858000000000003E-2</v>
      </c>
      <c r="Q877">
        <v>1.1732166376415484E-2</v>
      </c>
      <c r="R877">
        <v>635568</v>
      </c>
      <c r="S877">
        <v>0</v>
      </c>
      <c r="T877">
        <v>0</v>
      </c>
      <c r="V877">
        <v>10800</v>
      </c>
      <c r="W877">
        <v>7</v>
      </c>
      <c r="X877">
        <v>85</v>
      </c>
      <c r="Y877">
        <v>3</v>
      </c>
      <c r="Z877">
        <v>4</v>
      </c>
      <c r="AA877">
        <v>5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3</v>
      </c>
      <c r="AJ877">
        <v>0</v>
      </c>
      <c r="AK877">
        <v>0</v>
      </c>
      <c r="AL877">
        <v>100</v>
      </c>
      <c r="AM877">
        <v>45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100</v>
      </c>
      <c r="AU877">
        <v>0</v>
      </c>
      <c r="AV877">
        <v>0</v>
      </c>
    </row>
    <row r="878" spans="1:48" x14ac:dyDescent="0.15">
      <c r="A878" s="4" t="str">
        <f>HYPERLINK("https://ibp.a2mac1.com/costing(costing:projects/details/9760/equipment/12212787)","DC machine - General")</f>
        <v>DC machine - General</v>
      </c>
      <c r="B878">
        <v>12212787</v>
      </c>
      <c r="C878">
        <v>12085549</v>
      </c>
      <c r="E878" t="s">
        <v>738</v>
      </c>
      <c r="H878" t="s">
        <v>162</v>
      </c>
      <c r="I878">
        <v>116914.84457142858</v>
      </c>
      <c r="J878">
        <v>0</v>
      </c>
      <c r="K878">
        <v>3.6</v>
      </c>
      <c r="L878">
        <v>0</v>
      </c>
      <c r="M878">
        <v>27.497982091197134</v>
      </c>
      <c r="N878">
        <v>0</v>
      </c>
      <c r="O878">
        <v>1.5276656717331742E-2</v>
      </c>
      <c r="P878">
        <v>2.2952666666666665E-3</v>
      </c>
      <c r="Q878">
        <v>1.1732166376415484E-2</v>
      </c>
      <c r="R878">
        <v>635568</v>
      </c>
      <c r="S878">
        <v>0</v>
      </c>
      <c r="T878">
        <v>0</v>
      </c>
      <c r="V878">
        <v>10800</v>
      </c>
      <c r="W878">
        <v>7</v>
      </c>
      <c r="X878">
        <v>85</v>
      </c>
      <c r="Y878">
        <v>3</v>
      </c>
      <c r="Z878">
        <v>4</v>
      </c>
      <c r="AA878">
        <v>5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3</v>
      </c>
      <c r="AJ878">
        <v>0</v>
      </c>
      <c r="AK878">
        <v>0</v>
      </c>
      <c r="AL878">
        <v>100</v>
      </c>
      <c r="AM878">
        <v>45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100</v>
      </c>
      <c r="AU878">
        <v>0</v>
      </c>
      <c r="AV878">
        <v>0</v>
      </c>
    </row>
    <row r="879" spans="1:48" x14ac:dyDescent="0.15">
      <c r="A879" s="4" t="str">
        <f>HYPERLINK("https://ibp.a2mac1.com/costing(costing:projects/details/9760/equipment/12212788)","DC machine - General")</f>
        <v>DC machine - General</v>
      </c>
      <c r="B879">
        <v>12212788</v>
      </c>
      <c r="C879">
        <v>12085550</v>
      </c>
      <c r="E879" t="s">
        <v>738</v>
      </c>
      <c r="H879" t="s">
        <v>162</v>
      </c>
      <c r="I879">
        <v>116914.84457142858</v>
      </c>
      <c r="J879">
        <v>0</v>
      </c>
      <c r="K879">
        <v>3.6</v>
      </c>
      <c r="L879">
        <v>0</v>
      </c>
      <c r="M879">
        <v>27.497982091197134</v>
      </c>
      <c r="N879">
        <v>0</v>
      </c>
      <c r="O879">
        <v>2.2914985075997613E-2</v>
      </c>
      <c r="P879">
        <v>3.4429E-3</v>
      </c>
      <c r="Q879">
        <v>1.1732166376415484E-2</v>
      </c>
      <c r="R879">
        <v>635568</v>
      </c>
      <c r="S879">
        <v>0</v>
      </c>
      <c r="T879">
        <v>0</v>
      </c>
      <c r="V879">
        <v>10800</v>
      </c>
      <c r="W879">
        <v>7</v>
      </c>
      <c r="X879">
        <v>85</v>
      </c>
      <c r="Y879">
        <v>3</v>
      </c>
      <c r="Z879">
        <v>4</v>
      </c>
      <c r="AA879">
        <v>5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3</v>
      </c>
      <c r="AJ879">
        <v>0</v>
      </c>
      <c r="AK879">
        <v>0</v>
      </c>
      <c r="AL879">
        <v>100</v>
      </c>
      <c r="AM879">
        <v>45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100</v>
      </c>
      <c r="AU879">
        <v>0</v>
      </c>
      <c r="AV879">
        <v>0</v>
      </c>
    </row>
    <row r="880" spans="1:48" x14ac:dyDescent="0.15">
      <c r="A880" s="4" t="str">
        <f>HYPERLINK("https://ibp.a2mac1.com/costing(costing:projects/details/9760/equipment/12212789)","DC machine - General")</f>
        <v>DC machine - General</v>
      </c>
      <c r="B880">
        <v>12212789</v>
      </c>
      <c r="C880">
        <v>12085551</v>
      </c>
      <c r="E880" t="s">
        <v>738</v>
      </c>
      <c r="H880" t="s">
        <v>162</v>
      </c>
      <c r="I880">
        <v>116914.84457142858</v>
      </c>
      <c r="J880">
        <v>0</v>
      </c>
      <c r="K880">
        <v>3.6</v>
      </c>
      <c r="L880">
        <v>0</v>
      </c>
      <c r="M880">
        <v>27.497982091197134</v>
      </c>
      <c r="N880">
        <v>0</v>
      </c>
      <c r="O880">
        <v>7.6383283586658711E-3</v>
      </c>
      <c r="P880">
        <v>1.1476333333333333E-3</v>
      </c>
      <c r="Q880">
        <v>1.1732166376415484E-2</v>
      </c>
      <c r="R880">
        <v>635568</v>
      </c>
      <c r="S880">
        <v>0</v>
      </c>
      <c r="T880">
        <v>0</v>
      </c>
      <c r="V880">
        <v>10800</v>
      </c>
      <c r="W880">
        <v>7</v>
      </c>
      <c r="X880">
        <v>85</v>
      </c>
      <c r="Y880">
        <v>3</v>
      </c>
      <c r="Z880">
        <v>4</v>
      </c>
      <c r="AA880">
        <v>5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3</v>
      </c>
      <c r="AJ880">
        <v>0</v>
      </c>
      <c r="AK880">
        <v>0</v>
      </c>
      <c r="AL880">
        <v>100</v>
      </c>
      <c r="AM880">
        <v>45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100</v>
      </c>
      <c r="AU880">
        <v>0</v>
      </c>
      <c r="AV880">
        <v>0</v>
      </c>
    </row>
    <row r="881" spans="1:48" x14ac:dyDescent="0.15">
      <c r="A881" s="4" t="str">
        <f>HYPERLINK("https://ibp.a2mac1.com/costing(costing:projects/details/9760/equipment/12212378)","DC machine - General")</f>
        <v>DC machine - General</v>
      </c>
      <c r="B881">
        <v>12212378</v>
      </c>
      <c r="C881">
        <v>12085282</v>
      </c>
      <c r="E881" t="s">
        <v>738</v>
      </c>
      <c r="H881" t="s">
        <v>162</v>
      </c>
      <c r="I881">
        <v>116914.84457142858</v>
      </c>
      <c r="J881">
        <v>0</v>
      </c>
      <c r="K881">
        <v>3.6</v>
      </c>
      <c r="L881">
        <v>0</v>
      </c>
      <c r="M881">
        <v>27.497982091197134</v>
      </c>
      <c r="N881">
        <v>0</v>
      </c>
      <c r="O881">
        <v>0.74091785079058947</v>
      </c>
      <c r="P881">
        <v>0.11132043333333333</v>
      </c>
      <c r="Q881">
        <v>1.1732166376415484E-2</v>
      </c>
      <c r="R881">
        <v>635568</v>
      </c>
      <c r="S881">
        <v>0</v>
      </c>
      <c r="T881">
        <v>0</v>
      </c>
      <c r="V881">
        <v>10800</v>
      </c>
      <c r="W881">
        <v>7</v>
      </c>
      <c r="X881">
        <v>85</v>
      </c>
      <c r="Y881">
        <v>3</v>
      </c>
      <c r="Z881">
        <v>4</v>
      </c>
      <c r="AA881">
        <v>5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3</v>
      </c>
      <c r="AJ881">
        <v>0</v>
      </c>
      <c r="AK881">
        <v>0</v>
      </c>
      <c r="AL881">
        <v>100</v>
      </c>
      <c r="AM881">
        <v>45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100</v>
      </c>
      <c r="AU881">
        <v>0</v>
      </c>
      <c r="AV881">
        <v>0</v>
      </c>
    </row>
    <row r="882" spans="1:48" x14ac:dyDescent="0.15">
      <c r="A882" s="4" t="str">
        <f>HYPERLINK("https://ibp.a2mac1.com/costing(costing:projects/details/9760/equipment/12212379)","DC machine - General")</f>
        <v>DC machine - General</v>
      </c>
      <c r="B882">
        <v>12212379</v>
      </c>
      <c r="C882">
        <v>12085283</v>
      </c>
      <c r="E882" t="s">
        <v>738</v>
      </c>
      <c r="H882" t="s">
        <v>162</v>
      </c>
      <c r="I882">
        <v>116914.84457142858</v>
      </c>
      <c r="J882">
        <v>0</v>
      </c>
      <c r="K882">
        <v>3.6</v>
      </c>
      <c r="L882">
        <v>0</v>
      </c>
      <c r="M882">
        <v>27.497982091197134</v>
      </c>
      <c r="N882">
        <v>0</v>
      </c>
      <c r="O882">
        <v>0.42010805972662291</v>
      </c>
      <c r="P882">
        <v>6.3119833333333333E-2</v>
      </c>
      <c r="Q882">
        <v>1.1732166376415484E-2</v>
      </c>
      <c r="R882">
        <v>635568</v>
      </c>
      <c r="S882">
        <v>0</v>
      </c>
      <c r="T882">
        <v>0</v>
      </c>
      <c r="V882">
        <v>10800</v>
      </c>
      <c r="W882">
        <v>7</v>
      </c>
      <c r="X882">
        <v>85</v>
      </c>
      <c r="Y882">
        <v>3</v>
      </c>
      <c r="Z882">
        <v>4</v>
      </c>
      <c r="AA882">
        <v>5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3</v>
      </c>
      <c r="AJ882">
        <v>0</v>
      </c>
      <c r="AK882">
        <v>0</v>
      </c>
      <c r="AL882">
        <v>100</v>
      </c>
      <c r="AM882">
        <v>45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100</v>
      </c>
      <c r="AU882">
        <v>0</v>
      </c>
      <c r="AV882">
        <v>0</v>
      </c>
    </row>
    <row r="883" spans="1:48" x14ac:dyDescent="0.15">
      <c r="A883" s="4" t="str">
        <f>HYPERLINK("https://ibp.a2mac1.com/costing(costing:projects/details/9760/equipment/12212380)","DC machine - General")</f>
        <v>DC machine - General</v>
      </c>
      <c r="B883">
        <v>12212380</v>
      </c>
      <c r="C883">
        <v>12085284</v>
      </c>
      <c r="E883" t="s">
        <v>738</v>
      </c>
      <c r="H883" t="s">
        <v>162</v>
      </c>
      <c r="I883">
        <v>116914.84457142858</v>
      </c>
      <c r="J883">
        <v>0</v>
      </c>
      <c r="K883">
        <v>3.6</v>
      </c>
      <c r="L883">
        <v>0</v>
      </c>
      <c r="M883">
        <v>27.497982091197134</v>
      </c>
      <c r="N883">
        <v>0</v>
      </c>
      <c r="O883">
        <v>1.5734956418851693</v>
      </c>
      <c r="P883">
        <v>0.23641246666666665</v>
      </c>
      <c r="Q883">
        <v>1.1732166376415484E-2</v>
      </c>
      <c r="R883">
        <v>635568</v>
      </c>
      <c r="S883">
        <v>0</v>
      </c>
      <c r="T883">
        <v>0</v>
      </c>
      <c r="V883">
        <v>10800</v>
      </c>
      <c r="W883">
        <v>7</v>
      </c>
      <c r="X883">
        <v>85</v>
      </c>
      <c r="Y883">
        <v>3</v>
      </c>
      <c r="Z883">
        <v>4</v>
      </c>
      <c r="AA883">
        <v>5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3</v>
      </c>
      <c r="AJ883">
        <v>0</v>
      </c>
      <c r="AK883">
        <v>0</v>
      </c>
      <c r="AL883">
        <v>100</v>
      </c>
      <c r="AM883">
        <v>45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100</v>
      </c>
      <c r="AU883">
        <v>0</v>
      </c>
      <c r="AV883">
        <v>0</v>
      </c>
    </row>
    <row r="884" spans="1:48" x14ac:dyDescent="0.15">
      <c r="A884" s="4" t="str">
        <f>HYPERLINK("https://ibp.a2mac1.com/costing(costing:projects/details/9760/equipment/12212381)","DC machine - General")</f>
        <v>DC machine - General</v>
      </c>
      <c r="B884">
        <v>12212381</v>
      </c>
      <c r="C884">
        <v>12085285</v>
      </c>
      <c r="E884" t="s">
        <v>738</v>
      </c>
      <c r="H884" t="s">
        <v>162</v>
      </c>
      <c r="I884">
        <v>116914.84457142858</v>
      </c>
      <c r="J884">
        <v>0</v>
      </c>
      <c r="K884">
        <v>3.6</v>
      </c>
      <c r="L884">
        <v>0</v>
      </c>
      <c r="M884">
        <v>27.497982091197134</v>
      </c>
      <c r="N884">
        <v>0</v>
      </c>
      <c r="O884">
        <v>0.42010805972662291</v>
      </c>
      <c r="P884">
        <v>6.3119833333333333E-2</v>
      </c>
      <c r="Q884">
        <v>1.1732166376415484E-2</v>
      </c>
      <c r="R884">
        <v>635568</v>
      </c>
      <c r="S884">
        <v>0</v>
      </c>
      <c r="T884">
        <v>0</v>
      </c>
      <c r="V884">
        <v>10800</v>
      </c>
      <c r="W884">
        <v>7</v>
      </c>
      <c r="X884">
        <v>85</v>
      </c>
      <c r="Y884">
        <v>3</v>
      </c>
      <c r="Z884">
        <v>4</v>
      </c>
      <c r="AA884">
        <v>5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3</v>
      </c>
      <c r="AJ884">
        <v>0</v>
      </c>
      <c r="AK884">
        <v>0</v>
      </c>
      <c r="AL884">
        <v>100</v>
      </c>
      <c r="AM884">
        <v>45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100</v>
      </c>
      <c r="AU884">
        <v>0</v>
      </c>
      <c r="AV884">
        <v>0</v>
      </c>
    </row>
    <row r="885" spans="1:48" x14ac:dyDescent="0.15">
      <c r="A885" s="4" t="str">
        <f>HYPERLINK("https://ibp.a2mac1.com/costing(costing:projects/details/9760/equipment/12212382)","DC machine - General")</f>
        <v>DC machine - General</v>
      </c>
      <c r="B885">
        <v>12212382</v>
      </c>
      <c r="C885">
        <v>12085286</v>
      </c>
      <c r="E885" t="s">
        <v>738</v>
      </c>
      <c r="H885" t="s">
        <v>162</v>
      </c>
      <c r="I885">
        <v>116914.84457142858</v>
      </c>
      <c r="J885">
        <v>0</v>
      </c>
      <c r="K885">
        <v>3.6</v>
      </c>
      <c r="L885">
        <v>0</v>
      </c>
      <c r="M885">
        <v>27.497982091197134</v>
      </c>
      <c r="N885">
        <v>0</v>
      </c>
      <c r="O885">
        <v>0.16040489553198328</v>
      </c>
      <c r="P885">
        <v>2.4100300000000002E-2</v>
      </c>
      <c r="Q885">
        <v>1.1732166376415484E-2</v>
      </c>
      <c r="R885">
        <v>635568</v>
      </c>
      <c r="S885">
        <v>0</v>
      </c>
      <c r="T885">
        <v>0</v>
      </c>
      <c r="V885">
        <v>10800</v>
      </c>
      <c r="W885">
        <v>7</v>
      </c>
      <c r="X885">
        <v>85</v>
      </c>
      <c r="Y885">
        <v>3</v>
      </c>
      <c r="Z885">
        <v>4</v>
      </c>
      <c r="AA885">
        <v>5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3</v>
      </c>
      <c r="AJ885">
        <v>0</v>
      </c>
      <c r="AK885">
        <v>0</v>
      </c>
      <c r="AL885">
        <v>100</v>
      </c>
      <c r="AM885">
        <v>45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100</v>
      </c>
      <c r="AU885">
        <v>0</v>
      </c>
      <c r="AV885">
        <v>0</v>
      </c>
    </row>
    <row r="886" spans="1:48" x14ac:dyDescent="0.15">
      <c r="A886" s="4" t="str">
        <f>HYPERLINK("https://ibp.a2mac1.com/costing(costing:projects/details/9760/equipment/12212383)","DC machine - General")</f>
        <v>DC machine - General</v>
      </c>
      <c r="B886">
        <v>12212383</v>
      </c>
      <c r="C886">
        <v>12085287</v>
      </c>
      <c r="E886" t="s">
        <v>738</v>
      </c>
      <c r="H886" t="s">
        <v>162</v>
      </c>
      <c r="I886">
        <v>116914.84457142858</v>
      </c>
      <c r="J886">
        <v>0</v>
      </c>
      <c r="K886">
        <v>3.6</v>
      </c>
      <c r="L886">
        <v>0</v>
      </c>
      <c r="M886">
        <v>27.497982091197134</v>
      </c>
      <c r="N886">
        <v>0</v>
      </c>
      <c r="O886">
        <v>0.72564119407325767</v>
      </c>
      <c r="P886">
        <v>0.10902516666666667</v>
      </c>
      <c r="Q886">
        <v>1.1732166376415484E-2</v>
      </c>
      <c r="R886">
        <v>635568</v>
      </c>
      <c r="S886">
        <v>0</v>
      </c>
      <c r="T886">
        <v>0</v>
      </c>
      <c r="V886">
        <v>10800</v>
      </c>
      <c r="W886">
        <v>7</v>
      </c>
      <c r="X886">
        <v>85</v>
      </c>
      <c r="Y886">
        <v>3</v>
      </c>
      <c r="Z886">
        <v>4</v>
      </c>
      <c r="AA886">
        <v>5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3</v>
      </c>
      <c r="AJ886">
        <v>0</v>
      </c>
      <c r="AK886">
        <v>0</v>
      </c>
      <c r="AL886">
        <v>100</v>
      </c>
      <c r="AM886">
        <v>45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100</v>
      </c>
      <c r="AU886">
        <v>0</v>
      </c>
      <c r="AV886">
        <v>0</v>
      </c>
    </row>
    <row r="887" spans="1:48" x14ac:dyDescent="0.15">
      <c r="A887" s="4" t="str">
        <f>HYPERLINK("https://ibp.a2mac1.com/costing(costing:projects/details/9760/equipment/12212384)","DC machine - General")</f>
        <v>DC machine - General</v>
      </c>
      <c r="B887">
        <v>12212384</v>
      </c>
      <c r="C887">
        <v>12085288</v>
      </c>
      <c r="E887" t="s">
        <v>738</v>
      </c>
      <c r="H887" t="s">
        <v>162</v>
      </c>
      <c r="I887">
        <v>116914.84457142858</v>
      </c>
      <c r="J887">
        <v>0</v>
      </c>
      <c r="K887">
        <v>3.6</v>
      </c>
      <c r="L887">
        <v>0</v>
      </c>
      <c r="M887">
        <v>27.497982091197134</v>
      </c>
      <c r="N887">
        <v>0</v>
      </c>
      <c r="O887">
        <v>0.18331988060798091</v>
      </c>
      <c r="P887">
        <v>2.75432E-2</v>
      </c>
      <c r="Q887">
        <v>1.1732166376415484E-2</v>
      </c>
      <c r="R887">
        <v>635568</v>
      </c>
      <c r="S887">
        <v>0</v>
      </c>
      <c r="T887">
        <v>0</v>
      </c>
      <c r="V887">
        <v>10800</v>
      </c>
      <c r="W887">
        <v>7</v>
      </c>
      <c r="X887">
        <v>85</v>
      </c>
      <c r="Y887">
        <v>3</v>
      </c>
      <c r="Z887">
        <v>4</v>
      </c>
      <c r="AA887">
        <v>5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3</v>
      </c>
      <c r="AJ887">
        <v>0</v>
      </c>
      <c r="AK887">
        <v>0</v>
      </c>
      <c r="AL887">
        <v>100</v>
      </c>
      <c r="AM887">
        <v>45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100</v>
      </c>
      <c r="AU887">
        <v>0</v>
      </c>
      <c r="AV887">
        <v>0</v>
      </c>
    </row>
    <row r="888" spans="1:48" x14ac:dyDescent="0.15">
      <c r="A888" s="4" t="str">
        <f>HYPERLINK("https://ibp.a2mac1.com/costing(costing:projects/details/9760/equipment/12212385)","DC machine - General")</f>
        <v>DC machine - General</v>
      </c>
      <c r="B888">
        <v>12212385</v>
      </c>
      <c r="C888">
        <v>12085289</v>
      </c>
      <c r="E888" t="s">
        <v>738</v>
      </c>
      <c r="H888" t="s">
        <v>162</v>
      </c>
      <c r="I888">
        <v>116914.84457142858</v>
      </c>
      <c r="J888">
        <v>0</v>
      </c>
      <c r="K888">
        <v>3.6</v>
      </c>
      <c r="L888">
        <v>0</v>
      </c>
      <c r="M888">
        <v>27.497982091197134</v>
      </c>
      <c r="N888">
        <v>0</v>
      </c>
      <c r="O888">
        <v>0.10693659702132219</v>
      </c>
      <c r="P888">
        <v>1.6066866666666665E-2</v>
      </c>
      <c r="Q888">
        <v>1.1732166376415484E-2</v>
      </c>
      <c r="R888">
        <v>635568</v>
      </c>
      <c r="S888">
        <v>0</v>
      </c>
      <c r="T888">
        <v>0</v>
      </c>
      <c r="V888">
        <v>10800</v>
      </c>
      <c r="W888">
        <v>7</v>
      </c>
      <c r="X888">
        <v>85</v>
      </c>
      <c r="Y888">
        <v>3</v>
      </c>
      <c r="Z888">
        <v>4</v>
      </c>
      <c r="AA888">
        <v>5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3</v>
      </c>
      <c r="AJ888">
        <v>0</v>
      </c>
      <c r="AK888">
        <v>0</v>
      </c>
      <c r="AL888">
        <v>100</v>
      </c>
      <c r="AM888">
        <v>45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100</v>
      </c>
      <c r="AU888">
        <v>0</v>
      </c>
      <c r="AV888">
        <v>0</v>
      </c>
    </row>
    <row r="889" spans="1:48" x14ac:dyDescent="0.15">
      <c r="A889" s="4" t="str">
        <f>HYPERLINK("https://ibp.a2mac1.com/costing(costing:projects/details/9760/equipment/12212386)","DC machine - General")</f>
        <v>DC machine - General</v>
      </c>
      <c r="B889">
        <v>12212386</v>
      </c>
      <c r="C889">
        <v>12085290</v>
      </c>
      <c r="E889" t="s">
        <v>738</v>
      </c>
      <c r="H889" t="s">
        <v>162</v>
      </c>
      <c r="I889">
        <v>116914.84457142858</v>
      </c>
      <c r="J889">
        <v>0</v>
      </c>
      <c r="K889">
        <v>3.6</v>
      </c>
      <c r="L889">
        <v>0</v>
      </c>
      <c r="M889">
        <v>27.497982091197134</v>
      </c>
      <c r="N889">
        <v>0</v>
      </c>
      <c r="O889">
        <v>6.1106626869326969E-2</v>
      </c>
      <c r="P889">
        <v>9.1810666666666662E-3</v>
      </c>
      <c r="Q889">
        <v>1.1732166376415484E-2</v>
      </c>
      <c r="R889">
        <v>635568</v>
      </c>
      <c r="S889">
        <v>0</v>
      </c>
      <c r="T889">
        <v>0</v>
      </c>
      <c r="V889">
        <v>10800</v>
      </c>
      <c r="W889">
        <v>7</v>
      </c>
      <c r="X889">
        <v>85</v>
      </c>
      <c r="Y889">
        <v>3</v>
      </c>
      <c r="Z889">
        <v>4</v>
      </c>
      <c r="AA889">
        <v>5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3</v>
      </c>
      <c r="AJ889">
        <v>0</v>
      </c>
      <c r="AK889">
        <v>0</v>
      </c>
      <c r="AL889">
        <v>100</v>
      </c>
      <c r="AM889">
        <v>45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100</v>
      </c>
      <c r="AU889">
        <v>0</v>
      </c>
      <c r="AV889">
        <v>0</v>
      </c>
    </row>
    <row r="890" spans="1:48" x14ac:dyDescent="0.15">
      <c r="A890" s="4" t="str">
        <f>HYPERLINK("https://ibp.a2mac1.com/costing(costing:projects/details/9760/equipment/12212790)","Equipment (Injection Molding)")</f>
        <v>Equipment (Injection Molding)</v>
      </c>
      <c r="B890">
        <v>12212790</v>
      </c>
      <c r="C890">
        <v>12085552</v>
      </c>
      <c r="H890" t="s">
        <v>162</v>
      </c>
      <c r="I890">
        <v>342.58836300000002</v>
      </c>
      <c r="J890">
        <v>0</v>
      </c>
      <c r="K890">
        <v>1.456E-2</v>
      </c>
      <c r="L890">
        <v>0</v>
      </c>
      <c r="M890">
        <v>8.424633285117325E-2</v>
      </c>
      <c r="N890">
        <v>0</v>
      </c>
      <c r="O890">
        <v>1.4041055475195543E-3</v>
      </c>
      <c r="P890">
        <v>8.95154E-5</v>
      </c>
      <c r="Q890">
        <v>7.3723824523589685E-6</v>
      </c>
      <c r="R890">
        <v>1820</v>
      </c>
      <c r="S890">
        <v>0</v>
      </c>
      <c r="T890">
        <v>0</v>
      </c>
      <c r="V890">
        <v>17.55</v>
      </c>
      <c r="W890">
        <v>7</v>
      </c>
      <c r="X890">
        <v>85</v>
      </c>
      <c r="Y890">
        <v>3</v>
      </c>
      <c r="Z890">
        <v>4</v>
      </c>
      <c r="AA890">
        <v>5</v>
      </c>
      <c r="AB890">
        <v>0</v>
      </c>
      <c r="AC890">
        <v>0</v>
      </c>
      <c r="AD890">
        <v>0</v>
      </c>
      <c r="AE890">
        <v>0</v>
      </c>
      <c r="AF890">
        <v>1.2999999999999999E-3</v>
      </c>
      <c r="AG890">
        <v>0</v>
      </c>
      <c r="AH890">
        <v>0</v>
      </c>
      <c r="AI890">
        <v>2</v>
      </c>
      <c r="AJ890">
        <v>0</v>
      </c>
      <c r="AK890">
        <v>0</v>
      </c>
      <c r="AL890">
        <v>80</v>
      </c>
      <c r="AM890">
        <v>0.22750000000000001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0.48749999999999999</v>
      </c>
      <c r="AU890">
        <v>0</v>
      </c>
      <c r="AV890">
        <v>0</v>
      </c>
    </row>
    <row r="891" spans="1:48" x14ac:dyDescent="0.15">
      <c r="A891" s="4" t="str">
        <f>HYPERLINK("https://ibp.a2mac1.com/costing(costing:projects/details/9760/equipment/12212791)","No.01 - Injection Press - 40T - 18kW - 270x270 - Max Volume 128cm3 ")</f>
        <v xml:space="preserve">No.01 - Injection Press - 40T - 18kW - 270x270 - Max Volume 128cm3 </v>
      </c>
      <c r="B891">
        <v>12212791</v>
      </c>
      <c r="C891">
        <v>12085553</v>
      </c>
      <c r="E891" t="s">
        <v>1630</v>
      </c>
      <c r="H891" t="s">
        <v>162</v>
      </c>
      <c r="I891">
        <v>13574.9072</v>
      </c>
      <c r="J891">
        <v>0</v>
      </c>
      <c r="K891">
        <v>1.6020000000000001</v>
      </c>
      <c r="L891">
        <v>0</v>
      </c>
      <c r="M891">
        <v>4.4266395371263263</v>
      </c>
      <c r="N891">
        <v>0</v>
      </c>
      <c r="O891">
        <v>1.9626797491047895E-2</v>
      </c>
      <c r="P891">
        <v>4.5795303987500001E-3</v>
      </c>
      <c r="Q891">
        <v>3.5456543444551589E-3</v>
      </c>
      <c r="R891">
        <v>80000</v>
      </c>
      <c r="S891">
        <v>0</v>
      </c>
      <c r="T891">
        <v>0</v>
      </c>
      <c r="V891">
        <v>7200</v>
      </c>
      <c r="W891">
        <v>8</v>
      </c>
      <c r="X891">
        <v>85</v>
      </c>
      <c r="Y891">
        <v>3</v>
      </c>
      <c r="Z891">
        <v>4</v>
      </c>
      <c r="AA891">
        <v>5</v>
      </c>
      <c r="AB891">
        <v>0</v>
      </c>
      <c r="AC891">
        <v>0</v>
      </c>
      <c r="AD891">
        <v>0</v>
      </c>
      <c r="AE891">
        <v>0</v>
      </c>
      <c r="AF891">
        <v>0.25</v>
      </c>
      <c r="AG891">
        <v>0</v>
      </c>
      <c r="AH891">
        <v>0</v>
      </c>
      <c r="AI891">
        <v>2</v>
      </c>
      <c r="AJ891">
        <v>0</v>
      </c>
      <c r="AK891">
        <v>0</v>
      </c>
      <c r="AL891">
        <v>97</v>
      </c>
      <c r="AM891">
        <v>20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20</v>
      </c>
      <c r="AU891">
        <v>0.05</v>
      </c>
      <c r="AV891">
        <v>0</v>
      </c>
    </row>
    <row r="892" spans="1:48" x14ac:dyDescent="0.15">
      <c r="A892" s="4" t="str">
        <f>HYPERLINK("https://ibp.a2mac1.com/costing(costing:projects/details/9760/equipment/12212792)","Coiler Equipment ")</f>
        <v xml:space="preserve">Coiler Equipment </v>
      </c>
      <c r="B892">
        <v>12212792</v>
      </c>
      <c r="C892">
        <v>12085554</v>
      </c>
      <c r="F892" t="s">
        <v>5446</v>
      </c>
      <c r="H892" t="s">
        <v>162</v>
      </c>
      <c r="I892">
        <v>36268.448389199999</v>
      </c>
      <c r="J892">
        <v>0</v>
      </c>
      <c r="K892">
        <v>1.08</v>
      </c>
      <c r="L892">
        <v>0</v>
      </c>
      <c r="M892">
        <v>8.918066278559948</v>
      </c>
      <c r="N892">
        <v>0</v>
      </c>
      <c r="O892">
        <v>7.4317218987999575E-2</v>
      </c>
      <c r="P892">
        <v>3.4832000000000002E-2</v>
      </c>
      <c r="Q892">
        <v>5.1057819417839919E-4</v>
      </c>
      <c r="R892">
        <v>249999.99992</v>
      </c>
      <c r="S892">
        <v>0</v>
      </c>
      <c r="T892">
        <v>0</v>
      </c>
      <c r="V892">
        <v>900</v>
      </c>
      <c r="W892">
        <v>10</v>
      </c>
      <c r="X892">
        <v>85</v>
      </c>
      <c r="Y892">
        <v>3</v>
      </c>
      <c r="Z892">
        <v>4</v>
      </c>
      <c r="AA892">
        <v>5</v>
      </c>
      <c r="AB892">
        <v>0</v>
      </c>
      <c r="AC892">
        <v>0.5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</v>
      </c>
      <c r="AJ892">
        <v>0</v>
      </c>
      <c r="AK892">
        <v>0</v>
      </c>
      <c r="AL892">
        <v>90</v>
      </c>
      <c r="AM892">
        <v>15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65</v>
      </c>
      <c r="AU892">
        <v>0</v>
      </c>
      <c r="AV892">
        <v>0</v>
      </c>
    </row>
    <row r="893" spans="1:48" x14ac:dyDescent="0.15">
      <c r="A893" s="4" t="str">
        <f>HYPERLINK("https://ibp.a2mac1.com/costing(costing:projects/details/9760/equipment/12212793)","Furnace hardening line ")</f>
        <v xml:space="preserve">Furnace hardening line </v>
      </c>
      <c r="B893">
        <v>12212793</v>
      </c>
      <c r="C893">
        <v>12085555</v>
      </c>
      <c r="E893" t="s">
        <v>1630</v>
      </c>
      <c r="F893" t="s">
        <v>5447</v>
      </c>
      <c r="G893" t="s">
        <v>5448</v>
      </c>
      <c r="H893" t="s">
        <v>162</v>
      </c>
      <c r="I893">
        <v>61614.573120000001</v>
      </c>
      <c r="J893">
        <v>0</v>
      </c>
      <c r="K893">
        <v>1.4737359999999999</v>
      </c>
      <c r="L893">
        <v>0</v>
      </c>
      <c r="M893">
        <v>14.831912329154612</v>
      </c>
      <c r="N893">
        <v>0</v>
      </c>
      <c r="O893">
        <v>7.4159561645773059E-2</v>
      </c>
      <c r="P893">
        <v>2.0657399999999999E-2</v>
      </c>
      <c r="Q893">
        <v>8.2176456987463837E-4</v>
      </c>
      <c r="R893">
        <v>430000</v>
      </c>
      <c r="S893">
        <v>0</v>
      </c>
      <c r="T893">
        <v>0</v>
      </c>
      <c r="V893">
        <v>1800</v>
      </c>
      <c r="W893">
        <v>10</v>
      </c>
      <c r="X893">
        <v>85</v>
      </c>
      <c r="Y893">
        <v>3</v>
      </c>
      <c r="Z893">
        <v>4</v>
      </c>
      <c r="AA893">
        <v>5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100</v>
      </c>
      <c r="AM893">
        <v>16</v>
      </c>
      <c r="AN893">
        <v>0</v>
      </c>
      <c r="AO893">
        <v>0</v>
      </c>
      <c r="AP893">
        <v>0</v>
      </c>
      <c r="AQ893">
        <v>2</v>
      </c>
      <c r="AR893">
        <v>0</v>
      </c>
      <c r="AS893">
        <v>0.2</v>
      </c>
      <c r="AT893">
        <v>92</v>
      </c>
      <c r="AU893">
        <v>0</v>
      </c>
      <c r="AV893">
        <v>0</v>
      </c>
    </row>
    <row r="894" spans="1:48" x14ac:dyDescent="0.15">
      <c r="A894" s="4" t="str">
        <f>HYPERLINK("https://ibp.a2mac1.com/costing(costing:projects/details/9760/equipment/12212794)","No.01 - Injection Press - 40T - 18kW - 270x270 - Max Volume 128cm3 ")</f>
        <v xml:space="preserve">No.01 - Injection Press - 40T - 18kW - 270x270 - Max Volume 128cm3 </v>
      </c>
      <c r="B894">
        <v>12212794</v>
      </c>
      <c r="C894">
        <v>12085556</v>
      </c>
      <c r="E894" t="s">
        <v>1630</v>
      </c>
      <c r="H894" t="s">
        <v>162</v>
      </c>
      <c r="I894">
        <v>13574.9072</v>
      </c>
      <c r="J894">
        <v>0</v>
      </c>
      <c r="K894">
        <v>1.6020000000000001</v>
      </c>
      <c r="L894">
        <v>0</v>
      </c>
      <c r="M894">
        <v>4.4266395371263263</v>
      </c>
      <c r="N894">
        <v>0</v>
      </c>
      <c r="O894">
        <v>1.5201387576015215E-2</v>
      </c>
      <c r="P894">
        <v>3.5469473070833335E-3</v>
      </c>
      <c r="Q894">
        <v>3.5456543444551589E-3</v>
      </c>
      <c r="R894">
        <v>80000</v>
      </c>
      <c r="S894">
        <v>0</v>
      </c>
      <c r="T894">
        <v>0</v>
      </c>
      <c r="V894">
        <v>7200</v>
      </c>
      <c r="W894">
        <v>8</v>
      </c>
      <c r="X894">
        <v>85</v>
      </c>
      <c r="Y894">
        <v>3</v>
      </c>
      <c r="Z894">
        <v>4</v>
      </c>
      <c r="AA894">
        <v>5</v>
      </c>
      <c r="AB894">
        <v>0</v>
      </c>
      <c r="AC894">
        <v>0</v>
      </c>
      <c r="AD894">
        <v>0</v>
      </c>
      <c r="AE894">
        <v>0</v>
      </c>
      <c r="AF894">
        <v>0.25</v>
      </c>
      <c r="AG894">
        <v>0</v>
      </c>
      <c r="AH894">
        <v>0</v>
      </c>
      <c r="AI894">
        <v>2</v>
      </c>
      <c r="AJ894">
        <v>0</v>
      </c>
      <c r="AK894">
        <v>0</v>
      </c>
      <c r="AL894">
        <v>97</v>
      </c>
      <c r="AM894">
        <v>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20</v>
      </c>
      <c r="AU894">
        <v>0.05</v>
      </c>
      <c r="AV894">
        <v>0</v>
      </c>
    </row>
    <row r="895" spans="1:48" x14ac:dyDescent="0.15">
      <c r="A895" s="4" t="str">
        <f>HYPERLINK("https://ibp.a2mac1.com/costing(costing:projects/details/9760/equipment/12212795)","No.06 - Injection Press - 200T - 45kW - 510x510 - Max Volume 624cm3 ")</f>
        <v xml:space="preserve">No.06 - Injection Press - 200T - 45kW - 510x510 - Max Volume 624cm3 </v>
      </c>
      <c r="B895">
        <v>12212795</v>
      </c>
      <c r="C895">
        <v>12085557</v>
      </c>
      <c r="E895" t="s">
        <v>1630</v>
      </c>
      <c r="H895" t="s">
        <v>162</v>
      </c>
      <c r="I895">
        <v>34247.230880000003</v>
      </c>
      <c r="J895">
        <v>0</v>
      </c>
      <c r="K895">
        <v>2.6539999999999999</v>
      </c>
      <c r="L895">
        <v>0</v>
      </c>
      <c r="M895">
        <v>9.7654160848601741</v>
      </c>
      <c r="N895">
        <v>0</v>
      </c>
      <c r="O895">
        <v>0.13025673485411379</v>
      </c>
      <c r="P895">
        <v>1.377701396025E-2</v>
      </c>
      <c r="Q895">
        <v>4.1863075301832205E-3</v>
      </c>
      <c r="R895">
        <v>200000</v>
      </c>
      <c r="S895">
        <v>0</v>
      </c>
      <c r="T895">
        <v>0</v>
      </c>
      <c r="V895">
        <v>7200</v>
      </c>
      <c r="W895">
        <v>8</v>
      </c>
      <c r="X895">
        <v>85</v>
      </c>
      <c r="Y895">
        <v>3</v>
      </c>
      <c r="Z895">
        <v>4</v>
      </c>
      <c r="AA895">
        <v>5</v>
      </c>
      <c r="AB895">
        <v>0</v>
      </c>
      <c r="AC895">
        <v>0</v>
      </c>
      <c r="AD895">
        <v>0</v>
      </c>
      <c r="AE895">
        <v>0</v>
      </c>
      <c r="AF895">
        <v>0.25</v>
      </c>
      <c r="AG895">
        <v>0</v>
      </c>
      <c r="AH895">
        <v>0</v>
      </c>
      <c r="AI895">
        <v>2</v>
      </c>
      <c r="AJ895">
        <v>0</v>
      </c>
      <c r="AK895">
        <v>0</v>
      </c>
      <c r="AL895">
        <v>93</v>
      </c>
      <c r="AM895">
        <v>35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58</v>
      </c>
      <c r="AU895">
        <v>0.05</v>
      </c>
      <c r="AV895">
        <v>0</v>
      </c>
    </row>
    <row r="896" spans="1:48" x14ac:dyDescent="0.15">
      <c r="A896" s="4" t="str">
        <f>HYPERLINK("https://ibp.a2mac1.com/costing(costing:projects/details/9760/equipment/12212796)","No.02 - Injection Press - 60T - 25kW - 320x320 - Max Volume 164cm3 ")</f>
        <v xml:space="preserve">No.02 - Injection Press - 60T - 25kW - 320x320 - Max Volume 164cm3 </v>
      </c>
      <c r="B896">
        <v>12212796</v>
      </c>
      <c r="C896">
        <v>12085578</v>
      </c>
      <c r="E896" t="s">
        <v>1630</v>
      </c>
      <c r="H896" t="s">
        <v>162</v>
      </c>
      <c r="I896">
        <v>16929.888640000001</v>
      </c>
      <c r="J896">
        <v>0</v>
      </c>
      <c r="K896">
        <v>1.9124000000000001</v>
      </c>
      <c r="L896">
        <v>0</v>
      </c>
      <c r="M896">
        <v>5.4369722661523623</v>
      </c>
      <c r="N896">
        <v>0</v>
      </c>
      <c r="O896">
        <v>3.1146420556289297E-2</v>
      </c>
      <c r="P896">
        <v>5.9169335110000002E-3</v>
      </c>
      <c r="Q896">
        <v>3.6668942719382835E-3</v>
      </c>
      <c r="R896">
        <v>100000</v>
      </c>
      <c r="S896">
        <v>0</v>
      </c>
      <c r="T896">
        <v>0</v>
      </c>
      <c r="V896">
        <v>7200</v>
      </c>
      <c r="W896">
        <v>8</v>
      </c>
      <c r="X896">
        <v>85</v>
      </c>
      <c r="Y896">
        <v>3</v>
      </c>
      <c r="Z896">
        <v>4</v>
      </c>
      <c r="AA896">
        <v>5</v>
      </c>
      <c r="AB896">
        <v>0</v>
      </c>
      <c r="AC896">
        <v>0</v>
      </c>
      <c r="AD896">
        <v>0</v>
      </c>
      <c r="AE896">
        <v>0</v>
      </c>
      <c r="AF896">
        <v>0.25</v>
      </c>
      <c r="AG896">
        <v>0</v>
      </c>
      <c r="AH896">
        <v>0</v>
      </c>
      <c r="AI896">
        <v>2</v>
      </c>
      <c r="AJ896">
        <v>0</v>
      </c>
      <c r="AK896">
        <v>0</v>
      </c>
      <c r="AL896">
        <v>97</v>
      </c>
      <c r="AM896">
        <v>24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24</v>
      </c>
      <c r="AU896">
        <v>0.05</v>
      </c>
      <c r="AV896">
        <v>0</v>
      </c>
    </row>
    <row r="897" spans="1:48" x14ac:dyDescent="0.15">
      <c r="A897" s="4" t="str">
        <f>HYPERLINK("https://ibp.a2mac1.com/costing(costing:projects/details/9760/equipment/12212797)","No.04 - 60000x6000x3500 - Automatic Painting Line - with 12x100kW on line ovens ")</f>
        <v xml:space="preserve">No.04 - 60000x6000x3500 - Automatic Painting Line - with 12x100kW on line ovens </v>
      </c>
      <c r="B897">
        <v>12212797</v>
      </c>
      <c r="C897">
        <v>12085579</v>
      </c>
      <c r="E897" t="s">
        <v>1630</v>
      </c>
      <c r="G897" t="s">
        <v>5227</v>
      </c>
      <c r="H897" t="s">
        <v>162</v>
      </c>
      <c r="I897">
        <v>1438767.4831999999</v>
      </c>
      <c r="J897">
        <v>0</v>
      </c>
      <c r="K897">
        <v>279.76751999999999</v>
      </c>
      <c r="L897">
        <v>0</v>
      </c>
      <c r="M897">
        <v>580.11587795564128</v>
      </c>
      <c r="N897">
        <v>0</v>
      </c>
      <c r="O897">
        <v>0.43508690846673098</v>
      </c>
      <c r="P897">
        <v>2.1690270000000001E-2</v>
      </c>
      <c r="Q897">
        <v>0</v>
      </c>
      <c r="R897">
        <v>8600000</v>
      </c>
      <c r="S897">
        <v>0</v>
      </c>
      <c r="T897">
        <v>0</v>
      </c>
      <c r="V897">
        <v>0</v>
      </c>
      <c r="W897">
        <v>8</v>
      </c>
      <c r="X897">
        <v>85</v>
      </c>
      <c r="Y897">
        <v>3</v>
      </c>
      <c r="Z897">
        <v>4</v>
      </c>
      <c r="AA897">
        <v>5</v>
      </c>
      <c r="AB897">
        <v>0</v>
      </c>
      <c r="AC897">
        <v>0</v>
      </c>
      <c r="AD897">
        <v>0</v>
      </c>
      <c r="AE897">
        <v>0</v>
      </c>
      <c r="AF897">
        <v>7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100</v>
      </c>
      <c r="AM897">
        <v>3400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T897">
        <v>1620</v>
      </c>
      <c r="AU897">
        <v>5</v>
      </c>
      <c r="AV897">
        <v>0</v>
      </c>
    </row>
    <row r="898" spans="1:48" x14ac:dyDescent="0.15">
      <c r="A898" s="4" t="str">
        <f>HYPERLINK("https://ibp.a2mac1.com/costing(costing:projects/details/9760/equipment/12212798)","Loading + Unloading, Retouching, Checking")</f>
        <v>Loading + Unloading, Retouching, Checking</v>
      </c>
      <c r="B898">
        <v>12212798</v>
      </c>
      <c r="C898">
        <v>12085579</v>
      </c>
      <c r="E898" t="s">
        <v>1630</v>
      </c>
      <c r="H898" t="s">
        <v>162</v>
      </c>
      <c r="I898">
        <v>116.23608</v>
      </c>
      <c r="J898">
        <v>0</v>
      </c>
      <c r="K898">
        <v>0</v>
      </c>
      <c r="L898">
        <v>0</v>
      </c>
      <c r="M898">
        <v>1.8681465766634521E-2</v>
      </c>
      <c r="N898">
        <v>0</v>
      </c>
      <c r="O898">
        <v>1.4011099324975892E-5</v>
      </c>
      <c r="P898">
        <v>3.7183319999999999E-2</v>
      </c>
      <c r="Q898">
        <v>0</v>
      </c>
      <c r="R898">
        <v>0</v>
      </c>
      <c r="S898">
        <v>0</v>
      </c>
      <c r="T898">
        <v>0</v>
      </c>
      <c r="V898">
        <v>0</v>
      </c>
      <c r="W898">
        <v>8</v>
      </c>
      <c r="X898">
        <v>85</v>
      </c>
      <c r="Y898">
        <v>3</v>
      </c>
      <c r="Z898">
        <v>4</v>
      </c>
      <c r="AA898">
        <v>5</v>
      </c>
      <c r="AB898">
        <v>0</v>
      </c>
      <c r="AC898">
        <v>0</v>
      </c>
      <c r="AD898">
        <v>0</v>
      </c>
      <c r="AE898">
        <v>0</v>
      </c>
      <c r="AF898">
        <v>12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100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3</v>
      </c>
      <c r="AU898">
        <v>0</v>
      </c>
      <c r="AV898">
        <v>0</v>
      </c>
    </row>
    <row r="899" spans="1:48" x14ac:dyDescent="0.15">
      <c r="A899" s="4" t="str">
        <f>HYPERLINK("https://ibp.a2mac1.com/costing(costing:projects/details/9760/equipment/12212799)","Equipment (Injection Molding)")</f>
        <v>Equipment (Injection Molding)</v>
      </c>
      <c r="B899">
        <v>12212799</v>
      </c>
      <c r="C899">
        <v>12085580</v>
      </c>
      <c r="H899" t="s">
        <v>162</v>
      </c>
      <c r="I899">
        <v>2371.76559</v>
      </c>
      <c r="J899">
        <v>0</v>
      </c>
      <c r="K899">
        <v>0.1008</v>
      </c>
      <c r="L899">
        <v>0</v>
      </c>
      <c r="M899">
        <v>0.58324384281581487</v>
      </c>
      <c r="N899">
        <v>0</v>
      </c>
      <c r="O899">
        <v>9.7207307135969145E-3</v>
      </c>
      <c r="P899">
        <v>6.1972199999999996E-4</v>
      </c>
      <c r="Q899">
        <v>5.2050040781702022E-5</v>
      </c>
      <c r="R899">
        <v>12600</v>
      </c>
      <c r="S899">
        <v>0</v>
      </c>
      <c r="T899">
        <v>0</v>
      </c>
      <c r="V899">
        <v>121.5</v>
      </c>
      <c r="W899">
        <v>7</v>
      </c>
      <c r="X899">
        <v>85</v>
      </c>
      <c r="Y899">
        <v>3</v>
      </c>
      <c r="Z899">
        <v>4</v>
      </c>
      <c r="AA899">
        <v>5</v>
      </c>
      <c r="AB899">
        <v>0</v>
      </c>
      <c r="AC899">
        <v>0</v>
      </c>
      <c r="AD899">
        <v>0</v>
      </c>
      <c r="AE899">
        <v>0</v>
      </c>
      <c r="AF899">
        <v>8.9999999999999993E-3</v>
      </c>
      <c r="AG899">
        <v>0</v>
      </c>
      <c r="AH899">
        <v>0</v>
      </c>
      <c r="AI899">
        <v>2</v>
      </c>
      <c r="AJ899">
        <v>0</v>
      </c>
      <c r="AK899">
        <v>0</v>
      </c>
      <c r="AL899">
        <v>80</v>
      </c>
      <c r="AM899">
        <v>1.575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3.375</v>
      </c>
      <c r="AU899">
        <v>0</v>
      </c>
      <c r="AV899">
        <v>0</v>
      </c>
    </row>
    <row r="900" spans="1:48" x14ac:dyDescent="0.15">
      <c r="A900" s="4" t="str">
        <f>HYPERLINK("https://ibp.a2mac1.com/costing(costing:projects/details/9760/equipment/12212800)","No.04 - 60000x6000x3500 - Automatic Painting Line - with 12x100kW on line ovens ")</f>
        <v xml:space="preserve">No.04 - 60000x6000x3500 - Automatic Painting Line - with 12x100kW on line ovens </v>
      </c>
      <c r="B900">
        <v>12212800</v>
      </c>
      <c r="C900">
        <v>12085581</v>
      </c>
      <c r="E900" t="s">
        <v>1630</v>
      </c>
      <c r="G900" t="s">
        <v>5227</v>
      </c>
      <c r="H900" t="s">
        <v>162</v>
      </c>
      <c r="I900">
        <v>1438767.4831999999</v>
      </c>
      <c r="J900">
        <v>0</v>
      </c>
      <c r="K900">
        <v>279.76751999999999</v>
      </c>
      <c r="L900">
        <v>0</v>
      </c>
      <c r="M900">
        <v>580.11587795564128</v>
      </c>
      <c r="N900">
        <v>0</v>
      </c>
      <c r="O900">
        <v>0.43508690846673098</v>
      </c>
      <c r="P900">
        <v>2.1690270000000001E-2</v>
      </c>
      <c r="Q900">
        <v>0</v>
      </c>
      <c r="R900">
        <v>8600000</v>
      </c>
      <c r="S900">
        <v>0</v>
      </c>
      <c r="T900">
        <v>0</v>
      </c>
      <c r="V900">
        <v>0</v>
      </c>
      <c r="W900">
        <v>8</v>
      </c>
      <c r="X900">
        <v>85</v>
      </c>
      <c r="Y900">
        <v>3</v>
      </c>
      <c r="Z900">
        <v>4</v>
      </c>
      <c r="AA900">
        <v>5</v>
      </c>
      <c r="AB900">
        <v>0</v>
      </c>
      <c r="AC900">
        <v>0</v>
      </c>
      <c r="AD900">
        <v>0</v>
      </c>
      <c r="AE900">
        <v>0</v>
      </c>
      <c r="AF900">
        <v>7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100</v>
      </c>
      <c r="AM900">
        <v>3400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4</v>
      </c>
      <c r="AT900">
        <v>1620</v>
      </c>
      <c r="AU900">
        <v>5</v>
      </c>
      <c r="AV900">
        <v>0</v>
      </c>
    </row>
    <row r="901" spans="1:48" x14ac:dyDescent="0.15">
      <c r="A901" s="4" t="str">
        <f>HYPERLINK("https://ibp.a2mac1.com/costing(costing:projects/details/9760/equipment/12212801)","Loading + Unloading, Retouching, Checking")</f>
        <v>Loading + Unloading, Retouching, Checking</v>
      </c>
      <c r="B901">
        <v>12212801</v>
      </c>
      <c r="C901">
        <v>12085581</v>
      </c>
      <c r="E901" t="s">
        <v>1630</v>
      </c>
      <c r="H901" t="s">
        <v>162</v>
      </c>
      <c r="I901">
        <v>116.23608</v>
      </c>
      <c r="J901">
        <v>0</v>
      </c>
      <c r="K901">
        <v>0</v>
      </c>
      <c r="L901">
        <v>0</v>
      </c>
      <c r="M901">
        <v>1.8681465766634521E-2</v>
      </c>
      <c r="N901">
        <v>0</v>
      </c>
      <c r="O901">
        <v>1.4011099324975892E-5</v>
      </c>
      <c r="P901">
        <v>3.7183319999999999E-2</v>
      </c>
      <c r="Q901">
        <v>0</v>
      </c>
      <c r="R901">
        <v>0</v>
      </c>
      <c r="S901">
        <v>0</v>
      </c>
      <c r="T901">
        <v>0</v>
      </c>
      <c r="V901">
        <v>0</v>
      </c>
      <c r="W901">
        <v>8</v>
      </c>
      <c r="X901">
        <v>85</v>
      </c>
      <c r="Y901">
        <v>3</v>
      </c>
      <c r="Z901">
        <v>4</v>
      </c>
      <c r="AA901">
        <v>5</v>
      </c>
      <c r="AB901">
        <v>0</v>
      </c>
      <c r="AC901">
        <v>0</v>
      </c>
      <c r="AD901">
        <v>0</v>
      </c>
      <c r="AE901">
        <v>0</v>
      </c>
      <c r="AF901">
        <v>12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100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3</v>
      </c>
      <c r="AU901">
        <v>0</v>
      </c>
      <c r="AV901">
        <v>0</v>
      </c>
    </row>
    <row r="902" spans="1:48" x14ac:dyDescent="0.15">
      <c r="A902" s="4" t="str">
        <f>HYPERLINK("https://ibp.a2mac1.com/costing(costing:projects/details/9760/equipment/12212802)","No.01 - Injection Press - 40T - 18kW - 270x270 - Max Volume 128cm3 ")</f>
        <v xml:space="preserve">No.01 - Injection Press - 40T - 18kW - 270x270 - Max Volume 128cm3 </v>
      </c>
      <c r="B902">
        <v>12212802</v>
      </c>
      <c r="C902">
        <v>12085582</v>
      </c>
      <c r="E902" t="s">
        <v>1630</v>
      </c>
      <c r="H902" t="s">
        <v>162</v>
      </c>
      <c r="I902">
        <v>13574.9072</v>
      </c>
      <c r="J902">
        <v>0</v>
      </c>
      <c r="K902">
        <v>1.6020000000000001</v>
      </c>
      <c r="L902">
        <v>0</v>
      </c>
      <c r="M902">
        <v>4.4266395371263263</v>
      </c>
      <c r="N902">
        <v>0</v>
      </c>
      <c r="O902">
        <v>3.1364327333040821E-2</v>
      </c>
      <c r="P902">
        <v>7.3182540617499998E-3</v>
      </c>
      <c r="Q902">
        <v>3.5456543444551589E-3</v>
      </c>
      <c r="R902">
        <v>80000</v>
      </c>
      <c r="S902">
        <v>0</v>
      </c>
      <c r="T902">
        <v>0</v>
      </c>
      <c r="V902">
        <v>7200</v>
      </c>
      <c r="W902">
        <v>8</v>
      </c>
      <c r="X902">
        <v>85</v>
      </c>
      <c r="Y902">
        <v>3</v>
      </c>
      <c r="Z902">
        <v>4</v>
      </c>
      <c r="AA902">
        <v>5</v>
      </c>
      <c r="AB902">
        <v>0</v>
      </c>
      <c r="AC902">
        <v>0</v>
      </c>
      <c r="AD902">
        <v>0</v>
      </c>
      <c r="AE902">
        <v>0</v>
      </c>
      <c r="AF902">
        <v>0.25</v>
      </c>
      <c r="AG902">
        <v>0</v>
      </c>
      <c r="AH902">
        <v>0</v>
      </c>
      <c r="AI902">
        <v>2</v>
      </c>
      <c r="AJ902">
        <v>0</v>
      </c>
      <c r="AK902">
        <v>0</v>
      </c>
      <c r="AL902">
        <v>97</v>
      </c>
      <c r="AM902">
        <v>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20</v>
      </c>
      <c r="AU902">
        <v>0.05</v>
      </c>
      <c r="AV902">
        <v>0</v>
      </c>
    </row>
    <row r="903" spans="1:48" x14ac:dyDescent="0.15">
      <c r="A903" s="4" t="str">
        <f>HYPERLINK("https://ibp.a2mac1.com/costing(costing:projects/details/9760/equipment/12212387)","Equipment (Stamping)")</f>
        <v>Equipment (Stamping)</v>
      </c>
      <c r="B903">
        <v>12212387</v>
      </c>
      <c r="C903">
        <v>12085291</v>
      </c>
      <c r="H903" t="s">
        <v>162</v>
      </c>
      <c r="I903">
        <v>716.18946857142862</v>
      </c>
      <c r="J903">
        <v>0</v>
      </c>
      <c r="K903">
        <v>3.2000000000000001E-2</v>
      </c>
      <c r="L903">
        <v>0</v>
      </c>
      <c r="M903">
        <v>0.17683919456307112</v>
      </c>
      <c r="N903">
        <v>0</v>
      </c>
      <c r="O903">
        <v>1.2280499622435495E-4</v>
      </c>
      <c r="P903">
        <v>1.4345416666666667E-5</v>
      </c>
      <c r="Q903">
        <v>7.589195758368921E-4</v>
      </c>
      <c r="R903">
        <v>3700</v>
      </c>
      <c r="S903">
        <v>0</v>
      </c>
      <c r="T903">
        <v>0</v>
      </c>
      <c r="V903">
        <v>1800</v>
      </c>
      <c r="W903">
        <v>7</v>
      </c>
      <c r="X903">
        <v>85</v>
      </c>
      <c r="Y903">
        <v>3</v>
      </c>
      <c r="Z903">
        <v>4</v>
      </c>
      <c r="AA903">
        <v>5</v>
      </c>
      <c r="AB903">
        <v>0</v>
      </c>
      <c r="AC903">
        <v>0</v>
      </c>
      <c r="AD903">
        <v>0</v>
      </c>
      <c r="AE903">
        <v>0</v>
      </c>
      <c r="AF903">
        <v>5.0000000000000001E-3</v>
      </c>
      <c r="AG903">
        <v>0</v>
      </c>
      <c r="AH903">
        <v>0</v>
      </c>
      <c r="AI903">
        <v>2</v>
      </c>
      <c r="AJ903">
        <v>0</v>
      </c>
      <c r="AK903">
        <v>0</v>
      </c>
      <c r="AL903">
        <v>80</v>
      </c>
      <c r="AM903">
        <v>0.5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1.5</v>
      </c>
      <c r="AU903">
        <v>0</v>
      </c>
      <c r="AV903">
        <v>0</v>
      </c>
    </row>
    <row r="904" spans="1:48" x14ac:dyDescent="0.15">
      <c r="A904" s="4" t="str">
        <f>HYPERLINK("https://ibp.a2mac1.com/costing(costing:projects/details/9760/equipment/12212388)","No.01 - Generic CN Wire Bending ")</f>
        <v xml:space="preserve">No.01 - Generic CN Wire Bending </v>
      </c>
      <c r="B904">
        <v>12212388</v>
      </c>
      <c r="C904">
        <v>12085292</v>
      </c>
      <c r="E904" t="s">
        <v>1630</v>
      </c>
      <c r="G904" t="s">
        <v>5494</v>
      </c>
      <c r="H904" t="s">
        <v>162</v>
      </c>
      <c r="I904">
        <v>39737.935922999997</v>
      </c>
      <c r="J904">
        <v>0</v>
      </c>
      <c r="K904">
        <v>0.40079999999999999</v>
      </c>
      <c r="L904">
        <v>0</v>
      </c>
      <c r="M904">
        <v>8.547922760045001</v>
      </c>
      <c r="N904">
        <v>0</v>
      </c>
      <c r="O904">
        <v>1.1872114944506946E-2</v>
      </c>
      <c r="P904">
        <v>5.7381666666666666E-3</v>
      </c>
      <c r="Q904">
        <v>7.0127896560270007E-4</v>
      </c>
      <c r="R904">
        <v>219069.2378</v>
      </c>
      <c r="S904">
        <v>0</v>
      </c>
      <c r="T904">
        <v>0</v>
      </c>
      <c r="V904">
        <v>3600</v>
      </c>
      <c r="W904">
        <v>7</v>
      </c>
      <c r="X904">
        <v>85</v>
      </c>
      <c r="Y904">
        <v>3</v>
      </c>
      <c r="Z904">
        <v>4</v>
      </c>
      <c r="AA904">
        <v>5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0.25</v>
      </c>
      <c r="AJ904">
        <v>0</v>
      </c>
      <c r="AK904">
        <v>0</v>
      </c>
      <c r="AL904">
        <v>94</v>
      </c>
      <c r="AM904">
        <v>4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20</v>
      </c>
      <c r="AU904">
        <v>0.1</v>
      </c>
      <c r="AV904">
        <v>0</v>
      </c>
    </row>
    <row r="905" spans="1:48" x14ac:dyDescent="0.15">
      <c r="A905" s="4" t="str">
        <f>HYPERLINK("https://ibp.a2mac1.com/costing(costing:projects/details/9760/equipment/12212389)","No.04 - Press Fit Assembly ")</f>
        <v xml:space="preserve">No.04 - Press Fit Assembly </v>
      </c>
      <c r="B905">
        <v>12212389</v>
      </c>
      <c r="C905">
        <v>12085293</v>
      </c>
      <c r="E905" t="s">
        <v>1630</v>
      </c>
      <c r="H905" t="s">
        <v>162</v>
      </c>
      <c r="I905">
        <v>13962.360798399999</v>
      </c>
      <c r="J905">
        <v>0</v>
      </c>
      <c r="K905">
        <v>0.39200000000000002</v>
      </c>
      <c r="L905">
        <v>0</v>
      </c>
      <c r="M905">
        <v>3.2789110893442621</v>
      </c>
      <c r="N905">
        <v>0</v>
      </c>
      <c r="O905">
        <v>1.3662129538934427E-2</v>
      </c>
      <c r="P905">
        <v>1.7214500000000001E-2</v>
      </c>
      <c r="Q905">
        <v>4.7517453268032787E-5</v>
      </c>
      <c r="R905">
        <v>79999.999989999997</v>
      </c>
      <c r="S905">
        <v>0</v>
      </c>
      <c r="T905">
        <v>0</v>
      </c>
      <c r="V905">
        <v>180</v>
      </c>
      <c r="W905">
        <v>8</v>
      </c>
      <c r="X905">
        <v>85</v>
      </c>
      <c r="Y905">
        <v>3</v>
      </c>
      <c r="Z905">
        <v>4</v>
      </c>
      <c r="AA905">
        <v>5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98</v>
      </c>
      <c r="AM905">
        <v>5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30</v>
      </c>
      <c r="AU905">
        <v>0</v>
      </c>
      <c r="AV905">
        <v>0</v>
      </c>
    </row>
    <row r="906" spans="1:48" x14ac:dyDescent="0.15">
      <c r="A906" s="4" t="str">
        <f>HYPERLINK("https://ibp.a2mac1.com/costing(costing:projects/details/9760/equipment/12212196)","Assembly Station ")</f>
        <v xml:space="preserve">Assembly Station </v>
      </c>
      <c r="B906">
        <v>12212196</v>
      </c>
      <c r="C906">
        <v>12085104</v>
      </c>
      <c r="E906" t="s">
        <v>1630</v>
      </c>
      <c r="F906" t="s">
        <v>5068</v>
      </c>
      <c r="G906" t="s">
        <v>8</v>
      </c>
      <c r="H906" t="s">
        <v>162</v>
      </c>
      <c r="I906">
        <v>4824.9071999999996</v>
      </c>
      <c r="J906">
        <v>0</v>
      </c>
      <c r="K906">
        <v>0.10768</v>
      </c>
      <c r="L906">
        <v>0</v>
      </c>
      <c r="M906">
        <v>1.1242192478302797</v>
      </c>
      <c r="N906">
        <v>0</v>
      </c>
      <c r="O906">
        <v>4.6842468659594988E-2</v>
      </c>
      <c r="P906">
        <v>0.17214499999999999</v>
      </c>
      <c r="Q906">
        <v>2.2807432079717134E-4</v>
      </c>
      <c r="R906">
        <v>30000</v>
      </c>
      <c r="S906">
        <v>0</v>
      </c>
      <c r="T906">
        <v>0</v>
      </c>
      <c r="V906">
        <v>600</v>
      </c>
      <c r="W906">
        <v>10</v>
      </c>
      <c r="X906">
        <v>85</v>
      </c>
      <c r="Y906">
        <v>3</v>
      </c>
      <c r="Z906">
        <v>4</v>
      </c>
      <c r="AA906">
        <v>5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100</v>
      </c>
      <c r="AM906">
        <v>1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20</v>
      </c>
      <c r="AU906">
        <v>0</v>
      </c>
      <c r="AV906">
        <v>0</v>
      </c>
    </row>
    <row r="907" spans="1:48" x14ac:dyDescent="0.15">
      <c r="A907" s="4" t="str">
        <f>HYPERLINK("https://ibp.a2mac1.com/costing(costing:projects/details/9760/equipment/12212390)","Dummy Machine (PCBA+Final Assembly Line)")</f>
        <v>Dummy Machine (PCBA+Final Assembly Line)</v>
      </c>
      <c r="B907">
        <v>12212390</v>
      </c>
      <c r="C907">
        <v>12085294</v>
      </c>
      <c r="F907" t="s">
        <v>358</v>
      </c>
      <c r="H907" t="s">
        <v>162</v>
      </c>
      <c r="I907">
        <v>79501.662769714283</v>
      </c>
      <c r="J907">
        <v>0</v>
      </c>
      <c r="K907">
        <v>0.28895999999999999</v>
      </c>
      <c r="L907">
        <v>0</v>
      </c>
      <c r="M907">
        <v>16.624578413647427</v>
      </c>
      <c r="N907">
        <v>0</v>
      </c>
      <c r="O907">
        <v>0.36943507585883167</v>
      </c>
      <c r="P907">
        <v>6.4267466666666662E-2</v>
      </c>
      <c r="Q907">
        <v>1.1481975848188456E-4</v>
      </c>
      <c r="R907">
        <v>442771.1</v>
      </c>
      <c r="S907">
        <v>0</v>
      </c>
      <c r="T907">
        <v>0</v>
      </c>
      <c r="V907">
        <v>216</v>
      </c>
      <c r="W907">
        <v>7</v>
      </c>
      <c r="X907">
        <v>85</v>
      </c>
      <c r="Y907">
        <v>3</v>
      </c>
      <c r="Z907">
        <v>4</v>
      </c>
      <c r="AA907">
        <v>5</v>
      </c>
      <c r="AB907">
        <v>0</v>
      </c>
      <c r="AC907">
        <v>0</v>
      </c>
      <c r="AD907">
        <v>0</v>
      </c>
      <c r="AE907">
        <v>0</v>
      </c>
      <c r="AF907">
        <v>0.7</v>
      </c>
      <c r="AG907">
        <v>0</v>
      </c>
      <c r="AH907">
        <v>0</v>
      </c>
      <c r="AI907">
        <v>0.2</v>
      </c>
      <c r="AJ907">
        <v>0</v>
      </c>
      <c r="AK907">
        <v>0</v>
      </c>
      <c r="AL907">
        <v>86</v>
      </c>
      <c r="AM907">
        <v>4.2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19.399999999999999</v>
      </c>
      <c r="AU907">
        <v>0</v>
      </c>
      <c r="AV907">
        <v>0</v>
      </c>
    </row>
    <row r="908" spans="1:48" x14ac:dyDescent="0.15">
      <c r="A908" s="4" t="str">
        <f>HYPERLINK("https://ibp.a2mac1.com/costing(costing:projects/details/9760/equipment/12212803)","DC machine - General")</f>
        <v>DC machine - General</v>
      </c>
      <c r="B908">
        <v>12212803</v>
      </c>
      <c r="C908">
        <v>12085583</v>
      </c>
      <c r="E908" t="s">
        <v>738</v>
      </c>
      <c r="H908" t="s">
        <v>162</v>
      </c>
      <c r="I908">
        <v>116914.84457142858</v>
      </c>
      <c r="J908">
        <v>0</v>
      </c>
      <c r="K908">
        <v>3.6</v>
      </c>
      <c r="L908">
        <v>0</v>
      </c>
      <c r="M908">
        <v>27.497982091197134</v>
      </c>
      <c r="N908">
        <v>0</v>
      </c>
      <c r="O908">
        <v>5.7211079406407368</v>
      </c>
      <c r="P908">
        <v>0.85957736666666662</v>
      </c>
      <c r="Q908">
        <v>1.1732166376415484E-2</v>
      </c>
      <c r="R908">
        <v>635568</v>
      </c>
      <c r="S908">
        <v>0</v>
      </c>
      <c r="T908">
        <v>0</v>
      </c>
      <c r="V908">
        <v>10800</v>
      </c>
      <c r="W908">
        <v>7</v>
      </c>
      <c r="X908">
        <v>85</v>
      </c>
      <c r="Y908">
        <v>3</v>
      </c>
      <c r="Z908">
        <v>4</v>
      </c>
      <c r="AA908">
        <v>5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3</v>
      </c>
      <c r="AJ908">
        <v>0</v>
      </c>
      <c r="AK908">
        <v>0</v>
      </c>
      <c r="AL908">
        <v>100</v>
      </c>
      <c r="AM908">
        <v>45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100</v>
      </c>
      <c r="AU908">
        <v>0</v>
      </c>
      <c r="AV908">
        <v>0</v>
      </c>
    </row>
    <row r="909" spans="1:48" x14ac:dyDescent="0.15">
      <c r="A909" s="4" t="str">
        <f>HYPERLINK("https://ibp.a2mac1.com/costing(costing:projects/details/9760/equipment/12212804)","Rubber Extrusion machine")</f>
        <v>Rubber Extrusion machine</v>
      </c>
      <c r="B909">
        <v>12212804</v>
      </c>
      <c r="C909">
        <v>12085584</v>
      </c>
      <c r="E909" t="s">
        <v>1596</v>
      </c>
      <c r="H909" t="s">
        <v>162</v>
      </c>
      <c r="I909">
        <v>127372.68</v>
      </c>
      <c r="J909">
        <v>0</v>
      </c>
      <c r="K909">
        <v>8.8000000000000007</v>
      </c>
      <c r="L909">
        <v>0</v>
      </c>
      <c r="M909">
        <v>35.700141433622626</v>
      </c>
      <c r="N909">
        <v>0</v>
      </c>
      <c r="O909">
        <v>0.44625176792028287</v>
      </c>
      <c r="P909">
        <v>0.103287</v>
      </c>
      <c r="Q909">
        <v>1.4478114430086788E-3</v>
      </c>
      <c r="R909">
        <v>800000</v>
      </c>
      <c r="S909">
        <v>0</v>
      </c>
      <c r="T909">
        <v>0</v>
      </c>
      <c r="V909">
        <v>1800</v>
      </c>
      <c r="W909">
        <v>10</v>
      </c>
      <c r="X909">
        <v>85</v>
      </c>
      <c r="Y909">
        <v>3</v>
      </c>
      <c r="Z909">
        <v>4</v>
      </c>
      <c r="AA909">
        <v>5</v>
      </c>
      <c r="AB909">
        <v>0</v>
      </c>
      <c r="AC909">
        <v>0</v>
      </c>
      <c r="AD909">
        <v>0</v>
      </c>
      <c r="AE909">
        <v>0</v>
      </c>
      <c r="AF909">
        <v>2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100</v>
      </c>
      <c r="AM909">
        <v>110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500</v>
      </c>
      <c r="AU909">
        <v>0</v>
      </c>
      <c r="AV909">
        <v>0</v>
      </c>
    </row>
    <row r="910" spans="1:48" x14ac:dyDescent="0.15">
      <c r="A910" s="4" t="str">
        <f>HYPERLINK("https://ibp.a2mac1.com/costing(costing:projects/details/9760/equipment/12212805)","Seal welding/joining station, manual")</f>
        <v>Seal welding/joining station, manual</v>
      </c>
      <c r="B910">
        <v>12212805</v>
      </c>
      <c r="C910">
        <v>12085585</v>
      </c>
      <c r="E910" t="s">
        <v>738</v>
      </c>
      <c r="H910" t="s">
        <v>162</v>
      </c>
      <c r="I910">
        <v>4149.9071999999996</v>
      </c>
      <c r="J910">
        <v>0</v>
      </c>
      <c r="K910">
        <v>0.24</v>
      </c>
      <c r="L910">
        <v>0</v>
      </c>
      <c r="M910">
        <v>1.0275132111861138</v>
      </c>
      <c r="N910">
        <v>0</v>
      </c>
      <c r="O910">
        <v>8.5626100932176142E-3</v>
      </c>
      <c r="P910">
        <v>6.9664000000000004E-2</v>
      </c>
      <c r="Q910">
        <v>9.3871932111861135E-5</v>
      </c>
      <c r="R910">
        <v>25000</v>
      </c>
      <c r="S910">
        <v>0</v>
      </c>
      <c r="T910">
        <v>0</v>
      </c>
      <c r="V910">
        <v>600</v>
      </c>
      <c r="W910">
        <v>10</v>
      </c>
      <c r="X910">
        <v>85</v>
      </c>
      <c r="Y910">
        <v>3</v>
      </c>
      <c r="Z910">
        <v>3</v>
      </c>
      <c r="AA910">
        <v>3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100</v>
      </c>
      <c r="AM910">
        <v>3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20</v>
      </c>
      <c r="AU910">
        <v>0</v>
      </c>
      <c r="AV910">
        <v>0</v>
      </c>
    </row>
    <row r="911" spans="1:48" x14ac:dyDescent="0.15">
      <c r="A911" s="4" t="str">
        <f>HYPERLINK("https://ibp.a2mac1.com/costing(costing:projects/details/9760/equipment/12212806)","Rubber Extrusion machine")</f>
        <v>Rubber Extrusion machine</v>
      </c>
      <c r="B911">
        <v>12212806</v>
      </c>
      <c r="C911">
        <v>12085586</v>
      </c>
      <c r="E911" t="s">
        <v>1596</v>
      </c>
      <c r="H911" t="s">
        <v>162</v>
      </c>
      <c r="I911">
        <v>127372.68</v>
      </c>
      <c r="J911">
        <v>0</v>
      </c>
      <c r="K911">
        <v>8.8000000000000007</v>
      </c>
      <c r="L911">
        <v>0</v>
      </c>
      <c r="M911">
        <v>35.700141433622626</v>
      </c>
      <c r="N911">
        <v>0</v>
      </c>
      <c r="O911">
        <v>0.44625176792028287</v>
      </c>
      <c r="P911">
        <v>0.103287</v>
      </c>
      <c r="Q911">
        <v>1.4478114430086788E-3</v>
      </c>
      <c r="R911">
        <v>800000</v>
      </c>
      <c r="S911">
        <v>0</v>
      </c>
      <c r="T911">
        <v>0</v>
      </c>
      <c r="V911">
        <v>1800</v>
      </c>
      <c r="W911">
        <v>10</v>
      </c>
      <c r="X911">
        <v>85</v>
      </c>
      <c r="Y911">
        <v>3</v>
      </c>
      <c r="Z911">
        <v>4</v>
      </c>
      <c r="AA911">
        <v>5</v>
      </c>
      <c r="AB911">
        <v>0</v>
      </c>
      <c r="AC911">
        <v>0</v>
      </c>
      <c r="AD911">
        <v>0</v>
      </c>
      <c r="AE911">
        <v>0</v>
      </c>
      <c r="AF911">
        <v>2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100</v>
      </c>
      <c r="AM911">
        <v>110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500</v>
      </c>
      <c r="AU911">
        <v>0</v>
      </c>
      <c r="AV911">
        <v>0</v>
      </c>
    </row>
    <row r="912" spans="1:48" x14ac:dyDescent="0.15">
      <c r="A912" s="4" t="str">
        <f>HYPERLINK("https://ibp.a2mac1.com/costing(costing:projects/details/9760/equipment/12212807)","Rubber Extrusion machine")</f>
        <v>Rubber Extrusion machine</v>
      </c>
      <c r="B912">
        <v>12212807</v>
      </c>
      <c r="C912">
        <v>12085587</v>
      </c>
      <c r="E912" t="s">
        <v>1596</v>
      </c>
      <c r="H912" t="s">
        <v>162</v>
      </c>
      <c r="I912">
        <v>127372.68</v>
      </c>
      <c r="J912">
        <v>0</v>
      </c>
      <c r="K912">
        <v>8.8000000000000007</v>
      </c>
      <c r="L912">
        <v>0</v>
      </c>
      <c r="M912">
        <v>35.700141433622626</v>
      </c>
      <c r="N912">
        <v>0</v>
      </c>
      <c r="O912">
        <v>0.44625176792028287</v>
      </c>
      <c r="P912">
        <v>0.103287</v>
      </c>
      <c r="Q912">
        <v>1.4478114430086788E-3</v>
      </c>
      <c r="R912">
        <v>800000</v>
      </c>
      <c r="S912">
        <v>0</v>
      </c>
      <c r="T912">
        <v>0</v>
      </c>
      <c r="V912">
        <v>1800</v>
      </c>
      <c r="W912">
        <v>10</v>
      </c>
      <c r="X912">
        <v>85</v>
      </c>
      <c r="Y912">
        <v>3</v>
      </c>
      <c r="Z912">
        <v>4</v>
      </c>
      <c r="AA912">
        <v>5</v>
      </c>
      <c r="AB912">
        <v>0</v>
      </c>
      <c r="AC912">
        <v>0</v>
      </c>
      <c r="AD912">
        <v>0</v>
      </c>
      <c r="AE912">
        <v>0</v>
      </c>
      <c r="AF912">
        <v>2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100</v>
      </c>
      <c r="AM912">
        <v>110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500</v>
      </c>
      <c r="AU912">
        <v>0</v>
      </c>
      <c r="AV912">
        <v>0</v>
      </c>
    </row>
    <row r="913" spans="1:48" x14ac:dyDescent="0.15">
      <c r="A913" s="4" t="str">
        <f>HYPERLINK("https://ibp.a2mac1.com/costing(costing:projects/details/9760/equipment/12212391)","Rubber Extrusion machine")</f>
        <v>Rubber Extrusion machine</v>
      </c>
      <c r="B913">
        <v>12212391</v>
      </c>
      <c r="C913">
        <v>12085295</v>
      </c>
      <c r="E913" t="s">
        <v>1596</v>
      </c>
      <c r="H913" t="s">
        <v>162</v>
      </c>
      <c r="I913">
        <v>127372.68</v>
      </c>
      <c r="J913">
        <v>0</v>
      </c>
      <c r="K913">
        <v>8.8000000000000007</v>
      </c>
      <c r="L913">
        <v>0</v>
      </c>
      <c r="M913">
        <v>35.700141433622626</v>
      </c>
      <c r="N913">
        <v>0</v>
      </c>
      <c r="O913">
        <v>0.19833411907568127</v>
      </c>
      <c r="P913">
        <v>4.5905333333333333E-2</v>
      </c>
      <c r="Q913">
        <v>1.4478114430086788E-3</v>
      </c>
      <c r="R913">
        <v>800000</v>
      </c>
      <c r="S913">
        <v>0</v>
      </c>
      <c r="T913">
        <v>0</v>
      </c>
      <c r="V913">
        <v>1800</v>
      </c>
      <c r="W913">
        <v>10</v>
      </c>
      <c r="X913">
        <v>85</v>
      </c>
      <c r="Y913">
        <v>3</v>
      </c>
      <c r="Z913">
        <v>4</v>
      </c>
      <c r="AA913">
        <v>5</v>
      </c>
      <c r="AB913">
        <v>0</v>
      </c>
      <c r="AC913">
        <v>0</v>
      </c>
      <c r="AD913">
        <v>0</v>
      </c>
      <c r="AE913">
        <v>0</v>
      </c>
      <c r="AF913">
        <v>2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100</v>
      </c>
      <c r="AM913">
        <v>110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500</v>
      </c>
      <c r="AU913">
        <v>0</v>
      </c>
      <c r="AV913">
        <v>0</v>
      </c>
    </row>
    <row r="914" spans="1:48" x14ac:dyDescent="0.15">
      <c r="A914" s="4" t="str">
        <f>HYPERLINK("https://ibp.a2mac1.com/costing(costing:projects/details/9760/equipment/12212392)","Rubber Extrusion machine")</f>
        <v>Rubber Extrusion machine</v>
      </c>
      <c r="B914">
        <v>12212392</v>
      </c>
      <c r="C914">
        <v>12085296</v>
      </c>
      <c r="E914" t="s">
        <v>1596</v>
      </c>
      <c r="H914" t="s">
        <v>162</v>
      </c>
      <c r="I914">
        <v>127372.68</v>
      </c>
      <c r="J914">
        <v>0</v>
      </c>
      <c r="K914">
        <v>8.8000000000000007</v>
      </c>
      <c r="L914">
        <v>0</v>
      </c>
      <c r="M914">
        <v>35.700141433622626</v>
      </c>
      <c r="N914">
        <v>0</v>
      </c>
      <c r="O914">
        <v>0.14875058930676097</v>
      </c>
      <c r="P914">
        <v>3.4429000000000001E-2</v>
      </c>
      <c r="Q914">
        <v>1.4478114430086788E-3</v>
      </c>
      <c r="R914">
        <v>800000</v>
      </c>
      <c r="S914">
        <v>0</v>
      </c>
      <c r="T914">
        <v>0</v>
      </c>
      <c r="V914">
        <v>1800</v>
      </c>
      <c r="W914">
        <v>10</v>
      </c>
      <c r="X914">
        <v>85</v>
      </c>
      <c r="Y914">
        <v>3</v>
      </c>
      <c r="Z914">
        <v>4</v>
      </c>
      <c r="AA914">
        <v>5</v>
      </c>
      <c r="AB914">
        <v>0</v>
      </c>
      <c r="AC914">
        <v>0</v>
      </c>
      <c r="AD914">
        <v>0</v>
      </c>
      <c r="AE914">
        <v>0</v>
      </c>
      <c r="AF914">
        <v>2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100</v>
      </c>
      <c r="AM914">
        <v>110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500</v>
      </c>
      <c r="AU914">
        <v>0</v>
      </c>
      <c r="AV914">
        <v>0</v>
      </c>
    </row>
    <row r="915" spans="1:48" x14ac:dyDescent="0.15">
      <c r="A915" s="4" t="str">
        <f>HYPERLINK("https://ibp.a2mac1.com/costing(costing:projects/details/9760/equipment/12212393)","No.01 - Extrusion Press Line - 600T ")</f>
        <v xml:space="preserve">No.01 - Extrusion Press Line - 600T </v>
      </c>
      <c r="B915">
        <v>12212393</v>
      </c>
      <c r="C915">
        <v>12085297</v>
      </c>
      <c r="E915" t="s">
        <v>1630</v>
      </c>
      <c r="H915" t="s">
        <v>162</v>
      </c>
      <c r="I915">
        <v>538349.80249599996</v>
      </c>
      <c r="J915">
        <v>0</v>
      </c>
      <c r="K915">
        <v>67.951880000000003</v>
      </c>
      <c r="L915">
        <v>0</v>
      </c>
      <c r="M915">
        <v>180.59247827965285</v>
      </c>
      <c r="N915">
        <v>0</v>
      </c>
      <c r="O915">
        <v>0.157106426479384</v>
      </c>
      <c r="P915">
        <v>1.4460865668000001E-2</v>
      </c>
      <c r="Q915">
        <v>1.1589163096779171E-3</v>
      </c>
      <c r="R915">
        <v>3250000</v>
      </c>
      <c r="S915">
        <v>0</v>
      </c>
      <c r="T915">
        <v>0</v>
      </c>
      <c r="V915">
        <v>360</v>
      </c>
      <c r="W915">
        <v>8</v>
      </c>
      <c r="X915">
        <v>85</v>
      </c>
      <c r="Y915">
        <v>3</v>
      </c>
      <c r="Z915">
        <v>4</v>
      </c>
      <c r="AA915">
        <v>5</v>
      </c>
      <c r="AB915">
        <v>0</v>
      </c>
      <c r="AC915">
        <v>1</v>
      </c>
      <c r="AD915">
        <v>0</v>
      </c>
      <c r="AE915">
        <v>0</v>
      </c>
      <c r="AF915">
        <v>2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99</v>
      </c>
      <c r="AM915">
        <v>800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473.6</v>
      </c>
      <c r="AU915">
        <v>3.9</v>
      </c>
      <c r="AV915">
        <v>0</v>
      </c>
    </row>
    <row r="916" spans="1:48" x14ac:dyDescent="0.15">
      <c r="A916" s="4" t="str">
        <f>HYPERLINK("https://ibp.a2mac1.com/costing(costing:projects/details/9760/equipment/12212808)","No.10 - Injection Press - 500T - 98kW - 900x900 - Max Volume 1936cm3 ")</f>
        <v xml:space="preserve">No.10 - Injection Press - 500T - 98kW - 900x900 - Max Volume 1936cm3 </v>
      </c>
      <c r="B916">
        <v>12212808</v>
      </c>
      <c r="C916">
        <v>12085588</v>
      </c>
      <c r="E916" t="s">
        <v>1630</v>
      </c>
      <c r="H916" t="s">
        <v>162</v>
      </c>
      <c r="I916">
        <v>55874.536</v>
      </c>
      <c r="J916">
        <v>0</v>
      </c>
      <c r="K916">
        <v>3.88</v>
      </c>
      <c r="L916">
        <v>0</v>
      </c>
      <c r="M916">
        <v>15.471857280617165</v>
      </c>
      <c r="N916">
        <v>0</v>
      </c>
      <c r="O916">
        <v>4.1292431611116467E-2</v>
      </c>
      <c r="P916">
        <v>2.7565994867083331E-3</v>
      </c>
      <c r="Q916">
        <v>7.3066207105110898E-3</v>
      </c>
      <c r="R916">
        <v>325000</v>
      </c>
      <c r="S916">
        <v>0</v>
      </c>
      <c r="T916">
        <v>0</v>
      </c>
      <c r="V916">
        <v>10800</v>
      </c>
      <c r="W916">
        <v>8</v>
      </c>
      <c r="X916">
        <v>85</v>
      </c>
      <c r="Y916">
        <v>3</v>
      </c>
      <c r="Z916">
        <v>4</v>
      </c>
      <c r="AA916">
        <v>5</v>
      </c>
      <c r="AB916">
        <v>0</v>
      </c>
      <c r="AC916">
        <v>0</v>
      </c>
      <c r="AD916">
        <v>0</v>
      </c>
      <c r="AE916">
        <v>0</v>
      </c>
      <c r="AF916">
        <v>0.25</v>
      </c>
      <c r="AG916">
        <v>0</v>
      </c>
      <c r="AH916">
        <v>0</v>
      </c>
      <c r="AI916">
        <v>2</v>
      </c>
      <c r="AJ916">
        <v>0</v>
      </c>
      <c r="AK916">
        <v>0</v>
      </c>
      <c r="AL916">
        <v>92</v>
      </c>
      <c r="AM916">
        <v>50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100</v>
      </c>
      <c r="AU916">
        <v>0.2</v>
      </c>
      <c r="AV916">
        <v>0</v>
      </c>
    </row>
    <row r="917" spans="1:48" x14ac:dyDescent="0.15">
      <c r="A917" s="4" t="str">
        <f>HYPERLINK("https://ibp.a2mac1.com/costing(costing:projects/details/9760/equipment/12212809)","Packaging")</f>
        <v>Packaging</v>
      </c>
      <c r="B917">
        <v>12212809</v>
      </c>
      <c r="C917">
        <v>12085589</v>
      </c>
      <c r="H917" t="s">
        <v>162</v>
      </c>
      <c r="I917">
        <v>4437.4535986499995</v>
      </c>
      <c r="J917">
        <v>0</v>
      </c>
      <c r="K917">
        <v>0.08</v>
      </c>
      <c r="L917">
        <v>0</v>
      </c>
      <c r="M917">
        <v>1.0342676949774992</v>
      </c>
      <c r="N917">
        <v>0</v>
      </c>
      <c r="O917">
        <v>1.4364829096909712E-3</v>
      </c>
      <c r="P917">
        <v>5.7381666666666666E-3</v>
      </c>
      <c r="Q917">
        <v>1.5514015424662487E-5</v>
      </c>
      <c r="R917">
        <v>29999.99999</v>
      </c>
      <c r="S917">
        <v>0</v>
      </c>
      <c r="T917">
        <v>0</v>
      </c>
      <c r="V917">
        <v>900</v>
      </c>
      <c r="W917">
        <v>10</v>
      </c>
      <c r="X917">
        <v>85</v>
      </c>
      <c r="Y917">
        <v>3</v>
      </c>
      <c r="Z917">
        <v>4</v>
      </c>
      <c r="AA917">
        <v>5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50</v>
      </c>
      <c r="AM917">
        <v>2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10</v>
      </c>
      <c r="AU917">
        <v>0</v>
      </c>
      <c r="AV917">
        <v>0</v>
      </c>
    </row>
    <row r="918" spans="1:48" x14ac:dyDescent="0.15">
      <c r="A918" s="4" t="str">
        <f>HYPERLINK("https://ibp.a2mac1.com/costing(costing:projects/details/9760/equipment/12212810)","No.10 - Injection Press - 500T - 98kW - 900x900 - Max Volume 1936cm3 ")</f>
        <v xml:space="preserve">No.10 - Injection Press - 500T - 98kW - 900x900 - Max Volume 1936cm3 </v>
      </c>
      <c r="B918">
        <v>12212810</v>
      </c>
      <c r="C918">
        <v>12085590</v>
      </c>
      <c r="E918" t="s">
        <v>1630</v>
      </c>
      <c r="H918" t="s">
        <v>162</v>
      </c>
      <c r="I918">
        <v>55874.536</v>
      </c>
      <c r="J918">
        <v>0</v>
      </c>
      <c r="K918">
        <v>3.88</v>
      </c>
      <c r="L918">
        <v>0</v>
      </c>
      <c r="M918">
        <v>15.471857280617165</v>
      </c>
      <c r="N918">
        <v>0</v>
      </c>
      <c r="O918">
        <v>3.318981995325726E-2</v>
      </c>
      <c r="P918">
        <v>2.2156854677083332E-3</v>
      </c>
      <c r="Q918">
        <v>7.3066207105110898E-3</v>
      </c>
      <c r="R918">
        <v>325000</v>
      </c>
      <c r="S918">
        <v>0</v>
      </c>
      <c r="T918">
        <v>0</v>
      </c>
      <c r="V918">
        <v>10800</v>
      </c>
      <c r="W918">
        <v>8</v>
      </c>
      <c r="X918">
        <v>85</v>
      </c>
      <c r="Y918">
        <v>3</v>
      </c>
      <c r="Z918">
        <v>4</v>
      </c>
      <c r="AA918">
        <v>5</v>
      </c>
      <c r="AB918">
        <v>0</v>
      </c>
      <c r="AC918">
        <v>0</v>
      </c>
      <c r="AD918">
        <v>0</v>
      </c>
      <c r="AE918">
        <v>0</v>
      </c>
      <c r="AF918">
        <v>0.25</v>
      </c>
      <c r="AG918">
        <v>0</v>
      </c>
      <c r="AH918">
        <v>0</v>
      </c>
      <c r="AI918">
        <v>2</v>
      </c>
      <c r="AJ918">
        <v>0</v>
      </c>
      <c r="AK918">
        <v>0</v>
      </c>
      <c r="AL918">
        <v>92</v>
      </c>
      <c r="AM918">
        <v>50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100</v>
      </c>
      <c r="AU918">
        <v>0.2</v>
      </c>
      <c r="AV918">
        <v>0</v>
      </c>
    </row>
    <row r="919" spans="1:48" x14ac:dyDescent="0.15">
      <c r="A919" s="4" t="str">
        <f>HYPERLINK("https://ibp.a2mac1.com/costing(costing:projects/details/9760/equipment/12212811)","Packaging")</f>
        <v>Packaging</v>
      </c>
      <c r="B919">
        <v>12212811</v>
      </c>
      <c r="C919">
        <v>12085591</v>
      </c>
      <c r="H919" t="s">
        <v>162</v>
      </c>
      <c r="I919">
        <v>4437.4535986499995</v>
      </c>
      <c r="J919">
        <v>0</v>
      </c>
      <c r="K919">
        <v>0.08</v>
      </c>
      <c r="L919">
        <v>0</v>
      </c>
      <c r="M919">
        <v>1.0342676949774992</v>
      </c>
      <c r="N919">
        <v>0</v>
      </c>
      <c r="O919">
        <v>2.8729658193819424E-3</v>
      </c>
      <c r="P919">
        <v>1.1476333333333333E-2</v>
      </c>
      <c r="Q919">
        <v>1.5514015424662487E-5</v>
      </c>
      <c r="R919">
        <v>29999.99999</v>
      </c>
      <c r="S919">
        <v>0</v>
      </c>
      <c r="T919">
        <v>0</v>
      </c>
      <c r="V919">
        <v>900</v>
      </c>
      <c r="W919">
        <v>10</v>
      </c>
      <c r="X919">
        <v>85</v>
      </c>
      <c r="Y919">
        <v>3</v>
      </c>
      <c r="Z919">
        <v>4</v>
      </c>
      <c r="AA919">
        <v>5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50</v>
      </c>
      <c r="AM919">
        <v>2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10</v>
      </c>
      <c r="AU919">
        <v>0</v>
      </c>
      <c r="AV919">
        <v>0</v>
      </c>
    </row>
    <row r="920" spans="1:48" x14ac:dyDescent="0.15">
      <c r="A920" s="4" t="str">
        <f>HYPERLINK("https://ibp.a2mac1.com/costing(costing:projects/details/9760/equipment/12212812)","Equipment (Injection Molding)")</f>
        <v>Equipment (Injection Molding)</v>
      </c>
      <c r="B920">
        <v>12212812</v>
      </c>
      <c r="C920">
        <v>12085592</v>
      </c>
      <c r="H920" t="s">
        <v>162</v>
      </c>
      <c r="I920">
        <v>421.64721600000001</v>
      </c>
      <c r="J920">
        <v>0</v>
      </c>
      <c r="K920">
        <v>1.7919999999999998E-2</v>
      </c>
      <c r="L920">
        <v>0</v>
      </c>
      <c r="M920">
        <v>0.10368779427836708</v>
      </c>
      <c r="N920">
        <v>0</v>
      </c>
      <c r="O920">
        <v>4.3203247615986284E-4</v>
      </c>
      <c r="P920">
        <v>2.7543200000000001E-5</v>
      </c>
      <c r="Q920">
        <v>9.0807004059402123E-6</v>
      </c>
      <c r="R920">
        <v>2240</v>
      </c>
      <c r="S920">
        <v>0</v>
      </c>
      <c r="T920">
        <v>0</v>
      </c>
      <c r="V920">
        <v>21.6</v>
      </c>
      <c r="W920">
        <v>7</v>
      </c>
      <c r="X920">
        <v>85</v>
      </c>
      <c r="Y920">
        <v>3</v>
      </c>
      <c r="Z920">
        <v>4</v>
      </c>
      <c r="AA920">
        <v>5</v>
      </c>
      <c r="AB920">
        <v>0</v>
      </c>
      <c r="AC920">
        <v>0</v>
      </c>
      <c r="AD920">
        <v>0</v>
      </c>
      <c r="AE920">
        <v>0</v>
      </c>
      <c r="AF920">
        <v>1.6000000000000001E-3</v>
      </c>
      <c r="AG920">
        <v>0</v>
      </c>
      <c r="AH920">
        <v>0</v>
      </c>
      <c r="AI920">
        <v>2</v>
      </c>
      <c r="AJ920">
        <v>0</v>
      </c>
      <c r="AK920">
        <v>0</v>
      </c>
      <c r="AL920">
        <v>80</v>
      </c>
      <c r="AM920">
        <v>0.28000000000000003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0.6</v>
      </c>
      <c r="AU920">
        <v>0</v>
      </c>
      <c r="AV920">
        <v>0</v>
      </c>
    </row>
    <row r="921" spans="1:48" x14ac:dyDescent="0.15">
      <c r="A921" s="4" t="str">
        <f>HYPERLINK("https://ibp.a2mac1.com/costing(costing:projects/details/9760/equipment/12212813)","Manufacturing Equipment")</f>
        <v>Manufacturing Equipment</v>
      </c>
      <c r="B921">
        <v>12212813</v>
      </c>
      <c r="C921">
        <v>12085593</v>
      </c>
      <c r="H921" t="s">
        <v>162</v>
      </c>
      <c r="I921">
        <v>373962.1752</v>
      </c>
      <c r="J921">
        <v>0</v>
      </c>
      <c r="K921">
        <v>3.3919999999999999</v>
      </c>
      <c r="L921">
        <v>0</v>
      </c>
      <c r="M921">
        <v>85.594213950498229</v>
      </c>
      <c r="N921">
        <v>0</v>
      </c>
      <c r="O921">
        <v>0.8690587395077799</v>
      </c>
      <c r="P921">
        <v>4.1947914880999998E-2</v>
      </c>
      <c r="Q921">
        <v>8.8339008555448403E-3</v>
      </c>
      <c r="R921">
        <v>2750000</v>
      </c>
      <c r="S921">
        <v>0</v>
      </c>
      <c r="T921">
        <v>0</v>
      </c>
      <c r="V921">
        <v>5400</v>
      </c>
      <c r="W921">
        <v>10</v>
      </c>
      <c r="X921">
        <v>85</v>
      </c>
      <c r="Y921">
        <v>4</v>
      </c>
      <c r="Z921">
        <v>4</v>
      </c>
      <c r="AA921">
        <v>5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80</v>
      </c>
      <c r="AM921">
        <v>53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70</v>
      </c>
      <c r="AU921">
        <v>0</v>
      </c>
      <c r="AV921">
        <v>0</v>
      </c>
    </row>
    <row r="922" spans="1:48" x14ac:dyDescent="0.15">
      <c r="A922" s="4" t="str">
        <f>HYPERLINK("https://ibp.a2mac1.com/costing(costing:projects/details/9760/equipment/12212814)","Manufacturing Equipment")</f>
        <v>Manufacturing Equipment</v>
      </c>
      <c r="B922">
        <v>12212814</v>
      </c>
      <c r="C922">
        <v>12085594</v>
      </c>
      <c r="H922" t="s">
        <v>162</v>
      </c>
      <c r="I922">
        <v>373962.1752</v>
      </c>
      <c r="J922">
        <v>0</v>
      </c>
      <c r="K922">
        <v>3.3919999999999999</v>
      </c>
      <c r="L922">
        <v>0</v>
      </c>
      <c r="M922">
        <v>85.594213950498229</v>
      </c>
      <c r="N922">
        <v>0</v>
      </c>
      <c r="O922">
        <v>1.0699276743812278</v>
      </c>
      <c r="P922">
        <v>5.1643500000000002E-2</v>
      </c>
      <c r="Q922">
        <v>8.8339008555448403E-3</v>
      </c>
      <c r="R922">
        <v>2750000</v>
      </c>
      <c r="S922">
        <v>0</v>
      </c>
      <c r="T922">
        <v>0</v>
      </c>
      <c r="V922">
        <v>5400</v>
      </c>
      <c r="W922">
        <v>10</v>
      </c>
      <c r="X922">
        <v>85</v>
      </c>
      <c r="Y922">
        <v>4</v>
      </c>
      <c r="Z922">
        <v>4</v>
      </c>
      <c r="AA922">
        <v>5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80</v>
      </c>
      <c r="AM922">
        <v>53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70</v>
      </c>
      <c r="AU922">
        <v>0</v>
      </c>
      <c r="AV922">
        <v>0</v>
      </c>
    </row>
    <row r="923" spans="1:48" x14ac:dyDescent="0.15">
      <c r="A923" s="4" t="str">
        <f>HYPERLINK("https://ibp.a2mac1.com/costing(costing:projects/details/9760/equipment/12212843)","Manufacturing Equipment")</f>
        <v>Manufacturing Equipment</v>
      </c>
      <c r="B923">
        <v>12212843</v>
      </c>
      <c r="C923">
        <v>12085595</v>
      </c>
      <c r="H923" t="s">
        <v>162</v>
      </c>
      <c r="I923">
        <v>373962.1752</v>
      </c>
      <c r="J923">
        <v>0</v>
      </c>
      <c r="K923">
        <v>3.3919999999999999</v>
      </c>
      <c r="L923">
        <v>0</v>
      </c>
      <c r="M923">
        <v>85.594213950498229</v>
      </c>
      <c r="N923">
        <v>0</v>
      </c>
      <c r="O923">
        <v>1.0699276743812278</v>
      </c>
      <c r="P923">
        <v>5.1643500000000002E-2</v>
      </c>
      <c r="Q923">
        <v>8.8339008555448403E-3</v>
      </c>
      <c r="R923">
        <v>2750000</v>
      </c>
      <c r="S923">
        <v>0</v>
      </c>
      <c r="T923">
        <v>0</v>
      </c>
      <c r="V923">
        <v>5400</v>
      </c>
      <c r="W923">
        <v>10</v>
      </c>
      <c r="X923">
        <v>85</v>
      </c>
      <c r="Y923">
        <v>4</v>
      </c>
      <c r="Z923">
        <v>4</v>
      </c>
      <c r="AA923">
        <v>5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80</v>
      </c>
      <c r="AM923">
        <v>53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70</v>
      </c>
      <c r="AU923">
        <v>0</v>
      </c>
      <c r="AV923">
        <v>0</v>
      </c>
    </row>
    <row r="924" spans="1:48" x14ac:dyDescent="0.15">
      <c r="A924" s="4" t="str">
        <f>HYPERLINK("https://ibp.a2mac1.com/costing(costing:projects/details/9760/equipment/12212844)","Manufacturing Equipment")</f>
        <v>Manufacturing Equipment</v>
      </c>
      <c r="B924">
        <v>12212844</v>
      </c>
      <c r="C924">
        <v>12085596</v>
      </c>
      <c r="H924" t="s">
        <v>162</v>
      </c>
      <c r="I924">
        <v>373962.1752</v>
      </c>
      <c r="J924">
        <v>0</v>
      </c>
      <c r="K924">
        <v>3.3919999999999999</v>
      </c>
      <c r="L924">
        <v>0</v>
      </c>
      <c r="M924">
        <v>85.594213950498229</v>
      </c>
      <c r="N924">
        <v>0</v>
      </c>
      <c r="O924">
        <v>1.0699276743812278</v>
      </c>
      <c r="P924">
        <v>5.1643500000000002E-2</v>
      </c>
      <c r="Q924">
        <v>8.8339008555448403E-3</v>
      </c>
      <c r="R924">
        <v>2750000</v>
      </c>
      <c r="S924">
        <v>0</v>
      </c>
      <c r="T924">
        <v>0</v>
      </c>
      <c r="V924">
        <v>5400</v>
      </c>
      <c r="W924">
        <v>10</v>
      </c>
      <c r="X924">
        <v>85</v>
      </c>
      <c r="Y924">
        <v>4</v>
      </c>
      <c r="Z924">
        <v>4</v>
      </c>
      <c r="AA924">
        <v>5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80</v>
      </c>
      <c r="AM924">
        <v>53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70</v>
      </c>
      <c r="AU924">
        <v>0</v>
      </c>
      <c r="AV924">
        <v>0</v>
      </c>
    </row>
    <row r="925" spans="1:48" x14ac:dyDescent="0.15">
      <c r="A925" s="4" t="str">
        <f>HYPERLINK("https://ibp.a2mac1.com/costing(costing:projects/details/9760/equipment/12212394)","Equipment (Injection Molding)")</f>
        <v>Equipment (Injection Molding)</v>
      </c>
      <c r="B925">
        <v>12212394</v>
      </c>
      <c r="C925">
        <v>12085298</v>
      </c>
      <c r="H925" t="s">
        <v>162</v>
      </c>
      <c r="I925">
        <v>1792.0006679999999</v>
      </c>
      <c r="J925">
        <v>0</v>
      </c>
      <c r="K925">
        <v>7.6160000000000005E-2</v>
      </c>
      <c r="L925">
        <v>0</v>
      </c>
      <c r="M925">
        <v>0.44067312568306011</v>
      </c>
      <c r="N925">
        <v>0</v>
      </c>
      <c r="O925">
        <v>7.3445520947176685E-3</v>
      </c>
      <c r="P925">
        <v>4.6823440000000002E-4</v>
      </c>
      <c r="Q925">
        <v>3.9108564282295083E-5</v>
      </c>
      <c r="R925">
        <v>9520</v>
      </c>
      <c r="S925">
        <v>0</v>
      </c>
      <c r="T925">
        <v>0</v>
      </c>
      <c r="V925">
        <v>91.8</v>
      </c>
      <c r="W925">
        <v>7</v>
      </c>
      <c r="X925">
        <v>85</v>
      </c>
      <c r="Y925">
        <v>3</v>
      </c>
      <c r="Z925">
        <v>4</v>
      </c>
      <c r="AA925">
        <v>5</v>
      </c>
      <c r="AB925">
        <v>0</v>
      </c>
      <c r="AC925">
        <v>0</v>
      </c>
      <c r="AD925">
        <v>0</v>
      </c>
      <c r="AE925">
        <v>0</v>
      </c>
      <c r="AF925">
        <v>6.7999999999999996E-3</v>
      </c>
      <c r="AG925">
        <v>0</v>
      </c>
      <c r="AH925">
        <v>0</v>
      </c>
      <c r="AI925">
        <v>2</v>
      </c>
      <c r="AJ925">
        <v>0</v>
      </c>
      <c r="AK925">
        <v>0</v>
      </c>
      <c r="AL925">
        <v>80</v>
      </c>
      <c r="AM925">
        <v>1.19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2.5499999999999998</v>
      </c>
      <c r="AU925">
        <v>0</v>
      </c>
      <c r="AV925">
        <v>0</v>
      </c>
    </row>
    <row r="926" spans="1:48" x14ac:dyDescent="0.15">
      <c r="A926" s="4" t="str">
        <f>HYPERLINK("https://ibp.a2mac1.com/costing(costing:projects/details/9760/equipment/12212197)","No.13 - Injection Press - 1000T - 191kW - 1230x1230 - Max Volume 7815cm3 ")</f>
        <v xml:space="preserve">No.13 - Injection Press - 1000T - 191kW - 1230x1230 - Max Volume 7815cm3 </v>
      </c>
      <c r="B926">
        <v>12212197</v>
      </c>
      <c r="C926">
        <v>12085105</v>
      </c>
      <c r="E926" t="s">
        <v>1630</v>
      </c>
      <c r="H926" t="s">
        <v>162</v>
      </c>
      <c r="I926">
        <v>102974.1648</v>
      </c>
      <c r="J926">
        <v>0</v>
      </c>
      <c r="K926">
        <v>6.4560000000000004</v>
      </c>
      <c r="L926">
        <v>0</v>
      </c>
      <c r="M926">
        <v>27.827611186113788</v>
      </c>
      <c r="N926">
        <v>0</v>
      </c>
      <c r="O926">
        <v>0.17580843166351012</v>
      </c>
      <c r="P926">
        <v>1.3050869052166666E-2</v>
      </c>
      <c r="Q926">
        <v>1.572199948466731E-2</v>
      </c>
      <c r="R926">
        <v>600000</v>
      </c>
      <c r="S926">
        <v>0</v>
      </c>
      <c r="T926">
        <v>0</v>
      </c>
      <c r="V926">
        <v>14400</v>
      </c>
      <c r="W926">
        <v>8</v>
      </c>
      <c r="X926">
        <v>85</v>
      </c>
      <c r="Y926">
        <v>3</v>
      </c>
      <c r="Z926">
        <v>4</v>
      </c>
      <c r="AA926">
        <v>5</v>
      </c>
      <c r="AB926">
        <v>0</v>
      </c>
      <c r="AC926">
        <v>0</v>
      </c>
      <c r="AD926">
        <v>0</v>
      </c>
      <c r="AE926">
        <v>0</v>
      </c>
      <c r="AF926">
        <v>0.5</v>
      </c>
      <c r="AG926">
        <v>0</v>
      </c>
      <c r="AH926">
        <v>0</v>
      </c>
      <c r="AI926">
        <v>3</v>
      </c>
      <c r="AJ926">
        <v>0</v>
      </c>
      <c r="AK926">
        <v>0</v>
      </c>
      <c r="AL926">
        <v>92</v>
      </c>
      <c r="AM926">
        <v>85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180</v>
      </c>
      <c r="AU926">
        <v>0.2</v>
      </c>
      <c r="AV926">
        <v>0</v>
      </c>
    </row>
    <row r="927" spans="1:48" x14ac:dyDescent="0.15">
      <c r="A927" s="4" t="str">
        <f>HYPERLINK("https://ibp.a2mac1.com/costing(costing:projects/details/9760/equipment/12212156)","Assembly Station ")</f>
        <v xml:space="preserve">Assembly Station </v>
      </c>
      <c r="B927">
        <v>12212156</v>
      </c>
      <c r="C927">
        <v>12085064</v>
      </c>
      <c r="E927" t="s">
        <v>1630</v>
      </c>
      <c r="F927" t="s">
        <v>5068</v>
      </c>
      <c r="G927" t="s">
        <v>8</v>
      </c>
      <c r="H927" t="s">
        <v>162</v>
      </c>
      <c r="I927">
        <v>4824.9071999999996</v>
      </c>
      <c r="J927">
        <v>0</v>
      </c>
      <c r="K927">
        <v>0.10768</v>
      </c>
      <c r="L927">
        <v>0</v>
      </c>
      <c r="M927">
        <v>1.1242192478302797</v>
      </c>
      <c r="N927">
        <v>0</v>
      </c>
      <c r="O927">
        <v>0.14052740597878496</v>
      </c>
      <c r="P927">
        <v>0.51643499999999998</v>
      </c>
      <c r="Q927">
        <v>2.2807432079717134E-4</v>
      </c>
      <c r="R927">
        <v>30000</v>
      </c>
      <c r="S927">
        <v>0</v>
      </c>
      <c r="T927">
        <v>0</v>
      </c>
      <c r="V927">
        <v>600</v>
      </c>
      <c r="W927">
        <v>10</v>
      </c>
      <c r="X927">
        <v>85</v>
      </c>
      <c r="Y927">
        <v>3</v>
      </c>
      <c r="Z927">
        <v>4</v>
      </c>
      <c r="AA927">
        <v>5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100</v>
      </c>
      <c r="AM927">
        <v>1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20</v>
      </c>
      <c r="AU927">
        <v>0</v>
      </c>
      <c r="AV927">
        <v>0</v>
      </c>
    </row>
    <row r="928" spans="1:48" x14ac:dyDescent="0.15">
      <c r="A928" s="4" t="str">
        <f>HYPERLINK("https://ibp.a2mac1.com/costing(costing:projects/details/9760/equipment/12212845)","Manufacturing Equipment")</f>
        <v>Manufacturing Equipment</v>
      </c>
      <c r="B928">
        <v>12212845</v>
      </c>
      <c r="C928">
        <v>12085597</v>
      </c>
      <c r="H928" t="s">
        <v>162</v>
      </c>
      <c r="I928">
        <v>373962.1752</v>
      </c>
      <c r="J928">
        <v>0</v>
      </c>
      <c r="K928">
        <v>3.3919999999999999</v>
      </c>
      <c r="L928">
        <v>0</v>
      </c>
      <c r="M928">
        <v>85.594213950498229</v>
      </c>
      <c r="N928">
        <v>0</v>
      </c>
      <c r="O928">
        <v>0.8690587395077799</v>
      </c>
      <c r="P928">
        <v>4.1947914880999998E-2</v>
      </c>
      <c r="Q928">
        <v>8.8339008555448403E-3</v>
      </c>
      <c r="R928">
        <v>2750000</v>
      </c>
      <c r="S928">
        <v>0</v>
      </c>
      <c r="T928">
        <v>0</v>
      </c>
      <c r="V928">
        <v>5400</v>
      </c>
      <c r="W928">
        <v>10</v>
      </c>
      <c r="X928">
        <v>85</v>
      </c>
      <c r="Y928">
        <v>4</v>
      </c>
      <c r="Z928">
        <v>4</v>
      </c>
      <c r="AA928">
        <v>5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80</v>
      </c>
      <c r="AM928">
        <v>53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70</v>
      </c>
      <c r="AU928">
        <v>0</v>
      </c>
      <c r="AV928">
        <v>0</v>
      </c>
    </row>
    <row r="929" spans="1:48" x14ac:dyDescent="0.15">
      <c r="A929" s="4" t="str">
        <f>HYPERLINK("https://ibp.a2mac1.com/costing(costing:projects/details/9760/equipment/12212846)","Manufacturing Equipment")</f>
        <v>Manufacturing Equipment</v>
      </c>
      <c r="B929">
        <v>12212846</v>
      </c>
      <c r="C929">
        <v>12085598</v>
      </c>
      <c r="H929" t="s">
        <v>162</v>
      </c>
      <c r="I929">
        <v>373962.1752</v>
      </c>
      <c r="J929">
        <v>0</v>
      </c>
      <c r="K929">
        <v>3.3919999999999999</v>
      </c>
      <c r="L929">
        <v>0</v>
      </c>
      <c r="M929">
        <v>85.594213950498229</v>
      </c>
      <c r="N929">
        <v>0</v>
      </c>
      <c r="O929">
        <v>1.0699276743812278</v>
      </c>
      <c r="P929">
        <v>5.1643500000000002E-2</v>
      </c>
      <c r="Q929">
        <v>8.8339008555448403E-3</v>
      </c>
      <c r="R929">
        <v>2750000</v>
      </c>
      <c r="S929">
        <v>0</v>
      </c>
      <c r="T929">
        <v>0</v>
      </c>
      <c r="V929">
        <v>5400</v>
      </c>
      <c r="W929">
        <v>10</v>
      </c>
      <c r="X929">
        <v>85</v>
      </c>
      <c r="Y929">
        <v>4</v>
      </c>
      <c r="Z929">
        <v>4</v>
      </c>
      <c r="AA929">
        <v>5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80</v>
      </c>
      <c r="AM929">
        <v>53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70</v>
      </c>
      <c r="AU929">
        <v>0</v>
      </c>
      <c r="AV929">
        <v>0</v>
      </c>
    </row>
    <row r="930" spans="1:48" x14ac:dyDescent="0.15">
      <c r="A930" s="4" t="str">
        <f>HYPERLINK("https://ibp.a2mac1.com/costing(costing:projects/details/9760/equipment/12212847)","Manufacturing Equipment")</f>
        <v>Manufacturing Equipment</v>
      </c>
      <c r="B930">
        <v>12212847</v>
      </c>
      <c r="C930">
        <v>12085599</v>
      </c>
      <c r="H930" t="s">
        <v>162</v>
      </c>
      <c r="I930">
        <v>373962.1752</v>
      </c>
      <c r="J930">
        <v>0</v>
      </c>
      <c r="K930">
        <v>3.3919999999999999</v>
      </c>
      <c r="L930">
        <v>0</v>
      </c>
      <c r="M930">
        <v>85.594213950498229</v>
      </c>
      <c r="N930">
        <v>0</v>
      </c>
      <c r="O930">
        <v>1.0699276743812278</v>
      </c>
      <c r="P930">
        <v>5.1643500000000002E-2</v>
      </c>
      <c r="Q930">
        <v>8.8339008555448403E-3</v>
      </c>
      <c r="R930">
        <v>2750000</v>
      </c>
      <c r="S930">
        <v>0</v>
      </c>
      <c r="T930">
        <v>0</v>
      </c>
      <c r="V930">
        <v>5400</v>
      </c>
      <c r="W930">
        <v>10</v>
      </c>
      <c r="X930">
        <v>85</v>
      </c>
      <c r="Y930">
        <v>4</v>
      </c>
      <c r="Z930">
        <v>4</v>
      </c>
      <c r="AA930">
        <v>5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80</v>
      </c>
      <c r="AM930">
        <v>53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70</v>
      </c>
      <c r="AU930">
        <v>0</v>
      </c>
      <c r="AV930">
        <v>0</v>
      </c>
    </row>
    <row r="931" spans="1:48" x14ac:dyDescent="0.15">
      <c r="A931" s="4" t="str">
        <f>HYPERLINK("https://ibp.a2mac1.com/costing(costing:projects/details/9760/equipment/12212848)","Manufacturing Equipment")</f>
        <v>Manufacturing Equipment</v>
      </c>
      <c r="B931">
        <v>12212848</v>
      </c>
      <c r="C931">
        <v>12085600</v>
      </c>
      <c r="H931" t="s">
        <v>162</v>
      </c>
      <c r="I931">
        <v>373962.1752</v>
      </c>
      <c r="J931">
        <v>0</v>
      </c>
      <c r="K931">
        <v>3.3919999999999999</v>
      </c>
      <c r="L931">
        <v>0</v>
      </c>
      <c r="M931">
        <v>85.594213950498229</v>
      </c>
      <c r="N931">
        <v>0</v>
      </c>
      <c r="O931">
        <v>1.0699276743812278</v>
      </c>
      <c r="P931">
        <v>5.1643500000000002E-2</v>
      </c>
      <c r="Q931">
        <v>8.8339008555448403E-3</v>
      </c>
      <c r="R931">
        <v>2750000</v>
      </c>
      <c r="S931">
        <v>0</v>
      </c>
      <c r="T931">
        <v>0</v>
      </c>
      <c r="V931">
        <v>5400</v>
      </c>
      <c r="W931">
        <v>10</v>
      </c>
      <c r="X931">
        <v>85</v>
      </c>
      <c r="Y931">
        <v>4</v>
      </c>
      <c r="Z931">
        <v>4</v>
      </c>
      <c r="AA931">
        <v>5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80</v>
      </c>
      <c r="AM931">
        <v>53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70</v>
      </c>
      <c r="AU931">
        <v>0</v>
      </c>
      <c r="AV931">
        <v>0</v>
      </c>
    </row>
    <row r="932" spans="1:48" x14ac:dyDescent="0.15">
      <c r="A932" s="4" t="str">
        <f>HYPERLINK("https://ibp.a2mac1.com/costing(costing:projects/details/9760/equipment/12212395)","Equipment (Injection Molding)")</f>
        <v>Equipment (Injection Molding)</v>
      </c>
      <c r="B932">
        <v>12212395</v>
      </c>
      <c r="C932">
        <v>12085299</v>
      </c>
      <c r="H932" t="s">
        <v>162</v>
      </c>
      <c r="I932">
        <v>1792.0006679999999</v>
      </c>
      <c r="J932">
        <v>0</v>
      </c>
      <c r="K932">
        <v>7.6160000000000005E-2</v>
      </c>
      <c r="L932">
        <v>0</v>
      </c>
      <c r="M932">
        <v>0.44067312568306011</v>
      </c>
      <c r="N932">
        <v>0</v>
      </c>
      <c r="O932">
        <v>7.3445520947176685E-3</v>
      </c>
      <c r="P932">
        <v>4.6823440000000002E-4</v>
      </c>
      <c r="Q932">
        <v>3.9108564282295083E-5</v>
      </c>
      <c r="R932">
        <v>9520</v>
      </c>
      <c r="S932">
        <v>0</v>
      </c>
      <c r="T932">
        <v>0</v>
      </c>
      <c r="V932">
        <v>91.8</v>
      </c>
      <c r="W932">
        <v>7</v>
      </c>
      <c r="X932">
        <v>85</v>
      </c>
      <c r="Y932">
        <v>3</v>
      </c>
      <c r="Z932">
        <v>4</v>
      </c>
      <c r="AA932">
        <v>5</v>
      </c>
      <c r="AB932">
        <v>0</v>
      </c>
      <c r="AC932">
        <v>0</v>
      </c>
      <c r="AD932">
        <v>0</v>
      </c>
      <c r="AE932">
        <v>0</v>
      </c>
      <c r="AF932">
        <v>6.7999999999999996E-3</v>
      </c>
      <c r="AG932">
        <v>0</v>
      </c>
      <c r="AH932">
        <v>0</v>
      </c>
      <c r="AI932">
        <v>2</v>
      </c>
      <c r="AJ932">
        <v>0</v>
      </c>
      <c r="AK932">
        <v>0</v>
      </c>
      <c r="AL932">
        <v>80</v>
      </c>
      <c r="AM932">
        <v>1.19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2.5499999999999998</v>
      </c>
      <c r="AU932">
        <v>0</v>
      </c>
      <c r="AV932">
        <v>0</v>
      </c>
    </row>
    <row r="933" spans="1:48" x14ac:dyDescent="0.15">
      <c r="A933" s="4" t="str">
        <f>HYPERLINK("https://ibp.a2mac1.com/costing(costing:projects/details/9760/equipment/12212396)","Equipment (Injection Molding)")</f>
        <v>Equipment (Injection Molding)</v>
      </c>
      <c r="B933">
        <v>12212396</v>
      </c>
      <c r="C933">
        <v>12085300</v>
      </c>
      <c r="H933" t="s">
        <v>162</v>
      </c>
      <c r="I933">
        <v>421.64721600000001</v>
      </c>
      <c r="J933">
        <v>0</v>
      </c>
      <c r="K933">
        <v>1.7919999999999998E-2</v>
      </c>
      <c r="L933">
        <v>0</v>
      </c>
      <c r="M933">
        <v>0.10368779427836708</v>
      </c>
      <c r="N933">
        <v>0</v>
      </c>
      <c r="O933">
        <v>4.3203247615986284E-4</v>
      </c>
      <c r="P933">
        <v>2.7543200000000001E-5</v>
      </c>
      <c r="Q933">
        <v>9.0807004059402123E-6</v>
      </c>
      <c r="R933">
        <v>2240</v>
      </c>
      <c r="S933">
        <v>0</v>
      </c>
      <c r="T933">
        <v>0</v>
      </c>
      <c r="V933">
        <v>21.6</v>
      </c>
      <c r="W933">
        <v>7</v>
      </c>
      <c r="X933">
        <v>85</v>
      </c>
      <c r="Y933">
        <v>3</v>
      </c>
      <c r="Z933">
        <v>4</v>
      </c>
      <c r="AA933">
        <v>5</v>
      </c>
      <c r="AB933">
        <v>0</v>
      </c>
      <c r="AC933">
        <v>0</v>
      </c>
      <c r="AD933">
        <v>0</v>
      </c>
      <c r="AE933">
        <v>0</v>
      </c>
      <c r="AF933">
        <v>1.6000000000000001E-3</v>
      </c>
      <c r="AG933">
        <v>0</v>
      </c>
      <c r="AH933">
        <v>0</v>
      </c>
      <c r="AI933">
        <v>2</v>
      </c>
      <c r="AJ933">
        <v>0</v>
      </c>
      <c r="AK933">
        <v>0</v>
      </c>
      <c r="AL933">
        <v>80</v>
      </c>
      <c r="AM933">
        <v>0.28000000000000003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0.6</v>
      </c>
      <c r="AU933">
        <v>0</v>
      </c>
      <c r="AV933">
        <v>0</v>
      </c>
    </row>
    <row r="934" spans="1:48" x14ac:dyDescent="0.15">
      <c r="A934" s="4" t="str">
        <f>HYPERLINK("https://ibp.a2mac1.com/costing(costing:projects/details/9760/equipment/12212849)","No.10 - Injection Press - 500T - 98kW - 900x900 - Max Volume 1936cm3 ")</f>
        <v xml:space="preserve">No.10 - Injection Press - 500T - 98kW - 900x900 - Max Volume 1936cm3 </v>
      </c>
      <c r="B934">
        <v>12212849</v>
      </c>
      <c r="C934">
        <v>12085601</v>
      </c>
      <c r="E934" t="s">
        <v>1630</v>
      </c>
      <c r="H934" t="s">
        <v>162</v>
      </c>
      <c r="I934">
        <v>55874.536</v>
      </c>
      <c r="J934">
        <v>0</v>
      </c>
      <c r="K934">
        <v>3.88</v>
      </c>
      <c r="L934">
        <v>0</v>
      </c>
      <c r="M934">
        <v>15.471857280617165</v>
      </c>
      <c r="N934">
        <v>0</v>
      </c>
      <c r="O934">
        <v>4.1292431611116467E-2</v>
      </c>
      <c r="P934">
        <v>2.7565994867083331E-3</v>
      </c>
      <c r="Q934">
        <v>7.3066207105110898E-3</v>
      </c>
      <c r="R934">
        <v>325000</v>
      </c>
      <c r="S934">
        <v>0</v>
      </c>
      <c r="T934">
        <v>0</v>
      </c>
      <c r="V934">
        <v>10800</v>
      </c>
      <c r="W934">
        <v>8</v>
      </c>
      <c r="X934">
        <v>85</v>
      </c>
      <c r="Y934">
        <v>3</v>
      </c>
      <c r="Z934">
        <v>4</v>
      </c>
      <c r="AA934">
        <v>5</v>
      </c>
      <c r="AB934">
        <v>0</v>
      </c>
      <c r="AC934">
        <v>0</v>
      </c>
      <c r="AD934">
        <v>0</v>
      </c>
      <c r="AE934">
        <v>0</v>
      </c>
      <c r="AF934">
        <v>0.25</v>
      </c>
      <c r="AG934">
        <v>0</v>
      </c>
      <c r="AH934">
        <v>0</v>
      </c>
      <c r="AI934">
        <v>2</v>
      </c>
      <c r="AJ934">
        <v>0</v>
      </c>
      <c r="AK934">
        <v>0</v>
      </c>
      <c r="AL934">
        <v>92</v>
      </c>
      <c r="AM934">
        <v>50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100</v>
      </c>
      <c r="AU934">
        <v>0.2</v>
      </c>
      <c r="AV934">
        <v>0</v>
      </c>
    </row>
    <row r="935" spans="1:48" x14ac:dyDescent="0.15">
      <c r="A935" s="4" t="str">
        <f>HYPERLINK("https://ibp.a2mac1.com/costing(costing:projects/details/9760/equipment/12212850)","Packaging")</f>
        <v>Packaging</v>
      </c>
      <c r="B935">
        <v>12212850</v>
      </c>
      <c r="C935">
        <v>12085602</v>
      </c>
      <c r="H935" t="s">
        <v>162</v>
      </c>
      <c r="I935">
        <v>4437.4535986499995</v>
      </c>
      <c r="J935">
        <v>0</v>
      </c>
      <c r="K935">
        <v>0.08</v>
      </c>
      <c r="L935">
        <v>0</v>
      </c>
      <c r="M935">
        <v>1.0342676949774992</v>
      </c>
      <c r="N935">
        <v>0</v>
      </c>
      <c r="O935">
        <v>2.8729658193819424E-3</v>
      </c>
      <c r="P935">
        <v>1.1476333333333333E-2</v>
      </c>
      <c r="Q935">
        <v>1.5514015424662487E-5</v>
      </c>
      <c r="R935">
        <v>29999.99999</v>
      </c>
      <c r="S935">
        <v>0</v>
      </c>
      <c r="T935">
        <v>0</v>
      </c>
      <c r="V935">
        <v>900</v>
      </c>
      <c r="W935">
        <v>10</v>
      </c>
      <c r="X935">
        <v>85</v>
      </c>
      <c r="Y935">
        <v>3</v>
      </c>
      <c r="Z935">
        <v>4</v>
      </c>
      <c r="AA935">
        <v>5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50</v>
      </c>
      <c r="AM935">
        <v>2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10</v>
      </c>
      <c r="AU935">
        <v>0</v>
      </c>
      <c r="AV935">
        <v>0</v>
      </c>
    </row>
    <row r="936" spans="1:48" x14ac:dyDescent="0.15">
      <c r="A936" s="4" t="str">
        <f>HYPERLINK("https://ibp.a2mac1.com/costing(costing:projects/details/9760/equipment/12212851)","No.10 - Injection Press - 500T - 98kW - 900x900 - Max Volume 1936cm3 ")</f>
        <v xml:space="preserve">No.10 - Injection Press - 500T - 98kW - 900x900 - Max Volume 1936cm3 </v>
      </c>
      <c r="B936">
        <v>12212851</v>
      </c>
      <c r="C936">
        <v>12085603</v>
      </c>
      <c r="E936" t="s">
        <v>1630</v>
      </c>
      <c r="H936" t="s">
        <v>162</v>
      </c>
      <c r="I936">
        <v>55874.536</v>
      </c>
      <c r="J936">
        <v>0</v>
      </c>
      <c r="K936">
        <v>3.88</v>
      </c>
      <c r="L936">
        <v>0</v>
      </c>
      <c r="M936">
        <v>15.471857280617165</v>
      </c>
      <c r="N936">
        <v>0</v>
      </c>
      <c r="O936">
        <v>3.318981995325726E-2</v>
      </c>
      <c r="P936">
        <v>2.2156854677083332E-3</v>
      </c>
      <c r="Q936">
        <v>7.3066207105110898E-3</v>
      </c>
      <c r="R936">
        <v>325000</v>
      </c>
      <c r="S936">
        <v>0</v>
      </c>
      <c r="T936">
        <v>0</v>
      </c>
      <c r="V936">
        <v>10800</v>
      </c>
      <c r="W936">
        <v>8</v>
      </c>
      <c r="X936">
        <v>85</v>
      </c>
      <c r="Y936">
        <v>3</v>
      </c>
      <c r="Z936">
        <v>4</v>
      </c>
      <c r="AA936">
        <v>5</v>
      </c>
      <c r="AB936">
        <v>0</v>
      </c>
      <c r="AC936">
        <v>0</v>
      </c>
      <c r="AD936">
        <v>0</v>
      </c>
      <c r="AE936">
        <v>0</v>
      </c>
      <c r="AF936">
        <v>0.25</v>
      </c>
      <c r="AG936">
        <v>0</v>
      </c>
      <c r="AH936">
        <v>0</v>
      </c>
      <c r="AI936">
        <v>2</v>
      </c>
      <c r="AJ936">
        <v>0</v>
      </c>
      <c r="AK936">
        <v>0</v>
      </c>
      <c r="AL936">
        <v>92</v>
      </c>
      <c r="AM936">
        <v>50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100</v>
      </c>
      <c r="AU936">
        <v>0.2</v>
      </c>
      <c r="AV936">
        <v>0</v>
      </c>
    </row>
    <row r="937" spans="1:48" x14ac:dyDescent="0.15">
      <c r="A937" s="4" t="str">
        <f>HYPERLINK("https://ibp.a2mac1.com/costing(costing:projects/details/9760/equipment/12212852)","Packaging")</f>
        <v>Packaging</v>
      </c>
      <c r="B937">
        <v>12212852</v>
      </c>
      <c r="C937">
        <v>12085604</v>
      </c>
      <c r="H937" t="s">
        <v>162</v>
      </c>
      <c r="I937">
        <v>4437.4535986499995</v>
      </c>
      <c r="J937">
        <v>0</v>
      </c>
      <c r="K937">
        <v>0.08</v>
      </c>
      <c r="L937">
        <v>0</v>
      </c>
      <c r="M937">
        <v>1.0342676949774992</v>
      </c>
      <c r="N937">
        <v>0</v>
      </c>
      <c r="O937">
        <v>2.8729658193819424E-3</v>
      </c>
      <c r="P937">
        <v>1.1476333333333333E-2</v>
      </c>
      <c r="Q937">
        <v>1.5514015424662487E-5</v>
      </c>
      <c r="R937">
        <v>29999.99999</v>
      </c>
      <c r="S937">
        <v>0</v>
      </c>
      <c r="T937">
        <v>0</v>
      </c>
      <c r="V937">
        <v>900</v>
      </c>
      <c r="W937">
        <v>10</v>
      </c>
      <c r="X937">
        <v>85</v>
      </c>
      <c r="Y937">
        <v>3</v>
      </c>
      <c r="Z937">
        <v>4</v>
      </c>
      <c r="AA937">
        <v>5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50</v>
      </c>
      <c r="AM937">
        <v>2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10</v>
      </c>
      <c r="AU937">
        <v>0</v>
      </c>
      <c r="AV937">
        <v>0</v>
      </c>
    </row>
    <row r="938" spans="1:48" x14ac:dyDescent="0.15">
      <c r="A938" s="4" t="str">
        <f>HYPERLINK("https://ibp.a2mac1.com/costing(costing:projects/details/9760/equipment/12212853)","Rubber Extrusion machine")</f>
        <v>Rubber Extrusion machine</v>
      </c>
      <c r="B938">
        <v>12212853</v>
      </c>
      <c r="C938">
        <v>12085605</v>
      </c>
      <c r="E938" t="s">
        <v>1596</v>
      </c>
      <c r="H938" t="s">
        <v>162</v>
      </c>
      <c r="I938">
        <v>127372.68</v>
      </c>
      <c r="J938">
        <v>0</v>
      </c>
      <c r="K938">
        <v>8.8000000000000007</v>
      </c>
      <c r="L938">
        <v>0</v>
      </c>
      <c r="M938">
        <v>35.700141433622626</v>
      </c>
      <c r="N938">
        <v>0</v>
      </c>
      <c r="O938">
        <v>0.44625176792028287</v>
      </c>
      <c r="P938">
        <v>0.103287</v>
      </c>
      <c r="Q938">
        <v>1.4478114430086788E-3</v>
      </c>
      <c r="R938">
        <v>800000</v>
      </c>
      <c r="S938">
        <v>0</v>
      </c>
      <c r="T938">
        <v>0</v>
      </c>
      <c r="V938">
        <v>1800</v>
      </c>
      <c r="W938">
        <v>10</v>
      </c>
      <c r="X938">
        <v>85</v>
      </c>
      <c r="Y938">
        <v>3</v>
      </c>
      <c r="Z938">
        <v>4</v>
      </c>
      <c r="AA938">
        <v>5</v>
      </c>
      <c r="AB938">
        <v>0</v>
      </c>
      <c r="AC938">
        <v>0</v>
      </c>
      <c r="AD938">
        <v>0</v>
      </c>
      <c r="AE938">
        <v>0</v>
      </c>
      <c r="AF938">
        <v>2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100</v>
      </c>
      <c r="AM938">
        <v>110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500</v>
      </c>
      <c r="AU938">
        <v>0</v>
      </c>
      <c r="AV938">
        <v>0</v>
      </c>
    </row>
    <row r="939" spans="1:48" x14ac:dyDescent="0.15">
      <c r="A939" s="4" t="str">
        <f>HYPERLINK("https://ibp.a2mac1.com/costing(costing:projects/details/9760/equipment/12212854)","Seal welding/joining station, manual")</f>
        <v>Seal welding/joining station, manual</v>
      </c>
      <c r="B939">
        <v>12212854</v>
      </c>
      <c r="C939">
        <v>12085606</v>
      </c>
      <c r="E939" t="s">
        <v>738</v>
      </c>
      <c r="H939" t="s">
        <v>162</v>
      </c>
      <c r="I939">
        <v>4149.9071999999996</v>
      </c>
      <c r="J939">
        <v>0</v>
      </c>
      <c r="K939">
        <v>0.24</v>
      </c>
      <c r="L939">
        <v>0</v>
      </c>
      <c r="M939">
        <v>1.0275132111861138</v>
      </c>
      <c r="N939">
        <v>0</v>
      </c>
      <c r="O939">
        <v>8.5626100932176142E-3</v>
      </c>
      <c r="P939">
        <v>6.9664000000000004E-2</v>
      </c>
      <c r="Q939">
        <v>9.3871932111861135E-5</v>
      </c>
      <c r="R939">
        <v>25000</v>
      </c>
      <c r="S939">
        <v>0</v>
      </c>
      <c r="T939">
        <v>0</v>
      </c>
      <c r="V939">
        <v>600</v>
      </c>
      <c r="W939">
        <v>10</v>
      </c>
      <c r="X939">
        <v>85</v>
      </c>
      <c r="Y939">
        <v>3</v>
      </c>
      <c r="Z939">
        <v>3</v>
      </c>
      <c r="AA939">
        <v>3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100</v>
      </c>
      <c r="AM939">
        <v>3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20</v>
      </c>
      <c r="AU939">
        <v>0</v>
      </c>
      <c r="AV939">
        <v>0</v>
      </c>
    </row>
    <row r="940" spans="1:48" x14ac:dyDescent="0.15">
      <c r="A940" s="4" t="str">
        <f>HYPERLINK("https://ibp.a2mac1.com/costing(costing:projects/details/9760/equipment/12212855)","Rubber Extrusion machine")</f>
        <v>Rubber Extrusion machine</v>
      </c>
      <c r="B940">
        <v>12212855</v>
      </c>
      <c r="C940">
        <v>12085607</v>
      </c>
      <c r="E940" t="s">
        <v>1596</v>
      </c>
      <c r="H940" t="s">
        <v>162</v>
      </c>
      <c r="I940">
        <v>127372.68</v>
      </c>
      <c r="J940">
        <v>0</v>
      </c>
      <c r="K940">
        <v>8.8000000000000007</v>
      </c>
      <c r="L940">
        <v>0</v>
      </c>
      <c r="M940">
        <v>35.700141433622626</v>
      </c>
      <c r="N940">
        <v>0</v>
      </c>
      <c r="O940">
        <v>0.44625176792028287</v>
      </c>
      <c r="P940">
        <v>0.103287</v>
      </c>
      <c r="Q940">
        <v>1.4478114430086788E-3</v>
      </c>
      <c r="R940">
        <v>800000</v>
      </c>
      <c r="S940">
        <v>0</v>
      </c>
      <c r="T940">
        <v>0</v>
      </c>
      <c r="V940">
        <v>1800</v>
      </c>
      <c r="W940">
        <v>10</v>
      </c>
      <c r="X940">
        <v>85</v>
      </c>
      <c r="Y940">
        <v>3</v>
      </c>
      <c r="Z940">
        <v>4</v>
      </c>
      <c r="AA940">
        <v>5</v>
      </c>
      <c r="AB940">
        <v>0</v>
      </c>
      <c r="AC940">
        <v>0</v>
      </c>
      <c r="AD940">
        <v>0</v>
      </c>
      <c r="AE940">
        <v>0</v>
      </c>
      <c r="AF940">
        <v>2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100</v>
      </c>
      <c r="AM940">
        <v>110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500</v>
      </c>
      <c r="AU940">
        <v>0</v>
      </c>
      <c r="AV940">
        <v>0</v>
      </c>
    </row>
    <row r="941" spans="1:48" x14ac:dyDescent="0.15">
      <c r="A941" s="4" t="str">
        <f>HYPERLINK("https://ibp.a2mac1.com/costing(costing:projects/details/9760/equipment/12212856)","Rubber Extrusion machine")</f>
        <v>Rubber Extrusion machine</v>
      </c>
      <c r="B941">
        <v>12212856</v>
      </c>
      <c r="C941">
        <v>12085608</v>
      </c>
      <c r="E941" t="s">
        <v>1596</v>
      </c>
      <c r="H941" t="s">
        <v>162</v>
      </c>
      <c r="I941">
        <v>127372.68</v>
      </c>
      <c r="J941">
        <v>0</v>
      </c>
      <c r="K941">
        <v>8.8000000000000007</v>
      </c>
      <c r="L941">
        <v>0</v>
      </c>
      <c r="M941">
        <v>35.700141433622626</v>
      </c>
      <c r="N941">
        <v>0</v>
      </c>
      <c r="O941">
        <v>0.44625176792028287</v>
      </c>
      <c r="P941">
        <v>0.103287</v>
      </c>
      <c r="Q941">
        <v>1.4478114430086788E-3</v>
      </c>
      <c r="R941">
        <v>800000</v>
      </c>
      <c r="S941">
        <v>0</v>
      </c>
      <c r="T941">
        <v>0</v>
      </c>
      <c r="V941">
        <v>1800</v>
      </c>
      <c r="W941">
        <v>10</v>
      </c>
      <c r="X941">
        <v>85</v>
      </c>
      <c r="Y941">
        <v>3</v>
      </c>
      <c r="Z941">
        <v>4</v>
      </c>
      <c r="AA941">
        <v>5</v>
      </c>
      <c r="AB941">
        <v>0</v>
      </c>
      <c r="AC941">
        <v>0</v>
      </c>
      <c r="AD941">
        <v>0</v>
      </c>
      <c r="AE941">
        <v>0</v>
      </c>
      <c r="AF941">
        <v>2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100</v>
      </c>
      <c r="AM941">
        <v>110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500</v>
      </c>
      <c r="AU941">
        <v>0</v>
      </c>
      <c r="AV941">
        <v>0</v>
      </c>
    </row>
    <row r="942" spans="1:48" x14ac:dyDescent="0.15">
      <c r="A942" s="4" t="str">
        <f>HYPERLINK("https://ibp.a2mac1.com/costing(costing:projects/details/9760/equipment/12212397)","Rubber Extrusion machine")</f>
        <v>Rubber Extrusion machine</v>
      </c>
      <c r="B942">
        <v>12212397</v>
      </c>
      <c r="C942">
        <v>12085301</v>
      </c>
      <c r="E942" t="s">
        <v>1596</v>
      </c>
      <c r="H942" t="s">
        <v>162</v>
      </c>
      <c r="I942">
        <v>127372.68</v>
      </c>
      <c r="J942">
        <v>0</v>
      </c>
      <c r="K942">
        <v>8.8000000000000007</v>
      </c>
      <c r="L942">
        <v>0</v>
      </c>
      <c r="M942">
        <v>35.700141433622626</v>
      </c>
      <c r="N942">
        <v>0</v>
      </c>
      <c r="O942">
        <v>0.19833411907568127</v>
      </c>
      <c r="P942">
        <v>4.5905333333333333E-2</v>
      </c>
      <c r="Q942">
        <v>1.4478114430086788E-3</v>
      </c>
      <c r="R942">
        <v>800000</v>
      </c>
      <c r="S942">
        <v>0</v>
      </c>
      <c r="T942">
        <v>0</v>
      </c>
      <c r="V942">
        <v>1800</v>
      </c>
      <c r="W942">
        <v>10</v>
      </c>
      <c r="X942">
        <v>85</v>
      </c>
      <c r="Y942">
        <v>3</v>
      </c>
      <c r="Z942">
        <v>4</v>
      </c>
      <c r="AA942">
        <v>5</v>
      </c>
      <c r="AB942">
        <v>0</v>
      </c>
      <c r="AC942">
        <v>0</v>
      </c>
      <c r="AD942">
        <v>0</v>
      </c>
      <c r="AE942">
        <v>0</v>
      </c>
      <c r="AF942">
        <v>2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100</v>
      </c>
      <c r="AM942">
        <v>110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500</v>
      </c>
      <c r="AU942">
        <v>0</v>
      </c>
      <c r="AV942">
        <v>0</v>
      </c>
    </row>
    <row r="943" spans="1:48" x14ac:dyDescent="0.15">
      <c r="A943" s="4" t="str">
        <f>HYPERLINK("https://ibp.a2mac1.com/costing(costing:projects/details/9760/equipment/12212398)","Rubber Extrusion machine")</f>
        <v>Rubber Extrusion machine</v>
      </c>
      <c r="B943">
        <v>12212398</v>
      </c>
      <c r="C943">
        <v>12085302</v>
      </c>
      <c r="E943" t="s">
        <v>1596</v>
      </c>
      <c r="H943" t="s">
        <v>162</v>
      </c>
      <c r="I943">
        <v>127372.68</v>
      </c>
      <c r="J943">
        <v>0</v>
      </c>
      <c r="K943">
        <v>8.8000000000000007</v>
      </c>
      <c r="L943">
        <v>0</v>
      </c>
      <c r="M943">
        <v>35.700141433622626</v>
      </c>
      <c r="N943">
        <v>0</v>
      </c>
      <c r="O943">
        <v>0.14875058930676097</v>
      </c>
      <c r="P943">
        <v>3.4429000000000001E-2</v>
      </c>
      <c r="Q943">
        <v>1.4478114430086788E-3</v>
      </c>
      <c r="R943">
        <v>800000</v>
      </c>
      <c r="S943">
        <v>0</v>
      </c>
      <c r="T943">
        <v>0</v>
      </c>
      <c r="V943">
        <v>1800</v>
      </c>
      <c r="W943">
        <v>10</v>
      </c>
      <c r="X943">
        <v>85</v>
      </c>
      <c r="Y943">
        <v>3</v>
      </c>
      <c r="Z943">
        <v>4</v>
      </c>
      <c r="AA943">
        <v>5</v>
      </c>
      <c r="AB943">
        <v>0</v>
      </c>
      <c r="AC943">
        <v>0</v>
      </c>
      <c r="AD943">
        <v>0</v>
      </c>
      <c r="AE943">
        <v>0</v>
      </c>
      <c r="AF943">
        <v>2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100</v>
      </c>
      <c r="AM943">
        <v>110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500</v>
      </c>
      <c r="AU943">
        <v>0</v>
      </c>
      <c r="AV943">
        <v>0</v>
      </c>
    </row>
    <row r="944" spans="1:48" x14ac:dyDescent="0.15">
      <c r="A944" s="4" t="str">
        <f>HYPERLINK("https://ibp.a2mac1.com/costing(costing:projects/details/9760/equipment/12212399)","No.01 - Extrusion Press Line - 600T ")</f>
        <v xml:space="preserve">No.01 - Extrusion Press Line - 600T </v>
      </c>
      <c r="B944">
        <v>12212399</v>
      </c>
      <c r="C944">
        <v>12085303</v>
      </c>
      <c r="E944" t="s">
        <v>1630</v>
      </c>
      <c r="H944" t="s">
        <v>162</v>
      </c>
      <c r="I944">
        <v>538349.80249599996</v>
      </c>
      <c r="J944">
        <v>0</v>
      </c>
      <c r="K944">
        <v>67.951880000000003</v>
      </c>
      <c r="L944">
        <v>0</v>
      </c>
      <c r="M944">
        <v>180.59247827965285</v>
      </c>
      <c r="N944">
        <v>0</v>
      </c>
      <c r="O944">
        <v>0.157106426479384</v>
      </c>
      <c r="P944">
        <v>1.4460865668000001E-2</v>
      </c>
      <c r="Q944">
        <v>1.1589163096779171E-3</v>
      </c>
      <c r="R944">
        <v>3250000</v>
      </c>
      <c r="S944">
        <v>0</v>
      </c>
      <c r="T944">
        <v>0</v>
      </c>
      <c r="V944">
        <v>360</v>
      </c>
      <c r="W944">
        <v>8</v>
      </c>
      <c r="X944">
        <v>85</v>
      </c>
      <c r="Y944">
        <v>3</v>
      </c>
      <c r="Z944">
        <v>4</v>
      </c>
      <c r="AA944">
        <v>5</v>
      </c>
      <c r="AB944">
        <v>0</v>
      </c>
      <c r="AC944">
        <v>1</v>
      </c>
      <c r="AD944">
        <v>0</v>
      </c>
      <c r="AE944">
        <v>0</v>
      </c>
      <c r="AF944">
        <v>2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99</v>
      </c>
      <c r="AM944">
        <v>800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473.6</v>
      </c>
      <c r="AU944">
        <v>3.9</v>
      </c>
      <c r="AV944">
        <v>0</v>
      </c>
    </row>
    <row r="945" spans="1:48" x14ac:dyDescent="0.15">
      <c r="A945" s="4" t="str">
        <f>HYPERLINK("https://ibp.a2mac1.com/costing(costing:projects/details/9760/equipment/12212400)","Dummy Machine (PCBA+Final Assembly Line)")</f>
        <v>Dummy Machine (PCBA+Final Assembly Line)</v>
      </c>
      <c r="B945">
        <v>12212400</v>
      </c>
      <c r="C945">
        <v>12085304</v>
      </c>
      <c r="F945" t="s">
        <v>358</v>
      </c>
      <c r="H945" t="s">
        <v>162</v>
      </c>
      <c r="I945">
        <v>79501.662769714283</v>
      </c>
      <c r="J945">
        <v>0</v>
      </c>
      <c r="K945">
        <v>0.28895999999999999</v>
      </c>
      <c r="L945">
        <v>0</v>
      </c>
      <c r="M945">
        <v>16.624578413647427</v>
      </c>
      <c r="N945">
        <v>0</v>
      </c>
      <c r="O945">
        <v>0.36943507585883167</v>
      </c>
      <c r="P945">
        <v>6.4267466666666662E-2</v>
      </c>
      <c r="Q945">
        <v>1.1481975848188456E-4</v>
      </c>
      <c r="R945">
        <v>442771.1</v>
      </c>
      <c r="S945">
        <v>0</v>
      </c>
      <c r="T945">
        <v>0</v>
      </c>
      <c r="V945">
        <v>216</v>
      </c>
      <c r="W945">
        <v>7</v>
      </c>
      <c r="X945">
        <v>85</v>
      </c>
      <c r="Y945">
        <v>3</v>
      </c>
      <c r="Z945">
        <v>4</v>
      </c>
      <c r="AA945">
        <v>5</v>
      </c>
      <c r="AB945">
        <v>0</v>
      </c>
      <c r="AC945">
        <v>0</v>
      </c>
      <c r="AD945">
        <v>0</v>
      </c>
      <c r="AE945">
        <v>0</v>
      </c>
      <c r="AF945">
        <v>0.7</v>
      </c>
      <c r="AG945">
        <v>0</v>
      </c>
      <c r="AH945">
        <v>0</v>
      </c>
      <c r="AI945">
        <v>0.2</v>
      </c>
      <c r="AJ945">
        <v>0</v>
      </c>
      <c r="AK945">
        <v>0</v>
      </c>
      <c r="AL945">
        <v>86</v>
      </c>
      <c r="AM945">
        <v>4.2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19.399999999999999</v>
      </c>
      <c r="AU945">
        <v>0</v>
      </c>
      <c r="AV945">
        <v>0</v>
      </c>
    </row>
    <row r="946" spans="1:48" x14ac:dyDescent="0.15">
      <c r="A946" s="4" t="str">
        <f>HYPERLINK("https://ibp.a2mac1.com/costing(costing:projects/details/9760/equipment/12212857)","DC machine - General")</f>
        <v>DC machine - General</v>
      </c>
      <c r="B946">
        <v>12212857</v>
      </c>
      <c r="C946">
        <v>12085609</v>
      </c>
      <c r="E946" t="s">
        <v>738</v>
      </c>
      <c r="H946" t="s">
        <v>162</v>
      </c>
      <c r="I946">
        <v>116914.84457142858</v>
      </c>
      <c r="J946">
        <v>0</v>
      </c>
      <c r="K946">
        <v>3.6</v>
      </c>
      <c r="L946">
        <v>0</v>
      </c>
      <c r="M946">
        <v>27.497982091197134</v>
      </c>
      <c r="N946">
        <v>0</v>
      </c>
      <c r="O946">
        <v>5.7211079406407368</v>
      </c>
      <c r="P946">
        <v>0.85957736666666662</v>
      </c>
      <c r="Q946">
        <v>1.1732166376415484E-2</v>
      </c>
      <c r="R946">
        <v>635568</v>
      </c>
      <c r="S946">
        <v>0</v>
      </c>
      <c r="T946">
        <v>0</v>
      </c>
      <c r="V946">
        <v>10800</v>
      </c>
      <c r="W946">
        <v>7</v>
      </c>
      <c r="X946">
        <v>85</v>
      </c>
      <c r="Y946">
        <v>3</v>
      </c>
      <c r="Z946">
        <v>4</v>
      </c>
      <c r="AA946">
        <v>5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3</v>
      </c>
      <c r="AJ946">
        <v>0</v>
      </c>
      <c r="AK946">
        <v>0</v>
      </c>
      <c r="AL946">
        <v>100</v>
      </c>
      <c r="AM946">
        <v>45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100</v>
      </c>
      <c r="AU946">
        <v>0</v>
      </c>
      <c r="AV946">
        <v>0</v>
      </c>
    </row>
    <row r="947" spans="1:48" x14ac:dyDescent="0.15">
      <c r="A947" s="4" t="str">
        <f>HYPERLINK("https://ibp.a2mac1.com/costing(costing:projects/details/9760/equipment/12212858)","Equipment (Injection Molding)")</f>
        <v>Equipment (Injection Molding)</v>
      </c>
      <c r="B947">
        <v>12212858</v>
      </c>
      <c r="C947">
        <v>12085610</v>
      </c>
      <c r="H947" t="s">
        <v>162</v>
      </c>
      <c r="I947">
        <v>342.58836300000002</v>
      </c>
      <c r="J947">
        <v>0</v>
      </c>
      <c r="K947">
        <v>1.456E-2</v>
      </c>
      <c r="L947">
        <v>0</v>
      </c>
      <c r="M947">
        <v>8.424633285117325E-2</v>
      </c>
      <c r="N947">
        <v>0</v>
      </c>
      <c r="O947">
        <v>1.4041055475195543E-3</v>
      </c>
      <c r="P947">
        <v>8.95154E-5</v>
      </c>
      <c r="Q947">
        <v>7.3723824523589685E-6</v>
      </c>
      <c r="R947">
        <v>1820</v>
      </c>
      <c r="S947">
        <v>0</v>
      </c>
      <c r="T947">
        <v>0</v>
      </c>
      <c r="V947">
        <v>17.55</v>
      </c>
      <c r="W947">
        <v>7</v>
      </c>
      <c r="X947">
        <v>85</v>
      </c>
      <c r="Y947">
        <v>3</v>
      </c>
      <c r="Z947">
        <v>4</v>
      </c>
      <c r="AA947">
        <v>5</v>
      </c>
      <c r="AB947">
        <v>0</v>
      </c>
      <c r="AC947">
        <v>0</v>
      </c>
      <c r="AD947">
        <v>0</v>
      </c>
      <c r="AE947">
        <v>0</v>
      </c>
      <c r="AF947">
        <v>1.2999999999999999E-3</v>
      </c>
      <c r="AG947">
        <v>0</v>
      </c>
      <c r="AH947">
        <v>0</v>
      </c>
      <c r="AI947">
        <v>2</v>
      </c>
      <c r="AJ947">
        <v>0</v>
      </c>
      <c r="AK947">
        <v>0</v>
      </c>
      <c r="AL947">
        <v>80</v>
      </c>
      <c r="AM947">
        <v>0.22750000000000001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0.48749999999999999</v>
      </c>
      <c r="AU947">
        <v>0</v>
      </c>
      <c r="AV947">
        <v>0</v>
      </c>
    </row>
    <row r="948" spans="1:48" x14ac:dyDescent="0.15">
      <c r="A948" s="4" t="str">
        <f>HYPERLINK("https://ibp.a2mac1.com/costing(costing:projects/details/9760/equipment/12212859)","No.01 - Injection Press - 40T - 18kW - 270x270 - Max Volume 128cm3 ")</f>
        <v xml:space="preserve">No.01 - Injection Press - 40T - 18kW - 270x270 - Max Volume 128cm3 </v>
      </c>
      <c r="B948">
        <v>12212859</v>
      </c>
      <c r="C948">
        <v>12085611</v>
      </c>
      <c r="E948" t="s">
        <v>1630</v>
      </c>
      <c r="H948" t="s">
        <v>162</v>
      </c>
      <c r="I948">
        <v>13574.9072</v>
      </c>
      <c r="J948">
        <v>0</v>
      </c>
      <c r="K948">
        <v>1.6020000000000001</v>
      </c>
      <c r="L948">
        <v>0</v>
      </c>
      <c r="M948">
        <v>4.4266395371263263</v>
      </c>
      <c r="N948">
        <v>0</v>
      </c>
      <c r="O948">
        <v>1.9626797491047895E-2</v>
      </c>
      <c r="P948">
        <v>4.5795303987500001E-3</v>
      </c>
      <c r="Q948">
        <v>3.5456543444551589E-3</v>
      </c>
      <c r="R948">
        <v>80000</v>
      </c>
      <c r="S948">
        <v>0</v>
      </c>
      <c r="T948">
        <v>0</v>
      </c>
      <c r="V948">
        <v>7200</v>
      </c>
      <c r="W948">
        <v>8</v>
      </c>
      <c r="X948">
        <v>85</v>
      </c>
      <c r="Y948">
        <v>3</v>
      </c>
      <c r="Z948">
        <v>4</v>
      </c>
      <c r="AA948">
        <v>5</v>
      </c>
      <c r="AB948">
        <v>0</v>
      </c>
      <c r="AC948">
        <v>0</v>
      </c>
      <c r="AD948">
        <v>0</v>
      </c>
      <c r="AE948">
        <v>0</v>
      </c>
      <c r="AF948">
        <v>0.25</v>
      </c>
      <c r="AG948">
        <v>0</v>
      </c>
      <c r="AH948">
        <v>0</v>
      </c>
      <c r="AI948">
        <v>2</v>
      </c>
      <c r="AJ948">
        <v>0</v>
      </c>
      <c r="AK948">
        <v>0</v>
      </c>
      <c r="AL948">
        <v>97</v>
      </c>
      <c r="AM948">
        <v>20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20</v>
      </c>
      <c r="AU948">
        <v>0.05</v>
      </c>
      <c r="AV948">
        <v>0</v>
      </c>
    </row>
    <row r="949" spans="1:48" x14ac:dyDescent="0.15">
      <c r="A949" s="4" t="str">
        <f>HYPERLINK("https://ibp.a2mac1.com/costing(costing:projects/details/9760/equipment/12212860)","Coiler Equipment ")</f>
        <v xml:space="preserve">Coiler Equipment </v>
      </c>
      <c r="B949">
        <v>12212860</v>
      </c>
      <c r="C949">
        <v>12085612</v>
      </c>
      <c r="F949" t="s">
        <v>5446</v>
      </c>
      <c r="H949" t="s">
        <v>162</v>
      </c>
      <c r="I949">
        <v>36268.448389199999</v>
      </c>
      <c r="J949">
        <v>0</v>
      </c>
      <c r="K949">
        <v>1.08</v>
      </c>
      <c r="L949">
        <v>0</v>
      </c>
      <c r="M949">
        <v>8.918066278559948</v>
      </c>
      <c r="N949">
        <v>0</v>
      </c>
      <c r="O949">
        <v>7.4317218987999575E-2</v>
      </c>
      <c r="P949">
        <v>3.4832000000000002E-2</v>
      </c>
      <c r="Q949">
        <v>5.1057819417839919E-4</v>
      </c>
      <c r="R949">
        <v>249999.99992</v>
      </c>
      <c r="S949">
        <v>0</v>
      </c>
      <c r="T949">
        <v>0</v>
      </c>
      <c r="V949">
        <v>900</v>
      </c>
      <c r="W949">
        <v>10</v>
      </c>
      <c r="X949">
        <v>85</v>
      </c>
      <c r="Y949">
        <v>3</v>
      </c>
      <c r="Z949">
        <v>4</v>
      </c>
      <c r="AA949">
        <v>5</v>
      </c>
      <c r="AB949">
        <v>0</v>
      </c>
      <c r="AC949">
        <v>0.5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</v>
      </c>
      <c r="AK949">
        <v>0</v>
      </c>
      <c r="AL949">
        <v>90</v>
      </c>
      <c r="AM949">
        <v>15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65</v>
      </c>
      <c r="AU949">
        <v>0</v>
      </c>
      <c r="AV949">
        <v>0</v>
      </c>
    </row>
    <row r="950" spans="1:48" x14ac:dyDescent="0.15">
      <c r="A950" s="4" t="str">
        <f>HYPERLINK("https://ibp.a2mac1.com/costing(costing:projects/details/9760/equipment/12212861)","Furnace hardening line ")</f>
        <v xml:space="preserve">Furnace hardening line </v>
      </c>
      <c r="B950">
        <v>12212861</v>
      </c>
      <c r="C950">
        <v>12085613</v>
      </c>
      <c r="E950" t="s">
        <v>1630</v>
      </c>
      <c r="F950" t="s">
        <v>5447</v>
      </c>
      <c r="G950" t="s">
        <v>5448</v>
      </c>
      <c r="H950" t="s">
        <v>162</v>
      </c>
      <c r="I950">
        <v>61614.573120000001</v>
      </c>
      <c r="J950">
        <v>0</v>
      </c>
      <c r="K950">
        <v>1.4737359999999999</v>
      </c>
      <c r="L950">
        <v>0</v>
      </c>
      <c r="M950">
        <v>14.831912329154612</v>
      </c>
      <c r="N950">
        <v>0</v>
      </c>
      <c r="O950">
        <v>7.4159561645773059E-2</v>
      </c>
      <c r="P950">
        <v>2.0657399999999999E-2</v>
      </c>
      <c r="Q950">
        <v>8.2176456987463837E-4</v>
      </c>
      <c r="R950">
        <v>430000</v>
      </c>
      <c r="S950">
        <v>0</v>
      </c>
      <c r="T950">
        <v>0</v>
      </c>
      <c r="V950">
        <v>1800</v>
      </c>
      <c r="W950">
        <v>10</v>
      </c>
      <c r="X950">
        <v>85</v>
      </c>
      <c r="Y950">
        <v>3</v>
      </c>
      <c r="Z950">
        <v>4</v>
      </c>
      <c r="AA950">
        <v>5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100</v>
      </c>
      <c r="AM950">
        <v>16</v>
      </c>
      <c r="AN950">
        <v>0</v>
      </c>
      <c r="AO950">
        <v>0</v>
      </c>
      <c r="AP950">
        <v>0</v>
      </c>
      <c r="AQ950">
        <v>2</v>
      </c>
      <c r="AR950">
        <v>0</v>
      </c>
      <c r="AS950">
        <v>0.2</v>
      </c>
      <c r="AT950">
        <v>92</v>
      </c>
      <c r="AU950">
        <v>0</v>
      </c>
      <c r="AV950">
        <v>0</v>
      </c>
    </row>
    <row r="951" spans="1:48" x14ac:dyDescent="0.15">
      <c r="A951" s="4" t="str">
        <f>HYPERLINK("https://ibp.a2mac1.com/costing(costing:projects/details/9760/equipment/12212862)","No.01 - Injection Press - 40T - 18kW - 270x270 - Max Volume 128cm3 ")</f>
        <v xml:space="preserve">No.01 - Injection Press - 40T - 18kW - 270x270 - Max Volume 128cm3 </v>
      </c>
      <c r="B951">
        <v>12212862</v>
      </c>
      <c r="C951">
        <v>12085614</v>
      </c>
      <c r="E951" t="s">
        <v>1630</v>
      </c>
      <c r="H951" t="s">
        <v>162</v>
      </c>
      <c r="I951">
        <v>13574.9072</v>
      </c>
      <c r="J951">
        <v>0</v>
      </c>
      <c r="K951">
        <v>1.6020000000000001</v>
      </c>
      <c r="L951">
        <v>0</v>
      </c>
      <c r="M951">
        <v>4.4266395371263263</v>
      </c>
      <c r="N951">
        <v>0</v>
      </c>
      <c r="O951">
        <v>1.5201387576015215E-2</v>
      </c>
      <c r="P951">
        <v>3.5469473070833335E-3</v>
      </c>
      <c r="Q951">
        <v>3.5456543444551589E-3</v>
      </c>
      <c r="R951">
        <v>80000</v>
      </c>
      <c r="S951">
        <v>0</v>
      </c>
      <c r="T951">
        <v>0</v>
      </c>
      <c r="V951">
        <v>7200</v>
      </c>
      <c r="W951">
        <v>8</v>
      </c>
      <c r="X951">
        <v>85</v>
      </c>
      <c r="Y951">
        <v>3</v>
      </c>
      <c r="Z951">
        <v>4</v>
      </c>
      <c r="AA951">
        <v>5</v>
      </c>
      <c r="AB951">
        <v>0</v>
      </c>
      <c r="AC951">
        <v>0</v>
      </c>
      <c r="AD951">
        <v>0</v>
      </c>
      <c r="AE951">
        <v>0</v>
      </c>
      <c r="AF951">
        <v>0.25</v>
      </c>
      <c r="AG951">
        <v>0</v>
      </c>
      <c r="AH951">
        <v>0</v>
      </c>
      <c r="AI951">
        <v>2</v>
      </c>
      <c r="AJ951">
        <v>0</v>
      </c>
      <c r="AK951">
        <v>0</v>
      </c>
      <c r="AL951">
        <v>97</v>
      </c>
      <c r="AM951">
        <v>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20</v>
      </c>
      <c r="AU951">
        <v>0.05</v>
      </c>
      <c r="AV951">
        <v>0</v>
      </c>
    </row>
    <row r="952" spans="1:48" x14ac:dyDescent="0.15">
      <c r="A952" s="4" t="str">
        <f>HYPERLINK("https://ibp.a2mac1.com/costing(costing:projects/details/9760/equipment/12212863)","No.06 - Injection Press - 200T - 45kW - 510x510 - Max Volume 624cm3 ")</f>
        <v xml:space="preserve">No.06 - Injection Press - 200T - 45kW - 510x510 - Max Volume 624cm3 </v>
      </c>
      <c r="B952">
        <v>12212863</v>
      </c>
      <c r="C952">
        <v>12085615</v>
      </c>
      <c r="E952" t="s">
        <v>1630</v>
      </c>
      <c r="H952" t="s">
        <v>162</v>
      </c>
      <c r="I952">
        <v>34247.230880000003</v>
      </c>
      <c r="J952">
        <v>0</v>
      </c>
      <c r="K952">
        <v>2.6539999999999999</v>
      </c>
      <c r="L952">
        <v>0</v>
      </c>
      <c r="M952">
        <v>9.7654160848601741</v>
      </c>
      <c r="N952">
        <v>0</v>
      </c>
      <c r="O952">
        <v>0.13025673485411379</v>
      </c>
      <c r="P952">
        <v>1.377701396025E-2</v>
      </c>
      <c r="Q952">
        <v>4.1863075301832205E-3</v>
      </c>
      <c r="R952">
        <v>200000</v>
      </c>
      <c r="S952">
        <v>0</v>
      </c>
      <c r="T952">
        <v>0</v>
      </c>
      <c r="V952">
        <v>7200</v>
      </c>
      <c r="W952">
        <v>8</v>
      </c>
      <c r="X952">
        <v>85</v>
      </c>
      <c r="Y952">
        <v>3</v>
      </c>
      <c r="Z952">
        <v>4</v>
      </c>
      <c r="AA952">
        <v>5</v>
      </c>
      <c r="AB952">
        <v>0</v>
      </c>
      <c r="AC952">
        <v>0</v>
      </c>
      <c r="AD952">
        <v>0</v>
      </c>
      <c r="AE952">
        <v>0</v>
      </c>
      <c r="AF952">
        <v>0.25</v>
      </c>
      <c r="AG952">
        <v>0</v>
      </c>
      <c r="AH952">
        <v>0</v>
      </c>
      <c r="AI952">
        <v>2</v>
      </c>
      <c r="AJ952">
        <v>0</v>
      </c>
      <c r="AK952">
        <v>0</v>
      </c>
      <c r="AL952">
        <v>93</v>
      </c>
      <c r="AM952">
        <v>35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58</v>
      </c>
      <c r="AU952">
        <v>0.05</v>
      </c>
      <c r="AV952">
        <v>0</v>
      </c>
    </row>
    <row r="953" spans="1:48" x14ac:dyDescent="0.15">
      <c r="A953" s="4" t="str">
        <f>HYPERLINK("https://ibp.a2mac1.com/costing(costing:projects/details/9760/equipment/12212864)","No.02 - Injection Press - 60T - 25kW - 320x320 - Max Volume 164cm3 ")</f>
        <v xml:space="preserve">No.02 - Injection Press - 60T - 25kW - 320x320 - Max Volume 164cm3 </v>
      </c>
      <c r="B953">
        <v>12212864</v>
      </c>
      <c r="C953">
        <v>12085616</v>
      </c>
      <c r="E953" t="s">
        <v>1630</v>
      </c>
      <c r="H953" t="s">
        <v>162</v>
      </c>
      <c r="I953">
        <v>16929.888640000001</v>
      </c>
      <c r="J953">
        <v>0</v>
      </c>
      <c r="K953">
        <v>1.9124000000000001</v>
      </c>
      <c r="L953">
        <v>0</v>
      </c>
      <c r="M953">
        <v>5.4369722661523623</v>
      </c>
      <c r="N953">
        <v>0</v>
      </c>
      <c r="O953">
        <v>3.1146420556289297E-2</v>
      </c>
      <c r="P953">
        <v>5.9169335110000002E-3</v>
      </c>
      <c r="Q953">
        <v>3.6668942719382835E-3</v>
      </c>
      <c r="R953">
        <v>100000</v>
      </c>
      <c r="S953">
        <v>0</v>
      </c>
      <c r="T953">
        <v>0</v>
      </c>
      <c r="V953">
        <v>7200</v>
      </c>
      <c r="W953">
        <v>8</v>
      </c>
      <c r="X953">
        <v>85</v>
      </c>
      <c r="Y953">
        <v>3</v>
      </c>
      <c r="Z953">
        <v>4</v>
      </c>
      <c r="AA953">
        <v>5</v>
      </c>
      <c r="AB953">
        <v>0</v>
      </c>
      <c r="AC953">
        <v>0</v>
      </c>
      <c r="AD953">
        <v>0</v>
      </c>
      <c r="AE953">
        <v>0</v>
      </c>
      <c r="AF953">
        <v>0.25</v>
      </c>
      <c r="AG953">
        <v>0</v>
      </c>
      <c r="AH953">
        <v>0</v>
      </c>
      <c r="AI953">
        <v>2</v>
      </c>
      <c r="AJ953">
        <v>0</v>
      </c>
      <c r="AK953">
        <v>0</v>
      </c>
      <c r="AL953">
        <v>97</v>
      </c>
      <c r="AM953">
        <v>24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24</v>
      </c>
      <c r="AU953">
        <v>0.05</v>
      </c>
      <c r="AV953">
        <v>0</v>
      </c>
    </row>
    <row r="954" spans="1:48" x14ac:dyDescent="0.15">
      <c r="A954" s="4" t="str">
        <f>HYPERLINK("https://ibp.a2mac1.com/costing(costing:projects/details/9760/equipment/12212865)","No.04 - 60000x6000x3500 - Automatic Painting Line - with 12x100kW on line ovens ")</f>
        <v xml:space="preserve">No.04 - 60000x6000x3500 - Automatic Painting Line - with 12x100kW on line ovens </v>
      </c>
      <c r="B954">
        <v>12212865</v>
      </c>
      <c r="C954">
        <v>12085617</v>
      </c>
      <c r="E954" t="s">
        <v>1630</v>
      </c>
      <c r="G954" t="s">
        <v>5227</v>
      </c>
      <c r="H954" t="s">
        <v>162</v>
      </c>
      <c r="I954">
        <v>1438767.4831999999</v>
      </c>
      <c r="J954">
        <v>0</v>
      </c>
      <c r="K954">
        <v>279.76751999999999</v>
      </c>
      <c r="L954">
        <v>0</v>
      </c>
      <c r="M954">
        <v>580.11587795564128</v>
      </c>
      <c r="N954">
        <v>0</v>
      </c>
      <c r="O954">
        <v>0.43508690846673098</v>
      </c>
      <c r="P954">
        <v>2.1690270000000001E-2</v>
      </c>
      <c r="Q954">
        <v>0</v>
      </c>
      <c r="R954">
        <v>8600000</v>
      </c>
      <c r="S954">
        <v>0</v>
      </c>
      <c r="T954">
        <v>0</v>
      </c>
      <c r="V954">
        <v>0</v>
      </c>
      <c r="W954">
        <v>8</v>
      </c>
      <c r="X954">
        <v>85</v>
      </c>
      <c r="Y954">
        <v>3</v>
      </c>
      <c r="Z954">
        <v>4</v>
      </c>
      <c r="AA954">
        <v>5</v>
      </c>
      <c r="AB954">
        <v>0</v>
      </c>
      <c r="AC954">
        <v>0</v>
      </c>
      <c r="AD954">
        <v>0</v>
      </c>
      <c r="AE954">
        <v>0</v>
      </c>
      <c r="AF954">
        <v>7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100</v>
      </c>
      <c r="AM954">
        <v>3400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4</v>
      </c>
      <c r="AT954">
        <v>1620</v>
      </c>
      <c r="AU954">
        <v>5</v>
      </c>
      <c r="AV954">
        <v>0</v>
      </c>
    </row>
    <row r="955" spans="1:48" x14ac:dyDescent="0.15">
      <c r="A955" s="4" t="str">
        <f>HYPERLINK("https://ibp.a2mac1.com/costing(costing:projects/details/9760/equipment/12212866)","Loading + Unloading, Retouching, Checking")</f>
        <v>Loading + Unloading, Retouching, Checking</v>
      </c>
      <c r="B955">
        <v>12212866</v>
      </c>
      <c r="C955">
        <v>12085617</v>
      </c>
      <c r="E955" t="s">
        <v>1630</v>
      </c>
      <c r="H955" t="s">
        <v>162</v>
      </c>
      <c r="I955">
        <v>116.23608</v>
      </c>
      <c r="J955">
        <v>0</v>
      </c>
      <c r="K955">
        <v>0</v>
      </c>
      <c r="L955">
        <v>0</v>
      </c>
      <c r="M955">
        <v>1.8681465766634521E-2</v>
      </c>
      <c r="N955">
        <v>0</v>
      </c>
      <c r="O955">
        <v>1.4011099324975892E-5</v>
      </c>
      <c r="P955">
        <v>3.7183319999999999E-2</v>
      </c>
      <c r="Q955">
        <v>0</v>
      </c>
      <c r="R955">
        <v>0</v>
      </c>
      <c r="S955">
        <v>0</v>
      </c>
      <c r="T955">
        <v>0</v>
      </c>
      <c r="V955">
        <v>0</v>
      </c>
      <c r="W955">
        <v>8</v>
      </c>
      <c r="X955">
        <v>85</v>
      </c>
      <c r="Y955">
        <v>3</v>
      </c>
      <c r="Z955">
        <v>4</v>
      </c>
      <c r="AA955">
        <v>5</v>
      </c>
      <c r="AB955">
        <v>0</v>
      </c>
      <c r="AC955">
        <v>0</v>
      </c>
      <c r="AD955">
        <v>0</v>
      </c>
      <c r="AE955">
        <v>0</v>
      </c>
      <c r="AF955">
        <v>12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100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3</v>
      </c>
      <c r="AU955">
        <v>0</v>
      </c>
      <c r="AV955">
        <v>0</v>
      </c>
    </row>
    <row r="956" spans="1:48" x14ac:dyDescent="0.15">
      <c r="A956" s="4" t="str">
        <f>HYPERLINK("https://ibp.a2mac1.com/costing(costing:projects/details/9760/equipment/12212867)","Equipment (Injection Molding)")</f>
        <v>Equipment (Injection Molding)</v>
      </c>
      <c r="B956">
        <v>12212867</v>
      </c>
      <c r="C956">
        <v>12085618</v>
      </c>
      <c r="H956" t="s">
        <v>162</v>
      </c>
      <c r="I956">
        <v>2371.76559</v>
      </c>
      <c r="J956">
        <v>0</v>
      </c>
      <c r="K956">
        <v>0.1008</v>
      </c>
      <c r="L956">
        <v>0</v>
      </c>
      <c r="M956">
        <v>0.58324384281581487</v>
      </c>
      <c r="N956">
        <v>0</v>
      </c>
      <c r="O956">
        <v>9.7207307135969145E-3</v>
      </c>
      <c r="P956">
        <v>6.1972199999999996E-4</v>
      </c>
      <c r="Q956">
        <v>5.2050040781702022E-5</v>
      </c>
      <c r="R956">
        <v>12600</v>
      </c>
      <c r="S956">
        <v>0</v>
      </c>
      <c r="T956">
        <v>0</v>
      </c>
      <c r="V956">
        <v>121.5</v>
      </c>
      <c r="W956">
        <v>7</v>
      </c>
      <c r="X956">
        <v>85</v>
      </c>
      <c r="Y956">
        <v>3</v>
      </c>
      <c r="Z956">
        <v>4</v>
      </c>
      <c r="AA956">
        <v>5</v>
      </c>
      <c r="AB956">
        <v>0</v>
      </c>
      <c r="AC956">
        <v>0</v>
      </c>
      <c r="AD956">
        <v>0</v>
      </c>
      <c r="AE956">
        <v>0</v>
      </c>
      <c r="AF956">
        <v>8.9999999999999993E-3</v>
      </c>
      <c r="AG956">
        <v>0</v>
      </c>
      <c r="AH956">
        <v>0</v>
      </c>
      <c r="AI956">
        <v>2</v>
      </c>
      <c r="AJ956">
        <v>0</v>
      </c>
      <c r="AK956">
        <v>0</v>
      </c>
      <c r="AL956">
        <v>80</v>
      </c>
      <c r="AM956">
        <v>1.575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3.375</v>
      </c>
      <c r="AU956">
        <v>0</v>
      </c>
      <c r="AV956">
        <v>0</v>
      </c>
    </row>
    <row r="957" spans="1:48" x14ac:dyDescent="0.15">
      <c r="A957" s="4" t="str">
        <f>HYPERLINK("https://ibp.a2mac1.com/costing(costing:projects/details/9760/equipment/12212868)","No.04 - 60000x6000x3500 - Automatic Painting Line - with 12x100kW on line ovens ")</f>
        <v xml:space="preserve">No.04 - 60000x6000x3500 - Automatic Painting Line - with 12x100kW on line ovens </v>
      </c>
      <c r="B957">
        <v>12212868</v>
      </c>
      <c r="C957">
        <v>12085619</v>
      </c>
      <c r="E957" t="s">
        <v>1630</v>
      </c>
      <c r="G957" t="s">
        <v>5227</v>
      </c>
      <c r="H957" t="s">
        <v>162</v>
      </c>
      <c r="I957">
        <v>1438767.4831999999</v>
      </c>
      <c r="J957">
        <v>0</v>
      </c>
      <c r="K957">
        <v>279.76751999999999</v>
      </c>
      <c r="L957">
        <v>0</v>
      </c>
      <c r="M957">
        <v>580.11587795564128</v>
      </c>
      <c r="N957">
        <v>0</v>
      </c>
      <c r="O957">
        <v>0.43508690846673098</v>
      </c>
      <c r="P957">
        <v>2.1690270000000001E-2</v>
      </c>
      <c r="Q957">
        <v>0</v>
      </c>
      <c r="R957">
        <v>8600000</v>
      </c>
      <c r="S957">
        <v>0</v>
      </c>
      <c r="T957">
        <v>0</v>
      </c>
      <c r="V957">
        <v>0</v>
      </c>
      <c r="W957">
        <v>8</v>
      </c>
      <c r="X957">
        <v>85</v>
      </c>
      <c r="Y957">
        <v>3</v>
      </c>
      <c r="Z957">
        <v>4</v>
      </c>
      <c r="AA957">
        <v>5</v>
      </c>
      <c r="AB957">
        <v>0</v>
      </c>
      <c r="AC957">
        <v>0</v>
      </c>
      <c r="AD957">
        <v>0</v>
      </c>
      <c r="AE957">
        <v>0</v>
      </c>
      <c r="AF957">
        <v>7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100</v>
      </c>
      <c r="AM957">
        <v>3400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4</v>
      </c>
      <c r="AT957">
        <v>1620</v>
      </c>
      <c r="AU957">
        <v>5</v>
      </c>
      <c r="AV957">
        <v>0</v>
      </c>
    </row>
    <row r="958" spans="1:48" x14ac:dyDescent="0.15">
      <c r="A958" s="4" t="str">
        <f>HYPERLINK("https://ibp.a2mac1.com/costing(costing:projects/details/9760/equipment/12212869)","Loading + Unloading, Retouching, Checking")</f>
        <v>Loading + Unloading, Retouching, Checking</v>
      </c>
      <c r="B958">
        <v>12212869</v>
      </c>
      <c r="C958">
        <v>12085619</v>
      </c>
      <c r="E958" t="s">
        <v>1630</v>
      </c>
      <c r="H958" t="s">
        <v>162</v>
      </c>
      <c r="I958">
        <v>116.23608</v>
      </c>
      <c r="J958">
        <v>0</v>
      </c>
      <c r="K958">
        <v>0</v>
      </c>
      <c r="L958">
        <v>0</v>
      </c>
      <c r="M958">
        <v>1.8681465766634521E-2</v>
      </c>
      <c r="N958">
        <v>0</v>
      </c>
      <c r="O958">
        <v>1.4011099324975892E-5</v>
      </c>
      <c r="P958">
        <v>3.7183319999999999E-2</v>
      </c>
      <c r="Q958">
        <v>0</v>
      </c>
      <c r="R958">
        <v>0</v>
      </c>
      <c r="S958">
        <v>0</v>
      </c>
      <c r="T958">
        <v>0</v>
      </c>
      <c r="V958">
        <v>0</v>
      </c>
      <c r="W958">
        <v>8</v>
      </c>
      <c r="X958">
        <v>85</v>
      </c>
      <c r="Y958">
        <v>3</v>
      </c>
      <c r="Z958">
        <v>4</v>
      </c>
      <c r="AA958">
        <v>5</v>
      </c>
      <c r="AB958">
        <v>0</v>
      </c>
      <c r="AC958">
        <v>0</v>
      </c>
      <c r="AD958">
        <v>0</v>
      </c>
      <c r="AE958">
        <v>0</v>
      </c>
      <c r="AF958">
        <v>12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100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3</v>
      </c>
      <c r="AU958">
        <v>0</v>
      </c>
      <c r="AV958">
        <v>0</v>
      </c>
    </row>
    <row r="959" spans="1:48" x14ac:dyDescent="0.15">
      <c r="A959" s="4" t="str">
        <f>HYPERLINK("https://ibp.a2mac1.com/costing(costing:projects/details/9760/equipment/12212870)","No.01 - Injection Press - 40T - 18kW - 270x270 - Max Volume 128cm3 ")</f>
        <v xml:space="preserve">No.01 - Injection Press - 40T - 18kW - 270x270 - Max Volume 128cm3 </v>
      </c>
      <c r="B959">
        <v>12212870</v>
      </c>
      <c r="C959">
        <v>12085662</v>
      </c>
      <c r="E959" t="s">
        <v>1630</v>
      </c>
      <c r="H959" t="s">
        <v>162</v>
      </c>
      <c r="I959">
        <v>13574.9072</v>
      </c>
      <c r="J959">
        <v>0</v>
      </c>
      <c r="K959">
        <v>1.6020000000000001</v>
      </c>
      <c r="L959">
        <v>0</v>
      </c>
      <c r="M959">
        <v>4.4266395371263263</v>
      </c>
      <c r="N959">
        <v>0</v>
      </c>
      <c r="O959">
        <v>3.1364327333040821E-2</v>
      </c>
      <c r="P959">
        <v>7.3182540617499998E-3</v>
      </c>
      <c r="Q959">
        <v>3.5456543444551589E-3</v>
      </c>
      <c r="R959">
        <v>80000</v>
      </c>
      <c r="S959">
        <v>0</v>
      </c>
      <c r="T959">
        <v>0</v>
      </c>
      <c r="V959">
        <v>7200</v>
      </c>
      <c r="W959">
        <v>8</v>
      </c>
      <c r="X959">
        <v>85</v>
      </c>
      <c r="Y959">
        <v>3</v>
      </c>
      <c r="Z959">
        <v>4</v>
      </c>
      <c r="AA959">
        <v>5</v>
      </c>
      <c r="AB959">
        <v>0</v>
      </c>
      <c r="AC959">
        <v>0</v>
      </c>
      <c r="AD959">
        <v>0</v>
      </c>
      <c r="AE959">
        <v>0</v>
      </c>
      <c r="AF959">
        <v>0.25</v>
      </c>
      <c r="AG959">
        <v>0</v>
      </c>
      <c r="AH959">
        <v>0</v>
      </c>
      <c r="AI959">
        <v>2</v>
      </c>
      <c r="AJ959">
        <v>0</v>
      </c>
      <c r="AK959">
        <v>0</v>
      </c>
      <c r="AL959">
        <v>97</v>
      </c>
      <c r="AM959">
        <v>20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20</v>
      </c>
      <c r="AU959">
        <v>0.05</v>
      </c>
      <c r="AV959">
        <v>0</v>
      </c>
    </row>
    <row r="960" spans="1:48" x14ac:dyDescent="0.15">
      <c r="A960" s="4" t="str">
        <f>HYPERLINK("https://ibp.a2mac1.com/costing(costing:projects/details/9760/equipment/12212401)","Equipment (Stamping)")</f>
        <v>Equipment (Stamping)</v>
      </c>
      <c r="B960">
        <v>12212401</v>
      </c>
      <c r="C960">
        <v>12085305</v>
      </c>
      <c r="H960" t="s">
        <v>162</v>
      </c>
      <c r="I960">
        <v>716.18946857142862</v>
      </c>
      <c r="J960">
        <v>0</v>
      </c>
      <c r="K960">
        <v>3.2000000000000001E-2</v>
      </c>
      <c r="L960">
        <v>0</v>
      </c>
      <c r="M960">
        <v>0.17683919456307112</v>
      </c>
      <c r="N960">
        <v>0</v>
      </c>
      <c r="O960">
        <v>1.2280499622435495E-4</v>
      </c>
      <c r="P960">
        <v>1.4345416666666667E-5</v>
      </c>
      <c r="Q960">
        <v>7.589195758368921E-4</v>
      </c>
      <c r="R960">
        <v>3700</v>
      </c>
      <c r="S960">
        <v>0</v>
      </c>
      <c r="T960">
        <v>0</v>
      </c>
      <c r="V960">
        <v>1800</v>
      </c>
      <c r="W960">
        <v>7</v>
      </c>
      <c r="X960">
        <v>85</v>
      </c>
      <c r="Y960">
        <v>3</v>
      </c>
      <c r="Z960">
        <v>4</v>
      </c>
      <c r="AA960">
        <v>5</v>
      </c>
      <c r="AB960">
        <v>0</v>
      </c>
      <c r="AC960">
        <v>0</v>
      </c>
      <c r="AD960">
        <v>0</v>
      </c>
      <c r="AE960">
        <v>0</v>
      </c>
      <c r="AF960">
        <v>5.0000000000000001E-3</v>
      </c>
      <c r="AG960">
        <v>0</v>
      </c>
      <c r="AH960">
        <v>0</v>
      </c>
      <c r="AI960">
        <v>2</v>
      </c>
      <c r="AJ960">
        <v>0</v>
      </c>
      <c r="AK960">
        <v>0</v>
      </c>
      <c r="AL960">
        <v>80</v>
      </c>
      <c r="AM960">
        <v>0.5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1.5</v>
      </c>
      <c r="AU960">
        <v>0</v>
      </c>
      <c r="AV960">
        <v>0</v>
      </c>
    </row>
    <row r="961" spans="1:48" x14ac:dyDescent="0.15">
      <c r="A961" s="4" t="str">
        <f>HYPERLINK("https://ibp.a2mac1.com/costing(costing:projects/details/9760/equipment/12212402)","No.01 - Generic CN Wire Bending ")</f>
        <v xml:space="preserve">No.01 - Generic CN Wire Bending </v>
      </c>
      <c r="B961">
        <v>12212402</v>
      </c>
      <c r="C961">
        <v>12085306</v>
      </c>
      <c r="E961" t="s">
        <v>1630</v>
      </c>
      <c r="G961" t="s">
        <v>5494</v>
      </c>
      <c r="H961" t="s">
        <v>162</v>
      </c>
      <c r="I961">
        <v>39737.935922999997</v>
      </c>
      <c r="J961">
        <v>0</v>
      </c>
      <c r="K961">
        <v>0.40079999999999999</v>
      </c>
      <c r="L961">
        <v>0</v>
      </c>
      <c r="M961">
        <v>8.547922760045001</v>
      </c>
      <c r="N961">
        <v>0</v>
      </c>
      <c r="O961">
        <v>1.1872114944506946E-2</v>
      </c>
      <c r="P961">
        <v>5.7381666666666666E-3</v>
      </c>
      <c r="Q961">
        <v>7.0127896560270007E-4</v>
      </c>
      <c r="R961">
        <v>219069.2378</v>
      </c>
      <c r="S961">
        <v>0</v>
      </c>
      <c r="T961">
        <v>0</v>
      </c>
      <c r="V961">
        <v>3600</v>
      </c>
      <c r="W961">
        <v>7</v>
      </c>
      <c r="X961">
        <v>85</v>
      </c>
      <c r="Y961">
        <v>3</v>
      </c>
      <c r="Z961">
        <v>4</v>
      </c>
      <c r="AA961">
        <v>5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0.25</v>
      </c>
      <c r="AJ961">
        <v>0</v>
      </c>
      <c r="AK961">
        <v>0</v>
      </c>
      <c r="AL961">
        <v>94</v>
      </c>
      <c r="AM961">
        <v>4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20</v>
      </c>
      <c r="AU961">
        <v>0.1</v>
      </c>
      <c r="AV961">
        <v>0</v>
      </c>
    </row>
    <row r="962" spans="1:48" x14ac:dyDescent="0.15">
      <c r="A962" s="4" t="str">
        <f>HYPERLINK("https://ibp.a2mac1.com/costing(costing:projects/details/9760/equipment/12212403)","No.04 - Press Fit Assembly ")</f>
        <v xml:space="preserve">No.04 - Press Fit Assembly </v>
      </c>
      <c r="B962">
        <v>12212403</v>
      </c>
      <c r="C962">
        <v>12085307</v>
      </c>
      <c r="E962" t="s">
        <v>1630</v>
      </c>
      <c r="H962" t="s">
        <v>162</v>
      </c>
      <c r="I962">
        <v>13962.360798399999</v>
      </c>
      <c r="J962">
        <v>0</v>
      </c>
      <c r="K962">
        <v>0.39200000000000002</v>
      </c>
      <c r="L962">
        <v>0</v>
      </c>
      <c r="M962">
        <v>3.2789110893442621</v>
      </c>
      <c r="N962">
        <v>0</v>
      </c>
      <c r="O962">
        <v>1.3662129538934427E-2</v>
      </c>
      <c r="P962">
        <v>1.7214500000000001E-2</v>
      </c>
      <c r="Q962">
        <v>4.7517453268032787E-5</v>
      </c>
      <c r="R962">
        <v>79999.999989999997</v>
      </c>
      <c r="S962">
        <v>0</v>
      </c>
      <c r="T962">
        <v>0</v>
      </c>
      <c r="V962">
        <v>180</v>
      </c>
      <c r="W962">
        <v>8</v>
      </c>
      <c r="X962">
        <v>85</v>
      </c>
      <c r="Y962">
        <v>3</v>
      </c>
      <c r="Z962">
        <v>4</v>
      </c>
      <c r="AA962">
        <v>5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98</v>
      </c>
      <c r="AM962">
        <v>5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30</v>
      </c>
      <c r="AU962">
        <v>0</v>
      </c>
      <c r="AV962">
        <v>0</v>
      </c>
    </row>
    <row r="963" spans="1:48" x14ac:dyDescent="0.15">
      <c r="A963" s="4" t="str">
        <f>HYPERLINK("https://ibp.a2mac1.com/costing(costing:projects/details/9760/equipment/12212198)","Assembly Station ")</f>
        <v xml:space="preserve">Assembly Station </v>
      </c>
      <c r="B963">
        <v>12212198</v>
      </c>
      <c r="C963">
        <v>12085106</v>
      </c>
      <c r="E963" t="s">
        <v>1630</v>
      </c>
      <c r="F963" t="s">
        <v>5068</v>
      </c>
      <c r="G963" t="s">
        <v>8</v>
      </c>
      <c r="H963" t="s">
        <v>162</v>
      </c>
      <c r="I963">
        <v>4824.9071999999996</v>
      </c>
      <c r="J963">
        <v>0</v>
      </c>
      <c r="K963">
        <v>0.10768</v>
      </c>
      <c r="L963">
        <v>0</v>
      </c>
      <c r="M963">
        <v>1.1242192478302797</v>
      </c>
      <c r="N963">
        <v>0</v>
      </c>
      <c r="O963">
        <v>4.6842468659594988E-2</v>
      </c>
      <c r="P963">
        <v>0.17214499999999999</v>
      </c>
      <c r="Q963">
        <v>2.2807432079717134E-4</v>
      </c>
      <c r="R963">
        <v>30000</v>
      </c>
      <c r="S963">
        <v>0</v>
      </c>
      <c r="T963">
        <v>0</v>
      </c>
      <c r="V963">
        <v>600</v>
      </c>
      <c r="W963">
        <v>10</v>
      </c>
      <c r="X963">
        <v>85</v>
      </c>
      <c r="Y963">
        <v>3</v>
      </c>
      <c r="Z963">
        <v>4</v>
      </c>
      <c r="AA963">
        <v>5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100</v>
      </c>
      <c r="AM963">
        <v>1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20</v>
      </c>
      <c r="AU963">
        <v>0</v>
      </c>
      <c r="AV963">
        <v>0</v>
      </c>
    </row>
    <row r="964" spans="1:48" x14ac:dyDescent="0.15">
      <c r="A964" s="4" t="str">
        <f>HYPERLINK("https://ibp.a2mac1.com/costing(costing:projects/details/9760/equipment/12212871)","DC machine - General")</f>
        <v>DC machine - General</v>
      </c>
      <c r="B964">
        <v>12212871</v>
      </c>
      <c r="C964">
        <v>12085663</v>
      </c>
      <c r="E964" t="s">
        <v>738</v>
      </c>
      <c r="H964" t="s">
        <v>162</v>
      </c>
      <c r="I964">
        <v>116914.84457142858</v>
      </c>
      <c r="J964">
        <v>0</v>
      </c>
      <c r="K964">
        <v>3.6</v>
      </c>
      <c r="L964">
        <v>0</v>
      </c>
      <c r="M964">
        <v>27.497982091197134</v>
      </c>
      <c r="N964">
        <v>0</v>
      </c>
      <c r="O964">
        <v>0.35136310449863006</v>
      </c>
      <c r="P964">
        <v>5.279113333333333E-2</v>
      </c>
      <c r="Q964">
        <v>1.1732166376415484E-2</v>
      </c>
      <c r="R964">
        <v>635568</v>
      </c>
      <c r="S964">
        <v>0</v>
      </c>
      <c r="T964">
        <v>0</v>
      </c>
      <c r="V964">
        <v>10800</v>
      </c>
      <c r="W964">
        <v>7</v>
      </c>
      <c r="X964">
        <v>85</v>
      </c>
      <c r="Y964">
        <v>3</v>
      </c>
      <c r="Z964">
        <v>4</v>
      </c>
      <c r="AA964">
        <v>5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3</v>
      </c>
      <c r="AJ964">
        <v>0</v>
      </c>
      <c r="AK964">
        <v>0</v>
      </c>
      <c r="AL964">
        <v>100</v>
      </c>
      <c r="AM964">
        <v>45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100</v>
      </c>
      <c r="AU964">
        <v>0</v>
      </c>
      <c r="AV964">
        <v>0</v>
      </c>
    </row>
    <row r="965" spans="1:48" x14ac:dyDescent="0.15">
      <c r="A965" s="4" t="str">
        <f>HYPERLINK("https://ibp.a2mac1.com/costing(costing:projects/details/9760/equipment/12212872)","DC machine - General")</f>
        <v>DC machine - General</v>
      </c>
      <c r="B965">
        <v>12212872</v>
      </c>
      <c r="C965">
        <v>12085664</v>
      </c>
      <c r="E965" t="s">
        <v>738</v>
      </c>
      <c r="H965" t="s">
        <v>162</v>
      </c>
      <c r="I965">
        <v>116914.84457142858</v>
      </c>
      <c r="J965">
        <v>0</v>
      </c>
      <c r="K965">
        <v>3.6</v>
      </c>
      <c r="L965">
        <v>0</v>
      </c>
      <c r="M965">
        <v>27.497982091197134</v>
      </c>
      <c r="N965">
        <v>0</v>
      </c>
      <c r="O965">
        <v>0.42774638808528875</v>
      </c>
      <c r="P965">
        <v>6.4267466666666662E-2</v>
      </c>
      <c r="Q965">
        <v>1.1732166376415484E-2</v>
      </c>
      <c r="R965">
        <v>635568</v>
      </c>
      <c r="S965">
        <v>0</v>
      </c>
      <c r="T965">
        <v>0</v>
      </c>
      <c r="V965">
        <v>10800</v>
      </c>
      <c r="W965">
        <v>7</v>
      </c>
      <c r="X965">
        <v>85</v>
      </c>
      <c r="Y965">
        <v>3</v>
      </c>
      <c r="Z965">
        <v>4</v>
      </c>
      <c r="AA965">
        <v>5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3</v>
      </c>
      <c r="AJ965">
        <v>0</v>
      </c>
      <c r="AK965">
        <v>0</v>
      </c>
      <c r="AL965">
        <v>100</v>
      </c>
      <c r="AM965">
        <v>45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100</v>
      </c>
      <c r="AU965">
        <v>0</v>
      </c>
      <c r="AV965">
        <v>0</v>
      </c>
    </row>
    <row r="966" spans="1:48" x14ac:dyDescent="0.15">
      <c r="A966" s="4" t="str">
        <f>HYPERLINK("https://ibp.a2mac1.com/costing(costing:projects/details/9760/equipment/12212873)","DC machine - General")</f>
        <v>DC machine - General</v>
      </c>
      <c r="B966">
        <v>12212873</v>
      </c>
      <c r="C966">
        <v>12085665</v>
      </c>
      <c r="E966" t="s">
        <v>738</v>
      </c>
      <c r="H966" t="s">
        <v>162</v>
      </c>
      <c r="I966">
        <v>116914.84457142858</v>
      </c>
      <c r="J966">
        <v>0</v>
      </c>
      <c r="K966">
        <v>3.6</v>
      </c>
      <c r="L966">
        <v>0</v>
      </c>
      <c r="M966">
        <v>27.497982091197134</v>
      </c>
      <c r="N966">
        <v>0</v>
      </c>
      <c r="O966">
        <v>5.3468298510661094E-2</v>
      </c>
      <c r="P966">
        <v>8.0334333333333327E-3</v>
      </c>
      <c r="Q966">
        <v>1.1732166376415484E-2</v>
      </c>
      <c r="R966">
        <v>635568</v>
      </c>
      <c r="S966">
        <v>0</v>
      </c>
      <c r="T966">
        <v>0</v>
      </c>
      <c r="V966">
        <v>10800</v>
      </c>
      <c r="W966">
        <v>7</v>
      </c>
      <c r="X966">
        <v>85</v>
      </c>
      <c r="Y966">
        <v>3</v>
      </c>
      <c r="Z966">
        <v>4</v>
      </c>
      <c r="AA966">
        <v>5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3</v>
      </c>
      <c r="AJ966">
        <v>0</v>
      </c>
      <c r="AK966">
        <v>0</v>
      </c>
      <c r="AL966">
        <v>100</v>
      </c>
      <c r="AM966">
        <v>45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100</v>
      </c>
      <c r="AU966">
        <v>0</v>
      </c>
      <c r="AV966">
        <v>0</v>
      </c>
    </row>
    <row r="967" spans="1:48" x14ac:dyDescent="0.15">
      <c r="A967" s="4" t="str">
        <f>HYPERLINK("https://ibp.a2mac1.com/costing(costing:projects/details/9760/equipment/12212874)","DC machine - General")</f>
        <v>DC machine - General</v>
      </c>
      <c r="B967">
        <v>12212874</v>
      </c>
      <c r="C967">
        <v>12085666</v>
      </c>
      <c r="E967" t="s">
        <v>738</v>
      </c>
      <c r="H967" t="s">
        <v>162</v>
      </c>
      <c r="I967">
        <v>116914.84457142858</v>
      </c>
      <c r="J967">
        <v>0</v>
      </c>
      <c r="K967">
        <v>3.6</v>
      </c>
      <c r="L967">
        <v>0</v>
      </c>
      <c r="M967">
        <v>27.497982091197134</v>
      </c>
      <c r="N967">
        <v>0</v>
      </c>
      <c r="O967">
        <v>0.45829970151995225</v>
      </c>
      <c r="P967">
        <v>6.8858000000000003E-2</v>
      </c>
      <c r="Q967">
        <v>1.1732166376415484E-2</v>
      </c>
      <c r="R967">
        <v>635568</v>
      </c>
      <c r="S967">
        <v>0</v>
      </c>
      <c r="T967">
        <v>0</v>
      </c>
      <c r="V967">
        <v>10800</v>
      </c>
      <c r="W967">
        <v>7</v>
      </c>
      <c r="X967">
        <v>85</v>
      </c>
      <c r="Y967">
        <v>3</v>
      </c>
      <c r="Z967">
        <v>4</v>
      </c>
      <c r="AA967">
        <v>5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3</v>
      </c>
      <c r="AJ967">
        <v>0</v>
      </c>
      <c r="AK967">
        <v>0</v>
      </c>
      <c r="AL967">
        <v>100</v>
      </c>
      <c r="AM967">
        <v>45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100</v>
      </c>
      <c r="AU967">
        <v>0</v>
      </c>
      <c r="AV967">
        <v>0</v>
      </c>
    </row>
    <row r="968" spans="1:48" x14ac:dyDescent="0.15">
      <c r="A968" s="4" t="str">
        <f>HYPERLINK("https://ibp.a2mac1.com/costing(costing:projects/details/9760/equipment/12212875)","DC machine - General")</f>
        <v>DC machine - General</v>
      </c>
      <c r="B968">
        <v>12212875</v>
      </c>
      <c r="C968">
        <v>12085667</v>
      </c>
      <c r="E968" t="s">
        <v>738</v>
      </c>
      <c r="H968" t="s">
        <v>162</v>
      </c>
      <c r="I968">
        <v>116914.84457142858</v>
      </c>
      <c r="J968">
        <v>0</v>
      </c>
      <c r="K968">
        <v>3.6</v>
      </c>
      <c r="L968">
        <v>0</v>
      </c>
      <c r="M968">
        <v>27.497982091197134</v>
      </c>
      <c r="N968">
        <v>0</v>
      </c>
      <c r="O968">
        <v>1.5276656717331742E-2</v>
      </c>
      <c r="P968">
        <v>2.2952666666666665E-3</v>
      </c>
      <c r="Q968">
        <v>1.1732166376415484E-2</v>
      </c>
      <c r="R968">
        <v>635568</v>
      </c>
      <c r="S968">
        <v>0</v>
      </c>
      <c r="T968">
        <v>0</v>
      </c>
      <c r="V968">
        <v>10800</v>
      </c>
      <c r="W968">
        <v>7</v>
      </c>
      <c r="X968">
        <v>85</v>
      </c>
      <c r="Y968">
        <v>3</v>
      </c>
      <c r="Z968">
        <v>4</v>
      </c>
      <c r="AA968">
        <v>5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3</v>
      </c>
      <c r="AJ968">
        <v>0</v>
      </c>
      <c r="AK968">
        <v>0</v>
      </c>
      <c r="AL968">
        <v>100</v>
      </c>
      <c r="AM968">
        <v>45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100</v>
      </c>
      <c r="AU968">
        <v>0</v>
      </c>
      <c r="AV968">
        <v>0</v>
      </c>
    </row>
    <row r="969" spans="1:48" x14ac:dyDescent="0.15">
      <c r="A969" s="4" t="str">
        <f>HYPERLINK("https://ibp.a2mac1.com/costing(costing:projects/details/9760/equipment/12212876)","DC machine - General")</f>
        <v>DC machine - General</v>
      </c>
      <c r="B969">
        <v>12212876</v>
      </c>
      <c r="C969">
        <v>12085668</v>
      </c>
      <c r="E969" t="s">
        <v>738</v>
      </c>
      <c r="H969" t="s">
        <v>162</v>
      </c>
      <c r="I969">
        <v>116914.84457142858</v>
      </c>
      <c r="J969">
        <v>0</v>
      </c>
      <c r="K969">
        <v>3.6</v>
      </c>
      <c r="L969">
        <v>0</v>
      </c>
      <c r="M969">
        <v>27.497982091197134</v>
      </c>
      <c r="N969">
        <v>0</v>
      </c>
      <c r="O969">
        <v>2.2914985075997613E-2</v>
      </c>
      <c r="P969">
        <v>3.4429E-3</v>
      </c>
      <c r="Q969">
        <v>1.1732166376415484E-2</v>
      </c>
      <c r="R969">
        <v>635568</v>
      </c>
      <c r="S969">
        <v>0</v>
      </c>
      <c r="T969">
        <v>0</v>
      </c>
      <c r="V969">
        <v>10800</v>
      </c>
      <c r="W969">
        <v>7</v>
      </c>
      <c r="X969">
        <v>85</v>
      </c>
      <c r="Y969">
        <v>3</v>
      </c>
      <c r="Z969">
        <v>4</v>
      </c>
      <c r="AA969">
        <v>5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3</v>
      </c>
      <c r="AJ969">
        <v>0</v>
      </c>
      <c r="AK969">
        <v>0</v>
      </c>
      <c r="AL969">
        <v>100</v>
      </c>
      <c r="AM969">
        <v>45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100</v>
      </c>
      <c r="AU969">
        <v>0</v>
      </c>
      <c r="AV969">
        <v>0</v>
      </c>
    </row>
    <row r="970" spans="1:48" x14ac:dyDescent="0.15">
      <c r="A970" s="4" t="str">
        <f>HYPERLINK("https://ibp.a2mac1.com/costing(costing:projects/details/9760/equipment/12212877)","DC machine - General")</f>
        <v>DC machine - General</v>
      </c>
      <c r="B970">
        <v>12212877</v>
      </c>
      <c r="C970">
        <v>12085669</v>
      </c>
      <c r="E970" t="s">
        <v>738</v>
      </c>
      <c r="H970" t="s">
        <v>162</v>
      </c>
      <c r="I970">
        <v>116914.84457142858</v>
      </c>
      <c r="J970">
        <v>0</v>
      </c>
      <c r="K970">
        <v>3.6</v>
      </c>
      <c r="L970">
        <v>0</v>
      </c>
      <c r="M970">
        <v>27.497982091197134</v>
      </c>
      <c r="N970">
        <v>0</v>
      </c>
      <c r="O970">
        <v>7.6383283586658711E-3</v>
      </c>
      <c r="P970">
        <v>1.1476333333333333E-3</v>
      </c>
      <c r="Q970">
        <v>1.1732166376415484E-2</v>
      </c>
      <c r="R970">
        <v>635568</v>
      </c>
      <c r="S970">
        <v>0</v>
      </c>
      <c r="T970">
        <v>0</v>
      </c>
      <c r="V970">
        <v>10800</v>
      </c>
      <c r="W970">
        <v>7</v>
      </c>
      <c r="X970">
        <v>85</v>
      </c>
      <c r="Y970">
        <v>3</v>
      </c>
      <c r="Z970">
        <v>4</v>
      </c>
      <c r="AA970">
        <v>5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3</v>
      </c>
      <c r="AJ970">
        <v>0</v>
      </c>
      <c r="AK970">
        <v>0</v>
      </c>
      <c r="AL970">
        <v>100</v>
      </c>
      <c r="AM970">
        <v>45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100</v>
      </c>
      <c r="AU970">
        <v>0</v>
      </c>
      <c r="AV970">
        <v>0</v>
      </c>
    </row>
    <row r="971" spans="1:48" x14ac:dyDescent="0.15">
      <c r="A971" s="4" t="str">
        <f>HYPERLINK("https://ibp.a2mac1.com/costing(costing:projects/details/9760/equipment/12212404)","DC machine - General")</f>
        <v>DC machine - General</v>
      </c>
      <c r="B971">
        <v>12212404</v>
      </c>
      <c r="C971">
        <v>12085308</v>
      </c>
      <c r="E971" t="s">
        <v>738</v>
      </c>
      <c r="H971" t="s">
        <v>162</v>
      </c>
      <c r="I971">
        <v>116914.84457142858</v>
      </c>
      <c r="J971">
        <v>0</v>
      </c>
      <c r="K971">
        <v>3.6</v>
      </c>
      <c r="L971">
        <v>0</v>
      </c>
      <c r="M971">
        <v>27.497982091197134</v>
      </c>
      <c r="N971">
        <v>0</v>
      </c>
      <c r="O971">
        <v>0.74091785079058947</v>
      </c>
      <c r="P971">
        <v>0.11132043333333333</v>
      </c>
      <c r="Q971">
        <v>1.1732166376415484E-2</v>
      </c>
      <c r="R971">
        <v>635568</v>
      </c>
      <c r="S971">
        <v>0</v>
      </c>
      <c r="T971">
        <v>0</v>
      </c>
      <c r="V971">
        <v>10800</v>
      </c>
      <c r="W971">
        <v>7</v>
      </c>
      <c r="X971">
        <v>85</v>
      </c>
      <c r="Y971">
        <v>3</v>
      </c>
      <c r="Z971">
        <v>4</v>
      </c>
      <c r="AA971">
        <v>5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3</v>
      </c>
      <c r="AJ971">
        <v>0</v>
      </c>
      <c r="AK971">
        <v>0</v>
      </c>
      <c r="AL971">
        <v>100</v>
      </c>
      <c r="AM971">
        <v>45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100</v>
      </c>
      <c r="AU971">
        <v>0</v>
      </c>
      <c r="AV971">
        <v>0</v>
      </c>
    </row>
    <row r="972" spans="1:48" x14ac:dyDescent="0.15">
      <c r="A972" s="4" t="str">
        <f>HYPERLINK("https://ibp.a2mac1.com/costing(costing:projects/details/9760/equipment/12212405)","DC machine - General")</f>
        <v>DC machine - General</v>
      </c>
      <c r="B972">
        <v>12212405</v>
      </c>
      <c r="C972">
        <v>12085309</v>
      </c>
      <c r="E972" t="s">
        <v>738</v>
      </c>
      <c r="H972" t="s">
        <v>162</v>
      </c>
      <c r="I972">
        <v>116914.84457142858</v>
      </c>
      <c r="J972">
        <v>0</v>
      </c>
      <c r="K972">
        <v>3.6</v>
      </c>
      <c r="L972">
        <v>0</v>
      </c>
      <c r="M972">
        <v>27.497982091197134</v>
      </c>
      <c r="N972">
        <v>0</v>
      </c>
      <c r="O972">
        <v>0.42010805972662291</v>
      </c>
      <c r="P972">
        <v>6.3119833333333333E-2</v>
      </c>
      <c r="Q972">
        <v>1.1732166376415484E-2</v>
      </c>
      <c r="R972">
        <v>635568</v>
      </c>
      <c r="S972">
        <v>0</v>
      </c>
      <c r="T972">
        <v>0</v>
      </c>
      <c r="V972">
        <v>10800</v>
      </c>
      <c r="W972">
        <v>7</v>
      </c>
      <c r="X972">
        <v>85</v>
      </c>
      <c r="Y972">
        <v>3</v>
      </c>
      <c r="Z972">
        <v>4</v>
      </c>
      <c r="AA972">
        <v>5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3</v>
      </c>
      <c r="AJ972">
        <v>0</v>
      </c>
      <c r="AK972">
        <v>0</v>
      </c>
      <c r="AL972">
        <v>100</v>
      </c>
      <c r="AM972">
        <v>45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100</v>
      </c>
      <c r="AU972">
        <v>0</v>
      </c>
      <c r="AV972">
        <v>0</v>
      </c>
    </row>
    <row r="973" spans="1:48" x14ac:dyDescent="0.15">
      <c r="A973" s="4" t="str">
        <f>HYPERLINK("https://ibp.a2mac1.com/costing(costing:projects/details/9760/equipment/12212406)","DC machine - General")</f>
        <v>DC machine - General</v>
      </c>
      <c r="B973">
        <v>12212406</v>
      </c>
      <c r="C973">
        <v>12085310</v>
      </c>
      <c r="E973" t="s">
        <v>738</v>
      </c>
      <c r="H973" t="s">
        <v>162</v>
      </c>
      <c r="I973">
        <v>116914.84457142858</v>
      </c>
      <c r="J973">
        <v>0</v>
      </c>
      <c r="K973">
        <v>3.6</v>
      </c>
      <c r="L973">
        <v>0</v>
      </c>
      <c r="M973">
        <v>27.497982091197134</v>
      </c>
      <c r="N973">
        <v>0</v>
      </c>
      <c r="O973">
        <v>1.5734956418851693</v>
      </c>
      <c r="P973">
        <v>0.23641246666666665</v>
      </c>
      <c r="Q973">
        <v>1.1732166376415484E-2</v>
      </c>
      <c r="R973">
        <v>635568</v>
      </c>
      <c r="S973">
        <v>0</v>
      </c>
      <c r="T973">
        <v>0</v>
      </c>
      <c r="V973">
        <v>10800</v>
      </c>
      <c r="W973">
        <v>7</v>
      </c>
      <c r="X973">
        <v>85</v>
      </c>
      <c r="Y973">
        <v>3</v>
      </c>
      <c r="Z973">
        <v>4</v>
      </c>
      <c r="AA973">
        <v>5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3</v>
      </c>
      <c r="AJ973">
        <v>0</v>
      </c>
      <c r="AK973">
        <v>0</v>
      </c>
      <c r="AL973">
        <v>100</v>
      </c>
      <c r="AM973">
        <v>45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100</v>
      </c>
      <c r="AU973">
        <v>0</v>
      </c>
      <c r="AV973">
        <v>0</v>
      </c>
    </row>
    <row r="974" spans="1:48" x14ac:dyDescent="0.15">
      <c r="A974" s="4" t="str">
        <f>HYPERLINK("https://ibp.a2mac1.com/costing(costing:projects/details/9760/equipment/12212407)","DC machine - General")</f>
        <v>DC machine - General</v>
      </c>
      <c r="B974">
        <v>12212407</v>
      </c>
      <c r="C974">
        <v>12085311</v>
      </c>
      <c r="E974" t="s">
        <v>738</v>
      </c>
      <c r="H974" t="s">
        <v>162</v>
      </c>
      <c r="I974">
        <v>116914.84457142858</v>
      </c>
      <c r="J974">
        <v>0</v>
      </c>
      <c r="K974">
        <v>3.6</v>
      </c>
      <c r="L974">
        <v>0</v>
      </c>
      <c r="M974">
        <v>27.497982091197134</v>
      </c>
      <c r="N974">
        <v>0</v>
      </c>
      <c r="O974">
        <v>0.42010805972662291</v>
      </c>
      <c r="P974">
        <v>6.3119833333333333E-2</v>
      </c>
      <c r="Q974">
        <v>1.1732166376415484E-2</v>
      </c>
      <c r="R974">
        <v>635568</v>
      </c>
      <c r="S974">
        <v>0</v>
      </c>
      <c r="T974">
        <v>0</v>
      </c>
      <c r="V974">
        <v>10800</v>
      </c>
      <c r="W974">
        <v>7</v>
      </c>
      <c r="X974">
        <v>85</v>
      </c>
      <c r="Y974">
        <v>3</v>
      </c>
      <c r="Z974">
        <v>4</v>
      </c>
      <c r="AA974">
        <v>5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3</v>
      </c>
      <c r="AJ974">
        <v>0</v>
      </c>
      <c r="AK974">
        <v>0</v>
      </c>
      <c r="AL974">
        <v>100</v>
      </c>
      <c r="AM974">
        <v>45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100</v>
      </c>
      <c r="AU974">
        <v>0</v>
      </c>
      <c r="AV974">
        <v>0</v>
      </c>
    </row>
    <row r="975" spans="1:48" x14ac:dyDescent="0.15">
      <c r="A975" s="4" t="str">
        <f>HYPERLINK("https://ibp.a2mac1.com/costing(costing:projects/details/9760/equipment/12212408)","DC machine - General")</f>
        <v>DC machine - General</v>
      </c>
      <c r="B975">
        <v>12212408</v>
      </c>
      <c r="C975">
        <v>12085312</v>
      </c>
      <c r="E975" t="s">
        <v>738</v>
      </c>
      <c r="H975" t="s">
        <v>162</v>
      </c>
      <c r="I975">
        <v>116914.84457142858</v>
      </c>
      <c r="J975">
        <v>0</v>
      </c>
      <c r="K975">
        <v>3.6</v>
      </c>
      <c r="L975">
        <v>0</v>
      </c>
      <c r="M975">
        <v>27.497982091197134</v>
      </c>
      <c r="N975">
        <v>0</v>
      </c>
      <c r="O975">
        <v>0.16040489553198328</v>
      </c>
      <c r="P975">
        <v>2.4100300000000002E-2</v>
      </c>
      <c r="Q975">
        <v>1.1732166376415484E-2</v>
      </c>
      <c r="R975">
        <v>635568</v>
      </c>
      <c r="S975">
        <v>0</v>
      </c>
      <c r="T975">
        <v>0</v>
      </c>
      <c r="V975">
        <v>10800</v>
      </c>
      <c r="W975">
        <v>7</v>
      </c>
      <c r="X975">
        <v>85</v>
      </c>
      <c r="Y975">
        <v>3</v>
      </c>
      <c r="Z975">
        <v>4</v>
      </c>
      <c r="AA975">
        <v>5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3</v>
      </c>
      <c r="AJ975">
        <v>0</v>
      </c>
      <c r="AK975">
        <v>0</v>
      </c>
      <c r="AL975">
        <v>100</v>
      </c>
      <c r="AM975">
        <v>45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100</v>
      </c>
      <c r="AU975">
        <v>0</v>
      </c>
      <c r="AV975">
        <v>0</v>
      </c>
    </row>
    <row r="976" spans="1:48" x14ac:dyDescent="0.15">
      <c r="A976" s="4" t="str">
        <f>HYPERLINK("https://ibp.a2mac1.com/costing(costing:projects/details/9760/equipment/12212409)","DC machine - General")</f>
        <v>DC machine - General</v>
      </c>
      <c r="B976">
        <v>12212409</v>
      </c>
      <c r="C976">
        <v>12085313</v>
      </c>
      <c r="E976" t="s">
        <v>738</v>
      </c>
      <c r="H976" t="s">
        <v>162</v>
      </c>
      <c r="I976">
        <v>116914.84457142858</v>
      </c>
      <c r="J976">
        <v>0</v>
      </c>
      <c r="K976">
        <v>3.6</v>
      </c>
      <c r="L976">
        <v>0</v>
      </c>
      <c r="M976">
        <v>27.497982091197134</v>
      </c>
      <c r="N976">
        <v>0</v>
      </c>
      <c r="O976">
        <v>0.72564119407325767</v>
      </c>
      <c r="P976">
        <v>0.10902516666666667</v>
      </c>
      <c r="Q976">
        <v>1.1732166376415484E-2</v>
      </c>
      <c r="R976">
        <v>635568</v>
      </c>
      <c r="S976">
        <v>0</v>
      </c>
      <c r="T976">
        <v>0</v>
      </c>
      <c r="V976">
        <v>10800</v>
      </c>
      <c r="W976">
        <v>7</v>
      </c>
      <c r="X976">
        <v>85</v>
      </c>
      <c r="Y976">
        <v>3</v>
      </c>
      <c r="Z976">
        <v>4</v>
      </c>
      <c r="AA976">
        <v>5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3</v>
      </c>
      <c r="AJ976">
        <v>0</v>
      </c>
      <c r="AK976">
        <v>0</v>
      </c>
      <c r="AL976">
        <v>100</v>
      </c>
      <c r="AM976">
        <v>45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100</v>
      </c>
      <c r="AU976">
        <v>0</v>
      </c>
      <c r="AV976">
        <v>0</v>
      </c>
    </row>
    <row r="977" spans="1:48" x14ac:dyDescent="0.15">
      <c r="A977" s="4" t="str">
        <f>HYPERLINK("https://ibp.a2mac1.com/costing(costing:projects/details/9760/equipment/12212410)","DC machine - General")</f>
        <v>DC machine - General</v>
      </c>
      <c r="B977">
        <v>12212410</v>
      </c>
      <c r="C977">
        <v>12085314</v>
      </c>
      <c r="E977" t="s">
        <v>738</v>
      </c>
      <c r="H977" t="s">
        <v>162</v>
      </c>
      <c r="I977">
        <v>116914.84457142858</v>
      </c>
      <c r="J977">
        <v>0</v>
      </c>
      <c r="K977">
        <v>3.6</v>
      </c>
      <c r="L977">
        <v>0</v>
      </c>
      <c r="M977">
        <v>27.497982091197134</v>
      </c>
      <c r="N977">
        <v>0</v>
      </c>
      <c r="O977">
        <v>0.18331988060798091</v>
      </c>
      <c r="P977">
        <v>2.75432E-2</v>
      </c>
      <c r="Q977">
        <v>1.1732166376415484E-2</v>
      </c>
      <c r="R977">
        <v>635568</v>
      </c>
      <c r="S977">
        <v>0</v>
      </c>
      <c r="T977">
        <v>0</v>
      </c>
      <c r="V977">
        <v>10800</v>
      </c>
      <c r="W977">
        <v>7</v>
      </c>
      <c r="X977">
        <v>85</v>
      </c>
      <c r="Y977">
        <v>3</v>
      </c>
      <c r="Z977">
        <v>4</v>
      </c>
      <c r="AA977">
        <v>5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3</v>
      </c>
      <c r="AJ977">
        <v>0</v>
      </c>
      <c r="AK977">
        <v>0</v>
      </c>
      <c r="AL977">
        <v>100</v>
      </c>
      <c r="AM977">
        <v>45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100</v>
      </c>
      <c r="AU977">
        <v>0</v>
      </c>
      <c r="AV977">
        <v>0</v>
      </c>
    </row>
    <row r="978" spans="1:48" x14ac:dyDescent="0.15">
      <c r="A978" s="4" t="str">
        <f>HYPERLINK("https://ibp.a2mac1.com/costing(costing:projects/details/9760/equipment/12212411)","DC machine - General")</f>
        <v>DC machine - General</v>
      </c>
      <c r="B978">
        <v>12212411</v>
      </c>
      <c r="C978">
        <v>12085315</v>
      </c>
      <c r="E978" t="s">
        <v>738</v>
      </c>
      <c r="H978" t="s">
        <v>162</v>
      </c>
      <c r="I978">
        <v>116914.84457142858</v>
      </c>
      <c r="J978">
        <v>0</v>
      </c>
      <c r="K978">
        <v>3.6</v>
      </c>
      <c r="L978">
        <v>0</v>
      </c>
      <c r="M978">
        <v>27.497982091197134</v>
      </c>
      <c r="N978">
        <v>0</v>
      </c>
      <c r="O978">
        <v>0.10693659702132219</v>
      </c>
      <c r="P978">
        <v>1.6066866666666665E-2</v>
      </c>
      <c r="Q978">
        <v>1.1732166376415484E-2</v>
      </c>
      <c r="R978">
        <v>635568</v>
      </c>
      <c r="S978">
        <v>0</v>
      </c>
      <c r="T978">
        <v>0</v>
      </c>
      <c r="V978">
        <v>10800</v>
      </c>
      <c r="W978">
        <v>7</v>
      </c>
      <c r="X978">
        <v>85</v>
      </c>
      <c r="Y978">
        <v>3</v>
      </c>
      <c r="Z978">
        <v>4</v>
      </c>
      <c r="AA978">
        <v>5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3</v>
      </c>
      <c r="AJ978">
        <v>0</v>
      </c>
      <c r="AK978">
        <v>0</v>
      </c>
      <c r="AL978">
        <v>100</v>
      </c>
      <c r="AM978">
        <v>45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100</v>
      </c>
      <c r="AU978">
        <v>0</v>
      </c>
      <c r="AV978">
        <v>0</v>
      </c>
    </row>
    <row r="979" spans="1:48" x14ac:dyDescent="0.15">
      <c r="A979" s="4" t="str">
        <f>HYPERLINK("https://ibp.a2mac1.com/costing(costing:projects/details/9760/equipment/12212412)","DC machine - General")</f>
        <v>DC machine - General</v>
      </c>
      <c r="B979">
        <v>12212412</v>
      </c>
      <c r="C979">
        <v>12085316</v>
      </c>
      <c r="E979" t="s">
        <v>738</v>
      </c>
      <c r="H979" t="s">
        <v>162</v>
      </c>
      <c r="I979">
        <v>116914.84457142858</v>
      </c>
      <c r="J979">
        <v>0</v>
      </c>
      <c r="K979">
        <v>3.6</v>
      </c>
      <c r="L979">
        <v>0</v>
      </c>
      <c r="M979">
        <v>27.497982091197134</v>
      </c>
      <c r="N979">
        <v>0</v>
      </c>
      <c r="O979">
        <v>6.1106626869326969E-2</v>
      </c>
      <c r="P979">
        <v>9.1810666666666662E-3</v>
      </c>
      <c r="Q979">
        <v>1.1732166376415484E-2</v>
      </c>
      <c r="R979">
        <v>635568</v>
      </c>
      <c r="S979">
        <v>0</v>
      </c>
      <c r="T979">
        <v>0</v>
      </c>
      <c r="V979">
        <v>10800</v>
      </c>
      <c r="W979">
        <v>7</v>
      </c>
      <c r="X979">
        <v>85</v>
      </c>
      <c r="Y979">
        <v>3</v>
      </c>
      <c r="Z979">
        <v>4</v>
      </c>
      <c r="AA979">
        <v>5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3</v>
      </c>
      <c r="AJ979">
        <v>0</v>
      </c>
      <c r="AK979">
        <v>0</v>
      </c>
      <c r="AL979">
        <v>100</v>
      </c>
      <c r="AM979">
        <v>45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100</v>
      </c>
      <c r="AU979">
        <v>0</v>
      </c>
      <c r="AV979">
        <v>0</v>
      </c>
    </row>
    <row r="980" spans="1:48" x14ac:dyDescent="0.15">
      <c r="A980" s="4" t="str">
        <f>HYPERLINK("https://ibp.a2mac1.com/costing(costing:projects/details/9760/equipment/12213141)","Manufacturing Equipment")</f>
        <v>Manufacturing Equipment</v>
      </c>
      <c r="B980">
        <v>12213141</v>
      </c>
      <c r="C980">
        <v>12085983</v>
      </c>
      <c r="H980" t="s">
        <v>162</v>
      </c>
      <c r="I980">
        <v>373962.1752</v>
      </c>
      <c r="J980">
        <v>0</v>
      </c>
      <c r="K980">
        <v>3.3919999999999999</v>
      </c>
      <c r="L980">
        <v>0</v>
      </c>
      <c r="M980">
        <v>85.594213950498229</v>
      </c>
      <c r="N980">
        <v>0</v>
      </c>
      <c r="O980">
        <v>1.183174525718667</v>
      </c>
      <c r="P980">
        <v>5.7109723472000003E-2</v>
      </c>
      <c r="Q980">
        <v>8.8339008555448403E-3</v>
      </c>
      <c r="R980">
        <v>2750000</v>
      </c>
      <c r="S980">
        <v>0</v>
      </c>
      <c r="T980">
        <v>0</v>
      </c>
      <c r="V980">
        <v>5400</v>
      </c>
      <c r="W980">
        <v>10</v>
      </c>
      <c r="X980">
        <v>85</v>
      </c>
      <c r="Y980">
        <v>4</v>
      </c>
      <c r="Z980">
        <v>4</v>
      </c>
      <c r="AA980">
        <v>5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80</v>
      </c>
      <c r="AM980">
        <v>53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70</v>
      </c>
      <c r="AU980">
        <v>0</v>
      </c>
      <c r="AV980">
        <v>0</v>
      </c>
    </row>
    <row r="981" spans="1:48" x14ac:dyDescent="0.15">
      <c r="A981" s="4" t="str">
        <f>HYPERLINK("https://ibp.a2mac1.com/costing(costing:projects/details/9760/equipment/12213142)","Manufacturing Equipment")</f>
        <v>Manufacturing Equipment</v>
      </c>
      <c r="B981">
        <v>12213142</v>
      </c>
      <c r="C981">
        <v>12085984</v>
      </c>
      <c r="H981" t="s">
        <v>162</v>
      </c>
      <c r="I981">
        <v>373962.1752</v>
      </c>
      <c r="J981">
        <v>0</v>
      </c>
      <c r="K981">
        <v>3.3919999999999999</v>
      </c>
      <c r="L981">
        <v>0</v>
      </c>
      <c r="M981">
        <v>85.594213950498229</v>
      </c>
      <c r="N981">
        <v>0</v>
      </c>
      <c r="O981">
        <v>4.9900951209729635E-2</v>
      </c>
      <c r="P981">
        <v>2.4086298873333334E-3</v>
      </c>
      <c r="Q981">
        <v>8.8339008555448403E-3</v>
      </c>
      <c r="R981">
        <v>2750000</v>
      </c>
      <c r="S981">
        <v>0</v>
      </c>
      <c r="T981">
        <v>0</v>
      </c>
      <c r="V981">
        <v>5400</v>
      </c>
      <c r="W981">
        <v>10</v>
      </c>
      <c r="X981">
        <v>85</v>
      </c>
      <c r="Y981">
        <v>4</v>
      </c>
      <c r="Z981">
        <v>4</v>
      </c>
      <c r="AA981">
        <v>5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80</v>
      </c>
      <c r="AM981">
        <v>53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70</v>
      </c>
      <c r="AU981">
        <v>0</v>
      </c>
      <c r="AV981">
        <v>0</v>
      </c>
    </row>
    <row r="982" spans="1:48" x14ac:dyDescent="0.15">
      <c r="A982" s="4" t="str">
        <f>HYPERLINK("https://ibp.a2mac1.com/costing(costing:projects/details/9760/equipment/12213143)","Manufacturing Equipment")</f>
        <v>Manufacturing Equipment</v>
      </c>
      <c r="B982">
        <v>12213143</v>
      </c>
      <c r="C982">
        <v>12085985</v>
      </c>
      <c r="H982" t="s">
        <v>162</v>
      </c>
      <c r="I982">
        <v>373962.1752</v>
      </c>
      <c r="J982">
        <v>0</v>
      </c>
      <c r="K982">
        <v>3.3919999999999999</v>
      </c>
      <c r="L982">
        <v>0</v>
      </c>
      <c r="M982">
        <v>85.594213950498229</v>
      </c>
      <c r="N982">
        <v>0</v>
      </c>
      <c r="O982">
        <v>4.9900951209729635E-2</v>
      </c>
      <c r="P982">
        <v>2.4086298873333334E-3</v>
      </c>
      <c r="Q982">
        <v>8.8339008555448403E-3</v>
      </c>
      <c r="R982">
        <v>2750000</v>
      </c>
      <c r="S982">
        <v>0</v>
      </c>
      <c r="T982">
        <v>0</v>
      </c>
      <c r="V982">
        <v>5400</v>
      </c>
      <c r="W982">
        <v>10</v>
      </c>
      <c r="X982">
        <v>85</v>
      </c>
      <c r="Y982">
        <v>4</v>
      </c>
      <c r="Z982">
        <v>4</v>
      </c>
      <c r="AA982">
        <v>5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80</v>
      </c>
      <c r="AM982">
        <v>53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70</v>
      </c>
      <c r="AU982">
        <v>0</v>
      </c>
      <c r="AV982">
        <v>0</v>
      </c>
    </row>
    <row r="983" spans="1:48" x14ac:dyDescent="0.15">
      <c r="A983" s="4" t="str">
        <f>HYPERLINK("https://ibp.a2mac1.com/costing(costing:projects/details/9760/equipment/12213144)","Manufacturing Equipment")</f>
        <v>Manufacturing Equipment</v>
      </c>
      <c r="B983">
        <v>12213144</v>
      </c>
      <c r="C983">
        <v>12085986</v>
      </c>
      <c r="H983" t="s">
        <v>162</v>
      </c>
      <c r="I983">
        <v>373962.1752</v>
      </c>
      <c r="J983">
        <v>0</v>
      </c>
      <c r="K983">
        <v>3.3919999999999999</v>
      </c>
      <c r="L983">
        <v>0</v>
      </c>
      <c r="M983">
        <v>85.594213950498229</v>
      </c>
      <c r="N983">
        <v>0</v>
      </c>
      <c r="O983">
        <v>4.9900951209729635E-2</v>
      </c>
      <c r="P983">
        <v>2.4086298873333334E-3</v>
      </c>
      <c r="Q983">
        <v>8.8339008555448403E-3</v>
      </c>
      <c r="R983">
        <v>2750000</v>
      </c>
      <c r="S983">
        <v>0</v>
      </c>
      <c r="T983">
        <v>0</v>
      </c>
      <c r="V983">
        <v>5400</v>
      </c>
      <c r="W983">
        <v>10</v>
      </c>
      <c r="X983">
        <v>85</v>
      </c>
      <c r="Y983">
        <v>4</v>
      </c>
      <c r="Z983">
        <v>4</v>
      </c>
      <c r="AA983">
        <v>5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80</v>
      </c>
      <c r="AM983">
        <v>53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70</v>
      </c>
      <c r="AU983">
        <v>0</v>
      </c>
      <c r="AV983">
        <v>0</v>
      </c>
    </row>
    <row r="984" spans="1:48" x14ac:dyDescent="0.15">
      <c r="A984" s="4" t="str">
        <f>HYPERLINK("https://ibp.a2mac1.com/costing(costing:projects/details/9760/equipment/12213145)","Manufacturing Equipment")</f>
        <v>Manufacturing Equipment</v>
      </c>
      <c r="B984">
        <v>12213145</v>
      </c>
      <c r="C984">
        <v>12085987</v>
      </c>
      <c r="H984" t="s">
        <v>162</v>
      </c>
      <c r="I984">
        <v>373962.1752</v>
      </c>
      <c r="J984">
        <v>0</v>
      </c>
      <c r="K984">
        <v>3.3919999999999999</v>
      </c>
      <c r="L984">
        <v>0</v>
      </c>
      <c r="M984">
        <v>85.594213950498229</v>
      </c>
      <c r="N984">
        <v>0</v>
      </c>
      <c r="O984">
        <v>4.9900951209729635E-2</v>
      </c>
      <c r="P984">
        <v>2.4086298873333334E-3</v>
      </c>
      <c r="Q984">
        <v>8.8339008555448403E-3</v>
      </c>
      <c r="R984">
        <v>2750000</v>
      </c>
      <c r="S984">
        <v>0</v>
      </c>
      <c r="T984">
        <v>0</v>
      </c>
      <c r="V984">
        <v>5400</v>
      </c>
      <c r="W984">
        <v>10</v>
      </c>
      <c r="X984">
        <v>85</v>
      </c>
      <c r="Y984">
        <v>4</v>
      </c>
      <c r="Z984">
        <v>4</v>
      </c>
      <c r="AA984">
        <v>5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80</v>
      </c>
      <c r="AM984">
        <v>53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70</v>
      </c>
      <c r="AU984">
        <v>0</v>
      </c>
      <c r="AV984">
        <v>0</v>
      </c>
    </row>
    <row r="985" spans="1:48" x14ac:dyDescent="0.15">
      <c r="A985" s="4" t="str">
        <f>HYPERLINK("https://ibp.a2mac1.com/costing(costing:projects/details/9760/equipment/12213314)","Manufacturing Equipment")</f>
        <v>Manufacturing Equipment</v>
      </c>
      <c r="B985">
        <v>12213314</v>
      </c>
      <c r="C985">
        <v>12086181</v>
      </c>
      <c r="H985" t="s">
        <v>162</v>
      </c>
      <c r="I985">
        <v>373962.1752</v>
      </c>
      <c r="J985">
        <v>0</v>
      </c>
      <c r="K985">
        <v>3.3919999999999999</v>
      </c>
      <c r="L985">
        <v>0</v>
      </c>
      <c r="M985">
        <v>85.594213950498229</v>
      </c>
      <c r="N985">
        <v>0</v>
      </c>
      <c r="O985">
        <v>2.9650073474158005E-3</v>
      </c>
      <c r="P985">
        <v>1.4311561483333334E-4</v>
      </c>
      <c r="Q985">
        <v>8.8339008555448403E-3</v>
      </c>
      <c r="R985">
        <v>2750000</v>
      </c>
      <c r="S985">
        <v>0</v>
      </c>
      <c r="T985">
        <v>0</v>
      </c>
      <c r="V985">
        <v>5400</v>
      </c>
      <c r="W985">
        <v>10</v>
      </c>
      <c r="X985">
        <v>85</v>
      </c>
      <c r="Y985">
        <v>4</v>
      </c>
      <c r="Z985">
        <v>4</v>
      </c>
      <c r="AA985">
        <v>5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80</v>
      </c>
      <c r="AM985">
        <v>53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70</v>
      </c>
      <c r="AU985">
        <v>0</v>
      </c>
      <c r="AV985">
        <v>0</v>
      </c>
    </row>
    <row r="986" spans="1:48" x14ac:dyDescent="0.15">
      <c r="A986" s="4" t="str">
        <f>HYPERLINK("https://ibp.a2mac1.com/costing(costing:projects/details/9760/equipment/12213315)","Manufacturing Equipment")</f>
        <v>Manufacturing Equipment</v>
      </c>
      <c r="B986">
        <v>12213315</v>
      </c>
      <c r="C986">
        <v>12086182</v>
      </c>
      <c r="H986" t="s">
        <v>162</v>
      </c>
      <c r="I986">
        <v>373962.1752</v>
      </c>
      <c r="J986">
        <v>0</v>
      </c>
      <c r="K986">
        <v>3.3919999999999999</v>
      </c>
      <c r="L986">
        <v>0</v>
      </c>
      <c r="M986">
        <v>85.594213950498229</v>
      </c>
      <c r="N986">
        <v>0</v>
      </c>
      <c r="O986">
        <v>2.9650073474158005E-3</v>
      </c>
      <c r="P986">
        <v>1.4311561483333334E-4</v>
      </c>
      <c r="Q986">
        <v>8.8339008555448403E-3</v>
      </c>
      <c r="R986">
        <v>2750000</v>
      </c>
      <c r="S986">
        <v>0</v>
      </c>
      <c r="T986">
        <v>0</v>
      </c>
      <c r="V986">
        <v>5400</v>
      </c>
      <c r="W986">
        <v>10</v>
      </c>
      <c r="X986">
        <v>85</v>
      </c>
      <c r="Y986">
        <v>4</v>
      </c>
      <c r="Z986">
        <v>4</v>
      </c>
      <c r="AA986">
        <v>5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80</v>
      </c>
      <c r="AM986">
        <v>53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70</v>
      </c>
      <c r="AU986">
        <v>0</v>
      </c>
      <c r="AV986">
        <v>0</v>
      </c>
    </row>
    <row r="987" spans="1:48" x14ac:dyDescent="0.15">
      <c r="A987" s="4" t="str">
        <f>HYPERLINK("https://ibp.a2mac1.com/costing(costing:projects/details/9760/equipment/12213316)","Manufacturing Equipment")</f>
        <v>Manufacturing Equipment</v>
      </c>
      <c r="B987">
        <v>12213316</v>
      </c>
      <c r="C987">
        <v>12086183</v>
      </c>
      <c r="H987" t="s">
        <v>162</v>
      </c>
      <c r="I987">
        <v>373962.1752</v>
      </c>
      <c r="J987">
        <v>0</v>
      </c>
      <c r="K987">
        <v>3.3919999999999999</v>
      </c>
      <c r="L987">
        <v>0</v>
      </c>
      <c r="M987">
        <v>85.594213950498229</v>
      </c>
      <c r="N987">
        <v>0</v>
      </c>
      <c r="O987">
        <v>5.7636766057211332E-2</v>
      </c>
      <c r="P987">
        <v>2.7820238686666666E-3</v>
      </c>
      <c r="Q987">
        <v>8.8339008555448403E-3</v>
      </c>
      <c r="R987">
        <v>2750000</v>
      </c>
      <c r="S987">
        <v>0</v>
      </c>
      <c r="T987">
        <v>0</v>
      </c>
      <c r="V987">
        <v>5400</v>
      </c>
      <c r="W987">
        <v>10</v>
      </c>
      <c r="X987">
        <v>85</v>
      </c>
      <c r="Y987">
        <v>4</v>
      </c>
      <c r="Z987">
        <v>4</v>
      </c>
      <c r="AA987">
        <v>5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80</v>
      </c>
      <c r="AM987">
        <v>53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70</v>
      </c>
      <c r="AU987">
        <v>0</v>
      </c>
      <c r="AV987">
        <v>0</v>
      </c>
    </row>
    <row r="988" spans="1:48" x14ac:dyDescent="0.15">
      <c r="A988" s="4" t="str">
        <f>HYPERLINK("https://ibp.a2mac1.com/costing(costing:projects/details/9760/equipment/12213317)","Manufacturing Equipment")</f>
        <v>Manufacturing Equipment</v>
      </c>
      <c r="B988">
        <v>12213317</v>
      </c>
      <c r="C988">
        <v>12086184</v>
      </c>
      <c r="H988" t="s">
        <v>162</v>
      </c>
      <c r="I988">
        <v>373962.1752</v>
      </c>
      <c r="J988">
        <v>0</v>
      </c>
      <c r="K988">
        <v>3.3919999999999999</v>
      </c>
      <c r="L988">
        <v>0</v>
      </c>
      <c r="M988">
        <v>85.594213950498229</v>
      </c>
      <c r="N988">
        <v>0</v>
      </c>
      <c r="O988">
        <v>5.7636766057211332E-2</v>
      </c>
      <c r="P988">
        <v>2.7820238686666666E-3</v>
      </c>
      <c r="Q988">
        <v>8.8339008555448403E-3</v>
      </c>
      <c r="R988">
        <v>2750000</v>
      </c>
      <c r="S988">
        <v>0</v>
      </c>
      <c r="T988">
        <v>0</v>
      </c>
      <c r="V988">
        <v>5400</v>
      </c>
      <c r="W988">
        <v>10</v>
      </c>
      <c r="X988">
        <v>85</v>
      </c>
      <c r="Y988">
        <v>4</v>
      </c>
      <c r="Z988">
        <v>4</v>
      </c>
      <c r="AA988">
        <v>5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80</v>
      </c>
      <c r="AM988">
        <v>53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70</v>
      </c>
      <c r="AU988">
        <v>0</v>
      </c>
      <c r="AV988">
        <v>0</v>
      </c>
    </row>
    <row r="989" spans="1:48" x14ac:dyDescent="0.15">
      <c r="A989" s="4" t="str">
        <f>HYPERLINK("https://ibp.a2mac1.com/costing(costing:projects/details/9760/equipment/12213318)","Manufacturing Equipment")</f>
        <v>Manufacturing Equipment</v>
      </c>
      <c r="B989">
        <v>12213318</v>
      </c>
      <c r="C989">
        <v>12086185</v>
      </c>
      <c r="H989" t="s">
        <v>162</v>
      </c>
      <c r="I989">
        <v>373962.1752</v>
      </c>
      <c r="J989">
        <v>0</v>
      </c>
      <c r="K989">
        <v>3.3919999999999999</v>
      </c>
      <c r="L989">
        <v>0</v>
      </c>
      <c r="M989">
        <v>85.594213950498229</v>
      </c>
      <c r="N989">
        <v>0</v>
      </c>
      <c r="O989">
        <v>5.7636766057211332E-2</v>
      </c>
      <c r="P989">
        <v>2.7820238686666666E-3</v>
      </c>
      <c r="Q989">
        <v>8.8339008555448403E-3</v>
      </c>
      <c r="R989">
        <v>2750000</v>
      </c>
      <c r="S989">
        <v>0</v>
      </c>
      <c r="T989">
        <v>0</v>
      </c>
      <c r="V989">
        <v>5400</v>
      </c>
      <c r="W989">
        <v>10</v>
      </c>
      <c r="X989">
        <v>85</v>
      </c>
      <c r="Y989">
        <v>4</v>
      </c>
      <c r="Z989">
        <v>4</v>
      </c>
      <c r="AA989">
        <v>5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80</v>
      </c>
      <c r="AM989">
        <v>53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70</v>
      </c>
      <c r="AU989">
        <v>0</v>
      </c>
      <c r="AV989">
        <v>0</v>
      </c>
    </row>
    <row r="990" spans="1:48" x14ac:dyDescent="0.15">
      <c r="A990" s="4" t="str">
        <f>HYPERLINK("https://ibp.a2mac1.com/costing(costing:projects/details/9760/equipment/12213146)","Manufacturing Equipment")</f>
        <v>Manufacturing Equipment</v>
      </c>
      <c r="B990">
        <v>12213146</v>
      </c>
      <c r="C990">
        <v>12085988</v>
      </c>
      <c r="H990" t="s">
        <v>162</v>
      </c>
      <c r="I990">
        <v>373962.1752</v>
      </c>
      <c r="J990">
        <v>0</v>
      </c>
      <c r="K990">
        <v>3.3919999999999999</v>
      </c>
      <c r="L990">
        <v>0</v>
      </c>
      <c r="M990">
        <v>85.594213950498229</v>
      </c>
      <c r="N990">
        <v>0</v>
      </c>
      <c r="O990">
        <v>1.183174525718667</v>
      </c>
      <c r="P990">
        <v>5.7109723472000003E-2</v>
      </c>
      <c r="Q990">
        <v>8.8339008555448403E-3</v>
      </c>
      <c r="R990">
        <v>2750000</v>
      </c>
      <c r="S990">
        <v>0</v>
      </c>
      <c r="T990">
        <v>0</v>
      </c>
      <c r="V990">
        <v>5400</v>
      </c>
      <c r="W990">
        <v>10</v>
      </c>
      <c r="X990">
        <v>85</v>
      </c>
      <c r="Y990">
        <v>4</v>
      </c>
      <c r="Z990">
        <v>4</v>
      </c>
      <c r="AA990">
        <v>5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80</v>
      </c>
      <c r="AM990">
        <v>53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70</v>
      </c>
      <c r="AU990">
        <v>0</v>
      </c>
      <c r="AV990">
        <v>0</v>
      </c>
    </row>
    <row r="991" spans="1:48" x14ac:dyDescent="0.15">
      <c r="A991" s="4" t="str">
        <f>HYPERLINK("https://ibp.a2mac1.com/costing(costing:projects/details/9760/equipment/12212200)","Assembly Station ")</f>
        <v xml:space="preserve">Assembly Station </v>
      </c>
      <c r="B991">
        <v>12212200</v>
      </c>
      <c r="C991">
        <v>12085108</v>
      </c>
      <c r="E991" t="s">
        <v>1630</v>
      </c>
      <c r="F991" t="s">
        <v>5068</v>
      </c>
      <c r="G991" t="s">
        <v>8</v>
      </c>
      <c r="H991" t="s">
        <v>162</v>
      </c>
      <c r="I991">
        <v>4824.9071999999996</v>
      </c>
      <c r="J991">
        <v>0</v>
      </c>
      <c r="K991">
        <v>0.10768</v>
      </c>
      <c r="L991">
        <v>0</v>
      </c>
      <c r="M991">
        <v>1.1242192478302797</v>
      </c>
      <c r="N991">
        <v>0</v>
      </c>
      <c r="O991">
        <v>0.14052740597878496</v>
      </c>
      <c r="P991">
        <v>0.51643499999999998</v>
      </c>
      <c r="Q991">
        <v>2.2807432079717134E-4</v>
      </c>
      <c r="R991">
        <v>30000</v>
      </c>
      <c r="S991">
        <v>0</v>
      </c>
      <c r="T991">
        <v>0</v>
      </c>
      <c r="V991">
        <v>600</v>
      </c>
      <c r="W991">
        <v>10</v>
      </c>
      <c r="X991">
        <v>85</v>
      </c>
      <c r="Y991">
        <v>3</v>
      </c>
      <c r="Z991">
        <v>4</v>
      </c>
      <c r="AA991">
        <v>5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100</v>
      </c>
      <c r="AM991">
        <v>1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20</v>
      </c>
      <c r="AU991">
        <v>0</v>
      </c>
      <c r="AV991">
        <v>0</v>
      </c>
    </row>
    <row r="992" spans="1:48" x14ac:dyDescent="0.15">
      <c r="A992" s="4" t="str">
        <f>HYPERLINK("https://ibp.a2mac1.com/costing(costing:projects/details/9760/equipment/12212199)","No.13 - Injection Press - 1000T - 191kW - 1230x1230 - Max Volume 7815cm3 ")</f>
        <v xml:space="preserve">No.13 - Injection Press - 1000T - 191kW - 1230x1230 - Max Volume 7815cm3 </v>
      </c>
      <c r="B992">
        <v>12212199</v>
      </c>
      <c r="C992">
        <v>12085107</v>
      </c>
      <c r="E992" t="s">
        <v>1630</v>
      </c>
      <c r="H992" t="s">
        <v>162</v>
      </c>
      <c r="I992">
        <v>102974.1648</v>
      </c>
      <c r="J992">
        <v>0</v>
      </c>
      <c r="K992">
        <v>6.4560000000000004</v>
      </c>
      <c r="L992">
        <v>0</v>
      </c>
      <c r="M992">
        <v>27.827611186113788</v>
      </c>
      <c r="N992">
        <v>0</v>
      </c>
      <c r="O992">
        <v>0.17580843166351012</v>
      </c>
      <c r="P992">
        <v>1.3050869052166666E-2</v>
      </c>
      <c r="Q992">
        <v>1.572199948466731E-2</v>
      </c>
      <c r="R992">
        <v>600000</v>
      </c>
      <c r="S992">
        <v>0</v>
      </c>
      <c r="T992">
        <v>0</v>
      </c>
      <c r="V992">
        <v>14400</v>
      </c>
      <c r="W992">
        <v>8</v>
      </c>
      <c r="X992">
        <v>85</v>
      </c>
      <c r="Y992">
        <v>3</v>
      </c>
      <c r="Z992">
        <v>4</v>
      </c>
      <c r="AA992">
        <v>5</v>
      </c>
      <c r="AB992">
        <v>0</v>
      </c>
      <c r="AC992">
        <v>0</v>
      </c>
      <c r="AD992">
        <v>0</v>
      </c>
      <c r="AE992">
        <v>0</v>
      </c>
      <c r="AF992">
        <v>0.5</v>
      </c>
      <c r="AG992">
        <v>0</v>
      </c>
      <c r="AH992">
        <v>0</v>
      </c>
      <c r="AI992">
        <v>3</v>
      </c>
      <c r="AJ992">
        <v>0</v>
      </c>
      <c r="AK992">
        <v>0</v>
      </c>
      <c r="AL992">
        <v>92</v>
      </c>
      <c r="AM992">
        <v>85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180</v>
      </c>
      <c r="AU992">
        <v>0.2</v>
      </c>
      <c r="AV992">
        <v>0</v>
      </c>
    </row>
    <row r="993" spans="1:48" x14ac:dyDescent="0.15">
      <c r="A993" s="4" t="str">
        <f>HYPERLINK("https://ibp.a2mac1.com/costing(costing:projects/details/9760/equipment/12212157)","Assembly Station ")</f>
        <v xml:space="preserve">Assembly Station </v>
      </c>
      <c r="B993">
        <v>12212157</v>
      </c>
      <c r="C993">
        <v>12085065</v>
      </c>
      <c r="E993" t="s">
        <v>1630</v>
      </c>
      <c r="F993" t="s">
        <v>5068</v>
      </c>
      <c r="G993" t="s">
        <v>8</v>
      </c>
      <c r="H993" t="s">
        <v>162</v>
      </c>
      <c r="I993">
        <v>4824.9071999999996</v>
      </c>
      <c r="J993">
        <v>0</v>
      </c>
      <c r="K993">
        <v>0.10768</v>
      </c>
      <c r="L993">
        <v>0</v>
      </c>
      <c r="M993">
        <v>1.1242192478302797</v>
      </c>
      <c r="N993">
        <v>0</v>
      </c>
      <c r="O993">
        <v>0.14052740597878496</v>
      </c>
      <c r="P993">
        <v>0.51643499999999998</v>
      </c>
      <c r="Q993">
        <v>2.2807432079717134E-4</v>
      </c>
      <c r="R993">
        <v>30000</v>
      </c>
      <c r="S993">
        <v>0</v>
      </c>
      <c r="T993">
        <v>0</v>
      </c>
      <c r="V993">
        <v>600</v>
      </c>
      <c r="W993">
        <v>10</v>
      </c>
      <c r="X993">
        <v>85</v>
      </c>
      <c r="Y993">
        <v>3</v>
      </c>
      <c r="Z993">
        <v>4</v>
      </c>
      <c r="AA993">
        <v>5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100</v>
      </c>
      <c r="AM993">
        <v>1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20</v>
      </c>
      <c r="AU993">
        <v>0</v>
      </c>
      <c r="AV993">
        <v>0</v>
      </c>
    </row>
    <row r="994" spans="1:48" x14ac:dyDescent="0.15">
      <c r="A994" s="4" t="str">
        <f>HYPERLINK("https://ibp.a2mac1.com/costing(costing:projects/details/9760/equipment/12213147)","Manufacturing Equipment")</f>
        <v>Manufacturing Equipment</v>
      </c>
      <c r="B994">
        <v>12213147</v>
      </c>
      <c r="C994">
        <v>12085989</v>
      </c>
      <c r="H994" t="s">
        <v>162</v>
      </c>
      <c r="I994">
        <v>373962.1752</v>
      </c>
      <c r="J994">
        <v>0</v>
      </c>
      <c r="K994">
        <v>3.3919999999999999</v>
      </c>
      <c r="L994">
        <v>0</v>
      </c>
      <c r="M994">
        <v>85.594213950498229</v>
      </c>
      <c r="N994">
        <v>0</v>
      </c>
      <c r="O994">
        <v>1.183174525718667</v>
      </c>
      <c r="P994">
        <v>5.7109723472000003E-2</v>
      </c>
      <c r="Q994">
        <v>8.8339008555448403E-3</v>
      </c>
      <c r="R994">
        <v>2750000</v>
      </c>
      <c r="S994">
        <v>0</v>
      </c>
      <c r="T994">
        <v>0</v>
      </c>
      <c r="V994">
        <v>5400</v>
      </c>
      <c r="W994">
        <v>10</v>
      </c>
      <c r="X994">
        <v>85</v>
      </c>
      <c r="Y994">
        <v>4</v>
      </c>
      <c r="Z994">
        <v>4</v>
      </c>
      <c r="AA994">
        <v>5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80</v>
      </c>
      <c r="AM994">
        <v>53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70</v>
      </c>
      <c r="AU994">
        <v>0</v>
      </c>
      <c r="AV994">
        <v>0</v>
      </c>
    </row>
    <row r="995" spans="1:48" x14ac:dyDescent="0.15">
      <c r="A995" s="4" t="str">
        <f>HYPERLINK("https://ibp.a2mac1.com/costing(costing:projects/details/9760/equipment/12213148)","Manufacturing Equipment")</f>
        <v>Manufacturing Equipment</v>
      </c>
      <c r="B995">
        <v>12213148</v>
      </c>
      <c r="C995">
        <v>12085990</v>
      </c>
      <c r="H995" t="s">
        <v>162</v>
      </c>
      <c r="I995">
        <v>373962.1752</v>
      </c>
      <c r="J995">
        <v>0</v>
      </c>
      <c r="K995">
        <v>3.3919999999999999</v>
      </c>
      <c r="L995">
        <v>0</v>
      </c>
      <c r="M995">
        <v>85.594213950498229</v>
      </c>
      <c r="N995">
        <v>0</v>
      </c>
      <c r="O995">
        <v>4.9900951209729635E-2</v>
      </c>
      <c r="P995">
        <v>2.4086298873333334E-3</v>
      </c>
      <c r="Q995">
        <v>8.8339008555448403E-3</v>
      </c>
      <c r="R995">
        <v>2750000</v>
      </c>
      <c r="S995">
        <v>0</v>
      </c>
      <c r="T995">
        <v>0</v>
      </c>
      <c r="V995">
        <v>5400</v>
      </c>
      <c r="W995">
        <v>10</v>
      </c>
      <c r="X995">
        <v>85</v>
      </c>
      <c r="Y995">
        <v>4</v>
      </c>
      <c r="Z995">
        <v>4</v>
      </c>
      <c r="AA995">
        <v>5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80</v>
      </c>
      <c r="AM995">
        <v>53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70</v>
      </c>
      <c r="AU995">
        <v>0</v>
      </c>
      <c r="AV995">
        <v>0</v>
      </c>
    </row>
    <row r="996" spans="1:48" x14ac:dyDescent="0.15">
      <c r="A996" s="4" t="str">
        <f>HYPERLINK("https://ibp.a2mac1.com/costing(costing:projects/details/9760/equipment/12213149)","Manufacturing Equipment")</f>
        <v>Manufacturing Equipment</v>
      </c>
      <c r="B996">
        <v>12213149</v>
      </c>
      <c r="C996">
        <v>12085991</v>
      </c>
      <c r="H996" t="s">
        <v>162</v>
      </c>
      <c r="I996">
        <v>373962.1752</v>
      </c>
      <c r="J996">
        <v>0</v>
      </c>
      <c r="K996">
        <v>3.3919999999999999</v>
      </c>
      <c r="L996">
        <v>0</v>
      </c>
      <c r="M996">
        <v>85.594213950498229</v>
      </c>
      <c r="N996">
        <v>0</v>
      </c>
      <c r="O996">
        <v>4.9900951209729635E-2</v>
      </c>
      <c r="P996">
        <v>2.4086298873333334E-3</v>
      </c>
      <c r="Q996">
        <v>8.8339008555448403E-3</v>
      </c>
      <c r="R996">
        <v>2750000</v>
      </c>
      <c r="S996">
        <v>0</v>
      </c>
      <c r="T996">
        <v>0</v>
      </c>
      <c r="V996">
        <v>5400</v>
      </c>
      <c r="W996">
        <v>10</v>
      </c>
      <c r="X996">
        <v>85</v>
      </c>
      <c r="Y996">
        <v>4</v>
      </c>
      <c r="Z996">
        <v>4</v>
      </c>
      <c r="AA996">
        <v>5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80</v>
      </c>
      <c r="AM996">
        <v>53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70</v>
      </c>
      <c r="AU996">
        <v>0</v>
      </c>
      <c r="AV996">
        <v>0</v>
      </c>
    </row>
    <row r="997" spans="1:48" x14ac:dyDescent="0.15">
      <c r="A997" s="4" t="str">
        <f>HYPERLINK("https://ibp.a2mac1.com/costing(costing:projects/details/9760/equipment/12213150)","Manufacturing Equipment")</f>
        <v>Manufacturing Equipment</v>
      </c>
      <c r="B997">
        <v>12213150</v>
      </c>
      <c r="C997">
        <v>12085992</v>
      </c>
      <c r="H997" t="s">
        <v>162</v>
      </c>
      <c r="I997">
        <v>373962.1752</v>
      </c>
      <c r="J997">
        <v>0</v>
      </c>
      <c r="K997">
        <v>3.3919999999999999</v>
      </c>
      <c r="L997">
        <v>0</v>
      </c>
      <c r="M997">
        <v>85.594213950498229</v>
      </c>
      <c r="N997">
        <v>0</v>
      </c>
      <c r="O997">
        <v>4.9900951209729635E-2</v>
      </c>
      <c r="P997">
        <v>2.4086298873333334E-3</v>
      </c>
      <c r="Q997">
        <v>8.8339008555448403E-3</v>
      </c>
      <c r="R997">
        <v>2750000</v>
      </c>
      <c r="S997">
        <v>0</v>
      </c>
      <c r="T997">
        <v>0</v>
      </c>
      <c r="V997">
        <v>5400</v>
      </c>
      <c r="W997">
        <v>10</v>
      </c>
      <c r="X997">
        <v>85</v>
      </c>
      <c r="Y997">
        <v>4</v>
      </c>
      <c r="Z997">
        <v>4</v>
      </c>
      <c r="AA997">
        <v>5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80</v>
      </c>
      <c r="AM997">
        <v>53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70</v>
      </c>
      <c r="AU997">
        <v>0</v>
      </c>
      <c r="AV997">
        <v>0</v>
      </c>
    </row>
    <row r="998" spans="1:48" x14ac:dyDescent="0.15">
      <c r="A998" s="4" t="str">
        <f>HYPERLINK("https://ibp.a2mac1.com/costing(costing:projects/details/9760/equipment/12213151)","Manufacturing Equipment")</f>
        <v>Manufacturing Equipment</v>
      </c>
      <c r="B998">
        <v>12213151</v>
      </c>
      <c r="C998">
        <v>12085993</v>
      </c>
      <c r="H998" t="s">
        <v>162</v>
      </c>
      <c r="I998">
        <v>373962.1752</v>
      </c>
      <c r="J998">
        <v>0</v>
      </c>
      <c r="K998">
        <v>3.3919999999999999</v>
      </c>
      <c r="L998">
        <v>0</v>
      </c>
      <c r="M998">
        <v>85.594213950498229</v>
      </c>
      <c r="N998">
        <v>0</v>
      </c>
      <c r="O998">
        <v>4.9900951209729635E-2</v>
      </c>
      <c r="P998">
        <v>2.4086298873333334E-3</v>
      </c>
      <c r="Q998">
        <v>8.8339008555448403E-3</v>
      </c>
      <c r="R998">
        <v>2750000</v>
      </c>
      <c r="S998">
        <v>0</v>
      </c>
      <c r="T998">
        <v>0</v>
      </c>
      <c r="V998">
        <v>5400</v>
      </c>
      <c r="W998">
        <v>10</v>
      </c>
      <c r="X998">
        <v>85</v>
      </c>
      <c r="Y998">
        <v>4</v>
      </c>
      <c r="Z998">
        <v>4</v>
      </c>
      <c r="AA998">
        <v>5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80</v>
      </c>
      <c r="AM998">
        <v>53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70</v>
      </c>
      <c r="AU998">
        <v>0</v>
      </c>
      <c r="AV998">
        <v>0</v>
      </c>
    </row>
    <row r="999" spans="1:48" x14ac:dyDescent="0.15">
      <c r="A999" s="4" t="str">
        <f>HYPERLINK("https://ibp.a2mac1.com/costing(costing:projects/details/9760/equipment/12213152)","Manufacturing Equipment")</f>
        <v>Manufacturing Equipment</v>
      </c>
      <c r="B999">
        <v>12213152</v>
      </c>
      <c r="C999">
        <v>12085994</v>
      </c>
      <c r="H999" t="s">
        <v>162</v>
      </c>
      <c r="I999">
        <v>373962.1752</v>
      </c>
      <c r="J999">
        <v>0</v>
      </c>
      <c r="K999">
        <v>3.3919999999999999</v>
      </c>
      <c r="L999">
        <v>0</v>
      </c>
      <c r="M999">
        <v>85.594213950498229</v>
      </c>
      <c r="N999">
        <v>0</v>
      </c>
      <c r="O999">
        <v>4.9900951209729635E-2</v>
      </c>
      <c r="P999">
        <v>2.4086298873333334E-3</v>
      </c>
      <c r="Q999">
        <v>8.8339008555448403E-3</v>
      </c>
      <c r="R999">
        <v>2750000</v>
      </c>
      <c r="S999">
        <v>0</v>
      </c>
      <c r="T999">
        <v>0</v>
      </c>
      <c r="V999">
        <v>5400</v>
      </c>
      <c r="W999">
        <v>10</v>
      </c>
      <c r="X999">
        <v>85</v>
      </c>
      <c r="Y999">
        <v>4</v>
      </c>
      <c r="Z999">
        <v>4</v>
      </c>
      <c r="AA999">
        <v>5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80</v>
      </c>
      <c r="AM999">
        <v>53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70</v>
      </c>
      <c r="AU999">
        <v>0</v>
      </c>
      <c r="AV999">
        <v>0</v>
      </c>
    </row>
    <row r="1000" spans="1:48" x14ac:dyDescent="0.15">
      <c r="A1000" s="4" t="str">
        <f>HYPERLINK("https://ibp.a2mac1.com/costing(costing:projects/details/9760/equipment/12213319)","Manufacturing Equipment")</f>
        <v>Manufacturing Equipment</v>
      </c>
      <c r="B1000">
        <v>12213319</v>
      </c>
      <c r="C1000">
        <v>12086186</v>
      </c>
      <c r="H1000" t="s">
        <v>162</v>
      </c>
      <c r="I1000">
        <v>373962.1752</v>
      </c>
      <c r="J1000">
        <v>0</v>
      </c>
      <c r="K1000">
        <v>3.3919999999999999</v>
      </c>
      <c r="L1000">
        <v>0</v>
      </c>
      <c r="M1000">
        <v>85.594213950498229</v>
      </c>
      <c r="N1000">
        <v>0</v>
      </c>
      <c r="O1000">
        <v>2.9650073474158005E-3</v>
      </c>
      <c r="P1000">
        <v>1.4311561483333334E-4</v>
      </c>
      <c r="Q1000">
        <v>8.8339008555448403E-3</v>
      </c>
      <c r="R1000">
        <v>2750000</v>
      </c>
      <c r="S1000">
        <v>0</v>
      </c>
      <c r="T1000">
        <v>0</v>
      </c>
      <c r="V1000">
        <v>5400</v>
      </c>
      <c r="W1000">
        <v>10</v>
      </c>
      <c r="X1000">
        <v>85</v>
      </c>
      <c r="Y1000">
        <v>4</v>
      </c>
      <c r="Z1000">
        <v>4</v>
      </c>
      <c r="AA1000">
        <v>5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80</v>
      </c>
      <c r="AM1000">
        <v>53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70</v>
      </c>
      <c r="AU1000">
        <v>0</v>
      </c>
      <c r="AV1000">
        <v>0</v>
      </c>
    </row>
    <row r="1001" spans="1:48" x14ac:dyDescent="0.15">
      <c r="A1001" s="4" t="str">
        <f>HYPERLINK("https://ibp.a2mac1.com/costing(costing:projects/details/9760/equipment/12213320)","Manufacturing Equipment")</f>
        <v>Manufacturing Equipment</v>
      </c>
      <c r="B1001">
        <v>12213320</v>
      </c>
      <c r="C1001">
        <v>12086187</v>
      </c>
      <c r="H1001" t="s">
        <v>162</v>
      </c>
      <c r="I1001">
        <v>373962.1752</v>
      </c>
      <c r="J1001">
        <v>0</v>
      </c>
      <c r="K1001">
        <v>3.3919999999999999</v>
      </c>
      <c r="L1001">
        <v>0</v>
      </c>
      <c r="M1001">
        <v>85.594213950498229</v>
      </c>
      <c r="N1001">
        <v>0</v>
      </c>
      <c r="O1001">
        <v>2.9650073474158005E-3</v>
      </c>
      <c r="P1001">
        <v>1.4311561483333334E-4</v>
      </c>
      <c r="Q1001">
        <v>8.8339008555448403E-3</v>
      </c>
      <c r="R1001">
        <v>2750000</v>
      </c>
      <c r="S1001">
        <v>0</v>
      </c>
      <c r="T1001">
        <v>0</v>
      </c>
      <c r="V1001">
        <v>5400</v>
      </c>
      <c r="W1001">
        <v>10</v>
      </c>
      <c r="X1001">
        <v>85</v>
      </c>
      <c r="Y1001">
        <v>4</v>
      </c>
      <c r="Z1001">
        <v>4</v>
      </c>
      <c r="AA1001">
        <v>5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80</v>
      </c>
      <c r="AM1001">
        <v>53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70</v>
      </c>
      <c r="AU1001">
        <v>0</v>
      </c>
      <c r="AV1001">
        <v>0</v>
      </c>
    </row>
    <row r="1002" spans="1:48" x14ac:dyDescent="0.15">
      <c r="A1002" s="4" t="str">
        <f>HYPERLINK("https://ibp.a2mac1.com/costing(costing:projects/details/9760/equipment/12213321)","Manufacturing Equipment")</f>
        <v>Manufacturing Equipment</v>
      </c>
      <c r="B1002">
        <v>12213321</v>
      </c>
      <c r="C1002">
        <v>12086188</v>
      </c>
      <c r="H1002" t="s">
        <v>162</v>
      </c>
      <c r="I1002">
        <v>373962.1752</v>
      </c>
      <c r="J1002">
        <v>0</v>
      </c>
      <c r="K1002">
        <v>3.3919999999999999</v>
      </c>
      <c r="L1002">
        <v>0</v>
      </c>
      <c r="M1002">
        <v>85.594213950498229</v>
      </c>
      <c r="N1002">
        <v>0</v>
      </c>
      <c r="O1002">
        <v>9.3250854150075724E-2</v>
      </c>
      <c r="P1002">
        <v>4.5010523623333337E-3</v>
      </c>
      <c r="Q1002">
        <v>8.8339008555448403E-3</v>
      </c>
      <c r="R1002">
        <v>2750000</v>
      </c>
      <c r="S1002">
        <v>0</v>
      </c>
      <c r="T1002">
        <v>0</v>
      </c>
      <c r="V1002">
        <v>5400</v>
      </c>
      <c r="W1002">
        <v>10</v>
      </c>
      <c r="X1002">
        <v>85</v>
      </c>
      <c r="Y1002">
        <v>4</v>
      </c>
      <c r="Z1002">
        <v>4</v>
      </c>
      <c r="AA1002">
        <v>5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80</v>
      </c>
      <c r="AM1002">
        <v>53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70</v>
      </c>
      <c r="AU1002">
        <v>0</v>
      </c>
      <c r="AV1002">
        <v>0</v>
      </c>
    </row>
    <row r="1003" spans="1:48" x14ac:dyDescent="0.15">
      <c r="A1003" s="4" t="str">
        <f>HYPERLINK("https://ibp.a2mac1.com/costing(costing:projects/details/9760/equipment/12213153)","Manufacturing Equipment")</f>
        <v>Manufacturing Equipment</v>
      </c>
      <c r="B1003">
        <v>12213153</v>
      </c>
      <c r="C1003">
        <v>12085995</v>
      </c>
      <c r="H1003" t="s">
        <v>162</v>
      </c>
      <c r="I1003">
        <v>373962.1752</v>
      </c>
      <c r="J1003">
        <v>0</v>
      </c>
      <c r="K1003">
        <v>3.3919999999999999</v>
      </c>
      <c r="L1003">
        <v>0</v>
      </c>
      <c r="M1003">
        <v>85.594213950498229</v>
      </c>
      <c r="N1003">
        <v>0</v>
      </c>
      <c r="O1003">
        <v>1.4982316105213044E-2</v>
      </c>
      <c r="P1003">
        <v>7.231696686666667E-4</v>
      </c>
      <c r="Q1003">
        <v>8.8339008555448403E-3</v>
      </c>
      <c r="R1003">
        <v>2750000</v>
      </c>
      <c r="S1003">
        <v>0</v>
      </c>
      <c r="T1003">
        <v>0</v>
      </c>
      <c r="V1003">
        <v>5400</v>
      </c>
      <c r="W1003">
        <v>10</v>
      </c>
      <c r="X1003">
        <v>85</v>
      </c>
      <c r="Y1003">
        <v>4</v>
      </c>
      <c r="Z1003">
        <v>4</v>
      </c>
      <c r="AA1003">
        <v>5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80</v>
      </c>
      <c r="AM1003">
        <v>53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70</v>
      </c>
      <c r="AU1003">
        <v>0</v>
      </c>
      <c r="AV1003">
        <v>0</v>
      </c>
    </row>
    <row r="1004" spans="1:48" x14ac:dyDescent="0.15">
      <c r="A1004" s="4" t="str">
        <f>HYPERLINK("https://ibp.a2mac1.com/costing(costing:projects/details/9760/equipment/12213587)","Manufacturing Equipment")</f>
        <v>Manufacturing Equipment</v>
      </c>
      <c r="B1004">
        <v>12213587</v>
      </c>
      <c r="C1004">
        <v>12086442</v>
      </c>
      <c r="H1004" t="s">
        <v>162</v>
      </c>
      <c r="I1004">
        <v>373962.1752</v>
      </c>
      <c r="J1004">
        <v>0</v>
      </c>
      <c r="K1004">
        <v>3.3919999999999999</v>
      </c>
      <c r="L1004">
        <v>0</v>
      </c>
      <c r="M1004">
        <v>85.594213950498229</v>
      </c>
      <c r="N1004">
        <v>0</v>
      </c>
      <c r="O1004">
        <v>0.18665625340867317</v>
      </c>
      <c r="P1004">
        <v>9.0095643413333325E-3</v>
      </c>
      <c r="Q1004">
        <v>8.8339008555448403E-3</v>
      </c>
      <c r="R1004">
        <v>2750000</v>
      </c>
      <c r="S1004">
        <v>0</v>
      </c>
      <c r="T1004">
        <v>0</v>
      </c>
      <c r="V1004">
        <v>5400</v>
      </c>
      <c r="W1004">
        <v>10</v>
      </c>
      <c r="X1004">
        <v>85</v>
      </c>
      <c r="Y1004">
        <v>4</v>
      </c>
      <c r="Z1004">
        <v>4</v>
      </c>
      <c r="AA1004">
        <v>5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80</v>
      </c>
      <c r="AM1004">
        <v>53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70</v>
      </c>
      <c r="AU1004">
        <v>0</v>
      </c>
      <c r="AV1004">
        <v>0</v>
      </c>
    </row>
    <row r="1005" spans="1:48" x14ac:dyDescent="0.15">
      <c r="A1005" s="4" t="str">
        <f>HYPERLINK("https://ibp.a2mac1.com/costing(costing:projects/details/9760/equipment/12213588)","Manufacturing Equipment")</f>
        <v>Manufacturing Equipment</v>
      </c>
      <c r="B1005">
        <v>12213588</v>
      </c>
      <c r="C1005">
        <v>12086443</v>
      </c>
      <c r="H1005" t="s">
        <v>162</v>
      </c>
      <c r="I1005">
        <v>373962.1752</v>
      </c>
      <c r="J1005">
        <v>0</v>
      </c>
      <c r="K1005">
        <v>3.3919999999999999</v>
      </c>
      <c r="L1005">
        <v>0</v>
      </c>
      <c r="M1005">
        <v>85.594213950498229</v>
      </c>
      <c r="N1005">
        <v>0</v>
      </c>
      <c r="O1005">
        <v>6.1760980599392832E-3</v>
      </c>
      <c r="P1005">
        <v>2.9810923466666665E-4</v>
      </c>
      <c r="Q1005">
        <v>8.8339008555448403E-3</v>
      </c>
      <c r="R1005">
        <v>2750000</v>
      </c>
      <c r="S1005">
        <v>0</v>
      </c>
      <c r="T1005">
        <v>0</v>
      </c>
      <c r="V1005">
        <v>5400</v>
      </c>
      <c r="W1005">
        <v>10</v>
      </c>
      <c r="X1005">
        <v>85</v>
      </c>
      <c r="Y1005">
        <v>4</v>
      </c>
      <c r="Z1005">
        <v>4</v>
      </c>
      <c r="AA1005">
        <v>5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80</v>
      </c>
      <c r="AM1005">
        <v>53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70</v>
      </c>
      <c r="AU1005">
        <v>0</v>
      </c>
      <c r="AV1005">
        <v>0</v>
      </c>
    </row>
    <row r="1006" spans="1:48" x14ac:dyDescent="0.15">
      <c r="A1006" s="4" t="str">
        <f>HYPERLINK("https://ibp.a2mac1.com/costing(costing:projects/details/9760/equipment/12213322)","Manufacturing Equipment")</f>
        <v>Manufacturing Equipment</v>
      </c>
      <c r="B1006">
        <v>12213322</v>
      </c>
      <c r="C1006">
        <v>12086189</v>
      </c>
      <c r="H1006" t="s">
        <v>162</v>
      </c>
      <c r="I1006">
        <v>373962.1752</v>
      </c>
      <c r="J1006">
        <v>0</v>
      </c>
      <c r="K1006">
        <v>3.3919999999999999</v>
      </c>
      <c r="L1006">
        <v>0</v>
      </c>
      <c r="M1006">
        <v>85.594213950498229</v>
      </c>
      <c r="N1006">
        <v>0</v>
      </c>
      <c r="O1006">
        <v>5.7636766057211332E-2</v>
      </c>
      <c r="P1006">
        <v>2.7820238686666666E-3</v>
      </c>
      <c r="Q1006">
        <v>8.8339008555448403E-3</v>
      </c>
      <c r="R1006">
        <v>2750000</v>
      </c>
      <c r="S1006">
        <v>0</v>
      </c>
      <c r="T1006">
        <v>0</v>
      </c>
      <c r="V1006">
        <v>5400</v>
      </c>
      <c r="W1006">
        <v>10</v>
      </c>
      <c r="X1006">
        <v>85</v>
      </c>
      <c r="Y1006">
        <v>4</v>
      </c>
      <c r="Z1006">
        <v>4</v>
      </c>
      <c r="AA1006">
        <v>5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80</v>
      </c>
      <c r="AM1006">
        <v>53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70</v>
      </c>
      <c r="AU1006">
        <v>0</v>
      </c>
      <c r="AV1006">
        <v>0</v>
      </c>
    </row>
    <row r="1007" spans="1:48" x14ac:dyDescent="0.15">
      <c r="A1007" s="4" t="str">
        <f>HYPERLINK("https://ibp.a2mac1.com/costing(costing:projects/details/9760/equipment/12213323)","Manufacturing Equipment")</f>
        <v>Manufacturing Equipment</v>
      </c>
      <c r="B1007">
        <v>12213323</v>
      </c>
      <c r="C1007">
        <v>12086190</v>
      </c>
      <c r="H1007" t="s">
        <v>162</v>
      </c>
      <c r="I1007">
        <v>373962.1752</v>
      </c>
      <c r="J1007">
        <v>0</v>
      </c>
      <c r="K1007">
        <v>3.3919999999999999</v>
      </c>
      <c r="L1007">
        <v>0</v>
      </c>
      <c r="M1007">
        <v>85.594213950498229</v>
      </c>
      <c r="N1007">
        <v>0</v>
      </c>
      <c r="O1007">
        <v>1.2396538677939033E-2</v>
      </c>
      <c r="P1007">
        <v>5.9835880550000004E-4</v>
      </c>
      <c r="Q1007">
        <v>8.8339008555448403E-3</v>
      </c>
      <c r="R1007">
        <v>2750000</v>
      </c>
      <c r="S1007">
        <v>0</v>
      </c>
      <c r="T1007">
        <v>0</v>
      </c>
      <c r="V1007">
        <v>5400</v>
      </c>
      <c r="W1007">
        <v>10</v>
      </c>
      <c r="X1007">
        <v>85</v>
      </c>
      <c r="Y1007">
        <v>4</v>
      </c>
      <c r="Z1007">
        <v>4</v>
      </c>
      <c r="AA1007">
        <v>5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80</v>
      </c>
      <c r="AM1007">
        <v>53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70</v>
      </c>
      <c r="AU1007">
        <v>0</v>
      </c>
      <c r="AV1007">
        <v>0</v>
      </c>
    </row>
    <row r="1008" spans="1:48" x14ac:dyDescent="0.15">
      <c r="A1008" s="4" t="str">
        <f>HYPERLINK("https://ibp.a2mac1.com/costing(costing:projects/details/9760/equipment/12213324)","Manufacturing Equipment")</f>
        <v>Manufacturing Equipment</v>
      </c>
      <c r="B1008">
        <v>12213324</v>
      </c>
      <c r="C1008">
        <v>12086191</v>
      </c>
      <c r="H1008" t="s">
        <v>162</v>
      </c>
      <c r="I1008">
        <v>373962.1752</v>
      </c>
      <c r="J1008">
        <v>0</v>
      </c>
      <c r="K1008">
        <v>3.3919999999999999</v>
      </c>
      <c r="L1008">
        <v>0</v>
      </c>
      <c r="M1008">
        <v>85.594213950498229</v>
      </c>
      <c r="N1008">
        <v>0</v>
      </c>
      <c r="O1008">
        <v>5.7636766057211332E-2</v>
      </c>
      <c r="P1008">
        <v>2.7820238686666666E-3</v>
      </c>
      <c r="Q1008">
        <v>8.8339008555448403E-3</v>
      </c>
      <c r="R1008">
        <v>2750000</v>
      </c>
      <c r="S1008">
        <v>0</v>
      </c>
      <c r="T1008">
        <v>0</v>
      </c>
      <c r="V1008">
        <v>5400</v>
      </c>
      <c r="W1008">
        <v>10</v>
      </c>
      <c r="X1008">
        <v>85</v>
      </c>
      <c r="Y1008">
        <v>4</v>
      </c>
      <c r="Z1008">
        <v>4</v>
      </c>
      <c r="AA1008">
        <v>5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80</v>
      </c>
      <c r="AM1008">
        <v>53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70</v>
      </c>
      <c r="AU1008">
        <v>0</v>
      </c>
      <c r="AV1008">
        <v>0</v>
      </c>
    </row>
    <row r="1009" spans="1:48" x14ac:dyDescent="0.15">
      <c r="A1009" s="4" t="str">
        <f>HYPERLINK("https://ibp.a2mac1.com/costing(costing:projects/details/9760/equipment/12213325)","Manufacturing Equipment")</f>
        <v>Manufacturing Equipment</v>
      </c>
      <c r="B1009">
        <v>12213325</v>
      </c>
      <c r="C1009">
        <v>12086192</v>
      </c>
      <c r="H1009" t="s">
        <v>162</v>
      </c>
      <c r="I1009">
        <v>373962.1752</v>
      </c>
      <c r="J1009">
        <v>0</v>
      </c>
      <c r="K1009">
        <v>3.3919999999999999</v>
      </c>
      <c r="L1009">
        <v>0</v>
      </c>
      <c r="M1009">
        <v>85.594213950498229</v>
      </c>
      <c r="N1009">
        <v>0</v>
      </c>
      <c r="O1009">
        <v>5.9929264420852175E-2</v>
      </c>
      <c r="P1009">
        <v>2.8926786746666668E-3</v>
      </c>
      <c r="Q1009">
        <v>8.8339008555448403E-3</v>
      </c>
      <c r="R1009">
        <v>2750000</v>
      </c>
      <c r="S1009">
        <v>0</v>
      </c>
      <c r="T1009">
        <v>0</v>
      </c>
      <c r="V1009">
        <v>5400</v>
      </c>
      <c r="W1009">
        <v>10</v>
      </c>
      <c r="X1009">
        <v>85</v>
      </c>
      <c r="Y1009">
        <v>4</v>
      </c>
      <c r="Z1009">
        <v>4</v>
      </c>
      <c r="AA1009">
        <v>5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80</v>
      </c>
      <c r="AM1009">
        <v>53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70</v>
      </c>
      <c r="AU1009">
        <v>0</v>
      </c>
      <c r="AV1009">
        <v>0</v>
      </c>
    </row>
    <row r="1010" spans="1:48" x14ac:dyDescent="0.15">
      <c r="A1010" s="4" t="str">
        <f>HYPERLINK("https://ibp.a2mac1.com/costing(costing:projects/details/9760/equipment/12213154)","Manufacturing Equipment")</f>
        <v>Manufacturing Equipment</v>
      </c>
      <c r="B1010">
        <v>12213154</v>
      </c>
      <c r="C1010">
        <v>12085996</v>
      </c>
      <c r="H1010" t="s">
        <v>162</v>
      </c>
      <c r="I1010">
        <v>373962.1752</v>
      </c>
      <c r="J1010">
        <v>0</v>
      </c>
      <c r="K1010">
        <v>3.3919999999999999</v>
      </c>
      <c r="L1010">
        <v>0</v>
      </c>
      <c r="M1010">
        <v>85.594213950498229</v>
      </c>
      <c r="N1010">
        <v>0</v>
      </c>
      <c r="O1010">
        <v>1.183174525718667</v>
      </c>
      <c r="P1010">
        <v>5.7109723472000003E-2</v>
      </c>
      <c r="Q1010">
        <v>8.8339008555448403E-3</v>
      </c>
      <c r="R1010">
        <v>2750000</v>
      </c>
      <c r="S1010">
        <v>0</v>
      </c>
      <c r="T1010">
        <v>0</v>
      </c>
      <c r="V1010">
        <v>5400</v>
      </c>
      <c r="W1010">
        <v>10</v>
      </c>
      <c r="X1010">
        <v>85</v>
      </c>
      <c r="Y1010">
        <v>4</v>
      </c>
      <c r="Z1010">
        <v>4</v>
      </c>
      <c r="AA1010">
        <v>5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80</v>
      </c>
      <c r="AM1010">
        <v>53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70</v>
      </c>
      <c r="AU1010">
        <v>0</v>
      </c>
      <c r="AV1010">
        <v>0</v>
      </c>
    </row>
    <row r="1011" spans="1:48" x14ac:dyDescent="0.15">
      <c r="A1011" s="4" t="str">
        <f>HYPERLINK("https://ibp.a2mac1.com/costing(costing:projects/details/9760/equipment/12212201)","Assembly Station ")</f>
        <v xml:space="preserve">Assembly Station </v>
      </c>
      <c r="B1011">
        <v>12212201</v>
      </c>
      <c r="C1011">
        <v>12085109</v>
      </c>
      <c r="E1011" t="s">
        <v>1630</v>
      </c>
      <c r="F1011" t="s">
        <v>5068</v>
      </c>
      <c r="G1011" t="s">
        <v>8</v>
      </c>
      <c r="H1011" t="s">
        <v>162</v>
      </c>
      <c r="I1011">
        <v>4824.9071999999996</v>
      </c>
      <c r="J1011">
        <v>0</v>
      </c>
      <c r="K1011">
        <v>0.10768</v>
      </c>
      <c r="L1011">
        <v>0</v>
      </c>
      <c r="M1011">
        <v>1.1242192478302797</v>
      </c>
      <c r="N1011">
        <v>0</v>
      </c>
      <c r="O1011">
        <v>0.14052740597878496</v>
      </c>
      <c r="P1011">
        <v>0.51643499999999998</v>
      </c>
      <c r="Q1011">
        <v>2.2807432079717134E-4</v>
      </c>
      <c r="R1011">
        <v>30000</v>
      </c>
      <c r="S1011">
        <v>0</v>
      </c>
      <c r="T1011">
        <v>0</v>
      </c>
      <c r="V1011">
        <v>600</v>
      </c>
      <c r="W1011">
        <v>10</v>
      </c>
      <c r="X1011">
        <v>85</v>
      </c>
      <c r="Y1011">
        <v>3</v>
      </c>
      <c r="Z1011">
        <v>4</v>
      </c>
      <c r="AA1011">
        <v>5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100</v>
      </c>
      <c r="AM1011">
        <v>1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20</v>
      </c>
      <c r="AU1011">
        <v>0</v>
      </c>
      <c r="AV1011">
        <v>0</v>
      </c>
    </row>
    <row r="1012" spans="1:48" x14ac:dyDescent="0.15">
      <c r="A1012" s="4" t="str">
        <f>HYPERLINK("https://ibp.a2mac1.com/costing(costing:projects/details/9760/equipment/12212878)","DC machine - General")</f>
        <v>DC machine - General</v>
      </c>
      <c r="B1012">
        <v>12212878</v>
      </c>
      <c r="C1012">
        <v>12085670</v>
      </c>
      <c r="E1012" t="s">
        <v>738</v>
      </c>
      <c r="H1012" t="s">
        <v>162</v>
      </c>
      <c r="I1012">
        <v>116914.84457142858</v>
      </c>
      <c r="J1012">
        <v>0</v>
      </c>
      <c r="K1012">
        <v>3.6</v>
      </c>
      <c r="L1012">
        <v>0</v>
      </c>
      <c r="M1012">
        <v>27.497982091197134</v>
      </c>
      <c r="N1012">
        <v>0</v>
      </c>
      <c r="O1012">
        <v>0.34372477613996416</v>
      </c>
      <c r="P1012">
        <v>5.1643500000000002E-2</v>
      </c>
      <c r="Q1012">
        <v>1.1732166376415484E-2</v>
      </c>
      <c r="R1012">
        <v>635568</v>
      </c>
      <c r="S1012">
        <v>0</v>
      </c>
      <c r="T1012">
        <v>0</v>
      </c>
      <c r="V1012">
        <v>10800</v>
      </c>
      <c r="W1012">
        <v>7</v>
      </c>
      <c r="X1012">
        <v>85</v>
      </c>
      <c r="Y1012">
        <v>3</v>
      </c>
      <c r="Z1012">
        <v>4</v>
      </c>
      <c r="AA1012">
        <v>5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3</v>
      </c>
      <c r="AJ1012">
        <v>0</v>
      </c>
      <c r="AK1012">
        <v>0</v>
      </c>
      <c r="AL1012">
        <v>100</v>
      </c>
      <c r="AM1012">
        <v>45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100</v>
      </c>
      <c r="AU1012">
        <v>0</v>
      </c>
      <c r="AV1012">
        <v>0</v>
      </c>
    </row>
    <row r="1013" spans="1:48" x14ac:dyDescent="0.15">
      <c r="A1013" s="4" t="str">
        <f>HYPERLINK("https://ibp.a2mac1.com/costing(costing:projects/details/9760/equipment/12212879)","DC machine - General")</f>
        <v>DC machine - General</v>
      </c>
      <c r="B1013">
        <v>12212879</v>
      </c>
      <c r="C1013">
        <v>12085671</v>
      </c>
      <c r="E1013" t="s">
        <v>738</v>
      </c>
      <c r="H1013" t="s">
        <v>162</v>
      </c>
      <c r="I1013">
        <v>116914.84457142858</v>
      </c>
      <c r="J1013">
        <v>0</v>
      </c>
      <c r="K1013">
        <v>3.6</v>
      </c>
      <c r="L1013">
        <v>0</v>
      </c>
      <c r="M1013">
        <v>27.497982091197134</v>
      </c>
      <c r="N1013">
        <v>0</v>
      </c>
      <c r="O1013">
        <v>0.45829970151995225</v>
      </c>
      <c r="P1013">
        <v>6.8858000000000003E-2</v>
      </c>
      <c r="Q1013">
        <v>1.1732166376415484E-2</v>
      </c>
      <c r="R1013">
        <v>635568</v>
      </c>
      <c r="S1013">
        <v>0</v>
      </c>
      <c r="T1013">
        <v>0</v>
      </c>
      <c r="V1013">
        <v>10800</v>
      </c>
      <c r="W1013">
        <v>7</v>
      </c>
      <c r="X1013">
        <v>85</v>
      </c>
      <c r="Y1013">
        <v>3</v>
      </c>
      <c r="Z1013">
        <v>4</v>
      </c>
      <c r="AA1013">
        <v>5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3</v>
      </c>
      <c r="AJ1013">
        <v>0</v>
      </c>
      <c r="AK1013">
        <v>0</v>
      </c>
      <c r="AL1013">
        <v>100</v>
      </c>
      <c r="AM1013">
        <v>45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100</v>
      </c>
      <c r="AU1013">
        <v>0</v>
      </c>
      <c r="AV1013">
        <v>0</v>
      </c>
    </row>
    <row r="1014" spans="1:48" x14ac:dyDescent="0.15">
      <c r="A1014" s="4" t="str">
        <f>HYPERLINK("https://ibp.a2mac1.com/costing(costing:projects/details/9760/equipment/12212880)","DC machine - General")</f>
        <v>DC machine - General</v>
      </c>
      <c r="B1014">
        <v>12212880</v>
      </c>
      <c r="C1014">
        <v>12085672</v>
      </c>
      <c r="E1014" t="s">
        <v>738</v>
      </c>
      <c r="H1014" t="s">
        <v>162</v>
      </c>
      <c r="I1014">
        <v>116914.84457142858</v>
      </c>
      <c r="J1014">
        <v>0</v>
      </c>
      <c r="K1014">
        <v>3.6</v>
      </c>
      <c r="L1014">
        <v>0</v>
      </c>
      <c r="M1014">
        <v>27.497982091197134</v>
      </c>
      <c r="N1014">
        <v>0</v>
      </c>
      <c r="O1014">
        <v>2.2914985075997613E-2</v>
      </c>
      <c r="P1014">
        <v>3.4429E-3</v>
      </c>
      <c r="Q1014">
        <v>1.1732166376415484E-2</v>
      </c>
      <c r="R1014">
        <v>635568</v>
      </c>
      <c r="S1014">
        <v>0</v>
      </c>
      <c r="T1014">
        <v>0</v>
      </c>
      <c r="V1014">
        <v>10800</v>
      </c>
      <c r="W1014">
        <v>7</v>
      </c>
      <c r="X1014">
        <v>85</v>
      </c>
      <c r="Y1014">
        <v>3</v>
      </c>
      <c r="Z1014">
        <v>4</v>
      </c>
      <c r="AA1014">
        <v>5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3</v>
      </c>
      <c r="AJ1014">
        <v>0</v>
      </c>
      <c r="AK1014">
        <v>0</v>
      </c>
      <c r="AL1014">
        <v>100</v>
      </c>
      <c r="AM1014">
        <v>45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100</v>
      </c>
      <c r="AU1014">
        <v>0</v>
      </c>
      <c r="AV1014">
        <v>0</v>
      </c>
    </row>
    <row r="1015" spans="1:48" x14ac:dyDescent="0.15">
      <c r="A1015" s="4" t="str">
        <f>HYPERLINK("https://ibp.a2mac1.com/costing(costing:projects/details/9760/equipment/12212881)","DC machine - General")</f>
        <v>DC machine - General</v>
      </c>
      <c r="B1015">
        <v>12212881</v>
      </c>
      <c r="C1015">
        <v>12085673</v>
      </c>
      <c r="E1015" t="s">
        <v>738</v>
      </c>
      <c r="H1015" t="s">
        <v>162</v>
      </c>
      <c r="I1015">
        <v>116914.84457142858</v>
      </c>
      <c r="J1015">
        <v>0</v>
      </c>
      <c r="K1015">
        <v>3.6</v>
      </c>
      <c r="L1015">
        <v>0</v>
      </c>
      <c r="M1015">
        <v>27.497982091197134</v>
      </c>
      <c r="N1015">
        <v>0</v>
      </c>
      <c r="O1015">
        <v>6.1106626869326969E-2</v>
      </c>
      <c r="P1015">
        <v>9.1810666666666662E-3</v>
      </c>
      <c r="Q1015">
        <v>1.1732166376415484E-2</v>
      </c>
      <c r="R1015">
        <v>635568</v>
      </c>
      <c r="S1015">
        <v>0</v>
      </c>
      <c r="T1015">
        <v>0</v>
      </c>
      <c r="V1015">
        <v>10800</v>
      </c>
      <c r="W1015">
        <v>7</v>
      </c>
      <c r="X1015">
        <v>85</v>
      </c>
      <c r="Y1015">
        <v>3</v>
      </c>
      <c r="Z1015">
        <v>4</v>
      </c>
      <c r="AA1015">
        <v>5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3</v>
      </c>
      <c r="AJ1015">
        <v>0</v>
      </c>
      <c r="AK1015">
        <v>0</v>
      </c>
      <c r="AL1015">
        <v>100</v>
      </c>
      <c r="AM1015">
        <v>45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100</v>
      </c>
      <c r="AU1015">
        <v>0</v>
      </c>
      <c r="AV1015">
        <v>0</v>
      </c>
    </row>
    <row r="1016" spans="1:48" x14ac:dyDescent="0.15">
      <c r="A1016" s="4" t="str">
        <f>HYPERLINK("https://ibp.a2mac1.com/costing(costing:projects/details/9760/equipment/12212882)","DC machine - General")</f>
        <v>DC machine - General</v>
      </c>
      <c r="B1016">
        <v>12212882</v>
      </c>
      <c r="C1016">
        <v>12085674</v>
      </c>
      <c r="E1016" t="s">
        <v>738</v>
      </c>
      <c r="H1016" t="s">
        <v>162</v>
      </c>
      <c r="I1016">
        <v>116914.84457142858</v>
      </c>
      <c r="J1016">
        <v>0</v>
      </c>
      <c r="K1016">
        <v>3.6</v>
      </c>
      <c r="L1016">
        <v>0</v>
      </c>
      <c r="M1016">
        <v>27.497982091197134</v>
      </c>
      <c r="N1016">
        <v>0</v>
      </c>
      <c r="O1016">
        <v>2.2914985075997613E-2</v>
      </c>
      <c r="P1016">
        <v>3.4429E-3</v>
      </c>
      <c r="Q1016">
        <v>1.1732166376415484E-2</v>
      </c>
      <c r="R1016">
        <v>635568</v>
      </c>
      <c r="S1016">
        <v>0</v>
      </c>
      <c r="T1016">
        <v>0</v>
      </c>
      <c r="V1016">
        <v>10800</v>
      </c>
      <c r="W1016">
        <v>7</v>
      </c>
      <c r="X1016">
        <v>85</v>
      </c>
      <c r="Y1016">
        <v>3</v>
      </c>
      <c r="Z1016">
        <v>4</v>
      </c>
      <c r="AA1016">
        <v>5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3</v>
      </c>
      <c r="AJ1016">
        <v>0</v>
      </c>
      <c r="AK1016">
        <v>0</v>
      </c>
      <c r="AL1016">
        <v>100</v>
      </c>
      <c r="AM1016">
        <v>45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100</v>
      </c>
      <c r="AU1016">
        <v>0</v>
      </c>
      <c r="AV1016">
        <v>0</v>
      </c>
    </row>
    <row r="1017" spans="1:48" x14ac:dyDescent="0.15">
      <c r="A1017" s="4" t="str">
        <f>HYPERLINK("https://ibp.a2mac1.com/costing(costing:projects/details/9760/equipment/12212883)","DC machine - General")</f>
        <v>DC machine - General</v>
      </c>
      <c r="B1017">
        <v>12212883</v>
      </c>
      <c r="C1017">
        <v>12085675</v>
      </c>
      <c r="E1017" t="s">
        <v>738</v>
      </c>
      <c r="H1017" t="s">
        <v>162</v>
      </c>
      <c r="I1017">
        <v>116914.84457142858</v>
      </c>
      <c r="J1017">
        <v>0</v>
      </c>
      <c r="K1017">
        <v>3.6</v>
      </c>
      <c r="L1017">
        <v>0</v>
      </c>
      <c r="M1017">
        <v>27.497982091197134</v>
      </c>
      <c r="N1017">
        <v>0</v>
      </c>
      <c r="O1017">
        <v>7.6383283586658711E-3</v>
      </c>
      <c r="P1017">
        <v>1.1476333333333333E-3</v>
      </c>
      <c r="Q1017">
        <v>1.1732166376415484E-2</v>
      </c>
      <c r="R1017">
        <v>635568</v>
      </c>
      <c r="S1017">
        <v>0</v>
      </c>
      <c r="T1017">
        <v>0</v>
      </c>
      <c r="V1017">
        <v>10800</v>
      </c>
      <c r="W1017">
        <v>7</v>
      </c>
      <c r="X1017">
        <v>85</v>
      </c>
      <c r="Y1017">
        <v>3</v>
      </c>
      <c r="Z1017">
        <v>4</v>
      </c>
      <c r="AA1017">
        <v>5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3</v>
      </c>
      <c r="AJ1017">
        <v>0</v>
      </c>
      <c r="AK1017">
        <v>0</v>
      </c>
      <c r="AL1017">
        <v>100</v>
      </c>
      <c r="AM1017">
        <v>45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100</v>
      </c>
      <c r="AU1017">
        <v>0</v>
      </c>
      <c r="AV1017">
        <v>0</v>
      </c>
    </row>
    <row r="1018" spans="1:48" x14ac:dyDescent="0.15">
      <c r="A1018" s="4" t="str">
        <f>HYPERLINK("https://ibp.a2mac1.com/costing(costing:projects/details/9760/equipment/12212884)","DC machine - General")</f>
        <v>DC machine - General</v>
      </c>
      <c r="B1018">
        <v>12212884</v>
      </c>
      <c r="C1018">
        <v>12085676</v>
      </c>
      <c r="E1018" t="s">
        <v>738</v>
      </c>
      <c r="H1018" t="s">
        <v>162</v>
      </c>
      <c r="I1018">
        <v>116914.84457142858</v>
      </c>
      <c r="J1018">
        <v>0</v>
      </c>
      <c r="K1018">
        <v>3.6</v>
      </c>
      <c r="L1018">
        <v>0</v>
      </c>
      <c r="M1018">
        <v>27.497982091197134</v>
      </c>
      <c r="N1018">
        <v>0</v>
      </c>
      <c r="O1018">
        <v>0.45829970151995225</v>
      </c>
      <c r="P1018">
        <v>6.8858000000000003E-2</v>
      </c>
      <c r="Q1018">
        <v>1.1732166376415484E-2</v>
      </c>
      <c r="R1018">
        <v>635568</v>
      </c>
      <c r="S1018">
        <v>0</v>
      </c>
      <c r="T1018">
        <v>0</v>
      </c>
      <c r="V1018">
        <v>10800</v>
      </c>
      <c r="W1018">
        <v>7</v>
      </c>
      <c r="X1018">
        <v>85</v>
      </c>
      <c r="Y1018">
        <v>3</v>
      </c>
      <c r="Z1018">
        <v>4</v>
      </c>
      <c r="AA1018">
        <v>5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3</v>
      </c>
      <c r="AJ1018">
        <v>0</v>
      </c>
      <c r="AK1018">
        <v>0</v>
      </c>
      <c r="AL1018">
        <v>100</v>
      </c>
      <c r="AM1018">
        <v>45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100</v>
      </c>
      <c r="AU1018">
        <v>0</v>
      </c>
      <c r="AV1018">
        <v>0</v>
      </c>
    </row>
    <row r="1019" spans="1:48" x14ac:dyDescent="0.15">
      <c r="A1019" s="4" t="str">
        <f>HYPERLINK("https://ibp.a2mac1.com/costing(costing:projects/details/9760/equipment/12212885)","DC machine - General")</f>
        <v>DC machine - General</v>
      </c>
      <c r="B1019">
        <v>12212885</v>
      </c>
      <c r="C1019">
        <v>12085677</v>
      </c>
      <c r="E1019" t="s">
        <v>738</v>
      </c>
      <c r="H1019" t="s">
        <v>162</v>
      </c>
      <c r="I1019">
        <v>116914.84457142858</v>
      </c>
      <c r="J1019">
        <v>0</v>
      </c>
      <c r="K1019">
        <v>3.6</v>
      </c>
      <c r="L1019">
        <v>0</v>
      </c>
      <c r="M1019">
        <v>27.497982091197134</v>
      </c>
      <c r="N1019">
        <v>0</v>
      </c>
      <c r="O1019">
        <v>3.0553313434663484E-3</v>
      </c>
      <c r="P1019">
        <v>4.5905333333333333E-4</v>
      </c>
      <c r="Q1019">
        <v>1.1732166376415484E-2</v>
      </c>
      <c r="R1019">
        <v>635568</v>
      </c>
      <c r="S1019">
        <v>0</v>
      </c>
      <c r="T1019">
        <v>0</v>
      </c>
      <c r="V1019">
        <v>10800</v>
      </c>
      <c r="W1019">
        <v>7</v>
      </c>
      <c r="X1019">
        <v>85</v>
      </c>
      <c r="Y1019">
        <v>3</v>
      </c>
      <c r="Z1019">
        <v>4</v>
      </c>
      <c r="AA1019">
        <v>5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3</v>
      </c>
      <c r="AJ1019">
        <v>0</v>
      </c>
      <c r="AK1019">
        <v>0</v>
      </c>
      <c r="AL1019">
        <v>100</v>
      </c>
      <c r="AM1019">
        <v>45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100</v>
      </c>
      <c r="AU1019">
        <v>0</v>
      </c>
      <c r="AV1019">
        <v>0</v>
      </c>
    </row>
    <row r="1020" spans="1:48" x14ac:dyDescent="0.15">
      <c r="A1020" s="4" t="str">
        <f>HYPERLINK("https://ibp.a2mac1.com/costing(costing:projects/details/9760/equipment/12212413)","DC machine - General")</f>
        <v>DC machine - General</v>
      </c>
      <c r="B1020">
        <v>12212413</v>
      </c>
      <c r="C1020">
        <v>12085317</v>
      </c>
      <c r="E1020" t="s">
        <v>738</v>
      </c>
      <c r="H1020" t="s">
        <v>162</v>
      </c>
      <c r="I1020">
        <v>116914.84457142858</v>
      </c>
      <c r="J1020">
        <v>0</v>
      </c>
      <c r="K1020">
        <v>3.6</v>
      </c>
      <c r="L1020">
        <v>0</v>
      </c>
      <c r="M1020">
        <v>27.497982091197134</v>
      </c>
      <c r="N1020">
        <v>0</v>
      </c>
      <c r="O1020">
        <v>0.90896107468123866</v>
      </c>
      <c r="P1020">
        <v>0.13656836666666666</v>
      </c>
      <c r="Q1020">
        <v>1.1732166376415484E-2</v>
      </c>
      <c r="R1020">
        <v>635568</v>
      </c>
      <c r="S1020">
        <v>0</v>
      </c>
      <c r="T1020">
        <v>0</v>
      </c>
      <c r="V1020">
        <v>10800</v>
      </c>
      <c r="W1020">
        <v>7</v>
      </c>
      <c r="X1020">
        <v>85</v>
      </c>
      <c r="Y1020">
        <v>3</v>
      </c>
      <c r="Z1020">
        <v>4</v>
      </c>
      <c r="AA1020">
        <v>5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3</v>
      </c>
      <c r="AJ1020">
        <v>0</v>
      </c>
      <c r="AK1020">
        <v>0</v>
      </c>
      <c r="AL1020">
        <v>100</v>
      </c>
      <c r="AM1020">
        <v>45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100</v>
      </c>
      <c r="AU1020">
        <v>0</v>
      </c>
      <c r="AV1020">
        <v>0</v>
      </c>
    </row>
    <row r="1021" spans="1:48" x14ac:dyDescent="0.15">
      <c r="A1021" s="4" t="str">
        <f>HYPERLINK("https://ibp.a2mac1.com/costing(costing:projects/details/9760/equipment/12212414)","DC machine - General")</f>
        <v>DC machine - General</v>
      </c>
      <c r="B1021">
        <v>12212414</v>
      </c>
      <c r="C1021">
        <v>12085318</v>
      </c>
      <c r="E1021" t="s">
        <v>738</v>
      </c>
      <c r="H1021" t="s">
        <v>162</v>
      </c>
      <c r="I1021">
        <v>116914.84457142858</v>
      </c>
      <c r="J1021">
        <v>0</v>
      </c>
      <c r="K1021">
        <v>3.6</v>
      </c>
      <c r="L1021">
        <v>0</v>
      </c>
      <c r="M1021">
        <v>27.497982091197134</v>
      </c>
      <c r="N1021">
        <v>0</v>
      </c>
      <c r="O1021">
        <v>0.56523629854127444</v>
      </c>
      <c r="P1021">
        <v>8.4924866666666668E-2</v>
      </c>
      <c r="Q1021">
        <v>1.1732166376415484E-2</v>
      </c>
      <c r="R1021">
        <v>635568</v>
      </c>
      <c r="S1021">
        <v>0</v>
      </c>
      <c r="T1021">
        <v>0</v>
      </c>
      <c r="V1021">
        <v>10800</v>
      </c>
      <c r="W1021">
        <v>7</v>
      </c>
      <c r="X1021">
        <v>85</v>
      </c>
      <c r="Y1021">
        <v>3</v>
      </c>
      <c r="Z1021">
        <v>4</v>
      </c>
      <c r="AA1021">
        <v>5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3</v>
      </c>
      <c r="AJ1021">
        <v>0</v>
      </c>
      <c r="AK1021">
        <v>0</v>
      </c>
      <c r="AL1021">
        <v>100</v>
      </c>
      <c r="AM1021">
        <v>45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100</v>
      </c>
      <c r="AU1021">
        <v>0</v>
      </c>
      <c r="AV1021">
        <v>0</v>
      </c>
    </row>
    <row r="1022" spans="1:48" x14ac:dyDescent="0.15">
      <c r="A1022" s="4" t="str">
        <f>HYPERLINK("https://ibp.a2mac1.com/costing(costing:projects/details/9760/equipment/12212415)","DC machine - General")</f>
        <v>DC machine - General</v>
      </c>
      <c r="B1022">
        <v>12212415</v>
      </c>
      <c r="C1022">
        <v>12085319</v>
      </c>
      <c r="E1022" t="s">
        <v>738</v>
      </c>
      <c r="H1022" t="s">
        <v>162</v>
      </c>
      <c r="I1022">
        <v>116914.84457142858</v>
      </c>
      <c r="J1022">
        <v>0</v>
      </c>
      <c r="K1022">
        <v>3.6</v>
      </c>
      <c r="L1022">
        <v>0</v>
      </c>
      <c r="M1022">
        <v>27.497982091197134</v>
      </c>
      <c r="N1022">
        <v>0</v>
      </c>
      <c r="O1022">
        <v>1.6727939105478258</v>
      </c>
      <c r="P1022">
        <v>0.25133169999999999</v>
      </c>
      <c r="Q1022">
        <v>1.1732166376415484E-2</v>
      </c>
      <c r="R1022">
        <v>635568</v>
      </c>
      <c r="S1022">
        <v>0</v>
      </c>
      <c r="T1022">
        <v>0</v>
      </c>
      <c r="V1022">
        <v>10800</v>
      </c>
      <c r="W1022">
        <v>7</v>
      </c>
      <c r="X1022">
        <v>85</v>
      </c>
      <c r="Y1022">
        <v>3</v>
      </c>
      <c r="Z1022">
        <v>4</v>
      </c>
      <c r="AA1022">
        <v>5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3</v>
      </c>
      <c r="AJ1022">
        <v>0</v>
      </c>
      <c r="AK1022">
        <v>0</v>
      </c>
      <c r="AL1022">
        <v>100</v>
      </c>
      <c r="AM1022">
        <v>45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100</v>
      </c>
      <c r="AU1022">
        <v>0</v>
      </c>
      <c r="AV1022">
        <v>0</v>
      </c>
    </row>
    <row r="1023" spans="1:48" x14ac:dyDescent="0.15">
      <c r="A1023" s="4" t="str">
        <f>HYPERLINK("https://ibp.a2mac1.com/costing(costing:projects/details/9760/equipment/12212416)","DC machine - General")</f>
        <v>DC machine - General</v>
      </c>
      <c r="B1023">
        <v>12212416</v>
      </c>
      <c r="C1023">
        <v>12085320</v>
      </c>
      <c r="E1023" t="s">
        <v>738</v>
      </c>
      <c r="H1023" t="s">
        <v>162</v>
      </c>
      <c r="I1023">
        <v>116914.84457142858</v>
      </c>
      <c r="J1023">
        <v>0</v>
      </c>
      <c r="K1023">
        <v>3.6</v>
      </c>
      <c r="L1023">
        <v>0</v>
      </c>
      <c r="M1023">
        <v>27.497982091197134</v>
      </c>
      <c r="N1023">
        <v>0</v>
      </c>
      <c r="O1023">
        <v>0.31317146270530072</v>
      </c>
      <c r="P1023">
        <v>4.7052966666666668E-2</v>
      </c>
      <c r="Q1023">
        <v>1.1732166376415484E-2</v>
      </c>
      <c r="R1023">
        <v>635568</v>
      </c>
      <c r="S1023">
        <v>0</v>
      </c>
      <c r="T1023">
        <v>0</v>
      </c>
      <c r="V1023">
        <v>10800</v>
      </c>
      <c r="W1023">
        <v>7</v>
      </c>
      <c r="X1023">
        <v>85</v>
      </c>
      <c r="Y1023">
        <v>3</v>
      </c>
      <c r="Z1023">
        <v>4</v>
      </c>
      <c r="AA1023">
        <v>5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3</v>
      </c>
      <c r="AJ1023">
        <v>0</v>
      </c>
      <c r="AK1023">
        <v>0</v>
      </c>
      <c r="AL1023">
        <v>100</v>
      </c>
      <c r="AM1023">
        <v>45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100</v>
      </c>
      <c r="AU1023">
        <v>0</v>
      </c>
      <c r="AV1023">
        <v>0</v>
      </c>
    </row>
    <row r="1024" spans="1:48" x14ac:dyDescent="0.15">
      <c r="A1024" s="4" t="str">
        <f>HYPERLINK("https://ibp.a2mac1.com/costing(costing:projects/details/9760/equipment/12212417)","DC machine - General")</f>
        <v>DC machine - General</v>
      </c>
      <c r="B1024">
        <v>12212417</v>
      </c>
      <c r="C1024">
        <v>12085321</v>
      </c>
      <c r="E1024" t="s">
        <v>738</v>
      </c>
      <c r="H1024" t="s">
        <v>162</v>
      </c>
      <c r="I1024">
        <v>116914.84457142858</v>
      </c>
      <c r="J1024">
        <v>0</v>
      </c>
      <c r="K1024">
        <v>3.6</v>
      </c>
      <c r="L1024">
        <v>0</v>
      </c>
      <c r="M1024">
        <v>27.497982091197134</v>
      </c>
      <c r="N1024">
        <v>0</v>
      </c>
      <c r="O1024">
        <v>0.71036453735592597</v>
      </c>
      <c r="P1024">
        <v>0.1067299</v>
      </c>
      <c r="Q1024">
        <v>1.1732166376415484E-2</v>
      </c>
      <c r="R1024">
        <v>635568</v>
      </c>
      <c r="S1024">
        <v>0</v>
      </c>
      <c r="T1024">
        <v>0</v>
      </c>
      <c r="V1024">
        <v>10800</v>
      </c>
      <c r="W1024">
        <v>7</v>
      </c>
      <c r="X1024">
        <v>85</v>
      </c>
      <c r="Y1024">
        <v>3</v>
      </c>
      <c r="Z1024">
        <v>4</v>
      </c>
      <c r="AA1024">
        <v>5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3</v>
      </c>
      <c r="AJ1024">
        <v>0</v>
      </c>
      <c r="AK1024">
        <v>0</v>
      </c>
      <c r="AL1024">
        <v>100</v>
      </c>
      <c r="AM1024">
        <v>45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100</v>
      </c>
      <c r="AU1024">
        <v>0</v>
      </c>
      <c r="AV1024">
        <v>0</v>
      </c>
    </row>
    <row r="1025" spans="1:48" x14ac:dyDescent="0.15">
      <c r="A1025" s="4" t="str">
        <f>HYPERLINK("https://ibp.a2mac1.com/costing(costing:projects/details/9760/equipment/12212418)","DC machine - General")</f>
        <v>DC machine - General</v>
      </c>
      <c r="B1025">
        <v>12212418</v>
      </c>
      <c r="C1025">
        <v>12085322</v>
      </c>
      <c r="E1025" t="s">
        <v>738</v>
      </c>
      <c r="H1025" t="s">
        <v>162</v>
      </c>
      <c r="I1025">
        <v>116914.84457142858</v>
      </c>
      <c r="J1025">
        <v>0</v>
      </c>
      <c r="K1025">
        <v>3.6</v>
      </c>
      <c r="L1025">
        <v>0</v>
      </c>
      <c r="M1025">
        <v>27.497982091197134</v>
      </c>
      <c r="N1025">
        <v>0</v>
      </c>
      <c r="O1025">
        <v>0.26734149255330547</v>
      </c>
      <c r="P1025">
        <v>4.0167166666666664E-2</v>
      </c>
      <c r="Q1025">
        <v>1.1732166376415484E-2</v>
      </c>
      <c r="R1025">
        <v>635568</v>
      </c>
      <c r="S1025">
        <v>0</v>
      </c>
      <c r="T1025">
        <v>0</v>
      </c>
      <c r="V1025">
        <v>10800</v>
      </c>
      <c r="W1025">
        <v>7</v>
      </c>
      <c r="X1025">
        <v>85</v>
      </c>
      <c r="Y1025">
        <v>3</v>
      </c>
      <c r="Z1025">
        <v>4</v>
      </c>
      <c r="AA1025">
        <v>5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3</v>
      </c>
      <c r="AJ1025">
        <v>0</v>
      </c>
      <c r="AK1025">
        <v>0</v>
      </c>
      <c r="AL1025">
        <v>100</v>
      </c>
      <c r="AM1025">
        <v>45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100</v>
      </c>
      <c r="AU1025">
        <v>0</v>
      </c>
      <c r="AV1025">
        <v>0</v>
      </c>
    </row>
    <row r="1026" spans="1:48" x14ac:dyDescent="0.15">
      <c r="A1026" s="4" t="str">
        <f>HYPERLINK("https://ibp.a2mac1.com/costing(costing:projects/details/9760/equipment/12212419)","DC machine - General")</f>
        <v>DC machine - General</v>
      </c>
      <c r="B1026">
        <v>12212419</v>
      </c>
      <c r="C1026">
        <v>12085323</v>
      </c>
      <c r="E1026" t="s">
        <v>738</v>
      </c>
      <c r="H1026" t="s">
        <v>162</v>
      </c>
      <c r="I1026">
        <v>116914.84457142858</v>
      </c>
      <c r="J1026">
        <v>0</v>
      </c>
      <c r="K1026">
        <v>3.6</v>
      </c>
      <c r="L1026">
        <v>0</v>
      </c>
      <c r="M1026">
        <v>27.497982091197134</v>
      </c>
      <c r="N1026">
        <v>0</v>
      </c>
      <c r="O1026">
        <v>0.10693659702132219</v>
      </c>
      <c r="P1026">
        <v>1.6066866666666665E-2</v>
      </c>
      <c r="Q1026">
        <v>1.1732166376415484E-2</v>
      </c>
      <c r="R1026">
        <v>635568</v>
      </c>
      <c r="S1026">
        <v>0</v>
      </c>
      <c r="T1026">
        <v>0</v>
      </c>
      <c r="V1026">
        <v>10800</v>
      </c>
      <c r="W1026">
        <v>7</v>
      </c>
      <c r="X1026">
        <v>85</v>
      </c>
      <c r="Y1026">
        <v>3</v>
      </c>
      <c r="Z1026">
        <v>4</v>
      </c>
      <c r="AA1026">
        <v>5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3</v>
      </c>
      <c r="AJ1026">
        <v>0</v>
      </c>
      <c r="AK1026">
        <v>0</v>
      </c>
      <c r="AL1026">
        <v>100</v>
      </c>
      <c r="AM1026">
        <v>45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100</v>
      </c>
      <c r="AU1026">
        <v>0</v>
      </c>
      <c r="AV1026">
        <v>0</v>
      </c>
    </row>
    <row r="1027" spans="1:48" x14ac:dyDescent="0.15">
      <c r="A1027" s="4" t="str">
        <f>HYPERLINK("https://ibp.a2mac1.com/costing(costing:projects/details/9760/equipment/12212420)","DC machine - General")</f>
        <v>DC machine - General</v>
      </c>
      <c r="B1027">
        <v>12212420</v>
      </c>
      <c r="C1027">
        <v>12085324</v>
      </c>
      <c r="E1027" t="s">
        <v>738</v>
      </c>
      <c r="H1027" t="s">
        <v>162</v>
      </c>
      <c r="I1027">
        <v>116914.84457142858</v>
      </c>
      <c r="J1027">
        <v>0</v>
      </c>
      <c r="K1027">
        <v>3.6</v>
      </c>
      <c r="L1027">
        <v>0</v>
      </c>
      <c r="M1027">
        <v>27.497982091197134</v>
      </c>
      <c r="N1027">
        <v>0</v>
      </c>
      <c r="O1027">
        <v>6.1106626869326969E-2</v>
      </c>
      <c r="P1027">
        <v>9.1810666666666662E-3</v>
      </c>
      <c r="Q1027">
        <v>1.1732166376415484E-2</v>
      </c>
      <c r="R1027">
        <v>635568</v>
      </c>
      <c r="S1027">
        <v>0</v>
      </c>
      <c r="T1027">
        <v>0</v>
      </c>
      <c r="V1027">
        <v>10800</v>
      </c>
      <c r="W1027">
        <v>7</v>
      </c>
      <c r="X1027">
        <v>85</v>
      </c>
      <c r="Y1027">
        <v>3</v>
      </c>
      <c r="Z1027">
        <v>4</v>
      </c>
      <c r="AA1027">
        <v>5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3</v>
      </c>
      <c r="AJ1027">
        <v>0</v>
      </c>
      <c r="AK1027">
        <v>0</v>
      </c>
      <c r="AL1027">
        <v>100</v>
      </c>
      <c r="AM1027">
        <v>45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100</v>
      </c>
      <c r="AU1027">
        <v>0</v>
      </c>
      <c r="AV1027">
        <v>0</v>
      </c>
    </row>
    <row r="1028" spans="1:48" x14ac:dyDescent="0.15">
      <c r="A1028" s="4" t="str">
        <f>HYPERLINK("https://ibp.a2mac1.com/costing(costing:projects/details/9760/equipment/12212421)","DC machine - General")</f>
        <v>DC machine - General</v>
      </c>
      <c r="B1028">
        <v>12212421</v>
      </c>
      <c r="C1028">
        <v>12085325</v>
      </c>
      <c r="E1028" t="s">
        <v>738</v>
      </c>
      <c r="H1028" t="s">
        <v>162</v>
      </c>
      <c r="I1028">
        <v>116914.84457142858</v>
      </c>
      <c r="J1028">
        <v>0</v>
      </c>
      <c r="K1028">
        <v>3.6</v>
      </c>
      <c r="L1028">
        <v>0</v>
      </c>
      <c r="M1028">
        <v>27.497982091197134</v>
      </c>
      <c r="N1028">
        <v>0</v>
      </c>
      <c r="O1028">
        <v>4.5829970151995227E-2</v>
      </c>
      <c r="P1028">
        <v>6.8858000000000001E-3</v>
      </c>
      <c r="Q1028">
        <v>1.1732166376415484E-2</v>
      </c>
      <c r="R1028">
        <v>635568</v>
      </c>
      <c r="S1028">
        <v>0</v>
      </c>
      <c r="T1028">
        <v>0</v>
      </c>
      <c r="V1028">
        <v>10800</v>
      </c>
      <c r="W1028">
        <v>7</v>
      </c>
      <c r="X1028">
        <v>85</v>
      </c>
      <c r="Y1028">
        <v>3</v>
      </c>
      <c r="Z1028">
        <v>4</v>
      </c>
      <c r="AA1028">
        <v>5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3</v>
      </c>
      <c r="AJ1028">
        <v>0</v>
      </c>
      <c r="AK1028">
        <v>0</v>
      </c>
      <c r="AL1028">
        <v>100</v>
      </c>
      <c r="AM1028">
        <v>45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100</v>
      </c>
      <c r="AU1028">
        <v>0</v>
      </c>
      <c r="AV1028">
        <v>0</v>
      </c>
    </row>
    <row r="1029" spans="1:48" x14ac:dyDescent="0.15">
      <c r="A1029" s="4" t="str">
        <f>HYPERLINK("https://ibp.a2mac1.com/costing(costing:projects/details/9760/equipment/12212422)","DC machine - General")</f>
        <v>DC machine - General</v>
      </c>
      <c r="B1029">
        <v>12212422</v>
      </c>
      <c r="C1029">
        <v>12085326</v>
      </c>
      <c r="E1029" t="s">
        <v>738</v>
      </c>
      <c r="H1029" t="s">
        <v>162</v>
      </c>
      <c r="I1029">
        <v>116914.84457142858</v>
      </c>
      <c r="J1029">
        <v>0</v>
      </c>
      <c r="K1029">
        <v>3.6</v>
      </c>
      <c r="L1029">
        <v>0</v>
      </c>
      <c r="M1029">
        <v>27.497982091197134</v>
      </c>
      <c r="N1029">
        <v>0</v>
      </c>
      <c r="O1029">
        <v>0.14512823881465153</v>
      </c>
      <c r="P1029">
        <v>2.1805033333333335E-2</v>
      </c>
      <c r="Q1029">
        <v>1.1732166376415484E-2</v>
      </c>
      <c r="R1029">
        <v>635568</v>
      </c>
      <c r="S1029">
        <v>0</v>
      </c>
      <c r="T1029">
        <v>0</v>
      </c>
      <c r="V1029">
        <v>10800</v>
      </c>
      <c r="W1029">
        <v>7</v>
      </c>
      <c r="X1029">
        <v>85</v>
      </c>
      <c r="Y1029">
        <v>3</v>
      </c>
      <c r="Z1029">
        <v>4</v>
      </c>
      <c r="AA1029">
        <v>5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3</v>
      </c>
      <c r="AJ1029">
        <v>0</v>
      </c>
      <c r="AK1029">
        <v>0</v>
      </c>
      <c r="AL1029">
        <v>100</v>
      </c>
      <c r="AM1029">
        <v>45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100</v>
      </c>
      <c r="AU1029">
        <v>0</v>
      </c>
      <c r="AV1029">
        <v>0</v>
      </c>
    </row>
    <row r="1030" spans="1:48" x14ac:dyDescent="0.15">
      <c r="A1030" s="4" t="str">
        <f>HYPERLINK("https://ibp.a2mac1.com/costing(costing:projects/details/9760/equipment/12212423)","DC machine - General")</f>
        <v>DC machine - General</v>
      </c>
      <c r="B1030">
        <v>12212423</v>
      </c>
      <c r="C1030">
        <v>12085327</v>
      </c>
      <c r="E1030" t="s">
        <v>738</v>
      </c>
      <c r="H1030" t="s">
        <v>162</v>
      </c>
      <c r="I1030">
        <v>116914.84457142858</v>
      </c>
      <c r="J1030">
        <v>0</v>
      </c>
      <c r="K1030">
        <v>3.6</v>
      </c>
      <c r="L1030">
        <v>0</v>
      </c>
      <c r="M1030">
        <v>27.497982091197134</v>
      </c>
      <c r="N1030">
        <v>0</v>
      </c>
      <c r="O1030">
        <v>7.6383283586658711E-3</v>
      </c>
      <c r="P1030">
        <v>1.1476333333333333E-3</v>
      </c>
      <c r="Q1030">
        <v>1.1732166376415484E-2</v>
      </c>
      <c r="R1030">
        <v>635568</v>
      </c>
      <c r="S1030">
        <v>0</v>
      </c>
      <c r="T1030">
        <v>0</v>
      </c>
      <c r="V1030">
        <v>10800</v>
      </c>
      <c r="W1030">
        <v>7</v>
      </c>
      <c r="X1030">
        <v>85</v>
      </c>
      <c r="Y1030">
        <v>3</v>
      </c>
      <c r="Z1030">
        <v>4</v>
      </c>
      <c r="AA1030">
        <v>5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3</v>
      </c>
      <c r="AJ1030">
        <v>0</v>
      </c>
      <c r="AK1030">
        <v>0</v>
      </c>
      <c r="AL1030">
        <v>100</v>
      </c>
      <c r="AM1030">
        <v>45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100</v>
      </c>
      <c r="AU1030">
        <v>0</v>
      </c>
      <c r="AV1030">
        <v>0</v>
      </c>
    </row>
    <row r="1031" spans="1:48" x14ac:dyDescent="0.15">
      <c r="A1031" s="4" t="str">
        <f>HYPERLINK("https://ibp.a2mac1.com/costing(costing:projects/details/9760/equipment/12212424)","DC machine - General")</f>
        <v>DC machine - General</v>
      </c>
      <c r="B1031">
        <v>12212424</v>
      </c>
      <c r="C1031">
        <v>12085328</v>
      </c>
      <c r="E1031" t="s">
        <v>738</v>
      </c>
      <c r="H1031" t="s">
        <v>162</v>
      </c>
      <c r="I1031">
        <v>116914.84457142858</v>
      </c>
      <c r="J1031">
        <v>0</v>
      </c>
      <c r="K1031">
        <v>3.6</v>
      </c>
      <c r="L1031">
        <v>0</v>
      </c>
      <c r="M1031">
        <v>27.497982091197134</v>
      </c>
      <c r="N1031">
        <v>0</v>
      </c>
      <c r="O1031">
        <v>1.5276656717331742E-2</v>
      </c>
      <c r="P1031">
        <v>2.2952666666666665E-3</v>
      </c>
      <c r="Q1031">
        <v>1.1732166376415484E-2</v>
      </c>
      <c r="R1031">
        <v>635568</v>
      </c>
      <c r="S1031">
        <v>0</v>
      </c>
      <c r="T1031">
        <v>0</v>
      </c>
      <c r="V1031">
        <v>10800</v>
      </c>
      <c r="W1031">
        <v>7</v>
      </c>
      <c r="X1031">
        <v>85</v>
      </c>
      <c r="Y1031">
        <v>3</v>
      </c>
      <c r="Z1031">
        <v>4</v>
      </c>
      <c r="AA1031">
        <v>5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3</v>
      </c>
      <c r="AJ1031">
        <v>0</v>
      </c>
      <c r="AK1031">
        <v>0</v>
      </c>
      <c r="AL1031">
        <v>100</v>
      </c>
      <c r="AM1031">
        <v>45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100</v>
      </c>
      <c r="AU1031">
        <v>0</v>
      </c>
      <c r="AV1031">
        <v>0</v>
      </c>
    </row>
    <row r="1032" spans="1:48" x14ac:dyDescent="0.15">
      <c r="A1032" s="4" t="str">
        <f>HYPERLINK("https://ibp.a2mac1.com/costing(costing:projects/details/9760/equipment/12212425)","No.02 - Injection Press - 60T - 25kW - 320x320 - Max Volume 164cm3 ")</f>
        <v xml:space="preserve">No.02 - Injection Press - 60T - 25kW - 320x320 - Max Volume 164cm3 </v>
      </c>
      <c r="B1032">
        <v>12212425</v>
      </c>
      <c r="C1032">
        <v>12085329</v>
      </c>
      <c r="E1032" t="s">
        <v>1630</v>
      </c>
      <c r="F1032" t="s">
        <v>6672</v>
      </c>
      <c r="H1032" t="s">
        <v>162</v>
      </c>
      <c r="I1032">
        <v>16929.888640000001</v>
      </c>
      <c r="J1032">
        <v>0</v>
      </c>
      <c r="K1032">
        <v>1.9124000000000001</v>
      </c>
      <c r="L1032">
        <v>0</v>
      </c>
      <c r="M1032">
        <v>5.4369722661523623</v>
      </c>
      <c r="N1032">
        <v>0</v>
      </c>
      <c r="O1032">
        <v>2.5157187832202506E-2</v>
      </c>
      <c r="P1032">
        <v>4.7791497407500003E-3</v>
      </c>
      <c r="Q1032">
        <v>3.6668942719382835E-3</v>
      </c>
      <c r="R1032">
        <v>100000</v>
      </c>
      <c r="S1032">
        <v>0</v>
      </c>
      <c r="T1032">
        <v>0</v>
      </c>
      <c r="V1032">
        <v>7200</v>
      </c>
      <c r="W1032">
        <v>8</v>
      </c>
      <c r="X1032">
        <v>85</v>
      </c>
      <c r="Y1032">
        <v>3</v>
      </c>
      <c r="Z1032">
        <v>4</v>
      </c>
      <c r="AA1032">
        <v>5</v>
      </c>
      <c r="AB1032">
        <v>0</v>
      </c>
      <c r="AC1032">
        <v>0</v>
      </c>
      <c r="AD1032">
        <v>0</v>
      </c>
      <c r="AE1032">
        <v>0</v>
      </c>
      <c r="AF1032">
        <v>0.25</v>
      </c>
      <c r="AG1032">
        <v>0</v>
      </c>
      <c r="AH1032">
        <v>0</v>
      </c>
      <c r="AI1032">
        <v>2</v>
      </c>
      <c r="AJ1032">
        <v>0</v>
      </c>
      <c r="AK1032">
        <v>0</v>
      </c>
      <c r="AL1032">
        <v>97</v>
      </c>
      <c r="AM1032">
        <v>24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24</v>
      </c>
      <c r="AU1032">
        <v>0.05</v>
      </c>
      <c r="AV1032">
        <v>0</v>
      </c>
    </row>
    <row r="1033" spans="1:48" x14ac:dyDescent="0.15">
      <c r="A1033" s="4" t="str">
        <f>HYPERLINK("https://ibp.a2mac1.com/costing(costing:projects/details/9760/equipment/12212426)","No.01 - Injection Press - 40T - 18kW - 270x270 - Max Volume 128cm3 ")</f>
        <v xml:space="preserve">No.01 - Injection Press - 40T - 18kW - 270x270 - Max Volume 128cm3 </v>
      </c>
      <c r="B1033">
        <v>12212426</v>
      </c>
      <c r="C1033">
        <v>12085330</v>
      </c>
      <c r="E1033" t="s">
        <v>1630</v>
      </c>
      <c r="F1033" t="s">
        <v>6678</v>
      </c>
      <c r="H1033" t="s">
        <v>162</v>
      </c>
      <c r="I1033">
        <v>13574.9072</v>
      </c>
      <c r="J1033">
        <v>0</v>
      </c>
      <c r="K1033">
        <v>1.6020000000000001</v>
      </c>
      <c r="L1033">
        <v>0</v>
      </c>
      <c r="M1033">
        <v>4.4266395371263263</v>
      </c>
      <c r="N1033">
        <v>0</v>
      </c>
      <c r="O1033">
        <v>1.7592707438854601E-2</v>
      </c>
      <c r="P1033">
        <v>4.1049151574166663E-3</v>
      </c>
      <c r="Q1033">
        <v>3.5456543444551589E-3</v>
      </c>
      <c r="R1033">
        <v>80000</v>
      </c>
      <c r="S1033">
        <v>0</v>
      </c>
      <c r="T1033">
        <v>0</v>
      </c>
      <c r="V1033">
        <v>7200</v>
      </c>
      <c r="W1033">
        <v>8</v>
      </c>
      <c r="X1033">
        <v>85</v>
      </c>
      <c r="Y1033">
        <v>3</v>
      </c>
      <c r="Z1033">
        <v>4</v>
      </c>
      <c r="AA1033">
        <v>5</v>
      </c>
      <c r="AB1033">
        <v>0</v>
      </c>
      <c r="AC1033">
        <v>0</v>
      </c>
      <c r="AD1033">
        <v>0</v>
      </c>
      <c r="AE1033">
        <v>0</v>
      </c>
      <c r="AF1033">
        <v>0.25</v>
      </c>
      <c r="AG1033">
        <v>0</v>
      </c>
      <c r="AH1033">
        <v>0</v>
      </c>
      <c r="AI1033">
        <v>2</v>
      </c>
      <c r="AJ1033">
        <v>0</v>
      </c>
      <c r="AK1033">
        <v>0</v>
      </c>
      <c r="AL1033">
        <v>97</v>
      </c>
      <c r="AM1033">
        <v>20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20</v>
      </c>
      <c r="AU1033">
        <v>0.05</v>
      </c>
      <c r="AV1033">
        <v>0</v>
      </c>
    </row>
    <row r="1034" spans="1:48" x14ac:dyDescent="0.15">
      <c r="A1034" s="4" t="str">
        <f>HYPERLINK("https://ibp.a2mac1.com/costing(costing:projects/details/9760/equipment/12212886)","Equipment (Injection Molding)")</f>
        <v>Equipment (Injection Molding)</v>
      </c>
      <c r="B1034">
        <v>12212886</v>
      </c>
      <c r="C1034">
        <v>12085678</v>
      </c>
      <c r="H1034" t="s">
        <v>162</v>
      </c>
      <c r="I1034">
        <v>342.58836300000002</v>
      </c>
      <c r="J1034">
        <v>0</v>
      </c>
      <c r="K1034">
        <v>1.456E-2</v>
      </c>
      <c r="L1034">
        <v>0</v>
      </c>
      <c r="M1034">
        <v>8.424633285117325E-2</v>
      </c>
      <c r="N1034">
        <v>0</v>
      </c>
      <c r="O1034">
        <v>1.4041055475195543E-3</v>
      </c>
      <c r="P1034">
        <v>8.95154E-5</v>
      </c>
      <c r="Q1034">
        <v>7.3723824523589685E-6</v>
      </c>
      <c r="R1034">
        <v>1820</v>
      </c>
      <c r="S1034">
        <v>0</v>
      </c>
      <c r="T1034">
        <v>0</v>
      </c>
      <c r="V1034">
        <v>17.55</v>
      </c>
      <c r="W1034">
        <v>7</v>
      </c>
      <c r="X1034">
        <v>85</v>
      </c>
      <c r="Y1034">
        <v>3</v>
      </c>
      <c r="Z1034">
        <v>4</v>
      </c>
      <c r="AA1034">
        <v>5</v>
      </c>
      <c r="AB1034">
        <v>0</v>
      </c>
      <c r="AC1034">
        <v>0</v>
      </c>
      <c r="AD1034">
        <v>0</v>
      </c>
      <c r="AE1034">
        <v>0</v>
      </c>
      <c r="AF1034">
        <v>1.2999999999999999E-3</v>
      </c>
      <c r="AG1034">
        <v>0</v>
      </c>
      <c r="AH1034">
        <v>0</v>
      </c>
      <c r="AI1034">
        <v>2</v>
      </c>
      <c r="AJ1034">
        <v>0</v>
      </c>
      <c r="AK1034">
        <v>0</v>
      </c>
      <c r="AL1034">
        <v>80</v>
      </c>
      <c r="AM1034">
        <v>0.22750000000000001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0.48749999999999999</v>
      </c>
      <c r="AU1034">
        <v>0</v>
      </c>
      <c r="AV1034">
        <v>0</v>
      </c>
    </row>
    <row r="1035" spans="1:48" x14ac:dyDescent="0.15">
      <c r="A1035" s="4" t="str">
        <f>HYPERLINK("https://ibp.a2mac1.com/costing(costing:projects/details/9760/equipment/12212887)","No.01 - Injection Press - 40T - 18kW - 270x270 - Max Volume 128cm3 ")</f>
        <v xml:space="preserve">No.01 - Injection Press - 40T - 18kW - 270x270 - Max Volume 128cm3 </v>
      </c>
      <c r="B1035">
        <v>12212887</v>
      </c>
      <c r="C1035">
        <v>12085679</v>
      </c>
      <c r="E1035" t="s">
        <v>1630</v>
      </c>
      <c r="H1035" t="s">
        <v>162</v>
      </c>
      <c r="I1035">
        <v>13574.9072</v>
      </c>
      <c r="J1035">
        <v>0</v>
      </c>
      <c r="K1035">
        <v>1.6020000000000001</v>
      </c>
      <c r="L1035">
        <v>0</v>
      </c>
      <c r="M1035">
        <v>4.4266395371263263</v>
      </c>
      <c r="N1035">
        <v>0</v>
      </c>
      <c r="O1035">
        <v>1.9626797491047895E-2</v>
      </c>
      <c r="P1035">
        <v>4.5795303987500001E-3</v>
      </c>
      <c r="Q1035">
        <v>3.5456543444551589E-3</v>
      </c>
      <c r="R1035">
        <v>80000</v>
      </c>
      <c r="S1035">
        <v>0</v>
      </c>
      <c r="T1035">
        <v>0</v>
      </c>
      <c r="V1035">
        <v>7200</v>
      </c>
      <c r="W1035">
        <v>8</v>
      </c>
      <c r="X1035">
        <v>85</v>
      </c>
      <c r="Y1035">
        <v>3</v>
      </c>
      <c r="Z1035">
        <v>4</v>
      </c>
      <c r="AA1035">
        <v>5</v>
      </c>
      <c r="AB1035">
        <v>0</v>
      </c>
      <c r="AC1035">
        <v>0</v>
      </c>
      <c r="AD1035">
        <v>0</v>
      </c>
      <c r="AE1035">
        <v>0</v>
      </c>
      <c r="AF1035">
        <v>0.25</v>
      </c>
      <c r="AG1035">
        <v>0</v>
      </c>
      <c r="AH1035">
        <v>0</v>
      </c>
      <c r="AI1035">
        <v>2</v>
      </c>
      <c r="AJ1035">
        <v>0</v>
      </c>
      <c r="AK1035">
        <v>0</v>
      </c>
      <c r="AL1035">
        <v>97</v>
      </c>
      <c r="AM1035">
        <v>20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20</v>
      </c>
      <c r="AU1035">
        <v>0.05</v>
      </c>
      <c r="AV1035">
        <v>0</v>
      </c>
    </row>
    <row r="1036" spans="1:48" x14ac:dyDescent="0.15">
      <c r="A1036" s="4" t="str">
        <f>HYPERLINK("https://ibp.a2mac1.com/costing(costing:projects/details/9760/equipment/12212889)","Coiler Equipment ")</f>
        <v xml:space="preserve">Coiler Equipment </v>
      </c>
      <c r="B1036">
        <v>12212889</v>
      </c>
      <c r="C1036">
        <v>12085681</v>
      </c>
      <c r="F1036" t="s">
        <v>5446</v>
      </c>
      <c r="H1036" t="s">
        <v>162</v>
      </c>
      <c r="I1036">
        <v>36268.448389199999</v>
      </c>
      <c r="J1036">
        <v>0</v>
      </c>
      <c r="K1036">
        <v>1.08</v>
      </c>
      <c r="L1036">
        <v>0</v>
      </c>
      <c r="M1036">
        <v>8.918066278559948</v>
      </c>
      <c r="N1036">
        <v>0</v>
      </c>
      <c r="O1036">
        <v>7.4317218987999575E-2</v>
      </c>
      <c r="P1036">
        <v>3.4832000000000002E-2</v>
      </c>
      <c r="Q1036">
        <v>5.1057819417839919E-4</v>
      </c>
      <c r="R1036">
        <v>249999.99992</v>
      </c>
      <c r="S1036">
        <v>0</v>
      </c>
      <c r="T1036">
        <v>0</v>
      </c>
      <c r="V1036">
        <v>900</v>
      </c>
      <c r="W1036">
        <v>10</v>
      </c>
      <c r="X1036">
        <v>85</v>
      </c>
      <c r="Y1036">
        <v>3</v>
      </c>
      <c r="Z1036">
        <v>4</v>
      </c>
      <c r="AA1036">
        <v>5</v>
      </c>
      <c r="AB1036">
        <v>0</v>
      </c>
      <c r="AC1036">
        <v>0.5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</v>
      </c>
      <c r="AJ1036">
        <v>0</v>
      </c>
      <c r="AK1036">
        <v>0</v>
      </c>
      <c r="AL1036">
        <v>90</v>
      </c>
      <c r="AM1036">
        <v>15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65</v>
      </c>
      <c r="AU1036">
        <v>0</v>
      </c>
      <c r="AV1036">
        <v>0</v>
      </c>
    </row>
    <row r="1037" spans="1:48" x14ac:dyDescent="0.15">
      <c r="A1037" s="4" t="str">
        <f>HYPERLINK("https://ibp.a2mac1.com/costing(costing:projects/details/9760/equipment/12212888)","Furnace hardening line ")</f>
        <v xml:space="preserve">Furnace hardening line </v>
      </c>
      <c r="B1037">
        <v>12212888</v>
      </c>
      <c r="C1037">
        <v>12085680</v>
      </c>
      <c r="E1037" t="s">
        <v>1630</v>
      </c>
      <c r="F1037" t="s">
        <v>5447</v>
      </c>
      <c r="G1037" t="s">
        <v>5448</v>
      </c>
      <c r="H1037" t="s">
        <v>162</v>
      </c>
      <c r="I1037">
        <v>61614.573120000001</v>
      </c>
      <c r="J1037">
        <v>0</v>
      </c>
      <c r="K1037">
        <v>1.4737359999999999</v>
      </c>
      <c r="L1037">
        <v>0</v>
      </c>
      <c r="M1037">
        <v>14.831912329154612</v>
      </c>
      <c r="N1037">
        <v>0</v>
      </c>
      <c r="O1037">
        <v>7.4159561645773059E-2</v>
      </c>
      <c r="P1037">
        <v>2.0657399999999999E-2</v>
      </c>
      <c r="Q1037">
        <v>8.2176456987463837E-4</v>
      </c>
      <c r="R1037">
        <v>430000</v>
      </c>
      <c r="S1037">
        <v>0</v>
      </c>
      <c r="T1037">
        <v>0</v>
      </c>
      <c r="V1037">
        <v>1800</v>
      </c>
      <c r="W1037">
        <v>10</v>
      </c>
      <c r="X1037">
        <v>85</v>
      </c>
      <c r="Y1037">
        <v>3</v>
      </c>
      <c r="Z1037">
        <v>4</v>
      </c>
      <c r="AA1037">
        <v>5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100</v>
      </c>
      <c r="AM1037">
        <v>16</v>
      </c>
      <c r="AN1037">
        <v>0</v>
      </c>
      <c r="AO1037">
        <v>0</v>
      </c>
      <c r="AP1037">
        <v>0</v>
      </c>
      <c r="AQ1037">
        <v>2</v>
      </c>
      <c r="AR1037">
        <v>0</v>
      </c>
      <c r="AS1037">
        <v>0.2</v>
      </c>
      <c r="AT1037">
        <v>92</v>
      </c>
      <c r="AU1037">
        <v>0</v>
      </c>
      <c r="AV1037">
        <v>0</v>
      </c>
    </row>
    <row r="1038" spans="1:48" x14ac:dyDescent="0.15">
      <c r="A1038" s="4" t="str">
        <f>HYPERLINK("https://ibp.a2mac1.com/costing(costing:projects/details/9760/equipment/12212890)","No.01 - Injection Press - 40T - 18kW - 270x270 - Max Volume 128cm3 ")</f>
        <v xml:space="preserve">No.01 - Injection Press - 40T - 18kW - 270x270 - Max Volume 128cm3 </v>
      </c>
      <c r="B1038">
        <v>12212890</v>
      </c>
      <c r="C1038">
        <v>12085682</v>
      </c>
      <c r="E1038" t="s">
        <v>1630</v>
      </c>
      <c r="H1038" t="s">
        <v>162</v>
      </c>
      <c r="I1038">
        <v>13574.9072</v>
      </c>
      <c r="J1038">
        <v>0</v>
      </c>
      <c r="K1038">
        <v>1.6020000000000001</v>
      </c>
      <c r="L1038">
        <v>0</v>
      </c>
      <c r="M1038">
        <v>4.4266395371263263</v>
      </c>
      <c r="N1038">
        <v>0</v>
      </c>
      <c r="O1038">
        <v>1.5201387576015215E-2</v>
      </c>
      <c r="P1038">
        <v>3.5469473070833335E-3</v>
      </c>
      <c r="Q1038">
        <v>3.5456543444551589E-3</v>
      </c>
      <c r="R1038">
        <v>80000</v>
      </c>
      <c r="S1038">
        <v>0</v>
      </c>
      <c r="T1038">
        <v>0</v>
      </c>
      <c r="V1038">
        <v>7200</v>
      </c>
      <c r="W1038">
        <v>8</v>
      </c>
      <c r="X1038">
        <v>85</v>
      </c>
      <c r="Y1038">
        <v>3</v>
      </c>
      <c r="Z1038">
        <v>4</v>
      </c>
      <c r="AA1038">
        <v>5</v>
      </c>
      <c r="AB1038">
        <v>0</v>
      </c>
      <c r="AC1038">
        <v>0</v>
      </c>
      <c r="AD1038">
        <v>0</v>
      </c>
      <c r="AE1038">
        <v>0</v>
      </c>
      <c r="AF1038">
        <v>0.25</v>
      </c>
      <c r="AG1038">
        <v>0</v>
      </c>
      <c r="AH1038">
        <v>0</v>
      </c>
      <c r="AI1038">
        <v>2</v>
      </c>
      <c r="AJ1038">
        <v>0</v>
      </c>
      <c r="AK1038">
        <v>0</v>
      </c>
      <c r="AL1038">
        <v>97</v>
      </c>
      <c r="AM1038">
        <v>20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20</v>
      </c>
      <c r="AU1038">
        <v>0.05</v>
      </c>
      <c r="AV1038">
        <v>0</v>
      </c>
    </row>
    <row r="1039" spans="1:48" x14ac:dyDescent="0.15">
      <c r="A1039" s="4" t="str">
        <f>HYPERLINK("https://ibp.a2mac1.com/costing(costing:projects/details/9760/equipment/12212891)","No.06 - Injection Press - 200T - 45kW - 510x510 - Max Volume 624cm3 ")</f>
        <v xml:space="preserve">No.06 - Injection Press - 200T - 45kW - 510x510 - Max Volume 624cm3 </v>
      </c>
      <c r="B1039">
        <v>12212891</v>
      </c>
      <c r="C1039">
        <v>12085683</v>
      </c>
      <c r="E1039" t="s">
        <v>1630</v>
      </c>
      <c r="H1039" t="s">
        <v>162</v>
      </c>
      <c r="I1039">
        <v>34247.230880000003</v>
      </c>
      <c r="J1039">
        <v>0</v>
      </c>
      <c r="K1039">
        <v>2.6539999999999999</v>
      </c>
      <c r="L1039">
        <v>0</v>
      </c>
      <c r="M1039">
        <v>9.7654160848601741</v>
      </c>
      <c r="N1039">
        <v>0</v>
      </c>
      <c r="O1039">
        <v>0.13025673485411379</v>
      </c>
      <c r="P1039">
        <v>1.377701396025E-2</v>
      </c>
      <c r="Q1039">
        <v>4.1863075301832205E-3</v>
      </c>
      <c r="R1039">
        <v>200000</v>
      </c>
      <c r="S1039">
        <v>0</v>
      </c>
      <c r="T1039">
        <v>0</v>
      </c>
      <c r="V1039">
        <v>7200</v>
      </c>
      <c r="W1039">
        <v>8</v>
      </c>
      <c r="X1039">
        <v>85</v>
      </c>
      <c r="Y1039">
        <v>3</v>
      </c>
      <c r="Z1039">
        <v>4</v>
      </c>
      <c r="AA1039">
        <v>5</v>
      </c>
      <c r="AB1039">
        <v>0</v>
      </c>
      <c r="AC1039">
        <v>0</v>
      </c>
      <c r="AD1039">
        <v>0</v>
      </c>
      <c r="AE1039">
        <v>0</v>
      </c>
      <c r="AF1039">
        <v>0.25</v>
      </c>
      <c r="AG1039">
        <v>0</v>
      </c>
      <c r="AH1039">
        <v>0</v>
      </c>
      <c r="AI1039">
        <v>2</v>
      </c>
      <c r="AJ1039">
        <v>0</v>
      </c>
      <c r="AK1039">
        <v>0</v>
      </c>
      <c r="AL1039">
        <v>93</v>
      </c>
      <c r="AM1039">
        <v>35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58</v>
      </c>
      <c r="AU1039">
        <v>0.05</v>
      </c>
      <c r="AV1039">
        <v>0</v>
      </c>
    </row>
    <row r="1040" spans="1:48" x14ac:dyDescent="0.15">
      <c r="A1040" s="4" t="str">
        <f>HYPERLINK("https://ibp.a2mac1.com/costing(costing:projects/details/9760/equipment/12212892)","No.02 - Injection Press - 60T - 25kW - 320x320 - Max Volume 164cm3 ")</f>
        <v xml:space="preserve">No.02 - Injection Press - 60T - 25kW - 320x320 - Max Volume 164cm3 </v>
      </c>
      <c r="B1040">
        <v>12212892</v>
      </c>
      <c r="C1040">
        <v>12085684</v>
      </c>
      <c r="E1040" t="s">
        <v>1630</v>
      </c>
      <c r="H1040" t="s">
        <v>162</v>
      </c>
      <c r="I1040">
        <v>16929.888640000001</v>
      </c>
      <c r="J1040">
        <v>0</v>
      </c>
      <c r="K1040">
        <v>1.9124000000000001</v>
      </c>
      <c r="L1040">
        <v>0</v>
      </c>
      <c r="M1040">
        <v>5.4369722661523623</v>
      </c>
      <c r="N1040">
        <v>0</v>
      </c>
      <c r="O1040">
        <v>3.1146420556289297E-2</v>
      </c>
      <c r="P1040">
        <v>5.9169335110000002E-3</v>
      </c>
      <c r="Q1040">
        <v>3.6668942719382835E-3</v>
      </c>
      <c r="R1040">
        <v>100000</v>
      </c>
      <c r="S1040">
        <v>0</v>
      </c>
      <c r="T1040">
        <v>0</v>
      </c>
      <c r="V1040">
        <v>7200</v>
      </c>
      <c r="W1040">
        <v>8</v>
      </c>
      <c r="X1040">
        <v>85</v>
      </c>
      <c r="Y1040">
        <v>3</v>
      </c>
      <c r="Z1040">
        <v>4</v>
      </c>
      <c r="AA1040">
        <v>5</v>
      </c>
      <c r="AB1040">
        <v>0</v>
      </c>
      <c r="AC1040">
        <v>0</v>
      </c>
      <c r="AD1040">
        <v>0</v>
      </c>
      <c r="AE1040">
        <v>0</v>
      </c>
      <c r="AF1040">
        <v>0.25</v>
      </c>
      <c r="AG1040">
        <v>0</v>
      </c>
      <c r="AH1040">
        <v>0</v>
      </c>
      <c r="AI1040">
        <v>2</v>
      </c>
      <c r="AJ1040">
        <v>0</v>
      </c>
      <c r="AK1040">
        <v>0</v>
      </c>
      <c r="AL1040">
        <v>97</v>
      </c>
      <c r="AM1040">
        <v>24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24</v>
      </c>
      <c r="AU1040">
        <v>0.05</v>
      </c>
      <c r="AV1040">
        <v>0</v>
      </c>
    </row>
    <row r="1041" spans="1:48" x14ac:dyDescent="0.15">
      <c r="A1041" s="4" t="str">
        <f>HYPERLINK("https://ibp.a2mac1.com/costing(costing:projects/details/9760/equipment/12212893)","No.04 - 60000x6000x3500 - Automatic Painting Line - with 12x100kW on line ovens ")</f>
        <v xml:space="preserve">No.04 - 60000x6000x3500 - Automatic Painting Line - with 12x100kW on line ovens </v>
      </c>
      <c r="B1041">
        <v>12212893</v>
      </c>
      <c r="C1041">
        <v>12085685</v>
      </c>
      <c r="E1041" t="s">
        <v>1630</v>
      </c>
      <c r="G1041" t="s">
        <v>5227</v>
      </c>
      <c r="H1041" t="s">
        <v>162</v>
      </c>
      <c r="I1041">
        <v>1438767.4831999999</v>
      </c>
      <c r="J1041">
        <v>0</v>
      </c>
      <c r="K1041">
        <v>279.76751999999999</v>
      </c>
      <c r="L1041">
        <v>0</v>
      </c>
      <c r="M1041">
        <v>580.11587795564128</v>
      </c>
      <c r="N1041">
        <v>0</v>
      </c>
      <c r="O1041">
        <v>0.43508690846673098</v>
      </c>
      <c r="P1041">
        <v>2.1690270000000001E-2</v>
      </c>
      <c r="Q1041">
        <v>0</v>
      </c>
      <c r="R1041">
        <v>8600000</v>
      </c>
      <c r="S1041">
        <v>0</v>
      </c>
      <c r="T1041">
        <v>0</v>
      </c>
      <c r="V1041">
        <v>0</v>
      </c>
      <c r="W1041">
        <v>8</v>
      </c>
      <c r="X1041">
        <v>85</v>
      </c>
      <c r="Y1041">
        <v>3</v>
      </c>
      <c r="Z1041">
        <v>4</v>
      </c>
      <c r="AA1041">
        <v>5</v>
      </c>
      <c r="AB1041">
        <v>0</v>
      </c>
      <c r="AC1041">
        <v>0</v>
      </c>
      <c r="AD1041">
        <v>0</v>
      </c>
      <c r="AE1041">
        <v>0</v>
      </c>
      <c r="AF1041">
        <v>7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100</v>
      </c>
      <c r="AM1041">
        <v>3400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4</v>
      </c>
      <c r="AT1041">
        <v>1620</v>
      </c>
      <c r="AU1041">
        <v>5</v>
      </c>
      <c r="AV1041">
        <v>0</v>
      </c>
    </row>
    <row r="1042" spans="1:48" x14ac:dyDescent="0.15">
      <c r="A1042" s="4" t="str">
        <f>HYPERLINK("https://ibp.a2mac1.com/costing(costing:projects/details/9760/equipment/12212894)","Loading + Unloading, Retouching, Checking")</f>
        <v>Loading + Unloading, Retouching, Checking</v>
      </c>
      <c r="B1042">
        <v>12212894</v>
      </c>
      <c r="C1042">
        <v>12085685</v>
      </c>
      <c r="E1042" t="s">
        <v>1630</v>
      </c>
      <c r="H1042" t="s">
        <v>162</v>
      </c>
      <c r="I1042">
        <v>116.23608</v>
      </c>
      <c r="J1042">
        <v>0</v>
      </c>
      <c r="K1042">
        <v>0</v>
      </c>
      <c r="L1042">
        <v>0</v>
      </c>
      <c r="M1042">
        <v>1.8681465766634521E-2</v>
      </c>
      <c r="N1042">
        <v>0</v>
      </c>
      <c r="O1042">
        <v>1.4011099324975892E-5</v>
      </c>
      <c r="P1042">
        <v>3.7183319999999999E-2</v>
      </c>
      <c r="Q1042">
        <v>0</v>
      </c>
      <c r="R1042">
        <v>0</v>
      </c>
      <c r="S1042">
        <v>0</v>
      </c>
      <c r="T1042">
        <v>0</v>
      </c>
      <c r="V1042">
        <v>0</v>
      </c>
      <c r="W1042">
        <v>8</v>
      </c>
      <c r="X1042">
        <v>85</v>
      </c>
      <c r="Y1042">
        <v>3</v>
      </c>
      <c r="Z1042">
        <v>4</v>
      </c>
      <c r="AA1042">
        <v>5</v>
      </c>
      <c r="AB1042">
        <v>0</v>
      </c>
      <c r="AC1042">
        <v>0</v>
      </c>
      <c r="AD1042">
        <v>0</v>
      </c>
      <c r="AE1042">
        <v>0</v>
      </c>
      <c r="AF1042">
        <v>12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100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3</v>
      </c>
      <c r="AU1042">
        <v>0</v>
      </c>
      <c r="AV1042">
        <v>0</v>
      </c>
    </row>
    <row r="1043" spans="1:48" x14ac:dyDescent="0.15">
      <c r="A1043" s="4" t="str">
        <f>HYPERLINK("https://ibp.a2mac1.com/costing(costing:projects/details/9760/equipment/12212895)","Equipment (Injection Molding)")</f>
        <v>Equipment (Injection Molding)</v>
      </c>
      <c r="B1043">
        <v>12212895</v>
      </c>
      <c r="C1043">
        <v>12085686</v>
      </c>
      <c r="H1043" t="s">
        <v>162</v>
      </c>
      <c r="I1043">
        <v>2371.76559</v>
      </c>
      <c r="J1043">
        <v>0</v>
      </c>
      <c r="K1043">
        <v>0.1008</v>
      </c>
      <c r="L1043">
        <v>0</v>
      </c>
      <c r="M1043">
        <v>0.58324384281581487</v>
      </c>
      <c r="N1043">
        <v>0</v>
      </c>
      <c r="O1043">
        <v>9.7207307135969145E-3</v>
      </c>
      <c r="P1043">
        <v>6.1972199999999996E-4</v>
      </c>
      <c r="Q1043">
        <v>5.2050040781702022E-5</v>
      </c>
      <c r="R1043">
        <v>12600</v>
      </c>
      <c r="S1043">
        <v>0</v>
      </c>
      <c r="T1043">
        <v>0</v>
      </c>
      <c r="V1043">
        <v>121.5</v>
      </c>
      <c r="W1043">
        <v>7</v>
      </c>
      <c r="X1043">
        <v>85</v>
      </c>
      <c r="Y1043">
        <v>3</v>
      </c>
      <c r="Z1043">
        <v>4</v>
      </c>
      <c r="AA1043">
        <v>5</v>
      </c>
      <c r="AB1043">
        <v>0</v>
      </c>
      <c r="AC1043">
        <v>0</v>
      </c>
      <c r="AD1043">
        <v>0</v>
      </c>
      <c r="AE1043">
        <v>0</v>
      </c>
      <c r="AF1043">
        <v>8.9999999999999993E-3</v>
      </c>
      <c r="AG1043">
        <v>0</v>
      </c>
      <c r="AH1043">
        <v>0</v>
      </c>
      <c r="AI1043">
        <v>2</v>
      </c>
      <c r="AJ1043">
        <v>0</v>
      </c>
      <c r="AK1043">
        <v>0</v>
      </c>
      <c r="AL1043">
        <v>80</v>
      </c>
      <c r="AM1043">
        <v>1.575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3.375</v>
      </c>
      <c r="AU1043">
        <v>0</v>
      </c>
      <c r="AV1043">
        <v>0</v>
      </c>
    </row>
    <row r="1044" spans="1:48" x14ac:dyDescent="0.15">
      <c r="A1044" s="4" t="str">
        <f>HYPERLINK("https://ibp.a2mac1.com/costing(costing:projects/details/9760/equipment/12212896)","No.04 - 60000x6000x3500 - Automatic Painting Line - with 12x100kW on line ovens ")</f>
        <v xml:space="preserve">No.04 - 60000x6000x3500 - Automatic Painting Line - with 12x100kW on line ovens </v>
      </c>
      <c r="B1044">
        <v>12212896</v>
      </c>
      <c r="C1044">
        <v>12085687</v>
      </c>
      <c r="E1044" t="s">
        <v>1630</v>
      </c>
      <c r="G1044" t="s">
        <v>5227</v>
      </c>
      <c r="H1044" t="s">
        <v>162</v>
      </c>
      <c r="I1044">
        <v>1438767.4831999999</v>
      </c>
      <c r="J1044">
        <v>0</v>
      </c>
      <c r="K1044">
        <v>279.76751999999999</v>
      </c>
      <c r="L1044">
        <v>0</v>
      </c>
      <c r="M1044">
        <v>580.11587795564128</v>
      </c>
      <c r="N1044">
        <v>0</v>
      </c>
      <c r="O1044">
        <v>0.43508690846673098</v>
      </c>
      <c r="P1044">
        <v>2.1690270000000001E-2</v>
      </c>
      <c r="Q1044">
        <v>0</v>
      </c>
      <c r="R1044">
        <v>8600000</v>
      </c>
      <c r="S1044">
        <v>0</v>
      </c>
      <c r="T1044">
        <v>0</v>
      </c>
      <c r="V1044">
        <v>0</v>
      </c>
      <c r="W1044">
        <v>8</v>
      </c>
      <c r="X1044">
        <v>85</v>
      </c>
      <c r="Y1044">
        <v>3</v>
      </c>
      <c r="Z1044">
        <v>4</v>
      </c>
      <c r="AA1044">
        <v>5</v>
      </c>
      <c r="AB1044">
        <v>0</v>
      </c>
      <c r="AC1044">
        <v>0</v>
      </c>
      <c r="AD1044">
        <v>0</v>
      </c>
      <c r="AE1044">
        <v>0</v>
      </c>
      <c r="AF1044">
        <v>7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100</v>
      </c>
      <c r="AM1044">
        <v>3400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4</v>
      </c>
      <c r="AT1044">
        <v>1620</v>
      </c>
      <c r="AU1044">
        <v>5</v>
      </c>
      <c r="AV1044">
        <v>0</v>
      </c>
    </row>
    <row r="1045" spans="1:48" x14ac:dyDescent="0.15">
      <c r="A1045" s="4" t="str">
        <f>HYPERLINK("https://ibp.a2mac1.com/costing(costing:projects/details/9760/equipment/12212897)","Loading + Unloading, Retouching, Checking")</f>
        <v>Loading + Unloading, Retouching, Checking</v>
      </c>
      <c r="B1045">
        <v>12212897</v>
      </c>
      <c r="C1045">
        <v>12085687</v>
      </c>
      <c r="E1045" t="s">
        <v>1630</v>
      </c>
      <c r="H1045" t="s">
        <v>162</v>
      </c>
      <c r="I1045">
        <v>116.23608</v>
      </c>
      <c r="J1045">
        <v>0</v>
      </c>
      <c r="K1045">
        <v>0</v>
      </c>
      <c r="L1045">
        <v>0</v>
      </c>
      <c r="M1045">
        <v>1.8681465766634521E-2</v>
      </c>
      <c r="N1045">
        <v>0</v>
      </c>
      <c r="O1045">
        <v>1.4011099324975892E-5</v>
      </c>
      <c r="P1045">
        <v>3.7183319999999999E-2</v>
      </c>
      <c r="Q1045">
        <v>0</v>
      </c>
      <c r="R1045">
        <v>0</v>
      </c>
      <c r="S1045">
        <v>0</v>
      </c>
      <c r="T1045">
        <v>0</v>
      </c>
      <c r="V1045">
        <v>0</v>
      </c>
      <c r="W1045">
        <v>8</v>
      </c>
      <c r="X1045">
        <v>85</v>
      </c>
      <c r="Y1045">
        <v>3</v>
      </c>
      <c r="Z1045">
        <v>4</v>
      </c>
      <c r="AA1045">
        <v>5</v>
      </c>
      <c r="AB1045">
        <v>0</v>
      </c>
      <c r="AC1045">
        <v>0</v>
      </c>
      <c r="AD1045">
        <v>0</v>
      </c>
      <c r="AE1045">
        <v>0</v>
      </c>
      <c r="AF1045">
        <v>12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100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3</v>
      </c>
      <c r="AU1045">
        <v>0</v>
      </c>
      <c r="AV1045">
        <v>0</v>
      </c>
    </row>
    <row r="1046" spans="1:48" x14ac:dyDescent="0.15">
      <c r="A1046" s="4" t="str">
        <f>HYPERLINK("https://ibp.a2mac1.com/costing(costing:projects/details/9760/equipment/12212898)","No.01 - Injection Press - 40T - 18kW - 270x270 - Max Volume 128cm3 ")</f>
        <v xml:space="preserve">No.01 - Injection Press - 40T - 18kW - 270x270 - Max Volume 128cm3 </v>
      </c>
      <c r="B1046">
        <v>12212898</v>
      </c>
      <c r="C1046">
        <v>12085688</v>
      </c>
      <c r="E1046" t="s">
        <v>1630</v>
      </c>
      <c r="H1046" t="s">
        <v>162</v>
      </c>
      <c r="I1046">
        <v>13574.9072</v>
      </c>
      <c r="J1046">
        <v>0</v>
      </c>
      <c r="K1046">
        <v>1.6020000000000001</v>
      </c>
      <c r="L1046">
        <v>0</v>
      </c>
      <c r="M1046">
        <v>4.4266395371263263</v>
      </c>
      <c r="N1046">
        <v>0</v>
      </c>
      <c r="O1046">
        <v>3.1364327333040821E-2</v>
      </c>
      <c r="P1046">
        <v>7.3182540617499998E-3</v>
      </c>
      <c r="Q1046">
        <v>3.5456543444551589E-3</v>
      </c>
      <c r="R1046">
        <v>80000</v>
      </c>
      <c r="S1046">
        <v>0</v>
      </c>
      <c r="T1046">
        <v>0</v>
      </c>
      <c r="V1046">
        <v>7200</v>
      </c>
      <c r="W1046">
        <v>8</v>
      </c>
      <c r="X1046">
        <v>85</v>
      </c>
      <c r="Y1046">
        <v>3</v>
      </c>
      <c r="Z1046">
        <v>4</v>
      </c>
      <c r="AA1046">
        <v>5</v>
      </c>
      <c r="AB1046">
        <v>0</v>
      </c>
      <c r="AC1046">
        <v>0</v>
      </c>
      <c r="AD1046">
        <v>0</v>
      </c>
      <c r="AE1046">
        <v>0</v>
      </c>
      <c r="AF1046">
        <v>0.25</v>
      </c>
      <c r="AG1046">
        <v>0</v>
      </c>
      <c r="AH1046">
        <v>0</v>
      </c>
      <c r="AI1046">
        <v>2</v>
      </c>
      <c r="AJ1046">
        <v>0</v>
      </c>
      <c r="AK1046">
        <v>0</v>
      </c>
      <c r="AL1046">
        <v>97</v>
      </c>
      <c r="AM1046">
        <v>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20</v>
      </c>
      <c r="AU1046">
        <v>0.05</v>
      </c>
      <c r="AV1046">
        <v>0</v>
      </c>
    </row>
    <row r="1047" spans="1:48" x14ac:dyDescent="0.15">
      <c r="A1047" s="4" t="str">
        <f>HYPERLINK("https://ibp.a2mac1.com/costing(costing:projects/details/9760/equipment/12212428)","Equipment (Stamping)")</f>
        <v>Equipment (Stamping)</v>
      </c>
      <c r="B1047">
        <v>12212428</v>
      </c>
      <c r="C1047">
        <v>12085332</v>
      </c>
      <c r="H1047" t="s">
        <v>162</v>
      </c>
      <c r="I1047">
        <v>716.18946857142862</v>
      </c>
      <c r="J1047">
        <v>0</v>
      </c>
      <c r="K1047">
        <v>3.2000000000000001E-2</v>
      </c>
      <c r="L1047">
        <v>0</v>
      </c>
      <c r="M1047">
        <v>0.17683919456307112</v>
      </c>
      <c r="N1047">
        <v>0</v>
      </c>
      <c r="O1047">
        <v>1.2280499622435495E-4</v>
      </c>
      <c r="P1047">
        <v>1.4345416666666667E-5</v>
      </c>
      <c r="Q1047">
        <v>7.589195758368921E-4</v>
      </c>
      <c r="R1047">
        <v>3700</v>
      </c>
      <c r="S1047">
        <v>0</v>
      </c>
      <c r="T1047">
        <v>0</v>
      </c>
      <c r="V1047">
        <v>1800</v>
      </c>
      <c r="W1047">
        <v>7</v>
      </c>
      <c r="X1047">
        <v>85</v>
      </c>
      <c r="Y1047">
        <v>3</v>
      </c>
      <c r="Z1047">
        <v>4</v>
      </c>
      <c r="AA1047">
        <v>5</v>
      </c>
      <c r="AB1047">
        <v>0</v>
      </c>
      <c r="AC1047">
        <v>0</v>
      </c>
      <c r="AD1047">
        <v>0</v>
      </c>
      <c r="AE1047">
        <v>0</v>
      </c>
      <c r="AF1047">
        <v>5.0000000000000001E-3</v>
      </c>
      <c r="AG1047">
        <v>0</v>
      </c>
      <c r="AH1047">
        <v>0</v>
      </c>
      <c r="AI1047">
        <v>2</v>
      </c>
      <c r="AJ1047">
        <v>0</v>
      </c>
      <c r="AK1047">
        <v>0</v>
      </c>
      <c r="AL1047">
        <v>80</v>
      </c>
      <c r="AM1047">
        <v>0.5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1.5</v>
      </c>
      <c r="AU1047">
        <v>0</v>
      </c>
      <c r="AV1047">
        <v>0</v>
      </c>
    </row>
    <row r="1048" spans="1:48" x14ac:dyDescent="0.15">
      <c r="A1048" s="4" t="str">
        <f>HYPERLINK("https://ibp.a2mac1.com/costing(costing:projects/details/9760/equipment/12212427)","No.01 - Generic CN Wire Bending ")</f>
        <v xml:space="preserve">No.01 - Generic CN Wire Bending </v>
      </c>
      <c r="B1048">
        <v>12212427</v>
      </c>
      <c r="C1048">
        <v>12085331</v>
      </c>
      <c r="E1048" t="s">
        <v>1630</v>
      </c>
      <c r="G1048" t="s">
        <v>5494</v>
      </c>
      <c r="H1048" t="s">
        <v>162</v>
      </c>
      <c r="I1048">
        <v>39737.935922999997</v>
      </c>
      <c r="J1048">
        <v>0</v>
      </c>
      <c r="K1048">
        <v>0.40079999999999999</v>
      </c>
      <c r="L1048">
        <v>0</v>
      </c>
      <c r="M1048">
        <v>8.547922760045001</v>
      </c>
      <c r="N1048">
        <v>0</v>
      </c>
      <c r="O1048">
        <v>1.1872114944506946E-2</v>
      </c>
      <c r="P1048">
        <v>5.7381666666666666E-3</v>
      </c>
      <c r="Q1048">
        <v>7.0127896560270007E-4</v>
      </c>
      <c r="R1048">
        <v>219069.2378</v>
      </c>
      <c r="S1048">
        <v>0</v>
      </c>
      <c r="T1048">
        <v>0</v>
      </c>
      <c r="V1048">
        <v>3600</v>
      </c>
      <c r="W1048">
        <v>7</v>
      </c>
      <c r="X1048">
        <v>85</v>
      </c>
      <c r="Y1048">
        <v>3</v>
      </c>
      <c r="Z1048">
        <v>4</v>
      </c>
      <c r="AA1048">
        <v>5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0.25</v>
      </c>
      <c r="AJ1048">
        <v>0</v>
      </c>
      <c r="AK1048">
        <v>0</v>
      </c>
      <c r="AL1048">
        <v>94</v>
      </c>
      <c r="AM1048">
        <v>4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20</v>
      </c>
      <c r="AU1048">
        <v>0.1</v>
      </c>
      <c r="AV1048">
        <v>0</v>
      </c>
    </row>
    <row r="1049" spans="1:48" x14ac:dyDescent="0.15">
      <c r="A1049" s="4" t="str">
        <f>HYPERLINK("https://ibp.a2mac1.com/costing(costing:projects/details/9760/equipment/12212429)","No.04 - Press Fit Assembly ")</f>
        <v xml:space="preserve">No.04 - Press Fit Assembly </v>
      </c>
      <c r="B1049">
        <v>12212429</v>
      </c>
      <c r="C1049">
        <v>12085333</v>
      </c>
      <c r="E1049" t="s">
        <v>1630</v>
      </c>
      <c r="H1049" t="s">
        <v>162</v>
      </c>
      <c r="I1049">
        <v>13962.360798399999</v>
      </c>
      <c r="J1049">
        <v>0</v>
      </c>
      <c r="K1049">
        <v>0.39200000000000002</v>
      </c>
      <c r="L1049">
        <v>0</v>
      </c>
      <c r="M1049">
        <v>3.2789110893442621</v>
      </c>
      <c r="N1049">
        <v>0</v>
      </c>
      <c r="O1049">
        <v>1.3662129538934427E-2</v>
      </c>
      <c r="P1049">
        <v>1.7214500000000001E-2</v>
      </c>
      <c r="Q1049">
        <v>4.7517453268032787E-5</v>
      </c>
      <c r="R1049">
        <v>79999.999989999997</v>
      </c>
      <c r="S1049">
        <v>0</v>
      </c>
      <c r="T1049">
        <v>0</v>
      </c>
      <c r="V1049">
        <v>180</v>
      </c>
      <c r="W1049">
        <v>8</v>
      </c>
      <c r="X1049">
        <v>85</v>
      </c>
      <c r="Y1049">
        <v>3</v>
      </c>
      <c r="Z1049">
        <v>4</v>
      </c>
      <c r="AA1049">
        <v>5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98</v>
      </c>
      <c r="AM1049">
        <v>5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30</v>
      </c>
      <c r="AU1049">
        <v>0</v>
      </c>
      <c r="AV1049">
        <v>0</v>
      </c>
    </row>
    <row r="1050" spans="1:48" x14ac:dyDescent="0.15">
      <c r="A1050" s="4" t="str">
        <f>HYPERLINK("https://ibp.a2mac1.com/costing(costing:projects/details/9760/equipment/12212430)","Equipment (Injection Molding)")</f>
        <v>Equipment (Injection Molding)</v>
      </c>
      <c r="B1050">
        <v>12212430</v>
      </c>
      <c r="C1050">
        <v>12085334</v>
      </c>
      <c r="H1050" t="s">
        <v>162</v>
      </c>
      <c r="I1050">
        <v>105.411804</v>
      </c>
      <c r="J1050">
        <v>0</v>
      </c>
      <c r="K1050">
        <v>4.4799999999999996E-3</v>
      </c>
      <c r="L1050">
        <v>0</v>
      </c>
      <c r="M1050">
        <v>2.592194856959177E-2</v>
      </c>
      <c r="N1050">
        <v>0</v>
      </c>
      <c r="O1050">
        <v>4.3203247615986284E-4</v>
      </c>
      <c r="P1050">
        <v>2.7543200000000001E-5</v>
      </c>
      <c r="Q1050">
        <v>2.2631761753712633E-6</v>
      </c>
      <c r="R1050">
        <v>560</v>
      </c>
      <c r="S1050">
        <v>0</v>
      </c>
      <c r="T1050">
        <v>0</v>
      </c>
      <c r="V1050">
        <v>5.4</v>
      </c>
      <c r="W1050">
        <v>7</v>
      </c>
      <c r="X1050">
        <v>85</v>
      </c>
      <c r="Y1050">
        <v>3</v>
      </c>
      <c r="Z1050">
        <v>4</v>
      </c>
      <c r="AA1050">
        <v>5</v>
      </c>
      <c r="AB1050">
        <v>0</v>
      </c>
      <c r="AC1050">
        <v>0</v>
      </c>
      <c r="AD1050">
        <v>0</v>
      </c>
      <c r="AE1050">
        <v>0</v>
      </c>
      <c r="AF1050">
        <v>4.0000000000000002E-4</v>
      </c>
      <c r="AG1050">
        <v>0</v>
      </c>
      <c r="AH1050">
        <v>0</v>
      </c>
      <c r="AI1050">
        <v>2</v>
      </c>
      <c r="AJ1050">
        <v>0</v>
      </c>
      <c r="AK1050">
        <v>0</v>
      </c>
      <c r="AL1050">
        <v>80</v>
      </c>
      <c r="AM1050">
        <v>7.0000000000000007E-2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0.15</v>
      </c>
      <c r="AU1050">
        <v>0</v>
      </c>
      <c r="AV1050">
        <v>0</v>
      </c>
    </row>
    <row r="1051" spans="1:48" x14ac:dyDescent="0.15">
      <c r="A1051" s="4" t="str">
        <f>HYPERLINK("https://ibp.a2mac1.com/costing(costing:projects/details/9760/equipment/12212202)","Assembly Station ")</f>
        <v xml:space="preserve">Assembly Station </v>
      </c>
      <c r="B1051">
        <v>12212202</v>
      </c>
      <c r="C1051">
        <v>12085110</v>
      </c>
      <c r="E1051" t="s">
        <v>1630</v>
      </c>
      <c r="F1051" t="s">
        <v>5068</v>
      </c>
      <c r="G1051" t="s">
        <v>8</v>
      </c>
      <c r="H1051" t="s">
        <v>162</v>
      </c>
      <c r="I1051">
        <v>4824.9071999999996</v>
      </c>
      <c r="J1051">
        <v>0</v>
      </c>
      <c r="K1051">
        <v>0.10768</v>
      </c>
      <c r="L1051">
        <v>0</v>
      </c>
      <c r="M1051">
        <v>1.1242192478302797</v>
      </c>
      <c r="N1051">
        <v>0</v>
      </c>
      <c r="O1051">
        <v>4.6842468659594988E-2</v>
      </c>
      <c r="P1051">
        <v>0.17214499999999999</v>
      </c>
      <c r="Q1051">
        <v>2.2807432079717134E-4</v>
      </c>
      <c r="R1051">
        <v>30000</v>
      </c>
      <c r="S1051">
        <v>0</v>
      </c>
      <c r="T1051">
        <v>0</v>
      </c>
      <c r="V1051">
        <v>600</v>
      </c>
      <c r="W1051">
        <v>10</v>
      </c>
      <c r="X1051">
        <v>85</v>
      </c>
      <c r="Y1051">
        <v>3</v>
      </c>
      <c r="Z1051">
        <v>4</v>
      </c>
      <c r="AA1051">
        <v>5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100</v>
      </c>
      <c r="AM1051">
        <v>1</v>
      </c>
      <c r="AN1051">
        <v>0</v>
      </c>
      <c r="AO1051">
        <v>0</v>
      </c>
      <c r="AP1051">
        <v>0</v>
      </c>
      <c r="AQ1051">
        <v>1</v>
      </c>
      <c r="AR1051">
        <v>0</v>
      </c>
      <c r="AS1051">
        <v>0</v>
      </c>
      <c r="AT1051">
        <v>20</v>
      </c>
      <c r="AU1051">
        <v>0</v>
      </c>
      <c r="AV1051">
        <v>0</v>
      </c>
    </row>
    <row r="1052" spans="1:48" x14ac:dyDescent="0.15">
      <c r="A1052" s="4" t="str">
        <f>HYPERLINK("https://ibp.a2mac1.com/costing(costing:projects/details/9760/equipment/12212431)","Dummy Machine (PCBA+Final Assembly Line)")</f>
        <v>Dummy Machine (PCBA+Final Assembly Line)</v>
      </c>
      <c r="B1052">
        <v>12212431</v>
      </c>
      <c r="C1052">
        <v>12085335</v>
      </c>
      <c r="F1052" t="s">
        <v>358</v>
      </c>
      <c r="H1052" t="s">
        <v>162</v>
      </c>
      <c r="I1052">
        <v>79501.662769714283</v>
      </c>
      <c r="J1052">
        <v>0</v>
      </c>
      <c r="K1052">
        <v>0.28895999999999999</v>
      </c>
      <c r="L1052">
        <v>0</v>
      </c>
      <c r="M1052">
        <v>16.624578413647427</v>
      </c>
      <c r="N1052">
        <v>0</v>
      </c>
      <c r="O1052">
        <v>0.36943507585883167</v>
      </c>
      <c r="P1052">
        <v>6.4267466666666662E-2</v>
      </c>
      <c r="Q1052">
        <v>1.1481975848188456E-4</v>
      </c>
      <c r="R1052">
        <v>442771.1</v>
      </c>
      <c r="S1052">
        <v>0</v>
      </c>
      <c r="T1052">
        <v>0</v>
      </c>
      <c r="V1052">
        <v>216</v>
      </c>
      <c r="W1052">
        <v>7</v>
      </c>
      <c r="X1052">
        <v>85</v>
      </c>
      <c r="Y1052">
        <v>3</v>
      </c>
      <c r="Z1052">
        <v>4</v>
      </c>
      <c r="AA1052">
        <v>5</v>
      </c>
      <c r="AB1052">
        <v>0</v>
      </c>
      <c r="AC1052">
        <v>0</v>
      </c>
      <c r="AD1052">
        <v>0</v>
      </c>
      <c r="AE1052">
        <v>0</v>
      </c>
      <c r="AF1052">
        <v>0.7</v>
      </c>
      <c r="AG1052">
        <v>0</v>
      </c>
      <c r="AH1052">
        <v>0</v>
      </c>
      <c r="AI1052">
        <v>0.2</v>
      </c>
      <c r="AJ1052">
        <v>0</v>
      </c>
      <c r="AK1052">
        <v>0</v>
      </c>
      <c r="AL1052">
        <v>86</v>
      </c>
      <c r="AM1052">
        <v>4.2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19.399999999999999</v>
      </c>
      <c r="AU1052">
        <v>0</v>
      </c>
      <c r="AV1052">
        <v>0</v>
      </c>
    </row>
    <row r="1053" spans="1:48" x14ac:dyDescent="0.15">
      <c r="A1053" s="4" t="str">
        <f>HYPERLINK("https://ibp.a2mac1.com/costing(costing:projects/details/9760/equipment/12212899)","DC machine - General")</f>
        <v>DC machine - General</v>
      </c>
      <c r="B1053">
        <v>12212899</v>
      </c>
      <c r="C1053">
        <v>12085689</v>
      </c>
      <c r="E1053" t="s">
        <v>738</v>
      </c>
      <c r="H1053" t="s">
        <v>162</v>
      </c>
      <c r="I1053">
        <v>116914.84457142858</v>
      </c>
      <c r="J1053">
        <v>0</v>
      </c>
      <c r="K1053">
        <v>3.6</v>
      </c>
      <c r="L1053">
        <v>0</v>
      </c>
      <c r="M1053">
        <v>27.497982091197134</v>
      </c>
      <c r="N1053">
        <v>0</v>
      </c>
      <c r="O1053">
        <v>7.4244551646232262</v>
      </c>
      <c r="P1053">
        <v>1.1154995999999999</v>
      </c>
      <c r="Q1053">
        <v>1.1732166376415484E-2</v>
      </c>
      <c r="R1053">
        <v>635568</v>
      </c>
      <c r="S1053">
        <v>0</v>
      </c>
      <c r="T1053">
        <v>0</v>
      </c>
      <c r="V1053">
        <v>10800</v>
      </c>
      <c r="W1053">
        <v>7</v>
      </c>
      <c r="X1053">
        <v>85</v>
      </c>
      <c r="Y1053">
        <v>3</v>
      </c>
      <c r="Z1053">
        <v>4</v>
      </c>
      <c r="AA1053">
        <v>5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3</v>
      </c>
      <c r="AJ1053">
        <v>0</v>
      </c>
      <c r="AK1053">
        <v>0</v>
      </c>
      <c r="AL1053">
        <v>100</v>
      </c>
      <c r="AM1053">
        <v>45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100</v>
      </c>
      <c r="AU1053">
        <v>0</v>
      </c>
      <c r="AV1053">
        <v>0</v>
      </c>
    </row>
    <row r="1054" spans="1:48" x14ac:dyDescent="0.15">
      <c r="A1054" s="4" t="str">
        <f>HYPERLINK("https://ibp.a2mac1.com/costing(costing:projects/details/9760/equipment/12212901)","Rubber Extrusion machine")</f>
        <v>Rubber Extrusion machine</v>
      </c>
      <c r="B1054">
        <v>12212901</v>
      </c>
      <c r="C1054">
        <v>12085691</v>
      </c>
      <c r="E1054" t="s">
        <v>1596</v>
      </c>
      <c r="H1054" t="s">
        <v>162</v>
      </c>
      <c r="I1054">
        <v>127372.68</v>
      </c>
      <c r="J1054">
        <v>0</v>
      </c>
      <c r="K1054">
        <v>8.8000000000000007</v>
      </c>
      <c r="L1054">
        <v>0</v>
      </c>
      <c r="M1054">
        <v>35.700141433622626</v>
      </c>
      <c r="N1054">
        <v>0</v>
      </c>
      <c r="O1054">
        <v>0.44625176792028287</v>
      </c>
      <c r="P1054">
        <v>0.103287</v>
      </c>
      <c r="Q1054">
        <v>1.4478114430086788E-3</v>
      </c>
      <c r="R1054">
        <v>800000</v>
      </c>
      <c r="S1054">
        <v>0</v>
      </c>
      <c r="T1054">
        <v>0</v>
      </c>
      <c r="V1054">
        <v>1800</v>
      </c>
      <c r="W1054">
        <v>10</v>
      </c>
      <c r="X1054">
        <v>85</v>
      </c>
      <c r="Y1054">
        <v>3</v>
      </c>
      <c r="Z1054">
        <v>4</v>
      </c>
      <c r="AA1054">
        <v>5</v>
      </c>
      <c r="AB1054">
        <v>0</v>
      </c>
      <c r="AC1054">
        <v>0</v>
      </c>
      <c r="AD1054">
        <v>0</v>
      </c>
      <c r="AE1054">
        <v>0</v>
      </c>
      <c r="AF1054">
        <v>2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100</v>
      </c>
      <c r="AM1054">
        <v>110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500</v>
      </c>
      <c r="AU1054">
        <v>0</v>
      </c>
      <c r="AV1054">
        <v>0</v>
      </c>
    </row>
    <row r="1055" spans="1:48" x14ac:dyDescent="0.15">
      <c r="A1055" s="4" t="str">
        <f>HYPERLINK("https://ibp.a2mac1.com/costing(costing:projects/details/9760/equipment/12212900)","Seal welding/joining station, manual")</f>
        <v>Seal welding/joining station, manual</v>
      </c>
      <c r="B1055">
        <v>12212900</v>
      </c>
      <c r="C1055">
        <v>12085690</v>
      </c>
      <c r="E1055" t="s">
        <v>738</v>
      </c>
      <c r="H1055" t="s">
        <v>162</v>
      </c>
      <c r="I1055">
        <v>4149.9071999999996</v>
      </c>
      <c r="J1055">
        <v>0</v>
      </c>
      <c r="K1055">
        <v>0.24</v>
      </c>
      <c r="L1055">
        <v>0</v>
      </c>
      <c r="M1055">
        <v>1.0275132111861138</v>
      </c>
      <c r="N1055">
        <v>0</v>
      </c>
      <c r="O1055">
        <v>8.5626100932176142E-3</v>
      </c>
      <c r="P1055">
        <v>6.9664000000000004E-2</v>
      </c>
      <c r="Q1055">
        <v>9.3871932111861135E-5</v>
      </c>
      <c r="R1055">
        <v>25000</v>
      </c>
      <c r="S1055">
        <v>0</v>
      </c>
      <c r="T1055">
        <v>0</v>
      </c>
      <c r="V1055">
        <v>600</v>
      </c>
      <c r="W1055">
        <v>10</v>
      </c>
      <c r="X1055">
        <v>85</v>
      </c>
      <c r="Y1055">
        <v>3</v>
      </c>
      <c r="Z1055">
        <v>3</v>
      </c>
      <c r="AA1055">
        <v>3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0</v>
      </c>
      <c r="AL1055">
        <v>100</v>
      </c>
      <c r="AM1055">
        <v>3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20</v>
      </c>
      <c r="AU1055">
        <v>0</v>
      </c>
      <c r="AV1055">
        <v>0</v>
      </c>
    </row>
    <row r="1056" spans="1:48" x14ac:dyDescent="0.15">
      <c r="A1056" s="4" t="str">
        <f>HYPERLINK("https://ibp.a2mac1.com/costing(costing:projects/details/9760/equipment/12212902)","Rubber Extrusion machine")</f>
        <v>Rubber Extrusion machine</v>
      </c>
      <c r="B1056">
        <v>12212902</v>
      </c>
      <c r="C1056">
        <v>12085692</v>
      </c>
      <c r="E1056" t="s">
        <v>1596</v>
      </c>
      <c r="H1056" t="s">
        <v>162</v>
      </c>
      <c r="I1056">
        <v>127372.68</v>
      </c>
      <c r="J1056">
        <v>0</v>
      </c>
      <c r="K1056">
        <v>8.8000000000000007</v>
      </c>
      <c r="L1056">
        <v>0</v>
      </c>
      <c r="M1056">
        <v>35.700141433622626</v>
      </c>
      <c r="N1056">
        <v>0</v>
      </c>
      <c r="O1056">
        <v>0.44625176792028287</v>
      </c>
      <c r="P1056">
        <v>0.103287</v>
      </c>
      <c r="Q1056">
        <v>1.4478114430086788E-3</v>
      </c>
      <c r="R1056">
        <v>800000</v>
      </c>
      <c r="S1056">
        <v>0</v>
      </c>
      <c r="T1056">
        <v>0</v>
      </c>
      <c r="V1056">
        <v>1800</v>
      </c>
      <c r="W1056">
        <v>10</v>
      </c>
      <c r="X1056">
        <v>85</v>
      </c>
      <c r="Y1056">
        <v>3</v>
      </c>
      <c r="Z1056">
        <v>4</v>
      </c>
      <c r="AA1056">
        <v>5</v>
      </c>
      <c r="AB1056">
        <v>0</v>
      </c>
      <c r="AC1056">
        <v>0</v>
      </c>
      <c r="AD1056">
        <v>0</v>
      </c>
      <c r="AE1056">
        <v>0</v>
      </c>
      <c r="AF1056">
        <v>2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100</v>
      </c>
      <c r="AM1056">
        <v>110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500</v>
      </c>
      <c r="AU1056">
        <v>0</v>
      </c>
      <c r="AV1056">
        <v>0</v>
      </c>
    </row>
    <row r="1057" spans="1:48" x14ac:dyDescent="0.15">
      <c r="A1057" s="4" t="str">
        <f>HYPERLINK("https://ibp.a2mac1.com/costing(costing:projects/details/9760/equipment/12212432)","Rubber Extrusion machine")</f>
        <v>Rubber Extrusion machine</v>
      </c>
      <c r="B1057">
        <v>12212432</v>
      </c>
      <c r="C1057">
        <v>12085336</v>
      </c>
      <c r="E1057" t="s">
        <v>1596</v>
      </c>
      <c r="H1057" t="s">
        <v>162</v>
      </c>
      <c r="I1057">
        <v>127372.68</v>
      </c>
      <c r="J1057">
        <v>0</v>
      </c>
      <c r="K1057">
        <v>8.8000000000000007</v>
      </c>
      <c r="L1057">
        <v>0</v>
      </c>
      <c r="M1057">
        <v>35.700141433622626</v>
      </c>
      <c r="N1057">
        <v>0</v>
      </c>
      <c r="O1057">
        <v>0.19833411907568127</v>
      </c>
      <c r="P1057">
        <v>4.5905333333333333E-2</v>
      </c>
      <c r="Q1057">
        <v>1.4478114430086788E-3</v>
      </c>
      <c r="R1057">
        <v>800000</v>
      </c>
      <c r="S1057">
        <v>0</v>
      </c>
      <c r="T1057">
        <v>0</v>
      </c>
      <c r="V1057">
        <v>1800</v>
      </c>
      <c r="W1057">
        <v>10</v>
      </c>
      <c r="X1057">
        <v>85</v>
      </c>
      <c r="Y1057">
        <v>3</v>
      </c>
      <c r="Z1057">
        <v>4</v>
      </c>
      <c r="AA1057">
        <v>5</v>
      </c>
      <c r="AB1057">
        <v>0</v>
      </c>
      <c r="AC1057">
        <v>0</v>
      </c>
      <c r="AD1057">
        <v>0</v>
      </c>
      <c r="AE1057">
        <v>0</v>
      </c>
      <c r="AF1057">
        <v>2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100</v>
      </c>
      <c r="AM1057">
        <v>110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500</v>
      </c>
      <c r="AU1057">
        <v>0</v>
      </c>
      <c r="AV1057">
        <v>0</v>
      </c>
    </row>
    <row r="1058" spans="1:48" x14ac:dyDescent="0.15">
      <c r="A1058" s="4" t="str">
        <f>HYPERLINK("https://ibp.a2mac1.com/costing(costing:projects/details/9760/equipment/12212433)","Rubber Extrusion machine")</f>
        <v>Rubber Extrusion machine</v>
      </c>
      <c r="B1058">
        <v>12212433</v>
      </c>
      <c r="C1058">
        <v>12085337</v>
      </c>
      <c r="E1058" t="s">
        <v>1596</v>
      </c>
      <c r="H1058" t="s">
        <v>162</v>
      </c>
      <c r="I1058">
        <v>127372.68</v>
      </c>
      <c r="J1058">
        <v>0</v>
      </c>
      <c r="K1058">
        <v>8.8000000000000007</v>
      </c>
      <c r="L1058">
        <v>0</v>
      </c>
      <c r="M1058">
        <v>35.700141433622626</v>
      </c>
      <c r="N1058">
        <v>0</v>
      </c>
      <c r="O1058">
        <v>0.14875058930676097</v>
      </c>
      <c r="P1058">
        <v>3.4429000000000001E-2</v>
      </c>
      <c r="Q1058">
        <v>1.4478114430086788E-3</v>
      </c>
      <c r="R1058">
        <v>800000</v>
      </c>
      <c r="S1058">
        <v>0</v>
      </c>
      <c r="T1058">
        <v>0</v>
      </c>
      <c r="V1058">
        <v>1800</v>
      </c>
      <c r="W1058">
        <v>10</v>
      </c>
      <c r="X1058">
        <v>85</v>
      </c>
      <c r="Y1058">
        <v>3</v>
      </c>
      <c r="Z1058">
        <v>4</v>
      </c>
      <c r="AA1058">
        <v>5</v>
      </c>
      <c r="AB1058">
        <v>0</v>
      </c>
      <c r="AC1058">
        <v>0</v>
      </c>
      <c r="AD1058">
        <v>0</v>
      </c>
      <c r="AE1058">
        <v>0</v>
      </c>
      <c r="AF1058">
        <v>2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100</v>
      </c>
      <c r="AM1058">
        <v>110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500</v>
      </c>
      <c r="AU1058">
        <v>0</v>
      </c>
      <c r="AV1058">
        <v>0</v>
      </c>
    </row>
    <row r="1059" spans="1:48" x14ac:dyDescent="0.15">
      <c r="A1059" s="4" t="str">
        <f>HYPERLINK("https://ibp.a2mac1.com/costing(costing:projects/details/9760/equipment/12212434)","No.01 - Extrusion Press Line - 600T ")</f>
        <v xml:space="preserve">No.01 - Extrusion Press Line - 600T </v>
      </c>
      <c r="B1059">
        <v>12212434</v>
      </c>
      <c r="C1059">
        <v>12085338</v>
      </c>
      <c r="E1059" t="s">
        <v>1630</v>
      </c>
      <c r="H1059" t="s">
        <v>162</v>
      </c>
      <c r="I1059">
        <v>538349.80249599996</v>
      </c>
      <c r="J1059">
        <v>0</v>
      </c>
      <c r="K1059">
        <v>67.951880000000003</v>
      </c>
      <c r="L1059">
        <v>0</v>
      </c>
      <c r="M1059">
        <v>180.59247827965285</v>
      </c>
      <c r="N1059">
        <v>0</v>
      </c>
      <c r="O1059">
        <v>0.23176586522905748</v>
      </c>
      <c r="P1059">
        <v>2.1332895914000002E-2</v>
      </c>
      <c r="Q1059">
        <v>1.1589163096779171E-3</v>
      </c>
      <c r="R1059">
        <v>3250000</v>
      </c>
      <c r="S1059">
        <v>0</v>
      </c>
      <c r="T1059">
        <v>0</v>
      </c>
      <c r="V1059">
        <v>360</v>
      </c>
      <c r="W1059">
        <v>8</v>
      </c>
      <c r="X1059">
        <v>85</v>
      </c>
      <c r="Y1059">
        <v>3</v>
      </c>
      <c r="Z1059">
        <v>4</v>
      </c>
      <c r="AA1059">
        <v>5</v>
      </c>
      <c r="AB1059">
        <v>0</v>
      </c>
      <c r="AC1059">
        <v>1</v>
      </c>
      <c r="AD1059">
        <v>0</v>
      </c>
      <c r="AE1059">
        <v>0</v>
      </c>
      <c r="AF1059">
        <v>2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99</v>
      </c>
      <c r="AM1059">
        <v>800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473.6</v>
      </c>
      <c r="AU1059">
        <v>3.9</v>
      </c>
      <c r="AV1059">
        <v>0</v>
      </c>
    </row>
    <row r="1060" spans="1:48" x14ac:dyDescent="0.15">
      <c r="A1060" s="4" t="str">
        <f>HYPERLINK("https://ibp.a2mac1.com/costing(costing:projects/details/9760/equipment/12212903)","Manufacturing Equipment")</f>
        <v>Manufacturing Equipment</v>
      </c>
      <c r="B1060">
        <v>12212903</v>
      </c>
      <c r="C1060">
        <v>12085693</v>
      </c>
      <c r="H1060" t="s">
        <v>162</v>
      </c>
      <c r="I1060">
        <v>373962.1752</v>
      </c>
      <c r="J1060">
        <v>0</v>
      </c>
      <c r="K1060">
        <v>3.3919999999999999</v>
      </c>
      <c r="L1060">
        <v>0</v>
      </c>
      <c r="M1060">
        <v>85.594213950498229</v>
      </c>
      <c r="N1060">
        <v>0</v>
      </c>
      <c r="O1060">
        <v>0.8690587395077799</v>
      </c>
      <c r="P1060">
        <v>4.1947914880999998E-2</v>
      </c>
      <c r="Q1060">
        <v>8.8339008555448403E-3</v>
      </c>
      <c r="R1060">
        <v>2750000</v>
      </c>
      <c r="S1060">
        <v>0</v>
      </c>
      <c r="T1060">
        <v>0</v>
      </c>
      <c r="V1060">
        <v>5400</v>
      </c>
      <c r="W1060">
        <v>10</v>
      </c>
      <c r="X1060">
        <v>85</v>
      </c>
      <c r="Y1060">
        <v>4</v>
      </c>
      <c r="Z1060">
        <v>4</v>
      </c>
      <c r="AA1060">
        <v>5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80</v>
      </c>
      <c r="AM1060">
        <v>53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70</v>
      </c>
      <c r="AU1060">
        <v>0</v>
      </c>
      <c r="AV1060">
        <v>0</v>
      </c>
    </row>
    <row r="1061" spans="1:48" x14ac:dyDescent="0.15">
      <c r="A1061" s="4" t="str">
        <f>HYPERLINK("https://ibp.a2mac1.com/costing(costing:projects/details/9760/equipment/12212904)","Manufacturing Equipment")</f>
        <v>Manufacturing Equipment</v>
      </c>
      <c r="B1061">
        <v>12212904</v>
      </c>
      <c r="C1061">
        <v>12085694</v>
      </c>
      <c r="H1061" t="s">
        <v>162</v>
      </c>
      <c r="I1061">
        <v>373962.1752</v>
      </c>
      <c r="J1061">
        <v>0</v>
      </c>
      <c r="K1061">
        <v>3.3919999999999999</v>
      </c>
      <c r="L1061">
        <v>0</v>
      </c>
      <c r="M1061">
        <v>85.594213950498229</v>
      </c>
      <c r="N1061">
        <v>0</v>
      </c>
      <c r="O1061">
        <v>1.0699276743812278</v>
      </c>
      <c r="P1061">
        <v>5.1643500000000002E-2</v>
      </c>
      <c r="Q1061">
        <v>8.8339008555448403E-3</v>
      </c>
      <c r="R1061">
        <v>2750000</v>
      </c>
      <c r="S1061">
        <v>0</v>
      </c>
      <c r="T1061">
        <v>0</v>
      </c>
      <c r="V1061">
        <v>5400</v>
      </c>
      <c r="W1061">
        <v>10</v>
      </c>
      <c r="X1061">
        <v>85</v>
      </c>
      <c r="Y1061">
        <v>4</v>
      </c>
      <c r="Z1061">
        <v>4</v>
      </c>
      <c r="AA1061">
        <v>5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80</v>
      </c>
      <c r="AM1061">
        <v>53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70</v>
      </c>
      <c r="AU1061">
        <v>0</v>
      </c>
      <c r="AV1061">
        <v>0</v>
      </c>
    </row>
    <row r="1062" spans="1:48" x14ac:dyDescent="0.15">
      <c r="A1062" s="4" t="str">
        <f>HYPERLINK("https://ibp.a2mac1.com/costing(costing:projects/details/9760/equipment/12212905)","Manufacturing Equipment")</f>
        <v>Manufacturing Equipment</v>
      </c>
      <c r="B1062">
        <v>12212905</v>
      </c>
      <c r="C1062">
        <v>12085695</v>
      </c>
      <c r="H1062" t="s">
        <v>162</v>
      </c>
      <c r="I1062">
        <v>373962.1752</v>
      </c>
      <c r="J1062">
        <v>0</v>
      </c>
      <c r="K1062">
        <v>3.3919999999999999</v>
      </c>
      <c r="L1062">
        <v>0</v>
      </c>
      <c r="M1062">
        <v>85.594213950498229</v>
      </c>
      <c r="N1062">
        <v>0</v>
      </c>
      <c r="O1062">
        <v>1.0699276743812278</v>
      </c>
      <c r="P1062">
        <v>5.1643500000000002E-2</v>
      </c>
      <c r="Q1062">
        <v>8.8339008555448403E-3</v>
      </c>
      <c r="R1062">
        <v>2750000</v>
      </c>
      <c r="S1062">
        <v>0</v>
      </c>
      <c r="T1062">
        <v>0</v>
      </c>
      <c r="V1062">
        <v>5400</v>
      </c>
      <c r="W1062">
        <v>10</v>
      </c>
      <c r="X1062">
        <v>85</v>
      </c>
      <c r="Y1062">
        <v>4</v>
      </c>
      <c r="Z1062">
        <v>4</v>
      </c>
      <c r="AA1062">
        <v>5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80</v>
      </c>
      <c r="AM1062">
        <v>53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70</v>
      </c>
      <c r="AU1062">
        <v>0</v>
      </c>
      <c r="AV1062">
        <v>0</v>
      </c>
    </row>
    <row r="1063" spans="1:48" x14ac:dyDescent="0.15">
      <c r="A1063" s="4" t="str">
        <f>HYPERLINK("https://ibp.a2mac1.com/costing(costing:projects/details/9760/equipment/12212906)","Manufacturing Equipment")</f>
        <v>Manufacturing Equipment</v>
      </c>
      <c r="B1063">
        <v>12212906</v>
      </c>
      <c r="C1063">
        <v>12085696</v>
      </c>
      <c r="H1063" t="s">
        <v>162</v>
      </c>
      <c r="I1063">
        <v>373962.1752</v>
      </c>
      <c r="J1063">
        <v>0</v>
      </c>
      <c r="K1063">
        <v>3.3919999999999999</v>
      </c>
      <c r="L1063">
        <v>0</v>
      </c>
      <c r="M1063">
        <v>85.594213950498229</v>
      </c>
      <c r="N1063">
        <v>0</v>
      </c>
      <c r="O1063">
        <v>1.0699276743812278</v>
      </c>
      <c r="P1063">
        <v>5.1643500000000002E-2</v>
      </c>
      <c r="Q1063">
        <v>8.8339008555448403E-3</v>
      </c>
      <c r="R1063">
        <v>2750000</v>
      </c>
      <c r="S1063">
        <v>0</v>
      </c>
      <c r="T1063">
        <v>0</v>
      </c>
      <c r="V1063">
        <v>5400</v>
      </c>
      <c r="W1063">
        <v>10</v>
      </c>
      <c r="X1063">
        <v>85</v>
      </c>
      <c r="Y1063">
        <v>4</v>
      </c>
      <c r="Z1063">
        <v>4</v>
      </c>
      <c r="AA1063">
        <v>5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80</v>
      </c>
      <c r="AM1063">
        <v>53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70</v>
      </c>
      <c r="AU1063">
        <v>0</v>
      </c>
      <c r="AV1063">
        <v>0</v>
      </c>
    </row>
    <row r="1064" spans="1:48" x14ac:dyDescent="0.15">
      <c r="A1064" s="4" t="str">
        <f>HYPERLINK("https://ibp.a2mac1.com/costing(costing:projects/details/9760/equipment/12212435)","Equipment (Injection Molding)")</f>
        <v>Equipment (Injection Molding)</v>
      </c>
      <c r="B1064">
        <v>12212435</v>
      </c>
      <c r="C1064">
        <v>12085339</v>
      </c>
      <c r="H1064" t="s">
        <v>162</v>
      </c>
      <c r="I1064">
        <v>1792.0006679999999</v>
      </c>
      <c r="J1064">
        <v>0</v>
      </c>
      <c r="K1064">
        <v>7.6160000000000005E-2</v>
      </c>
      <c r="L1064">
        <v>0</v>
      </c>
      <c r="M1064">
        <v>0.44067312568306011</v>
      </c>
      <c r="N1064">
        <v>0</v>
      </c>
      <c r="O1064">
        <v>7.3445520947176685E-3</v>
      </c>
      <c r="P1064">
        <v>4.6823440000000002E-4</v>
      </c>
      <c r="Q1064">
        <v>3.9108564282295083E-5</v>
      </c>
      <c r="R1064">
        <v>9520</v>
      </c>
      <c r="S1064">
        <v>0</v>
      </c>
      <c r="T1064">
        <v>0</v>
      </c>
      <c r="V1064">
        <v>91.8</v>
      </c>
      <c r="W1064">
        <v>7</v>
      </c>
      <c r="X1064">
        <v>85</v>
      </c>
      <c r="Y1064">
        <v>3</v>
      </c>
      <c r="Z1064">
        <v>4</v>
      </c>
      <c r="AA1064">
        <v>5</v>
      </c>
      <c r="AB1064">
        <v>0</v>
      </c>
      <c r="AC1064">
        <v>0</v>
      </c>
      <c r="AD1064">
        <v>0</v>
      </c>
      <c r="AE1064">
        <v>0</v>
      </c>
      <c r="AF1064">
        <v>6.7999999999999996E-3</v>
      </c>
      <c r="AG1064">
        <v>0</v>
      </c>
      <c r="AH1064">
        <v>0</v>
      </c>
      <c r="AI1064">
        <v>2</v>
      </c>
      <c r="AJ1064">
        <v>0</v>
      </c>
      <c r="AK1064">
        <v>0</v>
      </c>
      <c r="AL1064">
        <v>80</v>
      </c>
      <c r="AM1064">
        <v>1.19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2.5499999999999998</v>
      </c>
      <c r="AU1064">
        <v>0</v>
      </c>
      <c r="AV1064">
        <v>0</v>
      </c>
    </row>
    <row r="1065" spans="1:48" x14ac:dyDescent="0.15">
      <c r="A1065" s="4" t="str">
        <f>HYPERLINK("https://ibp.a2mac1.com/costing(costing:projects/details/9760/equipment/12212908)","No.10 - Injection Press - 500T - 98kW - 900x900 - Max Volume 1936cm3 ")</f>
        <v xml:space="preserve">No.10 - Injection Press - 500T - 98kW - 900x900 - Max Volume 1936cm3 </v>
      </c>
      <c r="B1065">
        <v>12212908</v>
      </c>
      <c r="C1065">
        <v>12085698</v>
      </c>
      <c r="E1065" t="s">
        <v>1630</v>
      </c>
      <c r="H1065" t="s">
        <v>162</v>
      </c>
      <c r="I1065">
        <v>55874.536</v>
      </c>
      <c r="J1065">
        <v>0</v>
      </c>
      <c r="K1065">
        <v>3.88</v>
      </c>
      <c r="L1065">
        <v>0</v>
      </c>
      <c r="M1065">
        <v>15.471857280617165</v>
      </c>
      <c r="N1065">
        <v>0</v>
      </c>
      <c r="O1065">
        <v>4.1292431611116467E-2</v>
      </c>
      <c r="P1065">
        <v>2.7565994867083331E-3</v>
      </c>
      <c r="Q1065">
        <v>7.3066207105110898E-3</v>
      </c>
      <c r="R1065">
        <v>325000</v>
      </c>
      <c r="S1065">
        <v>0</v>
      </c>
      <c r="T1065">
        <v>0</v>
      </c>
      <c r="V1065">
        <v>10800</v>
      </c>
      <c r="W1065">
        <v>8</v>
      </c>
      <c r="X1065">
        <v>85</v>
      </c>
      <c r="Y1065">
        <v>3</v>
      </c>
      <c r="Z1065">
        <v>4</v>
      </c>
      <c r="AA1065">
        <v>5</v>
      </c>
      <c r="AB1065">
        <v>0</v>
      </c>
      <c r="AC1065">
        <v>0</v>
      </c>
      <c r="AD1065">
        <v>0</v>
      </c>
      <c r="AE1065">
        <v>0</v>
      </c>
      <c r="AF1065">
        <v>0.25</v>
      </c>
      <c r="AG1065">
        <v>0</v>
      </c>
      <c r="AH1065">
        <v>0</v>
      </c>
      <c r="AI1065">
        <v>2</v>
      </c>
      <c r="AJ1065">
        <v>0</v>
      </c>
      <c r="AK1065">
        <v>0</v>
      </c>
      <c r="AL1065">
        <v>92</v>
      </c>
      <c r="AM1065">
        <v>50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100</v>
      </c>
      <c r="AU1065">
        <v>0.2</v>
      </c>
      <c r="AV1065">
        <v>0</v>
      </c>
    </row>
    <row r="1066" spans="1:48" x14ac:dyDescent="0.15">
      <c r="A1066" s="4" t="str">
        <f>HYPERLINK("https://ibp.a2mac1.com/costing(costing:projects/details/9760/equipment/12212907)","Packaging")</f>
        <v>Packaging</v>
      </c>
      <c r="B1066">
        <v>12212907</v>
      </c>
      <c r="C1066">
        <v>12085697</v>
      </c>
      <c r="H1066" t="s">
        <v>162</v>
      </c>
      <c r="I1066">
        <v>4437.4535986499995</v>
      </c>
      <c r="J1066">
        <v>0</v>
      </c>
      <c r="K1066">
        <v>0.08</v>
      </c>
      <c r="L1066">
        <v>0</v>
      </c>
      <c r="M1066">
        <v>1.0342676949774992</v>
      </c>
      <c r="N1066">
        <v>0</v>
      </c>
      <c r="O1066">
        <v>2.8729658193819424E-3</v>
      </c>
      <c r="P1066">
        <v>1.1476333333333333E-2</v>
      </c>
      <c r="Q1066">
        <v>1.5514015424662487E-5</v>
      </c>
      <c r="R1066">
        <v>29999.99999</v>
      </c>
      <c r="S1066">
        <v>0</v>
      </c>
      <c r="T1066">
        <v>0</v>
      </c>
      <c r="V1066">
        <v>900</v>
      </c>
      <c r="W1066">
        <v>10</v>
      </c>
      <c r="X1066">
        <v>85</v>
      </c>
      <c r="Y1066">
        <v>3</v>
      </c>
      <c r="Z1066">
        <v>4</v>
      </c>
      <c r="AA1066">
        <v>5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50</v>
      </c>
      <c r="AM1066">
        <v>2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10</v>
      </c>
      <c r="AU1066">
        <v>0</v>
      </c>
      <c r="AV1066">
        <v>0</v>
      </c>
    </row>
    <row r="1067" spans="1:48" x14ac:dyDescent="0.15">
      <c r="A1067" s="4" t="str">
        <f>HYPERLINK("https://ibp.a2mac1.com/costing(costing:projects/details/9760/equipment/12212910)","No.10 - Injection Press - 500T - 98kW - 900x900 - Max Volume 1936cm3 ")</f>
        <v xml:space="preserve">No.10 - Injection Press - 500T - 98kW - 900x900 - Max Volume 1936cm3 </v>
      </c>
      <c r="B1067">
        <v>12212910</v>
      </c>
      <c r="C1067">
        <v>12085700</v>
      </c>
      <c r="E1067" t="s">
        <v>1630</v>
      </c>
      <c r="H1067" t="s">
        <v>162</v>
      </c>
      <c r="I1067">
        <v>55874.536</v>
      </c>
      <c r="J1067">
        <v>0</v>
      </c>
      <c r="K1067">
        <v>3.88</v>
      </c>
      <c r="L1067">
        <v>0</v>
      </c>
      <c r="M1067">
        <v>15.471857280617165</v>
      </c>
      <c r="N1067">
        <v>0</v>
      </c>
      <c r="O1067">
        <v>3.318981995325726E-2</v>
      </c>
      <c r="P1067">
        <v>2.2156854677083332E-3</v>
      </c>
      <c r="Q1067">
        <v>7.3066207105110898E-3</v>
      </c>
      <c r="R1067">
        <v>325000</v>
      </c>
      <c r="S1067">
        <v>0</v>
      </c>
      <c r="T1067">
        <v>0</v>
      </c>
      <c r="V1067">
        <v>10800</v>
      </c>
      <c r="W1067">
        <v>8</v>
      </c>
      <c r="X1067">
        <v>85</v>
      </c>
      <c r="Y1067">
        <v>3</v>
      </c>
      <c r="Z1067">
        <v>4</v>
      </c>
      <c r="AA1067">
        <v>5</v>
      </c>
      <c r="AB1067">
        <v>0</v>
      </c>
      <c r="AC1067">
        <v>0</v>
      </c>
      <c r="AD1067">
        <v>0</v>
      </c>
      <c r="AE1067">
        <v>0</v>
      </c>
      <c r="AF1067">
        <v>0.25</v>
      </c>
      <c r="AG1067">
        <v>0</v>
      </c>
      <c r="AH1067">
        <v>0</v>
      </c>
      <c r="AI1067">
        <v>2</v>
      </c>
      <c r="AJ1067">
        <v>0</v>
      </c>
      <c r="AK1067">
        <v>0</v>
      </c>
      <c r="AL1067">
        <v>92</v>
      </c>
      <c r="AM1067">
        <v>50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100</v>
      </c>
      <c r="AU1067">
        <v>0.2</v>
      </c>
      <c r="AV1067">
        <v>0</v>
      </c>
    </row>
    <row r="1068" spans="1:48" x14ac:dyDescent="0.15">
      <c r="A1068" s="4" t="str">
        <f>HYPERLINK("https://ibp.a2mac1.com/costing(costing:projects/details/9760/equipment/12212909)","Packaging")</f>
        <v>Packaging</v>
      </c>
      <c r="B1068">
        <v>12212909</v>
      </c>
      <c r="C1068">
        <v>12085699</v>
      </c>
      <c r="H1068" t="s">
        <v>162</v>
      </c>
      <c r="I1068">
        <v>4437.4535986499995</v>
      </c>
      <c r="J1068">
        <v>0</v>
      </c>
      <c r="K1068">
        <v>0.08</v>
      </c>
      <c r="L1068">
        <v>0</v>
      </c>
      <c r="M1068">
        <v>1.0342676949774992</v>
      </c>
      <c r="N1068">
        <v>0</v>
      </c>
      <c r="O1068">
        <v>2.8729658193819424E-3</v>
      </c>
      <c r="P1068">
        <v>1.1476333333333333E-2</v>
      </c>
      <c r="Q1068">
        <v>1.5514015424662487E-5</v>
      </c>
      <c r="R1068">
        <v>29999.99999</v>
      </c>
      <c r="S1068">
        <v>0</v>
      </c>
      <c r="T1068">
        <v>0</v>
      </c>
      <c r="V1068">
        <v>900</v>
      </c>
      <c r="W1068">
        <v>10</v>
      </c>
      <c r="X1068">
        <v>85</v>
      </c>
      <c r="Y1068">
        <v>3</v>
      </c>
      <c r="Z1068">
        <v>4</v>
      </c>
      <c r="AA1068">
        <v>5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50</v>
      </c>
      <c r="AM1068">
        <v>2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10</v>
      </c>
      <c r="AU1068">
        <v>0</v>
      </c>
      <c r="AV1068">
        <v>0</v>
      </c>
    </row>
    <row r="1069" spans="1:48" x14ac:dyDescent="0.15">
      <c r="A1069" s="4" t="str">
        <f>HYPERLINK("https://ibp.a2mac1.com/costing(costing:projects/details/9760/equipment/12212436)","DC machine - General")</f>
        <v>DC machine - General</v>
      </c>
      <c r="B1069">
        <v>12212436</v>
      </c>
      <c r="C1069">
        <v>12085340</v>
      </c>
      <c r="E1069" t="s">
        <v>738</v>
      </c>
      <c r="H1069" t="s">
        <v>162</v>
      </c>
      <c r="I1069">
        <v>116914.84457142858</v>
      </c>
      <c r="J1069">
        <v>0</v>
      </c>
      <c r="K1069">
        <v>3.6</v>
      </c>
      <c r="L1069">
        <v>0</v>
      </c>
      <c r="M1069">
        <v>27.497982091197134</v>
      </c>
      <c r="N1069">
        <v>0</v>
      </c>
      <c r="O1069">
        <v>0.76383283586658712</v>
      </c>
      <c r="P1069">
        <v>0.11476333333333333</v>
      </c>
      <c r="Q1069">
        <v>1.1732166376415484E-2</v>
      </c>
      <c r="R1069">
        <v>635568</v>
      </c>
      <c r="S1069">
        <v>0</v>
      </c>
      <c r="T1069">
        <v>0</v>
      </c>
      <c r="V1069">
        <v>10800</v>
      </c>
      <c r="W1069">
        <v>7</v>
      </c>
      <c r="X1069">
        <v>85</v>
      </c>
      <c r="Y1069">
        <v>3</v>
      </c>
      <c r="Z1069">
        <v>4</v>
      </c>
      <c r="AA1069">
        <v>5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3</v>
      </c>
      <c r="AJ1069">
        <v>0</v>
      </c>
      <c r="AK1069">
        <v>0</v>
      </c>
      <c r="AL1069">
        <v>100</v>
      </c>
      <c r="AM1069">
        <v>45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100</v>
      </c>
      <c r="AU1069">
        <v>0</v>
      </c>
      <c r="AV1069">
        <v>0</v>
      </c>
    </row>
    <row r="1070" spans="1:48" x14ac:dyDescent="0.15">
      <c r="A1070" s="4" t="str">
        <f>HYPERLINK("https://ibp.a2mac1.com/costing(costing:projects/details/9760/equipment/12212438)","No.01 - Injection Press - 40T - 18kW - 270x270 - Max Volume 128cm3 ")</f>
        <v xml:space="preserve">No.01 - Injection Press - 40T - 18kW - 270x270 - Max Volume 128cm3 </v>
      </c>
      <c r="B1070">
        <v>12212438</v>
      </c>
      <c r="C1070">
        <v>12085342</v>
      </c>
      <c r="E1070" t="s">
        <v>1630</v>
      </c>
      <c r="H1070" t="s">
        <v>162</v>
      </c>
      <c r="I1070">
        <v>13574.9072</v>
      </c>
      <c r="J1070">
        <v>0</v>
      </c>
      <c r="K1070">
        <v>1.6020000000000001</v>
      </c>
      <c r="L1070">
        <v>0</v>
      </c>
      <c r="M1070">
        <v>4.4266395371263263</v>
      </c>
      <c r="N1070">
        <v>0</v>
      </c>
      <c r="O1070">
        <v>5.2050702478404584E-2</v>
      </c>
      <c r="P1070">
        <v>1.2145016240416667E-2</v>
      </c>
      <c r="Q1070">
        <v>3.5456543444551589E-3</v>
      </c>
      <c r="R1070">
        <v>80000</v>
      </c>
      <c r="S1070">
        <v>0</v>
      </c>
      <c r="T1070">
        <v>0</v>
      </c>
      <c r="V1070">
        <v>7200</v>
      </c>
      <c r="W1070">
        <v>8</v>
      </c>
      <c r="X1070">
        <v>85</v>
      </c>
      <c r="Y1070">
        <v>3</v>
      </c>
      <c r="Z1070">
        <v>4</v>
      </c>
      <c r="AA1070">
        <v>5</v>
      </c>
      <c r="AB1070">
        <v>0</v>
      </c>
      <c r="AC1070">
        <v>0</v>
      </c>
      <c r="AD1070">
        <v>0</v>
      </c>
      <c r="AE1070">
        <v>0</v>
      </c>
      <c r="AF1070">
        <v>0.25</v>
      </c>
      <c r="AG1070">
        <v>0</v>
      </c>
      <c r="AH1070">
        <v>0</v>
      </c>
      <c r="AI1070">
        <v>2</v>
      </c>
      <c r="AJ1070">
        <v>0</v>
      </c>
      <c r="AK1070">
        <v>0</v>
      </c>
      <c r="AL1070">
        <v>97</v>
      </c>
      <c r="AM1070">
        <v>20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20</v>
      </c>
      <c r="AU1070">
        <v>0.05</v>
      </c>
      <c r="AV1070">
        <v>0</v>
      </c>
    </row>
    <row r="1071" spans="1:48" x14ac:dyDescent="0.15">
      <c r="A1071" s="4" t="str">
        <f>HYPERLINK("https://ibp.a2mac1.com/costing(costing:projects/details/9760/equipment/12212437)","Packaging")</f>
        <v>Packaging</v>
      </c>
      <c r="B1071">
        <v>12212437</v>
      </c>
      <c r="C1071">
        <v>12085341</v>
      </c>
      <c r="H1071" t="s">
        <v>162</v>
      </c>
      <c r="I1071">
        <v>4437.4535986499995</v>
      </c>
      <c r="J1071">
        <v>0</v>
      </c>
      <c r="K1071">
        <v>0.08</v>
      </c>
      <c r="L1071">
        <v>0</v>
      </c>
      <c r="M1071">
        <v>1.0342676949774992</v>
      </c>
      <c r="N1071">
        <v>0</v>
      </c>
      <c r="O1071">
        <v>2.8729658193819424E-3</v>
      </c>
      <c r="P1071">
        <v>1.1476333333333333E-2</v>
      </c>
      <c r="Q1071">
        <v>1.5514015424662487E-5</v>
      </c>
      <c r="R1071">
        <v>29999.99999</v>
      </c>
      <c r="S1071">
        <v>0</v>
      </c>
      <c r="T1071">
        <v>0</v>
      </c>
      <c r="V1071">
        <v>900</v>
      </c>
      <c r="W1071">
        <v>10</v>
      </c>
      <c r="X1071">
        <v>85</v>
      </c>
      <c r="Y1071">
        <v>3</v>
      </c>
      <c r="Z1071">
        <v>4</v>
      </c>
      <c r="AA1071">
        <v>5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50</v>
      </c>
      <c r="AM1071">
        <v>2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10</v>
      </c>
      <c r="AU1071">
        <v>0</v>
      </c>
      <c r="AV1071">
        <v>0</v>
      </c>
    </row>
    <row r="1072" spans="1:48" x14ac:dyDescent="0.15">
      <c r="A1072" s="4" t="str">
        <f>HYPERLINK("https://ibp.a2mac1.com/costing(costing:projects/details/9760/equipment/12212439)","No.01 - Injection Press - 40T - 18kW - 270x270 - Max Volume 128cm3 ")</f>
        <v xml:space="preserve">No.01 - Injection Press - 40T - 18kW - 270x270 - Max Volume 128cm3 </v>
      </c>
      <c r="B1072">
        <v>12212439</v>
      </c>
      <c r="C1072">
        <v>12085343</v>
      </c>
      <c r="E1072" t="s">
        <v>1630</v>
      </c>
      <c r="H1072" t="s">
        <v>162</v>
      </c>
      <c r="I1072">
        <v>13574.9072</v>
      </c>
      <c r="J1072">
        <v>0</v>
      </c>
      <c r="K1072">
        <v>1.6020000000000001</v>
      </c>
      <c r="L1072">
        <v>0</v>
      </c>
      <c r="M1072">
        <v>4.4266395371263263</v>
      </c>
      <c r="N1072">
        <v>0</v>
      </c>
      <c r="O1072">
        <v>2.6470394511666131E-2</v>
      </c>
      <c r="P1072">
        <v>6.1763502878333333E-3</v>
      </c>
      <c r="Q1072">
        <v>3.5456543444551589E-3</v>
      </c>
      <c r="R1072">
        <v>80000</v>
      </c>
      <c r="S1072">
        <v>0</v>
      </c>
      <c r="T1072">
        <v>0</v>
      </c>
      <c r="V1072">
        <v>7200</v>
      </c>
      <c r="W1072">
        <v>8</v>
      </c>
      <c r="X1072">
        <v>85</v>
      </c>
      <c r="Y1072">
        <v>3</v>
      </c>
      <c r="Z1072">
        <v>4</v>
      </c>
      <c r="AA1072">
        <v>5</v>
      </c>
      <c r="AB1072">
        <v>0</v>
      </c>
      <c r="AC1072">
        <v>0</v>
      </c>
      <c r="AD1072">
        <v>0</v>
      </c>
      <c r="AE1072">
        <v>0</v>
      </c>
      <c r="AF1072">
        <v>0.25</v>
      </c>
      <c r="AG1072">
        <v>0</v>
      </c>
      <c r="AH1072">
        <v>0</v>
      </c>
      <c r="AI1072">
        <v>2</v>
      </c>
      <c r="AJ1072">
        <v>0</v>
      </c>
      <c r="AK1072">
        <v>0</v>
      </c>
      <c r="AL1072">
        <v>97</v>
      </c>
      <c r="AM1072">
        <v>20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20</v>
      </c>
      <c r="AU1072">
        <v>0.05</v>
      </c>
      <c r="AV1072">
        <v>0</v>
      </c>
    </row>
    <row r="1073" spans="1:48" x14ac:dyDescent="0.15">
      <c r="A1073" s="4" t="str">
        <f>HYPERLINK("https://ibp.a2mac1.com/costing(costing:projects/details/9760/equipment/12212440)","Packaging")</f>
        <v>Packaging</v>
      </c>
      <c r="B1073">
        <v>12212440</v>
      </c>
      <c r="C1073">
        <v>12085344</v>
      </c>
      <c r="H1073" t="s">
        <v>162</v>
      </c>
      <c r="I1073">
        <v>4437.4535986499995</v>
      </c>
      <c r="J1073">
        <v>0</v>
      </c>
      <c r="K1073">
        <v>0.08</v>
      </c>
      <c r="L1073">
        <v>0</v>
      </c>
      <c r="M1073">
        <v>1.0342676949774992</v>
      </c>
      <c r="N1073">
        <v>0</v>
      </c>
      <c r="O1073">
        <v>2.8729658193819424E-3</v>
      </c>
      <c r="P1073">
        <v>1.1476333333333333E-2</v>
      </c>
      <c r="Q1073">
        <v>1.5514015424662487E-5</v>
      </c>
      <c r="R1073">
        <v>29999.99999</v>
      </c>
      <c r="S1073">
        <v>0</v>
      </c>
      <c r="T1073">
        <v>0</v>
      </c>
      <c r="V1073">
        <v>900</v>
      </c>
      <c r="W1073">
        <v>10</v>
      </c>
      <c r="X1073">
        <v>85</v>
      </c>
      <c r="Y1073">
        <v>3</v>
      </c>
      <c r="Z1073">
        <v>4</v>
      </c>
      <c r="AA1073">
        <v>5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50</v>
      </c>
      <c r="AM1073">
        <v>2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10</v>
      </c>
      <c r="AU1073">
        <v>0</v>
      </c>
      <c r="AV1073">
        <v>0</v>
      </c>
    </row>
    <row r="1074" spans="1:48" x14ac:dyDescent="0.15">
      <c r="A1074" s="4" t="str">
        <f>HYPERLINK("https://ibp.a2mac1.com/costing(costing:projects/details/9760/equipment/12212923)","Dummy Machine (PCBA+Final Assembly Line)")</f>
        <v>Dummy Machine (PCBA+Final Assembly Line)</v>
      </c>
      <c r="B1074">
        <v>12212923</v>
      </c>
      <c r="C1074">
        <v>12085793</v>
      </c>
      <c r="F1074" t="s">
        <v>358</v>
      </c>
      <c r="H1074" t="s">
        <v>162</v>
      </c>
      <c r="I1074">
        <v>79501.662769714283</v>
      </c>
      <c r="J1074">
        <v>0</v>
      </c>
      <c r="K1074">
        <v>0.28895999999999999</v>
      </c>
      <c r="L1074">
        <v>0</v>
      </c>
      <c r="M1074">
        <v>16.624578413647427</v>
      </c>
      <c r="N1074">
        <v>0</v>
      </c>
      <c r="O1074">
        <v>0.40637858344471484</v>
      </c>
      <c r="P1074">
        <v>7.0694213333333339E-2</v>
      </c>
      <c r="Q1074">
        <v>1.1481975848188456E-4</v>
      </c>
      <c r="R1074">
        <v>442771.1</v>
      </c>
      <c r="S1074">
        <v>0</v>
      </c>
      <c r="T1074">
        <v>0</v>
      </c>
      <c r="V1074">
        <v>216</v>
      </c>
      <c r="W1074">
        <v>7</v>
      </c>
      <c r="X1074">
        <v>85</v>
      </c>
      <c r="Y1074">
        <v>3</v>
      </c>
      <c r="Z1074">
        <v>4</v>
      </c>
      <c r="AA1074">
        <v>5</v>
      </c>
      <c r="AB1074">
        <v>0</v>
      </c>
      <c r="AC1074">
        <v>0</v>
      </c>
      <c r="AD1074">
        <v>0</v>
      </c>
      <c r="AE1074">
        <v>0</v>
      </c>
      <c r="AF1074">
        <v>0.7</v>
      </c>
      <c r="AG1074">
        <v>0</v>
      </c>
      <c r="AH1074">
        <v>0</v>
      </c>
      <c r="AI1074">
        <v>0.2</v>
      </c>
      <c r="AJ1074">
        <v>0</v>
      </c>
      <c r="AK1074">
        <v>0</v>
      </c>
      <c r="AL1074">
        <v>86</v>
      </c>
      <c r="AM1074">
        <v>4.2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19.399999999999999</v>
      </c>
      <c r="AU1074">
        <v>0</v>
      </c>
      <c r="AV1074">
        <v>0</v>
      </c>
    </row>
    <row r="1075" spans="1:48" x14ac:dyDescent="0.15">
      <c r="A1075" s="4" t="str">
        <f>HYPERLINK("https://ibp.a2mac1.com/costing(costing:projects/details/9760/equipment/12212925)","Dummy Machine (PCBA+Final Assembly Line)")</f>
        <v>Dummy Machine (PCBA+Final Assembly Line)</v>
      </c>
      <c r="B1075">
        <v>12212925</v>
      </c>
      <c r="C1075">
        <v>12085795</v>
      </c>
      <c r="F1075" t="s">
        <v>358</v>
      </c>
      <c r="H1075" t="s">
        <v>162</v>
      </c>
      <c r="I1075">
        <v>79501.662769714283</v>
      </c>
      <c r="J1075">
        <v>0</v>
      </c>
      <c r="K1075">
        <v>0.28895999999999999</v>
      </c>
      <c r="L1075">
        <v>0</v>
      </c>
      <c r="M1075">
        <v>16.624578413647427</v>
      </c>
      <c r="N1075">
        <v>0</v>
      </c>
      <c r="O1075">
        <v>1.51468381102121</v>
      </c>
      <c r="P1075">
        <v>0.26349661333333335</v>
      </c>
      <c r="Q1075">
        <v>1.1481975848188456E-4</v>
      </c>
      <c r="R1075">
        <v>442771.1</v>
      </c>
      <c r="S1075">
        <v>0</v>
      </c>
      <c r="T1075">
        <v>0</v>
      </c>
      <c r="V1075">
        <v>216</v>
      </c>
      <c r="W1075">
        <v>7</v>
      </c>
      <c r="X1075">
        <v>85</v>
      </c>
      <c r="Y1075">
        <v>3</v>
      </c>
      <c r="Z1075">
        <v>4</v>
      </c>
      <c r="AA1075">
        <v>5</v>
      </c>
      <c r="AB1075">
        <v>0</v>
      </c>
      <c r="AC1075">
        <v>0</v>
      </c>
      <c r="AD1075">
        <v>0</v>
      </c>
      <c r="AE1075">
        <v>0</v>
      </c>
      <c r="AF1075">
        <v>0.7</v>
      </c>
      <c r="AG1075">
        <v>0</v>
      </c>
      <c r="AH1075">
        <v>0</v>
      </c>
      <c r="AI1075">
        <v>0.2</v>
      </c>
      <c r="AJ1075">
        <v>0</v>
      </c>
      <c r="AK1075">
        <v>0</v>
      </c>
      <c r="AL1075">
        <v>86</v>
      </c>
      <c r="AM1075">
        <v>4.2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19.399999999999999</v>
      </c>
      <c r="AU1075">
        <v>0</v>
      </c>
      <c r="AV1075">
        <v>0</v>
      </c>
    </row>
    <row r="1076" spans="1:48" x14ac:dyDescent="0.15">
      <c r="A1076" s="4" t="str">
        <f>HYPERLINK("https://ibp.a2mac1.com/costing(costing:projects/details/9760/equipment/12212911)","No.02 - T,TF 40/11 ")</f>
        <v xml:space="preserve">No.02 - T,TF 40/11 </v>
      </c>
      <c r="B1076">
        <v>12212911</v>
      </c>
      <c r="C1076">
        <v>12085701</v>
      </c>
      <c r="E1076" t="s">
        <v>1630</v>
      </c>
      <c r="H1076" t="s">
        <v>162</v>
      </c>
      <c r="I1076">
        <v>10787.453600000001</v>
      </c>
      <c r="J1076">
        <v>0</v>
      </c>
      <c r="K1076">
        <v>2.3279999999999998</v>
      </c>
      <c r="L1076">
        <v>0</v>
      </c>
      <c r="M1076">
        <v>4.5840999035679841</v>
      </c>
      <c r="N1076">
        <v>0</v>
      </c>
      <c r="O1076">
        <v>2.4674172403171542E-2</v>
      </c>
      <c r="P1076">
        <v>0</v>
      </c>
      <c r="Q1076">
        <v>0</v>
      </c>
      <c r="R1076">
        <v>65000</v>
      </c>
      <c r="S1076">
        <v>0</v>
      </c>
      <c r="T1076">
        <v>0</v>
      </c>
      <c r="V1076">
        <v>0</v>
      </c>
      <c r="W1076">
        <v>8</v>
      </c>
      <c r="X1076">
        <v>85</v>
      </c>
      <c r="Y1076">
        <v>3</v>
      </c>
      <c r="Z1076">
        <v>4</v>
      </c>
      <c r="AA1076">
        <v>5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97</v>
      </c>
      <c r="AM1076">
        <v>30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10</v>
      </c>
      <c r="AU1076">
        <v>0</v>
      </c>
      <c r="AV1076">
        <v>0</v>
      </c>
    </row>
    <row r="1077" spans="1:48" x14ac:dyDescent="0.15">
      <c r="A1077" s="4" t="str">
        <f>HYPERLINK("https://ibp.a2mac1.com/costing(costing:projects/details/9760/equipment/12212912)","No.01 - Buhler ladel Model 4,5L ")</f>
        <v xml:space="preserve">No.01 - Buhler ladel Model 4,5L </v>
      </c>
      <c r="B1077">
        <v>12212912</v>
      </c>
      <c r="C1077">
        <v>12085702</v>
      </c>
      <c r="E1077" t="s">
        <v>1630</v>
      </c>
      <c r="H1077" t="s">
        <v>162</v>
      </c>
      <c r="I1077">
        <v>4348.7082399999999</v>
      </c>
      <c r="J1077">
        <v>0</v>
      </c>
      <c r="K1077">
        <v>0.98399999999999999</v>
      </c>
      <c r="L1077">
        <v>0</v>
      </c>
      <c r="M1077">
        <v>1.8838245323047251</v>
      </c>
      <c r="N1077">
        <v>0</v>
      </c>
      <c r="O1077">
        <v>1.0139790202048644E-2</v>
      </c>
      <c r="P1077">
        <v>0</v>
      </c>
      <c r="Q1077">
        <v>2.8257367984570879E-5</v>
      </c>
      <c r="R1077">
        <v>25000</v>
      </c>
      <c r="S1077">
        <v>0</v>
      </c>
      <c r="T1077">
        <v>0</v>
      </c>
      <c r="V1077">
        <v>900</v>
      </c>
      <c r="W1077">
        <v>8</v>
      </c>
      <c r="X1077">
        <v>85</v>
      </c>
      <c r="Y1077">
        <v>3</v>
      </c>
      <c r="Z1077">
        <v>4</v>
      </c>
      <c r="AA1077">
        <v>5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98</v>
      </c>
      <c r="AM1077">
        <v>10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9</v>
      </c>
      <c r="AU1077">
        <v>0.2</v>
      </c>
      <c r="AV1077">
        <v>0</v>
      </c>
    </row>
    <row r="1078" spans="1:48" x14ac:dyDescent="0.15">
      <c r="A1078" s="4" t="str">
        <f>HYPERLINK("https://ibp.a2mac1.com/costing(costing:projects/details/9760/equipment/12212913)","No.01 - Idra - OL 420 S ")</f>
        <v xml:space="preserve">No.01 - Idra - OL 420 S </v>
      </c>
      <c r="B1078">
        <v>12212913</v>
      </c>
      <c r="C1078">
        <v>12085703</v>
      </c>
      <c r="E1078" t="s">
        <v>1630</v>
      </c>
      <c r="H1078" t="s">
        <v>162</v>
      </c>
      <c r="I1078">
        <v>55937.267999999996</v>
      </c>
      <c r="J1078">
        <v>0</v>
      </c>
      <c r="K1078">
        <v>3.5209988000000001</v>
      </c>
      <c r="L1078">
        <v>0</v>
      </c>
      <c r="M1078">
        <v>15.725638465702346</v>
      </c>
      <c r="N1078">
        <v>0</v>
      </c>
      <c r="O1078">
        <v>8.4644122688224313E-2</v>
      </c>
      <c r="P1078">
        <v>7.3385138067999997E-3</v>
      </c>
      <c r="Q1078">
        <v>4.9015342158842817E-3</v>
      </c>
      <c r="R1078">
        <v>400000</v>
      </c>
      <c r="S1078">
        <v>0</v>
      </c>
      <c r="T1078">
        <v>0</v>
      </c>
      <c r="V1078">
        <v>7200</v>
      </c>
      <c r="W1078">
        <v>10</v>
      </c>
      <c r="X1078">
        <v>85</v>
      </c>
      <c r="Y1078">
        <v>3</v>
      </c>
      <c r="Z1078">
        <v>4</v>
      </c>
      <c r="AA1078">
        <v>5</v>
      </c>
      <c r="AB1078">
        <v>0</v>
      </c>
      <c r="AC1078">
        <v>0</v>
      </c>
      <c r="AD1078">
        <v>0</v>
      </c>
      <c r="AE1078">
        <v>0</v>
      </c>
      <c r="AF1078">
        <v>0.33</v>
      </c>
      <c r="AG1078">
        <v>0</v>
      </c>
      <c r="AH1078">
        <v>0</v>
      </c>
      <c r="AI1078">
        <v>2</v>
      </c>
      <c r="AJ1078">
        <v>0</v>
      </c>
      <c r="AK1078">
        <v>0</v>
      </c>
      <c r="AL1078">
        <v>93</v>
      </c>
      <c r="AM1078">
        <v>45</v>
      </c>
      <c r="AN1078">
        <v>0</v>
      </c>
      <c r="AO1078">
        <v>0</v>
      </c>
      <c r="AP1078">
        <v>0</v>
      </c>
      <c r="AQ1078">
        <v>6</v>
      </c>
      <c r="AR1078">
        <v>0</v>
      </c>
      <c r="AS1078">
        <v>0.01</v>
      </c>
      <c r="AT1078">
        <v>50</v>
      </c>
      <c r="AU1078">
        <v>0</v>
      </c>
      <c r="AV1078">
        <v>0</v>
      </c>
    </row>
    <row r="1079" spans="1:48" x14ac:dyDescent="0.15">
      <c r="A1079" s="4" t="str">
        <f>HYPERLINK("https://ibp.a2mac1.com/costing(costing:projects/details/9760/equipment/12212914)","No.02 - Injection Press - 60T - 25kW - 320x320 - Max Volume 164cm3 ")</f>
        <v xml:space="preserve">No.02 - Injection Press - 60T - 25kW - 320x320 - Max Volume 164cm3 </v>
      </c>
      <c r="B1079">
        <v>12212914</v>
      </c>
      <c r="C1079">
        <v>12085784</v>
      </c>
      <c r="E1079" t="s">
        <v>1630</v>
      </c>
      <c r="H1079" t="s">
        <v>162</v>
      </c>
      <c r="I1079">
        <v>16929.888640000001</v>
      </c>
      <c r="J1079">
        <v>0</v>
      </c>
      <c r="K1079">
        <v>1.9124000000000001</v>
      </c>
      <c r="L1079">
        <v>0</v>
      </c>
      <c r="M1079">
        <v>5.4369722661523623</v>
      </c>
      <c r="N1079">
        <v>0</v>
      </c>
      <c r="O1079">
        <v>3.2530326333134685E-2</v>
      </c>
      <c r="P1079">
        <v>6.1798362240833337E-3</v>
      </c>
      <c r="Q1079">
        <v>3.6668942719382835E-3</v>
      </c>
      <c r="R1079">
        <v>100000</v>
      </c>
      <c r="S1079">
        <v>0</v>
      </c>
      <c r="T1079">
        <v>0</v>
      </c>
      <c r="V1079">
        <v>7200</v>
      </c>
      <c r="W1079">
        <v>8</v>
      </c>
      <c r="X1079">
        <v>85</v>
      </c>
      <c r="Y1079">
        <v>3</v>
      </c>
      <c r="Z1079">
        <v>4</v>
      </c>
      <c r="AA1079">
        <v>5</v>
      </c>
      <c r="AB1079">
        <v>0</v>
      </c>
      <c r="AC1079">
        <v>0</v>
      </c>
      <c r="AD1079">
        <v>0</v>
      </c>
      <c r="AE1079">
        <v>0</v>
      </c>
      <c r="AF1079">
        <v>0.25</v>
      </c>
      <c r="AG1079">
        <v>0</v>
      </c>
      <c r="AH1079">
        <v>0</v>
      </c>
      <c r="AI1079">
        <v>2</v>
      </c>
      <c r="AJ1079">
        <v>0</v>
      </c>
      <c r="AK1079">
        <v>0</v>
      </c>
      <c r="AL1079">
        <v>97</v>
      </c>
      <c r="AM1079">
        <v>24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24</v>
      </c>
      <c r="AU1079">
        <v>0.05</v>
      </c>
      <c r="AV1079">
        <v>0</v>
      </c>
    </row>
    <row r="1080" spans="1:48" x14ac:dyDescent="0.15">
      <c r="A1080" s="4" t="str">
        <f>HYPERLINK("https://ibp.a2mac1.com/costing(costing:projects/details/9760/equipment/12212915)","Equipment (Injection Molding)")</f>
        <v>Equipment (Injection Molding)</v>
      </c>
      <c r="B1080">
        <v>12212915</v>
      </c>
      <c r="C1080">
        <v>12085785</v>
      </c>
      <c r="H1080" t="s">
        <v>162</v>
      </c>
      <c r="I1080">
        <v>4216.4721600000003</v>
      </c>
      <c r="J1080">
        <v>0</v>
      </c>
      <c r="K1080">
        <v>0.1792</v>
      </c>
      <c r="L1080">
        <v>0</v>
      </c>
      <c r="M1080">
        <v>1.0368779427836707</v>
      </c>
      <c r="N1080">
        <v>0</v>
      </c>
      <c r="O1080">
        <v>1.7281299046394513E-2</v>
      </c>
      <c r="P1080">
        <v>1.101728E-3</v>
      </c>
      <c r="Q1080">
        <v>9.4166488594021219E-5</v>
      </c>
      <c r="R1080">
        <v>22400</v>
      </c>
      <c r="S1080">
        <v>0</v>
      </c>
      <c r="T1080">
        <v>0</v>
      </c>
      <c r="V1080">
        <v>216</v>
      </c>
      <c r="W1080">
        <v>7</v>
      </c>
      <c r="X1080">
        <v>85</v>
      </c>
      <c r="Y1080">
        <v>3</v>
      </c>
      <c r="Z1080">
        <v>4</v>
      </c>
      <c r="AA1080">
        <v>5</v>
      </c>
      <c r="AB1080">
        <v>0</v>
      </c>
      <c r="AC1080">
        <v>0</v>
      </c>
      <c r="AD1080">
        <v>0</v>
      </c>
      <c r="AE1080">
        <v>0</v>
      </c>
      <c r="AF1080">
        <v>1.6E-2</v>
      </c>
      <c r="AG1080">
        <v>0</v>
      </c>
      <c r="AH1080">
        <v>0</v>
      </c>
      <c r="AI1080">
        <v>2</v>
      </c>
      <c r="AJ1080">
        <v>0</v>
      </c>
      <c r="AK1080">
        <v>0</v>
      </c>
      <c r="AL1080">
        <v>80</v>
      </c>
      <c r="AM1080">
        <v>2.8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6</v>
      </c>
      <c r="AU1080">
        <v>0</v>
      </c>
      <c r="AV1080">
        <v>0</v>
      </c>
    </row>
    <row r="1081" spans="1:48" x14ac:dyDescent="0.15">
      <c r="A1081" s="4" t="str">
        <f>HYPERLINK("https://ibp.a2mac1.com/costing(costing:projects/details/9760/equipment/12212916)","No.04 - 60000x6000x3500 - Automatic Painting Line - with 12x100kW on line ovens ")</f>
        <v xml:space="preserve">No.04 - 60000x6000x3500 - Automatic Painting Line - with 12x100kW on line ovens </v>
      </c>
      <c r="B1081">
        <v>12212916</v>
      </c>
      <c r="C1081">
        <v>12085786</v>
      </c>
      <c r="E1081" t="s">
        <v>1630</v>
      </c>
      <c r="G1081" t="s">
        <v>5227</v>
      </c>
      <c r="H1081" t="s">
        <v>162</v>
      </c>
      <c r="I1081">
        <v>1438767.4831999999</v>
      </c>
      <c r="J1081">
        <v>0</v>
      </c>
      <c r="K1081">
        <v>279.76751999999999</v>
      </c>
      <c r="L1081">
        <v>0</v>
      </c>
      <c r="M1081">
        <v>580.11587795564128</v>
      </c>
      <c r="N1081">
        <v>0</v>
      </c>
      <c r="O1081">
        <v>0.45120123840994319</v>
      </c>
      <c r="P1081">
        <v>2.2493613333333332E-2</v>
      </c>
      <c r="Q1081">
        <v>0</v>
      </c>
      <c r="R1081">
        <v>8600000</v>
      </c>
      <c r="S1081">
        <v>0</v>
      </c>
      <c r="T1081">
        <v>0</v>
      </c>
      <c r="V1081">
        <v>0</v>
      </c>
      <c r="W1081">
        <v>8</v>
      </c>
      <c r="X1081">
        <v>85</v>
      </c>
      <c r="Y1081">
        <v>3</v>
      </c>
      <c r="Z1081">
        <v>4</v>
      </c>
      <c r="AA1081">
        <v>5</v>
      </c>
      <c r="AB1081">
        <v>0</v>
      </c>
      <c r="AC1081">
        <v>0</v>
      </c>
      <c r="AD1081">
        <v>0</v>
      </c>
      <c r="AE1081">
        <v>0</v>
      </c>
      <c r="AF1081">
        <v>7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100</v>
      </c>
      <c r="AM1081">
        <v>3400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4</v>
      </c>
      <c r="AT1081">
        <v>1620</v>
      </c>
      <c r="AU1081">
        <v>5</v>
      </c>
      <c r="AV1081">
        <v>0</v>
      </c>
    </row>
    <row r="1082" spans="1:48" x14ac:dyDescent="0.15">
      <c r="A1082" s="4" t="str">
        <f>HYPERLINK("https://ibp.a2mac1.com/costing(costing:projects/details/9760/equipment/12212917)","Equipment (Injection Molding)")</f>
        <v>Equipment (Injection Molding)</v>
      </c>
      <c r="B1082">
        <v>12212917</v>
      </c>
      <c r="C1082">
        <v>12085787</v>
      </c>
      <c r="H1082" t="s">
        <v>162</v>
      </c>
      <c r="I1082">
        <v>2635.2950999999998</v>
      </c>
      <c r="J1082">
        <v>0</v>
      </c>
      <c r="K1082">
        <v>0.112</v>
      </c>
      <c r="L1082">
        <v>0</v>
      </c>
      <c r="M1082">
        <v>0.64804871423979427</v>
      </c>
      <c r="N1082">
        <v>0</v>
      </c>
      <c r="O1082">
        <v>1.0800811903996571E-2</v>
      </c>
      <c r="P1082">
        <v>6.8858000000000005E-4</v>
      </c>
      <c r="Q1082">
        <v>5.7979189607039537E-5</v>
      </c>
      <c r="R1082">
        <v>14000</v>
      </c>
      <c r="S1082">
        <v>0</v>
      </c>
      <c r="T1082">
        <v>0</v>
      </c>
      <c r="V1082">
        <v>135</v>
      </c>
      <c r="W1082">
        <v>7</v>
      </c>
      <c r="X1082">
        <v>85</v>
      </c>
      <c r="Y1082">
        <v>3</v>
      </c>
      <c r="Z1082">
        <v>4</v>
      </c>
      <c r="AA1082">
        <v>5</v>
      </c>
      <c r="AB1082">
        <v>0</v>
      </c>
      <c r="AC1082">
        <v>0</v>
      </c>
      <c r="AD1082">
        <v>0</v>
      </c>
      <c r="AE1082">
        <v>0</v>
      </c>
      <c r="AF1082">
        <v>0.01</v>
      </c>
      <c r="AG1082">
        <v>0</v>
      </c>
      <c r="AH1082">
        <v>0</v>
      </c>
      <c r="AI1082">
        <v>2</v>
      </c>
      <c r="AJ1082">
        <v>0</v>
      </c>
      <c r="AK1082">
        <v>0</v>
      </c>
      <c r="AL1082">
        <v>80</v>
      </c>
      <c r="AM1082">
        <v>1.75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3.75</v>
      </c>
      <c r="AU1082">
        <v>0</v>
      </c>
      <c r="AV1082">
        <v>0</v>
      </c>
    </row>
    <row r="1083" spans="1:48" x14ac:dyDescent="0.15">
      <c r="A1083" s="4" t="str">
        <f>HYPERLINK("https://ibp.a2mac1.com/costing(costing:projects/details/9760/equipment/12212918)","Equipment (Injection Molding)")</f>
        <v>Equipment (Injection Molding)</v>
      </c>
      <c r="B1083">
        <v>12212918</v>
      </c>
      <c r="C1083">
        <v>12085788</v>
      </c>
      <c r="H1083" t="s">
        <v>162</v>
      </c>
      <c r="I1083">
        <v>2635.2950999999998</v>
      </c>
      <c r="J1083">
        <v>0</v>
      </c>
      <c r="K1083">
        <v>0.112</v>
      </c>
      <c r="L1083">
        <v>0</v>
      </c>
      <c r="M1083">
        <v>0.64804871423979427</v>
      </c>
      <c r="N1083">
        <v>0</v>
      </c>
      <c r="O1083">
        <v>1.0800811903996571E-2</v>
      </c>
      <c r="P1083">
        <v>6.8858000000000005E-4</v>
      </c>
      <c r="Q1083">
        <v>5.7979189607039537E-5</v>
      </c>
      <c r="R1083">
        <v>14000</v>
      </c>
      <c r="S1083">
        <v>0</v>
      </c>
      <c r="T1083">
        <v>0</v>
      </c>
      <c r="V1083">
        <v>135</v>
      </c>
      <c r="W1083">
        <v>7</v>
      </c>
      <c r="X1083">
        <v>85</v>
      </c>
      <c r="Y1083">
        <v>3</v>
      </c>
      <c r="Z1083">
        <v>4</v>
      </c>
      <c r="AA1083">
        <v>5</v>
      </c>
      <c r="AB1083">
        <v>0</v>
      </c>
      <c r="AC1083">
        <v>0</v>
      </c>
      <c r="AD1083">
        <v>0</v>
      </c>
      <c r="AE1083">
        <v>0</v>
      </c>
      <c r="AF1083">
        <v>0.01</v>
      </c>
      <c r="AG1083">
        <v>0</v>
      </c>
      <c r="AH1083">
        <v>0</v>
      </c>
      <c r="AI1083">
        <v>2</v>
      </c>
      <c r="AJ1083">
        <v>0</v>
      </c>
      <c r="AK1083">
        <v>0</v>
      </c>
      <c r="AL1083">
        <v>80</v>
      </c>
      <c r="AM1083">
        <v>1.75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3.75</v>
      </c>
      <c r="AU1083">
        <v>0</v>
      </c>
      <c r="AV1083">
        <v>0</v>
      </c>
    </row>
    <row r="1084" spans="1:48" x14ac:dyDescent="0.15">
      <c r="A1084" s="4" t="str">
        <f>HYPERLINK("https://ibp.a2mac1.com/costing(costing:projects/details/9760/equipment/12212919)","Equipment (Injection Molding)")</f>
        <v>Equipment (Injection Molding)</v>
      </c>
      <c r="B1084">
        <v>12212919</v>
      </c>
      <c r="C1084">
        <v>12085789</v>
      </c>
      <c r="H1084" t="s">
        <v>162</v>
      </c>
      <c r="I1084">
        <v>342.58836300000002</v>
      </c>
      <c r="J1084">
        <v>0</v>
      </c>
      <c r="K1084">
        <v>1.456E-2</v>
      </c>
      <c r="L1084">
        <v>0</v>
      </c>
      <c r="M1084">
        <v>8.424633285117325E-2</v>
      </c>
      <c r="N1084">
        <v>0</v>
      </c>
      <c r="O1084">
        <v>1.4041055475195543E-3</v>
      </c>
      <c r="P1084">
        <v>8.95154E-5</v>
      </c>
      <c r="Q1084">
        <v>7.3723824523589685E-6</v>
      </c>
      <c r="R1084">
        <v>1820</v>
      </c>
      <c r="S1084">
        <v>0</v>
      </c>
      <c r="T1084">
        <v>0</v>
      </c>
      <c r="V1084">
        <v>17.55</v>
      </c>
      <c r="W1084">
        <v>7</v>
      </c>
      <c r="X1084">
        <v>85</v>
      </c>
      <c r="Y1084">
        <v>3</v>
      </c>
      <c r="Z1084">
        <v>4</v>
      </c>
      <c r="AA1084">
        <v>5</v>
      </c>
      <c r="AB1084">
        <v>0</v>
      </c>
      <c r="AC1084">
        <v>0</v>
      </c>
      <c r="AD1084">
        <v>0</v>
      </c>
      <c r="AE1084">
        <v>0</v>
      </c>
      <c r="AF1084">
        <v>1.2999999999999999E-3</v>
      </c>
      <c r="AG1084">
        <v>0</v>
      </c>
      <c r="AH1084">
        <v>0</v>
      </c>
      <c r="AI1084">
        <v>2</v>
      </c>
      <c r="AJ1084">
        <v>0</v>
      </c>
      <c r="AK1084">
        <v>0</v>
      </c>
      <c r="AL1084">
        <v>80</v>
      </c>
      <c r="AM1084">
        <v>0.22750000000000001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0.48749999999999999</v>
      </c>
      <c r="AU1084">
        <v>0</v>
      </c>
      <c r="AV1084">
        <v>0</v>
      </c>
    </row>
    <row r="1085" spans="1:48" x14ac:dyDescent="0.15">
      <c r="A1085" s="4" t="str">
        <f>HYPERLINK("https://ibp.a2mac1.com/costing(costing:projects/details/9760/equipment/12212920)","Equipment (Injection Molding)")</f>
        <v>Equipment (Injection Molding)</v>
      </c>
      <c r="B1085">
        <v>12212920</v>
      </c>
      <c r="C1085">
        <v>12085790</v>
      </c>
      <c r="H1085" t="s">
        <v>162</v>
      </c>
      <c r="I1085">
        <v>210.82360800000001</v>
      </c>
      <c r="J1085">
        <v>0</v>
      </c>
      <c r="K1085">
        <v>8.9599999999999992E-3</v>
      </c>
      <c r="L1085">
        <v>0</v>
      </c>
      <c r="M1085">
        <v>5.184389713918354E-2</v>
      </c>
      <c r="N1085">
        <v>0</v>
      </c>
      <c r="O1085">
        <v>8.6406495231972568E-4</v>
      </c>
      <c r="P1085">
        <v>5.5086400000000002E-5</v>
      </c>
      <c r="Q1085">
        <v>4.5310183014850531E-6</v>
      </c>
      <c r="R1085">
        <v>1120</v>
      </c>
      <c r="S1085">
        <v>0</v>
      </c>
      <c r="T1085">
        <v>0</v>
      </c>
      <c r="V1085">
        <v>10.8</v>
      </c>
      <c r="W1085">
        <v>7</v>
      </c>
      <c r="X1085">
        <v>85</v>
      </c>
      <c r="Y1085">
        <v>3</v>
      </c>
      <c r="Z1085">
        <v>4</v>
      </c>
      <c r="AA1085">
        <v>5</v>
      </c>
      <c r="AB1085">
        <v>0</v>
      </c>
      <c r="AC1085">
        <v>0</v>
      </c>
      <c r="AD1085">
        <v>0</v>
      </c>
      <c r="AE1085">
        <v>0</v>
      </c>
      <c r="AF1085">
        <v>8.0000000000000004E-4</v>
      </c>
      <c r="AG1085">
        <v>0</v>
      </c>
      <c r="AH1085">
        <v>0</v>
      </c>
      <c r="AI1085">
        <v>2</v>
      </c>
      <c r="AJ1085">
        <v>0</v>
      </c>
      <c r="AK1085">
        <v>0</v>
      </c>
      <c r="AL1085">
        <v>80</v>
      </c>
      <c r="AM1085">
        <v>0.14000000000000001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0.3</v>
      </c>
      <c r="AU1085">
        <v>0</v>
      </c>
      <c r="AV1085">
        <v>0</v>
      </c>
    </row>
    <row r="1086" spans="1:48" x14ac:dyDescent="0.15">
      <c r="A1086" s="4" t="str">
        <f>HYPERLINK("https://ibp.a2mac1.com/costing(costing:projects/details/9760/equipment/12212921)","Equipment (Injection Molding)")</f>
        <v>Equipment (Injection Molding)</v>
      </c>
      <c r="B1086">
        <v>12212921</v>
      </c>
      <c r="C1086">
        <v>12085791</v>
      </c>
      <c r="H1086" t="s">
        <v>162</v>
      </c>
      <c r="I1086">
        <v>263.52951000000002</v>
      </c>
      <c r="J1086">
        <v>0</v>
      </c>
      <c r="K1086">
        <v>1.12E-2</v>
      </c>
      <c r="L1086">
        <v>0</v>
      </c>
      <c r="M1086">
        <v>6.4804871423979421E-2</v>
      </c>
      <c r="N1086">
        <v>0</v>
      </c>
      <c r="O1086">
        <v>1.0800811903996571E-3</v>
      </c>
      <c r="P1086">
        <v>6.8857999999999997E-5</v>
      </c>
      <c r="Q1086">
        <v>5.6666890960703958E-6</v>
      </c>
      <c r="R1086">
        <v>1400</v>
      </c>
      <c r="S1086">
        <v>0</v>
      </c>
      <c r="T1086">
        <v>0</v>
      </c>
      <c r="V1086">
        <v>13.5</v>
      </c>
      <c r="W1086">
        <v>7</v>
      </c>
      <c r="X1086">
        <v>85</v>
      </c>
      <c r="Y1086">
        <v>3</v>
      </c>
      <c r="Z1086">
        <v>4</v>
      </c>
      <c r="AA1086">
        <v>5</v>
      </c>
      <c r="AB1086">
        <v>0</v>
      </c>
      <c r="AC1086">
        <v>0</v>
      </c>
      <c r="AD1086">
        <v>0</v>
      </c>
      <c r="AE1086">
        <v>0</v>
      </c>
      <c r="AF1086">
        <v>1E-3</v>
      </c>
      <c r="AG1086">
        <v>0</v>
      </c>
      <c r="AH1086">
        <v>0</v>
      </c>
      <c r="AI1086">
        <v>2</v>
      </c>
      <c r="AJ1086">
        <v>0</v>
      </c>
      <c r="AK1086">
        <v>0</v>
      </c>
      <c r="AL1086">
        <v>80</v>
      </c>
      <c r="AM1086">
        <v>0.17499999999999999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0.375</v>
      </c>
      <c r="AU1086">
        <v>0</v>
      </c>
      <c r="AV1086">
        <v>0</v>
      </c>
    </row>
    <row r="1087" spans="1:48" x14ac:dyDescent="0.15">
      <c r="A1087" s="4" t="str">
        <f>HYPERLINK("https://ibp.a2mac1.com/costing(costing:projects/details/9760/equipment/12212922)","Equipment (Injection Molding)")</f>
        <v>Equipment (Injection Molding)</v>
      </c>
      <c r="B1087">
        <v>12212922</v>
      </c>
      <c r="C1087">
        <v>12085792</v>
      </c>
      <c r="H1087" t="s">
        <v>162</v>
      </c>
      <c r="I1087">
        <v>448.00016699999998</v>
      </c>
      <c r="J1087">
        <v>0</v>
      </c>
      <c r="K1087">
        <v>1.9040000000000001E-2</v>
      </c>
      <c r="L1087">
        <v>0</v>
      </c>
      <c r="M1087">
        <v>0.11016828142076503</v>
      </c>
      <c r="N1087">
        <v>0</v>
      </c>
      <c r="O1087">
        <v>1.8361380236794171E-3</v>
      </c>
      <c r="P1087">
        <v>1.170586E-4</v>
      </c>
      <c r="Q1087">
        <v>9.6507229676434433E-6</v>
      </c>
      <c r="R1087">
        <v>2380</v>
      </c>
      <c r="S1087">
        <v>0</v>
      </c>
      <c r="T1087">
        <v>0</v>
      </c>
      <c r="V1087">
        <v>22.95</v>
      </c>
      <c r="W1087">
        <v>7</v>
      </c>
      <c r="X1087">
        <v>85</v>
      </c>
      <c r="Y1087">
        <v>3</v>
      </c>
      <c r="Z1087">
        <v>4</v>
      </c>
      <c r="AA1087">
        <v>5</v>
      </c>
      <c r="AB1087">
        <v>0</v>
      </c>
      <c r="AC1087">
        <v>0</v>
      </c>
      <c r="AD1087">
        <v>0</v>
      </c>
      <c r="AE1087">
        <v>0</v>
      </c>
      <c r="AF1087">
        <v>1.6999999999999999E-3</v>
      </c>
      <c r="AG1087">
        <v>0</v>
      </c>
      <c r="AH1087">
        <v>0</v>
      </c>
      <c r="AI1087">
        <v>2</v>
      </c>
      <c r="AJ1087">
        <v>0</v>
      </c>
      <c r="AK1087">
        <v>0</v>
      </c>
      <c r="AL1087">
        <v>80</v>
      </c>
      <c r="AM1087">
        <v>0.29749999999999999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0.63749999999999996</v>
      </c>
      <c r="AU1087">
        <v>0</v>
      </c>
      <c r="AV1087">
        <v>0</v>
      </c>
    </row>
    <row r="1088" spans="1:48" x14ac:dyDescent="0.15">
      <c r="A1088" s="4" t="str">
        <f>HYPERLINK("https://ibp.a2mac1.com/costing(costing:projects/details/9760/equipment/12212924)","Equipment (Injection Molding)")</f>
        <v>Equipment (Injection Molding)</v>
      </c>
      <c r="B1088">
        <v>12212924</v>
      </c>
      <c r="C1088">
        <v>12085794</v>
      </c>
      <c r="H1088" t="s">
        <v>162</v>
      </c>
      <c r="I1088">
        <v>1739.294766</v>
      </c>
      <c r="J1088">
        <v>0</v>
      </c>
      <c r="K1088">
        <v>7.392E-2</v>
      </c>
      <c r="L1088">
        <v>0</v>
      </c>
      <c r="M1088">
        <v>0.42771215139826424</v>
      </c>
      <c r="N1088">
        <v>0</v>
      </c>
      <c r="O1088">
        <v>7.1285358566377374E-3</v>
      </c>
      <c r="P1088">
        <v>4.5446279999999999E-4</v>
      </c>
      <c r="Q1088">
        <v>3.7939065344826423E-5</v>
      </c>
      <c r="R1088">
        <v>9240</v>
      </c>
      <c r="S1088">
        <v>0</v>
      </c>
      <c r="T1088">
        <v>0</v>
      </c>
      <c r="V1088">
        <v>89.1</v>
      </c>
      <c r="W1088">
        <v>7</v>
      </c>
      <c r="X1088">
        <v>85</v>
      </c>
      <c r="Y1088">
        <v>3</v>
      </c>
      <c r="Z1088">
        <v>4</v>
      </c>
      <c r="AA1088">
        <v>5</v>
      </c>
      <c r="AB1088">
        <v>0</v>
      </c>
      <c r="AC1088">
        <v>0</v>
      </c>
      <c r="AD1088">
        <v>0</v>
      </c>
      <c r="AE1088">
        <v>0</v>
      </c>
      <c r="AF1088">
        <v>6.6E-3</v>
      </c>
      <c r="AG1088">
        <v>0</v>
      </c>
      <c r="AH1088">
        <v>0</v>
      </c>
      <c r="AI1088">
        <v>2</v>
      </c>
      <c r="AJ1088">
        <v>0</v>
      </c>
      <c r="AK1088">
        <v>0</v>
      </c>
      <c r="AL1088">
        <v>80</v>
      </c>
      <c r="AM1088">
        <v>1.155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2.4750000000000001</v>
      </c>
      <c r="AU1088">
        <v>0</v>
      </c>
      <c r="AV1088">
        <v>0</v>
      </c>
    </row>
    <row r="1089" spans="1:48" x14ac:dyDescent="0.15">
      <c r="A1089" s="4" t="str">
        <f>HYPERLINK("https://ibp.a2mac1.com/costing(costing:projects/details/9760/equipment/12212926)","Equipment (Injection Molding)")</f>
        <v>Equipment (Injection Molding)</v>
      </c>
      <c r="B1089">
        <v>12212926</v>
      </c>
      <c r="C1089">
        <v>12085796</v>
      </c>
      <c r="H1089" t="s">
        <v>162</v>
      </c>
      <c r="I1089">
        <v>316.235412</v>
      </c>
      <c r="J1089">
        <v>0</v>
      </c>
      <c r="K1089">
        <v>1.3440000000000001E-2</v>
      </c>
      <c r="L1089">
        <v>0</v>
      </c>
      <c r="M1089">
        <v>7.7765845708775316E-2</v>
      </c>
      <c r="N1089">
        <v>0</v>
      </c>
      <c r="O1089">
        <v>1.2960974284795886E-3</v>
      </c>
      <c r="P1089">
        <v>8.2629599999999999E-5</v>
      </c>
      <c r="Q1089">
        <v>6.8035263783413695E-6</v>
      </c>
      <c r="R1089">
        <v>1680</v>
      </c>
      <c r="S1089">
        <v>0</v>
      </c>
      <c r="T1089">
        <v>0</v>
      </c>
      <c r="V1089">
        <v>16.2</v>
      </c>
      <c r="W1089">
        <v>7</v>
      </c>
      <c r="X1089">
        <v>85</v>
      </c>
      <c r="Y1089">
        <v>3</v>
      </c>
      <c r="Z1089">
        <v>4</v>
      </c>
      <c r="AA1089">
        <v>5</v>
      </c>
      <c r="AB1089">
        <v>0</v>
      </c>
      <c r="AC1089">
        <v>0</v>
      </c>
      <c r="AD1089">
        <v>0</v>
      </c>
      <c r="AE1089">
        <v>0</v>
      </c>
      <c r="AF1089">
        <v>1.1999999999999999E-3</v>
      </c>
      <c r="AG1089">
        <v>0</v>
      </c>
      <c r="AH1089">
        <v>0</v>
      </c>
      <c r="AI1089">
        <v>2</v>
      </c>
      <c r="AJ1089">
        <v>0</v>
      </c>
      <c r="AK1089">
        <v>0</v>
      </c>
      <c r="AL1089">
        <v>80</v>
      </c>
      <c r="AM1089">
        <v>0.21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0.45</v>
      </c>
      <c r="AU1089">
        <v>0</v>
      </c>
      <c r="AV1089">
        <v>0</v>
      </c>
    </row>
    <row r="1090" spans="1:48" x14ac:dyDescent="0.15">
      <c r="A1090" s="4" t="str">
        <f>HYPERLINK("https://ibp.a2mac1.com/costing(costing:projects/details/9760/equipment/12212929)","No.05 - Injection Press - 125T - 34kW - 500x500 - Max Volume 260cm3 ")</f>
        <v xml:space="preserve">No.05 - Injection Press - 125T - 34kW - 500x500 - Max Volume 260cm3 </v>
      </c>
      <c r="B1090">
        <v>12212929</v>
      </c>
      <c r="C1090">
        <v>12085799</v>
      </c>
      <c r="E1090" t="s">
        <v>1630</v>
      </c>
      <c r="H1090" t="s">
        <v>162</v>
      </c>
      <c r="I1090">
        <v>25501.382699999998</v>
      </c>
      <c r="J1090">
        <v>0</v>
      </c>
      <c r="K1090">
        <v>2.375</v>
      </c>
      <c r="L1090">
        <v>0</v>
      </c>
      <c r="M1090">
        <v>7.6789830761812921</v>
      </c>
      <c r="N1090">
        <v>0</v>
      </c>
      <c r="O1090">
        <v>6.30714981402834E-2</v>
      </c>
      <c r="P1090">
        <v>8.4835006976666672E-3</v>
      </c>
      <c r="Q1090">
        <v>3.9359355691417552E-3</v>
      </c>
      <c r="R1090">
        <v>150000</v>
      </c>
      <c r="S1090">
        <v>0</v>
      </c>
      <c r="T1090">
        <v>0</v>
      </c>
      <c r="V1090">
        <v>7200</v>
      </c>
      <c r="W1090">
        <v>8</v>
      </c>
      <c r="X1090">
        <v>85</v>
      </c>
      <c r="Y1090">
        <v>3</v>
      </c>
      <c r="Z1090">
        <v>4</v>
      </c>
      <c r="AA1090">
        <v>5</v>
      </c>
      <c r="AB1090">
        <v>0</v>
      </c>
      <c r="AC1090">
        <v>0</v>
      </c>
      <c r="AD1090">
        <v>0</v>
      </c>
      <c r="AE1090">
        <v>0</v>
      </c>
      <c r="AF1090">
        <v>0.25</v>
      </c>
      <c r="AG1090">
        <v>0</v>
      </c>
      <c r="AH1090">
        <v>0</v>
      </c>
      <c r="AI1090">
        <v>2</v>
      </c>
      <c r="AJ1090">
        <v>0</v>
      </c>
      <c r="AK1090">
        <v>0</v>
      </c>
      <c r="AL1090">
        <v>93</v>
      </c>
      <c r="AM1090">
        <v>31.25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38.75</v>
      </c>
      <c r="AU1090">
        <v>0.05</v>
      </c>
      <c r="AV1090">
        <v>0</v>
      </c>
    </row>
    <row r="1091" spans="1:48" x14ac:dyDescent="0.15">
      <c r="A1091" s="4" t="str">
        <f>HYPERLINK("https://ibp.a2mac1.com/costing(costing:projects/details/9760/equipment/12212928)","No.04 - 60000x6000x3500 - Automatic Painting Line - with 12x100kW on line ovens ")</f>
        <v xml:space="preserve">No.04 - 60000x6000x3500 - Automatic Painting Line - with 12x100kW on line ovens </v>
      </c>
      <c r="B1091">
        <v>12212928</v>
      </c>
      <c r="C1091">
        <v>12085798</v>
      </c>
      <c r="E1091" t="s">
        <v>1630</v>
      </c>
      <c r="G1091" t="s">
        <v>5227</v>
      </c>
      <c r="H1091" t="s">
        <v>162</v>
      </c>
      <c r="I1091">
        <v>1438767.4831999999</v>
      </c>
      <c r="J1091">
        <v>0</v>
      </c>
      <c r="K1091">
        <v>279.76751999999999</v>
      </c>
      <c r="L1091">
        <v>0</v>
      </c>
      <c r="M1091">
        <v>580.11587795564128</v>
      </c>
      <c r="N1091">
        <v>0</v>
      </c>
      <c r="O1091">
        <v>0.60589880586478084</v>
      </c>
      <c r="P1091">
        <v>3.0205709333333334E-2</v>
      </c>
      <c r="Q1091">
        <v>0</v>
      </c>
      <c r="R1091">
        <v>8600000</v>
      </c>
      <c r="S1091">
        <v>0</v>
      </c>
      <c r="T1091">
        <v>0</v>
      </c>
      <c r="V1091">
        <v>0</v>
      </c>
      <c r="W1091">
        <v>8</v>
      </c>
      <c r="X1091">
        <v>85</v>
      </c>
      <c r="Y1091">
        <v>3</v>
      </c>
      <c r="Z1091">
        <v>4</v>
      </c>
      <c r="AA1091">
        <v>5</v>
      </c>
      <c r="AB1091">
        <v>0</v>
      </c>
      <c r="AC1091">
        <v>0</v>
      </c>
      <c r="AD1091">
        <v>0</v>
      </c>
      <c r="AE1091">
        <v>0</v>
      </c>
      <c r="AF1091">
        <v>7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100</v>
      </c>
      <c r="AM1091">
        <v>3400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4</v>
      </c>
      <c r="AT1091">
        <v>1620</v>
      </c>
      <c r="AU1091">
        <v>5</v>
      </c>
      <c r="AV1091">
        <v>0</v>
      </c>
    </row>
    <row r="1092" spans="1:48" x14ac:dyDescent="0.15">
      <c r="A1092" s="4" t="str">
        <f>HYPERLINK("https://ibp.a2mac1.com/costing(costing:projects/details/9760/equipment/12212927)","Packaging station")</f>
        <v>Packaging station</v>
      </c>
      <c r="B1092">
        <v>12212927</v>
      </c>
      <c r="C1092">
        <v>12085797</v>
      </c>
      <c r="H1092" t="s">
        <v>162</v>
      </c>
      <c r="I1092">
        <v>4437.4535999999998</v>
      </c>
      <c r="J1092">
        <v>0</v>
      </c>
      <c r="K1092">
        <v>0.16</v>
      </c>
      <c r="L1092">
        <v>0</v>
      </c>
      <c r="M1092">
        <v>1.1142676952748312</v>
      </c>
      <c r="N1092">
        <v>0</v>
      </c>
      <c r="O1092">
        <v>1.8571128254580519E-2</v>
      </c>
      <c r="P1092">
        <v>6.8858000000000003E-2</v>
      </c>
      <c r="Q1092">
        <v>2.0511761542912248E-4</v>
      </c>
      <c r="R1092">
        <v>30000</v>
      </c>
      <c r="S1092">
        <v>0</v>
      </c>
      <c r="T1092">
        <v>0</v>
      </c>
      <c r="V1092">
        <v>900</v>
      </c>
      <c r="W1092">
        <v>10</v>
      </c>
      <c r="X1092">
        <v>85</v>
      </c>
      <c r="Y1092">
        <v>3</v>
      </c>
      <c r="Z1092">
        <v>4</v>
      </c>
      <c r="AA1092">
        <v>5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100</v>
      </c>
      <c r="AM1092">
        <v>2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10</v>
      </c>
      <c r="AU1092">
        <v>0</v>
      </c>
      <c r="AV1092">
        <v>0</v>
      </c>
    </row>
    <row r="1093" spans="1:48" x14ac:dyDescent="0.15">
      <c r="A1093" s="4" t="str">
        <f>HYPERLINK("https://ibp.a2mac1.com/costing(costing:projects/details/9760/equipment/12212444)","Assembly Station ")</f>
        <v xml:space="preserve">Assembly Station </v>
      </c>
      <c r="B1093">
        <v>12212444</v>
      </c>
      <c r="C1093">
        <v>12085348</v>
      </c>
      <c r="E1093" t="s">
        <v>1630</v>
      </c>
      <c r="F1093" t="s">
        <v>5068</v>
      </c>
      <c r="G1093" t="s">
        <v>8</v>
      </c>
      <c r="H1093" t="s">
        <v>162</v>
      </c>
      <c r="I1093">
        <v>4824.9071999999996</v>
      </c>
      <c r="J1093">
        <v>0</v>
      </c>
      <c r="K1093">
        <v>0.10768</v>
      </c>
      <c r="L1093">
        <v>0</v>
      </c>
      <c r="M1093">
        <v>1.1242192478302797</v>
      </c>
      <c r="N1093">
        <v>0</v>
      </c>
      <c r="O1093">
        <v>4.6842468659594988E-2</v>
      </c>
      <c r="P1093">
        <v>0.17214499999999999</v>
      </c>
      <c r="Q1093">
        <v>2.2807432079717134E-4</v>
      </c>
      <c r="R1093">
        <v>30000</v>
      </c>
      <c r="S1093">
        <v>0</v>
      </c>
      <c r="T1093">
        <v>0</v>
      </c>
      <c r="V1093">
        <v>600</v>
      </c>
      <c r="W1093">
        <v>10</v>
      </c>
      <c r="X1093">
        <v>85</v>
      </c>
      <c r="Y1093">
        <v>3</v>
      </c>
      <c r="Z1093">
        <v>4</v>
      </c>
      <c r="AA1093">
        <v>5</v>
      </c>
      <c r="AB1093">
        <v>0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100</v>
      </c>
      <c r="AM1093">
        <v>1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20</v>
      </c>
      <c r="AU1093">
        <v>0</v>
      </c>
      <c r="AV1093">
        <v>0</v>
      </c>
    </row>
    <row r="1094" spans="1:48" x14ac:dyDescent="0.15">
      <c r="A1094" s="4" t="str">
        <f>HYPERLINK("https://ibp.a2mac1.com/costing(costing:projects/details/9760/equipment/12212441)","Equipment (Injection Molding)")</f>
        <v>Equipment (Injection Molding)</v>
      </c>
      <c r="B1094">
        <v>12212441</v>
      </c>
      <c r="C1094">
        <v>12085345</v>
      </c>
      <c r="H1094" t="s">
        <v>162</v>
      </c>
      <c r="I1094">
        <v>579.76492199999996</v>
      </c>
      <c r="J1094">
        <v>0</v>
      </c>
      <c r="K1094">
        <v>2.4639999999999999E-2</v>
      </c>
      <c r="L1094">
        <v>0</v>
      </c>
      <c r="M1094">
        <v>0.14257071713275474</v>
      </c>
      <c r="N1094">
        <v>0</v>
      </c>
      <c r="O1094">
        <v>2.3761786188792457E-3</v>
      </c>
      <c r="P1094">
        <v>1.514876E-4</v>
      </c>
      <c r="Q1094">
        <v>1.2505210104980714E-5</v>
      </c>
      <c r="R1094">
        <v>3080</v>
      </c>
      <c r="S1094">
        <v>0</v>
      </c>
      <c r="T1094">
        <v>0</v>
      </c>
      <c r="V1094">
        <v>29.7</v>
      </c>
      <c r="W1094">
        <v>7</v>
      </c>
      <c r="X1094">
        <v>85</v>
      </c>
      <c r="Y1094">
        <v>3</v>
      </c>
      <c r="Z1094">
        <v>4</v>
      </c>
      <c r="AA1094">
        <v>5</v>
      </c>
      <c r="AB1094">
        <v>0</v>
      </c>
      <c r="AC1094">
        <v>0</v>
      </c>
      <c r="AD1094">
        <v>0</v>
      </c>
      <c r="AE1094">
        <v>0</v>
      </c>
      <c r="AF1094">
        <v>2.2000000000000001E-3</v>
      </c>
      <c r="AG1094">
        <v>0</v>
      </c>
      <c r="AH1094">
        <v>0</v>
      </c>
      <c r="AI1094">
        <v>2</v>
      </c>
      <c r="AJ1094">
        <v>0</v>
      </c>
      <c r="AK1094">
        <v>0</v>
      </c>
      <c r="AL1094">
        <v>80</v>
      </c>
      <c r="AM1094">
        <v>0.38500000000000001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0.82499999999999996</v>
      </c>
      <c r="AU1094">
        <v>0</v>
      </c>
      <c r="AV1094">
        <v>0</v>
      </c>
    </row>
    <row r="1095" spans="1:48" x14ac:dyDescent="0.15">
      <c r="A1095" s="4" t="str">
        <f>HYPERLINK("https://ibp.a2mac1.com/costing(costing:projects/details/9760/equipment/12212442)","EPP-EPS Press No. 01 - 800 x 600")</f>
        <v>EPP-EPS Press No. 01 - 800 x 600</v>
      </c>
      <c r="B1095">
        <v>12212442</v>
      </c>
      <c r="C1095">
        <v>12085346</v>
      </c>
      <c r="E1095" t="s">
        <v>9</v>
      </c>
      <c r="F1095" t="s">
        <v>5291</v>
      </c>
      <c r="G1095" t="s">
        <v>9</v>
      </c>
      <c r="H1095" t="s">
        <v>162</v>
      </c>
      <c r="I1095">
        <v>31764.962879999999</v>
      </c>
      <c r="J1095">
        <v>0</v>
      </c>
      <c r="K1095">
        <v>2.1718799999999998</v>
      </c>
      <c r="L1095">
        <v>0</v>
      </c>
      <c r="M1095">
        <v>9.1495339504982329</v>
      </c>
      <c r="N1095">
        <v>0</v>
      </c>
      <c r="O1095">
        <v>0.10166148833886925</v>
      </c>
      <c r="P1095">
        <v>4.5905333333333333E-2</v>
      </c>
      <c r="Q1095">
        <v>1.3025864370298939E-3</v>
      </c>
      <c r="R1095">
        <v>233000</v>
      </c>
      <c r="S1095">
        <v>0</v>
      </c>
      <c r="T1095">
        <v>800000</v>
      </c>
      <c r="U1095" t="s">
        <v>9</v>
      </c>
      <c r="V1095">
        <v>3600</v>
      </c>
      <c r="W1095">
        <v>10</v>
      </c>
      <c r="X1095">
        <v>85</v>
      </c>
      <c r="Y1095">
        <v>3</v>
      </c>
      <c r="Z1095">
        <v>4</v>
      </c>
      <c r="AA1095">
        <v>5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100</v>
      </c>
      <c r="AM1095">
        <v>18.5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8</v>
      </c>
      <c r="AU1095">
        <v>0</v>
      </c>
      <c r="AV1095">
        <v>0</v>
      </c>
    </row>
    <row r="1096" spans="1:48" x14ac:dyDescent="0.15">
      <c r="A1096" s="4" t="str">
        <f>HYPERLINK("https://ibp.a2mac1.com/costing(costing:projects/details/9760/equipment/12212443)","EPP-EPS Foaming - Steam Facility")</f>
        <v>EPP-EPS Foaming - Steam Facility</v>
      </c>
      <c r="B1096">
        <v>12212443</v>
      </c>
      <c r="C1096">
        <v>12085347</v>
      </c>
      <c r="E1096" t="s">
        <v>1596</v>
      </c>
      <c r="F1096" t="s">
        <v>9</v>
      </c>
      <c r="G1096" t="s">
        <v>9</v>
      </c>
      <c r="H1096" t="s">
        <v>162</v>
      </c>
      <c r="I1096">
        <v>40021.770600000003</v>
      </c>
      <c r="J1096">
        <v>0</v>
      </c>
      <c r="K1096">
        <v>1.9958800000000001</v>
      </c>
      <c r="L1096">
        <v>0</v>
      </c>
      <c r="M1096">
        <v>10.75862037287046</v>
      </c>
      <c r="N1096">
        <v>0</v>
      </c>
      <c r="O1096">
        <v>1.6602809217392686E-3</v>
      </c>
      <c r="P1096">
        <v>6.3757407407407404E-4</v>
      </c>
      <c r="Q1096">
        <v>1.3991316223722276E-3</v>
      </c>
      <c r="R1096">
        <v>290000</v>
      </c>
      <c r="S1096">
        <v>0</v>
      </c>
      <c r="T1096">
        <v>800000</v>
      </c>
      <c r="U1096" t="s">
        <v>9</v>
      </c>
      <c r="V1096">
        <v>3600</v>
      </c>
      <c r="W1096">
        <v>10</v>
      </c>
      <c r="X1096">
        <v>85</v>
      </c>
      <c r="Y1096">
        <v>3</v>
      </c>
      <c r="Z1096">
        <v>4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100</v>
      </c>
      <c r="AM1096">
        <v>16.3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</v>
      </c>
      <c r="AT1096">
        <v>22.5</v>
      </c>
      <c r="AU1096">
        <v>0</v>
      </c>
      <c r="AV1096">
        <v>0</v>
      </c>
    </row>
    <row r="1097" spans="1:48" x14ac:dyDescent="0.15">
      <c r="A1097" s="4" t="str">
        <f>HYPERLINK("https://ibp.a2mac1.com/costing(costing:projects/details/9760/equipment/12212445)","No.01 - Injection Press - 40T - 18kW - 270x270 - Max Volume 128cm3 ")</f>
        <v xml:space="preserve">No.01 - Injection Press - 40T - 18kW - 270x270 - Max Volume 128cm3 </v>
      </c>
      <c r="B1097">
        <v>12212445</v>
      </c>
      <c r="C1097">
        <v>12085349</v>
      </c>
      <c r="E1097" t="s">
        <v>1630</v>
      </c>
      <c r="H1097" t="s">
        <v>162</v>
      </c>
      <c r="I1097">
        <v>13574.9072</v>
      </c>
      <c r="J1097">
        <v>0</v>
      </c>
      <c r="K1097">
        <v>1.6020000000000001</v>
      </c>
      <c r="L1097">
        <v>0</v>
      </c>
      <c r="M1097">
        <v>4.4266395371263263</v>
      </c>
      <c r="N1097">
        <v>0</v>
      </c>
      <c r="O1097">
        <v>5.9906081742558664E-3</v>
      </c>
      <c r="P1097">
        <v>1.39779157825E-3</v>
      </c>
      <c r="Q1097">
        <v>3.5456543444551589E-3</v>
      </c>
      <c r="R1097">
        <v>80000</v>
      </c>
      <c r="S1097">
        <v>0</v>
      </c>
      <c r="T1097">
        <v>0</v>
      </c>
      <c r="V1097">
        <v>7200</v>
      </c>
      <c r="W1097">
        <v>8</v>
      </c>
      <c r="X1097">
        <v>85</v>
      </c>
      <c r="Y1097">
        <v>3</v>
      </c>
      <c r="Z1097">
        <v>4</v>
      </c>
      <c r="AA1097">
        <v>5</v>
      </c>
      <c r="AB1097">
        <v>0</v>
      </c>
      <c r="AC1097">
        <v>0</v>
      </c>
      <c r="AD1097">
        <v>0</v>
      </c>
      <c r="AE1097">
        <v>0</v>
      </c>
      <c r="AF1097">
        <v>0.25</v>
      </c>
      <c r="AG1097">
        <v>0</v>
      </c>
      <c r="AH1097">
        <v>0</v>
      </c>
      <c r="AI1097">
        <v>2</v>
      </c>
      <c r="AJ1097">
        <v>0</v>
      </c>
      <c r="AK1097">
        <v>0</v>
      </c>
      <c r="AL1097">
        <v>97</v>
      </c>
      <c r="AM1097">
        <v>20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20</v>
      </c>
      <c r="AU1097">
        <v>0.05</v>
      </c>
      <c r="AV1097">
        <v>0</v>
      </c>
    </row>
    <row r="1098" spans="1:48" x14ac:dyDescent="0.15">
      <c r="A1098" s="4" t="str">
        <f>HYPERLINK("https://ibp.a2mac1.com/costing(costing:projects/details/9760/equipment/12212203)","Thermocompression ")</f>
        <v xml:space="preserve">Thermocompression </v>
      </c>
      <c r="B1098">
        <v>12212203</v>
      </c>
      <c r="C1098">
        <v>12085111</v>
      </c>
      <c r="E1098" t="s">
        <v>5510</v>
      </c>
      <c r="F1098" t="s">
        <v>5511</v>
      </c>
      <c r="H1098" t="s">
        <v>162</v>
      </c>
      <c r="I1098">
        <v>52467.857137521431</v>
      </c>
      <c r="J1098">
        <v>0</v>
      </c>
      <c r="K1098">
        <v>0</v>
      </c>
      <c r="L1098">
        <v>0</v>
      </c>
      <c r="M1098">
        <v>10.434962918532884</v>
      </c>
      <c r="N1098">
        <v>0</v>
      </c>
      <c r="O1098">
        <v>5.7972016214071581E-2</v>
      </c>
      <c r="P1098">
        <v>6.9779111111111111E-2</v>
      </c>
      <c r="Q1098">
        <v>6.8985608755598653E-4</v>
      </c>
      <c r="R1098">
        <v>294999.99997</v>
      </c>
      <c r="S1098">
        <v>99651.6</v>
      </c>
      <c r="T1098">
        <v>800000</v>
      </c>
      <c r="V1098">
        <v>1800</v>
      </c>
      <c r="W1098">
        <v>7</v>
      </c>
      <c r="X1098">
        <v>88</v>
      </c>
      <c r="Y1098">
        <v>3</v>
      </c>
      <c r="Z1098">
        <v>4</v>
      </c>
      <c r="AA1098">
        <v>5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100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</row>
    <row r="1099" spans="1:48" x14ac:dyDescent="0.15">
      <c r="A1099" s="4" t="str">
        <f>HYPERLINK("https://ibp.a2mac1.com/costing(costing:projects/details/9760/equipment/12212204)","Placement robot, 6 axis, 2.5kg ")</f>
        <v xml:space="preserve">Placement robot, 6 axis, 2.5kg </v>
      </c>
      <c r="B1099">
        <v>12212204</v>
      </c>
      <c r="C1099">
        <v>12085112</v>
      </c>
      <c r="E1099" t="s">
        <v>1630</v>
      </c>
      <c r="F1099" t="s">
        <v>5512</v>
      </c>
      <c r="H1099" t="s">
        <v>162</v>
      </c>
      <c r="I1099">
        <v>14424.755758650001</v>
      </c>
      <c r="J1099">
        <v>0</v>
      </c>
      <c r="K1099">
        <v>0.16</v>
      </c>
      <c r="L1099">
        <v>0</v>
      </c>
      <c r="M1099">
        <v>3.3000925358646738</v>
      </c>
      <c r="N1099">
        <v>0</v>
      </c>
      <c r="O1099">
        <v>4.5834618553676027E-3</v>
      </c>
      <c r="P1099">
        <v>0</v>
      </c>
      <c r="Q1099">
        <v>9.5161995215188046E-4</v>
      </c>
      <c r="R1099">
        <v>102257.99999</v>
      </c>
      <c r="S1099">
        <v>0</v>
      </c>
      <c r="T1099">
        <v>0</v>
      </c>
      <c r="V1099">
        <v>3600</v>
      </c>
      <c r="W1099">
        <v>10</v>
      </c>
      <c r="X1099">
        <v>85</v>
      </c>
      <c r="Y1099">
        <v>3</v>
      </c>
      <c r="Z1099">
        <v>4</v>
      </c>
      <c r="AA1099">
        <v>5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100</v>
      </c>
      <c r="AM1099">
        <v>2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16</v>
      </c>
      <c r="AU1099">
        <v>0</v>
      </c>
      <c r="AV1099">
        <v>0</v>
      </c>
    </row>
    <row r="1100" spans="1:48" x14ac:dyDescent="0.15">
      <c r="A1100" s="4" t="str">
        <f>HYPERLINK("https://ibp.a2mac1.com/costing(costing:projects/details/9760/equipment/12212158)","Assembly Station ")</f>
        <v xml:space="preserve">Assembly Station </v>
      </c>
      <c r="B1100">
        <v>12212158</v>
      </c>
      <c r="C1100">
        <v>12085066</v>
      </c>
      <c r="E1100" t="s">
        <v>1630</v>
      </c>
      <c r="F1100" t="s">
        <v>5068</v>
      </c>
      <c r="G1100" t="s">
        <v>8</v>
      </c>
      <c r="H1100" t="s">
        <v>162</v>
      </c>
      <c r="I1100">
        <v>4824.9071999999996</v>
      </c>
      <c r="J1100">
        <v>0</v>
      </c>
      <c r="K1100">
        <v>0.10768</v>
      </c>
      <c r="L1100">
        <v>0</v>
      </c>
      <c r="M1100">
        <v>1.1242192478302797</v>
      </c>
      <c r="N1100">
        <v>0</v>
      </c>
      <c r="O1100">
        <v>0.14052740597878496</v>
      </c>
      <c r="P1100">
        <v>0.51643499999999998</v>
      </c>
      <c r="Q1100">
        <v>2.2807432079717134E-4</v>
      </c>
      <c r="R1100">
        <v>30000</v>
      </c>
      <c r="S1100">
        <v>0</v>
      </c>
      <c r="T1100">
        <v>0</v>
      </c>
      <c r="V1100">
        <v>600</v>
      </c>
      <c r="W1100">
        <v>10</v>
      </c>
      <c r="X1100">
        <v>85</v>
      </c>
      <c r="Y1100">
        <v>3</v>
      </c>
      <c r="Z1100">
        <v>4</v>
      </c>
      <c r="AA1100">
        <v>5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100</v>
      </c>
      <c r="AM1100">
        <v>1</v>
      </c>
      <c r="AN1100">
        <v>0</v>
      </c>
      <c r="AO1100">
        <v>0</v>
      </c>
      <c r="AP1100">
        <v>0</v>
      </c>
      <c r="AQ1100">
        <v>1</v>
      </c>
      <c r="AR1100">
        <v>0</v>
      </c>
      <c r="AS1100">
        <v>0</v>
      </c>
      <c r="AT1100">
        <v>20</v>
      </c>
      <c r="AU1100">
        <v>0</v>
      </c>
      <c r="AV1100">
        <v>0</v>
      </c>
    </row>
    <row r="1101" spans="1:48" x14ac:dyDescent="0.15">
      <c r="A1101" s="4" t="str">
        <f>HYPERLINK("https://ibp.a2mac1.com/costing(costing:projects/details/9760/equipment/12212205)","DC machine - General")</f>
        <v>DC machine - General</v>
      </c>
      <c r="B1101">
        <v>12212205</v>
      </c>
      <c r="C1101">
        <v>12085113</v>
      </c>
      <c r="E1101" t="s">
        <v>738</v>
      </c>
      <c r="H1101" t="s">
        <v>162</v>
      </c>
      <c r="I1101">
        <v>116914.84457142858</v>
      </c>
      <c r="J1101">
        <v>0</v>
      </c>
      <c r="K1101">
        <v>3.6</v>
      </c>
      <c r="L1101">
        <v>0</v>
      </c>
      <c r="M1101">
        <v>27.497982091197134</v>
      </c>
      <c r="N1101">
        <v>0</v>
      </c>
      <c r="O1101">
        <v>1.0846426269305536</v>
      </c>
      <c r="P1101">
        <v>0.16296393333333334</v>
      </c>
      <c r="Q1101">
        <v>1.1732166376415484E-2</v>
      </c>
      <c r="R1101">
        <v>635568</v>
      </c>
      <c r="S1101">
        <v>0</v>
      </c>
      <c r="T1101">
        <v>0</v>
      </c>
      <c r="V1101">
        <v>10800</v>
      </c>
      <c r="W1101">
        <v>7</v>
      </c>
      <c r="X1101">
        <v>85</v>
      </c>
      <c r="Y1101">
        <v>3</v>
      </c>
      <c r="Z1101">
        <v>4</v>
      </c>
      <c r="AA1101">
        <v>5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3</v>
      </c>
      <c r="AJ1101">
        <v>0</v>
      </c>
      <c r="AK1101">
        <v>0</v>
      </c>
      <c r="AL1101">
        <v>100</v>
      </c>
      <c r="AM1101">
        <v>45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100</v>
      </c>
      <c r="AU1101">
        <v>0</v>
      </c>
      <c r="AV1101">
        <v>0</v>
      </c>
    </row>
    <row r="1102" spans="1:48" x14ac:dyDescent="0.15">
      <c r="A1102" s="4" t="str">
        <f>HYPERLINK("https://ibp.a2mac1.com/costing(costing:projects/details/9760/equipment/12212206)","DC machine - General")</f>
        <v>DC machine - General</v>
      </c>
      <c r="B1102">
        <v>12212206</v>
      </c>
      <c r="C1102">
        <v>12085114</v>
      </c>
      <c r="E1102" t="s">
        <v>738</v>
      </c>
      <c r="H1102" t="s">
        <v>162</v>
      </c>
      <c r="I1102">
        <v>116914.84457142858</v>
      </c>
      <c r="J1102">
        <v>0</v>
      </c>
      <c r="K1102">
        <v>3.6</v>
      </c>
      <c r="L1102">
        <v>0</v>
      </c>
      <c r="M1102">
        <v>27.497982091197134</v>
      </c>
      <c r="N1102">
        <v>0</v>
      </c>
      <c r="O1102">
        <v>1.5276656717331742E-2</v>
      </c>
      <c r="P1102">
        <v>2.2952666666666665E-3</v>
      </c>
      <c r="Q1102">
        <v>1.1732166376415484E-2</v>
      </c>
      <c r="R1102">
        <v>635568</v>
      </c>
      <c r="S1102">
        <v>0</v>
      </c>
      <c r="T1102">
        <v>0</v>
      </c>
      <c r="V1102">
        <v>10800</v>
      </c>
      <c r="W1102">
        <v>7</v>
      </c>
      <c r="X1102">
        <v>85</v>
      </c>
      <c r="Y1102">
        <v>3</v>
      </c>
      <c r="Z1102">
        <v>4</v>
      </c>
      <c r="AA1102">
        <v>5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3</v>
      </c>
      <c r="AJ1102">
        <v>0</v>
      </c>
      <c r="AK1102">
        <v>0</v>
      </c>
      <c r="AL1102">
        <v>100</v>
      </c>
      <c r="AM1102">
        <v>45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100</v>
      </c>
      <c r="AU1102">
        <v>0</v>
      </c>
      <c r="AV1102">
        <v>0</v>
      </c>
    </row>
    <row r="1103" spans="1:48" x14ac:dyDescent="0.15">
      <c r="A1103" s="4" t="str">
        <f>HYPERLINK("https://ibp.a2mac1.com/costing(costing:projects/details/9760/equipment/12212207)","DC machine - General")</f>
        <v>DC machine - General</v>
      </c>
      <c r="B1103">
        <v>12212207</v>
      </c>
      <c r="C1103">
        <v>12085115</v>
      </c>
      <c r="E1103" t="s">
        <v>738</v>
      </c>
      <c r="H1103" t="s">
        <v>162</v>
      </c>
      <c r="I1103">
        <v>116914.84457142858</v>
      </c>
      <c r="J1103">
        <v>0</v>
      </c>
      <c r="K1103">
        <v>3.6</v>
      </c>
      <c r="L1103">
        <v>0</v>
      </c>
      <c r="M1103">
        <v>27.497982091197134</v>
      </c>
      <c r="N1103">
        <v>0</v>
      </c>
      <c r="O1103">
        <v>1.5276656717331742E-2</v>
      </c>
      <c r="P1103">
        <v>2.2952666666666665E-3</v>
      </c>
      <c r="Q1103">
        <v>1.1732166376415484E-2</v>
      </c>
      <c r="R1103">
        <v>635568</v>
      </c>
      <c r="S1103">
        <v>0</v>
      </c>
      <c r="T1103">
        <v>0</v>
      </c>
      <c r="V1103">
        <v>10800</v>
      </c>
      <c r="W1103">
        <v>7</v>
      </c>
      <c r="X1103">
        <v>85</v>
      </c>
      <c r="Y1103">
        <v>3</v>
      </c>
      <c r="Z1103">
        <v>4</v>
      </c>
      <c r="AA1103">
        <v>5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3</v>
      </c>
      <c r="AJ1103">
        <v>0</v>
      </c>
      <c r="AK1103">
        <v>0</v>
      </c>
      <c r="AL1103">
        <v>100</v>
      </c>
      <c r="AM1103">
        <v>45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100</v>
      </c>
      <c r="AU1103">
        <v>0</v>
      </c>
      <c r="AV1103">
        <v>0</v>
      </c>
    </row>
    <row r="1104" spans="1:48" x14ac:dyDescent="0.15">
      <c r="A1104" s="4" t="str">
        <f>HYPERLINK("https://ibp.a2mac1.com/costing(costing:projects/details/9760/equipment/12212208)","DC machine - General")</f>
        <v>DC machine - General</v>
      </c>
      <c r="B1104">
        <v>12212208</v>
      </c>
      <c r="C1104">
        <v>12085116</v>
      </c>
      <c r="E1104" t="s">
        <v>738</v>
      </c>
      <c r="H1104" t="s">
        <v>162</v>
      </c>
      <c r="I1104">
        <v>116914.84457142858</v>
      </c>
      <c r="J1104">
        <v>0</v>
      </c>
      <c r="K1104">
        <v>3.6</v>
      </c>
      <c r="L1104">
        <v>0</v>
      </c>
      <c r="M1104">
        <v>27.497982091197134</v>
      </c>
      <c r="N1104">
        <v>0</v>
      </c>
      <c r="O1104">
        <v>1.5276656717331742E-2</v>
      </c>
      <c r="P1104">
        <v>2.2952666666666665E-3</v>
      </c>
      <c r="Q1104">
        <v>1.1732166376415484E-2</v>
      </c>
      <c r="R1104">
        <v>635568</v>
      </c>
      <c r="S1104">
        <v>0</v>
      </c>
      <c r="T1104">
        <v>0</v>
      </c>
      <c r="V1104">
        <v>10800</v>
      </c>
      <c r="W1104">
        <v>7</v>
      </c>
      <c r="X1104">
        <v>85</v>
      </c>
      <c r="Y1104">
        <v>3</v>
      </c>
      <c r="Z1104">
        <v>4</v>
      </c>
      <c r="AA1104">
        <v>5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3</v>
      </c>
      <c r="AJ1104">
        <v>0</v>
      </c>
      <c r="AK1104">
        <v>0</v>
      </c>
      <c r="AL1104">
        <v>100</v>
      </c>
      <c r="AM1104">
        <v>45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100</v>
      </c>
      <c r="AU1104">
        <v>0</v>
      </c>
      <c r="AV1104">
        <v>0</v>
      </c>
    </row>
    <row r="1105" spans="1:48" x14ac:dyDescent="0.15">
      <c r="A1105" s="4" t="str">
        <f>HYPERLINK("https://ibp.a2mac1.com/costing(costing:projects/details/9760/equipment/12212209)","DC machine - General")</f>
        <v>DC machine - General</v>
      </c>
      <c r="B1105">
        <v>12212209</v>
      </c>
      <c r="C1105">
        <v>12085117</v>
      </c>
      <c r="E1105" t="s">
        <v>738</v>
      </c>
      <c r="H1105" t="s">
        <v>162</v>
      </c>
      <c r="I1105">
        <v>116914.84457142858</v>
      </c>
      <c r="J1105">
        <v>0</v>
      </c>
      <c r="K1105">
        <v>3.6</v>
      </c>
      <c r="L1105">
        <v>0</v>
      </c>
      <c r="M1105">
        <v>27.497982091197134</v>
      </c>
      <c r="N1105">
        <v>0</v>
      </c>
      <c r="O1105">
        <v>9.9298268662656314E-2</v>
      </c>
      <c r="P1105">
        <v>1.4919233333333334E-2</v>
      </c>
      <c r="Q1105">
        <v>1.1732166376415484E-2</v>
      </c>
      <c r="R1105">
        <v>635568</v>
      </c>
      <c r="S1105">
        <v>0</v>
      </c>
      <c r="T1105">
        <v>0</v>
      </c>
      <c r="V1105">
        <v>10800</v>
      </c>
      <c r="W1105">
        <v>7</v>
      </c>
      <c r="X1105">
        <v>85</v>
      </c>
      <c r="Y1105">
        <v>3</v>
      </c>
      <c r="Z1105">
        <v>4</v>
      </c>
      <c r="AA1105">
        <v>5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3</v>
      </c>
      <c r="AJ1105">
        <v>0</v>
      </c>
      <c r="AK1105">
        <v>0</v>
      </c>
      <c r="AL1105">
        <v>100</v>
      </c>
      <c r="AM1105">
        <v>45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100</v>
      </c>
      <c r="AU1105">
        <v>0</v>
      </c>
      <c r="AV1105">
        <v>0</v>
      </c>
    </row>
    <row r="1106" spans="1:48" x14ac:dyDescent="0.15">
      <c r="A1106" s="4" t="str">
        <f>HYPERLINK("https://ibp.a2mac1.com/costing(costing:projects/details/9760/equipment/12212210)","DC machine - General")</f>
        <v>DC machine - General</v>
      </c>
      <c r="B1106">
        <v>12212210</v>
      </c>
      <c r="C1106">
        <v>12085118</v>
      </c>
      <c r="E1106" t="s">
        <v>738</v>
      </c>
      <c r="H1106" t="s">
        <v>162</v>
      </c>
      <c r="I1106">
        <v>116914.84457142858</v>
      </c>
      <c r="J1106">
        <v>0</v>
      </c>
      <c r="K1106">
        <v>3.6</v>
      </c>
      <c r="L1106">
        <v>0</v>
      </c>
      <c r="M1106">
        <v>27.497982091197134</v>
      </c>
      <c r="N1106">
        <v>0</v>
      </c>
      <c r="O1106">
        <v>9.9298268662656314E-2</v>
      </c>
      <c r="P1106">
        <v>1.4919233333333334E-2</v>
      </c>
      <c r="Q1106">
        <v>1.1732166376415484E-2</v>
      </c>
      <c r="R1106">
        <v>635568</v>
      </c>
      <c r="S1106">
        <v>0</v>
      </c>
      <c r="T1106">
        <v>0</v>
      </c>
      <c r="V1106">
        <v>10800</v>
      </c>
      <c r="W1106">
        <v>7</v>
      </c>
      <c r="X1106">
        <v>85</v>
      </c>
      <c r="Y1106">
        <v>3</v>
      </c>
      <c r="Z1106">
        <v>4</v>
      </c>
      <c r="AA1106">
        <v>5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3</v>
      </c>
      <c r="AJ1106">
        <v>0</v>
      </c>
      <c r="AK1106">
        <v>0</v>
      </c>
      <c r="AL1106">
        <v>100</v>
      </c>
      <c r="AM1106">
        <v>45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100</v>
      </c>
      <c r="AU1106">
        <v>0</v>
      </c>
      <c r="AV1106">
        <v>0</v>
      </c>
    </row>
    <row r="1107" spans="1:48" x14ac:dyDescent="0.15">
      <c r="A1107" s="4" t="str">
        <f>HYPERLINK("https://ibp.a2mac1.com/costing(costing:projects/details/9760/equipment/12212446)","Dummy Machine (PCBA+Final Assembly Line)")</f>
        <v>Dummy Machine (PCBA+Final Assembly Line)</v>
      </c>
      <c r="B1107">
        <v>12212446</v>
      </c>
      <c r="C1107">
        <v>12085350</v>
      </c>
      <c r="F1107" t="s">
        <v>358</v>
      </c>
      <c r="H1107" t="s">
        <v>162</v>
      </c>
      <c r="I1107">
        <v>79501.662769714283</v>
      </c>
      <c r="J1107">
        <v>0</v>
      </c>
      <c r="K1107">
        <v>0.28895999999999999</v>
      </c>
      <c r="L1107">
        <v>0</v>
      </c>
      <c r="M1107">
        <v>16.624578413647427</v>
      </c>
      <c r="N1107">
        <v>0</v>
      </c>
      <c r="O1107">
        <v>0.27245836844588839</v>
      </c>
      <c r="P1107">
        <v>4.7397256666666665E-2</v>
      </c>
      <c r="Q1107">
        <v>1.1481975848188456E-4</v>
      </c>
      <c r="R1107">
        <v>442771.1</v>
      </c>
      <c r="S1107">
        <v>0</v>
      </c>
      <c r="T1107">
        <v>0</v>
      </c>
      <c r="V1107">
        <v>216</v>
      </c>
      <c r="W1107">
        <v>7</v>
      </c>
      <c r="X1107">
        <v>85</v>
      </c>
      <c r="Y1107">
        <v>3</v>
      </c>
      <c r="Z1107">
        <v>4</v>
      </c>
      <c r="AA1107">
        <v>5</v>
      </c>
      <c r="AB1107">
        <v>0</v>
      </c>
      <c r="AC1107">
        <v>0</v>
      </c>
      <c r="AD1107">
        <v>0</v>
      </c>
      <c r="AE1107">
        <v>0</v>
      </c>
      <c r="AF1107">
        <v>0.7</v>
      </c>
      <c r="AG1107">
        <v>0</v>
      </c>
      <c r="AH1107">
        <v>0</v>
      </c>
      <c r="AI1107">
        <v>0.2</v>
      </c>
      <c r="AJ1107">
        <v>0</v>
      </c>
      <c r="AK1107">
        <v>0</v>
      </c>
      <c r="AL1107">
        <v>86</v>
      </c>
      <c r="AM1107">
        <v>4.2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19.399999999999999</v>
      </c>
      <c r="AU1107">
        <v>0</v>
      </c>
      <c r="AV1107">
        <v>0</v>
      </c>
    </row>
    <row r="1108" spans="1:48" x14ac:dyDescent="0.15">
      <c r="A1108" s="4" t="str">
        <f>HYPERLINK("https://ibp.a2mac1.com/costing(costing:projects/details/9760/equipment/12212211)","Dummy Machine (PCBA+Final Assembly Line)")</f>
        <v>Dummy Machine (PCBA+Final Assembly Line)</v>
      </c>
      <c r="B1108">
        <v>12212211</v>
      </c>
      <c r="C1108">
        <v>12085119</v>
      </c>
      <c r="F1108" t="s">
        <v>358</v>
      </c>
      <c r="H1108" t="s">
        <v>162</v>
      </c>
      <c r="I1108">
        <v>79501.662769714283</v>
      </c>
      <c r="J1108">
        <v>0</v>
      </c>
      <c r="K1108">
        <v>0.28895999999999999</v>
      </c>
      <c r="L1108">
        <v>0</v>
      </c>
      <c r="M1108">
        <v>16.624578413647427</v>
      </c>
      <c r="N1108">
        <v>0</v>
      </c>
      <c r="O1108">
        <v>0.18933547637765125</v>
      </c>
      <c r="P1108">
        <v>3.2937076666666669E-2</v>
      </c>
      <c r="Q1108">
        <v>1.1481975848188456E-4</v>
      </c>
      <c r="R1108">
        <v>442771.1</v>
      </c>
      <c r="S1108">
        <v>0</v>
      </c>
      <c r="T1108">
        <v>0</v>
      </c>
      <c r="V1108">
        <v>216</v>
      </c>
      <c r="W1108">
        <v>7</v>
      </c>
      <c r="X1108">
        <v>85</v>
      </c>
      <c r="Y1108">
        <v>3</v>
      </c>
      <c r="Z1108">
        <v>4</v>
      </c>
      <c r="AA1108">
        <v>5</v>
      </c>
      <c r="AB1108">
        <v>0</v>
      </c>
      <c r="AC1108">
        <v>0</v>
      </c>
      <c r="AD1108">
        <v>0</v>
      </c>
      <c r="AE1108">
        <v>0</v>
      </c>
      <c r="AF1108">
        <v>0.7</v>
      </c>
      <c r="AG1108">
        <v>0</v>
      </c>
      <c r="AH1108">
        <v>0</v>
      </c>
      <c r="AI1108">
        <v>0.2</v>
      </c>
      <c r="AJ1108">
        <v>0</v>
      </c>
      <c r="AK1108">
        <v>0</v>
      </c>
      <c r="AL1108">
        <v>86</v>
      </c>
      <c r="AM1108">
        <v>4.2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19.399999999999999</v>
      </c>
      <c r="AU1108">
        <v>0</v>
      </c>
      <c r="AV1108">
        <v>0</v>
      </c>
    </row>
    <row r="1109" spans="1:48" x14ac:dyDescent="0.15">
      <c r="A1109" s="4" t="str">
        <f>HYPERLINK("https://ibp.a2mac1.com/costing(costing:projects/details/9760/equipment/12212212)","DC machine - General")</f>
        <v>DC machine - General</v>
      </c>
      <c r="B1109">
        <v>12212212</v>
      </c>
      <c r="C1109">
        <v>12085120</v>
      </c>
      <c r="E1109" t="s">
        <v>738</v>
      </c>
      <c r="H1109" t="s">
        <v>162</v>
      </c>
      <c r="I1109">
        <v>116914.84457142858</v>
      </c>
      <c r="J1109">
        <v>0</v>
      </c>
      <c r="K1109">
        <v>3.6</v>
      </c>
      <c r="L1109">
        <v>0</v>
      </c>
      <c r="M1109">
        <v>27.497982091197134</v>
      </c>
      <c r="N1109">
        <v>0</v>
      </c>
      <c r="O1109">
        <v>0.19859653732531263</v>
      </c>
      <c r="P1109">
        <v>2.9838466666666667E-2</v>
      </c>
      <c r="Q1109">
        <v>1.1732166376415484E-2</v>
      </c>
      <c r="R1109">
        <v>635568</v>
      </c>
      <c r="S1109">
        <v>0</v>
      </c>
      <c r="T1109">
        <v>0</v>
      </c>
      <c r="V1109">
        <v>10800</v>
      </c>
      <c r="W1109">
        <v>7</v>
      </c>
      <c r="X1109">
        <v>85</v>
      </c>
      <c r="Y1109">
        <v>3</v>
      </c>
      <c r="Z1109">
        <v>4</v>
      </c>
      <c r="AA1109">
        <v>5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3</v>
      </c>
      <c r="AJ1109">
        <v>0</v>
      </c>
      <c r="AK1109">
        <v>0</v>
      </c>
      <c r="AL1109">
        <v>100</v>
      </c>
      <c r="AM1109">
        <v>45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100</v>
      </c>
      <c r="AU1109">
        <v>0</v>
      </c>
      <c r="AV1109">
        <v>0</v>
      </c>
    </row>
    <row r="1110" spans="1:48" x14ac:dyDescent="0.15">
      <c r="A1110" s="4" t="str">
        <f>HYPERLINK("https://ibp.a2mac1.com/costing(costing:projects/details/9760/equipment/12212213)","DC machine - General")</f>
        <v>DC machine - General</v>
      </c>
      <c r="B1110">
        <v>12212213</v>
      </c>
      <c r="C1110">
        <v>12085121</v>
      </c>
      <c r="E1110" t="s">
        <v>738</v>
      </c>
      <c r="H1110" t="s">
        <v>162</v>
      </c>
      <c r="I1110">
        <v>116914.84457142858</v>
      </c>
      <c r="J1110">
        <v>0</v>
      </c>
      <c r="K1110">
        <v>3.6</v>
      </c>
      <c r="L1110">
        <v>0</v>
      </c>
      <c r="M1110">
        <v>27.497982091197134</v>
      </c>
      <c r="N1110">
        <v>0</v>
      </c>
      <c r="O1110">
        <v>0.19859653732531263</v>
      </c>
      <c r="P1110">
        <v>2.9838466666666667E-2</v>
      </c>
      <c r="Q1110">
        <v>1.1732166376415484E-2</v>
      </c>
      <c r="R1110">
        <v>635568</v>
      </c>
      <c r="S1110">
        <v>0</v>
      </c>
      <c r="T1110">
        <v>0</v>
      </c>
      <c r="V1110">
        <v>10800</v>
      </c>
      <c r="W1110">
        <v>7</v>
      </c>
      <c r="X1110">
        <v>85</v>
      </c>
      <c r="Y1110">
        <v>3</v>
      </c>
      <c r="Z1110">
        <v>4</v>
      </c>
      <c r="AA1110">
        <v>5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3</v>
      </c>
      <c r="AJ1110">
        <v>0</v>
      </c>
      <c r="AK1110">
        <v>0</v>
      </c>
      <c r="AL1110">
        <v>100</v>
      </c>
      <c r="AM1110">
        <v>45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100</v>
      </c>
      <c r="AU1110">
        <v>0</v>
      </c>
      <c r="AV1110">
        <v>0</v>
      </c>
    </row>
    <row r="1111" spans="1:48" x14ac:dyDescent="0.15">
      <c r="A1111" s="4" t="str">
        <f>HYPERLINK("https://ibp.a2mac1.com/costing(costing:projects/details/9760/equipment/12212214)","No.01 - Extrusion Press Line - 600T ")</f>
        <v xml:space="preserve">No.01 - Extrusion Press Line - 600T </v>
      </c>
      <c r="B1111">
        <v>12212214</v>
      </c>
      <c r="C1111">
        <v>12085122</v>
      </c>
      <c r="E1111" t="s">
        <v>1630</v>
      </c>
      <c r="H1111" t="s">
        <v>162</v>
      </c>
      <c r="I1111">
        <v>538349.80249599996</v>
      </c>
      <c r="J1111">
        <v>0</v>
      </c>
      <c r="K1111">
        <v>67.951880000000003</v>
      </c>
      <c r="L1111">
        <v>0</v>
      </c>
      <c r="M1111">
        <v>180.59247827965285</v>
      </c>
      <c r="N1111">
        <v>0</v>
      </c>
      <c r="O1111">
        <v>0.98556338438028546</v>
      </c>
      <c r="P1111">
        <v>9.0716210840000006E-2</v>
      </c>
      <c r="Q1111">
        <v>5.7945815483895853E-4</v>
      </c>
      <c r="R1111">
        <v>3250000</v>
      </c>
      <c r="S1111">
        <v>0</v>
      </c>
      <c r="T1111">
        <v>0</v>
      </c>
      <c r="V1111">
        <v>360</v>
      </c>
      <c r="W1111">
        <v>8</v>
      </c>
      <c r="X1111">
        <v>85</v>
      </c>
      <c r="Y1111">
        <v>3</v>
      </c>
      <c r="Z1111">
        <v>4</v>
      </c>
      <c r="AA1111">
        <v>5</v>
      </c>
      <c r="AB1111">
        <v>0</v>
      </c>
      <c r="AC1111">
        <v>1</v>
      </c>
      <c r="AD1111">
        <v>0</v>
      </c>
      <c r="AE1111">
        <v>0</v>
      </c>
      <c r="AF1111">
        <v>2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99</v>
      </c>
      <c r="AM1111">
        <v>800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473.6</v>
      </c>
      <c r="AU1111">
        <v>3.9</v>
      </c>
      <c r="AV1111">
        <v>0</v>
      </c>
    </row>
    <row r="1112" spans="1:48" x14ac:dyDescent="0.15">
      <c r="A1112" s="4" t="str">
        <f>HYPERLINK("https://ibp.a2mac1.com/costing(costing:projects/details/9760/equipment/12212215)","No.14 - Injection Press - 1500T - 205kW - 1400x1250 - Max Volume 11230cm3 ")</f>
        <v xml:space="preserve">No.14 - Injection Press - 1500T - 205kW - 1400x1250 - Max Volume 11230cm3 </v>
      </c>
      <c r="B1112">
        <v>12212215</v>
      </c>
      <c r="C1112">
        <v>12085123</v>
      </c>
      <c r="E1112" t="s">
        <v>1630</v>
      </c>
      <c r="H1112" t="s">
        <v>162</v>
      </c>
      <c r="I1112">
        <v>152061.24720000001</v>
      </c>
      <c r="J1112">
        <v>0</v>
      </c>
      <c r="K1112">
        <v>8.84</v>
      </c>
      <c r="L1112">
        <v>0</v>
      </c>
      <c r="M1112">
        <v>40.39114869816779</v>
      </c>
      <c r="N1112">
        <v>0</v>
      </c>
      <c r="O1112">
        <v>0.50761508807841205</v>
      </c>
      <c r="P1112">
        <v>2.5961153021000001E-2</v>
      </c>
      <c r="Q1112">
        <v>2.3421560609450338E-2</v>
      </c>
      <c r="R1112">
        <v>885000</v>
      </c>
      <c r="S1112">
        <v>0</v>
      </c>
      <c r="T1112">
        <v>0</v>
      </c>
      <c r="V1112">
        <v>18000</v>
      </c>
      <c r="W1112">
        <v>8</v>
      </c>
      <c r="X1112">
        <v>85</v>
      </c>
      <c r="Y1112">
        <v>3</v>
      </c>
      <c r="Z1112">
        <v>4</v>
      </c>
      <c r="AA1112">
        <v>5</v>
      </c>
      <c r="AB1112">
        <v>0</v>
      </c>
      <c r="AC1112">
        <v>0</v>
      </c>
      <c r="AD1112">
        <v>0</v>
      </c>
      <c r="AE1112">
        <v>0</v>
      </c>
      <c r="AF1112">
        <v>0.5</v>
      </c>
      <c r="AG1112">
        <v>0</v>
      </c>
      <c r="AH1112">
        <v>0</v>
      </c>
      <c r="AI1112">
        <v>3</v>
      </c>
      <c r="AJ1112">
        <v>0</v>
      </c>
      <c r="AK1112">
        <v>0</v>
      </c>
      <c r="AL1112">
        <v>90</v>
      </c>
      <c r="AM1112">
        <v>120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270</v>
      </c>
      <c r="AU1112">
        <v>0.2</v>
      </c>
      <c r="AV1112">
        <v>0</v>
      </c>
    </row>
    <row r="1113" spans="1:48" x14ac:dyDescent="0.15">
      <c r="A1113" s="4" t="str">
        <f>HYPERLINK("https://ibp.a2mac1.com/costing(costing:projects/details/9760/equipment/12212216)","Rubber Extrusion machine")</f>
        <v>Rubber Extrusion machine</v>
      </c>
      <c r="B1113">
        <v>12212216</v>
      </c>
      <c r="C1113">
        <v>12085124</v>
      </c>
      <c r="E1113" t="s">
        <v>1596</v>
      </c>
      <c r="H1113" t="s">
        <v>162</v>
      </c>
      <c r="I1113">
        <v>127372.68</v>
      </c>
      <c r="J1113">
        <v>0</v>
      </c>
      <c r="K1113">
        <v>8.8000000000000007</v>
      </c>
      <c r="L1113">
        <v>0</v>
      </c>
      <c r="M1113">
        <v>35.700141433622626</v>
      </c>
      <c r="N1113">
        <v>0</v>
      </c>
      <c r="O1113">
        <v>4.9583529768920317E-2</v>
      </c>
      <c r="P1113">
        <v>1.1476333333333333E-2</v>
      </c>
      <c r="Q1113">
        <v>1.4478114430086788E-3</v>
      </c>
      <c r="R1113">
        <v>800000</v>
      </c>
      <c r="S1113">
        <v>0</v>
      </c>
      <c r="T1113">
        <v>0</v>
      </c>
      <c r="V1113">
        <v>1800</v>
      </c>
      <c r="W1113">
        <v>10</v>
      </c>
      <c r="X1113">
        <v>85</v>
      </c>
      <c r="Y1113">
        <v>3</v>
      </c>
      <c r="Z1113">
        <v>4</v>
      </c>
      <c r="AA1113">
        <v>5</v>
      </c>
      <c r="AB1113">
        <v>0</v>
      </c>
      <c r="AC1113">
        <v>0</v>
      </c>
      <c r="AD1113">
        <v>0</v>
      </c>
      <c r="AE1113">
        <v>0</v>
      </c>
      <c r="AF1113">
        <v>2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100</v>
      </c>
      <c r="AM1113">
        <v>110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500</v>
      </c>
      <c r="AU1113">
        <v>0</v>
      </c>
      <c r="AV1113">
        <v>0</v>
      </c>
    </row>
    <row r="1114" spans="1:48" x14ac:dyDescent="0.15">
      <c r="A1114" s="4" t="str">
        <f>HYPERLINK("https://ibp.a2mac1.com/costing(costing:projects/details/9760/equipment/12212217)","Rubber Extrusion machine")</f>
        <v>Rubber Extrusion machine</v>
      </c>
      <c r="B1114">
        <v>12212217</v>
      </c>
      <c r="C1114">
        <v>12085125</v>
      </c>
      <c r="E1114" t="s">
        <v>1596</v>
      </c>
      <c r="H1114" t="s">
        <v>162</v>
      </c>
      <c r="I1114">
        <v>127372.68</v>
      </c>
      <c r="J1114">
        <v>0</v>
      </c>
      <c r="K1114">
        <v>8.8000000000000007</v>
      </c>
      <c r="L1114">
        <v>0</v>
      </c>
      <c r="M1114">
        <v>35.700141433622626</v>
      </c>
      <c r="N1114">
        <v>0</v>
      </c>
      <c r="O1114">
        <v>4.9583529768920317E-2</v>
      </c>
      <c r="P1114">
        <v>1.1476333333333333E-2</v>
      </c>
      <c r="Q1114">
        <v>1.4478114430086788E-3</v>
      </c>
      <c r="R1114">
        <v>800000</v>
      </c>
      <c r="S1114">
        <v>0</v>
      </c>
      <c r="T1114">
        <v>0</v>
      </c>
      <c r="V1114">
        <v>1800</v>
      </c>
      <c r="W1114">
        <v>10</v>
      </c>
      <c r="X1114">
        <v>85</v>
      </c>
      <c r="Y1114">
        <v>3</v>
      </c>
      <c r="Z1114">
        <v>4</v>
      </c>
      <c r="AA1114">
        <v>5</v>
      </c>
      <c r="AB1114">
        <v>0</v>
      </c>
      <c r="AC1114">
        <v>0</v>
      </c>
      <c r="AD1114">
        <v>0</v>
      </c>
      <c r="AE1114">
        <v>0</v>
      </c>
      <c r="AF1114">
        <v>2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100</v>
      </c>
      <c r="AM1114">
        <v>110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500</v>
      </c>
      <c r="AU1114">
        <v>0</v>
      </c>
      <c r="AV1114">
        <v>0</v>
      </c>
    </row>
    <row r="1115" spans="1:48" x14ac:dyDescent="0.15">
      <c r="A1115" s="4" t="str">
        <f>HYPERLINK("https://ibp.a2mac1.com/costing(costing:projects/details/9760/equipment/12212218)","No.03 - Injection Press - 80T - 30kW - 370x370 - Max Volume 260cm3 ")</f>
        <v xml:space="preserve">No.03 - Injection Press - 80T - 30kW - 370x370 - Max Volume 260cm3 </v>
      </c>
      <c r="B1115">
        <v>12212218</v>
      </c>
      <c r="C1115">
        <v>12085126</v>
      </c>
      <c r="E1115" t="s">
        <v>1630</v>
      </c>
      <c r="H1115" t="s">
        <v>162</v>
      </c>
      <c r="I1115">
        <v>19639.85152</v>
      </c>
      <c r="J1115">
        <v>0</v>
      </c>
      <c r="K1115">
        <v>2.1332</v>
      </c>
      <c r="L1115">
        <v>0</v>
      </c>
      <c r="M1115">
        <v>6.2138575891996144</v>
      </c>
      <c r="N1115">
        <v>0</v>
      </c>
      <c r="O1115">
        <v>2.7327561816514946E-2</v>
      </c>
      <c r="P1115">
        <v>4.5423987222499998E-3</v>
      </c>
      <c r="Q1115">
        <v>3.7601205107039536E-3</v>
      </c>
      <c r="R1115">
        <v>115000</v>
      </c>
      <c r="S1115">
        <v>0</v>
      </c>
      <c r="T1115">
        <v>0</v>
      </c>
      <c r="V1115">
        <v>7200</v>
      </c>
      <c r="W1115">
        <v>8</v>
      </c>
      <c r="X1115">
        <v>85</v>
      </c>
      <c r="Y1115">
        <v>3</v>
      </c>
      <c r="Z1115">
        <v>4</v>
      </c>
      <c r="AA1115">
        <v>5</v>
      </c>
      <c r="AB1115">
        <v>0</v>
      </c>
      <c r="AC1115">
        <v>0</v>
      </c>
      <c r="AD1115">
        <v>0</v>
      </c>
      <c r="AE1115">
        <v>0</v>
      </c>
      <c r="AF1115">
        <v>0.25</v>
      </c>
      <c r="AG1115">
        <v>0</v>
      </c>
      <c r="AH1115">
        <v>0</v>
      </c>
      <c r="AI1115">
        <v>2</v>
      </c>
      <c r="AJ1115">
        <v>0</v>
      </c>
      <c r="AK1115">
        <v>0</v>
      </c>
      <c r="AL1115">
        <v>93</v>
      </c>
      <c r="AM1115">
        <v>28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32</v>
      </c>
      <c r="AU1115">
        <v>0.05</v>
      </c>
      <c r="AV1115">
        <v>0</v>
      </c>
    </row>
    <row r="1116" spans="1:48" x14ac:dyDescent="0.15">
      <c r="A1116" s="4" t="str">
        <f>HYPERLINK("https://ibp.a2mac1.com/costing(costing:projects/details/9760/equipment/12212219)","No.03 - Injection Press - 80T - 30kW - 370x370 - Max Volume 260cm3 ")</f>
        <v xml:space="preserve">No.03 - Injection Press - 80T - 30kW - 370x370 - Max Volume 260cm3 </v>
      </c>
      <c r="B1116">
        <v>12212219</v>
      </c>
      <c r="C1116">
        <v>12085127</v>
      </c>
      <c r="E1116" t="s">
        <v>1630</v>
      </c>
      <c r="H1116" t="s">
        <v>162</v>
      </c>
      <c r="I1116">
        <v>19639.85152</v>
      </c>
      <c r="J1116">
        <v>0</v>
      </c>
      <c r="K1116">
        <v>2.1332</v>
      </c>
      <c r="L1116">
        <v>0</v>
      </c>
      <c r="M1116">
        <v>6.2138575891996144</v>
      </c>
      <c r="N1116">
        <v>0</v>
      </c>
      <c r="O1116">
        <v>2.7327561816514946E-2</v>
      </c>
      <c r="P1116">
        <v>4.5423987222499998E-3</v>
      </c>
      <c r="Q1116">
        <v>3.7601205107039536E-3</v>
      </c>
      <c r="R1116">
        <v>115000</v>
      </c>
      <c r="S1116">
        <v>0</v>
      </c>
      <c r="T1116">
        <v>0</v>
      </c>
      <c r="V1116">
        <v>7200</v>
      </c>
      <c r="W1116">
        <v>8</v>
      </c>
      <c r="X1116">
        <v>85</v>
      </c>
      <c r="Y1116">
        <v>3</v>
      </c>
      <c r="Z1116">
        <v>4</v>
      </c>
      <c r="AA1116">
        <v>5</v>
      </c>
      <c r="AB1116">
        <v>0</v>
      </c>
      <c r="AC1116">
        <v>0</v>
      </c>
      <c r="AD1116">
        <v>0</v>
      </c>
      <c r="AE1116">
        <v>0</v>
      </c>
      <c r="AF1116">
        <v>0.25</v>
      </c>
      <c r="AG1116">
        <v>0</v>
      </c>
      <c r="AH1116">
        <v>0</v>
      </c>
      <c r="AI1116">
        <v>2</v>
      </c>
      <c r="AJ1116">
        <v>0</v>
      </c>
      <c r="AK1116">
        <v>0</v>
      </c>
      <c r="AL1116">
        <v>93</v>
      </c>
      <c r="AM1116">
        <v>28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32</v>
      </c>
      <c r="AU1116">
        <v>0.05</v>
      </c>
      <c r="AV1116">
        <v>0</v>
      </c>
    </row>
    <row r="1117" spans="1:48" x14ac:dyDescent="0.15">
      <c r="A1117" s="4" t="str">
        <f>HYPERLINK("https://ibp.a2mac1.com/costing(costing:projects/details/9760/equipment/12212451)","Melting furnace, 1000kg/h, elc., incl. Holding furnance  ")</f>
        <v xml:space="preserve">Melting furnace, 1000kg/h, elc., incl. Holding furnance  </v>
      </c>
      <c r="B1117">
        <v>12212451</v>
      </c>
      <c r="C1117">
        <v>12085355</v>
      </c>
      <c r="E1117" t="s">
        <v>1630</v>
      </c>
      <c r="H1117" t="s">
        <v>162</v>
      </c>
      <c r="I1117">
        <v>94108.607998649997</v>
      </c>
      <c r="J1117">
        <v>0</v>
      </c>
      <c r="K1117">
        <v>67.195599999999999</v>
      </c>
      <c r="L1117">
        <v>0</v>
      </c>
      <c r="M1117">
        <v>87.230734683084222</v>
      </c>
      <c r="N1117">
        <v>0</v>
      </c>
      <c r="O1117">
        <v>0.67846126975732168</v>
      </c>
      <c r="P1117">
        <v>9.769075555555555E-2</v>
      </c>
      <c r="Q1117">
        <v>0</v>
      </c>
      <c r="R1117">
        <v>610999.99999000004</v>
      </c>
      <c r="S1117">
        <v>0</v>
      </c>
      <c r="T1117">
        <v>0</v>
      </c>
      <c r="V1117">
        <v>0</v>
      </c>
      <c r="W1117">
        <v>10</v>
      </c>
      <c r="X1117">
        <v>85</v>
      </c>
      <c r="Y1117">
        <v>3</v>
      </c>
      <c r="Z1117">
        <v>4</v>
      </c>
      <c r="AA1117">
        <v>5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100</v>
      </c>
      <c r="AM1117">
        <v>750</v>
      </c>
      <c r="AN1117">
        <v>0</v>
      </c>
      <c r="AO1117">
        <v>0</v>
      </c>
      <c r="AP1117">
        <v>0</v>
      </c>
      <c r="AQ1117">
        <v>10</v>
      </c>
      <c r="AR1117">
        <v>0</v>
      </c>
      <c r="AS1117">
        <v>10</v>
      </c>
      <c r="AT1117">
        <v>300</v>
      </c>
      <c r="AU1117">
        <v>0</v>
      </c>
      <c r="AV1117">
        <v>0</v>
      </c>
    </row>
    <row r="1118" spans="1:48" x14ac:dyDescent="0.15">
      <c r="A1118" s="4" t="str">
        <f>HYPERLINK("https://ibp.a2mac1.com/costing(costing:projects/details/9760/equipment/12212452)","No.07 - Idra - OL 1600 S ")</f>
        <v xml:space="preserve">No.07 - Idra - OL 1600 S </v>
      </c>
      <c r="B1118">
        <v>12212452</v>
      </c>
      <c r="C1118">
        <v>12085356</v>
      </c>
      <c r="E1118" t="s">
        <v>1630</v>
      </c>
      <c r="G1118" t="s">
        <v>3728</v>
      </c>
      <c r="H1118" t="s">
        <v>162</v>
      </c>
      <c r="I1118">
        <v>135299.72159999999</v>
      </c>
      <c r="J1118">
        <v>0</v>
      </c>
      <c r="K1118">
        <v>8.4037188</v>
      </c>
      <c r="L1118">
        <v>0</v>
      </c>
      <c r="M1118">
        <v>38.064554801285759</v>
      </c>
      <c r="N1118">
        <v>0</v>
      </c>
      <c r="O1118">
        <v>0.95161387003214404</v>
      </c>
      <c r="P1118">
        <v>5.1643500000000002E-2</v>
      </c>
      <c r="Q1118">
        <v>0.18955510440385728</v>
      </c>
      <c r="R1118">
        <v>985000</v>
      </c>
      <c r="S1118">
        <v>0</v>
      </c>
      <c r="T1118">
        <v>0</v>
      </c>
      <c r="V1118">
        <v>7200</v>
      </c>
      <c r="W1118">
        <v>10</v>
      </c>
      <c r="X1118">
        <v>85</v>
      </c>
      <c r="Y1118">
        <v>3</v>
      </c>
      <c r="Z1118">
        <v>4</v>
      </c>
      <c r="AA1118">
        <v>5</v>
      </c>
      <c r="AB1118">
        <v>0</v>
      </c>
      <c r="AC1118">
        <v>0</v>
      </c>
      <c r="AD1118">
        <v>0</v>
      </c>
      <c r="AE1118">
        <v>0</v>
      </c>
      <c r="AF1118">
        <v>0.5</v>
      </c>
      <c r="AG1118">
        <v>0</v>
      </c>
      <c r="AH1118">
        <v>0</v>
      </c>
      <c r="AI1118">
        <v>2</v>
      </c>
      <c r="AJ1118">
        <v>0</v>
      </c>
      <c r="AK1118">
        <v>0</v>
      </c>
      <c r="AL1118">
        <v>93</v>
      </c>
      <c r="AM1118">
        <v>111</v>
      </c>
      <c r="AN1118">
        <v>0</v>
      </c>
      <c r="AO1118">
        <v>0</v>
      </c>
      <c r="AP1118">
        <v>0</v>
      </c>
      <c r="AQ1118">
        <v>5</v>
      </c>
      <c r="AR1118">
        <v>0</v>
      </c>
      <c r="AS1118">
        <v>0.01</v>
      </c>
      <c r="AT1118">
        <v>60</v>
      </c>
      <c r="AU1118">
        <v>0</v>
      </c>
      <c r="AV1118">
        <v>0</v>
      </c>
    </row>
    <row r="1119" spans="1:48" x14ac:dyDescent="0.15">
      <c r="A1119" s="4" t="str">
        <f>HYPERLINK("https://ibp.a2mac1.com/costing(costing:projects/details/9760/equipment/12212453)","Deburring press, 50t ")</f>
        <v xml:space="preserve">Deburring press, 50t </v>
      </c>
      <c r="B1119">
        <v>12212453</v>
      </c>
      <c r="C1119">
        <v>12085357</v>
      </c>
      <c r="E1119" t="s">
        <v>1630</v>
      </c>
      <c r="F1119" t="s">
        <v>6983</v>
      </c>
      <c r="H1119" t="s">
        <v>162</v>
      </c>
      <c r="I1119">
        <v>17051.180393250001</v>
      </c>
      <c r="J1119">
        <v>0</v>
      </c>
      <c r="K1119">
        <v>0.26767999999999997</v>
      </c>
      <c r="L1119">
        <v>0</v>
      </c>
      <c r="M1119">
        <v>3.9885383077386694</v>
      </c>
      <c r="N1119">
        <v>0</v>
      </c>
      <c r="O1119">
        <v>2.2158546154103717E-2</v>
      </c>
      <c r="P1119">
        <v>2.2952666666666666E-2</v>
      </c>
      <c r="Q1119">
        <v>4.9646334923216006E-3</v>
      </c>
      <c r="R1119">
        <v>121999.99995</v>
      </c>
      <c r="S1119">
        <v>19930.32</v>
      </c>
      <c r="T1119">
        <v>0</v>
      </c>
      <c r="V1119">
        <v>3600</v>
      </c>
      <c r="W1119">
        <v>10</v>
      </c>
      <c r="X1119">
        <v>85</v>
      </c>
      <c r="Y1119">
        <v>3</v>
      </c>
      <c r="Z1119">
        <v>4</v>
      </c>
      <c r="AA1119">
        <v>5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15</v>
      </c>
      <c r="AM1119">
        <v>20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15</v>
      </c>
      <c r="AU1119">
        <v>0</v>
      </c>
      <c r="AV1119">
        <v>0</v>
      </c>
    </row>
    <row r="1120" spans="1:48" x14ac:dyDescent="0.15">
      <c r="A1120" s="4" t="str">
        <f>HYPERLINK("https://ibp.a2mac1.com/costing(costing:projects/details/9760/equipment/12212454)","No.02 - Regular Mechanical Press - 200T ")</f>
        <v xml:space="preserve">No.02 - Regular Mechanical Press - 200T </v>
      </c>
      <c r="B1120">
        <v>12212454</v>
      </c>
      <c r="C1120">
        <v>12085358</v>
      </c>
      <c r="E1120" t="s">
        <v>1630</v>
      </c>
      <c r="H1120" t="s">
        <v>162</v>
      </c>
      <c r="I1120">
        <v>7501.7393107285716</v>
      </c>
      <c r="J1120">
        <v>0</v>
      </c>
      <c r="K1120">
        <v>3.2</v>
      </c>
      <c r="L1120">
        <v>0</v>
      </c>
      <c r="M1120">
        <v>4.7271197861987417</v>
      </c>
      <c r="N1120">
        <v>0</v>
      </c>
      <c r="O1120">
        <v>0.39392664884989514</v>
      </c>
      <c r="P1120">
        <v>0</v>
      </c>
      <c r="Q1120">
        <v>1.1817799465496854E-4</v>
      </c>
      <c r="R1120">
        <v>39999.999980000001</v>
      </c>
      <c r="S1120">
        <v>149477.39999000001</v>
      </c>
      <c r="T1120">
        <v>0</v>
      </c>
      <c r="V1120">
        <v>900</v>
      </c>
      <c r="W1120">
        <v>7</v>
      </c>
      <c r="X1120">
        <v>85</v>
      </c>
      <c r="Y1120">
        <v>3</v>
      </c>
      <c r="Z1120">
        <v>4</v>
      </c>
      <c r="AA1120">
        <v>5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100</v>
      </c>
      <c r="AM1120">
        <v>40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10</v>
      </c>
      <c r="AU1120">
        <v>0</v>
      </c>
      <c r="AV1120">
        <v>0</v>
      </c>
    </row>
    <row r="1121" spans="1:48" x14ac:dyDescent="0.15">
      <c r="A1121" s="4" t="str">
        <f>HYPERLINK("https://ibp.a2mac1.com/costing(costing:projects/details/9760/equipment/12212455)","Furnace hardening line ")</f>
        <v xml:space="preserve">Furnace hardening line </v>
      </c>
      <c r="B1121">
        <v>12212455</v>
      </c>
      <c r="C1121">
        <v>12085359</v>
      </c>
      <c r="E1121" t="s">
        <v>1630</v>
      </c>
      <c r="F1121" t="s">
        <v>5447</v>
      </c>
      <c r="H1121" t="s">
        <v>162</v>
      </c>
      <c r="I1121">
        <v>61614.573118649998</v>
      </c>
      <c r="J1121">
        <v>0</v>
      </c>
      <c r="K1121">
        <v>1.4737359999999999</v>
      </c>
      <c r="L1121">
        <v>0</v>
      </c>
      <c r="M1121">
        <v>14.83191232885728</v>
      </c>
      <c r="N1121">
        <v>0</v>
      </c>
      <c r="O1121">
        <v>0.86519488585000803</v>
      </c>
      <c r="P1121">
        <v>0.241003</v>
      </c>
      <c r="Q1121">
        <v>1.3696076164428641E-3</v>
      </c>
      <c r="R1121">
        <v>429999.99998999998</v>
      </c>
      <c r="S1121">
        <v>0</v>
      </c>
      <c r="T1121">
        <v>0</v>
      </c>
      <c r="V1121">
        <v>1800</v>
      </c>
      <c r="W1121">
        <v>10</v>
      </c>
      <c r="X1121">
        <v>85</v>
      </c>
      <c r="Y1121">
        <v>3</v>
      </c>
      <c r="Z1121">
        <v>4</v>
      </c>
      <c r="AA1121">
        <v>5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100</v>
      </c>
      <c r="AM1121">
        <v>16</v>
      </c>
      <c r="AN1121">
        <v>0</v>
      </c>
      <c r="AO1121">
        <v>0</v>
      </c>
      <c r="AP1121">
        <v>0</v>
      </c>
      <c r="AQ1121">
        <v>2</v>
      </c>
      <c r="AR1121">
        <v>0</v>
      </c>
      <c r="AS1121">
        <v>0.2</v>
      </c>
      <c r="AT1121">
        <v>92</v>
      </c>
      <c r="AU1121">
        <v>0</v>
      </c>
      <c r="AV1121">
        <v>0</v>
      </c>
    </row>
    <row r="1122" spans="1:48" x14ac:dyDescent="0.15">
      <c r="A1122" s="4" t="str">
        <f>HYPERLINK("https://ibp.a2mac1.com/costing(costing:projects/details/9760/equipment/12212456)","Machining Center, medium ")</f>
        <v xml:space="preserve">Machining Center, medium </v>
      </c>
      <c r="B1122">
        <v>12212456</v>
      </c>
      <c r="C1122">
        <v>12085360</v>
      </c>
      <c r="E1122" t="s">
        <v>1630</v>
      </c>
      <c r="F1122" t="s">
        <v>6987</v>
      </c>
      <c r="H1122" t="s">
        <v>162</v>
      </c>
      <c r="I1122">
        <v>97212.175199999998</v>
      </c>
      <c r="J1122">
        <v>0</v>
      </c>
      <c r="K1122">
        <v>4.4591760000000003</v>
      </c>
      <c r="L1122">
        <v>0</v>
      </c>
      <c r="M1122">
        <v>25.708320198007073</v>
      </c>
      <c r="N1122">
        <v>0</v>
      </c>
      <c r="O1122">
        <v>2.9993040231008252</v>
      </c>
      <c r="P1122">
        <v>1.4653613333333333</v>
      </c>
      <c r="Q1122">
        <v>1.0165760039601414E-2</v>
      </c>
      <c r="R1122">
        <v>700000</v>
      </c>
      <c r="S1122">
        <v>30633.63999</v>
      </c>
      <c r="T1122">
        <v>0</v>
      </c>
      <c r="V1122">
        <v>7200</v>
      </c>
      <c r="W1122">
        <v>10</v>
      </c>
      <c r="X1122">
        <v>85</v>
      </c>
      <c r="Y1122">
        <v>3</v>
      </c>
      <c r="Z1122">
        <v>4</v>
      </c>
      <c r="AA1122">
        <v>5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2</v>
      </c>
      <c r="AJ1122">
        <v>0</v>
      </c>
      <c r="AK1122">
        <v>0</v>
      </c>
      <c r="AL1122">
        <v>25</v>
      </c>
      <c r="AM1122">
        <v>133</v>
      </c>
      <c r="AN1122">
        <v>0</v>
      </c>
      <c r="AO1122">
        <v>0</v>
      </c>
      <c r="AP1122">
        <v>0</v>
      </c>
      <c r="AQ1122">
        <v>60</v>
      </c>
      <c r="AR1122">
        <v>0</v>
      </c>
      <c r="AS1122">
        <v>0.2</v>
      </c>
      <c r="AT1122">
        <v>70</v>
      </c>
      <c r="AU1122">
        <v>0</v>
      </c>
      <c r="AV1122">
        <v>0</v>
      </c>
    </row>
    <row r="1123" spans="1:48" x14ac:dyDescent="0.15">
      <c r="A1123" s="4" t="str">
        <f>HYPERLINK("https://ibp.a2mac1.com/costing(costing:projects/details/9760/equipment/12212457)","Assembly Station ")</f>
        <v xml:space="preserve">Assembly Station </v>
      </c>
      <c r="B1123">
        <v>12212457</v>
      </c>
      <c r="C1123">
        <v>12085361</v>
      </c>
      <c r="E1123" t="s">
        <v>1630</v>
      </c>
      <c r="F1123" t="s">
        <v>5068</v>
      </c>
      <c r="H1123" t="s">
        <v>162</v>
      </c>
      <c r="I1123">
        <v>4824.9071986500003</v>
      </c>
      <c r="J1123">
        <v>0</v>
      </c>
      <c r="K1123">
        <v>0.10768</v>
      </c>
      <c r="L1123">
        <v>0</v>
      </c>
      <c r="M1123">
        <v>1.1242192475329476</v>
      </c>
      <c r="N1123">
        <v>0</v>
      </c>
      <c r="O1123">
        <v>6.2456624862941533E-2</v>
      </c>
      <c r="P1123">
        <v>0.22952666666666666</v>
      </c>
      <c r="Q1123">
        <v>2.280743207922158E-4</v>
      </c>
      <c r="R1123">
        <v>29999.99999</v>
      </c>
      <c r="S1123">
        <v>24180</v>
      </c>
      <c r="T1123">
        <v>0</v>
      </c>
      <c r="V1123">
        <v>600</v>
      </c>
      <c r="W1123">
        <v>10</v>
      </c>
      <c r="X1123">
        <v>85</v>
      </c>
      <c r="Y1123">
        <v>3</v>
      </c>
      <c r="Z1123">
        <v>4</v>
      </c>
      <c r="AA1123">
        <v>5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100</v>
      </c>
      <c r="AM1123">
        <v>1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0</v>
      </c>
      <c r="AT1123">
        <v>20</v>
      </c>
      <c r="AU1123">
        <v>0</v>
      </c>
      <c r="AV1123">
        <v>0</v>
      </c>
    </row>
    <row r="1124" spans="1:48" x14ac:dyDescent="0.15">
      <c r="A1124" s="4" t="str">
        <f>HYPERLINK("https://ibp.a2mac1.com/costing(costing:projects/details/9760/equipment/12212458)","No.01 - Cleaning - Batch - 800x800x600 - 150kg/batch - 900kg/h ")</f>
        <v xml:space="preserve">No.01 - Cleaning - Batch - 800x800x600 - 150kg/batch - 900kg/h </v>
      </c>
      <c r="B1124">
        <v>12212458</v>
      </c>
      <c r="C1124">
        <v>12085362</v>
      </c>
      <c r="E1124" t="s">
        <v>1630</v>
      </c>
      <c r="H1124" t="s">
        <v>162</v>
      </c>
      <c r="I1124">
        <v>27974.907200000001</v>
      </c>
      <c r="J1124">
        <v>0</v>
      </c>
      <c r="K1124">
        <v>1.6</v>
      </c>
      <c r="L1124">
        <v>0</v>
      </c>
      <c r="M1124">
        <v>7.4622480231436841</v>
      </c>
      <c r="N1124">
        <v>0</v>
      </c>
      <c r="O1124">
        <v>5.1821166827386696E-2</v>
      </c>
      <c r="P1124">
        <v>2.8690833333333333E-3</v>
      </c>
      <c r="Q1124">
        <v>0</v>
      </c>
      <c r="R1124">
        <v>170000</v>
      </c>
      <c r="S1124">
        <v>14947.73999</v>
      </c>
      <c r="T1124">
        <v>0</v>
      </c>
      <c r="V1124">
        <v>0</v>
      </c>
      <c r="W1124">
        <v>8</v>
      </c>
      <c r="X1124">
        <v>85</v>
      </c>
      <c r="Y1124">
        <v>3</v>
      </c>
      <c r="Z1124">
        <v>4</v>
      </c>
      <c r="AA1124">
        <v>5</v>
      </c>
      <c r="AB1124">
        <v>0</v>
      </c>
      <c r="AC1124">
        <v>0</v>
      </c>
      <c r="AD1124">
        <v>0</v>
      </c>
      <c r="AE1124">
        <v>0</v>
      </c>
      <c r="AF1124">
        <v>0.1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100</v>
      </c>
      <c r="AM1124">
        <v>20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20</v>
      </c>
      <c r="AU1124">
        <v>0</v>
      </c>
      <c r="AV1124">
        <v>0</v>
      </c>
    </row>
    <row r="1125" spans="1:48" x14ac:dyDescent="0.15">
      <c r="A1125" s="4" t="str">
        <f>HYPERLINK("https://ibp.a2mac1.com/costing(costing:projects/details/9760/equipment/12212459)","Laser marking line ")</f>
        <v xml:space="preserve">Laser marking line </v>
      </c>
      <c r="B1125">
        <v>12212459</v>
      </c>
      <c r="C1125">
        <v>12085363</v>
      </c>
      <c r="E1125" t="s">
        <v>1630</v>
      </c>
      <c r="H1125" t="s">
        <v>162</v>
      </c>
      <c r="I1125">
        <v>2270.7035973000002</v>
      </c>
      <c r="J1125">
        <v>0</v>
      </c>
      <c r="K1125">
        <v>0.21536</v>
      </c>
      <c r="L1125">
        <v>0</v>
      </c>
      <c r="M1125">
        <v>0.69240975832529739</v>
      </c>
      <c r="N1125">
        <v>0</v>
      </c>
      <c r="O1125">
        <v>1.9233604397924926E-3</v>
      </c>
      <c r="P1125">
        <v>1.1476333333333333E-2</v>
      </c>
      <c r="Q1125">
        <v>1.3252649758325298E-3</v>
      </c>
      <c r="R1125">
        <v>13949.999980000001</v>
      </c>
      <c r="S1125">
        <v>0</v>
      </c>
      <c r="T1125">
        <v>0</v>
      </c>
      <c r="V1125">
        <v>3600</v>
      </c>
      <c r="W1125">
        <v>10</v>
      </c>
      <c r="X1125">
        <v>85</v>
      </c>
      <c r="Y1125">
        <v>3</v>
      </c>
      <c r="Z1125">
        <v>4</v>
      </c>
      <c r="AA1125">
        <v>5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100</v>
      </c>
      <c r="AM1125">
        <v>2</v>
      </c>
      <c r="AN1125">
        <v>0</v>
      </c>
      <c r="AO1125">
        <v>0</v>
      </c>
      <c r="AP1125">
        <v>0</v>
      </c>
      <c r="AQ1125">
        <v>2</v>
      </c>
      <c r="AR1125">
        <v>0</v>
      </c>
      <c r="AS1125">
        <v>0</v>
      </c>
      <c r="AT1125">
        <v>10</v>
      </c>
      <c r="AU1125">
        <v>0</v>
      </c>
      <c r="AV1125">
        <v>0</v>
      </c>
    </row>
    <row r="1126" spans="1:48" x14ac:dyDescent="0.15">
      <c r="A1126" s="4" t="str">
        <f>HYPERLINK("https://ibp.a2mac1.com/costing(costing:projects/details/9760/equipment/12212460)","Packaging ")</f>
        <v xml:space="preserve">Packaging </v>
      </c>
      <c r="B1126">
        <v>12212460</v>
      </c>
      <c r="C1126">
        <v>12085364</v>
      </c>
      <c r="E1126" t="s">
        <v>1630</v>
      </c>
      <c r="H1126" t="s">
        <v>162</v>
      </c>
      <c r="I1126">
        <v>4437.4535986499995</v>
      </c>
      <c r="J1126">
        <v>0</v>
      </c>
      <c r="K1126">
        <v>0.10768</v>
      </c>
      <c r="L1126">
        <v>0</v>
      </c>
      <c r="M1126">
        <v>1.0619476949774993</v>
      </c>
      <c r="N1126">
        <v>0</v>
      </c>
      <c r="O1126">
        <v>2.654869237443748E-2</v>
      </c>
      <c r="P1126">
        <v>0.103287</v>
      </c>
      <c r="Q1126">
        <v>3.4055469237443748E-4</v>
      </c>
      <c r="R1126">
        <v>29999.99999</v>
      </c>
      <c r="S1126">
        <v>2092.5</v>
      </c>
      <c r="T1126">
        <v>0</v>
      </c>
      <c r="V1126">
        <v>900</v>
      </c>
      <c r="W1126">
        <v>10</v>
      </c>
      <c r="X1126">
        <v>85</v>
      </c>
      <c r="Y1126">
        <v>3</v>
      </c>
      <c r="Z1126">
        <v>4</v>
      </c>
      <c r="AA1126">
        <v>5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50</v>
      </c>
      <c r="AM1126">
        <v>2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0</v>
      </c>
      <c r="AT1126">
        <v>10</v>
      </c>
      <c r="AU1126">
        <v>0</v>
      </c>
      <c r="AV1126">
        <v>0</v>
      </c>
    </row>
    <row r="1127" spans="1:48" x14ac:dyDescent="0.15">
      <c r="A1127" s="4" t="str">
        <f>HYPERLINK("https://ibp.a2mac1.com/costing(costing:projects/details/9760/equipment/12212447)","Manufacturing Equipment")</f>
        <v>Manufacturing Equipment</v>
      </c>
      <c r="B1127">
        <v>12212447</v>
      </c>
      <c r="C1127">
        <v>12085351</v>
      </c>
      <c r="H1127" t="s">
        <v>162</v>
      </c>
      <c r="I1127">
        <v>373962.1752</v>
      </c>
      <c r="J1127">
        <v>0</v>
      </c>
      <c r="K1127">
        <v>3.3919999999999999</v>
      </c>
      <c r="L1127">
        <v>0</v>
      </c>
      <c r="M1127">
        <v>85.594213950498229</v>
      </c>
      <c r="N1127">
        <v>0</v>
      </c>
      <c r="O1127">
        <v>0.8809071185738776</v>
      </c>
      <c r="P1127">
        <v>4.2519815000000002E-2</v>
      </c>
      <c r="Q1127">
        <v>8.8339008555448403E-3</v>
      </c>
      <c r="R1127">
        <v>2750000</v>
      </c>
      <c r="S1127">
        <v>0</v>
      </c>
      <c r="T1127">
        <v>0</v>
      </c>
      <c r="V1127">
        <v>5400</v>
      </c>
      <c r="W1127">
        <v>10</v>
      </c>
      <c r="X1127">
        <v>85</v>
      </c>
      <c r="Y1127">
        <v>4</v>
      </c>
      <c r="Z1127">
        <v>4</v>
      </c>
      <c r="AA1127">
        <v>5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1</v>
      </c>
      <c r="AJ1127">
        <v>0</v>
      </c>
      <c r="AK1127">
        <v>0</v>
      </c>
      <c r="AL1127">
        <v>80</v>
      </c>
      <c r="AM1127">
        <v>53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70</v>
      </c>
      <c r="AU1127">
        <v>0</v>
      </c>
      <c r="AV1127">
        <v>0</v>
      </c>
    </row>
    <row r="1128" spans="1:48" x14ac:dyDescent="0.15">
      <c r="A1128" s="4" t="str">
        <f>HYPERLINK("https://ibp.a2mac1.com/costing(costing:projects/details/9760/equipment/12212448)","No.02 - 1500x1000x1500 - 65kg - electrophoresis line - with 18x10kW on line ovens ")</f>
        <v xml:space="preserve">No.02 - 1500x1000x1500 - 65kg - electrophoresis line - with 18x10kW on line ovens </v>
      </c>
      <c r="B1128">
        <v>12212448</v>
      </c>
      <c r="C1128">
        <v>12085352</v>
      </c>
      <c r="E1128" t="s">
        <v>1630</v>
      </c>
      <c r="G1128" t="s">
        <v>6998</v>
      </c>
      <c r="H1128" t="s">
        <v>162</v>
      </c>
      <c r="I1128">
        <v>568328.21154399996</v>
      </c>
      <c r="J1128">
        <v>0</v>
      </c>
      <c r="K1128">
        <v>256.10000000000002</v>
      </c>
      <c r="L1128">
        <v>0</v>
      </c>
      <c r="M1128">
        <v>374.76412914561234</v>
      </c>
      <c r="N1128">
        <v>0</v>
      </c>
      <c r="O1128">
        <v>1.0410114698489232</v>
      </c>
      <c r="P1128">
        <v>2.8690833333333333E-3</v>
      </c>
      <c r="Q1128">
        <v>0</v>
      </c>
      <c r="R1128">
        <v>3400000</v>
      </c>
      <c r="S1128">
        <v>0</v>
      </c>
      <c r="T1128">
        <v>0</v>
      </c>
      <c r="V1128">
        <v>0</v>
      </c>
      <c r="W1128">
        <v>8</v>
      </c>
      <c r="X1128">
        <v>85</v>
      </c>
      <c r="Y1128">
        <v>3</v>
      </c>
      <c r="Z1128">
        <v>4</v>
      </c>
      <c r="AA1128">
        <v>5</v>
      </c>
      <c r="AB1128">
        <v>0</v>
      </c>
      <c r="AC1128">
        <v>0</v>
      </c>
      <c r="AD1128">
        <v>0</v>
      </c>
      <c r="AE1128">
        <v>0</v>
      </c>
      <c r="AF1128">
        <v>0.25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100</v>
      </c>
      <c r="AM1128">
        <v>3200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627.9</v>
      </c>
      <c r="AU1128">
        <v>0.1</v>
      </c>
      <c r="AV1128">
        <v>0</v>
      </c>
    </row>
    <row r="1129" spans="1:48" x14ac:dyDescent="0.15">
      <c r="A1129" s="4" t="str">
        <f>HYPERLINK("https://ibp.a2mac1.com/costing(costing:projects/details/9760/equipment/12212449)","Manufacturing Equipment")</f>
        <v>Manufacturing Equipment</v>
      </c>
      <c r="B1129">
        <v>12212449</v>
      </c>
      <c r="C1129">
        <v>12085353</v>
      </c>
      <c r="H1129" t="s">
        <v>162</v>
      </c>
      <c r="I1129">
        <v>373962.1752</v>
      </c>
      <c r="J1129">
        <v>0</v>
      </c>
      <c r="K1129">
        <v>3.3919999999999999</v>
      </c>
      <c r="L1129">
        <v>0</v>
      </c>
      <c r="M1129">
        <v>85.594213950498229</v>
      </c>
      <c r="N1129">
        <v>0</v>
      </c>
      <c r="O1129">
        <v>2.9650073474158005E-3</v>
      </c>
      <c r="P1129">
        <v>1.4311561483333334E-4</v>
      </c>
      <c r="Q1129">
        <v>4.4169504277724201E-3</v>
      </c>
      <c r="R1129">
        <v>2750000</v>
      </c>
      <c r="S1129">
        <v>0</v>
      </c>
      <c r="T1129">
        <v>0</v>
      </c>
      <c r="V1129">
        <v>5400</v>
      </c>
      <c r="W1129">
        <v>10</v>
      </c>
      <c r="X1129">
        <v>85</v>
      </c>
      <c r="Y1129">
        <v>4</v>
      </c>
      <c r="Z1129">
        <v>4</v>
      </c>
      <c r="AA1129">
        <v>5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80</v>
      </c>
      <c r="AM1129">
        <v>53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70</v>
      </c>
      <c r="AU1129">
        <v>0</v>
      </c>
      <c r="AV1129">
        <v>0</v>
      </c>
    </row>
    <row r="1130" spans="1:48" x14ac:dyDescent="0.15">
      <c r="A1130" s="4" t="str">
        <f>HYPERLINK("https://ibp.a2mac1.com/costing(costing:projects/details/9760/equipment/12212450)","No.02 - 1500x1000x1500 - 65kg - electrophoresis line - with 18x10kW on line ovens ")</f>
        <v xml:space="preserve">No.02 - 1500x1000x1500 - 65kg - electrophoresis line - with 18x10kW on line ovens </v>
      </c>
      <c r="B1130">
        <v>12212450</v>
      </c>
      <c r="C1130">
        <v>12085354</v>
      </c>
      <c r="E1130" t="s">
        <v>1630</v>
      </c>
      <c r="G1130" t="s">
        <v>6998</v>
      </c>
      <c r="H1130" t="s">
        <v>162</v>
      </c>
      <c r="I1130">
        <v>568328.21154399996</v>
      </c>
      <c r="J1130">
        <v>0</v>
      </c>
      <c r="K1130">
        <v>256.10000000000002</v>
      </c>
      <c r="L1130">
        <v>0</v>
      </c>
      <c r="M1130">
        <v>374.76412914561234</v>
      </c>
      <c r="N1130">
        <v>0</v>
      </c>
      <c r="O1130">
        <v>1.0410114698489232</v>
      </c>
      <c r="P1130">
        <v>2.8690833333333333E-3</v>
      </c>
      <c r="Q1130">
        <v>0</v>
      </c>
      <c r="R1130">
        <v>3400000</v>
      </c>
      <c r="S1130">
        <v>0</v>
      </c>
      <c r="T1130">
        <v>0</v>
      </c>
      <c r="V1130">
        <v>0</v>
      </c>
      <c r="W1130">
        <v>8</v>
      </c>
      <c r="X1130">
        <v>85</v>
      </c>
      <c r="Y1130">
        <v>3</v>
      </c>
      <c r="Z1130">
        <v>4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0.25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100</v>
      </c>
      <c r="AM1130">
        <v>3200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627.9</v>
      </c>
      <c r="AU1130">
        <v>0.1</v>
      </c>
      <c r="AV1130">
        <v>0</v>
      </c>
    </row>
    <row r="1131" spans="1:48" x14ac:dyDescent="0.15">
      <c r="A1131" s="4" t="str">
        <f>HYPERLINK("https://ibp.a2mac1.com/costing(costing:projects/details/9760/equipment/12212461)","Manufacturing Equipment")</f>
        <v>Manufacturing Equipment</v>
      </c>
      <c r="B1131">
        <v>12212461</v>
      </c>
      <c r="C1131">
        <v>12085365</v>
      </c>
      <c r="H1131" t="s">
        <v>162</v>
      </c>
      <c r="I1131">
        <v>373962.1752</v>
      </c>
      <c r="J1131">
        <v>0</v>
      </c>
      <c r="K1131">
        <v>3.3919999999999999</v>
      </c>
      <c r="L1131">
        <v>0</v>
      </c>
      <c r="M1131">
        <v>85.594213950498229</v>
      </c>
      <c r="N1131">
        <v>0</v>
      </c>
      <c r="O1131">
        <v>1.4409191514302833E-2</v>
      </c>
      <c r="P1131">
        <v>6.9550596716666665E-4</v>
      </c>
      <c r="Q1131">
        <v>4.4169504277724201E-3</v>
      </c>
      <c r="R1131">
        <v>2750000</v>
      </c>
      <c r="S1131">
        <v>0</v>
      </c>
      <c r="T1131">
        <v>0</v>
      </c>
      <c r="V1131">
        <v>5400</v>
      </c>
      <c r="W1131">
        <v>10</v>
      </c>
      <c r="X1131">
        <v>85</v>
      </c>
      <c r="Y1131">
        <v>4</v>
      </c>
      <c r="Z1131">
        <v>4</v>
      </c>
      <c r="AA1131">
        <v>5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80</v>
      </c>
      <c r="AM1131">
        <v>53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70</v>
      </c>
      <c r="AU1131">
        <v>0</v>
      </c>
      <c r="AV1131">
        <v>0</v>
      </c>
    </row>
    <row r="1132" spans="1:48" x14ac:dyDescent="0.15">
      <c r="A1132" s="4" t="str">
        <f>HYPERLINK("https://ibp.a2mac1.com/costing(costing:projects/details/9760/equipment/12212462)","No.02 - 1500x1000x1500 - 65kg - electrophoresis line - with 18x10kW on line ovens ")</f>
        <v xml:space="preserve">No.02 - 1500x1000x1500 - 65kg - electrophoresis line - with 18x10kW on line ovens </v>
      </c>
      <c r="B1132">
        <v>12212462</v>
      </c>
      <c r="C1132">
        <v>12085366</v>
      </c>
      <c r="E1132" t="s">
        <v>1630</v>
      </c>
      <c r="G1132" t="s">
        <v>6998</v>
      </c>
      <c r="H1132" t="s">
        <v>162</v>
      </c>
      <c r="I1132">
        <v>568328.21154399996</v>
      </c>
      <c r="J1132">
        <v>0</v>
      </c>
      <c r="K1132">
        <v>256.10000000000002</v>
      </c>
      <c r="L1132">
        <v>0</v>
      </c>
      <c r="M1132">
        <v>374.76412914561234</v>
      </c>
      <c r="N1132">
        <v>0</v>
      </c>
      <c r="O1132">
        <v>1.0410114698489232</v>
      </c>
      <c r="P1132">
        <v>2.8690833333333333E-3</v>
      </c>
      <c r="Q1132">
        <v>0</v>
      </c>
      <c r="R1132">
        <v>3400000</v>
      </c>
      <c r="S1132">
        <v>0</v>
      </c>
      <c r="T1132">
        <v>0</v>
      </c>
      <c r="V1132">
        <v>0</v>
      </c>
      <c r="W1132">
        <v>8</v>
      </c>
      <c r="X1132">
        <v>85</v>
      </c>
      <c r="Y1132">
        <v>3</v>
      </c>
      <c r="Z1132">
        <v>4</v>
      </c>
      <c r="AA1132">
        <v>5</v>
      </c>
      <c r="AB1132">
        <v>0</v>
      </c>
      <c r="AC1132">
        <v>0</v>
      </c>
      <c r="AD1132">
        <v>0</v>
      </c>
      <c r="AE1132">
        <v>0</v>
      </c>
      <c r="AF1132">
        <v>0.25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100</v>
      </c>
      <c r="AM1132">
        <v>3200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627.9</v>
      </c>
      <c r="AU1132">
        <v>0.1</v>
      </c>
      <c r="AV1132">
        <v>0</v>
      </c>
    </row>
    <row r="1133" spans="1:48" x14ac:dyDescent="0.15">
      <c r="A1133" s="4" t="str">
        <f>HYPERLINK("https://ibp.a2mac1.com/costing(costing:projects/details/9760/equipment/12212220)","Equipment (Stamping)")</f>
        <v>Equipment (Stamping)</v>
      </c>
      <c r="B1133">
        <v>12212220</v>
      </c>
      <c r="C1133">
        <v>12085128</v>
      </c>
      <c r="H1133" t="s">
        <v>162</v>
      </c>
      <c r="I1133">
        <v>623.08483765714288</v>
      </c>
      <c r="J1133">
        <v>0</v>
      </c>
      <c r="K1133">
        <v>2.784E-2</v>
      </c>
      <c r="L1133">
        <v>0</v>
      </c>
      <c r="M1133">
        <v>0.15385009926987189</v>
      </c>
      <c r="N1133">
        <v>0</v>
      </c>
      <c r="O1133">
        <v>2.5641683211645315E-3</v>
      </c>
      <c r="P1133">
        <v>2.9953230000000003E-4</v>
      </c>
      <c r="Q1133">
        <v>3.2983000779547182E-4</v>
      </c>
      <c r="R1133">
        <v>3219</v>
      </c>
      <c r="S1133">
        <v>0</v>
      </c>
      <c r="T1133">
        <v>0</v>
      </c>
      <c r="V1133">
        <v>1566</v>
      </c>
      <c r="W1133">
        <v>7</v>
      </c>
      <c r="X1133">
        <v>85</v>
      </c>
      <c r="Y1133">
        <v>3</v>
      </c>
      <c r="Z1133">
        <v>4</v>
      </c>
      <c r="AA1133">
        <v>5</v>
      </c>
      <c r="AB1133">
        <v>0</v>
      </c>
      <c r="AC1133">
        <v>0</v>
      </c>
      <c r="AD1133">
        <v>0</v>
      </c>
      <c r="AE1133">
        <v>0</v>
      </c>
      <c r="AF1133">
        <v>4.3499999999999997E-3</v>
      </c>
      <c r="AG1133">
        <v>0</v>
      </c>
      <c r="AH1133">
        <v>0</v>
      </c>
      <c r="AI1133">
        <v>2</v>
      </c>
      <c r="AJ1133">
        <v>0</v>
      </c>
      <c r="AK1133">
        <v>0</v>
      </c>
      <c r="AL1133">
        <v>80</v>
      </c>
      <c r="AM1133">
        <v>0.435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1.3049999999999999</v>
      </c>
      <c r="AU1133">
        <v>0</v>
      </c>
      <c r="AV1133">
        <v>0</v>
      </c>
    </row>
    <row r="1134" spans="1:48" x14ac:dyDescent="0.15">
      <c r="A1134" s="4" t="str">
        <f>HYPERLINK("https://ibp.a2mac1.com/costing(costing:projects/details/9760/equipment/12212221)","Rubber Extrusion machine")</f>
        <v>Rubber Extrusion machine</v>
      </c>
      <c r="B1134">
        <v>12212221</v>
      </c>
      <c r="C1134">
        <v>12085129</v>
      </c>
      <c r="E1134" t="s">
        <v>1596</v>
      </c>
      <c r="H1134" t="s">
        <v>162</v>
      </c>
      <c r="I1134">
        <v>127372.68</v>
      </c>
      <c r="J1134">
        <v>0</v>
      </c>
      <c r="K1134">
        <v>8.8000000000000007</v>
      </c>
      <c r="L1134">
        <v>0</v>
      </c>
      <c r="M1134">
        <v>35.700141433622626</v>
      </c>
      <c r="N1134">
        <v>0</v>
      </c>
      <c r="O1134">
        <v>0.29750117861352193</v>
      </c>
      <c r="P1134">
        <v>6.8858000000000003E-2</v>
      </c>
      <c r="Q1134">
        <v>7.239057215043394E-4</v>
      </c>
      <c r="R1134">
        <v>800000</v>
      </c>
      <c r="S1134">
        <v>0</v>
      </c>
      <c r="T1134">
        <v>0</v>
      </c>
      <c r="V1134">
        <v>1800</v>
      </c>
      <c r="W1134">
        <v>10</v>
      </c>
      <c r="X1134">
        <v>85</v>
      </c>
      <c r="Y1134">
        <v>3</v>
      </c>
      <c r="Z1134">
        <v>4</v>
      </c>
      <c r="AA1134">
        <v>5</v>
      </c>
      <c r="AB1134">
        <v>0</v>
      </c>
      <c r="AC1134">
        <v>0</v>
      </c>
      <c r="AD1134">
        <v>0</v>
      </c>
      <c r="AE1134">
        <v>0</v>
      </c>
      <c r="AF1134">
        <v>2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100</v>
      </c>
      <c r="AM1134">
        <v>110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500</v>
      </c>
      <c r="AU1134">
        <v>0</v>
      </c>
      <c r="AV1134">
        <v>0</v>
      </c>
    </row>
    <row r="1135" spans="1:48" x14ac:dyDescent="0.15">
      <c r="A1135" s="4" t="str">
        <f>HYPERLINK("https://ibp.a2mac1.com/costing(costing:projects/details/9760/equipment/12212463)","No.06 - Injection Press - 200T - 45kW - 510x510 - Max Volume 624cm3 ")</f>
        <v xml:space="preserve">No.06 - Injection Press - 200T - 45kW - 510x510 - Max Volume 624cm3 </v>
      </c>
      <c r="B1135">
        <v>12212463</v>
      </c>
      <c r="C1135">
        <v>12085367</v>
      </c>
      <c r="E1135" t="s">
        <v>1630</v>
      </c>
      <c r="H1135" t="s">
        <v>162</v>
      </c>
      <c r="I1135">
        <v>34247.230880000003</v>
      </c>
      <c r="J1135">
        <v>0</v>
      </c>
      <c r="K1135">
        <v>2.6539999999999999</v>
      </c>
      <c r="L1135">
        <v>0</v>
      </c>
      <c r="M1135">
        <v>9.7654160848601741</v>
      </c>
      <c r="N1135">
        <v>0</v>
      </c>
      <c r="O1135">
        <v>7.5357410203623701E-2</v>
      </c>
      <c r="P1135">
        <v>7.9704139179166671E-3</v>
      </c>
      <c r="Q1135">
        <v>4.1863075301832205E-3</v>
      </c>
      <c r="R1135">
        <v>200000</v>
      </c>
      <c r="S1135">
        <v>0</v>
      </c>
      <c r="T1135">
        <v>0</v>
      </c>
      <c r="V1135">
        <v>7200</v>
      </c>
      <c r="W1135">
        <v>8</v>
      </c>
      <c r="X1135">
        <v>85</v>
      </c>
      <c r="Y1135">
        <v>3</v>
      </c>
      <c r="Z1135">
        <v>4</v>
      </c>
      <c r="AA1135">
        <v>5</v>
      </c>
      <c r="AB1135">
        <v>0</v>
      </c>
      <c r="AC1135">
        <v>0</v>
      </c>
      <c r="AD1135">
        <v>0</v>
      </c>
      <c r="AE1135">
        <v>0</v>
      </c>
      <c r="AF1135">
        <v>0.25</v>
      </c>
      <c r="AG1135">
        <v>0</v>
      </c>
      <c r="AH1135">
        <v>0</v>
      </c>
      <c r="AI1135">
        <v>2</v>
      </c>
      <c r="AJ1135">
        <v>0</v>
      </c>
      <c r="AK1135">
        <v>0</v>
      </c>
      <c r="AL1135">
        <v>93</v>
      </c>
      <c r="AM1135">
        <v>35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58</v>
      </c>
      <c r="AU1135">
        <v>0.05</v>
      </c>
      <c r="AV1135">
        <v>0</v>
      </c>
    </row>
    <row r="1136" spans="1:48" x14ac:dyDescent="0.15">
      <c r="A1136" s="4" t="str">
        <f>HYPERLINK("https://ibp.a2mac1.com/costing(costing:projects/details/9760/equipment/12212464)","No.01 - Progressive Press - 250T ")</f>
        <v xml:space="preserve">No.01 - Progressive Press - 250T </v>
      </c>
      <c r="B1136">
        <v>12212464</v>
      </c>
      <c r="C1136">
        <v>12085368</v>
      </c>
      <c r="E1136" t="s">
        <v>1630</v>
      </c>
      <c r="H1136" t="s">
        <v>162</v>
      </c>
      <c r="I1136">
        <v>295789.00731428573</v>
      </c>
      <c r="J1136">
        <v>0</v>
      </c>
      <c r="K1136">
        <v>5.82</v>
      </c>
      <c r="L1136">
        <v>0</v>
      </c>
      <c r="M1136">
        <v>66.618618983331032</v>
      </c>
      <c r="N1136">
        <v>0</v>
      </c>
      <c r="O1136">
        <v>1.58239575774545E-2</v>
      </c>
      <c r="P1136">
        <v>9.8135273966666668E-4</v>
      </c>
      <c r="Q1136">
        <v>2.3753657694999312E-3</v>
      </c>
      <c r="R1136">
        <v>1650000</v>
      </c>
      <c r="S1136">
        <v>0</v>
      </c>
      <c r="T1136">
        <v>0</v>
      </c>
      <c r="V1136">
        <v>1800</v>
      </c>
      <c r="W1136">
        <v>7</v>
      </c>
      <c r="X1136">
        <v>85</v>
      </c>
      <c r="Y1136">
        <v>3</v>
      </c>
      <c r="Z1136">
        <v>4</v>
      </c>
      <c r="AA1136">
        <v>5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87</v>
      </c>
      <c r="AM1136">
        <v>75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60</v>
      </c>
      <c r="AU1136">
        <v>0.6</v>
      </c>
      <c r="AV1136">
        <v>0</v>
      </c>
    </row>
    <row r="1137" spans="1:48" x14ac:dyDescent="0.15">
      <c r="A1137" s="4" t="str">
        <f>HYPERLINK("https://ibp.a2mac1.com/costing(costing:projects/details/9760/equipment/12212223)","Assembly Station ")</f>
        <v xml:space="preserve">Assembly Station </v>
      </c>
      <c r="B1137">
        <v>12212223</v>
      </c>
      <c r="C1137">
        <v>12085131</v>
      </c>
      <c r="E1137" t="s">
        <v>1630</v>
      </c>
      <c r="F1137" t="s">
        <v>5068</v>
      </c>
      <c r="G1137" t="s">
        <v>8</v>
      </c>
      <c r="H1137" t="s">
        <v>162</v>
      </c>
      <c r="I1137">
        <v>4824.9071999999996</v>
      </c>
      <c r="J1137">
        <v>0</v>
      </c>
      <c r="K1137">
        <v>0.10768</v>
      </c>
      <c r="L1137">
        <v>0</v>
      </c>
      <c r="M1137">
        <v>1.1242192478302797</v>
      </c>
      <c r="N1137">
        <v>0</v>
      </c>
      <c r="O1137">
        <v>4.684246865959499E-3</v>
      </c>
      <c r="P1137">
        <v>1.7214500000000001E-2</v>
      </c>
      <c r="Q1137">
        <v>2.2807432079717134E-4</v>
      </c>
      <c r="R1137">
        <v>30000</v>
      </c>
      <c r="S1137">
        <v>0</v>
      </c>
      <c r="T1137">
        <v>0</v>
      </c>
      <c r="V1137">
        <v>600</v>
      </c>
      <c r="W1137">
        <v>10</v>
      </c>
      <c r="X1137">
        <v>85</v>
      </c>
      <c r="Y1137">
        <v>3</v>
      </c>
      <c r="Z1137">
        <v>4</v>
      </c>
      <c r="AA1137">
        <v>5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100</v>
      </c>
      <c r="AM1137">
        <v>1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0</v>
      </c>
      <c r="AT1137">
        <v>20</v>
      </c>
      <c r="AU1137">
        <v>0</v>
      </c>
      <c r="AV1137">
        <v>0</v>
      </c>
    </row>
    <row r="1138" spans="1:48" x14ac:dyDescent="0.15">
      <c r="A1138" s="4" t="str">
        <f>HYPERLINK("https://ibp.a2mac1.com/costing(costing:projects/details/9760/equipment/12212222)","No.16 - Injection Press - 3000T - 230kW - 2250x1800 - Max Volume 37700cm3 ")</f>
        <v xml:space="preserve">No.16 - Injection Press - 3000T - 230kW - 2250x1800 - Max Volume 37700cm3 </v>
      </c>
      <c r="B1138">
        <v>12212222</v>
      </c>
      <c r="C1138">
        <v>12085130</v>
      </c>
      <c r="E1138" t="s">
        <v>1630</v>
      </c>
      <c r="H1138" t="s">
        <v>162</v>
      </c>
      <c r="I1138">
        <v>294782.27168000001</v>
      </c>
      <c r="J1138">
        <v>0</v>
      </c>
      <c r="K1138">
        <v>14.6</v>
      </c>
      <c r="L1138">
        <v>0</v>
      </c>
      <c r="M1138">
        <v>75.638616470588232</v>
      </c>
      <c r="N1138">
        <v>0</v>
      </c>
      <c r="O1138">
        <v>0.73299807417137253</v>
      </c>
      <c r="P1138">
        <v>2.0018655977500001E-2</v>
      </c>
      <c r="Q1138">
        <v>4.0794961129411764E-2</v>
      </c>
      <c r="R1138">
        <v>1700000</v>
      </c>
      <c r="S1138">
        <v>0</v>
      </c>
      <c r="T1138">
        <v>0</v>
      </c>
      <c r="V1138">
        <v>21600</v>
      </c>
      <c r="W1138">
        <v>8</v>
      </c>
      <c r="X1138">
        <v>85</v>
      </c>
      <c r="Y1138">
        <v>3</v>
      </c>
      <c r="Z1138">
        <v>4</v>
      </c>
      <c r="AA1138">
        <v>5</v>
      </c>
      <c r="AB1138">
        <v>0</v>
      </c>
      <c r="AC1138">
        <v>0</v>
      </c>
      <c r="AD1138">
        <v>0</v>
      </c>
      <c r="AE1138">
        <v>0</v>
      </c>
      <c r="AF1138">
        <v>0.5</v>
      </c>
      <c r="AG1138">
        <v>0</v>
      </c>
      <c r="AH1138">
        <v>0</v>
      </c>
      <c r="AI1138">
        <v>3</v>
      </c>
      <c r="AJ1138">
        <v>0</v>
      </c>
      <c r="AK1138">
        <v>0</v>
      </c>
      <c r="AL1138">
        <v>90</v>
      </c>
      <c r="AM1138">
        <v>200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588</v>
      </c>
      <c r="AU1138">
        <v>0.2</v>
      </c>
      <c r="AV1138">
        <v>0</v>
      </c>
    </row>
    <row r="1139" spans="1:48" x14ac:dyDescent="0.15">
      <c r="A1139" s="4" t="str">
        <f>HYPERLINK("https://ibp.a2mac1.com/costing(costing:projects/details/9760/equipment/12212224)","Equipment (Injection Molding)")</f>
        <v>Equipment (Injection Molding)</v>
      </c>
      <c r="B1139">
        <v>12212224</v>
      </c>
      <c r="C1139">
        <v>12085132</v>
      </c>
      <c r="H1139" t="s">
        <v>162</v>
      </c>
      <c r="I1139">
        <v>896.00033399999995</v>
      </c>
      <c r="J1139">
        <v>0</v>
      </c>
      <c r="K1139">
        <v>3.8080000000000003E-2</v>
      </c>
      <c r="L1139">
        <v>0</v>
      </c>
      <c r="M1139">
        <v>0.22033656284153005</v>
      </c>
      <c r="N1139">
        <v>0</v>
      </c>
      <c r="O1139">
        <v>3.6722760473588342E-3</v>
      </c>
      <c r="P1139">
        <v>2.3411720000000001E-4</v>
      </c>
      <c r="Q1139">
        <v>1.938572467057377E-5</v>
      </c>
      <c r="R1139">
        <v>4760</v>
      </c>
      <c r="S1139">
        <v>0</v>
      </c>
      <c r="T1139">
        <v>0</v>
      </c>
      <c r="V1139">
        <v>45.9</v>
      </c>
      <c r="W1139">
        <v>7</v>
      </c>
      <c r="X1139">
        <v>85</v>
      </c>
      <c r="Y1139">
        <v>3</v>
      </c>
      <c r="Z1139">
        <v>4</v>
      </c>
      <c r="AA1139">
        <v>5</v>
      </c>
      <c r="AB1139">
        <v>0</v>
      </c>
      <c r="AC1139">
        <v>0</v>
      </c>
      <c r="AD1139">
        <v>0</v>
      </c>
      <c r="AE1139">
        <v>0</v>
      </c>
      <c r="AF1139">
        <v>3.3999999999999998E-3</v>
      </c>
      <c r="AG1139">
        <v>0</v>
      </c>
      <c r="AH1139">
        <v>0</v>
      </c>
      <c r="AI1139">
        <v>2</v>
      </c>
      <c r="AJ1139">
        <v>0</v>
      </c>
      <c r="AK1139">
        <v>0</v>
      </c>
      <c r="AL1139">
        <v>80</v>
      </c>
      <c r="AM1139">
        <v>0.59499999999999997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1.2749999999999999</v>
      </c>
      <c r="AU1139">
        <v>0</v>
      </c>
      <c r="AV1139">
        <v>0</v>
      </c>
    </row>
    <row r="1140" spans="1:48" x14ac:dyDescent="0.15">
      <c r="A1140" s="4" t="str">
        <f>HYPERLINK("https://ibp.a2mac1.com/costing(costing:projects/details/9760/equipment/12212225)","No.01 - Injection Press - 40T - 18kW - 270x270 - Max Volume 128cm3 ")</f>
        <v xml:space="preserve">No.01 - Injection Press - 40T - 18kW - 270x270 - Max Volume 128cm3 </v>
      </c>
      <c r="B1140">
        <v>12212225</v>
      </c>
      <c r="C1140">
        <v>12085133</v>
      </c>
      <c r="E1140" t="s">
        <v>1630</v>
      </c>
      <c r="H1140" t="s">
        <v>162</v>
      </c>
      <c r="I1140">
        <v>13574.9072</v>
      </c>
      <c r="J1140">
        <v>0</v>
      </c>
      <c r="K1140">
        <v>1.6020000000000001</v>
      </c>
      <c r="L1140">
        <v>0</v>
      </c>
      <c r="M1140">
        <v>4.4266395371263263</v>
      </c>
      <c r="N1140">
        <v>0</v>
      </c>
      <c r="O1140">
        <v>3.9965964245828781E-2</v>
      </c>
      <c r="P1140">
        <v>9.3252782713333336E-3</v>
      </c>
      <c r="Q1140">
        <v>1.7728271722275795E-3</v>
      </c>
      <c r="R1140">
        <v>80000</v>
      </c>
      <c r="S1140">
        <v>0</v>
      </c>
      <c r="T1140">
        <v>0</v>
      </c>
      <c r="V1140">
        <v>7200</v>
      </c>
      <c r="W1140">
        <v>8</v>
      </c>
      <c r="X1140">
        <v>85</v>
      </c>
      <c r="Y1140">
        <v>3</v>
      </c>
      <c r="Z1140">
        <v>4</v>
      </c>
      <c r="AA1140">
        <v>5</v>
      </c>
      <c r="AB1140">
        <v>0</v>
      </c>
      <c r="AC1140">
        <v>0</v>
      </c>
      <c r="AD1140">
        <v>0</v>
      </c>
      <c r="AE1140">
        <v>0</v>
      </c>
      <c r="AF1140">
        <v>0.25</v>
      </c>
      <c r="AG1140">
        <v>0</v>
      </c>
      <c r="AH1140">
        <v>0</v>
      </c>
      <c r="AI1140">
        <v>2</v>
      </c>
      <c r="AJ1140">
        <v>0</v>
      </c>
      <c r="AK1140">
        <v>0</v>
      </c>
      <c r="AL1140">
        <v>97</v>
      </c>
      <c r="AM1140">
        <v>20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20</v>
      </c>
      <c r="AU1140">
        <v>0.05</v>
      </c>
      <c r="AV1140">
        <v>0</v>
      </c>
    </row>
    <row r="1141" spans="1:48" x14ac:dyDescent="0.15">
      <c r="A1141" s="4" t="str">
        <f>HYPERLINK("https://ibp.a2mac1.com/costing(costing:projects/details/9760/equipment/12212226)","No.01 - Injection Press - 40T - 18kW - 270x270 - Max Volume 128cm3 ")</f>
        <v xml:space="preserve">No.01 - Injection Press - 40T - 18kW - 270x270 - Max Volume 128cm3 </v>
      </c>
      <c r="B1141">
        <v>12212226</v>
      </c>
      <c r="C1141">
        <v>12085134</v>
      </c>
      <c r="E1141" t="s">
        <v>1630</v>
      </c>
      <c r="H1141" t="s">
        <v>162</v>
      </c>
      <c r="I1141">
        <v>13574.9072</v>
      </c>
      <c r="J1141">
        <v>0</v>
      </c>
      <c r="K1141">
        <v>1.6020000000000001</v>
      </c>
      <c r="L1141">
        <v>0</v>
      </c>
      <c r="M1141">
        <v>4.4266395371263263</v>
      </c>
      <c r="N1141">
        <v>0</v>
      </c>
      <c r="O1141">
        <v>3.9965964245828781E-2</v>
      </c>
      <c r="P1141">
        <v>9.3252782713333336E-3</v>
      </c>
      <c r="Q1141">
        <v>1.7728271722275795E-3</v>
      </c>
      <c r="R1141">
        <v>80000</v>
      </c>
      <c r="S1141">
        <v>0</v>
      </c>
      <c r="T1141">
        <v>0</v>
      </c>
      <c r="V1141">
        <v>7200</v>
      </c>
      <c r="W1141">
        <v>8</v>
      </c>
      <c r="X1141">
        <v>85</v>
      </c>
      <c r="Y1141">
        <v>3</v>
      </c>
      <c r="Z1141">
        <v>4</v>
      </c>
      <c r="AA1141">
        <v>5</v>
      </c>
      <c r="AB1141">
        <v>0</v>
      </c>
      <c r="AC1141">
        <v>0</v>
      </c>
      <c r="AD1141">
        <v>0</v>
      </c>
      <c r="AE1141">
        <v>0</v>
      </c>
      <c r="AF1141">
        <v>0.25</v>
      </c>
      <c r="AG1141">
        <v>0</v>
      </c>
      <c r="AH1141">
        <v>0</v>
      </c>
      <c r="AI1141">
        <v>2</v>
      </c>
      <c r="AJ1141">
        <v>0</v>
      </c>
      <c r="AK1141">
        <v>0</v>
      </c>
      <c r="AL1141">
        <v>97</v>
      </c>
      <c r="AM1141">
        <v>20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20</v>
      </c>
      <c r="AU1141">
        <v>0.05</v>
      </c>
      <c r="AV1141">
        <v>0</v>
      </c>
    </row>
    <row r="1142" spans="1:48" x14ac:dyDescent="0.15">
      <c r="A1142" s="4" t="str">
        <f>HYPERLINK("https://ibp.a2mac1.com/costing(costing:projects/details/9760/equipment/12212465)","DC machine - General")</f>
        <v>DC machine - General</v>
      </c>
      <c r="B1142">
        <v>12212465</v>
      </c>
      <c r="C1142">
        <v>12085369</v>
      </c>
      <c r="E1142" t="s">
        <v>738</v>
      </c>
      <c r="H1142" t="s">
        <v>162</v>
      </c>
      <c r="I1142">
        <v>116914.84457142858</v>
      </c>
      <c r="J1142">
        <v>0</v>
      </c>
      <c r="K1142">
        <v>3.6</v>
      </c>
      <c r="L1142">
        <v>0</v>
      </c>
      <c r="M1142">
        <v>27.497982091197134</v>
      </c>
      <c r="N1142">
        <v>0</v>
      </c>
      <c r="O1142">
        <v>0.17568155224931503</v>
      </c>
      <c r="P1142">
        <v>2.6395566666666665E-2</v>
      </c>
      <c r="Q1142">
        <v>1.1732166376415484E-2</v>
      </c>
      <c r="R1142">
        <v>635568</v>
      </c>
      <c r="S1142">
        <v>0</v>
      </c>
      <c r="T1142">
        <v>0</v>
      </c>
      <c r="V1142">
        <v>10800</v>
      </c>
      <c r="W1142">
        <v>7</v>
      </c>
      <c r="X1142">
        <v>85</v>
      </c>
      <c r="Y1142">
        <v>3</v>
      </c>
      <c r="Z1142">
        <v>4</v>
      </c>
      <c r="AA1142">
        <v>5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3</v>
      </c>
      <c r="AJ1142">
        <v>0</v>
      </c>
      <c r="AK1142">
        <v>0</v>
      </c>
      <c r="AL1142">
        <v>100</v>
      </c>
      <c r="AM1142">
        <v>45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100</v>
      </c>
      <c r="AU1142">
        <v>0</v>
      </c>
      <c r="AV1142">
        <v>0</v>
      </c>
    </row>
    <row r="1143" spans="1:48" x14ac:dyDescent="0.15">
      <c r="A1143" s="4" t="str">
        <f>HYPERLINK("https://ibp.a2mac1.com/costing(costing:projects/details/9760/equipment/12212466)","DC machine - General")</f>
        <v>DC machine - General</v>
      </c>
      <c r="B1143">
        <v>12212466</v>
      </c>
      <c r="C1143">
        <v>12085370</v>
      </c>
      <c r="E1143" t="s">
        <v>738</v>
      </c>
      <c r="H1143" t="s">
        <v>162</v>
      </c>
      <c r="I1143">
        <v>116914.84457142858</v>
      </c>
      <c r="J1143">
        <v>0</v>
      </c>
      <c r="K1143">
        <v>3.6</v>
      </c>
      <c r="L1143">
        <v>0</v>
      </c>
      <c r="M1143">
        <v>27.497982091197134</v>
      </c>
      <c r="N1143">
        <v>0</v>
      </c>
      <c r="O1143">
        <v>0.16804322389064916</v>
      </c>
      <c r="P1143">
        <v>2.5247933333333333E-2</v>
      </c>
      <c r="Q1143">
        <v>1.1732166376415484E-2</v>
      </c>
      <c r="R1143">
        <v>635568</v>
      </c>
      <c r="S1143">
        <v>0</v>
      </c>
      <c r="T1143">
        <v>0</v>
      </c>
      <c r="V1143">
        <v>10800</v>
      </c>
      <c r="W1143">
        <v>7</v>
      </c>
      <c r="X1143">
        <v>85</v>
      </c>
      <c r="Y1143">
        <v>3</v>
      </c>
      <c r="Z1143">
        <v>4</v>
      </c>
      <c r="AA1143">
        <v>5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3</v>
      </c>
      <c r="AJ1143">
        <v>0</v>
      </c>
      <c r="AK1143">
        <v>0</v>
      </c>
      <c r="AL1143">
        <v>100</v>
      </c>
      <c r="AM1143">
        <v>45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100</v>
      </c>
      <c r="AU1143">
        <v>0</v>
      </c>
      <c r="AV1143">
        <v>0</v>
      </c>
    </row>
    <row r="1144" spans="1:48" x14ac:dyDescent="0.15">
      <c r="A1144" s="4" t="str">
        <f>HYPERLINK("https://ibp.a2mac1.com/costing(costing:projects/details/9760/equipment/12212467)","DC machine - General")</f>
        <v>DC machine - General</v>
      </c>
      <c r="B1144">
        <v>12212467</v>
      </c>
      <c r="C1144">
        <v>12085371</v>
      </c>
      <c r="E1144" t="s">
        <v>738</v>
      </c>
      <c r="H1144" t="s">
        <v>162</v>
      </c>
      <c r="I1144">
        <v>116914.84457142858</v>
      </c>
      <c r="J1144">
        <v>0</v>
      </c>
      <c r="K1144">
        <v>3.6</v>
      </c>
      <c r="L1144">
        <v>0</v>
      </c>
      <c r="M1144">
        <v>27.497982091197134</v>
      </c>
      <c r="N1144">
        <v>0</v>
      </c>
      <c r="O1144">
        <v>0.17568155224931503</v>
      </c>
      <c r="P1144">
        <v>2.6395566666666665E-2</v>
      </c>
      <c r="Q1144">
        <v>1.1732166376415484E-2</v>
      </c>
      <c r="R1144">
        <v>635568</v>
      </c>
      <c r="S1144">
        <v>0</v>
      </c>
      <c r="T1144">
        <v>0</v>
      </c>
      <c r="V1144">
        <v>10800</v>
      </c>
      <c r="W1144">
        <v>7</v>
      </c>
      <c r="X1144">
        <v>85</v>
      </c>
      <c r="Y1144">
        <v>3</v>
      </c>
      <c r="Z1144">
        <v>4</v>
      </c>
      <c r="AA1144">
        <v>5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3</v>
      </c>
      <c r="AJ1144">
        <v>0</v>
      </c>
      <c r="AK1144">
        <v>0</v>
      </c>
      <c r="AL1144">
        <v>100</v>
      </c>
      <c r="AM1144">
        <v>45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100</v>
      </c>
      <c r="AU1144">
        <v>0</v>
      </c>
      <c r="AV1144">
        <v>0</v>
      </c>
    </row>
    <row r="1145" spans="1:48" x14ac:dyDescent="0.15">
      <c r="A1145" s="4" t="str">
        <f>HYPERLINK("https://ibp.a2mac1.com/costing(costing:projects/details/9760/equipment/12212468)","DC machine - General")</f>
        <v>DC machine - General</v>
      </c>
      <c r="B1145">
        <v>12212468</v>
      </c>
      <c r="C1145">
        <v>12085372</v>
      </c>
      <c r="E1145" t="s">
        <v>738</v>
      </c>
      <c r="H1145" t="s">
        <v>162</v>
      </c>
      <c r="I1145">
        <v>116914.84457142858</v>
      </c>
      <c r="J1145">
        <v>0</v>
      </c>
      <c r="K1145">
        <v>3.6</v>
      </c>
      <c r="L1145">
        <v>0</v>
      </c>
      <c r="M1145">
        <v>27.497982091197134</v>
      </c>
      <c r="N1145">
        <v>0</v>
      </c>
      <c r="O1145">
        <v>0.17568155224931503</v>
      </c>
      <c r="P1145">
        <v>2.6395566666666665E-2</v>
      </c>
      <c r="Q1145">
        <v>1.1732166376415484E-2</v>
      </c>
      <c r="R1145">
        <v>635568</v>
      </c>
      <c r="S1145">
        <v>0</v>
      </c>
      <c r="T1145">
        <v>0</v>
      </c>
      <c r="V1145">
        <v>10800</v>
      </c>
      <c r="W1145">
        <v>7</v>
      </c>
      <c r="X1145">
        <v>85</v>
      </c>
      <c r="Y1145">
        <v>3</v>
      </c>
      <c r="Z1145">
        <v>4</v>
      </c>
      <c r="AA1145">
        <v>5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3</v>
      </c>
      <c r="AJ1145">
        <v>0</v>
      </c>
      <c r="AK1145">
        <v>0</v>
      </c>
      <c r="AL1145">
        <v>100</v>
      </c>
      <c r="AM1145">
        <v>45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100</v>
      </c>
      <c r="AU1145">
        <v>0</v>
      </c>
      <c r="AV1145">
        <v>0</v>
      </c>
    </row>
    <row r="1146" spans="1:48" x14ac:dyDescent="0.15">
      <c r="A1146" s="4" t="str">
        <f>HYPERLINK("https://ibp.a2mac1.com/costing(costing:projects/details/9760/equipment/12212227)","DC machine - General")</f>
        <v>DC machine - General</v>
      </c>
      <c r="B1146">
        <v>12212227</v>
      </c>
      <c r="C1146">
        <v>12085135</v>
      </c>
      <c r="E1146" t="s">
        <v>738</v>
      </c>
      <c r="H1146" t="s">
        <v>162</v>
      </c>
      <c r="I1146">
        <v>116914.84457142858</v>
      </c>
      <c r="J1146">
        <v>0</v>
      </c>
      <c r="K1146">
        <v>3.6</v>
      </c>
      <c r="L1146">
        <v>0</v>
      </c>
      <c r="M1146">
        <v>27.497982091197134</v>
      </c>
      <c r="N1146">
        <v>0</v>
      </c>
      <c r="O1146">
        <v>1.1610259105172123</v>
      </c>
      <c r="P1146">
        <v>0.17444026666666668</v>
      </c>
      <c r="Q1146">
        <v>1.1732166376415484E-2</v>
      </c>
      <c r="R1146">
        <v>635568</v>
      </c>
      <c r="S1146">
        <v>0</v>
      </c>
      <c r="T1146">
        <v>0</v>
      </c>
      <c r="V1146">
        <v>10800</v>
      </c>
      <c r="W1146">
        <v>7</v>
      </c>
      <c r="X1146">
        <v>85</v>
      </c>
      <c r="Y1146">
        <v>3</v>
      </c>
      <c r="Z1146">
        <v>4</v>
      </c>
      <c r="AA1146">
        <v>5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3</v>
      </c>
      <c r="AJ1146">
        <v>0</v>
      </c>
      <c r="AK1146">
        <v>0</v>
      </c>
      <c r="AL1146">
        <v>100</v>
      </c>
      <c r="AM1146">
        <v>45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100</v>
      </c>
      <c r="AU1146">
        <v>0</v>
      </c>
      <c r="AV1146">
        <v>0</v>
      </c>
    </row>
    <row r="1147" spans="1:48" x14ac:dyDescent="0.15">
      <c r="A1147" s="4" t="str">
        <f>HYPERLINK("https://ibp.a2mac1.com/costing(costing:projects/details/9760/equipment/12212228)","DC machine - General")</f>
        <v>DC machine - General</v>
      </c>
      <c r="B1147">
        <v>12212228</v>
      </c>
      <c r="C1147">
        <v>12085136</v>
      </c>
      <c r="E1147" t="s">
        <v>738</v>
      </c>
      <c r="H1147" t="s">
        <v>162</v>
      </c>
      <c r="I1147">
        <v>116914.84457142858</v>
      </c>
      <c r="J1147">
        <v>0</v>
      </c>
      <c r="K1147">
        <v>3.6</v>
      </c>
      <c r="L1147">
        <v>0</v>
      </c>
      <c r="M1147">
        <v>27.497982091197134</v>
      </c>
      <c r="N1147">
        <v>0</v>
      </c>
      <c r="O1147">
        <v>1.1457492537998806</v>
      </c>
      <c r="P1147">
        <v>0.17214499999999999</v>
      </c>
      <c r="Q1147">
        <v>1.1732166376415484E-2</v>
      </c>
      <c r="R1147">
        <v>635568</v>
      </c>
      <c r="S1147">
        <v>0</v>
      </c>
      <c r="T1147">
        <v>0</v>
      </c>
      <c r="V1147">
        <v>10800</v>
      </c>
      <c r="W1147">
        <v>7</v>
      </c>
      <c r="X1147">
        <v>85</v>
      </c>
      <c r="Y1147">
        <v>3</v>
      </c>
      <c r="Z1147">
        <v>4</v>
      </c>
      <c r="AA1147">
        <v>5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3</v>
      </c>
      <c r="AJ1147">
        <v>0</v>
      </c>
      <c r="AK1147">
        <v>0</v>
      </c>
      <c r="AL1147">
        <v>100</v>
      </c>
      <c r="AM1147">
        <v>45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100</v>
      </c>
      <c r="AU1147">
        <v>0</v>
      </c>
      <c r="AV1147">
        <v>0</v>
      </c>
    </row>
    <row r="1148" spans="1:48" x14ac:dyDescent="0.15">
      <c r="A1148" s="4" t="str">
        <f>HYPERLINK("https://ibp.a2mac1.com/costing(costing:projects/details/9760/equipment/12212469)","DC machine - General")</f>
        <v>DC machine - General</v>
      </c>
      <c r="B1148">
        <v>12212469</v>
      </c>
      <c r="C1148">
        <v>12085373</v>
      </c>
      <c r="E1148" t="s">
        <v>738</v>
      </c>
      <c r="H1148" t="s">
        <v>162</v>
      </c>
      <c r="I1148">
        <v>116914.84457142858</v>
      </c>
      <c r="J1148">
        <v>0</v>
      </c>
      <c r="K1148">
        <v>3.6</v>
      </c>
      <c r="L1148">
        <v>0</v>
      </c>
      <c r="M1148">
        <v>27.497982091197134</v>
      </c>
      <c r="N1148">
        <v>0</v>
      </c>
      <c r="O1148">
        <v>7.6383283586658711E-3</v>
      </c>
      <c r="P1148">
        <v>1.1476333333333333E-3</v>
      </c>
      <c r="Q1148">
        <v>1.1732166376415484E-2</v>
      </c>
      <c r="R1148">
        <v>635568</v>
      </c>
      <c r="S1148">
        <v>0</v>
      </c>
      <c r="T1148">
        <v>0</v>
      </c>
      <c r="V1148">
        <v>10800</v>
      </c>
      <c r="W1148">
        <v>7</v>
      </c>
      <c r="X1148">
        <v>85</v>
      </c>
      <c r="Y1148">
        <v>3</v>
      </c>
      <c r="Z1148">
        <v>4</v>
      </c>
      <c r="AA1148">
        <v>5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3</v>
      </c>
      <c r="AJ1148">
        <v>0</v>
      </c>
      <c r="AK1148">
        <v>0</v>
      </c>
      <c r="AL1148">
        <v>100</v>
      </c>
      <c r="AM1148">
        <v>45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100</v>
      </c>
      <c r="AU1148">
        <v>0</v>
      </c>
      <c r="AV1148">
        <v>0</v>
      </c>
    </row>
    <row r="1149" spans="1:48" x14ac:dyDescent="0.15">
      <c r="A1149" s="4" t="str">
        <f>HYPERLINK("https://ibp.a2mac1.com/costing(costing:projects/details/9760/equipment/12212229)","DC machine - General")</f>
        <v>DC machine - General</v>
      </c>
      <c r="B1149">
        <v>12212229</v>
      </c>
      <c r="C1149">
        <v>12085137</v>
      </c>
      <c r="E1149" t="s">
        <v>738</v>
      </c>
      <c r="H1149" t="s">
        <v>162</v>
      </c>
      <c r="I1149">
        <v>116914.84457142858</v>
      </c>
      <c r="J1149">
        <v>0</v>
      </c>
      <c r="K1149">
        <v>3.6</v>
      </c>
      <c r="L1149">
        <v>0</v>
      </c>
      <c r="M1149">
        <v>27.497982091197134</v>
      </c>
      <c r="N1149">
        <v>0</v>
      </c>
      <c r="O1149">
        <v>3.8191641793329352E-2</v>
      </c>
      <c r="P1149">
        <v>5.7381666666666666E-3</v>
      </c>
      <c r="Q1149">
        <v>1.1732166376415484E-2</v>
      </c>
      <c r="R1149">
        <v>635568</v>
      </c>
      <c r="S1149">
        <v>0</v>
      </c>
      <c r="T1149">
        <v>0</v>
      </c>
      <c r="V1149">
        <v>10800</v>
      </c>
      <c r="W1149">
        <v>7</v>
      </c>
      <c r="X1149">
        <v>85</v>
      </c>
      <c r="Y1149">
        <v>3</v>
      </c>
      <c r="Z1149">
        <v>4</v>
      </c>
      <c r="AA1149">
        <v>5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3</v>
      </c>
      <c r="AJ1149">
        <v>0</v>
      </c>
      <c r="AK1149">
        <v>0</v>
      </c>
      <c r="AL1149">
        <v>100</v>
      </c>
      <c r="AM1149">
        <v>45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100</v>
      </c>
      <c r="AU1149">
        <v>0</v>
      </c>
      <c r="AV1149">
        <v>0</v>
      </c>
    </row>
    <row r="1150" spans="1:48" x14ac:dyDescent="0.15">
      <c r="A1150" s="4" t="str">
        <f>HYPERLINK("https://ibp.a2mac1.com/costing(costing:projects/details/9760/equipment/12212230)","DC machine - General")</f>
        <v>DC machine - General</v>
      </c>
      <c r="B1150">
        <v>12212230</v>
      </c>
      <c r="C1150">
        <v>12085138</v>
      </c>
      <c r="E1150" t="s">
        <v>738</v>
      </c>
      <c r="H1150" t="s">
        <v>162</v>
      </c>
      <c r="I1150">
        <v>116914.84457142858</v>
      </c>
      <c r="J1150">
        <v>0</v>
      </c>
      <c r="K1150">
        <v>3.6</v>
      </c>
      <c r="L1150">
        <v>0</v>
      </c>
      <c r="M1150">
        <v>27.497982091197134</v>
      </c>
      <c r="N1150">
        <v>0</v>
      </c>
      <c r="O1150">
        <v>3.8191641793329352E-2</v>
      </c>
      <c r="P1150">
        <v>5.7381666666666666E-3</v>
      </c>
      <c r="Q1150">
        <v>1.1732166376415484E-2</v>
      </c>
      <c r="R1150">
        <v>635568</v>
      </c>
      <c r="S1150">
        <v>0</v>
      </c>
      <c r="T1150">
        <v>0</v>
      </c>
      <c r="V1150">
        <v>10800</v>
      </c>
      <c r="W1150">
        <v>7</v>
      </c>
      <c r="X1150">
        <v>85</v>
      </c>
      <c r="Y1150">
        <v>3</v>
      </c>
      <c r="Z1150">
        <v>4</v>
      </c>
      <c r="AA1150">
        <v>5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3</v>
      </c>
      <c r="AJ1150">
        <v>0</v>
      </c>
      <c r="AK1150">
        <v>0</v>
      </c>
      <c r="AL1150">
        <v>100</v>
      </c>
      <c r="AM1150">
        <v>45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100</v>
      </c>
      <c r="AU1150">
        <v>0</v>
      </c>
      <c r="AV1150">
        <v>0</v>
      </c>
    </row>
    <row r="1151" spans="1:48" x14ac:dyDescent="0.15">
      <c r="A1151" s="4" t="str">
        <f>HYPERLINK("https://ibp.a2mac1.com/costing(costing:projects/details/9760/equipment/12212930)","DC machine - General")</f>
        <v>DC machine - General</v>
      </c>
      <c r="B1151">
        <v>12212930</v>
      </c>
      <c r="C1151">
        <v>12085800</v>
      </c>
      <c r="E1151" t="s">
        <v>738</v>
      </c>
      <c r="H1151" t="s">
        <v>162</v>
      </c>
      <c r="I1151">
        <v>116914.84457142858</v>
      </c>
      <c r="J1151">
        <v>0</v>
      </c>
      <c r="K1151">
        <v>3.6</v>
      </c>
      <c r="L1151">
        <v>0</v>
      </c>
      <c r="M1151">
        <v>27.497982091197134</v>
      </c>
      <c r="N1151">
        <v>0</v>
      </c>
      <c r="O1151">
        <v>1.1686642388758781</v>
      </c>
      <c r="P1151">
        <v>0.17558789999999999</v>
      </c>
      <c r="Q1151">
        <v>5.8660831882077422E-3</v>
      </c>
      <c r="R1151">
        <v>635568</v>
      </c>
      <c r="S1151">
        <v>0</v>
      </c>
      <c r="T1151">
        <v>0</v>
      </c>
      <c r="V1151">
        <v>10800</v>
      </c>
      <c r="W1151">
        <v>7</v>
      </c>
      <c r="X1151">
        <v>85</v>
      </c>
      <c r="Y1151">
        <v>3</v>
      </c>
      <c r="Z1151">
        <v>4</v>
      </c>
      <c r="AA1151">
        <v>5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3</v>
      </c>
      <c r="AJ1151">
        <v>0</v>
      </c>
      <c r="AK1151">
        <v>0</v>
      </c>
      <c r="AL1151">
        <v>100</v>
      </c>
      <c r="AM1151">
        <v>45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100</v>
      </c>
      <c r="AU1151">
        <v>0</v>
      </c>
      <c r="AV1151">
        <v>0</v>
      </c>
    </row>
    <row r="1152" spans="1:48" x14ac:dyDescent="0.15">
      <c r="A1152" s="4" t="str">
        <f>HYPERLINK("https://ibp.a2mac1.com/costing(costing:projects/details/9760/equipment/12212931)","DC machine - General")</f>
        <v>DC machine - General</v>
      </c>
      <c r="B1152">
        <v>12212931</v>
      </c>
      <c r="C1152">
        <v>12085801</v>
      </c>
      <c r="E1152" t="s">
        <v>738</v>
      </c>
      <c r="H1152" t="s">
        <v>162</v>
      </c>
      <c r="I1152">
        <v>116914.84457142858</v>
      </c>
      <c r="J1152">
        <v>0</v>
      </c>
      <c r="K1152">
        <v>3.6</v>
      </c>
      <c r="L1152">
        <v>0</v>
      </c>
      <c r="M1152">
        <v>27.497982091197134</v>
      </c>
      <c r="N1152">
        <v>0</v>
      </c>
      <c r="O1152">
        <v>0.67217289556259663</v>
      </c>
      <c r="P1152">
        <v>0.10099173333333333</v>
      </c>
      <c r="Q1152">
        <v>5.8660831882077422E-3</v>
      </c>
      <c r="R1152">
        <v>635568</v>
      </c>
      <c r="S1152">
        <v>0</v>
      </c>
      <c r="T1152">
        <v>0</v>
      </c>
      <c r="V1152">
        <v>10800</v>
      </c>
      <c r="W1152">
        <v>7</v>
      </c>
      <c r="X1152">
        <v>85</v>
      </c>
      <c r="Y1152">
        <v>3</v>
      </c>
      <c r="Z1152">
        <v>4</v>
      </c>
      <c r="AA1152">
        <v>5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3</v>
      </c>
      <c r="AJ1152">
        <v>0</v>
      </c>
      <c r="AK1152">
        <v>0</v>
      </c>
      <c r="AL1152">
        <v>100</v>
      </c>
      <c r="AM1152">
        <v>45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100</v>
      </c>
      <c r="AU1152">
        <v>0</v>
      </c>
      <c r="AV1152">
        <v>0</v>
      </c>
    </row>
    <row r="1153" spans="1:48" x14ac:dyDescent="0.15">
      <c r="A1153" s="4" t="str">
        <f>HYPERLINK("https://ibp.a2mac1.com/costing(costing:projects/details/9760/equipment/12212932)","DC machine - General")</f>
        <v>DC machine - General</v>
      </c>
      <c r="B1153">
        <v>12212932</v>
      </c>
      <c r="C1153">
        <v>12085802</v>
      </c>
      <c r="E1153" t="s">
        <v>738</v>
      </c>
      <c r="H1153" t="s">
        <v>162</v>
      </c>
      <c r="I1153">
        <v>116914.84457142858</v>
      </c>
      <c r="J1153">
        <v>0</v>
      </c>
      <c r="K1153">
        <v>3.6</v>
      </c>
      <c r="L1153">
        <v>0</v>
      </c>
      <c r="M1153">
        <v>27.497982091197134</v>
      </c>
      <c r="N1153">
        <v>0</v>
      </c>
      <c r="O1153">
        <v>0.11457492537998806</v>
      </c>
      <c r="P1153">
        <v>1.7214500000000001E-2</v>
      </c>
      <c r="Q1153">
        <v>5.8660831882077422E-3</v>
      </c>
      <c r="R1153">
        <v>635568</v>
      </c>
      <c r="S1153">
        <v>0</v>
      </c>
      <c r="T1153">
        <v>0</v>
      </c>
      <c r="V1153">
        <v>10800</v>
      </c>
      <c r="W1153">
        <v>7</v>
      </c>
      <c r="X1153">
        <v>85</v>
      </c>
      <c r="Y1153">
        <v>3</v>
      </c>
      <c r="Z1153">
        <v>4</v>
      </c>
      <c r="AA1153">
        <v>5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3</v>
      </c>
      <c r="AJ1153">
        <v>0</v>
      </c>
      <c r="AK1153">
        <v>0</v>
      </c>
      <c r="AL1153">
        <v>100</v>
      </c>
      <c r="AM1153">
        <v>45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100</v>
      </c>
      <c r="AU1153">
        <v>0</v>
      </c>
      <c r="AV1153">
        <v>0</v>
      </c>
    </row>
    <row r="1154" spans="1:48" x14ac:dyDescent="0.15">
      <c r="A1154" s="4" t="str">
        <f>HYPERLINK("https://ibp.a2mac1.com/costing(costing:projects/details/9760/equipment/12212933)","DC machine - General")</f>
        <v>DC machine - General</v>
      </c>
      <c r="B1154">
        <v>12212933</v>
      </c>
      <c r="C1154">
        <v>12085803</v>
      </c>
      <c r="E1154" t="s">
        <v>738</v>
      </c>
      <c r="H1154" t="s">
        <v>162</v>
      </c>
      <c r="I1154">
        <v>116914.84457142858</v>
      </c>
      <c r="J1154">
        <v>0</v>
      </c>
      <c r="K1154">
        <v>3.6</v>
      </c>
      <c r="L1154">
        <v>0</v>
      </c>
      <c r="M1154">
        <v>27.497982091197134</v>
      </c>
      <c r="N1154">
        <v>0</v>
      </c>
      <c r="O1154">
        <v>6.8744955227992843E-2</v>
      </c>
      <c r="P1154">
        <v>1.03287E-2</v>
      </c>
      <c r="Q1154">
        <v>1.1732166376415484E-2</v>
      </c>
      <c r="R1154">
        <v>635568</v>
      </c>
      <c r="S1154">
        <v>0</v>
      </c>
      <c r="T1154">
        <v>0</v>
      </c>
      <c r="V1154">
        <v>10800</v>
      </c>
      <c r="W1154">
        <v>7</v>
      </c>
      <c r="X1154">
        <v>85</v>
      </c>
      <c r="Y1154">
        <v>3</v>
      </c>
      <c r="Z1154">
        <v>4</v>
      </c>
      <c r="AA1154">
        <v>5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3</v>
      </c>
      <c r="AJ1154">
        <v>0</v>
      </c>
      <c r="AK1154">
        <v>0</v>
      </c>
      <c r="AL1154">
        <v>100</v>
      </c>
      <c r="AM1154">
        <v>45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100</v>
      </c>
      <c r="AU1154">
        <v>0</v>
      </c>
      <c r="AV1154">
        <v>0</v>
      </c>
    </row>
    <row r="1155" spans="1:48" x14ac:dyDescent="0.15">
      <c r="A1155" s="4" t="str">
        <f>HYPERLINK("https://ibp.a2mac1.com/costing(costing:projects/details/9760/equipment/12212934)","DC machine - General")</f>
        <v>DC machine - General</v>
      </c>
      <c r="B1155">
        <v>12212934</v>
      </c>
      <c r="C1155">
        <v>12085804</v>
      </c>
      <c r="E1155" t="s">
        <v>738</v>
      </c>
      <c r="H1155" t="s">
        <v>162</v>
      </c>
      <c r="I1155">
        <v>116914.84457142858</v>
      </c>
      <c r="J1155">
        <v>0</v>
      </c>
      <c r="K1155">
        <v>3.6</v>
      </c>
      <c r="L1155">
        <v>0</v>
      </c>
      <c r="M1155">
        <v>27.497982091197134</v>
      </c>
      <c r="N1155">
        <v>0</v>
      </c>
      <c r="O1155">
        <v>3.8191641793329352E-2</v>
      </c>
      <c r="P1155">
        <v>5.7381666666666666E-3</v>
      </c>
      <c r="Q1155">
        <v>1.1732166376415484E-2</v>
      </c>
      <c r="R1155">
        <v>635568</v>
      </c>
      <c r="S1155">
        <v>0</v>
      </c>
      <c r="T1155">
        <v>0</v>
      </c>
      <c r="V1155">
        <v>10800</v>
      </c>
      <c r="W1155">
        <v>7</v>
      </c>
      <c r="X1155">
        <v>85</v>
      </c>
      <c r="Y1155">
        <v>3</v>
      </c>
      <c r="Z1155">
        <v>4</v>
      </c>
      <c r="AA1155">
        <v>5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3</v>
      </c>
      <c r="AJ1155">
        <v>0</v>
      </c>
      <c r="AK1155">
        <v>0</v>
      </c>
      <c r="AL1155">
        <v>100</v>
      </c>
      <c r="AM1155">
        <v>45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100</v>
      </c>
      <c r="AU1155">
        <v>0</v>
      </c>
      <c r="AV1155">
        <v>0</v>
      </c>
    </row>
    <row r="1156" spans="1:48" x14ac:dyDescent="0.15">
      <c r="A1156" s="4" t="str">
        <f>HYPERLINK("https://ibp.a2mac1.com/costing(costing:projects/details/9760/equipment/12212935)","DC machine - General")</f>
        <v>DC machine - General</v>
      </c>
      <c r="B1156">
        <v>12212935</v>
      </c>
      <c r="C1156">
        <v>12085805</v>
      </c>
      <c r="E1156" t="s">
        <v>738</v>
      </c>
      <c r="H1156" t="s">
        <v>162</v>
      </c>
      <c r="I1156">
        <v>116914.84457142858</v>
      </c>
      <c r="J1156">
        <v>0</v>
      </c>
      <c r="K1156">
        <v>3.6</v>
      </c>
      <c r="L1156">
        <v>0</v>
      </c>
      <c r="M1156">
        <v>27.497982091197134</v>
      </c>
      <c r="N1156">
        <v>0</v>
      </c>
      <c r="O1156">
        <v>6.148854328726026</v>
      </c>
      <c r="P1156">
        <v>0.92384483333333334</v>
      </c>
      <c r="Q1156">
        <v>1.1732166376415484E-2</v>
      </c>
      <c r="R1156">
        <v>635568</v>
      </c>
      <c r="S1156">
        <v>0</v>
      </c>
      <c r="T1156">
        <v>0</v>
      </c>
      <c r="V1156">
        <v>10800</v>
      </c>
      <c r="W1156">
        <v>7</v>
      </c>
      <c r="X1156">
        <v>85</v>
      </c>
      <c r="Y1156">
        <v>3</v>
      </c>
      <c r="Z1156">
        <v>4</v>
      </c>
      <c r="AA1156">
        <v>5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3</v>
      </c>
      <c r="AJ1156">
        <v>0</v>
      </c>
      <c r="AK1156">
        <v>0</v>
      </c>
      <c r="AL1156">
        <v>100</v>
      </c>
      <c r="AM1156">
        <v>45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100</v>
      </c>
      <c r="AU1156">
        <v>0</v>
      </c>
      <c r="AV1156">
        <v>0</v>
      </c>
    </row>
    <row r="1157" spans="1:48" x14ac:dyDescent="0.15">
      <c r="A1157" s="4" t="str">
        <f>HYPERLINK("https://ibp.a2mac1.com/costing(costing:projects/details/9760/equipment/12212470)","DC machine - General")</f>
        <v>DC machine - General</v>
      </c>
      <c r="B1157">
        <v>12212470</v>
      </c>
      <c r="C1157">
        <v>12085374</v>
      </c>
      <c r="E1157" t="s">
        <v>738</v>
      </c>
      <c r="H1157" t="s">
        <v>162</v>
      </c>
      <c r="I1157">
        <v>116914.84457142858</v>
      </c>
      <c r="J1157">
        <v>0</v>
      </c>
      <c r="K1157">
        <v>3.6</v>
      </c>
      <c r="L1157">
        <v>0</v>
      </c>
      <c r="M1157">
        <v>27.497982091197134</v>
      </c>
      <c r="N1157">
        <v>0</v>
      </c>
      <c r="O1157">
        <v>6.9126871645926133</v>
      </c>
      <c r="P1157">
        <v>1.0386081666666667</v>
      </c>
      <c r="Q1157">
        <v>1.1732166376415484E-2</v>
      </c>
      <c r="R1157">
        <v>635568</v>
      </c>
      <c r="S1157">
        <v>0</v>
      </c>
      <c r="T1157">
        <v>0</v>
      </c>
      <c r="V1157">
        <v>10800</v>
      </c>
      <c r="W1157">
        <v>7</v>
      </c>
      <c r="X1157">
        <v>85</v>
      </c>
      <c r="Y1157">
        <v>3</v>
      </c>
      <c r="Z1157">
        <v>4</v>
      </c>
      <c r="AA1157">
        <v>5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3</v>
      </c>
      <c r="AJ1157">
        <v>0</v>
      </c>
      <c r="AK1157">
        <v>0</v>
      </c>
      <c r="AL1157">
        <v>100</v>
      </c>
      <c r="AM1157">
        <v>45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100</v>
      </c>
      <c r="AU1157">
        <v>0</v>
      </c>
      <c r="AV1157">
        <v>0</v>
      </c>
    </row>
    <row r="1158" spans="1:48" x14ac:dyDescent="0.15">
      <c r="A1158" s="4" t="str">
        <f>HYPERLINK("https://ibp.a2mac1.com/costing(costing:projects/details/9760/equipment/12212471)","DC machine - General")</f>
        <v>DC machine - General</v>
      </c>
      <c r="B1158">
        <v>12212471</v>
      </c>
      <c r="C1158">
        <v>12085375</v>
      </c>
      <c r="E1158" t="s">
        <v>738</v>
      </c>
      <c r="H1158" t="s">
        <v>162</v>
      </c>
      <c r="I1158">
        <v>116914.84457142858</v>
      </c>
      <c r="J1158">
        <v>0</v>
      </c>
      <c r="K1158">
        <v>3.6</v>
      </c>
      <c r="L1158">
        <v>0</v>
      </c>
      <c r="M1158">
        <v>27.497982091197134</v>
      </c>
      <c r="N1158">
        <v>0</v>
      </c>
      <c r="O1158">
        <v>6.1106626869326969E-2</v>
      </c>
      <c r="P1158">
        <v>9.1810666666666662E-3</v>
      </c>
      <c r="Q1158">
        <v>1.1732166376415484E-2</v>
      </c>
      <c r="R1158">
        <v>635568</v>
      </c>
      <c r="S1158">
        <v>0</v>
      </c>
      <c r="T1158">
        <v>0</v>
      </c>
      <c r="V1158">
        <v>10800</v>
      </c>
      <c r="W1158">
        <v>7</v>
      </c>
      <c r="X1158">
        <v>85</v>
      </c>
      <c r="Y1158">
        <v>3</v>
      </c>
      <c r="Z1158">
        <v>4</v>
      </c>
      <c r="AA1158">
        <v>5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3</v>
      </c>
      <c r="AJ1158">
        <v>0</v>
      </c>
      <c r="AK1158">
        <v>0</v>
      </c>
      <c r="AL1158">
        <v>100</v>
      </c>
      <c r="AM1158">
        <v>45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100</v>
      </c>
      <c r="AU1158">
        <v>0</v>
      </c>
      <c r="AV1158">
        <v>0</v>
      </c>
    </row>
    <row r="1159" spans="1:48" x14ac:dyDescent="0.15">
      <c r="A1159" s="4" t="str">
        <f>HYPERLINK("https://ibp.a2mac1.com/costing(costing:projects/details/9760/equipment/12212472)","DC machine - General")</f>
        <v>DC machine - General</v>
      </c>
      <c r="B1159">
        <v>12212472</v>
      </c>
      <c r="C1159">
        <v>12085376</v>
      </c>
      <c r="E1159" t="s">
        <v>738</v>
      </c>
      <c r="H1159" t="s">
        <v>162</v>
      </c>
      <c r="I1159">
        <v>116914.84457142858</v>
      </c>
      <c r="J1159">
        <v>0</v>
      </c>
      <c r="K1159">
        <v>3.6</v>
      </c>
      <c r="L1159">
        <v>0</v>
      </c>
      <c r="M1159">
        <v>27.497982091197134</v>
      </c>
      <c r="N1159">
        <v>0</v>
      </c>
      <c r="O1159">
        <v>1.5276656717331742E-2</v>
      </c>
      <c r="P1159">
        <v>2.2952666666666665E-3</v>
      </c>
      <c r="Q1159">
        <v>1.1732166376415484E-2</v>
      </c>
      <c r="R1159">
        <v>635568</v>
      </c>
      <c r="S1159">
        <v>0</v>
      </c>
      <c r="T1159">
        <v>0</v>
      </c>
      <c r="V1159">
        <v>10800</v>
      </c>
      <c r="W1159">
        <v>7</v>
      </c>
      <c r="X1159">
        <v>85</v>
      </c>
      <c r="Y1159">
        <v>3</v>
      </c>
      <c r="Z1159">
        <v>4</v>
      </c>
      <c r="AA1159">
        <v>5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3</v>
      </c>
      <c r="AJ1159">
        <v>0</v>
      </c>
      <c r="AK1159">
        <v>0</v>
      </c>
      <c r="AL1159">
        <v>100</v>
      </c>
      <c r="AM1159">
        <v>45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100</v>
      </c>
      <c r="AU1159">
        <v>0</v>
      </c>
      <c r="AV1159">
        <v>0</v>
      </c>
    </row>
    <row r="1160" spans="1:48" x14ac:dyDescent="0.15">
      <c r="A1160" s="4" t="str">
        <f>HYPERLINK("https://ibp.a2mac1.com/costing(costing:projects/details/9760/equipment/12212231)","DC machine - General")</f>
        <v>DC machine - General</v>
      </c>
      <c r="B1160">
        <v>12212231</v>
      </c>
      <c r="C1160">
        <v>12085139</v>
      </c>
      <c r="E1160" t="s">
        <v>738</v>
      </c>
      <c r="H1160" t="s">
        <v>162</v>
      </c>
      <c r="I1160">
        <v>116914.84457142858</v>
      </c>
      <c r="J1160">
        <v>0</v>
      </c>
      <c r="K1160">
        <v>3.6</v>
      </c>
      <c r="L1160">
        <v>0</v>
      </c>
      <c r="M1160">
        <v>27.497982091197134</v>
      </c>
      <c r="N1160">
        <v>0</v>
      </c>
      <c r="O1160">
        <v>9.9145502095483007</v>
      </c>
      <c r="P1160">
        <v>1.4896280666666666</v>
      </c>
      <c r="Q1160">
        <v>1.1732166376415484E-2</v>
      </c>
      <c r="R1160">
        <v>635568</v>
      </c>
      <c r="S1160">
        <v>0</v>
      </c>
      <c r="T1160">
        <v>0</v>
      </c>
      <c r="V1160">
        <v>10800</v>
      </c>
      <c r="W1160">
        <v>7</v>
      </c>
      <c r="X1160">
        <v>85</v>
      </c>
      <c r="Y1160">
        <v>3</v>
      </c>
      <c r="Z1160">
        <v>4</v>
      </c>
      <c r="AA1160">
        <v>5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3</v>
      </c>
      <c r="AJ1160">
        <v>0</v>
      </c>
      <c r="AK1160">
        <v>0</v>
      </c>
      <c r="AL1160">
        <v>100</v>
      </c>
      <c r="AM1160">
        <v>45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100</v>
      </c>
      <c r="AU1160">
        <v>0</v>
      </c>
      <c r="AV1160">
        <v>0</v>
      </c>
    </row>
    <row r="1161" spans="1:48" x14ac:dyDescent="0.15">
      <c r="A1161" s="4" t="str">
        <f>HYPERLINK("https://ibp.a2mac1.com/costing(costing:projects/details/9760/equipment/12212232)","DC machine - General")</f>
        <v>DC machine - General</v>
      </c>
      <c r="B1161">
        <v>12212232</v>
      </c>
      <c r="C1161">
        <v>12085140</v>
      </c>
      <c r="E1161" t="s">
        <v>738</v>
      </c>
      <c r="H1161" t="s">
        <v>162</v>
      </c>
      <c r="I1161">
        <v>116914.84457142858</v>
      </c>
      <c r="J1161">
        <v>0</v>
      </c>
      <c r="K1161">
        <v>3.6</v>
      </c>
      <c r="L1161">
        <v>0</v>
      </c>
      <c r="M1161">
        <v>27.497982091197134</v>
      </c>
      <c r="N1161">
        <v>0</v>
      </c>
      <c r="O1161">
        <v>3.8191641793329352E-2</v>
      </c>
      <c r="P1161">
        <v>5.7381666666666666E-3</v>
      </c>
      <c r="Q1161">
        <v>1.1732166376415484E-2</v>
      </c>
      <c r="R1161">
        <v>635568</v>
      </c>
      <c r="S1161">
        <v>0</v>
      </c>
      <c r="T1161">
        <v>0</v>
      </c>
      <c r="V1161">
        <v>10800</v>
      </c>
      <c r="W1161">
        <v>7</v>
      </c>
      <c r="X1161">
        <v>85</v>
      </c>
      <c r="Y1161">
        <v>3</v>
      </c>
      <c r="Z1161">
        <v>4</v>
      </c>
      <c r="AA1161">
        <v>5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3</v>
      </c>
      <c r="AJ1161">
        <v>0</v>
      </c>
      <c r="AK1161">
        <v>0</v>
      </c>
      <c r="AL1161">
        <v>100</v>
      </c>
      <c r="AM1161">
        <v>45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100</v>
      </c>
      <c r="AU1161">
        <v>0</v>
      </c>
      <c r="AV1161">
        <v>0</v>
      </c>
    </row>
    <row r="1162" spans="1:48" x14ac:dyDescent="0.15">
      <c r="A1162" s="4" t="str">
        <f>HYPERLINK("https://ibp.a2mac1.com/costing(costing:projects/details/9760/equipment/12212233)","DC machine - General")</f>
        <v>DC machine - General</v>
      </c>
      <c r="B1162">
        <v>12212233</v>
      </c>
      <c r="C1162">
        <v>12085141</v>
      </c>
      <c r="E1162" t="s">
        <v>738</v>
      </c>
      <c r="H1162" t="s">
        <v>162</v>
      </c>
      <c r="I1162">
        <v>116914.84457142858</v>
      </c>
      <c r="J1162">
        <v>0</v>
      </c>
      <c r="K1162">
        <v>3.6</v>
      </c>
      <c r="L1162">
        <v>0</v>
      </c>
      <c r="M1162">
        <v>27.497982091197134</v>
      </c>
      <c r="N1162">
        <v>0</v>
      </c>
      <c r="O1162">
        <v>2.2914985075997613E-2</v>
      </c>
      <c r="P1162">
        <v>3.4429E-3</v>
      </c>
      <c r="Q1162">
        <v>1.1732166376415484E-2</v>
      </c>
      <c r="R1162">
        <v>635568</v>
      </c>
      <c r="S1162">
        <v>0</v>
      </c>
      <c r="T1162">
        <v>0</v>
      </c>
      <c r="V1162">
        <v>10800</v>
      </c>
      <c r="W1162">
        <v>7</v>
      </c>
      <c r="X1162">
        <v>85</v>
      </c>
      <c r="Y1162">
        <v>3</v>
      </c>
      <c r="Z1162">
        <v>4</v>
      </c>
      <c r="AA1162">
        <v>5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3</v>
      </c>
      <c r="AJ1162">
        <v>0</v>
      </c>
      <c r="AK1162">
        <v>0</v>
      </c>
      <c r="AL1162">
        <v>100</v>
      </c>
      <c r="AM1162">
        <v>45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100</v>
      </c>
      <c r="AU1162">
        <v>0</v>
      </c>
      <c r="AV1162">
        <v>0</v>
      </c>
    </row>
    <row r="1163" spans="1:48" x14ac:dyDescent="0.15">
      <c r="A1163" s="4" t="str">
        <f>HYPERLINK("https://ibp.a2mac1.com/costing(costing:projects/details/9760/equipment/12212473)","DC machine - General")</f>
        <v>DC machine - General</v>
      </c>
      <c r="B1163">
        <v>12212473</v>
      </c>
      <c r="C1163">
        <v>12085377</v>
      </c>
      <c r="E1163" t="s">
        <v>738</v>
      </c>
      <c r="H1163" t="s">
        <v>162</v>
      </c>
      <c r="I1163">
        <v>116914.84457142858</v>
      </c>
      <c r="J1163">
        <v>0</v>
      </c>
      <c r="K1163">
        <v>3.6</v>
      </c>
      <c r="L1163">
        <v>0</v>
      </c>
      <c r="M1163">
        <v>27.497982091197134</v>
      </c>
      <c r="N1163">
        <v>0</v>
      </c>
      <c r="O1163">
        <v>1.710985552341155</v>
      </c>
      <c r="P1163">
        <v>0.25706986666666665</v>
      </c>
      <c r="Q1163">
        <v>1.1732166376415484E-2</v>
      </c>
      <c r="R1163">
        <v>635568</v>
      </c>
      <c r="S1163">
        <v>0</v>
      </c>
      <c r="T1163">
        <v>0</v>
      </c>
      <c r="V1163">
        <v>10800</v>
      </c>
      <c r="W1163">
        <v>7</v>
      </c>
      <c r="X1163">
        <v>85</v>
      </c>
      <c r="Y1163">
        <v>3</v>
      </c>
      <c r="Z1163">
        <v>4</v>
      </c>
      <c r="AA1163">
        <v>5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3</v>
      </c>
      <c r="AJ1163">
        <v>0</v>
      </c>
      <c r="AK1163">
        <v>0</v>
      </c>
      <c r="AL1163">
        <v>100</v>
      </c>
      <c r="AM1163">
        <v>45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100</v>
      </c>
      <c r="AU1163">
        <v>0</v>
      </c>
      <c r="AV1163">
        <v>0</v>
      </c>
    </row>
    <row r="1164" spans="1:48" x14ac:dyDescent="0.15">
      <c r="A1164" s="4" t="str">
        <f>HYPERLINK("https://ibp.a2mac1.com/costing(costing:projects/details/9760/equipment/12212234)","DC machine - General")</f>
        <v>DC machine - General</v>
      </c>
      <c r="B1164">
        <v>12212234</v>
      </c>
      <c r="C1164">
        <v>12085142</v>
      </c>
      <c r="E1164" t="s">
        <v>738</v>
      </c>
      <c r="H1164" t="s">
        <v>162</v>
      </c>
      <c r="I1164">
        <v>116914.84457142858</v>
      </c>
      <c r="J1164">
        <v>0</v>
      </c>
      <c r="K1164">
        <v>3.6</v>
      </c>
      <c r="L1164">
        <v>0</v>
      </c>
      <c r="M1164">
        <v>27.497982091197134</v>
      </c>
      <c r="N1164">
        <v>0</v>
      </c>
      <c r="O1164">
        <v>0.81730113437724816</v>
      </c>
      <c r="P1164">
        <v>0.12279676666666667</v>
      </c>
      <c r="Q1164">
        <v>1.1732166376415484E-2</v>
      </c>
      <c r="R1164">
        <v>635568</v>
      </c>
      <c r="S1164">
        <v>0</v>
      </c>
      <c r="T1164">
        <v>0</v>
      </c>
      <c r="V1164">
        <v>10800</v>
      </c>
      <c r="W1164">
        <v>7</v>
      </c>
      <c r="X1164">
        <v>85</v>
      </c>
      <c r="Y1164">
        <v>3</v>
      </c>
      <c r="Z1164">
        <v>4</v>
      </c>
      <c r="AA1164">
        <v>5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3</v>
      </c>
      <c r="AJ1164">
        <v>0</v>
      </c>
      <c r="AK1164">
        <v>0</v>
      </c>
      <c r="AL1164">
        <v>100</v>
      </c>
      <c r="AM1164">
        <v>45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100</v>
      </c>
      <c r="AU1164">
        <v>0</v>
      </c>
      <c r="AV1164">
        <v>0</v>
      </c>
    </row>
    <row r="1165" spans="1:48" x14ac:dyDescent="0.15">
      <c r="A1165" s="4" t="str">
        <f>HYPERLINK("https://ibp.a2mac1.com/costing(costing:projects/details/9760/equipment/12212235)","DC machine - General")</f>
        <v>DC machine - General</v>
      </c>
      <c r="B1165">
        <v>12212235</v>
      </c>
      <c r="C1165">
        <v>12085143</v>
      </c>
      <c r="E1165" t="s">
        <v>738</v>
      </c>
      <c r="H1165" t="s">
        <v>162</v>
      </c>
      <c r="I1165">
        <v>116914.84457142858</v>
      </c>
      <c r="J1165">
        <v>0</v>
      </c>
      <c r="K1165">
        <v>3.6</v>
      </c>
      <c r="L1165">
        <v>0</v>
      </c>
      <c r="M1165">
        <v>27.497982091197134</v>
      </c>
      <c r="N1165">
        <v>0</v>
      </c>
      <c r="O1165">
        <v>0.2062348656839785</v>
      </c>
      <c r="P1165">
        <v>3.0986099999999999E-2</v>
      </c>
      <c r="Q1165">
        <v>1.1732166376415484E-2</v>
      </c>
      <c r="R1165">
        <v>635568</v>
      </c>
      <c r="S1165">
        <v>0</v>
      </c>
      <c r="T1165">
        <v>0</v>
      </c>
      <c r="V1165">
        <v>10800</v>
      </c>
      <c r="W1165">
        <v>7</v>
      </c>
      <c r="X1165">
        <v>85</v>
      </c>
      <c r="Y1165">
        <v>3</v>
      </c>
      <c r="Z1165">
        <v>4</v>
      </c>
      <c r="AA1165">
        <v>5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3</v>
      </c>
      <c r="AJ1165">
        <v>0</v>
      </c>
      <c r="AK1165">
        <v>0</v>
      </c>
      <c r="AL1165">
        <v>100</v>
      </c>
      <c r="AM1165">
        <v>45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100</v>
      </c>
      <c r="AU1165">
        <v>0</v>
      </c>
      <c r="AV1165">
        <v>0</v>
      </c>
    </row>
    <row r="1166" spans="1:48" x14ac:dyDescent="0.15">
      <c r="A1166" s="4" t="str">
        <f>HYPERLINK("https://ibp.a2mac1.com/costing(costing:projects/details/9760/equipment/12212236)","DC machine - General")</f>
        <v>DC machine - General</v>
      </c>
      <c r="B1166">
        <v>12212236</v>
      </c>
      <c r="C1166">
        <v>12085144</v>
      </c>
      <c r="E1166" t="s">
        <v>738</v>
      </c>
      <c r="H1166" t="s">
        <v>162</v>
      </c>
      <c r="I1166">
        <v>116914.84457142858</v>
      </c>
      <c r="J1166">
        <v>0</v>
      </c>
      <c r="K1166">
        <v>3.6</v>
      </c>
      <c r="L1166">
        <v>0</v>
      </c>
      <c r="M1166">
        <v>27.497982091197134</v>
      </c>
      <c r="N1166">
        <v>0</v>
      </c>
      <c r="O1166">
        <v>0.16804322389064916</v>
      </c>
      <c r="P1166">
        <v>2.5247933333333333E-2</v>
      </c>
      <c r="Q1166">
        <v>1.1732166376415484E-2</v>
      </c>
      <c r="R1166">
        <v>635568</v>
      </c>
      <c r="S1166">
        <v>0</v>
      </c>
      <c r="T1166">
        <v>0</v>
      </c>
      <c r="V1166">
        <v>10800</v>
      </c>
      <c r="W1166">
        <v>7</v>
      </c>
      <c r="X1166">
        <v>85</v>
      </c>
      <c r="Y1166">
        <v>3</v>
      </c>
      <c r="Z1166">
        <v>4</v>
      </c>
      <c r="AA1166">
        <v>5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3</v>
      </c>
      <c r="AJ1166">
        <v>0</v>
      </c>
      <c r="AK1166">
        <v>0</v>
      </c>
      <c r="AL1166">
        <v>100</v>
      </c>
      <c r="AM1166">
        <v>45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100</v>
      </c>
      <c r="AU1166">
        <v>0</v>
      </c>
      <c r="AV1166">
        <v>0</v>
      </c>
    </row>
    <row r="1167" spans="1:48" x14ac:dyDescent="0.15">
      <c r="A1167" s="4" t="str">
        <f>HYPERLINK("https://ibp.a2mac1.com/costing(costing:projects/details/9760/equipment/12212237)","DC machine - General")</f>
        <v>DC machine - General</v>
      </c>
      <c r="B1167">
        <v>12212237</v>
      </c>
      <c r="C1167">
        <v>12085145</v>
      </c>
      <c r="E1167" t="s">
        <v>738</v>
      </c>
      <c r="H1167" t="s">
        <v>162</v>
      </c>
      <c r="I1167">
        <v>116914.84457142858</v>
      </c>
      <c r="J1167">
        <v>0</v>
      </c>
      <c r="K1167">
        <v>3.6</v>
      </c>
      <c r="L1167">
        <v>0</v>
      </c>
      <c r="M1167">
        <v>27.497982091197134</v>
      </c>
      <c r="N1167">
        <v>0</v>
      </c>
      <c r="O1167">
        <v>1.5811339702438352</v>
      </c>
      <c r="P1167">
        <v>0.2375601</v>
      </c>
      <c r="Q1167">
        <v>1.1732166376415484E-2</v>
      </c>
      <c r="R1167">
        <v>635568</v>
      </c>
      <c r="S1167">
        <v>0</v>
      </c>
      <c r="T1167">
        <v>0</v>
      </c>
      <c r="V1167">
        <v>10800</v>
      </c>
      <c r="W1167">
        <v>7</v>
      </c>
      <c r="X1167">
        <v>85</v>
      </c>
      <c r="Y1167">
        <v>3</v>
      </c>
      <c r="Z1167">
        <v>4</v>
      </c>
      <c r="AA1167">
        <v>5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3</v>
      </c>
      <c r="AJ1167">
        <v>0</v>
      </c>
      <c r="AK1167">
        <v>0</v>
      </c>
      <c r="AL1167">
        <v>100</v>
      </c>
      <c r="AM1167">
        <v>45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100</v>
      </c>
      <c r="AU1167">
        <v>0</v>
      </c>
      <c r="AV1167">
        <v>0</v>
      </c>
    </row>
    <row r="1168" spans="1:48" x14ac:dyDescent="0.15">
      <c r="A1168" s="4" t="str">
        <f>HYPERLINK("https://ibp.a2mac1.com/costing(costing:projects/details/9760/equipment/12212238)","DC machine - General")</f>
        <v>DC machine - General</v>
      </c>
      <c r="B1168">
        <v>12212238</v>
      </c>
      <c r="C1168">
        <v>12085146</v>
      </c>
      <c r="E1168" t="s">
        <v>738</v>
      </c>
      <c r="H1168" t="s">
        <v>162</v>
      </c>
      <c r="I1168">
        <v>116914.84457142858</v>
      </c>
      <c r="J1168">
        <v>0</v>
      </c>
      <c r="K1168">
        <v>3.6</v>
      </c>
      <c r="L1168">
        <v>0</v>
      </c>
      <c r="M1168">
        <v>27.497982091197134</v>
      </c>
      <c r="N1168">
        <v>0</v>
      </c>
      <c r="O1168">
        <v>1.1151959403652172</v>
      </c>
      <c r="P1168">
        <v>0.16755446666666668</v>
      </c>
      <c r="Q1168">
        <v>1.1732166376415484E-2</v>
      </c>
      <c r="R1168">
        <v>635568</v>
      </c>
      <c r="S1168">
        <v>0</v>
      </c>
      <c r="T1168">
        <v>0</v>
      </c>
      <c r="V1168">
        <v>10800</v>
      </c>
      <c r="W1168">
        <v>7</v>
      </c>
      <c r="X1168">
        <v>85</v>
      </c>
      <c r="Y1168">
        <v>3</v>
      </c>
      <c r="Z1168">
        <v>4</v>
      </c>
      <c r="AA1168">
        <v>5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3</v>
      </c>
      <c r="AJ1168">
        <v>0</v>
      </c>
      <c r="AK1168">
        <v>0</v>
      </c>
      <c r="AL1168">
        <v>100</v>
      </c>
      <c r="AM1168">
        <v>45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100</v>
      </c>
      <c r="AU1168">
        <v>0</v>
      </c>
      <c r="AV1168">
        <v>0</v>
      </c>
    </row>
    <row r="1169" spans="1:48" x14ac:dyDescent="0.15">
      <c r="A1169" s="4" t="str">
        <f>HYPERLINK("https://ibp.a2mac1.com/costing(costing:projects/details/9760/equipment/12212239)","DC machine - General")</f>
        <v>DC machine - General</v>
      </c>
      <c r="B1169">
        <v>12212239</v>
      </c>
      <c r="C1169">
        <v>12085147</v>
      </c>
      <c r="E1169" t="s">
        <v>738</v>
      </c>
      <c r="H1169" t="s">
        <v>162</v>
      </c>
      <c r="I1169">
        <v>116914.84457142858</v>
      </c>
      <c r="J1169">
        <v>0</v>
      </c>
      <c r="K1169">
        <v>3.6</v>
      </c>
      <c r="L1169">
        <v>0</v>
      </c>
      <c r="M1169">
        <v>27.497982091197134</v>
      </c>
      <c r="N1169">
        <v>0</v>
      </c>
      <c r="O1169">
        <v>2.2914985075997613E-2</v>
      </c>
      <c r="P1169">
        <v>3.4429E-3</v>
      </c>
      <c r="Q1169">
        <v>1.1732166376415484E-2</v>
      </c>
      <c r="R1169">
        <v>635568</v>
      </c>
      <c r="S1169">
        <v>0</v>
      </c>
      <c r="T1169">
        <v>0</v>
      </c>
      <c r="V1169">
        <v>10800</v>
      </c>
      <c r="W1169">
        <v>7</v>
      </c>
      <c r="X1169">
        <v>85</v>
      </c>
      <c r="Y1169">
        <v>3</v>
      </c>
      <c r="Z1169">
        <v>4</v>
      </c>
      <c r="AA1169">
        <v>5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3</v>
      </c>
      <c r="AJ1169">
        <v>0</v>
      </c>
      <c r="AK1169">
        <v>0</v>
      </c>
      <c r="AL1169">
        <v>100</v>
      </c>
      <c r="AM1169">
        <v>45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100</v>
      </c>
      <c r="AU1169">
        <v>0</v>
      </c>
      <c r="AV1169">
        <v>0</v>
      </c>
    </row>
    <row r="1170" spans="1:48" x14ac:dyDescent="0.15">
      <c r="A1170" s="4" t="str">
        <f>HYPERLINK("https://ibp.a2mac1.com/costing(costing:projects/details/9760/equipment/12212240)","DC machine - General")</f>
        <v>DC machine - General</v>
      </c>
      <c r="B1170">
        <v>12212240</v>
      </c>
      <c r="C1170">
        <v>12085148</v>
      </c>
      <c r="E1170" t="s">
        <v>738</v>
      </c>
      <c r="H1170" t="s">
        <v>162</v>
      </c>
      <c r="I1170">
        <v>116914.84457142858</v>
      </c>
      <c r="J1170">
        <v>0</v>
      </c>
      <c r="K1170">
        <v>3.6</v>
      </c>
      <c r="L1170">
        <v>0</v>
      </c>
      <c r="M1170">
        <v>27.497982091197134</v>
      </c>
      <c r="N1170">
        <v>0</v>
      </c>
      <c r="O1170">
        <v>8.4021611945324579E-2</v>
      </c>
      <c r="P1170">
        <v>1.2623966666666667E-2</v>
      </c>
      <c r="Q1170">
        <v>1.1732166376415484E-2</v>
      </c>
      <c r="R1170">
        <v>635568</v>
      </c>
      <c r="S1170">
        <v>0</v>
      </c>
      <c r="T1170">
        <v>0</v>
      </c>
      <c r="V1170">
        <v>10800</v>
      </c>
      <c r="W1170">
        <v>7</v>
      </c>
      <c r="X1170">
        <v>85</v>
      </c>
      <c r="Y1170">
        <v>3</v>
      </c>
      <c r="Z1170">
        <v>4</v>
      </c>
      <c r="AA1170">
        <v>5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3</v>
      </c>
      <c r="AJ1170">
        <v>0</v>
      </c>
      <c r="AK1170">
        <v>0</v>
      </c>
      <c r="AL1170">
        <v>100</v>
      </c>
      <c r="AM1170">
        <v>45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100</v>
      </c>
      <c r="AU1170">
        <v>0</v>
      </c>
      <c r="AV1170">
        <v>0</v>
      </c>
    </row>
    <row r="1171" spans="1:48" x14ac:dyDescent="0.15">
      <c r="A1171" s="4" t="str">
        <f>HYPERLINK("https://ibp.a2mac1.com/costing(costing:projects/details/9760/equipment/12212241)","DC machine - General")</f>
        <v>DC machine - General</v>
      </c>
      <c r="B1171">
        <v>12212241</v>
      </c>
      <c r="C1171">
        <v>12085149</v>
      </c>
      <c r="E1171" t="s">
        <v>738</v>
      </c>
      <c r="H1171" t="s">
        <v>162</v>
      </c>
      <c r="I1171">
        <v>116914.84457142858</v>
      </c>
      <c r="J1171">
        <v>0</v>
      </c>
      <c r="K1171">
        <v>3.6</v>
      </c>
      <c r="L1171">
        <v>0</v>
      </c>
      <c r="M1171">
        <v>27.497982091197134</v>
      </c>
      <c r="N1171">
        <v>0</v>
      </c>
      <c r="O1171">
        <v>5.3468298510661094E-2</v>
      </c>
      <c r="P1171">
        <v>8.0334333333333327E-3</v>
      </c>
      <c r="Q1171">
        <v>1.1732166376415484E-2</v>
      </c>
      <c r="R1171">
        <v>635568</v>
      </c>
      <c r="S1171">
        <v>0</v>
      </c>
      <c r="T1171">
        <v>0</v>
      </c>
      <c r="V1171">
        <v>10800</v>
      </c>
      <c r="W1171">
        <v>7</v>
      </c>
      <c r="X1171">
        <v>85</v>
      </c>
      <c r="Y1171">
        <v>3</v>
      </c>
      <c r="Z1171">
        <v>4</v>
      </c>
      <c r="AA1171">
        <v>5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3</v>
      </c>
      <c r="AJ1171">
        <v>0</v>
      </c>
      <c r="AK1171">
        <v>0</v>
      </c>
      <c r="AL1171">
        <v>100</v>
      </c>
      <c r="AM1171">
        <v>45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100</v>
      </c>
      <c r="AU1171">
        <v>0</v>
      </c>
      <c r="AV1171">
        <v>0</v>
      </c>
    </row>
    <row r="1172" spans="1:48" x14ac:dyDescent="0.15">
      <c r="A1172" s="4" t="str">
        <f>HYPERLINK("https://ibp.a2mac1.com/costing(costing:projects/details/9760/equipment/12212242)","DC machine - General")</f>
        <v>DC machine - General</v>
      </c>
      <c r="B1172">
        <v>12212242</v>
      </c>
      <c r="C1172">
        <v>12085150</v>
      </c>
      <c r="E1172" t="s">
        <v>738</v>
      </c>
      <c r="H1172" t="s">
        <v>162</v>
      </c>
      <c r="I1172">
        <v>116914.84457142858</v>
      </c>
      <c r="J1172">
        <v>0</v>
      </c>
      <c r="K1172">
        <v>3.6</v>
      </c>
      <c r="L1172">
        <v>0</v>
      </c>
      <c r="M1172">
        <v>27.497982091197134</v>
      </c>
      <c r="N1172">
        <v>0</v>
      </c>
      <c r="O1172">
        <v>5.3468298510661094E-2</v>
      </c>
      <c r="P1172">
        <v>8.0334333333333327E-3</v>
      </c>
      <c r="Q1172">
        <v>1.1732166376415484E-2</v>
      </c>
      <c r="R1172">
        <v>635568</v>
      </c>
      <c r="S1172">
        <v>0</v>
      </c>
      <c r="T1172">
        <v>0</v>
      </c>
      <c r="V1172">
        <v>10800</v>
      </c>
      <c r="W1172">
        <v>7</v>
      </c>
      <c r="X1172">
        <v>85</v>
      </c>
      <c r="Y1172">
        <v>3</v>
      </c>
      <c r="Z1172">
        <v>4</v>
      </c>
      <c r="AA1172">
        <v>5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3</v>
      </c>
      <c r="AJ1172">
        <v>0</v>
      </c>
      <c r="AK1172">
        <v>0</v>
      </c>
      <c r="AL1172">
        <v>100</v>
      </c>
      <c r="AM1172">
        <v>45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100</v>
      </c>
      <c r="AU1172">
        <v>0</v>
      </c>
      <c r="AV1172">
        <v>0</v>
      </c>
    </row>
    <row r="1173" spans="1:48" x14ac:dyDescent="0.15">
      <c r="A1173" s="4" t="str">
        <f>HYPERLINK("https://ibp.a2mac1.com/costing(costing:projects/details/9760/equipment/12212243)","DC machine - General")</f>
        <v>DC machine - General</v>
      </c>
      <c r="B1173">
        <v>12212243</v>
      </c>
      <c r="C1173">
        <v>12085151</v>
      </c>
      <c r="E1173" t="s">
        <v>738</v>
      </c>
      <c r="H1173" t="s">
        <v>162</v>
      </c>
      <c r="I1173">
        <v>116914.84457142858</v>
      </c>
      <c r="J1173">
        <v>0</v>
      </c>
      <c r="K1173">
        <v>3.6</v>
      </c>
      <c r="L1173">
        <v>0</v>
      </c>
      <c r="M1173">
        <v>27.497982091197134</v>
      </c>
      <c r="N1173">
        <v>0</v>
      </c>
      <c r="O1173">
        <v>1.5276656717331742E-2</v>
      </c>
      <c r="P1173">
        <v>2.2952666666666665E-3</v>
      </c>
      <c r="Q1173">
        <v>1.1732166376415484E-2</v>
      </c>
      <c r="R1173">
        <v>635568</v>
      </c>
      <c r="S1173">
        <v>0</v>
      </c>
      <c r="T1173">
        <v>0</v>
      </c>
      <c r="V1173">
        <v>10800</v>
      </c>
      <c r="W1173">
        <v>7</v>
      </c>
      <c r="X1173">
        <v>85</v>
      </c>
      <c r="Y1173">
        <v>3</v>
      </c>
      <c r="Z1173">
        <v>4</v>
      </c>
      <c r="AA1173">
        <v>5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3</v>
      </c>
      <c r="AJ1173">
        <v>0</v>
      </c>
      <c r="AK1173">
        <v>0</v>
      </c>
      <c r="AL1173">
        <v>100</v>
      </c>
      <c r="AM1173">
        <v>45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100</v>
      </c>
      <c r="AU1173">
        <v>0</v>
      </c>
      <c r="AV1173">
        <v>0</v>
      </c>
    </row>
    <row r="1174" spans="1:48" x14ac:dyDescent="0.15">
      <c r="A1174" s="4" t="str">
        <f>HYPERLINK("https://ibp.a2mac1.com/costing(costing:projects/details/9760/equipment/12212244)","DC machine - General")</f>
        <v>DC machine - General</v>
      </c>
      <c r="B1174">
        <v>12212244</v>
      </c>
      <c r="C1174">
        <v>12085152</v>
      </c>
      <c r="E1174" t="s">
        <v>738</v>
      </c>
      <c r="H1174" t="s">
        <v>162</v>
      </c>
      <c r="I1174">
        <v>116914.84457142858</v>
      </c>
      <c r="J1174">
        <v>0</v>
      </c>
      <c r="K1174">
        <v>3.6</v>
      </c>
      <c r="L1174">
        <v>0</v>
      </c>
      <c r="M1174">
        <v>27.497982091197134</v>
      </c>
      <c r="N1174">
        <v>0</v>
      </c>
      <c r="O1174">
        <v>1.5276656717331742E-2</v>
      </c>
      <c r="P1174">
        <v>2.2952666666666665E-3</v>
      </c>
      <c r="Q1174">
        <v>1.1732166376415484E-2</v>
      </c>
      <c r="R1174">
        <v>635568</v>
      </c>
      <c r="S1174">
        <v>0</v>
      </c>
      <c r="T1174">
        <v>0</v>
      </c>
      <c r="V1174">
        <v>10800</v>
      </c>
      <c r="W1174">
        <v>7</v>
      </c>
      <c r="X1174">
        <v>85</v>
      </c>
      <c r="Y1174">
        <v>3</v>
      </c>
      <c r="Z1174">
        <v>4</v>
      </c>
      <c r="AA1174">
        <v>5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3</v>
      </c>
      <c r="AJ1174">
        <v>0</v>
      </c>
      <c r="AK1174">
        <v>0</v>
      </c>
      <c r="AL1174">
        <v>100</v>
      </c>
      <c r="AM1174">
        <v>45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100</v>
      </c>
      <c r="AU1174">
        <v>0</v>
      </c>
      <c r="AV1174">
        <v>0</v>
      </c>
    </row>
    <row r="1175" spans="1:48" x14ac:dyDescent="0.15">
      <c r="A1175" s="4" t="str">
        <f>HYPERLINK("https://ibp.a2mac1.com/costing(costing:projects/details/9760/equipment/12212245)","DC machine - General")</f>
        <v>DC machine - General</v>
      </c>
      <c r="B1175">
        <v>12212245</v>
      </c>
      <c r="C1175">
        <v>12085153</v>
      </c>
      <c r="E1175" t="s">
        <v>738</v>
      </c>
      <c r="H1175" t="s">
        <v>162</v>
      </c>
      <c r="I1175">
        <v>116914.84457142858</v>
      </c>
      <c r="J1175">
        <v>0</v>
      </c>
      <c r="K1175">
        <v>3.6</v>
      </c>
      <c r="L1175">
        <v>0</v>
      </c>
      <c r="M1175">
        <v>27.497982091197134</v>
      </c>
      <c r="N1175">
        <v>0</v>
      </c>
      <c r="O1175">
        <v>2.2914985075997613E-2</v>
      </c>
      <c r="P1175">
        <v>3.4429E-3</v>
      </c>
      <c r="Q1175">
        <v>5.8660831882077422E-3</v>
      </c>
      <c r="R1175">
        <v>635568</v>
      </c>
      <c r="S1175">
        <v>0</v>
      </c>
      <c r="T1175">
        <v>0</v>
      </c>
      <c r="V1175">
        <v>10800</v>
      </c>
      <c r="W1175">
        <v>7</v>
      </c>
      <c r="X1175">
        <v>85</v>
      </c>
      <c r="Y1175">
        <v>3</v>
      </c>
      <c r="Z1175">
        <v>4</v>
      </c>
      <c r="AA1175">
        <v>5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3</v>
      </c>
      <c r="AJ1175">
        <v>0</v>
      </c>
      <c r="AK1175">
        <v>0</v>
      </c>
      <c r="AL1175">
        <v>100</v>
      </c>
      <c r="AM1175">
        <v>45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100</v>
      </c>
      <c r="AU1175">
        <v>0</v>
      </c>
      <c r="AV1175">
        <v>0</v>
      </c>
    </row>
    <row r="1176" spans="1:48" x14ac:dyDescent="0.15">
      <c r="A1176" s="4" t="str">
        <f>HYPERLINK("https://ibp.a2mac1.com/costing(costing:projects/details/9760/equipment/12212246)","DC machine - General")</f>
        <v>DC machine - General</v>
      </c>
      <c r="B1176">
        <v>12212246</v>
      </c>
      <c r="C1176">
        <v>12085154</v>
      </c>
      <c r="E1176" t="s">
        <v>738</v>
      </c>
      <c r="H1176" t="s">
        <v>162</v>
      </c>
      <c r="I1176">
        <v>116914.84457142858</v>
      </c>
      <c r="J1176">
        <v>0</v>
      </c>
      <c r="K1176">
        <v>3.6</v>
      </c>
      <c r="L1176">
        <v>0</v>
      </c>
      <c r="M1176">
        <v>27.497982091197134</v>
      </c>
      <c r="N1176">
        <v>0</v>
      </c>
      <c r="O1176">
        <v>1.5276656717331742E-2</v>
      </c>
      <c r="P1176">
        <v>2.2952666666666665E-3</v>
      </c>
      <c r="Q1176">
        <v>1.1732166376415484E-2</v>
      </c>
      <c r="R1176">
        <v>635568</v>
      </c>
      <c r="S1176">
        <v>0</v>
      </c>
      <c r="T1176">
        <v>0</v>
      </c>
      <c r="V1176">
        <v>10800</v>
      </c>
      <c r="W1176">
        <v>7</v>
      </c>
      <c r="X1176">
        <v>85</v>
      </c>
      <c r="Y1176">
        <v>3</v>
      </c>
      <c r="Z1176">
        <v>4</v>
      </c>
      <c r="AA1176">
        <v>5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3</v>
      </c>
      <c r="AJ1176">
        <v>0</v>
      </c>
      <c r="AK1176">
        <v>0</v>
      </c>
      <c r="AL1176">
        <v>100</v>
      </c>
      <c r="AM1176">
        <v>45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100</v>
      </c>
      <c r="AU1176">
        <v>0</v>
      </c>
      <c r="AV1176">
        <v>0</v>
      </c>
    </row>
    <row r="1177" spans="1:48" x14ac:dyDescent="0.15">
      <c r="A1177" s="4" t="str">
        <f>HYPERLINK("https://ibp.a2mac1.com/costing(costing:projects/details/9760/equipment/12212248)","No.13 - Injection Press - 1000T - 191kW - 1230x1230 - Max Volume 7815cm3 ")</f>
        <v xml:space="preserve">No.13 - Injection Press - 1000T - 191kW - 1230x1230 - Max Volume 7815cm3 </v>
      </c>
      <c r="B1177">
        <v>12212248</v>
      </c>
      <c r="C1177">
        <v>12085156</v>
      </c>
      <c r="E1177" t="s">
        <v>1630</v>
      </c>
      <c r="H1177" t="s">
        <v>162</v>
      </c>
      <c r="I1177">
        <v>102974.1648</v>
      </c>
      <c r="J1177">
        <v>0</v>
      </c>
      <c r="K1177">
        <v>6.4560000000000004</v>
      </c>
      <c r="L1177">
        <v>0</v>
      </c>
      <c r="M1177">
        <v>27.827611186113788</v>
      </c>
      <c r="N1177">
        <v>0</v>
      </c>
      <c r="O1177">
        <v>0.23947475950270009</v>
      </c>
      <c r="P1177">
        <v>1.7777041169166667E-2</v>
      </c>
      <c r="Q1177">
        <v>1.572199948466731E-2</v>
      </c>
      <c r="R1177">
        <v>600000</v>
      </c>
      <c r="S1177">
        <v>0</v>
      </c>
      <c r="T1177">
        <v>0</v>
      </c>
      <c r="V1177">
        <v>14400</v>
      </c>
      <c r="W1177">
        <v>8</v>
      </c>
      <c r="X1177">
        <v>85</v>
      </c>
      <c r="Y1177">
        <v>3</v>
      </c>
      <c r="Z1177">
        <v>4</v>
      </c>
      <c r="AA1177">
        <v>5</v>
      </c>
      <c r="AB1177">
        <v>0</v>
      </c>
      <c r="AC1177">
        <v>0</v>
      </c>
      <c r="AD1177">
        <v>0</v>
      </c>
      <c r="AE1177">
        <v>0</v>
      </c>
      <c r="AF1177">
        <v>0.5</v>
      </c>
      <c r="AG1177">
        <v>0</v>
      </c>
      <c r="AH1177">
        <v>0</v>
      </c>
      <c r="AI1177">
        <v>3</v>
      </c>
      <c r="AJ1177">
        <v>0</v>
      </c>
      <c r="AK1177">
        <v>0</v>
      </c>
      <c r="AL1177">
        <v>92</v>
      </c>
      <c r="AM1177">
        <v>85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180</v>
      </c>
      <c r="AU1177">
        <v>0.2</v>
      </c>
      <c r="AV1177">
        <v>0</v>
      </c>
    </row>
    <row r="1178" spans="1:48" x14ac:dyDescent="0.15">
      <c r="A1178" s="4" t="str">
        <f>HYPERLINK("https://ibp.a2mac1.com/costing(costing:projects/details/9760/equipment/12212247)","Packaging")</f>
        <v>Packaging</v>
      </c>
      <c r="B1178">
        <v>12212247</v>
      </c>
      <c r="C1178">
        <v>12085155</v>
      </c>
      <c r="H1178" t="s">
        <v>162</v>
      </c>
      <c r="I1178">
        <v>4437.4535999999998</v>
      </c>
      <c r="J1178">
        <v>0</v>
      </c>
      <c r="K1178">
        <v>0.08</v>
      </c>
      <c r="L1178">
        <v>0</v>
      </c>
      <c r="M1178">
        <v>1.0342676952748313</v>
      </c>
      <c r="N1178">
        <v>0</v>
      </c>
      <c r="O1178">
        <v>4.3094487303117967E-3</v>
      </c>
      <c r="P1178">
        <v>1.7214500000000001E-2</v>
      </c>
      <c r="Q1178">
        <v>1.5514015429122468E-5</v>
      </c>
      <c r="R1178">
        <v>30000</v>
      </c>
      <c r="S1178">
        <v>0</v>
      </c>
      <c r="T1178">
        <v>0</v>
      </c>
      <c r="V1178">
        <v>900</v>
      </c>
      <c r="W1178">
        <v>10</v>
      </c>
      <c r="X1178">
        <v>85</v>
      </c>
      <c r="Y1178">
        <v>3</v>
      </c>
      <c r="Z1178">
        <v>4</v>
      </c>
      <c r="AA1178">
        <v>5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50</v>
      </c>
      <c r="AM1178">
        <v>2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10</v>
      </c>
      <c r="AU1178">
        <v>0</v>
      </c>
      <c r="AV1178">
        <v>0</v>
      </c>
    </row>
    <row r="1179" spans="1:48" x14ac:dyDescent="0.15">
      <c r="A1179" s="4" t="str">
        <f>HYPERLINK("https://ibp.a2mac1.com/costing(costing:projects/details/9760/equipment/12212249)","Equipment (Stamping)")</f>
        <v>Equipment (Stamping)</v>
      </c>
      <c r="B1179">
        <v>12212249</v>
      </c>
      <c r="C1179">
        <v>12085157</v>
      </c>
      <c r="H1179" t="s">
        <v>162</v>
      </c>
      <c r="I1179">
        <v>1246.1696753142858</v>
      </c>
      <c r="J1179">
        <v>0</v>
      </c>
      <c r="K1179">
        <v>5.568E-2</v>
      </c>
      <c r="L1179">
        <v>0</v>
      </c>
      <c r="M1179">
        <v>0.30770019853974379</v>
      </c>
      <c r="N1179">
        <v>0</v>
      </c>
      <c r="O1179">
        <v>5.128336642329063E-3</v>
      </c>
      <c r="P1179">
        <v>5.9906460000000005E-4</v>
      </c>
      <c r="Q1179">
        <v>1.3273510063637746E-3</v>
      </c>
      <c r="R1179">
        <v>6438</v>
      </c>
      <c r="S1179">
        <v>0</v>
      </c>
      <c r="T1179">
        <v>0</v>
      </c>
      <c r="V1179">
        <v>3132</v>
      </c>
      <c r="W1179">
        <v>7</v>
      </c>
      <c r="X1179">
        <v>85</v>
      </c>
      <c r="Y1179">
        <v>3</v>
      </c>
      <c r="Z1179">
        <v>4</v>
      </c>
      <c r="AA1179">
        <v>5</v>
      </c>
      <c r="AB1179">
        <v>0</v>
      </c>
      <c r="AC1179">
        <v>0</v>
      </c>
      <c r="AD1179">
        <v>0</v>
      </c>
      <c r="AE1179">
        <v>0</v>
      </c>
      <c r="AF1179">
        <v>8.6999999999999994E-3</v>
      </c>
      <c r="AG1179">
        <v>0</v>
      </c>
      <c r="AH1179">
        <v>0</v>
      </c>
      <c r="AI1179">
        <v>2</v>
      </c>
      <c r="AJ1179">
        <v>0</v>
      </c>
      <c r="AK1179">
        <v>0</v>
      </c>
      <c r="AL1179">
        <v>80</v>
      </c>
      <c r="AM1179">
        <v>0.87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2.61</v>
      </c>
      <c r="AU1179">
        <v>0</v>
      </c>
      <c r="AV1179">
        <v>0</v>
      </c>
    </row>
    <row r="1180" spans="1:48" x14ac:dyDescent="0.15">
      <c r="A1180" s="4" t="str">
        <f>HYPERLINK("https://ibp.a2mac1.com/costing(costing:projects/details/9760/equipment/12212250)","Equipment (Stamping)")</f>
        <v>Equipment (Stamping)</v>
      </c>
      <c r="B1180">
        <v>12212250</v>
      </c>
      <c r="C1180">
        <v>12085158</v>
      </c>
      <c r="H1180" t="s">
        <v>162</v>
      </c>
      <c r="I1180">
        <v>981.17957194285714</v>
      </c>
      <c r="J1180">
        <v>0</v>
      </c>
      <c r="K1180">
        <v>4.3839999999999997E-2</v>
      </c>
      <c r="L1180">
        <v>0</v>
      </c>
      <c r="M1180">
        <v>0.24226969655140745</v>
      </c>
      <c r="N1180">
        <v>0</v>
      </c>
      <c r="O1180">
        <v>4.0378282758567908E-3</v>
      </c>
      <c r="P1180">
        <v>4.7167729999999998E-4</v>
      </c>
      <c r="Q1180">
        <v>1.0424090125282629E-3</v>
      </c>
      <c r="R1180">
        <v>5069</v>
      </c>
      <c r="S1180">
        <v>0</v>
      </c>
      <c r="T1180">
        <v>0</v>
      </c>
      <c r="V1180">
        <v>2466</v>
      </c>
      <c r="W1180">
        <v>7</v>
      </c>
      <c r="X1180">
        <v>85</v>
      </c>
      <c r="Y1180">
        <v>3</v>
      </c>
      <c r="Z1180">
        <v>4</v>
      </c>
      <c r="AA1180">
        <v>5</v>
      </c>
      <c r="AB1180">
        <v>0</v>
      </c>
      <c r="AC1180">
        <v>0</v>
      </c>
      <c r="AD1180">
        <v>0</v>
      </c>
      <c r="AE1180">
        <v>0</v>
      </c>
      <c r="AF1180">
        <v>6.8500000000000002E-3</v>
      </c>
      <c r="AG1180">
        <v>0</v>
      </c>
      <c r="AH1180">
        <v>0</v>
      </c>
      <c r="AI1180">
        <v>2</v>
      </c>
      <c r="AJ1180">
        <v>0</v>
      </c>
      <c r="AK1180">
        <v>0</v>
      </c>
      <c r="AL1180">
        <v>80</v>
      </c>
      <c r="AM1180">
        <v>0.68500000000000005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2.0550000000000002</v>
      </c>
      <c r="AU1180">
        <v>0</v>
      </c>
      <c r="AV1180">
        <v>0</v>
      </c>
    </row>
    <row r="1181" spans="1:48" x14ac:dyDescent="0.15">
      <c r="A1181" s="4" t="str">
        <f>HYPERLINK("https://ibp.a2mac1.com/costing(costing:projects/details/9760/equipment/12212251)","Equipment (Stamping)")</f>
        <v>Equipment (Stamping)</v>
      </c>
      <c r="B1181">
        <v>12212251</v>
      </c>
      <c r="C1181">
        <v>12085159</v>
      </c>
      <c r="H1181" t="s">
        <v>162</v>
      </c>
      <c r="I1181">
        <v>981.17957194285714</v>
      </c>
      <c r="J1181">
        <v>0</v>
      </c>
      <c r="K1181">
        <v>4.3839999999999997E-2</v>
      </c>
      <c r="L1181">
        <v>0</v>
      </c>
      <c r="M1181">
        <v>0.24226969655140745</v>
      </c>
      <c r="N1181">
        <v>0</v>
      </c>
      <c r="O1181">
        <v>4.0378282758567908E-3</v>
      </c>
      <c r="P1181">
        <v>4.7167729999999998E-4</v>
      </c>
      <c r="Q1181">
        <v>1.0424090125282629E-3</v>
      </c>
      <c r="R1181">
        <v>5069</v>
      </c>
      <c r="S1181">
        <v>0</v>
      </c>
      <c r="T1181">
        <v>0</v>
      </c>
      <c r="V1181">
        <v>2466</v>
      </c>
      <c r="W1181">
        <v>7</v>
      </c>
      <c r="X1181">
        <v>85</v>
      </c>
      <c r="Y1181">
        <v>3</v>
      </c>
      <c r="Z1181">
        <v>4</v>
      </c>
      <c r="AA1181">
        <v>5</v>
      </c>
      <c r="AB1181">
        <v>0</v>
      </c>
      <c r="AC1181">
        <v>0</v>
      </c>
      <c r="AD1181">
        <v>0</v>
      </c>
      <c r="AE1181">
        <v>0</v>
      </c>
      <c r="AF1181">
        <v>6.8500000000000002E-3</v>
      </c>
      <c r="AG1181">
        <v>0</v>
      </c>
      <c r="AH1181">
        <v>0</v>
      </c>
      <c r="AI1181">
        <v>2</v>
      </c>
      <c r="AJ1181">
        <v>0</v>
      </c>
      <c r="AK1181">
        <v>0</v>
      </c>
      <c r="AL1181">
        <v>80</v>
      </c>
      <c r="AM1181">
        <v>0.68500000000000005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2.0550000000000002</v>
      </c>
      <c r="AU1181">
        <v>0</v>
      </c>
      <c r="AV1181">
        <v>0</v>
      </c>
    </row>
    <row r="1182" spans="1:48" x14ac:dyDescent="0.15">
      <c r="A1182" s="4" t="str">
        <f>HYPERLINK("https://ibp.a2mac1.com/costing(costing:projects/details/9760/equipment/12212252)","Equipment (Stamping)")</f>
        <v>Equipment (Stamping)</v>
      </c>
      <c r="B1182">
        <v>12212252</v>
      </c>
      <c r="C1182">
        <v>12085160</v>
      </c>
      <c r="H1182" t="s">
        <v>162</v>
      </c>
      <c r="I1182">
        <v>1597.1025149142856</v>
      </c>
      <c r="J1182">
        <v>0</v>
      </c>
      <c r="K1182">
        <v>7.1360000000000007E-2</v>
      </c>
      <c r="L1182">
        <v>0</v>
      </c>
      <c r="M1182">
        <v>0.3943514038756486</v>
      </c>
      <c r="N1182">
        <v>0</v>
      </c>
      <c r="O1182">
        <v>6.5725233979274768E-3</v>
      </c>
      <c r="P1182">
        <v>7.6776670000000004E-4</v>
      </c>
      <c r="Q1182">
        <v>1.7069422209192808E-3</v>
      </c>
      <c r="R1182">
        <v>8251</v>
      </c>
      <c r="S1182">
        <v>0</v>
      </c>
      <c r="T1182">
        <v>0</v>
      </c>
      <c r="V1182">
        <v>4014</v>
      </c>
      <c r="W1182">
        <v>7</v>
      </c>
      <c r="X1182">
        <v>85</v>
      </c>
      <c r="Y1182">
        <v>3</v>
      </c>
      <c r="Z1182">
        <v>4</v>
      </c>
      <c r="AA1182">
        <v>5</v>
      </c>
      <c r="AB1182">
        <v>0</v>
      </c>
      <c r="AC1182">
        <v>0</v>
      </c>
      <c r="AD1182">
        <v>0</v>
      </c>
      <c r="AE1182">
        <v>0</v>
      </c>
      <c r="AF1182">
        <v>1.115E-2</v>
      </c>
      <c r="AG1182">
        <v>0</v>
      </c>
      <c r="AH1182">
        <v>0</v>
      </c>
      <c r="AI1182">
        <v>2</v>
      </c>
      <c r="AJ1182">
        <v>0</v>
      </c>
      <c r="AK1182">
        <v>0</v>
      </c>
      <c r="AL1182">
        <v>80</v>
      </c>
      <c r="AM1182">
        <v>1.115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3.3450000000000002</v>
      </c>
      <c r="AU1182">
        <v>0</v>
      </c>
      <c r="AV1182">
        <v>0</v>
      </c>
    </row>
    <row r="1183" spans="1:48" x14ac:dyDescent="0.15">
      <c r="A1183" s="4" t="str">
        <f>HYPERLINK("https://ibp.a2mac1.com/costing(costing:projects/details/9760/equipment/12212253)","Equipment (Stamping)")</f>
        <v>Equipment (Stamping)</v>
      </c>
      <c r="B1183">
        <v>12212253</v>
      </c>
      <c r="C1183">
        <v>12085161</v>
      </c>
      <c r="H1183" t="s">
        <v>162</v>
      </c>
      <c r="I1183">
        <v>1604.2644095999999</v>
      </c>
      <c r="J1183">
        <v>0</v>
      </c>
      <c r="K1183">
        <v>7.1679999999999994E-2</v>
      </c>
      <c r="L1183">
        <v>0</v>
      </c>
      <c r="M1183">
        <v>0.39611979582127932</v>
      </c>
      <c r="N1183">
        <v>0</v>
      </c>
      <c r="O1183">
        <v>6.6019965970213219E-3</v>
      </c>
      <c r="P1183">
        <v>7.7120960000000001E-4</v>
      </c>
      <c r="Q1183">
        <v>1.7147155062791899E-3</v>
      </c>
      <c r="R1183">
        <v>8288</v>
      </c>
      <c r="S1183">
        <v>0</v>
      </c>
      <c r="T1183">
        <v>0</v>
      </c>
      <c r="V1183">
        <v>4032</v>
      </c>
      <c r="W1183">
        <v>7</v>
      </c>
      <c r="X1183">
        <v>85</v>
      </c>
      <c r="Y1183">
        <v>3</v>
      </c>
      <c r="Z1183">
        <v>4</v>
      </c>
      <c r="AA1183">
        <v>5</v>
      </c>
      <c r="AB1183">
        <v>0</v>
      </c>
      <c r="AC1183">
        <v>0</v>
      </c>
      <c r="AD1183">
        <v>0</v>
      </c>
      <c r="AE1183">
        <v>0</v>
      </c>
      <c r="AF1183">
        <v>1.12E-2</v>
      </c>
      <c r="AG1183">
        <v>0</v>
      </c>
      <c r="AH1183">
        <v>0</v>
      </c>
      <c r="AI1183">
        <v>2</v>
      </c>
      <c r="AJ1183">
        <v>0</v>
      </c>
      <c r="AK1183">
        <v>0</v>
      </c>
      <c r="AL1183">
        <v>80</v>
      </c>
      <c r="AM1183">
        <v>1.1200000000000001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3.36</v>
      </c>
      <c r="AU1183">
        <v>0</v>
      </c>
      <c r="AV1183">
        <v>0</v>
      </c>
    </row>
    <row r="1184" spans="1:48" x14ac:dyDescent="0.15">
      <c r="A1184" s="4" t="str">
        <f>HYPERLINK("https://ibp.a2mac1.com/costing(costing:projects/details/9760/equipment/12213589)","Manufacturing Equipment")</f>
        <v>Manufacturing Equipment</v>
      </c>
      <c r="B1184">
        <v>12213589</v>
      </c>
      <c r="C1184">
        <v>12086444</v>
      </c>
      <c r="E1184" t="s">
        <v>1596</v>
      </c>
      <c r="H1184" t="s">
        <v>162</v>
      </c>
      <c r="I1184">
        <v>373962.17627729999</v>
      </c>
      <c r="J1184">
        <v>0</v>
      </c>
      <c r="K1184">
        <v>3.3919999999999999</v>
      </c>
      <c r="L1184">
        <v>0</v>
      </c>
      <c r="M1184">
        <v>85.594214187769211</v>
      </c>
      <c r="N1184">
        <v>0</v>
      </c>
      <c r="O1184">
        <v>0.23914143725750231</v>
      </c>
      <c r="P1184">
        <v>1.1542930495666667E-2</v>
      </c>
      <c r="Q1184">
        <v>8.833900876899229E-3</v>
      </c>
      <c r="R1184">
        <v>2750000.0079800002</v>
      </c>
      <c r="S1184">
        <v>0</v>
      </c>
      <c r="T1184">
        <v>0</v>
      </c>
      <c r="V1184">
        <v>5400</v>
      </c>
      <c r="W1184">
        <v>10</v>
      </c>
      <c r="X1184">
        <v>85</v>
      </c>
      <c r="Y1184">
        <v>4</v>
      </c>
      <c r="Z1184">
        <v>4</v>
      </c>
      <c r="AA1184">
        <v>5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80</v>
      </c>
      <c r="AM1184">
        <v>53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70</v>
      </c>
      <c r="AU1184">
        <v>0</v>
      </c>
      <c r="AV1184">
        <v>0</v>
      </c>
    </row>
    <row r="1185" spans="1:48" x14ac:dyDescent="0.15">
      <c r="A1185" s="4" t="str">
        <f>HYPERLINK("https://ibp.a2mac1.com/costing(costing:projects/details/9760/equipment/12213590)","Manufacturing Equipment")</f>
        <v>Manufacturing Equipment</v>
      </c>
      <c r="B1185">
        <v>12213590</v>
      </c>
      <c r="C1185">
        <v>12086445</v>
      </c>
      <c r="E1185" t="s">
        <v>1596</v>
      </c>
      <c r="H1185" t="s">
        <v>162</v>
      </c>
      <c r="I1185">
        <v>373962.17627729999</v>
      </c>
      <c r="J1185">
        <v>0</v>
      </c>
      <c r="K1185">
        <v>3.3919999999999999</v>
      </c>
      <c r="L1185">
        <v>0</v>
      </c>
      <c r="M1185">
        <v>85.594214187769211</v>
      </c>
      <c r="N1185">
        <v>0</v>
      </c>
      <c r="O1185">
        <v>0.23914143725750231</v>
      </c>
      <c r="P1185">
        <v>1.1542930495666667E-2</v>
      </c>
      <c r="Q1185">
        <v>8.833900876899229E-3</v>
      </c>
      <c r="R1185">
        <v>2750000.0079800002</v>
      </c>
      <c r="S1185">
        <v>0</v>
      </c>
      <c r="T1185">
        <v>0</v>
      </c>
      <c r="V1185">
        <v>5400</v>
      </c>
      <c r="W1185">
        <v>10</v>
      </c>
      <c r="X1185">
        <v>85</v>
      </c>
      <c r="Y1185">
        <v>4</v>
      </c>
      <c r="Z1185">
        <v>4</v>
      </c>
      <c r="AA1185">
        <v>5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80</v>
      </c>
      <c r="AM1185">
        <v>53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70</v>
      </c>
      <c r="AU1185">
        <v>0</v>
      </c>
      <c r="AV1185">
        <v>0</v>
      </c>
    </row>
    <row r="1186" spans="1:48" x14ac:dyDescent="0.15">
      <c r="A1186" s="4" t="str">
        <f>HYPERLINK("https://ibp.a2mac1.com/costing(costing:projects/details/9760/equipment/12213591)","Manufacturing Equipment")</f>
        <v>Manufacturing Equipment</v>
      </c>
      <c r="B1186">
        <v>12213591</v>
      </c>
      <c r="C1186">
        <v>12086446</v>
      </c>
      <c r="E1186" t="s">
        <v>1596</v>
      </c>
      <c r="H1186" t="s">
        <v>162</v>
      </c>
      <c r="I1186">
        <v>373962.17573865002</v>
      </c>
      <c r="J1186">
        <v>0</v>
      </c>
      <c r="K1186">
        <v>3.3919999999999999</v>
      </c>
      <c r="L1186">
        <v>0</v>
      </c>
      <c r="M1186">
        <v>85.594214069133713</v>
      </c>
      <c r="N1186">
        <v>0</v>
      </c>
      <c r="O1186">
        <v>3.4792740329721246E-2</v>
      </c>
      <c r="P1186">
        <v>1.6793835001666668E-3</v>
      </c>
      <c r="Q1186">
        <v>4.4169504331110178E-3</v>
      </c>
      <c r="R1186">
        <v>2750000.0039900001</v>
      </c>
      <c r="S1186">
        <v>0</v>
      </c>
      <c r="T1186">
        <v>0</v>
      </c>
      <c r="V1186">
        <v>5400</v>
      </c>
      <c r="W1186">
        <v>10</v>
      </c>
      <c r="X1186">
        <v>85</v>
      </c>
      <c r="Y1186">
        <v>4</v>
      </c>
      <c r="Z1186">
        <v>4</v>
      </c>
      <c r="AA1186">
        <v>5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80</v>
      </c>
      <c r="AM1186">
        <v>53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70</v>
      </c>
      <c r="AU1186">
        <v>0</v>
      </c>
      <c r="AV1186">
        <v>0</v>
      </c>
    </row>
    <row r="1187" spans="1:48" x14ac:dyDescent="0.15">
      <c r="A1187" s="4" t="str">
        <f>HYPERLINK("https://ibp.a2mac1.com/costing(costing:projects/details/9760/equipment/12213592)","Manufacturing Equipment")</f>
        <v>Manufacturing Equipment</v>
      </c>
      <c r="B1187">
        <v>12213592</v>
      </c>
      <c r="C1187">
        <v>12086447</v>
      </c>
      <c r="E1187" t="s">
        <v>1596</v>
      </c>
      <c r="H1187" t="s">
        <v>162</v>
      </c>
      <c r="I1187">
        <v>373962.17573865002</v>
      </c>
      <c r="J1187">
        <v>0</v>
      </c>
      <c r="K1187">
        <v>3.3919999999999999</v>
      </c>
      <c r="L1187">
        <v>0</v>
      </c>
      <c r="M1187">
        <v>85.594214069133713</v>
      </c>
      <c r="N1187">
        <v>0</v>
      </c>
      <c r="O1187">
        <v>3.4792740329721246E-2</v>
      </c>
      <c r="P1187">
        <v>1.6793835001666668E-3</v>
      </c>
      <c r="Q1187">
        <v>4.4169504331110178E-3</v>
      </c>
      <c r="R1187">
        <v>2750000.0039900001</v>
      </c>
      <c r="S1187">
        <v>0</v>
      </c>
      <c r="T1187">
        <v>0</v>
      </c>
      <c r="V1187">
        <v>5400</v>
      </c>
      <c r="W1187">
        <v>10</v>
      </c>
      <c r="X1187">
        <v>85</v>
      </c>
      <c r="Y1187">
        <v>4</v>
      </c>
      <c r="Z1187">
        <v>4</v>
      </c>
      <c r="AA1187">
        <v>5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80</v>
      </c>
      <c r="AM1187">
        <v>53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70</v>
      </c>
      <c r="AU1187">
        <v>0</v>
      </c>
      <c r="AV1187">
        <v>0</v>
      </c>
    </row>
    <row r="1188" spans="1:48" x14ac:dyDescent="0.15">
      <c r="A1188" s="4" t="str">
        <f>HYPERLINK("https://ibp.a2mac1.com/costing(costing:projects/details/9760/equipment/12213593)","Manufacturing Equipment")</f>
        <v>Manufacturing Equipment</v>
      </c>
      <c r="B1188">
        <v>12213593</v>
      </c>
      <c r="C1188">
        <v>12086448</v>
      </c>
      <c r="E1188" t="s">
        <v>1596</v>
      </c>
      <c r="H1188" t="s">
        <v>162</v>
      </c>
      <c r="I1188">
        <v>373962.17573865002</v>
      </c>
      <c r="J1188">
        <v>0</v>
      </c>
      <c r="K1188">
        <v>3.3919999999999999</v>
      </c>
      <c r="L1188">
        <v>0</v>
      </c>
      <c r="M1188">
        <v>85.594214069133713</v>
      </c>
      <c r="N1188">
        <v>0</v>
      </c>
      <c r="O1188">
        <v>2.0976050966169956E-2</v>
      </c>
      <c r="P1188">
        <v>1.0124765556666668E-3</v>
      </c>
      <c r="Q1188">
        <v>4.4169504331110178E-3</v>
      </c>
      <c r="R1188">
        <v>2750000.0039900001</v>
      </c>
      <c r="S1188">
        <v>0</v>
      </c>
      <c r="T1188">
        <v>0</v>
      </c>
      <c r="V1188">
        <v>5400</v>
      </c>
      <c r="W1188">
        <v>10</v>
      </c>
      <c r="X1188">
        <v>85</v>
      </c>
      <c r="Y1188">
        <v>4</v>
      </c>
      <c r="Z1188">
        <v>4</v>
      </c>
      <c r="AA1188">
        <v>5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80</v>
      </c>
      <c r="AM1188">
        <v>53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70</v>
      </c>
      <c r="AU1188">
        <v>0</v>
      </c>
      <c r="AV1188">
        <v>0</v>
      </c>
    </row>
    <row r="1189" spans="1:48" x14ac:dyDescent="0.15">
      <c r="A1189" s="4" t="str">
        <f>HYPERLINK("https://ibp.a2mac1.com/costing(costing:projects/details/9760/equipment/12213594)","Manufacturing Equipment")</f>
        <v>Manufacturing Equipment</v>
      </c>
      <c r="B1189">
        <v>12213594</v>
      </c>
      <c r="C1189">
        <v>12086449</v>
      </c>
      <c r="E1189" t="s">
        <v>1596</v>
      </c>
      <c r="H1189" t="s">
        <v>162</v>
      </c>
      <c r="I1189">
        <v>373962.17627729999</v>
      </c>
      <c r="J1189">
        <v>0</v>
      </c>
      <c r="K1189">
        <v>3.3919999999999999</v>
      </c>
      <c r="L1189">
        <v>0</v>
      </c>
      <c r="M1189">
        <v>85.594214187769211</v>
      </c>
      <c r="N1189">
        <v>0</v>
      </c>
      <c r="O1189">
        <v>0.23914143725750231</v>
      </c>
      <c r="P1189">
        <v>1.1542930495666667E-2</v>
      </c>
      <c r="Q1189">
        <v>8.833900876899229E-3</v>
      </c>
      <c r="R1189">
        <v>2750000.0079800002</v>
      </c>
      <c r="S1189">
        <v>0</v>
      </c>
      <c r="T1189">
        <v>0</v>
      </c>
      <c r="V1189">
        <v>5400</v>
      </c>
      <c r="W1189">
        <v>10</v>
      </c>
      <c r="X1189">
        <v>85</v>
      </c>
      <c r="Y1189">
        <v>4</v>
      </c>
      <c r="Z1189">
        <v>4</v>
      </c>
      <c r="AA1189">
        <v>5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80</v>
      </c>
      <c r="AM1189">
        <v>53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70</v>
      </c>
      <c r="AU1189">
        <v>0</v>
      </c>
      <c r="AV1189">
        <v>0</v>
      </c>
    </row>
    <row r="1190" spans="1:48" x14ac:dyDescent="0.15">
      <c r="A1190" s="4" t="str">
        <f>HYPERLINK("https://ibp.a2mac1.com/costing(costing:projects/details/9760/equipment/12213595)","Manufacturing Equipment")</f>
        <v>Manufacturing Equipment</v>
      </c>
      <c r="B1190">
        <v>12213595</v>
      </c>
      <c r="C1190">
        <v>12086450</v>
      </c>
      <c r="E1190" t="s">
        <v>1596</v>
      </c>
      <c r="H1190" t="s">
        <v>162</v>
      </c>
      <c r="I1190">
        <v>373962.17627729999</v>
      </c>
      <c r="J1190">
        <v>0</v>
      </c>
      <c r="K1190">
        <v>3.3919999999999999</v>
      </c>
      <c r="L1190">
        <v>0</v>
      </c>
      <c r="M1190">
        <v>85.594214187769211</v>
      </c>
      <c r="N1190">
        <v>0</v>
      </c>
      <c r="O1190">
        <v>0.23914143725750231</v>
      </c>
      <c r="P1190">
        <v>1.1542930495666667E-2</v>
      </c>
      <c r="Q1190">
        <v>8.833900876899229E-3</v>
      </c>
      <c r="R1190">
        <v>2750000.0079800002</v>
      </c>
      <c r="S1190">
        <v>0</v>
      </c>
      <c r="T1190">
        <v>0</v>
      </c>
      <c r="V1190">
        <v>5400</v>
      </c>
      <c r="W1190">
        <v>10</v>
      </c>
      <c r="X1190">
        <v>85</v>
      </c>
      <c r="Y1190">
        <v>4</v>
      </c>
      <c r="Z1190">
        <v>4</v>
      </c>
      <c r="AA1190">
        <v>5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80</v>
      </c>
      <c r="AM1190">
        <v>53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70</v>
      </c>
      <c r="AU1190">
        <v>0</v>
      </c>
      <c r="AV1190">
        <v>0</v>
      </c>
    </row>
    <row r="1191" spans="1:48" x14ac:dyDescent="0.15">
      <c r="A1191" s="4" t="str">
        <f>HYPERLINK("https://ibp.a2mac1.com/costing(costing:projects/details/9760/equipment/12213596)","Manufacturing Equipment")</f>
        <v>Manufacturing Equipment</v>
      </c>
      <c r="B1191">
        <v>12213596</v>
      </c>
      <c r="C1191">
        <v>12086451</v>
      </c>
      <c r="E1191" t="s">
        <v>1596</v>
      </c>
      <c r="H1191" t="s">
        <v>162</v>
      </c>
      <c r="I1191">
        <v>373962.17573865002</v>
      </c>
      <c r="J1191">
        <v>0</v>
      </c>
      <c r="K1191">
        <v>3.3919999999999999</v>
      </c>
      <c r="L1191">
        <v>0</v>
      </c>
      <c r="M1191">
        <v>85.594214069133713</v>
      </c>
      <c r="N1191">
        <v>0</v>
      </c>
      <c r="O1191">
        <v>3.4792740329721246E-2</v>
      </c>
      <c r="P1191">
        <v>1.6793835001666668E-3</v>
      </c>
      <c r="Q1191">
        <v>4.4169504331110178E-3</v>
      </c>
      <c r="R1191">
        <v>2750000.0039900001</v>
      </c>
      <c r="S1191">
        <v>0</v>
      </c>
      <c r="T1191">
        <v>0</v>
      </c>
      <c r="V1191">
        <v>5400</v>
      </c>
      <c r="W1191">
        <v>10</v>
      </c>
      <c r="X1191">
        <v>85</v>
      </c>
      <c r="Y1191">
        <v>4</v>
      </c>
      <c r="Z1191">
        <v>4</v>
      </c>
      <c r="AA1191">
        <v>5</v>
      </c>
      <c r="AB1191">
        <v>0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80</v>
      </c>
      <c r="AM1191">
        <v>53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70</v>
      </c>
      <c r="AU1191">
        <v>0</v>
      </c>
      <c r="AV1191">
        <v>0</v>
      </c>
    </row>
    <row r="1192" spans="1:48" x14ac:dyDescent="0.15">
      <c r="A1192" s="4" t="str">
        <f>HYPERLINK("https://ibp.a2mac1.com/costing(costing:projects/details/9760/equipment/12213326)","Manufacturing Equipment")</f>
        <v>Manufacturing Equipment</v>
      </c>
      <c r="B1192">
        <v>12213326</v>
      </c>
      <c r="C1192">
        <v>12086193</v>
      </c>
      <c r="E1192" t="s">
        <v>1596</v>
      </c>
      <c r="H1192" t="s">
        <v>162</v>
      </c>
      <c r="I1192">
        <v>373962.17627729999</v>
      </c>
      <c r="J1192">
        <v>0</v>
      </c>
      <c r="K1192">
        <v>3.3919999999999999</v>
      </c>
      <c r="L1192">
        <v>0</v>
      </c>
      <c r="M1192">
        <v>85.594214187769211</v>
      </c>
      <c r="N1192">
        <v>0</v>
      </c>
      <c r="O1192">
        <v>0.28844132701259662</v>
      </c>
      <c r="P1192">
        <v>1.3922548212333333E-2</v>
      </c>
      <c r="Q1192">
        <v>8.833900876899229E-3</v>
      </c>
      <c r="R1192">
        <v>2750000.0079800002</v>
      </c>
      <c r="S1192">
        <v>0</v>
      </c>
      <c r="T1192">
        <v>0</v>
      </c>
      <c r="V1192">
        <v>5400</v>
      </c>
      <c r="W1192">
        <v>10</v>
      </c>
      <c r="X1192">
        <v>85</v>
      </c>
      <c r="Y1192">
        <v>4</v>
      </c>
      <c r="Z1192">
        <v>4</v>
      </c>
      <c r="AA1192">
        <v>5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80</v>
      </c>
      <c r="AM1192">
        <v>53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70</v>
      </c>
      <c r="AU1192">
        <v>0</v>
      </c>
      <c r="AV1192">
        <v>0</v>
      </c>
    </row>
    <row r="1193" spans="1:48" x14ac:dyDescent="0.15">
      <c r="A1193" s="4" t="str">
        <f>HYPERLINK("https://ibp.a2mac1.com/costing(costing:projects/details/9760/equipment/12213327)","Manufacturing Equipment")</f>
        <v>Manufacturing Equipment</v>
      </c>
      <c r="B1193">
        <v>12213327</v>
      </c>
      <c r="C1193">
        <v>12086194</v>
      </c>
      <c r="E1193" t="s">
        <v>1596</v>
      </c>
      <c r="H1193" t="s">
        <v>162</v>
      </c>
      <c r="I1193">
        <v>373962.17573865002</v>
      </c>
      <c r="J1193">
        <v>0</v>
      </c>
      <c r="K1193">
        <v>3.3919999999999999</v>
      </c>
      <c r="L1193">
        <v>0</v>
      </c>
      <c r="M1193">
        <v>85.594214069133713</v>
      </c>
      <c r="N1193">
        <v>0</v>
      </c>
      <c r="O1193">
        <v>1.2958845129213971E-2</v>
      </c>
      <c r="P1193">
        <v>6.2550033383333334E-4</v>
      </c>
      <c r="Q1193">
        <v>4.4169504331110178E-3</v>
      </c>
      <c r="R1193">
        <v>2750000.0039900001</v>
      </c>
      <c r="S1193">
        <v>0</v>
      </c>
      <c r="T1193">
        <v>0</v>
      </c>
      <c r="V1193">
        <v>5400</v>
      </c>
      <c r="W1193">
        <v>10</v>
      </c>
      <c r="X1193">
        <v>85</v>
      </c>
      <c r="Y1193">
        <v>4</v>
      </c>
      <c r="Z1193">
        <v>4</v>
      </c>
      <c r="AA1193">
        <v>5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80</v>
      </c>
      <c r="AM1193">
        <v>53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70</v>
      </c>
      <c r="AU1193">
        <v>0</v>
      </c>
      <c r="AV1193">
        <v>0</v>
      </c>
    </row>
    <row r="1194" spans="1:48" x14ac:dyDescent="0.15">
      <c r="A1194" s="4" t="str">
        <f>HYPERLINK("https://ibp.a2mac1.com/costing(costing:projects/details/9760/equipment/12213328)","Manufacturing Equipment")</f>
        <v>Manufacturing Equipment</v>
      </c>
      <c r="B1194">
        <v>12213328</v>
      </c>
      <c r="C1194">
        <v>12086195</v>
      </c>
      <c r="E1194" t="s">
        <v>1596</v>
      </c>
      <c r="H1194" t="s">
        <v>162</v>
      </c>
      <c r="I1194">
        <v>373962.17627729999</v>
      </c>
      <c r="J1194">
        <v>0</v>
      </c>
      <c r="K1194">
        <v>3.3919999999999999</v>
      </c>
      <c r="L1194">
        <v>0</v>
      </c>
      <c r="M1194">
        <v>85.594214187769211</v>
      </c>
      <c r="N1194">
        <v>0</v>
      </c>
      <c r="O1194">
        <v>9.7769753394273295E-2</v>
      </c>
      <c r="P1194">
        <v>4.7191715536666666E-3</v>
      </c>
      <c r="Q1194">
        <v>8.833900876899229E-3</v>
      </c>
      <c r="R1194">
        <v>2750000.0079800002</v>
      </c>
      <c r="S1194">
        <v>0</v>
      </c>
      <c r="T1194">
        <v>0</v>
      </c>
      <c r="V1194">
        <v>5400</v>
      </c>
      <c r="W1194">
        <v>10</v>
      </c>
      <c r="X1194">
        <v>85</v>
      </c>
      <c r="Y1194">
        <v>4</v>
      </c>
      <c r="Z1194">
        <v>4</v>
      </c>
      <c r="AA1194">
        <v>5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80</v>
      </c>
      <c r="AM1194">
        <v>53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70</v>
      </c>
      <c r="AU1194">
        <v>0</v>
      </c>
      <c r="AV1194">
        <v>0</v>
      </c>
    </row>
    <row r="1195" spans="1:48" x14ac:dyDescent="0.15">
      <c r="A1195" s="4" t="str">
        <f>HYPERLINK("https://ibp.a2mac1.com/costing(costing:projects/details/9760/equipment/12213329)","Manufacturing Equipment")</f>
        <v>Manufacturing Equipment</v>
      </c>
      <c r="B1195">
        <v>12213329</v>
      </c>
      <c r="C1195">
        <v>12086196</v>
      </c>
      <c r="E1195" t="s">
        <v>1596</v>
      </c>
      <c r="H1195" t="s">
        <v>162</v>
      </c>
      <c r="I1195">
        <v>373962.17573865002</v>
      </c>
      <c r="J1195">
        <v>0</v>
      </c>
      <c r="K1195">
        <v>3.3919999999999999</v>
      </c>
      <c r="L1195">
        <v>0</v>
      </c>
      <c r="M1195">
        <v>85.594214069133713</v>
      </c>
      <c r="N1195">
        <v>0</v>
      </c>
      <c r="O1195">
        <v>1.2958845129213971E-2</v>
      </c>
      <c r="P1195">
        <v>6.2550033383333334E-4</v>
      </c>
      <c r="Q1195">
        <v>4.4169504331110178E-3</v>
      </c>
      <c r="R1195">
        <v>2750000.0039900001</v>
      </c>
      <c r="S1195">
        <v>0</v>
      </c>
      <c r="T1195">
        <v>0</v>
      </c>
      <c r="V1195">
        <v>5400</v>
      </c>
      <c r="W1195">
        <v>10</v>
      </c>
      <c r="X1195">
        <v>85</v>
      </c>
      <c r="Y1195">
        <v>4</v>
      </c>
      <c r="Z1195">
        <v>4</v>
      </c>
      <c r="AA1195">
        <v>5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80</v>
      </c>
      <c r="AM1195">
        <v>53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70</v>
      </c>
      <c r="AU1195">
        <v>0</v>
      </c>
      <c r="AV1195">
        <v>0</v>
      </c>
    </row>
    <row r="1196" spans="1:48" x14ac:dyDescent="0.15">
      <c r="A1196" s="4" t="str">
        <f>HYPERLINK("https://ibp.a2mac1.com/costing(costing:projects/details/9760/equipment/12213330)","Manufacturing Equipment")</f>
        <v>Manufacturing Equipment</v>
      </c>
      <c r="B1196">
        <v>12213330</v>
      </c>
      <c r="C1196">
        <v>12086197</v>
      </c>
      <c r="E1196" t="s">
        <v>1596</v>
      </c>
      <c r="H1196" t="s">
        <v>162</v>
      </c>
      <c r="I1196">
        <v>373962.17573865002</v>
      </c>
      <c r="J1196">
        <v>0</v>
      </c>
      <c r="K1196">
        <v>3.3919999999999999</v>
      </c>
      <c r="L1196">
        <v>0</v>
      </c>
      <c r="M1196">
        <v>85.594214069133713</v>
      </c>
      <c r="N1196">
        <v>0</v>
      </c>
      <c r="O1196">
        <v>1.2958845129213971E-2</v>
      </c>
      <c r="P1196">
        <v>6.2550033383333334E-4</v>
      </c>
      <c r="Q1196">
        <v>4.4169504331110178E-3</v>
      </c>
      <c r="R1196">
        <v>2750000.0039900001</v>
      </c>
      <c r="S1196">
        <v>0</v>
      </c>
      <c r="T1196">
        <v>0</v>
      </c>
      <c r="V1196">
        <v>5400</v>
      </c>
      <c r="W1196">
        <v>10</v>
      </c>
      <c r="X1196">
        <v>85</v>
      </c>
      <c r="Y1196">
        <v>4</v>
      </c>
      <c r="Z1196">
        <v>4</v>
      </c>
      <c r="AA1196">
        <v>5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80</v>
      </c>
      <c r="AM1196">
        <v>53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70</v>
      </c>
      <c r="AU1196">
        <v>0</v>
      </c>
      <c r="AV1196">
        <v>0</v>
      </c>
    </row>
    <row r="1197" spans="1:48" x14ac:dyDescent="0.15">
      <c r="A1197" s="4" t="str">
        <f>HYPERLINK("https://ibp.a2mac1.com/costing(costing:projects/details/9760/equipment/12213331)","Manufacturing Equipment")</f>
        <v>Manufacturing Equipment</v>
      </c>
      <c r="B1197">
        <v>12213331</v>
      </c>
      <c r="C1197">
        <v>12086198</v>
      </c>
      <c r="E1197" t="s">
        <v>1596</v>
      </c>
      <c r="H1197" t="s">
        <v>162</v>
      </c>
      <c r="I1197">
        <v>373962.17573865002</v>
      </c>
      <c r="J1197">
        <v>0</v>
      </c>
      <c r="K1197">
        <v>3.3919999999999999</v>
      </c>
      <c r="L1197">
        <v>0</v>
      </c>
      <c r="M1197">
        <v>85.594214069133713</v>
      </c>
      <c r="N1197">
        <v>0</v>
      </c>
      <c r="O1197">
        <v>1.2958845129213971E-2</v>
      </c>
      <c r="P1197">
        <v>6.2550033383333334E-4</v>
      </c>
      <c r="Q1197">
        <v>4.4169504331110178E-3</v>
      </c>
      <c r="R1197">
        <v>2750000.0039900001</v>
      </c>
      <c r="S1197">
        <v>0</v>
      </c>
      <c r="T1197">
        <v>0</v>
      </c>
      <c r="V1197">
        <v>5400</v>
      </c>
      <c r="W1197">
        <v>10</v>
      </c>
      <c r="X1197">
        <v>85</v>
      </c>
      <c r="Y1197">
        <v>4</v>
      </c>
      <c r="Z1197">
        <v>4</v>
      </c>
      <c r="AA1197">
        <v>5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80</v>
      </c>
      <c r="AM1197">
        <v>53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70</v>
      </c>
      <c r="AU1197">
        <v>0</v>
      </c>
      <c r="AV1197">
        <v>0</v>
      </c>
    </row>
    <row r="1198" spans="1:48" x14ac:dyDescent="0.15">
      <c r="A1198" s="4" t="str">
        <f>HYPERLINK("https://ibp.a2mac1.com/costing(costing:projects/details/9760/equipment/12213155)","Manufacturing Equipment")</f>
        <v>Manufacturing Equipment</v>
      </c>
      <c r="B1198">
        <v>12213155</v>
      </c>
      <c r="C1198">
        <v>12085997</v>
      </c>
      <c r="E1198" t="s">
        <v>1596</v>
      </c>
      <c r="H1198" t="s">
        <v>162</v>
      </c>
      <c r="I1198">
        <v>373962.17627729999</v>
      </c>
      <c r="J1198">
        <v>0</v>
      </c>
      <c r="K1198">
        <v>3.3919999999999999</v>
      </c>
      <c r="L1198">
        <v>0</v>
      </c>
      <c r="M1198">
        <v>85.594214187769211</v>
      </c>
      <c r="N1198">
        <v>0</v>
      </c>
      <c r="O1198">
        <v>0.45207297508388539</v>
      </c>
      <c r="P1198">
        <v>2.182075591E-2</v>
      </c>
      <c r="Q1198">
        <v>8.833900876899229E-3</v>
      </c>
      <c r="R1198">
        <v>2750000.0079800002</v>
      </c>
      <c r="S1198">
        <v>0</v>
      </c>
      <c r="T1198">
        <v>0</v>
      </c>
      <c r="V1198">
        <v>5400</v>
      </c>
      <c r="W1198">
        <v>10</v>
      </c>
      <c r="X1198">
        <v>85</v>
      </c>
      <c r="Y1198">
        <v>4</v>
      </c>
      <c r="Z1198">
        <v>4</v>
      </c>
      <c r="AA1198">
        <v>5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80</v>
      </c>
      <c r="AM1198">
        <v>53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70</v>
      </c>
      <c r="AU1198">
        <v>0</v>
      </c>
      <c r="AV1198">
        <v>0</v>
      </c>
    </row>
    <row r="1199" spans="1:48" x14ac:dyDescent="0.15">
      <c r="A1199" s="4" t="str">
        <f>HYPERLINK("https://ibp.a2mac1.com/costing(costing:projects/details/9760/equipment/12213156)","Manufacturing Equipment")</f>
        <v>Manufacturing Equipment</v>
      </c>
      <c r="B1199">
        <v>12213156</v>
      </c>
      <c r="C1199">
        <v>12085998</v>
      </c>
      <c r="E1199" t="s">
        <v>1596</v>
      </c>
      <c r="H1199" t="s">
        <v>162</v>
      </c>
      <c r="I1199">
        <v>373962.17573865002</v>
      </c>
      <c r="J1199">
        <v>0</v>
      </c>
      <c r="K1199">
        <v>3.3919999999999999</v>
      </c>
      <c r="L1199">
        <v>0</v>
      </c>
      <c r="M1199">
        <v>85.594214069133713</v>
      </c>
      <c r="N1199">
        <v>0</v>
      </c>
      <c r="O1199">
        <v>3.9961323170115311E-2</v>
      </c>
      <c r="P1199">
        <v>1.9288617723333334E-3</v>
      </c>
      <c r="Q1199">
        <v>4.4169504331110178E-3</v>
      </c>
      <c r="R1199">
        <v>2750000.0039900001</v>
      </c>
      <c r="S1199">
        <v>0</v>
      </c>
      <c r="T1199">
        <v>0</v>
      </c>
      <c r="V1199">
        <v>5400</v>
      </c>
      <c r="W1199">
        <v>10</v>
      </c>
      <c r="X1199">
        <v>85</v>
      </c>
      <c r="Y1199">
        <v>4</v>
      </c>
      <c r="Z1199">
        <v>4</v>
      </c>
      <c r="AA1199">
        <v>5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80</v>
      </c>
      <c r="AM1199">
        <v>53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70</v>
      </c>
      <c r="AU1199">
        <v>0</v>
      </c>
      <c r="AV1199">
        <v>0</v>
      </c>
    </row>
    <row r="1200" spans="1:48" x14ac:dyDescent="0.15">
      <c r="A1200" s="4" t="str">
        <f>HYPERLINK("https://ibp.a2mac1.com/costing(costing:projects/details/9760/equipment/12213157)","Manufacturing Equipment")</f>
        <v>Manufacturing Equipment</v>
      </c>
      <c r="B1200">
        <v>12213157</v>
      </c>
      <c r="C1200">
        <v>12085999</v>
      </c>
      <c r="E1200" t="s">
        <v>1596</v>
      </c>
      <c r="H1200" t="s">
        <v>162</v>
      </c>
      <c r="I1200">
        <v>373962.17573865002</v>
      </c>
      <c r="J1200">
        <v>0</v>
      </c>
      <c r="K1200">
        <v>3.3919999999999999</v>
      </c>
      <c r="L1200">
        <v>0</v>
      </c>
      <c r="M1200">
        <v>85.594214069133713</v>
      </c>
      <c r="N1200">
        <v>0</v>
      </c>
      <c r="O1200">
        <v>1.7987861848334199E-2</v>
      </c>
      <c r="P1200">
        <v>8.6824199833333338E-4</v>
      </c>
      <c r="Q1200">
        <v>4.4169504331110178E-3</v>
      </c>
      <c r="R1200">
        <v>2750000.0039900001</v>
      </c>
      <c r="S1200">
        <v>0</v>
      </c>
      <c r="T1200">
        <v>0</v>
      </c>
      <c r="V1200">
        <v>5400</v>
      </c>
      <c r="W1200">
        <v>10</v>
      </c>
      <c r="X1200">
        <v>85</v>
      </c>
      <c r="Y1200">
        <v>4</v>
      </c>
      <c r="Z1200">
        <v>4</v>
      </c>
      <c r="AA1200">
        <v>5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80</v>
      </c>
      <c r="AM1200">
        <v>53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70</v>
      </c>
      <c r="AU1200">
        <v>0</v>
      </c>
      <c r="AV1200">
        <v>0</v>
      </c>
    </row>
    <row r="1201" spans="1:48" x14ac:dyDescent="0.15">
      <c r="A1201" s="4" t="str">
        <f>HYPERLINK("https://ibp.a2mac1.com/costing(costing:projects/details/9760/equipment/12213158)","Manufacturing Equipment")</f>
        <v>Manufacturing Equipment</v>
      </c>
      <c r="B1201">
        <v>12213158</v>
      </c>
      <c r="C1201">
        <v>12086000</v>
      </c>
      <c r="E1201" t="s">
        <v>1596</v>
      </c>
      <c r="H1201" t="s">
        <v>162</v>
      </c>
      <c r="I1201">
        <v>373962.17573865002</v>
      </c>
      <c r="J1201">
        <v>0</v>
      </c>
      <c r="K1201">
        <v>3.3919999999999999</v>
      </c>
      <c r="L1201">
        <v>0</v>
      </c>
      <c r="M1201">
        <v>85.594214069133713</v>
      </c>
      <c r="N1201">
        <v>0</v>
      </c>
      <c r="O1201">
        <v>1.2958845129213971E-2</v>
      </c>
      <c r="P1201">
        <v>6.2550033383333334E-4</v>
      </c>
      <c r="Q1201">
        <v>4.4169504331110178E-3</v>
      </c>
      <c r="R1201">
        <v>2750000.0039900001</v>
      </c>
      <c r="S1201">
        <v>0</v>
      </c>
      <c r="T1201">
        <v>0</v>
      </c>
      <c r="V1201">
        <v>5400</v>
      </c>
      <c r="W1201">
        <v>10</v>
      </c>
      <c r="X1201">
        <v>85</v>
      </c>
      <c r="Y1201">
        <v>4</v>
      </c>
      <c r="Z1201">
        <v>4</v>
      </c>
      <c r="AA1201">
        <v>5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80</v>
      </c>
      <c r="AM1201">
        <v>53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70</v>
      </c>
      <c r="AU1201">
        <v>0</v>
      </c>
      <c r="AV1201">
        <v>0</v>
      </c>
    </row>
    <row r="1202" spans="1:48" x14ac:dyDescent="0.15">
      <c r="A1202" s="4" t="str">
        <f>HYPERLINK("https://ibp.a2mac1.com/costing(costing:projects/details/9760/equipment/12213215)","Manufacturing Equipment")</f>
        <v>Manufacturing Equipment</v>
      </c>
      <c r="B1202">
        <v>12213215</v>
      </c>
      <c r="C1202">
        <v>12086001</v>
      </c>
      <c r="E1202" t="s">
        <v>1596</v>
      </c>
      <c r="H1202" t="s">
        <v>162</v>
      </c>
      <c r="I1202">
        <v>373962.17573865002</v>
      </c>
      <c r="J1202">
        <v>0</v>
      </c>
      <c r="K1202">
        <v>3.3919999999999999</v>
      </c>
      <c r="L1202">
        <v>0</v>
      </c>
      <c r="M1202">
        <v>85.594214069133713</v>
      </c>
      <c r="N1202">
        <v>0</v>
      </c>
      <c r="O1202">
        <v>1.7987861848334199E-2</v>
      </c>
      <c r="P1202">
        <v>8.6824199833333338E-4</v>
      </c>
      <c r="Q1202">
        <v>4.4169504331110178E-3</v>
      </c>
      <c r="R1202">
        <v>2750000.0039900001</v>
      </c>
      <c r="S1202">
        <v>0</v>
      </c>
      <c r="T1202">
        <v>0</v>
      </c>
      <c r="V1202">
        <v>5400</v>
      </c>
      <c r="W1202">
        <v>10</v>
      </c>
      <c r="X1202">
        <v>85</v>
      </c>
      <c r="Y1202">
        <v>4</v>
      </c>
      <c r="Z1202">
        <v>4</v>
      </c>
      <c r="AA1202">
        <v>5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80</v>
      </c>
      <c r="AM1202">
        <v>53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70</v>
      </c>
      <c r="AU1202">
        <v>0</v>
      </c>
      <c r="AV1202">
        <v>0</v>
      </c>
    </row>
    <row r="1203" spans="1:48" x14ac:dyDescent="0.15">
      <c r="A1203" s="4" t="str">
        <f>HYPERLINK("https://ibp.a2mac1.com/costing(costing:projects/details/9760/equipment/12213216)","Manufacturing Equipment")</f>
        <v>Manufacturing Equipment</v>
      </c>
      <c r="B1203">
        <v>12213216</v>
      </c>
      <c r="C1203">
        <v>12086002</v>
      </c>
      <c r="E1203" t="s">
        <v>1596</v>
      </c>
      <c r="H1203" t="s">
        <v>162</v>
      </c>
      <c r="I1203">
        <v>373962.17573865002</v>
      </c>
      <c r="J1203">
        <v>0</v>
      </c>
      <c r="K1203">
        <v>3.3919999999999999</v>
      </c>
      <c r="L1203">
        <v>0</v>
      </c>
      <c r="M1203">
        <v>85.594214069133713</v>
      </c>
      <c r="N1203">
        <v>0</v>
      </c>
      <c r="O1203">
        <v>3.9961323170115311E-2</v>
      </c>
      <c r="P1203">
        <v>1.9288617723333334E-3</v>
      </c>
      <c r="Q1203">
        <v>4.4169504331110178E-3</v>
      </c>
      <c r="R1203">
        <v>2750000.0039900001</v>
      </c>
      <c r="S1203">
        <v>0</v>
      </c>
      <c r="T1203">
        <v>0</v>
      </c>
      <c r="V1203">
        <v>5400</v>
      </c>
      <c r="W1203">
        <v>10</v>
      </c>
      <c r="X1203">
        <v>85</v>
      </c>
      <c r="Y1203">
        <v>4</v>
      </c>
      <c r="Z1203">
        <v>4</v>
      </c>
      <c r="AA1203">
        <v>5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80</v>
      </c>
      <c r="AM1203">
        <v>53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70</v>
      </c>
      <c r="AU1203">
        <v>0</v>
      </c>
      <c r="AV1203">
        <v>0</v>
      </c>
    </row>
    <row r="1204" spans="1:48" x14ac:dyDescent="0.15">
      <c r="A1204" s="4" t="str">
        <f>HYPERLINK("https://ibp.a2mac1.com/costing(costing:projects/details/9760/equipment/12213332)","Manufacturing Equipment")</f>
        <v>Manufacturing Equipment</v>
      </c>
      <c r="B1204">
        <v>12213332</v>
      </c>
      <c r="C1204">
        <v>12086199</v>
      </c>
      <c r="E1204" t="s">
        <v>1596</v>
      </c>
      <c r="H1204" t="s">
        <v>162</v>
      </c>
      <c r="I1204">
        <v>373962.17627729999</v>
      </c>
      <c r="J1204">
        <v>0</v>
      </c>
      <c r="K1204">
        <v>3.3919999999999999</v>
      </c>
      <c r="L1204">
        <v>0</v>
      </c>
      <c r="M1204">
        <v>85.594214187769211</v>
      </c>
      <c r="N1204">
        <v>0</v>
      </c>
      <c r="O1204">
        <v>0.28844132701259662</v>
      </c>
      <c r="P1204">
        <v>1.3922548212333333E-2</v>
      </c>
      <c r="Q1204">
        <v>8.833900876899229E-3</v>
      </c>
      <c r="R1204">
        <v>2750000.0079800002</v>
      </c>
      <c r="S1204">
        <v>0</v>
      </c>
      <c r="T1204">
        <v>0</v>
      </c>
      <c r="V1204">
        <v>5400</v>
      </c>
      <c r="W1204">
        <v>10</v>
      </c>
      <c r="X1204">
        <v>85</v>
      </c>
      <c r="Y1204">
        <v>4</v>
      </c>
      <c r="Z1204">
        <v>4</v>
      </c>
      <c r="AA1204">
        <v>5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80</v>
      </c>
      <c r="AM1204">
        <v>53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70</v>
      </c>
      <c r="AU1204">
        <v>0</v>
      </c>
      <c r="AV1204">
        <v>0</v>
      </c>
    </row>
    <row r="1205" spans="1:48" x14ac:dyDescent="0.15">
      <c r="A1205" s="4" t="str">
        <f>HYPERLINK("https://ibp.a2mac1.com/costing(costing:projects/details/9760/equipment/12213333)","Manufacturing Equipment")</f>
        <v>Manufacturing Equipment</v>
      </c>
      <c r="B1205">
        <v>12213333</v>
      </c>
      <c r="C1205">
        <v>12086200</v>
      </c>
      <c r="E1205" t="s">
        <v>1596</v>
      </c>
      <c r="H1205" t="s">
        <v>162</v>
      </c>
      <c r="I1205">
        <v>373962.17573865002</v>
      </c>
      <c r="J1205">
        <v>0</v>
      </c>
      <c r="K1205">
        <v>3.3919999999999999</v>
      </c>
      <c r="L1205">
        <v>0</v>
      </c>
      <c r="M1205">
        <v>85.594214069133713</v>
      </c>
      <c r="N1205">
        <v>0</v>
      </c>
      <c r="O1205">
        <v>1.2958845129213971E-2</v>
      </c>
      <c r="P1205">
        <v>6.2550033383333334E-4</v>
      </c>
      <c r="Q1205">
        <v>4.4169504331110178E-3</v>
      </c>
      <c r="R1205">
        <v>2750000.0039900001</v>
      </c>
      <c r="S1205">
        <v>0</v>
      </c>
      <c r="T1205">
        <v>0</v>
      </c>
      <c r="V1205">
        <v>5400</v>
      </c>
      <c r="W1205">
        <v>10</v>
      </c>
      <c r="X1205">
        <v>85</v>
      </c>
      <c r="Y1205">
        <v>4</v>
      </c>
      <c r="Z1205">
        <v>4</v>
      </c>
      <c r="AA1205">
        <v>5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80</v>
      </c>
      <c r="AM1205">
        <v>53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70</v>
      </c>
      <c r="AU1205">
        <v>0</v>
      </c>
      <c r="AV1205">
        <v>0</v>
      </c>
    </row>
    <row r="1206" spans="1:48" x14ac:dyDescent="0.15">
      <c r="A1206" s="4" t="str">
        <f>HYPERLINK("https://ibp.a2mac1.com/costing(costing:projects/details/9760/equipment/12213334)","Manufacturing Equipment")</f>
        <v>Manufacturing Equipment</v>
      </c>
      <c r="B1206">
        <v>12213334</v>
      </c>
      <c r="C1206">
        <v>12086201</v>
      </c>
      <c r="E1206" t="s">
        <v>1596</v>
      </c>
      <c r="H1206" t="s">
        <v>162</v>
      </c>
      <c r="I1206">
        <v>373962.17627729999</v>
      </c>
      <c r="J1206">
        <v>0</v>
      </c>
      <c r="K1206">
        <v>3.3919999999999999</v>
      </c>
      <c r="L1206">
        <v>0</v>
      </c>
      <c r="M1206">
        <v>85.594214187769211</v>
      </c>
      <c r="N1206">
        <v>0</v>
      </c>
      <c r="O1206">
        <v>0.23914143725750231</v>
      </c>
      <c r="P1206">
        <v>1.1542930495666667E-2</v>
      </c>
      <c r="Q1206">
        <v>8.833900876899229E-3</v>
      </c>
      <c r="R1206">
        <v>2750000.0079800002</v>
      </c>
      <c r="S1206">
        <v>0</v>
      </c>
      <c r="T1206">
        <v>0</v>
      </c>
      <c r="V1206">
        <v>5400</v>
      </c>
      <c r="W1206">
        <v>10</v>
      </c>
      <c r="X1206">
        <v>85</v>
      </c>
      <c r="Y1206">
        <v>4</v>
      </c>
      <c r="Z1206">
        <v>4</v>
      </c>
      <c r="AA1206">
        <v>5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80</v>
      </c>
      <c r="AM1206">
        <v>53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70</v>
      </c>
      <c r="AU1206">
        <v>0</v>
      </c>
      <c r="AV1206">
        <v>0</v>
      </c>
    </row>
    <row r="1207" spans="1:48" x14ac:dyDescent="0.15">
      <c r="A1207" s="4" t="str">
        <f>HYPERLINK("https://ibp.a2mac1.com/costing(costing:projects/details/9760/equipment/12213217)","Manufacturing Equipment")</f>
        <v>Manufacturing Equipment</v>
      </c>
      <c r="B1207">
        <v>12213217</v>
      </c>
      <c r="C1207">
        <v>12086027</v>
      </c>
      <c r="E1207" t="s">
        <v>1596</v>
      </c>
      <c r="H1207" t="s">
        <v>162</v>
      </c>
      <c r="I1207">
        <v>373962.17573865002</v>
      </c>
      <c r="J1207">
        <v>0</v>
      </c>
      <c r="K1207">
        <v>3.3919999999999999</v>
      </c>
      <c r="L1207">
        <v>0</v>
      </c>
      <c r="M1207">
        <v>85.594214069133713</v>
      </c>
      <c r="N1207">
        <v>0</v>
      </c>
      <c r="O1207">
        <v>3.9961323170115311E-2</v>
      </c>
      <c r="P1207">
        <v>1.9288617723333334E-3</v>
      </c>
      <c r="Q1207">
        <v>4.4169504331110178E-3</v>
      </c>
      <c r="R1207">
        <v>2750000.0039900001</v>
      </c>
      <c r="S1207">
        <v>0</v>
      </c>
      <c r="T1207">
        <v>0</v>
      </c>
      <c r="V1207">
        <v>5400</v>
      </c>
      <c r="W1207">
        <v>10</v>
      </c>
      <c r="X1207">
        <v>85</v>
      </c>
      <c r="Y1207">
        <v>4</v>
      </c>
      <c r="Z1207">
        <v>4</v>
      </c>
      <c r="AA1207">
        <v>5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80</v>
      </c>
      <c r="AM1207">
        <v>53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70</v>
      </c>
      <c r="AU1207">
        <v>0</v>
      </c>
      <c r="AV1207">
        <v>0</v>
      </c>
    </row>
    <row r="1208" spans="1:48" x14ac:dyDescent="0.15">
      <c r="A1208" s="4" t="str">
        <f>HYPERLINK("https://ibp.a2mac1.com/costing(costing:projects/details/9760/equipment/12213218)","Manufacturing Equipment")</f>
        <v>Manufacturing Equipment</v>
      </c>
      <c r="B1208">
        <v>12213218</v>
      </c>
      <c r="C1208">
        <v>12086028</v>
      </c>
      <c r="E1208" t="s">
        <v>1596</v>
      </c>
      <c r="H1208" t="s">
        <v>162</v>
      </c>
      <c r="I1208">
        <v>373962.17573865002</v>
      </c>
      <c r="J1208">
        <v>0</v>
      </c>
      <c r="K1208">
        <v>3.3919999999999999</v>
      </c>
      <c r="L1208">
        <v>0</v>
      </c>
      <c r="M1208">
        <v>85.594214069133713</v>
      </c>
      <c r="N1208">
        <v>0</v>
      </c>
      <c r="O1208">
        <v>5.4033487486492386E-2</v>
      </c>
      <c r="P1208">
        <v>2.6081000370000002E-3</v>
      </c>
      <c r="Q1208">
        <v>4.4169504331110178E-3</v>
      </c>
      <c r="R1208">
        <v>2750000.0039900001</v>
      </c>
      <c r="S1208">
        <v>0</v>
      </c>
      <c r="T1208">
        <v>0</v>
      </c>
      <c r="V1208">
        <v>5400</v>
      </c>
      <c r="W1208">
        <v>10</v>
      </c>
      <c r="X1208">
        <v>85</v>
      </c>
      <c r="Y1208">
        <v>4</v>
      </c>
      <c r="Z1208">
        <v>4</v>
      </c>
      <c r="AA1208">
        <v>5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80</v>
      </c>
      <c r="AM1208">
        <v>53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70</v>
      </c>
      <c r="AU1208">
        <v>0</v>
      </c>
      <c r="AV1208">
        <v>0</v>
      </c>
    </row>
    <row r="1209" spans="1:48" x14ac:dyDescent="0.15">
      <c r="A1209" s="4" t="str">
        <f>HYPERLINK("https://ibp.a2mac1.com/costing(costing:projects/details/9760/equipment/12213219)","Manufacturing Equipment")</f>
        <v>Manufacturing Equipment</v>
      </c>
      <c r="B1209">
        <v>12213219</v>
      </c>
      <c r="C1209">
        <v>12086029</v>
      </c>
      <c r="E1209" t="s">
        <v>1596</v>
      </c>
      <c r="H1209" t="s">
        <v>162</v>
      </c>
      <c r="I1209">
        <v>373962.17573865002</v>
      </c>
      <c r="J1209">
        <v>0</v>
      </c>
      <c r="K1209">
        <v>3.3919999999999999</v>
      </c>
      <c r="L1209">
        <v>0</v>
      </c>
      <c r="M1209">
        <v>85.594214069133713</v>
      </c>
      <c r="N1209">
        <v>0</v>
      </c>
      <c r="O1209">
        <v>5.4033487486492386E-2</v>
      </c>
      <c r="P1209">
        <v>2.6081000370000002E-3</v>
      </c>
      <c r="Q1209">
        <v>4.4169504331110178E-3</v>
      </c>
      <c r="R1209">
        <v>2750000.0039900001</v>
      </c>
      <c r="S1209">
        <v>0</v>
      </c>
      <c r="T1209">
        <v>0</v>
      </c>
      <c r="V1209">
        <v>5400</v>
      </c>
      <c r="W1209">
        <v>10</v>
      </c>
      <c r="X1209">
        <v>85</v>
      </c>
      <c r="Y1209">
        <v>4</v>
      </c>
      <c r="Z1209">
        <v>4</v>
      </c>
      <c r="AA1209">
        <v>5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80</v>
      </c>
      <c r="AM1209">
        <v>53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70</v>
      </c>
      <c r="AU1209">
        <v>0</v>
      </c>
      <c r="AV1209">
        <v>0</v>
      </c>
    </row>
    <row r="1210" spans="1:48" x14ac:dyDescent="0.15">
      <c r="A1210" s="4" t="str">
        <f>HYPERLINK("https://ibp.a2mac1.com/costing(costing:projects/details/9760/equipment/12213220)","Manufacturing Equipment")</f>
        <v>Manufacturing Equipment</v>
      </c>
      <c r="B1210">
        <v>12213220</v>
      </c>
      <c r="C1210">
        <v>12086030</v>
      </c>
      <c r="E1210" t="s">
        <v>1596</v>
      </c>
      <c r="H1210" t="s">
        <v>162</v>
      </c>
      <c r="I1210">
        <v>373962.17573865002</v>
      </c>
      <c r="J1210">
        <v>0</v>
      </c>
      <c r="K1210">
        <v>3.3919999999999999</v>
      </c>
      <c r="L1210">
        <v>0</v>
      </c>
      <c r="M1210">
        <v>85.594214069133713</v>
      </c>
      <c r="N1210">
        <v>0</v>
      </c>
      <c r="O1210">
        <v>1.2958845129213971E-2</v>
      </c>
      <c r="P1210">
        <v>6.2550033383333334E-4</v>
      </c>
      <c r="Q1210">
        <v>4.4169504331110178E-3</v>
      </c>
      <c r="R1210">
        <v>2750000.0039900001</v>
      </c>
      <c r="S1210">
        <v>0</v>
      </c>
      <c r="T1210">
        <v>0</v>
      </c>
      <c r="V1210">
        <v>5400</v>
      </c>
      <c r="W1210">
        <v>10</v>
      </c>
      <c r="X1210">
        <v>85</v>
      </c>
      <c r="Y1210">
        <v>4</v>
      </c>
      <c r="Z1210">
        <v>4</v>
      </c>
      <c r="AA1210">
        <v>5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80</v>
      </c>
      <c r="AM1210">
        <v>53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70</v>
      </c>
      <c r="AU1210">
        <v>0</v>
      </c>
      <c r="AV1210">
        <v>0</v>
      </c>
    </row>
    <row r="1211" spans="1:48" x14ac:dyDescent="0.15">
      <c r="A1211" s="4" t="str">
        <f>HYPERLINK("https://ibp.a2mac1.com/costing(costing:projects/details/9760/equipment/12213221)","Manufacturing Equipment")</f>
        <v>Manufacturing Equipment</v>
      </c>
      <c r="B1211">
        <v>12213221</v>
      </c>
      <c r="C1211">
        <v>12086031</v>
      </c>
      <c r="E1211" t="s">
        <v>1596</v>
      </c>
      <c r="H1211" t="s">
        <v>162</v>
      </c>
      <c r="I1211">
        <v>373962.17627729999</v>
      </c>
      <c r="J1211">
        <v>0</v>
      </c>
      <c r="K1211">
        <v>3.3919999999999999</v>
      </c>
      <c r="L1211">
        <v>0</v>
      </c>
      <c r="M1211">
        <v>85.594214187769211</v>
      </c>
      <c r="N1211">
        <v>0</v>
      </c>
      <c r="O1211">
        <v>0.23914143725750231</v>
      </c>
      <c r="P1211">
        <v>1.1542930495666667E-2</v>
      </c>
      <c r="Q1211">
        <v>8.833900876899229E-3</v>
      </c>
      <c r="R1211">
        <v>2750000.0079800002</v>
      </c>
      <c r="S1211">
        <v>0</v>
      </c>
      <c r="T1211">
        <v>0</v>
      </c>
      <c r="V1211">
        <v>5400</v>
      </c>
      <c r="W1211">
        <v>10</v>
      </c>
      <c r="X1211">
        <v>85</v>
      </c>
      <c r="Y1211">
        <v>4</v>
      </c>
      <c r="Z1211">
        <v>4</v>
      </c>
      <c r="AA1211">
        <v>5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80</v>
      </c>
      <c r="AM1211">
        <v>53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70</v>
      </c>
      <c r="AU1211">
        <v>0</v>
      </c>
      <c r="AV1211">
        <v>0</v>
      </c>
    </row>
    <row r="1212" spans="1:48" x14ac:dyDescent="0.15">
      <c r="A1212" s="4" t="str">
        <f>HYPERLINK("https://ibp.a2mac1.com/costing(costing:projects/details/9760/equipment/12213222)","Manufacturing Equipment")</f>
        <v>Manufacturing Equipment</v>
      </c>
      <c r="B1212">
        <v>12213222</v>
      </c>
      <c r="C1212">
        <v>12086032</v>
      </c>
      <c r="E1212" t="s">
        <v>1596</v>
      </c>
      <c r="H1212" t="s">
        <v>162</v>
      </c>
      <c r="I1212">
        <v>373962.17627729999</v>
      </c>
      <c r="J1212">
        <v>0</v>
      </c>
      <c r="K1212">
        <v>3.3919999999999999</v>
      </c>
      <c r="L1212">
        <v>0</v>
      </c>
      <c r="M1212">
        <v>85.594214187769211</v>
      </c>
      <c r="N1212">
        <v>0</v>
      </c>
      <c r="O1212">
        <v>0.23914143725750231</v>
      </c>
      <c r="P1212">
        <v>1.1542930495666667E-2</v>
      </c>
      <c r="Q1212">
        <v>8.833900876899229E-3</v>
      </c>
      <c r="R1212">
        <v>2750000.0079800002</v>
      </c>
      <c r="S1212">
        <v>0</v>
      </c>
      <c r="T1212">
        <v>0</v>
      </c>
      <c r="V1212">
        <v>5400</v>
      </c>
      <c r="W1212">
        <v>10</v>
      </c>
      <c r="X1212">
        <v>85</v>
      </c>
      <c r="Y1212">
        <v>4</v>
      </c>
      <c r="Z1212">
        <v>4</v>
      </c>
      <c r="AA1212">
        <v>5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80</v>
      </c>
      <c r="AM1212">
        <v>53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70</v>
      </c>
      <c r="AU1212">
        <v>0</v>
      </c>
      <c r="AV1212">
        <v>0</v>
      </c>
    </row>
    <row r="1213" spans="1:48" x14ac:dyDescent="0.15">
      <c r="A1213" s="4" t="str">
        <f>HYPERLINK("https://ibp.a2mac1.com/costing(costing:projects/details/9760/equipment/12213223)","Manufacturing Equipment")</f>
        <v>Manufacturing Equipment</v>
      </c>
      <c r="B1213">
        <v>12213223</v>
      </c>
      <c r="C1213">
        <v>12086033</v>
      </c>
      <c r="E1213" t="s">
        <v>1596</v>
      </c>
      <c r="H1213" t="s">
        <v>162</v>
      </c>
      <c r="I1213">
        <v>373962.17573865002</v>
      </c>
      <c r="J1213">
        <v>0</v>
      </c>
      <c r="K1213">
        <v>3.3919999999999999</v>
      </c>
      <c r="L1213">
        <v>0</v>
      </c>
      <c r="M1213">
        <v>85.594214069133713</v>
      </c>
      <c r="N1213">
        <v>0</v>
      </c>
      <c r="O1213">
        <v>4.4971913357040101E-2</v>
      </c>
      <c r="P1213">
        <v>2.1707140210000002E-3</v>
      </c>
      <c r="Q1213">
        <v>4.4169504331110178E-3</v>
      </c>
      <c r="R1213">
        <v>2750000.0039900001</v>
      </c>
      <c r="S1213">
        <v>0</v>
      </c>
      <c r="T1213">
        <v>0</v>
      </c>
      <c r="V1213">
        <v>5400</v>
      </c>
      <c r="W1213">
        <v>10</v>
      </c>
      <c r="X1213">
        <v>85</v>
      </c>
      <c r="Y1213">
        <v>4</v>
      </c>
      <c r="Z1213">
        <v>4</v>
      </c>
      <c r="AA1213">
        <v>5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80</v>
      </c>
      <c r="AM1213">
        <v>53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70</v>
      </c>
      <c r="AU1213">
        <v>0</v>
      </c>
      <c r="AV1213">
        <v>0</v>
      </c>
    </row>
    <row r="1214" spans="1:48" x14ac:dyDescent="0.15">
      <c r="A1214" s="4" t="str">
        <f>HYPERLINK("https://ibp.a2mac1.com/costing(costing:projects/details/9760/equipment/12213224)","Manufacturing Equipment")</f>
        <v>Manufacturing Equipment</v>
      </c>
      <c r="B1214">
        <v>12213224</v>
      </c>
      <c r="C1214">
        <v>12086034</v>
      </c>
      <c r="E1214" t="s">
        <v>1596</v>
      </c>
      <c r="H1214" t="s">
        <v>162</v>
      </c>
      <c r="I1214">
        <v>373962.17627729999</v>
      </c>
      <c r="J1214">
        <v>0</v>
      </c>
      <c r="K1214">
        <v>3.3919999999999999</v>
      </c>
      <c r="L1214">
        <v>0</v>
      </c>
      <c r="M1214">
        <v>85.594214187769211</v>
      </c>
      <c r="N1214">
        <v>0</v>
      </c>
      <c r="O1214">
        <v>0.13917072375007294</v>
      </c>
      <c r="P1214">
        <v>6.7175225243333329E-3</v>
      </c>
      <c r="Q1214">
        <v>8.833900876899229E-3</v>
      </c>
      <c r="R1214">
        <v>2750000.0079800002</v>
      </c>
      <c r="S1214">
        <v>0</v>
      </c>
      <c r="T1214">
        <v>0</v>
      </c>
      <c r="V1214">
        <v>5400</v>
      </c>
      <c r="W1214">
        <v>10</v>
      </c>
      <c r="X1214">
        <v>85</v>
      </c>
      <c r="Y1214">
        <v>4</v>
      </c>
      <c r="Z1214">
        <v>4</v>
      </c>
      <c r="AA1214">
        <v>5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80</v>
      </c>
      <c r="AM1214">
        <v>53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70</v>
      </c>
      <c r="AU1214">
        <v>0</v>
      </c>
      <c r="AV1214">
        <v>0</v>
      </c>
    </row>
    <row r="1215" spans="1:48" x14ac:dyDescent="0.15">
      <c r="A1215" s="4" t="str">
        <f>HYPERLINK("https://ibp.a2mac1.com/costing(costing:projects/details/9760/equipment/12213225)","Manufacturing Equipment")</f>
        <v>Manufacturing Equipment</v>
      </c>
      <c r="B1215">
        <v>12213225</v>
      </c>
      <c r="C1215">
        <v>12086035</v>
      </c>
      <c r="E1215" t="s">
        <v>1596</v>
      </c>
      <c r="H1215" t="s">
        <v>162</v>
      </c>
      <c r="I1215">
        <v>373962.17627729999</v>
      </c>
      <c r="J1215">
        <v>0</v>
      </c>
      <c r="K1215">
        <v>3.3919999999999999</v>
      </c>
      <c r="L1215">
        <v>0</v>
      </c>
      <c r="M1215">
        <v>85.594214187769211</v>
      </c>
      <c r="N1215">
        <v>0</v>
      </c>
      <c r="O1215">
        <v>5.1835618350406953E-2</v>
      </c>
      <c r="P1215">
        <v>2.5020128116666667E-3</v>
      </c>
      <c r="Q1215">
        <v>8.833900876899229E-3</v>
      </c>
      <c r="R1215">
        <v>2750000.0079800002</v>
      </c>
      <c r="S1215">
        <v>0</v>
      </c>
      <c r="T1215">
        <v>0</v>
      </c>
      <c r="V1215">
        <v>5400</v>
      </c>
      <c r="W1215">
        <v>10</v>
      </c>
      <c r="X1215">
        <v>85</v>
      </c>
      <c r="Y1215">
        <v>4</v>
      </c>
      <c r="Z1215">
        <v>4</v>
      </c>
      <c r="AA1215">
        <v>5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80</v>
      </c>
      <c r="AM1215">
        <v>53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70</v>
      </c>
      <c r="AU1215">
        <v>0</v>
      </c>
      <c r="AV1215">
        <v>0</v>
      </c>
    </row>
    <row r="1216" spans="1:48" x14ac:dyDescent="0.15">
      <c r="A1216" s="4" t="str">
        <f>HYPERLINK("https://ibp.a2mac1.com/costing(costing:projects/details/9760/equipment/12213226)","Manufacturing Equipment")</f>
        <v>Manufacturing Equipment</v>
      </c>
      <c r="B1216">
        <v>12213226</v>
      </c>
      <c r="C1216">
        <v>12086036</v>
      </c>
      <c r="E1216" t="s">
        <v>1596</v>
      </c>
      <c r="H1216" t="s">
        <v>162</v>
      </c>
      <c r="I1216">
        <v>373962.17573865002</v>
      </c>
      <c r="J1216">
        <v>0</v>
      </c>
      <c r="K1216">
        <v>3.3919999999999999</v>
      </c>
      <c r="L1216">
        <v>0</v>
      </c>
      <c r="M1216">
        <v>85.594214069133713</v>
      </c>
      <c r="N1216">
        <v>0</v>
      </c>
      <c r="O1216">
        <v>7.1951685155042536E-2</v>
      </c>
      <c r="P1216">
        <v>3.4729794696666668E-3</v>
      </c>
      <c r="Q1216">
        <v>4.4169504331110178E-3</v>
      </c>
      <c r="R1216">
        <v>2750000.0039900001</v>
      </c>
      <c r="S1216">
        <v>0</v>
      </c>
      <c r="T1216">
        <v>0</v>
      </c>
      <c r="V1216">
        <v>5400</v>
      </c>
      <c r="W1216">
        <v>10</v>
      </c>
      <c r="X1216">
        <v>85</v>
      </c>
      <c r="Y1216">
        <v>4</v>
      </c>
      <c r="Z1216">
        <v>4</v>
      </c>
      <c r="AA1216">
        <v>5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80</v>
      </c>
      <c r="AM1216">
        <v>53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70</v>
      </c>
      <c r="AU1216">
        <v>0</v>
      </c>
      <c r="AV1216">
        <v>0</v>
      </c>
    </row>
    <row r="1217" spans="1:48" x14ac:dyDescent="0.15">
      <c r="A1217" s="4" t="str">
        <f>HYPERLINK("https://ibp.a2mac1.com/costing(costing:projects/details/9760/equipment/12213335)","Manufacturing Equipment")</f>
        <v>Manufacturing Equipment</v>
      </c>
      <c r="B1217">
        <v>12213335</v>
      </c>
      <c r="C1217">
        <v>12086202</v>
      </c>
      <c r="E1217" t="s">
        <v>1596</v>
      </c>
      <c r="H1217" t="s">
        <v>162</v>
      </c>
      <c r="I1217">
        <v>373962.17573865002</v>
      </c>
      <c r="J1217">
        <v>0</v>
      </c>
      <c r="K1217">
        <v>3.3919999999999999</v>
      </c>
      <c r="L1217">
        <v>0</v>
      </c>
      <c r="M1217">
        <v>85.594214069133713</v>
      </c>
      <c r="N1217">
        <v>0</v>
      </c>
      <c r="O1217">
        <v>3.3893002482831203</v>
      </c>
      <c r="P1217">
        <v>0.16359547595666668</v>
      </c>
      <c r="Q1217">
        <v>4.4169504331110178E-3</v>
      </c>
      <c r="R1217">
        <v>2750000.0039900001</v>
      </c>
      <c r="S1217">
        <v>0</v>
      </c>
      <c r="T1217">
        <v>0</v>
      </c>
      <c r="V1217">
        <v>5400</v>
      </c>
      <c r="W1217">
        <v>10</v>
      </c>
      <c r="X1217">
        <v>85</v>
      </c>
      <c r="Y1217">
        <v>4</v>
      </c>
      <c r="Z1217">
        <v>4</v>
      </c>
      <c r="AA1217">
        <v>5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80</v>
      </c>
      <c r="AM1217">
        <v>53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70</v>
      </c>
      <c r="AU1217">
        <v>0</v>
      </c>
      <c r="AV1217">
        <v>0</v>
      </c>
    </row>
    <row r="1218" spans="1:48" x14ac:dyDescent="0.15">
      <c r="A1218" s="4" t="str">
        <f>HYPERLINK("https://ibp.a2mac1.com/costing(costing:projects/details/9760/equipment/12213336)","Manufacturing Equipment")</f>
        <v>Manufacturing Equipment</v>
      </c>
      <c r="B1218">
        <v>12213336</v>
      </c>
      <c r="C1218">
        <v>12086203</v>
      </c>
      <c r="E1218" t="s">
        <v>1596</v>
      </c>
      <c r="H1218" t="s">
        <v>162</v>
      </c>
      <c r="I1218">
        <v>373962.17573865002</v>
      </c>
      <c r="J1218">
        <v>0</v>
      </c>
      <c r="K1218">
        <v>3.3919999999999999</v>
      </c>
      <c r="L1218">
        <v>0</v>
      </c>
      <c r="M1218">
        <v>85.594214069133713</v>
      </c>
      <c r="N1218">
        <v>0</v>
      </c>
      <c r="O1218">
        <v>4.4971913357040101E-2</v>
      </c>
      <c r="P1218">
        <v>2.1707140210000002E-3</v>
      </c>
      <c r="Q1218">
        <v>4.4169504331110178E-3</v>
      </c>
      <c r="R1218">
        <v>2750000.0039900001</v>
      </c>
      <c r="S1218">
        <v>0</v>
      </c>
      <c r="T1218">
        <v>0</v>
      </c>
      <c r="V1218">
        <v>5400</v>
      </c>
      <c r="W1218">
        <v>10</v>
      </c>
      <c r="X1218">
        <v>85</v>
      </c>
      <c r="Y1218">
        <v>4</v>
      </c>
      <c r="Z1218">
        <v>4</v>
      </c>
      <c r="AA1218">
        <v>5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80</v>
      </c>
      <c r="AM1218">
        <v>53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70</v>
      </c>
      <c r="AU1218">
        <v>0</v>
      </c>
      <c r="AV1218">
        <v>0</v>
      </c>
    </row>
    <row r="1219" spans="1:48" x14ac:dyDescent="0.15">
      <c r="A1219" s="4" t="str">
        <f>HYPERLINK("https://ibp.a2mac1.com/costing(costing:projects/details/9760/equipment/12213337)","Manufacturing Equipment")</f>
        <v>Manufacturing Equipment</v>
      </c>
      <c r="B1219">
        <v>12213337</v>
      </c>
      <c r="C1219">
        <v>12086204</v>
      </c>
      <c r="E1219" t="s">
        <v>1596</v>
      </c>
      <c r="H1219" t="s">
        <v>162</v>
      </c>
      <c r="I1219">
        <v>373962.17573865002</v>
      </c>
      <c r="J1219">
        <v>0</v>
      </c>
      <c r="K1219">
        <v>3.3919999999999999</v>
      </c>
      <c r="L1219">
        <v>0</v>
      </c>
      <c r="M1219">
        <v>85.594214069133713</v>
      </c>
      <c r="N1219">
        <v>0</v>
      </c>
      <c r="O1219">
        <v>4.4971913357040101E-2</v>
      </c>
      <c r="P1219">
        <v>2.1707140210000002E-3</v>
      </c>
      <c r="Q1219">
        <v>4.4169504331110178E-3</v>
      </c>
      <c r="R1219">
        <v>2750000.0039900001</v>
      </c>
      <c r="S1219">
        <v>0</v>
      </c>
      <c r="T1219">
        <v>0</v>
      </c>
      <c r="V1219">
        <v>5400</v>
      </c>
      <c r="W1219">
        <v>10</v>
      </c>
      <c r="X1219">
        <v>85</v>
      </c>
      <c r="Y1219">
        <v>4</v>
      </c>
      <c r="Z1219">
        <v>4</v>
      </c>
      <c r="AA1219">
        <v>5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80</v>
      </c>
      <c r="AM1219">
        <v>53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70</v>
      </c>
      <c r="AU1219">
        <v>0</v>
      </c>
      <c r="AV1219">
        <v>0</v>
      </c>
    </row>
    <row r="1220" spans="1:48" x14ac:dyDescent="0.15">
      <c r="A1220" s="4" t="str">
        <f>HYPERLINK("https://ibp.a2mac1.com/costing(costing:projects/details/9760/equipment/12213338)","Manufacturing Equipment")</f>
        <v>Manufacturing Equipment</v>
      </c>
      <c r="B1220">
        <v>12213338</v>
      </c>
      <c r="C1220">
        <v>12086205</v>
      </c>
      <c r="E1220" t="s">
        <v>1596</v>
      </c>
      <c r="H1220" t="s">
        <v>162</v>
      </c>
      <c r="I1220">
        <v>373962.17573865002</v>
      </c>
      <c r="J1220">
        <v>0</v>
      </c>
      <c r="K1220">
        <v>3.3919999999999999</v>
      </c>
      <c r="L1220">
        <v>0</v>
      </c>
      <c r="M1220">
        <v>85.594214069133713</v>
      </c>
      <c r="N1220">
        <v>0</v>
      </c>
      <c r="O1220">
        <v>3.4792740329721246E-2</v>
      </c>
      <c r="P1220">
        <v>1.6793835001666668E-3</v>
      </c>
      <c r="Q1220">
        <v>4.4169504331110178E-3</v>
      </c>
      <c r="R1220">
        <v>2750000.0039900001</v>
      </c>
      <c r="S1220">
        <v>0</v>
      </c>
      <c r="T1220">
        <v>0</v>
      </c>
      <c r="V1220">
        <v>5400</v>
      </c>
      <c r="W1220">
        <v>10</v>
      </c>
      <c r="X1220">
        <v>85</v>
      </c>
      <c r="Y1220">
        <v>4</v>
      </c>
      <c r="Z1220">
        <v>4</v>
      </c>
      <c r="AA1220">
        <v>5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80</v>
      </c>
      <c r="AM1220">
        <v>53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70</v>
      </c>
      <c r="AU1220">
        <v>0</v>
      </c>
      <c r="AV1220">
        <v>0</v>
      </c>
    </row>
    <row r="1221" spans="1:48" x14ac:dyDescent="0.15">
      <c r="A1221" s="4" t="str">
        <f>HYPERLINK("https://ibp.a2mac1.com/costing(costing:projects/details/9760/equipment/12213339)","Manufacturing Equipment")</f>
        <v>Manufacturing Equipment</v>
      </c>
      <c r="B1221">
        <v>12213339</v>
      </c>
      <c r="C1221">
        <v>12086206</v>
      </c>
      <c r="E1221" t="s">
        <v>1596</v>
      </c>
      <c r="H1221" t="s">
        <v>162</v>
      </c>
      <c r="I1221">
        <v>373962.17573865002</v>
      </c>
      <c r="J1221">
        <v>0</v>
      </c>
      <c r="K1221">
        <v>3.3919999999999999</v>
      </c>
      <c r="L1221">
        <v>0</v>
      </c>
      <c r="M1221">
        <v>85.594214069133713</v>
      </c>
      <c r="N1221">
        <v>0</v>
      </c>
      <c r="O1221">
        <v>2.4442497755116997E-2</v>
      </c>
      <c r="P1221">
        <v>1.1797957575E-3</v>
      </c>
      <c r="Q1221">
        <v>4.4169504331110178E-3</v>
      </c>
      <c r="R1221">
        <v>2750000.0039900001</v>
      </c>
      <c r="S1221">
        <v>0</v>
      </c>
      <c r="T1221">
        <v>0</v>
      </c>
      <c r="V1221">
        <v>5400</v>
      </c>
      <c r="W1221">
        <v>10</v>
      </c>
      <c r="X1221">
        <v>85</v>
      </c>
      <c r="Y1221">
        <v>4</v>
      </c>
      <c r="Z1221">
        <v>4</v>
      </c>
      <c r="AA1221">
        <v>5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80</v>
      </c>
      <c r="AM1221">
        <v>53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70</v>
      </c>
      <c r="AU1221">
        <v>0</v>
      </c>
      <c r="AV1221">
        <v>0</v>
      </c>
    </row>
    <row r="1222" spans="1:48" x14ac:dyDescent="0.15">
      <c r="A1222" s="4" t="str">
        <f>HYPERLINK("https://ibp.a2mac1.com/costing(costing:projects/details/9760/equipment/12213340)","Manufacturing Equipment")</f>
        <v>Manufacturing Equipment</v>
      </c>
      <c r="B1222">
        <v>12213340</v>
      </c>
      <c r="C1222">
        <v>12086207</v>
      </c>
      <c r="E1222" t="s">
        <v>1596</v>
      </c>
      <c r="H1222" t="s">
        <v>162</v>
      </c>
      <c r="I1222">
        <v>373962.17573865002</v>
      </c>
      <c r="J1222">
        <v>0</v>
      </c>
      <c r="K1222">
        <v>3.3919999999999999</v>
      </c>
      <c r="L1222">
        <v>0</v>
      </c>
      <c r="M1222">
        <v>85.594214069133713</v>
      </c>
      <c r="N1222">
        <v>0</v>
      </c>
      <c r="O1222">
        <v>2.9650073515253669E-3</v>
      </c>
      <c r="P1222">
        <v>1.4311561483333334E-4</v>
      </c>
      <c r="Q1222">
        <v>4.4169504331110178E-3</v>
      </c>
      <c r="R1222">
        <v>2750000.0039900001</v>
      </c>
      <c r="S1222">
        <v>0</v>
      </c>
      <c r="T1222">
        <v>0</v>
      </c>
      <c r="V1222">
        <v>5400</v>
      </c>
      <c r="W1222">
        <v>10</v>
      </c>
      <c r="X1222">
        <v>85</v>
      </c>
      <c r="Y1222">
        <v>4</v>
      </c>
      <c r="Z1222">
        <v>4</v>
      </c>
      <c r="AA1222">
        <v>5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80</v>
      </c>
      <c r="AM1222">
        <v>53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70</v>
      </c>
      <c r="AU1222">
        <v>0</v>
      </c>
      <c r="AV1222">
        <v>0</v>
      </c>
    </row>
    <row r="1223" spans="1:48" x14ac:dyDescent="0.15">
      <c r="A1223" s="4" t="str">
        <f>HYPERLINK("https://ibp.a2mac1.com/costing(costing:projects/details/9760/equipment/12213341)","Manufacturing Equipment")</f>
        <v>Manufacturing Equipment</v>
      </c>
      <c r="B1223">
        <v>12213341</v>
      </c>
      <c r="C1223">
        <v>12086208</v>
      </c>
      <c r="E1223" t="s">
        <v>1596</v>
      </c>
      <c r="H1223" t="s">
        <v>162</v>
      </c>
      <c r="I1223">
        <v>373962.17573865002</v>
      </c>
      <c r="J1223">
        <v>0</v>
      </c>
      <c r="K1223">
        <v>3.3919999999999999</v>
      </c>
      <c r="L1223">
        <v>0</v>
      </c>
      <c r="M1223">
        <v>85.594214069133713</v>
      </c>
      <c r="N1223">
        <v>0</v>
      </c>
      <c r="O1223">
        <v>2.9650073515253669E-3</v>
      </c>
      <c r="P1223">
        <v>1.4311561483333334E-4</v>
      </c>
      <c r="Q1223">
        <v>4.4169504331110178E-3</v>
      </c>
      <c r="R1223">
        <v>2750000.0039900001</v>
      </c>
      <c r="S1223">
        <v>0</v>
      </c>
      <c r="T1223">
        <v>0</v>
      </c>
      <c r="V1223">
        <v>5400</v>
      </c>
      <c r="W1223">
        <v>10</v>
      </c>
      <c r="X1223">
        <v>85</v>
      </c>
      <c r="Y1223">
        <v>4</v>
      </c>
      <c r="Z1223">
        <v>4</v>
      </c>
      <c r="AA1223">
        <v>5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80</v>
      </c>
      <c r="AM1223">
        <v>53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70</v>
      </c>
      <c r="AU1223">
        <v>0</v>
      </c>
      <c r="AV1223">
        <v>0</v>
      </c>
    </row>
    <row r="1224" spans="1:48" x14ac:dyDescent="0.15">
      <c r="A1224" s="4" t="str">
        <f>HYPERLINK("https://ibp.a2mac1.com/costing(costing:projects/details/9760/equipment/12213342)","Manufacturing Equipment")</f>
        <v>Manufacturing Equipment</v>
      </c>
      <c r="B1224">
        <v>12213342</v>
      </c>
      <c r="C1224">
        <v>12086209</v>
      </c>
      <c r="E1224" t="s">
        <v>1596</v>
      </c>
      <c r="H1224" t="s">
        <v>162</v>
      </c>
      <c r="I1224">
        <v>373962.17573865002</v>
      </c>
      <c r="J1224">
        <v>0</v>
      </c>
      <c r="K1224">
        <v>3.3919999999999999</v>
      </c>
      <c r="L1224">
        <v>0</v>
      </c>
      <c r="M1224">
        <v>85.594214069133713</v>
      </c>
      <c r="N1224">
        <v>0</v>
      </c>
      <c r="O1224">
        <v>4.4971913357040101E-2</v>
      </c>
      <c r="P1224">
        <v>2.1707140210000002E-3</v>
      </c>
      <c r="Q1224">
        <v>4.4169504331110178E-3</v>
      </c>
      <c r="R1224">
        <v>2750000.0039900001</v>
      </c>
      <c r="S1224">
        <v>0</v>
      </c>
      <c r="T1224">
        <v>0</v>
      </c>
      <c r="V1224">
        <v>5400</v>
      </c>
      <c r="W1224">
        <v>10</v>
      </c>
      <c r="X1224">
        <v>85</v>
      </c>
      <c r="Y1224">
        <v>4</v>
      </c>
      <c r="Z1224">
        <v>4</v>
      </c>
      <c r="AA1224">
        <v>5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80</v>
      </c>
      <c r="AM1224">
        <v>53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70</v>
      </c>
      <c r="AU1224">
        <v>0</v>
      </c>
      <c r="AV1224">
        <v>0</v>
      </c>
    </row>
    <row r="1225" spans="1:48" x14ac:dyDescent="0.15">
      <c r="A1225" s="4" t="str">
        <f>HYPERLINK("https://ibp.a2mac1.com/costing(costing:projects/details/9760/equipment/12213343)","Manufacturing Equipment")</f>
        <v>Manufacturing Equipment</v>
      </c>
      <c r="B1225">
        <v>12213343</v>
      </c>
      <c r="C1225">
        <v>12086210</v>
      </c>
      <c r="E1225" t="s">
        <v>1596</v>
      </c>
      <c r="H1225" t="s">
        <v>162</v>
      </c>
      <c r="I1225">
        <v>373962.17573865002</v>
      </c>
      <c r="J1225">
        <v>0</v>
      </c>
      <c r="K1225">
        <v>3.3919999999999999</v>
      </c>
      <c r="L1225">
        <v>0</v>
      </c>
      <c r="M1225">
        <v>85.594214069133713</v>
      </c>
      <c r="N1225">
        <v>0</v>
      </c>
      <c r="O1225">
        <v>5.1629954403089968E-3</v>
      </c>
      <c r="P1225">
        <v>2.4920857833333332E-4</v>
      </c>
      <c r="Q1225">
        <v>4.4169504331110178E-3</v>
      </c>
      <c r="R1225">
        <v>2750000.0039900001</v>
      </c>
      <c r="S1225">
        <v>0</v>
      </c>
      <c r="T1225">
        <v>0</v>
      </c>
      <c r="V1225">
        <v>5400</v>
      </c>
      <c r="W1225">
        <v>10</v>
      </c>
      <c r="X1225">
        <v>85</v>
      </c>
      <c r="Y1225">
        <v>4</v>
      </c>
      <c r="Z1225">
        <v>4</v>
      </c>
      <c r="AA1225">
        <v>5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80</v>
      </c>
      <c r="AM1225">
        <v>53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70</v>
      </c>
      <c r="AU1225">
        <v>0</v>
      </c>
      <c r="AV1225">
        <v>0</v>
      </c>
    </row>
    <row r="1226" spans="1:48" x14ac:dyDescent="0.15">
      <c r="A1226" s="4" t="str">
        <f>HYPERLINK("https://ibp.a2mac1.com/costing(costing:projects/details/9760/equipment/12213344)","Manufacturing Equipment")</f>
        <v>Manufacturing Equipment</v>
      </c>
      <c r="B1226">
        <v>12213344</v>
      </c>
      <c r="C1226">
        <v>12086211</v>
      </c>
      <c r="E1226" t="s">
        <v>1596</v>
      </c>
      <c r="H1226" t="s">
        <v>162</v>
      </c>
      <c r="I1226">
        <v>373962.17573865002</v>
      </c>
      <c r="J1226">
        <v>0</v>
      </c>
      <c r="K1226">
        <v>3.3919999999999999</v>
      </c>
      <c r="L1226">
        <v>0</v>
      </c>
      <c r="M1226">
        <v>85.594214069133713</v>
      </c>
      <c r="N1226">
        <v>0</v>
      </c>
      <c r="O1226">
        <v>0.25042025784244842</v>
      </c>
      <c r="P1226">
        <v>1.2087339058166667E-2</v>
      </c>
      <c r="Q1226">
        <v>4.4169504331110178E-3</v>
      </c>
      <c r="R1226">
        <v>2750000.0039900001</v>
      </c>
      <c r="S1226">
        <v>0</v>
      </c>
      <c r="T1226">
        <v>0</v>
      </c>
      <c r="V1226">
        <v>5400</v>
      </c>
      <c r="W1226">
        <v>10</v>
      </c>
      <c r="X1226">
        <v>85</v>
      </c>
      <c r="Y1226">
        <v>4</v>
      </c>
      <c r="Z1226">
        <v>4</v>
      </c>
      <c r="AA1226">
        <v>5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80</v>
      </c>
      <c r="AM1226">
        <v>53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70</v>
      </c>
      <c r="AU1226">
        <v>0</v>
      </c>
      <c r="AV1226">
        <v>0</v>
      </c>
    </row>
    <row r="1227" spans="1:48" x14ac:dyDescent="0.15">
      <c r="A1227" s="4" t="str">
        <f>HYPERLINK("https://ibp.a2mac1.com/costing(costing:projects/details/9760/equipment/12213345)","Manufacturing Equipment")</f>
        <v>Manufacturing Equipment</v>
      </c>
      <c r="B1227">
        <v>12213345</v>
      </c>
      <c r="C1227">
        <v>12086212</v>
      </c>
      <c r="E1227" t="s">
        <v>1596</v>
      </c>
      <c r="H1227" t="s">
        <v>162</v>
      </c>
      <c r="I1227">
        <v>373962.17573865002</v>
      </c>
      <c r="J1227">
        <v>0</v>
      </c>
      <c r="K1227">
        <v>3.3919999999999999</v>
      </c>
      <c r="L1227">
        <v>0</v>
      </c>
      <c r="M1227">
        <v>85.594214069133713</v>
      </c>
      <c r="N1227">
        <v>0</v>
      </c>
      <c r="O1227">
        <v>0.25042025784244842</v>
      </c>
      <c r="P1227">
        <v>1.2087339058166667E-2</v>
      </c>
      <c r="Q1227">
        <v>4.4169504331110178E-3</v>
      </c>
      <c r="R1227">
        <v>2750000.0039900001</v>
      </c>
      <c r="S1227">
        <v>0</v>
      </c>
      <c r="T1227">
        <v>0</v>
      </c>
      <c r="V1227">
        <v>5400</v>
      </c>
      <c r="W1227">
        <v>10</v>
      </c>
      <c r="X1227">
        <v>85</v>
      </c>
      <c r="Y1227">
        <v>4</v>
      </c>
      <c r="Z1227">
        <v>4</v>
      </c>
      <c r="AA1227">
        <v>5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80</v>
      </c>
      <c r="AM1227">
        <v>53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70</v>
      </c>
      <c r="AU1227">
        <v>0</v>
      </c>
      <c r="AV1227">
        <v>0</v>
      </c>
    </row>
    <row r="1228" spans="1:48" x14ac:dyDescent="0.15">
      <c r="A1228" s="4" t="str">
        <f>HYPERLINK("https://ibp.a2mac1.com/costing(costing:projects/details/9760/equipment/12213346)","Manufacturing Equipment")</f>
        <v>Manufacturing Equipment</v>
      </c>
      <c r="B1228">
        <v>12213346</v>
      </c>
      <c r="C1228">
        <v>12086213</v>
      </c>
      <c r="E1228" t="s">
        <v>1596</v>
      </c>
      <c r="H1228" t="s">
        <v>162</v>
      </c>
      <c r="I1228">
        <v>373962.17573865002</v>
      </c>
      <c r="J1228">
        <v>0</v>
      </c>
      <c r="K1228">
        <v>3.3919999999999999</v>
      </c>
      <c r="L1228">
        <v>0</v>
      </c>
      <c r="M1228">
        <v>85.594214069133713</v>
      </c>
      <c r="N1228">
        <v>0</v>
      </c>
      <c r="O1228">
        <v>5.1629954403089968E-3</v>
      </c>
      <c r="P1228">
        <v>2.4920857833333332E-4</v>
      </c>
      <c r="Q1228">
        <v>4.4169504331110178E-3</v>
      </c>
      <c r="R1228">
        <v>2750000.0039900001</v>
      </c>
      <c r="S1228">
        <v>0</v>
      </c>
      <c r="T1228">
        <v>0</v>
      </c>
      <c r="V1228">
        <v>5400</v>
      </c>
      <c r="W1228">
        <v>10</v>
      </c>
      <c r="X1228">
        <v>85</v>
      </c>
      <c r="Y1228">
        <v>4</v>
      </c>
      <c r="Z1228">
        <v>4</v>
      </c>
      <c r="AA1228">
        <v>5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80</v>
      </c>
      <c r="AM1228">
        <v>53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70</v>
      </c>
      <c r="AU1228">
        <v>0</v>
      </c>
      <c r="AV1228">
        <v>0</v>
      </c>
    </row>
    <row r="1229" spans="1:48" x14ac:dyDescent="0.15">
      <c r="A1229" s="4" t="str">
        <f>HYPERLINK("https://ibp.a2mac1.com/costing(costing:projects/details/9760/equipment/12213347)","Manufacturing Equipment")</f>
        <v>Manufacturing Equipment</v>
      </c>
      <c r="B1229">
        <v>12213347</v>
      </c>
      <c r="C1229">
        <v>12086214</v>
      </c>
      <c r="E1229" t="s">
        <v>1596</v>
      </c>
      <c r="H1229" t="s">
        <v>162</v>
      </c>
      <c r="I1229">
        <v>373962.17573865002</v>
      </c>
      <c r="J1229">
        <v>0</v>
      </c>
      <c r="K1229">
        <v>3.3919999999999999</v>
      </c>
      <c r="L1229">
        <v>0</v>
      </c>
      <c r="M1229">
        <v>85.594214069133713</v>
      </c>
      <c r="N1229">
        <v>0</v>
      </c>
      <c r="O1229">
        <v>6.2605094180825327E-2</v>
      </c>
      <c r="P1229">
        <v>3.0218361990833331E-3</v>
      </c>
      <c r="Q1229">
        <v>4.4169504331110178E-3</v>
      </c>
      <c r="R1229">
        <v>2750000.0039900001</v>
      </c>
      <c r="S1229">
        <v>0</v>
      </c>
      <c r="T1229">
        <v>0</v>
      </c>
      <c r="V1229">
        <v>5400</v>
      </c>
      <c r="W1229">
        <v>10</v>
      </c>
      <c r="X1229">
        <v>85</v>
      </c>
      <c r="Y1229">
        <v>4</v>
      </c>
      <c r="Z1229">
        <v>4</v>
      </c>
      <c r="AA1229">
        <v>5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80</v>
      </c>
      <c r="AM1229">
        <v>53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70</v>
      </c>
      <c r="AU1229">
        <v>0</v>
      </c>
      <c r="AV1229">
        <v>0</v>
      </c>
    </row>
    <row r="1230" spans="1:48" x14ac:dyDescent="0.15">
      <c r="A1230" s="4" t="str">
        <f>HYPERLINK("https://ibp.a2mac1.com/costing(costing:projects/details/9760/equipment/12213348)","Manufacturing Equipment")</f>
        <v>Manufacturing Equipment</v>
      </c>
      <c r="B1230">
        <v>12213348</v>
      </c>
      <c r="C1230">
        <v>12086215</v>
      </c>
      <c r="E1230" t="s">
        <v>1596</v>
      </c>
      <c r="H1230" t="s">
        <v>162</v>
      </c>
      <c r="I1230">
        <v>373962.17573865002</v>
      </c>
      <c r="J1230">
        <v>0</v>
      </c>
      <c r="K1230">
        <v>3.3919999999999999</v>
      </c>
      <c r="L1230">
        <v>0</v>
      </c>
      <c r="M1230">
        <v>85.594214069133713</v>
      </c>
      <c r="N1230">
        <v>0</v>
      </c>
      <c r="O1230">
        <v>3.4792740329721246E-2</v>
      </c>
      <c r="P1230">
        <v>1.6793835001666668E-3</v>
      </c>
      <c r="Q1230">
        <v>4.4169504331110178E-3</v>
      </c>
      <c r="R1230">
        <v>2750000.0039900001</v>
      </c>
      <c r="S1230">
        <v>0</v>
      </c>
      <c r="T1230">
        <v>0</v>
      </c>
      <c r="V1230">
        <v>5400</v>
      </c>
      <c r="W1230">
        <v>10</v>
      </c>
      <c r="X1230">
        <v>85</v>
      </c>
      <c r="Y1230">
        <v>4</v>
      </c>
      <c r="Z1230">
        <v>4</v>
      </c>
      <c r="AA1230">
        <v>5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80</v>
      </c>
      <c r="AM1230">
        <v>53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70</v>
      </c>
      <c r="AU1230">
        <v>0</v>
      </c>
      <c r="AV1230">
        <v>0</v>
      </c>
    </row>
    <row r="1231" spans="1:48" x14ac:dyDescent="0.15">
      <c r="A1231" s="4" t="str">
        <f>HYPERLINK("https://ibp.a2mac1.com/costing(costing:projects/details/9760/equipment/12213349)","Manufacturing Equipment")</f>
        <v>Manufacturing Equipment</v>
      </c>
      <c r="B1231">
        <v>12213349</v>
      </c>
      <c r="C1231">
        <v>12086216</v>
      </c>
      <c r="E1231" t="s">
        <v>1596</v>
      </c>
      <c r="H1231" t="s">
        <v>162</v>
      </c>
      <c r="I1231">
        <v>373962.17573865002</v>
      </c>
      <c r="J1231">
        <v>0</v>
      </c>
      <c r="K1231">
        <v>3.3919999999999999</v>
      </c>
      <c r="L1231">
        <v>0</v>
      </c>
      <c r="M1231">
        <v>85.594214069133713</v>
      </c>
      <c r="N1231">
        <v>0</v>
      </c>
      <c r="O1231">
        <v>3.4792740329721246E-2</v>
      </c>
      <c r="P1231">
        <v>1.6793835001666668E-3</v>
      </c>
      <c r="Q1231">
        <v>4.4169504331110178E-3</v>
      </c>
      <c r="R1231">
        <v>2750000.0039900001</v>
      </c>
      <c r="S1231">
        <v>0</v>
      </c>
      <c r="T1231">
        <v>0</v>
      </c>
      <c r="V1231">
        <v>5400</v>
      </c>
      <c r="W1231">
        <v>10</v>
      </c>
      <c r="X1231">
        <v>85</v>
      </c>
      <c r="Y1231">
        <v>4</v>
      </c>
      <c r="Z1231">
        <v>4</v>
      </c>
      <c r="AA1231">
        <v>5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80</v>
      </c>
      <c r="AM1231">
        <v>53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70</v>
      </c>
      <c r="AU1231">
        <v>0</v>
      </c>
      <c r="AV1231">
        <v>0</v>
      </c>
    </row>
    <row r="1232" spans="1:48" x14ac:dyDescent="0.15">
      <c r="A1232" s="4" t="str">
        <f>HYPERLINK("https://ibp.a2mac1.com/costing(costing:projects/details/9760/equipment/12213350)","Manufacturing Equipment")</f>
        <v>Manufacturing Equipment</v>
      </c>
      <c r="B1232">
        <v>12213350</v>
      </c>
      <c r="C1232">
        <v>12086217</v>
      </c>
      <c r="E1232" t="s">
        <v>1596</v>
      </c>
      <c r="H1232" t="s">
        <v>162</v>
      </c>
      <c r="I1232">
        <v>373962.17573865002</v>
      </c>
      <c r="J1232">
        <v>0</v>
      </c>
      <c r="K1232">
        <v>3.3919999999999999</v>
      </c>
      <c r="L1232">
        <v>0</v>
      </c>
      <c r="M1232">
        <v>85.594214069133713</v>
      </c>
      <c r="N1232">
        <v>0</v>
      </c>
      <c r="O1232">
        <v>2.4442497755116997E-2</v>
      </c>
      <c r="P1232">
        <v>1.1797957575E-3</v>
      </c>
      <c r="Q1232">
        <v>4.4169504331110178E-3</v>
      </c>
      <c r="R1232">
        <v>2750000.0039900001</v>
      </c>
      <c r="S1232">
        <v>0</v>
      </c>
      <c r="T1232">
        <v>0</v>
      </c>
      <c r="V1232">
        <v>5400</v>
      </c>
      <c r="W1232">
        <v>10</v>
      </c>
      <c r="X1232">
        <v>85</v>
      </c>
      <c r="Y1232">
        <v>4</v>
      </c>
      <c r="Z1232">
        <v>4</v>
      </c>
      <c r="AA1232">
        <v>5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80</v>
      </c>
      <c r="AM1232">
        <v>53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70</v>
      </c>
      <c r="AU1232">
        <v>0</v>
      </c>
      <c r="AV1232">
        <v>0</v>
      </c>
    </row>
    <row r="1233" spans="1:48" x14ac:dyDescent="0.15">
      <c r="A1233" s="4" t="str">
        <f>HYPERLINK("https://ibp.a2mac1.com/costing(costing:projects/details/9760/equipment/12213351)","Manufacturing Equipment")</f>
        <v>Manufacturing Equipment</v>
      </c>
      <c r="B1233">
        <v>12213351</v>
      </c>
      <c r="C1233">
        <v>12086218</v>
      </c>
      <c r="E1233" t="s">
        <v>1596</v>
      </c>
      <c r="H1233" t="s">
        <v>162</v>
      </c>
      <c r="I1233">
        <v>373962.17573865002</v>
      </c>
      <c r="J1233">
        <v>0</v>
      </c>
      <c r="K1233">
        <v>3.3919999999999999</v>
      </c>
      <c r="L1233">
        <v>0</v>
      </c>
      <c r="M1233">
        <v>85.594214069133713</v>
      </c>
      <c r="N1233">
        <v>0</v>
      </c>
      <c r="O1233">
        <v>2.0033625382629987</v>
      </c>
      <c r="P1233">
        <v>9.6698735418000004E-2</v>
      </c>
      <c r="Q1233">
        <v>4.4169504331110178E-3</v>
      </c>
      <c r="R1233">
        <v>2750000.0039900001</v>
      </c>
      <c r="S1233">
        <v>0</v>
      </c>
      <c r="T1233">
        <v>0</v>
      </c>
      <c r="V1233">
        <v>5400</v>
      </c>
      <c r="W1233">
        <v>10</v>
      </c>
      <c r="X1233">
        <v>85</v>
      </c>
      <c r="Y1233">
        <v>4</v>
      </c>
      <c r="Z1233">
        <v>4</v>
      </c>
      <c r="AA1233">
        <v>5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80</v>
      </c>
      <c r="AM1233">
        <v>53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70</v>
      </c>
      <c r="AU1233">
        <v>0</v>
      </c>
      <c r="AV1233">
        <v>0</v>
      </c>
    </row>
    <row r="1234" spans="1:48" x14ac:dyDescent="0.15">
      <c r="A1234" s="4" t="str">
        <f>HYPERLINK("https://ibp.a2mac1.com/costing(costing:projects/details/9760/equipment/12213352)","Manufacturing Equipment")</f>
        <v>Manufacturing Equipment</v>
      </c>
      <c r="B1234">
        <v>12213352</v>
      </c>
      <c r="C1234">
        <v>12086219</v>
      </c>
      <c r="E1234" t="s">
        <v>1596</v>
      </c>
      <c r="H1234" t="s">
        <v>162</v>
      </c>
      <c r="I1234">
        <v>373962.17573865002</v>
      </c>
      <c r="J1234">
        <v>0</v>
      </c>
      <c r="K1234">
        <v>3.3919999999999999</v>
      </c>
      <c r="L1234">
        <v>0</v>
      </c>
      <c r="M1234">
        <v>85.594214069133713</v>
      </c>
      <c r="N1234">
        <v>0</v>
      </c>
      <c r="O1234">
        <v>2.0033625382629987</v>
      </c>
      <c r="P1234">
        <v>9.6698735418000004E-2</v>
      </c>
      <c r="Q1234">
        <v>4.4169504331110178E-3</v>
      </c>
      <c r="R1234">
        <v>2750000.0039900001</v>
      </c>
      <c r="S1234">
        <v>0</v>
      </c>
      <c r="T1234">
        <v>0</v>
      </c>
      <c r="V1234">
        <v>5400</v>
      </c>
      <c r="W1234">
        <v>10</v>
      </c>
      <c r="X1234">
        <v>85</v>
      </c>
      <c r="Y1234">
        <v>4</v>
      </c>
      <c r="Z1234">
        <v>4</v>
      </c>
      <c r="AA1234">
        <v>5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80</v>
      </c>
      <c r="AM1234">
        <v>53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70</v>
      </c>
      <c r="AU1234">
        <v>0</v>
      </c>
      <c r="AV1234">
        <v>0</v>
      </c>
    </row>
    <row r="1235" spans="1:48" x14ac:dyDescent="0.15">
      <c r="A1235" s="4" t="str">
        <f>HYPERLINK("https://ibp.a2mac1.com/costing(costing:projects/details/9760/equipment/12213353)","Manufacturing Equipment")</f>
        <v>Manufacturing Equipment</v>
      </c>
      <c r="B1235">
        <v>12213353</v>
      </c>
      <c r="C1235">
        <v>12086220</v>
      </c>
      <c r="E1235" t="s">
        <v>1596</v>
      </c>
      <c r="H1235" t="s">
        <v>162</v>
      </c>
      <c r="I1235">
        <v>373962.17573865002</v>
      </c>
      <c r="J1235">
        <v>0</v>
      </c>
      <c r="K1235">
        <v>3.3919999999999999</v>
      </c>
      <c r="L1235">
        <v>0</v>
      </c>
      <c r="M1235">
        <v>85.594214069133713</v>
      </c>
      <c r="N1235">
        <v>0</v>
      </c>
      <c r="O1235">
        <v>2.4442497755116997E-2</v>
      </c>
      <c r="P1235">
        <v>1.1797957575E-3</v>
      </c>
      <c r="Q1235">
        <v>4.4169504331110178E-3</v>
      </c>
      <c r="R1235">
        <v>2750000.0039900001</v>
      </c>
      <c r="S1235">
        <v>0</v>
      </c>
      <c r="T1235">
        <v>0</v>
      </c>
      <c r="V1235">
        <v>5400</v>
      </c>
      <c r="W1235">
        <v>10</v>
      </c>
      <c r="X1235">
        <v>85</v>
      </c>
      <c r="Y1235">
        <v>4</v>
      </c>
      <c r="Z1235">
        <v>4</v>
      </c>
      <c r="AA1235">
        <v>5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80</v>
      </c>
      <c r="AM1235">
        <v>53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70</v>
      </c>
      <c r="AU1235">
        <v>0</v>
      </c>
      <c r="AV1235">
        <v>0</v>
      </c>
    </row>
    <row r="1236" spans="1:48" x14ac:dyDescent="0.15">
      <c r="A1236" s="4" t="str">
        <f>HYPERLINK("https://ibp.a2mac1.com/costing(costing:projects/details/9760/equipment/12213354)","Manufacturing Equipment")</f>
        <v>Manufacturing Equipment</v>
      </c>
      <c r="B1236">
        <v>12213354</v>
      </c>
      <c r="C1236">
        <v>12086221</v>
      </c>
      <c r="E1236" t="s">
        <v>1596</v>
      </c>
      <c r="H1236" t="s">
        <v>162</v>
      </c>
      <c r="I1236">
        <v>373962.17573865002</v>
      </c>
      <c r="J1236">
        <v>0</v>
      </c>
      <c r="K1236">
        <v>3.3919999999999999</v>
      </c>
      <c r="L1236">
        <v>0</v>
      </c>
      <c r="M1236">
        <v>85.594214069133713</v>
      </c>
      <c r="N1236">
        <v>0</v>
      </c>
      <c r="O1236">
        <v>2.0976050966169956E-2</v>
      </c>
      <c r="P1236">
        <v>1.0124765556666668E-3</v>
      </c>
      <c r="Q1236">
        <v>4.4169504331110178E-3</v>
      </c>
      <c r="R1236">
        <v>2750000.0039900001</v>
      </c>
      <c r="S1236">
        <v>0</v>
      </c>
      <c r="T1236">
        <v>0</v>
      </c>
      <c r="V1236">
        <v>5400</v>
      </c>
      <c r="W1236">
        <v>10</v>
      </c>
      <c r="X1236">
        <v>85</v>
      </c>
      <c r="Y1236">
        <v>4</v>
      </c>
      <c r="Z1236">
        <v>4</v>
      </c>
      <c r="AA1236">
        <v>5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80</v>
      </c>
      <c r="AM1236">
        <v>53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70</v>
      </c>
      <c r="AU1236">
        <v>0</v>
      </c>
      <c r="AV1236">
        <v>0</v>
      </c>
    </row>
    <row r="1237" spans="1:48" x14ac:dyDescent="0.15">
      <c r="A1237" s="4" t="str">
        <f>HYPERLINK("https://ibp.a2mac1.com/costing(costing:projects/details/9760/equipment/12213355)","Manufacturing Equipment")</f>
        <v>Manufacturing Equipment</v>
      </c>
      <c r="B1237">
        <v>12213355</v>
      </c>
      <c r="C1237">
        <v>12086222</v>
      </c>
      <c r="E1237" t="s">
        <v>1596</v>
      </c>
      <c r="H1237" t="s">
        <v>162</v>
      </c>
      <c r="I1237">
        <v>373962.17573865002</v>
      </c>
      <c r="J1237">
        <v>0</v>
      </c>
      <c r="K1237">
        <v>3.3919999999999999</v>
      </c>
      <c r="L1237">
        <v>0</v>
      </c>
      <c r="M1237">
        <v>85.594214069133713</v>
      </c>
      <c r="N1237">
        <v>0</v>
      </c>
      <c r="O1237">
        <v>5.1629954403089968E-3</v>
      </c>
      <c r="P1237">
        <v>2.4920857833333332E-4</v>
      </c>
      <c r="Q1237">
        <v>4.4169504331110178E-3</v>
      </c>
      <c r="R1237">
        <v>2750000.0039900001</v>
      </c>
      <c r="S1237">
        <v>0</v>
      </c>
      <c r="T1237">
        <v>0</v>
      </c>
      <c r="V1237">
        <v>5400</v>
      </c>
      <c r="W1237">
        <v>10</v>
      </c>
      <c r="X1237">
        <v>85</v>
      </c>
      <c r="Y1237">
        <v>4</v>
      </c>
      <c r="Z1237">
        <v>4</v>
      </c>
      <c r="AA1237">
        <v>5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80</v>
      </c>
      <c r="AM1237">
        <v>53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70</v>
      </c>
      <c r="AU1237">
        <v>0</v>
      </c>
      <c r="AV1237">
        <v>0</v>
      </c>
    </row>
    <row r="1238" spans="1:48" x14ac:dyDescent="0.15">
      <c r="A1238" s="4" t="str">
        <f>HYPERLINK("https://ibp.a2mac1.com/costing(costing:projects/details/9760/equipment/12213356)","Manufacturing Equipment")</f>
        <v>Manufacturing Equipment</v>
      </c>
      <c r="B1238">
        <v>12213356</v>
      </c>
      <c r="C1238">
        <v>12086223</v>
      </c>
      <c r="E1238" t="s">
        <v>1596</v>
      </c>
      <c r="H1238" t="s">
        <v>162</v>
      </c>
      <c r="I1238">
        <v>373962.17573865002</v>
      </c>
      <c r="J1238">
        <v>0</v>
      </c>
      <c r="K1238">
        <v>3.3919999999999999</v>
      </c>
      <c r="L1238">
        <v>0</v>
      </c>
      <c r="M1238">
        <v>85.594214069133713</v>
      </c>
      <c r="N1238">
        <v>0</v>
      </c>
      <c r="O1238">
        <v>1.2958845129213971E-2</v>
      </c>
      <c r="P1238">
        <v>6.2550033383333334E-4</v>
      </c>
      <c r="Q1238">
        <v>4.4169504331110178E-3</v>
      </c>
      <c r="R1238">
        <v>2750000.0039900001</v>
      </c>
      <c r="S1238">
        <v>0</v>
      </c>
      <c r="T1238">
        <v>0</v>
      </c>
      <c r="V1238">
        <v>5400</v>
      </c>
      <c r="W1238">
        <v>10</v>
      </c>
      <c r="X1238">
        <v>85</v>
      </c>
      <c r="Y1238">
        <v>4</v>
      </c>
      <c r="Z1238">
        <v>4</v>
      </c>
      <c r="AA1238">
        <v>5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80</v>
      </c>
      <c r="AM1238">
        <v>53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70</v>
      </c>
      <c r="AU1238">
        <v>0</v>
      </c>
      <c r="AV1238">
        <v>0</v>
      </c>
    </row>
    <row r="1239" spans="1:48" x14ac:dyDescent="0.15">
      <c r="A1239" s="4" t="str">
        <f>HYPERLINK("https://ibp.a2mac1.com/costing(costing:projects/details/9760/equipment/12213357)","Manufacturing Equipment")</f>
        <v>Manufacturing Equipment</v>
      </c>
      <c r="B1239">
        <v>12213357</v>
      </c>
      <c r="C1239">
        <v>12086224</v>
      </c>
      <c r="E1239" t="s">
        <v>1596</v>
      </c>
      <c r="H1239" t="s">
        <v>162</v>
      </c>
      <c r="I1239">
        <v>373962.17573865002</v>
      </c>
      <c r="J1239">
        <v>0</v>
      </c>
      <c r="K1239">
        <v>3.3919999999999999</v>
      </c>
      <c r="L1239">
        <v>0</v>
      </c>
      <c r="M1239">
        <v>85.594214069133713</v>
      </c>
      <c r="N1239">
        <v>0</v>
      </c>
      <c r="O1239">
        <v>0.15984553044216698</v>
      </c>
      <c r="P1239">
        <v>7.7154585656666668E-3</v>
      </c>
      <c r="Q1239">
        <v>4.4169504331110178E-3</v>
      </c>
      <c r="R1239">
        <v>2750000.0039900001</v>
      </c>
      <c r="S1239">
        <v>0</v>
      </c>
      <c r="T1239">
        <v>0</v>
      </c>
      <c r="V1239">
        <v>5400</v>
      </c>
      <c r="W1239">
        <v>10</v>
      </c>
      <c r="X1239">
        <v>85</v>
      </c>
      <c r="Y1239">
        <v>4</v>
      </c>
      <c r="Z1239">
        <v>4</v>
      </c>
      <c r="AA1239">
        <v>5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80</v>
      </c>
      <c r="AM1239">
        <v>53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70</v>
      </c>
      <c r="AU1239">
        <v>0</v>
      </c>
      <c r="AV1239">
        <v>0</v>
      </c>
    </row>
    <row r="1240" spans="1:48" x14ac:dyDescent="0.15">
      <c r="A1240" s="4" t="str">
        <f>HYPERLINK("https://ibp.a2mac1.com/costing(costing:projects/details/9760/equipment/12213358)","Manufacturing Equipment")</f>
        <v>Manufacturing Equipment</v>
      </c>
      <c r="B1240">
        <v>12213358</v>
      </c>
      <c r="C1240">
        <v>12086225</v>
      </c>
      <c r="E1240" t="s">
        <v>1596</v>
      </c>
      <c r="H1240" t="s">
        <v>162</v>
      </c>
      <c r="I1240">
        <v>373962.17573865002</v>
      </c>
      <c r="J1240">
        <v>0</v>
      </c>
      <c r="K1240">
        <v>3.3919999999999999</v>
      </c>
      <c r="L1240">
        <v>0</v>
      </c>
      <c r="M1240">
        <v>85.594214069133713</v>
      </c>
      <c r="N1240">
        <v>0</v>
      </c>
      <c r="O1240">
        <v>3.4792740329721246E-2</v>
      </c>
      <c r="P1240">
        <v>1.6793835001666668E-3</v>
      </c>
      <c r="Q1240">
        <v>4.4169504331110178E-3</v>
      </c>
      <c r="R1240">
        <v>2750000.0039900001</v>
      </c>
      <c r="S1240">
        <v>0</v>
      </c>
      <c r="T1240">
        <v>0</v>
      </c>
      <c r="V1240">
        <v>5400</v>
      </c>
      <c r="W1240">
        <v>10</v>
      </c>
      <c r="X1240">
        <v>85</v>
      </c>
      <c r="Y1240">
        <v>4</v>
      </c>
      <c r="Z1240">
        <v>4</v>
      </c>
      <c r="AA1240">
        <v>5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80</v>
      </c>
      <c r="AM1240">
        <v>53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70</v>
      </c>
      <c r="AU1240">
        <v>0</v>
      </c>
      <c r="AV1240">
        <v>0</v>
      </c>
    </row>
    <row r="1241" spans="1:48" x14ac:dyDescent="0.15">
      <c r="A1241" s="4" t="str">
        <f>HYPERLINK("https://ibp.a2mac1.com/costing(costing:projects/details/9760/equipment/12213359)","Manufacturing Equipment")</f>
        <v>Manufacturing Equipment</v>
      </c>
      <c r="B1241">
        <v>12213359</v>
      </c>
      <c r="C1241">
        <v>12086226</v>
      </c>
      <c r="E1241" t="s">
        <v>1596</v>
      </c>
      <c r="H1241" t="s">
        <v>162</v>
      </c>
      <c r="I1241">
        <v>373962.17573865002</v>
      </c>
      <c r="J1241">
        <v>0</v>
      </c>
      <c r="K1241">
        <v>3.3919999999999999</v>
      </c>
      <c r="L1241">
        <v>0</v>
      </c>
      <c r="M1241">
        <v>85.594214069133713</v>
      </c>
      <c r="N1241">
        <v>0</v>
      </c>
      <c r="O1241">
        <v>3.4792740329721246E-2</v>
      </c>
      <c r="P1241">
        <v>1.6793835001666668E-3</v>
      </c>
      <c r="Q1241">
        <v>4.4169504331110178E-3</v>
      </c>
      <c r="R1241">
        <v>2750000.0039900001</v>
      </c>
      <c r="S1241">
        <v>0</v>
      </c>
      <c r="T1241">
        <v>0</v>
      </c>
      <c r="V1241">
        <v>5400</v>
      </c>
      <c r="W1241">
        <v>10</v>
      </c>
      <c r="X1241">
        <v>85</v>
      </c>
      <c r="Y1241">
        <v>4</v>
      </c>
      <c r="Z1241">
        <v>4</v>
      </c>
      <c r="AA1241">
        <v>5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80</v>
      </c>
      <c r="AM1241">
        <v>53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70</v>
      </c>
      <c r="AU1241">
        <v>0</v>
      </c>
      <c r="AV1241">
        <v>0</v>
      </c>
    </row>
    <row r="1242" spans="1:48" x14ac:dyDescent="0.15">
      <c r="A1242" s="4" t="str">
        <f>HYPERLINK("https://ibp.a2mac1.com/costing(costing:projects/details/9760/equipment/12213360)","Manufacturing Equipment")</f>
        <v>Manufacturing Equipment</v>
      </c>
      <c r="B1242">
        <v>12213360</v>
      </c>
      <c r="C1242">
        <v>12086227</v>
      </c>
      <c r="E1242" t="s">
        <v>1596</v>
      </c>
      <c r="H1242" t="s">
        <v>162</v>
      </c>
      <c r="I1242">
        <v>373962.17573865002</v>
      </c>
      <c r="J1242">
        <v>0</v>
      </c>
      <c r="K1242">
        <v>3.3919999999999999</v>
      </c>
      <c r="L1242">
        <v>0</v>
      </c>
      <c r="M1242">
        <v>85.594214069133713</v>
      </c>
      <c r="N1242">
        <v>0</v>
      </c>
      <c r="O1242">
        <v>4.4971913357040101E-2</v>
      </c>
      <c r="P1242">
        <v>2.1707140210000002E-3</v>
      </c>
      <c r="Q1242">
        <v>4.4169504331110178E-3</v>
      </c>
      <c r="R1242">
        <v>2750000.0039900001</v>
      </c>
      <c r="S1242">
        <v>0</v>
      </c>
      <c r="T1242">
        <v>0</v>
      </c>
      <c r="V1242">
        <v>5400</v>
      </c>
      <c r="W1242">
        <v>10</v>
      </c>
      <c r="X1242">
        <v>85</v>
      </c>
      <c r="Y1242">
        <v>4</v>
      </c>
      <c r="Z1242">
        <v>4</v>
      </c>
      <c r="AA1242">
        <v>5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80</v>
      </c>
      <c r="AM1242">
        <v>53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70</v>
      </c>
      <c r="AU1242">
        <v>0</v>
      </c>
      <c r="AV1242">
        <v>0</v>
      </c>
    </row>
    <row r="1243" spans="1:48" x14ac:dyDescent="0.15">
      <c r="A1243" s="4" t="str">
        <f>HYPERLINK("https://ibp.a2mac1.com/costing(costing:projects/details/9760/equipment/12213361)","Manufacturing Equipment")</f>
        <v>Manufacturing Equipment</v>
      </c>
      <c r="B1243">
        <v>12213361</v>
      </c>
      <c r="C1243">
        <v>12086228</v>
      </c>
      <c r="E1243" t="s">
        <v>1596</v>
      </c>
      <c r="H1243" t="s">
        <v>162</v>
      </c>
      <c r="I1243">
        <v>373962.17573865002</v>
      </c>
      <c r="J1243">
        <v>0</v>
      </c>
      <c r="K1243">
        <v>3.3919999999999999</v>
      </c>
      <c r="L1243">
        <v>0</v>
      </c>
      <c r="M1243">
        <v>85.594214069133713</v>
      </c>
      <c r="N1243">
        <v>0</v>
      </c>
      <c r="O1243">
        <v>0.13917072355717924</v>
      </c>
      <c r="P1243">
        <v>6.7175225243333329E-3</v>
      </c>
      <c r="Q1243">
        <v>4.4169504331110178E-3</v>
      </c>
      <c r="R1243">
        <v>2750000.0039900001</v>
      </c>
      <c r="S1243">
        <v>0</v>
      </c>
      <c r="T1243">
        <v>0</v>
      </c>
      <c r="V1243">
        <v>5400</v>
      </c>
      <c r="W1243">
        <v>10</v>
      </c>
      <c r="X1243">
        <v>85</v>
      </c>
      <c r="Y1243">
        <v>4</v>
      </c>
      <c r="Z1243">
        <v>4</v>
      </c>
      <c r="AA1243">
        <v>5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80</v>
      </c>
      <c r="AM1243">
        <v>53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70</v>
      </c>
      <c r="AU1243">
        <v>0</v>
      </c>
      <c r="AV1243">
        <v>0</v>
      </c>
    </row>
    <row r="1244" spans="1:48" x14ac:dyDescent="0.15">
      <c r="A1244" s="4" t="str">
        <f>HYPERLINK("https://ibp.a2mac1.com/costing(costing:projects/details/9760/equipment/12213362)","Manufacturing Equipment")</f>
        <v>Manufacturing Equipment</v>
      </c>
      <c r="B1244">
        <v>12213362</v>
      </c>
      <c r="C1244">
        <v>12086229</v>
      </c>
      <c r="E1244" t="s">
        <v>1596</v>
      </c>
      <c r="H1244" t="s">
        <v>162</v>
      </c>
      <c r="I1244">
        <v>373962.17573865002</v>
      </c>
      <c r="J1244">
        <v>0</v>
      </c>
      <c r="K1244">
        <v>3.3919999999999999</v>
      </c>
      <c r="L1244">
        <v>0</v>
      </c>
      <c r="M1244">
        <v>85.594214069133713</v>
      </c>
      <c r="N1244">
        <v>0</v>
      </c>
      <c r="O1244">
        <v>4.4971913357040101E-2</v>
      </c>
      <c r="P1244">
        <v>2.1707140210000002E-3</v>
      </c>
      <c r="Q1244">
        <v>4.4169504331110178E-3</v>
      </c>
      <c r="R1244">
        <v>2750000.0039900001</v>
      </c>
      <c r="S1244">
        <v>0</v>
      </c>
      <c r="T1244">
        <v>0</v>
      </c>
      <c r="V1244">
        <v>5400</v>
      </c>
      <c r="W1244">
        <v>10</v>
      </c>
      <c r="X1244">
        <v>85</v>
      </c>
      <c r="Y1244">
        <v>4</v>
      </c>
      <c r="Z1244">
        <v>4</v>
      </c>
      <c r="AA1244">
        <v>5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80</v>
      </c>
      <c r="AM1244">
        <v>53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70</v>
      </c>
      <c r="AU1244">
        <v>0</v>
      </c>
      <c r="AV1244">
        <v>0</v>
      </c>
    </row>
    <row r="1245" spans="1:48" x14ac:dyDescent="0.15">
      <c r="A1245" s="4" t="str">
        <f>HYPERLINK("https://ibp.a2mac1.com/costing(costing:projects/details/9760/equipment/12213363)","Manufacturing Equipment")</f>
        <v>Manufacturing Equipment</v>
      </c>
      <c r="B1245">
        <v>12213363</v>
      </c>
      <c r="C1245">
        <v>12086230</v>
      </c>
      <c r="E1245" t="s">
        <v>1596</v>
      </c>
      <c r="H1245" t="s">
        <v>162</v>
      </c>
      <c r="I1245">
        <v>373962.17573865002</v>
      </c>
      <c r="J1245">
        <v>0</v>
      </c>
      <c r="K1245">
        <v>3.3919999999999999</v>
      </c>
      <c r="L1245">
        <v>0</v>
      </c>
      <c r="M1245">
        <v>85.594214069133713</v>
      </c>
      <c r="N1245">
        <v>0</v>
      </c>
      <c r="O1245">
        <v>4.4971913357040101E-2</v>
      </c>
      <c r="P1245">
        <v>2.1707140210000002E-3</v>
      </c>
      <c r="Q1245">
        <v>4.4169504331110178E-3</v>
      </c>
      <c r="R1245">
        <v>2750000.0039900001</v>
      </c>
      <c r="S1245">
        <v>0</v>
      </c>
      <c r="T1245">
        <v>0</v>
      </c>
      <c r="V1245">
        <v>5400</v>
      </c>
      <c r="W1245">
        <v>10</v>
      </c>
      <c r="X1245">
        <v>85</v>
      </c>
      <c r="Y1245">
        <v>4</v>
      </c>
      <c r="Z1245">
        <v>4</v>
      </c>
      <c r="AA1245">
        <v>5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80</v>
      </c>
      <c r="AM1245">
        <v>53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70</v>
      </c>
      <c r="AU1245">
        <v>0</v>
      </c>
      <c r="AV1245">
        <v>0</v>
      </c>
    </row>
    <row r="1246" spans="1:48" x14ac:dyDescent="0.15">
      <c r="A1246" s="4" t="str">
        <f>HYPERLINK("https://ibp.a2mac1.com/costing(costing:projects/details/9760/equipment/12213364)","Manufacturing Equipment")</f>
        <v>Manufacturing Equipment</v>
      </c>
      <c r="B1246">
        <v>12213364</v>
      </c>
      <c r="C1246">
        <v>12086231</v>
      </c>
      <c r="E1246" t="s">
        <v>1596</v>
      </c>
      <c r="H1246" t="s">
        <v>162</v>
      </c>
      <c r="I1246">
        <v>373962.17573865002</v>
      </c>
      <c r="J1246">
        <v>0</v>
      </c>
      <c r="K1246">
        <v>3.3919999999999999</v>
      </c>
      <c r="L1246">
        <v>0</v>
      </c>
      <c r="M1246">
        <v>85.594214069133713</v>
      </c>
      <c r="N1246">
        <v>0</v>
      </c>
      <c r="O1246">
        <v>4.4971913357040101E-2</v>
      </c>
      <c r="P1246">
        <v>2.1707140210000002E-3</v>
      </c>
      <c r="Q1246">
        <v>4.4169504331110178E-3</v>
      </c>
      <c r="R1246">
        <v>2750000.0039900001</v>
      </c>
      <c r="S1246">
        <v>0</v>
      </c>
      <c r="T1246">
        <v>0</v>
      </c>
      <c r="V1246">
        <v>5400</v>
      </c>
      <c r="W1246">
        <v>10</v>
      </c>
      <c r="X1246">
        <v>85</v>
      </c>
      <c r="Y1246">
        <v>4</v>
      </c>
      <c r="Z1246">
        <v>4</v>
      </c>
      <c r="AA1246">
        <v>5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80</v>
      </c>
      <c r="AM1246">
        <v>53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70</v>
      </c>
      <c r="AU1246">
        <v>0</v>
      </c>
      <c r="AV1246">
        <v>0</v>
      </c>
    </row>
    <row r="1247" spans="1:48" x14ac:dyDescent="0.15">
      <c r="A1247" s="4" t="str">
        <f>HYPERLINK("https://ibp.a2mac1.com/costing(costing:projects/details/9760/equipment/12213365)","Manufacturing Equipment")</f>
        <v>Manufacturing Equipment</v>
      </c>
      <c r="B1247">
        <v>12213365</v>
      </c>
      <c r="C1247">
        <v>12086232</v>
      </c>
      <c r="E1247" t="s">
        <v>1596</v>
      </c>
      <c r="H1247" t="s">
        <v>162</v>
      </c>
      <c r="I1247">
        <v>373962.17573865002</v>
      </c>
      <c r="J1247">
        <v>0</v>
      </c>
      <c r="K1247">
        <v>3.3919999999999999</v>
      </c>
      <c r="L1247">
        <v>0</v>
      </c>
      <c r="M1247">
        <v>85.594214069133713</v>
      </c>
      <c r="N1247">
        <v>0</v>
      </c>
      <c r="O1247">
        <v>4.4971913357040101E-2</v>
      </c>
      <c r="P1247">
        <v>2.1707140210000002E-3</v>
      </c>
      <c r="Q1247">
        <v>4.4169504331110178E-3</v>
      </c>
      <c r="R1247">
        <v>2750000.0039900001</v>
      </c>
      <c r="S1247">
        <v>0</v>
      </c>
      <c r="T1247">
        <v>0</v>
      </c>
      <c r="V1247">
        <v>5400</v>
      </c>
      <c r="W1247">
        <v>10</v>
      </c>
      <c r="X1247">
        <v>85</v>
      </c>
      <c r="Y1247">
        <v>4</v>
      </c>
      <c r="Z1247">
        <v>4</v>
      </c>
      <c r="AA1247">
        <v>5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80</v>
      </c>
      <c r="AM1247">
        <v>53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70</v>
      </c>
      <c r="AU1247">
        <v>0</v>
      </c>
      <c r="AV1247">
        <v>0</v>
      </c>
    </row>
    <row r="1248" spans="1:48" x14ac:dyDescent="0.15">
      <c r="A1248" s="4" t="str">
        <f>HYPERLINK("https://ibp.a2mac1.com/costing(costing:projects/details/9760/equipment/12213366)","Manufacturing Equipment")</f>
        <v>Manufacturing Equipment</v>
      </c>
      <c r="B1248">
        <v>12213366</v>
      </c>
      <c r="C1248">
        <v>12086233</v>
      </c>
      <c r="E1248" t="s">
        <v>1596</v>
      </c>
      <c r="H1248" t="s">
        <v>162</v>
      </c>
      <c r="I1248">
        <v>373962.17573865002</v>
      </c>
      <c r="J1248">
        <v>0</v>
      </c>
      <c r="K1248">
        <v>3.3919999999999999</v>
      </c>
      <c r="L1248">
        <v>0</v>
      </c>
      <c r="M1248">
        <v>85.594214069133713</v>
      </c>
      <c r="N1248">
        <v>0</v>
      </c>
      <c r="O1248">
        <v>4.4971913357040101E-2</v>
      </c>
      <c r="P1248">
        <v>2.1707140210000002E-3</v>
      </c>
      <c r="Q1248">
        <v>4.4169504331110178E-3</v>
      </c>
      <c r="R1248">
        <v>2750000.0039900001</v>
      </c>
      <c r="S1248">
        <v>0</v>
      </c>
      <c r="T1248">
        <v>0</v>
      </c>
      <c r="V1248">
        <v>5400</v>
      </c>
      <c r="W1248">
        <v>10</v>
      </c>
      <c r="X1248">
        <v>85</v>
      </c>
      <c r="Y1248">
        <v>4</v>
      </c>
      <c r="Z1248">
        <v>4</v>
      </c>
      <c r="AA1248">
        <v>5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80</v>
      </c>
      <c r="AM1248">
        <v>53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70</v>
      </c>
      <c r="AU1248">
        <v>0</v>
      </c>
      <c r="AV1248">
        <v>0</v>
      </c>
    </row>
    <row r="1249" spans="1:48" x14ac:dyDescent="0.15">
      <c r="A1249" s="4" t="str">
        <f>HYPERLINK("https://ibp.a2mac1.com/costing(costing:projects/details/9760/equipment/12213367)","Manufacturing Equipment")</f>
        <v>Manufacturing Equipment</v>
      </c>
      <c r="B1249">
        <v>12213367</v>
      </c>
      <c r="C1249">
        <v>12086234</v>
      </c>
      <c r="E1249" t="s">
        <v>1596</v>
      </c>
      <c r="H1249" t="s">
        <v>162</v>
      </c>
      <c r="I1249">
        <v>373962.17573865002</v>
      </c>
      <c r="J1249">
        <v>0</v>
      </c>
      <c r="K1249">
        <v>3.3919999999999999</v>
      </c>
      <c r="L1249">
        <v>0</v>
      </c>
      <c r="M1249">
        <v>85.594214069133713</v>
      </c>
      <c r="N1249">
        <v>0</v>
      </c>
      <c r="O1249">
        <v>4.4971913357040101E-2</v>
      </c>
      <c r="P1249">
        <v>2.1707140210000002E-3</v>
      </c>
      <c r="Q1249">
        <v>4.4169504331110178E-3</v>
      </c>
      <c r="R1249">
        <v>2750000.0039900001</v>
      </c>
      <c r="S1249">
        <v>0</v>
      </c>
      <c r="T1249">
        <v>0</v>
      </c>
      <c r="V1249">
        <v>5400</v>
      </c>
      <c r="W1249">
        <v>10</v>
      </c>
      <c r="X1249">
        <v>85</v>
      </c>
      <c r="Y1249">
        <v>4</v>
      </c>
      <c r="Z1249">
        <v>4</v>
      </c>
      <c r="AA1249">
        <v>5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80</v>
      </c>
      <c r="AM1249">
        <v>53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70</v>
      </c>
      <c r="AU1249">
        <v>0</v>
      </c>
      <c r="AV1249">
        <v>0</v>
      </c>
    </row>
    <row r="1250" spans="1:48" x14ac:dyDescent="0.15">
      <c r="A1250" s="4" t="str">
        <f>HYPERLINK("https://ibp.a2mac1.com/costing(costing:projects/details/9760/equipment/12213368)","Manufacturing Equipment")</f>
        <v>Manufacturing Equipment</v>
      </c>
      <c r="B1250">
        <v>12213368</v>
      </c>
      <c r="C1250">
        <v>12086235</v>
      </c>
      <c r="E1250" t="s">
        <v>1596</v>
      </c>
      <c r="H1250" t="s">
        <v>162</v>
      </c>
      <c r="I1250">
        <v>373962.17573865002</v>
      </c>
      <c r="J1250">
        <v>0</v>
      </c>
      <c r="K1250">
        <v>3.3919999999999999</v>
      </c>
      <c r="L1250">
        <v>0</v>
      </c>
      <c r="M1250">
        <v>85.594214069133713</v>
      </c>
      <c r="N1250">
        <v>0</v>
      </c>
      <c r="O1250">
        <v>3.4792740329721246E-2</v>
      </c>
      <c r="P1250">
        <v>1.6793835001666668E-3</v>
      </c>
      <c r="Q1250">
        <v>4.4169504331110178E-3</v>
      </c>
      <c r="R1250">
        <v>2750000.0039900001</v>
      </c>
      <c r="S1250">
        <v>0</v>
      </c>
      <c r="T1250">
        <v>0</v>
      </c>
      <c r="V1250">
        <v>5400</v>
      </c>
      <c r="W1250">
        <v>10</v>
      </c>
      <c r="X1250">
        <v>85</v>
      </c>
      <c r="Y1250">
        <v>4</v>
      </c>
      <c r="Z1250">
        <v>4</v>
      </c>
      <c r="AA1250">
        <v>5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80</v>
      </c>
      <c r="AM1250">
        <v>53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70</v>
      </c>
      <c r="AU1250">
        <v>0</v>
      </c>
      <c r="AV1250">
        <v>0</v>
      </c>
    </row>
    <row r="1251" spans="1:48" x14ac:dyDescent="0.15">
      <c r="A1251" s="4" t="str">
        <f>HYPERLINK("https://ibp.a2mac1.com/costing(costing:projects/details/9760/equipment/12213369)","Manufacturing Equipment")</f>
        <v>Manufacturing Equipment</v>
      </c>
      <c r="B1251">
        <v>12213369</v>
      </c>
      <c r="C1251">
        <v>12086236</v>
      </c>
      <c r="E1251" t="s">
        <v>1596</v>
      </c>
      <c r="H1251" t="s">
        <v>162</v>
      </c>
      <c r="I1251">
        <v>373962.17573865002</v>
      </c>
      <c r="J1251">
        <v>0</v>
      </c>
      <c r="K1251">
        <v>3.3919999999999999</v>
      </c>
      <c r="L1251">
        <v>0</v>
      </c>
      <c r="M1251">
        <v>85.594214069133713</v>
      </c>
      <c r="N1251">
        <v>0</v>
      </c>
      <c r="O1251">
        <v>2.0976050966169956E-2</v>
      </c>
      <c r="P1251">
        <v>1.0124765556666668E-3</v>
      </c>
      <c r="Q1251">
        <v>4.4169504331110178E-3</v>
      </c>
      <c r="R1251">
        <v>2750000.0039900001</v>
      </c>
      <c r="S1251">
        <v>0</v>
      </c>
      <c r="T1251">
        <v>0</v>
      </c>
      <c r="V1251">
        <v>5400</v>
      </c>
      <c r="W1251">
        <v>10</v>
      </c>
      <c r="X1251">
        <v>85</v>
      </c>
      <c r="Y1251">
        <v>4</v>
      </c>
      <c r="Z1251">
        <v>4</v>
      </c>
      <c r="AA1251">
        <v>5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80</v>
      </c>
      <c r="AM1251">
        <v>53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70</v>
      </c>
      <c r="AU1251">
        <v>0</v>
      </c>
      <c r="AV1251">
        <v>0</v>
      </c>
    </row>
    <row r="1252" spans="1:48" x14ac:dyDescent="0.15">
      <c r="A1252" s="4" t="str">
        <f>HYPERLINK("https://ibp.a2mac1.com/costing(costing:projects/details/9760/equipment/12213370)","Manufacturing Equipment")</f>
        <v>Manufacturing Equipment</v>
      </c>
      <c r="B1252">
        <v>12213370</v>
      </c>
      <c r="C1252">
        <v>12086237</v>
      </c>
      <c r="E1252" t="s">
        <v>1596</v>
      </c>
      <c r="H1252" t="s">
        <v>162</v>
      </c>
      <c r="I1252">
        <v>373962.17573865002</v>
      </c>
      <c r="J1252">
        <v>0</v>
      </c>
      <c r="K1252">
        <v>3.3919999999999999</v>
      </c>
      <c r="L1252">
        <v>0</v>
      </c>
      <c r="M1252">
        <v>85.594214069133713</v>
      </c>
      <c r="N1252">
        <v>0</v>
      </c>
      <c r="O1252">
        <v>3.4792740329721246E-2</v>
      </c>
      <c r="P1252">
        <v>1.6793835001666668E-3</v>
      </c>
      <c r="Q1252">
        <v>4.4169504331110178E-3</v>
      </c>
      <c r="R1252">
        <v>2750000.0039900001</v>
      </c>
      <c r="S1252">
        <v>0</v>
      </c>
      <c r="T1252">
        <v>0</v>
      </c>
      <c r="V1252">
        <v>5400</v>
      </c>
      <c r="W1252">
        <v>10</v>
      </c>
      <c r="X1252">
        <v>85</v>
      </c>
      <c r="Y1252">
        <v>4</v>
      </c>
      <c r="Z1252">
        <v>4</v>
      </c>
      <c r="AA1252">
        <v>5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80</v>
      </c>
      <c r="AM1252">
        <v>53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70</v>
      </c>
      <c r="AU1252">
        <v>0</v>
      </c>
      <c r="AV1252">
        <v>0</v>
      </c>
    </row>
    <row r="1253" spans="1:48" x14ac:dyDescent="0.15">
      <c r="A1253" s="4" t="str">
        <f>HYPERLINK("https://ibp.a2mac1.com/costing(costing:projects/details/9760/equipment/12213371)","Manufacturing Equipment")</f>
        <v>Manufacturing Equipment</v>
      </c>
      <c r="B1253">
        <v>12213371</v>
      </c>
      <c r="C1253">
        <v>12086238</v>
      </c>
      <c r="E1253" t="s">
        <v>1596</v>
      </c>
      <c r="H1253" t="s">
        <v>162</v>
      </c>
      <c r="I1253">
        <v>373962.17573865002</v>
      </c>
      <c r="J1253">
        <v>0</v>
      </c>
      <c r="K1253">
        <v>3.3919999999999999</v>
      </c>
      <c r="L1253">
        <v>0</v>
      </c>
      <c r="M1253">
        <v>85.594214069133713</v>
      </c>
      <c r="N1253">
        <v>0</v>
      </c>
      <c r="O1253">
        <v>3.4792740329721246E-2</v>
      </c>
      <c r="P1253">
        <v>1.6793835001666668E-3</v>
      </c>
      <c r="Q1253">
        <v>4.4169504331110178E-3</v>
      </c>
      <c r="R1253">
        <v>2750000.0039900001</v>
      </c>
      <c r="S1253">
        <v>0</v>
      </c>
      <c r="T1253">
        <v>0</v>
      </c>
      <c r="V1253">
        <v>5400</v>
      </c>
      <c r="W1253">
        <v>10</v>
      </c>
      <c r="X1253">
        <v>85</v>
      </c>
      <c r="Y1253">
        <v>4</v>
      </c>
      <c r="Z1253">
        <v>4</v>
      </c>
      <c r="AA1253">
        <v>5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80</v>
      </c>
      <c r="AM1253">
        <v>53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70</v>
      </c>
      <c r="AU1253">
        <v>0</v>
      </c>
      <c r="AV1253">
        <v>0</v>
      </c>
    </row>
    <row r="1254" spans="1:48" x14ac:dyDescent="0.15">
      <c r="A1254" s="4" t="str">
        <f>HYPERLINK("https://ibp.a2mac1.com/costing(costing:projects/details/9760/equipment/12213372)","Manufacturing Equipment")</f>
        <v>Manufacturing Equipment</v>
      </c>
      <c r="B1254">
        <v>12213372</v>
      </c>
      <c r="C1254">
        <v>12086239</v>
      </c>
      <c r="E1254" t="s">
        <v>1596</v>
      </c>
      <c r="H1254" t="s">
        <v>162</v>
      </c>
      <c r="I1254">
        <v>373962.17573865002</v>
      </c>
      <c r="J1254">
        <v>0</v>
      </c>
      <c r="K1254">
        <v>3.3919999999999999</v>
      </c>
      <c r="L1254">
        <v>0</v>
      </c>
      <c r="M1254">
        <v>85.594214069133713</v>
      </c>
      <c r="N1254">
        <v>0</v>
      </c>
      <c r="O1254">
        <v>3.4792740329721246E-2</v>
      </c>
      <c r="P1254">
        <v>1.6793835001666668E-3</v>
      </c>
      <c r="Q1254">
        <v>4.4169504331110178E-3</v>
      </c>
      <c r="R1254">
        <v>2750000.0039900001</v>
      </c>
      <c r="S1254">
        <v>0</v>
      </c>
      <c r="T1254">
        <v>0</v>
      </c>
      <c r="V1254">
        <v>5400</v>
      </c>
      <c r="W1254">
        <v>10</v>
      </c>
      <c r="X1254">
        <v>85</v>
      </c>
      <c r="Y1254">
        <v>4</v>
      </c>
      <c r="Z1254">
        <v>4</v>
      </c>
      <c r="AA1254">
        <v>5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80</v>
      </c>
      <c r="AM1254">
        <v>53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70</v>
      </c>
      <c r="AU1254">
        <v>0</v>
      </c>
      <c r="AV1254">
        <v>0</v>
      </c>
    </row>
    <row r="1255" spans="1:48" x14ac:dyDescent="0.15">
      <c r="A1255" s="4" t="str">
        <f>HYPERLINK("https://ibp.a2mac1.com/costing(costing:projects/details/9760/equipment/12213373)","Manufacturing Equipment")</f>
        <v>Manufacturing Equipment</v>
      </c>
      <c r="B1255">
        <v>12213373</v>
      </c>
      <c r="C1255">
        <v>12086240</v>
      </c>
      <c r="E1255" t="s">
        <v>1596</v>
      </c>
      <c r="H1255" t="s">
        <v>162</v>
      </c>
      <c r="I1255">
        <v>373962.17573865002</v>
      </c>
      <c r="J1255">
        <v>0</v>
      </c>
      <c r="K1255">
        <v>3.3919999999999999</v>
      </c>
      <c r="L1255">
        <v>0</v>
      </c>
      <c r="M1255">
        <v>85.594214069133713</v>
      </c>
      <c r="N1255">
        <v>0</v>
      </c>
      <c r="O1255">
        <v>2.0976050966169956E-2</v>
      </c>
      <c r="P1255">
        <v>1.0124765556666668E-3</v>
      </c>
      <c r="Q1255">
        <v>4.4169504331110178E-3</v>
      </c>
      <c r="R1255">
        <v>2750000.0039900001</v>
      </c>
      <c r="S1255">
        <v>0</v>
      </c>
      <c r="T1255">
        <v>0</v>
      </c>
      <c r="V1255">
        <v>5400</v>
      </c>
      <c r="W1255">
        <v>10</v>
      </c>
      <c r="X1255">
        <v>85</v>
      </c>
      <c r="Y1255">
        <v>4</v>
      </c>
      <c r="Z1255">
        <v>4</v>
      </c>
      <c r="AA1255">
        <v>5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80</v>
      </c>
      <c r="AM1255">
        <v>53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70</v>
      </c>
      <c r="AU1255">
        <v>0</v>
      </c>
      <c r="AV1255">
        <v>0</v>
      </c>
    </row>
    <row r="1256" spans="1:48" x14ac:dyDescent="0.15">
      <c r="A1256" s="4" t="str">
        <f>HYPERLINK("https://ibp.a2mac1.com/costing(costing:projects/details/9760/equipment/12213374)","Manufacturing Equipment")</f>
        <v>Manufacturing Equipment</v>
      </c>
      <c r="B1256">
        <v>12213374</v>
      </c>
      <c r="C1256">
        <v>12086241</v>
      </c>
      <c r="E1256" t="s">
        <v>1596</v>
      </c>
      <c r="H1256" t="s">
        <v>162</v>
      </c>
      <c r="I1256">
        <v>373962.17573865002</v>
      </c>
      <c r="J1256">
        <v>0</v>
      </c>
      <c r="K1256">
        <v>3.3919999999999999</v>
      </c>
      <c r="L1256">
        <v>0</v>
      </c>
      <c r="M1256">
        <v>85.594214069133713</v>
      </c>
      <c r="N1256">
        <v>0</v>
      </c>
      <c r="O1256">
        <v>2.0976050966169956E-2</v>
      </c>
      <c r="P1256">
        <v>1.0124765556666668E-3</v>
      </c>
      <c r="Q1256">
        <v>4.4169504331110178E-3</v>
      </c>
      <c r="R1256">
        <v>2750000.0039900001</v>
      </c>
      <c r="S1256">
        <v>0</v>
      </c>
      <c r="T1256">
        <v>0</v>
      </c>
      <c r="V1256">
        <v>5400</v>
      </c>
      <c r="W1256">
        <v>10</v>
      </c>
      <c r="X1256">
        <v>85</v>
      </c>
      <c r="Y1256">
        <v>4</v>
      </c>
      <c r="Z1256">
        <v>4</v>
      </c>
      <c r="AA1256">
        <v>5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80</v>
      </c>
      <c r="AM1256">
        <v>53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70</v>
      </c>
      <c r="AU1256">
        <v>0</v>
      </c>
      <c r="AV1256">
        <v>0</v>
      </c>
    </row>
    <row r="1257" spans="1:48" x14ac:dyDescent="0.15">
      <c r="A1257" s="4" t="str">
        <f>HYPERLINK("https://ibp.a2mac1.com/costing(costing:projects/details/9760/equipment/12213375)","Manufacturing Equipment")</f>
        <v>Manufacturing Equipment</v>
      </c>
      <c r="B1257">
        <v>12213375</v>
      </c>
      <c r="C1257">
        <v>12086242</v>
      </c>
      <c r="E1257" t="s">
        <v>1596</v>
      </c>
      <c r="H1257" t="s">
        <v>162</v>
      </c>
      <c r="I1257">
        <v>373962.17573865002</v>
      </c>
      <c r="J1257">
        <v>0</v>
      </c>
      <c r="K1257">
        <v>3.3919999999999999</v>
      </c>
      <c r="L1257">
        <v>0</v>
      </c>
      <c r="M1257">
        <v>85.594214069133713</v>
      </c>
      <c r="N1257">
        <v>0</v>
      </c>
      <c r="O1257">
        <v>1.2958845129213971E-2</v>
      </c>
      <c r="P1257">
        <v>6.2550033383333334E-4</v>
      </c>
      <c r="Q1257">
        <v>4.4169504331110178E-3</v>
      </c>
      <c r="R1257">
        <v>2750000.0039900001</v>
      </c>
      <c r="S1257">
        <v>0</v>
      </c>
      <c r="T1257">
        <v>0</v>
      </c>
      <c r="V1257">
        <v>5400</v>
      </c>
      <c r="W1257">
        <v>10</v>
      </c>
      <c r="X1257">
        <v>85</v>
      </c>
      <c r="Y1257">
        <v>4</v>
      </c>
      <c r="Z1257">
        <v>4</v>
      </c>
      <c r="AA1257">
        <v>5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80</v>
      </c>
      <c r="AM1257">
        <v>53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70</v>
      </c>
      <c r="AU1257">
        <v>0</v>
      </c>
      <c r="AV1257">
        <v>0</v>
      </c>
    </row>
    <row r="1258" spans="1:48" x14ac:dyDescent="0.15">
      <c r="A1258" s="4" t="str">
        <f>HYPERLINK("https://ibp.a2mac1.com/costing(costing:projects/details/9760/equipment/12213376)","Manufacturing Equipment")</f>
        <v>Manufacturing Equipment</v>
      </c>
      <c r="B1258">
        <v>12213376</v>
      </c>
      <c r="C1258">
        <v>12086243</v>
      </c>
      <c r="E1258" t="s">
        <v>1596</v>
      </c>
      <c r="H1258" t="s">
        <v>162</v>
      </c>
      <c r="I1258">
        <v>373962.17573865002</v>
      </c>
      <c r="J1258">
        <v>0</v>
      </c>
      <c r="K1258">
        <v>3.3919999999999999</v>
      </c>
      <c r="L1258">
        <v>0</v>
      </c>
      <c r="M1258">
        <v>85.594214069133713</v>
      </c>
      <c r="N1258">
        <v>0</v>
      </c>
      <c r="O1258">
        <v>4.4971913357040101E-2</v>
      </c>
      <c r="P1258">
        <v>2.1707140210000002E-3</v>
      </c>
      <c r="Q1258">
        <v>4.4169504331110178E-3</v>
      </c>
      <c r="R1258">
        <v>2750000.0039900001</v>
      </c>
      <c r="S1258">
        <v>0</v>
      </c>
      <c r="T1258">
        <v>0</v>
      </c>
      <c r="V1258">
        <v>5400</v>
      </c>
      <c r="W1258">
        <v>10</v>
      </c>
      <c r="X1258">
        <v>85</v>
      </c>
      <c r="Y1258">
        <v>4</v>
      </c>
      <c r="Z1258">
        <v>4</v>
      </c>
      <c r="AA1258">
        <v>5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80</v>
      </c>
      <c r="AM1258">
        <v>53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70</v>
      </c>
      <c r="AU1258">
        <v>0</v>
      </c>
      <c r="AV1258">
        <v>0</v>
      </c>
    </row>
    <row r="1259" spans="1:48" x14ac:dyDescent="0.15">
      <c r="A1259" s="4" t="str">
        <f>HYPERLINK("https://ibp.a2mac1.com/costing(costing:projects/details/9760/equipment/12213377)","Manufacturing Equipment")</f>
        <v>Manufacturing Equipment</v>
      </c>
      <c r="B1259">
        <v>12213377</v>
      </c>
      <c r="C1259">
        <v>12086244</v>
      </c>
      <c r="E1259" t="s">
        <v>1596</v>
      </c>
      <c r="H1259" t="s">
        <v>162</v>
      </c>
      <c r="I1259">
        <v>373962.17573865002</v>
      </c>
      <c r="J1259">
        <v>0</v>
      </c>
      <c r="K1259">
        <v>3.3919999999999999</v>
      </c>
      <c r="L1259">
        <v>0</v>
      </c>
      <c r="M1259">
        <v>85.594214069133713</v>
      </c>
      <c r="N1259">
        <v>0</v>
      </c>
      <c r="O1259">
        <v>1.2958845129213971E-2</v>
      </c>
      <c r="P1259">
        <v>6.2550033383333334E-4</v>
      </c>
      <c r="Q1259">
        <v>4.4169504331110178E-3</v>
      </c>
      <c r="R1259">
        <v>2750000.0039900001</v>
      </c>
      <c r="S1259">
        <v>0</v>
      </c>
      <c r="T1259">
        <v>0</v>
      </c>
      <c r="V1259">
        <v>5400</v>
      </c>
      <c r="W1259">
        <v>10</v>
      </c>
      <c r="X1259">
        <v>85</v>
      </c>
      <c r="Y1259">
        <v>4</v>
      </c>
      <c r="Z1259">
        <v>4</v>
      </c>
      <c r="AA1259">
        <v>5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80</v>
      </c>
      <c r="AM1259">
        <v>53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70</v>
      </c>
      <c r="AU1259">
        <v>0</v>
      </c>
      <c r="AV1259">
        <v>0</v>
      </c>
    </row>
    <row r="1260" spans="1:48" x14ac:dyDescent="0.15">
      <c r="A1260" s="4" t="str">
        <f>HYPERLINK("https://ibp.a2mac1.com/costing(costing:projects/details/9760/equipment/12213378)","Manufacturing Equipment")</f>
        <v>Manufacturing Equipment</v>
      </c>
      <c r="B1260">
        <v>12213378</v>
      </c>
      <c r="C1260">
        <v>12086245</v>
      </c>
      <c r="E1260" t="s">
        <v>1596</v>
      </c>
      <c r="H1260" t="s">
        <v>162</v>
      </c>
      <c r="I1260">
        <v>373962.17573865002</v>
      </c>
      <c r="J1260">
        <v>0</v>
      </c>
      <c r="K1260">
        <v>3.3919999999999999</v>
      </c>
      <c r="L1260">
        <v>0</v>
      </c>
      <c r="M1260">
        <v>85.594214069133713</v>
      </c>
      <c r="N1260">
        <v>0</v>
      </c>
      <c r="O1260">
        <v>4.4971913357040101E-2</v>
      </c>
      <c r="P1260">
        <v>2.1707140210000002E-3</v>
      </c>
      <c r="Q1260">
        <v>4.4169504331110178E-3</v>
      </c>
      <c r="R1260">
        <v>2750000.0039900001</v>
      </c>
      <c r="S1260">
        <v>0</v>
      </c>
      <c r="T1260">
        <v>0</v>
      </c>
      <c r="V1260">
        <v>5400</v>
      </c>
      <c r="W1260">
        <v>10</v>
      </c>
      <c r="X1260">
        <v>85</v>
      </c>
      <c r="Y1260">
        <v>4</v>
      </c>
      <c r="Z1260">
        <v>4</v>
      </c>
      <c r="AA1260">
        <v>5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80</v>
      </c>
      <c r="AM1260">
        <v>53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70</v>
      </c>
      <c r="AU1260">
        <v>0</v>
      </c>
      <c r="AV1260">
        <v>0</v>
      </c>
    </row>
    <row r="1261" spans="1:48" x14ac:dyDescent="0.15">
      <c r="A1261" s="4" t="str">
        <f>HYPERLINK("https://ibp.a2mac1.com/costing(costing:projects/details/9760/equipment/12213379)","Manufacturing Equipment")</f>
        <v>Manufacturing Equipment</v>
      </c>
      <c r="B1261">
        <v>12213379</v>
      </c>
      <c r="C1261">
        <v>12086246</v>
      </c>
      <c r="E1261" t="s">
        <v>1596</v>
      </c>
      <c r="H1261" t="s">
        <v>162</v>
      </c>
      <c r="I1261">
        <v>373962.17573865002</v>
      </c>
      <c r="J1261">
        <v>0</v>
      </c>
      <c r="K1261">
        <v>3.3919999999999999</v>
      </c>
      <c r="L1261">
        <v>0</v>
      </c>
      <c r="M1261">
        <v>85.594214069133713</v>
      </c>
      <c r="N1261">
        <v>0</v>
      </c>
      <c r="O1261">
        <v>1.2958845129213971E-2</v>
      </c>
      <c r="P1261">
        <v>6.2550033383333334E-4</v>
      </c>
      <c r="Q1261">
        <v>4.4169504331110178E-3</v>
      </c>
      <c r="R1261">
        <v>2750000.0039900001</v>
      </c>
      <c r="S1261">
        <v>0</v>
      </c>
      <c r="T1261">
        <v>0</v>
      </c>
      <c r="V1261">
        <v>5400</v>
      </c>
      <c r="W1261">
        <v>10</v>
      </c>
      <c r="X1261">
        <v>85</v>
      </c>
      <c r="Y1261">
        <v>4</v>
      </c>
      <c r="Z1261">
        <v>4</v>
      </c>
      <c r="AA1261">
        <v>5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80</v>
      </c>
      <c r="AM1261">
        <v>53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70</v>
      </c>
      <c r="AU1261">
        <v>0</v>
      </c>
      <c r="AV1261">
        <v>0</v>
      </c>
    </row>
    <row r="1262" spans="1:48" x14ac:dyDescent="0.15">
      <c r="A1262" s="4" t="str">
        <f>HYPERLINK("https://ibp.a2mac1.com/costing(costing:projects/details/9760/equipment/12213380)","Manufacturing Equipment")</f>
        <v>Manufacturing Equipment</v>
      </c>
      <c r="B1262">
        <v>12213380</v>
      </c>
      <c r="C1262">
        <v>12086247</v>
      </c>
      <c r="E1262" t="s">
        <v>1596</v>
      </c>
      <c r="H1262" t="s">
        <v>162</v>
      </c>
      <c r="I1262">
        <v>373962.17573865002</v>
      </c>
      <c r="J1262">
        <v>0</v>
      </c>
      <c r="K1262">
        <v>3.3919999999999999</v>
      </c>
      <c r="L1262">
        <v>0</v>
      </c>
      <c r="M1262">
        <v>85.594214069133713</v>
      </c>
      <c r="N1262">
        <v>0</v>
      </c>
      <c r="O1262">
        <v>1.2958845129213971E-2</v>
      </c>
      <c r="P1262">
        <v>6.2550033383333334E-4</v>
      </c>
      <c r="Q1262">
        <v>4.4169504331110178E-3</v>
      </c>
      <c r="R1262">
        <v>2750000.0039900001</v>
      </c>
      <c r="S1262">
        <v>0</v>
      </c>
      <c r="T1262">
        <v>0</v>
      </c>
      <c r="V1262">
        <v>5400</v>
      </c>
      <c r="W1262">
        <v>10</v>
      </c>
      <c r="X1262">
        <v>85</v>
      </c>
      <c r="Y1262">
        <v>4</v>
      </c>
      <c r="Z1262">
        <v>4</v>
      </c>
      <c r="AA1262">
        <v>5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80</v>
      </c>
      <c r="AM1262">
        <v>53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70</v>
      </c>
      <c r="AU1262">
        <v>0</v>
      </c>
      <c r="AV1262">
        <v>0</v>
      </c>
    </row>
    <row r="1263" spans="1:48" x14ac:dyDescent="0.15">
      <c r="A1263" s="4" t="str">
        <f>HYPERLINK("https://ibp.a2mac1.com/costing(costing:projects/details/9760/equipment/12213381)","Manufacturing Equipment")</f>
        <v>Manufacturing Equipment</v>
      </c>
      <c r="B1263">
        <v>12213381</v>
      </c>
      <c r="C1263">
        <v>12086248</v>
      </c>
      <c r="E1263" t="s">
        <v>1596</v>
      </c>
      <c r="H1263" t="s">
        <v>162</v>
      </c>
      <c r="I1263">
        <v>373962.17573865002</v>
      </c>
      <c r="J1263">
        <v>0</v>
      </c>
      <c r="K1263">
        <v>3.3919999999999999</v>
      </c>
      <c r="L1263">
        <v>0</v>
      </c>
      <c r="M1263">
        <v>85.594214069133713</v>
      </c>
      <c r="N1263">
        <v>0</v>
      </c>
      <c r="O1263">
        <v>0.15984553044216698</v>
      </c>
      <c r="P1263">
        <v>7.7154585656666668E-3</v>
      </c>
      <c r="Q1263">
        <v>4.4169504331110178E-3</v>
      </c>
      <c r="R1263">
        <v>2750000.0039900001</v>
      </c>
      <c r="S1263">
        <v>0</v>
      </c>
      <c r="T1263">
        <v>0</v>
      </c>
      <c r="V1263">
        <v>5400</v>
      </c>
      <c r="W1263">
        <v>10</v>
      </c>
      <c r="X1263">
        <v>85</v>
      </c>
      <c r="Y1263">
        <v>4</v>
      </c>
      <c r="Z1263">
        <v>4</v>
      </c>
      <c r="AA1263">
        <v>5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80</v>
      </c>
      <c r="AM1263">
        <v>53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70</v>
      </c>
      <c r="AU1263">
        <v>0</v>
      </c>
      <c r="AV1263">
        <v>0</v>
      </c>
    </row>
    <row r="1264" spans="1:48" x14ac:dyDescent="0.15">
      <c r="A1264" s="4" t="str">
        <f>HYPERLINK("https://ibp.a2mac1.com/costing(costing:projects/details/9760/equipment/12213382)","Manufacturing Equipment")</f>
        <v>Manufacturing Equipment</v>
      </c>
      <c r="B1264">
        <v>12213382</v>
      </c>
      <c r="C1264">
        <v>12086249</v>
      </c>
      <c r="E1264" t="s">
        <v>1596</v>
      </c>
      <c r="H1264" t="s">
        <v>162</v>
      </c>
      <c r="I1264">
        <v>373962.17573865002</v>
      </c>
      <c r="J1264">
        <v>0</v>
      </c>
      <c r="K1264">
        <v>3.3919999999999999</v>
      </c>
      <c r="L1264">
        <v>0</v>
      </c>
      <c r="M1264">
        <v>85.594214069133713</v>
      </c>
      <c r="N1264">
        <v>0</v>
      </c>
      <c r="O1264">
        <v>2.0976050966169956E-2</v>
      </c>
      <c r="P1264">
        <v>1.0124765556666668E-3</v>
      </c>
      <c r="Q1264">
        <v>4.4169504331110178E-3</v>
      </c>
      <c r="R1264">
        <v>2750000.0039900001</v>
      </c>
      <c r="S1264">
        <v>0</v>
      </c>
      <c r="T1264">
        <v>0</v>
      </c>
      <c r="V1264">
        <v>5400</v>
      </c>
      <c r="W1264">
        <v>10</v>
      </c>
      <c r="X1264">
        <v>85</v>
      </c>
      <c r="Y1264">
        <v>4</v>
      </c>
      <c r="Z1264">
        <v>4</v>
      </c>
      <c r="AA1264">
        <v>5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80</v>
      </c>
      <c r="AM1264">
        <v>53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70</v>
      </c>
      <c r="AU1264">
        <v>0</v>
      </c>
      <c r="AV1264">
        <v>0</v>
      </c>
    </row>
    <row r="1265" spans="1:48" x14ac:dyDescent="0.15">
      <c r="A1265" s="4" t="str">
        <f>HYPERLINK("https://ibp.a2mac1.com/costing(costing:projects/details/9760/equipment/12213383)","Manufacturing Equipment")</f>
        <v>Manufacturing Equipment</v>
      </c>
      <c r="B1265">
        <v>12213383</v>
      </c>
      <c r="C1265">
        <v>12086250</v>
      </c>
      <c r="E1265" t="s">
        <v>1596</v>
      </c>
      <c r="H1265" t="s">
        <v>162</v>
      </c>
      <c r="I1265">
        <v>373962.17573865002</v>
      </c>
      <c r="J1265">
        <v>0</v>
      </c>
      <c r="K1265">
        <v>3.3919999999999999</v>
      </c>
      <c r="L1265">
        <v>0</v>
      </c>
      <c r="M1265">
        <v>85.594214069133713</v>
      </c>
      <c r="N1265">
        <v>0</v>
      </c>
      <c r="O1265">
        <v>4.4971913357040101E-2</v>
      </c>
      <c r="P1265">
        <v>2.1707140210000002E-3</v>
      </c>
      <c r="Q1265">
        <v>4.4169504331110178E-3</v>
      </c>
      <c r="R1265">
        <v>2750000.0039900001</v>
      </c>
      <c r="S1265">
        <v>0</v>
      </c>
      <c r="T1265">
        <v>0</v>
      </c>
      <c r="V1265">
        <v>5400</v>
      </c>
      <c r="W1265">
        <v>10</v>
      </c>
      <c r="X1265">
        <v>85</v>
      </c>
      <c r="Y1265">
        <v>4</v>
      </c>
      <c r="Z1265">
        <v>4</v>
      </c>
      <c r="AA1265">
        <v>5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80</v>
      </c>
      <c r="AM1265">
        <v>53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70</v>
      </c>
      <c r="AU1265">
        <v>0</v>
      </c>
      <c r="AV1265">
        <v>0</v>
      </c>
    </row>
    <row r="1266" spans="1:48" x14ac:dyDescent="0.15">
      <c r="A1266" s="4" t="str">
        <f>HYPERLINK("https://ibp.a2mac1.com/costing(costing:projects/details/9760/equipment/12213384)","Manufacturing Equipment")</f>
        <v>Manufacturing Equipment</v>
      </c>
      <c r="B1266">
        <v>12213384</v>
      </c>
      <c r="C1266">
        <v>12086251</v>
      </c>
      <c r="E1266" t="s">
        <v>1596</v>
      </c>
      <c r="H1266" t="s">
        <v>162</v>
      </c>
      <c r="I1266">
        <v>373962.17573865002</v>
      </c>
      <c r="J1266">
        <v>0</v>
      </c>
      <c r="K1266">
        <v>3.3919999999999999</v>
      </c>
      <c r="L1266">
        <v>0</v>
      </c>
      <c r="M1266">
        <v>85.594214069133713</v>
      </c>
      <c r="N1266">
        <v>0</v>
      </c>
      <c r="O1266">
        <v>3.4792740329721246E-2</v>
      </c>
      <c r="P1266">
        <v>1.6793835001666668E-3</v>
      </c>
      <c r="Q1266">
        <v>4.4169504331110178E-3</v>
      </c>
      <c r="R1266">
        <v>2750000.0039900001</v>
      </c>
      <c r="S1266">
        <v>0</v>
      </c>
      <c r="T1266">
        <v>0</v>
      </c>
      <c r="V1266">
        <v>5400</v>
      </c>
      <c r="W1266">
        <v>10</v>
      </c>
      <c r="X1266">
        <v>85</v>
      </c>
      <c r="Y1266">
        <v>4</v>
      </c>
      <c r="Z1266">
        <v>4</v>
      </c>
      <c r="AA1266">
        <v>5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80</v>
      </c>
      <c r="AM1266">
        <v>53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70</v>
      </c>
      <c r="AU1266">
        <v>0</v>
      </c>
      <c r="AV1266">
        <v>0</v>
      </c>
    </row>
    <row r="1267" spans="1:48" x14ac:dyDescent="0.15">
      <c r="A1267" s="4" t="str">
        <f>HYPERLINK("https://ibp.a2mac1.com/costing(costing:projects/details/9760/equipment/12213385)","Manufacturing Equipment")</f>
        <v>Manufacturing Equipment</v>
      </c>
      <c r="B1267">
        <v>12213385</v>
      </c>
      <c r="C1267">
        <v>12086252</v>
      </c>
      <c r="E1267" t="s">
        <v>1596</v>
      </c>
      <c r="H1267" t="s">
        <v>162</v>
      </c>
      <c r="I1267">
        <v>373962.17573865002</v>
      </c>
      <c r="J1267">
        <v>0</v>
      </c>
      <c r="K1267">
        <v>3.3919999999999999</v>
      </c>
      <c r="L1267">
        <v>0</v>
      </c>
      <c r="M1267">
        <v>85.594214069133713</v>
      </c>
      <c r="N1267">
        <v>0</v>
      </c>
      <c r="O1267">
        <v>3.9961323170115311E-2</v>
      </c>
      <c r="P1267">
        <v>1.9288617723333334E-3</v>
      </c>
      <c r="Q1267">
        <v>4.4169504331110178E-3</v>
      </c>
      <c r="R1267">
        <v>2750000.0039900001</v>
      </c>
      <c r="S1267">
        <v>0</v>
      </c>
      <c r="T1267">
        <v>0</v>
      </c>
      <c r="V1267">
        <v>5400</v>
      </c>
      <c r="W1267">
        <v>10</v>
      </c>
      <c r="X1267">
        <v>85</v>
      </c>
      <c r="Y1267">
        <v>4</v>
      </c>
      <c r="Z1267">
        <v>4</v>
      </c>
      <c r="AA1267">
        <v>5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80</v>
      </c>
      <c r="AM1267">
        <v>53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70</v>
      </c>
      <c r="AU1267">
        <v>0</v>
      </c>
      <c r="AV1267">
        <v>0</v>
      </c>
    </row>
    <row r="1268" spans="1:48" x14ac:dyDescent="0.15">
      <c r="A1268" s="4" t="str">
        <f>HYPERLINK("https://ibp.a2mac1.com/costing(costing:projects/details/9760/equipment/12213386)","Manufacturing Equipment")</f>
        <v>Manufacturing Equipment</v>
      </c>
      <c r="B1268">
        <v>12213386</v>
      </c>
      <c r="C1268">
        <v>12086253</v>
      </c>
      <c r="E1268" t="s">
        <v>1596</v>
      </c>
      <c r="H1268" t="s">
        <v>162</v>
      </c>
      <c r="I1268">
        <v>373962.17573865002</v>
      </c>
      <c r="J1268">
        <v>0</v>
      </c>
      <c r="K1268">
        <v>3.3919999999999999</v>
      </c>
      <c r="L1268">
        <v>0</v>
      </c>
      <c r="M1268">
        <v>85.594214069133713</v>
      </c>
      <c r="N1268">
        <v>0</v>
      </c>
      <c r="O1268">
        <v>2.0976050966169956E-2</v>
      </c>
      <c r="P1268">
        <v>1.0124765556666668E-3</v>
      </c>
      <c r="Q1268">
        <v>4.4169504331110178E-3</v>
      </c>
      <c r="R1268">
        <v>2750000.0039900001</v>
      </c>
      <c r="S1268">
        <v>0</v>
      </c>
      <c r="T1268">
        <v>0</v>
      </c>
      <c r="V1268">
        <v>5400</v>
      </c>
      <c r="W1268">
        <v>10</v>
      </c>
      <c r="X1268">
        <v>85</v>
      </c>
      <c r="Y1268">
        <v>4</v>
      </c>
      <c r="Z1268">
        <v>4</v>
      </c>
      <c r="AA1268">
        <v>5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80</v>
      </c>
      <c r="AM1268">
        <v>53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70</v>
      </c>
      <c r="AU1268">
        <v>0</v>
      </c>
      <c r="AV1268">
        <v>0</v>
      </c>
    </row>
    <row r="1269" spans="1:48" x14ac:dyDescent="0.15">
      <c r="A1269" s="4" t="str">
        <f>HYPERLINK("https://ibp.a2mac1.com/costing(costing:projects/details/9760/equipment/12213387)","Manufacturing Equipment")</f>
        <v>Manufacturing Equipment</v>
      </c>
      <c r="B1269">
        <v>12213387</v>
      </c>
      <c r="C1269">
        <v>12086254</v>
      </c>
      <c r="E1269" t="s">
        <v>1596</v>
      </c>
      <c r="H1269" t="s">
        <v>162</v>
      </c>
      <c r="I1269">
        <v>373962.17573865002</v>
      </c>
      <c r="J1269">
        <v>0</v>
      </c>
      <c r="K1269">
        <v>3.3919999999999999</v>
      </c>
      <c r="L1269">
        <v>0</v>
      </c>
      <c r="M1269">
        <v>85.594214069133713</v>
      </c>
      <c r="N1269">
        <v>0</v>
      </c>
      <c r="O1269">
        <v>1.2958845129213971E-2</v>
      </c>
      <c r="P1269">
        <v>6.2550033383333334E-4</v>
      </c>
      <c r="Q1269">
        <v>4.4169504331110178E-3</v>
      </c>
      <c r="R1269">
        <v>2750000.0039900001</v>
      </c>
      <c r="S1269">
        <v>0</v>
      </c>
      <c r="T1269">
        <v>0</v>
      </c>
      <c r="V1269">
        <v>5400</v>
      </c>
      <c r="W1269">
        <v>10</v>
      </c>
      <c r="X1269">
        <v>85</v>
      </c>
      <c r="Y1269">
        <v>4</v>
      </c>
      <c r="Z1269">
        <v>4</v>
      </c>
      <c r="AA1269">
        <v>5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80</v>
      </c>
      <c r="AM1269">
        <v>53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70</v>
      </c>
      <c r="AU1269">
        <v>0</v>
      </c>
      <c r="AV1269">
        <v>0</v>
      </c>
    </row>
    <row r="1270" spans="1:48" x14ac:dyDescent="0.15">
      <c r="A1270" s="4" t="str">
        <f>HYPERLINK("https://ibp.a2mac1.com/costing(costing:projects/details/9760/equipment/12213388)","Manufacturing Equipment")</f>
        <v>Manufacturing Equipment</v>
      </c>
      <c r="B1270">
        <v>12213388</v>
      </c>
      <c r="C1270">
        <v>12086255</v>
      </c>
      <c r="E1270" t="s">
        <v>1596</v>
      </c>
      <c r="H1270" t="s">
        <v>162</v>
      </c>
      <c r="I1270">
        <v>373962.17573865002</v>
      </c>
      <c r="J1270">
        <v>0</v>
      </c>
      <c r="K1270">
        <v>3.3919999999999999</v>
      </c>
      <c r="L1270">
        <v>0</v>
      </c>
      <c r="M1270">
        <v>85.594214069133713</v>
      </c>
      <c r="N1270">
        <v>0</v>
      </c>
      <c r="O1270">
        <v>1.2958845129213971E-2</v>
      </c>
      <c r="P1270">
        <v>6.2550033383333334E-4</v>
      </c>
      <c r="Q1270">
        <v>4.4169504331110178E-3</v>
      </c>
      <c r="R1270">
        <v>2750000.0039900001</v>
      </c>
      <c r="S1270">
        <v>0</v>
      </c>
      <c r="T1270">
        <v>0</v>
      </c>
      <c r="V1270">
        <v>5400</v>
      </c>
      <c r="W1270">
        <v>10</v>
      </c>
      <c r="X1270">
        <v>85</v>
      </c>
      <c r="Y1270">
        <v>4</v>
      </c>
      <c r="Z1270">
        <v>4</v>
      </c>
      <c r="AA1270">
        <v>5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80</v>
      </c>
      <c r="AM1270">
        <v>53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70</v>
      </c>
      <c r="AU1270">
        <v>0</v>
      </c>
      <c r="AV1270">
        <v>0</v>
      </c>
    </row>
    <row r="1271" spans="1:48" x14ac:dyDescent="0.15">
      <c r="A1271" s="4" t="str">
        <f>HYPERLINK("https://ibp.a2mac1.com/costing(costing:projects/details/9760/equipment/12213389)","Manufacturing Equipment")</f>
        <v>Manufacturing Equipment</v>
      </c>
      <c r="B1271">
        <v>12213389</v>
      </c>
      <c r="C1271">
        <v>12086256</v>
      </c>
      <c r="E1271" t="s">
        <v>1596</v>
      </c>
      <c r="H1271" t="s">
        <v>162</v>
      </c>
      <c r="I1271">
        <v>373962.17573865002</v>
      </c>
      <c r="J1271">
        <v>0</v>
      </c>
      <c r="K1271">
        <v>3.3919999999999999</v>
      </c>
      <c r="L1271">
        <v>0</v>
      </c>
      <c r="M1271">
        <v>85.594214069133713</v>
      </c>
      <c r="N1271">
        <v>0</v>
      </c>
      <c r="O1271">
        <v>1.2958845129213971E-2</v>
      </c>
      <c r="P1271">
        <v>6.2550033383333334E-4</v>
      </c>
      <c r="Q1271">
        <v>4.4169504331110178E-3</v>
      </c>
      <c r="R1271">
        <v>2750000.0039900001</v>
      </c>
      <c r="S1271">
        <v>0</v>
      </c>
      <c r="T1271">
        <v>0</v>
      </c>
      <c r="V1271">
        <v>5400</v>
      </c>
      <c r="W1271">
        <v>10</v>
      </c>
      <c r="X1271">
        <v>85</v>
      </c>
      <c r="Y1271">
        <v>4</v>
      </c>
      <c r="Z1271">
        <v>4</v>
      </c>
      <c r="AA1271">
        <v>5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80</v>
      </c>
      <c r="AM1271">
        <v>53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70</v>
      </c>
      <c r="AU1271">
        <v>0</v>
      </c>
      <c r="AV1271">
        <v>0</v>
      </c>
    </row>
    <row r="1272" spans="1:48" x14ac:dyDescent="0.15">
      <c r="A1272" s="4" t="str">
        <f>HYPERLINK("https://ibp.a2mac1.com/costing(costing:projects/details/9760/equipment/12213597)","Manufacturing Equipment")</f>
        <v>Manufacturing Equipment</v>
      </c>
      <c r="B1272">
        <v>12213597</v>
      </c>
      <c r="C1272">
        <v>12086452</v>
      </c>
      <c r="E1272" t="s">
        <v>1596</v>
      </c>
      <c r="H1272" t="s">
        <v>162</v>
      </c>
      <c r="I1272">
        <v>373962.17573865002</v>
      </c>
      <c r="J1272">
        <v>0</v>
      </c>
      <c r="K1272">
        <v>3.3919999999999999</v>
      </c>
      <c r="L1272">
        <v>0</v>
      </c>
      <c r="M1272">
        <v>85.594214069133713</v>
      </c>
      <c r="N1272">
        <v>0</v>
      </c>
      <c r="O1272">
        <v>0.15984553044216698</v>
      </c>
      <c r="P1272">
        <v>7.7154585656666668E-3</v>
      </c>
      <c r="Q1272">
        <v>4.4169504331110178E-3</v>
      </c>
      <c r="R1272">
        <v>2750000.0039900001</v>
      </c>
      <c r="S1272">
        <v>0</v>
      </c>
      <c r="T1272">
        <v>0</v>
      </c>
      <c r="V1272">
        <v>5400</v>
      </c>
      <c r="W1272">
        <v>10</v>
      </c>
      <c r="X1272">
        <v>85</v>
      </c>
      <c r="Y1272">
        <v>4</v>
      </c>
      <c r="Z1272">
        <v>4</v>
      </c>
      <c r="AA1272">
        <v>5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80</v>
      </c>
      <c r="AM1272">
        <v>53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70</v>
      </c>
      <c r="AU1272">
        <v>0</v>
      </c>
      <c r="AV1272">
        <v>0</v>
      </c>
    </row>
    <row r="1273" spans="1:48" x14ac:dyDescent="0.15">
      <c r="A1273" s="4" t="str">
        <f>HYPERLINK("https://ibp.a2mac1.com/costing(costing:projects/details/9760/equipment/12213598)","Manufacturing Equipment")</f>
        <v>Manufacturing Equipment</v>
      </c>
      <c r="B1273">
        <v>12213598</v>
      </c>
      <c r="C1273">
        <v>12086453</v>
      </c>
      <c r="E1273" t="s">
        <v>1596</v>
      </c>
      <c r="H1273" t="s">
        <v>162</v>
      </c>
      <c r="I1273">
        <v>373962.17573865002</v>
      </c>
      <c r="J1273">
        <v>0</v>
      </c>
      <c r="K1273">
        <v>3.3919999999999999</v>
      </c>
      <c r="L1273">
        <v>0</v>
      </c>
      <c r="M1273">
        <v>85.594214069133713</v>
      </c>
      <c r="N1273">
        <v>0</v>
      </c>
      <c r="O1273">
        <v>2.4442497755116997E-2</v>
      </c>
      <c r="P1273">
        <v>1.1797957575E-3</v>
      </c>
      <c r="Q1273">
        <v>4.4169504331110178E-3</v>
      </c>
      <c r="R1273">
        <v>2750000.0039900001</v>
      </c>
      <c r="S1273">
        <v>0</v>
      </c>
      <c r="T1273">
        <v>0</v>
      </c>
      <c r="V1273">
        <v>5400</v>
      </c>
      <c r="W1273">
        <v>10</v>
      </c>
      <c r="X1273">
        <v>85</v>
      </c>
      <c r="Y1273">
        <v>4</v>
      </c>
      <c r="Z1273">
        <v>4</v>
      </c>
      <c r="AA1273">
        <v>5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80</v>
      </c>
      <c r="AM1273">
        <v>53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70</v>
      </c>
      <c r="AU1273">
        <v>0</v>
      </c>
      <c r="AV1273">
        <v>0</v>
      </c>
    </row>
    <row r="1274" spans="1:48" x14ac:dyDescent="0.15">
      <c r="A1274" s="4" t="str">
        <f>HYPERLINK("https://ibp.a2mac1.com/costing(costing:projects/details/9760/equipment/12213599)","Manufacturing Equipment")</f>
        <v>Manufacturing Equipment</v>
      </c>
      <c r="B1274">
        <v>12213599</v>
      </c>
      <c r="C1274">
        <v>12086454</v>
      </c>
      <c r="E1274" t="s">
        <v>1596</v>
      </c>
      <c r="H1274" t="s">
        <v>162</v>
      </c>
      <c r="I1274">
        <v>373962.17573865002</v>
      </c>
      <c r="J1274">
        <v>0</v>
      </c>
      <c r="K1274">
        <v>3.3919999999999999</v>
      </c>
      <c r="L1274">
        <v>0</v>
      </c>
      <c r="M1274">
        <v>85.594214069133713</v>
      </c>
      <c r="N1274">
        <v>0</v>
      </c>
      <c r="O1274">
        <v>10.698642648172486</v>
      </c>
      <c r="P1274">
        <v>0.51640439261899995</v>
      </c>
      <c r="Q1274">
        <v>4.4169504331110178E-3</v>
      </c>
      <c r="R1274">
        <v>2750000.0039900001</v>
      </c>
      <c r="S1274">
        <v>0</v>
      </c>
      <c r="T1274">
        <v>0</v>
      </c>
      <c r="V1274">
        <v>5400</v>
      </c>
      <c r="W1274">
        <v>10</v>
      </c>
      <c r="X1274">
        <v>85</v>
      </c>
      <c r="Y1274">
        <v>4</v>
      </c>
      <c r="Z1274">
        <v>4</v>
      </c>
      <c r="AA1274">
        <v>5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80</v>
      </c>
      <c r="AM1274">
        <v>53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70</v>
      </c>
      <c r="AU1274">
        <v>0</v>
      </c>
      <c r="AV1274">
        <v>0</v>
      </c>
    </row>
    <row r="1275" spans="1:48" x14ac:dyDescent="0.15">
      <c r="A1275" s="4" t="str">
        <f>HYPERLINK("https://ibp.a2mac1.com/costing(costing:projects/details/9760/equipment/12213390)","Manufacturing Equipment")</f>
        <v>Manufacturing Equipment</v>
      </c>
      <c r="B1275">
        <v>12213390</v>
      </c>
      <c r="C1275">
        <v>12086257</v>
      </c>
      <c r="E1275" t="s">
        <v>1596</v>
      </c>
      <c r="H1275" t="s">
        <v>162</v>
      </c>
      <c r="I1275">
        <v>373962.17573865002</v>
      </c>
      <c r="J1275">
        <v>0</v>
      </c>
      <c r="K1275">
        <v>3.3919999999999999</v>
      </c>
      <c r="L1275">
        <v>0</v>
      </c>
      <c r="M1275">
        <v>85.594214069133713</v>
      </c>
      <c r="N1275">
        <v>0</v>
      </c>
      <c r="O1275">
        <v>0.25042025784244842</v>
      </c>
      <c r="P1275">
        <v>1.2087339058166667E-2</v>
      </c>
      <c r="Q1275">
        <v>4.4169504331110178E-3</v>
      </c>
      <c r="R1275">
        <v>2750000.0039900001</v>
      </c>
      <c r="S1275">
        <v>0</v>
      </c>
      <c r="T1275">
        <v>0</v>
      </c>
      <c r="V1275">
        <v>5400</v>
      </c>
      <c r="W1275">
        <v>10</v>
      </c>
      <c r="X1275">
        <v>85</v>
      </c>
      <c r="Y1275">
        <v>4</v>
      </c>
      <c r="Z1275">
        <v>4</v>
      </c>
      <c r="AA1275">
        <v>5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80</v>
      </c>
      <c r="AM1275">
        <v>53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70</v>
      </c>
      <c r="AU1275">
        <v>0</v>
      </c>
      <c r="AV1275">
        <v>0</v>
      </c>
    </row>
    <row r="1276" spans="1:48" x14ac:dyDescent="0.15">
      <c r="A1276" s="4" t="str">
        <f>HYPERLINK("https://ibp.a2mac1.com/costing(costing:projects/details/9760/equipment/12213391)","Manufacturing Equipment")</f>
        <v>Manufacturing Equipment</v>
      </c>
      <c r="B1276">
        <v>12213391</v>
      </c>
      <c r="C1276">
        <v>12086258</v>
      </c>
      <c r="E1276" t="s">
        <v>1596</v>
      </c>
      <c r="H1276" t="s">
        <v>162</v>
      </c>
      <c r="I1276">
        <v>373962.17573865002</v>
      </c>
      <c r="J1276">
        <v>0</v>
      </c>
      <c r="K1276">
        <v>3.3919999999999999</v>
      </c>
      <c r="L1276">
        <v>0</v>
      </c>
      <c r="M1276">
        <v>85.594214069133713</v>
      </c>
      <c r="N1276">
        <v>0</v>
      </c>
      <c r="O1276">
        <v>0.28844132661281052</v>
      </c>
      <c r="P1276">
        <v>1.3922548212333333E-2</v>
      </c>
      <c r="Q1276">
        <v>4.4169504331110178E-3</v>
      </c>
      <c r="R1276">
        <v>2750000.0039900001</v>
      </c>
      <c r="S1276">
        <v>0</v>
      </c>
      <c r="T1276">
        <v>0</v>
      </c>
      <c r="V1276">
        <v>5400</v>
      </c>
      <c r="W1276">
        <v>10</v>
      </c>
      <c r="X1276">
        <v>85</v>
      </c>
      <c r="Y1276">
        <v>4</v>
      </c>
      <c r="Z1276">
        <v>4</v>
      </c>
      <c r="AA1276">
        <v>5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80</v>
      </c>
      <c r="AM1276">
        <v>53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70</v>
      </c>
      <c r="AU1276">
        <v>0</v>
      </c>
      <c r="AV1276">
        <v>0</v>
      </c>
    </row>
    <row r="1277" spans="1:48" x14ac:dyDescent="0.15">
      <c r="A1277" s="4" t="str">
        <f>HYPERLINK("https://ibp.a2mac1.com/costing(costing:projects/details/9760/equipment/12213392)","Manufacturing Equipment")</f>
        <v>Manufacturing Equipment</v>
      </c>
      <c r="B1277">
        <v>12213392</v>
      </c>
      <c r="C1277">
        <v>12086259</v>
      </c>
      <c r="E1277" t="s">
        <v>1596</v>
      </c>
      <c r="H1277" t="s">
        <v>162</v>
      </c>
      <c r="I1277">
        <v>373962.17573865002</v>
      </c>
      <c r="J1277">
        <v>0</v>
      </c>
      <c r="K1277">
        <v>3.3919999999999999</v>
      </c>
      <c r="L1277">
        <v>0</v>
      </c>
      <c r="M1277">
        <v>85.594214069133713</v>
      </c>
      <c r="N1277">
        <v>0</v>
      </c>
      <c r="O1277">
        <v>0.1798876534281604</v>
      </c>
      <c r="P1277">
        <v>8.6828560840000006E-3</v>
      </c>
      <c r="Q1277">
        <v>4.4169504331110178E-3</v>
      </c>
      <c r="R1277">
        <v>2750000.0039900001</v>
      </c>
      <c r="S1277">
        <v>0</v>
      </c>
      <c r="T1277">
        <v>0</v>
      </c>
      <c r="V1277">
        <v>5400</v>
      </c>
      <c r="W1277">
        <v>10</v>
      </c>
      <c r="X1277">
        <v>85</v>
      </c>
      <c r="Y1277">
        <v>4</v>
      </c>
      <c r="Z1277">
        <v>4</v>
      </c>
      <c r="AA1277">
        <v>5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80</v>
      </c>
      <c r="AM1277">
        <v>53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70</v>
      </c>
      <c r="AU1277">
        <v>0</v>
      </c>
      <c r="AV1277">
        <v>0</v>
      </c>
    </row>
    <row r="1278" spans="1:48" x14ac:dyDescent="0.15">
      <c r="A1278" s="4" t="str">
        <f>HYPERLINK("https://ibp.a2mac1.com/costing(costing:projects/details/9760/equipment/12213393)","Manufacturing Equipment")</f>
        <v>Manufacturing Equipment</v>
      </c>
      <c r="B1278">
        <v>12213393</v>
      </c>
      <c r="C1278">
        <v>12086260</v>
      </c>
      <c r="E1278" t="s">
        <v>1596</v>
      </c>
      <c r="H1278" t="s">
        <v>162</v>
      </c>
      <c r="I1278">
        <v>373962.17627729999</v>
      </c>
      <c r="J1278">
        <v>0</v>
      </c>
      <c r="K1278">
        <v>3.3919999999999999</v>
      </c>
      <c r="L1278">
        <v>0</v>
      </c>
      <c r="M1278">
        <v>85.594214187769211</v>
      </c>
      <c r="N1278">
        <v>0</v>
      </c>
      <c r="O1278">
        <v>0.17988765367748868</v>
      </c>
      <c r="P1278">
        <v>8.6828560840000006E-3</v>
      </c>
      <c r="Q1278">
        <v>8.833900876899229E-3</v>
      </c>
      <c r="R1278">
        <v>2750000.0079800002</v>
      </c>
      <c r="S1278">
        <v>0</v>
      </c>
      <c r="T1278">
        <v>0</v>
      </c>
      <c r="V1278">
        <v>5400</v>
      </c>
      <c r="W1278">
        <v>10</v>
      </c>
      <c r="X1278">
        <v>85</v>
      </c>
      <c r="Y1278">
        <v>4</v>
      </c>
      <c r="Z1278">
        <v>4</v>
      </c>
      <c r="AA1278">
        <v>5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80</v>
      </c>
      <c r="AM1278">
        <v>53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70</v>
      </c>
      <c r="AU1278">
        <v>0</v>
      </c>
      <c r="AV1278">
        <v>0</v>
      </c>
    </row>
    <row r="1279" spans="1:48" x14ac:dyDescent="0.15">
      <c r="A1279" s="4" t="str">
        <f>HYPERLINK("https://ibp.a2mac1.com/costing(costing:projects/details/9760/equipment/12213394)","Manufacturing Equipment")</f>
        <v>Manufacturing Equipment</v>
      </c>
      <c r="B1279">
        <v>12213394</v>
      </c>
      <c r="C1279">
        <v>12086261</v>
      </c>
      <c r="E1279" t="s">
        <v>1596</v>
      </c>
      <c r="H1279" t="s">
        <v>162</v>
      </c>
      <c r="I1279">
        <v>373962.17573865002</v>
      </c>
      <c r="J1279">
        <v>0</v>
      </c>
      <c r="K1279">
        <v>3.3919999999999999</v>
      </c>
      <c r="L1279">
        <v>0</v>
      </c>
      <c r="M1279">
        <v>85.594214069133713</v>
      </c>
      <c r="N1279">
        <v>0</v>
      </c>
      <c r="O1279">
        <v>0.25042025784244842</v>
      </c>
      <c r="P1279">
        <v>1.2087339058166667E-2</v>
      </c>
      <c r="Q1279">
        <v>4.4169504331110178E-3</v>
      </c>
      <c r="R1279">
        <v>2750000.0039900001</v>
      </c>
      <c r="S1279">
        <v>0</v>
      </c>
      <c r="T1279">
        <v>0</v>
      </c>
      <c r="V1279">
        <v>5400</v>
      </c>
      <c r="W1279">
        <v>10</v>
      </c>
      <c r="X1279">
        <v>85</v>
      </c>
      <c r="Y1279">
        <v>4</v>
      </c>
      <c r="Z1279">
        <v>4</v>
      </c>
      <c r="AA1279">
        <v>5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80</v>
      </c>
      <c r="AM1279">
        <v>53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70</v>
      </c>
      <c r="AU1279">
        <v>0</v>
      </c>
      <c r="AV1279">
        <v>0</v>
      </c>
    </row>
    <row r="1280" spans="1:48" x14ac:dyDescent="0.15">
      <c r="A1280" s="4" t="str">
        <f>HYPERLINK("https://ibp.a2mac1.com/costing(costing:projects/details/9760/equipment/12213395)","Manufacturing Equipment")</f>
        <v>Manufacturing Equipment</v>
      </c>
      <c r="B1280">
        <v>12213395</v>
      </c>
      <c r="C1280">
        <v>12086262</v>
      </c>
      <c r="E1280" t="s">
        <v>1596</v>
      </c>
      <c r="H1280" t="s">
        <v>162</v>
      </c>
      <c r="I1280">
        <v>373962.17573865002</v>
      </c>
      <c r="J1280">
        <v>0</v>
      </c>
      <c r="K1280">
        <v>3.3919999999999999</v>
      </c>
      <c r="L1280">
        <v>0</v>
      </c>
      <c r="M1280">
        <v>85.594214069133713</v>
      </c>
      <c r="N1280">
        <v>0</v>
      </c>
      <c r="O1280">
        <v>2.0976050966169956E-2</v>
      </c>
      <c r="P1280">
        <v>1.0124765556666668E-3</v>
      </c>
      <c r="Q1280">
        <v>4.4169504331110178E-3</v>
      </c>
      <c r="R1280">
        <v>2750000.0039900001</v>
      </c>
      <c r="S1280">
        <v>0</v>
      </c>
      <c r="T1280">
        <v>0</v>
      </c>
      <c r="V1280">
        <v>5400</v>
      </c>
      <c r="W1280">
        <v>10</v>
      </c>
      <c r="X1280">
        <v>85</v>
      </c>
      <c r="Y1280">
        <v>4</v>
      </c>
      <c r="Z1280">
        <v>4</v>
      </c>
      <c r="AA1280">
        <v>5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80</v>
      </c>
      <c r="AM1280">
        <v>53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70</v>
      </c>
      <c r="AU1280">
        <v>0</v>
      </c>
      <c r="AV1280">
        <v>0</v>
      </c>
    </row>
    <row r="1281" spans="1:48" x14ac:dyDescent="0.15">
      <c r="A1281" s="4" t="str">
        <f>HYPERLINK("https://ibp.a2mac1.com/costing(costing:projects/details/9760/equipment/12213396)","Manufacturing Equipment")</f>
        <v>Manufacturing Equipment</v>
      </c>
      <c r="B1281">
        <v>12213396</v>
      </c>
      <c r="C1281">
        <v>12086263</v>
      </c>
      <c r="E1281" t="s">
        <v>1596</v>
      </c>
      <c r="H1281" t="s">
        <v>162</v>
      </c>
      <c r="I1281">
        <v>373962.17573865002</v>
      </c>
      <c r="J1281">
        <v>0</v>
      </c>
      <c r="K1281">
        <v>3.3919999999999999</v>
      </c>
      <c r="L1281">
        <v>0</v>
      </c>
      <c r="M1281">
        <v>85.594214069133713</v>
      </c>
      <c r="N1281">
        <v>0</v>
      </c>
      <c r="O1281">
        <v>2.0976050966169956E-2</v>
      </c>
      <c r="P1281">
        <v>1.0124765556666668E-3</v>
      </c>
      <c r="Q1281">
        <v>4.4169504331110178E-3</v>
      </c>
      <c r="R1281">
        <v>2750000.0039900001</v>
      </c>
      <c r="S1281">
        <v>0</v>
      </c>
      <c r="T1281">
        <v>0</v>
      </c>
      <c r="V1281">
        <v>5400</v>
      </c>
      <c r="W1281">
        <v>10</v>
      </c>
      <c r="X1281">
        <v>85</v>
      </c>
      <c r="Y1281">
        <v>4</v>
      </c>
      <c r="Z1281">
        <v>4</v>
      </c>
      <c r="AA1281">
        <v>5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80</v>
      </c>
      <c r="AM1281">
        <v>53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70</v>
      </c>
      <c r="AU1281">
        <v>0</v>
      </c>
      <c r="AV1281">
        <v>0</v>
      </c>
    </row>
    <row r="1282" spans="1:48" x14ac:dyDescent="0.15">
      <c r="A1282" s="4" t="str">
        <f>HYPERLINK("https://ibp.a2mac1.com/costing(costing:projects/details/9760/equipment/12213397)","Manufacturing Equipment")</f>
        <v>Manufacturing Equipment</v>
      </c>
      <c r="B1282">
        <v>12213397</v>
      </c>
      <c r="C1282">
        <v>12086264</v>
      </c>
      <c r="E1282" t="s">
        <v>1596</v>
      </c>
      <c r="H1282" t="s">
        <v>162</v>
      </c>
      <c r="I1282">
        <v>373962.17573865002</v>
      </c>
      <c r="J1282">
        <v>0</v>
      </c>
      <c r="K1282">
        <v>3.3919999999999999</v>
      </c>
      <c r="L1282">
        <v>0</v>
      </c>
      <c r="M1282">
        <v>85.594214069133713</v>
      </c>
      <c r="N1282">
        <v>0</v>
      </c>
      <c r="O1282">
        <v>3.4792740329721246E-2</v>
      </c>
      <c r="P1282">
        <v>1.6793835001666668E-3</v>
      </c>
      <c r="Q1282">
        <v>4.4169504331110178E-3</v>
      </c>
      <c r="R1282">
        <v>2750000.0039900001</v>
      </c>
      <c r="S1282">
        <v>0</v>
      </c>
      <c r="T1282">
        <v>0</v>
      </c>
      <c r="V1282">
        <v>5400</v>
      </c>
      <c r="W1282">
        <v>10</v>
      </c>
      <c r="X1282">
        <v>85</v>
      </c>
      <c r="Y1282">
        <v>4</v>
      </c>
      <c r="Z1282">
        <v>4</v>
      </c>
      <c r="AA1282">
        <v>5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80</v>
      </c>
      <c r="AM1282">
        <v>53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70</v>
      </c>
      <c r="AU1282">
        <v>0</v>
      </c>
      <c r="AV1282">
        <v>0</v>
      </c>
    </row>
    <row r="1283" spans="1:48" x14ac:dyDescent="0.15">
      <c r="A1283" s="4" t="str">
        <f>HYPERLINK("https://ibp.a2mac1.com/costing(costing:projects/details/9760/equipment/12213398)","Manufacturing Equipment")</f>
        <v>Manufacturing Equipment</v>
      </c>
      <c r="B1283">
        <v>12213398</v>
      </c>
      <c r="C1283">
        <v>12086265</v>
      </c>
      <c r="E1283" t="s">
        <v>1596</v>
      </c>
      <c r="H1283" t="s">
        <v>162</v>
      </c>
      <c r="I1283">
        <v>373962.17573865002</v>
      </c>
      <c r="J1283">
        <v>0</v>
      </c>
      <c r="K1283">
        <v>3.3919999999999999</v>
      </c>
      <c r="L1283">
        <v>0</v>
      </c>
      <c r="M1283">
        <v>85.594214069133713</v>
      </c>
      <c r="N1283">
        <v>0</v>
      </c>
      <c r="O1283">
        <v>3.4792740329721246E-2</v>
      </c>
      <c r="P1283">
        <v>1.6793835001666668E-3</v>
      </c>
      <c r="Q1283">
        <v>4.4169504331110178E-3</v>
      </c>
      <c r="R1283">
        <v>2750000.0039900001</v>
      </c>
      <c r="S1283">
        <v>0</v>
      </c>
      <c r="T1283">
        <v>0</v>
      </c>
      <c r="V1283">
        <v>5400</v>
      </c>
      <c r="W1283">
        <v>10</v>
      </c>
      <c r="X1283">
        <v>85</v>
      </c>
      <c r="Y1283">
        <v>4</v>
      </c>
      <c r="Z1283">
        <v>4</v>
      </c>
      <c r="AA1283">
        <v>5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80</v>
      </c>
      <c r="AM1283">
        <v>53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70</v>
      </c>
      <c r="AU1283">
        <v>0</v>
      </c>
      <c r="AV1283">
        <v>0</v>
      </c>
    </row>
    <row r="1284" spans="1:48" x14ac:dyDescent="0.15">
      <c r="A1284" s="4" t="str">
        <f>HYPERLINK("https://ibp.a2mac1.com/costing(costing:projects/details/9760/equipment/12213399)","Manufacturing Equipment")</f>
        <v>Manufacturing Equipment</v>
      </c>
      <c r="B1284">
        <v>12213399</v>
      </c>
      <c r="C1284">
        <v>12086266</v>
      </c>
      <c r="E1284" t="s">
        <v>1596</v>
      </c>
      <c r="H1284" t="s">
        <v>162</v>
      </c>
      <c r="I1284">
        <v>373962.17573865002</v>
      </c>
      <c r="J1284">
        <v>0</v>
      </c>
      <c r="K1284">
        <v>3.3919999999999999</v>
      </c>
      <c r="L1284">
        <v>0</v>
      </c>
      <c r="M1284">
        <v>85.594214069133713</v>
      </c>
      <c r="N1284">
        <v>0</v>
      </c>
      <c r="O1284">
        <v>2.0976050966169956E-2</v>
      </c>
      <c r="P1284">
        <v>1.0124765556666668E-3</v>
      </c>
      <c r="Q1284">
        <v>4.4169504331110178E-3</v>
      </c>
      <c r="R1284">
        <v>2750000.0039900001</v>
      </c>
      <c r="S1284">
        <v>0</v>
      </c>
      <c r="T1284">
        <v>0</v>
      </c>
      <c r="V1284">
        <v>5400</v>
      </c>
      <c r="W1284">
        <v>10</v>
      </c>
      <c r="X1284">
        <v>85</v>
      </c>
      <c r="Y1284">
        <v>4</v>
      </c>
      <c r="Z1284">
        <v>4</v>
      </c>
      <c r="AA1284">
        <v>5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80</v>
      </c>
      <c r="AM1284">
        <v>53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70</v>
      </c>
      <c r="AU1284">
        <v>0</v>
      </c>
      <c r="AV1284">
        <v>0</v>
      </c>
    </row>
    <row r="1285" spans="1:48" x14ac:dyDescent="0.15">
      <c r="A1285" s="4" t="str">
        <f>HYPERLINK("https://ibp.a2mac1.com/costing(costing:projects/details/9760/equipment/12213400)","Manufacturing Equipment")</f>
        <v>Manufacturing Equipment</v>
      </c>
      <c r="B1285">
        <v>12213400</v>
      </c>
      <c r="C1285">
        <v>12086267</v>
      </c>
      <c r="E1285" t="s">
        <v>1596</v>
      </c>
      <c r="H1285" t="s">
        <v>162</v>
      </c>
      <c r="I1285">
        <v>373962.17573865002</v>
      </c>
      <c r="J1285">
        <v>0</v>
      </c>
      <c r="K1285">
        <v>3.3919999999999999</v>
      </c>
      <c r="L1285">
        <v>0</v>
      </c>
      <c r="M1285">
        <v>85.594214069133713</v>
      </c>
      <c r="N1285">
        <v>0</v>
      </c>
      <c r="O1285">
        <v>4.4971913357040101E-2</v>
      </c>
      <c r="P1285">
        <v>2.1707140210000002E-3</v>
      </c>
      <c r="Q1285">
        <v>4.4169504331110178E-3</v>
      </c>
      <c r="R1285">
        <v>2750000.0039900001</v>
      </c>
      <c r="S1285">
        <v>0</v>
      </c>
      <c r="T1285">
        <v>0</v>
      </c>
      <c r="V1285">
        <v>5400</v>
      </c>
      <c r="W1285">
        <v>10</v>
      </c>
      <c r="X1285">
        <v>85</v>
      </c>
      <c r="Y1285">
        <v>4</v>
      </c>
      <c r="Z1285">
        <v>4</v>
      </c>
      <c r="AA1285">
        <v>5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80</v>
      </c>
      <c r="AM1285">
        <v>53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70</v>
      </c>
      <c r="AU1285">
        <v>0</v>
      </c>
      <c r="AV1285">
        <v>0</v>
      </c>
    </row>
    <row r="1286" spans="1:48" x14ac:dyDescent="0.15">
      <c r="A1286" s="4" t="str">
        <f>HYPERLINK("https://ibp.a2mac1.com/costing(costing:projects/details/9760/equipment/12213401)","Manufacturing Equipment")</f>
        <v>Manufacturing Equipment</v>
      </c>
      <c r="B1286">
        <v>12213401</v>
      </c>
      <c r="C1286">
        <v>12086268</v>
      </c>
      <c r="E1286" t="s">
        <v>1596</v>
      </c>
      <c r="H1286" t="s">
        <v>162</v>
      </c>
      <c r="I1286">
        <v>373962.17573865002</v>
      </c>
      <c r="J1286">
        <v>0</v>
      </c>
      <c r="K1286">
        <v>3.3919999999999999</v>
      </c>
      <c r="L1286">
        <v>0</v>
      </c>
      <c r="M1286">
        <v>85.594214069133713</v>
      </c>
      <c r="N1286">
        <v>0</v>
      </c>
      <c r="O1286">
        <v>4.4971913357040101E-2</v>
      </c>
      <c r="P1286">
        <v>2.1707140210000002E-3</v>
      </c>
      <c r="Q1286">
        <v>4.4169504331110178E-3</v>
      </c>
      <c r="R1286">
        <v>2750000.0039900001</v>
      </c>
      <c r="S1286">
        <v>0</v>
      </c>
      <c r="T1286">
        <v>0</v>
      </c>
      <c r="V1286">
        <v>5400</v>
      </c>
      <c r="W1286">
        <v>10</v>
      </c>
      <c r="X1286">
        <v>85</v>
      </c>
      <c r="Y1286">
        <v>4</v>
      </c>
      <c r="Z1286">
        <v>4</v>
      </c>
      <c r="AA1286">
        <v>5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80</v>
      </c>
      <c r="AM1286">
        <v>53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70</v>
      </c>
      <c r="AU1286">
        <v>0</v>
      </c>
      <c r="AV1286">
        <v>0</v>
      </c>
    </row>
    <row r="1287" spans="1:48" x14ac:dyDescent="0.15">
      <c r="A1287" s="4" t="str">
        <f>HYPERLINK("https://ibp.a2mac1.com/costing(costing:projects/details/9760/equipment/12213402)","Manufacturing Equipment")</f>
        <v>Manufacturing Equipment</v>
      </c>
      <c r="B1287">
        <v>12213402</v>
      </c>
      <c r="C1287">
        <v>12086269</v>
      </c>
      <c r="E1287" t="s">
        <v>1596</v>
      </c>
      <c r="H1287" t="s">
        <v>162</v>
      </c>
      <c r="I1287">
        <v>373962.17573865002</v>
      </c>
      <c r="J1287">
        <v>0</v>
      </c>
      <c r="K1287">
        <v>3.3919999999999999</v>
      </c>
      <c r="L1287">
        <v>0</v>
      </c>
      <c r="M1287">
        <v>85.594214069133713</v>
      </c>
      <c r="N1287">
        <v>0</v>
      </c>
      <c r="O1287">
        <v>3.4792740329721246E-2</v>
      </c>
      <c r="P1287">
        <v>1.6793835001666668E-3</v>
      </c>
      <c r="Q1287">
        <v>4.4169504331110178E-3</v>
      </c>
      <c r="R1287">
        <v>2750000.0039900001</v>
      </c>
      <c r="S1287">
        <v>0</v>
      </c>
      <c r="T1287">
        <v>0</v>
      </c>
      <c r="V1287">
        <v>5400</v>
      </c>
      <c r="W1287">
        <v>10</v>
      </c>
      <c r="X1287">
        <v>85</v>
      </c>
      <c r="Y1287">
        <v>4</v>
      </c>
      <c r="Z1287">
        <v>4</v>
      </c>
      <c r="AA1287">
        <v>5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80</v>
      </c>
      <c r="AM1287">
        <v>53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70</v>
      </c>
      <c r="AU1287">
        <v>0</v>
      </c>
      <c r="AV1287">
        <v>0</v>
      </c>
    </row>
    <row r="1288" spans="1:48" x14ac:dyDescent="0.15">
      <c r="A1288" s="4" t="str">
        <f>HYPERLINK("https://ibp.a2mac1.com/costing(costing:projects/details/9760/equipment/12213403)","Manufacturing Equipment")</f>
        <v>Manufacturing Equipment</v>
      </c>
      <c r="B1288">
        <v>12213403</v>
      </c>
      <c r="C1288">
        <v>12086270</v>
      </c>
      <c r="E1288" t="s">
        <v>1596</v>
      </c>
      <c r="H1288" t="s">
        <v>162</v>
      </c>
      <c r="I1288">
        <v>373962.17573865002</v>
      </c>
      <c r="J1288">
        <v>0</v>
      </c>
      <c r="K1288">
        <v>3.3919999999999999</v>
      </c>
      <c r="L1288">
        <v>0</v>
      </c>
      <c r="M1288">
        <v>85.594214069133713</v>
      </c>
      <c r="N1288">
        <v>0</v>
      </c>
      <c r="O1288">
        <v>2.0976050966169956E-2</v>
      </c>
      <c r="P1288">
        <v>1.0124765556666668E-3</v>
      </c>
      <c r="Q1288">
        <v>4.4169504331110178E-3</v>
      </c>
      <c r="R1288">
        <v>2750000.0039900001</v>
      </c>
      <c r="S1288">
        <v>0</v>
      </c>
      <c r="T1288">
        <v>0</v>
      </c>
      <c r="V1288">
        <v>5400</v>
      </c>
      <c r="W1288">
        <v>10</v>
      </c>
      <c r="X1288">
        <v>85</v>
      </c>
      <c r="Y1288">
        <v>4</v>
      </c>
      <c r="Z1288">
        <v>4</v>
      </c>
      <c r="AA1288">
        <v>5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80</v>
      </c>
      <c r="AM1288">
        <v>53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70</v>
      </c>
      <c r="AU1288">
        <v>0</v>
      </c>
      <c r="AV1288">
        <v>0</v>
      </c>
    </row>
    <row r="1289" spans="1:48" x14ac:dyDescent="0.15">
      <c r="A1289" s="4" t="str">
        <f>HYPERLINK("https://ibp.a2mac1.com/costing(costing:projects/details/9760/equipment/12213404)","Manufacturing Equipment")</f>
        <v>Manufacturing Equipment</v>
      </c>
      <c r="B1289">
        <v>12213404</v>
      </c>
      <c r="C1289">
        <v>12086271</v>
      </c>
      <c r="E1289" t="s">
        <v>1596</v>
      </c>
      <c r="H1289" t="s">
        <v>162</v>
      </c>
      <c r="I1289">
        <v>373962.17573865002</v>
      </c>
      <c r="J1289">
        <v>0</v>
      </c>
      <c r="K1289">
        <v>3.3919999999999999</v>
      </c>
      <c r="L1289">
        <v>0</v>
      </c>
      <c r="M1289">
        <v>85.594214069133713</v>
      </c>
      <c r="N1289">
        <v>0</v>
      </c>
      <c r="O1289">
        <v>2.4442497755116997E-2</v>
      </c>
      <c r="P1289">
        <v>1.1797957575E-3</v>
      </c>
      <c r="Q1289">
        <v>4.4169504331110178E-3</v>
      </c>
      <c r="R1289">
        <v>2750000.0039900001</v>
      </c>
      <c r="S1289">
        <v>0</v>
      </c>
      <c r="T1289">
        <v>0</v>
      </c>
      <c r="V1289">
        <v>5400</v>
      </c>
      <c r="W1289">
        <v>10</v>
      </c>
      <c r="X1289">
        <v>85</v>
      </c>
      <c r="Y1289">
        <v>4</v>
      </c>
      <c r="Z1289">
        <v>4</v>
      </c>
      <c r="AA1289">
        <v>5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80</v>
      </c>
      <c r="AM1289">
        <v>53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70</v>
      </c>
      <c r="AU1289">
        <v>0</v>
      </c>
      <c r="AV1289">
        <v>0</v>
      </c>
    </row>
    <row r="1290" spans="1:48" x14ac:dyDescent="0.15">
      <c r="A1290" s="4" t="str">
        <f>HYPERLINK("https://ibp.a2mac1.com/costing(costing:projects/details/9760/equipment/12213405)","Manufacturing Equipment")</f>
        <v>Manufacturing Equipment</v>
      </c>
      <c r="B1290">
        <v>12213405</v>
      </c>
      <c r="C1290">
        <v>12086272</v>
      </c>
      <c r="E1290" t="s">
        <v>1596</v>
      </c>
      <c r="H1290" t="s">
        <v>162</v>
      </c>
      <c r="I1290">
        <v>373962.17573865002</v>
      </c>
      <c r="J1290">
        <v>0</v>
      </c>
      <c r="K1290">
        <v>3.3919999999999999</v>
      </c>
      <c r="L1290">
        <v>0</v>
      </c>
      <c r="M1290">
        <v>85.594214069133713</v>
      </c>
      <c r="N1290">
        <v>0</v>
      </c>
      <c r="O1290">
        <v>2.4442497755116997E-2</v>
      </c>
      <c r="P1290">
        <v>1.1797957575E-3</v>
      </c>
      <c r="Q1290">
        <v>4.4169504331110178E-3</v>
      </c>
      <c r="R1290">
        <v>2750000.0039900001</v>
      </c>
      <c r="S1290">
        <v>0</v>
      </c>
      <c r="T1290">
        <v>0</v>
      </c>
      <c r="V1290">
        <v>5400</v>
      </c>
      <c r="W1290">
        <v>10</v>
      </c>
      <c r="X1290">
        <v>85</v>
      </c>
      <c r="Y1290">
        <v>4</v>
      </c>
      <c r="Z1290">
        <v>4</v>
      </c>
      <c r="AA1290">
        <v>5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80</v>
      </c>
      <c r="AM1290">
        <v>53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70</v>
      </c>
      <c r="AU1290">
        <v>0</v>
      </c>
      <c r="AV1290">
        <v>0</v>
      </c>
    </row>
    <row r="1291" spans="1:48" x14ac:dyDescent="0.15">
      <c r="A1291" s="4" t="str">
        <f>HYPERLINK("https://ibp.a2mac1.com/costing(costing:projects/details/9760/equipment/12213406)","Manufacturing Equipment")</f>
        <v>Manufacturing Equipment</v>
      </c>
      <c r="B1291">
        <v>12213406</v>
      </c>
      <c r="C1291">
        <v>12086273</v>
      </c>
      <c r="E1291" t="s">
        <v>1596</v>
      </c>
      <c r="H1291" t="s">
        <v>162</v>
      </c>
      <c r="I1291">
        <v>373962.17573865002</v>
      </c>
      <c r="J1291">
        <v>0</v>
      </c>
      <c r="K1291">
        <v>3.3919999999999999</v>
      </c>
      <c r="L1291">
        <v>0</v>
      </c>
      <c r="M1291">
        <v>85.594214069133713</v>
      </c>
      <c r="N1291">
        <v>0</v>
      </c>
      <c r="O1291">
        <v>3.479167040204538E-2</v>
      </c>
      <c r="P1291">
        <v>1.6793318566666667E-3</v>
      </c>
      <c r="Q1291">
        <v>4.4169504331110178E-3</v>
      </c>
      <c r="R1291">
        <v>2750000.0039900001</v>
      </c>
      <c r="S1291">
        <v>0</v>
      </c>
      <c r="T1291">
        <v>0</v>
      </c>
      <c r="V1291">
        <v>5400</v>
      </c>
      <c r="W1291">
        <v>10</v>
      </c>
      <c r="X1291">
        <v>85</v>
      </c>
      <c r="Y1291">
        <v>4</v>
      </c>
      <c r="Z1291">
        <v>4</v>
      </c>
      <c r="AA1291">
        <v>5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80</v>
      </c>
      <c r="AM1291">
        <v>53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70</v>
      </c>
      <c r="AU1291">
        <v>0</v>
      </c>
      <c r="AV1291">
        <v>0</v>
      </c>
    </row>
    <row r="1292" spans="1:48" x14ac:dyDescent="0.15">
      <c r="A1292" s="4" t="str">
        <f>HYPERLINK("https://ibp.a2mac1.com/costing(costing:projects/details/9760/equipment/12213407)","Manufacturing Equipment")</f>
        <v>Manufacturing Equipment</v>
      </c>
      <c r="B1292">
        <v>12213407</v>
      </c>
      <c r="C1292">
        <v>12086274</v>
      </c>
      <c r="E1292" t="s">
        <v>1596</v>
      </c>
      <c r="H1292" t="s">
        <v>162</v>
      </c>
      <c r="I1292">
        <v>373962.17573865002</v>
      </c>
      <c r="J1292">
        <v>0</v>
      </c>
      <c r="K1292">
        <v>3.3919999999999999</v>
      </c>
      <c r="L1292">
        <v>0</v>
      </c>
      <c r="M1292">
        <v>85.594214069133713</v>
      </c>
      <c r="N1292">
        <v>0</v>
      </c>
      <c r="O1292">
        <v>3.4792740329721246E-2</v>
      </c>
      <c r="P1292">
        <v>1.6793835001666668E-3</v>
      </c>
      <c r="Q1292">
        <v>4.4169504331110178E-3</v>
      </c>
      <c r="R1292">
        <v>2750000.0039900001</v>
      </c>
      <c r="S1292">
        <v>0</v>
      </c>
      <c r="T1292">
        <v>0</v>
      </c>
      <c r="V1292">
        <v>5400</v>
      </c>
      <c r="W1292">
        <v>10</v>
      </c>
      <c r="X1292">
        <v>85</v>
      </c>
      <c r="Y1292">
        <v>4</v>
      </c>
      <c r="Z1292">
        <v>4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80</v>
      </c>
      <c r="AM1292">
        <v>53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70</v>
      </c>
      <c r="AU1292">
        <v>0</v>
      </c>
      <c r="AV1292">
        <v>0</v>
      </c>
    </row>
    <row r="1293" spans="1:48" x14ac:dyDescent="0.15">
      <c r="A1293" s="4" t="str">
        <f>HYPERLINK("https://ibp.a2mac1.com/costing(costing:projects/details/9760/equipment/12213484)","Manufacturing Equipment")</f>
        <v>Manufacturing Equipment</v>
      </c>
      <c r="B1293">
        <v>12213484</v>
      </c>
      <c r="C1293">
        <v>12086275</v>
      </c>
      <c r="E1293" t="s">
        <v>1596</v>
      </c>
      <c r="H1293" t="s">
        <v>162</v>
      </c>
      <c r="I1293">
        <v>373962.17573865002</v>
      </c>
      <c r="J1293">
        <v>0</v>
      </c>
      <c r="K1293">
        <v>3.3919999999999999</v>
      </c>
      <c r="L1293">
        <v>0</v>
      </c>
      <c r="M1293">
        <v>85.594214069133713</v>
      </c>
      <c r="N1293">
        <v>0</v>
      </c>
      <c r="O1293">
        <v>2.0976050966169956E-2</v>
      </c>
      <c r="P1293">
        <v>1.0124765556666668E-3</v>
      </c>
      <c r="Q1293">
        <v>4.4169504331110178E-3</v>
      </c>
      <c r="R1293">
        <v>2750000.0039900001</v>
      </c>
      <c r="S1293">
        <v>0</v>
      </c>
      <c r="T1293">
        <v>0</v>
      </c>
      <c r="V1293">
        <v>5400</v>
      </c>
      <c r="W1293">
        <v>10</v>
      </c>
      <c r="X1293">
        <v>85</v>
      </c>
      <c r="Y1293">
        <v>4</v>
      </c>
      <c r="Z1293">
        <v>4</v>
      </c>
      <c r="AA1293">
        <v>5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80</v>
      </c>
      <c r="AM1293">
        <v>53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70</v>
      </c>
      <c r="AU1293">
        <v>0</v>
      </c>
      <c r="AV1293">
        <v>0</v>
      </c>
    </row>
    <row r="1294" spans="1:48" x14ac:dyDescent="0.15">
      <c r="A1294" s="4" t="str">
        <f>HYPERLINK("https://ibp.a2mac1.com/costing(costing:projects/details/9760/equipment/12213485)","Manufacturing Equipment")</f>
        <v>Manufacturing Equipment</v>
      </c>
      <c r="B1294">
        <v>12213485</v>
      </c>
      <c r="C1294">
        <v>12086276</v>
      </c>
      <c r="E1294" t="s">
        <v>1596</v>
      </c>
      <c r="H1294" t="s">
        <v>162</v>
      </c>
      <c r="I1294">
        <v>373962.17573865002</v>
      </c>
      <c r="J1294">
        <v>0</v>
      </c>
      <c r="K1294">
        <v>3.3919999999999999</v>
      </c>
      <c r="L1294">
        <v>0</v>
      </c>
      <c r="M1294">
        <v>85.594214069133713</v>
      </c>
      <c r="N1294">
        <v>0</v>
      </c>
      <c r="O1294">
        <v>2.0976050966169956E-2</v>
      </c>
      <c r="P1294">
        <v>1.0124765556666668E-3</v>
      </c>
      <c r="Q1294">
        <v>4.4169504331110178E-3</v>
      </c>
      <c r="R1294">
        <v>2750000.0039900001</v>
      </c>
      <c r="S1294">
        <v>0</v>
      </c>
      <c r="T1294">
        <v>0</v>
      </c>
      <c r="V1294">
        <v>5400</v>
      </c>
      <c r="W1294">
        <v>10</v>
      </c>
      <c r="X1294">
        <v>85</v>
      </c>
      <c r="Y1294">
        <v>4</v>
      </c>
      <c r="Z1294">
        <v>4</v>
      </c>
      <c r="AA1294">
        <v>5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80</v>
      </c>
      <c r="AM1294">
        <v>53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70</v>
      </c>
      <c r="AU1294">
        <v>0</v>
      </c>
      <c r="AV1294">
        <v>0</v>
      </c>
    </row>
    <row r="1295" spans="1:48" x14ac:dyDescent="0.15">
      <c r="A1295" s="4" t="str">
        <f>HYPERLINK("https://ibp.a2mac1.com/costing(costing:projects/details/9760/equipment/12213486)","Manufacturing Equipment")</f>
        <v>Manufacturing Equipment</v>
      </c>
      <c r="B1295">
        <v>12213486</v>
      </c>
      <c r="C1295">
        <v>12086277</v>
      </c>
      <c r="E1295" t="s">
        <v>1596</v>
      </c>
      <c r="H1295" t="s">
        <v>162</v>
      </c>
      <c r="I1295">
        <v>373962.17573865002</v>
      </c>
      <c r="J1295">
        <v>0</v>
      </c>
      <c r="K1295">
        <v>3.3919999999999999</v>
      </c>
      <c r="L1295">
        <v>0</v>
      </c>
      <c r="M1295">
        <v>85.594214069133713</v>
      </c>
      <c r="N1295">
        <v>0</v>
      </c>
      <c r="O1295">
        <v>2.0651743999530237E-2</v>
      </c>
      <c r="P1295">
        <v>9.9682283699999998E-4</v>
      </c>
      <c r="Q1295">
        <v>4.4169504331110178E-3</v>
      </c>
      <c r="R1295">
        <v>2750000.0039900001</v>
      </c>
      <c r="S1295">
        <v>0</v>
      </c>
      <c r="T1295">
        <v>0</v>
      </c>
      <c r="V1295">
        <v>5400</v>
      </c>
      <c r="W1295">
        <v>10</v>
      </c>
      <c r="X1295">
        <v>85</v>
      </c>
      <c r="Y1295">
        <v>4</v>
      </c>
      <c r="Z1295">
        <v>4</v>
      </c>
      <c r="AA1295">
        <v>5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80</v>
      </c>
      <c r="AM1295">
        <v>53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70</v>
      </c>
      <c r="AU1295">
        <v>0</v>
      </c>
      <c r="AV1295">
        <v>0</v>
      </c>
    </row>
    <row r="1296" spans="1:48" x14ac:dyDescent="0.15">
      <c r="A1296" s="4" t="str">
        <f>HYPERLINK("https://ibp.a2mac1.com/costing(costing:projects/details/9760/equipment/12213487)","Manufacturing Equipment")</f>
        <v>Manufacturing Equipment</v>
      </c>
      <c r="B1296">
        <v>12213487</v>
      </c>
      <c r="C1296">
        <v>12086278</v>
      </c>
      <c r="E1296" t="s">
        <v>1596</v>
      </c>
      <c r="H1296" t="s">
        <v>162</v>
      </c>
      <c r="I1296">
        <v>373962.17573865002</v>
      </c>
      <c r="J1296">
        <v>0</v>
      </c>
      <c r="K1296">
        <v>3.3919999999999999</v>
      </c>
      <c r="L1296">
        <v>0</v>
      </c>
      <c r="M1296">
        <v>85.594214069133713</v>
      </c>
      <c r="N1296">
        <v>0</v>
      </c>
      <c r="O1296">
        <v>2.4442497755116997E-2</v>
      </c>
      <c r="P1296">
        <v>1.1797957575E-3</v>
      </c>
      <c r="Q1296">
        <v>4.4169504331110178E-3</v>
      </c>
      <c r="R1296">
        <v>2750000.0039900001</v>
      </c>
      <c r="S1296">
        <v>0</v>
      </c>
      <c r="T1296">
        <v>0</v>
      </c>
      <c r="V1296">
        <v>5400</v>
      </c>
      <c r="W1296">
        <v>10</v>
      </c>
      <c r="X1296">
        <v>85</v>
      </c>
      <c r="Y1296">
        <v>4</v>
      </c>
      <c r="Z1296">
        <v>4</v>
      </c>
      <c r="AA1296">
        <v>5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80</v>
      </c>
      <c r="AM1296">
        <v>53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70</v>
      </c>
      <c r="AU1296">
        <v>0</v>
      </c>
      <c r="AV1296">
        <v>0</v>
      </c>
    </row>
    <row r="1297" spans="1:48" x14ac:dyDescent="0.15">
      <c r="A1297" s="4" t="str">
        <f>HYPERLINK("https://ibp.a2mac1.com/costing(costing:projects/details/9760/equipment/12213488)","Manufacturing Equipment")</f>
        <v>Manufacturing Equipment</v>
      </c>
      <c r="B1297">
        <v>12213488</v>
      </c>
      <c r="C1297">
        <v>12086279</v>
      </c>
      <c r="E1297" t="s">
        <v>1596</v>
      </c>
      <c r="H1297" t="s">
        <v>162</v>
      </c>
      <c r="I1297">
        <v>373962.17573865002</v>
      </c>
      <c r="J1297">
        <v>0</v>
      </c>
      <c r="K1297">
        <v>3.3919999999999999</v>
      </c>
      <c r="L1297">
        <v>0</v>
      </c>
      <c r="M1297">
        <v>85.594214069133713</v>
      </c>
      <c r="N1297">
        <v>0</v>
      </c>
      <c r="O1297">
        <v>2.0976050966169956E-2</v>
      </c>
      <c r="P1297">
        <v>1.0124765556666668E-3</v>
      </c>
      <c r="Q1297">
        <v>4.4169504331110178E-3</v>
      </c>
      <c r="R1297">
        <v>2750000.0039900001</v>
      </c>
      <c r="S1297">
        <v>0</v>
      </c>
      <c r="T1297">
        <v>0</v>
      </c>
      <c r="V1297">
        <v>5400</v>
      </c>
      <c r="W1297">
        <v>10</v>
      </c>
      <c r="X1297">
        <v>85</v>
      </c>
      <c r="Y1297">
        <v>4</v>
      </c>
      <c r="Z1297">
        <v>4</v>
      </c>
      <c r="AA1297">
        <v>5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80</v>
      </c>
      <c r="AM1297">
        <v>53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70</v>
      </c>
      <c r="AU1297">
        <v>0</v>
      </c>
      <c r="AV1297">
        <v>0</v>
      </c>
    </row>
    <row r="1298" spans="1:48" x14ac:dyDescent="0.15">
      <c r="A1298" s="4" t="str">
        <f>HYPERLINK("https://ibp.a2mac1.com/costing(costing:projects/details/9760/equipment/12213489)","Manufacturing Equipment")</f>
        <v>Manufacturing Equipment</v>
      </c>
      <c r="B1298">
        <v>12213489</v>
      </c>
      <c r="C1298">
        <v>12086280</v>
      </c>
      <c r="E1298" t="s">
        <v>1596</v>
      </c>
      <c r="H1298" t="s">
        <v>162</v>
      </c>
      <c r="I1298">
        <v>373962.17627729999</v>
      </c>
      <c r="J1298">
        <v>0</v>
      </c>
      <c r="K1298">
        <v>3.3919999999999999</v>
      </c>
      <c r="L1298">
        <v>0</v>
      </c>
      <c r="M1298">
        <v>85.594214187769211</v>
      </c>
      <c r="N1298">
        <v>0</v>
      </c>
      <c r="O1298">
        <v>0.45207297508388539</v>
      </c>
      <c r="P1298">
        <v>2.182075591E-2</v>
      </c>
      <c r="Q1298">
        <v>8.833900876899229E-3</v>
      </c>
      <c r="R1298">
        <v>2750000.0079800002</v>
      </c>
      <c r="S1298">
        <v>0</v>
      </c>
      <c r="T1298">
        <v>0</v>
      </c>
      <c r="V1298">
        <v>5400</v>
      </c>
      <c r="W1298">
        <v>10</v>
      </c>
      <c r="X1298">
        <v>85</v>
      </c>
      <c r="Y1298">
        <v>4</v>
      </c>
      <c r="Z1298">
        <v>4</v>
      </c>
      <c r="AA1298">
        <v>5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80</v>
      </c>
      <c r="AM1298">
        <v>53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70</v>
      </c>
      <c r="AU1298">
        <v>0</v>
      </c>
      <c r="AV1298">
        <v>0</v>
      </c>
    </row>
    <row r="1299" spans="1:48" x14ac:dyDescent="0.15">
      <c r="A1299" s="4" t="str">
        <f>HYPERLINK("https://ibp.a2mac1.com/costing(costing:projects/details/9760/equipment/12213490)","Manufacturing Equipment")</f>
        <v>Manufacturing Equipment</v>
      </c>
      <c r="B1299">
        <v>12213490</v>
      </c>
      <c r="C1299">
        <v>12086281</v>
      </c>
      <c r="E1299" t="s">
        <v>1596</v>
      </c>
      <c r="H1299" t="s">
        <v>162</v>
      </c>
      <c r="I1299">
        <v>373962.17627729999</v>
      </c>
      <c r="J1299">
        <v>0</v>
      </c>
      <c r="K1299">
        <v>3.3919999999999999</v>
      </c>
      <c r="L1299">
        <v>0</v>
      </c>
      <c r="M1299">
        <v>85.594214187769211</v>
      </c>
      <c r="N1299">
        <v>0</v>
      </c>
      <c r="O1299">
        <v>0.45207297508388539</v>
      </c>
      <c r="P1299">
        <v>2.182075591E-2</v>
      </c>
      <c r="Q1299">
        <v>8.833900876899229E-3</v>
      </c>
      <c r="R1299">
        <v>2750000.0079800002</v>
      </c>
      <c r="S1299">
        <v>0</v>
      </c>
      <c r="T1299">
        <v>0</v>
      </c>
      <c r="V1299">
        <v>5400</v>
      </c>
      <c r="W1299">
        <v>10</v>
      </c>
      <c r="X1299">
        <v>85</v>
      </c>
      <c r="Y1299">
        <v>4</v>
      </c>
      <c r="Z1299">
        <v>4</v>
      </c>
      <c r="AA1299">
        <v>5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1</v>
      </c>
      <c r="AJ1299">
        <v>0</v>
      </c>
      <c r="AK1299">
        <v>0</v>
      </c>
      <c r="AL1299">
        <v>80</v>
      </c>
      <c r="AM1299">
        <v>53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70</v>
      </c>
      <c r="AU1299">
        <v>0</v>
      </c>
      <c r="AV1299">
        <v>0</v>
      </c>
    </row>
    <row r="1300" spans="1:48" x14ac:dyDescent="0.15">
      <c r="A1300" s="4" t="str">
        <f>HYPERLINK("https://ibp.a2mac1.com/costing(costing:projects/details/9760/equipment/12213491)","Manufacturing Equipment")</f>
        <v>Manufacturing Equipment</v>
      </c>
      <c r="B1300">
        <v>12213491</v>
      </c>
      <c r="C1300">
        <v>12086282</v>
      </c>
      <c r="E1300" t="s">
        <v>1596</v>
      </c>
      <c r="H1300" t="s">
        <v>162</v>
      </c>
      <c r="I1300">
        <v>373962.17573865002</v>
      </c>
      <c r="J1300">
        <v>0</v>
      </c>
      <c r="K1300">
        <v>3.3919999999999999</v>
      </c>
      <c r="L1300">
        <v>0</v>
      </c>
      <c r="M1300">
        <v>85.594214069133713</v>
      </c>
      <c r="N1300">
        <v>0</v>
      </c>
      <c r="O1300">
        <v>6.2605094180825327E-2</v>
      </c>
      <c r="P1300">
        <v>3.0218361990833331E-3</v>
      </c>
      <c r="Q1300">
        <v>4.4169504331110178E-3</v>
      </c>
      <c r="R1300">
        <v>2750000.0039900001</v>
      </c>
      <c r="S1300">
        <v>0</v>
      </c>
      <c r="T1300">
        <v>0</v>
      </c>
      <c r="V1300">
        <v>5400</v>
      </c>
      <c r="W1300">
        <v>10</v>
      </c>
      <c r="X1300">
        <v>85</v>
      </c>
      <c r="Y1300">
        <v>4</v>
      </c>
      <c r="Z1300">
        <v>4</v>
      </c>
      <c r="AA1300">
        <v>5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80</v>
      </c>
      <c r="AM1300">
        <v>53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70</v>
      </c>
      <c r="AU1300">
        <v>0</v>
      </c>
      <c r="AV1300">
        <v>0</v>
      </c>
    </row>
    <row r="1301" spans="1:48" x14ac:dyDescent="0.15">
      <c r="A1301" s="4" t="str">
        <f>HYPERLINK("https://ibp.a2mac1.com/costing(costing:projects/details/9760/equipment/12213492)","Manufacturing Equipment")</f>
        <v>Manufacturing Equipment</v>
      </c>
      <c r="B1301">
        <v>12213492</v>
      </c>
      <c r="C1301">
        <v>12086292</v>
      </c>
      <c r="E1301" t="s">
        <v>1596</v>
      </c>
      <c r="H1301" t="s">
        <v>162</v>
      </c>
      <c r="I1301">
        <v>373962.17573865002</v>
      </c>
      <c r="J1301">
        <v>0</v>
      </c>
      <c r="K1301">
        <v>3.3919999999999999</v>
      </c>
      <c r="L1301">
        <v>0</v>
      </c>
      <c r="M1301">
        <v>85.594214069133713</v>
      </c>
      <c r="N1301">
        <v>0</v>
      </c>
      <c r="O1301">
        <v>0.15984553044216698</v>
      </c>
      <c r="P1301">
        <v>7.7154585656666668E-3</v>
      </c>
      <c r="Q1301">
        <v>4.4169504331110178E-3</v>
      </c>
      <c r="R1301">
        <v>2750000.0039900001</v>
      </c>
      <c r="S1301">
        <v>0</v>
      </c>
      <c r="T1301">
        <v>0</v>
      </c>
      <c r="V1301">
        <v>5400</v>
      </c>
      <c r="W1301">
        <v>10</v>
      </c>
      <c r="X1301">
        <v>85</v>
      </c>
      <c r="Y1301">
        <v>4</v>
      </c>
      <c r="Z1301">
        <v>4</v>
      </c>
      <c r="AA1301">
        <v>5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80</v>
      </c>
      <c r="AM1301">
        <v>53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70</v>
      </c>
      <c r="AU1301">
        <v>0</v>
      </c>
      <c r="AV1301">
        <v>0</v>
      </c>
    </row>
    <row r="1302" spans="1:48" x14ac:dyDescent="0.15">
      <c r="A1302" s="4" t="str">
        <f>HYPERLINK("https://ibp.a2mac1.com/costing(costing:projects/details/9760/equipment/12213600)","Manufacturing Equipment")</f>
        <v>Manufacturing Equipment</v>
      </c>
      <c r="B1302">
        <v>12213600</v>
      </c>
      <c r="C1302">
        <v>12086455</v>
      </c>
      <c r="E1302" t="s">
        <v>1596</v>
      </c>
      <c r="H1302" t="s">
        <v>162</v>
      </c>
      <c r="I1302">
        <v>373962.17627729999</v>
      </c>
      <c r="J1302">
        <v>0</v>
      </c>
      <c r="K1302">
        <v>3.3919999999999999</v>
      </c>
      <c r="L1302">
        <v>0</v>
      </c>
      <c r="M1302">
        <v>85.594214187769211</v>
      </c>
      <c r="N1302">
        <v>0</v>
      </c>
      <c r="O1302">
        <v>0.2504202581895365</v>
      </c>
      <c r="P1302">
        <v>1.2087339058166667E-2</v>
      </c>
      <c r="Q1302">
        <v>8.833900876899229E-3</v>
      </c>
      <c r="R1302">
        <v>2750000.0079800002</v>
      </c>
      <c r="S1302">
        <v>0</v>
      </c>
      <c r="T1302">
        <v>0</v>
      </c>
      <c r="V1302">
        <v>5400</v>
      </c>
      <c r="W1302">
        <v>10</v>
      </c>
      <c r="X1302">
        <v>85</v>
      </c>
      <c r="Y1302">
        <v>4</v>
      </c>
      <c r="Z1302">
        <v>4</v>
      </c>
      <c r="AA1302">
        <v>5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80</v>
      </c>
      <c r="AM1302">
        <v>53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70</v>
      </c>
      <c r="AU1302">
        <v>0</v>
      </c>
      <c r="AV1302">
        <v>0</v>
      </c>
    </row>
    <row r="1303" spans="1:48" x14ac:dyDescent="0.15">
      <c r="A1303" s="4" t="str">
        <f>HYPERLINK("https://ibp.a2mac1.com/costing(costing:projects/details/9760/equipment/12213493)","Manufacturing Equipment")</f>
        <v>Manufacturing Equipment</v>
      </c>
      <c r="B1303">
        <v>12213493</v>
      </c>
      <c r="C1303">
        <v>12086293</v>
      </c>
      <c r="E1303" t="s">
        <v>1596</v>
      </c>
      <c r="H1303" t="s">
        <v>162</v>
      </c>
      <c r="I1303">
        <v>373962.17573865002</v>
      </c>
      <c r="J1303">
        <v>0</v>
      </c>
      <c r="K1303">
        <v>3.3919999999999999</v>
      </c>
      <c r="L1303">
        <v>0</v>
      </c>
      <c r="M1303">
        <v>85.594214069133713</v>
      </c>
      <c r="N1303">
        <v>0</v>
      </c>
      <c r="O1303">
        <v>1.0016812691314994</v>
      </c>
      <c r="P1303">
        <v>4.8349367709000002E-2</v>
      </c>
      <c r="Q1303">
        <v>4.4169504331110178E-3</v>
      </c>
      <c r="R1303">
        <v>2750000.0039900001</v>
      </c>
      <c r="S1303">
        <v>0</v>
      </c>
      <c r="T1303">
        <v>0</v>
      </c>
      <c r="V1303">
        <v>5400</v>
      </c>
      <c r="W1303">
        <v>10</v>
      </c>
      <c r="X1303">
        <v>85</v>
      </c>
      <c r="Y1303">
        <v>4</v>
      </c>
      <c r="Z1303">
        <v>4</v>
      </c>
      <c r="AA1303">
        <v>5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80</v>
      </c>
      <c r="AM1303">
        <v>53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70</v>
      </c>
      <c r="AU1303">
        <v>0</v>
      </c>
      <c r="AV1303">
        <v>0</v>
      </c>
    </row>
    <row r="1304" spans="1:48" x14ac:dyDescent="0.15">
      <c r="A1304" s="4" t="str">
        <f>HYPERLINK("https://ibp.a2mac1.com/costing(costing:projects/details/9760/equipment/12213494)","Manufacturing Equipment")</f>
        <v>Manufacturing Equipment</v>
      </c>
      <c r="B1304">
        <v>12213494</v>
      </c>
      <c r="C1304">
        <v>12086294</v>
      </c>
      <c r="E1304" t="s">
        <v>1596</v>
      </c>
      <c r="H1304" t="s">
        <v>162</v>
      </c>
      <c r="I1304">
        <v>373962.17573865002</v>
      </c>
      <c r="J1304">
        <v>0</v>
      </c>
      <c r="K1304">
        <v>3.3919999999999999</v>
      </c>
      <c r="L1304">
        <v>0</v>
      </c>
      <c r="M1304">
        <v>85.594214069133713</v>
      </c>
      <c r="N1304">
        <v>0</v>
      </c>
      <c r="O1304">
        <v>3.4792740329721246E-2</v>
      </c>
      <c r="P1304">
        <v>1.6793835001666668E-3</v>
      </c>
      <c r="Q1304">
        <v>4.4169504331110178E-3</v>
      </c>
      <c r="R1304">
        <v>2750000.0039900001</v>
      </c>
      <c r="S1304">
        <v>0</v>
      </c>
      <c r="T1304">
        <v>0</v>
      </c>
      <c r="V1304">
        <v>5400</v>
      </c>
      <c r="W1304">
        <v>10</v>
      </c>
      <c r="X1304">
        <v>85</v>
      </c>
      <c r="Y1304">
        <v>4</v>
      </c>
      <c r="Z1304">
        <v>4</v>
      </c>
      <c r="AA1304">
        <v>5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80</v>
      </c>
      <c r="AM1304">
        <v>53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70</v>
      </c>
      <c r="AU1304">
        <v>0</v>
      </c>
      <c r="AV1304">
        <v>0</v>
      </c>
    </row>
    <row r="1305" spans="1:48" x14ac:dyDescent="0.15">
      <c r="A1305" s="4" t="str">
        <f>HYPERLINK("https://ibp.a2mac1.com/costing(costing:projects/details/9760/equipment/12213495)","Manufacturing Equipment")</f>
        <v>Manufacturing Equipment</v>
      </c>
      <c r="B1305">
        <v>12213495</v>
      </c>
      <c r="C1305">
        <v>12086295</v>
      </c>
      <c r="E1305" t="s">
        <v>1596</v>
      </c>
      <c r="H1305" t="s">
        <v>162</v>
      </c>
      <c r="I1305">
        <v>373962.17573865002</v>
      </c>
      <c r="J1305">
        <v>0</v>
      </c>
      <c r="K1305">
        <v>3.3919999999999999</v>
      </c>
      <c r="L1305">
        <v>0</v>
      </c>
      <c r="M1305">
        <v>85.594214069133713</v>
      </c>
      <c r="N1305">
        <v>0</v>
      </c>
      <c r="O1305">
        <v>3.4792740329721246E-2</v>
      </c>
      <c r="P1305">
        <v>1.6793835001666668E-3</v>
      </c>
      <c r="Q1305">
        <v>4.4169504331110178E-3</v>
      </c>
      <c r="R1305">
        <v>2750000.0039900001</v>
      </c>
      <c r="S1305">
        <v>0</v>
      </c>
      <c r="T1305">
        <v>0</v>
      </c>
      <c r="V1305">
        <v>5400</v>
      </c>
      <c r="W1305">
        <v>10</v>
      </c>
      <c r="X1305">
        <v>85</v>
      </c>
      <c r="Y1305">
        <v>4</v>
      </c>
      <c r="Z1305">
        <v>4</v>
      </c>
      <c r="AA1305">
        <v>5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80</v>
      </c>
      <c r="AM1305">
        <v>53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70</v>
      </c>
      <c r="AU1305">
        <v>0</v>
      </c>
      <c r="AV1305">
        <v>0</v>
      </c>
    </row>
    <row r="1306" spans="1:48" x14ac:dyDescent="0.15">
      <c r="A1306" s="4" t="str">
        <f>HYPERLINK("https://ibp.a2mac1.com/costing(costing:projects/details/9760/equipment/12213496)","Manufacturing Equipment")</f>
        <v>Manufacturing Equipment</v>
      </c>
      <c r="B1306">
        <v>12213496</v>
      </c>
      <c r="C1306">
        <v>12086296</v>
      </c>
      <c r="E1306" t="s">
        <v>1596</v>
      </c>
      <c r="H1306" t="s">
        <v>162</v>
      </c>
      <c r="I1306">
        <v>373962.17573865002</v>
      </c>
      <c r="J1306">
        <v>0</v>
      </c>
      <c r="K1306">
        <v>3.3919999999999999</v>
      </c>
      <c r="L1306">
        <v>0</v>
      </c>
      <c r="M1306">
        <v>85.594214069133713</v>
      </c>
      <c r="N1306">
        <v>0</v>
      </c>
      <c r="O1306">
        <v>6.2605094180825327E-2</v>
      </c>
      <c r="P1306">
        <v>3.0218361990833331E-3</v>
      </c>
      <c r="Q1306">
        <v>4.4169504331110178E-3</v>
      </c>
      <c r="R1306">
        <v>2750000.0039900001</v>
      </c>
      <c r="S1306">
        <v>0</v>
      </c>
      <c r="T1306">
        <v>0</v>
      </c>
      <c r="V1306">
        <v>5400</v>
      </c>
      <c r="W1306">
        <v>10</v>
      </c>
      <c r="X1306">
        <v>85</v>
      </c>
      <c r="Y1306">
        <v>4</v>
      </c>
      <c r="Z1306">
        <v>4</v>
      </c>
      <c r="AA1306">
        <v>5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80</v>
      </c>
      <c r="AM1306">
        <v>53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70</v>
      </c>
      <c r="AU1306">
        <v>0</v>
      </c>
      <c r="AV1306">
        <v>0</v>
      </c>
    </row>
    <row r="1307" spans="1:48" x14ac:dyDescent="0.15">
      <c r="A1307" s="4" t="str">
        <f>HYPERLINK("https://ibp.a2mac1.com/costing(costing:projects/details/9760/equipment/12213497)","Manufacturing Equipment")</f>
        <v>Manufacturing Equipment</v>
      </c>
      <c r="B1307">
        <v>12213497</v>
      </c>
      <c r="C1307">
        <v>12086297</v>
      </c>
      <c r="E1307" t="s">
        <v>1596</v>
      </c>
      <c r="H1307" t="s">
        <v>162</v>
      </c>
      <c r="I1307">
        <v>373962.17573865002</v>
      </c>
      <c r="J1307">
        <v>0</v>
      </c>
      <c r="K1307">
        <v>3.3919999999999999</v>
      </c>
      <c r="L1307">
        <v>0</v>
      </c>
      <c r="M1307">
        <v>85.594214069133713</v>
      </c>
      <c r="N1307">
        <v>0</v>
      </c>
      <c r="O1307">
        <v>3.4792740329721246E-2</v>
      </c>
      <c r="P1307">
        <v>1.6793835001666668E-3</v>
      </c>
      <c r="Q1307">
        <v>4.4169504331110178E-3</v>
      </c>
      <c r="R1307">
        <v>2750000.0039900001</v>
      </c>
      <c r="S1307">
        <v>0</v>
      </c>
      <c r="T1307">
        <v>0</v>
      </c>
      <c r="V1307">
        <v>5400</v>
      </c>
      <c r="W1307">
        <v>10</v>
      </c>
      <c r="X1307">
        <v>85</v>
      </c>
      <c r="Y1307">
        <v>4</v>
      </c>
      <c r="Z1307">
        <v>4</v>
      </c>
      <c r="AA1307">
        <v>5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80</v>
      </c>
      <c r="AM1307">
        <v>53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70</v>
      </c>
      <c r="AU1307">
        <v>0</v>
      </c>
      <c r="AV1307">
        <v>0</v>
      </c>
    </row>
    <row r="1308" spans="1:48" x14ac:dyDescent="0.15">
      <c r="A1308" s="4" t="str">
        <f>HYPERLINK("https://ibp.a2mac1.com/costing(costing:projects/details/9760/equipment/12213498)","Manufacturing Equipment")</f>
        <v>Manufacturing Equipment</v>
      </c>
      <c r="B1308">
        <v>12213498</v>
      </c>
      <c r="C1308">
        <v>12086298</v>
      </c>
      <c r="E1308" t="s">
        <v>1596</v>
      </c>
      <c r="H1308" t="s">
        <v>162</v>
      </c>
      <c r="I1308">
        <v>373962.17573865002</v>
      </c>
      <c r="J1308">
        <v>0</v>
      </c>
      <c r="K1308">
        <v>3.3919999999999999</v>
      </c>
      <c r="L1308">
        <v>0</v>
      </c>
      <c r="M1308">
        <v>85.594214069133713</v>
      </c>
      <c r="N1308">
        <v>0</v>
      </c>
      <c r="O1308">
        <v>3.9961323170115311E-2</v>
      </c>
      <c r="P1308">
        <v>1.9288617723333334E-3</v>
      </c>
      <c r="Q1308">
        <v>4.4169504331110178E-3</v>
      </c>
      <c r="R1308">
        <v>2750000.0039900001</v>
      </c>
      <c r="S1308">
        <v>0</v>
      </c>
      <c r="T1308">
        <v>0</v>
      </c>
      <c r="V1308">
        <v>5400</v>
      </c>
      <c r="W1308">
        <v>10</v>
      </c>
      <c r="X1308">
        <v>85</v>
      </c>
      <c r="Y1308">
        <v>4</v>
      </c>
      <c r="Z1308">
        <v>4</v>
      </c>
      <c r="AA1308">
        <v>5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80</v>
      </c>
      <c r="AM1308">
        <v>53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70</v>
      </c>
      <c r="AU1308">
        <v>0</v>
      </c>
      <c r="AV1308">
        <v>0</v>
      </c>
    </row>
    <row r="1309" spans="1:48" x14ac:dyDescent="0.15">
      <c r="A1309" s="4" t="str">
        <f>HYPERLINK("https://ibp.a2mac1.com/costing(costing:projects/details/9760/equipment/12213499)","Manufacturing Equipment")</f>
        <v>Manufacturing Equipment</v>
      </c>
      <c r="B1309">
        <v>12213499</v>
      </c>
      <c r="C1309">
        <v>12086299</v>
      </c>
      <c r="E1309" t="s">
        <v>1596</v>
      </c>
      <c r="H1309" t="s">
        <v>162</v>
      </c>
      <c r="I1309">
        <v>373962.17573865002</v>
      </c>
      <c r="J1309">
        <v>0</v>
      </c>
      <c r="K1309">
        <v>3.3919999999999999</v>
      </c>
      <c r="L1309">
        <v>0</v>
      </c>
      <c r="M1309">
        <v>85.594214069133713</v>
      </c>
      <c r="N1309">
        <v>0</v>
      </c>
      <c r="O1309">
        <v>3.9961323170115311E-2</v>
      </c>
      <c r="P1309">
        <v>1.9288617723333334E-3</v>
      </c>
      <c r="Q1309">
        <v>4.4169504331110178E-3</v>
      </c>
      <c r="R1309">
        <v>2750000.0039900001</v>
      </c>
      <c r="S1309">
        <v>0</v>
      </c>
      <c r="T1309">
        <v>0</v>
      </c>
      <c r="V1309">
        <v>5400</v>
      </c>
      <c r="W1309">
        <v>10</v>
      </c>
      <c r="X1309">
        <v>85</v>
      </c>
      <c r="Y1309">
        <v>4</v>
      </c>
      <c r="Z1309">
        <v>4</v>
      </c>
      <c r="AA1309">
        <v>5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80</v>
      </c>
      <c r="AM1309">
        <v>53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70</v>
      </c>
      <c r="AU1309">
        <v>0</v>
      </c>
      <c r="AV1309">
        <v>0</v>
      </c>
    </row>
    <row r="1310" spans="1:48" x14ac:dyDescent="0.15">
      <c r="A1310" s="4" t="str">
        <f>HYPERLINK("https://ibp.a2mac1.com/costing(costing:projects/details/9760/equipment/12213500)","Manufacturing Equipment")</f>
        <v>Manufacturing Equipment</v>
      </c>
      <c r="B1310">
        <v>12213500</v>
      </c>
      <c r="C1310">
        <v>12086300</v>
      </c>
      <c r="E1310" t="s">
        <v>1596</v>
      </c>
      <c r="H1310" t="s">
        <v>162</v>
      </c>
      <c r="I1310">
        <v>373962.17573865002</v>
      </c>
      <c r="J1310">
        <v>0</v>
      </c>
      <c r="K1310">
        <v>3.3919999999999999</v>
      </c>
      <c r="L1310">
        <v>0</v>
      </c>
      <c r="M1310">
        <v>85.594214069133713</v>
      </c>
      <c r="N1310">
        <v>0</v>
      </c>
      <c r="O1310">
        <v>3.9961323170115311E-2</v>
      </c>
      <c r="P1310">
        <v>1.9288617723333334E-3</v>
      </c>
      <c r="Q1310">
        <v>4.4169504331110178E-3</v>
      </c>
      <c r="R1310">
        <v>2750000.0039900001</v>
      </c>
      <c r="S1310">
        <v>0</v>
      </c>
      <c r="T1310">
        <v>0</v>
      </c>
      <c r="V1310">
        <v>5400</v>
      </c>
      <c r="W1310">
        <v>10</v>
      </c>
      <c r="X1310">
        <v>85</v>
      </c>
      <c r="Y1310">
        <v>4</v>
      </c>
      <c r="Z1310">
        <v>4</v>
      </c>
      <c r="AA1310">
        <v>5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80</v>
      </c>
      <c r="AM1310">
        <v>53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70</v>
      </c>
      <c r="AU1310">
        <v>0</v>
      </c>
      <c r="AV1310">
        <v>0</v>
      </c>
    </row>
    <row r="1311" spans="1:48" x14ac:dyDescent="0.15">
      <c r="A1311" s="4" t="str">
        <f>HYPERLINK("https://ibp.a2mac1.com/costing(costing:projects/details/9760/equipment/12213501)","Manufacturing Equipment")</f>
        <v>Manufacturing Equipment</v>
      </c>
      <c r="B1311">
        <v>12213501</v>
      </c>
      <c r="C1311">
        <v>12086301</v>
      </c>
      <c r="E1311" t="s">
        <v>1596</v>
      </c>
      <c r="H1311" t="s">
        <v>162</v>
      </c>
      <c r="I1311">
        <v>373962.17573865002</v>
      </c>
      <c r="J1311">
        <v>0</v>
      </c>
      <c r="K1311">
        <v>3.3919999999999999</v>
      </c>
      <c r="L1311">
        <v>0</v>
      </c>
      <c r="M1311">
        <v>85.594214069133713</v>
      </c>
      <c r="N1311">
        <v>0</v>
      </c>
      <c r="O1311">
        <v>3.9961323170115311E-2</v>
      </c>
      <c r="P1311">
        <v>1.9288617723333334E-3</v>
      </c>
      <c r="Q1311">
        <v>4.4169504331110178E-3</v>
      </c>
      <c r="R1311">
        <v>2750000.0039900001</v>
      </c>
      <c r="S1311">
        <v>0</v>
      </c>
      <c r="T1311">
        <v>0</v>
      </c>
      <c r="V1311">
        <v>5400</v>
      </c>
      <c r="W1311">
        <v>10</v>
      </c>
      <c r="X1311">
        <v>85</v>
      </c>
      <c r="Y1311">
        <v>4</v>
      </c>
      <c r="Z1311">
        <v>4</v>
      </c>
      <c r="AA1311">
        <v>5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80</v>
      </c>
      <c r="AM1311">
        <v>53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70</v>
      </c>
      <c r="AU1311">
        <v>0</v>
      </c>
      <c r="AV1311">
        <v>0</v>
      </c>
    </row>
    <row r="1312" spans="1:48" x14ac:dyDescent="0.15">
      <c r="A1312" s="4" t="str">
        <f>HYPERLINK("https://ibp.a2mac1.com/costing(costing:projects/details/9760/equipment/12213601)","Manufacturing Equipment")</f>
        <v>Manufacturing Equipment</v>
      </c>
      <c r="B1312">
        <v>12213601</v>
      </c>
      <c r="C1312">
        <v>12086456</v>
      </c>
      <c r="E1312" t="s">
        <v>1596</v>
      </c>
      <c r="H1312" t="s">
        <v>162</v>
      </c>
      <c r="I1312">
        <v>373962.17573865002</v>
      </c>
      <c r="J1312">
        <v>0</v>
      </c>
      <c r="K1312">
        <v>3.3919999999999999</v>
      </c>
      <c r="L1312">
        <v>0</v>
      </c>
      <c r="M1312">
        <v>85.594214069133713</v>
      </c>
      <c r="N1312">
        <v>0</v>
      </c>
      <c r="O1312">
        <v>4.4971913357040101E-2</v>
      </c>
      <c r="P1312">
        <v>2.1707140210000002E-3</v>
      </c>
      <c r="Q1312">
        <v>4.4169504331110178E-3</v>
      </c>
      <c r="R1312">
        <v>2750000.0039900001</v>
      </c>
      <c r="S1312">
        <v>0</v>
      </c>
      <c r="T1312">
        <v>0</v>
      </c>
      <c r="V1312">
        <v>5400</v>
      </c>
      <c r="W1312">
        <v>10</v>
      </c>
      <c r="X1312">
        <v>85</v>
      </c>
      <c r="Y1312">
        <v>4</v>
      </c>
      <c r="Z1312">
        <v>4</v>
      </c>
      <c r="AA1312">
        <v>5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80</v>
      </c>
      <c r="AM1312">
        <v>53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70</v>
      </c>
      <c r="AU1312">
        <v>0</v>
      </c>
      <c r="AV1312">
        <v>0</v>
      </c>
    </row>
    <row r="1313" spans="1:48" x14ac:dyDescent="0.15">
      <c r="A1313" s="4" t="str">
        <f>HYPERLINK("https://ibp.a2mac1.com/costing(costing:projects/details/9760/equipment/12213602)","Manufacturing Equipment")</f>
        <v>Manufacturing Equipment</v>
      </c>
      <c r="B1313">
        <v>12213602</v>
      </c>
      <c r="C1313">
        <v>12086457</v>
      </c>
      <c r="E1313" t="s">
        <v>1596</v>
      </c>
      <c r="H1313" t="s">
        <v>162</v>
      </c>
      <c r="I1313">
        <v>373962.17573865002</v>
      </c>
      <c r="J1313">
        <v>0</v>
      </c>
      <c r="K1313">
        <v>3.3919999999999999</v>
      </c>
      <c r="L1313">
        <v>0</v>
      </c>
      <c r="M1313">
        <v>85.594214069133713</v>
      </c>
      <c r="N1313">
        <v>0</v>
      </c>
      <c r="O1313">
        <v>3.9961323170115311E-2</v>
      </c>
      <c r="P1313">
        <v>1.9288617723333334E-3</v>
      </c>
      <c r="Q1313">
        <v>4.4169504331110178E-3</v>
      </c>
      <c r="R1313">
        <v>2750000.0039900001</v>
      </c>
      <c r="S1313">
        <v>0</v>
      </c>
      <c r="T1313">
        <v>0</v>
      </c>
      <c r="V1313">
        <v>5400</v>
      </c>
      <c r="W1313">
        <v>10</v>
      </c>
      <c r="X1313">
        <v>85</v>
      </c>
      <c r="Y1313">
        <v>4</v>
      </c>
      <c r="Z1313">
        <v>4</v>
      </c>
      <c r="AA1313">
        <v>5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80</v>
      </c>
      <c r="AM1313">
        <v>53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70</v>
      </c>
      <c r="AU1313">
        <v>0</v>
      </c>
      <c r="AV1313">
        <v>0</v>
      </c>
    </row>
    <row r="1314" spans="1:48" x14ac:dyDescent="0.15">
      <c r="A1314" s="4" t="str">
        <f>HYPERLINK("https://ibp.a2mac1.com/costing(costing:projects/details/9760/equipment/12213603)","Manufacturing Equipment")</f>
        <v>Manufacturing Equipment</v>
      </c>
      <c r="B1314">
        <v>12213603</v>
      </c>
      <c r="C1314">
        <v>12086458</v>
      </c>
      <c r="E1314" t="s">
        <v>1596</v>
      </c>
      <c r="H1314" t="s">
        <v>162</v>
      </c>
      <c r="I1314">
        <v>373962.17573865002</v>
      </c>
      <c r="J1314">
        <v>0</v>
      </c>
      <c r="K1314">
        <v>3.3919999999999999</v>
      </c>
      <c r="L1314">
        <v>0</v>
      </c>
      <c r="M1314">
        <v>85.594214069133713</v>
      </c>
      <c r="N1314">
        <v>0</v>
      </c>
      <c r="O1314">
        <v>3.9961323170115311E-2</v>
      </c>
      <c r="P1314">
        <v>1.9288617723333334E-3</v>
      </c>
      <c r="Q1314">
        <v>4.4169504331110178E-3</v>
      </c>
      <c r="R1314">
        <v>2750000.0039900001</v>
      </c>
      <c r="S1314">
        <v>0</v>
      </c>
      <c r="T1314">
        <v>0</v>
      </c>
      <c r="V1314">
        <v>5400</v>
      </c>
      <c r="W1314">
        <v>10</v>
      </c>
      <c r="X1314">
        <v>85</v>
      </c>
      <c r="Y1314">
        <v>4</v>
      </c>
      <c r="Z1314">
        <v>4</v>
      </c>
      <c r="AA1314">
        <v>5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80</v>
      </c>
      <c r="AM1314">
        <v>53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70</v>
      </c>
      <c r="AU1314">
        <v>0</v>
      </c>
      <c r="AV1314">
        <v>0</v>
      </c>
    </row>
    <row r="1315" spans="1:48" x14ac:dyDescent="0.15">
      <c r="A1315" s="4" t="str">
        <f>HYPERLINK("https://ibp.a2mac1.com/costing(costing:projects/details/9760/equipment/12213604)","Manufacturing Equipment")</f>
        <v>Manufacturing Equipment</v>
      </c>
      <c r="B1315">
        <v>12213604</v>
      </c>
      <c r="C1315">
        <v>12086459</v>
      </c>
      <c r="E1315" t="s">
        <v>1596</v>
      </c>
      <c r="H1315" t="s">
        <v>162</v>
      </c>
      <c r="I1315">
        <v>373962.17573865002</v>
      </c>
      <c r="J1315">
        <v>0</v>
      </c>
      <c r="K1315">
        <v>3.3919999999999999</v>
      </c>
      <c r="L1315">
        <v>0</v>
      </c>
      <c r="M1315">
        <v>85.594214069133713</v>
      </c>
      <c r="N1315">
        <v>0</v>
      </c>
      <c r="O1315">
        <v>3.9961323170115311E-2</v>
      </c>
      <c r="P1315">
        <v>1.9288617723333334E-3</v>
      </c>
      <c r="Q1315">
        <v>4.4169504331110178E-3</v>
      </c>
      <c r="R1315">
        <v>2750000.0039900001</v>
      </c>
      <c r="S1315">
        <v>0</v>
      </c>
      <c r="T1315">
        <v>0</v>
      </c>
      <c r="V1315">
        <v>5400</v>
      </c>
      <c r="W1315">
        <v>10</v>
      </c>
      <c r="X1315">
        <v>85</v>
      </c>
      <c r="Y1315">
        <v>4</v>
      </c>
      <c r="Z1315">
        <v>4</v>
      </c>
      <c r="AA1315">
        <v>5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80</v>
      </c>
      <c r="AM1315">
        <v>53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70</v>
      </c>
      <c r="AU1315">
        <v>0</v>
      </c>
      <c r="AV1315">
        <v>0</v>
      </c>
    </row>
    <row r="1316" spans="1:48" x14ac:dyDescent="0.15">
      <c r="A1316" s="4" t="str">
        <f>HYPERLINK("https://ibp.a2mac1.com/costing(costing:projects/details/9760/equipment/12213605)","Manufacturing Equipment")</f>
        <v>Manufacturing Equipment</v>
      </c>
      <c r="B1316">
        <v>12213605</v>
      </c>
      <c r="C1316">
        <v>12086460</v>
      </c>
      <c r="E1316" t="s">
        <v>1596</v>
      </c>
      <c r="H1316" t="s">
        <v>162</v>
      </c>
      <c r="I1316">
        <v>373962.17573865002</v>
      </c>
      <c r="J1316">
        <v>0</v>
      </c>
      <c r="K1316">
        <v>3.3919999999999999</v>
      </c>
      <c r="L1316">
        <v>0</v>
      </c>
      <c r="M1316">
        <v>85.594214069133713</v>
      </c>
      <c r="N1316">
        <v>0</v>
      </c>
      <c r="O1316">
        <v>1.2958845129213971E-2</v>
      </c>
      <c r="P1316">
        <v>6.2550033383333334E-4</v>
      </c>
      <c r="Q1316">
        <v>4.4169504331110178E-3</v>
      </c>
      <c r="R1316">
        <v>2750000.0039900001</v>
      </c>
      <c r="S1316">
        <v>0</v>
      </c>
      <c r="T1316">
        <v>0</v>
      </c>
      <c r="V1316">
        <v>5400</v>
      </c>
      <c r="W1316">
        <v>10</v>
      </c>
      <c r="X1316">
        <v>85</v>
      </c>
      <c r="Y1316">
        <v>4</v>
      </c>
      <c r="Z1316">
        <v>4</v>
      </c>
      <c r="AA1316">
        <v>5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80</v>
      </c>
      <c r="AM1316">
        <v>53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70</v>
      </c>
      <c r="AU1316">
        <v>0</v>
      </c>
      <c r="AV1316">
        <v>0</v>
      </c>
    </row>
    <row r="1317" spans="1:48" x14ac:dyDescent="0.15">
      <c r="A1317" s="4" t="str">
        <f>HYPERLINK("https://ibp.a2mac1.com/costing(costing:projects/details/9760/equipment/12213606)","Manufacturing Equipment")</f>
        <v>Manufacturing Equipment</v>
      </c>
      <c r="B1317">
        <v>12213606</v>
      </c>
      <c r="C1317">
        <v>12086461</v>
      </c>
      <c r="E1317" t="s">
        <v>1596</v>
      </c>
      <c r="H1317" t="s">
        <v>162</v>
      </c>
      <c r="I1317">
        <v>373962.17573865002</v>
      </c>
      <c r="J1317">
        <v>0</v>
      </c>
      <c r="K1317">
        <v>3.3919999999999999</v>
      </c>
      <c r="L1317">
        <v>0</v>
      </c>
      <c r="M1317">
        <v>85.594214069133713</v>
      </c>
      <c r="N1317">
        <v>0</v>
      </c>
      <c r="O1317">
        <v>0.52545336970218204</v>
      </c>
      <c r="P1317">
        <v>2.5362696666666667E-2</v>
      </c>
      <c r="Q1317">
        <v>4.4169504331110178E-3</v>
      </c>
      <c r="R1317">
        <v>2750000.0039900001</v>
      </c>
      <c r="S1317">
        <v>0</v>
      </c>
      <c r="T1317">
        <v>0</v>
      </c>
      <c r="V1317">
        <v>5400</v>
      </c>
      <c r="W1317">
        <v>10</v>
      </c>
      <c r="X1317">
        <v>85</v>
      </c>
      <c r="Y1317">
        <v>4</v>
      </c>
      <c r="Z1317">
        <v>4</v>
      </c>
      <c r="AA1317">
        <v>5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80</v>
      </c>
      <c r="AM1317">
        <v>53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70</v>
      </c>
      <c r="AU1317">
        <v>0</v>
      </c>
      <c r="AV1317">
        <v>0</v>
      </c>
    </row>
    <row r="1318" spans="1:48" x14ac:dyDescent="0.15">
      <c r="A1318" s="4" t="str">
        <f>HYPERLINK("https://ibp.a2mac1.com/costing(costing:projects/details/9760/equipment/12213502)","Manufacturing Equipment")</f>
        <v>Manufacturing Equipment</v>
      </c>
      <c r="B1318">
        <v>12213502</v>
      </c>
      <c r="C1318">
        <v>12086302</v>
      </c>
      <c r="E1318" t="s">
        <v>1596</v>
      </c>
      <c r="H1318" t="s">
        <v>162</v>
      </c>
      <c r="I1318">
        <v>373962.17573865002</v>
      </c>
      <c r="J1318">
        <v>0</v>
      </c>
      <c r="K1318">
        <v>3.3919999999999999</v>
      </c>
      <c r="L1318">
        <v>0</v>
      </c>
      <c r="M1318">
        <v>85.594214069133713</v>
      </c>
      <c r="N1318">
        <v>0</v>
      </c>
      <c r="O1318">
        <v>5.9162157269342606</v>
      </c>
      <c r="P1318">
        <v>0.28556517770899997</v>
      </c>
      <c r="Q1318">
        <v>4.4169504331110178E-3</v>
      </c>
      <c r="R1318">
        <v>2750000.0039900001</v>
      </c>
      <c r="S1318">
        <v>0</v>
      </c>
      <c r="T1318">
        <v>0</v>
      </c>
      <c r="V1318">
        <v>5400</v>
      </c>
      <c r="W1318">
        <v>10</v>
      </c>
      <c r="X1318">
        <v>85</v>
      </c>
      <c r="Y1318">
        <v>4</v>
      </c>
      <c r="Z1318">
        <v>4</v>
      </c>
      <c r="AA1318">
        <v>5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80</v>
      </c>
      <c r="AM1318">
        <v>53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70</v>
      </c>
      <c r="AU1318">
        <v>0</v>
      </c>
      <c r="AV1318">
        <v>0</v>
      </c>
    </row>
    <row r="1319" spans="1:48" x14ac:dyDescent="0.15">
      <c r="A1319" s="4" t="str">
        <f>HYPERLINK("https://ibp.a2mac1.com/costing(costing:projects/details/9760/equipment/12213503)","Manufacturing Equipment")</f>
        <v>Manufacturing Equipment</v>
      </c>
      <c r="B1319">
        <v>12213503</v>
      </c>
      <c r="C1319">
        <v>12086303</v>
      </c>
      <c r="E1319" t="s">
        <v>1596</v>
      </c>
      <c r="H1319" t="s">
        <v>162</v>
      </c>
      <c r="I1319">
        <v>373962.17573865002</v>
      </c>
      <c r="J1319">
        <v>0</v>
      </c>
      <c r="K1319">
        <v>3.3919999999999999</v>
      </c>
      <c r="L1319">
        <v>0</v>
      </c>
      <c r="M1319">
        <v>85.594214069133713</v>
      </c>
      <c r="N1319">
        <v>0</v>
      </c>
      <c r="O1319">
        <v>0.1798876534281604</v>
      </c>
      <c r="P1319">
        <v>8.6828560840000006E-3</v>
      </c>
      <c r="Q1319">
        <v>4.4169504331110178E-3</v>
      </c>
      <c r="R1319">
        <v>2750000.0039900001</v>
      </c>
      <c r="S1319">
        <v>0</v>
      </c>
      <c r="T1319">
        <v>0</v>
      </c>
      <c r="V1319">
        <v>5400</v>
      </c>
      <c r="W1319">
        <v>10</v>
      </c>
      <c r="X1319">
        <v>85</v>
      </c>
      <c r="Y1319">
        <v>4</v>
      </c>
      <c r="Z1319">
        <v>4</v>
      </c>
      <c r="AA1319">
        <v>5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80</v>
      </c>
      <c r="AM1319">
        <v>53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70</v>
      </c>
      <c r="AU1319">
        <v>0</v>
      </c>
      <c r="AV1319">
        <v>0</v>
      </c>
    </row>
    <row r="1320" spans="1:48" x14ac:dyDescent="0.15">
      <c r="A1320" s="4" t="str">
        <f>HYPERLINK("https://ibp.a2mac1.com/costing(costing:projects/details/9760/equipment/12213504)","Manufacturing Equipment")</f>
        <v>Manufacturing Equipment</v>
      </c>
      <c r="B1320">
        <v>12213504</v>
      </c>
      <c r="C1320">
        <v>12086304</v>
      </c>
      <c r="E1320" t="s">
        <v>1596</v>
      </c>
      <c r="H1320" t="s">
        <v>162</v>
      </c>
      <c r="I1320">
        <v>373962.17573865002</v>
      </c>
      <c r="J1320">
        <v>0</v>
      </c>
      <c r="K1320">
        <v>3.3919999999999999</v>
      </c>
      <c r="L1320">
        <v>0</v>
      </c>
      <c r="M1320">
        <v>85.594214069133713</v>
      </c>
      <c r="N1320">
        <v>0</v>
      </c>
      <c r="O1320">
        <v>1.2958845129213971E-2</v>
      </c>
      <c r="P1320">
        <v>6.2550033383333334E-4</v>
      </c>
      <c r="Q1320">
        <v>4.4169504331110178E-3</v>
      </c>
      <c r="R1320">
        <v>2750000.0039900001</v>
      </c>
      <c r="S1320">
        <v>0</v>
      </c>
      <c r="T1320">
        <v>0</v>
      </c>
      <c r="V1320">
        <v>5400</v>
      </c>
      <c r="W1320">
        <v>10</v>
      </c>
      <c r="X1320">
        <v>85</v>
      </c>
      <c r="Y1320">
        <v>4</v>
      </c>
      <c r="Z1320">
        <v>4</v>
      </c>
      <c r="AA1320">
        <v>5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80</v>
      </c>
      <c r="AM1320">
        <v>53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70</v>
      </c>
      <c r="AU1320">
        <v>0</v>
      </c>
      <c r="AV1320">
        <v>0</v>
      </c>
    </row>
    <row r="1321" spans="1:48" x14ac:dyDescent="0.15">
      <c r="A1321" s="4" t="str">
        <f>HYPERLINK("https://ibp.a2mac1.com/costing(costing:projects/details/9760/equipment/12213505)","Manufacturing Equipment")</f>
        <v>Manufacturing Equipment</v>
      </c>
      <c r="B1321">
        <v>12213505</v>
      </c>
      <c r="C1321">
        <v>12086305</v>
      </c>
      <c r="E1321" t="s">
        <v>1596</v>
      </c>
      <c r="H1321" t="s">
        <v>162</v>
      </c>
      <c r="I1321">
        <v>373962.17573865002</v>
      </c>
      <c r="J1321">
        <v>0</v>
      </c>
      <c r="K1321">
        <v>3.3919999999999999</v>
      </c>
      <c r="L1321">
        <v>0</v>
      </c>
      <c r="M1321">
        <v>85.594214069133713</v>
      </c>
      <c r="N1321">
        <v>0</v>
      </c>
      <c r="O1321">
        <v>1.2958845129213971E-2</v>
      </c>
      <c r="P1321">
        <v>6.2550033383333334E-4</v>
      </c>
      <c r="Q1321">
        <v>4.4169504331110178E-3</v>
      </c>
      <c r="R1321">
        <v>2750000.0039900001</v>
      </c>
      <c r="S1321">
        <v>0</v>
      </c>
      <c r="T1321">
        <v>0</v>
      </c>
      <c r="V1321">
        <v>5400</v>
      </c>
      <c r="W1321">
        <v>10</v>
      </c>
      <c r="X1321">
        <v>85</v>
      </c>
      <c r="Y1321">
        <v>4</v>
      </c>
      <c r="Z1321">
        <v>4</v>
      </c>
      <c r="AA1321">
        <v>5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80</v>
      </c>
      <c r="AM1321">
        <v>53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70</v>
      </c>
      <c r="AU1321">
        <v>0</v>
      </c>
      <c r="AV1321">
        <v>0</v>
      </c>
    </row>
    <row r="1322" spans="1:48" x14ac:dyDescent="0.15">
      <c r="A1322" s="4" t="str">
        <f>HYPERLINK("https://ibp.a2mac1.com/costing(costing:projects/details/9760/equipment/12213506)","Manufacturing Equipment")</f>
        <v>Manufacturing Equipment</v>
      </c>
      <c r="B1322">
        <v>12213506</v>
      </c>
      <c r="C1322">
        <v>12086306</v>
      </c>
      <c r="E1322" t="s">
        <v>1596</v>
      </c>
      <c r="H1322" t="s">
        <v>162</v>
      </c>
      <c r="I1322">
        <v>373962.17573865002</v>
      </c>
      <c r="J1322">
        <v>0</v>
      </c>
      <c r="K1322">
        <v>3.3919999999999999</v>
      </c>
      <c r="L1322">
        <v>0</v>
      </c>
      <c r="M1322">
        <v>85.594214069133713</v>
      </c>
      <c r="N1322">
        <v>0</v>
      </c>
      <c r="O1322">
        <v>0.23914143692604695</v>
      </c>
      <c r="P1322">
        <v>1.1542930495666667E-2</v>
      </c>
      <c r="Q1322">
        <v>4.4169504331110178E-3</v>
      </c>
      <c r="R1322">
        <v>2750000.0039900001</v>
      </c>
      <c r="S1322">
        <v>0</v>
      </c>
      <c r="T1322">
        <v>0</v>
      </c>
      <c r="V1322">
        <v>5400</v>
      </c>
      <c r="W1322">
        <v>10</v>
      </c>
      <c r="X1322">
        <v>85</v>
      </c>
      <c r="Y1322">
        <v>4</v>
      </c>
      <c r="Z1322">
        <v>4</v>
      </c>
      <c r="AA1322">
        <v>5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80</v>
      </c>
      <c r="AM1322">
        <v>53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70</v>
      </c>
      <c r="AU1322">
        <v>0</v>
      </c>
      <c r="AV1322">
        <v>0</v>
      </c>
    </row>
    <row r="1323" spans="1:48" x14ac:dyDescent="0.15">
      <c r="A1323" s="4" t="str">
        <f>HYPERLINK("https://ibp.a2mac1.com/costing(costing:projects/details/9760/equipment/12213507)","Manufacturing Equipment")</f>
        <v>Manufacturing Equipment</v>
      </c>
      <c r="B1323">
        <v>12213507</v>
      </c>
      <c r="C1323">
        <v>12086307</v>
      </c>
      <c r="E1323" t="s">
        <v>1596</v>
      </c>
      <c r="H1323" t="s">
        <v>162</v>
      </c>
      <c r="I1323">
        <v>373962.17573865002</v>
      </c>
      <c r="J1323">
        <v>0</v>
      </c>
      <c r="K1323">
        <v>3.3919999999999999</v>
      </c>
      <c r="L1323">
        <v>0</v>
      </c>
      <c r="M1323">
        <v>85.594214069133713</v>
      </c>
      <c r="N1323">
        <v>0</v>
      </c>
      <c r="O1323">
        <v>2.4442497755116997E-2</v>
      </c>
      <c r="P1323">
        <v>1.1797957575E-3</v>
      </c>
      <c r="Q1323">
        <v>4.4169504331110178E-3</v>
      </c>
      <c r="R1323">
        <v>2750000.0039900001</v>
      </c>
      <c r="S1323">
        <v>0</v>
      </c>
      <c r="T1323">
        <v>0</v>
      </c>
      <c r="V1323">
        <v>5400</v>
      </c>
      <c r="W1323">
        <v>10</v>
      </c>
      <c r="X1323">
        <v>85</v>
      </c>
      <c r="Y1323">
        <v>4</v>
      </c>
      <c r="Z1323">
        <v>4</v>
      </c>
      <c r="AA1323">
        <v>5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80</v>
      </c>
      <c r="AM1323">
        <v>53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70</v>
      </c>
      <c r="AU1323">
        <v>0</v>
      </c>
      <c r="AV1323">
        <v>0</v>
      </c>
    </row>
    <row r="1324" spans="1:48" x14ac:dyDescent="0.15">
      <c r="A1324" s="4" t="str">
        <f>HYPERLINK("https://ibp.a2mac1.com/costing(costing:projects/details/9760/equipment/12213508)","Manufacturing Equipment")</f>
        <v>Manufacturing Equipment</v>
      </c>
      <c r="B1324">
        <v>12213508</v>
      </c>
      <c r="C1324">
        <v>12086308</v>
      </c>
      <c r="E1324" t="s">
        <v>1596</v>
      </c>
      <c r="H1324" t="s">
        <v>162</v>
      </c>
      <c r="I1324">
        <v>373962.17573865002</v>
      </c>
      <c r="J1324">
        <v>0</v>
      </c>
      <c r="K1324">
        <v>3.3919999999999999</v>
      </c>
      <c r="L1324">
        <v>0</v>
      </c>
      <c r="M1324">
        <v>85.594214069133713</v>
      </c>
      <c r="N1324">
        <v>0</v>
      </c>
      <c r="O1324">
        <v>2.4442497755116997E-2</v>
      </c>
      <c r="P1324">
        <v>1.1797957575E-3</v>
      </c>
      <c r="Q1324">
        <v>4.4169504331110178E-3</v>
      </c>
      <c r="R1324">
        <v>2750000.0039900001</v>
      </c>
      <c r="S1324">
        <v>0</v>
      </c>
      <c r="T1324">
        <v>0</v>
      </c>
      <c r="V1324">
        <v>5400</v>
      </c>
      <c r="W1324">
        <v>10</v>
      </c>
      <c r="X1324">
        <v>85</v>
      </c>
      <c r="Y1324">
        <v>4</v>
      </c>
      <c r="Z1324">
        <v>4</v>
      </c>
      <c r="AA1324">
        <v>5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80</v>
      </c>
      <c r="AM1324">
        <v>53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70</v>
      </c>
      <c r="AU1324">
        <v>0</v>
      </c>
      <c r="AV1324">
        <v>0</v>
      </c>
    </row>
    <row r="1325" spans="1:48" x14ac:dyDescent="0.15">
      <c r="A1325" s="4" t="str">
        <f>HYPERLINK("https://ibp.a2mac1.com/costing(costing:projects/details/9760/equipment/12213509)","Manufacturing Equipment")</f>
        <v>Manufacturing Equipment</v>
      </c>
      <c r="B1325">
        <v>12213509</v>
      </c>
      <c r="C1325">
        <v>12086309</v>
      </c>
      <c r="E1325" t="s">
        <v>1596</v>
      </c>
      <c r="H1325" t="s">
        <v>162</v>
      </c>
      <c r="I1325">
        <v>373962.17573865002</v>
      </c>
      <c r="J1325">
        <v>0</v>
      </c>
      <c r="K1325">
        <v>3.3919999999999999</v>
      </c>
      <c r="L1325">
        <v>0</v>
      </c>
      <c r="M1325">
        <v>85.594214069133713</v>
      </c>
      <c r="N1325">
        <v>0</v>
      </c>
      <c r="O1325">
        <v>0.19312408534883468</v>
      </c>
      <c r="P1325">
        <v>9.3217550369999996E-3</v>
      </c>
      <c r="Q1325">
        <v>4.4169504331110178E-3</v>
      </c>
      <c r="R1325">
        <v>2750000.0039900001</v>
      </c>
      <c r="S1325">
        <v>0</v>
      </c>
      <c r="T1325">
        <v>0</v>
      </c>
      <c r="V1325">
        <v>5400</v>
      </c>
      <c r="W1325">
        <v>10</v>
      </c>
      <c r="X1325">
        <v>85</v>
      </c>
      <c r="Y1325">
        <v>4</v>
      </c>
      <c r="Z1325">
        <v>4</v>
      </c>
      <c r="AA1325">
        <v>5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80</v>
      </c>
      <c r="AM1325">
        <v>53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70</v>
      </c>
      <c r="AU1325">
        <v>0</v>
      </c>
      <c r="AV1325">
        <v>0</v>
      </c>
    </row>
    <row r="1326" spans="1:48" x14ac:dyDescent="0.15">
      <c r="A1326" s="4" t="str">
        <f>HYPERLINK("https://ibp.a2mac1.com/costing(costing:projects/details/9760/equipment/12213510)","Manufacturing Equipment")</f>
        <v>Manufacturing Equipment</v>
      </c>
      <c r="B1326">
        <v>12213510</v>
      </c>
      <c r="C1326">
        <v>12086310</v>
      </c>
      <c r="E1326" t="s">
        <v>1596</v>
      </c>
      <c r="H1326" t="s">
        <v>162</v>
      </c>
      <c r="I1326">
        <v>373962.17573865002</v>
      </c>
      <c r="J1326">
        <v>0</v>
      </c>
      <c r="K1326">
        <v>3.3919999999999999</v>
      </c>
      <c r="L1326">
        <v>0</v>
      </c>
      <c r="M1326">
        <v>85.594214069133713</v>
      </c>
      <c r="N1326">
        <v>0</v>
      </c>
      <c r="O1326">
        <v>2.9650073515253669E-3</v>
      </c>
      <c r="P1326">
        <v>1.4311561483333334E-4</v>
      </c>
      <c r="Q1326">
        <v>4.4169504331110178E-3</v>
      </c>
      <c r="R1326">
        <v>2750000.0039900001</v>
      </c>
      <c r="S1326">
        <v>0</v>
      </c>
      <c r="T1326">
        <v>0</v>
      </c>
      <c r="V1326">
        <v>5400</v>
      </c>
      <c r="W1326">
        <v>10</v>
      </c>
      <c r="X1326">
        <v>85</v>
      </c>
      <c r="Y1326">
        <v>4</v>
      </c>
      <c r="Z1326">
        <v>4</v>
      </c>
      <c r="AA1326">
        <v>5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1</v>
      </c>
      <c r="AJ1326">
        <v>0</v>
      </c>
      <c r="AK1326">
        <v>0</v>
      </c>
      <c r="AL1326">
        <v>80</v>
      </c>
      <c r="AM1326">
        <v>53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70</v>
      </c>
      <c r="AU1326">
        <v>0</v>
      </c>
      <c r="AV1326">
        <v>0</v>
      </c>
    </row>
    <row r="1327" spans="1:48" x14ac:dyDescent="0.15">
      <c r="A1327" s="4" t="str">
        <f>HYPERLINK("https://ibp.a2mac1.com/costing(costing:projects/details/9760/equipment/12213511)","Manufacturing Equipment")</f>
        <v>Manufacturing Equipment</v>
      </c>
      <c r="B1327">
        <v>12213511</v>
      </c>
      <c r="C1327">
        <v>12086311</v>
      </c>
      <c r="E1327" t="s">
        <v>1596</v>
      </c>
      <c r="H1327" t="s">
        <v>162</v>
      </c>
      <c r="I1327">
        <v>373962.17573865002</v>
      </c>
      <c r="J1327">
        <v>0</v>
      </c>
      <c r="K1327">
        <v>3.3919999999999999</v>
      </c>
      <c r="L1327">
        <v>0</v>
      </c>
      <c r="M1327">
        <v>85.594214069133713</v>
      </c>
      <c r="N1327">
        <v>0</v>
      </c>
      <c r="O1327">
        <v>0.19312408534883468</v>
      </c>
      <c r="P1327">
        <v>9.3217550369999996E-3</v>
      </c>
      <c r="Q1327">
        <v>4.4169504331110178E-3</v>
      </c>
      <c r="R1327">
        <v>2750000.0039900001</v>
      </c>
      <c r="S1327">
        <v>0</v>
      </c>
      <c r="T1327">
        <v>0</v>
      </c>
      <c r="V1327">
        <v>5400</v>
      </c>
      <c r="W1327">
        <v>10</v>
      </c>
      <c r="X1327">
        <v>85</v>
      </c>
      <c r="Y1327">
        <v>4</v>
      </c>
      <c r="Z1327">
        <v>4</v>
      </c>
      <c r="AA1327">
        <v>5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80</v>
      </c>
      <c r="AM1327">
        <v>53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70</v>
      </c>
      <c r="AU1327">
        <v>0</v>
      </c>
      <c r="AV1327">
        <v>0</v>
      </c>
    </row>
    <row r="1328" spans="1:48" x14ac:dyDescent="0.15">
      <c r="A1328" s="4" t="str">
        <f>HYPERLINK("https://ibp.a2mac1.com/costing(costing:projects/details/9760/equipment/12213512)","Manufacturing Equipment")</f>
        <v>Manufacturing Equipment</v>
      </c>
      <c r="B1328">
        <v>12213512</v>
      </c>
      <c r="C1328">
        <v>12086312</v>
      </c>
      <c r="E1328" t="s">
        <v>1596</v>
      </c>
      <c r="H1328" t="s">
        <v>162</v>
      </c>
      <c r="I1328">
        <v>373962.17573865002</v>
      </c>
      <c r="J1328">
        <v>0</v>
      </c>
      <c r="K1328">
        <v>3.3919999999999999</v>
      </c>
      <c r="L1328">
        <v>0</v>
      </c>
      <c r="M1328">
        <v>85.594214069133713</v>
      </c>
      <c r="N1328">
        <v>0</v>
      </c>
      <c r="O1328">
        <v>2.9650073515253669E-3</v>
      </c>
      <c r="P1328">
        <v>1.4311561483333334E-4</v>
      </c>
      <c r="Q1328">
        <v>4.4169504331110178E-3</v>
      </c>
      <c r="R1328">
        <v>2750000.0039900001</v>
      </c>
      <c r="S1328">
        <v>0</v>
      </c>
      <c r="T1328">
        <v>0</v>
      </c>
      <c r="V1328">
        <v>5400</v>
      </c>
      <c r="W1328">
        <v>10</v>
      </c>
      <c r="X1328">
        <v>85</v>
      </c>
      <c r="Y1328">
        <v>4</v>
      </c>
      <c r="Z1328">
        <v>4</v>
      </c>
      <c r="AA1328">
        <v>5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80</v>
      </c>
      <c r="AM1328">
        <v>53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70</v>
      </c>
      <c r="AU1328">
        <v>0</v>
      </c>
      <c r="AV1328">
        <v>0</v>
      </c>
    </row>
    <row r="1329" spans="1:48" x14ac:dyDescent="0.15">
      <c r="A1329" s="4" t="str">
        <f>HYPERLINK("https://ibp.a2mac1.com/costing(costing:projects/details/9760/equipment/12213513)","Manufacturing Equipment")</f>
        <v>Manufacturing Equipment</v>
      </c>
      <c r="B1329">
        <v>12213513</v>
      </c>
      <c r="C1329">
        <v>12086313</v>
      </c>
      <c r="E1329" t="s">
        <v>1596</v>
      </c>
      <c r="H1329" t="s">
        <v>162</v>
      </c>
      <c r="I1329">
        <v>373962.17573865002</v>
      </c>
      <c r="J1329">
        <v>0</v>
      </c>
      <c r="K1329">
        <v>3.3919999999999999</v>
      </c>
      <c r="L1329">
        <v>0</v>
      </c>
      <c r="M1329">
        <v>85.594214069133713</v>
      </c>
      <c r="N1329">
        <v>0</v>
      </c>
      <c r="O1329">
        <v>2.9650073515253669E-3</v>
      </c>
      <c r="P1329">
        <v>1.4311561483333334E-4</v>
      </c>
      <c r="Q1329">
        <v>4.4169504331110178E-3</v>
      </c>
      <c r="R1329">
        <v>2750000.0039900001</v>
      </c>
      <c r="S1329">
        <v>0</v>
      </c>
      <c r="T1329">
        <v>0</v>
      </c>
      <c r="V1329">
        <v>5400</v>
      </c>
      <c r="W1329">
        <v>10</v>
      </c>
      <c r="X1329">
        <v>85</v>
      </c>
      <c r="Y1329">
        <v>4</v>
      </c>
      <c r="Z1329">
        <v>4</v>
      </c>
      <c r="AA1329">
        <v>5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80</v>
      </c>
      <c r="AM1329">
        <v>53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70</v>
      </c>
      <c r="AU1329">
        <v>0</v>
      </c>
      <c r="AV1329">
        <v>0</v>
      </c>
    </row>
    <row r="1330" spans="1:48" x14ac:dyDescent="0.15">
      <c r="A1330" s="4" t="str">
        <f>HYPERLINK("https://ibp.a2mac1.com/costing(costing:projects/details/9760/equipment/12213514)","Manufacturing Equipment")</f>
        <v>Manufacturing Equipment</v>
      </c>
      <c r="B1330">
        <v>12213514</v>
      </c>
      <c r="C1330">
        <v>12086314</v>
      </c>
      <c r="E1330" t="s">
        <v>1596</v>
      </c>
      <c r="H1330" t="s">
        <v>162</v>
      </c>
      <c r="I1330">
        <v>373962.17573865002</v>
      </c>
      <c r="J1330">
        <v>0</v>
      </c>
      <c r="K1330">
        <v>3.3919999999999999</v>
      </c>
      <c r="L1330">
        <v>0</v>
      </c>
      <c r="M1330">
        <v>85.594214069133713</v>
      </c>
      <c r="N1330">
        <v>0</v>
      </c>
      <c r="O1330">
        <v>2.9650073515253669E-3</v>
      </c>
      <c r="P1330">
        <v>1.4311561483333334E-4</v>
      </c>
      <c r="Q1330">
        <v>4.4169504331110178E-3</v>
      </c>
      <c r="R1330">
        <v>2750000.0039900001</v>
      </c>
      <c r="S1330">
        <v>0</v>
      </c>
      <c r="T1330">
        <v>0</v>
      </c>
      <c r="V1330">
        <v>5400</v>
      </c>
      <c r="W1330">
        <v>10</v>
      </c>
      <c r="X1330">
        <v>85</v>
      </c>
      <c r="Y1330">
        <v>4</v>
      </c>
      <c r="Z1330">
        <v>4</v>
      </c>
      <c r="AA1330">
        <v>5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80</v>
      </c>
      <c r="AM1330">
        <v>53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70</v>
      </c>
      <c r="AU1330">
        <v>0</v>
      </c>
      <c r="AV1330">
        <v>0</v>
      </c>
    </row>
    <row r="1331" spans="1:48" x14ac:dyDescent="0.15">
      <c r="A1331" s="4" t="str">
        <f>HYPERLINK("https://ibp.a2mac1.com/costing(costing:projects/details/9760/equipment/12213515)","Manufacturing Equipment")</f>
        <v>Manufacturing Equipment</v>
      </c>
      <c r="B1331">
        <v>12213515</v>
      </c>
      <c r="C1331">
        <v>12086315</v>
      </c>
      <c r="E1331" t="s">
        <v>1596</v>
      </c>
      <c r="H1331" t="s">
        <v>162</v>
      </c>
      <c r="I1331">
        <v>373962.17573865002</v>
      </c>
      <c r="J1331">
        <v>0</v>
      </c>
      <c r="K1331">
        <v>3.3919999999999999</v>
      </c>
      <c r="L1331">
        <v>0</v>
      </c>
      <c r="M1331">
        <v>85.594214069133713</v>
      </c>
      <c r="N1331">
        <v>0</v>
      </c>
      <c r="O1331">
        <v>5.1629954403089968E-3</v>
      </c>
      <c r="P1331">
        <v>2.4920857833333332E-4</v>
      </c>
      <c r="Q1331">
        <v>4.4169504331110178E-3</v>
      </c>
      <c r="R1331">
        <v>2750000.0039900001</v>
      </c>
      <c r="S1331">
        <v>0</v>
      </c>
      <c r="T1331">
        <v>0</v>
      </c>
      <c r="V1331">
        <v>5400</v>
      </c>
      <c r="W1331">
        <v>10</v>
      </c>
      <c r="X1331">
        <v>85</v>
      </c>
      <c r="Y1331">
        <v>4</v>
      </c>
      <c r="Z1331">
        <v>4</v>
      </c>
      <c r="AA1331">
        <v>5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80</v>
      </c>
      <c r="AM1331">
        <v>53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70</v>
      </c>
      <c r="AU1331">
        <v>0</v>
      </c>
      <c r="AV1331">
        <v>0</v>
      </c>
    </row>
    <row r="1332" spans="1:48" x14ac:dyDescent="0.15">
      <c r="A1332" s="4" t="str">
        <f>HYPERLINK("https://ibp.a2mac1.com/costing(costing:projects/details/9760/equipment/12213516)","Manufacturing Equipment")</f>
        <v>Manufacturing Equipment</v>
      </c>
      <c r="B1332">
        <v>12213516</v>
      </c>
      <c r="C1332">
        <v>12086316</v>
      </c>
      <c r="E1332" t="s">
        <v>1596</v>
      </c>
      <c r="H1332" t="s">
        <v>162</v>
      </c>
      <c r="I1332">
        <v>373962.17573865002</v>
      </c>
      <c r="J1332">
        <v>0</v>
      </c>
      <c r="K1332">
        <v>3.3919999999999999</v>
      </c>
      <c r="L1332">
        <v>0</v>
      </c>
      <c r="M1332">
        <v>85.594214069133713</v>
      </c>
      <c r="N1332">
        <v>0</v>
      </c>
      <c r="O1332">
        <v>5.1629954403089968E-3</v>
      </c>
      <c r="P1332">
        <v>2.4920857833333332E-4</v>
      </c>
      <c r="Q1332">
        <v>4.4169504331110178E-3</v>
      </c>
      <c r="R1332">
        <v>2750000.0039900001</v>
      </c>
      <c r="S1332">
        <v>0</v>
      </c>
      <c r="T1332">
        <v>0</v>
      </c>
      <c r="V1332">
        <v>5400</v>
      </c>
      <c r="W1332">
        <v>10</v>
      </c>
      <c r="X1332">
        <v>85</v>
      </c>
      <c r="Y1332">
        <v>4</v>
      </c>
      <c r="Z1332">
        <v>4</v>
      </c>
      <c r="AA1332">
        <v>5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80</v>
      </c>
      <c r="AM1332">
        <v>53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70</v>
      </c>
      <c r="AU1332">
        <v>0</v>
      </c>
      <c r="AV1332">
        <v>0</v>
      </c>
    </row>
    <row r="1333" spans="1:48" x14ac:dyDescent="0.15">
      <c r="A1333" s="4" t="str">
        <f>HYPERLINK("https://ibp.a2mac1.com/costing(costing:projects/details/9760/equipment/12213517)","Manufacturing Equipment")</f>
        <v>Manufacturing Equipment</v>
      </c>
      <c r="B1333">
        <v>12213517</v>
      </c>
      <c r="C1333">
        <v>12086317</v>
      </c>
      <c r="E1333" t="s">
        <v>1596</v>
      </c>
      <c r="H1333" t="s">
        <v>162</v>
      </c>
      <c r="I1333">
        <v>373962.17573865002</v>
      </c>
      <c r="J1333">
        <v>0</v>
      </c>
      <c r="K1333">
        <v>3.3919999999999999</v>
      </c>
      <c r="L1333">
        <v>0</v>
      </c>
      <c r="M1333">
        <v>85.594214069133713</v>
      </c>
      <c r="N1333">
        <v>0</v>
      </c>
      <c r="O1333">
        <v>0.13917072355717924</v>
      </c>
      <c r="P1333">
        <v>6.7175225243333329E-3</v>
      </c>
      <c r="Q1333">
        <v>4.4169504331110178E-3</v>
      </c>
      <c r="R1333">
        <v>2750000.0039900001</v>
      </c>
      <c r="S1333">
        <v>0</v>
      </c>
      <c r="T1333">
        <v>0</v>
      </c>
      <c r="V1333">
        <v>5400</v>
      </c>
      <c r="W1333">
        <v>10</v>
      </c>
      <c r="X1333">
        <v>85</v>
      </c>
      <c r="Y1333">
        <v>4</v>
      </c>
      <c r="Z1333">
        <v>4</v>
      </c>
      <c r="AA1333">
        <v>5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80</v>
      </c>
      <c r="AM1333">
        <v>53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70</v>
      </c>
      <c r="AU1333">
        <v>0</v>
      </c>
      <c r="AV1333">
        <v>0</v>
      </c>
    </row>
    <row r="1334" spans="1:48" x14ac:dyDescent="0.15">
      <c r="A1334" s="4" t="str">
        <f>HYPERLINK("https://ibp.a2mac1.com/costing(costing:projects/details/9760/equipment/12213518)","Manufacturing Equipment")</f>
        <v>Manufacturing Equipment</v>
      </c>
      <c r="B1334">
        <v>12213518</v>
      </c>
      <c r="C1334">
        <v>12086318</v>
      </c>
      <c r="E1334" t="s">
        <v>1596</v>
      </c>
      <c r="H1334" t="s">
        <v>162</v>
      </c>
      <c r="I1334">
        <v>373962.17573865002</v>
      </c>
      <c r="J1334">
        <v>0</v>
      </c>
      <c r="K1334">
        <v>3.3919999999999999</v>
      </c>
      <c r="L1334">
        <v>0</v>
      </c>
      <c r="M1334">
        <v>85.594214069133713</v>
      </c>
      <c r="N1334">
        <v>0</v>
      </c>
      <c r="O1334">
        <v>0.13917072355717924</v>
      </c>
      <c r="P1334">
        <v>6.7175225243333329E-3</v>
      </c>
      <c r="Q1334">
        <v>4.4169504331110178E-3</v>
      </c>
      <c r="R1334">
        <v>2750000.0039900001</v>
      </c>
      <c r="S1334">
        <v>0</v>
      </c>
      <c r="T1334">
        <v>0</v>
      </c>
      <c r="V1334">
        <v>5400</v>
      </c>
      <c r="W1334">
        <v>10</v>
      </c>
      <c r="X1334">
        <v>85</v>
      </c>
      <c r="Y1334">
        <v>4</v>
      </c>
      <c r="Z1334">
        <v>4</v>
      </c>
      <c r="AA1334">
        <v>5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80</v>
      </c>
      <c r="AM1334">
        <v>53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70</v>
      </c>
      <c r="AU1334">
        <v>0</v>
      </c>
      <c r="AV1334">
        <v>0</v>
      </c>
    </row>
    <row r="1335" spans="1:48" x14ac:dyDescent="0.15">
      <c r="A1335" s="4" t="str">
        <f>HYPERLINK("https://ibp.a2mac1.com/costing(costing:projects/details/9760/equipment/12213607)","Manufacturing Equipment")</f>
        <v>Manufacturing Equipment</v>
      </c>
      <c r="B1335">
        <v>12213607</v>
      </c>
      <c r="C1335">
        <v>12086462</v>
      </c>
      <c r="E1335" t="s">
        <v>1596</v>
      </c>
      <c r="H1335" t="s">
        <v>162</v>
      </c>
      <c r="I1335">
        <v>373962.17573865002</v>
      </c>
      <c r="J1335">
        <v>0</v>
      </c>
      <c r="K1335">
        <v>3.3919999999999999</v>
      </c>
      <c r="L1335">
        <v>0</v>
      </c>
      <c r="M1335">
        <v>85.594214069133713</v>
      </c>
      <c r="N1335">
        <v>0</v>
      </c>
      <c r="O1335">
        <v>3.4792740329721246E-2</v>
      </c>
      <c r="P1335">
        <v>1.6793835001666668E-3</v>
      </c>
      <c r="Q1335">
        <v>4.4169504331110178E-3</v>
      </c>
      <c r="R1335">
        <v>2750000.0039900001</v>
      </c>
      <c r="S1335">
        <v>0</v>
      </c>
      <c r="T1335">
        <v>0</v>
      </c>
      <c r="V1335">
        <v>5400</v>
      </c>
      <c r="W1335">
        <v>10</v>
      </c>
      <c r="X1335">
        <v>85</v>
      </c>
      <c r="Y1335">
        <v>4</v>
      </c>
      <c r="Z1335">
        <v>4</v>
      </c>
      <c r="AA1335">
        <v>5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80</v>
      </c>
      <c r="AM1335">
        <v>53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70</v>
      </c>
      <c r="AU1335">
        <v>0</v>
      </c>
      <c r="AV1335">
        <v>0</v>
      </c>
    </row>
    <row r="1336" spans="1:48" x14ac:dyDescent="0.15">
      <c r="A1336" s="4" t="str">
        <f>HYPERLINK("https://ibp.a2mac1.com/costing(costing:projects/details/9760/equipment/12213608)","Manufacturing Equipment")</f>
        <v>Manufacturing Equipment</v>
      </c>
      <c r="B1336">
        <v>12213608</v>
      </c>
      <c r="C1336">
        <v>12086463</v>
      </c>
      <c r="E1336" t="s">
        <v>1596</v>
      </c>
      <c r="H1336" t="s">
        <v>162</v>
      </c>
      <c r="I1336">
        <v>373962.17573865002</v>
      </c>
      <c r="J1336">
        <v>0</v>
      </c>
      <c r="K1336">
        <v>3.3919999999999999</v>
      </c>
      <c r="L1336">
        <v>0</v>
      </c>
      <c r="M1336">
        <v>85.594214069133713</v>
      </c>
      <c r="N1336">
        <v>0</v>
      </c>
      <c r="O1336">
        <v>2.9650073515253669E-3</v>
      </c>
      <c r="P1336">
        <v>1.4311561483333334E-4</v>
      </c>
      <c r="Q1336">
        <v>4.4169504331110178E-3</v>
      </c>
      <c r="R1336">
        <v>2750000.0039900001</v>
      </c>
      <c r="S1336">
        <v>0</v>
      </c>
      <c r="T1336">
        <v>0</v>
      </c>
      <c r="V1336">
        <v>5400</v>
      </c>
      <c r="W1336">
        <v>10</v>
      </c>
      <c r="X1336">
        <v>85</v>
      </c>
      <c r="Y1336">
        <v>4</v>
      </c>
      <c r="Z1336">
        <v>4</v>
      </c>
      <c r="AA1336">
        <v>5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80</v>
      </c>
      <c r="AM1336">
        <v>53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70</v>
      </c>
      <c r="AU1336">
        <v>0</v>
      </c>
      <c r="AV1336">
        <v>0</v>
      </c>
    </row>
    <row r="1337" spans="1:48" x14ac:dyDescent="0.15">
      <c r="A1337" s="4" t="str">
        <f>HYPERLINK("https://ibp.a2mac1.com/costing(costing:projects/details/9760/equipment/12213519)","Manufacturing Equipment")</f>
        <v>Manufacturing Equipment</v>
      </c>
      <c r="B1337">
        <v>12213519</v>
      </c>
      <c r="C1337">
        <v>12086319</v>
      </c>
      <c r="E1337" t="s">
        <v>1596</v>
      </c>
      <c r="H1337" t="s">
        <v>162</v>
      </c>
      <c r="I1337">
        <v>373962.17627729999</v>
      </c>
      <c r="J1337">
        <v>0</v>
      </c>
      <c r="K1337">
        <v>3.3919999999999999</v>
      </c>
      <c r="L1337">
        <v>0</v>
      </c>
      <c r="M1337">
        <v>85.594214187769211</v>
      </c>
      <c r="N1337">
        <v>0</v>
      </c>
      <c r="O1337">
        <v>31.046395273041604</v>
      </c>
      <c r="P1337">
        <v>1.498554106254</v>
      </c>
      <c r="Q1337">
        <v>8.833900876899229E-3</v>
      </c>
      <c r="R1337">
        <v>2750000.0079800002</v>
      </c>
      <c r="S1337">
        <v>0</v>
      </c>
      <c r="T1337">
        <v>0</v>
      </c>
      <c r="V1337">
        <v>5400</v>
      </c>
      <c r="W1337">
        <v>10</v>
      </c>
      <c r="X1337">
        <v>85</v>
      </c>
      <c r="Y1337">
        <v>4</v>
      </c>
      <c r="Z1337">
        <v>4</v>
      </c>
      <c r="AA1337">
        <v>5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80</v>
      </c>
      <c r="AM1337">
        <v>53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70</v>
      </c>
      <c r="AU1337">
        <v>0</v>
      </c>
      <c r="AV1337">
        <v>0</v>
      </c>
    </row>
    <row r="1338" spans="1:48" x14ac:dyDescent="0.15">
      <c r="A1338" s="4" t="str">
        <f>HYPERLINK("https://ibp.a2mac1.com/costing(costing:projects/details/9760/equipment/12213520)","Manufacturing Equipment")</f>
        <v>Manufacturing Equipment</v>
      </c>
      <c r="B1338">
        <v>12213520</v>
      </c>
      <c r="C1338">
        <v>12086320</v>
      </c>
      <c r="E1338" t="s">
        <v>1596</v>
      </c>
      <c r="H1338" t="s">
        <v>162</v>
      </c>
      <c r="I1338">
        <v>373962.17573865002</v>
      </c>
      <c r="J1338">
        <v>0</v>
      </c>
      <c r="K1338">
        <v>3.3919999999999999</v>
      </c>
      <c r="L1338">
        <v>0</v>
      </c>
      <c r="M1338">
        <v>85.594214069133713</v>
      </c>
      <c r="N1338">
        <v>0</v>
      </c>
      <c r="O1338">
        <v>1.0074051444356671</v>
      </c>
      <c r="P1338">
        <v>4.8625648957666669E-2</v>
      </c>
      <c r="Q1338">
        <v>4.4169504331110178E-3</v>
      </c>
      <c r="R1338">
        <v>2750000.0039900001</v>
      </c>
      <c r="S1338">
        <v>0</v>
      </c>
      <c r="T1338">
        <v>0</v>
      </c>
      <c r="V1338">
        <v>5400</v>
      </c>
      <c r="W1338">
        <v>10</v>
      </c>
      <c r="X1338">
        <v>85</v>
      </c>
      <c r="Y1338">
        <v>4</v>
      </c>
      <c r="Z1338">
        <v>4</v>
      </c>
      <c r="AA1338">
        <v>5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80</v>
      </c>
      <c r="AM1338">
        <v>53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70</v>
      </c>
      <c r="AU1338">
        <v>0</v>
      </c>
      <c r="AV1338">
        <v>0</v>
      </c>
    </row>
    <row r="1339" spans="1:48" x14ac:dyDescent="0.15">
      <c r="A1339" s="4" t="str">
        <f>HYPERLINK("https://ibp.a2mac1.com/costing(costing:projects/details/9760/equipment/12213521)","Manufacturing Equipment")</f>
        <v>Manufacturing Equipment</v>
      </c>
      <c r="B1339">
        <v>12213521</v>
      </c>
      <c r="C1339">
        <v>12086321</v>
      </c>
      <c r="E1339" t="s">
        <v>1596</v>
      </c>
      <c r="H1339" t="s">
        <v>162</v>
      </c>
      <c r="I1339">
        <v>373962.17573865002</v>
      </c>
      <c r="J1339">
        <v>0</v>
      </c>
      <c r="K1339">
        <v>3.3919999999999999</v>
      </c>
      <c r="L1339">
        <v>0</v>
      </c>
      <c r="M1339">
        <v>85.594214069133713</v>
      </c>
      <c r="N1339">
        <v>0</v>
      </c>
      <c r="O1339">
        <v>0.39430472609692657</v>
      </c>
      <c r="P1339">
        <v>1.9032385629E-2</v>
      </c>
      <c r="Q1339">
        <v>4.4169504331110178E-3</v>
      </c>
      <c r="R1339">
        <v>2750000.0039900001</v>
      </c>
      <c r="S1339">
        <v>0</v>
      </c>
      <c r="T1339">
        <v>0</v>
      </c>
      <c r="V1339">
        <v>5400</v>
      </c>
      <c r="W1339">
        <v>10</v>
      </c>
      <c r="X1339">
        <v>85</v>
      </c>
      <c r="Y1339">
        <v>4</v>
      </c>
      <c r="Z1339">
        <v>4</v>
      </c>
      <c r="AA1339">
        <v>5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80</v>
      </c>
      <c r="AM1339">
        <v>53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70</v>
      </c>
      <c r="AU1339">
        <v>0</v>
      </c>
      <c r="AV1339">
        <v>0</v>
      </c>
    </row>
    <row r="1340" spans="1:48" x14ac:dyDescent="0.15">
      <c r="A1340" s="4" t="str">
        <f>HYPERLINK("https://ibp.a2mac1.com/costing(costing:projects/details/9760/equipment/12212173)","BIW Shop")</f>
        <v>BIW Shop</v>
      </c>
      <c r="B1340">
        <v>12212173</v>
      </c>
      <c r="C1340">
        <v>12085081</v>
      </c>
      <c r="E1340" t="s">
        <v>8220</v>
      </c>
      <c r="H1340" t="s">
        <v>162</v>
      </c>
      <c r="I1340">
        <v>46135849.676826663</v>
      </c>
      <c r="J1340">
        <v>0</v>
      </c>
      <c r="K1340">
        <v>452.76159999999999</v>
      </c>
      <c r="L1340">
        <v>0</v>
      </c>
      <c r="M1340">
        <v>8340.7524077116286</v>
      </c>
      <c r="N1340">
        <v>0</v>
      </c>
      <c r="O1340">
        <v>108.89315643401294</v>
      </c>
      <c r="P1340">
        <v>7.9991686555555557</v>
      </c>
      <c r="Q1340">
        <v>0.14058383679519382</v>
      </c>
      <c r="R1340">
        <v>217930960</v>
      </c>
      <c r="S1340">
        <v>0</v>
      </c>
      <c r="T1340">
        <v>0</v>
      </c>
      <c r="U1340" t="s">
        <v>8221</v>
      </c>
      <c r="V1340">
        <v>600</v>
      </c>
      <c r="W1340">
        <v>6</v>
      </c>
      <c r="X1340">
        <v>95</v>
      </c>
      <c r="Y1340">
        <v>4</v>
      </c>
      <c r="Z1340">
        <v>4</v>
      </c>
      <c r="AA1340">
        <v>4</v>
      </c>
      <c r="AB1340">
        <v>0</v>
      </c>
      <c r="AC1340">
        <v>53</v>
      </c>
      <c r="AD1340">
        <v>11</v>
      </c>
      <c r="AE1340">
        <v>2</v>
      </c>
      <c r="AF1340">
        <v>0</v>
      </c>
      <c r="AG1340">
        <v>0</v>
      </c>
      <c r="AH1340">
        <v>0</v>
      </c>
      <c r="AI1340">
        <v>5</v>
      </c>
      <c r="AJ1340">
        <v>2</v>
      </c>
      <c r="AK1340">
        <v>0</v>
      </c>
      <c r="AL1340">
        <v>100</v>
      </c>
      <c r="AM1340">
        <v>5618</v>
      </c>
      <c r="AN1340">
        <v>0</v>
      </c>
      <c r="AO1340">
        <v>0</v>
      </c>
      <c r="AP1340">
        <v>0</v>
      </c>
      <c r="AQ1340">
        <v>120</v>
      </c>
      <c r="AR1340">
        <v>0</v>
      </c>
      <c r="AS1340">
        <v>0</v>
      </c>
      <c r="AT1340">
        <v>56431</v>
      </c>
      <c r="AU1340">
        <v>0</v>
      </c>
      <c r="AV1340">
        <v>0</v>
      </c>
    </row>
    <row r="1341" spans="1:48" x14ac:dyDescent="0.15">
      <c r="A1341" s="4" t="str">
        <f>HYPERLINK("https://ibp.a2mac1.com/costing(costing:projects/details/9760/equipment/12212159)","No.03 - GW0.5-250-1 - 0.5T ")</f>
        <v xml:space="preserve">No.03 - GW0.5-250-1 - 0.5T </v>
      </c>
      <c r="B1341">
        <v>12212159</v>
      </c>
      <c r="C1341">
        <v>12085067</v>
      </c>
      <c r="E1341" t="s">
        <v>1630</v>
      </c>
      <c r="H1341" t="s">
        <v>162</v>
      </c>
      <c r="I1341">
        <v>6942.4350400000003</v>
      </c>
      <c r="J1341">
        <v>0</v>
      </c>
      <c r="K1341">
        <v>29.41168</v>
      </c>
      <c r="L1341">
        <v>0</v>
      </c>
      <c r="M1341">
        <v>30.848908389585343</v>
      </c>
      <c r="N1341">
        <v>0</v>
      </c>
      <c r="O1341">
        <v>4.6766688044374796E-2</v>
      </c>
      <c r="P1341">
        <v>1.8936494466999999E-2</v>
      </c>
      <c r="Q1341">
        <v>3.701869006750241E-3</v>
      </c>
      <c r="R1341">
        <v>40000</v>
      </c>
      <c r="S1341">
        <v>0</v>
      </c>
      <c r="T1341">
        <v>0</v>
      </c>
      <c r="V1341">
        <v>7200</v>
      </c>
      <c r="W1341">
        <v>8</v>
      </c>
      <c r="X1341">
        <v>85</v>
      </c>
      <c r="Y1341">
        <v>3</v>
      </c>
      <c r="Z1341">
        <v>4</v>
      </c>
      <c r="AA1341">
        <v>5</v>
      </c>
      <c r="AB1341">
        <v>0</v>
      </c>
      <c r="AC1341">
        <v>1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96</v>
      </c>
      <c r="AM1341">
        <v>380</v>
      </c>
      <c r="AN1341">
        <v>0</v>
      </c>
      <c r="AO1341">
        <v>0</v>
      </c>
      <c r="AP1341">
        <v>0</v>
      </c>
      <c r="AQ1341">
        <v>1</v>
      </c>
      <c r="AR1341">
        <v>0</v>
      </c>
      <c r="AS1341">
        <v>0</v>
      </c>
      <c r="AT1341">
        <v>14</v>
      </c>
      <c r="AU1341">
        <v>0.2</v>
      </c>
      <c r="AV1341">
        <v>0</v>
      </c>
    </row>
    <row r="1342" spans="1:48" x14ac:dyDescent="0.15">
      <c r="A1342" s="4" t="str">
        <f>HYPERLINK("https://ibp.a2mac1.com/costing(costing:projects/details/9760/equipment/12212160)","No.01 - Moulding - 500x400x250 - 10kg/Mould With Cooling &amp; Sand Recycling Sys ")</f>
        <v xml:space="preserve">No.01 - Moulding - 500x400x250 - 10kg/Mould With Cooling &amp; Sand Recycling Sys </v>
      </c>
      <c r="B1342">
        <v>12212160</v>
      </c>
      <c r="C1342">
        <v>12085068</v>
      </c>
      <c r="E1342" t="s">
        <v>1630</v>
      </c>
      <c r="H1342" t="s">
        <v>162</v>
      </c>
      <c r="I1342">
        <v>187121.75200000001</v>
      </c>
      <c r="J1342">
        <v>0</v>
      </c>
      <c r="K1342">
        <v>14.98</v>
      </c>
      <c r="L1342">
        <v>0</v>
      </c>
      <c r="M1342">
        <v>53.090214079074251</v>
      </c>
      <c r="N1342">
        <v>0</v>
      </c>
      <c r="O1342">
        <v>0.17696738026358083</v>
      </c>
      <c r="P1342">
        <v>6.9180400000000003E-2</v>
      </c>
      <c r="Q1342">
        <v>9.3852832894889097E-3</v>
      </c>
      <c r="R1342">
        <v>1000000</v>
      </c>
      <c r="S1342">
        <v>0</v>
      </c>
      <c r="T1342">
        <v>0</v>
      </c>
      <c r="V1342">
        <v>7200</v>
      </c>
      <c r="W1342">
        <v>8</v>
      </c>
      <c r="X1342">
        <v>85</v>
      </c>
      <c r="Y1342">
        <v>3</v>
      </c>
      <c r="Z1342">
        <v>4</v>
      </c>
      <c r="AA1342">
        <v>5</v>
      </c>
      <c r="AB1342">
        <v>0</v>
      </c>
      <c r="AC1342">
        <v>1</v>
      </c>
      <c r="AD1342">
        <v>0</v>
      </c>
      <c r="AE1342">
        <v>0</v>
      </c>
      <c r="AF1342">
        <v>3</v>
      </c>
      <c r="AG1342">
        <v>0</v>
      </c>
      <c r="AH1342">
        <v>0</v>
      </c>
      <c r="AI1342">
        <v>2</v>
      </c>
      <c r="AJ1342">
        <v>0</v>
      </c>
      <c r="AK1342">
        <v>0</v>
      </c>
      <c r="AL1342">
        <v>93</v>
      </c>
      <c r="AM1342">
        <v>200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700</v>
      </c>
      <c r="AU1342">
        <v>0.1</v>
      </c>
      <c r="AV1342">
        <v>0</v>
      </c>
    </row>
    <row r="1343" spans="1:48" x14ac:dyDescent="0.15">
      <c r="A1343" s="4" t="str">
        <f>HYPERLINK("https://ibp.a2mac1.com/costing(costing:projects/details/9760/equipment/12212161)","No.01 - Headcutter - 500x400x400 - 15kg/Mould ")</f>
        <v xml:space="preserve">No.01 - Headcutter - 500x400x400 - 15kg/Mould </v>
      </c>
      <c r="B1343">
        <v>12212161</v>
      </c>
      <c r="C1343">
        <v>12085069</v>
      </c>
      <c r="E1343" t="s">
        <v>1630</v>
      </c>
      <c r="H1343" t="s">
        <v>162</v>
      </c>
      <c r="I1343">
        <v>2154.98144</v>
      </c>
      <c r="J1343">
        <v>0</v>
      </c>
      <c r="K1343">
        <v>0.32319999999999999</v>
      </c>
      <c r="L1343">
        <v>0</v>
      </c>
      <c r="M1343">
        <v>0.76999868852459019</v>
      </c>
      <c r="N1343">
        <v>0</v>
      </c>
      <c r="O1343">
        <v>2.7223560299016393E-3</v>
      </c>
      <c r="P1343">
        <v>4.4162912552E-2</v>
      </c>
      <c r="Q1343">
        <v>3.8835718032786883E-4</v>
      </c>
      <c r="R1343">
        <v>12500</v>
      </c>
      <c r="S1343">
        <v>0</v>
      </c>
      <c r="T1343">
        <v>0</v>
      </c>
      <c r="V1343">
        <v>900</v>
      </c>
      <c r="W1343">
        <v>8</v>
      </c>
      <c r="X1343">
        <v>85</v>
      </c>
      <c r="Y1343">
        <v>3</v>
      </c>
      <c r="Z1343">
        <v>4</v>
      </c>
      <c r="AA1343">
        <v>5</v>
      </c>
      <c r="AB1343">
        <v>0</v>
      </c>
      <c r="AC1343">
        <v>1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2</v>
      </c>
      <c r="AJ1343">
        <v>0</v>
      </c>
      <c r="AK1343">
        <v>0</v>
      </c>
      <c r="AL1343">
        <v>93</v>
      </c>
      <c r="AM1343">
        <v>3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4</v>
      </c>
      <c r="AU1343">
        <v>0.1</v>
      </c>
      <c r="AV1343">
        <v>0</v>
      </c>
    </row>
    <row r="1344" spans="1:48" x14ac:dyDescent="0.15">
      <c r="A1344" s="4" t="str">
        <f>HYPERLINK("https://ibp.a2mac1.com/costing(costing:projects/details/9760/equipment/12212162)","No.01 - Bodytrimming - 500x400x400 - 15kg/Mould ")</f>
        <v xml:space="preserve">No.01 - Bodytrimming - 500x400x400 - 15kg/Mould </v>
      </c>
      <c r="B1344">
        <v>12212162</v>
      </c>
      <c r="C1344">
        <v>12085070</v>
      </c>
      <c r="E1344" t="s">
        <v>1630</v>
      </c>
      <c r="H1344" t="s">
        <v>162</v>
      </c>
      <c r="I1344">
        <v>432.47215999999997</v>
      </c>
      <c r="J1344">
        <v>0</v>
      </c>
      <c r="K1344">
        <v>0.51136000000000004</v>
      </c>
      <c r="L1344">
        <v>0</v>
      </c>
      <c r="M1344">
        <v>0.59091193828351007</v>
      </c>
      <c r="N1344">
        <v>0</v>
      </c>
      <c r="O1344">
        <v>3.4819814247765992E-3</v>
      </c>
      <c r="P1344">
        <v>7.3604854253333338E-2</v>
      </c>
      <c r="Q1344">
        <v>0</v>
      </c>
      <c r="R1344">
        <v>1250</v>
      </c>
      <c r="S1344">
        <v>0</v>
      </c>
      <c r="T1344">
        <v>0</v>
      </c>
      <c r="V1344">
        <v>0</v>
      </c>
      <c r="W1344">
        <v>8</v>
      </c>
      <c r="X1344">
        <v>85</v>
      </c>
      <c r="Y1344">
        <v>3</v>
      </c>
      <c r="Z1344">
        <v>4</v>
      </c>
      <c r="AA1344">
        <v>5</v>
      </c>
      <c r="AB1344">
        <v>0</v>
      </c>
      <c r="AC1344">
        <v>1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95</v>
      </c>
      <c r="AM1344">
        <v>6</v>
      </c>
      <c r="AN1344">
        <v>0</v>
      </c>
      <c r="AO1344">
        <v>0</v>
      </c>
      <c r="AP1344">
        <v>0</v>
      </c>
      <c r="AQ1344">
        <v>2</v>
      </c>
      <c r="AR1344">
        <v>0</v>
      </c>
      <c r="AS1344">
        <v>0</v>
      </c>
      <c r="AT1344">
        <v>6</v>
      </c>
      <c r="AU1344">
        <v>0</v>
      </c>
      <c r="AV1344">
        <v>0</v>
      </c>
    </row>
    <row r="1345" spans="1:48" x14ac:dyDescent="0.15">
      <c r="A1345" s="4" t="str">
        <f>HYPERLINK("https://ibp.a2mac1.com/costing(costing:projects/details/9760/equipment/12212163)","No.01 - Dimchecking - 500x400x400 - 15kg/Mould ")</f>
        <v xml:space="preserve">No.01 - Dimchecking - 500x400x400 - 15kg/Mould </v>
      </c>
      <c r="B1345">
        <v>12212163</v>
      </c>
      <c r="C1345">
        <v>12085071</v>
      </c>
      <c r="E1345" t="s">
        <v>1630</v>
      </c>
      <c r="H1345" t="s">
        <v>162</v>
      </c>
      <c r="I1345">
        <v>1974.9072000000001</v>
      </c>
      <c r="J1345">
        <v>0</v>
      </c>
      <c r="K1345">
        <v>0.83399999999999996</v>
      </c>
      <c r="L1345">
        <v>0</v>
      </c>
      <c r="M1345">
        <v>1.2116771456123432</v>
      </c>
      <c r="N1345">
        <v>0</v>
      </c>
      <c r="O1345">
        <v>9.9958248542847961E-3</v>
      </c>
      <c r="P1345">
        <v>0.10304679595466666</v>
      </c>
      <c r="Q1345">
        <v>0</v>
      </c>
      <c r="R1345">
        <v>7500</v>
      </c>
      <c r="S1345">
        <v>0</v>
      </c>
      <c r="T1345">
        <v>0</v>
      </c>
      <c r="V1345">
        <v>0</v>
      </c>
      <c r="W1345">
        <v>8</v>
      </c>
      <c r="X1345">
        <v>85</v>
      </c>
      <c r="Y1345">
        <v>3</v>
      </c>
      <c r="Z1345">
        <v>4</v>
      </c>
      <c r="AA1345">
        <v>5</v>
      </c>
      <c r="AB1345">
        <v>0</v>
      </c>
      <c r="AC1345">
        <v>1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98</v>
      </c>
      <c r="AM1345">
        <v>10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20</v>
      </c>
      <c r="AU1345">
        <v>0.05</v>
      </c>
      <c r="AV1345">
        <v>0</v>
      </c>
    </row>
    <row r="1346" spans="1:48" x14ac:dyDescent="0.15">
      <c r="A1346" s="4" t="str">
        <f>HYPERLINK("https://ibp.a2mac1.com/costing(costing:projects/details/9760/equipment/12212164)","No.01 - 1600x1200x800  ")</f>
        <v xml:space="preserve">No.01 - 1600x1200x800  </v>
      </c>
      <c r="B1346">
        <v>12212164</v>
      </c>
      <c r="C1346">
        <v>12085072</v>
      </c>
      <c r="E1346" t="s">
        <v>1630</v>
      </c>
      <c r="H1346" t="s">
        <v>162</v>
      </c>
      <c r="I1346">
        <v>2374.9072000000001</v>
      </c>
      <c r="J1346">
        <v>0</v>
      </c>
      <c r="K1346">
        <v>15.785360000000001</v>
      </c>
      <c r="L1346">
        <v>0</v>
      </c>
      <c r="M1346">
        <v>16.247415159112826</v>
      </c>
      <c r="N1346">
        <v>0</v>
      </c>
      <c r="O1346">
        <v>3.9586375718090646E-3</v>
      </c>
      <c r="P1346">
        <v>3.0434364363333332E-3</v>
      </c>
      <c r="Q1346">
        <v>0</v>
      </c>
      <c r="R1346">
        <v>10000</v>
      </c>
      <c r="S1346">
        <v>0</v>
      </c>
      <c r="T1346">
        <v>0</v>
      </c>
      <c r="V1346">
        <v>0</v>
      </c>
      <c r="W1346">
        <v>8</v>
      </c>
      <c r="X1346">
        <v>85</v>
      </c>
      <c r="Y1346">
        <v>3</v>
      </c>
      <c r="Z1346">
        <v>4</v>
      </c>
      <c r="AA1346">
        <v>5</v>
      </c>
      <c r="AB1346">
        <v>0</v>
      </c>
      <c r="AC1346">
        <v>1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98</v>
      </c>
      <c r="AM1346">
        <v>200</v>
      </c>
      <c r="AN1346">
        <v>0</v>
      </c>
      <c r="AO1346">
        <v>0</v>
      </c>
      <c r="AP1346">
        <v>0</v>
      </c>
      <c r="AQ1346">
        <v>2</v>
      </c>
      <c r="AR1346">
        <v>0</v>
      </c>
      <c r="AS1346">
        <v>0</v>
      </c>
      <c r="AT1346">
        <v>20</v>
      </c>
      <c r="AU1346">
        <v>0.05</v>
      </c>
      <c r="AV1346">
        <v>0</v>
      </c>
    </row>
    <row r="1347" spans="1:48" x14ac:dyDescent="0.15">
      <c r="A1347" s="4" t="str">
        <f>HYPERLINK("https://ibp.a2mac1.com/costing(costing:projects/details/9760/equipment/12212165)","No.03 - 350x320x120  ")</f>
        <v xml:space="preserve">No.03 - 350x320x120  </v>
      </c>
      <c r="B1347">
        <v>12212165</v>
      </c>
      <c r="C1347">
        <v>12085073</v>
      </c>
      <c r="E1347" t="s">
        <v>1630</v>
      </c>
      <c r="H1347" t="s">
        <v>162</v>
      </c>
      <c r="I1347">
        <v>6379.9257600000001</v>
      </c>
      <c r="J1347">
        <v>0</v>
      </c>
      <c r="K1347">
        <v>1.2916799999999999</v>
      </c>
      <c r="L1347">
        <v>0</v>
      </c>
      <c r="M1347">
        <v>2.6063578784956607</v>
      </c>
      <c r="N1347">
        <v>0</v>
      </c>
      <c r="O1347">
        <v>3.4344318039438125E-2</v>
      </c>
      <c r="P1347">
        <v>0.16459764611033334</v>
      </c>
      <c r="Q1347">
        <v>1.6636102727097396E-3</v>
      </c>
      <c r="R1347">
        <v>36000</v>
      </c>
      <c r="S1347">
        <v>0</v>
      </c>
      <c r="T1347">
        <v>0</v>
      </c>
      <c r="V1347">
        <v>3600</v>
      </c>
      <c r="W1347">
        <v>8</v>
      </c>
      <c r="X1347">
        <v>85</v>
      </c>
      <c r="Y1347">
        <v>3</v>
      </c>
      <c r="Z1347">
        <v>4</v>
      </c>
      <c r="AA1347">
        <v>5</v>
      </c>
      <c r="AB1347">
        <v>0</v>
      </c>
      <c r="AC1347">
        <v>1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2</v>
      </c>
      <c r="AJ1347">
        <v>0</v>
      </c>
      <c r="AK1347">
        <v>0</v>
      </c>
      <c r="AL1347">
        <v>97</v>
      </c>
      <c r="AM1347">
        <v>15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16</v>
      </c>
      <c r="AU1347">
        <v>0.1</v>
      </c>
      <c r="AV1347">
        <v>0</v>
      </c>
    </row>
    <row r="1348" spans="1:48" x14ac:dyDescent="0.15">
      <c r="A1348" s="4" t="str">
        <f>HYPERLINK("https://ibp.a2mac1.com/costing(costing:projects/details/9760/equipment/12212166)","No.03 - GW0.5-250-1 - 0.5T ")</f>
        <v xml:space="preserve">No.03 - GW0.5-250-1 - 0.5T </v>
      </c>
      <c r="B1348">
        <v>12212166</v>
      </c>
      <c r="C1348">
        <v>12085074</v>
      </c>
      <c r="E1348" t="s">
        <v>1630</v>
      </c>
      <c r="H1348" t="s">
        <v>162</v>
      </c>
      <c r="I1348">
        <v>6942.4350400000003</v>
      </c>
      <c r="J1348">
        <v>0</v>
      </c>
      <c r="K1348">
        <v>29.41168</v>
      </c>
      <c r="L1348">
        <v>0</v>
      </c>
      <c r="M1348">
        <v>30.848908389585343</v>
      </c>
      <c r="N1348">
        <v>0</v>
      </c>
      <c r="O1348">
        <v>4.6766688044374796E-2</v>
      </c>
      <c r="P1348">
        <v>1.8936494466999999E-2</v>
      </c>
      <c r="Q1348">
        <v>3.701869006750241E-3</v>
      </c>
      <c r="R1348">
        <v>40000</v>
      </c>
      <c r="S1348">
        <v>0</v>
      </c>
      <c r="T1348">
        <v>0</v>
      </c>
      <c r="V1348">
        <v>7200</v>
      </c>
      <c r="W1348">
        <v>8</v>
      </c>
      <c r="X1348">
        <v>85</v>
      </c>
      <c r="Y1348">
        <v>3</v>
      </c>
      <c r="Z1348">
        <v>4</v>
      </c>
      <c r="AA1348">
        <v>5</v>
      </c>
      <c r="AB1348">
        <v>0</v>
      </c>
      <c r="AC1348">
        <v>1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96</v>
      </c>
      <c r="AM1348">
        <v>380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14</v>
      </c>
      <c r="AU1348">
        <v>0.2</v>
      </c>
      <c r="AV1348">
        <v>0</v>
      </c>
    </row>
    <row r="1349" spans="1:48" x14ac:dyDescent="0.15">
      <c r="A1349" s="4" t="str">
        <f>HYPERLINK("https://ibp.a2mac1.com/costing(costing:projects/details/9760/equipment/12212167)","No.01 - Moulding - 500x400x250 - 10kg/Mould With Cooling &amp; Sand Recycling Sys ")</f>
        <v xml:space="preserve">No.01 - Moulding - 500x400x250 - 10kg/Mould With Cooling &amp; Sand Recycling Sys </v>
      </c>
      <c r="B1349">
        <v>12212167</v>
      </c>
      <c r="C1349">
        <v>12085075</v>
      </c>
      <c r="E1349" t="s">
        <v>1630</v>
      </c>
      <c r="H1349" t="s">
        <v>162</v>
      </c>
      <c r="I1349">
        <v>187121.75200000001</v>
      </c>
      <c r="J1349">
        <v>0</v>
      </c>
      <c r="K1349">
        <v>14.98</v>
      </c>
      <c r="L1349">
        <v>0</v>
      </c>
      <c r="M1349">
        <v>53.090214079074251</v>
      </c>
      <c r="N1349">
        <v>0</v>
      </c>
      <c r="O1349">
        <v>0.17696738026358083</v>
      </c>
      <c r="P1349">
        <v>6.9180400000000003E-2</v>
      </c>
      <c r="Q1349">
        <v>9.3852832894889097E-3</v>
      </c>
      <c r="R1349">
        <v>1000000</v>
      </c>
      <c r="S1349">
        <v>0</v>
      </c>
      <c r="T1349">
        <v>0</v>
      </c>
      <c r="V1349">
        <v>7200</v>
      </c>
      <c r="W1349">
        <v>8</v>
      </c>
      <c r="X1349">
        <v>85</v>
      </c>
      <c r="Y1349">
        <v>3</v>
      </c>
      <c r="Z1349">
        <v>4</v>
      </c>
      <c r="AA1349">
        <v>5</v>
      </c>
      <c r="AB1349">
        <v>0</v>
      </c>
      <c r="AC1349">
        <v>1</v>
      </c>
      <c r="AD1349">
        <v>0</v>
      </c>
      <c r="AE1349">
        <v>0</v>
      </c>
      <c r="AF1349">
        <v>3</v>
      </c>
      <c r="AG1349">
        <v>0</v>
      </c>
      <c r="AH1349">
        <v>0</v>
      </c>
      <c r="AI1349">
        <v>2</v>
      </c>
      <c r="AJ1349">
        <v>0</v>
      </c>
      <c r="AK1349">
        <v>0</v>
      </c>
      <c r="AL1349">
        <v>93</v>
      </c>
      <c r="AM1349">
        <v>200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700</v>
      </c>
      <c r="AU1349">
        <v>0.1</v>
      </c>
      <c r="AV1349">
        <v>0</v>
      </c>
    </row>
    <row r="1350" spans="1:48" x14ac:dyDescent="0.15">
      <c r="A1350" s="4" t="str">
        <f>HYPERLINK("https://ibp.a2mac1.com/costing(costing:projects/details/9760/equipment/12212168)","No.01 - Headcutter - 500x400x400 - 15kg/Mould ")</f>
        <v xml:space="preserve">No.01 - Headcutter - 500x400x400 - 15kg/Mould </v>
      </c>
      <c r="B1350">
        <v>12212168</v>
      </c>
      <c r="C1350">
        <v>12085076</v>
      </c>
      <c r="E1350" t="s">
        <v>1630</v>
      </c>
      <c r="H1350" t="s">
        <v>162</v>
      </c>
      <c r="I1350">
        <v>2154.98144</v>
      </c>
      <c r="J1350">
        <v>0</v>
      </c>
      <c r="K1350">
        <v>0.32319999999999999</v>
      </c>
      <c r="L1350">
        <v>0</v>
      </c>
      <c r="M1350">
        <v>0.76999868852459019</v>
      </c>
      <c r="N1350">
        <v>0</v>
      </c>
      <c r="O1350">
        <v>2.7223560299016393E-3</v>
      </c>
      <c r="P1350">
        <v>4.4162912552E-2</v>
      </c>
      <c r="Q1350">
        <v>3.8835718032786883E-4</v>
      </c>
      <c r="R1350">
        <v>12500</v>
      </c>
      <c r="S1350">
        <v>0</v>
      </c>
      <c r="T1350">
        <v>0</v>
      </c>
      <c r="V1350">
        <v>900</v>
      </c>
      <c r="W1350">
        <v>8</v>
      </c>
      <c r="X1350">
        <v>85</v>
      </c>
      <c r="Y1350">
        <v>3</v>
      </c>
      <c r="Z1350">
        <v>4</v>
      </c>
      <c r="AA1350">
        <v>5</v>
      </c>
      <c r="AB1350">
        <v>0</v>
      </c>
      <c r="AC1350">
        <v>1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2</v>
      </c>
      <c r="AJ1350">
        <v>0</v>
      </c>
      <c r="AK1350">
        <v>0</v>
      </c>
      <c r="AL1350">
        <v>93</v>
      </c>
      <c r="AM1350">
        <v>3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4</v>
      </c>
      <c r="AU1350">
        <v>0.1</v>
      </c>
      <c r="AV1350">
        <v>0</v>
      </c>
    </row>
    <row r="1351" spans="1:48" x14ac:dyDescent="0.15">
      <c r="A1351" s="4" t="str">
        <f>HYPERLINK("https://ibp.a2mac1.com/costing(costing:projects/details/9760/equipment/12212169)","No.01 - Bodytrimming - 500x400x400 - 15kg/Mould ")</f>
        <v xml:space="preserve">No.01 - Bodytrimming - 500x400x400 - 15kg/Mould </v>
      </c>
      <c r="B1351">
        <v>12212169</v>
      </c>
      <c r="C1351">
        <v>12085077</v>
      </c>
      <c r="E1351" t="s">
        <v>1630</v>
      </c>
      <c r="H1351" t="s">
        <v>162</v>
      </c>
      <c r="I1351">
        <v>432.47215999999997</v>
      </c>
      <c r="J1351">
        <v>0</v>
      </c>
      <c r="K1351">
        <v>0.51136000000000004</v>
      </c>
      <c r="L1351">
        <v>0</v>
      </c>
      <c r="M1351">
        <v>0.59091193828351007</v>
      </c>
      <c r="N1351">
        <v>0</v>
      </c>
      <c r="O1351">
        <v>3.4819814247765992E-3</v>
      </c>
      <c r="P1351">
        <v>7.3604854253333338E-2</v>
      </c>
      <c r="Q1351">
        <v>0</v>
      </c>
      <c r="R1351">
        <v>1250</v>
      </c>
      <c r="S1351">
        <v>0</v>
      </c>
      <c r="T1351">
        <v>0</v>
      </c>
      <c r="V1351">
        <v>0</v>
      </c>
      <c r="W1351">
        <v>8</v>
      </c>
      <c r="X1351">
        <v>85</v>
      </c>
      <c r="Y1351">
        <v>3</v>
      </c>
      <c r="Z1351">
        <v>4</v>
      </c>
      <c r="AA1351">
        <v>5</v>
      </c>
      <c r="AB1351">
        <v>0</v>
      </c>
      <c r="AC1351">
        <v>1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95</v>
      </c>
      <c r="AM1351">
        <v>6</v>
      </c>
      <c r="AN1351">
        <v>0</v>
      </c>
      <c r="AO1351">
        <v>0</v>
      </c>
      <c r="AP1351">
        <v>0</v>
      </c>
      <c r="AQ1351">
        <v>2</v>
      </c>
      <c r="AR1351">
        <v>0</v>
      </c>
      <c r="AS1351">
        <v>0</v>
      </c>
      <c r="AT1351">
        <v>6</v>
      </c>
      <c r="AU1351">
        <v>0</v>
      </c>
      <c r="AV1351">
        <v>0</v>
      </c>
    </row>
    <row r="1352" spans="1:48" x14ac:dyDescent="0.15">
      <c r="A1352" s="4" t="str">
        <f>HYPERLINK("https://ibp.a2mac1.com/costing(costing:projects/details/9760/equipment/12212170)","No.01 - Dimchecking - 500x400x400 - 15kg/Mould ")</f>
        <v xml:space="preserve">No.01 - Dimchecking - 500x400x400 - 15kg/Mould </v>
      </c>
      <c r="B1352">
        <v>12212170</v>
      </c>
      <c r="C1352">
        <v>12085078</v>
      </c>
      <c r="E1352" t="s">
        <v>1630</v>
      </c>
      <c r="H1352" t="s">
        <v>162</v>
      </c>
      <c r="I1352">
        <v>1974.9072000000001</v>
      </c>
      <c r="J1352">
        <v>0</v>
      </c>
      <c r="K1352">
        <v>0.83399999999999996</v>
      </c>
      <c r="L1352">
        <v>0</v>
      </c>
      <c r="M1352">
        <v>1.2116771456123432</v>
      </c>
      <c r="N1352">
        <v>0</v>
      </c>
      <c r="O1352">
        <v>9.9958248542847961E-3</v>
      </c>
      <c r="P1352">
        <v>0.10304679595466666</v>
      </c>
      <c r="Q1352">
        <v>0</v>
      </c>
      <c r="R1352">
        <v>7500</v>
      </c>
      <c r="S1352">
        <v>0</v>
      </c>
      <c r="T1352">
        <v>0</v>
      </c>
      <c r="V1352">
        <v>0</v>
      </c>
      <c r="W1352">
        <v>8</v>
      </c>
      <c r="X1352">
        <v>85</v>
      </c>
      <c r="Y1352">
        <v>3</v>
      </c>
      <c r="Z1352">
        <v>4</v>
      </c>
      <c r="AA1352">
        <v>5</v>
      </c>
      <c r="AB1352">
        <v>0</v>
      </c>
      <c r="AC1352">
        <v>1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98</v>
      </c>
      <c r="AM1352">
        <v>10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20</v>
      </c>
      <c r="AU1352">
        <v>0.05</v>
      </c>
      <c r="AV1352">
        <v>0</v>
      </c>
    </row>
    <row r="1353" spans="1:48" x14ac:dyDescent="0.15">
      <c r="A1353" s="4" t="str">
        <f>HYPERLINK("https://ibp.a2mac1.com/costing(costing:projects/details/9760/equipment/12212171)","No.01 - 1600x1200x800  ")</f>
        <v xml:space="preserve">No.01 - 1600x1200x800  </v>
      </c>
      <c r="B1353">
        <v>12212171</v>
      </c>
      <c r="C1353">
        <v>12085079</v>
      </c>
      <c r="E1353" t="s">
        <v>1630</v>
      </c>
      <c r="H1353" t="s">
        <v>162</v>
      </c>
      <c r="I1353">
        <v>2374.9072000000001</v>
      </c>
      <c r="J1353">
        <v>0</v>
      </c>
      <c r="K1353">
        <v>15.785360000000001</v>
      </c>
      <c r="L1353">
        <v>0</v>
      </c>
      <c r="M1353">
        <v>16.247415159112826</v>
      </c>
      <c r="N1353">
        <v>0</v>
      </c>
      <c r="O1353">
        <v>3.9586375718090646E-3</v>
      </c>
      <c r="P1353">
        <v>3.0434364363333332E-3</v>
      </c>
      <c r="Q1353">
        <v>0</v>
      </c>
      <c r="R1353">
        <v>10000</v>
      </c>
      <c r="S1353">
        <v>0</v>
      </c>
      <c r="T1353">
        <v>0</v>
      </c>
      <c r="V1353">
        <v>0</v>
      </c>
      <c r="W1353">
        <v>8</v>
      </c>
      <c r="X1353">
        <v>85</v>
      </c>
      <c r="Y1353">
        <v>3</v>
      </c>
      <c r="Z1353">
        <v>4</v>
      </c>
      <c r="AA1353">
        <v>5</v>
      </c>
      <c r="AB1353">
        <v>0</v>
      </c>
      <c r="AC1353">
        <v>1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98</v>
      </c>
      <c r="AM1353">
        <v>200</v>
      </c>
      <c r="AN1353">
        <v>0</v>
      </c>
      <c r="AO1353">
        <v>0</v>
      </c>
      <c r="AP1353">
        <v>0</v>
      </c>
      <c r="AQ1353">
        <v>2</v>
      </c>
      <c r="AR1353">
        <v>0</v>
      </c>
      <c r="AS1353">
        <v>0</v>
      </c>
      <c r="AT1353">
        <v>20</v>
      </c>
      <c r="AU1353">
        <v>0.05</v>
      </c>
      <c r="AV1353">
        <v>0</v>
      </c>
    </row>
    <row r="1354" spans="1:48" x14ac:dyDescent="0.15">
      <c r="A1354" s="4" t="str">
        <f>HYPERLINK("https://ibp.a2mac1.com/costing(costing:projects/details/9760/equipment/12212172)","No.03 - 350x320x120  ")</f>
        <v xml:space="preserve">No.03 - 350x320x120  </v>
      </c>
      <c r="B1354">
        <v>12212172</v>
      </c>
      <c r="C1354">
        <v>12085080</v>
      </c>
      <c r="E1354" t="s">
        <v>1630</v>
      </c>
      <c r="H1354" t="s">
        <v>162</v>
      </c>
      <c r="I1354">
        <v>6379.9257600000001</v>
      </c>
      <c r="J1354">
        <v>0</v>
      </c>
      <c r="K1354">
        <v>1.2916799999999999</v>
      </c>
      <c r="L1354">
        <v>0</v>
      </c>
      <c r="M1354">
        <v>2.6063578784956607</v>
      </c>
      <c r="N1354">
        <v>0</v>
      </c>
      <c r="O1354">
        <v>3.4344318039438125E-2</v>
      </c>
      <c r="P1354">
        <v>0.16459764611033334</v>
      </c>
      <c r="Q1354">
        <v>1.6636102727097396E-3</v>
      </c>
      <c r="R1354">
        <v>36000</v>
      </c>
      <c r="S1354">
        <v>0</v>
      </c>
      <c r="T1354">
        <v>0</v>
      </c>
      <c r="V1354">
        <v>3600</v>
      </c>
      <c r="W1354">
        <v>8</v>
      </c>
      <c r="X1354">
        <v>85</v>
      </c>
      <c r="Y1354">
        <v>3</v>
      </c>
      <c r="Z1354">
        <v>4</v>
      </c>
      <c r="AA1354">
        <v>5</v>
      </c>
      <c r="AB1354">
        <v>0</v>
      </c>
      <c r="AC1354">
        <v>1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2</v>
      </c>
      <c r="AJ1354">
        <v>0</v>
      </c>
      <c r="AK1354">
        <v>0</v>
      </c>
      <c r="AL1354">
        <v>97</v>
      </c>
      <c r="AM1354">
        <v>15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16</v>
      </c>
      <c r="AU1354">
        <v>0.1</v>
      </c>
      <c r="AV1354">
        <v>0</v>
      </c>
    </row>
    <row r="1355" spans="1:48" x14ac:dyDescent="0.15">
      <c r="A1355" s="4" t="str">
        <f>HYPERLINK("https://ibp.a2mac1.com/costing(costing:projects/details/9760/equipment/12212474)","Manufacturing Equipment")</f>
        <v>Manufacturing Equipment</v>
      </c>
      <c r="B1355">
        <v>12212474</v>
      </c>
      <c r="C1355">
        <v>12085378</v>
      </c>
      <c r="H1355" t="s">
        <v>162</v>
      </c>
      <c r="I1355">
        <v>373962.1752</v>
      </c>
      <c r="J1355">
        <v>0</v>
      </c>
      <c r="K1355">
        <v>3.3919999999999999</v>
      </c>
      <c r="L1355">
        <v>0</v>
      </c>
      <c r="M1355">
        <v>85.594213950498229</v>
      </c>
      <c r="N1355">
        <v>0</v>
      </c>
      <c r="O1355">
        <v>2.0037248843253509E-2</v>
      </c>
      <c r="P1355">
        <v>9.671622535E-4</v>
      </c>
      <c r="Q1355">
        <v>8.8339008555448403E-3</v>
      </c>
      <c r="R1355">
        <v>2750000</v>
      </c>
      <c r="S1355">
        <v>0</v>
      </c>
      <c r="T1355">
        <v>0</v>
      </c>
      <c r="V1355">
        <v>5400</v>
      </c>
      <c r="W1355">
        <v>10</v>
      </c>
      <c r="X1355">
        <v>85</v>
      </c>
      <c r="Y1355">
        <v>4</v>
      </c>
      <c r="Z1355">
        <v>4</v>
      </c>
      <c r="AA1355">
        <v>5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80</v>
      </c>
      <c r="AM1355">
        <v>53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70</v>
      </c>
      <c r="AU1355">
        <v>0</v>
      </c>
      <c r="AV1355">
        <v>0</v>
      </c>
    </row>
    <row r="1356" spans="1:48" x14ac:dyDescent="0.15">
      <c r="A1356" s="4" t="str">
        <f>HYPERLINK("https://ibp.a2mac1.com/costing(costing:projects/details/9760/equipment/12212475)","Manufacturing Equipment")</f>
        <v>Manufacturing Equipment</v>
      </c>
      <c r="B1356">
        <v>12212475</v>
      </c>
      <c r="C1356">
        <v>12085379</v>
      </c>
      <c r="H1356" t="s">
        <v>162</v>
      </c>
      <c r="I1356">
        <v>373962.1752</v>
      </c>
      <c r="J1356">
        <v>0</v>
      </c>
      <c r="K1356">
        <v>3.3919999999999999</v>
      </c>
      <c r="L1356">
        <v>0</v>
      </c>
      <c r="M1356">
        <v>85.594213950498229</v>
      </c>
      <c r="N1356">
        <v>0</v>
      </c>
      <c r="O1356">
        <v>1.4409191514302833E-2</v>
      </c>
      <c r="P1356">
        <v>6.9550596716666665E-4</v>
      </c>
      <c r="Q1356">
        <v>8.8339008555448403E-3</v>
      </c>
      <c r="R1356">
        <v>2750000</v>
      </c>
      <c r="S1356">
        <v>0</v>
      </c>
      <c r="T1356">
        <v>0</v>
      </c>
      <c r="V1356">
        <v>5400</v>
      </c>
      <c r="W1356">
        <v>10</v>
      </c>
      <c r="X1356">
        <v>85</v>
      </c>
      <c r="Y1356">
        <v>4</v>
      </c>
      <c r="Z1356">
        <v>4</v>
      </c>
      <c r="AA1356">
        <v>5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80</v>
      </c>
      <c r="AM1356">
        <v>53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70</v>
      </c>
      <c r="AU1356">
        <v>0</v>
      </c>
      <c r="AV1356">
        <v>0</v>
      </c>
    </row>
    <row r="1357" spans="1:48" x14ac:dyDescent="0.15">
      <c r="A1357" s="4" t="str">
        <f>HYPERLINK("https://ibp.a2mac1.com/costing(costing:projects/details/9760/equipment/12212476)","Manufacturing Equipment")</f>
        <v>Manufacturing Equipment</v>
      </c>
      <c r="B1357">
        <v>12212476</v>
      </c>
      <c r="C1357">
        <v>12085380</v>
      </c>
      <c r="H1357" t="s">
        <v>162</v>
      </c>
      <c r="I1357">
        <v>373962.1752</v>
      </c>
      <c r="J1357">
        <v>0</v>
      </c>
      <c r="K1357">
        <v>3.3919999999999999</v>
      </c>
      <c r="L1357">
        <v>0</v>
      </c>
      <c r="M1357">
        <v>85.594213950498229</v>
      </c>
      <c r="N1357">
        <v>0</v>
      </c>
      <c r="O1357">
        <v>1.4982316105213044E-2</v>
      </c>
      <c r="P1357">
        <v>7.231696686666667E-4</v>
      </c>
      <c r="Q1357">
        <v>8.8339008555448403E-3</v>
      </c>
      <c r="R1357">
        <v>2750000</v>
      </c>
      <c r="S1357">
        <v>0</v>
      </c>
      <c r="T1357">
        <v>0</v>
      </c>
      <c r="V1357">
        <v>5400</v>
      </c>
      <c r="W1357">
        <v>10</v>
      </c>
      <c r="X1357">
        <v>85</v>
      </c>
      <c r="Y1357">
        <v>4</v>
      </c>
      <c r="Z1357">
        <v>4</v>
      </c>
      <c r="AA1357">
        <v>5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80</v>
      </c>
      <c r="AM1357">
        <v>53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70</v>
      </c>
      <c r="AU1357">
        <v>0</v>
      </c>
      <c r="AV1357">
        <v>0</v>
      </c>
    </row>
    <row r="1358" spans="1:48" x14ac:dyDescent="0.15">
      <c r="A1358" s="4" t="str">
        <f>HYPERLINK("https://ibp.a2mac1.com/costing(costing:projects/details/9760/equipment/12212477)","Manufacturing Equipment")</f>
        <v>Manufacturing Equipment</v>
      </c>
      <c r="B1358">
        <v>12212477</v>
      </c>
      <c r="C1358">
        <v>12085381</v>
      </c>
      <c r="H1358" t="s">
        <v>162</v>
      </c>
      <c r="I1358">
        <v>373962.1752</v>
      </c>
      <c r="J1358">
        <v>0</v>
      </c>
      <c r="K1358">
        <v>3.3919999999999999</v>
      </c>
      <c r="L1358">
        <v>0</v>
      </c>
      <c r="M1358">
        <v>85.594213950498229</v>
      </c>
      <c r="N1358">
        <v>0</v>
      </c>
      <c r="O1358">
        <v>5.1629954331529702E-3</v>
      </c>
      <c r="P1358">
        <v>2.4920857833333332E-4</v>
      </c>
      <c r="Q1358">
        <v>8.8339008555448403E-3</v>
      </c>
      <c r="R1358">
        <v>2750000</v>
      </c>
      <c r="S1358">
        <v>0</v>
      </c>
      <c r="T1358">
        <v>0</v>
      </c>
      <c r="V1358">
        <v>5400</v>
      </c>
      <c r="W1358">
        <v>10</v>
      </c>
      <c r="X1358">
        <v>85</v>
      </c>
      <c r="Y1358">
        <v>4</v>
      </c>
      <c r="Z1358">
        <v>4</v>
      </c>
      <c r="AA1358">
        <v>5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80</v>
      </c>
      <c r="AM1358">
        <v>53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70</v>
      </c>
      <c r="AU1358">
        <v>0</v>
      </c>
      <c r="AV1358">
        <v>0</v>
      </c>
    </row>
    <row r="1359" spans="1:48" x14ac:dyDescent="0.15">
      <c r="A1359" s="4" t="str">
        <f>HYPERLINK("https://ibp.a2mac1.com/costing(costing:projects/details/9760/equipment/12212478)","Manufacturing Equipment")</f>
        <v>Manufacturing Equipment</v>
      </c>
      <c r="B1359">
        <v>12212478</v>
      </c>
      <c r="C1359">
        <v>12085382</v>
      </c>
      <c r="H1359" t="s">
        <v>162</v>
      </c>
      <c r="I1359">
        <v>373962.1752</v>
      </c>
      <c r="J1359">
        <v>0</v>
      </c>
      <c r="K1359">
        <v>3.3919999999999999</v>
      </c>
      <c r="L1359">
        <v>0</v>
      </c>
      <c r="M1359">
        <v>85.594213950498229</v>
      </c>
      <c r="N1359">
        <v>0</v>
      </c>
      <c r="O1359">
        <v>1.2396538677939033E-2</v>
      </c>
      <c r="P1359">
        <v>5.9835880550000004E-4</v>
      </c>
      <c r="Q1359">
        <v>8.8339008555448403E-3</v>
      </c>
      <c r="R1359">
        <v>2750000</v>
      </c>
      <c r="S1359">
        <v>0</v>
      </c>
      <c r="T1359">
        <v>0</v>
      </c>
      <c r="V1359">
        <v>5400</v>
      </c>
      <c r="W1359">
        <v>10</v>
      </c>
      <c r="X1359">
        <v>85</v>
      </c>
      <c r="Y1359">
        <v>4</v>
      </c>
      <c r="Z1359">
        <v>4</v>
      </c>
      <c r="AA1359">
        <v>5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80</v>
      </c>
      <c r="AM1359">
        <v>53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70</v>
      </c>
      <c r="AU1359">
        <v>0</v>
      </c>
      <c r="AV1359">
        <v>0</v>
      </c>
    </row>
    <row r="1360" spans="1:48" x14ac:dyDescent="0.15">
      <c r="A1360" s="4" t="str">
        <f>HYPERLINK("https://ibp.a2mac1.com/costing(costing:projects/details/9760/equipment/12212479)","Manufacturing Equipment")</f>
        <v>Manufacturing Equipment</v>
      </c>
      <c r="B1360">
        <v>12212479</v>
      </c>
      <c r="C1360">
        <v>12085383</v>
      </c>
      <c r="H1360" t="s">
        <v>162</v>
      </c>
      <c r="I1360">
        <v>373962.1752</v>
      </c>
      <c r="J1360">
        <v>0</v>
      </c>
      <c r="K1360">
        <v>3.3919999999999999</v>
      </c>
      <c r="L1360">
        <v>0</v>
      </c>
      <c r="M1360">
        <v>85.594213950498229</v>
      </c>
      <c r="N1360">
        <v>0</v>
      </c>
      <c r="O1360">
        <v>5.1629954331529702E-3</v>
      </c>
      <c r="P1360">
        <v>2.4920857833333332E-4</v>
      </c>
      <c r="Q1360">
        <v>8.8339008555448403E-3</v>
      </c>
      <c r="R1360">
        <v>2750000</v>
      </c>
      <c r="S1360">
        <v>0</v>
      </c>
      <c r="T1360">
        <v>0</v>
      </c>
      <c r="V1360">
        <v>5400</v>
      </c>
      <c r="W1360">
        <v>10</v>
      </c>
      <c r="X1360">
        <v>85</v>
      </c>
      <c r="Y1360">
        <v>4</v>
      </c>
      <c r="Z1360">
        <v>4</v>
      </c>
      <c r="AA1360">
        <v>5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80</v>
      </c>
      <c r="AM1360">
        <v>53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70</v>
      </c>
      <c r="AU1360">
        <v>0</v>
      </c>
      <c r="AV1360">
        <v>0</v>
      </c>
    </row>
    <row r="1361" spans="1:48" x14ac:dyDescent="0.15">
      <c r="A1361" s="4" t="str">
        <f>HYPERLINK("https://ibp.a2mac1.com/costing(costing:projects/details/9760/equipment/12212480)","Manufacturing Equipment")</f>
        <v>Manufacturing Equipment</v>
      </c>
      <c r="B1361">
        <v>12212480</v>
      </c>
      <c r="C1361">
        <v>12085384</v>
      </c>
      <c r="H1361" t="s">
        <v>162</v>
      </c>
      <c r="I1361">
        <v>373962.1752</v>
      </c>
      <c r="J1361">
        <v>0</v>
      </c>
      <c r="K1361">
        <v>3.3919999999999999</v>
      </c>
      <c r="L1361">
        <v>0</v>
      </c>
      <c r="M1361">
        <v>85.594213950498229</v>
      </c>
      <c r="N1361">
        <v>0</v>
      </c>
      <c r="O1361">
        <v>2.3312654097092576E-2</v>
      </c>
      <c r="P1361">
        <v>1.1252602215000001E-3</v>
      </c>
      <c r="Q1361">
        <v>8.8339008555448403E-3</v>
      </c>
      <c r="R1361">
        <v>2750000</v>
      </c>
      <c r="S1361">
        <v>0</v>
      </c>
      <c r="T1361">
        <v>0</v>
      </c>
      <c r="V1361">
        <v>5400</v>
      </c>
      <c r="W1361">
        <v>10</v>
      </c>
      <c r="X1361">
        <v>85</v>
      </c>
      <c r="Y1361">
        <v>4</v>
      </c>
      <c r="Z1361">
        <v>4</v>
      </c>
      <c r="AA1361">
        <v>5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80</v>
      </c>
      <c r="AM1361">
        <v>53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70</v>
      </c>
      <c r="AU1361">
        <v>0</v>
      </c>
      <c r="AV1361">
        <v>0</v>
      </c>
    </row>
    <row r="1362" spans="1:48" x14ac:dyDescent="0.15">
      <c r="A1362" s="4" t="str">
        <f>HYPERLINK("https://ibp.a2mac1.com/costing(costing:projects/details/9760/equipment/12212255)","No.04 - 60000x6000x3500 - Automatic Painting Line - with 12x100kW on line ovens ")</f>
        <v xml:space="preserve">No.04 - 60000x6000x3500 - Automatic Painting Line - with 12x100kW on line ovens </v>
      </c>
      <c r="B1362">
        <v>12212255</v>
      </c>
      <c r="C1362">
        <v>12085163</v>
      </c>
      <c r="E1362" t="s">
        <v>1630</v>
      </c>
      <c r="G1362" t="s">
        <v>5227</v>
      </c>
      <c r="H1362" t="s">
        <v>162</v>
      </c>
      <c r="I1362">
        <v>1438767.4831983999</v>
      </c>
      <c r="J1362">
        <v>0</v>
      </c>
      <c r="K1362">
        <v>279.76751999999999</v>
      </c>
      <c r="L1362">
        <v>0</v>
      </c>
      <c r="M1362">
        <v>580.11587795530374</v>
      </c>
      <c r="N1362">
        <v>0</v>
      </c>
      <c r="O1362">
        <v>0.30939513490949533</v>
      </c>
      <c r="P1362">
        <v>1.5424192E-2</v>
      </c>
      <c r="Q1362">
        <v>0</v>
      </c>
      <c r="R1362">
        <v>8599999.9999899995</v>
      </c>
      <c r="S1362">
        <v>0</v>
      </c>
      <c r="T1362">
        <v>0</v>
      </c>
      <c r="V1362">
        <v>0</v>
      </c>
      <c r="W1362">
        <v>8</v>
      </c>
      <c r="X1362">
        <v>85</v>
      </c>
      <c r="Y1362">
        <v>3</v>
      </c>
      <c r="Z1362">
        <v>4</v>
      </c>
      <c r="AA1362">
        <v>5</v>
      </c>
      <c r="AB1362">
        <v>0</v>
      </c>
      <c r="AC1362">
        <v>0</v>
      </c>
      <c r="AD1362">
        <v>0</v>
      </c>
      <c r="AE1362">
        <v>0</v>
      </c>
      <c r="AF1362">
        <v>7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100</v>
      </c>
      <c r="AM1362">
        <v>3400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4</v>
      </c>
      <c r="AT1362">
        <v>1620</v>
      </c>
      <c r="AU1362">
        <v>5</v>
      </c>
      <c r="AV1362">
        <v>0</v>
      </c>
    </row>
    <row r="1363" spans="1:48" x14ac:dyDescent="0.15">
      <c r="A1363" s="4" t="str">
        <f>HYPERLINK("https://ibp.a2mac1.com/costing(costing:projects/details/9760/equipment/12212256)","Loading + Unloading, Retouching, Checking")</f>
        <v>Loading + Unloading, Retouching, Checking</v>
      </c>
      <c r="B1363">
        <v>12212256</v>
      </c>
      <c r="C1363">
        <v>12085163</v>
      </c>
      <c r="E1363" t="s">
        <v>1630</v>
      </c>
      <c r="H1363" t="s">
        <v>162</v>
      </c>
      <c r="I1363">
        <v>116.23608</v>
      </c>
      <c r="J1363">
        <v>0</v>
      </c>
      <c r="K1363">
        <v>0</v>
      </c>
      <c r="L1363">
        <v>0</v>
      </c>
      <c r="M1363">
        <v>1.8681465766634521E-2</v>
      </c>
      <c r="N1363">
        <v>0</v>
      </c>
      <c r="O1363">
        <v>9.9634484088717447E-6</v>
      </c>
      <c r="P1363">
        <v>2.6441472000000001E-2</v>
      </c>
      <c r="Q1363">
        <v>0</v>
      </c>
      <c r="R1363">
        <v>0</v>
      </c>
      <c r="S1363">
        <v>0</v>
      </c>
      <c r="T1363">
        <v>0</v>
      </c>
      <c r="V1363">
        <v>0</v>
      </c>
      <c r="W1363">
        <v>8</v>
      </c>
      <c r="X1363">
        <v>85</v>
      </c>
      <c r="Y1363">
        <v>3</v>
      </c>
      <c r="Z1363">
        <v>4</v>
      </c>
      <c r="AA1363">
        <v>5</v>
      </c>
      <c r="AB1363">
        <v>0</v>
      </c>
      <c r="AC1363">
        <v>0</v>
      </c>
      <c r="AD1363">
        <v>0</v>
      </c>
      <c r="AE1363">
        <v>0</v>
      </c>
      <c r="AF1363">
        <v>12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100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3</v>
      </c>
      <c r="AU1363">
        <v>0</v>
      </c>
      <c r="AV1363">
        <v>0</v>
      </c>
    </row>
    <row r="1364" spans="1:48" x14ac:dyDescent="0.15">
      <c r="A1364" s="4" t="str">
        <f>HYPERLINK("https://ibp.a2mac1.com/costing(costing:projects/details/9760/equipment/12212254)","Assembly Station ")</f>
        <v xml:space="preserve">Assembly Station </v>
      </c>
      <c r="B1364">
        <v>12212254</v>
      </c>
      <c r="C1364">
        <v>12085162</v>
      </c>
      <c r="E1364" t="s">
        <v>1630</v>
      </c>
      <c r="F1364" t="s">
        <v>5068</v>
      </c>
      <c r="G1364" t="s">
        <v>8</v>
      </c>
      <c r="H1364" t="s">
        <v>162</v>
      </c>
      <c r="I1364">
        <v>4824.9071999999996</v>
      </c>
      <c r="J1364">
        <v>0</v>
      </c>
      <c r="K1364">
        <v>0.10768</v>
      </c>
      <c r="L1364">
        <v>0</v>
      </c>
      <c r="M1364">
        <v>1.1242192478302797</v>
      </c>
      <c r="N1364">
        <v>0</v>
      </c>
      <c r="O1364">
        <v>5.6210962391513984E-2</v>
      </c>
      <c r="P1364">
        <v>0.20657400000000001</v>
      </c>
      <c r="Q1364">
        <v>2.2807432079717134E-4</v>
      </c>
      <c r="R1364">
        <v>30000</v>
      </c>
      <c r="S1364">
        <v>0</v>
      </c>
      <c r="T1364">
        <v>0</v>
      </c>
      <c r="V1364">
        <v>600</v>
      </c>
      <c r="W1364">
        <v>10</v>
      </c>
      <c r="X1364">
        <v>85</v>
      </c>
      <c r="Y1364">
        <v>3</v>
      </c>
      <c r="Z1364">
        <v>4</v>
      </c>
      <c r="AA1364">
        <v>5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100</v>
      </c>
      <c r="AM1364">
        <v>1</v>
      </c>
      <c r="AN1364">
        <v>0</v>
      </c>
      <c r="AO1364">
        <v>0</v>
      </c>
      <c r="AP1364">
        <v>0</v>
      </c>
      <c r="AQ1364">
        <v>1</v>
      </c>
      <c r="AR1364">
        <v>0</v>
      </c>
      <c r="AS1364">
        <v>0</v>
      </c>
      <c r="AT1364">
        <v>20</v>
      </c>
      <c r="AU1364">
        <v>0</v>
      </c>
      <c r="AV1364">
        <v>0</v>
      </c>
    </row>
    <row r="1365" spans="1:48" x14ac:dyDescent="0.15">
      <c r="A1365" s="4" t="str">
        <f>HYPERLINK("https://ibp.a2mac1.com/costing(costing:projects/details/9760/equipment/12212481)","Manufacturing Equipment")</f>
        <v>Manufacturing Equipment</v>
      </c>
      <c r="B1365">
        <v>12212481</v>
      </c>
      <c r="C1365">
        <v>12085385</v>
      </c>
      <c r="H1365" t="s">
        <v>162</v>
      </c>
      <c r="I1365">
        <v>373962.1752</v>
      </c>
      <c r="J1365">
        <v>0</v>
      </c>
      <c r="K1365">
        <v>3.3919999999999999</v>
      </c>
      <c r="L1365">
        <v>0</v>
      </c>
      <c r="M1365">
        <v>85.594213950498229</v>
      </c>
      <c r="N1365">
        <v>0</v>
      </c>
      <c r="O1365">
        <v>2.0037248843253509E-2</v>
      </c>
      <c r="P1365">
        <v>9.671622535E-4</v>
      </c>
      <c r="Q1365">
        <v>8.8339008555448403E-3</v>
      </c>
      <c r="R1365">
        <v>2750000</v>
      </c>
      <c r="S1365">
        <v>0</v>
      </c>
      <c r="T1365">
        <v>0</v>
      </c>
      <c r="V1365">
        <v>5400</v>
      </c>
      <c r="W1365">
        <v>10</v>
      </c>
      <c r="X1365">
        <v>85</v>
      </c>
      <c r="Y1365">
        <v>4</v>
      </c>
      <c r="Z1365">
        <v>4</v>
      </c>
      <c r="AA1365">
        <v>5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80</v>
      </c>
      <c r="AM1365">
        <v>53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70</v>
      </c>
      <c r="AU1365">
        <v>0</v>
      </c>
      <c r="AV1365">
        <v>0</v>
      </c>
    </row>
    <row r="1366" spans="1:48" x14ac:dyDescent="0.15">
      <c r="A1366" s="4" t="str">
        <f>HYPERLINK("https://ibp.a2mac1.com/costing(costing:projects/details/9760/equipment/12212482)","Manufacturing Equipment")</f>
        <v>Manufacturing Equipment</v>
      </c>
      <c r="B1366">
        <v>12212482</v>
      </c>
      <c r="C1366">
        <v>12085386</v>
      </c>
      <c r="H1366" t="s">
        <v>162</v>
      </c>
      <c r="I1366">
        <v>373962.1752</v>
      </c>
      <c r="J1366">
        <v>0</v>
      </c>
      <c r="K1366">
        <v>3.3919999999999999</v>
      </c>
      <c r="L1366">
        <v>0</v>
      </c>
      <c r="M1366">
        <v>85.594213950498229</v>
      </c>
      <c r="N1366">
        <v>0</v>
      </c>
      <c r="O1366">
        <v>1.4409191514302833E-2</v>
      </c>
      <c r="P1366">
        <v>6.9550596716666665E-4</v>
      </c>
      <c r="Q1366">
        <v>8.8339008555448403E-3</v>
      </c>
      <c r="R1366">
        <v>2750000</v>
      </c>
      <c r="S1366">
        <v>0</v>
      </c>
      <c r="T1366">
        <v>0</v>
      </c>
      <c r="V1366">
        <v>5400</v>
      </c>
      <c r="W1366">
        <v>10</v>
      </c>
      <c r="X1366">
        <v>85</v>
      </c>
      <c r="Y1366">
        <v>4</v>
      </c>
      <c r="Z1366">
        <v>4</v>
      </c>
      <c r="AA1366">
        <v>5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80</v>
      </c>
      <c r="AM1366">
        <v>53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70</v>
      </c>
      <c r="AU1366">
        <v>0</v>
      </c>
      <c r="AV1366">
        <v>0</v>
      </c>
    </row>
    <row r="1367" spans="1:48" x14ac:dyDescent="0.15">
      <c r="A1367" s="4" t="str">
        <f>HYPERLINK("https://ibp.a2mac1.com/costing(costing:projects/details/9760/equipment/12212483)","Manufacturing Equipment")</f>
        <v>Manufacturing Equipment</v>
      </c>
      <c r="B1367">
        <v>12212483</v>
      </c>
      <c r="C1367">
        <v>12085387</v>
      </c>
      <c r="H1367" t="s">
        <v>162</v>
      </c>
      <c r="I1367">
        <v>373962.1752</v>
      </c>
      <c r="J1367">
        <v>0</v>
      </c>
      <c r="K1367">
        <v>3.3919999999999999</v>
      </c>
      <c r="L1367">
        <v>0</v>
      </c>
      <c r="M1367">
        <v>85.594213950498229</v>
      </c>
      <c r="N1367">
        <v>0</v>
      </c>
      <c r="O1367">
        <v>1.4982316105213044E-2</v>
      </c>
      <c r="P1367">
        <v>7.231696686666667E-4</v>
      </c>
      <c r="Q1367">
        <v>8.8339008555448403E-3</v>
      </c>
      <c r="R1367">
        <v>2750000</v>
      </c>
      <c r="S1367">
        <v>0</v>
      </c>
      <c r="T1367">
        <v>0</v>
      </c>
      <c r="V1367">
        <v>5400</v>
      </c>
      <c r="W1367">
        <v>10</v>
      </c>
      <c r="X1367">
        <v>85</v>
      </c>
      <c r="Y1367">
        <v>4</v>
      </c>
      <c r="Z1367">
        <v>4</v>
      </c>
      <c r="AA1367">
        <v>5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80</v>
      </c>
      <c r="AM1367">
        <v>53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70</v>
      </c>
      <c r="AU1367">
        <v>0</v>
      </c>
      <c r="AV1367">
        <v>0</v>
      </c>
    </row>
    <row r="1368" spans="1:48" x14ac:dyDescent="0.15">
      <c r="A1368" s="4" t="str">
        <f>HYPERLINK("https://ibp.a2mac1.com/costing(costing:projects/details/9760/equipment/12212484)","Manufacturing Equipment")</f>
        <v>Manufacturing Equipment</v>
      </c>
      <c r="B1368">
        <v>12212484</v>
      </c>
      <c r="C1368">
        <v>12085388</v>
      </c>
      <c r="H1368" t="s">
        <v>162</v>
      </c>
      <c r="I1368">
        <v>373962.1752</v>
      </c>
      <c r="J1368">
        <v>0</v>
      </c>
      <c r="K1368">
        <v>3.3919999999999999</v>
      </c>
      <c r="L1368">
        <v>0</v>
      </c>
      <c r="M1368">
        <v>85.594213950498229</v>
      </c>
      <c r="N1368">
        <v>0</v>
      </c>
      <c r="O1368">
        <v>5.1629954331529702E-3</v>
      </c>
      <c r="P1368">
        <v>2.4920857833333332E-4</v>
      </c>
      <c r="Q1368">
        <v>8.8339008555448403E-3</v>
      </c>
      <c r="R1368">
        <v>2750000</v>
      </c>
      <c r="S1368">
        <v>0</v>
      </c>
      <c r="T1368">
        <v>0</v>
      </c>
      <c r="V1368">
        <v>5400</v>
      </c>
      <c r="W1368">
        <v>10</v>
      </c>
      <c r="X1368">
        <v>85</v>
      </c>
      <c r="Y1368">
        <v>4</v>
      </c>
      <c r="Z1368">
        <v>4</v>
      </c>
      <c r="AA1368">
        <v>5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80</v>
      </c>
      <c r="AM1368">
        <v>53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70</v>
      </c>
      <c r="AU1368">
        <v>0</v>
      </c>
      <c r="AV1368">
        <v>0</v>
      </c>
    </row>
    <row r="1369" spans="1:48" x14ac:dyDescent="0.15">
      <c r="A1369" s="4" t="str">
        <f>HYPERLINK("https://ibp.a2mac1.com/costing(costing:projects/details/9760/equipment/12212485)","Manufacturing Equipment")</f>
        <v>Manufacturing Equipment</v>
      </c>
      <c r="B1369">
        <v>12212485</v>
      </c>
      <c r="C1369">
        <v>12085389</v>
      </c>
      <c r="H1369" t="s">
        <v>162</v>
      </c>
      <c r="I1369">
        <v>373962.1752</v>
      </c>
      <c r="J1369">
        <v>0</v>
      </c>
      <c r="K1369">
        <v>3.3919999999999999</v>
      </c>
      <c r="L1369">
        <v>0</v>
      </c>
      <c r="M1369">
        <v>85.594213950498229</v>
      </c>
      <c r="N1369">
        <v>0</v>
      </c>
      <c r="O1369">
        <v>1.2396538677939033E-2</v>
      </c>
      <c r="P1369">
        <v>5.9835880550000004E-4</v>
      </c>
      <c r="Q1369">
        <v>8.8339008555448403E-3</v>
      </c>
      <c r="R1369">
        <v>2750000</v>
      </c>
      <c r="S1369">
        <v>0</v>
      </c>
      <c r="T1369">
        <v>0</v>
      </c>
      <c r="V1369">
        <v>5400</v>
      </c>
      <c r="W1369">
        <v>10</v>
      </c>
      <c r="X1369">
        <v>85</v>
      </c>
      <c r="Y1369">
        <v>4</v>
      </c>
      <c r="Z1369">
        <v>4</v>
      </c>
      <c r="AA1369">
        <v>5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80</v>
      </c>
      <c r="AM1369">
        <v>53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70</v>
      </c>
      <c r="AU1369">
        <v>0</v>
      </c>
      <c r="AV1369">
        <v>0</v>
      </c>
    </row>
    <row r="1370" spans="1:48" x14ac:dyDescent="0.15">
      <c r="A1370" s="4" t="str">
        <f>HYPERLINK("https://ibp.a2mac1.com/costing(costing:projects/details/9760/equipment/12212486)","Manufacturing Equipment")</f>
        <v>Manufacturing Equipment</v>
      </c>
      <c r="B1370">
        <v>12212486</v>
      </c>
      <c r="C1370">
        <v>12085390</v>
      </c>
      <c r="H1370" t="s">
        <v>162</v>
      </c>
      <c r="I1370">
        <v>373962.1752</v>
      </c>
      <c r="J1370">
        <v>0</v>
      </c>
      <c r="K1370">
        <v>3.3919999999999999</v>
      </c>
      <c r="L1370">
        <v>0</v>
      </c>
      <c r="M1370">
        <v>85.594213950498229</v>
      </c>
      <c r="N1370">
        <v>0</v>
      </c>
      <c r="O1370">
        <v>5.1629954331529702E-3</v>
      </c>
      <c r="P1370">
        <v>2.4920857833333332E-4</v>
      </c>
      <c r="Q1370">
        <v>8.8339008555448403E-3</v>
      </c>
      <c r="R1370">
        <v>2750000</v>
      </c>
      <c r="S1370">
        <v>0</v>
      </c>
      <c r="T1370">
        <v>0</v>
      </c>
      <c r="V1370">
        <v>5400</v>
      </c>
      <c r="W1370">
        <v>10</v>
      </c>
      <c r="X1370">
        <v>85</v>
      </c>
      <c r="Y1370">
        <v>4</v>
      </c>
      <c r="Z1370">
        <v>4</v>
      </c>
      <c r="AA1370">
        <v>5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80</v>
      </c>
      <c r="AM1370">
        <v>53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70</v>
      </c>
      <c r="AU1370">
        <v>0</v>
      </c>
      <c r="AV1370">
        <v>0</v>
      </c>
    </row>
    <row r="1371" spans="1:48" x14ac:dyDescent="0.15">
      <c r="A1371" s="4" t="str">
        <f>HYPERLINK("https://ibp.a2mac1.com/costing(costing:projects/details/9760/equipment/12212487)","Manufacturing Equipment")</f>
        <v>Manufacturing Equipment</v>
      </c>
      <c r="B1371">
        <v>12212487</v>
      </c>
      <c r="C1371">
        <v>12085391</v>
      </c>
      <c r="H1371" t="s">
        <v>162</v>
      </c>
      <c r="I1371">
        <v>373962.1752</v>
      </c>
      <c r="J1371">
        <v>0</v>
      </c>
      <c r="K1371">
        <v>3.3919999999999999</v>
      </c>
      <c r="L1371">
        <v>0</v>
      </c>
      <c r="M1371">
        <v>85.594213950498229</v>
      </c>
      <c r="N1371">
        <v>0</v>
      </c>
      <c r="O1371">
        <v>2.3312654097092576E-2</v>
      </c>
      <c r="P1371">
        <v>1.1252602215000001E-3</v>
      </c>
      <c r="Q1371">
        <v>8.8339008555448403E-3</v>
      </c>
      <c r="R1371">
        <v>2750000</v>
      </c>
      <c r="S1371">
        <v>0</v>
      </c>
      <c r="T1371">
        <v>0</v>
      </c>
      <c r="V1371">
        <v>5400</v>
      </c>
      <c r="W1371">
        <v>10</v>
      </c>
      <c r="X1371">
        <v>85</v>
      </c>
      <c r="Y1371">
        <v>4</v>
      </c>
      <c r="Z1371">
        <v>4</v>
      </c>
      <c r="AA1371">
        <v>5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80</v>
      </c>
      <c r="AM1371">
        <v>53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70</v>
      </c>
      <c r="AU1371">
        <v>0</v>
      </c>
      <c r="AV1371">
        <v>0</v>
      </c>
    </row>
    <row r="1372" spans="1:48" x14ac:dyDescent="0.15">
      <c r="A1372" s="4" t="str">
        <f>HYPERLINK("https://ibp.a2mac1.com/costing(costing:projects/details/9760/equipment/12212257)","No.04 - 60000x6000x3500 - Automatic Painting Line - with 12x100kW on line ovens ")</f>
        <v xml:space="preserve">No.04 - 60000x6000x3500 - Automatic Painting Line - with 12x100kW on line ovens </v>
      </c>
      <c r="B1372">
        <v>12212257</v>
      </c>
      <c r="C1372">
        <v>12085164</v>
      </c>
      <c r="E1372" t="s">
        <v>1630</v>
      </c>
      <c r="G1372" t="s">
        <v>5227</v>
      </c>
      <c r="H1372" t="s">
        <v>162</v>
      </c>
      <c r="I1372">
        <v>1438767.4831983999</v>
      </c>
      <c r="J1372">
        <v>0</v>
      </c>
      <c r="K1372">
        <v>279.76751999999999</v>
      </c>
      <c r="L1372">
        <v>0</v>
      </c>
      <c r="M1372">
        <v>580.11587795530374</v>
      </c>
      <c r="N1372">
        <v>0</v>
      </c>
      <c r="O1372">
        <v>0.30939513490949533</v>
      </c>
      <c r="P1372">
        <v>1.5424192E-2</v>
      </c>
      <c r="Q1372">
        <v>0</v>
      </c>
      <c r="R1372">
        <v>8599999.9999899995</v>
      </c>
      <c r="S1372">
        <v>0</v>
      </c>
      <c r="T1372">
        <v>0</v>
      </c>
      <c r="V1372">
        <v>0</v>
      </c>
      <c r="W1372">
        <v>8</v>
      </c>
      <c r="X1372">
        <v>85</v>
      </c>
      <c r="Y1372">
        <v>3</v>
      </c>
      <c r="Z1372">
        <v>4</v>
      </c>
      <c r="AA1372">
        <v>5</v>
      </c>
      <c r="AB1372">
        <v>0</v>
      </c>
      <c r="AC1372">
        <v>0</v>
      </c>
      <c r="AD1372">
        <v>0</v>
      </c>
      <c r="AE1372">
        <v>0</v>
      </c>
      <c r="AF1372">
        <v>7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100</v>
      </c>
      <c r="AM1372">
        <v>3400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4</v>
      </c>
      <c r="AT1372">
        <v>1620</v>
      </c>
      <c r="AU1372">
        <v>5</v>
      </c>
      <c r="AV1372">
        <v>0</v>
      </c>
    </row>
    <row r="1373" spans="1:48" x14ac:dyDescent="0.15">
      <c r="A1373" s="4" t="str">
        <f>HYPERLINK("https://ibp.a2mac1.com/costing(costing:projects/details/9760/equipment/12212258)","Loading + Unloading, Retouching, Checking")</f>
        <v>Loading + Unloading, Retouching, Checking</v>
      </c>
      <c r="B1373">
        <v>12212258</v>
      </c>
      <c r="C1373">
        <v>12085164</v>
      </c>
      <c r="E1373" t="s">
        <v>1630</v>
      </c>
      <c r="H1373" t="s">
        <v>162</v>
      </c>
      <c r="I1373">
        <v>116.23608</v>
      </c>
      <c r="J1373">
        <v>0</v>
      </c>
      <c r="K1373">
        <v>0</v>
      </c>
      <c r="L1373">
        <v>0</v>
      </c>
      <c r="M1373">
        <v>1.8681465766634521E-2</v>
      </c>
      <c r="N1373">
        <v>0</v>
      </c>
      <c r="O1373">
        <v>9.9634484088717447E-6</v>
      </c>
      <c r="P1373">
        <v>2.6441472000000001E-2</v>
      </c>
      <c r="Q1373">
        <v>0</v>
      </c>
      <c r="R1373">
        <v>0</v>
      </c>
      <c r="S1373">
        <v>0</v>
      </c>
      <c r="T1373">
        <v>0</v>
      </c>
      <c r="V1373">
        <v>0</v>
      </c>
      <c r="W1373">
        <v>8</v>
      </c>
      <c r="X1373">
        <v>85</v>
      </c>
      <c r="Y1373">
        <v>3</v>
      </c>
      <c r="Z1373">
        <v>4</v>
      </c>
      <c r="AA1373">
        <v>5</v>
      </c>
      <c r="AB1373">
        <v>0</v>
      </c>
      <c r="AC1373">
        <v>0</v>
      </c>
      <c r="AD1373">
        <v>0</v>
      </c>
      <c r="AE1373">
        <v>0</v>
      </c>
      <c r="AF1373">
        <v>12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100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3</v>
      </c>
      <c r="AU1373">
        <v>0</v>
      </c>
      <c r="AV1373">
        <v>0</v>
      </c>
    </row>
    <row r="1374" spans="1:48" x14ac:dyDescent="0.15">
      <c r="A1374" s="4" t="str">
        <f>HYPERLINK("https://ibp.a2mac1.com/costing(costing:projects/details/9760/equipment/12212259)","Assembly Station ")</f>
        <v xml:space="preserve">Assembly Station </v>
      </c>
      <c r="B1374">
        <v>12212259</v>
      </c>
      <c r="C1374">
        <v>12085165</v>
      </c>
      <c r="E1374" t="s">
        <v>1630</v>
      </c>
      <c r="F1374" t="s">
        <v>5068</v>
      </c>
      <c r="G1374" t="s">
        <v>8</v>
      </c>
      <c r="H1374" t="s">
        <v>162</v>
      </c>
      <c r="I1374">
        <v>4824.9071999999996</v>
      </c>
      <c r="J1374">
        <v>0</v>
      </c>
      <c r="K1374">
        <v>0.10768</v>
      </c>
      <c r="L1374">
        <v>0</v>
      </c>
      <c r="M1374">
        <v>1.1242192478302797</v>
      </c>
      <c r="N1374">
        <v>0</v>
      </c>
      <c r="O1374">
        <v>5.6210962391513984E-2</v>
      </c>
      <c r="P1374">
        <v>0.20657400000000001</v>
      </c>
      <c r="Q1374">
        <v>2.2807432079717134E-4</v>
      </c>
      <c r="R1374">
        <v>30000</v>
      </c>
      <c r="S1374">
        <v>0</v>
      </c>
      <c r="T1374">
        <v>0</v>
      </c>
      <c r="V1374">
        <v>600</v>
      </c>
      <c r="W1374">
        <v>10</v>
      </c>
      <c r="X1374">
        <v>85</v>
      </c>
      <c r="Y1374">
        <v>3</v>
      </c>
      <c r="Z1374">
        <v>4</v>
      </c>
      <c r="AA1374">
        <v>5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100</v>
      </c>
      <c r="AM1374">
        <v>1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20</v>
      </c>
      <c r="AU1374">
        <v>0</v>
      </c>
      <c r="AV1374">
        <v>0</v>
      </c>
    </row>
    <row r="1375" spans="1:48" x14ac:dyDescent="0.15">
      <c r="A1375" s="4" t="str">
        <f>HYPERLINK("https://ibp.a2mac1.com/costing(costing:projects/details/9760/equipment/12212488)","Manufacturing Equipment")</f>
        <v>Manufacturing Equipment</v>
      </c>
      <c r="B1375">
        <v>12212488</v>
      </c>
      <c r="C1375">
        <v>12085392</v>
      </c>
      <c r="H1375" t="s">
        <v>162</v>
      </c>
      <c r="I1375">
        <v>373962.1752</v>
      </c>
      <c r="J1375">
        <v>0</v>
      </c>
      <c r="K1375">
        <v>3.3919999999999999</v>
      </c>
      <c r="L1375">
        <v>0</v>
      </c>
      <c r="M1375">
        <v>85.594213950498229</v>
      </c>
      <c r="N1375">
        <v>0</v>
      </c>
      <c r="O1375">
        <v>1.4982316105213044E-2</v>
      </c>
      <c r="P1375">
        <v>7.231696686666667E-4</v>
      </c>
      <c r="Q1375">
        <v>8.8339008555448403E-3</v>
      </c>
      <c r="R1375">
        <v>2750000</v>
      </c>
      <c r="S1375">
        <v>0</v>
      </c>
      <c r="T1375">
        <v>0</v>
      </c>
      <c r="V1375">
        <v>5400</v>
      </c>
      <c r="W1375">
        <v>10</v>
      </c>
      <c r="X1375">
        <v>85</v>
      </c>
      <c r="Y1375">
        <v>4</v>
      </c>
      <c r="Z1375">
        <v>4</v>
      </c>
      <c r="AA1375">
        <v>5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80</v>
      </c>
      <c r="AM1375">
        <v>53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70</v>
      </c>
      <c r="AU1375">
        <v>0</v>
      </c>
      <c r="AV1375">
        <v>0</v>
      </c>
    </row>
    <row r="1376" spans="1:48" x14ac:dyDescent="0.15">
      <c r="A1376" s="4" t="str">
        <f>HYPERLINK("https://ibp.a2mac1.com/costing(costing:projects/details/9760/equipment/12212489)","Manufacturing Equipment")</f>
        <v>Manufacturing Equipment</v>
      </c>
      <c r="B1376">
        <v>12212489</v>
      </c>
      <c r="C1376">
        <v>12085393</v>
      </c>
      <c r="H1376" t="s">
        <v>162</v>
      </c>
      <c r="I1376">
        <v>373962.1752</v>
      </c>
      <c r="J1376">
        <v>0</v>
      </c>
      <c r="K1376">
        <v>3.3919999999999999</v>
      </c>
      <c r="L1376">
        <v>0</v>
      </c>
      <c r="M1376">
        <v>85.594213950498229</v>
      </c>
      <c r="N1376">
        <v>0</v>
      </c>
      <c r="O1376">
        <v>5.1629954331529702E-3</v>
      </c>
      <c r="P1376">
        <v>2.4920857833333332E-4</v>
      </c>
      <c r="Q1376">
        <v>8.8339008555448403E-3</v>
      </c>
      <c r="R1376">
        <v>2750000</v>
      </c>
      <c r="S1376">
        <v>0</v>
      </c>
      <c r="T1376">
        <v>0</v>
      </c>
      <c r="V1376">
        <v>5400</v>
      </c>
      <c r="W1376">
        <v>10</v>
      </c>
      <c r="X1376">
        <v>85</v>
      </c>
      <c r="Y1376">
        <v>4</v>
      </c>
      <c r="Z1376">
        <v>4</v>
      </c>
      <c r="AA1376">
        <v>5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80</v>
      </c>
      <c r="AM1376">
        <v>53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70</v>
      </c>
      <c r="AU1376">
        <v>0</v>
      </c>
      <c r="AV1376">
        <v>0</v>
      </c>
    </row>
    <row r="1377" spans="1:48" x14ac:dyDescent="0.15">
      <c r="A1377" s="4" t="str">
        <f>HYPERLINK("https://ibp.a2mac1.com/costing(costing:projects/details/9760/equipment/12212490)","Manufacturing Equipment")</f>
        <v>Manufacturing Equipment</v>
      </c>
      <c r="B1377">
        <v>12212490</v>
      </c>
      <c r="C1377">
        <v>12085394</v>
      </c>
      <c r="H1377" t="s">
        <v>162</v>
      </c>
      <c r="I1377">
        <v>373962.1752</v>
      </c>
      <c r="J1377">
        <v>0</v>
      </c>
      <c r="K1377">
        <v>3.3919999999999999</v>
      </c>
      <c r="L1377">
        <v>0</v>
      </c>
      <c r="M1377">
        <v>85.594213950498229</v>
      </c>
      <c r="N1377">
        <v>0</v>
      </c>
      <c r="O1377">
        <v>1.4982316105213044E-2</v>
      </c>
      <c r="P1377">
        <v>7.231696686666667E-4</v>
      </c>
      <c r="Q1377">
        <v>8.8339008555448403E-3</v>
      </c>
      <c r="R1377">
        <v>2750000</v>
      </c>
      <c r="S1377">
        <v>0</v>
      </c>
      <c r="T1377">
        <v>0</v>
      </c>
      <c r="V1377">
        <v>5400</v>
      </c>
      <c r="W1377">
        <v>10</v>
      </c>
      <c r="X1377">
        <v>85</v>
      </c>
      <c r="Y1377">
        <v>4</v>
      </c>
      <c r="Z1377">
        <v>4</v>
      </c>
      <c r="AA1377">
        <v>5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80</v>
      </c>
      <c r="AM1377">
        <v>53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70</v>
      </c>
      <c r="AU1377">
        <v>0</v>
      </c>
      <c r="AV1377">
        <v>0</v>
      </c>
    </row>
    <row r="1378" spans="1:48" x14ac:dyDescent="0.15">
      <c r="A1378" s="4" t="str">
        <f>HYPERLINK("https://ibp.a2mac1.com/costing(costing:projects/details/9760/equipment/12212491)","Manufacturing Equipment")</f>
        <v>Manufacturing Equipment</v>
      </c>
      <c r="B1378">
        <v>12212491</v>
      </c>
      <c r="C1378">
        <v>12085395</v>
      </c>
      <c r="H1378" t="s">
        <v>162</v>
      </c>
      <c r="I1378">
        <v>373962.1752</v>
      </c>
      <c r="J1378">
        <v>0</v>
      </c>
      <c r="K1378">
        <v>3.3919999999999999</v>
      </c>
      <c r="L1378">
        <v>0</v>
      </c>
      <c r="M1378">
        <v>85.594213950498229</v>
      </c>
      <c r="N1378">
        <v>0</v>
      </c>
      <c r="O1378">
        <v>5.1629954331529702E-3</v>
      </c>
      <c r="P1378">
        <v>2.4920857833333332E-4</v>
      </c>
      <c r="Q1378">
        <v>8.8339008555448403E-3</v>
      </c>
      <c r="R1378">
        <v>2750000</v>
      </c>
      <c r="S1378">
        <v>0</v>
      </c>
      <c r="T1378">
        <v>0</v>
      </c>
      <c r="V1378">
        <v>5400</v>
      </c>
      <c r="W1378">
        <v>10</v>
      </c>
      <c r="X1378">
        <v>85</v>
      </c>
      <c r="Y1378">
        <v>4</v>
      </c>
      <c r="Z1378">
        <v>4</v>
      </c>
      <c r="AA1378">
        <v>5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80</v>
      </c>
      <c r="AM1378">
        <v>53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70</v>
      </c>
      <c r="AU1378">
        <v>0</v>
      </c>
      <c r="AV1378">
        <v>0</v>
      </c>
    </row>
    <row r="1379" spans="1:48" x14ac:dyDescent="0.15">
      <c r="A1379" s="4" t="str">
        <f>HYPERLINK("https://ibp.a2mac1.com/costing(costing:projects/details/9760/equipment/12212261)","No.04 - Injection Press - 100T - 33kW - 400x400 - Max Volume 260cm3 ")</f>
        <v xml:space="preserve">No.04 - Injection Press - 100T - 33kW - 400x400 - Max Volume 260cm3 </v>
      </c>
      <c r="B1379">
        <v>12212261</v>
      </c>
      <c r="C1379">
        <v>12085167</v>
      </c>
      <c r="E1379" t="s">
        <v>1630</v>
      </c>
      <c r="H1379" t="s">
        <v>162</v>
      </c>
      <c r="I1379">
        <v>22101.844096000001</v>
      </c>
      <c r="J1379">
        <v>0</v>
      </c>
      <c r="K1379">
        <v>2.282</v>
      </c>
      <c r="L1379">
        <v>0</v>
      </c>
      <c r="M1379">
        <v>6.8788891186113794</v>
      </c>
      <c r="N1379">
        <v>0</v>
      </c>
      <c r="O1379">
        <v>5.9935092109574414E-2</v>
      </c>
      <c r="P1379">
        <v>8.9992958920833335E-3</v>
      </c>
      <c r="Q1379">
        <v>1.9199621471166827E-3</v>
      </c>
      <c r="R1379">
        <v>130000</v>
      </c>
      <c r="S1379">
        <v>0</v>
      </c>
      <c r="T1379">
        <v>0</v>
      </c>
      <c r="V1379">
        <v>7200</v>
      </c>
      <c r="W1379">
        <v>8</v>
      </c>
      <c r="X1379">
        <v>85</v>
      </c>
      <c r="Y1379">
        <v>3</v>
      </c>
      <c r="Z1379">
        <v>4</v>
      </c>
      <c r="AA1379">
        <v>5</v>
      </c>
      <c r="AB1379">
        <v>0</v>
      </c>
      <c r="AC1379">
        <v>0</v>
      </c>
      <c r="AD1379">
        <v>0</v>
      </c>
      <c r="AE1379">
        <v>0</v>
      </c>
      <c r="AF1379">
        <v>0.25</v>
      </c>
      <c r="AG1379">
        <v>0</v>
      </c>
      <c r="AH1379">
        <v>0</v>
      </c>
      <c r="AI1379">
        <v>2</v>
      </c>
      <c r="AJ1379">
        <v>0</v>
      </c>
      <c r="AK1379">
        <v>0</v>
      </c>
      <c r="AL1379">
        <v>93</v>
      </c>
      <c r="AM1379">
        <v>30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33.6</v>
      </c>
      <c r="AU1379">
        <v>0.05</v>
      </c>
      <c r="AV1379">
        <v>0</v>
      </c>
    </row>
    <row r="1380" spans="1:48" x14ac:dyDescent="0.15">
      <c r="A1380" s="4" t="str">
        <f>HYPERLINK("https://ibp.a2mac1.com/costing(costing:projects/details/9760/equipment/12212260)","Packaging")</f>
        <v>Packaging</v>
      </c>
      <c r="B1380">
        <v>12212260</v>
      </c>
      <c r="C1380">
        <v>12085166</v>
      </c>
      <c r="H1380" t="s">
        <v>162</v>
      </c>
      <c r="I1380">
        <v>4437.4535986499995</v>
      </c>
      <c r="J1380">
        <v>0</v>
      </c>
      <c r="K1380">
        <v>0.08</v>
      </c>
      <c r="L1380">
        <v>0</v>
      </c>
      <c r="M1380">
        <v>1.0342676949774992</v>
      </c>
      <c r="N1380">
        <v>0</v>
      </c>
      <c r="O1380">
        <v>1.2928346187218741E-2</v>
      </c>
      <c r="P1380">
        <v>5.1643500000000002E-2</v>
      </c>
      <c r="Q1380">
        <v>7.7570077123312437E-6</v>
      </c>
      <c r="R1380">
        <v>29999.99999</v>
      </c>
      <c r="S1380">
        <v>0</v>
      </c>
      <c r="T1380">
        <v>0</v>
      </c>
      <c r="V1380">
        <v>900</v>
      </c>
      <c r="W1380">
        <v>10</v>
      </c>
      <c r="X1380">
        <v>85</v>
      </c>
      <c r="Y1380">
        <v>3</v>
      </c>
      <c r="Z1380">
        <v>4</v>
      </c>
      <c r="AA1380">
        <v>5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50</v>
      </c>
      <c r="AM1380">
        <v>2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10</v>
      </c>
      <c r="AU1380">
        <v>0</v>
      </c>
      <c r="AV1380">
        <v>0</v>
      </c>
    </row>
    <row r="1381" spans="1:48" x14ac:dyDescent="0.15">
      <c r="A1381" s="4" t="str">
        <f>HYPERLINK("https://ibp.a2mac1.com/costing(costing:projects/details/9760/equipment/12212262)","No.09 - Injection Press - 400T - 72kW - 650x650 - Max Volume 1497cm3 ")</f>
        <v xml:space="preserve">No.09 - Injection Press - 400T - 72kW - 650x650 - Max Volume 1497cm3 </v>
      </c>
      <c r="B1381">
        <v>12212262</v>
      </c>
      <c r="C1381">
        <v>12085168</v>
      </c>
      <c r="E1381" t="s">
        <v>1630</v>
      </c>
      <c r="H1381" t="s">
        <v>162</v>
      </c>
      <c r="I1381">
        <v>48364.573120000001</v>
      </c>
      <c r="J1381">
        <v>0</v>
      </c>
      <c r="K1381">
        <v>3.3384</v>
      </c>
      <c r="L1381">
        <v>0</v>
      </c>
      <c r="M1381">
        <v>13.361635795564128</v>
      </c>
      <c r="N1381">
        <v>0</v>
      </c>
      <c r="O1381">
        <v>6.4064960917681352E-2</v>
      </c>
      <c r="P1381">
        <v>4.9522960508333333E-3</v>
      </c>
      <c r="Q1381">
        <v>3.4633904216007714E-3</v>
      </c>
      <c r="R1381">
        <v>280000</v>
      </c>
      <c r="S1381">
        <v>0</v>
      </c>
      <c r="T1381">
        <v>0</v>
      </c>
      <c r="V1381">
        <v>10800</v>
      </c>
      <c r="W1381">
        <v>8</v>
      </c>
      <c r="X1381">
        <v>85</v>
      </c>
      <c r="Y1381">
        <v>3</v>
      </c>
      <c r="Z1381">
        <v>4</v>
      </c>
      <c r="AA1381">
        <v>5</v>
      </c>
      <c r="AB1381">
        <v>0</v>
      </c>
      <c r="AC1381">
        <v>0</v>
      </c>
      <c r="AD1381">
        <v>0</v>
      </c>
      <c r="AE1381">
        <v>0</v>
      </c>
      <c r="AF1381">
        <v>0.25</v>
      </c>
      <c r="AG1381">
        <v>0</v>
      </c>
      <c r="AH1381">
        <v>0</v>
      </c>
      <c r="AI1381">
        <v>2</v>
      </c>
      <c r="AJ1381">
        <v>0</v>
      </c>
      <c r="AK1381">
        <v>0</v>
      </c>
      <c r="AL1381">
        <v>92</v>
      </c>
      <c r="AM1381">
        <v>44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92</v>
      </c>
      <c r="AU1381">
        <v>0.1</v>
      </c>
      <c r="AV1381">
        <v>0</v>
      </c>
    </row>
    <row r="1382" spans="1:48" x14ac:dyDescent="0.15">
      <c r="A1382" s="4" t="str">
        <f>HYPERLINK("https://ibp.a2mac1.com/costing(costing:projects/details/9760/equipment/12212263)","Packaging")</f>
        <v>Packaging</v>
      </c>
      <c r="B1382">
        <v>12212263</v>
      </c>
      <c r="C1382">
        <v>12085169</v>
      </c>
      <c r="H1382" t="s">
        <v>162</v>
      </c>
      <c r="I1382">
        <v>4437.4535986499995</v>
      </c>
      <c r="J1382">
        <v>0</v>
      </c>
      <c r="K1382">
        <v>0.08</v>
      </c>
      <c r="L1382">
        <v>0</v>
      </c>
      <c r="M1382">
        <v>1.0342676949774992</v>
      </c>
      <c r="N1382">
        <v>0</v>
      </c>
      <c r="O1382">
        <v>8.6188974581458272E-3</v>
      </c>
      <c r="P1382">
        <v>3.4429000000000001E-2</v>
      </c>
      <c r="Q1382">
        <v>7.7570077123312437E-6</v>
      </c>
      <c r="R1382">
        <v>29999.99999</v>
      </c>
      <c r="S1382">
        <v>0</v>
      </c>
      <c r="T1382">
        <v>0</v>
      </c>
      <c r="V1382">
        <v>900</v>
      </c>
      <c r="W1382">
        <v>10</v>
      </c>
      <c r="X1382">
        <v>85</v>
      </c>
      <c r="Y1382">
        <v>3</v>
      </c>
      <c r="Z1382">
        <v>4</v>
      </c>
      <c r="AA1382">
        <v>5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50</v>
      </c>
      <c r="AM1382">
        <v>2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10</v>
      </c>
      <c r="AU1382">
        <v>0</v>
      </c>
      <c r="AV1382">
        <v>0</v>
      </c>
    </row>
    <row r="1383" spans="1:48" x14ac:dyDescent="0.15">
      <c r="A1383" s="4" t="str">
        <f>HYPERLINK("https://ibp.a2mac1.com/costing(costing:projects/details/9760/equipment/12212267)","No.09 - Injection Press - 400T - 72kW - 650x650 - Max Volume 1497cm3 ")</f>
        <v xml:space="preserve">No.09 - Injection Press - 400T - 72kW - 650x650 - Max Volume 1497cm3 </v>
      </c>
      <c r="B1383">
        <v>12212267</v>
      </c>
      <c r="C1383">
        <v>12085172</v>
      </c>
      <c r="E1383" t="s">
        <v>1630</v>
      </c>
      <c r="H1383" t="s">
        <v>162</v>
      </c>
      <c r="I1383">
        <v>48364.573120000001</v>
      </c>
      <c r="J1383">
        <v>0</v>
      </c>
      <c r="K1383">
        <v>3.3384</v>
      </c>
      <c r="L1383">
        <v>0</v>
      </c>
      <c r="M1383">
        <v>13.361635795564128</v>
      </c>
      <c r="N1383">
        <v>0</v>
      </c>
      <c r="O1383">
        <v>0.121890780231934</v>
      </c>
      <c r="P1383">
        <v>9.422299193333334E-3</v>
      </c>
      <c r="Q1383">
        <v>3.4633904216007714E-3</v>
      </c>
      <c r="R1383">
        <v>280000</v>
      </c>
      <c r="S1383">
        <v>0</v>
      </c>
      <c r="T1383">
        <v>0</v>
      </c>
      <c r="V1383">
        <v>10800</v>
      </c>
      <c r="W1383">
        <v>8</v>
      </c>
      <c r="X1383">
        <v>85</v>
      </c>
      <c r="Y1383">
        <v>3</v>
      </c>
      <c r="Z1383">
        <v>4</v>
      </c>
      <c r="AA1383">
        <v>5</v>
      </c>
      <c r="AB1383">
        <v>0</v>
      </c>
      <c r="AC1383">
        <v>0</v>
      </c>
      <c r="AD1383">
        <v>0</v>
      </c>
      <c r="AE1383">
        <v>0</v>
      </c>
      <c r="AF1383">
        <v>0.25</v>
      </c>
      <c r="AG1383">
        <v>0</v>
      </c>
      <c r="AH1383">
        <v>0</v>
      </c>
      <c r="AI1383">
        <v>2</v>
      </c>
      <c r="AJ1383">
        <v>0</v>
      </c>
      <c r="AK1383">
        <v>0</v>
      </c>
      <c r="AL1383">
        <v>92</v>
      </c>
      <c r="AM1383">
        <v>44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92</v>
      </c>
      <c r="AU1383">
        <v>0.1</v>
      </c>
      <c r="AV1383">
        <v>0</v>
      </c>
    </row>
    <row r="1384" spans="1:48" x14ac:dyDescent="0.15">
      <c r="A1384" s="4" t="str">
        <f>HYPERLINK("https://ibp.a2mac1.com/costing(costing:projects/details/9760/equipment/12212266)","Packaging")</f>
        <v>Packaging</v>
      </c>
      <c r="B1384">
        <v>12212266</v>
      </c>
      <c r="C1384">
        <v>12085171</v>
      </c>
      <c r="H1384" t="s">
        <v>162</v>
      </c>
      <c r="I1384">
        <v>4437.4535986499995</v>
      </c>
      <c r="J1384">
        <v>0</v>
      </c>
      <c r="K1384">
        <v>0.08</v>
      </c>
      <c r="L1384">
        <v>0</v>
      </c>
      <c r="M1384">
        <v>1.0342676949774992</v>
      </c>
      <c r="N1384">
        <v>0</v>
      </c>
      <c r="O1384">
        <v>1.2928346187218741E-2</v>
      </c>
      <c r="P1384">
        <v>5.1643500000000002E-2</v>
      </c>
      <c r="Q1384">
        <v>7.7570077123312437E-6</v>
      </c>
      <c r="R1384">
        <v>29999.99999</v>
      </c>
      <c r="S1384">
        <v>0</v>
      </c>
      <c r="T1384">
        <v>0</v>
      </c>
      <c r="V1384">
        <v>900</v>
      </c>
      <c r="W1384">
        <v>10</v>
      </c>
      <c r="X1384">
        <v>85</v>
      </c>
      <c r="Y1384">
        <v>3</v>
      </c>
      <c r="Z1384">
        <v>4</v>
      </c>
      <c r="AA1384">
        <v>5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50</v>
      </c>
      <c r="AM1384">
        <v>2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10</v>
      </c>
      <c r="AU1384">
        <v>0</v>
      </c>
      <c r="AV1384">
        <v>0</v>
      </c>
    </row>
    <row r="1385" spans="1:48" x14ac:dyDescent="0.15">
      <c r="A1385" s="4" t="str">
        <f>HYPERLINK("https://ibp.a2mac1.com/costing(costing:projects/details/9760/equipment/12212264)","No.04 - 60000x6000x3500 - Automatic Painting Line - with 12x100kW on line ovens ")</f>
        <v xml:space="preserve">No.04 - 60000x6000x3500 - Automatic Painting Line - with 12x100kW on line ovens </v>
      </c>
      <c r="B1385">
        <v>12212264</v>
      </c>
      <c r="C1385">
        <v>12085170</v>
      </c>
      <c r="E1385" t="s">
        <v>1630</v>
      </c>
      <c r="G1385" t="s">
        <v>5227</v>
      </c>
      <c r="H1385" t="s">
        <v>162</v>
      </c>
      <c r="I1385">
        <v>1438767.4831983999</v>
      </c>
      <c r="J1385">
        <v>0</v>
      </c>
      <c r="K1385">
        <v>279.76751999999999</v>
      </c>
      <c r="L1385">
        <v>0</v>
      </c>
      <c r="M1385">
        <v>580.11587795530374</v>
      </c>
      <c r="N1385">
        <v>0</v>
      </c>
      <c r="O1385">
        <v>0.30939513490949533</v>
      </c>
      <c r="P1385">
        <v>1.5424192E-2</v>
      </c>
      <c r="Q1385">
        <v>0</v>
      </c>
      <c r="R1385">
        <v>8599999.9999899995</v>
      </c>
      <c r="S1385">
        <v>0</v>
      </c>
      <c r="T1385">
        <v>0</v>
      </c>
      <c r="V1385">
        <v>0</v>
      </c>
      <c r="W1385">
        <v>8</v>
      </c>
      <c r="X1385">
        <v>85</v>
      </c>
      <c r="Y1385">
        <v>3</v>
      </c>
      <c r="Z1385">
        <v>4</v>
      </c>
      <c r="AA1385">
        <v>5</v>
      </c>
      <c r="AB1385">
        <v>0</v>
      </c>
      <c r="AC1385">
        <v>0</v>
      </c>
      <c r="AD1385">
        <v>0</v>
      </c>
      <c r="AE1385">
        <v>0</v>
      </c>
      <c r="AF1385">
        <v>7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100</v>
      </c>
      <c r="AM1385">
        <v>3400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4</v>
      </c>
      <c r="AT1385">
        <v>1620</v>
      </c>
      <c r="AU1385">
        <v>5</v>
      </c>
      <c r="AV1385">
        <v>0</v>
      </c>
    </row>
    <row r="1386" spans="1:48" x14ac:dyDescent="0.15">
      <c r="A1386" s="4" t="str">
        <f>HYPERLINK("https://ibp.a2mac1.com/costing(costing:projects/details/9760/equipment/12212265)","Loading + Unloading, Retouching, Checking")</f>
        <v>Loading + Unloading, Retouching, Checking</v>
      </c>
      <c r="B1386">
        <v>12212265</v>
      </c>
      <c r="C1386">
        <v>12085170</v>
      </c>
      <c r="E1386" t="s">
        <v>1630</v>
      </c>
      <c r="H1386" t="s">
        <v>162</v>
      </c>
      <c r="I1386">
        <v>116.23608</v>
      </c>
      <c r="J1386">
        <v>0</v>
      </c>
      <c r="K1386">
        <v>0</v>
      </c>
      <c r="L1386">
        <v>0</v>
      </c>
      <c r="M1386">
        <v>1.8681465766634521E-2</v>
      </c>
      <c r="N1386">
        <v>0</v>
      </c>
      <c r="O1386">
        <v>9.9634484088717447E-6</v>
      </c>
      <c r="P1386">
        <v>2.6441472000000001E-2</v>
      </c>
      <c r="Q1386">
        <v>0</v>
      </c>
      <c r="R1386">
        <v>0</v>
      </c>
      <c r="S1386">
        <v>0</v>
      </c>
      <c r="T1386">
        <v>0</v>
      </c>
      <c r="V1386">
        <v>0</v>
      </c>
      <c r="W1386">
        <v>8</v>
      </c>
      <c r="X1386">
        <v>85</v>
      </c>
      <c r="Y1386">
        <v>3</v>
      </c>
      <c r="Z1386">
        <v>4</v>
      </c>
      <c r="AA1386">
        <v>5</v>
      </c>
      <c r="AB1386">
        <v>0</v>
      </c>
      <c r="AC1386">
        <v>0</v>
      </c>
      <c r="AD1386">
        <v>0</v>
      </c>
      <c r="AE1386">
        <v>0</v>
      </c>
      <c r="AF1386">
        <v>12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100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3</v>
      </c>
      <c r="AU1386">
        <v>0</v>
      </c>
      <c r="AV1386">
        <v>0</v>
      </c>
    </row>
    <row r="1387" spans="1:48" x14ac:dyDescent="0.15">
      <c r="A1387" s="4" t="str">
        <f>HYPERLINK("https://ibp.a2mac1.com/costing(costing:projects/details/9760/equipment/12212268)","No.06 - Injection Press - 200T - 45kW - 510x510 - Max Volume 624cm3 ")</f>
        <v xml:space="preserve">No.06 - Injection Press - 200T - 45kW - 510x510 - Max Volume 624cm3 </v>
      </c>
      <c r="B1387">
        <v>12212268</v>
      </c>
      <c r="C1387">
        <v>12085173</v>
      </c>
      <c r="E1387" t="s">
        <v>1630</v>
      </c>
      <c r="H1387" t="s">
        <v>162</v>
      </c>
      <c r="I1387">
        <v>34247.230880000003</v>
      </c>
      <c r="J1387">
        <v>0</v>
      </c>
      <c r="K1387">
        <v>2.6539999999999999</v>
      </c>
      <c r="L1387">
        <v>0</v>
      </c>
      <c r="M1387">
        <v>9.7654160848601741</v>
      </c>
      <c r="N1387">
        <v>0</v>
      </c>
      <c r="O1387">
        <v>5.963555145164727E-2</v>
      </c>
      <c r="P1387">
        <v>6.3075419923333334E-3</v>
      </c>
      <c r="Q1387">
        <v>2.0931537650916102E-3</v>
      </c>
      <c r="R1387">
        <v>200000</v>
      </c>
      <c r="S1387">
        <v>0</v>
      </c>
      <c r="T1387">
        <v>0</v>
      </c>
      <c r="V1387">
        <v>7200</v>
      </c>
      <c r="W1387">
        <v>8</v>
      </c>
      <c r="X1387">
        <v>85</v>
      </c>
      <c r="Y1387">
        <v>3</v>
      </c>
      <c r="Z1387">
        <v>4</v>
      </c>
      <c r="AA1387">
        <v>5</v>
      </c>
      <c r="AB1387">
        <v>0</v>
      </c>
      <c r="AC1387">
        <v>0</v>
      </c>
      <c r="AD1387">
        <v>0</v>
      </c>
      <c r="AE1387">
        <v>0</v>
      </c>
      <c r="AF1387">
        <v>0.25</v>
      </c>
      <c r="AG1387">
        <v>0</v>
      </c>
      <c r="AH1387">
        <v>0</v>
      </c>
      <c r="AI1387">
        <v>2</v>
      </c>
      <c r="AJ1387">
        <v>0</v>
      </c>
      <c r="AK1387">
        <v>0</v>
      </c>
      <c r="AL1387">
        <v>93</v>
      </c>
      <c r="AM1387">
        <v>35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58</v>
      </c>
      <c r="AU1387">
        <v>0.05</v>
      </c>
      <c r="AV1387">
        <v>0</v>
      </c>
    </row>
    <row r="1388" spans="1:48" x14ac:dyDescent="0.15">
      <c r="A1388" s="4" t="str">
        <f>HYPERLINK("https://ibp.a2mac1.com/costing(costing:projects/details/9760/equipment/12212269)","Packaging")</f>
        <v>Packaging</v>
      </c>
      <c r="B1388">
        <v>12212269</v>
      </c>
      <c r="C1388">
        <v>12085174</v>
      </c>
      <c r="H1388" t="s">
        <v>162</v>
      </c>
      <c r="I1388">
        <v>4437.4535986499995</v>
      </c>
      <c r="J1388">
        <v>0</v>
      </c>
      <c r="K1388">
        <v>0.08</v>
      </c>
      <c r="L1388">
        <v>0</v>
      </c>
      <c r="M1388">
        <v>1.0342676949774992</v>
      </c>
      <c r="N1388">
        <v>0</v>
      </c>
      <c r="O1388">
        <v>8.6188974581458272E-3</v>
      </c>
      <c r="P1388">
        <v>3.4429000000000001E-2</v>
      </c>
      <c r="Q1388">
        <v>7.7570077123312437E-6</v>
      </c>
      <c r="R1388">
        <v>29999.99999</v>
      </c>
      <c r="S1388">
        <v>0</v>
      </c>
      <c r="T1388">
        <v>0</v>
      </c>
      <c r="V1388">
        <v>900</v>
      </c>
      <c r="W1388">
        <v>10</v>
      </c>
      <c r="X1388">
        <v>85</v>
      </c>
      <c r="Y1388">
        <v>3</v>
      </c>
      <c r="Z1388">
        <v>4</v>
      </c>
      <c r="AA1388">
        <v>5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50</v>
      </c>
      <c r="AM1388">
        <v>2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10</v>
      </c>
      <c r="AU1388">
        <v>0</v>
      </c>
      <c r="AV1388">
        <v>0</v>
      </c>
    </row>
    <row r="1389" spans="1:48" x14ac:dyDescent="0.15">
      <c r="A1389" s="4" t="str">
        <f>HYPERLINK("https://ibp.a2mac1.com/costing(costing:projects/details/9760/equipment/12212174)","Assembly Station ")</f>
        <v xml:space="preserve">Assembly Station </v>
      </c>
      <c r="B1389">
        <v>12212174</v>
      </c>
      <c r="C1389">
        <v>12085083</v>
      </c>
      <c r="E1389" t="s">
        <v>1630</v>
      </c>
      <c r="F1389" t="s">
        <v>5068</v>
      </c>
      <c r="G1389" t="s">
        <v>8</v>
      </c>
      <c r="H1389" t="s">
        <v>162</v>
      </c>
      <c r="I1389">
        <v>4824.9071999999996</v>
      </c>
      <c r="J1389">
        <v>0</v>
      </c>
      <c r="K1389">
        <v>0.10768</v>
      </c>
      <c r="L1389">
        <v>0</v>
      </c>
      <c r="M1389">
        <v>1.1242192478302797</v>
      </c>
      <c r="N1389">
        <v>0</v>
      </c>
      <c r="O1389">
        <v>4.6842468659594988E-2</v>
      </c>
      <c r="P1389">
        <v>0.17214499999999999</v>
      </c>
      <c r="Q1389">
        <v>2.2807432079717134E-4</v>
      </c>
      <c r="R1389">
        <v>30000</v>
      </c>
      <c r="S1389">
        <v>0</v>
      </c>
      <c r="T1389">
        <v>0</v>
      </c>
      <c r="V1389">
        <v>600</v>
      </c>
      <c r="W1389">
        <v>10</v>
      </c>
      <c r="X1389">
        <v>85</v>
      </c>
      <c r="Y1389">
        <v>3</v>
      </c>
      <c r="Z1389">
        <v>4</v>
      </c>
      <c r="AA1389">
        <v>5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100</v>
      </c>
      <c r="AM1389">
        <v>1</v>
      </c>
      <c r="AN1389">
        <v>0</v>
      </c>
      <c r="AO1389">
        <v>0</v>
      </c>
      <c r="AP1389">
        <v>0</v>
      </c>
      <c r="AQ1389">
        <v>1</v>
      </c>
      <c r="AR1389">
        <v>0</v>
      </c>
      <c r="AS1389">
        <v>0</v>
      </c>
      <c r="AT1389">
        <v>20</v>
      </c>
      <c r="AU1389">
        <v>0</v>
      </c>
      <c r="AV1389">
        <v>0</v>
      </c>
    </row>
    <row r="1390" spans="1:48" x14ac:dyDescent="0.15">
      <c r="A1390" s="4" t="str">
        <f>HYPERLINK("https://ibp.a2mac1.com/costing(costing:projects/details/9760/equipment/12212936)","DC machine - General")</f>
        <v>DC machine - General</v>
      </c>
      <c r="B1390">
        <v>12212936</v>
      </c>
      <c r="C1390">
        <v>12085806</v>
      </c>
      <c r="E1390" t="s">
        <v>738</v>
      </c>
      <c r="H1390" t="s">
        <v>162</v>
      </c>
      <c r="I1390">
        <v>116914.84457142858</v>
      </c>
      <c r="J1390">
        <v>0</v>
      </c>
      <c r="K1390">
        <v>3.6</v>
      </c>
      <c r="L1390">
        <v>0</v>
      </c>
      <c r="M1390">
        <v>27.497982091197134</v>
      </c>
      <c r="N1390">
        <v>0</v>
      </c>
      <c r="O1390">
        <v>0.82493946273591401</v>
      </c>
      <c r="P1390">
        <v>0.1239444</v>
      </c>
      <c r="Q1390">
        <v>1.1732166376415484E-2</v>
      </c>
      <c r="R1390">
        <v>635568</v>
      </c>
      <c r="S1390">
        <v>0</v>
      </c>
      <c r="T1390">
        <v>0</v>
      </c>
      <c r="V1390">
        <v>10800</v>
      </c>
      <c r="W1390">
        <v>7</v>
      </c>
      <c r="X1390">
        <v>85</v>
      </c>
      <c r="Y1390">
        <v>3</v>
      </c>
      <c r="Z1390">
        <v>4</v>
      </c>
      <c r="AA1390">
        <v>5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3</v>
      </c>
      <c r="AJ1390">
        <v>0</v>
      </c>
      <c r="AK1390">
        <v>0</v>
      </c>
      <c r="AL1390">
        <v>100</v>
      </c>
      <c r="AM1390">
        <v>45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100</v>
      </c>
      <c r="AU1390">
        <v>0</v>
      </c>
      <c r="AV1390">
        <v>0</v>
      </c>
    </row>
    <row r="1391" spans="1:48" x14ac:dyDescent="0.15">
      <c r="A1391" s="4" t="str">
        <f>HYPERLINK("https://ibp.a2mac1.com/costing(costing:projects/details/9760/equipment/12212937)","DC machine - General")</f>
        <v>DC machine - General</v>
      </c>
      <c r="B1391">
        <v>12212937</v>
      </c>
      <c r="C1391">
        <v>12085807</v>
      </c>
      <c r="E1391" t="s">
        <v>738</v>
      </c>
      <c r="H1391" t="s">
        <v>162</v>
      </c>
      <c r="I1391">
        <v>116914.84457142858</v>
      </c>
      <c r="J1391">
        <v>0</v>
      </c>
      <c r="K1391">
        <v>3.6</v>
      </c>
      <c r="L1391">
        <v>0</v>
      </c>
      <c r="M1391">
        <v>27.497982091197134</v>
      </c>
      <c r="N1391">
        <v>0</v>
      </c>
      <c r="O1391">
        <v>4.5829970151995227E-2</v>
      </c>
      <c r="P1391">
        <v>6.8858000000000001E-3</v>
      </c>
      <c r="Q1391">
        <v>1.1732166376415484E-2</v>
      </c>
      <c r="R1391">
        <v>635568</v>
      </c>
      <c r="S1391">
        <v>0</v>
      </c>
      <c r="T1391">
        <v>0</v>
      </c>
      <c r="V1391">
        <v>10800</v>
      </c>
      <c r="W1391">
        <v>7</v>
      </c>
      <c r="X1391">
        <v>85</v>
      </c>
      <c r="Y1391">
        <v>3</v>
      </c>
      <c r="Z1391">
        <v>4</v>
      </c>
      <c r="AA1391">
        <v>5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3</v>
      </c>
      <c r="AJ1391">
        <v>0</v>
      </c>
      <c r="AK1391">
        <v>0</v>
      </c>
      <c r="AL1391">
        <v>100</v>
      </c>
      <c r="AM1391">
        <v>45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100</v>
      </c>
      <c r="AU1391">
        <v>0</v>
      </c>
      <c r="AV1391">
        <v>0</v>
      </c>
    </row>
    <row r="1392" spans="1:48" x14ac:dyDescent="0.15">
      <c r="A1392" s="4" t="str">
        <f>HYPERLINK("https://ibp.a2mac1.com/costing(costing:projects/details/9760/equipment/12212938)","DC machine - General")</f>
        <v>DC machine - General</v>
      </c>
      <c r="B1392">
        <v>12212938</v>
      </c>
      <c r="C1392">
        <v>12085808</v>
      </c>
      <c r="E1392" t="s">
        <v>738</v>
      </c>
      <c r="H1392" t="s">
        <v>162</v>
      </c>
      <c r="I1392">
        <v>116914.84457142858</v>
      </c>
      <c r="J1392">
        <v>0</v>
      </c>
      <c r="K1392">
        <v>3.6</v>
      </c>
      <c r="L1392">
        <v>0</v>
      </c>
      <c r="M1392">
        <v>27.497982091197134</v>
      </c>
      <c r="N1392">
        <v>0</v>
      </c>
      <c r="O1392">
        <v>4.5829970151995227E-2</v>
      </c>
      <c r="P1392">
        <v>6.8858000000000001E-3</v>
      </c>
      <c r="Q1392">
        <v>1.1732166376415484E-2</v>
      </c>
      <c r="R1392">
        <v>635568</v>
      </c>
      <c r="S1392">
        <v>0</v>
      </c>
      <c r="T1392">
        <v>0</v>
      </c>
      <c r="V1392">
        <v>10800</v>
      </c>
      <c r="W1392">
        <v>7</v>
      </c>
      <c r="X1392">
        <v>85</v>
      </c>
      <c r="Y1392">
        <v>3</v>
      </c>
      <c r="Z1392">
        <v>4</v>
      </c>
      <c r="AA1392">
        <v>5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3</v>
      </c>
      <c r="AJ1392">
        <v>0</v>
      </c>
      <c r="AK1392">
        <v>0</v>
      </c>
      <c r="AL1392">
        <v>100</v>
      </c>
      <c r="AM1392">
        <v>45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100</v>
      </c>
      <c r="AU1392">
        <v>0</v>
      </c>
      <c r="AV1392">
        <v>0</v>
      </c>
    </row>
    <row r="1393" spans="1:48" x14ac:dyDescent="0.15">
      <c r="A1393" s="4" t="str">
        <f>HYPERLINK("https://ibp.a2mac1.com/costing(costing:projects/details/9760/equipment/12212939)","DC machine - General")</f>
        <v>DC machine - General</v>
      </c>
      <c r="B1393">
        <v>12212939</v>
      </c>
      <c r="C1393">
        <v>12085809</v>
      </c>
      <c r="E1393" t="s">
        <v>738</v>
      </c>
      <c r="H1393" t="s">
        <v>162</v>
      </c>
      <c r="I1393">
        <v>116914.84457142858</v>
      </c>
      <c r="J1393">
        <v>0</v>
      </c>
      <c r="K1393">
        <v>3.6</v>
      </c>
      <c r="L1393">
        <v>0</v>
      </c>
      <c r="M1393">
        <v>27.497982091197134</v>
      </c>
      <c r="N1393">
        <v>0</v>
      </c>
      <c r="O1393">
        <v>0.22151152240131025</v>
      </c>
      <c r="P1393">
        <v>3.3281366666666666E-2</v>
      </c>
      <c r="Q1393">
        <v>1.1732166376415484E-2</v>
      </c>
      <c r="R1393">
        <v>635568</v>
      </c>
      <c r="S1393">
        <v>0</v>
      </c>
      <c r="T1393">
        <v>0</v>
      </c>
      <c r="V1393">
        <v>10800</v>
      </c>
      <c r="W1393">
        <v>7</v>
      </c>
      <c r="X1393">
        <v>85</v>
      </c>
      <c r="Y1393">
        <v>3</v>
      </c>
      <c r="Z1393">
        <v>4</v>
      </c>
      <c r="AA1393">
        <v>5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3</v>
      </c>
      <c r="AJ1393">
        <v>0</v>
      </c>
      <c r="AK1393">
        <v>0</v>
      </c>
      <c r="AL1393">
        <v>100</v>
      </c>
      <c r="AM1393">
        <v>45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100</v>
      </c>
      <c r="AU1393">
        <v>0</v>
      </c>
      <c r="AV1393">
        <v>0</v>
      </c>
    </row>
    <row r="1394" spans="1:48" x14ac:dyDescent="0.15">
      <c r="A1394" s="4" t="str">
        <f>HYPERLINK("https://ibp.a2mac1.com/costing(costing:projects/details/9760/equipment/12212940)","DC machine - General")</f>
        <v>DC machine - General</v>
      </c>
      <c r="B1394">
        <v>12212940</v>
      </c>
      <c r="C1394">
        <v>12085810</v>
      </c>
      <c r="E1394" t="s">
        <v>738</v>
      </c>
      <c r="H1394" t="s">
        <v>162</v>
      </c>
      <c r="I1394">
        <v>116914.84457142858</v>
      </c>
      <c r="J1394">
        <v>0</v>
      </c>
      <c r="K1394">
        <v>3.6</v>
      </c>
      <c r="L1394">
        <v>0</v>
      </c>
      <c r="M1394">
        <v>27.497982091197134</v>
      </c>
      <c r="N1394">
        <v>0</v>
      </c>
      <c r="O1394">
        <v>0.21387319404264438</v>
      </c>
      <c r="P1394">
        <v>3.2133733333333331E-2</v>
      </c>
      <c r="Q1394">
        <v>1.1732166376415484E-2</v>
      </c>
      <c r="R1394">
        <v>635568</v>
      </c>
      <c r="S1394">
        <v>0</v>
      </c>
      <c r="T1394">
        <v>0</v>
      </c>
      <c r="V1394">
        <v>10800</v>
      </c>
      <c r="W1394">
        <v>7</v>
      </c>
      <c r="X1394">
        <v>85</v>
      </c>
      <c r="Y1394">
        <v>3</v>
      </c>
      <c r="Z1394">
        <v>4</v>
      </c>
      <c r="AA1394">
        <v>5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3</v>
      </c>
      <c r="AJ1394">
        <v>0</v>
      </c>
      <c r="AK1394">
        <v>0</v>
      </c>
      <c r="AL1394">
        <v>100</v>
      </c>
      <c r="AM1394">
        <v>45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100</v>
      </c>
      <c r="AU1394">
        <v>0</v>
      </c>
      <c r="AV1394">
        <v>0</v>
      </c>
    </row>
    <row r="1395" spans="1:48" x14ac:dyDescent="0.15">
      <c r="A1395" s="4" t="str">
        <f>HYPERLINK("https://ibp.a2mac1.com/costing(costing:projects/details/9760/equipment/12212941)","DC machine - General")</f>
        <v>DC machine - General</v>
      </c>
      <c r="B1395">
        <v>12212941</v>
      </c>
      <c r="C1395">
        <v>12085811</v>
      </c>
      <c r="E1395" t="s">
        <v>738</v>
      </c>
      <c r="H1395" t="s">
        <v>162</v>
      </c>
      <c r="I1395">
        <v>116914.84457142858</v>
      </c>
      <c r="J1395">
        <v>0</v>
      </c>
      <c r="K1395">
        <v>3.6</v>
      </c>
      <c r="L1395">
        <v>0</v>
      </c>
      <c r="M1395">
        <v>27.497982091197134</v>
      </c>
      <c r="N1395">
        <v>0</v>
      </c>
      <c r="O1395">
        <v>3.0553313434663484E-2</v>
      </c>
      <c r="P1395">
        <v>4.5905333333333331E-3</v>
      </c>
      <c r="Q1395">
        <v>1.1732166376415484E-2</v>
      </c>
      <c r="R1395">
        <v>635568</v>
      </c>
      <c r="S1395">
        <v>0</v>
      </c>
      <c r="T1395">
        <v>0</v>
      </c>
      <c r="V1395">
        <v>10800</v>
      </c>
      <c r="W1395">
        <v>7</v>
      </c>
      <c r="X1395">
        <v>85</v>
      </c>
      <c r="Y1395">
        <v>3</v>
      </c>
      <c r="Z1395">
        <v>4</v>
      </c>
      <c r="AA1395">
        <v>5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3</v>
      </c>
      <c r="AJ1395">
        <v>0</v>
      </c>
      <c r="AK1395">
        <v>0</v>
      </c>
      <c r="AL1395">
        <v>100</v>
      </c>
      <c r="AM1395">
        <v>45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100</v>
      </c>
      <c r="AU1395">
        <v>0</v>
      </c>
      <c r="AV1395">
        <v>0</v>
      </c>
    </row>
    <row r="1396" spans="1:48" x14ac:dyDescent="0.15">
      <c r="A1396" s="4" t="str">
        <f>HYPERLINK("https://ibp.a2mac1.com/costing(costing:projects/details/9760/equipment/12212942)","DC machine - General")</f>
        <v>DC machine - General</v>
      </c>
      <c r="B1396">
        <v>12212942</v>
      </c>
      <c r="C1396">
        <v>12085812</v>
      </c>
      <c r="E1396" t="s">
        <v>738</v>
      </c>
      <c r="H1396" t="s">
        <v>162</v>
      </c>
      <c r="I1396">
        <v>116914.84457142858</v>
      </c>
      <c r="J1396">
        <v>0</v>
      </c>
      <c r="K1396">
        <v>3.6</v>
      </c>
      <c r="L1396">
        <v>0</v>
      </c>
      <c r="M1396">
        <v>27.497982091197134</v>
      </c>
      <c r="N1396">
        <v>0</v>
      </c>
      <c r="O1396">
        <v>3.0553313434663484E-2</v>
      </c>
      <c r="P1396">
        <v>4.5905333333333331E-3</v>
      </c>
      <c r="Q1396">
        <v>1.1732166376415484E-2</v>
      </c>
      <c r="R1396">
        <v>635568</v>
      </c>
      <c r="S1396">
        <v>0</v>
      </c>
      <c r="T1396">
        <v>0</v>
      </c>
      <c r="V1396">
        <v>10800</v>
      </c>
      <c r="W1396">
        <v>7</v>
      </c>
      <c r="X1396">
        <v>85</v>
      </c>
      <c r="Y1396">
        <v>3</v>
      </c>
      <c r="Z1396">
        <v>4</v>
      </c>
      <c r="AA1396">
        <v>5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3</v>
      </c>
      <c r="AJ1396">
        <v>0</v>
      </c>
      <c r="AK1396">
        <v>0</v>
      </c>
      <c r="AL1396">
        <v>100</v>
      </c>
      <c r="AM1396">
        <v>45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100</v>
      </c>
      <c r="AU1396">
        <v>0</v>
      </c>
      <c r="AV1396">
        <v>0</v>
      </c>
    </row>
    <row r="1397" spans="1:48" x14ac:dyDescent="0.15">
      <c r="A1397" s="4" t="str">
        <f>HYPERLINK("https://ibp.a2mac1.com/costing(costing:projects/details/9760/equipment/12212943)","DC machine - General")</f>
        <v>DC machine - General</v>
      </c>
      <c r="B1397">
        <v>12212943</v>
      </c>
      <c r="C1397">
        <v>12085813</v>
      </c>
      <c r="E1397" t="s">
        <v>738</v>
      </c>
      <c r="H1397" t="s">
        <v>162</v>
      </c>
      <c r="I1397">
        <v>116914.84457142858</v>
      </c>
      <c r="J1397">
        <v>0</v>
      </c>
      <c r="K1397">
        <v>3.6</v>
      </c>
      <c r="L1397">
        <v>0</v>
      </c>
      <c r="M1397">
        <v>27.497982091197134</v>
      </c>
      <c r="N1397">
        <v>0</v>
      </c>
      <c r="O1397">
        <v>1.5276656717331742E-2</v>
      </c>
      <c r="P1397">
        <v>2.2952666666666665E-3</v>
      </c>
      <c r="Q1397">
        <v>1.1732166376415484E-2</v>
      </c>
      <c r="R1397">
        <v>635568</v>
      </c>
      <c r="S1397">
        <v>0</v>
      </c>
      <c r="T1397">
        <v>0</v>
      </c>
      <c r="V1397">
        <v>10800</v>
      </c>
      <c r="W1397">
        <v>7</v>
      </c>
      <c r="X1397">
        <v>85</v>
      </c>
      <c r="Y1397">
        <v>3</v>
      </c>
      <c r="Z1397">
        <v>4</v>
      </c>
      <c r="AA1397">
        <v>5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3</v>
      </c>
      <c r="AJ1397">
        <v>0</v>
      </c>
      <c r="AK1397">
        <v>0</v>
      </c>
      <c r="AL1397">
        <v>100</v>
      </c>
      <c r="AM1397">
        <v>45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100</v>
      </c>
      <c r="AU1397">
        <v>0</v>
      </c>
      <c r="AV1397">
        <v>0</v>
      </c>
    </row>
    <row r="1398" spans="1:48" x14ac:dyDescent="0.15">
      <c r="A1398" s="4" t="str">
        <f>HYPERLINK("https://ibp.a2mac1.com/costing(costing:projects/details/9760/equipment/12212944)","DC machine - General")</f>
        <v>DC machine - General</v>
      </c>
      <c r="B1398">
        <v>12212944</v>
      </c>
      <c r="C1398">
        <v>12085814</v>
      </c>
      <c r="E1398" t="s">
        <v>738</v>
      </c>
      <c r="H1398" t="s">
        <v>162</v>
      </c>
      <c r="I1398">
        <v>116914.84457142858</v>
      </c>
      <c r="J1398">
        <v>0</v>
      </c>
      <c r="K1398">
        <v>3.6</v>
      </c>
      <c r="L1398">
        <v>0</v>
      </c>
      <c r="M1398">
        <v>27.497982091197134</v>
      </c>
      <c r="N1398">
        <v>0</v>
      </c>
      <c r="O1398">
        <v>1.5276656717331742E-2</v>
      </c>
      <c r="P1398">
        <v>2.2952666666666665E-3</v>
      </c>
      <c r="Q1398">
        <v>1.1732166376415484E-2</v>
      </c>
      <c r="R1398">
        <v>635568</v>
      </c>
      <c r="S1398">
        <v>0</v>
      </c>
      <c r="T1398">
        <v>0</v>
      </c>
      <c r="V1398">
        <v>10800</v>
      </c>
      <c r="W1398">
        <v>7</v>
      </c>
      <c r="X1398">
        <v>85</v>
      </c>
      <c r="Y1398">
        <v>3</v>
      </c>
      <c r="Z1398">
        <v>4</v>
      </c>
      <c r="AA1398">
        <v>5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3</v>
      </c>
      <c r="AJ1398">
        <v>0</v>
      </c>
      <c r="AK1398">
        <v>0</v>
      </c>
      <c r="AL1398">
        <v>100</v>
      </c>
      <c r="AM1398">
        <v>45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100</v>
      </c>
      <c r="AU1398">
        <v>0</v>
      </c>
      <c r="AV1398">
        <v>0</v>
      </c>
    </row>
    <row r="1399" spans="1:48" x14ac:dyDescent="0.15">
      <c r="A1399" s="4" t="str">
        <f>HYPERLINK("https://ibp.a2mac1.com/costing(costing:projects/details/9760/equipment/12212945)","DC machine - General")</f>
        <v>DC machine - General</v>
      </c>
      <c r="B1399">
        <v>12212945</v>
      </c>
      <c r="C1399">
        <v>12085815</v>
      </c>
      <c r="E1399" t="s">
        <v>738</v>
      </c>
      <c r="H1399" t="s">
        <v>162</v>
      </c>
      <c r="I1399">
        <v>116914.84457142858</v>
      </c>
      <c r="J1399">
        <v>0</v>
      </c>
      <c r="K1399">
        <v>3.6</v>
      </c>
      <c r="L1399">
        <v>0</v>
      </c>
      <c r="M1399">
        <v>27.497982091197134</v>
      </c>
      <c r="N1399">
        <v>0</v>
      </c>
      <c r="O1399">
        <v>0.16804322389064916</v>
      </c>
      <c r="P1399">
        <v>2.5247933333333333E-2</v>
      </c>
      <c r="Q1399">
        <v>1.1732166376415484E-2</v>
      </c>
      <c r="R1399">
        <v>635568</v>
      </c>
      <c r="S1399">
        <v>0</v>
      </c>
      <c r="T1399">
        <v>0</v>
      </c>
      <c r="V1399">
        <v>10800</v>
      </c>
      <c r="W1399">
        <v>7</v>
      </c>
      <c r="X1399">
        <v>85</v>
      </c>
      <c r="Y1399">
        <v>3</v>
      </c>
      <c r="Z1399">
        <v>4</v>
      </c>
      <c r="AA1399">
        <v>5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3</v>
      </c>
      <c r="AJ1399">
        <v>0</v>
      </c>
      <c r="AK1399">
        <v>0</v>
      </c>
      <c r="AL1399">
        <v>100</v>
      </c>
      <c r="AM1399">
        <v>45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100</v>
      </c>
      <c r="AU1399">
        <v>0</v>
      </c>
      <c r="AV1399">
        <v>0</v>
      </c>
    </row>
    <row r="1400" spans="1:48" x14ac:dyDescent="0.15">
      <c r="A1400" s="4" t="str">
        <f>HYPERLINK("https://ibp.a2mac1.com/costing(costing:projects/details/9760/equipment/12212946)","DC machine - General")</f>
        <v>DC machine - General</v>
      </c>
      <c r="B1400">
        <v>12212946</v>
      </c>
      <c r="C1400">
        <v>12085816</v>
      </c>
      <c r="E1400" t="s">
        <v>738</v>
      </c>
      <c r="H1400" t="s">
        <v>162</v>
      </c>
      <c r="I1400">
        <v>116914.84457142858</v>
      </c>
      <c r="J1400">
        <v>0</v>
      </c>
      <c r="K1400">
        <v>3.6</v>
      </c>
      <c r="L1400">
        <v>0</v>
      </c>
      <c r="M1400">
        <v>27.497982091197134</v>
      </c>
      <c r="N1400">
        <v>0</v>
      </c>
      <c r="O1400">
        <v>0.11457492537998806</v>
      </c>
      <c r="P1400">
        <v>1.7214500000000001E-2</v>
      </c>
      <c r="Q1400">
        <v>1.1732166376415484E-2</v>
      </c>
      <c r="R1400">
        <v>635568</v>
      </c>
      <c r="S1400">
        <v>0</v>
      </c>
      <c r="T1400">
        <v>0</v>
      </c>
      <c r="V1400">
        <v>10800</v>
      </c>
      <c r="W1400">
        <v>7</v>
      </c>
      <c r="X1400">
        <v>85</v>
      </c>
      <c r="Y1400">
        <v>3</v>
      </c>
      <c r="Z1400">
        <v>4</v>
      </c>
      <c r="AA1400">
        <v>5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3</v>
      </c>
      <c r="AJ1400">
        <v>0</v>
      </c>
      <c r="AK1400">
        <v>0</v>
      </c>
      <c r="AL1400">
        <v>100</v>
      </c>
      <c r="AM1400">
        <v>45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100</v>
      </c>
      <c r="AU1400">
        <v>0</v>
      </c>
      <c r="AV1400">
        <v>0</v>
      </c>
    </row>
    <row r="1401" spans="1:48" x14ac:dyDescent="0.15">
      <c r="A1401" s="4" t="str">
        <f>HYPERLINK("https://ibp.a2mac1.com/costing(costing:projects/details/9760/equipment/12212947)","DC machine - General")</f>
        <v>DC machine - General</v>
      </c>
      <c r="B1401">
        <v>12212947</v>
      </c>
      <c r="C1401">
        <v>12085817</v>
      </c>
      <c r="E1401" t="s">
        <v>738</v>
      </c>
      <c r="H1401" t="s">
        <v>162</v>
      </c>
      <c r="I1401">
        <v>116914.84457142858</v>
      </c>
      <c r="J1401">
        <v>0</v>
      </c>
      <c r="K1401">
        <v>3.6</v>
      </c>
      <c r="L1401">
        <v>0</v>
      </c>
      <c r="M1401">
        <v>27.497982091197134</v>
      </c>
      <c r="N1401">
        <v>0</v>
      </c>
      <c r="O1401">
        <v>0.16804322389064916</v>
      </c>
      <c r="P1401">
        <v>2.5247933333333333E-2</v>
      </c>
      <c r="Q1401">
        <v>1.1732166376415484E-2</v>
      </c>
      <c r="R1401">
        <v>635568</v>
      </c>
      <c r="S1401">
        <v>0</v>
      </c>
      <c r="T1401">
        <v>0</v>
      </c>
      <c r="V1401">
        <v>10800</v>
      </c>
      <c r="W1401">
        <v>7</v>
      </c>
      <c r="X1401">
        <v>85</v>
      </c>
      <c r="Y1401">
        <v>3</v>
      </c>
      <c r="Z1401">
        <v>4</v>
      </c>
      <c r="AA1401">
        <v>5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3</v>
      </c>
      <c r="AJ1401">
        <v>0</v>
      </c>
      <c r="AK1401">
        <v>0</v>
      </c>
      <c r="AL1401">
        <v>100</v>
      </c>
      <c r="AM1401">
        <v>45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100</v>
      </c>
      <c r="AU1401">
        <v>0</v>
      </c>
      <c r="AV1401">
        <v>0</v>
      </c>
    </row>
    <row r="1402" spans="1:48" x14ac:dyDescent="0.15">
      <c r="A1402" s="4" t="str">
        <f>HYPERLINK("https://ibp.a2mac1.com/costing(costing:projects/details/9760/equipment/12212948)","DC machine - General")</f>
        <v>DC machine - General</v>
      </c>
      <c r="B1402">
        <v>12212948</v>
      </c>
      <c r="C1402">
        <v>12085818</v>
      </c>
      <c r="E1402" t="s">
        <v>738</v>
      </c>
      <c r="H1402" t="s">
        <v>162</v>
      </c>
      <c r="I1402">
        <v>116914.84457142858</v>
      </c>
      <c r="J1402">
        <v>0</v>
      </c>
      <c r="K1402">
        <v>3.6</v>
      </c>
      <c r="L1402">
        <v>0</v>
      </c>
      <c r="M1402">
        <v>27.497982091197134</v>
      </c>
      <c r="N1402">
        <v>0</v>
      </c>
      <c r="O1402">
        <v>0.11457492537998806</v>
      </c>
      <c r="P1402">
        <v>1.7214500000000001E-2</v>
      </c>
      <c r="Q1402">
        <v>1.1732166376415484E-2</v>
      </c>
      <c r="R1402">
        <v>635568</v>
      </c>
      <c r="S1402">
        <v>0</v>
      </c>
      <c r="T1402">
        <v>0</v>
      </c>
      <c r="V1402">
        <v>10800</v>
      </c>
      <c r="W1402">
        <v>7</v>
      </c>
      <c r="X1402">
        <v>85</v>
      </c>
      <c r="Y1402">
        <v>3</v>
      </c>
      <c r="Z1402">
        <v>4</v>
      </c>
      <c r="AA1402">
        <v>5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3</v>
      </c>
      <c r="AJ1402">
        <v>0</v>
      </c>
      <c r="AK1402">
        <v>0</v>
      </c>
      <c r="AL1402">
        <v>100</v>
      </c>
      <c r="AM1402">
        <v>45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100</v>
      </c>
      <c r="AU1402">
        <v>0</v>
      </c>
      <c r="AV1402">
        <v>0</v>
      </c>
    </row>
    <row r="1403" spans="1:48" x14ac:dyDescent="0.15">
      <c r="A1403" s="4" t="str">
        <f>HYPERLINK("https://ibp.a2mac1.com/costing(costing:projects/details/9760/equipment/12212492)","DC machine - General")</f>
        <v>DC machine - General</v>
      </c>
      <c r="B1403">
        <v>12212492</v>
      </c>
      <c r="C1403">
        <v>12085396</v>
      </c>
      <c r="E1403" t="s">
        <v>738</v>
      </c>
      <c r="H1403" t="s">
        <v>162</v>
      </c>
      <c r="I1403">
        <v>116914.84457142858</v>
      </c>
      <c r="J1403">
        <v>0</v>
      </c>
      <c r="K1403">
        <v>3.6</v>
      </c>
      <c r="L1403">
        <v>0</v>
      </c>
      <c r="M1403">
        <v>27.497982091197134</v>
      </c>
      <c r="N1403">
        <v>0</v>
      </c>
      <c r="O1403">
        <v>16.452959284566287</v>
      </c>
      <c r="P1403">
        <v>2.4720021999999999</v>
      </c>
      <c r="Q1403">
        <v>1.1732166376415484E-2</v>
      </c>
      <c r="R1403">
        <v>635568</v>
      </c>
      <c r="S1403">
        <v>0</v>
      </c>
      <c r="T1403">
        <v>0</v>
      </c>
      <c r="V1403">
        <v>10800</v>
      </c>
      <c r="W1403">
        <v>7</v>
      </c>
      <c r="X1403">
        <v>85</v>
      </c>
      <c r="Y1403">
        <v>3</v>
      </c>
      <c r="Z1403">
        <v>4</v>
      </c>
      <c r="AA1403">
        <v>5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3</v>
      </c>
      <c r="AJ1403">
        <v>0</v>
      </c>
      <c r="AK1403">
        <v>0</v>
      </c>
      <c r="AL1403">
        <v>100</v>
      </c>
      <c r="AM1403">
        <v>45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100</v>
      </c>
      <c r="AU1403">
        <v>0</v>
      </c>
      <c r="AV1403">
        <v>0</v>
      </c>
    </row>
    <row r="1404" spans="1:48" x14ac:dyDescent="0.15">
      <c r="A1404" s="4" t="str">
        <f>HYPERLINK("https://ibp.a2mac1.com/costing(costing:projects/details/9760/equipment/12212493)","DC machine - General")</f>
        <v>DC machine - General</v>
      </c>
      <c r="B1404">
        <v>12212493</v>
      </c>
      <c r="C1404">
        <v>12085397</v>
      </c>
      <c r="E1404" t="s">
        <v>738</v>
      </c>
      <c r="H1404" t="s">
        <v>162</v>
      </c>
      <c r="I1404">
        <v>116914.84457142858</v>
      </c>
      <c r="J1404">
        <v>0</v>
      </c>
      <c r="K1404">
        <v>3.6</v>
      </c>
      <c r="L1404">
        <v>0</v>
      </c>
      <c r="M1404">
        <v>27.497982091197134</v>
      </c>
      <c r="N1404">
        <v>0</v>
      </c>
      <c r="O1404">
        <v>0.92423773139857035</v>
      </c>
      <c r="P1404">
        <v>0.13886363333333332</v>
      </c>
      <c r="Q1404">
        <v>1.1732166376415484E-2</v>
      </c>
      <c r="R1404">
        <v>635568</v>
      </c>
      <c r="S1404">
        <v>0</v>
      </c>
      <c r="T1404">
        <v>0</v>
      </c>
      <c r="V1404">
        <v>10800</v>
      </c>
      <c r="W1404">
        <v>7</v>
      </c>
      <c r="X1404">
        <v>85</v>
      </c>
      <c r="Y1404">
        <v>3</v>
      </c>
      <c r="Z1404">
        <v>4</v>
      </c>
      <c r="AA1404">
        <v>5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3</v>
      </c>
      <c r="AJ1404">
        <v>0</v>
      </c>
      <c r="AK1404">
        <v>0</v>
      </c>
      <c r="AL1404">
        <v>100</v>
      </c>
      <c r="AM1404">
        <v>45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100</v>
      </c>
      <c r="AU1404">
        <v>0</v>
      </c>
      <c r="AV1404">
        <v>0</v>
      </c>
    </row>
    <row r="1405" spans="1:48" x14ac:dyDescent="0.15">
      <c r="A1405" s="4" t="str">
        <f>HYPERLINK("https://ibp.a2mac1.com/costing(costing:projects/details/9760/equipment/12212494)","DC machine - General")</f>
        <v>DC machine - General</v>
      </c>
      <c r="B1405">
        <v>12212494</v>
      </c>
      <c r="C1405">
        <v>12085398</v>
      </c>
      <c r="E1405" t="s">
        <v>738</v>
      </c>
      <c r="H1405" t="s">
        <v>162</v>
      </c>
      <c r="I1405">
        <v>116914.84457142858</v>
      </c>
      <c r="J1405">
        <v>0</v>
      </c>
      <c r="K1405">
        <v>3.6</v>
      </c>
      <c r="L1405">
        <v>0</v>
      </c>
      <c r="M1405">
        <v>27.497982091197134</v>
      </c>
      <c r="N1405">
        <v>0</v>
      </c>
      <c r="O1405">
        <v>0.13748991045598569</v>
      </c>
      <c r="P1405">
        <v>2.0657399999999999E-2</v>
      </c>
      <c r="Q1405">
        <v>1.1732166376415484E-2</v>
      </c>
      <c r="R1405">
        <v>635568</v>
      </c>
      <c r="S1405">
        <v>0</v>
      </c>
      <c r="T1405">
        <v>0</v>
      </c>
      <c r="V1405">
        <v>10800</v>
      </c>
      <c r="W1405">
        <v>7</v>
      </c>
      <c r="X1405">
        <v>85</v>
      </c>
      <c r="Y1405">
        <v>3</v>
      </c>
      <c r="Z1405">
        <v>4</v>
      </c>
      <c r="AA1405">
        <v>5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3</v>
      </c>
      <c r="AJ1405">
        <v>0</v>
      </c>
      <c r="AK1405">
        <v>0</v>
      </c>
      <c r="AL1405">
        <v>100</v>
      </c>
      <c r="AM1405">
        <v>45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100</v>
      </c>
      <c r="AU1405">
        <v>0</v>
      </c>
      <c r="AV1405">
        <v>0</v>
      </c>
    </row>
    <row r="1406" spans="1:48" x14ac:dyDescent="0.15">
      <c r="A1406" s="4" t="str">
        <f>HYPERLINK("https://ibp.a2mac1.com/costing(costing:projects/details/9760/equipment/12212495)","DC machine - General")</f>
        <v>DC machine - General</v>
      </c>
      <c r="B1406">
        <v>12212495</v>
      </c>
      <c r="C1406">
        <v>12085399</v>
      </c>
      <c r="E1406" t="s">
        <v>738</v>
      </c>
      <c r="H1406" t="s">
        <v>162</v>
      </c>
      <c r="I1406">
        <v>116914.84457142858</v>
      </c>
      <c r="J1406">
        <v>0</v>
      </c>
      <c r="K1406">
        <v>3.6</v>
      </c>
      <c r="L1406">
        <v>0</v>
      </c>
      <c r="M1406">
        <v>27.497982091197134</v>
      </c>
      <c r="N1406">
        <v>0</v>
      </c>
      <c r="O1406">
        <v>7.6383283586658711E-3</v>
      </c>
      <c r="P1406">
        <v>1.1476333333333333E-3</v>
      </c>
      <c r="Q1406">
        <v>1.1732166376415484E-2</v>
      </c>
      <c r="R1406">
        <v>635568</v>
      </c>
      <c r="S1406">
        <v>0</v>
      </c>
      <c r="T1406">
        <v>0</v>
      </c>
      <c r="V1406">
        <v>10800</v>
      </c>
      <c r="W1406">
        <v>7</v>
      </c>
      <c r="X1406">
        <v>85</v>
      </c>
      <c r="Y1406">
        <v>3</v>
      </c>
      <c r="Z1406">
        <v>4</v>
      </c>
      <c r="AA1406">
        <v>5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3</v>
      </c>
      <c r="AJ1406">
        <v>0</v>
      </c>
      <c r="AK1406">
        <v>0</v>
      </c>
      <c r="AL1406">
        <v>100</v>
      </c>
      <c r="AM1406">
        <v>45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100</v>
      </c>
      <c r="AU1406">
        <v>0</v>
      </c>
      <c r="AV1406">
        <v>0</v>
      </c>
    </row>
    <row r="1407" spans="1:48" x14ac:dyDescent="0.15">
      <c r="A1407" s="4" t="str">
        <f>HYPERLINK("https://ibp.a2mac1.com/costing(costing:projects/details/9760/equipment/12212496)","Dummy Machine (Wireharness production line)")</f>
        <v>Dummy Machine (Wireharness production line)</v>
      </c>
      <c r="B1407">
        <v>12212496</v>
      </c>
      <c r="C1407">
        <v>12085400</v>
      </c>
      <c r="H1407" t="s">
        <v>316</v>
      </c>
      <c r="I1407">
        <v>18664.599488571428</v>
      </c>
      <c r="J1407">
        <v>0</v>
      </c>
      <c r="K1407">
        <v>9.6320000000000003E-2</v>
      </c>
      <c r="L1407">
        <v>0</v>
      </c>
      <c r="M1407">
        <v>3.815112106809937</v>
      </c>
      <c r="N1407">
        <v>0</v>
      </c>
      <c r="O1407">
        <v>5.0868161424132495E-2</v>
      </c>
      <c r="P1407">
        <v>0.1956118064</v>
      </c>
      <c r="Q1407">
        <v>4.493884102430087E-5</v>
      </c>
      <c r="R1407">
        <v>89474.5</v>
      </c>
      <c r="S1407">
        <v>0</v>
      </c>
      <c r="T1407">
        <v>0</v>
      </c>
      <c r="V1407">
        <v>126</v>
      </c>
      <c r="W1407">
        <v>7</v>
      </c>
      <c r="X1407">
        <v>85</v>
      </c>
      <c r="Y1407">
        <v>3</v>
      </c>
      <c r="Z1407">
        <v>4</v>
      </c>
      <c r="AA1407">
        <v>5</v>
      </c>
      <c r="AB1407">
        <v>0</v>
      </c>
      <c r="AC1407">
        <v>0</v>
      </c>
      <c r="AD1407">
        <v>0</v>
      </c>
      <c r="AE1407">
        <v>0</v>
      </c>
      <c r="AF1407">
        <v>3.5510000000000002</v>
      </c>
      <c r="AG1407">
        <v>0</v>
      </c>
      <c r="AH1407">
        <v>0</v>
      </c>
      <c r="AI1407">
        <v>1.4</v>
      </c>
      <c r="AJ1407">
        <v>0</v>
      </c>
      <c r="AK1407">
        <v>0</v>
      </c>
      <c r="AL1407">
        <v>86</v>
      </c>
      <c r="AM1407">
        <v>1.4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71</v>
      </c>
      <c r="AU1407">
        <v>0</v>
      </c>
      <c r="AV1407">
        <v>0</v>
      </c>
    </row>
    <row r="1408" spans="1:48" x14ac:dyDescent="0.15">
      <c r="A1408" s="4" t="str">
        <f>HYPERLINK("https://ibp.a2mac1.com/costing(costing:projects/details/9760/equipment/12212949)","DC machine - General")</f>
        <v>DC machine - General</v>
      </c>
      <c r="B1408">
        <v>12212949</v>
      </c>
      <c r="C1408">
        <v>12085819</v>
      </c>
      <c r="E1408" t="s">
        <v>738</v>
      </c>
      <c r="H1408" t="s">
        <v>162</v>
      </c>
      <c r="I1408">
        <v>116914.84457142858</v>
      </c>
      <c r="J1408">
        <v>0</v>
      </c>
      <c r="K1408">
        <v>3.6</v>
      </c>
      <c r="L1408">
        <v>0</v>
      </c>
      <c r="M1408">
        <v>27.497982091197134</v>
      </c>
      <c r="N1408">
        <v>0</v>
      </c>
      <c r="O1408">
        <v>2.3831584479037518</v>
      </c>
      <c r="P1408">
        <v>0.35806159999999998</v>
      </c>
      <c r="Q1408">
        <v>1.1732166376415484E-2</v>
      </c>
      <c r="R1408">
        <v>635568</v>
      </c>
      <c r="S1408">
        <v>0</v>
      </c>
      <c r="T1408">
        <v>0</v>
      </c>
      <c r="V1408">
        <v>10800</v>
      </c>
      <c r="W1408">
        <v>7</v>
      </c>
      <c r="X1408">
        <v>85</v>
      </c>
      <c r="Y1408">
        <v>3</v>
      </c>
      <c r="Z1408">
        <v>4</v>
      </c>
      <c r="AA1408">
        <v>5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3</v>
      </c>
      <c r="AJ1408">
        <v>0</v>
      </c>
      <c r="AK1408">
        <v>0</v>
      </c>
      <c r="AL1408">
        <v>100</v>
      </c>
      <c r="AM1408">
        <v>45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100</v>
      </c>
      <c r="AU1408">
        <v>0</v>
      </c>
      <c r="AV1408">
        <v>0</v>
      </c>
    </row>
    <row r="1409" spans="1:48" x14ac:dyDescent="0.15">
      <c r="A1409" s="4" t="str">
        <f>HYPERLINK("https://ibp.a2mac1.com/costing(costing:projects/details/9760/equipment/12212950)","DC machine - General")</f>
        <v>DC machine - General</v>
      </c>
      <c r="B1409">
        <v>12212950</v>
      </c>
      <c r="C1409">
        <v>12085820</v>
      </c>
      <c r="E1409" t="s">
        <v>738</v>
      </c>
      <c r="H1409" t="s">
        <v>162</v>
      </c>
      <c r="I1409">
        <v>116914.84457142858</v>
      </c>
      <c r="J1409">
        <v>0</v>
      </c>
      <c r="K1409">
        <v>3.6</v>
      </c>
      <c r="L1409">
        <v>0</v>
      </c>
      <c r="M1409">
        <v>27.497982091197134</v>
      </c>
      <c r="N1409">
        <v>0</v>
      </c>
      <c r="O1409">
        <v>2.3831584479037518</v>
      </c>
      <c r="P1409">
        <v>0.35806159999999998</v>
      </c>
      <c r="Q1409">
        <v>1.1732166376415484E-2</v>
      </c>
      <c r="R1409">
        <v>635568</v>
      </c>
      <c r="S1409">
        <v>0</v>
      </c>
      <c r="T1409">
        <v>0</v>
      </c>
      <c r="V1409">
        <v>10800</v>
      </c>
      <c r="W1409">
        <v>7</v>
      </c>
      <c r="X1409">
        <v>85</v>
      </c>
      <c r="Y1409">
        <v>3</v>
      </c>
      <c r="Z1409">
        <v>4</v>
      </c>
      <c r="AA1409">
        <v>5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3</v>
      </c>
      <c r="AJ1409">
        <v>0</v>
      </c>
      <c r="AK1409">
        <v>0</v>
      </c>
      <c r="AL1409">
        <v>100</v>
      </c>
      <c r="AM1409">
        <v>45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100</v>
      </c>
      <c r="AU1409">
        <v>0</v>
      </c>
      <c r="AV1409">
        <v>0</v>
      </c>
    </row>
    <row r="1410" spans="1:48" x14ac:dyDescent="0.15">
      <c r="A1410" s="4" t="str">
        <f>HYPERLINK("https://ibp.a2mac1.com/costing(costing:projects/details/9760/equipment/12212497)","DC machine - General")</f>
        <v>DC machine - General</v>
      </c>
      <c r="B1410">
        <v>12212497</v>
      </c>
      <c r="C1410">
        <v>12085401</v>
      </c>
      <c r="E1410" t="s">
        <v>738</v>
      </c>
      <c r="H1410" t="s">
        <v>162</v>
      </c>
      <c r="I1410">
        <v>116914.84457142858</v>
      </c>
      <c r="J1410">
        <v>0</v>
      </c>
      <c r="K1410">
        <v>3.6</v>
      </c>
      <c r="L1410">
        <v>0</v>
      </c>
      <c r="M1410">
        <v>27.497982091197134</v>
      </c>
      <c r="N1410">
        <v>0</v>
      </c>
      <c r="O1410">
        <v>7.6383283586658704E-2</v>
      </c>
      <c r="P1410">
        <v>1.1476333333333333E-2</v>
      </c>
      <c r="Q1410">
        <v>1.1732166376415484E-2</v>
      </c>
      <c r="R1410">
        <v>635568</v>
      </c>
      <c r="S1410">
        <v>0</v>
      </c>
      <c r="T1410">
        <v>0</v>
      </c>
      <c r="V1410">
        <v>10800</v>
      </c>
      <c r="W1410">
        <v>7</v>
      </c>
      <c r="X1410">
        <v>85</v>
      </c>
      <c r="Y1410">
        <v>3</v>
      </c>
      <c r="Z1410">
        <v>4</v>
      </c>
      <c r="AA1410">
        <v>5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3</v>
      </c>
      <c r="AJ1410">
        <v>0</v>
      </c>
      <c r="AK1410">
        <v>0</v>
      </c>
      <c r="AL1410">
        <v>100</v>
      </c>
      <c r="AM1410">
        <v>45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100</v>
      </c>
      <c r="AU1410">
        <v>0</v>
      </c>
      <c r="AV1410">
        <v>0</v>
      </c>
    </row>
    <row r="1411" spans="1:48" x14ac:dyDescent="0.15">
      <c r="A1411" s="4" t="str">
        <f>HYPERLINK("https://ibp.a2mac1.com/costing(costing:projects/details/9760/equipment/12212498)","DC machine - General")</f>
        <v>DC machine - General</v>
      </c>
      <c r="B1411">
        <v>12212498</v>
      </c>
      <c r="C1411">
        <v>12085402</v>
      </c>
      <c r="E1411" t="s">
        <v>738</v>
      </c>
      <c r="H1411" t="s">
        <v>162</v>
      </c>
      <c r="I1411">
        <v>116914.84457142858</v>
      </c>
      <c r="J1411">
        <v>0</v>
      </c>
      <c r="K1411">
        <v>3.6</v>
      </c>
      <c r="L1411">
        <v>0</v>
      </c>
      <c r="M1411">
        <v>27.497982091197134</v>
      </c>
      <c r="N1411">
        <v>0</v>
      </c>
      <c r="O1411">
        <v>7.6383283586658704E-2</v>
      </c>
      <c r="P1411">
        <v>1.1476333333333333E-2</v>
      </c>
      <c r="Q1411">
        <v>1.1732166376415484E-2</v>
      </c>
      <c r="R1411">
        <v>635568</v>
      </c>
      <c r="S1411">
        <v>0</v>
      </c>
      <c r="T1411">
        <v>0</v>
      </c>
      <c r="V1411">
        <v>10800</v>
      </c>
      <c r="W1411">
        <v>7</v>
      </c>
      <c r="X1411">
        <v>85</v>
      </c>
      <c r="Y1411">
        <v>3</v>
      </c>
      <c r="Z1411">
        <v>4</v>
      </c>
      <c r="AA1411">
        <v>5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3</v>
      </c>
      <c r="AJ1411">
        <v>0</v>
      </c>
      <c r="AK1411">
        <v>0</v>
      </c>
      <c r="AL1411">
        <v>100</v>
      </c>
      <c r="AM1411">
        <v>45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100</v>
      </c>
      <c r="AU1411">
        <v>0</v>
      </c>
      <c r="AV1411">
        <v>0</v>
      </c>
    </row>
    <row r="1412" spans="1:48" x14ac:dyDescent="0.15">
      <c r="A1412" s="4" t="str">
        <f>HYPERLINK("https://ibp.a2mac1.com/costing(costing:projects/details/9760/equipment/12212500)","EPP-EPS PressNo. 05 - 1800x1300")</f>
        <v>EPP-EPS PressNo. 05 - 1800x1300</v>
      </c>
      <c r="B1412">
        <v>12212500</v>
      </c>
      <c r="C1412">
        <v>12085404</v>
      </c>
      <c r="E1412" t="s">
        <v>1596</v>
      </c>
      <c r="F1412" t="s">
        <v>9</v>
      </c>
      <c r="G1412" t="s">
        <v>9</v>
      </c>
      <c r="H1412" t="s">
        <v>162</v>
      </c>
      <c r="I1412">
        <v>49334.944320000002</v>
      </c>
      <c r="J1412">
        <v>0</v>
      </c>
      <c r="K1412">
        <v>2.1718799999999998</v>
      </c>
      <c r="L1412">
        <v>0</v>
      </c>
      <c r="M1412">
        <v>13.010025985213758</v>
      </c>
      <c r="N1412">
        <v>0</v>
      </c>
      <c r="O1412">
        <v>0.21683376642022931</v>
      </c>
      <c r="P1412">
        <v>6.8858000000000003E-2</v>
      </c>
      <c r="Q1412">
        <v>1.2821823591128254E-3</v>
      </c>
      <c r="R1412">
        <v>362000</v>
      </c>
      <c r="S1412">
        <v>0</v>
      </c>
      <c r="T1412">
        <v>800000</v>
      </c>
      <c r="U1412" t="s">
        <v>9</v>
      </c>
      <c r="V1412">
        <v>3600</v>
      </c>
      <c r="W1412">
        <v>10</v>
      </c>
      <c r="X1412">
        <v>85</v>
      </c>
      <c r="Y1412">
        <v>3</v>
      </c>
      <c r="Z1412">
        <v>4</v>
      </c>
      <c r="AA1412">
        <v>5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100</v>
      </c>
      <c r="AM1412">
        <v>18.5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12</v>
      </c>
      <c r="AU1412">
        <v>0</v>
      </c>
      <c r="AV1412">
        <v>0</v>
      </c>
    </row>
    <row r="1413" spans="1:48" x14ac:dyDescent="0.15">
      <c r="A1413" s="4" t="str">
        <f>HYPERLINK("https://ibp.a2mac1.com/costing(costing:projects/details/9760/equipment/12212499)","EPP-EPS Foaming - Steam Facility")</f>
        <v>EPP-EPS Foaming - Steam Facility</v>
      </c>
      <c r="B1413">
        <v>12212499</v>
      </c>
      <c r="C1413">
        <v>12085403</v>
      </c>
      <c r="E1413" t="s">
        <v>1596</v>
      </c>
      <c r="F1413" t="s">
        <v>9</v>
      </c>
      <c r="G1413" t="s">
        <v>9</v>
      </c>
      <c r="H1413" t="s">
        <v>162</v>
      </c>
      <c r="I1413">
        <v>40021.770600000003</v>
      </c>
      <c r="J1413">
        <v>0</v>
      </c>
      <c r="K1413">
        <v>1.9958800000000001</v>
      </c>
      <c r="L1413">
        <v>0</v>
      </c>
      <c r="M1413">
        <v>10.75862037287046</v>
      </c>
      <c r="N1413">
        <v>0</v>
      </c>
      <c r="O1413">
        <v>1.8678160369566771E-3</v>
      </c>
      <c r="P1413">
        <v>7.1727083333333332E-4</v>
      </c>
      <c r="Q1413">
        <v>1.3991316223722276E-3</v>
      </c>
      <c r="R1413">
        <v>290000</v>
      </c>
      <c r="S1413">
        <v>0</v>
      </c>
      <c r="T1413">
        <v>800000</v>
      </c>
      <c r="U1413" t="s">
        <v>9</v>
      </c>
      <c r="V1413">
        <v>3600</v>
      </c>
      <c r="W1413">
        <v>10</v>
      </c>
      <c r="X1413">
        <v>85</v>
      </c>
      <c r="Y1413">
        <v>3</v>
      </c>
      <c r="Z1413">
        <v>4</v>
      </c>
      <c r="AA1413">
        <v>5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100</v>
      </c>
      <c r="AM1413">
        <v>16.3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22.5</v>
      </c>
      <c r="AU1413">
        <v>0</v>
      </c>
      <c r="AV1413">
        <v>0</v>
      </c>
    </row>
    <row r="1414" spans="1:48" x14ac:dyDescent="0.15">
      <c r="A1414" s="4" t="str">
        <f>HYPERLINK("https://ibp.a2mac1.com/costing(costing:projects/details/9760/equipment/12212502)","No.02 - Extrusion Press Line - 900T ")</f>
        <v xml:space="preserve">No.02 - Extrusion Press Line - 900T </v>
      </c>
      <c r="B1414">
        <v>12212502</v>
      </c>
      <c r="C1414">
        <v>12085406</v>
      </c>
      <c r="E1414" t="s">
        <v>1630</v>
      </c>
      <c r="G1414" t="s">
        <v>8470</v>
      </c>
      <c r="H1414" t="s">
        <v>162</v>
      </c>
      <c r="I1414">
        <v>714797.50374399999</v>
      </c>
      <c r="J1414">
        <v>0</v>
      </c>
      <c r="K1414">
        <v>101.53188</v>
      </c>
      <c r="L1414">
        <v>0</v>
      </c>
      <c r="M1414">
        <v>250.93243508582449</v>
      </c>
      <c r="N1414">
        <v>0</v>
      </c>
      <c r="O1414">
        <v>0.38756166081734639</v>
      </c>
      <c r="P1414">
        <v>1.2762026956666667E-2</v>
      </c>
      <c r="Q1414">
        <v>1.5809560505149469E-3</v>
      </c>
      <c r="R1414">
        <v>4295455</v>
      </c>
      <c r="S1414">
        <v>0</v>
      </c>
      <c r="T1414">
        <v>0</v>
      </c>
      <c r="V1414">
        <v>360</v>
      </c>
      <c r="W1414">
        <v>8</v>
      </c>
      <c r="X1414">
        <v>85</v>
      </c>
      <c r="Y1414">
        <v>3</v>
      </c>
      <c r="Z1414">
        <v>4</v>
      </c>
      <c r="AA1414">
        <v>5</v>
      </c>
      <c r="AB1414">
        <v>0</v>
      </c>
      <c r="AC1414">
        <v>0</v>
      </c>
      <c r="AD1414">
        <v>0</v>
      </c>
      <c r="AE1414">
        <v>0</v>
      </c>
      <c r="AF1414">
        <v>2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99</v>
      </c>
      <c r="AM1414">
        <v>1200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710.4</v>
      </c>
      <c r="AU1414">
        <v>5.8</v>
      </c>
      <c r="AV1414">
        <v>0</v>
      </c>
    </row>
    <row r="1415" spans="1:48" x14ac:dyDescent="0.15">
      <c r="A1415" s="4" t="str">
        <f>HYPERLINK("https://ibp.a2mac1.com/costing(costing:projects/details/9760/equipment/12212501)","No.01 - Extrusion Press Line - 600T ")</f>
        <v xml:space="preserve">No.01 - Extrusion Press Line - 600T </v>
      </c>
      <c r="B1415">
        <v>12212501</v>
      </c>
      <c r="C1415">
        <v>12085405</v>
      </c>
      <c r="E1415" t="s">
        <v>1630</v>
      </c>
      <c r="H1415" t="s">
        <v>162</v>
      </c>
      <c r="I1415">
        <v>538349.80249599996</v>
      </c>
      <c r="J1415">
        <v>0</v>
      </c>
      <c r="K1415">
        <v>67.951880000000003</v>
      </c>
      <c r="L1415">
        <v>0</v>
      </c>
      <c r="M1415">
        <v>180.59247827965285</v>
      </c>
      <c r="N1415">
        <v>0</v>
      </c>
      <c r="O1415">
        <v>1.48256391752135E-2</v>
      </c>
      <c r="P1415">
        <v>1.364626396E-3</v>
      </c>
      <c r="Q1415">
        <v>2.8972907741947926E-4</v>
      </c>
      <c r="R1415">
        <v>3250000</v>
      </c>
      <c r="S1415">
        <v>0</v>
      </c>
      <c r="T1415">
        <v>0</v>
      </c>
      <c r="V1415">
        <v>360</v>
      </c>
      <c r="W1415">
        <v>8</v>
      </c>
      <c r="X1415">
        <v>85</v>
      </c>
      <c r="Y1415">
        <v>3</v>
      </c>
      <c r="Z1415">
        <v>4</v>
      </c>
      <c r="AA1415">
        <v>5</v>
      </c>
      <c r="AB1415">
        <v>0</v>
      </c>
      <c r="AC1415">
        <v>1</v>
      </c>
      <c r="AD1415">
        <v>0</v>
      </c>
      <c r="AE1415">
        <v>0</v>
      </c>
      <c r="AF1415">
        <v>2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99</v>
      </c>
      <c r="AM1415">
        <v>800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473.6</v>
      </c>
      <c r="AU1415">
        <v>3.9</v>
      </c>
      <c r="AV1415">
        <v>0</v>
      </c>
    </row>
    <row r="1416" spans="1:48" x14ac:dyDescent="0.15">
      <c r="A1416" s="4" t="str">
        <f>HYPERLINK("https://ibp.a2mac1.com/costing(costing:projects/details/9760/equipment/12212505)","No.03 - Extrusion Press Line - 1200T ")</f>
        <v xml:space="preserve">No.03 - Extrusion Press Line - 1200T </v>
      </c>
      <c r="B1416">
        <v>12212505</v>
      </c>
      <c r="C1416">
        <v>12085409</v>
      </c>
      <c r="E1416" t="s">
        <v>1630</v>
      </c>
      <c r="H1416" t="s">
        <v>162</v>
      </c>
      <c r="I1416">
        <v>953063.28499199997</v>
      </c>
      <c r="J1416">
        <v>0</v>
      </c>
      <c r="K1416">
        <v>135.21188000000001</v>
      </c>
      <c r="L1416">
        <v>0</v>
      </c>
      <c r="M1416">
        <v>334.41260886403086</v>
      </c>
      <c r="N1416">
        <v>0</v>
      </c>
      <c r="O1416">
        <v>2.5967900795901073</v>
      </c>
      <c r="P1416">
        <v>0.129078585868</v>
      </c>
      <c r="Q1416">
        <v>2.0818370931841852E-3</v>
      </c>
      <c r="R1416">
        <v>5727273</v>
      </c>
      <c r="S1416">
        <v>0</v>
      </c>
      <c r="T1416">
        <v>0</v>
      </c>
      <c r="V1416">
        <v>360</v>
      </c>
      <c r="W1416">
        <v>8</v>
      </c>
      <c r="X1416">
        <v>85</v>
      </c>
      <c r="Y1416">
        <v>3</v>
      </c>
      <c r="Z1416">
        <v>4</v>
      </c>
      <c r="AA1416">
        <v>5</v>
      </c>
      <c r="AB1416">
        <v>0</v>
      </c>
      <c r="AC1416">
        <v>1</v>
      </c>
      <c r="AD1416">
        <v>0</v>
      </c>
      <c r="AE1416">
        <v>0</v>
      </c>
      <c r="AF1416">
        <v>2</v>
      </c>
      <c r="AG1416">
        <v>0</v>
      </c>
      <c r="AH1416">
        <v>0</v>
      </c>
      <c r="AI1416">
        <v>1</v>
      </c>
      <c r="AJ1416">
        <v>0</v>
      </c>
      <c r="AK1416">
        <v>0</v>
      </c>
      <c r="AL1416">
        <v>99</v>
      </c>
      <c r="AM1416">
        <v>1600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947.2</v>
      </c>
      <c r="AU1416">
        <v>7.8</v>
      </c>
      <c r="AV1416">
        <v>0</v>
      </c>
    </row>
    <row r="1417" spans="1:48" x14ac:dyDescent="0.15">
      <c r="A1417" s="4" t="str">
        <f>HYPERLINK("https://ibp.a2mac1.com/costing(costing:projects/details/9760/equipment/12212504)","No.02 - Extrusion Press Line - 900T ")</f>
        <v xml:space="preserve">No.02 - Extrusion Press Line - 900T </v>
      </c>
      <c r="B1417">
        <v>12212504</v>
      </c>
      <c r="C1417">
        <v>12085408</v>
      </c>
      <c r="E1417" t="s">
        <v>1630</v>
      </c>
      <c r="H1417" t="s">
        <v>162</v>
      </c>
      <c r="I1417">
        <v>714797.50374399999</v>
      </c>
      <c r="J1417">
        <v>0</v>
      </c>
      <c r="K1417">
        <v>101.53188</v>
      </c>
      <c r="L1417">
        <v>0</v>
      </c>
      <c r="M1417">
        <v>250.93243508582449</v>
      </c>
      <c r="N1417">
        <v>0</v>
      </c>
      <c r="O1417">
        <v>0.59644618419728956</v>
      </c>
      <c r="P1417">
        <v>3.9510676234000001E-2</v>
      </c>
      <c r="Q1417">
        <v>1.5809560505149469E-3</v>
      </c>
      <c r="R1417">
        <v>4295455</v>
      </c>
      <c r="S1417">
        <v>0</v>
      </c>
      <c r="T1417">
        <v>0</v>
      </c>
      <c r="V1417">
        <v>360</v>
      </c>
      <c r="W1417">
        <v>8</v>
      </c>
      <c r="X1417">
        <v>85</v>
      </c>
      <c r="Y1417">
        <v>3</v>
      </c>
      <c r="Z1417">
        <v>4</v>
      </c>
      <c r="AA1417">
        <v>5</v>
      </c>
      <c r="AB1417">
        <v>0</v>
      </c>
      <c r="AC1417">
        <v>1</v>
      </c>
      <c r="AD1417">
        <v>0</v>
      </c>
      <c r="AE1417">
        <v>0</v>
      </c>
      <c r="AF1417">
        <v>2</v>
      </c>
      <c r="AG1417">
        <v>0</v>
      </c>
      <c r="AH1417">
        <v>0</v>
      </c>
      <c r="AI1417">
        <v>1</v>
      </c>
      <c r="AJ1417">
        <v>0</v>
      </c>
      <c r="AK1417">
        <v>0</v>
      </c>
      <c r="AL1417">
        <v>99</v>
      </c>
      <c r="AM1417">
        <v>1200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710.4</v>
      </c>
      <c r="AU1417">
        <v>5.8</v>
      </c>
      <c r="AV1417">
        <v>0</v>
      </c>
    </row>
    <row r="1418" spans="1:48" x14ac:dyDescent="0.15">
      <c r="A1418" s="4" t="str">
        <f>HYPERLINK("https://ibp.a2mac1.com/costing(costing:projects/details/9760/equipment/12212503)","No.04 - Progressive Press - 630T ")</f>
        <v xml:space="preserve">No.04 - Progressive Press - 630T </v>
      </c>
      <c r="B1418">
        <v>12212503</v>
      </c>
      <c r="C1418">
        <v>12085407</v>
      </c>
      <c r="E1418" t="s">
        <v>1630</v>
      </c>
      <c r="H1418" t="s">
        <v>162</v>
      </c>
      <c r="I1418">
        <v>672776.08971428568</v>
      </c>
      <c r="J1418">
        <v>0</v>
      </c>
      <c r="K1418">
        <v>12.79</v>
      </c>
      <c r="L1418">
        <v>0</v>
      </c>
      <c r="M1418">
        <v>151.05359526105525</v>
      </c>
      <c r="N1418">
        <v>0</v>
      </c>
      <c r="O1418">
        <v>4.7028019324608532E-2</v>
      </c>
      <c r="P1418">
        <v>1.9294011600000001E-3</v>
      </c>
      <c r="Q1418">
        <v>2.4542075289158286E-3</v>
      </c>
      <c r="R1418">
        <v>3750000</v>
      </c>
      <c r="S1418">
        <v>0</v>
      </c>
      <c r="T1418">
        <v>0</v>
      </c>
      <c r="V1418">
        <v>1800</v>
      </c>
      <c r="W1418">
        <v>7</v>
      </c>
      <c r="X1418">
        <v>85</v>
      </c>
      <c r="Y1418">
        <v>3</v>
      </c>
      <c r="Z1418">
        <v>4</v>
      </c>
      <c r="AA1418">
        <v>5</v>
      </c>
      <c r="AB1418">
        <v>0</v>
      </c>
      <c r="AC1418">
        <v>0</v>
      </c>
      <c r="AD1418">
        <v>0</v>
      </c>
      <c r="AE1418">
        <v>0</v>
      </c>
      <c r="AF1418">
        <v>1.5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87</v>
      </c>
      <c r="AM1418">
        <v>150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150</v>
      </c>
      <c r="AU1418">
        <v>2.35</v>
      </c>
      <c r="AV1418">
        <v>0</v>
      </c>
    </row>
    <row r="1419" spans="1:48" x14ac:dyDescent="0.15">
      <c r="A1419" s="4" t="str">
        <f>HYPERLINK("https://ibp.a2mac1.com/costing(costing:projects/details/9760/equipment/12212506)","No.03 - Extrusion Press Line - 1200T ")</f>
        <v xml:space="preserve">No.03 - Extrusion Press Line - 1200T </v>
      </c>
      <c r="B1419">
        <v>12212506</v>
      </c>
      <c r="C1419">
        <v>12085410</v>
      </c>
      <c r="E1419" t="s">
        <v>1630</v>
      </c>
      <c r="H1419" t="s">
        <v>162</v>
      </c>
      <c r="I1419">
        <v>953063.28499199997</v>
      </c>
      <c r="J1419">
        <v>0</v>
      </c>
      <c r="K1419">
        <v>135.21188000000001</v>
      </c>
      <c r="L1419">
        <v>0</v>
      </c>
      <c r="M1419">
        <v>334.41260886403086</v>
      </c>
      <c r="N1419">
        <v>0</v>
      </c>
      <c r="O1419">
        <v>2.5967900795901073</v>
      </c>
      <c r="P1419">
        <v>0.129078585868</v>
      </c>
      <c r="Q1419">
        <v>2.0818370931841852E-3</v>
      </c>
      <c r="R1419">
        <v>5727273</v>
      </c>
      <c r="S1419">
        <v>0</v>
      </c>
      <c r="T1419">
        <v>0</v>
      </c>
      <c r="V1419">
        <v>360</v>
      </c>
      <c r="W1419">
        <v>8</v>
      </c>
      <c r="X1419">
        <v>85</v>
      </c>
      <c r="Y1419">
        <v>3</v>
      </c>
      <c r="Z1419">
        <v>4</v>
      </c>
      <c r="AA1419">
        <v>5</v>
      </c>
      <c r="AB1419">
        <v>0</v>
      </c>
      <c r="AC1419">
        <v>1</v>
      </c>
      <c r="AD1419">
        <v>0</v>
      </c>
      <c r="AE1419">
        <v>0</v>
      </c>
      <c r="AF1419">
        <v>2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99</v>
      </c>
      <c r="AM1419">
        <v>1600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947.2</v>
      </c>
      <c r="AU1419">
        <v>7.8</v>
      </c>
      <c r="AV1419">
        <v>0</v>
      </c>
    </row>
    <row r="1420" spans="1:48" x14ac:dyDescent="0.15">
      <c r="A1420" s="4" t="str">
        <f>HYPERLINK("https://ibp.a2mac1.com/costing(costing:projects/details/9760/equipment/12212507)","No.02 - Extrusion Press Line - 900T ")</f>
        <v xml:space="preserve">No.02 - Extrusion Press Line - 900T </v>
      </c>
      <c r="B1420">
        <v>12212507</v>
      </c>
      <c r="C1420">
        <v>12085411</v>
      </c>
      <c r="E1420" t="s">
        <v>1630</v>
      </c>
      <c r="H1420" t="s">
        <v>162</v>
      </c>
      <c r="I1420">
        <v>714797.50374399999</v>
      </c>
      <c r="J1420">
        <v>0</v>
      </c>
      <c r="K1420">
        <v>101.53188</v>
      </c>
      <c r="L1420">
        <v>0</v>
      </c>
      <c r="M1420">
        <v>250.93243508582449</v>
      </c>
      <c r="N1420">
        <v>0</v>
      </c>
      <c r="O1420">
        <v>0.59644618419728956</v>
      </c>
      <c r="P1420">
        <v>3.9510676234000001E-2</v>
      </c>
      <c r="Q1420">
        <v>1.5809560505149469E-3</v>
      </c>
      <c r="R1420">
        <v>4295455</v>
      </c>
      <c r="S1420">
        <v>0</v>
      </c>
      <c r="T1420">
        <v>0</v>
      </c>
      <c r="V1420">
        <v>360</v>
      </c>
      <c r="W1420">
        <v>8</v>
      </c>
      <c r="X1420">
        <v>85</v>
      </c>
      <c r="Y1420">
        <v>3</v>
      </c>
      <c r="Z1420">
        <v>4</v>
      </c>
      <c r="AA1420">
        <v>5</v>
      </c>
      <c r="AB1420">
        <v>0</v>
      </c>
      <c r="AC1420">
        <v>1</v>
      </c>
      <c r="AD1420">
        <v>0</v>
      </c>
      <c r="AE1420">
        <v>0</v>
      </c>
      <c r="AF1420">
        <v>2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99</v>
      </c>
      <c r="AM1420">
        <v>1200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710.4</v>
      </c>
      <c r="AU1420">
        <v>5.8</v>
      </c>
      <c r="AV1420">
        <v>0</v>
      </c>
    </row>
    <row r="1421" spans="1:48" x14ac:dyDescent="0.15">
      <c r="A1421" s="4" t="str">
        <f>HYPERLINK("https://ibp.a2mac1.com/costing(costing:projects/details/9760/equipment/12212508)","No.04 - Progressive Press - 630T ")</f>
        <v xml:space="preserve">No.04 - Progressive Press - 630T </v>
      </c>
      <c r="B1421">
        <v>12212508</v>
      </c>
      <c r="C1421">
        <v>12085412</v>
      </c>
      <c r="E1421" t="s">
        <v>1630</v>
      </c>
      <c r="H1421" t="s">
        <v>162</v>
      </c>
      <c r="I1421">
        <v>672776.08971428568</v>
      </c>
      <c r="J1421">
        <v>0</v>
      </c>
      <c r="K1421">
        <v>12.79</v>
      </c>
      <c r="L1421">
        <v>0</v>
      </c>
      <c r="M1421">
        <v>151.05359526105525</v>
      </c>
      <c r="N1421">
        <v>0</v>
      </c>
      <c r="O1421">
        <v>4.7028019324608532E-2</v>
      </c>
      <c r="P1421">
        <v>1.9294011600000001E-3</v>
      </c>
      <c r="Q1421">
        <v>2.4542075289158286E-3</v>
      </c>
      <c r="R1421">
        <v>3750000</v>
      </c>
      <c r="S1421">
        <v>0</v>
      </c>
      <c r="T1421">
        <v>0</v>
      </c>
      <c r="V1421">
        <v>1800</v>
      </c>
      <c r="W1421">
        <v>7</v>
      </c>
      <c r="X1421">
        <v>85</v>
      </c>
      <c r="Y1421">
        <v>3</v>
      </c>
      <c r="Z1421">
        <v>4</v>
      </c>
      <c r="AA1421">
        <v>5</v>
      </c>
      <c r="AB1421">
        <v>0</v>
      </c>
      <c r="AC1421">
        <v>0</v>
      </c>
      <c r="AD1421">
        <v>0</v>
      </c>
      <c r="AE1421">
        <v>0</v>
      </c>
      <c r="AF1421">
        <v>1.5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87</v>
      </c>
      <c r="AM1421">
        <v>150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150</v>
      </c>
      <c r="AU1421">
        <v>2.35</v>
      </c>
      <c r="AV1421">
        <v>0</v>
      </c>
    </row>
    <row r="1422" spans="1:48" x14ac:dyDescent="0.15">
      <c r="A1422" s="4" t="str">
        <f>HYPERLINK("https://ibp.a2mac1.com/costing(costing:projects/details/9760/equipment/12212509)","DC machine - General")</f>
        <v>DC machine - General</v>
      </c>
      <c r="B1422">
        <v>12212509</v>
      </c>
      <c r="C1422">
        <v>12085413</v>
      </c>
      <c r="E1422" t="s">
        <v>738</v>
      </c>
      <c r="H1422" t="s">
        <v>162</v>
      </c>
      <c r="I1422">
        <v>116914.84457142858</v>
      </c>
      <c r="J1422">
        <v>0</v>
      </c>
      <c r="K1422">
        <v>3.6</v>
      </c>
      <c r="L1422">
        <v>0</v>
      </c>
      <c r="M1422">
        <v>27.497982091197134</v>
      </c>
      <c r="N1422">
        <v>0</v>
      </c>
      <c r="O1422">
        <v>7.6383283586658704E-2</v>
      </c>
      <c r="P1422">
        <v>1.1476333333333333E-2</v>
      </c>
      <c r="Q1422">
        <v>5.8660831882077422E-3</v>
      </c>
      <c r="R1422">
        <v>635568</v>
      </c>
      <c r="S1422">
        <v>0</v>
      </c>
      <c r="T1422">
        <v>0</v>
      </c>
      <c r="V1422">
        <v>10800</v>
      </c>
      <c r="W1422">
        <v>7</v>
      </c>
      <c r="X1422">
        <v>85</v>
      </c>
      <c r="Y1422">
        <v>3</v>
      </c>
      <c r="Z1422">
        <v>4</v>
      </c>
      <c r="AA1422">
        <v>5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3</v>
      </c>
      <c r="AJ1422">
        <v>0</v>
      </c>
      <c r="AK1422">
        <v>0</v>
      </c>
      <c r="AL1422">
        <v>100</v>
      </c>
      <c r="AM1422">
        <v>45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100</v>
      </c>
      <c r="AU1422">
        <v>0</v>
      </c>
      <c r="AV1422">
        <v>0</v>
      </c>
    </row>
    <row r="1423" spans="1:48" x14ac:dyDescent="0.15">
      <c r="A1423" s="4" t="str">
        <f>HYPERLINK("https://ibp.a2mac1.com/costing(costing:projects/details/9760/equipment/12212510)","DC machine - General")</f>
        <v>DC machine - General</v>
      </c>
      <c r="B1423">
        <v>12212510</v>
      </c>
      <c r="C1423">
        <v>12085414</v>
      </c>
      <c r="E1423" t="s">
        <v>738</v>
      </c>
      <c r="H1423" t="s">
        <v>162</v>
      </c>
      <c r="I1423">
        <v>116914.84457142858</v>
      </c>
      <c r="J1423">
        <v>0</v>
      </c>
      <c r="K1423">
        <v>3.6</v>
      </c>
      <c r="L1423">
        <v>0</v>
      </c>
      <c r="M1423">
        <v>27.497982091197134</v>
      </c>
      <c r="N1423">
        <v>0</v>
      </c>
      <c r="O1423">
        <v>2.2914985075997613E-2</v>
      </c>
      <c r="P1423">
        <v>3.4429E-3</v>
      </c>
      <c r="Q1423">
        <v>1.1732166376415484E-2</v>
      </c>
      <c r="R1423">
        <v>635568</v>
      </c>
      <c r="S1423">
        <v>0</v>
      </c>
      <c r="T1423">
        <v>0</v>
      </c>
      <c r="V1423">
        <v>10800</v>
      </c>
      <c r="W1423">
        <v>7</v>
      </c>
      <c r="X1423">
        <v>85</v>
      </c>
      <c r="Y1423">
        <v>3</v>
      </c>
      <c r="Z1423">
        <v>4</v>
      </c>
      <c r="AA1423">
        <v>5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3</v>
      </c>
      <c r="AJ1423">
        <v>0</v>
      </c>
      <c r="AK1423">
        <v>0</v>
      </c>
      <c r="AL1423">
        <v>100</v>
      </c>
      <c r="AM1423">
        <v>45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100</v>
      </c>
      <c r="AU1423">
        <v>0</v>
      </c>
      <c r="AV1423">
        <v>0</v>
      </c>
    </row>
    <row r="1424" spans="1:48" x14ac:dyDescent="0.15">
      <c r="A1424" s="4" t="str">
        <f>HYPERLINK("https://ibp.a2mac1.com/costing(costing:projects/details/9760/equipment/12212511)","DC machine - General")</f>
        <v>DC machine - General</v>
      </c>
      <c r="B1424">
        <v>12212511</v>
      </c>
      <c r="C1424">
        <v>12085415</v>
      </c>
      <c r="E1424" t="s">
        <v>738</v>
      </c>
      <c r="H1424" t="s">
        <v>162</v>
      </c>
      <c r="I1424">
        <v>116914.84457142858</v>
      </c>
      <c r="J1424">
        <v>0</v>
      </c>
      <c r="K1424">
        <v>3.6</v>
      </c>
      <c r="L1424">
        <v>0</v>
      </c>
      <c r="M1424">
        <v>27.497982091197134</v>
      </c>
      <c r="N1424">
        <v>0</v>
      </c>
      <c r="O1424">
        <v>0.30553313434663482</v>
      </c>
      <c r="P1424">
        <v>4.5905333333333333E-2</v>
      </c>
      <c r="Q1424">
        <v>5.8660831882077422E-3</v>
      </c>
      <c r="R1424">
        <v>635568</v>
      </c>
      <c r="S1424">
        <v>0</v>
      </c>
      <c r="T1424">
        <v>0</v>
      </c>
      <c r="V1424">
        <v>10800</v>
      </c>
      <c r="W1424">
        <v>7</v>
      </c>
      <c r="X1424">
        <v>85</v>
      </c>
      <c r="Y1424">
        <v>3</v>
      </c>
      <c r="Z1424">
        <v>4</v>
      </c>
      <c r="AA1424">
        <v>5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3</v>
      </c>
      <c r="AJ1424">
        <v>0</v>
      </c>
      <c r="AK1424">
        <v>0</v>
      </c>
      <c r="AL1424">
        <v>100</v>
      </c>
      <c r="AM1424">
        <v>45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100</v>
      </c>
      <c r="AU1424">
        <v>0</v>
      </c>
      <c r="AV1424">
        <v>0</v>
      </c>
    </row>
    <row r="1425" spans="1:48" x14ac:dyDescent="0.15">
      <c r="A1425" s="4" t="str">
        <f>HYPERLINK("https://ibp.a2mac1.com/costing(costing:projects/details/9760/equipment/12212512)","No.13 - Extrusion Press Line - 6500T ")</f>
        <v xml:space="preserve">No.13 - Extrusion Press Line - 6500T </v>
      </c>
      <c r="B1425">
        <v>12212512</v>
      </c>
      <c r="C1425">
        <v>12085416</v>
      </c>
      <c r="E1425" t="s">
        <v>1630</v>
      </c>
      <c r="H1425" t="s">
        <v>162</v>
      </c>
      <c r="I1425">
        <v>6603505.1908488004</v>
      </c>
      <c r="J1425">
        <v>0</v>
      </c>
      <c r="K1425">
        <v>763.87805200000003</v>
      </c>
      <c r="L1425">
        <v>0</v>
      </c>
      <c r="M1425">
        <v>2141.6111267105111</v>
      </c>
      <c r="N1425">
        <v>0</v>
      </c>
      <c r="O1425">
        <v>2.3389605920368846</v>
      </c>
      <c r="P1425">
        <v>3.1691003921999999E-2</v>
      </c>
      <c r="Q1425">
        <v>2.6302225040526133E-2</v>
      </c>
      <c r="R1425">
        <v>39375000</v>
      </c>
      <c r="S1425">
        <v>0</v>
      </c>
      <c r="T1425">
        <v>0</v>
      </c>
      <c r="V1425">
        <v>720</v>
      </c>
      <c r="W1425">
        <v>8</v>
      </c>
      <c r="X1425">
        <v>85</v>
      </c>
      <c r="Y1425">
        <v>3</v>
      </c>
      <c r="Z1425">
        <v>4</v>
      </c>
      <c r="AA1425">
        <v>5</v>
      </c>
      <c r="AB1425">
        <v>0</v>
      </c>
      <c r="AC1425">
        <v>1</v>
      </c>
      <c r="AD1425">
        <v>0</v>
      </c>
      <c r="AE1425">
        <v>0</v>
      </c>
      <c r="AF1425">
        <v>5</v>
      </c>
      <c r="AG1425">
        <v>0</v>
      </c>
      <c r="AH1425">
        <v>0</v>
      </c>
      <c r="AI1425">
        <v>4</v>
      </c>
      <c r="AJ1425">
        <v>0</v>
      </c>
      <c r="AK1425">
        <v>0</v>
      </c>
      <c r="AL1425">
        <v>99</v>
      </c>
      <c r="AM1425">
        <v>8965.83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0.7</v>
      </c>
      <c r="AT1425">
        <v>7833.33</v>
      </c>
      <c r="AU1425">
        <v>53.3</v>
      </c>
      <c r="AV1425">
        <v>0</v>
      </c>
    </row>
    <row r="1426" spans="1:48" x14ac:dyDescent="0.15">
      <c r="A1426" s="4" t="str">
        <f>HYPERLINK("https://ibp.a2mac1.com/costing(costing:projects/details/9760/equipment/12212549)","No.02 - Extrusion Press Line - 900T ")</f>
        <v xml:space="preserve">No.02 - Extrusion Press Line - 900T </v>
      </c>
      <c r="B1426">
        <v>12212549</v>
      </c>
      <c r="C1426">
        <v>12085417</v>
      </c>
      <c r="E1426" t="s">
        <v>1630</v>
      </c>
      <c r="H1426" t="s">
        <v>162</v>
      </c>
      <c r="I1426">
        <v>714797.50374399999</v>
      </c>
      <c r="J1426">
        <v>0</v>
      </c>
      <c r="K1426">
        <v>101.53188</v>
      </c>
      <c r="L1426">
        <v>0</v>
      </c>
      <c r="M1426">
        <v>250.93243508582449</v>
      </c>
      <c r="N1426">
        <v>0</v>
      </c>
      <c r="O1426">
        <v>0.50324918077187242</v>
      </c>
      <c r="P1426">
        <v>3.3336981564000001E-2</v>
      </c>
      <c r="Q1426">
        <v>7.9047802525747347E-4</v>
      </c>
      <c r="R1426">
        <v>4295455</v>
      </c>
      <c r="S1426">
        <v>0</v>
      </c>
      <c r="T1426">
        <v>0</v>
      </c>
      <c r="V1426">
        <v>360</v>
      </c>
      <c r="W1426">
        <v>8</v>
      </c>
      <c r="X1426">
        <v>85</v>
      </c>
      <c r="Y1426">
        <v>3</v>
      </c>
      <c r="Z1426">
        <v>4</v>
      </c>
      <c r="AA1426">
        <v>5</v>
      </c>
      <c r="AB1426">
        <v>0</v>
      </c>
      <c r="AC1426">
        <v>1</v>
      </c>
      <c r="AD1426">
        <v>0</v>
      </c>
      <c r="AE1426">
        <v>0</v>
      </c>
      <c r="AF1426">
        <v>2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99</v>
      </c>
      <c r="AM1426">
        <v>1200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710.4</v>
      </c>
      <c r="AU1426">
        <v>5.8</v>
      </c>
      <c r="AV1426">
        <v>0</v>
      </c>
    </row>
    <row r="1427" spans="1:48" x14ac:dyDescent="0.15">
      <c r="A1427" s="4" t="str">
        <f>HYPERLINK("https://ibp.a2mac1.com/costing(costing:projects/details/9760/equipment/12212550)","No.01 - Progressive Press - 250T ")</f>
        <v xml:space="preserve">No.01 - Progressive Press - 250T </v>
      </c>
      <c r="B1427">
        <v>12212550</v>
      </c>
      <c r="C1427">
        <v>12085418</v>
      </c>
      <c r="E1427" t="s">
        <v>1630</v>
      </c>
      <c r="H1427" t="s">
        <v>162</v>
      </c>
      <c r="I1427">
        <v>295789.00731428573</v>
      </c>
      <c r="J1427">
        <v>0</v>
      </c>
      <c r="K1427">
        <v>5.82</v>
      </c>
      <c r="L1427">
        <v>0</v>
      </c>
      <c r="M1427">
        <v>66.618618983331032</v>
      </c>
      <c r="N1427">
        <v>0</v>
      </c>
      <c r="O1427">
        <v>1.58239575774545E-2</v>
      </c>
      <c r="P1427">
        <v>9.8135273966666668E-4</v>
      </c>
      <c r="Q1427">
        <v>1.1876828847499656E-3</v>
      </c>
      <c r="R1427">
        <v>1650000</v>
      </c>
      <c r="S1427">
        <v>0</v>
      </c>
      <c r="T1427">
        <v>0</v>
      </c>
      <c r="V1427">
        <v>1800</v>
      </c>
      <c r="W1427">
        <v>7</v>
      </c>
      <c r="X1427">
        <v>85</v>
      </c>
      <c r="Y1427">
        <v>3</v>
      </c>
      <c r="Z1427">
        <v>4</v>
      </c>
      <c r="AA1427">
        <v>5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87</v>
      </c>
      <c r="AM1427">
        <v>75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60</v>
      </c>
      <c r="AU1427">
        <v>0.6</v>
      </c>
      <c r="AV1427">
        <v>0</v>
      </c>
    </row>
    <row r="1428" spans="1:48" x14ac:dyDescent="0.15">
      <c r="A1428" s="4" t="str">
        <f>HYPERLINK("https://ibp.a2mac1.com/costing(costing:projects/details/9760/equipment/12212270)","No.10 - TIG - Turntable 1 KUKA - Robot Unload ")</f>
        <v xml:space="preserve">No.10 - TIG - Turntable 1 KUKA - Robot Unload </v>
      </c>
      <c r="B1428">
        <v>12212270</v>
      </c>
      <c r="C1428">
        <v>12085175</v>
      </c>
      <c r="E1428" t="s">
        <v>1630</v>
      </c>
      <c r="H1428" t="s">
        <v>162</v>
      </c>
      <c r="I1428">
        <v>41162.360800000002</v>
      </c>
      <c r="J1428">
        <v>0</v>
      </c>
      <c r="K1428">
        <v>2.3279999999999998</v>
      </c>
      <c r="L1428">
        <v>0</v>
      </c>
      <c r="M1428">
        <v>10.95261600771456</v>
      </c>
      <c r="N1428">
        <v>0</v>
      </c>
      <c r="O1428">
        <v>0.17341642012214722</v>
      </c>
      <c r="P1428">
        <v>0.1323616</v>
      </c>
      <c r="Q1428">
        <v>1.1756428003857281E-3</v>
      </c>
      <c r="R1428">
        <v>250000</v>
      </c>
      <c r="S1428">
        <v>0</v>
      </c>
      <c r="T1428">
        <v>0</v>
      </c>
      <c r="V1428">
        <v>1800</v>
      </c>
      <c r="W1428">
        <v>8</v>
      </c>
      <c r="X1428">
        <v>85</v>
      </c>
      <c r="Y1428">
        <v>3</v>
      </c>
      <c r="Z1428">
        <v>4</v>
      </c>
      <c r="AA1428">
        <v>5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97</v>
      </c>
      <c r="AM1428">
        <v>30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30</v>
      </c>
      <c r="AU1428">
        <v>0</v>
      </c>
      <c r="AV1428">
        <v>0</v>
      </c>
    </row>
    <row r="1429" spans="1:48" x14ac:dyDescent="0.15">
      <c r="A1429" s="4" t="str">
        <f>HYPERLINK("https://ibp.a2mac1.com/costing(costing:projects/details/9760/equipment/12212271)","No.05 - Cleaning - Batch - 2000x2000x1200 - 500kg/batch - 3000kg/h ")</f>
        <v xml:space="preserve">No.05 - Cleaning - Batch - 2000x2000x1200 - 500kg/batch - 3000kg/h </v>
      </c>
      <c r="B1429">
        <v>12212271</v>
      </c>
      <c r="C1429">
        <v>12085176</v>
      </c>
      <c r="E1429" t="s">
        <v>1630</v>
      </c>
      <c r="G1429" t="s">
        <v>5720</v>
      </c>
      <c r="H1429" t="s">
        <v>162</v>
      </c>
      <c r="I1429">
        <v>36749.814400000003</v>
      </c>
      <c r="J1429">
        <v>0</v>
      </c>
      <c r="K1429">
        <v>7.6</v>
      </c>
      <c r="L1429">
        <v>0</v>
      </c>
      <c r="M1429">
        <v>15.274351398264224</v>
      </c>
      <c r="N1429">
        <v>0</v>
      </c>
      <c r="O1429">
        <v>6.364313082610093E-2</v>
      </c>
      <c r="P1429">
        <v>1.72145E-3</v>
      </c>
      <c r="Q1429">
        <v>0</v>
      </c>
      <c r="R1429">
        <v>220000</v>
      </c>
      <c r="S1429">
        <v>0</v>
      </c>
      <c r="T1429">
        <v>0</v>
      </c>
      <c r="V1429">
        <v>0</v>
      </c>
      <c r="W1429">
        <v>8</v>
      </c>
      <c r="X1429">
        <v>85</v>
      </c>
      <c r="Y1429">
        <v>3</v>
      </c>
      <c r="Z1429">
        <v>4</v>
      </c>
      <c r="AA1429">
        <v>5</v>
      </c>
      <c r="AB1429">
        <v>0</v>
      </c>
      <c r="AC1429">
        <v>0</v>
      </c>
      <c r="AD1429">
        <v>0</v>
      </c>
      <c r="AE1429">
        <v>0</v>
      </c>
      <c r="AF1429">
        <v>0.1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100</v>
      </c>
      <c r="AM1429">
        <v>60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40</v>
      </c>
      <c r="AU1429">
        <v>2.8</v>
      </c>
      <c r="AV1429">
        <v>0</v>
      </c>
    </row>
    <row r="1430" spans="1:48" x14ac:dyDescent="0.15">
      <c r="A1430" s="4" t="str">
        <f>HYPERLINK("https://ibp.a2mac1.com/costing(costing:projects/details/9760/equipment/12212272)","Packaging ")</f>
        <v xml:space="preserve">Packaging </v>
      </c>
      <c r="B1430">
        <v>12212272</v>
      </c>
      <c r="C1430">
        <v>12085177</v>
      </c>
      <c r="E1430" t="s">
        <v>1630</v>
      </c>
      <c r="G1430" t="s">
        <v>5722</v>
      </c>
      <c r="H1430" t="s">
        <v>162</v>
      </c>
      <c r="I1430">
        <v>4437.4535999999998</v>
      </c>
      <c r="J1430">
        <v>0</v>
      </c>
      <c r="K1430">
        <v>0.10768</v>
      </c>
      <c r="L1430">
        <v>0</v>
      </c>
      <c r="M1430">
        <v>1.0619476952748312</v>
      </c>
      <c r="N1430">
        <v>0</v>
      </c>
      <c r="O1430">
        <v>4.4247820636451303E-3</v>
      </c>
      <c r="P1430">
        <v>1.7214500000000001E-2</v>
      </c>
      <c r="Q1430">
        <v>3.4055469238187077E-4</v>
      </c>
      <c r="R1430">
        <v>30000</v>
      </c>
      <c r="S1430">
        <v>0</v>
      </c>
      <c r="T1430">
        <v>0</v>
      </c>
      <c r="V1430">
        <v>900</v>
      </c>
      <c r="W1430">
        <v>10</v>
      </c>
      <c r="X1430">
        <v>85</v>
      </c>
      <c r="Y1430">
        <v>3</v>
      </c>
      <c r="Z1430">
        <v>4</v>
      </c>
      <c r="AA1430">
        <v>5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50</v>
      </c>
      <c r="AM1430">
        <v>2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10</v>
      </c>
      <c r="AU1430">
        <v>0</v>
      </c>
      <c r="AV1430">
        <v>0</v>
      </c>
    </row>
    <row r="1431" spans="1:48" x14ac:dyDescent="0.15">
      <c r="A1431" s="4" t="str">
        <f>HYPERLINK("https://ibp.a2mac1.com/costing(costing:projects/details/9760/equipment/12212951)","DC machine - General")</f>
        <v>DC machine - General</v>
      </c>
      <c r="B1431">
        <v>12212951</v>
      </c>
      <c r="C1431">
        <v>12085821</v>
      </c>
      <c r="E1431" t="s">
        <v>738</v>
      </c>
      <c r="H1431" t="s">
        <v>162</v>
      </c>
      <c r="I1431">
        <v>116914.84457142858</v>
      </c>
      <c r="J1431">
        <v>0</v>
      </c>
      <c r="K1431">
        <v>3.6</v>
      </c>
      <c r="L1431">
        <v>0</v>
      </c>
      <c r="M1431">
        <v>27.497982091197134</v>
      </c>
      <c r="N1431">
        <v>0</v>
      </c>
      <c r="O1431">
        <v>4.5829970151995227E-2</v>
      </c>
      <c r="P1431">
        <v>6.8858000000000001E-3</v>
      </c>
      <c r="Q1431">
        <v>1.1732166376415484E-2</v>
      </c>
      <c r="R1431">
        <v>635568</v>
      </c>
      <c r="S1431">
        <v>0</v>
      </c>
      <c r="T1431">
        <v>0</v>
      </c>
      <c r="V1431">
        <v>10800</v>
      </c>
      <c r="W1431">
        <v>7</v>
      </c>
      <c r="X1431">
        <v>85</v>
      </c>
      <c r="Y1431">
        <v>3</v>
      </c>
      <c r="Z1431">
        <v>4</v>
      </c>
      <c r="AA1431">
        <v>5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3</v>
      </c>
      <c r="AJ1431">
        <v>0</v>
      </c>
      <c r="AK1431">
        <v>0</v>
      </c>
      <c r="AL1431">
        <v>100</v>
      </c>
      <c r="AM1431">
        <v>45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100</v>
      </c>
      <c r="AU1431">
        <v>0</v>
      </c>
      <c r="AV1431">
        <v>0</v>
      </c>
    </row>
    <row r="1432" spans="1:48" x14ac:dyDescent="0.15">
      <c r="A1432" s="4" t="str">
        <f>HYPERLINK("https://ibp.a2mac1.com/costing(costing:projects/details/9760/equipment/12212952)","DC machine - General")</f>
        <v>DC machine - General</v>
      </c>
      <c r="B1432">
        <v>12212952</v>
      </c>
      <c r="C1432">
        <v>12085822</v>
      </c>
      <c r="E1432" t="s">
        <v>738</v>
      </c>
      <c r="H1432" t="s">
        <v>162</v>
      </c>
      <c r="I1432">
        <v>116914.84457142858</v>
      </c>
      <c r="J1432">
        <v>0</v>
      </c>
      <c r="K1432">
        <v>3.6</v>
      </c>
      <c r="L1432">
        <v>0</v>
      </c>
      <c r="M1432">
        <v>27.497982091197134</v>
      </c>
      <c r="N1432">
        <v>0</v>
      </c>
      <c r="O1432">
        <v>4.5829970151995227E-2</v>
      </c>
      <c r="P1432">
        <v>6.8858000000000001E-3</v>
      </c>
      <c r="Q1432">
        <v>1.1732166376415484E-2</v>
      </c>
      <c r="R1432">
        <v>635568</v>
      </c>
      <c r="S1432">
        <v>0</v>
      </c>
      <c r="T1432">
        <v>0</v>
      </c>
      <c r="V1432">
        <v>10800</v>
      </c>
      <c r="W1432">
        <v>7</v>
      </c>
      <c r="X1432">
        <v>85</v>
      </c>
      <c r="Y1432">
        <v>3</v>
      </c>
      <c r="Z1432">
        <v>4</v>
      </c>
      <c r="AA1432">
        <v>5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3</v>
      </c>
      <c r="AJ1432">
        <v>0</v>
      </c>
      <c r="AK1432">
        <v>0</v>
      </c>
      <c r="AL1432">
        <v>100</v>
      </c>
      <c r="AM1432">
        <v>45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100</v>
      </c>
      <c r="AU1432">
        <v>0</v>
      </c>
      <c r="AV1432">
        <v>0</v>
      </c>
    </row>
    <row r="1433" spans="1:48" x14ac:dyDescent="0.15">
      <c r="A1433" s="4" t="str">
        <f>HYPERLINK("https://ibp.a2mac1.com/costing(costing:projects/details/9760/equipment/12212953)","DC machine - General")</f>
        <v>DC machine - General</v>
      </c>
      <c r="B1433">
        <v>12212953</v>
      </c>
      <c r="C1433">
        <v>12085823</v>
      </c>
      <c r="E1433" t="s">
        <v>738</v>
      </c>
      <c r="H1433" t="s">
        <v>162</v>
      </c>
      <c r="I1433">
        <v>116914.84457142858</v>
      </c>
      <c r="J1433">
        <v>0</v>
      </c>
      <c r="K1433">
        <v>3.6</v>
      </c>
      <c r="L1433">
        <v>0</v>
      </c>
      <c r="M1433">
        <v>27.497982091197134</v>
      </c>
      <c r="N1433">
        <v>0</v>
      </c>
      <c r="O1433">
        <v>0.54232131346527679</v>
      </c>
      <c r="P1433">
        <v>8.1481966666666669E-2</v>
      </c>
      <c r="Q1433">
        <v>1.1732166376415484E-2</v>
      </c>
      <c r="R1433">
        <v>635568</v>
      </c>
      <c r="S1433">
        <v>0</v>
      </c>
      <c r="T1433">
        <v>0</v>
      </c>
      <c r="V1433">
        <v>10800</v>
      </c>
      <c r="W1433">
        <v>7</v>
      </c>
      <c r="X1433">
        <v>85</v>
      </c>
      <c r="Y1433">
        <v>3</v>
      </c>
      <c r="Z1433">
        <v>4</v>
      </c>
      <c r="AA1433">
        <v>5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3</v>
      </c>
      <c r="AJ1433">
        <v>0</v>
      </c>
      <c r="AK1433">
        <v>0</v>
      </c>
      <c r="AL1433">
        <v>100</v>
      </c>
      <c r="AM1433">
        <v>45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100</v>
      </c>
      <c r="AU1433">
        <v>0</v>
      </c>
      <c r="AV1433">
        <v>0</v>
      </c>
    </row>
    <row r="1434" spans="1:48" x14ac:dyDescent="0.15">
      <c r="A1434" s="4" t="str">
        <f>HYPERLINK("https://ibp.a2mac1.com/costing(costing:projects/details/9760/equipment/12212954)","DC machine - General")</f>
        <v>DC machine - General</v>
      </c>
      <c r="B1434">
        <v>12212954</v>
      </c>
      <c r="C1434">
        <v>12085824</v>
      </c>
      <c r="E1434" t="s">
        <v>738</v>
      </c>
      <c r="H1434" t="s">
        <v>162</v>
      </c>
      <c r="I1434">
        <v>116914.84457142858</v>
      </c>
      <c r="J1434">
        <v>0</v>
      </c>
      <c r="K1434">
        <v>3.6</v>
      </c>
      <c r="L1434">
        <v>0</v>
      </c>
      <c r="M1434">
        <v>27.497982091197134</v>
      </c>
      <c r="N1434">
        <v>0</v>
      </c>
      <c r="O1434">
        <v>0.54232131346527679</v>
      </c>
      <c r="P1434">
        <v>8.1481966666666669E-2</v>
      </c>
      <c r="Q1434">
        <v>1.1732166376415484E-2</v>
      </c>
      <c r="R1434">
        <v>635568</v>
      </c>
      <c r="S1434">
        <v>0</v>
      </c>
      <c r="T1434">
        <v>0</v>
      </c>
      <c r="V1434">
        <v>10800</v>
      </c>
      <c r="W1434">
        <v>7</v>
      </c>
      <c r="X1434">
        <v>85</v>
      </c>
      <c r="Y1434">
        <v>3</v>
      </c>
      <c r="Z1434">
        <v>4</v>
      </c>
      <c r="AA1434">
        <v>5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3</v>
      </c>
      <c r="AJ1434">
        <v>0</v>
      </c>
      <c r="AK1434">
        <v>0</v>
      </c>
      <c r="AL1434">
        <v>100</v>
      </c>
      <c r="AM1434">
        <v>45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100</v>
      </c>
      <c r="AU1434">
        <v>0</v>
      </c>
      <c r="AV1434">
        <v>0</v>
      </c>
    </row>
    <row r="1435" spans="1:48" x14ac:dyDescent="0.15">
      <c r="A1435" s="4" t="str">
        <f>HYPERLINK("https://ibp.a2mac1.com/costing(costing:projects/details/9760/equipment/12212955)","DC machine - General")</f>
        <v>DC machine - General</v>
      </c>
      <c r="B1435">
        <v>12212955</v>
      </c>
      <c r="C1435">
        <v>12085825</v>
      </c>
      <c r="E1435" t="s">
        <v>738</v>
      </c>
      <c r="H1435" t="s">
        <v>162</v>
      </c>
      <c r="I1435">
        <v>116914.84457142858</v>
      </c>
      <c r="J1435">
        <v>0</v>
      </c>
      <c r="K1435">
        <v>3.6</v>
      </c>
      <c r="L1435">
        <v>0</v>
      </c>
      <c r="M1435">
        <v>27.497982091197134</v>
      </c>
      <c r="N1435">
        <v>0</v>
      </c>
      <c r="O1435">
        <v>0.42774638808528875</v>
      </c>
      <c r="P1435">
        <v>6.4267466666666662E-2</v>
      </c>
      <c r="Q1435">
        <v>1.1732166376415484E-2</v>
      </c>
      <c r="R1435">
        <v>635568</v>
      </c>
      <c r="S1435">
        <v>0</v>
      </c>
      <c r="T1435">
        <v>0</v>
      </c>
      <c r="V1435">
        <v>10800</v>
      </c>
      <c r="W1435">
        <v>7</v>
      </c>
      <c r="X1435">
        <v>85</v>
      </c>
      <c r="Y1435">
        <v>3</v>
      </c>
      <c r="Z1435">
        <v>4</v>
      </c>
      <c r="AA1435">
        <v>5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3</v>
      </c>
      <c r="AJ1435">
        <v>0</v>
      </c>
      <c r="AK1435">
        <v>0</v>
      </c>
      <c r="AL1435">
        <v>100</v>
      </c>
      <c r="AM1435">
        <v>45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100</v>
      </c>
      <c r="AU1435">
        <v>0</v>
      </c>
      <c r="AV1435">
        <v>0</v>
      </c>
    </row>
    <row r="1436" spans="1:48" x14ac:dyDescent="0.15">
      <c r="A1436" s="4" t="str">
        <f>HYPERLINK("https://ibp.a2mac1.com/costing(costing:projects/details/9760/equipment/12212956)","DC machine - General")</f>
        <v>DC machine - General</v>
      </c>
      <c r="B1436">
        <v>12212956</v>
      </c>
      <c r="C1436">
        <v>12085826</v>
      </c>
      <c r="E1436" t="s">
        <v>738</v>
      </c>
      <c r="H1436" t="s">
        <v>162</v>
      </c>
      <c r="I1436">
        <v>116914.84457142858</v>
      </c>
      <c r="J1436">
        <v>0</v>
      </c>
      <c r="K1436">
        <v>3.6</v>
      </c>
      <c r="L1436">
        <v>0</v>
      </c>
      <c r="M1436">
        <v>27.497982091197134</v>
      </c>
      <c r="N1436">
        <v>0</v>
      </c>
      <c r="O1436">
        <v>1.7186238806998209</v>
      </c>
      <c r="P1436">
        <v>0.25821749999999999</v>
      </c>
      <c r="Q1436">
        <v>1.1732166376415484E-2</v>
      </c>
      <c r="R1436">
        <v>635568</v>
      </c>
      <c r="S1436">
        <v>0</v>
      </c>
      <c r="T1436">
        <v>0</v>
      </c>
      <c r="V1436">
        <v>10800</v>
      </c>
      <c r="W1436">
        <v>7</v>
      </c>
      <c r="X1436">
        <v>85</v>
      </c>
      <c r="Y1436">
        <v>3</v>
      </c>
      <c r="Z1436">
        <v>4</v>
      </c>
      <c r="AA1436">
        <v>5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3</v>
      </c>
      <c r="AJ1436">
        <v>0</v>
      </c>
      <c r="AK1436">
        <v>0</v>
      </c>
      <c r="AL1436">
        <v>100</v>
      </c>
      <c r="AM1436">
        <v>45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100</v>
      </c>
      <c r="AU1436">
        <v>0</v>
      </c>
      <c r="AV1436">
        <v>0</v>
      </c>
    </row>
    <row r="1437" spans="1:48" x14ac:dyDescent="0.15">
      <c r="A1437" s="4" t="str">
        <f>HYPERLINK("https://ibp.a2mac1.com/costing(costing:projects/details/9760/equipment/12212551)","DC machine - General")</f>
        <v>DC machine - General</v>
      </c>
      <c r="B1437">
        <v>12212551</v>
      </c>
      <c r="C1437">
        <v>12085419</v>
      </c>
      <c r="E1437" t="s">
        <v>738</v>
      </c>
      <c r="H1437" t="s">
        <v>162</v>
      </c>
      <c r="I1437">
        <v>116914.84457142858</v>
      </c>
      <c r="J1437">
        <v>0</v>
      </c>
      <c r="K1437">
        <v>3.6</v>
      </c>
      <c r="L1437">
        <v>0</v>
      </c>
      <c r="M1437">
        <v>27.497982091197134</v>
      </c>
      <c r="N1437">
        <v>0</v>
      </c>
      <c r="O1437">
        <v>13.939949254565214</v>
      </c>
      <c r="P1437">
        <v>2.0944308333333335</v>
      </c>
      <c r="Q1437">
        <v>1.1732166376415484E-2</v>
      </c>
      <c r="R1437">
        <v>635568</v>
      </c>
      <c r="S1437">
        <v>0</v>
      </c>
      <c r="T1437">
        <v>0</v>
      </c>
      <c r="V1437">
        <v>10800</v>
      </c>
      <c r="W1437">
        <v>7</v>
      </c>
      <c r="X1437">
        <v>85</v>
      </c>
      <c r="Y1437">
        <v>3</v>
      </c>
      <c r="Z1437">
        <v>4</v>
      </c>
      <c r="AA1437">
        <v>5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3</v>
      </c>
      <c r="AJ1437">
        <v>0</v>
      </c>
      <c r="AK1437">
        <v>0</v>
      </c>
      <c r="AL1437">
        <v>100</v>
      </c>
      <c r="AM1437">
        <v>45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100</v>
      </c>
      <c r="AU1437">
        <v>0</v>
      </c>
      <c r="AV1437">
        <v>0</v>
      </c>
    </row>
    <row r="1438" spans="1:48" x14ac:dyDescent="0.15">
      <c r="A1438" s="4" t="str">
        <f>HYPERLINK("https://ibp.a2mac1.com/costing(costing:projects/details/9760/equipment/12212552)","Dummy Machine (Wireharness production line)")</f>
        <v>Dummy Machine (Wireharness production line)</v>
      </c>
      <c r="B1438">
        <v>12212552</v>
      </c>
      <c r="C1438">
        <v>12085420</v>
      </c>
      <c r="H1438" t="s">
        <v>316</v>
      </c>
      <c r="I1438">
        <v>18664.599488571428</v>
      </c>
      <c r="J1438">
        <v>0</v>
      </c>
      <c r="K1438">
        <v>9.6320000000000003E-2</v>
      </c>
      <c r="L1438">
        <v>0</v>
      </c>
      <c r="M1438">
        <v>3.815112106809937</v>
      </c>
      <c r="N1438">
        <v>0</v>
      </c>
      <c r="O1438">
        <v>6.782421523217666E-2</v>
      </c>
      <c r="P1438">
        <v>0.26081574186666667</v>
      </c>
      <c r="Q1438">
        <v>4.493884102430087E-5</v>
      </c>
      <c r="R1438">
        <v>89474.5</v>
      </c>
      <c r="S1438">
        <v>0</v>
      </c>
      <c r="T1438">
        <v>0</v>
      </c>
      <c r="V1438">
        <v>126</v>
      </c>
      <c r="W1438">
        <v>7</v>
      </c>
      <c r="X1438">
        <v>85</v>
      </c>
      <c r="Y1438">
        <v>3</v>
      </c>
      <c r="Z1438">
        <v>4</v>
      </c>
      <c r="AA1438">
        <v>5</v>
      </c>
      <c r="AB1438">
        <v>0</v>
      </c>
      <c r="AC1438">
        <v>0</v>
      </c>
      <c r="AD1438">
        <v>0</v>
      </c>
      <c r="AE1438">
        <v>0</v>
      </c>
      <c r="AF1438">
        <v>3.5510000000000002</v>
      </c>
      <c r="AG1438">
        <v>0</v>
      </c>
      <c r="AH1438">
        <v>0</v>
      </c>
      <c r="AI1438">
        <v>1.4</v>
      </c>
      <c r="AJ1438">
        <v>0</v>
      </c>
      <c r="AK1438">
        <v>0</v>
      </c>
      <c r="AL1438">
        <v>86</v>
      </c>
      <c r="AM1438">
        <v>1.4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71</v>
      </c>
      <c r="AU1438">
        <v>0</v>
      </c>
      <c r="AV1438">
        <v>0</v>
      </c>
    </row>
    <row r="1439" spans="1:48" x14ac:dyDescent="0.15">
      <c r="A1439" s="4" t="str">
        <f>HYPERLINK("https://ibp.a2mac1.com/costing(costing:projects/details/9760/equipment/12212553)","DC machine - General")</f>
        <v>DC machine - General</v>
      </c>
      <c r="B1439">
        <v>12212553</v>
      </c>
      <c r="C1439">
        <v>12085421</v>
      </c>
      <c r="E1439" t="s">
        <v>738</v>
      </c>
      <c r="H1439" t="s">
        <v>162</v>
      </c>
      <c r="I1439">
        <v>116914.84457142858</v>
      </c>
      <c r="J1439">
        <v>0</v>
      </c>
      <c r="K1439">
        <v>3.6</v>
      </c>
      <c r="L1439">
        <v>0</v>
      </c>
      <c r="M1439">
        <v>27.497982091197134</v>
      </c>
      <c r="N1439">
        <v>0</v>
      </c>
      <c r="O1439">
        <v>8.4021611945324579E-2</v>
      </c>
      <c r="P1439">
        <v>1.2623966666666667E-2</v>
      </c>
      <c r="Q1439">
        <v>1.1732166376415484E-2</v>
      </c>
      <c r="R1439">
        <v>635568</v>
      </c>
      <c r="S1439">
        <v>0</v>
      </c>
      <c r="T1439">
        <v>0</v>
      </c>
      <c r="V1439">
        <v>10800</v>
      </c>
      <c r="W1439">
        <v>7</v>
      </c>
      <c r="X1439">
        <v>85</v>
      </c>
      <c r="Y1439">
        <v>3</v>
      </c>
      <c r="Z1439">
        <v>4</v>
      </c>
      <c r="AA1439">
        <v>5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3</v>
      </c>
      <c r="AJ1439">
        <v>0</v>
      </c>
      <c r="AK1439">
        <v>0</v>
      </c>
      <c r="AL1439">
        <v>100</v>
      </c>
      <c r="AM1439">
        <v>45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100</v>
      </c>
      <c r="AU1439">
        <v>0</v>
      </c>
      <c r="AV1439">
        <v>0</v>
      </c>
    </row>
    <row r="1440" spans="1:48" x14ac:dyDescent="0.15">
      <c r="A1440" s="4" t="str">
        <f>HYPERLINK("https://ibp.a2mac1.com/costing(costing:projects/details/9760/equipment/12212554)","DC machine - General")</f>
        <v>DC machine - General</v>
      </c>
      <c r="B1440">
        <v>12212554</v>
      </c>
      <c r="C1440">
        <v>12085422</v>
      </c>
      <c r="E1440" t="s">
        <v>738</v>
      </c>
      <c r="H1440" t="s">
        <v>162</v>
      </c>
      <c r="I1440">
        <v>116914.84457142858</v>
      </c>
      <c r="J1440">
        <v>0</v>
      </c>
      <c r="K1440">
        <v>3.6</v>
      </c>
      <c r="L1440">
        <v>0</v>
      </c>
      <c r="M1440">
        <v>27.497982091197134</v>
      </c>
      <c r="N1440">
        <v>0</v>
      </c>
      <c r="O1440">
        <v>7.6383283586658704E-2</v>
      </c>
      <c r="P1440">
        <v>1.1476333333333333E-2</v>
      </c>
      <c r="Q1440">
        <v>1.1732166376415484E-2</v>
      </c>
      <c r="R1440">
        <v>635568</v>
      </c>
      <c r="S1440">
        <v>0</v>
      </c>
      <c r="T1440">
        <v>0</v>
      </c>
      <c r="V1440">
        <v>10800</v>
      </c>
      <c r="W1440">
        <v>7</v>
      </c>
      <c r="X1440">
        <v>85</v>
      </c>
      <c r="Y1440">
        <v>3</v>
      </c>
      <c r="Z1440">
        <v>4</v>
      </c>
      <c r="AA1440">
        <v>5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3</v>
      </c>
      <c r="AJ1440">
        <v>0</v>
      </c>
      <c r="AK1440">
        <v>0</v>
      </c>
      <c r="AL1440">
        <v>100</v>
      </c>
      <c r="AM1440">
        <v>45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100</v>
      </c>
      <c r="AU1440">
        <v>0</v>
      </c>
      <c r="AV1440">
        <v>0</v>
      </c>
    </row>
    <row r="1441" spans="1:48" x14ac:dyDescent="0.15">
      <c r="A1441" s="4" t="str">
        <f>HYPERLINK("https://ibp.a2mac1.com/costing(costing:projects/details/9760/equipment/12212555)","DC machine - General")</f>
        <v>DC machine - General</v>
      </c>
      <c r="B1441">
        <v>12212555</v>
      </c>
      <c r="C1441">
        <v>12085423</v>
      </c>
      <c r="E1441" t="s">
        <v>738</v>
      </c>
      <c r="H1441" t="s">
        <v>162</v>
      </c>
      <c r="I1441">
        <v>116914.84457142858</v>
      </c>
      <c r="J1441">
        <v>0</v>
      </c>
      <c r="K1441">
        <v>3.6</v>
      </c>
      <c r="L1441">
        <v>0</v>
      </c>
      <c r="M1441">
        <v>27.497982091197134</v>
      </c>
      <c r="N1441">
        <v>0</v>
      </c>
      <c r="O1441">
        <v>0.45829970151995225</v>
      </c>
      <c r="P1441">
        <v>6.8858000000000003E-2</v>
      </c>
      <c r="Q1441">
        <v>1.1732166376415484E-2</v>
      </c>
      <c r="R1441">
        <v>635568</v>
      </c>
      <c r="S1441">
        <v>0</v>
      </c>
      <c r="T1441">
        <v>0</v>
      </c>
      <c r="V1441">
        <v>10800</v>
      </c>
      <c r="W1441">
        <v>7</v>
      </c>
      <c r="X1441">
        <v>85</v>
      </c>
      <c r="Y1441">
        <v>3</v>
      </c>
      <c r="Z1441">
        <v>4</v>
      </c>
      <c r="AA1441">
        <v>5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3</v>
      </c>
      <c r="AJ1441">
        <v>0</v>
      </c>
      <c r="AK1441">
        <v>0</v>
      </c>
      <c r="AL1441">
        <v>100</v>
      </c>
      <c r="AM1441">
        <v>45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100</v>
      </c>
      <c r="AU1441">
        <v>0</v>
      </c>
      <c r="AV1441">
        <v>0</v>
      </c>
    </row>
    <row r="1442" spans="1:48" x14ac:dyDescent="0.15">
      <c r="A1442" s="4" t="str">
        <f>HYPERLINK("https://ibp.a2mac1.com/costing(costing:projects/details/9760/equipment/12212556)","DC machine - General")</f>
        <v>DC machine - General</v>
      </c>
      <c r="B1442">
        <v>12212556</v>
      </c>
      <c r="C1442">
        <v>12085424</v>
      </c>
      <c r="E1442" t="s">
        <v>738</v>
      </c>
      <c r="H1442" t="s">
        <v>162</v>
      </c>
      <c r="I1442">
        <v>116914.84457142858</v>
      </c>
      <c r="J1442">
        <v>0</v>
      </c>
      <c r="K1442">
        <v>3.6</v>
      </c>
      <c r="L1442">
        <v>0</v>
      </c>
      <c r="M1442">
        <v>27.497982091197134</v>
      </c>
      <c r="N1442">
        <v>0</v>
      </c>
      <c r="O1442">
        <v>0.10693659702132219</v>
      </c>
      <c r="P1442">
        <v>1.6066866666666665E-2</v>
      </c>
      <c r="Q1442">
        <v>1.1732166376415484E-2</v>
      </c>
      <c r="R1442">
        <v>635568</v>
      </c>
      <c r="S1442">
        <v>0</v>
      </c>
      <c r="T1442">
        <v>0</v>
      </c>
      <c r="V1442">
        <v>10800</v>
      </c>
      <c r="W1442">
        <v>7</v>
      </c>
      <c r="X1442">
        <v>85</v>
      </c>
      <c r="Y1442">
        <v>3</v>
      </c>
      <c r="Z1442">
        <v>4</v>
      </c>
      <c r="AA1442">
        <v>5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3</v>
      </c>
      <c r="AJ1442">
        <v>0</v>
      </c>
      <c r="AK1442">
        <v>0</v>
      </c>
      <c r="AL1442">
        <v>100</v>
      </c>
      <c r="AM1442">
        <v>45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100</v>
      </c>
      <c r="AU1442">
        <v>0</v>
      </c>
      <c r="AV1442">
        <v>0</v>
      </c>
    </row>
    <row r="1443" spans="1:48" x14ac:dyDescent="0.15">
      <c r="A1443" s="4" t="str">
        <f>HYPERLINK("https://ibp.a2mac1.com/costing(costing:projects/details/9760/equipment/12212557)","DC machine - General")</f>
        <v>DC machine - General</v>
      </c>
      <c r="B1443">
        <v>12212557</v>
      </c>
      <c r="C1443">
        <v>12085425</v>
      </c>
      <c r="E1443" t="s">
        <v>738</v>
      </c>
      <c r="H1443" t="s">
        <v>162</v>
      </c>
      <c r="I1443">
        <v>116914.84457142858</v>
      </c>
      <c r="J1443">
        <v>0</v>
      </c>
      <c r="K1443">
        <v>3.6</v>
      </c>
      <c r="L1443">
        <v>0</v>
      </c>
      <c r="M1443">
        <v>27.497982091197134</v>
      </c>
      <c r="N1443">
        <v>0</v>
      </c>
      <c r="O1443">
        <v>0.12985158209731981</v>
      </c>
      <c r="P1443">
        <v>1.9509766666666668E-2</v>
      </c>
      <c r="Q1443">
        <v>1.1732166376415484E-2</v>
      </c>
      <c r="R1443">
        <v>635568</v>
      </c>
      <c r="S1443">
        <v>0</v>
      </c>
      <c r="T1443">
        <v>0</v>
      </c>
      <c r="V1443">
        <v>10800</v>
      </c>
      <c r="W1443">
        <v>7</v>
      </c>
      <c r="X1443">
        <v>85</v>
      </c>
      <c r="Y1443">
        <v>3</v>
      </c>
      <c r="Z1443">
        <v>4</v>
      </c>
      <c r="AA1443">
        <v>5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3</v>
      </c>
      <c r="AJ1443">
        <v>0</v>
      </c>
      <c r="AK1443">
        <v>0</v>
      </c>
      <c r="AL1443">
        <v>100</v>
      </c>
      <c r="AM1443">
        <v>45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100</v>
      </c>
      <c r="AU1443">
        <v>0</v>
      </c>
      <c r="AV1443">
        <v>0</v>
      </c>
    </row>
    <row r="1444" spans="1:48" x14ac:dyDescent="0.15">
      <c r="A1444" s="4" t="str">
        <f>HYPERLINK("https://ibp.a2mac1.com/costing(costing:projects/details/9760/equipment/12212558)","DC machine - General")</f>
        <v>DC machine - General</v>
      </c>
      <c r="B1444">
        <v>12212558</v>
      </c>
      <c r="C1444">
        <v>12085426</v>
      </c>
      <c r="E1444" t="s">
        <v>738</v>
      </c>
      <c r="H1444" t="s">
        <v>162</v>
      </c>
      <c r="I1444">
        <v>116914.84457142858</v>
      </c>
      <c r="J1444">
        <v>0</v>
      </c>
      <c r="K1444">
        <v>3.6</v>
      </c>
      <c r="L1444">
        <v>0</v>
      </c>
      <c r="M1444">
        <v>27.497982091197134</v>
      </c>
      <c r="N1444">
        <v>0</v>
      </c>
      <c r="O1444">
        <v>0.19859653732531263</v>
      </c>
      <c r="P1444">
        <v>2.9838466666666667E-2</v>
      </c>
      <c r="Q1444">
        <v>1.1732166376415484E-2</v>
      </c>
      <c r="R1444">
        <v>635568</v>
      </c>
      <c r="S1444">
        <v>0</v>
      </c>
      <c r="T1444">
        <v>0</v>
      </c>
      <c r="V1444">
        <v>10800</v>
      </c>
      <c r="W1444">
        <v>7</v>
      </c>
      <c r="X1444">
        <v>85</v>
      </c>
      <c r="Y1444">
        <v>3</v>
      </c>
      <c r="Z1444">
        <v>4</v>
      </c>
      <c r="AA1444">
        <v>5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3</v>
      </c>
      <c r="AJ1444">
        <v>0</v>
      </c>
      <c r="AK1444">
        <v>0</v>
      </c>
      <c r="AL1444">
        <v>100</v>
      </c>
      <c r="AM1444">
        <v>45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100</v>
      </c>
      <c r="AU1444">
        <v>0</v>
      </c>
      <c r="AV1444">
        <v>0</v>
      </c>
    </row>
    <row r="1445" spans="1:48" x14ac:dyDescent="0.15">
      <c r="A1445" s="4" t="str">
        <f>HYPERLINK("https://ibp.a2mac1.com/costing(costing:projects/details/9760/equipment/12212559)","DC machine - General")</f>
        <v>DC machine - General</v>
      </c>
      <c r="B1445">
        <v>12212559</v>
      </c>
      <c r="C1445">
        <v>12085427</v>
      </c>
      <c r="E1445" t="s">
        <v>738</v>
      </c>
      <c r="H1445" t="s">
        <v>162</v>
      </c>
      <c r="I1445">
        <v>116914.84457142858</v>
      </c>
      <c r="J1445">
        <v>0</v>
      </c>
      <c r="K1445">
        <v>3.6</v>
      </c>
      <c r="L1445">
        <v>0</v>
      </c>
      <c r="M1445">
        <v>27.497982091197134</v>
      </c>
      <c r="N1445">
        <v>0</v>
      </c>
      <c r="O1445">
        <v>0.2062348656839785</v>
      </c>
      <c r="P1445">
        <v>3.0986099999999999E-2</v>
      </c>
      <c r="Q1445">
        <v>1.1732166376415484E-2</v>
      </c>
      <c r="R1445">
        <v>635568</v>
      </c>
      <c r="S1445">
        <v>0</v>
      </c>
      <c r="T1445">
        <v>0</v>
      </c>
      <c r="V1445">
        <v>10800</v>
      </c>
      <c r="W1445">
        <v>7</v>
      </c>
      <c r="X1445">
        <v>85</v>
      </c>
      <c r="Y1445">
        <v>3</v>
      </c>
      <c r="Z1445">
        <v>4</v>
      </c>
      <c r="AA1445">
        <v>5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3</v>
      </c>
      <c r="AJ1445">
        <v>0</v>
      </c>
      <c r="AK1445">
        <v>0</v>
      </c>
      <c r="AL1445">
        <v>100</v>
      </c>
      <c r="AM1445">
        <v>45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100</v>
      </c>
      <c r="AU1445">
        <v>0</v>
      </c>
      <c r="AV1445">
        <v>0</v>
      </c>
    </row>
    <row r="1446" spans="1:48" x14ac:dyDescent="0.15">
      <c r="A1446" s="4" t="str">
        <f>HYPERLINK("https://ibp.a2mac1.com/costing(costing:projects/details/9760/equipment/12212957)","DC machine - General")</f>
        <v>DC machine - General</v>
      </c>
      <c r="B1446">
        <v>12212957</v>
      </c>
      <c r="C1446">
        <v>12085827</v>
      </c>
      <c r="E1446" t="s">
        <v>738</v>
      </c>
      <c r="H1446" t="s">
        <v>162</v>
      </c>
      <c r="I1446">
        <v>116914.84457142858</v>
      </c>
      <c r="J1446">
        <v>0</v>
      </c>
      <c r="K1446">
        <v>3.6</v>
      </c>
      <c r="L1446">
        <v>0</v>
      </c>
      <c r="M1446">
        <v>27.497982091197134</v>
      </c>
      <c r="N1446">
        <v>0</v>
      </c>
      <c r="O1446">
        <v>2.7803515225543771</v>
      </c>
      <c r="P1446">
        <v>0.41773853333333333</v>
      </c>
      <c r="Q1446">
        <v>1.1732166376415484E-2</v>
      </c>
      <c r="R1446">
        <v>635568</v>
      </c>
      <c r="S1446">
        <v>0</v>
      </c>
      <c r="T1446">
        <v>0</v>
      </c>
      <c r="V1446">
        <v>10800</v>
      </c>
      <c r="W1446">
        <v>7</v>
      </c>
      <c r="X1446">
        <v>85</v>
      </c>
      <c r="Y1446">
        <v>3</v>
      </c>
      <c r="Z1446">
        <v>4</v>
      </c>
      <c r="AA1446">
        <v>5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3</v>
      </c>
      <c r="AJ1446">
        <v>0</v>
      </c>
      <c r="AK1446">
        <v>0</v>
      </c>
      <c r="AL1446">
        <v>100</v>
      </c>
      <c r="AM1446">
        <v>45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100</v>
      </c>
      <c r="AU1446">
        <v>0</v>
      </c>
      <c r="AV1446">
        <v>0</v>
      </c>
    </row>
    <row r="1447" spans="1:48" x14ac:dyDescent="0.15">
      <c r="A1447" s="4" t="str">
        <f>HYPERLINK("https://ibp.a2mac1.com/costing(costing:projects/details/9760/equipment/12212958)","DC machine - General")</f>
        <v>DC machine - General</v>
      </c>
      <c r="B1447">
        <v>12212958</v>
      </c>
      <c r="C1447">
        <v>12085828</v>
      </c>
      <c r="E1447" t="s">
        <v>738</v>
      </c>
      <c r="H1447" t="s">
        <v>162</v>
      </c>
      <c r="I1447">
        <v>116914.84457142858</v>
      </c>
      <c r="J1447">
        <v>0</v>
      </c>
      <c r="K1447">
        <v>3.6</v>
      </c>
      <c r="L1447">
        <v>0</v>
      </c>
      <c r="M1447">
        <v>27.497982091197134</v>
      </c>
      <c r="N1447">
        <v>0</v>
      </c>
      <c r="O1447">
        <v>2.7803515225543771</v>
      </c>
      <c r="P1447">
        <v>0.41773853333333333</v>
      </c>
      <c r="Q1447">
        <v>1.1732166376415484E-2</v>
      </c>
      <c r="R1447">
        <v>635568</v>
      </c>
      <c r="S1447">
        <v>0</v>
      </c>
      <c r="T1447">
        <v>0</v>
      </c>
      <c r="V1447">
        <v>10800</v>
      </c>
      <c r="W1447">
        <v>7</v>
      </c>
      <c r="X1447">
        <v>85</v>
      </c>
      <c r="Y1447">
        <v>3</v>
      </c>
      <c r="Z1447">
        <v>4</v>
      </c>
      <c r="AA1447">
        <v>5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3</v>
      </c>
      <c r="AJ1447">
        <v>0</v>
      </c>
      <c r="AK1447">
        <v>0</v>
      </c>
      <c r="AL1447">
        <v>100</v>
      </c>
      <c r="AM1447">
        <v>45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100</v>
      </c>
      <c r="AU1447">
        <v>0</v>
      </c>
      <c r="AV1447">
        <v>0</v>
      </c>
    </row>
    <row r="1448" spans="1:48" x14ac:dyDescent="0.15">
      <c r="A1448" s="4" t="str">
        <f>HYPERLINK("https://ibp.a2mac1.com/costing(costing:projects/details/9760/equipment/12212560)","DC machine - General")</f>
        <v>DC machine - General</v>
      </c>
      <c r="B1448">
        <v>12212560</v>
      </c>
      <c r="C1448">
        <v>12085428</v>
      </c>
      <c r="E1448" t="s">
        <v>738</v>
      </c>
      <c r="H1448" t="s">
        <v>162</v>
      </c>
      <c r="I1448">
        <v>116914.84457142858</v>
      </c>
      <c r="J1448">
        <v>0</v>
      </c>
      <c r="K1448">
        <v>3.6</v>
      </c>
      <c r="L1448">
        <v>0</v>
      </c>
      <c r="M1448">
        <v>27.497982091197134</v>
      </c>
      <c r="N1448">
        <v>0</v>
      </c>
      <c r="O1448">
        <v>8.4021611945324579E-2</v>
      </c>
      <c r="P1448">
        <v>1.2623966666666667E-2</v>
      </c>
      <c r="Q1448">
        <v>1.1732166376415484E-2</v>
      </c>
      <c r="R1448">
        <v>635568</v>
      </c>
      <c r="S1448">
        <v>0</v>
      </c>
      <c r="T1448">
        <v>0</v>
      </c>
      <c r="V1448">
        <v>10800</v>
      </c>
      <c r="W1448">
        <v>7</v>
      </c>
      <c r="X1448">
        <v>85</v>
      </c>
      <c r="Y1448">
        <v>3</v>
      </c>
      <c r="Z1448">
        <v>4</v>
      </c>
      <c r="AA1448">
        <v>5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3</v>
      </c>
      <c r="AJ1448">
        <v>0</v>
      </c>
      <c r="AK1448">
        <v>0</v>
      </c>
      <c r="AL1448">
        <v>100</v>
      </c>
      <c r="AM1448">
        <v>45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100</v>
      </c>
      <c r="AU1448">
        <v>0</v>
      </c>
      <c r="AV1448">
        <v>0</v>
      </c>
    </row>
    <row r="1449" spans="1:48" x14ac:dyDescent="0.15">
      <c r="A1449" s="4" t="str">
        <f>HYPERLINK("https://ibp.a2mac1.com/costing(costing:projects/details/9760/equipment/12212561)","DC machine - General")</f>
        <v>DC machine - General</v>
      </c>
      <c r="B1449">
        <v>12212561</v>
      </c>
      <c r="C1449">
        <v>12085429</v>
      </c>
      <c r="E1449" t="s">
        <v>738</v>
      </c>
      <c r="H1449" t="s">
        <v>162</v>
      </c>
      <c r="I1449">
        <v>116914.84457142858</v>
      </c>
      <c r="J1449">
        <v>0</v>
      </c>
      <c r="K1449">
        <v>3.6</v>
      </c>
      <c r="L1449">
        <v>0</v>
      </c>
      <c r="M1449">
        <v>27.497982091197134</v>
      </c>
      <c r="N1449">
        <v>0</v>
      </c>
      <c r="O1449">
        <v>8.4021611945324579E-2</v>
      </c>
      <c r="P1449">
        <v>1.2623966666666667E-2</v>
      </c>
      <c r="Q1449">
        <v>1.1732166376415484E-2</v>
      </c>
      <c r="R1449">
        <v>635568</v>
      </c>
      <c r="S1449">
        <v>0</v>
      </c>
      <c r="T1449">
        <v>0</v>
      </c>
      <c r="V1449">
        <v>10800</v>
      </c>
      <c r="W1449">
        <v>7</v>
      </c>
      <c r="X1449">
        <v>85</v>
      </c>
      <c r="Y1449">
        <v>3</v>
      </c>
      <c r="Z1449">
        <v>4</v>
      </c>
      <c r="AA1449">
        <v>5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3</v>
      </c>
      <c r="AJ1449">
        <v>0</v>
      </c>
      <c r="AK1449">
        <v>0</v>
      </c>
      <c r="AL1449">
        <v>100</v>
      </c>
      <c r="AM1449">
        <v>45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100</v>
      </c>
      <c r="AU1449">
        <v>0</v>
      </c>
      <c r="AV1449">
        <v>0</v>
      </c>
    </row>
    <row r="1450" spans="1:48" x14ac:dyDescent="0.15">
      <c r="A1450" s="4" t="str">
        <f>HYPERLINK("https://ibp.a2mac1.com/costing(costing:projects/details/9760/equipment/12212562)","Dummy Machine (PCBA+Final Assembly Line)")</f>
        <v>Dummy Machine (PCBA+Final Assembly Line)</v>
      </c>
      <c r="B1450">
        <v>12212562</v>
      </c>
      <c r="C1450">
        <v>12085430</v>
      </c>
      <c r="F1450" t="s">
        <v>358</v>
      </c>
      <c r="H1450" t="s">
        <v>162</v>
      </c>
      <c r="I1450">
        <v>79501.662769714283</v>
      </c>
      <c r="J1450">
        <v>0</v>
      </c>
      <c r="K1450">
        <v>0.28895999999999999</v>
      </c>
      <c r="L1450">
        <v>0</v>
      </c>
      <c r="M1450">
        <v>16.624578413647427</v>
      </c>
      <c r="N1450">
        <v>0</v>
      </c>
      <c r="O1450">
        <v>3.4680717746247827</v>
      </c>
      <c r="P1450">
        <v>0.60331084333333329</v>
      </c>
      <c r="Q1450">
        <v>1.1481975848188456E-4</v>
      </c>
      <c r="R1450">
        <v>442771.1</v>
      </c>
      <c r="S1450">
        <v>0</v>
      </c>
      <c r="T1450">
        <v>0</v>
      </c>
      <c r="V1450">
        <v>216</v>
      </c>
      <c r="W1450">
        <v>7</v>
      </c>
      <c r="X1450">
        <v>85</v>
      </c>
      <c r="Y1450">
        <v>3</v>
      </c>
      <c r="Z1450">
        <v>4</v>
      </c>
      <c r="AA1450">
        <v>5</v>
      </c>
      <c r="AB1450">
        <v>0</v>
      </c>
      <c r="AC1450">
        <v>0</v>
      </c>
      <c r="AD1450">
        <v>0</v>
      </c>
      <c r="AE1450">
        <v>0</v>
      </c>
      <c r="AF1450">
        <v>0.7</v>
      </c>
      <c r="AG1450">
        <v>0</v>
      </c>
      <c r="AH1450">
        <v>0</v>
      </c>
      <c r="AI1450">
        <v>0.2</v>
      </c>
      <c r="AJ1450">
        <v>0</v>
      </c>
      <c r="AK1450">
        <v>0</v>
      </c>
      <c r="AL1450">
        <v>86</v>
      </c>
      <c r="AM1450">
        <v>4.2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19.399999999999999</v>
      </c>
      <c r="AU1450">
        <v>0</v>
      </c>
      <c r="AV1450">
        <v>0</v>
      </c>
    </row>
    <row r="1451" spans="1:48" x14ac:dyDescent="0.15">
      <c r="A1451" s="4" t="str">
        <f>HYPERLINK("https://ibp.a2mac1.com/costing(costing:projects/details/9760/equipment/12212563)","Dummy Machine (PCBA+Final Assembly Line)")</f>
        <v>Dummy Machine (PCBA+Final Assembly Line)</v>
      </c>
      <c r="B1451">
        <v>12212563</v>
      </c>
      <c r="C1451">
        <v>12085431</v>
      </c>
      <c r="F1451" t="s">
        <v>358</v>
      </c>
      <c r="H1451" t="s">
        <v>162</v>
      </c>
      <c r="I1451">
        <v>79501.662769714283</v>
      </c>
      <c r="J1451">
        <v>0</v>
      </c>
      <c r="K1451">
        <v>0.28895999999999999</v>
      </c>
      <c r="L1451">
        <v>0</v>
      </c>
      <c r="M1451">
        <v>16.624578413647427</v>
      </c>
      <c r="N1451">
        <v>0</v>
      </c>
      <c r="O1451">
        <v>3.4680717746247827</v>
      </c>
      <c r="P1451">
        <v>0.60331084333333329</v>
      </c>
      <c r="Q1451">
        <v>1.1481975848188456E-4</v>
      </c>
      <c r="R1451">
        <v>442771.1</v>
      </c>
      <c r="S1451">
        <v>0</v>
      </c>
      <c r="T1451">
        <v>0</v>
      </c>
      <c r="V1451">
        <v>216</v>
      </c>
      <c r="W1451">
        <v>7</v>
      </c>
      <c r="X1451">
        <v>85</v>
      </c>
      <c r="Y1451">
        <v>3</v>
      </c>
      <c r="Z1451">
        <v>4</v>
      </c>
      <c r="AA1451">
        <v>5</v>
      </c>
      <c r="AB1451">
        <v>0</v>
      </c>
      <c r="AC1451">
        <v>0</v>
      </c>
      <c r="AD1451">
        <v>0</v>
      </c>
      <c r="AE1451">
        <v>0</v>
      </c>
      <c r="AF1451">
        <v>0.7</v>
      </c>
      <c r="AG1451">
        <v>0</v>
      </c>
      <c r="AH1451">
        <v>0</v>
      </c>
      <c r="AI1451">
        <v>0.2</v>
      </c>
      <c r="AJ1451">
        <v>0</v>
      </c>
      <c r="AK1451">
        <v>0</v>
      </c>
      <c r="AL1451">
        <v>86</v>
      </c>
      <c r="AM1451">
        <v>4.2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19.399999999999999</v>
      </c>
      <c r="AU1451">
        <v>0</v>
      </c>
      <c r="AV1451">
        <v>0</v>
      </c>
    </row>
    <row r="1452" spans="1:48" x14ac:dyDescent="0.15">
      <c r="A1452" s="4" t="str">
        <f>HYPERLINK("https://ibp.a2mac1.com/costing(costing:projects/details/9760/equipment/12212564)","Dummy Machine (PCBA+Final Assembly Line)")</f>
        <v>Dummy Machine (PCBA+Final Assembly Line)</v>
      </c>
      <c r="B1452">
        <v>12212564</v>
      </c>
      <c r="C1452">
        <v>12085432</v>
      </c>
      <c r="F1452" t="s">
        <v>358</v>
      </c>
      <c r="H1452" t="s">
        <v>162</v>
      </c>
      <c r="I1452">
        <v>79501.662769714283</v>
      </c>
      <c r="J1452">
        <v>0</v>
      </c>
      <c r="K1452">
        <v>0.28895999999999999</v>
      </c>
      <c r="L1452">
        <v>0</v>
      </c>
      <c r="M1452">
        <v>16.624578413647427</v>
      </c>
      <c r="N1452">
        <v>0</v>
      </c>
      <c r="O1452">
        <v>0.55415261378824754</v>
      </c>
      <c r="P1452">
        <v>9.6401200000000006E-2</v>
      </c>
      <c r="Q1452">
        <v>5.7409879240942279E-5</v>
      </c>
      <c r="R1452">
        <v>442771.1</v>
      </c>
      <c r="S1452">
        <v>0</v>
      </c>
      <c r="T1452">
        <v>0</v>
      </c>
      <c r="V1452">
        <v>216</v>
      </c>
      <c r="W1452">
        <v>7</v>
      </c>
      <c r="X1452">
        <v>85</v>
      </c>
      <c r="Y1452">
        <v>3</v>
      </c>
      <c r="Z1452">
        <v>4</v>
      </c>
      <c r="AA1452">
        <v>5</v>
      </c>
      <c r="AB1452">
        <v>0</v>
      </c>
      <c r="AC1452">
        <v>0</v>
      </c>
      <c r="AD1452">
        <v>0</v>
      </c>
      <c r="AE1452">
        <v>0</v>
      </c>
      <c r="AF1452">
        <v>0.7</v>
      </c>
      <c r="AG1452">
        <v>0</v>
      </c>
      <c r="AH1452">
        <v>0</v>
      </c>
      <c r="AI1452">
        <v>0.2</v>
      </c>
      <c r="AJ1452">
        <v>0</v>
      </c>
      <c r="AK1452">
        <v>0</v>
      </c>
      <c r="AL1452">
        <v>86</v>
      </c>
      <c r="AM1452">
        <v>4.2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19.399999999999999</v>
      </c>
      <c r="AU1452">
        <v>0</v>
      </c>
      <c r="AV1452">
        <v>0</v>
      </c>
    </row>
    <row r="1453" spans="1:48" x14ac:dyDescent="0.15">
      <c r="A1453" s="4" t="str">
        <f>HYPERLINK("https://ibp.a2mac1.com/costing(costing:projects/details/9760/equipment/12212273)","Dummy Machine (PCBA+Final Assembly Line)")</f>
        <v>Dummy Machine (PCBA+Final Assembly Line)</v>
      </c>
      <c r="B1453">
        <v>12212273</v>
      </c>
      <c r="C1453">
        <v>12085178</v>
      </c>
      <c r="F1453" t="s">
        <v>358</v>
      </c>
      <c r="H1453" t="s">
        <v>162</v>
      </c>
      <c r="I1453">
        <v>79501.662769714283</v>
      </c>
      <c r="J1453">
        <v>0</v>
      </c>
      <c r="K1453">
        <v>0.28895999999999999</v>
      </c>
      <c r="L1453">
        <v>0</v>
      </c>
      <c r="M1453">
        <v>16.624578413647427</v>
      </c>
      <c r="N1453">
        <v>0</v>
      </c>
      <c r="O1453">
        <v>3.9206297425518515</v>
      </c>
      <c r="P1453">
        <v>0.68203849000000005</v>
      </c>
      <c r="Q1453">
        <v>1.1481975848188456E-4</v>
      </c>
      <c r="R1453">
        <v>442771.1</v>
      </c>
      <c r="S1453">
        <v>0</v>
      </c>
      <c r="T1453">
        <v>0</v>
      </c>
      <c r="V1453">
        <v>216</v>
      </c>
      <c r="W1453">
        <v>7</v>
      </c>
      <c r="X1453">
        <v>85</v>
      </c>
      <c r="Y1453">
        <v>3</v>
      </c>
      <c r="Z1453">
        <v>4</v>
      </c>
      <c r="AA1453">
        <v>5</v>
      </c>
      <c r="AB1453">
        <v>0</v>
      </c>
      <c r="AC1453">
        <v>0</v>
      </c>
      <c r="AD1453">
        <v>0</v>
      </c>
      <c r="AE1453">
        <v>0</v>
      </c>
      <c r="AF1453">
        <v>0.7</v>
      </c>
      <c r="AG1453">
        <v>0</v>
      </c>
      <c r="AH1453">
        <v>0</v>
      </c>
      <c r="AI1453">
        <v>0.2</v>
      </c>
      <c r="AJ1453">
        <v>0</v>
      </c>
      <c r="AK1453">
        <v>0</v>
      </c>
      <c r="AL1453">
        <v>86</v>
      </c>
      <c r="AM1453">
        <v>4.2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19.399999999999999</v>
      </c>
      <c r="AU1453">
        <v>0</v>
      </c>
      <c r="AV1453">
        <v>0</v>
      </c>
    </row>
    <row r="1454" spans="1:48" x14ac:dyDescent="0.15">
      <c r="A1454" s="4" t="str">
        <f>HYPERLINK("https://ibp.a2mac1.com/costing(costing:projects/details/9760/equipment/12212565)","Dummy Machine (PCBA+Final Assembly Line)")</f>
        <v>Dummy Machine (PCBA+Final Assembly Line)</v>
      </c>
      <c r="B1454">
        <v>12212565</v>
      </c>
      <c r="C1454">
        <v>12085433</v>
      </c>
      <c r="F1454" t="s">
        <v>358</v>
      </c>
      <c r="H1454" t="s">
        <v>162</v>
      </c>
      <c r="I1454">
        <v>79501.662769714283</v>
      </c>
      <c r="J1454">
        <v>0</v>
      </c>
      <c r="K1454">
        <v>0.28895999999999999</v>
      </c>
      <c r="L1454">
        <v>0</v>
      </c>
      <c r="M1454">
        <v>16.624578413647427</v>
      </c>
      <c r="N1454">
        <v>0</v>
      </c>
      <c r="O1454">
        <v>1.1960460580929677</v>
      </c>
      <c r="P1454">
        <v>0.20806592333333335</v>
      </c>
      <c r="Q1454">
        <v>1.1481975848188456E-4</v>
      </c>
      <c r="R1454">
        <v>442771.1</v>
      </c>
      <c r="S1454">
        <v>0</v>
      </c>
      <c r="T1454">
        <v>0</v>
      </c>
      <c r="V1454">
        <v>216</v>
      </c>
      <c r="W1454">
        <v>7</v>
      </c>
      <c r="X1454">
        <v>85</v>
      </c>
      <c r="Y1454">
        <v>3</v>
      </c>
      <c r="Z1454">
        <v>4</v>
      </c>
      <c r="AA1454">
        <v>5</v>
      </c>
      <c r="AB1454">
        <v>0</v>
      </c>
      <c r="AC1454">
        <v>0</v>
      </c>
      <c r="AD1454">
        <v>0</v>
      </c>
      <c r="AE1454">
        <v>0</v>
      </c>
      <c r="AF1454">
        <v>0.7</v>
      </c>
      <c r="AG1454">
        <v>0</v>
      </c>
      <c r="AH1454">
        <v>0</v>
      </c>
      <c r="AI1454">
        <v>0.2</v>
      </c>
      <c r="AJ1454">
        <v>0</v>
      </c>
      <c r="AK1454">
        <v>0</v>
      </c>
      <c r="AL1454">
        <v>86</v>
      </c>
      <c r="AM1454">
        <v>4.2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19.399999999999999</v>
      </c>
      <c r="AU1454">
        <v>0</v>
      </c>
      <c r="AV1454">
        <v>0</v>
      </c>
    </row>
    <row r="1455" spans="1:48" x14ac:dyDescent="0.15">
      <c r="A1455" s="4" t="str">
        <f>HYPERLINK("https://ibp.a2mac1.com/costing(costing:projects/details/9760/equipment/12212566)","Dummy Machine (PCBA+Final Assembly Line)")</f>
        <v>Dummy Machine (PCBA+Final Assembly Line)</v>
      </c>
      <c r="B1455">
        <v>12212566</v>
      </c>
      <c r="C1455">
        <v>12085434</v>
      </c>
      <c r="F1455" t="s">
        <v>358</v>
      </c>
      <c r="H1455" t="s">
        <v>162</v>
      </c>
      <c r="I1455">
        <v>79501.662769714283</v>
      </c>
      <c r="J1455">
        <v>0</v>
      </c>
      <c r="K1455">
        <v>0.28895999999999999</v>
      </c>
      <c r="L1455">
        <v>0</v>
      </c>
      <c r="M1455">
        <v>16.624578413647427</v>
      </c>
      <c r="N1455">
        <v>0</v>
      </c>
      <c r="O1455">
        <v>1.1960460580929677</v>
      </c>
      <c r="P1455">
        <v>0.20806592333333335</v>
      </c>
      <c r="Q1455">
        <v>1.1481975848188456E-4</v>
      </c>
      <c r="R1455">
        <v>442771.1</v>
      </c>
      <c r="S1455">
        <v>0</v>
      </c>
      <c r="T1455">
        <v>0</v>
      </c>
      <c r="V1455">
        <v>216</v>
      </c>
      <c r="W1455">
        <v>7</v>
      </c>
      <c r="X1455">
        <v>85</v>
      </c>
      <c r="Y1455">
        <v>3</v>
      </c>
      <c r="Z1455">
        <v>4</v>
      </c>
      <c r="AA1455">
        <v>5</v>
      </c>
      <c r="AB1455">
        <v>0</v>
      </c>
      <c r="AC1455">
        <v>0</v>
      </c>
      <c r="AD1455">
        <v>0</v>
      </c>
      <c r="AE1455">
        <v>0</v>
      </c>
      <c r="AF1455">
        <v>0.7</v>
      </c>
      <c r="AG1455">
        <v>0</v>
      </c>
      <c r="AH1455">
        <v>0</v>
      </c>
      <c r="AI1455">
        <v>0.2</v>
      </c>
      <c r="AJ1455">
        <v>0</v>
      </c>
      <c r="AK1455">
        <v>0</v>
      </c>
      <c r="AL1455">
        <v>86</v>
      </c>
      <c r="AM1455">
        <v>4.2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19.399999999999999</v>
      </c>
      <c r="AU1455">
        <v>0</v>
      </c>
      <c r="AV1455">
        <v>0</v>
      </c>
    </row>
    <row r="1456" spans="1:48" x14ac:dyDescent="0.15">
      <c r="A1456" s="4" t="str">
        <f>HYPERLINK("https://ibp.a2mac1.com/costing(costing:projects/details/9760/equipment/12212274)","Dummy Machine (PCBA+Final Assembly Line)")</f>
        <v>Dummy Machine (PCBA+Final Assembly Line)</v>
      </c>
      <c r="B1456">
        <v>12212274</v>
      </c>
      <c r="C1456">
        <v>12085179</v>
      </c>
      <c r="F1456" t="s">
        <v>358</v>
      </c>
      <c r="H1456" t="s">
        <v>162</v>
      </c>
      <c r="I1456">
        <v>79501.662769714283</v>
      </c>
      <c r="J1456">
        <v>0</v>
      </c>
      <c r="K1456">
        <v>0.28895999999999999</v>
      </c>
      <c r="L1456">
        <v>0</v>
      </c>
      <c r="M1456">
        <v>16.624578413647427</v>
      </c>
      <c r="N1456">
        <v>0</v>
      </c>
      <c r="O1456">
        <v>0.36019919896236091</v>
      </c>
      <c r="P1456">
        <v>6.2660779999999999E-2</v>
      </c>
      <c r="Q1456">
        <v>1.1481975848188456E-4</v>
      </c>
      <c r="R1456">
        <v>442771.1</v>
      </c>
      <c r="S1456">
        <v>0</v>
      </c>
      <c r="T1456">
        <v>0</v>
      </c>
      <c r="V1456">
        <v>216</v>
      </c>
      <c r="W1456">
        <v>7</v>
      </c>
      <c r="X1456">
        <v>85</v>
      </c>
      <c r="Y1456">
        <v>3</v>
      </c>
      <c r="Z1456">
        <v>4</v>
      </c>
      <c r="AA1456">
        <v>5</v>
      </c>
      <c r="AB1456">
        <v>0</v>
      </c>
      <c r="AC1456">
        <v>0</v>
      </c>
      <c r="AD1456">
        <v>0</v>
      </c>
      <c r="AE1456">
        <v>0</v>
      </c>
      <c r="AF1456">
        <v>0.7</v>
      </c>
      <c r="AG1456">
        <v>0</v>
      </c>
      <c r="AH1456">
        <v>0</v>
      </c>
      <c r="AI1456">
        <v>0.2</v>
      </c>
      <c r="AJ1456">
        <v>0</v>
      </c>
      <c r="AK1456">
        <v>0</v>
      </c>
      <c r="AL1456">
        <v>86</v>
      </c>
      <c r="AM1456">
        <v>4.2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19.399999999999999</v>
      </c>
      <c r="AU1456">
        <v>0</v>
      </c>
      <c r="AV1456">
        <v>0</v>
      </c>
    </row>
    <row r="1457" spans="1:48" x14ac:dyDescent="0.15">
      <c r="A1457" s="4" t="str">
        <f>HYPERLINK("https://ibp.a2mac1.com/costing(costing:projects/details/9760/equipment/12212567)","Dummy Machine (PCBA+Final Assembly Line)")</f>
        <v>Dummy Machine (PCBA+Final Assembly Line)</v>
      </c>
      <c r="B1457">
        <v>12212567</v>
      </c>
      <c r="C1457">
        <v>12085435</v>
      </c>
      <c r="F1457" t="s">
        <v>358</v>
      </c>
      <c r="H1457" t="s">
        <v>162</v>
      </c>
      <c r="I1457">
        <v>79501.662769714283</v>
      </c>
      <c r="J1457">
        <v>0</v>
      </c>
      <c r="K1457">
        <v>0.28895999999999999</v>
      </c>
      <c r="L1457">
        <v>0</v>
      </c>
      <c r="M1457">
        <v>16.624578413647427</v>
      </c>
      <c r="N1457">
        <v>0</v>
      </c>
      <c r="O1457">
        <v>0.23089692241176982</v>
      </c>
      <c r="P1457">
        <v>4.0167166666666664E-2</v>
      </c>
      <c r="Q1457">
        <v>1.1481975848188456E-4</v>
      </c>
      <c r="R1457">
        <v>442771.1</v>
      </c>
      <c r="S1457">
        <v>0</v>
      </c>
      <c r="T1457">
        <v>0</v>
      </c>
      <c r="V1457">
        <v>216</v>
      </c>
      <c r="W1457">
        <v>7</v>
      </c>
      <c r="X1457">
        <v>85</v>
      </c>
      <c r="Y1457">
        <v>3</v>
      </c>
      <c r="Z1457">
        <v>4</v>
      </c>
      <c r="AA1457">
        <v>5</v>
      </c>
      <c r="AB1457">
        <v>0</v>
      </c>
      <c r="AC1457">
        <v>0</v>
      </c>
      <c r="AD1457">
        <v>0</v>
      </c>
      <c r="AE1457">
        <v>0</v>
      </c>
      <c r="AF1457">
        <v>0.7</v>
      </c>
      <c r="AG1457">
        <v>0</v>
      </c>
      <c r="AH1457">
        <v>0</v>
      </c>
      <c r="AI1457">
        <v>0.2</v>
      </c>
      <c r="AJ1457">
        <v>0</v>
      </c>
      <c r="AK1457">
        <v>0</v>
      </c>
      <c r="AL1457">
        <v>86</v>
      </c>
      <c r="AM1457">
        <v>4.2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19.399999999999999</v>
      </c>
      <c r="AU1457">
        <v>0</v>
      </c>
      <c r="AV1457">
        <v>0</v>
      </c>
    </row>
    <row r="1458" spans="1:48" x14ac:dyDescent="0.15">
      <c r="A1458" s="4" t="str">
        <f>HYPERLINK("https://ibp.a2mac1.com/costing(costing:projects/details/9760/equipment/12212568)","Dummy Machine (PCBA+Final Assembly Line)")</f>
        <v>Dummy Machine (PCBA+Final Assembly Line)</v>
      </c>
      <c r="B1458">
        <v>12212568</v>
      </c>
      <c r="C1458">
        <v>12085436</v>
      </c>
      <c r="F1458" t="s">
        <v>358</v>
      </c>
      <c r="H1458" t="s">
        <v>162</v>
      </c>
      <c r="I1458">
        <v>79501.662769714283</v>
      </c>
      <c r="J1458">
        <v>0</v>
      </c>
      <c r="K1458">
        <v>0.28895999999999999</v>
      </c>
      <c r="L1458">
        <v>0</v>
      </c>
      <c r="M1458">
        <v>16.624578413647427</v>
      </c>
      <c r="N1458">
        <v>0</v>
      </c>
      <c r="O1458">
        <v>0.23089692241176982</v>
      </c>
      <c r="P1458">
        <v>4.0167166666666664E-2</v>
      </c>
      <c r="Q1458">
        <v>1.1481975848188456E-4</v>
      </c>
      <c r="R1458">
        <v>442771.1</v>
      </c>
      <c r="S1458">
        <v>0</v>
      </c>
      <c r="T1458">
        <v>0</v>
      </c>
      <c r="V1458">
        <v>216</v>
      </c>
      <c r="W1458">
        <v>7</v>
      </c>
      <c r="X1458">
        <v>85</v>
      </c>
      <c r="Y1458">
        <v>3</v>
      </c>
      <c r="Z1458">
        <v>4</v>
      </c>
      <c r="AA1458">
        <v>5</v>
      </c>
      <c r="AB1458">
        <v>0</v>
      </c>
      <c r="AC1458">
        <v>0</v>
      </c>
      <c r="AD1458">
        <v>0</v>
      </c>
      <c r="AE1458">
        <v>0</v>
      </c>
      <c r="AF1458">
        <v>0.7</v>
      </c>
      <c r="AG1458">
        <v>0</v>
      </c>
      <c r="AH1458">
        <v>0</v>
      </c>
      <c r="AI1458">
        <v>0.2</v>
      </c>
      <c r="AJ1458">
        <v>0</v>
      </c>
      <c r="AK1458">
        <v>0</v>
      </c>
      <c r="AL1458">
        <v>86</v>
      </c>
      <c r="AM1458">
        <v>4.2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19.399999999999999</v>
      </c>
      <c r="AU1458">
        <v>0</v>
      </c>
      <c r="AV1458">
        <v>0</v>
      </c>
    </row>
    <row r="1459" spans="1:48" x14ac:dyDescent="0.15">
      <c r="A1459" s="4" t="str">
        <f>HYPERLINK("https://ibp.a2mac1.com/costing(costing:projects/details/9760/equipment/12212275)","Dummy Machine (PCBA+Final Assembly Line)")</f>
        <v>Dummy Machine (PCBA+Final Assembly Line)</v>
      </c>
      <c r="B1459">
        <v>12212275</v>
      </c>
      <c r="C1459">
        <v>12085180</v>
      </c>
      <c r="F1459" t="s">
        <v>358</v>
      </c>
      <c r="H1459" t="s">
        <v>162</v>
      </c>
      <c r="I1459">
        <v>79501.662769714283</v>
      </c>
      <c r="J1459">
        <v>0</v>
      </c>
      <c r="K1459">
        <v>0.28895999999999999</v>
      </c>
      <c r="L1459">
        <v>0</v>
      </c>
      <c r="M1459">
        <v>16.624578413647427</v>
      </c>
      <c r="N1459">
        <v>0</v>
      </c>
      <c r="O1459">
        <v>0.33350751473156032</v>
      </c>
      <c r="P1459">
        <v>5.8017455533333331E-2</v>
      </c>
      <c r="Q1459">
        <v>1.1481975848188456E-4</v>
      </c>
      <c r="R1459">
        <v>442771.1</v>
      </c>
      <c r="S1459">
        <v>0</v>
      </c>
      <c r="T1459">
        <v>0</v>
      </c>
      <c r="V1459">
        <v>216</v>
      </c>
      <c r="W1459">
        <v>7</v>
      </c>
      <c r="X1459">
        <v>85</v>
      </c>
      <c r="Y1459">
        <v>3</v>
      </c>
      <c r="Z1459">
        <v>4</v>
      </c>
      <c r="AA1459">
        <v>5</v>
      </c>
      <c r="AB1459">
        <v>0</v>
      </c>
      <c r="AC1459">
        <v>0</v>
      </c>
      <c r="AD1459">
        <v>0</v>
      </c>
      <c r="AE1459">
        <v>0</v>
      </c>
      <c r="AF1459">
        <v>0.7</v>
      </c>
      <c r="AG1459">
        <v>0</v>
      </c>
      <c r="AH1459">
        <v>0</v>
      </c>
      <c r="AI1459">
        <v>0.2</v>
      </c>
      <c r="AJ1459">
        <v>0</v>
      </c>
      <c r="AK1459">
        <v>0</v>
      </c>
      <c r="AL1459">
        <v>86</v>
      </c>
      <c r="AM1459">
        <v>4.2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19.399999999999999</v>
      </c>
      <c r="AU1459">
        <v>0</v>
      </c>
      <c r="AV1459">
        <v>0</v>
      </c>
    </row>
    <row r="1460" spans="1:48" x14ac:dyDescent="0.15">
      <c r="A1460" s="4" t="str">
        <f>HYPERLINK("https://ibp.a2mac1.com/costing(costing:projects/details/9760/equipment/12212571)","No.02 - T,TF 40/11 ")</f>
        <v xml:space="preserve">No.02 - T,TF 40/11 </v>
      </c>
      <c r="B1460">
        <v>12212571</v>
      </c>
      <c r="C1460">
        <v>12085439</v>
      </c>
      <c r="E1460" t="s">
        <v>1630</v>
      </c>
      <c r="H1460" t="s">
        <v>162</v>
      </c>
      <c r="I1460">
        <v>10787.453600000001</v>
      </c>
      <c r="J1460">
        <v>0</v>
      </c>
      <c r="K1460">
        <v>2.3279999999999998</v>
      </c>
      <c r="L1460">
        <v>0</v>
      </c>
      <c r="M1460">
        <v>4.5840999035679841</v>
      </c>
      <c r="N1460">
        <v>0</v>
      </c>
      <c r="O1460">
        <v>4.4855341154747673E-2</v>
      </c>
      <c r="P1460">
        <v>0</v>
      </c>
      <c r="Q1460">
        <v>0</v>
      </c>
      <c r="R1460">
        <v>65000</v>
      </c>
      <c r="S1460">
        <v>0</v>
      </c>
      <c r="T1460">
        <v>0</v>
      </c>
      <c r="V1460">
        <v>0</v>
      </c>
      <c r="W1460">
        <v>8</v>
      </c>
      <c r="X1460">
        <v>85</v>
      </c>
      <c r="Y1460">
        <v>3</v>
      </c>
      <c r="Z1460">
        <v>4</v>
      </c>
      <c r="AA1460">
        <v>5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97</v>
      </c>
      <c r="AM1460">
        <v>30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10</v>
      </c>
      <c r="AU1460">
        <v>0</v>
      </c>
      <c r="AV1460">
        <v>0</v>
      </c>
    </row>
    <row r="1461" spans="1:48" x14ac:dyDescent="0.15">
      <c r="A1461" s="4" t="str">
        <f>HYPERLINK("https://ibp.a2mac1.com/costing(costing:projects/details/9760/equipment/12212569)","No.01 - Buhler ladel Model 4,5L ")</f>
        <v xml:space="preserve">No.01 - Buhler ladel Model 4,5L </v>
      </c>
      <c r="B1461">
        <v>12212569</v>
      </c>
      <c r="C1461">
        <v>12085437</v>
      </c>
      <c r="E1461" t="s">
        <v>1630</v>
      </c>
      <c r="H1461" t="s">
        <v>162</v>
      </c>
      <c r="I1461">
        <v>4348.7082399999999</v>
      </c>
      <c r="J1461">
        <v>0</v>
      </c>
      <c r="K1461">
        <v>0.98399999999999999</v>
      </c>
      <c r="L1461">
        <v>0</v>
      </c>
      <c r="M1461">
        <v>1.8838245323047251</v>
      </c>
      <c r="N1461">
        <v>0</v>
      </c>
      <c r="O1461">
        <v>1.8433191651526196E-2</v>
      </c>
      <c r="P1461">
        <v>0</v>
      </c>
      <c r="Q1461">
        <v>2.8257367984570879E-5</v>
      </c>
      <c r="R1461">
        <v>25000</v>
      </c>
      <c r="S1461">
        <v>0</v>
      </c>
      <c r="T1461">
        <v>0</v>
      </c>
      <c r="V1461">
        <v>900</v>
      </c>
      <c r="W1461">
        <v>8</v>
      </c>
      <c r="X1461">
        <v>85</v>
      </c>
      <c r="Y1461">
        <v>3</v>
      </c>
      <c r="Z1461">
        <v>4</v>
      </c>
      <c r="AA1461">
        <v>5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98</v>
      </c>
      <c r="AM1461">
        <v>10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9</v>
      </c>
      <c r="AU1461">
        <v>0.2</v>
      </c>
      <c r="AV1461">
        <v>0</v>
      </c>
    </row>
    <row r="1462" spans="1:48" x14ac:dyDescent="0.15">
      <c r="A1462" s="4" t="str">
        <f>HYPERLINK("https://ibp.a2mac1.com/costing(costing:projects/details/9760/equipment/12212570)","No.06 - Idra - OL 1300 S ")</f>
        <v xml:space="preserve">No.06 - Idra - OL 1300 S </v>
      </c>
      <c r="B1462">
        <v>12212570</v>
      </c>
      <c r="C1462">
        <v>12085438</v>
      </c>
      <c r="E1462" t="s">
        <v>1630</v>
      </c>
      <c r="H1462" t="s">
        <v>162</v>
      </c>
      <c r="I1462">
        <v>123437.268</v>
      </c>
      <c r="J1462">
        <v>0</v>
      </c>
      <c r="K1462">
        <v>8.4037188</v>
      </c>
      <c r="L1462">
        <v>0</v>
      </c>
      <c r="M1462">
        <v>35.474960844358726</v>
      </c>
      <c r="N1462">
        <v>0</v>
      </c>
      <c r="O1462">
        <v>0.34712190061270276</v>
      </c>
      <c r="P1462">
        <v>2.0213231471000001E-2</v>
      </c>
      <c r="Q1462">
        <v>7.2714529013230469E-3</v>
      </c>
      <c r="R1462">
        <v>900000</v>
      </c>
      <c r="S1462">
        <v>0</v>
      </c>
      <c r="T1462">
        <v>0</v>
      </c>
      <c r="V1462">
        <v>7200</v>
      </c>
      <c r="W1462">
        <v>10</v>
      </c>
      <c r="X1462">
        <v>85</v>
      </c>
      <c r="Y1462">
        <v>3</v>
      </c>
      <c r="Z1462">
        <v>4</v>
      </c>
      <c r="AA1462">
        <v>5</v>
      </c>
      <c r="AB1462">
        <v>0</v>
      </c>
      <c r="AC1462">
        <v>0</v>
      </c>
      <c r="AD1462">
        <v>0</v>
      </c>
      <c r="AE1462">
        <v>0</v>
      </c>
      <c r="AF1462">
        <v>0.5</v>
      </c>
      <c r="AG1462">
        <v>0</v>
      </c>
      <c r="AH1462">
        <v>0</v>
      </c>
      <c r="AI1462">
        <v>2</v>
      </c>
      <c r="AJ1462">
        <v>0</v>
      </c>
      <c r="AK1462">
        <v>0</v>
      </c>
      <c r="AL1462">
        <v>93</v>
      </c>
      <c r="AM1462">
        <v>111</v>
      </c>
      <c r="AN1462">
        <v>0</v>
      </c>
      <c r="AO1462">
        <v>0</v>
      </c>
      <c r="AP1462">
        <v>0</v>
      </c>
      <c r="AQ1462">
        <v>5</v>
      </c>
      <c r="AR1462">
        <v>0</v>
      </c>
      <c r="AS1462">
        <v>0.01</v>
      </c>
      <c r="AT1462">
        <v>50</v>
      </c>
      <c r="AU1462">
        <v>0</v>
      </c>
      <c r="AV1462">
        <v>0</v>
      </c>
    </row>
    <row r="1463" spans="1:48" x14ac:dyDescent="0.15">
      <c r="A1463" s="4" t="str">
        <f>HYPERLINK("https://ibp.a2mac1.com/costing(costing:projects/details/9760/equipment/12212574)","No.02 - Progressive Press - 400T ")</f>
        <v xml:space="preserve">No.02 - Progressive Press - 400T </v>
      </c>
      <c r="B1463">
        <v>12212574</v>
      </c>
      <c r="C1463">
        <v>12085442</v>
      </c>
      <c r="E1463" t="s">
        <v>1630</v>
      </c>
      <c r="H1463" t="s">
        <v>162</v>
      </c>
      <c r="I1463">
        <v>403278.20022857143</v>
      </c>
      <c r="J1463">
        <v>0</v>
      </c>
      <c r="K1463">
        <v>8.2100000000000009</v>
      </c>
      <c r="L1463">
        <v>0</v>
      </c>
      <c r="M1463">
        <v>91.105885604077699</v>
      </c>
      <c r="N1463">
        <v>0</v>
      </c>
      <c r="O1463">
        <v>2.5015398539739633E-2</v>
      </c>
      <c r="P1463">
        <v>1.3953133788299999E-3</v>
      </c>
      <c r="Q1463">
        <v>3.1099837681223307E-3</v>
      </c>
      <c r="R1463">
        <v>2250000</v>
      </c>
      <c r="S1463">
        <v>0</v>
      </c>
      <c r="T1463">
        <v>0</v>
      </c>
      <c r="V1463">
        <v>1800</v>
      </c>
      <c r="W1463">
        <v>7</v>
      </c>
      <c r="X1463">
        <v>85</v>
      </c>
      <c r="Y1463">
        <v>3</v>
      </c>
      <c r="Z1463">
        <v>4</v>
      </c>
      <c r="AA1463">
        <v>5</v>
      </c>
      <c r="AB1463">
        <v>0</v>
      </c>
      <c r="AC1463">
        <v>0</v>
      </c>
      <c r="AD1463">
        <v>0</v>
      </c>
      <c r="AE1463">
        <v>0</v>
      </c>
      <c r="AF1463">
        <v>1.23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87</v>
      </c>
      <c r="AM1463">
        <v>100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80</v>
      </c>
      <c r="AU1463">
        <v>1.25</v>
      </c>
      <c r="AV1463">
        <v>0</v>
      </c>
    </row>
    <row r="1464" spans="1:48" x14ac:dyDescent="0.15">
      <c r="A1464" s="4" t="str">
        <f>HYPERLINK("https://ibp.a2mac1.com/costing(costing:projects/details/9760/equipment/12212573)","No.05 - Cleaning - Batch - 2000x2000x1200 - 500kg/batch - 3000kg/h ")</f>
        <v xml:space="preserve">No.05 - Cleaning - Batch - 2000x2000x1200 - 500kg/batch - 3000kg/h </v>
      </c>
      <c r="B1464">
        <v>12212573</v>
      </c>
      <c r="C1464">
        <v>12085441</v>
      </c>
      <c r="E1464" t="s">
        <v>1630</v>
      </c>
      <c r="H1464" t="s">
        <v>162</v>
      </c>
      <c r="I1464">
        <v>36749.814400000003</v>
      </c>
      <c r="J1464">
        <v>0</v>
      </c>
      <c r="K1464">
        <v>7.6</v>
      </c>
      <c r="L1464">
        <v>0</v>
      </c>
      <c r="M1464">
        <v>15.274351398264224</v>
      </c>
      <c r="N1464">
        <v>0</v>
      </c>
      <c r="O1464">
        <v>4.2428753884067291E-2</v>
      </c>
      <c r="P1464">
        <v>2.4368966666666665E-2</v>
      </c>
      <c r="Q1464">
        <v>0</v>
      </c>
      <c r="R1464">
        <v>220000</v>
      </c>
      <c r="S1464">
        <v>0</v>
      </c>
      <c r="T1464">
        <v>0</v>
      </c>
      <c r="V1464">
        <v>0</v>
      </c>
      <c r="W1464">
        <v>8</v>
      </c>
      <c r="X1464">
        <v>85</v>
      </c>
      <c r="Y1464">
        <v>3</v>
      </c>
      <c r="Z1464">
        <v>4</v>
      </c>
      <c r="AA1464">
        <v>5</v>
      </c>
      <c r="AB1464">
        <v>0</v>
      </c>
      <c r="AC1464">
        <v>1</v>
      </c>
      <c r="AD1464">
        <v>0</v>
      </c>
      <c r="AE1464">
        <v>0</v>
      </c>
      <c r="AF1464">
        <v>0.1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100</v>
      </c>
      <c r="AM1464">
        <v>60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40</v>
      </c>
      <c r="AU1464">
        <v>2.8</v>
      </c>
      <c r="AV1464">
        <v>0</v>
      </c>
    </row>
    <row r="1465" spans="1:48" x14ac:dyDescent="0.15">
      <c r="A1465" s="4" t="str">
        <f>HYPERLINK("https://ibp.a2mac1.com/costing(costing:projects/details/9760/equipment/12212572)","Packaging ")</f>
        <v xml:space="preserve">Packaging </v>
      </c>
      <c r="B1465">
        <v>12212572</v>
      </c>
      <c r="C1465">
        <v>12085440</v>
      </c>
      <c r="E1465" t="s">
        <v>1630</v>
      </c>
      <c r="H1465" t="s">
        <v>162</v>
      </c>
      <c r="I1465">
        <v>4437.4535999999998</v>
      </c>
      <c r="J1465">
        <v>0</v>
      </c>
      <c r="K1465">
        <v>0.10768</v>
      </c>
      <c r="L1465">
        <v>0</v>
      </c>
      <c r="M1465">
        <v>1.0619476952748312</v>
      </c>
      <c r="N1465">
        <v>0</v>
      </c>
      <c r="O1465">
        <v>2.3598837672774028E-3</v>
      </c>
      <c r="P1465">
        <v>2.7758133333333334E-2</v>
      </c>
      <c r="Q1465">
        <v>2.0433281542912247E-4</v>
      </c>
      <c r="R1465">
        <v>30000</v>
      </c>
      <c r="S1465">
        <v>0</v>
      </c>
      <c r="T1465">
        <v>0</v>
      </c>
      <c r="V1465">
        <v>900</v>
      </c>
      <c r="W1465">
        <v>10</v>
      </c>
      <c r="X1465">
        <v>85</v>
      </c>
      <c r="Y1465">
        <v>3</v>
      </c>
      <c r="Z1465">
        <v>4</v>
      </c>
      <c r="AA1465">
        <v>5</v>
      </c>
      <c r="AB1465">
        <v>0</v>
      </c>
      <c r="AC1465">
        <v>1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50</v>
      </c>
      <c r="AM1465">
        <v>2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0</v>
      </c>
      <c r="AT1465">
        <v>10</v>
      </c>
      <c r="AU1465">
        <v>0</v>
      </c>
      <c r="AV1465">
        <v>0</v>
      </c>
    </row>
    <row r="1466" spans="1:48" x14ac:dyDescent="0.15">
      <c r="A1466" s="4" t="str">
        <f>HYPERLINK("https://ibp.a2mac1.com/costing(costing:projects/details/9760/equipment/12212575)","No.01 - Progressive Press - 250T ")</f>
        <v xml:space="preserve">No.01 - Progressive Press - 250T </v>
      </c>
      <c r="B1466">
        <v>12212575</v>
      </c>
      <c r="C1466">
        <v>12085443</v>
      </c>
      <c r="E1466" t="s">
        <v>1630</v>
      </c>
      <c r="H1466" t="s">
        <v>162</v>
      </c>
      <c r="I1466">
        <v>295789.00731428573</v>
      </c>
      <c r="J1466">
        <v>0</v>
      </c>
      <c r="K1466">
        <v>5.82</v>
      </c>
      <c r="L1466">
        <v>0</v>
      </c>
      <c r="M1466">
        <v>66.618618983331032</v>
      </c>
      <c r="N1466">
        <v>0</v>
      </c>
      <c r="O1466">
        <v>1.58239575774545E-2</v>
      </c>
      <c r="P1466">
        <v>9.8135273966666668E-4</v>
      </c>
      <c r="Q1466">
        <v>2.3753657694999312E-3</v>
      </c>
      <c r="R1466">
        <v>1650000</v>
      </c>
      <c r="S1466">
        <v>0</v>
      </c>
      <c r="T1466">
        <v>0</v>
      </c>
      <c r="V1466">
        <v>1800</v>
      </c>
      <c r="W1466">
        <v>7</v>
      </c>
      <c r="X1466">
        <v>85</v>
      </c>
      <c r="Y1466">
        <v>3</v>
      </c>
      <c r="Z1466">
        <v>4</v>
      </c>
      <c r="AA1466">
        <v>5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87</v>
      </c>
      <c r="AM1466">
        <v>75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60</v>
      </c>
      <c r="AU1466">
        <v>0.6</v>
      </c>
      <c r="AV1466">
        <v>0</v>
      </c>
    </row>
    <row r="1467" spans="1:48" x14ac:dyDescent="0.15">
      <c r="A1467" s="4" t="str">
        <f>HYPERLINK("https://ibp.a2mac1.com/costing(costing:projects/details/9760/equipment/12212577)","No.05 - Cleaning - Batch - 2000x2000x1200 - 500kg/batch - 3000kg/h ")</f>
        <v xml:space="preserve">No.05 - Cleaning - Batch - 2000x2000x1200 - 500kg/batch - 3000kg/h </v>
      </c>
      <c r="B1467">
        <v>12212577</v>
      </c>
      <c r="C1467">
        <v>12085445</v>
      </c>
      <c r="E1467" t="s">
        <v>1630</v>
      </c>
      <c r="H1467" t="s">
        <v>162</v>
      </c>
      <c r="I1467">
        <v>36749.814400000003</v>
      </c>
      <c r="J1467">
        <v>0</v>
      </c>
      <c r="K1467">
        <v>7.6</v>
      </c>
      <c r="L1467">
        <v>0</v>
      </c>
      <c r="M1467">
        <v>15.274351398264224</v>
      </c>
      <c r="N1467">
        <v>0</v>
      </c>
      <c r="O1467">
        <v>4.2428753884067291E-2</v>
      </c>
      <c r="P1467">
        <v>2.4368966666666665E-2</v>
      </c>
      <c r="Q1467">
        <v>0</v>
      </c>
      <c r="R1467">
        <v>220000</v>
      </c>
      <c r="S1467">
        <v>0</v>
      </c>
      <c r="T1467">
        <v>0</v>
      </c>
      <c r="V1467">
        <v>0</v>
      </c>
      <c r="W1467">
        <v>8</v>
      </c>
      <c r="X1467">
        <v>85</v>
      </c>
      <c r="Y1467">
        <v>3</v>
      </c>
      <c r="Z1467">
        <v>4</v>
      </c>
      <c r="AA1467">
        <v>5</v>
      </c>
      <c r="AB1467">
        <v>0</v>
      </c>
      <c r="AC1467">
        <v>1</v>
      </c>
      <c r="AD1467">
        <v>0</v>
      </c>
      <c r="AE1467">
        <v>0</v>
      </c>
      <c r="AF1467">
        <v>0.1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100</v>
      </c>
      <c r="AM1467">
        <v>60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40</v>
      </c>
      <c r="AU1467">
        <v>2.8</v>
      </c>
      <c r="AV1467">
        <v>0</v>
      </c>
    </row>
    <row r="1468" spans="1:48" x14ac:dyDescent="0.15">
      <c r="A1468" s="4" t="str">
        <f>HYPERLINK("https://ibp.a2mac1.com/costing(costing:projects/details/9760/equipment/12212576)","Packaging ")</f>
        <v xml:space="preserve">Packaging </v>
      </c>
      <c r="B1468">
        <v>12212576</v>
      </c>
      <c r="C1468">
        <v>12085444</v>
      </c>
      <c r="E1468" t="s">
        <v>1630</v>
      </c>
      <c r="H1468" t="s">
        <v>162</v>
      </c>
      <c r="I1468">
        <v>4437.4535999999998</v>
      </c>
      <c r="J1468">
        <v>0</v>
      </c>
      <c r="K1468">
        <v>0.10768</v>
      </c>
      <c r="L1468">
        <v>0</v>
      </c>
      <c r="M1468">
        <v>1.0619476952748312</v>
      </c>
      <c r="N1468">
        <v>0</v>
      </c>
      <c r="O1468">
        <v>2.3598837672774028E-3</v>
      </c>
      <c r="P1468">
        <v>2.7758133333333334E-2</v>
      </c>
      <c r="Q1468">
        <v>2.0433281542912247E-4</v>
      </c>
      <c r="R1468">
        <v>30000</v>
      </c>
      <c r="S1468">
        <v>0</v>
      </c>
      <c r="T1468">
        <v>0</v>
      </c>
      <c r="V1468">
        <v>900</v>
      </c>
      <c r="W1468">
        <v>10</v>
      </c>
      <c r="X1468">
        <v>85</v>
      </c>
      <c r="Y1468">
        <v>3</v>
      </c>
      <c r="Z1468">
        <v>4</v>
      </c>
      <c r="AA1468">
        <v>5</v>
      </c>
      <c r="AB1468">
        <v>0</v>
      </c>
      <c r="AC1468">
        <v>1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50</v>
      </c>
      <c r="AM1468">
        <v>2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0</v>
      </c>
      <c r="AT1468">
        <v>10</v>
      </c>
      <c r="AU1468">
        <v>0</v>
      </c>
      <c r="AV1468">
        <v>0</v>
      </c>
    </row>
    <row r="1469" spans="1:48" x14ac:dyDescent="0.15">
      <c r="A1469" s="4" t="str">
        <f>HYPERLINK("https://ibp.a2mac1.com/costing(costing:projects/details/9760/equipment/12212578)","No.02 - Progressive Press - 400T ")</f>
        <v xml:space="preserve">No.02 - Progressive Press - 400T </v>
      </c>
      <c r="B1469">
        <v>12212578</v>
      </c>
      <c r="C1469">
        <v>12085446</v>
      </c>
      <c r="E1469" t="s">
        <v>1630</v>
      </c>
      <c r="H1469" t="s">
        <v>162</v>
      </c>
      <c r="I1469">
        <v>403278.20022857143</v>
      </c>
      <c r="J1469">
        <v>0</v>
      </c>
      <c r="K1469">
        <v>8.2100000000000009</v>
      </c>
      <c r="L1469">
        <v>0</v>
      </c>
      <c r="M1469">
        <v>91.105885604077699</v>
      </c>
      <c r="N1469">
        <v>0</v>
      </c>
      <c r="O1469">
        <v>2.5015398539739633E-2</v>
      </c>
      <c r="P1469">
        <v>1.3953133788299999E-3</v>
      </c>
      <c r="Q1469">
        <v>3.1099837681223307E-3</v>
      </c>
      <c r="R1469">
        <v>2250000</v>
      </c>
      <c r="S1469">
        <v>0</v>
      </c>
      <c r="T1469">
        <v>0</v>
      </c>
      <c r="V1469">
        <v>1800</v>
      </c>
      <c r="W1469">
        <v>7</v>
      </c>
      <c r="X1469">
        <v>85</v>
      </c>
      <c r="Y1469">
        <v>3</v>
      </c>
      <c r="Z1469">
        <v>4</v>
      </c>
      <c r="AA1469">
        <v>5</v>
      </c>
      <c r="AB1469">
        <v>0</v>
      </c>
      <c r="AC1469">
        <v>0</v>
      </c>
      <c r="AD1469">
        <v>0</v>
      </c>
      <c r="AE1469">
        <v>0</v>
      </c>
      <c r="AF1469">
        <v>1.23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87</v>
      </c>
      <c r="AM1469">
        <v>100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80</v>
      </c>
      <c r="AU1469">
        <v>1.25</v>
      </c>
      <c r="AV1469">
        <v>0</v>
      </c>
    </row>
    <row r="1470" spans="1:48" x14ac:dyDescent="0.15">
      <c r="A1470" s="4" t="str">
        <f>HYPERLINK("https://ibp.a2mac1.com/costing(costing:projects/details/9760/equipment/12212579)","No.05 - Cleaning - Batch - 2000x2000x1200 - 500kg/batch - 3000kg/h ")</f>
        <v xml:space="preserve">No.05 - Cleaning - Batch - 2000x2000x1200 - 500kg/batch - 3000kg/h </v>
      </c>
      <c r="B1470">
        <v>12212579</v>
      </c>
      <c r="C1470">
        <v>12085447</v>
      </c>
      <c r="E1470" t="s">
        <v>1630</v>
      </c>
      <c r="H1470" t="s">
        <v>162</v>
      </c>
      <c r="I1470">
        <v>36749.814400000003</v>
      </c>
      <c r="J1470">
        <v>0</v>
      </c>
      <c r="K1470">
        <v>7.6</v>
      </c>
      <c r="L1470">
        <v>0</v>
      </c>
      <c r="M1470">
        <v>15.274351398264224</v>
      </c>
      <c r="N1470">
        <v>0</v>
      </c>
      <c r="O1470">
        <v>4.2428753884067291E-2</v>
      </c>
      <c r="P1470">
        <v>2.4368966666666665E-2</v>
      </c>
      <c r="Q1470">
        <v>0</v>
      </c>
      <c r="R1470">
        <v>220000</v>
      </c>
      <c r="S1470">
        <v>0</v>
      </c>
      <c r="T1470">
        <v>0</v>
      </c>
      <c r="V1470">
        <v>0</v>
      </c>
      <c r="W1470">
        <v>8</v>
      </c>
      <c r="X1470">
        <v>85</v>
      </c>
      <c r="Y1470">
        <v>3</v>
      </c>
      <c r="Z1470">
        <v>4</v>
      </c>
      <c r="AA1470">
        <v>5</v>
      </c>
      <c r="AB1470">
        <v>0</v>
      </c>
      <c r="AC1470">
        <v>1</v>
      </c>
      <c r="AD1470">
        <v>0</v>
      </c>
      <c r="AE1470">
        <v>0</v>
      </c>
      <c r="AF1470">
        <v>0.1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100</v>
      </c>
      <c r="AM1470">
        <v>60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40</v>
      </c>
      <c r="AU1470">
        <v>2.8</v>
      </c>
      <c r="AV1470">
        <v>0</v>
      </c>
    </row>
    <row r="1471" spans="1:48" x14ac:dyDescent="0.15">
      <c r="A1471" s="4" t="str">
        <f>HYPERLINK("https://ibp.a2mac1.com/costing(costing:projects/details/9760/equipment/12212580)","Packaging ")</f>
        <v xml:space="preserve">Packaging </v>
      </c>
      <c r="B1471">
        <v>12212580</v>
      </c>
      <c r="C1471">
        <v>12085448</v>
      </c>
      <c r="E1471" t="s">
        <v>1630</v>
      </c>
      <c r="H1471" t="s">
        <v>162</v>
      </c>
      <c r="I1471">
        <v>4437.4535999999998</v>
      </c>
      <c r="J1471">
        <v>0</v>
      </c>
      <c r="K1471">
        <v>0.10768</v>
      </c>
      <c r="L1471">
        <v>0</v>
      </c>
      <c r="M1471">
        <v>1.0619476952748312</v>
      </c>
      <c r="N1471">
        <v>0</v>
      </c>
      <c r="O1471">
        <v>2.3598837672774028E-3</v>
      </c>
      <c r="P1471">
        <v>2.7758133333333334E-2</v>
      </c>
      <c r="Q1471">
        <v>2.0433281542912247E-4</v>
      </c>
      <c r="R1471">
        <v>30000</v>
      </c>
      <c r="S1471">
        <v>0</v>
      </c>
      <c r="T1471">
        <v>0</v>
      </c>
      <c r="V1471">
        <v>900</v>
      </c>
      <c r="W1471">
        <v>10</v>
      </c>
      <c r="X1471">
        <v>85</v>
      </c>
      <c r="Y1471">
        <v>3</v>
      </c>
      <c r="Z1471">
        <v>4</v>
      </c>
      <c r="AA1471">
        <v>5</v>
      </c>
      <c r="AB1471">
        <v>0</v>
      </c>
      <c r="AC1471">
        <v>1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50</v>
      </c>
      <c r="AM1471">
        <v>2</v>
      </c>
      <c r="AN1471">
        <v>0</v>
      </c>
      <c r="AO1471">
        <v>0</v>
      </c>
      <c r="AP1471">
        <v>0</v>
      </c>
      <c r="AQ1471">
        <v>1</v>
      </c>
      <c r="AR1471">
        <v>0</v>
      </c>
      <c r="AS1471">
        <v>0</v>
      </c>
      <c r="AT1471">
        <v>10</v>
      </c>
      <c r="AU1471">
        <v>0</v>
      </c>
      <c r="AV1471">
        <v>0</v>
      </c>
    </row>
    <row r="1472" spans="1:48" x14ac:dyDescent="0.15">
      <c r="A1472" s="4" t="str">
        <f>HYPERLINK("https://ibp.a2mac1.com/costing(costing:projects/details/9760/equipment/12212581)","No.02 - Progressive Press - 400T ")</f>
        <v xml:space="preserve">No.02 - Progressive Press - 400T </v>
      </c>
      <c r="B1472">
        <v>12212581</v>
      </c>
      <c r="C1472">
        <v>12085449</v>
      </c>
      <c r="E1472" t="s">
        <v>1630</v>
      </c>
      <c r="H1472" t="s">
        <v>162</v>
      </c>
      <c r="I1472">
        <v>403278.20022857143</v>
      </c>
      <c r="J1472">
        <v>0</v>
      </c>
      <c r="K1472">
        <v>8.2100000000000009</v>
      </c>
      <c r="L1472">
        <v>0</v>
      </c>
      <c r="M1472">
        <v>91.105885604077699</v>
      </c>
      <c r="N1472">
        <v>0</v>
      </c>
      <c r="O1472">
        <v>2.5015398539739633E-2</v>
      </c>
      <c r="P1472">
        <v>1.3953133788299999E-3</v>
      </c>
      <c r="Q1472">
        <v>3.1099837681223307E-3</v>
      </c>
      <c r="R1472">
        <v>2250000</v>
      </c>
      <c r="S1472">
        <v>0</v>
      </c>
      <c r="T1472">
        <v>0</v>
      </c>
      <c r="V1472">
        <v>1800</v>
      </c>
      <c r="W1472">
        <v>7</v>
      </c>
      <c r="X1472">
        <v>85</v>
      </c>
      <c r="Y1472">
        <v>3</v>
      </c>
      <c r="Z1472">
        <v>4</v>
      </c>
      <c r="AA1472">
        <v>5</v>
      </c>
      <c r="AB1472">
        <v>0</v>
      </c>
      <c r="AC1472">
        <v>0</v>
      </c>
      <c r="AD1472">
        <v>0</v>
      </c>
      <c r="AE1472">
        <v>0</v>
      </c>
      <c r="AF1472">
        <v>1.23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87</v>
      </c>
      <c r="AM1472">
        <v>100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80</v>
      </c>
      <c r="AU1472">
        <v>1.25</v>
      </c>
      <c r="AV1472">
        <v>0</v>
      </c>
    </row>
    <row r="1473" spans="1:48" x14ac:dyDescent="0.15">
      <c r="A1473" s="4" t="str">
        <f>HYPERLINK("https://ibp.a2mac1.com/costing(costing:projects/details/9760/equipment/12212582)","No.05 - Cleaning - Batch - 2000x2000x1200 - 500kg/batch - 3000kg/h ")</f>
        <v xml:space="preserve">No.05 - Cleaning - Batch - 2000x2000x1200 - 500kg/batch - 3000kg/h </v>
      </c>
      <c r="B1473">
        <v>12212582</v>
      </c>
      <c r="C1473">
        <v>12085450</v>
      </c>
      <c r="E1473" t="s">
        <v>1630</v>
      </c>
      <c r="H1473" t="s">
        <v>162</v>
      </c>
      <c r="I1473">
        <v>36749.814400000003</v>
      </c>
      <c r="J1473">
        <v>0</v>
      </c>
      <c r="K1473">
        <v>7.6</v>
      </c>
      <c r="L1473">
        <v>0</v>
      </c>
      <c r="M1473">
        <v>15.274351398264224</v>
      </c>
      <c r="N1473">
        <v>0</v>
      </c>
      <c r="O1473">
        <v>4.2428753884067291E-2</v>
      </c>
      <c r="P1473">
        <v>2.4368966666666665E-2</v>
      </c>
      <c r="Q1473">
        <v>0</v>
      </c>
      <c r="R1473">
        <v>220000</v>
      </c>
      <c r="S1473">
        <v>0</v>
      </c>
      <c r="T1473">
        <v>0</v>
      </c>
      <c r="V1473">
        <v>0</v>
      </c>
      <c r="W1473">
        <v>8</v>
      </c>
      <c r="X1473">
        <v>85</v>
      </c>
      <c r="Y1473">
        <v>3</v>
      </c>
      <c r="Z1473">
        <v>4</v>
      </c>
      <c r="AA1473">
        <v>5</v>
      </c>
      <c r="AB1473">
        <v>0</v>
      </c>
      <c r="AC1473">
        <v>1</v>
      </c>
      <c r="AD1473">
        <v>0</v>
      </c>
      <c r="AE1473">
        <v>0</v>
      </c>
      <c r="AF1473">
        <v>0.1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100</v>
      </c>
      <c r="AM1473">
        <v>60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40</v>
      </c>
      <c r="AU1473">
        <v>2.8</v>
      </c>
      <c r="AV1473">
        <v>0</v>
      </c>
    </row>
    <row r="1474" spans="1:48" x14ac:dyDescent="0.15">
      <c r="A1474" s="4" t="str">
        <f>HYPERLINK("https://ibp.a2mac1.com/costing(costing:projects/details/9760/equipment/12212583)","Packaging ")</f>
        <v xml:space="preserve">Packaging </v>
      </c>
      <c r="B1474">
        <v>12212583</v>
      </c>
      <c r="C1474">
        <v>12085451</v>
      </c>
      <c r="E1474" t="s">
        <v>1630</v>
      </c>
      <c r="H1474" t="s">
        <v>162</v>
      </c>
      <c r="I1474">
        <v>4437.4535999999998</v>
      </c>
      <c r="J1474">
        <v>0</v>
      </c>
      <c r="K1474">
        <v>0.10768</v>
      </c>
      <c r="L1474">
        <v>0</v>
      </c>
      <c r="M1474">
        <v>1.0619476952748312</v>
      </c>
      <c r="N1474">
        <v>0</v>
      </c>
      <c r="O1474">
        <v>2.3598837672774028E-3</v>
      </c>
      <c r="P1474">
        <v>2.7758133333333334E-2</v>
      </c>
      <c r="Q1474">
        <v>2.0433281542912247E-4</v>
      </c>
      <c r="R1474">
        <v>30000</v>
      </c>
      <c r="S1474">
        <v>0</v>
      </c>
      <c r="T1474">
        <v>0</v>
      </c>
      <c r="V1474">
        <v>900</v>
      </c>
      <c r="W1474">
        <v>10</v>
      </c>
      <c r="X1474">
        <v>85</v>
      </c>
      <c r="Y1474">
        <v>3</v>
      </c>
      <c r="Z1474">
        <v>4</v>
      </c>
      <c r="AA1474">
        <v>5</v>
      </c>
      <c r="AB1474">
        <v>0</v>
      </c>
      <c r="AC1474">
        <v>1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50</v>
      </c>
      <c r="AM1474">
        <v>2</v>
      </c>
      <c r="AN1474">
        <v>0</v>
      </c>
      <c r="AO1474">
        <v>0</v>
      </c>
      <c r="AP1474">
        <v>0</v>
      </c>
      <c r="AQ1474">
        <v>1</v>
      </c>
      <c r="AR1474">
        <v>0</v>
      </c>
      <c r="AS1474">
        <v>0</v>
      </c>
      <c r="AT1474">
        <v>10</v>
      </c>
      <c r="AU1474">
        <v>0</v>
      </c>
      <c r="AV1474">
        <v>0</v>
      </c>
    </row>
    <row r="1475" spans="1:48" x14ac:dyDescent="0.15">
      <c r="A1475" s="4" t="str">
        <f>HYPERLINK("https://ibp.a2mac1.com/costing(costing:projects/details/9760/equipment/12212584)","No.01 - Progressive Press - 250T ")</f>
        <v xml:space="preserve">No.01 - Progressive Press - 250T </v>
      </c>
      <c r="B1475">
        <v>12212584</v>
      </c>
      <c r="C1475">
        <v>12085452</v>
      </c>
      <c r="E1475" t="s">
        <v>1630</v>
      </c>
      <c r="H1475" t="s">
        <v>162</v>
      </c>
      <c r="I1475">
        <v>295789.00731428573</v>
      </c>
      <c r="J1475">
        <v>0</v>
      </c>
      <c r="K1475">
        <v>5.82</v>
      </c>
      <c r="L1475">
        <v>0</v>
      </c>
      <c r="M1475">
        <v>66.618618983331032</v>
      </c>
      <c r="N1475">
        <v>0</v>
      </c>
      <c r="O1475">
        <v>1.58239575774545E-2</v>
      </c>
      <c r="P1475">
        <v>9.8135273966666668E-4</v>
      </c>
      <c r="Q1475">
        <v>2.3753657694999312E-3</v>
      </c>
      <c r="R1475">
        <v>1650000</v>
      </c>
      <c r="S1475">
        <v>0</v>
      </c>
      <c r="T1475">
        <v>0</v>
      </c>
      <c r="V1475">
        <v>1800</v>
      </c>
      <c r="W1475">
        <v>7</v>
      </c>
      <c r="X1475">
        <v>85</v>
      </c>
      <c r="Y1475">
        <v>3</v>
      </c>
      <c r="Z1475">
        <v>4</v>
      </c>
      <c r="AA1475">
        <v>5</v>
      </c>
      <c r="AB1475">
        <v>0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87</v>
      </c>
      <c r="AM1475">
        <v>75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60</v>
      </c>
      <c r="AU1475">
        <v>0.6</v>
      </c>
      <c r="AV1475">
        <v>0</v>
      </c>
    </row>
    <row r="1476" spans="1:48" x14ac:dyDescent="0.15">
      <c r="A1476" s="4" t="str">
        <f>HYPERLINK("https://ibp.a2mac1.com/costing(costing:projects/details/9760/equipment/12212585)","No.05 - Cleaning - Batch - 2000x2000x1200 - 500kg/batch - 3000kg/h ")</f>
        <v xml:space="preserve">No.05 - Cleaning - Batch - 2000x2000x1200 - 500kg/batch - 3000kg/h </v>
      </c>
      <c r="B1476">
        <v>12212585</v>
      </c>
      <c r="C1476">
        <v>12085453</v>
      </c>
      <c r="E1476" t="s">
        <v>1630</v>
      </c>
      <c r="H1476" t="s">
        <v>162</v>
      </c>
      <c r="I1476">
        <v>36749.814400000003</v>
      </c>
      <c r="J1476">
        <v>0</v>
      </c>
      <c r="K1476">
        <v>7.6</v>
      </c>
      <c r="L1476">
        <v>0</v>
      </c>
      <c r="M1476">
        <v>15.274351398264224</v>
      </c>
      <c r="N1476">
        <v>0</v>
      </c>
      <c r="O1476">
        <v>4.2428753884067291E-2</v>
      </c>
      <c r="P1476">
        <v>2.4368966666666665E-2</v>
      </c>
      <c r="Q1476">
        <v>0</v>
      </c>
      <c r="R1476">
        <v>220000</v>
      </c>
      <c r="S1476">
        <v>0</v>
      </c>
      <c r="T1476">
        <v>0</v>
      </c>
      <c r="V1476">
        <v>0</v>
      </c>
      <c r="W1476">
        <v>8</v>
      </c>
      <c r="X1476">
        <v>85</v>
      </c>
      <c r="Y1476">
        <v>3</v>
      </c>
      <c r="Z1476">
        <v>4</v>
      </c>
      <c r="AA1476">
        <v>5</v>
      </c>
      <c r="AB1476">
        <v>0</v>
      </c>
      <c r="AC1476">
        <v>1</v>
      </c>
      <c r="AD1476">
        <v>0</v>
      </c>
      <c r="AE1476">
        <v>0</v>
      </c>
      <c r="AF1476">
        <v>0.1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100</v>
      </c>
      <c r="AM1476">
        <v>60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40</v>
      </c>
      <c r="AU1476">
        <v>2.8</v>
      </c>
      <c r="AV1476">
        <v>0</v>
      </c>
    </row>
    <row r="1477" spans="1:48" x14ac:dyDescent="0.15">
      <c r="A1477" s="4" t="str">
        <f>HYPERLINK("https://ibp.a2mac1.com/costing(costing:projects/details/9760/equipment/12212586)","Packaging ")</f>
        <v xml:space="preserve">Packaging </v>
      </c>
      <c r="B1477">
        <v>12212586</v>
      </c>
      <c r="C1477">
        <v>12085454</v>
      </c>
      <c r="E1477" t="s">
        <v>1630</v>
      </c>
      <c r="H1477" t="s">
        <v>162</v>
      </c>
      <c r="I1477">
        <v>4437.4535999999998</v>
      </c>
      <c r="J1477">
        <v>0</v>
      </c>
      <c r="K1477">
        <v>0.10768</v>
      </c>
      <c r="L1477">
        <v>0</v>
      </c>
      <c r="M1477">
        <v>1.0619476952748312</v>
      </c>
      <c r="N1477">
        <v>0</v>
      </c>
      <c r="O1477">
        <v>2.3598837672774028E-3</v>
      </c>
      <c r="P1477">
        <v>2.7758133333333334E-2</v>
      </c>
      <c r="Q1477">
        <v>2.0433281542912247E-4</v>
      </c>
      <c r="R1477">
        <v>30000</v>
      </c>
      <c r="S1477">
        <v>0</v>
      </c>
      <c r="T1477">
        <v>0</v>
      </c>
      <c r="V1477">
        <v>900</v>
      </c>
      <c r="W1477">
        <v>10</v>
      </c>
      <c r="X1477">
        <v>85</v>
      </c>
      <c r="Y1477">
        <v>3</v>
      </c>
      <c r="Z1477">
        <v>4</v>
      </c>
      <c r="AA1477">
        <v>5</v>
      </c>
      <c r="AB1477">
        <v>0</v>
      </c>
      <c r="AC1477">
        <v>1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50</v>
      </c>
      <c r="AM1477">
        <v>2</v>
      </c>
      <c r="AN1477">
        <v>0</v>
      </c>
      <c r="AO1477">
        <v>0</v>
      </c>
      <c r="AP1477">
        <v>0</v>
      </c>
      <c r="AQ1477">
        <v>1</v>
      </c>
      <c r="AR1477">
        <v>0</v>
      </c>
      <c r="AS1477">
        <v>0</v>
      </c>
      <c r="AT1477">
        <v>10</v>
      </c>
      <c r="AU1477">
        <v>0</v>
      </c>
      <c r="AV1477">
        <v>0</v>
      </c>
    </row>
    <row r="1478" spans="1:48" x14ac:dyDescent="0.15">
      <c r="A1478" s="4" t="str">
        <f>HYPERLINK("https://ibp.a2mac1.com/costing(costing:projects/details/9760/equipment/12212276)","Assembly Station ")</f>
        <v xml:space="preserve">Assembly Station </v>
      </c>
      <c r="B1478">
        <v>12212276</v>
      </c>
      <c r="C1478">
        <v>12085181</v>
      </c>
      <c r="E1478" t="s">
        <v>1630</v>
      </c>
      <c r="F1478" t="s">
        <v>5068</v>
      </c>
      <c r="G1478" t="s">
        <v>8</v>
      </c>
      <c r="H1478" t="s">
        <v>162</v>
      </c>
      <c r="I1478">
        <v>4824.9071999999996</v>
      </c>
      <c r="J1478">
        <v>0</v>
      </c>
      <c r="K1478">
        <v>0.10768</v>
      </c>
      <c r="L1478">
        <v>0</v>
      </c>
      <c r="M1478">
        <v>1.1242192478302797</v>
      </c>
      <c r="N1478">
        <v>0</v>
      </c>
      <c r="O1478">
        <v>5.6210962391513984E-2</v>
      </c>
      <c r="P1478">
        <v>0.20657400000000001</v>
      </c>
      <c r="Q1478">
        <v>2.2807432079717134E-4</v>
      </c>
      <c r="R1478">
        <v>30000</v>
      </c>
      <c r="S1478">
        <v>0</v>
      </c>
      <c r="T1478">
        <v>0</v>
      </c>
      <c r="V1478">
        <v>600</v>
      </c>
      <c r="W1478">
        <v>10</v>
      </c>
      <c r="X1478">
        <v>85</v>
      </c>
      <c r="Y1478">
        <v>3</v>
      </c>
      <c r="Z1478">
        <v>4</v>
      </c>
      <c r="AA1478">
        <v>5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100</v>
      </c>
      <c r="AM1478">
        <v>1</v>
      </c>
      <c r="AN1478">
        <v>0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20</v>
      </c>
      <c r="AU1478">
        <v>0</v>
      </c>
      <c r="AV1478">
        <v>0</v>
      </c>
    </row>
    <row r="1479" spans="1:48" x14ac:dyDescent="0.15">
      <c r="A1479" s="4" t="str">
        <f>HYPERLINK("https://ibp.a2mac1.com/costing(costing:projects/details/9760/equipment/12212175)","Assembly Station ")</f>
        <v xml:space="preserve">Assembly Station </v>
      </c>
      <c r="B1479">
        <v>12212175</v>
      </c>
      <c r="C1479">
        <v>12085084</v>
      </c>
      <c r="E1479" t="s">
        <v>1630</v>
      </c>
      <c r="F1479" t="s">
        <v>5068</v>
      </c>
      <c r="G1479" t="s">
        <v>8</v>
      </c>
      <c r="H1479" t="s">
        <v>162</v>
      </c>
      <c r="I1479">
        <v>4824.9071999999996</v>
      </c>
      <c r="J1479">
        <v>0</v>
      </c>
      <c r="K1479">
        <v>0.10768</v>
      </c>
      <c r="L1479">
        <v>0</v>
      </c>
      <c r="M1479">
        <v>1.1242192478302797</v>
      </c>
      <c r="N1479">
        <v>0</v>
      </c>
      <c r="O1479">
        <v>9.3684937319189976E-2</v>
      </c>
      <c r="P1479">
        <v>0.34428999999999998</v>
      </c>
      <c r="Q1479">
        <v>2.2807432079717134E-4</v>
      </c>
      <c r="R1479">
        <v>30000</v>
      </c>
      <c r="S1479">
        <v>0</v>
      </c>
      <c r="T1479">
        <v>0</v>
      </c>
      <c r="V1479">
        <v>600</v>
      </c>
      <c r="W1479">
        <v>10</v>
      </c>
      <c r="X1479">
        <v>85</v>
      </c>
      <c r="Y1479">
        <v>3</v>
      </c>
      <c r="Z1479">
        <v>4</v>
      </c>
      <c r="AA1479">
        <v>5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100</v>
      </c>
      <c r="AM1479">
        <v>1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0</v>
      </c>
      <c r="AT1479">
        <v>20</v>
      </c>
      <c r="AU1479">
        <v>0</v>
      </c>
      <c r="AV1479">
        <v>0</v>
      </c>
    </row>
    <row r="1480" spans="1:48" x14ac:dyDescent="0.15">
      <c r="A1480" s="4" t="str">
        <f>HYPERLINK("https://ibp.a2mac1.com/costing(costing:projects/details/9760/equipment/12212277)","DC machine - General")</f>
        <v>DC machine - General</v>
      </c>
      <c r="B1480">
        <v>12212277</v>
      </c>
      <c r="C1480">
        <v>12085182</v>
      </c>
      <c r="E1480" t="s">
        <v>738</v>
      </c>
      <c r="H1480" t="s">
        <v>162</v>
      </c>
      <c r="I1480">
        <v>116914.84457142858</v>
      </c>
      <c r="J1480">
        <v>0</v>
      </c>
      <c r="K1480">
        <v>3.6</v>
      </c>
      <c r="L1480">
        <v>0</v>
      </c>
      <c r="M1480">
        <v>27.497982091197134</v>
      </c>
      <c r="N1480">
        <v>0</v>
      </c>
      <c r="O1480">
        <v>0.31317146270530072</v>
      </c>
      <c r="P1480">
        <v>4.7052966666666668E-2</v>
      </c>
      <c r="Q1480">
        <v>1.1732166376415484E-2</v>
      </c>
      <c r="R1480">
        <v>635568</v>
      </c>
      <c r="S1480">
        <v>0</v>
      </c>
      <c r="T1480">
        <v>0</v>
      </c>
      <c r="V1480">
        <v>10800</v>
      </c>
      <c r="W1480">
        <v>7</v>
      </c>
      <c r="X1480">
        <v>85</v>
      </c>
      <c r="Y1480">
        <v>3</v>
      </c>
      <c r="Z1480">
        <v>4</v>
      </c>
      <c r="AA1480">
        <v>5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3</v>
      </c>
      <c r="AJ1480">
        <v>0</v>
      </c>
      <c r="AK1480">
        <v>0</v>
      </c>
      <c r="AL1480">
        <v>100</v>
      </c>
      <c r="AM1480">
        <v>45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100</v>
      </c>
      <c r="AU1480">
        <v>0</v>
      </c>
      <c r="AV1480">
        <v>0</v>
      </c>
    </row>
    <row r="1481" spans="1:48" x14ac:dyDescent="0.15">
      <c r="A1481" s="4" t="str">
        <f>HYPERLINK("https://ibp.a2mac1.com/costing(costing:projects/details/9760/equipment/12212278)","DC machine - General")</f>
        <v>DC machine - General</v>
      </c>
      <c r="B1481">
        <v>12212278</v>
      </c>
      <c r="C1481">
        <v>12085183</v>
      </c>
      <c r="E1481" t="s">
        <v>738</v>
      </c>
      <c r="H1481" t="s">
        <v>162</v>
      </c>
      <c r="I1481">
        <v>116914.84457142858</v>
      </c>
      <c r="J1481">
        <v>0</v>
      </c>
      <c r="K1481">
        <v>3.6</v>
      </c>
      <c r="L1481">
        <v>0</v>
      </c>
      <c r="M1481">
        <v>27.497982091197134</v>
      </c>
      <c r="N1481">
        <v>0</v>
      </c>
      <c r="O1481">
        <v>2.2914985075997613E-2</v>
      </c>
      <c r="P1481">
        <v>3.4429E-3</v>
      </c>
      <c r="Q1481">
        <v>1.1732166376415484E-2</v>
      </c>
      <c r="R1481">
        <v>635568</v>
      </c>
      <c r="S1481">
        <v>0</v>
      </c>
      <c r="T1481">
        <v>0</v>
      </c>
      <c r="V1481">
        <v>10800</v>
      </c>
      <c r="W1481">
        <v>7</v>
      </c>
      <c r="X1481">
        <v>85</v>
      </c>
      <c r="Y1481">
        <v>3</v>
      </c>
      <c r="Z1481">
        <v>4</v>
      </c>
      <c r="AA1481">
        <v>5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3</v>
      </c>
      <c r="AJ1481">
        <v>0</v>
      </c>
      <c r="AK1481">
        <v>0</v>
      </c>
      <c r="AL1481">
        <v>100</v>
      </c>
      <c r="AM1481">
        <v>45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100</v>
      </c>
      <c r="AU1481">
        <v>0</v>
      </c>
      <c r="AV1481">
        <v>0</v>
      </c>
    </row>
    <row r="1482" spans="1:48" x14ac:dyDescent="0.15">
      <c r="A1482" s="4" t="str">
        <f>HYPERLINK("https://ibp.a2mac1.com/costing(costing:projects/details/9760/equipment/12212279)","DC machine - General")</f>
        <v>DC machine - General</v>
      </c>
      <c r="B1482">
        <v>12212279</v>
      </c>
      <c r="C1482">
        <v>12085184</v>
      </c>
      <c r="E1482" t="s">
        <v>738</v>
      </c>
      <c r="H1482" t="s">
        <v>162</v>
      </c>
      <c r="I1482">
        <v>116914.84457142858</v>
      </c>
      <c r="J1482">
        <v>0</v>
      </c>
      <c r="K1482">
        <v>3.6</v>
      </c>
      <c r="L1482">
        <v>0</v>
      </c>
      <c r="M1482">
        <v>27.497982091197134</v>
      </c>
      <c r="N1482">
        <v>0</v>
      </c>
      <c r="O1482">
        <v>2.2914985075997613E-2</v>
      </c>
      <c r="P1482">
        <v>3.4429E-3</v>
      </c>
      <c r="Q1482">
        <v>1.1732166376415484E-2</v>
      </c>
      <c r="R1482">
        <v>635568</v>
      </c>
      <c r="S1482">
        <v>0</v>
      </c>
      <c r="T1482">
        <v>0</v>
      </c>
      <c r="V1482">
        <v>10800</v>
      </c>
      <c r="W1482">
        <v>7</v>
      </c>
      <c r="X1482">
        <v>85</v>
      </c>
      <c r="Y1482">
        <v>3</v>
      </c>
      <c r="Z1482">
        <v>4</v>
      </c>
      <c r="AA1482">
        <v>5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3</v>
      </c>
      <c r="AJ1482">
        <v>0</v>
      </c>
      <c r="AK1482">
        <v>0</v>
      </c>
      <c r="AL1482">
        <v>100</v>
      </c>
      <c r="AM1482">
        <v>45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100</v>
      </c>
      <c r="AU1482">
        <v>0</v>
      </c>
      <c r="AV1482">
        <v>0</v>
      </c>
    </row>
    <row r="1483" spans="1:48" x14ac:dyDescent="0.15">
      <c r="A1483" s="4" t="str">
        <f>HYPERLINK("https://ibp.a2mac1.com/costing(costing:projects/details/9760/equipment/12212280)","DC machine - General")</f>
        <v>DC machine - General</v>
      </c>
      <c r="B1483">
        <v>12212280</v>
      </c>
      <c r="C1483">
        <v>12085185</v>
      </c>
      <c r="E1483" t="s">
        <v>738</v>
      </c>
      <c r="H1483" t="s">
        <v>162</v>
      </c>
      <c r="I1483">
        <v>116914.84457142858</v>
      </c>
      <c r="J1483">
        <v>0</v>
      </c>
      <c r="K1483">
        <v>3.6</v>
      </c>
      <c r="L1483">
        <v>0</v>
      </c>
      <c r="M1483">
        <v>27.497982091197134</v>
      </c>
      <c r="N1483">
        <v>0</v>
      </c>
      <c r="O1483">
        <v>7.6383283586658711E-3</v>
      </c>
      <c r="P1483">
        <v>1.1476333333333333E-3</v>
      </c>
      <c r="Q1483">
        <v>5.8660831882077422E-3</v>
      </c>
      <c r="R1483">
        <v>635568</v>
      </c>
      <c r="S1483">
        <v>0</v>
      </c>
      <c r="T1483">
        <v>0</v>
      </c>
      <c r="V1483">
        <v>10800</v>
      </c>
      <c r="W1483">
        <v>7</v>
      </c>
      <c r="X1483">
        <v>85</v>
      </c>
      <c r="Y1483">
        <v>3</v>
      </c>
      <c r="Z1483">
        <v>4</v>
      </c>
      <c r="AA1483">
        <v>5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3</v>
      </c>
      <c r="AJ1483">
        <v>0</v>
      </c>
      <c r="AK1483">
        <v>0</v>
      </c>
      <c r="AL1483">
        <v>100</v>
      </c>
      <c r="AM1483">
        <v>45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100</v>
      </c>
      <c r="AU1483">
        <v>0</v>
      </c>
      <c r="AV1483">
        <v>0</v>
      </c>
    </row>
    <row r="1484" spans="1:48" x14ac:dyDescent="0.15">
      <c r="A1484" s="4" t="str">
        <f>HYPERLINK("https://ibp.a2mac1.com/costing(costing:projects/details/9760/equipment/12212281)","DC machine - General")</f>
        <v>DC machine - General</v>
      </c>
      <c r="B1484">
        <v>12212281</v>
      </c>
      <c r="C1484">
        <v>12085186</v>
      </c>
      <c r="E1484" t="s">
        <v>738</v>
      </c>
      <c r="H1484" t="s">
        <v>162</v>
      </c>
      <c r="I1484">
        <v>116914.84457142858</v>
      </c>
      <c r="J1484">
        <v>0</v>
      </c>
      <c r="K1484">
        <v>3.6</v>
      </c>
      <c r="L1484">
        <v>0</v>
      </c>
      <c r="M1484">
        <v>27.497982091197134</v>
      </c>
      <c r="N1484">
        <v>0</v>
      </c>
      <c r="O1484">
        <v>1.5276656717331742E-2</v>
      </c>
      <c r="P1484">
        <v>2.2952666666666665E-3</v>
      </c>
      <c r="Q1484">
        <v>1.1732166376415484E-2</v>
      </c>
      <c r="R1484">
        <v>635568</v>
      </c>
      <c r="S1484">
        <v>0</v>
      </c>
      <c r="T1484">
        <v>0</v>
      </c>
      <c r="V1484">
        <v>10800</v>
      </c>
      <c r="W1484">
        <v>7</v>
      </c>
      <c r="X1484">
        <v>85</v>
      </c>
      <c r="Y1484">
        <v>3</v>
      </c>
      <c r="Z1484">
        <v>4</v>
      </c>
      <c r="AA1484">
        <v>5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3</v>
      </c>
      <c r="AJ1484">
        <v>0</v>
      </c>
      <c r="AK1484">
        <v>0</v>
      </c>
      <c r="AL1484">
        <v>100</v>
      </c>
      <c r="AM1484">
        <v>45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100</v>
      </c>
      <c r="AU1484">
        <v>0</v>
      </c>
      <c r="AV1484">
        <v>0</v>
      </c>
    </row>
    <row r="1485" spans="1:48" x14ac:dyDescent="0.15">
      <c r="A1485" s="4" t="str">
        <f>HYPERLINK("https://ibp.a2mac1.com/costing(costing:projects/details/9760/equipment/12212282)","DC machine - General")</f>
        <v>DC machine - General</v>
      </c>
      <c r="B1485">
        <v>12212282</v>
      </c>
      <c r="C1485">
        <v>12085187</v>
      </c>
      <c r="E1485" t="s">
        <v>738</v>
      </c>
      <c r="H1485" t="s">
        <v>162</v>
      </c>
      <c r="I1485">
        <v>116914.84457142858</v>
      </c>
      <c r="J1485">
        <v>0</v>
      </c>
      <c r="K1485">
        <v>3.6</v>
      </c>
      <c r="L1485">
        <v>0</v>
      </c>
      <c r="M1485">
        <v>27.497982091197134</v>
      </c>
      <c r="N1485">
        <v>0</v>
      </c>
      <c r="O1485">
        <v>1.5276656717331742E-2</v>
      </c>
      <c r="P1485">
        <v>2.2952666666666665E-3</v>
      </c>
      <c r="Q1485">
        <v>1.1732166376415484E-2</v>
      </c>
      <c r="R1485">
        <v>635568</v>
      </c>
      <c r="S1485">
        <v>0</v>
      </c>
      <c r="T1485">
        <v>0</v>
      </c>
      <c r="V1485">
        <v>10800</v>
      </c>
      <c r="W1485">
        <v>7</v>
      </c>
      <c r="X1485">
        <v>85</v>
      </c>
      <c r="Y1485">
        <v>3</v>
      </c>
      <c r="Z1485">
        <v>4</v>
      </c>
      <c r="AA1485">
        <v>5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3</v>
      </c>
      <c r="AJ1485">
        <v>0</v>
      </c>
      <c r="AK1485">
        <v>0</v>
      </c>
      <c r="AL1485">
        <v>100</v>
      </c>
      <c r="AM1485">
        <v>45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100</v>
      </c>
      <c r="AU1485">
        <v>0</v>
      </c>
      <c r="AV1485">
        <v>0</v>
      </c>
    </row>
    <row r="1486" spans="1:48" x14ac:dyDescent="0.15">
      <c r="A1486" s="4" t="str">
        <f>HYPERLINK("https://ibp.a2mac1.com/costing(costing:projects/details/9760/equipment/12212283)","DC machine - General")</f>
        <v>DC machine - General</v>
      </c>
      <c r="B1486">
        <v>12212283</v>
      </c>
      <c r="C1486">
        <v>12085188</v>
      </c>
      <c r="E1486" t="s">
        <v>738</v>
      </c>
      <c r="H1486" t="s">
        <v>162</v>
      </c>
      <c r="I1486">
        <v>116914.84457142858</v>
      </c>
      <c r="J1486">
        <v>0</v>
      </c>
      <c r="K1486">
        <v>3.6</v>
      </c>
      <c r="L1486">
        <v>0</v>
      </c>
      <c r="M1486">
        <v>27.497982091197134</v>
      </c>
      <c r="N1486">
        <v>0</v>
      </c>
      <c r="O1486">
        <v>3.0553313434663484E-2</v>
      </c>
      <c r="P1486">
        <v>4.5905333333333331E-3</v>
      </c>
      <c r="Q1486">
        <v>1.1732166376415484E-2</v>
      </c>
      <c r="R1486">
        <v>635568</v>
      </c>
      <c r="S1486">
        <v>0</v>
      </c>
      <c r="T1486">
        <v>0</v>
      </c>
      <c r="V1486">
        <v>10800</v>
      </c>
      <c r="W1486">
        <v>7</v>
      </c>
      <c r="X1486">
        <v>85</v>
      </c>
      <c r="Y1486">
        <v>3</v>
      </c>
      <c r="Z1486">
        <v>4</v>
      </c>
      <c r="AA1486">
        <v>5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3</v>
      </c>
      <c r="AJ1486">
        <v>0</v>
      </c>
      <c r="AK1486">
        <v>0</v>
      </c>
      <c r="AL1486">
        <v>100</v>
      </c>
      <c r="AM1486">
        <v>45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100</v>
      </c>
      <c r="AU1486">
        <v>0</v>
      </c>
      <c r="AV1486">
        <v>0</v>
      </c>
    </row>
    <row r="1487" spans="1:48" x14ac:dyDescent="0.15">
      <c r="A1487" s="4" t="str">
        <f>HYPERLINK("https://ibp.a2mac1.com/costing(costing:projects/details/9760/equipment/12212284)","DC machine - General")</f>
        <v>DC machine - General</v>
      </c>
      <c r="B1487">
        <v>12212284</v>
      </c>
      <c r="C1487">
        <v>12085189</v>
      </c>
      <c r="E1487" t="s">
        <v>738</v>
      </c>
      <c r="H1487" t="s">
        <v>162</v>
      </c>
      <c r="I1487">
        <v>116914.84457142858</v>
      </c>
      <c r="J1487">
        <v>0</v>
      </c>
      <c r="K1487">
        <v>3.6</v>
      </c>
      <c r="L1487">
        <v>0</v>
      </c>
      <c r="M1487">
        <v>27.497982091197134</v>
      </c>
      <c r="N1487">
        <v>0</v>
      </c>
      <c r="O1487">
        <v>7.6383283586658711E-3</v>
      </c>
      <c r="P1487">
        <v>1.1476333333333333E-3</v>
      </c>
      <c r="Q1487">
        <v>1.1732166376415484E-2</v>
      </c>
      <c r="R1487">
        <v>635568</v>
      </c>
      <c r="S1487">
        <v>0</v>
      </c>
      <c r="T1487">
        <v>0</v>
      </c>
      <c r="V1487">
        <v>10800</v>
      </c>
      <c r="W1487">
        <v>7</v>
      </c>
      <c r="X1487">
        <v>85</v>
      </c>
      <c r="Y1487">
        <v>3</v>
      </c>
      <c r="Z1487">
        <v>4</v>
      </c>
      <c r="AA1487">
        <v>5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3</v>
      </c>
      <c r="AJ1487">
        <v>0</v>
      </c>
      <c r="AK1487">
        <v>0</v>
      </c>
      <c r="AL1487">
        <v>100</v>
      </c>
      <c r="AM1487">
        <v>45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100</v>
      </c>
      <c r="AU1487">
        <v>0</v>
      </c>
      <c r="AV1487">
        <v>0</v>
      </c>
    </row>
  </sheetData>
  <mergeCells count="6">
    <mergeCell ref="AV1:AV2"/>
    <mergeCell ref="A1:H2"/>
    <mergeCell ref="I1:Q2"/>
    <mergeCell ref="R1:AA2"/>
    <mergeCell ref="AB1:AK2"/>
    <mergeCell ref="AL1:A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DAEE-7BBE-4541-BFB6-62FF4D532F64}">
  <dimension ref="A1:AP1482"/>
  <sheetViews>
    <sheetView workbookViewId="0"/>
  </sheetViews>
  <sheetFormatPr baseColWidth="10" defaultColWidth="8.83203125" defaultRowHeight="13" x14ac:dyDescent="0.15"/>
  <cols>
    <col min="1" max="1" width="6.5" customWidth="1"/>
    <col min="2" max="2" width="11.5" customWidth="1"/>
    <col min="3" max="3" width="3.1640625" customWidth="1"/>
    <col min="4" max="4" width="18.33203125" customWidth="1"/>
    <col min="5" max="5" width="16.5" customWidth="1"/>
    <col min="6" max="6" width="19.5" customWidth="1"/>
    <col min="7" max="7" width="20.33203125" customWidth="1"/>
    <col min="8" max="8" width="16.83203125" customWidth="1"/>
    <col min="9" max="10" width="10.5" customWidth="1"/>
    <col min="11" max="11" width="20.83203125" customWidth="1"/>
    <col min="12" max="12" width="21.6640625" customWidth="1"/>
    <col min="13" max="13" width="23" customWidth="1"/>
    <col min="14" max="14" width="21.1640625" customWidth="1"/>
    <col min="15" max="16" width="9.33203125" customWidth="1"/>
    <col min="17" max="20" width="10.5" customWidth="1"/>
    <col min="21" max="21" width="13" customWidth="1"/>
    <col min="22" max="22" width="21.6640625" customWidth="1"/>
    <col min="23" max="23" width="25.5" customWidth="1"/>
    <col min="24" max="24" width="24.6640625" customWidth="1"/>
    <col min="25" max="25" width="24" customWidth="1"/>
    <col min="26" max="26" width="27" customWidth="1"/>
    <col min="27" max="27" width="13.5" customWidth="1"/>
    <col min="28" max="28" width="14.6640625" customWidth="1"/>
    <col min="29" max="29" width="14.83203125" customWidth="1"/>
    <col min="30" max="30" width="26.6640625" customWidth="1"/>
    <col min="31" max="31" width="35.5" customWidth="1"/>
    <col min="32" max="32" width="31.83203125" customWidth="1"/>
    <col min="33" max="33" width="20.6640625" customWidth="1"/>
    <col min="34" max="34" width="10.5" customWidth="1"/>
    <col min="35" max="35" width="16.5" customWidth="1"/>
    <col min="36" max="36" width="12" customWidth="1"/>
    <col min="37" max="38" width="12.5" customWidth="1"/>
    <col min="39" max="40" width="12.83203125" customWidth="1"/>
    <col min="41" max="41" width="17" customWidth="1"/>
    <col min="42" max="42" width="31.1640625" customWidth="1"/>
  </cols>
  <sheetData>
    <row r="1" spans="1:42" ht="17" x14ac:dyDescent="0.15">
      <c r="A1" s="6" t="s">
        <v>14</v>
      </c>
      <c r="B1" s="6"/>
      <c r="C1" s="6"/>
      <c r="D1" s="6"/>
      <c r="E1" s="6" t="s">
        <v>15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 t="s">
        <v>166</v>
      </c>
      <c r="W1" s="6"/>
      <c r="X1" s="6"/>
      <c r="Y1" s="6"/>
      <c r="Z1" s="6"/>
      <c r="AA1" s="6" t="s">
        <v>167</v>
      </c>
      <c r="AB1" s="6"/>
      <c r="AC1" s="6"/>
      <c r="AD1" s="6"/>
      <c r="AE1" s="6"/>
      <c r="AF1" s="6"/>
      <c r="AG1" s="6"/>
      <c r="AH1" s="6"/>
      <c r="AI1" s="6"/>
      <c r="AJ1" s="6"/>
      <c r="AK1" s="6" t="s">
        <v>64</v>
      </c>
      <c r="AL1" s="6"/>
      <c r="AM1" s="6"/>
      <c r="AN1" s="6"/>
      <c r="AO1" s="6"/>
      <c r="AP1" s="6"/>
    </row>
    <row r="2" spans="1:42" ht="16" x14ac:dyDescent="0.15">
      <c r="A2" s="7"/>
      <c r="B2" s="7"/>
      <c r="C2" s="7"/>
      <c r="D2" s="7"/>
      <c r="E2" s="7" t="s">
        <v>22</v>
      </c>
      <c r="F2" s="7"/>
      <c r="G2" s="7"/>
      <c r="H2" s="7"/>
      <c r="I2" s="7"/>
      <c r="J2" s="7"/>
      <c r="K2" s="7"/>
      <c r="L2" s="7" t="s">
        <v>25</v>
      </c>
      <c r="M2" s="7"/>
      <c r="N2" s="2" t="s">
        <v>26</v>
      </c>
      <c r="O2" s="7" t="s">
        <v>33</v>
      </c>
      <c r="P2" s="7"/>
      <c r="Q2" s="7"/>
      <c r="R2" s="7"/>
      <c r="S2" s="7"/>
      <c r="T2" s="7"/>
      <c r="U2" s="2" t="s">
        <v>34</v>
      </c>
      <c r="V2" s="7" t="s">
        <v>22</v>
      </c>
      <c r="W2" s="7"/>
      <c r="X2" s="7"/>
      <c r="Y2" s="2" t="s">
        <v>25</v>
      </c>
      <c r="Z2" s="2" t="s">
        <v>34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x14ac:dyDescent="0.15">
      <c r="A3" s="1" t="s">
        <v>4</v>
      </c>
      <c r="B3" s="1" t="s">
        <v>14</v>
      </c>
      <c r="C3" s="1" t="s">
        <v>12</v>
      </c>
      <c r="D3" s="1" t="s">
        <v>165</v>
      </c>
      <c r="E3" s="1" t="s">
        <v>16</v>
      </c>
      <c r="F3" s="1" t="s">
        <v>17</v>
      </c>
      <c r="G3" s="1" t="s">
        <v>18</v>
      </c>
      <c r="H3" s="1" t="s">
        <v>19</v>
      </c>
      <c r="I3" s="8" t="s">
        <v>20</v>
      </c>
      <c r="J3" s="8"/>
      <c r="K3" s="1" t="s">
        <v>21</v>
      </c>
      <c r="L3" s="1" t="s">
        <v>23</v>
      </c>
      <c r="M3" s="1" t="s">
        <v>24</v>
      </c>
      <c r="N3" s="1" t="s">
        <v>27</v>
      </c>
      <c r="O3" s="8" t="s">
        <v>28</v>
      </c>
      <c r="P3" s="8"/>
      <c r="Q3" s="8" t="s">
        <v>29</v>
      </c>
      <c r="R3" s="8"/>
      <c r="S3" s="8" t="s">
        <v>30</v>
      </c>
      <c r="T3" s="8"/>
      <c r="U3" s="1" t="s">
        <v>35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  <c r="AA3" s="1" t="s">
        <v>168</v>
      </c>
      <c r="AB3" s="1" t="s">
        <v>169</v>
      </c>
      <c r="AC3" s="1" t="s">
        <v>170</v>
      </c>
      <c r="AD3" s="1" t="s">
        <v>171</v>
      </c>
      <c r="AE3" s="1" t="s">
        <v>172</v>
      </c>
      <c r="AF3" s="1" t="s">
        <v>52</v>
      </c>
      <c r="AG3" s="1" t="s">
        <v>56</v>
      </c>
      <c r="AH3" s="1" t="s">
        <v>173</v>
      </c>
      <c r="AI3" s="1" t="s">
        <v>174</v>
      </c>
      <c r="AJ3" s="1" t="s">
        <v>63</v>
      </c>
      <c r="AK3" s="8" t="s">
        <v>65</v>
      </c>
      <c r="AL3" s="8"/>
      <c r="AM3" s="8" t="s">
        <v>66</v>
      </c>
      <c r="AN3" s="8"/>
      <c r="AO3" s="1" t="s">
        <v>68</v>
      </c>
      <c r="AP3" s="1" t="s">
        <v>69</v>
      </c>
    </row>
    <row r="4" spans="1:42" x14ac:dyDescent="0.15">
      <c r="A4" s="4" t="str">
        <f>HYPERLINK("https://ibp.a2mac1.com/costing(costing:projects/details/9760/process/12082354)","Process")</f>
        <v>Process</v>
      </c>
      <c r="B4" t="s">
        <v>175</v>
      </c>
      <c r="C4">
        <v>12082354</v>
      </c>
      <c r="D4">
        <v>8410608</v>
      </c>
      <c r="E4">
        <v>0</v>
      </c>
      <c r="F4">
        <v>0</v>
      </c>
      <c r="G4">
        <v>0</v>
      </c>
      <c r="H4">
        <v>0</v>
      </c>
      <c r="I4" t="s">
        <v>176</v>
      </c>
      <c r="J4">
        <v>0</v>
      </c>
      <c r="K4">
        <v>0</v>
      </c>
      <c r="L4">
        <v>0.20638417849012566</v>
      </c>
      <c r="M4">
        <v>0.72234462471543981</v>
      </c>
      <c r="N4">
        <v>0.72234462471543981</v>
      </c>
      <c r="O4" t="s">
        <v>90</v>
      </c>
      <c r="P4">
        <v>0</v>
      </c>
      <c r="Q4" t="s">
        <v>90</v>
      </c>
      <c r="R4">
        <v>0</v>
      </c>
      <c r="S4" t="s">
        <v>90</v>
      </c>
      <c r="T4">
        <v>0</v>
      </c>
      <c r="U4">
        <v>0.72234462471543981</v>
      </c>
      <c r="V4">
        <v>0</v>
      </c>
      <c r="W4">
        <v>0</v>
      </c>
      <c r="X4">
        <v>0</v>
      </c>
      <c r="Y4">
        <v>0</v>
      </c>
      <c r="Z4">
        <v>0</v>
      </c>
      <c r="AA4">
        <v>56.5</v>
      </c>
      <c r="AB4">
        <v>1</v>
      </c>
      <c r="AC4">
        <v>0</v>
      </c>
      <c r="AD4">
        <v>0</v>
      </c>
      <c r="AE4">
        <v>10800</v>
      </c>
      <c r="AF4">
        <v>200000</v>
      </c>
      <c r="AG4">
        <v>10000</v>
      </c>
      <c r="AH4">
        <v>1</v>
      </c>
      <c r="AI4">
        <v>1</v>
      </c>
      <c r="AJ4" t="s">
        <v>76</v>
      </c>
      <c r="AK4" t="s">
        <v>176</v>
      </c>
      <c r="AL4">
        <v>0</v>
      </c>
      <c r="AM4" t="s">
        <v>176</v>
      </c>
      <c r="AN4">
        <v>0</v>
      </c>
    </row>
    <row r="5" spans="1:42" x14ac:dyDescent="0.15">
      <c r="A5" s="4" t="str">
        <f>HYPERLINK("https://ibp.a2mac1.com/costing(costing:projects/details/9760/process/12082468)","Process")</f>
        <v>Process</v>
      </c>
      <c r="B5" t="s">
        <v>265</v>
      </c>
      <c r="C5">
        <v>12082468</v>
      </c>
      <c r="D5">
        <v>8410893</v>
      </c>
      <c r="E5">
        <v>7.4915360099999999</v>
      </c>
      <c r="F5">
        <v>0</v>
      </c>
      <c r="G5">
        <v>0</v>
      </c>
      <c r="H5">
        <v>5.5493969190519996</v>
      </c>
      <c r="I5" t="s">
        <v>176</v>
      </c>
      <c r="J5">
        <v>0.29133751149999998</v>
      </c>
      <c r="K5">
        <v>13.332270440552</v>
      </c>
      <c r="L5">
        <v>20.507761656945529</v>
      </c>
      <c r="M5">
        <v>71.777165799309358</v>
      </c>
      <c r="N5">
        <v>85.109436239861353</v>
      </c>
      <c r="O5" t="s">
        <v>177</v>
      </c>
      <c r="P5">
        <v>0.79993622643312001</v>
      </c>
      <c r="Q5" t="s">
        <v>177</v>
      </c>
      <c r="R5">
        <v>4.3066299479585615</v>
      </c>
      <c r="S5" t="s">
        <v>178</v>
      </c>
      <c r="T5">
        <v>10.213132348783363</v>
      </c>
      <c r="U5">
        <v>100.4291347630364</v>
      </c>
      <c r="V5">
        <v>0</v>
      </c>
      <c r="W5">
        <v>0</v>
      </c>
      <c r="X5">
        <v>0</v>
      </c>
      <c r="Y5">
        <v>0</v>
      </c>
      <c r="Z5">
        <v>0</v>
      </c>
      <c r="AA5">
        <v>2700</v>
      </c>
      <c r="AB5">
        <v>1</v>
      </c>
      <c r="AC5">
        <v>40</v>
      </c>
      <c r="AD5">
        <v>40.000479996160031</v>
      </c>
      <c r="AE5">
        <v>6480000</v>
      </c>
      <c r="AF5">
        <v>200000</v>
      </c>
      <c r="AG5">
        <v>16666.666666666668</v>
      </c>
      <c r="AH5">
        <v>1</v>
      </c>
      <c r="AI5">
        <v>1</v>
      </c>
      <c r="AJ5" t="s">
        <v>162</v>
      </c>
      <c r="AK5" t="s">
        <v>176</v>
      </c>
      <c r="AL5">
        <v>0</v>
      </c>
      <c r="AM5" t="s">
        <v>176</v>
      </c>
      <c r="AN5">
        <v>0</v>
      </c>
    </row>
    <row r="6" spans="1:42" x14ac:dyDescent="0.15">
      <c r="A6" s="4" t="str">
        <f>HYPERLINK("https://ibp.a2mac1.com/costing(costing:projects/details/9760/process/12082801)","Process")</f>
        <v>Process</v>
      </c>
      <c r="B6" t="s">
        <v>318</v>
      </c>
      <c r="C6">
        <v>12082801</v>
      </c>
      <c r="D6">
        <v>8410925</v>
      </c>
      <c r="E6">
        <v>0</v>
      </c>
      <c r="F6">
        <v>0</v>
      </c>
      <c r="G6">
        <v>0</v>
      </c>
      <c r="H6">
        <v>0</v>
      </c>
      <c r="I6" t="s">
        <v>176</v>
      </c>
      <c r="J6">
        <v>0</v>
      </c>
      <c r="K6">
        <v>0</v>
      </c>
      <c r="L6">
        <v>21.669181633170059</v>
      </c>
      <c r="M6">
        <v>75.8421357160952</v>
      </c>
      <c r="N6">
        <v>75.8421357160952</v>
      </c>
      <c r="O6" t="s">
        <v>90</v>
      </c>
      <c r="P6">
        <v>0</v>
      </c>
      <c r="Q6" t="s">
        <v>90</v>
      </c>
      <c r="R6">
        <v>0</v>
      </c>
      <c r="S6" t="s">
        <v>90</v>
      </c>
      <c r="T6">
        <v>0</v>
      </c>
      <c r="U6">
        <v>75.8421357160952</v>
      </c>
      <c r="V6">
        <v>0</v>
      </c>
      <c r="W6">
        <v>0</v>
      </c>
      <c r="X6">
        <v>0</v>
      </c>
      <c r="Y6">
        <v>0</v>
      </c>
      <c r="Z6">
        <v>0</v>
      </c>
      <c r="AA6">
        <v>9494</v>
      </c>
      <c r="AB6">
        <v>1</v>
      </c>
      <c r="AC6">
        <v>10</v>
      </c>
      <c r="AD6">
        <v>10.007199424046076</v>
      </c>
      <c r="AE6">
        <v>126</v>
      </c>
      <c r="AF6">
        <v>200000</v>
      </c>
      <c r="AG6">
        <v>10000</v>
      </c>
      <c r="AH6">
        <v>1</v>
      </c>
      <c r="AI6">
        <v>1</v>
      </c>
      <c r="AJ6" t="s">
        <v>76</v>
      </c>
      <c r="AK6" t="s">
        <v>176</v>
      </c>
      <c r="AL6">
        <v>0</v>
      </c>
      <c r="AM6" t="s">
        <v>176</v>
      </c>
      <c r="AN6">
        <v>0</v>
      </c>
    </row>
    <row r="7" spans="1:42" x14ac:dyDescent="0.15">
      <c r="A7" s="4" t="str">
        <f>HYPERLINK("https://ibp.a2mac1.com/costing(costing:projects/details/9760/process/12082802)","Process")</f>
        <v>Process</v>
      </c>
      <c r="B7" t="s">
        <v>318</v>
      </c>
      <c r="C7">
        <v>12082802</v>
      </c>
      <c r="D7">
        <v>8410926</v>
      </c>
      <c r="E7">
        <v>0</v>
      </c>
      <c r="F7">
        <v>0</v>
      </c>
      <c r="G7">
        <v>0</v>
      </c>
      <c r="H7">
        <v>0</v>
      </c>
      <c r="I7" t="s">
        <v>176</v>
      </c>
      <c r="J7">
        <v>0</v>
      </c>
      <c r="K7">
        <v>0</v>
      </c>
      <c r="L7">
        <v>4.9574158691492167</v>
      </c>
      <c r="M7">
        <v>17.350955542022259</v>
      </c>
      <c r="N7">
        <v>17.350955542022259</v>
      </c>
      <c r="O7" t="s">
        <v>90</v>
      </c>
      <c r="P7">
        <v>0</v>
      </c>
      <c r="Q7" t="s">
        <v>90</v>
      </c>
      <c r="R7">
        <v>0</v>
      </c>
      <c r="S7" t="s">
        <v>90</v>
      </c>
      <c r="T7">
        <v>0</v>
      </c>
      <c r="U7">
        <v>17.350955542022259</v>
      </c>
      <c r="V7">
        <v>0</v>
      </c>
      <c r="W7">
        <v>0</v>
      </c>
      <c r="X7">
        <v>0</v>
      </c>
      <c r="Y7">
        <v>0</v>
      </c>
      <c r="Z7">
        <v>0</v>
      </c>
      <c r="AA7">
        <v>2172</v>
      </c>
      <c r="AB7">
        <v>1</v>
      </c>
      <c r="AC7">
        <v>10</v>
      </c>
      <c r="AD7">
        <v>10.007199424046076</v>
      </c>
      <c r="AE7">
        <v>126</v>
      </c>
      <c r="AF7">
        <v>200000</v>
      </c>
      <c r="AG7">
        <v>10000</v>
      </c>
      <c r="AH7">
        <v>1</v>
      </c>
      <c r="AI7">
        <v>1</v>
      </c>
      <c r="AJ7" t="s">
        <v>76</v>
      </c>
      <c r="AK7" t="s">
        <v>176</v>
      </c>
      <c r="AL7">
        <v>0</v>
      </c>
      <c r="AM7" t="s">
        <v>176</v>
      </c>
      <c r="AN7">
        <v>0</v>
      </c>
    </row>
    <row r="8" spans="1:42" x14ac:dyDescent="0.15">
      <c r="A8" s="4" t="str">
        <f>HYPERLINK("https://ibp.a2mac1.com/costing(costing:projects/details/9760/process/12082803)","Process")</f>
        <v>Process</v>
      </c>
      <c r="B8" t="s">
        <v>318</v>
      </c>
      <c r="C8">
        <v>12082803</v>
      </c>
      <c r="D8">
        <v>8410927</v>
      </c>
      <c r="E8">
        <v>0</v>
      </c>
      <c r="F8">
        <v>0</v>
      </c>
      <c r="G8">
        <v>0</v>
      </c>
      <c r="H8">
        <v>0</v>
      </c>
      <c r="I8" t="s">
        <v>176</v>
      </c>
      <c r="J8">
        <v>0</v>
      </c>
      <c r="K8">
        <v>0</v>
      </c>
      <c r="L8">
        <v>0.10045908878369535</v>
      </c>
      <c r="M8">
        <v>0.35160681074293371</v>
      </c>
      <c r="N8">
        <v>0.35160681074293371</v>
      </c>
      <c r="O8" t="s">
        <v>90</v>
      </c>
      <c r="P8">
        <v>0</v>
      </c>
      <c r="Q8" t="s">
        <v>90</v>
      </c>
      <c r="R8">
        <v>0</v>
      </c>
      <c r="S8" t="s">
        <v>90</v>
      </c>
      <c r="T8">
        <v>0</v>
      </c>
      <c r="U8">
        <v>0.35160681074293371</v>
      </c>
      <c r="V8">
        <v>0</v>
      </c>
      <c r="W8">
        <v>0</v>
      </c>
      <c r="X8">
        <v>0</v>
      </c>
      <c r="Y8">
        <v>0</v>
      </c>
      <c r="Z8">
        <v>0</v>
      </c>
      <c r="AA8">
        <v>44</v>
      </c>
      <c r="AB8">
        <v>1</v>
      </c>
      <c r="AC8">
        <v>10</v>
      </c>
      <c r="AD8">
        <v>10.007199424046076</v>
      </c>
      <c r="AE8">
        <v>126</v>
      </c>
      <c r="AF8">
        <v>200000</v>
      </c>
      <c r="AG8">
        <v>10000</v>
      </c>
      <c r="AH8">
        <v>1</v>
      </c>
      <c r="AI8">
        <v>1</v>
      </c>
      <c r="AJ8" t="s">
        <v>76</v>
      </c>
      <c r="AK8" t="s">
        <v>176</v>
      </c>
      <c r="AL8">
        <v>0</v>
      </c>
      <c r="AM8" t="s">
        <v>176</v>
      </c>
      <c r="AN8">
        <v>0</v>
      </c>
    </row>
    <row r="9" spans="1:42" x14ac:dyDescent="0.15">
      <c r="A9" s="4" t="str">
        <f>HYPERLINK("https://ibp.a2mac1.com/costing(costing:projects/details/9760/process/12082804)","Process")</f>
        <v>Process</v>
      </c>
      <c r="B9" t="s">
        <v>318</v>
      </c>
      <c r="C9">
        <v>12082804</v>
      </c>
      <c r="D9">
        <v>8410928</v>
      </c>
      <c r="E9">
        <v>0</v>
      </c>
      <c r="F9">
        <v>0</v>
      </c>
      <c r="G9">
        <v>0</v>
      </c>
      <c r="H9">
        <v>0</v>
      </c>
      <c r="I9" t="s">
        <v>176</v>
      </c>
      <c r="J9">
        <v>0</v>
      </c>
      <c r="K9">
        <v>0</v>
      </c>
      <c r="L9">
        <v>0.8285461249381133</v>
      </c>
      <c r="M9">
        <v>2.8999114372833965</v>
      </c>
      <c r="N9">
        <v>2.8999114372833965</v>
      </c>
      <c r="O9" t="s">
        <v>90</v>
      </c>
      <c r="P9">
        <v>0</v>
      </c>
      <c r="Q9" t="s">
        <v>90</v>
      </c>
      <c r="R9">
        <v>0</v>
      </c>
      <c r="S9" t="s">
        <v>90</v>
      </c>
      <c r="T9">
        <v>0</v>
      </c>
      <c r="U9">
        <v>2.8999114372833965</v>
      </c>
      <c r="V9">
        <v>0</v>
      </c>
      <c r="W9">
        <v>0</v>
      </c>
      <c r="X9">
        <v>0</v>
      </c>
      <c r="Y9">
        <v>0</v>
      </c>
      <c r="Z9">
        <v>0</v>
      </c>
      <c r="AA9">
        <v>363</v>
      </c>
      <c r="AB9">
        <v>1</v>
      </c>
      <c r="AC9">
        <v>10</v>
      </c>
      <c r="AD9">
        <v>10.007199424046076</v>
      </c>
      <c r="AE9">
        <v>126</v>
      </c>
      <c r="AF9">
        <v>200000</v>
      </c>
      <c r="AG9">
        <v>10000</v>
      </c>
      <c r="AH9">
        <v>1</v>
      </c>
      <c r="AI9">
        <v>1</v>
      </c>
      <c r="AJ9" t="s">
        <v>76</v>
      </c>
      <c r="AK9" t="s">
        <v>176</v>
      </c>
      <c r="AL9">
        <v>0</v>
      </c>
      <c r="AM9" t="s">
        <v>176</v>
      </c>
      <c r="AN9">
        <v>0</v>
      </c>
    </row>
    <row r="10" spans="1:42" x14ac:dyDescent="0.15">
      <c r="A10" s="4" t="str">
        <f>HYPERLINK("https://ibp.a2mac1.com/costing(costing:projects/details/9760/process/12082805)","Process")</f>
        <v>Process</v>
      </c>
      <c r="B10" t="s">
        <v>318</v>
      </c>
      <c r="C10">
        <v>12082805</v>
      </c>
      <c r="D10">
        <v>8410929</v>
      </c>
      <c r="E10">
        <v>0</v>
      </c>
      <c r="F10">
        <v>0</v>
      </c>
      <c r="G10">
        <v>0</v>
      </c>
      <c r="H10">
        <v>0</v>
      </c>
      <c r="I10" t="s">
        <v>176</v>
      </c>
      <c r="J10">
        <v>0</v>
      </c>
      <c r="K10">
        <v>0</v>
      </c>
      <c r="L10">
        <v>1.887581813889994</v>
      </c>
      <c r="M10">
        <v>6.6065363486149788</v>
      </c>
      <c r="N10">
        <v>6.6065363486149788</v>
      </c>
      <c r="O10" t="s">
        <v>90</v>
      </c>
      <c r="P10">
        <v>0</v>
      </c>
      <c r="Q10" t="s">
        <v>90</v>
      </c>
      <c r="R10">
        <v>0</v>
      </c>
      <c r="S10" t="s">
        <v>90</v>
      </c>
      <c r="T10">
        <v>0</v>
      </c>
      <c r="U10">
        <v>6.6065363486149788</v>
      </c>
      <c r="V10">
        <v>0</v>
      </c>
      <c r="W10">
        <v>0</v>
      </c>
      <c r="X10">
        <v>0</v>
      </c>
      <c r="Y10">
        <v>0</v>
      </c>
      <c r="Z10">
        <v>0</v>
      </c>
      <c r="AA10">
        <v>827</v>
      </c>
      <c r="AB10">
        <v>1</v>
      </c>
      <c r="AC10">
        <v>10</v>
      </c>
      <c r="AD10">
        <v>10.007199424046076</v>
      </c>
      <c r="AE10">
        <v>126</v>
      </c>
      <c r="AF10">
        <v>200000</v>
      </c>
      <c r="AG10">
        <v>10000</v>
      </c>
      <c r="AH10">
        <v>1</v>
      </c>
      <c r="AI10">
        <v>1</v>
      </c>
      <c r="AJ10" t="s">
        <v>76</v>
      </c>
      <c r="AK10" t="s">
        <v>176</v>
      </c>
      <c r="AL10">
        <v>0</v>
      </c>
      <c r="AM10" t="s">
        <v>176</v>
      </c>
      <c r="AN10">
        <v>0</v>
      </c>
    </row>
    <row r="11" spans="1:42" x14ac:dyDescent="0.15">
      <c r="A11" s="4" t="str">
        <f>HYPERLINK("https://ibp.a2mac1.com/costing(costing:projects/details/9760/process/12082806)","Process")</f>
        <v>Process</v>
      </c>
      <c r="B11" t="s">
        <v>318</v>
      </c>
      <c r="C11">
        <v>12082806</v>
      </c>
      <c r="D11">
        <v>8410930</v>
      </c>
      <c r="E11">
        <v>0</v>
      </c>
      <c r="F11">
        <v>0</v>
      </c>
      <c r="G11">
        <v>0</v>
      </c>
      <c r="H11">
        <v>0</v>
      </c>
      <c r="I11" t="s">
        <v>176</v>
      </c>
      <c r="J11">
        <v>0</v>
      </c>
      <c r="K11">
        <v>0</v>
      </c>
      <c r="L11">
        <v>0.20314150498150846</v>
      </c>
      <c r="M11">
        <v>0.71099526743527963</v>
      </c>
      <c r="N11">
        <v>0.71099526743527963</v>
      </c>
      <c r="O11" t="s">
        <v>90</v>
      </c>
      <c r="P11">
        <v>0</v>
      </c>
      <c r="Q11" t="s">
        <v>90</v>
      </c>
      <c r="R11">
        <v>0</v>
      </c>
      <c r="S11" t="s">
        <v>90</v>
      </c>
      <c r="T11">
        <v>0</v>
      </c>
      <c r="U11">
        <v>0.71099526743527963</v>
      </c>
      <c r="V11">
        <v>0</v>
      </c>
      <c r="W11">
        <v>0</v>
      </c>
      <c r="X11">
        <v>0</v>
      </c>
      <c r="Y11">
        <v>0</v>
      </c>
      <c r="Z11">
        <v>0</v>
      </c>
      <c r="AA11">
        <v>89</v>
      </c>
      <c r="AB11">
        <v>1</v>
      </c>
      <c r="AC11">
        <v>10</v>
      </c>
      <c r="AD11">
        <v>10.003149889753859</v>
      </c>
      <c r="AE11">
        <v>126</v>
      </c>
      <c r="AF11">
        <v>400000</v>
      </c>
      <c r="AG11">
        <v>20000</v>
      </c>
      <c r="AH11">
        <v>1</v>
      </c>
      <c r="AI11">
        <v>1</v>
      </c>
      <c r="AJ11" t="s">
        <v>76</v>
      </c>
      <c r="AK11" t="s">
        <v>176</v>
      </c>
      <c r="AL11">
        <v>0</v>
      </c>
      <c r="AM11" t="s">
        <v>176</v>
      </c>
      <c r="AN11">
        <v>0</v>
      </c>
    </row>
    <row r="12" spans="1:42" x14ac:dyDescent="0.15">
      <c r="A12" s="4" t="str">
        <f>HYPERLINK("https://ibp.a2mac1.com/costing(costing:projects/details/9760/process/12082807)","Process")</f>
        <v>Process</v>
      </c>
      <c r="B12" t="s">
        <v>318</v>
      </c>
      <c r="C12">
        <v>12082807</v>
      </c>
      <c r="D12">
        <v>8410931</v>
      </c>
      <c r="E12">
        <v>0</v>
      </c>
      <c r="F12">
        <v>0</v>
      </c>
      <c r="G12">
        <v>0</v>
      </c>
      <c r="H12">
        <v>0</v>
      </c>
      <c r="I12" t="s">
        <v>176</v>
      </c>
      <c r="J12">
        <v>0</v>
      </c>
      <c r="K12">
        <v>0</v>
      </c>
      <c r="L12">
        <v>0.40401888755654042</v>
      </c>
      <c r="M12">
        <v>1.4140661064478917</v>
      </c>
      <c r="N12">
        <v>1.4140661064478917</v>
      </c>
      <c r="O12" t="s">
        <v>90</v>
      </c>
      <c r="P12">
        <v>0</v>
      </c>
      <c r="Q12" t="s">
        <v>90</v>
      </c>
      <c r="R12">
        <v>0</v>
      </c>
      <c r="S12" t="s">
        <v>90</v>
      </c>
      <c r="T12">
        <v>0</v>
      </c>
      <c r="U12">
        <v>1.4140661064478917</v>
      </c>
      <c r="V12">
        <v>0</v>
      </c>
      <c r="W12">
        <v>0</v>
      </c>
      <c r="X12">
        <v>0</v>
      </c>
      <c r="Y12">
        <v>0</v>
      </c>
      <c r="Z12">
        <v>0</v>
      </c>
      <c r="AA12">
        <v>177</v>
      </c>
      <c r="AB12">
        <v>1</v>
      </c>
      <c r="AC12">
        <v>10</v>
      </c>
      <c r="AD12">
        <v>10.007199424046076</v>
      </c>
      <c r="AE12">
        <v>126</v>
      </c>
      <c r="AF12">
        <v>200000</v>
      </c>
      <c r="AG12">
        <v>10000</v>
      </c>
      <c r="AH12">
        <v>1</v>
      </c>
      <c r="AI12">
        <v>1</v>
      </c>
      <c r="AJ12" t="s">
        <v>76</v>
      </c>
      <c r="AK12" t="s">
        <v>176</v>
      </c>
      <c r="AL12">
        <v>0</v>
      </c>
      <c r="AM12" t="s">
        <v>176</v>
      </c>
      <c r="AN12">
        <v>0</v>
      </c>
    </row>
    <row r="13" spans="1:42" x14ac:dyDescent="0.15">
      <c r="A13" s="4" t="str">
        <f>HYPERLINK("https://ibp.a2mac1.com/costing(costing:projects/details/9760/process/12082808)","Process")</f>
        <v>Process</v>
      </c>
      <c r="B13" t="s">
        <v>318</v>
      </c>
      <c r="C13">
        <v>12082808</v>
      </c>
      <c r="D13">
        <v>8410932</v>
      </c>
      <c r="E13">
        <v>0</v>
      </c>
      <c r="F13">
        <v>0</v>
      </c>
      <c r="G13">
        <v>0</v>
      </c>
      <c r="H13">
        <v>0</v>
      </c>
      <c r="I13" t="s">
        <v>176</v>
      </c>
      <c r="J13">
        <v>0</v>
      </c>
      <c r="K13">
        <v>0</v>
      </c>
      <c r="L13">
        <v>1.4379481269858549</v>
      </c>
      <c r="M13">
        <v>5.0328184444504922</v>
      </c>
      <c r="N13">
        <v>5.0328184444504922</v>
      </c>
      <c r="O13" t="s">
        <v>90</v>
      </c>
      <c r="P13">
        <v>0</v>
      </c>
      <c r="Q13" t="s">
        <v>90</v>
      </c>
      <c r="R13">
        <v>0</v>
      </c>
      <c r="S13" t="s">
        <v>90</v>
      </c>
      <c r="T13">
        <v>0</v>
      </c>
      <c r="U13">
        <v>5.0328184444504922</v>
      </c>
      <c r="V13">
        <v>0</v>
      </c>
      <c r="W13">
        <v>0</v>
      </c>
      <c r="X13">
        <v>0</v>
      </c>
      <c r="Y13">
        <v>0</v>
      </c>
      <c r="Z13">
        <v>0</v>
      </c>
      <c r="AA13">
        <v>630</v>
      </c>
      <c r="AB13">
        <v>1</v>
      </c>
      <c r="AC13">
        <v>10</v>
      </c>
      <c r="AD13">
        <v>10.007199424046076</v>
      </c>
      <c r="AE13">
        <v>126</v>
      </c>
      <c r="AF13">
        <v>200000</v>
      </c>
      <c r="AG13">
        <v>10000</v>
      </c>
      <c r="AH13">
        <v>1</v>
      </c>
      <c r="AI13">
        <v>1</v>
      </c>
      <c r="AJ13" t="s">
        <v>76</v>
      </c>
      <c r="AK13" t="s">
        <v>176</v>
      </c>
      <c r="AL13">
        <v>0</v>
      </c>
      <c r="AM13" t="s">
        <v>176</v>
      </c>
      <c r="AN13">
        <v>0</v>
      </c>
    </row>
    <row r="14" spans="1:42" x14ac:dyDescent="0.15">
      <c r="A14" s="4" t="str">
        <f>HYPERLINK("https://ibp.a2mac1.com/costing(costing:projects/details/9760/process/12082809)","Process")</f>
        <v>Process</v>
      </c>
      <c r="B14" t="s">
        <v>318</v>
      </c>
      <c r="C14">
        <v>12082809</v>
      </c>
      <c r="D14">
        <v>8410933</v>
      </c>
      <c r="E14">
        <v>0</v>
      </c>
      <c r="F14">
        <v>0</v>
      </c>
      <c r="G14">
        <v>0</v>
      </c>
      <c r="H14">
        <v>0</v>
      </c>
      <c r="I14" t="s">
        <v>176</v>
      </c>
      <c r="J14">
        <v>0</v>
      </c>
      <c r="K14">
        <v>0</v>
      </c>
      <c r="L14">
        <v>4.5662680639032185E-2</v>
      </c>
      <c r="M14">
        <v>0.15981938223661266</v>
      </c>
      <c r="N14">
        <v>0.15981938223661266</v>
      </c>
      <c r="O14" t="s">
        <v>90</v>
      </c>
      <c r="P14">
        <v>0</v>
      </c>
      <c r="Q14" t="s">
        <v>90</v>
      </c>
      <c r="R14">
        <v>0</v>
      </c>
      <c r="S14" t="s">
        <v>90</v>
      </c>
      <c r="T14">
        <v>0</v>
      </c>
      <c r="U14">
        <v>0.15981938223661266</v>
      </c>
      <c r="V14">
        <v>0</v>
      </c>
      <c r="W14">
        <v>0</v>
      </c>
      <c r="X14">
        <v>0</v>
      </c>
      <c r="Y14">
        <v>0</v>
      </c>
      <c r="Z14">
        <v>0</v>
      </c>
      <c r="AA14">
        <v>20</v>
      </c>
      <c r="AB14">
        <v>1</v>
      </c>
      <c r="AC14">
        <v>10</v>
      </c>
      <c r="AD14">
        <v>10.003149889753859</v>
      </c>
      <c r="AE14">
        <v>126</v>
      </c>
      <c r="AF14">
        <v>400000</v>
      </c>
      <c r="AG14">
        <v>20000</v>
      </c>
      <c r="AH14">
        <v>1</v>
      </c>
      <c r="AI14">
        <v>1</v>
      </c>
      <c r="AJ14" t="s">
        <v>76</v>
      </c>
      <c r="AK14" t="s">
        <v>176</v>
      </c>
      <c r="AL14">
        <v>0</v>
      </c>
      <c r="AM14" t="s">
        <v>176</v>
      </c>
      <c r="AN14">
        <v>0</v>
      </c>
    </row>
    <row r="15" spans="1:42" x14ac:dyDescent="0.15">
      <c r="A15" s="4" t="str">
        <f>HYPERLINK("https://ibp.a2mac1.com/costing(costing:projects/details/9760/process/12082810)","Process")</f>
        <v>Process</v>
      </c>
      <c r="B15" t="s">
        <v>318</v>
      </c>
      <c r="C15">
        <v>12082810</v>
      </c>
      <c r="D15">
        <v>8410934</v>
      </c>
      <c r="E15">
        <v>0</v>
      </c>
      <c r="F15">
        <v>0</v>
      </c>
      <c r="G15">
        <v>0</v>
      </c>
      <c r="H15">
        <v>0</v>
      </c>
      <c r="I15" t="s">
        <v>176</v>
      </c>
      <c r="J15">
        <v>0</v>
      </c>
      <c r="K15">
        <v>0</v>
      </c>
      <c r="L15">
        <v>3.1986953722151337E-2</v>
      </c>
      <c r="M15">
        <v>0.11195433802752969</v>
      </c>
      <c r="N15">
        <v>0.11195433802752969</v>
      </c>
      <c r="O15" t="s">
        <v>90</v>
      </c>
      <c r="P15">
        <v>0</v>
      </c>
      <c r="Q15" t="s">
        <v>90</v>
      </c>
      <c r="R15">
        <v>0</v>
      </c>
      <c r="S15" t="s">
        <v>90</v>
      </c>
      <c r="T15">
        <v>0</v>
      </c>
      <c r="U15">
        <v>0.11195433802752969</v>
      </c>
      <c r="V15">
        <v>0</v>
      </c>
      <c r="W15">
        <v>0</v>
      </c>
      <c r="X15">
        <v>0</v>
      </c>
      <c r="Y15">
        <v>0</v>
      </c>
      <c r="Z15">
        <v>0</v>
      </c>
      <c r="AA15">
        <v>14</v>
      </c>
      <c r="AB15">
        <v>1</v>
      </c>
      <c r="AC15">
        <v>10</v>
      </c>
      <c r="AD15">
        <v>10.007199424046076</v>
      </c>
      <c r="AE15">
        <v>126</v>
      </c>
      <c r="AF15">
        <v>200000</v>
      </c>
      <c r="AG15">
        <v>10000</v>
      </c>
      <c r="AH15">
        <v>1</v>
      </c>
      <c r="AI15">
        <v>1</v>
      </c>
      <c r="AJ15" t="s">
        <v>76</v>
      </c>
      <c r="AK15" t="s">
        <v>176</v>
      </c>
      <c r="AL15">
        <v>0</v>
      </c>
      <c r="AM15" t="s">
        <v>176</v>
      </c>
      <c r="AN15">
        <v>0</v>
      </c>
    </row>
    <row r="16" spans="1:42" x14ac:dyDescent="0.15">
      <c r="A16" s="4" t="str">
        <f>HYPERLINK("https://ibp.a2mac1.com/costing(costing:projects/details/9760/process/12082811)","Process")</f>
        <v>Process</v>
      </c>
      <c r="B16" t="s">
        <v>318</v>
      </c>
      <c r="C16">
        <v>12082811</v>
      </c>
      <c r="D16">
        <v>8410935</v>
      </c>
      <c r="E16">
        <v>0</v>
      </c>
      <c r="F16">
        <v>0</v>
      </c>
      <c r="G16">
        <v>0</v>
      </c>
      <c r="H16">
        <v>0</v>
      </c>
      <c r="I16" t="s">
        <v>176</v>
      </c>
      <c r="J16">
        <v>0</v>
      </c>
      <c r="K16">
        <v>0</v>
      </c>
      <c r="L16">
        <v>0.35608839301345963</v>
      </c>
      <c r="M16">
        <v>1.2463093755471086</v>
      </c>
      <c r="N16">
        <v>1.2463093755471086</v>
      </c>
      <c r="O16" t="s">
        <v>90</v>
      </c>
      <c r="P16">
        <v>0</v>
      </c>
      <c r="Q16" t="s">
        <v>90</v>
      </c>
      <c r="R16">
        <v>0</v>
      </c>
      <c r="S16" t="s">
        <v>90</v>
      </c>
      <c r="T16">
        <v>0</v>
      </c>
      <c r="U16">
        <v>1.2463093755471086</v>
      </c>
      <c r="V16">
        <v>0</v>
      </c>
      <c r="W16">
        <v>0</v>
      </c>
      <c r="X16">
        <v>0</v>
      </c>
      <c r="Y16">
        <v>0</v>
      </c>
      <c r="Z16">
        <v>0</v>
      </c>
      <c r="AA16">
        <v>156</v>
      </c>
      <c r="AB16">
        <v>1</v>
      </c>
      <c r="AC16">
        <v>10</v>
      </c>
      <c r="AD16">
        <v>10.007199424046076</v>
      </c>
      <c r="AE16">
        <v>126</v>
      </c>
      <c r="AF16">
        <v>200000</v>
      </c>
      <c r="AG16">
        <v>10000</v>
      </c>
      <c r="AH16">
        <v>1</v>
      </c>
      <c r="AI16">
        <v>1</v>
      </c>
      <c r="AJ16" t="s">
        <v>76</v>
      </c>
      <c r="AK16" t="s">
        <v>176</v>
      </c>
      <c r="AL16">
        <v>0</v>
      </c>
      <c r="AM16" t="s">
        <v>176</v>
      </c>
      <c r="AN16">
        <v>0</v>
      </c>
    </row>
    <row r="17" spans="1:40" x14ac:dyDescent="0.15">
      <c r="A17" s="4" t="str">
        <f>HYPERLINK("https://ibp.a2mac1.com/costing(costing:projects/details/9760/process/12082812)","Process")</f>
        <v>Process</v>
      </c>
      <c r="B17" t="s">
        <v>360</v>
      </c>
      <c r="C17">
        <v>12082812</v>
      </c>
      <c r="D17">
        <v>8410937</v>
      </c>
      <c r="E17">
        <v>0</v>
      </c>
      <c r="F17">
        <v>0</v>
      </c>
      <c r="G17">
        <v>0</v>
      </c>
      <c r="H17">
        <v>0</v>
      </c>
      <c r="I17" t="s">
        <v>176</v>
      </c>
      <c r="J17">
        <v>0</v>
      </c>
      <c r="K17">
        <v>0</v>
      </c>
      <c r="L17">
        <v>7.2300771488140778E-2</v>
      </c>
      <c r="M17">
        <v>0.25305270020849274</v>
      </c>
      <c r="N17">
        <v>0.25305270020849274</v>
      </c>
      <c r="O17" t="s">
        <v>90</v>
      </c>
      <c r="P17">
        <v>0</v>
      </c>
      <c r="Q17" t="s">
        <v>90</v>
      </c>
      <c r="R17">
        <v>0</v>
      </c>
      <c r="S17" t="s">
        <v>90</v>
      </c>
      <c r="T17">
        <v>0</v>
      </c>
      <c r="U17">
        <v>0.25305270020849274</v>
      </c>
      <c r="V17">
        <v>0</v>
      </c>
      <c r="W17">
        <v>0</v>
      </c>
      <c r="X17">
        <v>0</v>
      </c>
      <c r="Y17">
        <v>0</v>
      </c>
      <c r="Z17">
        <v>0</v>
      </c>
      <c r="AA17">
        <v>33.32</v>
      </c>
      <c r="AB17">
        <v>1</v>
      </c>
      <c r="AC17">
        <v>0</v>
      </c>
      <c r="AD17">
        <v>0</v>
      </c>
      <c r="AE17">
        <v>216</v>
      </c>
      <c r="AF17">
        <v>200000</v>
      </c>
      <c r="AG17">
        <v>10000</v>
      </c>
      <c r="AH17">
        <v>1</v>
      </c>
      <c r="AI17">
        <v>1</v>
      </c>
      <c r="AJ17" t="s">
        <v>76</v>
      </c>
      <c r="AK17" t="s">
        <v>176</v>
      </c>
      <c r="AL17">
        <v>0</v>
      </c>
      <c r="AM17" t="s">
        <v>176</v>
      </c>
      <c r="AN17">
        <v>0</v>
      </c>
    </row>
    <row r="18" spans="1:40" x14ac:dyDescent="0.15">
      <c r="A18" s="4" t="str">
        <f>HYPERLINK("https://ibp.a2mac1.com/costing(costing:projects/details/9760/process/12082942)","Process")</f>
        <v>Process</v>
      </c>
      <c r="B18" t="s">
        <v>360</v>
      </c>
      <c r="C18">
        <v>12082942</v>
      </c>
      <c r="D18">
        <v>8410995</v>
      </c>
      <c r="E18">
        <v>0</v>
      </c>
      <c r="F18">
        <v>0</v>
      </c>
      <c r="G18">
        <v>0</v>
      </c>
      <c r="H18">
        <v>0</v>
      </c>
      <c r="I18" t="s">
        <v>176</v>
      </c>
      <c r="J18">
        <v>0</v>
      </c>
      <c r="K18">
        <v>0</v>
      </c>
      <c r="L18">
        <v>0.63108312727799287</v>
      </c>
      <c r="M18">
        <v>2.2087909454729751</v>
      </c>
      <c r="N18">
        <v>2.2087909454729751</v>
      </c>
      <c r="O18" t="s">
        <v>90</v>
      </c>
      <c r="P18">
        <v>0</v>
      </c>
      <c r="Q18" t="s">
        <v>90</v>
      </c>
      <c r="R18">
        <v>0</v>
      </c>
      <c r="S18" t="s">
        <v>90</v>
      </c>
      <c r="T18">
        <v>0</v>
      </c>
      <c r="U18">
        <v>2.2087909454729751</v>
      </c>
      <c r="V18">
        <v>0</v>
      </c>
      <c r="W18">
        <v>0</v>
      </c>
      <c r="X18">
        <v>0</v>
      </c>
      <c r="Y18">
        <v>0</v>
      </c>
      <c r="Z18">
        <v>0</v>
      </c>
      <c r="AA18">
        <v>291</v>
      </c>
      <c r="AB18">
        <v>1</v>
      </c>
      <c r="AC18">
        <v>0</v>
      </c>
      <c r="AD18">
        <v>0</v>
      </c>
      <c r="AE18">
        <v>216</v>
      </c>
      <c r="AF18">
        <v>200000</v>
      </c>
      <c r="AG18">
        <v>10000</v>
      </c>
      <c r="AH18">
        <v>1</v>
      </c>
      <c r="AI18">
        <v>1</v>
      </c>
      <c r="AJ18" t="s">
        <v>76</v>
      </c>
      <c r="AK18" t="s">
        <v>176</v>
      </c>
      <c r="AL18">
        <v>0</v>
      </c>
      <c r="AM18" t="s">
        <v>176</v>
      </c>
      <c r="AN18">
        <v>0</v>
      </c>
    </row>
    <row r="19" spans="1:40" x14ac:dyDescent="0.15">
      <c r="A19" s="4" t="str">
        <f>HYPERLINK("https://ibp.a2mac1.com/costing(costing:projects/details/9760/process/12082943)","Process")</f>
        <v>Process</v>
      </c>
      <c r="B19" t="s">
        <v>360</v>
      </c>
      <c r="C19">
        <v>12082943</v>
      </c>
      <c r="D19">
        <v>8410996</v>
      </c>
      <c r="E19">
        <v>0</v>
      </c>
      <c r="F19">
        <v>0</v>
      </c>
      <c r="G19">
        <v>0</v>
      </c>
      <c r="H19">
        <v>0</v>
      </c>
      <c r="I19" t="s">
        <v>176</v>
      </c>
      <c r="J19">
        <v>0</v>
      </c>
      <c r="K19">
        <v>0</v>
      </c>
      <c r="L19">
        <v>0.63542015270324781</v>
      </c>
      <c r="M19">
        <v>2.2239705344613676</v>
      </c>
      <c r="N19">
        <v>2.2239705344613676</v>
      </c>
      <c r="O19" t="s">
        <v>90</v>
      </c>
      <c r="P19">
        <v>0</v>
      </c>
      <c r="Q19" t="s">
        <v>90</v>
      </c>
      <c r="R19">
        <v>0</v>
      </c>
      <c r="S19" t="s">
        <v>90</v>
      </c>
      <c r="T19">
        <v>0</v>
      </c>
      <c r="U19">
        <v>2.2239705344613676</v>
      </c>
      <c r="V19">
        <v>0</v>
      </c>
      <c r="W19">
        <v>0</v>
      </c>
      <c r="X19">
        <v>0</v>
      </c>
      <c r="Y19">
        <v>0</v>
      </c>
      <c r="Z19">
        <v>0</v>
      </c>
      <c r="AA19">
        <v>293</v>
      </c>
      <c r="AB19">
        <v>1</v>
      </c>
      <c r="AC19">
        <v>0</v>
      </c>
      <c r="AD19">
        <v>0</v>
      </c>
      <c r="AE19">
        <v>216</v>
      </c>
      <c r="AF19">
        <v>200000</v>
      </c>
      <c r="AG19">
        <v>10000</v>
      </c>
      <c r="AH19">
        <v>1</v>
      </c>
      <c r="AI19">
        <v>1</v>
      </c>
      <c r="AJ19" t="s">
        <v>76</v>
      </c>
      <c r="AK19" t="s">
        <v>176</v>
      </c>
      <c r="AL19">
        <v>0</v>
      </c>
      <c r="AM19" t="s">
        <v>176</v>
      </c>
      <c r="AN19">
        <v>0</v>
      </c>
    </row>
    <row r="20" spans="1:40" x14ac:dyDescent="0.15">
      <c r="A20" s="4" t="str">
        <f>HYPERLINK("https://ibp.a2mac1.com/costing(costing:projects/details/9760/process/12082944)","Process")</f>
        <v>Process</v>
      </c>
      <c r="B20" t="s">
        <v>360</v>
      </c>
      <c r="C20">
        <v>12082944</v>
      </c>
      <c r="D20">
        <v>8410997</v>
      </c>
      <c r="E20">
        <v>0</v>
      </c>
      <c r="F20">
        <v>0</v>
      </c>
      <c r="G20">
        <v>0</v>
      </c>
      <c r="H20">
        <v>0</v>
      </c>
      <c r="I20" t="s">
        <v>176</v>
      </c>
      <c r="J20">
        <v>0</v>
      </c>
      <c r="K20">
        <v>0</v>
      </c>
      <c r="L20">
        <v>0.91515829263219428</v>
      </c>
      <c r="M20">
        <v>3.2030540242126802</v>
      </c>
      <c r="N20">
        <v>3.2030540242126802</v>
      </c>
      <c r="O20" t="s">
        <v>90</v>
      </c>
      <c r="P20">
        <v>0</v>
      </c>
      <c r="Q20" t="s">
        <v>90</v>
      </c>
      <c r="R20">
        <v>0</v>
      </c>
      <c r="S20" t="s">
        <v>90</v>
      </c>
      <c r="T20">
        <v>0</v>
      </c>
      <c r="U20">
        <v>3.2030540242126802</v>
      </c>
      <c r="V20">
        <v>0</v>
      </c>
      <c r="W20">
        <v>0</v>
      </c>
      <c r="X20">
        <v>0</v>
      </c>
      <c r="Y20">
        <v>0</v>
      </c>
      <c r="Z20">
        <v>0</v>
      </c>
      <c r="AA20">
        <v>422</v>
      </c>
      <c r="AB20">
        <v>1</v>
      </c>
      <c r="AC20">
        <v>0</v>
      </c>
      <c r="AD20">
        <v>0</v>
      </c>
      <c r="AE20">
        <v>216</v>
      </c>
      <c r="AF20">
        <v>200000</v>
      </c>
      <c r="AG20">
        <v>10000</v>
      </c>
      <c r="AH20">
        <v>1</v>
      </c>
      <c r="AI20">
        <v>1</v>
      </c>
      <c r="AJ20" t="s">
        <v>76</v>
      </c>
      <c r="AK20" t="s">
        <v>176</v>
      </c>
      <c r="AL20">
        <v>0</v>
      </c>
      <c r="AM20" t="s">
        <v>176</v>
      </c>
      <c r="AN20">
        <v>0</v>
      </c>
    </row>
    <row r="21" spans="1:40" x14ac:dyDescent="0.15">
      <c r="A21" s="4" t="str">
        <f>HYPERLINK("https://ibp.a2mac1.com/costing(costing:projects/details/9760/process/12082945)","Process")</f>
        <v>Process</v>
      </c>
      <c r="B21" t="s">
        <v>360</v>
      </c>
      <c r="C21">
        <v>12082945</v>
      </c>
      <c r="D21">
        <v>8410998</v>
      </c>
      <c r="E21">
        <v>0</v>
      </c>
      <c r="F21">
        <v>0</v>
      </c>
      <c r="G21">
        <v>0</v>
      </c>
      <c r="H21">
        <v>0</v>
      </c>
      <c r="I21" t="s">
        <v>176</v>
      </c>
      <c r="J21">
        <v>0</v>
      </c>
      <c r="K21">
        <v>0</v>
      </c>
      <c r="L21">
        <v>0.84754199418835363</v>
      </c>
      <c r="M21">
        <v>2.9663969796592378</v>
      </c>
      <c r="N21">
        <v>2.9663969796592378</v>
      </c>
      <c r="O21" t="s">
        <v>90</v>
      </c>
      <c r="P21">
        <v>0</v>
      </c>
      <c r="Q21" t="s">
        <v>90</v>
      </c>
      <c r="R21">
        <v>0</v>
      </c>
      <c r="S21" t="s">
        <v>90</v>
      </c>
      <c r="T21">
        <v>0</v>
      </c>
      <c r="U21">
        <v>2.9663969796592378</v>
      </c>
      <c r="V21">
        <v>0</v>
      </c>
      <c r="W21">
        <v>0</v>
      </c>
      <c r="X21">
        <v>0</v>
      </c>
      <c r="Y21">
        <v>0</v>
      </c>
      <c r="Z21">
        <v>0</v>
      </c>
      <c r="AA21">
        <v>390</v>
      </c>
      <c r="AB21">
        <v>1</v>
      </c>
      <c r="AC21">
        <v>0.2</v>
      </c>
      <c r="AD21">
        <v>0.20955992415926555</v>
      </c>
      <c r="AE21">
        <v>216</v>
      </c>
      <c r="AF21">
        <v>200000</v>
      </c>
      <c r="AG21">
        <v>10000</v>
      </c>
      <c r="AH21">
        <v>1</v>
      </c>
      <c r="AI21">
        <v>1</v>
      </c>
      <c r="AJ21" t="s">
        <v>76</v>
      </c>
      <c r="AK21" t="s">
        <v>176</v>
      </c>
      <c r="AL21">
        <v>0</v>
      </c>
      <c r="AM21" t="s">
        <v>176</v>
      </c>
      <c r="AN21">
        <v>0</v>
      </c>
    </row>
    <row r="22" spans="1:40" x14ac:dyDescent="0.15">
      <c r="A22" s="4" t="str">
        <f>HYPERLINK("https://ibp.a2mac1.com/costing(costing:projects/details/9760/process/12082946)","Process")</f>
        <v>Process</v>
      </c>
      <c r="B22" t="s">
        <v>360</v>
      </c>
      <c r="C22">
        <v>12082946</v>
      </c>
      <c r="D22">
        <v>8410999</v>
      </c>
      <c r="E22">
        <v>0</v>
      </c>
      <c r="F22">
        <v>0</v>
      </c>
      <c r="G22">
        <v>0</v>
      </c>
      <c r="H22">
        <v>0</v>
      </c>
      <c r="I22" t="s">
        <v>176</v>
      </c>
      <c r="J22">
        <v>0</v>
      </c>
      <c r="K22">
        <v>0</v>
      </c>
      <c r="L22">
        <v>8.7849007637679902E-2</v>
      </c>
      <c r="M22">
        <v>0.30747152673187966</v>
      </c>
      <c r="N22">
        <v>0.30747152673187966</v>
      </c>
      <c r="O22" t="s">
        <v>90</v>
      </c>
      <c r="P22">
        <v>0</v>
      </c>
      <c r="Q22" t="s">
        <v>90</v>
      </c>
      <c r="R22">
        <v>0</v>
      </c>
      <c r="S22" t="s">
        <v>90</v>
      </c>
      <c r="T22">
        <v>0</v>
      </c>
      <c r="U22">
        <v>0.30747152673187966</v>
      </c>
      <c r="V22">
        <v>0</v>
      </c>
      <c r="W22">
        <v>0</v>
      </c>
      <c r="X22">
        <v>0</v>
      </c>
      <c r="Y22">
        <v>0</v>
      </c>
      <c r="Z22">
        <v>0</v>
      </c>
      <c r="AA22">
        <v>40.49</v>
      </c>
      <c r="AB22">
        <v>1</v>
      </c>
      <c r="AC22">
        <v>0</v>
      </c>
      <c r="AD22">
        <v>0</v>
      </c>
      <c r="AE22">
        <v>216</v>
      </c>
      <c r="AF22">
        <v>200000</v>
      </c>
      <c r="AG22">
        <v>10000</v>
      </c>
      <c r="AH22">
        <v>1</v>
      </c>
      <c r="AI22">
        <v>1</v>
      </c>
      <c r="AJ22" t="s">
        <v>76</v>
      </c>
      <c r="AK22" t="s">
        <v>176</v>
      </c>
      <c r="AL22">
        <v>0</v>
      </c>
      <c r="AM22" t="s">
        <v>176</v>
      </c>
      <c r="AN22">
        <v>0</v>
      </c>
    </row>
    <row r="23" spans="1:40" x14ac:dyDescent="0.15">
      <c r="A23" s="4" t="str">
        <f>HYPERLINK("https://ibp.a2mac1.com/costing(costing:projects/details/9760/process/12082947)","Process")</f>
        <v>Process</v>
      </c>
      <c r="B23" t="s">
        <v>360</v>
      </c>
      <c r="C23">
        <v>12082947</v>
      </c>
      <c r="D23">
        <v>8411000</v>
      </c>
      <c r="E23">
        <v>0</v>
      </c>
      <c r="F23">
        <v>0</v>
      </c>
      <c r="G23">
        <v>0</v>
      </c>
      <c r="H23">
        <v>0</v>
      </c>
      <c r="I23" t="s">
        <v>176</v>
      </c>
      <c r="J23">
        <v>0</v>
      </c>
      <c r="K23">
        <v>0</v>
      </c>
      <c r="L23">
        <v>11.020623641142462</v>
      </c>
      <c r="M23">
        <v>38.572182743998617</v>
      </c>
      <c r="N23">
        <v>38.572182743998617</v>
      </c>
      <c r="O23" t="s">
        <v>90</v>
      </c>
      <c r="P23">
        <v>0</v>
      </c>
      <c r="Q23" t="s">
        <v>90</v>
      </c>
      <c r="R23">
        <v>0</v>
      </c>
      <c r="S23" t="s">
        <v>90</v>
      </c>
      <c r="T23">
        <v>0</v>
      </c>
      <c r="U23">
        <v>38.572182743998617</v>
      </c>
      <c r="V23">
        <v>0</v>
      </c>
      <c r="W23">
        <v>0</v>
      </c>
      <c r="X23">
        <v>0</v>
      </c>
      <c r="Y23">
        <v>0</v>
      </c>
      <c r="Z23">
        <v>0</v>
      </c>
      <c r="AA23">
        <v>4980</v>
      </c>
      <c r="AB23">
        <v>1</v>
      </c>
      <c r="AC23">
        <v>2</v>
      </c>
      <c r="AD23">
        <v>2.0088192062714354</v>
      </c>
      <c r="AE23">
        <v>216</v>
      </c>
      <c r="AF23">
        <v>200000</v>
      </c>
      <c r="AG23">
        <v>10000</v>
      </c>
      <c r="AH23">
        <v>1</v>
      </c>
      <c r="AI23">
        <v>1</v>
      </c>
      <c r="AJ23" t="s">
        <v>76</v>
      </c>
      <c r="AK23" t="s">
        <v>176</v>
      </c>
      <c r="AL23">
        <v>0</v>
      </c>
      <c r="AM23" t="s">
        <v>176</v>
      </c>
      <c r="AN23">
        <v>0</v>
      </c>
    </row>
    <row r="24" spans="1:40" x14ac:dyDescent="0.15">
      <c r="A24" s="4" t="str">
        <f>HYPERLINK("https://ibp.a2mac1.com/costing(costing:projects/details/9760/process/12082948)","Process")</f>
        <v>Process</v>
      </c>
      <c r="B24" t="s">
        <v>360</v>
      </c>
      <c r="C24">
        <v>12082948</v>
      </c>
      <c r="D24">
        <v>8411006</v>
      </c>
      <c r="E24">
        <v>0</v>
      </c>
      <c r="F24">
        <v>0</v>
      </c>
      <c r="G24">
        <v>0</v>
      </c>
      <c r="H24">
        <v>0</v>
      </c>
      <c r="I24" t="s">
        <v>176</v>
      </c>
      <c r="J24">
        <v>0</v>
      </c>
      <c r="K24">
        <v>0</v>
      </c>
      <c r="L24">
        <v>6.679274919806695E-2</v>
      </c>
      <c r="M24">
        <v>0.23377462219323433</v>
      </c>
      <c r="N24">
        <v>0.23377462219323433</v>
      </c>
      <c r="O24" t="s">
        <v>90</v>
      </c>
      <c r="P24">
        <v>0</v>
      </c>
      <c r="Q24" t="s">
        <v>90</v>
      </c>
      <c r="R24">
        <v>0</v>
      </c>
      <c r="S24" t="s">
        <v>90</v>
      </c>
      <c r="T24">
        <v>0</v>
      </c>
      <c r="U24">
        <v>0.23377462219323433</v>
      </c>
      <c r="V24">
        <v>0</v>
      </c>
      <c r="W24">
        <v>0</v>
      </c>
      <c r="X24">
        <v>0</v>
      </c>
      <c r="Y24">
        <v>0</v>
      </c>
      <c r="Z24">
        <v>0</v>
      </c>
      <c r="AA24">
        <v>30.78</v>
      </c>
      <c r="AB24">
        <v>1</v>
      </c>
      <c r="AC24">
        <v>0</v>
      </c>
      <c r="AD24">
        <v>0</v>
      </c>
      <c r="AE24">
        <v>216</v>
      </c>
      <c r="AF24">
        <v>200000</v>
      </c>
      <c r="AG24">
        <v>10000</v>
      </c>
      <c r="AH24">
        <v>1</v>
      </c>
      <c r="AI24">
        <v>1</v>
      </c>
      <c r="AJ24" t="s">
        <v>76</v>
      </c>
      <c r="AK24" t="s">
        <v>176</v>
      </c>
      <c r="AL24">
        <v>0</v>
      </c>
      <c r="AM24" t="s">
        <v>176</v>
      </c>
      <c r="AN24">
        <v>0</v>
      </c>
    </row>
    <row r="25" spans="1:40" x14ac:dyDescent="0.15">
      <c r="A25" s="4" t="str">
        <f>HYPERLINK("https://ibp.a2mac1.com/costing(costing:projects/details/9760/process/12082813)","Process")</f>
        <v>Process</v>
      </c>
      <c r="B25" t="s">
        <v>318</v>
      </c>
      <c r="C25">
        <v>12082813</v>
      </c>
      <c r="D25">
        <v>8410943</v>
      </c>
      <c r="E25">
        <v>0</v>
      </c>
      <c r="F25">
        <v>0</v>
      </c>
      <c r="G25">
        <v>0</v>
      </c>
      <c r="H25">
        <v>0</v>
      </c>
      <c r="I25" t="s">
        <v>176</v>
      </c>
      <c r="J25">
        <v>0</v>
      </c>
      <c r="K25">
        <v>0</v>
      </c>
      <c r="L25">
        <v>7.3070234759077743E-2</v>
      </c>
      <c r="M25">
        <v>0.25574582165677212</v>
      </c>
      <c r="N25">
        <v>0.25574582165677212</v>
      </c>
      <c r="O25" t="s">
        <v>90</v>
      </c>
      <c r="P25">
        <v>0</v>
      </c>
      <c r="Q25" t="s">
        <v>90</v>
      </c>
      <c r="R25">
        <v>0</v>
      </c>
      <c r="S25" t="s">
        <v>90</v>
      </c>
      <c r="T25">
        <v>0</v>
      </c>
      <c r="U25">
        <v>0.25574582165677212</v>
      </c>
      <c r="V25">
        <v>0</v>
      </c>
      <c r="W25">
        <v>0</v>
      </c>
      <c r="X25">
        <v>0</v>
      </c>
      <c r="Y25">
        <v>0</v>
      </c>
      <c r="Z25">
        <v>0</v>
      </c>
      <c r="AA25">
        <v>32</v>
      </c>
      <c r="AB25">
        <v>1</v>
      </c>
      <c r="AC25">
        <v>10</v>
      </c>
      <c r="AD25">
        <v>10.007199424046076</v>
      </c>
      <c r="AE25">
        <v>126</v>
      </c>
      <c r="AF25">
        <v>200000</v>
      </c>
      <c r="AG25">
        <v>10000</v>
      </c>
      <c r="AH25">
        <v>1</v>
      </c>
      <c r="AI25">
        <v>1</v>
      </c>
      <c r="AJ25" t="s">
        <v>76</v>
      </c>
      <c r="AK25" t="s">
        <v>176</v>
      </c>
      <c r="AL25">
        <v>0</v>
      </c>
      <c r="AM25" t="s">
        <v>176</v>
      </c>
      <c r="AN25">
        <v>0</v>
      </c>
    </row>
    <row r="26" spans="1:40" x14ac:dyDescent="0.15">
      <c r="A26" s="4" t="str">
        <f>HYPERLINK("https://ibp.a2mac1.com/costing(costing:projects/details/9760/process/12082814)","Process")</f>
        <v>Process</v>
      </c>
      <c r="B26" t="s">
        <v>318</v>
      </c>
      <c r="C26">
        <v>12082814</v>
      </c>
      <c r="D26">
        <v>8410944</v>
      </c>
      <c r="E26">
        <v>0</v>
      </c>
      <c r="F26">
        <v>0</v>
      </c>
      <c r="G26">
        <v>0</v>
      </c>
      <c r="H26">
        <v>0</v>
      </c>
      <c r="I26" t="s">
        <v>176</v>
      </c>
      <c r="J26">
        <v>0</v>
      </c>
      <c r="K26">
        <v>0</v>
      </c>
      <c r="L26">
        <v>5.252859424061454E-2</v>
      </c>
      <c r="M26">
        <v>0.1838500798421509</v>
      </c>
      <c r="N26">
        <v>0.1838500798421509</v>
      </c>
      <c r="O26" t="s">
        <v>90</v>
      </c>
      <c r="P26">
        <v>0</v>
      </c>
      <c r="Q26" t="s">
        <v>90</v>
      </c>
      <c r="R26">
        <v>0</v>
      </c>
      <c r="S26" t="s">
        <v>90</v>
      </c>
      <c r="T26">
        <v>0</v>
      </c>
      <c r="U26">
        <v>0.1838500798421509</v>
      </c>
      <c r="V26">
        <v>0</v>
      </c>
      <c r="W26">
        <v>0</v>
      </c>
      <c r="X26">
        <v>0</v>
      </c>
      <c r="Y26">
        <v>0</v>
      </c>
      <c r="Z26">
        <v>0</v>
      </c>
      <c r="AA26">
        <v>23</v>
      </c>
      <c r="AB26">
        <v>1</v>
      </c>
      <c r="AC26">
        <v>10</v>
      </c>
      <c r="AD26">
        <v>10.007199424046076</v>
      </c>
      <c r="AE26">
        <v>126</v>
      </c>
      <c r="AF26">
        <v>200000</v>
      </c>
      <c r="AG26">
        <v>10000</v>
      </c>
      <c r="AH26">
        <v>1</v>
      </c>
      <c r="AI26">
        <v>1</v>
      </c>
      <c r="AJ26" t="s">
        <v>76</v>
      </c>
      <c r="AK26" t="s">
        <v>176</v>
      </c>
      <c r="AL26">
        <v>0</v>
      </c>
      <c r="AM26" t="s">
        <v>176</v>
      </c>
      <c r="AN26">
        <v>0</v>
      </c>
    </row>
    <row r="27" spans="1:40" x14ac:dyDescent="0.15">
      <c r="A27" s="4" t="str">
        <f>HYPERLINK("https://ibp.a2mac1.com/costing(costing:projects/details/9760/process/12082815)","Process")</f>
        <v>Process</v>
      </c>
      <c r="B27" t="s">
        <v>318</v>
      </c>
      <c r="C27">
        <v>12082815</v>
      </c>
      <c r="D27">
        <v>8410945</v>
      </c>
      <c r="E27">
        <v>0</v>
      </c>
      <c r="F27">
        <v>0</v>
      </c>
      <c r="G27">
        <v>0</v>
      </c>
      <c r="H27">
        <v>0</v>
      </c>
      <c r="I27" t="s">
        <v>176</v>
      </c>
      <c r="J27">
        <v>0</v>
      </c>
      <c r="K27">
        <v>0</v>
      </c>
      <c r="L27">
        <v>2.0574931211894004E-2</v>
      </c>
      <c r="M27">
        <v>7.2012259241629017E-2</v>
      </c>
      <c r="N27">
        <v>7.2012259241629017E-2</v>
      </c>
      <c r="O27" t="s">
        <v>90</v>
      </c>
      <c r="P27">
        <v>0</v>
      </c>
      <c r="Q27" t="s">
        <v>90</v>
      </c>
      <c r="R27">
        <v>0</v>
      </c>
      <c r="S27" t="s">
        <v>90</v>
      </c>
      <c r="T27">
        <v>0</v>
      </c>
      <c r="U27">
        <v>7.2012259241629017E-2</v>
      </c>
      <c r="V27">
        <v>0</v>
      </c>
      <c r="W27">
        <v>0</v>
      </c>
      <c r="X27">
        <v>0</v>
      </c>
      <c r="Y27">
        <v>0</v>
      </c>
      <c r="Z27">
        <v>0</v>
      </c>
      <c r="AA27">
        <v>9</v>
      </c>
      <c r="AB27">
        <v>1</v>
      </c>
      <c r="AC27">
        <v>10</v>
      </c>
      <c r="AD27">
        <v>10.007199424046076</v>
      </c>
      <c r="AE27">
        <v>126</v>
      </c>
      <c r="AF27">
        <v>200000</v>
      </c>
      <c r="AG27">
        <v>10000</v>
      </c>
      <c r="AH27">
        <v>1</v>
      </c>
      <c r="AI27">
        <v>1</v>
      </c>
      <c r="AJ27" t="s">
        <v>76</v>
      </c>
      <c r="AK27" t="s">
        <v>176</v>
      </c>
      <c r="AL27">
        <v>0</v>
      </c>
      <c r="AM27" t="s">
        <v>176</v>
      </c>
      <c r="AN27">
        <v>0</v>
      </c>
    </row>
    <row r="28" spans="1:40" x14ac:dyDescent="0.15">
      <c r="A28" s="4" t="str">
        <f>HYPERLINK("https://ibp.a2mac1.com/costing(costing:projects/details/9760/process/12083017)","Process")</f>
        <v>Process</v>
      </c>
      <c r="B28" t="s">
        <v>481</v>
      </c>
      <c r="C28">
        <v>12083017</v>
      </c>
      <c r="D28">
        <v>8411066</v>
      </c>
      <c r="E28">
        <v>47.047499999999999</v>
      </c>
      <c r="F28">
        <v>0</v>
      </c>
      <c r="G28">
        <v>0</v>
      </c>
      <c r="H28">
        <v>9.4094999999999997E-4</v>
      </c>
      <c r="I28" t="s">
        <v>176</v>
      </c>
      <c r="J28">
        <v>1.6466624999999999</v>
      </c>
      <c r="K28">
        <v>48.695103449999998</v>
      </c>
      <c r="L28">
        <v>3.7563841656872663</v>
      </c>
      <c r="M28">
        <v>22.5383049941236</v>
      </c>
      <c r="N28">
        <v>71.233408444123597</v>
      </c>
      <c r="O28" t="s">
        <v>90</v>
      </c>
      <c r="P28">
        <v>0</v>
      </c>
      <c r="Q28" t="s">
        <v>90</v>
      </c>
      <c r="R28">
        <v>0</v>
      </c>
      <c r="S28" t="s">
        <v>90</v>
      </c>
      <c r="T28">
        <v>0</v>
      </c>
      <c r="U28">
        <v>71.233408444123597</v>
      </c>
      <c r="V28">
        <v>0</v>
      </c>
      <c r="W28">
        <v>0</v>
      </c>
      <c r="X28">
        <v>0</v>
      </c>
      <c r="Y28">
        <v>0</v>
      </c>
      <c r="Z28">
        <v>0</v>
      </c>
      <c r="AA28">
        <v>2131</v>
      </c>
      <c r="AB28">
        <v>1</v>
      </c>
      <c r="AC28">
        <v>0</v>
      </c>
      <c r="AD28">
        <v>1.9999600007999841E-3</v>
      </c>
      <c r="AE28">
        <v>108000</v>
      </c>
      <c r="AF28">
        <v>400000</v>
      </c>
      <c r="AG28">
        <v>33333.333333333336</v>
      </c>
      <c r="AH28">
        <v>1</v>
      </c>
      <c r="AI28">
        <v>1</v>
      </c>
      <c r="AJ28" t="s">
        <v>162</v>
      </c>
      <c r="AK28" t="s">
        <v>176</v>
      </c>
      <c r="AL28">
        <v>0</v>
      </c>
      <c r="AM28" t="s">
        <v>176</v>
      </c>
      <c r="AN28">
        <v>0</v>
      </c>
    </row>
    <row r="29" spans="1:40" x14ac:dyDescent="0.15">
      <c r="A29" s="4" t="str">
        <f>HYPERLINK("https://ibp.a2mac1.com/costing(costing:projects/details/9760/process/12083005)","Process")</f>
        <v>Process</v>
      </c>
      <c r="B29" t="s">
        <v>485</v>
      </c>
      <c r="C29">
        <v>12083005</v>
      </c>
      <c r="D29">
        <v>8411029</v>
      </c>
      <c r="E29">
        <v>0</v>
      </c>
      <c r="F29">
        <v>0</v>
      </c>
      <c r="G29">
        <v>0</v>
      </c>
      <c r="H29">
        <v>0</v>
      </c>
      <c r="I29" t="s">
        <v>176</v>
      </c>
      <c r="J29">
        <v>0</v>
      </c>
      <c r="K29">
        <v>0</v>
      </c>
      <c r="L29">
        <v>2.0773976814372839</v>
      </c>
      <c r="M29">
        <v>7.270891885030494</v>
      </c>
      <c r="N29">
        <v>7.270891885030494</v>
      </c>
      <c r="O29" t="s">
        <v>90</v>
      </c>
      <c r="P29">
        <v>0</v>
      </c>
      <c r="Q29" t="s">
        <v>90</v>
      </c>
      <c r="R29">
        <v>0</v>
      </c>
      <c r="S29" t="s">
        <v>90</v>
      </c>
      <c r="T29">
        <v>0</v>
      </c>
      <c r="U29">
        <v>7.270891885030494</v>
      </c>
      <c r="V29">
        <v>0</v>
      </c>
      <c r="W29">
        <v>0</v>
      </c>
      <c r="X29">
        <v>0</v>
      </c>
      <c r="Y29">
        <v>0</v>
      </c>
      <c r="Z29">
        <v>0</v>
      </c>
      <c r="AA29">
        <v>590</v>
      </c>
      <c r="AB29">
        <v>1</v>
      </c>
      <c r="AC29">
        <v>0</v>
      </c>
      <c r="AD29">
        <v>0</v>
      </c>
      <c r="AE29">
        <v>10800</v>
      </c>
      <c r="AF29">
        <v>400000</v>
      </c>
      <c r="AG29">
        <v>20000</v>
      </c>
      <c r="AH29">
        <v>1</v>
      </c>
      <c r="AI29">
        <v>1</v>
      </c>
      <c r="AJ29" t="s">
        <v>76</v>
      </c>
      <c r="AK29" t="s">
        <v>176</v>
      </c>
      <c r="AL29">
        <v>0</v>
      </c>
      <c r="AM29" t="s">
        <v>176</v>
      </c>
      <c r="AN29">
        <v>0</v>
      </c>
    </row>
    <row r="30" spans="1:40" x14ac:dyDescent="0.15">
      <c r="A30" s="4" t="str">
        <f>HYPERLINK("https://ibp.a2mac1.com/costing(costing:projects/details/9760/process/12083018)","Process")</f>
        <v>Process</v>
      </c>
      <c r="B30" t="s">
        <v>495</v>
      </c>
      <c r="C30">
        <v>12083018</v>
      </c>
      <c r="D30">
        <v>8411067</v>
      </c>
      <c r="E30">
        <v>9.99</v>
      </c>
      <c r="F30">
        <v>0</v>
      </c>
      <c r="G30">
        <v>0</v>
      </c>
      <c r="H30">
        <v>1.998E-4</v>
      </c>
      <c r="I30" t="s">
        <v>176</v>
      </c>
      <c r="J30">
        <v>0.34965000000000002</v>
      </c>
      <c r="K30">
        <v>10.3398498</v>
      </c>
      <c r="L30">
        <v>5.2248581494894477</v>
      </c>
      <c r="M30">
        <v>18.28700352321307</v>
      </c>
      <c r="N30">
        <v>28.626853323213069</v>
      </c>
      <c r="O30" t="s">
        <v>177</v>
      </c>
      <c r="P30">
        <v>0.62039098800000003</v>
      </c>
      <c r="Q30" t="s">
        <v>177</v>
      </c>
      <c r="R30">
        <v>1.097220211392784</v>
      </c>
      <c r="S30" t="s">
        <v>178</v>
      </c>
      <c r="T30">
        <v>3.4352223987855681</v>
      </c>
      <c r="U30">
        <v>33.779686921391423</v>
      </c>
      <c r="V30">
        <v>0</v>
      </c>
      <c r="W30">
        <v>0</v>
      </c>
      <c r="X30">
        <v>0</v>
      </c>
      <c r="Y30">
        <v>0</v>
      </c>
      <c r="Z30">
        <v>0</v>
      </c>
      <c r="AA30">
        <v>1480</v>
      </c>
      <c r="AB30">
        <v>1</v>
      </c>
      <c r="AC30">
        <v>0</v>
      </c>
      <c r="AD30">
        <v>1.9999600007999841E-3</v>
      </c>
      <c r="AE30">
        <v>108000</v>
      </c>
      <c r="AF30">
        <v>400000</v>
      </c>
      <c r="AG30">
        <v>33333.333333333336</v>
      </c>
      <c r="AH30">
        <v>1</v>
      </c>
      <c r="AI30">
        <v>1</v>
      </c>
      <c r="AJ30" t="s">
        <v>162</v>
      </c>
      <c r="AK30" t="s">
        <v>176</v>
      </c>
      <c r="AL30">
        <v>0</v>
      </c>
      <c r="AM30" t="s">
        <v>176</v>
      </c>
      <c r="AN30">
        <v>0</v>
      </c>
    </row>
    <row r="31" spans="1:40" x14ac:dyDescent="0.15">
      <c r="A31" s="4" t="str">
        <f>HYPERLINK("https://ibp.a2mac1.com/costing(costing:projects/details/9760/process/12083007)","Process")</f>
        <v>Process</v>
      </c>
      <c r="B31" t="s">
        <v>511</v>
      </c>
      <c r="C31">
        <v>12083007</v>
      </c>
      <c r="D31">
        <v>8411031</v>
      </c>
      <c r="E31">
        <v>0</v>
      </c>
      <c r="F31">
        <v>0</v>
      </c>
      <c r="G31">
        <v>0</v>
      </c>
      <c r="H31">
        <v>0</v>
      </c>
      <c r="I31" t="s">
        <v>176</v>
      </c>
      <c r="J31">
        <v>0</v>
      </c>
      <c r="K31">
        <v>0</v>
      </c>
      <c r="L31">
        <v>0.78058973569820145</v>
      </c>
      <c r="M31">
        <v>2.7320640749437053</v>
      </c>
      <c r="N31">
        <v>2.7320640749437053</v>
      </c>
      <c r="O31" t="s">
        <v>90</v>
      </c>
      <c r="P31">
        <v>0</v>
      </c>
      <c r="Q31" t="s">
        <v>90</v>
      </c>
      <c r="R31">
        <v>0</v>
      </c>
      <c r="S31" t="s">
        <v>90</v>
      </c>
      <c r="T31">
        <v>0</v>
      </c>
      <c r="U31">
        <v>2.7320640749437053</v>
      </c>
      <c r="V31">
        <v>0</v>
      </c>
      <c r="W31">
        <v>0</v>
      </c>
      <c r="X31">
        <v>0</v>
      </c>
      <c r="Y31">
        <v>0</v>
      </c>
      <c r="Z31">
        <v>0</v>
      </c>
      <c r="AA31">
        <v>221</v>
      </c>
      <c r="AB31">
        <v>1</v>
      </c>
      <c r="AC31">
        <v>0</v>
      </c>
      <c r="AD31">
        <v>0</v>
      </c>
      <c r="AE31">
        <v>10800</v>
      </c>
      <c r="AF31">
        <v>400000</v>
      </c>
      <c r="AG31">
        <v>20000</v>
      </c>
      <c r="AH31">
        <v>1</v>
      </c>
      <c r="AI31">
        <v>1</v>
      </c>
      <c r="AJ31" t="s">
        <v>76</v>
      </c>
      <c r="AK31" t="s">
        <v>176</v>
      </c>
      <c r="AL31">
        <v>0</v>
      </c>
      <c r="AM31" t="s">
        <v>176</v>
      </c>
      <c r="AN31">
        <v>0</v>
      </c>
    </row>
    <row r="32" spans="1:40" x14ac:dyDescent="0.15">
      <c r="A32" s="4" t="str">
        <f>HYPERLINK("https://ibp.a2mac1.com/costing(costing:projects/details/9760/process/12083006)","Process")</f>
        <v>Process</v>
      </c>
      <c r="B32" t="s">
        <v>516</v>
      </c>
      <c r="C32">
        <v>12083006</v>
      </c>
      <c r="D32">
        <v>8411030</v>
      </c>
      <c r="E32">
        <v>35.25</v>
      </c>
      <c r="F32">
        <v>0</v>
      </c>
      <c r="G32">
        <v>0</v>
      </c>
      <c r="H32">
        <v>7.0500000000000001E-4</v>
      </c>
      <c r="I32" t="s">
        <v>176</v>
      </c>
      <c r="J32">
        <v>1.2337499999999999</v>
      </c>
      <c r="K32">
        <v>36.484454999999997</v>
      </c>
      <c r="L32">
        <v>0.861146773129432</v>
      </c>
      <c r="M32">
        <v>5.1668806387765924</v>
      </c>
      <c r="N32">
        <v>41.651335638776594</v>
      </c>
      <c r="O32" t="s">
        <v>177</v>
      </c>
      <c r="P32">
        <v>2.1890673</v>
      </c>
      <c r="Q32" t="s">
        <v>177</v>
      </c>
      <c r="R32">
        <v>0.31001283832659554</v>
      </c>
      <c r="S32" t="s">
        <v>178</v>
      </c>
      <c r="T32">
        <v>4.9981602766531914</v>
      </c>
      <c r="U32">
        <v>49.148576053756379</v>
      </c>
      <c r="V32">
        <v>0</v>
      </c>
      <c r="W32">
        <v>0</v>
      </c>
      <c r="X32">
        <v>0</v>
      </c>
      <c r="Y32">
        <v>0</v>
      </c>
      <c r="Z32">
        <v>0</v>
      </c>
      <c r="AA32">
        <v>450</v>
      </c>
      <c r="AB32">
        <v>1</v>
      </c>
      <c r="AC32">
        <v>0</v>
      </c>
      <c r="AD32">
        <v>1.9999600007999841E-3</v>
      </c>
      <c r="AE32">
        <v>648000</v>
      </c>
      <c r="AF32">
        <v>400000</v>
      </c>
      <c r="AG32">
        <v>33333.333333333336</v>
      </c>
      <c r="AH32">
        <v>1</v>
      </c>
      <c r="AI32">
        <v>1</v>
      </c>
      <c r="AJ32" t="s">
        <v>162</v>
      </c>
      <c r="AK32" t="s">
        <v>176</v>
      </c>
      <c r="AL32">
        <v>0</v>
      </c>
      <c r="AM32" t="s">
        <v>176</v>
      </c>
      <c r="AN32">
        <v>0</v>
      </c>
    </row>
    <row r="33" spans="1:40" x14ac:dyDescent="0.15">
      <c r="A33" s="4" t="str">
        <f>HYPERLINK("https://ibp.a2mac1.com/costing(costing:projects/details/9760/process/12083008)","Process")</f>
        <v>Process</v>
      </c>
      <c r="B33" t="s">
        <v>548</v>
      </c>
      <c r="C33">
        <v>12083008</v>
      </c>
      <c r="D33">
        <v>8411035</v>
      </c>
      <c r="E33">
        <v>15.53</v>
      </c>
      <c r="F33">
        <v>0</v>
      </c>
      <c r="G33">
        <v>0</v>
      </c>
      <c r="H33">
        <v>3.1060000000000001E-4</v>
      </c>
      <c r="I33" t="s">
        <v>176</v>
      </c>
      <c r="J33">
        <v>0.54354999999999998</v>
      </c>
      <c r="K33">
        <v>16.0738606</v>
      </c>
      <c r="L33">
        <v>1.1750064635841386</v>
      </c>
      <c r="M33">
        <v>4.1125226225444855</v>
      </c>
      <c r="N33">
        <v>20.186383222544485</v>
      </c>
      <c r="O33" t="s">
        <v>177</v>
      </c>
      <c r="P33">
        <v>0.96443163600000004</v>
      </c>
      <c r="Q33" t="s">
        <v>177</v>
      </c>
      <c r="R33">
        <v>0.24675135735266912</v>
      </c>
      <c r="S33" t="s">
        <v>178</v>
      </c>
      <c r="T33">
        <v>2.4223659867053384</v>
      </c>
      <c r="U33">
        <v>23.819932202602494</v>
      </c>
      <c r="V33">
        <v>0</v>
      </c>
      <c r="W33">
        <v>0</v>
      </c>
      <c r="X33">
        <v>0</v>
      </c>
      <c r="Y33">
        <v>0</v>
      </c>
      <c r="Z33">
        <v>0</v>
      </c>
      <c r="AA33">
        <v>333</v>
      </c>
      <c r="AB33">
        <v>1</v>
      </c>
      <c r="AC33">
        <v>0</v>
      </c>
      <c r="AD33">
        <v>1.9999600007999841E-3</v>
      </c>
      <c r="AE33">
        <v>10800</v>
      </c>
      <c r="AF33">
        <v>200000</v>
      </c>
      <c r="AG33">
        <v>16666.666666666668</v>
      </c>
      <c r="AH33">
        <v>1</v>
      </c>
      <c r="AI33">
        <v>1</v>
      </c>
      <c r="AJ33" t="s">
        <v>162</v>
      </c>
      <c r="AK33" t="s">
        <v>176</v>
      </c>
      <c r="AL33">
        <v>0</v>
      </c>
      <c r="AM33" t="s">
        <v>176</v>
      </c>
      <c r="AN33">
        <v>0</v>
      </c>
    </row>
    <row r="34" spans="1:40" x14ac:dyDescent="0.15">
      <c r="A34" s="4" t="str">
        <f>HYPERLINK("https://ibp.a2mac1.com/costing(costing:projects/details/9760/process/12083044)","Process")</f>
        <v>Process</v>
      </c>
      <c r="B34" t="s">
        <v>570</v>
      </c>
      <c r="C34">
        <v>12083044</v>
      </c>
      <c r="D34">
        <v>8411207</v>
      </c>
      <c r="E34">
        <v>8.1</v>
      </c>
      <c r="F34">
        <v>0</v>
      </c>
      <c r="G34">
        <v>0</v>
      </c>
      <c r="H34">
        <v>1.6200000000000001E-4</v>
      </c>
      <c r="I34" t="s">
        <v>176</v>
      </c>
      <c r="J34">
        <v>0.28349999999999997</v>
      </c>
      <c r="K34">
        <v>8.3836619999999993</v>
      </c>
      <c r="L34">
        <v>1.7267758930095738</v>
      </c>
      <c r="M34">
        <v>6.0437156255335083</v>
      </c>
      <c r="N34">
        <v>14.427377625533508</v>
      </c>
      <c r="O34" t="s">
        <v>177</v>
      </c>
      <c r="P34">
        <v>0.50301971999999995</v>
      </c>
      <c r="Q34" t="s">
        <v>177</v>
      </c>
      <c r="R34">
        <v>0.36262293753201053</v>
      </c>
      <c r="S34" t="s">
        <v>178</v>
      </c>
      <c r="T34">
        <v>1.7312853150640211</v>
      </c>
      <c r="U34">
        <v>17.024305598129541</v>
      </c>
      <c r="V34">
        <v>0</v>
      </c>
      <c r="W34">
        <v>0</v>
      </c>
      <c r="X34">
        <v>0</v>
      </c>
      <c r="Y34">
        <v>0</v>
      </c>
      <c r="Z34">
        <v>0</v>
      </c>
      <c r="AA34">
        <v>490</v>
      </c>
      <c r="AB34">
        <v>1</v>
      </c>
      <c r="AC34">
        <v>0</v>
      </c>
      <c r="AD34">
        <v>1.9999600007999841E-3</v>
      </c>
      <c r="AE34">
        <v>10800</v>
      </c>
      <c r="AF34">
        <v>200000</v>
      </c>
      <c r="AG34">
        <v>16666.666666666668</v>
      </c>
      <c r="AH34">
        <v>1</v>
      </c>
      <c r="AI34">
        <v>1</v>
      </c>
      <c r="AJ34" t="s">
        <v>162</v>
      </c>
      <c r="AK34" t="s">
        <v>176</v>
      </c>
      <c r="AL34">
        <v>0</v>
      </c>
      <c r="AM34" t="s">
        <v>176</v>
      </c>
      <c r="AN34">
        <v>0</v>
      </c>
    </row>
    <row r="35" spans="1:40" x14ac:dyDescent="0.15">
      <c r="A35" s="4" t="str">
        <f>HYPERLINK("https://ibp.a2mac1.com/costing(costing:projects/details/9760/process/12083045)","Process")</f>
        <v>Process</v>
      </c>
      <c r="B35" t="s">
        <v>570</v>
      </c>
      <c r="C35">
        <v>12083045</v>
      </c>
      <c r="D35">
        <v>8411209</v>
      </c>
      <c r="E35">
        <v>8.1</v>
      </c>
      <c r="F35">
        <v>0</v>
      </c>
      <c r="G35">
        <v>0</v>
      </c>
      <c r="H35">
        <v>1.6200000000000001E-4</v>
      </c>
      <c r="I35" t="s">
        <v>176</v>
      </c>
      <c r="J35">
        <v>0.28349999999999997</v>
      </c>
      <c r="K35">
        <v>8.3836619999999993</v>
      </c>
      <c r="L35">
        <v>1.7267758930095738</v>
      </c>
      <c r="M35">
        <v>6.0437156255335083</v>
      </c>
      <c r="N35">
        <v>14.427377625533508</v>
      </c>
      <c r="O35" t="s">
        <v>177</v>
      </c>
      <c r="P35">
        <v>0.50301971999999995</v>
      </c>
      <c r="Q35" t="s">
        <v>177</v>
      </c>
      <c r="R35">
        <v>0.36262293753201053</v>
      </c>
      <c r="S35" t="s">
        <v>178</v>
      </c>
      <c r="T35">
        <v>1.7312853150640211</v>
      </c>
      <c r="U35">
        <v>17.024305598129541</v>
      </c>
      <c r="V35">
        <v>0</v>
      </c>
      <c r="W35">
        <v>0</v>
      </c>
      <c r="X35">
        <v>0</v>
      </c>
      <c r="Y35">
        <v>0</v>
      </c>
      <c r="Z35">
        <v>0</v>
      </c>
      <c r="AA35">
        <v>490</v>
      </c>
      <c r="AB35">
        <v>1</v>
      </c>
      <c r="AC35">
        <v>0</v>
      </c>
      <c r="AD35">
        <v>1.9999600007999841E-3</v>
      </c>
      <c r="AE35">
        <v>10800</v>
      </c>
      <c r="AF35">
        <v>200000</v>
      </c>
      <c r="AG35">
        <v>16666.666666666668</v>
      </c>
      <c r="AH35">
        <v>1</v>
      </c>
      <c r="AI35">
        <v>1</v>
      </c>
      <c r="AJ35" t="s">
        <v>162</v>
      </c>
      <c r="AK35" t="s">
        <v>176</v>
      </c>
      <c r="AL35">
        <v>0</v>
      </c>
      <c r="AM35" t="s">
        <v>176</v>
      </c>
      <c r="AN35">
        <v>0</v>
      </c>
    </row>
    <row r="36" spans="1:40" x14ac:dyDescent="0.15">
      <c r="A36" s="4" t="str">
        <f>HYPERLINK("https://ibp.a2mac1.com/costing(costing:projects/details/9760/process/12083019)","Process")</f>
        <v>Process</v>
      </c>
      <c r="B36" t="s">
        <v>579</v>
      </c>
      <c r="C36">
        <v>12083019</v>
      </c>
      <c r="D36">
        <v>8411092</v>
      </c>
      <c r="E36">
        <v>11.97</v>
      </c>
      <c r="F36">
        <v>0</v>
      </c>
      <c r="G36">
        <v>0</v>
      </c>
      <c r="H36">
        <v>2.3939999999999999E-4</v>
      </c>
      <c r="I36" t="s">
        <v>176</v>
      </c>
      <c r="J36">
        <v>0.41894999999999999</v>
      </c>
      <c r="K36">
        <v>12.389189399999999</v>
      </c>
      <c r="L36">
        <v>1.1890642834421115</v>
      </c>
      <c r="M36">
        <v>4.1617249920473904</v>
      </c>
      <c r="N36">
        <v>16.550914392047389</v>
      </c>
      <c r="O36" t="s">
        <v>177</v>
      </c>
      <c r="P36">
        <v>0.74335136400000001</v>
      </c>
      <c r="Q36" t="s">
        <v>177</v>
      </c>
      <c r="R36">
        <v>0.24970349952284343</v>
      </c>
      <c r="S36" t="s">
        <v>178</v>
      </c>
      <c r="T36">
        <v>1.9861097270456869</v>
      </c>
      <c r="U36">
        <v>19.530078982615919</v>
      </c>
      <c r="V36">
        <v>0</v>
      </c>
      <c r="W36">
        <v>0</v>
      </c>
      <c r="X36">
        <v>0</v>
      </c>
      <c r="Y36">
        <v>0</v>
      </c>
      <c r="Z36">
        <v>0</v>
      </c>
      <c r="AA36">
        <v>337</v>
      </c>
      <c r="AB36">
        <v>1</v>
      </c>
      <c r="AC36">
        <v>0</v>
      </c>
      <c r="AD36">
        <v>1.9999600007999841E-3</v>
      </c>
      <c r="AE36">
        <v>10800</v>
      </c>
      <c r="AF36">
        <v>200000</v>
      </c>
      <c r="AG36">
        <v>16666.666666666668</v>
      </c>
      <c r="AH36">
        <v>1</v>
      </c>
      <c r="AI36">
        <v>1</v>
      </c>
      <c r="AJ36" t="s">
        <v>162</v>
      </c>
      <c r="AK36" t="s">
        <v>176</v>
      </c>
      <c r="AL36">
        <v>0</v>
      </c>
      <c r="AM36" t="s">
        <v>176</v>
      </c>
      <c r="AN36">
        <v>0</v>
      </c>
    </row>
    <row r="37" spans="1:40" x14ac:dyDescent="0.15">
      <c r="A37" s="4" t="str">
        <f>HYPERLINK("https://ibp.a2mac1.com/costing(costing:projects/details/9760/process/12083020)","Process")</f>
        <v>Process</v>
      </c>
      <c r="B37" t="s">
        <v>579</v>
      </c>
      <c r="C37">
        <v>12083020</v>
      </c>
      <c r="D37">
        <v>8411093</v>
      </c>
      <c r="E37">
        <v>11.97</v>
      </c>
      <c r="F37">
        <v>0</v>
      </c>
      <c r="G37">
        <v>0</v>
      </c>
      <c r="H37">
        <v>2.3939999999999999E-4</v>
      </c>
      <c r="I37" t="s">
        <v>176</v>
      </c>
      <c r="J37">
        <v>0.41894999999999999</v>
      </c>
      <c r="K37">
        <v>12.389189399999999</v>
      </c>
      <c r="L37">
        <v>1.1890642834421115</v>
      </c>
      <c r="M37">
        <v>4.1617249920473904</v>
      </c>
      <c r="N37">
        <v>16.550914392047389</v>
      </c>
      <c r="O37" t="s">
        <v>177</v>
      </c>
      <c r="P37">
        <v>0.74335136400000001</v>
      </c>
      <c r="Q37" t="s">
        <v>177</v>
      </c>
      <c r="R37">
        <v>0.24970349952284343</v>
      </c>
      <c r="S37" t="s">
        <v>178</v>
      </c>
      <c r="T37">
        <v>1.9861097270456869</v>
      </c>
      <c r="U37">
        <v>19.530078982615919</v>
      </c>
      <c r="V37">
        <v>0</v>
      </c>
      <c r="W37">
        <v>0</v>
      </c>
      <c r="X37">
        <v>0</v>
      </c>
      <c r="Y37">
        <v>0</v>
      </c>
      <c r="Z37">
        <v>0</v>
      </c>
      <c r="AA37">
        <v>337</v>
      </c>
      <c r="AB37">
        <v>1</v>
      </c>
      <c r="AC37">
        <v>0</v>
      </c>
      <c r="AD37">
        <v>1.9999600007999841E-3</v>
      </c>
      <c r="AE37">
        <v>10800</v>
      </c>
      <c r="AF37">
        <v>200000</v>
      </c>
      <c r="AG37">
        <v>16666.666666666668</v>
      </c>
      <c r="AH37">
        <v>1</v>
      </c>
      <c r="AI37">
        <v>1</v>
      </c>
      <c r="AJ37" t="s">
        <v>162</v>
      </c>
      <c r="AK37" t="s">
        <v>176</v>
      </c>
      <c r="AL37">
        <v>0</v>
      </c>
      <c r="AM37" t="s">
        <v>176</v>
      </c>
      <c r="AN37">
        <v>0</v>
      </c>
    </row>
    <row r="38" spans="1:40" x14ac:dyDescent="0.15">
      <c r="A38" s="4" t="str">
        <f>HYPERLINK("https://ibp.a2mac1.com/costing(costing:projects/details/9760/process/12083021)","Process")</f>
        <v>Process</v>
      </c>
      <c r="B38" t="s">
        <v>579</v>
      </c>
      <c r="C38">
        <v>12083021</v>
      </c>
      <c r="D38">
        <v>8411094</v>
      </c>
      <c r="E38">
        <v>11.19</v>
      </c>
      <c r="F38">
        <v>0</v>
      </c>
      <c r="G38">
        <v>0</v>
      </c>
      <c r="H38">
        <v>2.2379999999999999E-4</v>
      </c>
      <c r="I38" t="s">
        <v>176</v>
      </c>
      <c r="J38">
        <v>0.39165</v>
      </c>
      <c r="K38">
        <v>11.5818738</v>
      </c>
      <c r="L38">
        <v>1.2136654681935641</v>
      </c>
      <c r="M38">
        <v>4.2478291386774742</v>
      </c>
      <c r="N38">
        <v>15.829702938677475</v>
      </c>
      <c r="O38" t="s">
        <v>177</v>
      </c>
      <c r="P38">
        <v>0.69491242799999997</v>
      </c>
      <c r="Q38" t="s">
        <v>177</v>
      </c>
      <c r="R38">
        <v>0.25486974832064846</v>
      </c>
      <c r="S38" t="s">
        <v>178</v>
      </c>
      <c r="T38">
        <v>1.8995643526412969</v>
      </c>
      <c r="U38">
        <v>18.67904946763942</v>
      </c>
      <c r="V38">
        <v>0</v>
      </c>
      <c r="W38">
        <v>0</v>
      </c>
      <c r="X38">
        <v>0</v>
      </c>
      <c r="Y38">
        <v>0</v>
      </c>
      <c r="Z38">
        <v>0</v>
      </c>
      <c r="AA38">
        <v>344</v>
      </c>
      <c r="AB38">
        <v>1</v>
      </c>
      <c r="AC38">
        <v>0</v>
      </c>
      <c r="AD38">
        <v>1.9999600007999841E-3</v>
      </c>
      <c r="AE38">
        <v>10800</v>
      </c>
      <c r="AF38">
        <v>200000</v>
      </c>
      <c r="AG38">
        <v>16666.666666666668</v>
      </c>
      <c r="AH38">
        <v>1</v>
      </c>
      <c r="AI38">
        <v>1</v>
      </c>
      <c r="AJ38" t="s">
        <v>162</v>
      </c>
      <c r="AK38" t="s">
        <v>176</v>
      </c>
      <c r="AL38">
        <v>0</v>
      </c>
      <c r="AM38" t="s">
        <v>176</v>
      </c>
      <c r="AN38">
        <v>0</v>
      </c>
    </row>
    <row r="39" spans="1:40" x14ac:dyDescent="0.15">
      <c r="A39" s="4" t="str">
        <f>HYPERLINK("https://ibp.a2mac1.com/costing(costing:projects/details/9760/process/12083022)","Process")</f>
        <v>Process</v>
      </c>
      <c r="B39" t="s">
        <v>579</v>
      </c>
      <c r="C39">
        <v>12083022</v>
      </c>
      <c r="D39">
        <v>8411095</v>
      </c>
      <c r="E39">
        <v>11.19</v>
      </c>
      <c r="F39">
        <v>0</v>
      </c>
      <c r="G39">
        <v>0</v>
      </c>
      <c r="H39">
        <v>2.2379999999999999E-4</v>
      </c>
      <c r="I39" t="s">
        <v>176</v>
      </c>
      <c r="J39">
        <v>0.39165</v>
      </c>
      <c r="K39">
        <v>11.5818738</v>
      </c>
      <c r="L39">
        <v>1.2136654681935641</v>
      </c>
      <c r="M39">
        <v>4.2478291386774742</v>
      </c>
      <c r="N39">
        <v>15.829702938677475</v>
      </c>
      <c r="O39" t="s">
        <v>177</v>
      </c>
      <c r="P39">
        <v>0.69491242799999997</v>
      </c>
      <c r="Q39" t="s">
        <v>177</v>
      </c>
      <c r="R39">
        <v>0.25486974832064846</v>
      </c>
      <c r="S39" t="s">
        <v>178</v>
      </c>
      <c r="T39">
        <v>1.8995643526412969</v>
      </c>
      <c r="U39">
        <v>18.67904946763942</v>
      </c>
      <c r="V39">
        <v>0</v>
      </c>
      <c r="W39">
        <v>0</v>
      </c>
      <c r="X39">
        <v>0</v>
      </c>
      <c r="Y39">
        <v>0</v>
      </c>
      <c r="Z39">
        <v>0</v>
      </c>
      <c r="AA39">
        <v>344</v>
      </c>
      <c r="AB39">
        <v>1</v>
      </c>
      <c r="AC39">
        <v>0</v>
      </c>
      <c r="AD39">
        <v>1.9999600007999841E-3</v>
      </c>
      <c r="AE39">
        <v>10800</v>
      </c>
      <c r="AF39">
        <v>200000</v>
      </c>
      <c r="AG39">
        <v>16666.666666666668</v>
      </c>
      <c r="AH39">
        <v>1</v>
      </c>
      <c r="AI39">
        <v>1</v>
      </c>
      <c r="AJ39" t="s">
        <v>162</v>
      </c>
      <c r="AK39" t="s">
        <v>176</v>
      </c>
      <c r="AL39">
        <v>0</v>
      </c>
      <c r="AM39" t="s">
        <v>176</v>
      </c>
      <c r="AN39">
        <v>0</v>
      </c>
    </row>
    <row r="40" spans="1:40" x14ac:dyDescent="0.15">
      <c r="A40" s="4" t="str">
        <f>HYPERLINK("https://ibp.a2mac1.com/costing(costing:projects/details/9760/process/12083023)","Process")</f>
        <v>Process</v>
      </c>
      <c r="B40" t="s">
        <v>601</v>
      </c>
      <c r="C40">
        <v>12083023</v>
      </c>
      <c r="D40">
        <v>8411097</v>
      </c>
      <c r="E40">
        <v>16</v>
      </c>
      <c r="F40">
        <v>0</v>
      </c>
      <c r="G40">
        <v>0</v>
      </c>
      <c r="H40">
        <v>3.2000000000000003E-4</v>
      </c>
      <c r="I40" t="s">
        <v>176</v>
      </c>
      <c r="J40">
        <v>0.56000000000000005</v>
      </c>
      <c r="K40">
        <v>16.560320000000001</v>
      </c>
      <c r="L40">
        <v>1.6810879784711621</v>
      </c>
      <c r="M40">
        <v>5.8838079246490667</v>
      </c>
      <c r="N40">
        <v>22.444127924649067</v>
      </c>
      <c r="O40" t="s">
        <v>177</v>
      </c>
      <c r="P40">
        <v>0.99361920000000004</v>
      </c>
      <c r="Q40" t="s">
        <v>177</v>
      </c>
      <c r="R40">
        <v>0.353028475478944</v>
      </c>
      <c r="S40" t="s">
        <v>178</v>
      </c>
      <c r="T40">
        <v>2.6932953509578881</v>
      </c>
      <c r="U40">
        <v>26.484070951085901</v>
      </c>
      <c r="V40">
        <v>0</v>
      </c>
      <c r="W40">
        <v>0</v>
      </c>
      <c r="X40">
        <v>0</v>
      </c>
      <c r="Y40">
        <v>0</v>
      </c>
      <c r="Z40">
        <v>0</v>
      </c>
      <c r="AA40">
        <v>477</v>
      </c>
      <c r="AB40">
        <v>1</v>
      </c>
      <c r="AC40">
        <v>0</v>
      </c>
      <c r="AD40">
        <v>1.9999600007999841E-3</v>
      </c>
      <c r="AE40">
        <v>10800</v>
      </c>
      <c r="AF40">
        <v>200000</v>
      </c>
      <c r="AG40">
        <v>16666.666666666668</v>
      </c>
      <c r="AH40">
        <v>1</v>
      </c>
      <c r="AI40">
        <v>1</v>
      </c>
      <c r="AJ40" t="s">
        <v>162</v>
      </c>
      <c r="AK40" t="s">
        <v>176</v>
      </c>
      <c r="AL40">
        <v>0</v>
      </c>
      <c r="AM40" t="s">
        <v>176</v>
      </c>
      <c r="AN40">
        <v>0</v>
      </c>
    </row>
    <row r="41" spans="1:40" x14ac:dyDescent="0.15">
      <c r="A41" s="4" t="str">
        <f>HYPERLINK("https://ibp.a2mac1.com/costing(costing:projects/details/9760/process/12083046)","Process")</f>
        <v>Process</v>
      </c>
      <c r="B41" t="s">
        <v>609</v>
      </c>
      <c r="C41">
        <v>12083046</v>
      </c>
      <c r="D41">
        <v>8411215</v>
      </c>
      <c r="E41">
        <v>15.54</v>
      </c>
      <c r="F41">
        <v>0</v>
      </c>
      <c r="G41">
        <v>0</v>
      </c>
      <c r="H41">
        <v>3.1080000000000002E-4</v>
      </c>
      <c r="I41" t="s">
        <v>176</v>
      </c>
      <c r="J41">
        <v>0.54390000000000005</v>
      </c>
      <c r="K41">
        <v>16.084210800000001</v>
      </c>
      <c r="L41">
        <v>3.7371073167968505</v>
      </c>
      <c r="M41">
        <v>13.079875608788976</v>
      </c>
      <c r="N41">
        <v>29.164086408788975</v>
      </c>
      <c r="O41" t="s">
        <v>177</v>
      </c>
      <c r="P41">
        <v>0.96505264800000001</v>
      </c>
      <c r="Q41" t="s">
        <v>177</v>
      </c>
      <c r="R41">
        <v>0.7847925365273386</v>
      </c>
      <c r="S41" t="s">
        <v>178</v>
      </c>
      <c r="T41">
        <v>3.4996903690546772</v>
      </c>
      <c r="U41">
        <v>34.413621962370996</v>
      </c>
      <c r="V41">
        <v>0</v>
      </c>
      <c r="W41">
        <v>0</v>
      </c>
      <c r="X41">
        <v>0</v>
      </c>
      <c r="Y41">
        <v>0</v>
      </c>
      <c r="Z41">
        <v>0</v>
      </c>
      <c r="AA41">
        <v>1050</v>
      </c>
      <c r="AB41">
        <v>1</v>
      </c>
      <c r="AC41">
        <v>0</v>
      </c>
      <c r="AD41">
        <v>1.9999600007999841E-3</v>
      </c>
      <c r="AE41">
        <v>108000</v>
      </c>
      <c r="AF41">
        <v>200000</v>
      </c>
      <c r="AG41">
        <v>16666.666666666668</v>
      </c>
      <c r="AH41">
        <v>1</v>
      </c>
      <c r="AI41">
        <v>1</v>
      </c>
      <c r="AJ41" t="s">
        <v>162</v>
      </c>
      <c r="AK41" t="s">
        <v>176</v>
      </c>
      <c r="AL41">
        <v>0</v>
      </c>
      <c r="AM41" t="s">
        <v>176</v>
      </c>
      <c r="AN41">
        <v>0</v>
      </c>
    </row>
    <row r="42" spans="1:40" x14ac:dyDescent="0.15">
      <c r="A42" s="4" t="str">
        <f>HYPERLINK("https://ibp.a2mac1.com/costing(costing:projects/details/9760/process/12083047)","Process [2]")</f>
        <v>Process [2]</v>
      </c>
      <c r="B42" t="s">
        <v>609</v>
      </c>
      <c r="C42">
        <v>12083047</v>
      </c>
      <c r="D42">
        <v>8411217</v>
      </c>
      <c r="E42">
        <v>15.54</v>
      </c>
      <c r="F42">
        <v>0</v>
      </c>
      <c r="G42">
        <v>0</v>
      </c>
      <c r="H42">
        <v>3.1080000000000002E-4</v>
      </c>
      <c r="I42" t="s">
        <v>176</v>
      </c>
      <c r="J42">
        <v>0.54390000000000005</v>
      </c>
      <c r="K42">
        <v>16.084210800000001</v>
      </c>
      <c r="L42">
        <v>3.7371073167968505</v>
      </c>
      <c r="M42">
        <v>13.079875608788976</v>
      </c>
      <c r="N42">
        <v>29.164086408788975</v>
      </c>
      <c r="O42" t="s">
        <v>177</v>
      </c>
      <c r="P42">
        <v>0.96505264800000001</v>
      </c>
      <c r="Q42" t="s">
        <v>177</v>
      </c>
      <c r="R42">
        <v>0.7847925365273386</v>
      </c>
      <c r="S42" t="s">
        <v>178</v>
      </c>
      <c r="T42">
        <v>3.4996903690546772</v>
      </c>
      <c r="U42">
        <v>34.413621962370996</v>
      </c>
      <c r="V42">
        <v>0</v>
      </c>
      <c r="W42">
        <v>0</v>
      </c>
      <c r="X42">
        <v>0</v>
      </c>
      <c r="Y42">
        <v>0</v>
      </c>
      <c r="Z42">
        <v>0</v>
      </c>
      <c r="AA42">
        <v>1050</v>
      </c>
      <c r="AB42">
        <v>1</v>
      </c>
      <c r="AC42">
        <v>0</v>
      </c>
      <c r="AD42">
        <v>1.9999600007999841E-3</v>
      </c>
      <c r="AE42">
        <v>108000</v>
      </c>
      <c r="AF42">
        <v>200000</v>
      </c>
      <c r="AG42">
        <v>16666.666666666668</v>
      </c>
      <c r="AH42">
        <v>1</v>
      </c>
      <c r="AI42">
        <v>1</v>
      </c>
      <c r="AJ42" t="s">
        <v>162</v>
      </c>
      <c r="AK42" t="s">
        <v>176</v>
      </c>
      <c r="AL42">
        <v>0</v>
      </c>
      <c r="AM42" t="s">
        <v>176</v>
      </c>
      <c r="AN42">
        <v>0</v>
      </c>
    </row>
    <row r="43" spans="1:40" x14ac:dyDescent="0.15">
      <c r="A43" s="4" t="str">
        <f>HYPERLINK("https://ibp.a2mac1.com/costing(costing:projects/details/9760/process/12083024)","Process")</f>
        <v>Process</v>
      </c>
      <c r="B43" t="s">
        <v>619</v>
      </c>
      <c r="C43">
        <v>12083024</v>
      </c>
      <c r="D43">
        <v>8411099</v>
      </c>
      <c r="E43">
        <v>6.77</v>
      </c>
      <c r="F43">
        <v>0</v>
      </c>
      <c r="G43">
        <v>0</v>
      </c>
      <c r="H43">
        <v>1.3540000000000001E-4</v>
      </c>
      <c r="I43" t="s">
        <v>176</v>
      </c>
      <c r="J43">
        <v>0.23694999999999999</v>
      </c>
      <c r="K43">
        <v>7.0070854000000002</v>
      </c>
      <c r="L43">
        <v>3.3410786964725054</v>
      </c>
      <c r="M43">
        <v>11.693775437653768</v>
      </c>
      <c r="N43">
        <v>18.700860837653767</v>
      </c>
      <c r="O43" t="s">
        <v>177</v>
      </c>
      <c r="P43">
        <v>0.42042512399999998</v>
      </c>
      <c r="Q43" t="s">
        <v>177</v>
      </c>
      <c r="R43">
        <v>0.70162652625922617</v>
      </c>
      <c r="S43" t="s">
        <v>178</v>
      </c>
      <c r="T43">
        <v>2.2441033005184523</v>
      </c>
      <c r="U43">
        <v>22.067015788431448</v>
      </c>
      <c r="V43">
        <v>0</v>
      </c>
      <c r="W43">
        <v>0</v>
      </c>
      <c r="X43">
        <v>0</v>
      </c>
      <c r="Y43">
        <v>0</v>
      </c>
      <c r="Z43">
        <v>0</v>
      </c>
      <c r="AA43">
        <v>950</v>
      </c>
      <c r="AB43">
        <v>1</v>
      </c>
      <c r="AC43">
        <v>0</v>
      </c>
      <c r="AD43">
        <v>1.9999600007999841E-3</v>
      </c>
      <c r="AE43">
        <v>10800</v>
      </c>
      <c r="AF43">
        <v>400000</v>
      </c>
      <c r="AG43">
        <v>33333.333333333336</v>
      </c>
      <c r="AH43">
        <v>1</v>
      </c>
      <c r="AI43">
        <v>1</v>
      </c>
      <c r="AJ43" t="s">
        <v>162</v>
      </c>
      <c r="AK43" t="s">
        <v>176</v>
      </c>
      <c r="AL43">
        <v>0</v>
      </c>
      <c r="AM43" t="s">
        <v>176</v>
      </c>
      <c r="AN43">
        <v>0</v>
      </c>
    </row>
    <row r="44" spans="1:40" x14ac:dyDescent="0.15">
      <c r="A44" s="4" t="str">
        <f>HYPERLINK("https://ibp.a2mac1.com/costing(costing:projects/details/9760/process/12083025)","Process")</f>
        <v>Process</v>
      </c>
      <c r="B44" t="s">
        <v>628</v>
      </c>
      <c r="C44">
        <v>12083025</v>
      </c>
      <c r="D44">
        <v>8411102</v>
      </c>
      <c r="E44">
        <v>63.72</v>
      </c>
      <c r="F44">
        <v>0</v>
      </c>
      <c r="G44">
        <v>0</v>
      </c>
      <c r="H44">
        <v>1.2744E-3</v>
      </c>
      <c r="I44" t="s">
        <v>176</v>
      </c>
      <c r="J44">
        <v>2.2302</v>
      </c>
      <c r="K44">
        <v>65.951474399999995</v>
      </c>
      <c r="L44">
        <v>1.3624405514628237</v>
      </c>
      <c r="M44">
        <v>8.1746433087769432</v>
      </c>
      <c r="N44">
        <v>74.126117708776945</v>
      </c>
      <c r="O44" t="s">
        <v>90</v>
      </c>
      <c r="P44">
        <v>0</v>
      </c>
      <c r="Q44" t="s">
        <v>90</v>
      </c>
      <c r="R44">
        <v>0</v>
      </c>
      <c r="S44" t="s">
        <v>90</v>
      </c>
      <c r="T44">
        <v>0</v>
      </c>
      <c r="U44">
        <v>74.126117708776945</v>
      </c>
      <c r="V44">
        <v>0</v>
      </c>
      <c r="W44">
        <v>0</v>
      </c>
      <c r="X44">
        <v>0</v>
      </c>
      <c r="Y44">
        <v>0</v>
      </c>
      <c r="Z44">
        <v>0</v>
      </c>
      <c r="AA44">
        <v>774</v>
      </c>
      <c r="AB44">
        <v>1</v>
      </c>
      <c r="AC44">
        <v>0</v>
      </c>
      <c r="AD44">
        <v>1.9999600007999841E-3</v>
      </c>
      <c r="AE44">
        <v>10800</v>
      </c>
      <c r="AF44">
        <v>200000</v>
      </c>
      <c r="AG44">
        <v>16666.666666666668</v>
      </c>
      <c r="AH44">
        <v>1</v>
      </c>
      <c r="AI44">
        <v>1</v>
      </c>
      <c r="AJ44" t="s">
        <v>162</v>
      </c>
      <c r="AK44" t="s">
        <v>176</v>
      </c>
      <c r="AL44">
        <v>0</v>
      </c>
      <c r="AM44" t="s">
        <v>176</v>
      </c>
      <c r="AN44">
        <v>0</v>
      </c>
    </row>
    <row r="45" spans="1:40" x14ac:dyDescent="0.15">
      <c r="A45" s="4" t="str">
        <f>HYPERLINK("https://ibp.a2mac1.com/costing(costing:projects/details/9760/process/12083009)","Process")</f>
        <v>Process</v>
      </c>
      <c r="B45" t="s">
        <v>630</v>
      </c>
      <c r="C45">
        <v>12083009</v>
      </c>
      <c r="D45">
        <v>8411044</v>
      </c>
      <c r="E45">
        <v>0</v>
      </c>
      <c r="F45">
        <v>0</v>
      </c>
      <c r="G45">
        <v>0</v>
      </c>
      <c r="H45">
        <v>0</v>
      </c>
      <c r="I45" t="s">
        <v>176</v>
      </c>
      <c r="J45">
        <v>0</v>
      </c>
      <c r="K45">
        <v>0</v>
      </c>
      <c r="L45">
        <v>13.29230082727624</v>
      </c>
      <c r="M45">
        <v>46.52305289546684</v>
      </c>
      <c r="N45">
        <v>46.52305289546684</v>
      </c>
      <c r="O45" t="s">
        <v>90</v>
      </c>
      <c r="P45">
        <v>0</v>
      </c>
      <c r="Q45" t="s">
        <v>90</v>
      </c>
      <c r="R45">
        <v>0</v>
      </c>
      <c r="S45" t="s">
        <v>90</v>
      </c>
      <c r="T45">
        <v>0</v>
      </c>
      <c r="U45">
        <v>46.52305289546684</v>
      </c>
      <c r="V45">
        <v>0</v>
      </c>
      <c r="W45">
        <v>0</v>
      </c>
      <c r="X45">
        <v>0</v>
      </c>
      <c r="Y45">
        <v>0</v>
      </c>
      <c r="Z45">
        <v>0</v>
      </c>
      <c r="AA45">
        <v>3760</v>
      </c>
      <c r="AB45">
        <v>1</v>
      </c>
      <c r="AC45">
        <v>0</v>
      </c>
      <c r="AD45">
        <v>0</v>
      </c>
      <c r="AE45">
        <v>108000</v>
      </c>
      <c r="AF45">
        <v>200000</v>
      </c>
      <c r="AG45">
        <v>10000</v>
      </c>
      <c r="AH45">
        <v>1</v>
      </c>
      <c r="AI45">
        <v>1</v>
      </c>
      <c r="AJ45" t="s">
        <v>76</v>
      </c>
      <c r="AK45" t="s">
        <v>176</v>
      </c>
      <c r="AL45">
        <v>0</v>
      </c>
      <c r="AM45" t="s">
        <v>176</v>
      </c>
      <c r="AN45">
        <v>0</v>
      </c>
    </row>
    <row r="46" spans="1:40" x14ac:dyDescent="0.15">
      <c r="A46" s="4" t="str">
        <f>HYPERLINK("https://ibp.a2mac1.com/costing(costing:projects/details/9760/process/12083048)","Process")</f>
        <v>Process</v>
      </c>
      <c r="B46" t="s">
        <v>657</v>
      </c>
      <c r="C46">
        <v>12083048</v>
      </c>
      <c r="D46">
        <v>8411231</v>
      </c>
      <c r="E46">
        <v>9.84</v>
      </c>
      <c r="F46">
        <v>0</v>
      </c>
      <c r="G46">
        <v>0</v>
      </c>
      <c r="H46">
        <v>1.9680000000000001E-4</v>
      </c>
      <c r="I46" t="s">
        <v>176</v>
      </c>
      <c r="J46">
        <v>0.34439999999999998</v>
      </c>
      <c r="K46">
        <v>10.1845968</v>
      </c>
      <c r="L46">
        <v>1.4842785004595418</v>
      </c>
      <c r="M46">
        <v>5.1949747516083962</v>
      </c>
      <c r="N46">
        <v>15.379571551608397</v>
      </c>
      <c r="O46" t="s">
        <v>177</v>
      </c>
      <c r="P46">
        <v>0.61107580800000005</v>
      </c>
      <c r="Q46" t="s">
        <v>177</v>
      </c>
      <c r="R46">
        <v>0.31169848509650377</v>
      </c>
      <c r="S46" t="s">
        <v>178</v>
      </c>
      <c r="T46">
        <v>1.8455485861930077</v>
      </c>
      <c r="U46">
        <v>18.147894430897907</v>
      </c>
      <c r="V46">
        <v>0</v>
      </c>
      <c r="W46">
        <v>0</v>
      </c>
      <c r="X46">
        <v>0</v>
      </c>
      <c r="Y46">
        <v>0</v>
      </c>
      <c r="Z46">
        <v>0</v>
      </c>
      <c r="AA46">
        <v>421</v>
      </c>
      <c r="AB46">
        <v>1</v>
      </c>
      <c r="AC46">
        <v>0</v>
      </c>
      <c r="AD46">
        <v>1.9999600007999841E-3</v>
      </c>
      <c r="AE46">
        <v>10800</v>
      </c>
      <c r="AF46">
        <v>200000</v>
      </c>
      <c r="AG46">
        <v>16666.666666666668</v>
      </c>
      <c r="AH46">
        <v>1</v>
      </c>
      <c r="AI46">
        <v>1</v>
      </c>
      <c r="AJ46" t="s">
        <v>162</v>
      </c>
      <c r="AK46" t="s">
        <v>176</v>
      </c>
      <c r="AL46">
        <v>0</v>
      </c>
      <c r="AM46" t="s">
        <v>176</v>
      </c>
      <c r="AN46">
        <v>0</v>
      </c>
    </row>
    <row r="47" spans="1:40" x14ac:dyDescent="0.15">
      <c r="A47" s="4" t="str">
        <f>HYPERLINK("https://ibp.a2mac1.com/costing(costing:projects/details/9760/process/12083049)","Process")</f>
        <v>Process</v>
      </c>
      <c r="B47" t="s">
        <v>657</v>
      </c>
      <c r="C47">
        <v>12083049</v>
      </c>
      <c r="D47">
        <v>8411233</v>
      </c>
      <c r="E47">
        <v>9.84</v>
      </c>
      <c r="F47">
        <v>0</v>
      </c>
      <c r="G47">
        <v>0</v>
      </c>
      <c r="H47">
        <v>1.9680000000000001E-4</v>
      </c>
      <c r="I47" t="s">
        <v>176</v>
      </c>
      <c r="J47">
        <v>0.34439999999999998</v>
      </c>
      <c r="K47">
        <v>10.1845968</v>
      </c>
      <c r="L47">
        <v>1.4842785004595418</v>
      </c>
      <c r="M47">
        <v>5.1949747516083962</v>
      </c>
      <c r="N47">
        <v>15.379571551608397</v>
      </c>
      <c r="O47" t="s">
        <v>177</v>
      </c>
      <c r="P47">
        <v>0.61107580800000005</v>
      </c>
      <c r="Q47" t="s">
        <v>177</v>
      </c>
      <c r="R47">
        <v>0.31169848509650377</v>
      </c>
      <c r="S47" t="s">
        <v>178</v>
      </c>
      <c r="T47">
        <v>1.8455485861930077</v>
      </c>
      <c r="U47">
        <v>18.147894430897907</v>
      </c>
      <c r="V47">
        <v>0</v>
      </c>
      <c r="W47">
        <v>0</v>
      </c>
      <c r="X47">
        <v>0</v>
      </c>
      <c r="Y47">
        <v>0</v>
      </c>
      <c r="Z47">
        <v>0</v>
      </c>
      <c r="AA47">
        <v>421</v>
      </c>
      <c r="AB47">
        <v>1</v>
      </c>
      <c r="AC47">
        <v>0</v>
      </c>
      <c r="AD47">
        <v>1.9999600007999841E-3</v>
      </c>
      <c r="AE47">
        <v>10800</v>
      </c>
      <c r="AF47">
        <v>200000</v>
      </c>
      <c r="AG47">
        <v>16666.666666666668</v>
      </c>
      <c r="AH47">
        <v>1</v>
      </c>
      <c r="AI47">
        <v>1</v>
      </c>
      <c r="AJ47" t="s">
        <v>162</v>
      </c>
      <c r="AK47" t="s">
        <v>176</v>
      </c>
      <c r="AL47">
        <v>0</v>
      </c>
      <c r="AM47" t="s">
        <v>176</v>
      </c>
      <c r="AN47">
        <v>0</v>
      </c>
    </row>
    <row r="48" spans="1:40" x14ac:dyDescent="0.15">
      <c r="A48" s="4" t="str">
        <f>HYPERLINK("https://ibp.a2mac1.com/costing(costing:projects/details/9760/process/12083026)","Process")</f>
        <v>Process</v>
      </c>
      <c r="B48" t="s">
        <v>674</v>
      </c>
      <c r="C48">
        <v>12083026</v>
      </c>
      <c r="D48">
        <v>8411128</v>
      </c>
      <c r="E48">
        <v>8.08</v>
      </c>
      <c r="F48">
        <v>0</v>
      </c>
      <c r="G48">
        <v>0</v>
      </c>
      <c r="H48">
        <v>1.616E-4</v>
      </c>
      <c r="I48" t="s">
        <v>176</v>
      </c>
      <c r="J48">
        <v>0.2828</v>
      </c>
      <c r="K48">
        <v>8.3629616000000002</v>
      </c>
      <c r="L48">
        <v>1.6635157036486958</v>
      </c>
      <c r="M48">
        <v>5.8223049627704357</v>
      </c>
      <c r="N48">
        <v>14.185266562770435</v>
      </c>
      <c r="O48" t="s">
        <v>177</v>
      </c>
      <c r="P48">
        <v>0.501777696</v>
      </c>
      <c r="Q48" t="s">
        <v>177</v>
      </c>
      <c r="R48">
        <v>0.34933829776622616</v>
      </c>
      <c r="S48" t="s">
        <v>178</v>
      </c>
      <c r="T48">
        <v>1.7022319875324523</v>
      </c>
      <c r="U48">
        <v>16.738614544069115</v>
      </c>
      <c r="V48">
        <v>0</v>
      </c>
      <c r="W48">
        <v>0</v>
      </c>
      <c r="X48">
        <v>0</v>
      </c>
      <c r="Y48">
        <v>0</v>
      </c>
      <c r="Z48">
        <v>0</v>
      </c>
      <c r="AA48">
        <v>472</v>
      </c>
      <c r="AB48">
        <v>1</v>
      </c>
      <c r="AC48">
        <v>0</v>
      </c>
      <c r="AD48">
        <v>1.9999600007999841E-3</v>
      </c>
      <c r="AE48">
        <v>10800</v>
      </c>
      <c r="AF48">
        <v>200000</v>
      </c>
      <c r="AG48">
        <v>16666.666666666668</v>
      </c>
      <c r="AH48">
        <v>1</v>
      </c>
      <c r="AI48">
        <v>1</v>
      </c>
      <c r="AJ48" t="s">
        <v>162</v>
      </c>
      <c r="AK48" t="s">
        <v>176</v>
      </c>
      <c r="AL48">
        <v>0</v>
      </c>
      <c r="AM48" t="s">
        <v>176</v>
      </c>
      <c r="AN48">
        <v>0</v>
      </c>
    </row>
    <row r="49" spans="1:40" x14ac:dyDescent="0.15">
      <c r="A49" s="4" t="str">
        <f>HYPERLINK("https://ibp.a2mac1.com/costing(costing:projects/details/9760/process/12083027)","Process")</f>
        <v>Process</v>
      </c>
      <c r="B49" t="s">
        <v>683</v>
      </c>
      <c r="C49">
        <v>12083027</v>
      </c>
      <c r="D49">
        <v>8411131</v>
      </c>
      <c r="E49">
        <v>77.06</v>
      </c>
      <c r="F49">
        <v>0</v>
      </c>
      <c r="G49">
        <v>0</v>
      </c>
      <c r="H49">
        <v>1.5411999999999999E-3</v>
      </c>
      <c r="I49" t="s">
        <v>176</v>
      </c>
      <c r="J49">
        <v>2.6970999999999998</v>
      </c>
      <c r="K49">
        <v>79.7586412</v>
      </c>
      <c r="L49">
        <v>1.3062092720309324</v>
      </c>
      <c r="M49">
        <v>7.8372556321855944</v>
      </c>
      <c r="N49">
        <v>87.595896832185588</v>
      </c>
      <c r="O49" t="s">
        <v>90</v>
      </c>
      <c r="P49">
        <v>0</v>
      </c>
      <c r="Q49" t="s">
        <v>90</v>
      </c>
      <c r="R49">
        <v>0</v>
      </c>
      <c r="S49" t="s">
        <v>90</v>
      </c>
      <c r="T49">
        <v>0</v>
      </c>
      <c r="U49">
        <v>87.595896832185588</v>
      </c>
      <c r="V49">
        <v>0</v>
      </c>
      <c r="W49">
        <v>0</v>
      </c>
      <c r="X49">
        <v>0</v>
      </c>
      <c r="Y49">
        <v>0</v>
      </c>
      <c r="Z49">
        <v>0</v>
      </c>
      <c r="AA49">
        <v>742</v>
      </c>
      <c r="AB49">
        <v>1</v>
      </c>
      <c r="AC49">
        <v>0</v>
      </c>
      <c r="AD49">
        <v>1.9999600007999841E-3</v>
      </c>
      <c r="AE49">
        <v>10800</v>
      </c>
      <c r="AF49">
        <v>200000</v>
      </c>
      <c r="AG49">
        <v>16666.666666666668</v>
      </c>
      <c r="AH49">
        <v>1</v>
      </c>
      <c r="AI49">
        <v>1</v>
      </c>
      <c r="AJ49" t="s">
        <v>162</v>
      </c>
      <c r="AK49" t="s">
        <v>176</v>
      </c>
      <c r="AL49">
        <v>0</v>
      </c>
      <c r="AM49" t="s">
        <v>176</v>
      </c>
      <c r="AN49">
        <v>0</v>
      </c>
    </row>
    <row r="50" spans="1:40" x14ac:dyDescent="0.15">
      <c r="A50" s="4" t="str">
        <f>HYPERLINK("https://ibp.a2mac1.com/costing(costing:projects/details/9760/process/12083013)","Process")</f>
        <v>Process</v>
      </c>
      <c r="B50" t="s">
        <v>683</v>
      </c>
      <c r="C50">
        <v>12083013</v>
      </c>
      <c r="D50">
        <v>8411052</v>
      </c>
      <c r="E50">
        <v>0</v>
      </c>
      <c r="F50">
        <v>0</v>
      </c>
      <c r="G50">
        <v>0</v>
      </c>
      <c r="H50">
        <v>0</v>
      </c>
      <c r="I50" t="s">
        <v>176</v>
      </c>
      <c r="J50">
        <v>0</v>
      </c>
      <c r="K50">
        <v>0</v>
      </c>
      <c r="L50">
        <v>14.768342391532105</v>
      </c>
      <c r="M50">
        <v>51.689198370362369</v>
      </c>
      <c r="N50">
        <v>51.689198370362369</v>
      </c>
      <c r="O50" t="s">
        <v>90</v>
      </c>
      <c r="P50">
        <v>0</v>
      </c>
      <c r="Q50" t="s">
        <v>90</v>
      </c>
      <c r="R50">
        <v>0</v>
      </c>
      <c r="S50" t="s">
        <v>90</v>
      </c>
      <c r="T50">
        <v>0</v>
      </c>
      <c r="U50">
        <v>51.689198370362369</v>
      </c>
      <c r="V50">
        <v>0</v>
      </c>
      <c r="W50">
        <v>0</v>
      </c>
      <c r="X50">
        <v>0</v>
      </c>
      <c r="Y50">
        <v>0</v>
      </c>
      <c r="Z50">
        <v>0</v>
      </c>
      <c r="AA50">
        <v>4180</v>
      </c>
      <c r="AB50">
        <v>1</v>
      </c>
      <c r="AC50">
        <v>0</v>
      </c>
      <c r="AD50">
        <v>0</v>
      </c>
      <c r="AE50">
        <v>108000</v>
      </c>
      <c r="AF50">
        <v>200000</v>
      </c>
      <c r="AG50">
        <v>10000</v>
      </c>
      <c r="AH50">
        <v>1</v>
      </c>
      <c r="AI50">
        <v>1</v>
      </c>
      <c r="AJ50" t="s">
        <v>76</v>
      </c>
      <c r="AK50" t="s">
        <v>176</v>
      </c>
      <c r="AL50">
        <v>0</v>
      </c>
      <c r="AM50" t="s">
        <v>176</v>
      </c>
      <c r="AN50">
        <v>0</v>
      </c>
    </row>
    <row r="51" spans="1:40" x14ac:dyDescent="0.15">
      <c r="A51" s="4" t="str">
        <f>HYPERLINK("https://ibp.a2mac1.com/costing(costing:projects/details/9760/process/12083010)","Process")</f>
        <v>Process</v>
      </c>
      <c r="B51" t="s">
        <v>619</v>
      </c>
      <c r="C51">
        <v>12083010</v>
      </c>
      <c r="D51">
        <v>8411045</v>
      </c>
      <c r="E51">
        <v>6.77</v>
      </c>
      <c r="F51">
        <v>0</v>
      </c>
      <c r="G51">
        <v>0</v>
      </c>
      <c r="H51">
        <v>1.3540000000000001E-4</v>
      </c>
      <c r="I51" t="s">
        <v>176</v>
      </c>
      <c r="J51">
        <v>0.23694999999999999</v>
      </c>
      <c r="K51">
        <v>7.0070854000000002</v>
      </c>
      <c r="L51">
        <v>3.3410786964725054</v>
      </c>
      <c r="M51">
        <v>11.693775437653768</v>
      </c>
      <c r="N51">
        <v>18.700860837653767</v>
      </c>
      <c r="O51" t="s">
        <v>177</v>
      </c>
      <c r="P51">
        <v>0.42042512399999998</v>
      </c>
      <c r="Q51" t="s">
        <v>177</v>
      </c>
      <c r="R51">
        <v>0.70162652625922617</v>
      </c>
      <c r="S51" t="s">
        <v>178</v>
      </c>
      <c r="T51">
        <v>2.2441033005184523</v>
      </c>
      <c r="U51">
        <v>22.067015788431448</v>
      </c>
      <c r="V51">
        <v>0</v>
      </c>
      <c r="W51">
        <v>0</v>
      </c>
      <c r="X51">
        <v>0</v>
      </c>
      <c r="Y51">
        <v>0</v>
      </c>
      <c r="Z51">
        <v>0</v>
      </c>
      <c r="AA51">
        <v>950</v>
      </c>
      <c r="AB51">
        <v>1</v>
      </c>
      <c r="AC51">
        <v>0</v>
      </c>
      <c r="AD51">
        <v>1.9999600007999841E-3</v>
      </c>
      <c r="AE51">
        <v>10800</v>
      </c>
      <c r="AF51">
        <v>400000</v>
      </c>
      <c r="AG51">
        <v>33333.333333333336</v>
      </c>
      <c r="AH51">
        <v>1</v>
      </c>
      <c r="AI51">
        <v>1</v>
      </c>
      <c r="AJ51" t="s">
        <v>162</v>
      </c>
      <c r="AK51" t="s">
        <v>176</v>
      </c>
      <c r="AL51">
        <v>0</v>
      </c>
      <c r="AM51" t="s">
        <v>176</v>
      </c>
      <c r="AN51">
        <v>0</v>
      </c>
    </row>
    <row r="52" spans="1:40" x14ac:dyDescent="0.15">
      <c r="A52" s="4" t="str">
        <f>HYPERLINK("https://ibp.a2mac1.com/costing(costing:projects/details/9760/process/12083011)","Process")</f>
        <v>Process</v>
      </c>
      <c r="B52" t="s">
        <v>693</v>
      </c>
      <c r="C52">
        <v>12083011</v>
      </c>
      <c r="D52">
        <v>8411046</v>
      </c>
      <c r="E52">
        <v>15.2</v>
      </c>
      <c r="F52">
        <v>0</v>
      </c>
      <c r="G52">
        <v>0</v>
      </c>
      <c r="H52">
        <v>3.0400000000000002E-4</v>
      </c>
      <c r="I52" t="s">
        <v>176</v>
      </c>
      <c r="J52">
        <v>0.53200000000000003</v>
      </c>
      <c r="K52">
        <v>15.732303999999999</v>
      </c>
      <c r="L52">
        <v>2.1485104887487601</v>
      </c>
      <c r="M52">
        <v>7.51978671062066</v>
      </c>
      <c r="N52">
        <v>23.25209071062066</v>
      </c>
      <c r="O52" t="s">
        <v>177</v>
      </c>
      <c r="P52">
        <v>0.94393824000000004</v>
      </c>
      <c r="Q52" t="s">
        <v>177</v>
      </c>
      <c r="R52">
        <v>0.4511872026372396</v>
      </c>
      <c r="S52" t="s">
        <v>178</v>
      </c>
      <c r="T52">
        <v>2.7902508852744794</v>
      </c>
      <c r="U52">
        <v>27.437467038532379</v>
      </c>
      <c r="V52">
        <v>0</v>
      </c>
      <c r="W52">
        <v>0</v>
      </c>
      <c r="X52">
        <v>0</v>
      </c>
      <c r="Y52">
        <v>0</v>
      </c>
      <c r="Z52">
        <v>0</v>
      </c>
      <c r="AA52">
        <v>610</v>
      </c>
      <c r="AB52">
        <v>1</v>
      </c>
      <c r="AC52">
        <v>0</v>
      </c>
      <c r="AD52">
        <v>1.9999600007999841E-3</v>
      </c>
      <c r="AE52">
        <v>10800</v>
      </c>
      <c r="AF52">
        <v>200000</v>
      </c>
      <c r="AG52">
        <v>16666.666666666668</v>
      </c>
      <c r="AH52">
        <v>1</v>
      </c>
      <c r="AI52">
        <v>1</v>
      </c>
      <c r="AJ52" t="s">
        <v>162</v>
      </c>
      <c r="AK52" t="s">
        <v>176</v>
      </c>
      <c r="AL52">
        <v>0</v>
      </c>
      <c r="AM52" t="s">
        <v>176</v>
      </c>
      <c r="AN52">
        <v>0</v>
      </c>
    </row>
    <row r="53" spans="1:40" x14ac:dyDescent="0.15">
      <c r="A53" s="4" t="str">
        <f>HYPERLINK("https://ibp.a2mac1.com/costing(costing:projects/details/9760/process/12083012)","Process [2]")</f>
        <v>Process [2]</v>
      </c>
      <c r="B53" t="s">
        <v>693</v>
      </c>
      <c r="C53">
        <v>12083012</v>
      </c>
      <c r="D53">
        <v>8411047</v>
      </c>
      <c r="E53">
        <v>15.2</v>
      </c>
      <c r="F53">
        <v>0</v>
      </c>
      <c r="G53">
        <v>0</v>
      </c>
      <c r="H53">
        <v>3.0400000000000002E-4</v>
      </c>
      <c r="I53" t="s">
        <v>176</v>
      </c>
      <c r="J53">
        <v>0.53200000000000003</v>
      </c>
      <c r="K53">
        <v>15.732303999999999</v>
      </c>
      <c r="L53">
        <v>2.1485104887487601</v>
      </c>
      <c r="M53">
        <v>7.51978671062066</v>
      </c>
      <c r="N53">
        <v>23.25209071062066</v>
      </c>
      <c r="O53" t="s">
        <v>177</v>
      </c>
      <c r="P53">
        <v>0.94393824000000004</v>
      </c>
      <c r="Q53" t="s">
        <v>177</v>
      </c>
      <c r="R53">
        <v>0.4511872026372396</v>
      </c>
      <c r="S53" t="s">
        <v>178</v>
      </c>
      <c r="T53">
        <v>2.7902508852744794</v>
      </c>
      <c r="U53">
        <v>27.437467038532379</v>
      </c>
      <c r="V53">
        <v>0</v>
      </c>
      <c r="W53">
        <v>0</v>
      </c>
      <c r="X53">
        <v>0</v>
      </c>
      <c r="Y53">
        <v>0</v>
      </c>
      <c r="Z53">
        <v>0</v>
      </c>
      <c r="AA53">
        <v>610</v>
      </c>
      <c r="AB53">
        <v>1</v>
      </c>
      <c r="AC53">
        <v>0</v>
      </c>
      <c r="AD53">
        <v>1.9999600007999841E-3</v>
      </c>
      <c r="AE53">
        <v>10800</v>
      </c>
      <c r="AF53">
        <v>200000</v>
      </c>
      <c r="AG53">
        <v>16666.666666666668</v>
      </c>
      <c r="AH53">
        <v>1</v>
      </c>
      <c r="AI53">
        <v>1</v>
      </c>
      <c r="AJ53" t="s">
        <v>162</v>
      </c>
      <c r="AK53" t="s">
        <v>176</v>
      </c>
      <c r="AL53">
        <v>0</v>
      </c>
      <c r="AM53" t="s">
        <v>176</v>
      </c>
      <c r="AN53">
        <v>0</v>
      </c>
    </row>
    <row r="54" spans="1:40" x14ac:dyDescent="0.15">
      <c r="A54" s="4" t="str">
        <f>HYPERLINK("https://ibp.a2mac1.com/costing(costing:projects/details/9760/process/12083014)","Process")</f>
        <v>Process</v>
      </c>
      <c r="B54" t="s">
        <v>707</v>
      </c>
      <c r="C54">
        <v>12083014</v>
      </c>
      <c r="D54">
        <v>8411053</v>
      </c>
      <c r="E54">
        <v>41.64</v>
      </c>
      <c r="F54">
        <v>0</v>
      </c>
      <c r="G54">
        <v>0</v>
      </c>
      <c r="H54">
        <v>8.3279999999999997E-4</v>
      </c>
      <c r="I54" t="s">
        <v>176</v>
      </c>
      <c r="J54">
        <v>1.4574</v>
      </c>
      <c r="K54">
        <v>43.098232799999998</v>
      </c>
      <c r="L54">
        <v>4.1113441171010816</v>
      </c>
      <c r="M54">
        <v>24.66806470260649</v>
      </c>
      <c r="N54">
        <v>67.766297502606491</v>
      </c>
      <c r="O54" t="s">
        <v>177</v>
      </c>
      <c r="P54">
        <v>2.5858939680000002</v>
      </c>
      <c r="Q54" t="s">
        <v>177</v>
      </c>
      <c r="R54">
        <v>1.4800838821563893</v>
      </c>
      <c r="S54" t="s">
        <v>178</v>
      </c>
      <c r="T54">
        <v>8.131955700312778</v>
      </c>
      <c r="U54">
        <v>79.96423105307565</v>
      </c>
      <c r="V54">
        <v>0</v>
      </c>
      <c r="W54">
        <v>0</v>
      </c>
      <c r="X54">
        <v>0</v>
      </c>
      <c r="Y54">
        <v>0</v>
      </c>
      <c r="Z54">
        <v>0</v>
      </c>
      <c r="AA54">
        <v>2333</v>
      </c>
      <c r="AB54">
        <v>1</v>
      </c>
      <c r="AC54">
        <v>0</v>
      </c>
      <c r="AD54">
        <v>1.9999600007999841E-3</v>
      </c>
      <c r="AE54">
        <v>108000</v>
      </c>
      <c r="AF54">
        <v>400000</v>
      </c>
      <c r="AG54">
        <v>33333.333333333336</v>
      </c>
      <c r="AH54">
        <v>1</v>
      </c>
      <c r="AI54">
        <v>1</v>
      </c>
      <c r="AJ54" t="s">
        <v>162</v>
      </c>
      <c r="AK54" t="s">
        <v>176</v>
      </c>
      <c r="AL54">
        <v>0</v>
      </c>
      <c r="AM54" t="s">
        <v>176</v>
      </c>
      <c r="AN54">
        <v>0</v>
      </c>
    </row>
    <row r="55" spans="1:40" x14ac:dyDescent="0.15">
      <c r="A55" s="4" t="str">
        <f>HYPERLINK("https://ibp.a2mac1.com/costing(costing:projects/details/9760/process/12083015)","Process")</f>
        <v>Process</v>
      </c>
      <c r="B55" t="s">
        <v>707</v>
      </c>
      <c r="C55">
        <v>12083015</v>
      </c>
      <c r="D55">
        <v>8411057</v>
      </c>
      <c r="E55">
        <v>42.92</v>
      </c>
      <c r="F55">
        <v>0</v>
      </c>
      <c r="G55">
        <v>0</v>
      </c>
      <c r="H55">
        <v>8.5840000000000005E-4</v>
      </c>
      <c r="I55" t="s">
        <v>176</v>
      </c>
      <c r="J55">
        <v>1.5022</v>
      </c>
      <c r="K55">
        <v>44.423058400000002</v>
      </c>
      <c r="L55">
        <v>4.1412169842992741</v>
      </c>
      <c r="M55">
        <v>24.847301905795643</v>
      </c>
      <c r="N55">
        <v>69.270360305795649</v>
      </c>
      <c r="O55" t="s">
        <v>177</v>
      </c>
      <c r="P55">
        <v>2.6653835039999998</v>
      </c>
      <c r="Q55" t="s">
        <v>177</v>
      </c>
      <c r="R55">
        <v>1.4908381143477385</v>
      </c>
      <c r="S55" t="s">
        <v>178</v>
      </c>
      <c r="T55">
        <v>8.3124432366954775</v>
      </c>
      <c r="U55">
        <v>81.739025160838864</v>
      </c>
      <c r="V55">
        <v>0</v>
      </c>
      <c r="W55">
        <v>0</v>
      </c>
      <c r="X55">
        <v>0</v>
      </c>
      <c r="Y55">
        <v>0</v>
      </c>
      <c r="Z55">
        <v>0</v>
      </c>
      <c r="AA55">
        <v>2350</v>
      </c>
      <c r="AB55">
        <v>1</v>
      </c>
      <c r="AC55">
        <v>0</v>
      </c>
      <c r="AD55">
        <v>1.9999600007999841E-3</v>
      </c>
      <c r="AE55">
        <v>108000</v>
      </c>
      <c r="AF55">
        <v>400000</v>
      </c>
      <c r="AG55">
        <v>33333.333333333336</v>
      </c>
      <c r="AH55">
        <v>1</v>
      </c>
      <c r="AI55">
        <v>1</v>
      </c>
      <c r="AJ55" t="s">
        <v>162</v>
      </c>
      <c r="AK55" t="s">
        <v>176</v>
      </c>
      <c r="AL55">
        <v>0</v>
      </c>
      <c r="AM55" t="s">
        <v>176</v>
      </c>
      <c r="AN55">
        <v>0</v>
      </c>
    </row>
    <row r="56" spans="1:40" x14ac:dyDescent="0.15">
      <c r="A56" s="4" t="str">
        <f>HYPERLINK("https://ibp.a2mac1.com/costing(costing:projects/details/9760/process/12083033)","Process")</f>
        <v>Process</v>
      </c>
      <c r="B56" t="s">
        <v>360</v>
      </c>
      <c r="C56">
        <v>12083033</v>
      </c>
      <c r="D56">
        <v>8411147</v>
      </c>
      <c r="E56">
        <v>0</v>
      </c>
      <c r="F56">
        <v>0</v>
      </c>
      <c r="G56">
        <v>0</v>
      </c>
      <c r="H56">
        <v>0</v>
      </c>
      <c r="I56" t="s">
        <v>176</v>
      </c>
      <c r="J56">
        <v>0</v>
      </c>
      <c r="K56">
        <v>0</v>
      </c>
      <c r="L56">
        <v>0.2277397627292794</v>
      </c>
      <c r="M56">
        <v>0.79708916955247788</v>
      </c>
      <c r="N56">
        <v>0.79708916955247788</v>
      </c>
      <c r="O56" t="s">
        <v>90</v>
      </c>
      <c r="P56">
        <v>0</v>
      </c>
      <c r="Q56" t="s">
        <v>90</v>
      </c>
      <c r="R56">
        <v>0</v>
      </c>
      <c r="S56" t="s">
        <v>90</v>
      </c>
      <c r="T56">
        <v>0</v>
      </c>
      <c r="U56">
        <v>0.79708916955247788</v>
      </c>
      <c r="V56">
        <v>0</v>
      </c>
      <c r="W56">
        <v>0</v>
      </c>
      <c r="X56">
        <v>0</v>
      </c>
      <c r="Y56">
        <v>0</v>
      </c>
      <c r="Z56">
        <v>0</v>
      </c>
      <c r="AA56">
        <v>105</v>
      </c>
      <c r="AB56">
        <v>1</v>
      </c>
      <c r="AC56">
        <v>0</v>
      </c>
      <c r="AD56">
        <v>0</v>
      </c>
      <c r="AE56">
        <v>216</v>
      </c>
      <c r="AF56">
        <v>200000</v>
      </c>
      <c r="AG56">
        <v>10000</v>
      </c>
      <c r="AH56">
        <v>1</v>
      </c>
      <c r="AI56">
        <v>1</v>
      </c>
      <c r="AJ56" t="s">
        <v>76</v>
      </c>
      <c r="AK56" t="s">
        <v>176</v>
      </c>
      <c r="AL56">
        <v>0</v>
      </c>
      <c r="AM56" t="s">
        <v>176</v>
      </c>
      <c r="AN56">
        <v>0</v>
      </c>
    </row>
    <row r="57" spans="1:40" x14ac:dyDescent="0.15">
      <c r="A57" s="4" t="str">
        <f>HYPERLINK("https://ibp.a2mac1.com/costing(costing:projects/details/9760/process/12083056)","Process")</f>
        <v>Process</v>
      </c>
      <c r="B57" t="s">
        <v>739</v>
      </c>
      <c r="C57">
        <v>12083056</v>
      </c>
      <c r="D57">
        <v>8411279</v>
      </c>
      <c r="E57">
        <v>0.08</v>
      </c>
      <c r="F57">
        <v>0</v>
      </c>
      <c r="G57">
        <v>0</v>
      </c>
      <c r="H57">
        <v>4.0479999999999997E-4</v>
      </c>
      <c r="I57" t="s">
        <v>176</v>
      </c>
      <c r="J57">
        <v>2.8E-3</v>
      </c>
      <c r="K57">
        <v>8.3204799999999995E-2</v>
      </c>
      <c r="L57">
        <v>3.2381729665402474E-2</v>
      </c>
      <c r="M57">
        <v>0.19429037799241486</v>
      </c>
      <c r="N57">
        <v>0.27749517799241485</v>
      </c>
      <c r="O57" t="s">
        <v>177</v>
      </c>
      <c r="P57">
        <v>4.9922880000000001E-3</v>
      </c>
      <c r="Q57" t="s">
        <v>177</v>
      </c>
      <c r="R57">
        <v>1.1657422679544891E-2</v>
      </c>
      <c r="S57" t="s">
        <v>178</v>
      </c>
      <c r="T57">
        <v>3.3299421359089781E-2</v>
      </c>
      <c r="U57">
        <v>0.32744431003104951</v>
      </c>
      <c r="V57">
        <v>0</v>
      </c>
      <c r="W57">
        <v>0</v>
      </c>
      <c r="X57">
        <v>0</v>
      </c>
      <c r="Y57">
        <v>0</v>
      </c>
      <c r="Z57">
        <v>0</v>
      </c>
      <c r="AA57">
        <v>17</v>
      </c>
      <c r="AB57">
        <v>1</v>
      </c>
      <c r="AC57">
        <v>0.5</v>
      </c>
      <c r="AD57">
        <v>0.50345253019720215</v>
      </c>
      <c r="AE57">
        <v>10800</v>
      </c>
      <c r="AF57">
        <v>200000</v>
      </c>
      <c r="AG57">
        <v>16666.666666666668</v>
      </c>
      <c r="AH57">
        <v>1</v>
      </c>
      <c r="AI57">
        <v>1</v>
      </c>
      <c r="AJ57" t="s">
        <v>162</v>
      </c>
      <c r="AK57" t="s">
        <v>176</v>
      </c>
      <c r="AL57">
        <v>0</v>
      </c>
      <c r="AM57" t="s">
        <v>176</v>
      </c>
      <c r="AN57">
        <v>0</v>
      </c>
    </row>
    <row r="58" spans="1:40" x14ac:dyDescent="0.15">
      <c r="A58" s="4" t="str">
        <f>HYPERLINK("https://ibp.a2mac1.com/costing(costing:projects/details/9760/process/12083057)","Process")</f>
        <v>Process</v>
      </c>
      <c r="B58" t="s">
        <v>744</v>
      </c>
      <c r="C58">
        <v>12083057</v>
      </c>
      <c r="D58">
        <v>8411280</v>
      </c>
      <c r="E58">
        <v>20</v>
      </c>
      <c r="F58">
        <v>0</v>
      </c>
      <c r="G58">
        <v>0</v>
      </c>
      <c r="H58">
        <v>0.1012</v>
      </c>
      <c r="I58" t="s">
        <v>176</v>
      </c>
      <c r="J58">
        <v>0.7</v>
      </c>
      <c r="K58">
        <v>20.801200000000001</v>
      </c>
      <c r="L58">
        <v>0.11891983251537754</v>
      </c>
      <c r="M58">
        <v>0.71351899509226524</v>
      </c>
      <c r="N58">
        <v>21.514718995092267</v>
      </c>
      <c r="O58" t="s">
        <v>90</v>
      </c>
      <c r="P58">
        <v>0</v>
      </c>
      <c r="Q58" t="s">
        <v>90</v>
      </c>
      <c r="R58">
        <v>0</v>
      </c>
      <c r="S58" t="s">
        <v>90</v>
      </c>
      <c r="T58">
        <v>0</v>
      </c>
      <c r="U58">
        <v>21.514718995092267</v>
      </c>
      <c r="V58">
        <v>0</v>
      </c>
      <c r="W58">
        <v>0</v>
      </c>
      <c r="X58">
        <v>0</v>
      </c>
      <c r="Y58">
        <v>0</v>
      </c>
      <c r="Z58">
        <v>0</v>
      </c>
      <c r="AA58">
        <v>66</v>
      </c>
      <c r="AB58">
        <v>1</v>
      </c>
      <c r="AC58">
        <v>0.5</v>
      </c>
      <c r="AD58">
        <v>0.50345253019720215</v>
      </c>
      <c r="AE58">
        <v>10800</v>
      </c>
      <c r="AF58">
        <v>200000</v>
      </c>
      <c r="AG58">
        <v>16666.666666666668</v>
      </c>
      <c r="AH58">
        <v>1</v>
      </c>
      <c r="AI58">
        <v>1</v>
      </c>
      <c r="AJ58" t="s">
        <v>745</v>
      </c>
      <c r="AK58" t="s">
        <v>176</v>
      </c>
      <c r="AL58">
        <v>0</v>
      </c>
      <c r="AM58" t="s">
        <v>176</v>
      </c>
      <c r="AN58">
        <v>0</v>
      </c>
    </row>
    <row r="59" spans="1:40" x14ac:dyDescent="0.15">
      <c r="A59" s="4" t="str">
        <f>HYPERLINK("https://ibp.a2mac1.com/costing(costing:projects/details/9760/process/12083058)","Process")</f>
        <v>Process</v>
      </c>
      <c r="B59" t="s">
        <v>744</v>
      </c>
      <c r="C59">
        <v>12083058</v>
      </c>
      <c r="D59">
        <v>8411281</v>
      </c>
      <c r="E59">
        <v>17</v>
      </c>
      <c r="F59">
        <v>0</v>
      </c>
      <c r="G59">
        <v>0</v>
      </c>
      <c r="H59">
        <v>8.6019999999999999E-2</v>
      </c>
      <c r="I59" t="s">
        <v>176</v>
      </c>
      <c r="J59">
        <v>0.59499999999999997</v>
      </c>
      <c r="K59">
        <v>17.68102</v>
      </c>
      <c r="L59">
        <v>4.1243899592881732E-3</v>
      </c>
      <c r="M59">
        <v>2.4746339755729041E-2</v>
      </c>
      <c r="N59">
        <v>17.70576633975573</v>
      </c>
      <c r="O59" t="s">
        <v>90</v>
      </c>
      <c r="P59">
        <v>0</v>
      </c>
      <c r="Q59" t="s">
        <v>90</v>
      </c>
      <c r="R59">
        <v>0</v>
      </c>
      <c r="S59" t="s">
        <v>90</v>
      </c>
      <c r="T59">
        <v>0</v>
      </c>
      <c r="U59">
        <v>17.70576633975573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0.5</v>
      </c>
      <c r="AD59">
        <v>0.50345253019720215</v>
      </c>
      <c r="AE59">
        <v>10800</v>
      </c>
      <c r="AF59">
        <v>200000</v>
      </c>
      <c r="AG59">
        <v>16666.666666666668</v>
      </c>
      <c r="AH59">
        <v>1</v>
      </c>
      <c r="AI59">
        <v>1</v>
      </c>
      <c r="AJ59" t="s">
        <v>162</v>
      </c>
      <c r="AK59" t="s">
        <v>176</v>
      </c>
      <c r="AL59">
        <v>0</v>
      </c>
      <c r="AM59" t="s">
        <v>176</v>
      </c>
      <c r="AN59">
        <v>0</v>
      </c>
    </row>
    <row r="60" spans="1:40" x14ac:dyDescent="0.15">
      <c r="A60" s="4" t="str">
        <f>HYPERLINK("https://ibp.a2mac1.com/costing(costing:projects/details/9760/process/12083059)","Process")</f>
        <v>Process</v>
      </c>
      <c r="B60" t="s">
        <v>753</v>
      </c>
      <c r="C60">
        <v>12083059</v>
      </c>
      <c r="D60">
        <v>8411282</v>
      </c>
      <c r="E60">
        <v>0.2</v>
      </c>
      <c r="F60">
        <v>0</v>
      </c>
      <c r="G60">
        <v>0</v>
      </c>
      <c r="H60">
        <v>1.0120000000000001E-3</v>
      </c>
      <c r="I60" t="s">
        <v>176</v>
      </c>
      <c r="J60">
        <v>7.0000000000000001E-3</v>
      </c>
      <c r="K60">
        <v>0.208012</v>
      </c>
      <c r="L60">
        <v>1.1188724885816749E-2</v>
      </c>
      <c r="M60">
        <v>6.7132349314900502E-2</v>
      </c>
      <c r="N60">
        <v>0.2751443493149005</v>
      </c>
      <c r="O60" t="s">
        <v>177</v>
      </c>
      <c r="P60">
        <v>1.2480720000000001E-2</v>
      </c>
      <c r="Q60" t="s">
        <v>177</v>
      </c>
      <c r="R60">
        <v>4.02794095889403E-3</v>
      </c>
      <c r="S60" t="s">
        <v>178</v>
      </c>
      <c r="T60">
        <v>3.3017321917788056E-2</v>
      </c>
      <c r="U60">
        <v>0.32467033219158259</v>
      </c>
      <c r="V60">
        <v>0</v>
      </c>
      <c r="W60">
        <v>0</v>
      </c>
      <c r="X60">
        <v>0</v>
      </c>
      <c r="Y60">
        <v>0</v>
      </c>
      <c r="Z60">
        <v>0</v>
      </c>
      <c r="AA60">
        <v>5</v>
      </c>
      <c r="AB60">
        <v>1</v>
      </c>
      <c r="AC60">
        <v>0.5</v>
      </c>
      <c r="AD60">
        <v>0.50345253019720215</v>
      </c>
      <c r="AE60">
        <v>10800</v>
      </c>
      <c r="AF60">
        <v>200000</v>
      </c>
      <c r="AG60">
        <v>16666.666666666668</v>
      </c>
      <c r="AH60">
        <v>1</v>
      </c>
      <c r="AI60">
        <v>1</v>
      </c>
      <c r="AJ60" t="s">
        <v>162</v>
      </c>
      <c r="AK60" t="s">
        <v>176</v>
      </c>
      <c r="AL60">
        <v>0</v>
      </c>
      <c r="AM60" t="s">
        <v>176</v>
      </c>
      <c r="AN60">
        <v>0</v>
      </c>
    </row>
    <row r="61" spans="1:40" x14ac:dyDescent="0.15">
      <c r="A61" s="4" t="str">
        <f>HYPERLINK("https://ibp.a2mac1.com/costing(costing:projects/details/9760/process/12083060)","Process")</f>
        <v>Process</v>
      </c>
      <c r="B61" t="s">
        <v>761</v>
      </c>
      <c r="C61">
        <v>12083060</v>
      </c>
      <c r="D61">
        <v>8411284</v>
      </c>
      <c r="E61">
        <v>0.46</v>
      </c>
      <c r="F61">
        <v>0</v>
      </c>
      <c r="G61">
        <v>0</v>
      </c>
      <c r="H61">
        <v>2.3276E-3</v>
      </c>
      <c r="I61" t="s">
        <v>176</v>
      </c>
      <c r="J61">
        <v>1.61E-2</v>
      </c>
      <c r="K61">
        <v>0.47842760000000001</v>
      </c>
      <c r="L61">
        <v>7.6533822956206074E-2</v>
      </c>
      <c r="M61">
        <v>0.45920293773723647</v>
      </c>
      <c r="N61">
        <v>0.93763053773723648</v>
      </c>
      <c r="O61" t="s">
        <v>177</v>
      </c>
      <c r="P61">
        <v>2.8705656E-2</v>
      </c>
      <c r="Q61" t="s">
        <v>177</v>
      </c>
      <c r="R61">
        <v>2.7552176264234188E-2</v>
      </c>
      <c r="S61" t="s">
        <v>178</v>
      </c>
      <c r="T61">
        <v>0.11251566452846838</v>
      </c>
      <c r="U61">
        <v>1.1064040345299391</v>
      </c>
      <c r="V61">
        <v>0</v>
      </c>
      <c r="W61">
        <v>0</v>
      </c>
      <c r="X61">
        <v>0</v>
      </c>
      <c r="Y61">
        <v>0</v>
      </c>
      <c r="Z61">
        <v>0</v>
      </c>
      <c r="AA61">
        <v>42</v>
      </c>
      <c r="AB61">
        <v>1</v>
      </c>
      <c r="AC61">
        <v>0.5</v>
      </c>
      <c r="AD61">
        <v>0.50345253019720215</v>
      </c>
      <c r="AE61">
        <v>10800</v>
      </c>
      <c r="AF61">
        <v>200000</v>
      </c>
      <c r="AG61">
        <v>16666.666666666668</v>
      </c>
      <c r="AH61">
        <v>1</v>
      </c>
      <c r="AI61">
        <v>1</v>
      </c>
      <c r="AJ61" t="s">
        <v>162</v>
      </c>
      <c r="AK61" t="s">
        <v>176</v>
      </c>
      <c r="AL61">
        <v>0</v>
      </c>
      <c r="AM61" t="s">
        <v>176</v>
      </c>
      <c r="AN61">
        <v>0</v>
      </c>
    </row>
    <row r="62" spans="1:40" x14ac:dyDescent="0.15">
      <c r="A62" s="4" t="str">
        <f>HYPERLINK("https://ibp.a2mac1.com/costing(costing:projects/details/9760/process/12083061)","Process")</f>
        <v>Process</v>
      </c>
      <c r="B62" t="s">
        <v>769</v>
      </c>
      <c r="C62">
        <v>12083061</v>
      </c>
      <c r="D62">
        <v>8411286</v>
      </c>
      <c r="E62">
        <v>0.02</v>
      </c>
      <c r="F62">
        <v>0</v>
      </c>
      <c r="G62">
        <v>0</v>
      </c>
      <c r="H62">
        <v>1.0060000000000001E-4</v>
      </c>
      <c r="I62" t="s">
        <v>176</v>
      </c>
      <c r="J62">
        <v>6.9999999999999999E-4</v>
      </c>
      <c r="K62">
        <v>2.0800599999999999E-2</v>
      </c>
      <c r="L62">
        <v>1.2755256416810239E-2</v>
      </c>
      <c r="M62">
        <v>7.6531538500861432E-2</v>
      </c>
      <c r="N62">
        <v>9.7332138500861434E-2</v>
      </c>
      <c r="O62" t="s">
        <v>177</v>
      </c>
      <c r="P62">
        <v>1.2480359999999999E-3</v>
      </c>
      <c r="Q62" t="s">
        <v>177</v>
      </c>
      <c r="R62">
        <v>4.5918923100516859E-3</v>
      </c>
      <c r="S62" t="s">
        <v>178</v>
      </c>
      <c r="T62">
        <v>1.1679856620103372E-2</v>
      </c>
      <c r="U62">
        <v>0.11485192343101649</v>
      </c>
      <c r="V62">
        <v>0</v>
      </c>
      <c r="W62">
        <v>0</v>
      </c>
      <c r="X62">
        <v>0</v>
      </c>
      <c r="Y62">
        <v>0</v>
      </c>
      <c r="Z62">
        <v>0</v>
      </c>
      <c r="AA62">
        <v>7</v>
      </c>
      <c r="AB62">
        <v>1</v>
      </c>
      <c r="AC62">
        <v>0.5</v>
      </c>
      <c r="AD62">
        <v>0.50048257265952256</v>
      </c>
      <c r="AE62">
        <v>10800</v>
      </c>
      <c r="AF62">
        <v>1200000</v>
      </c>
      <c r="AG62">
        <v>100000</v>
      </c>
      <c r="AH62">
        <v>1</v>
      </c>
      <c r="AI62">
        <v>1</v>
      </c>
      <c r="AJ62" t="s">
        <v>162</v>
      </c>
      <c r="AK62" t="s">
        <v>176</v>
      </c>
      <c r="AL62">
        <v>0</v>
      </c>
      <c r="AM62" t="s">
        <v>176</v>
      </c>
      <c r="AN62">
        <v>0</v>
      </c>
    </row>
    <row r="63" spans="1:40" x14ac:dyDescent="0.15">
      <c r="A63" s="4" t="str">
        <f>HYPERLINK("https://ibp.a2mac1.com/costing(costing:projects/details/9760/process/12083034)","Final Assembly + Inspection")</f>
        <v>Final Assembly + Inspection</v>
      </c>
      <c r="C63">
        <v>12083034</v>
      </c>
      <c r="D63">
        <v>8411148</v>
      </c>
      <c r="E63">
        <v>0</v>
      </c>
      <c r="F63">
        <v>0</v>
      </c>
      <c r="G63">
        <v>0</v>
      </c>
      <c r="H63">
        <v>0</v>
      </c>
      <c r="I63" t="s">
        <v>176</v>
      </c>
      <c r="J63">
        <v>0</v>
      </c>
      <c r="K63">
        <v>0</v>
      </c>
      <c r="L63">
        <v>0.14464504391757629</v>
      </c>
      <c r="M63">
        <v>0.86787026350545782</v>
      </c>
      <c r="N63">
        <v>0.86787026350545782</v>
      </c>
      <c r="O63" t="s">
        <v>90</v>
      </c>
      <c r="P63">
        <v>0</v>
      </c>
      <c r="Q63" t="s">
        <v>90</v>
      </c>
      <c r="R63">
        <v>0</v>
      </c>
      <c r="S63" t="s">
        <v>90</v>
      </c>
      <c r="T63">
        <v>0</v>
      </c>
      <c r="U63">
        <v>0.86787026350545782</v>
      </c>
      <c r="V63">
        <v>0</v>
      </c>
      <c r="W63">
        <v>0</v>
      </c>
      <c r="X63">
        <v>0</v>
      </c>
      <c r="Y63">
        <v>0</v>
      </c>
      <c r="Z63">
        <v>0</v>
      </c>
      <c r="AA63">
        <v>80</v>
      </c>
      <c r="AB63">
        <v>1</v>
      </c>
      <c r="AC63">
        <v>0.1</v>
      </c>
      <c r="AD63">
        <v>0.10987913295375087</v>
      </c>
      <c r="AE63">
        <v>10800</v>
      </c>
      <c r="AF63">
        <v>200000</v>
      </c>
      <c r="AG63">
        <v>10000</v>
      </c>
      <c r="AH63">
        <v>1</v>
      </c>
      <c r="AI63">
        <v>1</v>
      </c>
      <c r="AJ63" t="s">
        <v>76</v>
      </c>
      <c r="AK63" t="s">
        <v>176</v>
      </c>
      <c r="AL63">
        <v>0</v>
      </c>
      <c r="AM63" t="s">
        <v>176</v>
      </c>
      <c r="AN63">
        <v>0</v>
      </c>
    </row>
    <row r="64" spans="1:40" x14ac:dyDescent="0.15">
      <c r="A64" s="4" t="str">
        <f>HYPERLINK("https://ibp.a2mac1.com/costing(costing:projects/details/9760/process/12083062)","Process")</f>
        <v>Process</v>
      </c>
      <c r="B64" t="s">
        <v>744</v>
      </c>
      <c r="C64">
        <v>12083062</v>
      </c>
      <c r="D64">
        <v>8411287</v>
      </c>
      <c r="E64">
        <v>20</v>
      </c>
      <c r="F64">
        <v>0</v>
      </c>
      <c r="G64">
        <v>0</v>
      </c>
      <c r="H64">
        <v>0.1012</v>
      </c>
      <c r="I64" t="s">
        <v>176</v>
      </c>
      <c r="J64">
        <v>0.7</v>
      </c>
      <c r="K64">
        <v>20.801200000000001</v>
      </c>
      <c r="L64">
        <v>0.14364500475822756</v>
      </c>
      <c r="M64">
        <v>0.86187002854936534</v>
      </c>
      <c r="N64">
        <v>21.663070028549367</v>
      </c>
      <c r="O64" t="s">
        <v>90</v>
      </c>
      <c r="P64">
        <v>0</v>
      </c>
      <c r="Q64" t="s">
        <v>90</v>
      </c>
      <c r="R64">
        <v>0</v>
      </c>
      <c r="S64" t="s">
        <v>90</v>
      </c>
      <c r="T64">
        <v>0</v>
      </c>
      <c r="U64">
        <v>21.663070028549367</v>
      </c>
      <c r="V64">
        <v>0</v>
      </c>
      <c r="W64">
        <v>0</v>
      </c>
      <c r="X64">
        <v>0</v>
      </c>
      <c r="Y64">
        <v>0</v>
      </c>
      <c r="Z64">
        <v>0</v>
      </c>
      <c r="AA64">
        <v>80</v>
      </c>
      <c r="AB64">
        <v>1</v>
      </c>
      <c r="AC64">
        <v>0.5</v>
      </c>
      <c r="AD64">
        <v>0.50345253019720215</v>
      </c>
      <c r="AE64">
        <v>10800</v>
      </c>
      <c r="AF64">
        <v>200000</v>
      </c>
      <c r="AG64">
        <v>16666.666666666668</v>
      </c>
      <c r="AH64">
        <v>1</v>
      </c>
      <c r="AI64">
        <v>1</v>
      </c>
      <c r="AJ64" t="s">
        <v>162</v>
      </c>
      <c r="AK64" t="s">
        <v>176</v>
      </c>
      <c r="AL64">
        <v>0</v>
      </c>
      <c r="AM64" t="s">
        <v>176</v>
      </c>
      <c r="AN64">
        <v>0</v>
      </c>
    </row>
    <row r="65" spans="1:40" x14ac:dyDescent="0.15">
      <c r="A65" s="4" t="str">
        <f>HYPERLINK("https://ibp.a2mac1.com/costing(costing:projects/details/9760/process/12083063)","Process")</f>
        <v>Process</v>
      </c>
      <c r="B65" t="s">
        <v>753</v>
      </c>
      <c r="C65">
        <v>12083063</v>
      </c>
      <c r="D65">
        <v>8411288</v>
      </c>
      <c r="E65">
        <v>0.26</v>
      </c>
      <c r="F65">
        <v>0</v>
      </c>
      <c r="G65">
        <v>0</v>
      </c>
      <c r="H65">
        <v>1.3156000000000001E-3</v>
      </c>
      <c r="I65" t="s">
        <v>176</v>
      </c>
      <c r="J65">
        <v>9.1000000000000004E-3</v>
      </c>
      <c r="K65">
        <v>0.27041559999999998</v>
      </c>
      <c r="L65">
        <v>1.1188724885816749E-2</v>
      </c>
      <c r="M65">
        <v>6.7132349314900502E-2</v>
      </c>
      <c r="N65">
        <v>0.33754794931490051</v>
      </c>
      <c r="O65" t="s">
        <v>177</v>
      </c>
      <c r="P65">
        <v>1.6224935999999999E-2</v>
      </c>
      <c r="Q65" t="s">
        <v>177</v>
      </c>
      <c r="R65">
        <v>4.02794095889403E-3</v>
      </c>
      <c r="S65" t="s">
        <v>178</v>
      </c>
      <c r="T65">
        <v>4.0505753917788059E-2</v>
      </c>
      <c r="U65">
        <v>0.3983065801915826</v>
      </c>
      <c r="V65">
        <v>0</v>
      </c>
      <c r="W65">
        <v>0</v>
      </c>
      <c r="X65">
        <v>0</v>
      </c>
      <c r="Y65">
        <v>0</v>
      </c>
      <c r="Z65">
        <v>0</v>
      </c>
      <c r="AA65">
        <v>5</v>
      </c>
      <c r="AB65">
        <v>1</v>
      </c>
      <c r="AC65">
        <v>0.5</v>
      </c>
      <c r="AD65">
        <v>0.50345253019720215</v>
      </c>
      <c r="AE65">
        <v>10800</v>
      </c>
      <c r="AF65">
        <v>200000</v>
      </c>
      <c r="AG65">
        <v>16666.666666666668</v>
      </c>
      <c r="AH65">
        <v>1</v>
      </c>
      <c r="AI65">
        <v>1</v>
      </c>
      <c r="AJ65" t="s">
        <v>162</v>
      </c>
      <c r="AK65" t="s">
        <v>176</v>
      </c>
      <c r="AL65">
        <v>0</v>
      </c>
      <c r="AM65" t="s">
        <v>176</v>
      </c>
      <c r="AN65">
        <v>0</v>
      </c>
    </row>
    <row r="66" spans="1:40" x14ac:dyDescent="0.15">
      <c r="A66" s="4" t="str">
        <f>HYPERLINK("https://ibp.a2mac1.com/costing(costing:projects/details/9760/process/12083064)","Process")</f>
        <v>Process</v>
      </c>
      <c r="B66" t="s">
        <v>753</v>
      </c>
      <c r="C66">
        <v>12083064</v>
      </c>
      <c r="D66">
        <v>8411289</v>
      </c>
      <c r="E66">
        <v>4.1843437999999997E-2</v>
      </c>
      <c r="F66">
        <v>0</v>
      </c>
      <c r="G66">
        <v>0</v>
      </c>
      <c r="H66">
        <v>2.3266790799999999E-4</v>
      </c>
      <c r="I66" t="s">
        <v>176</v>
      </c>
      <c r="J66">
        <v>1.6093629999999999E-3</v>
      </c>
      <c r="K66">
        <v>4.3685468908E-2</v>
      </c>
      <c r="L66">
        <v>9.422641154184605E-3</v>
      </c>
      <c r="M66">
        <v>5.653584692510763E-2</v>
      </c>
      <c r="N66">
        <v>0.10022131583310763</v>
      </c>
      <c r="O66" t="s">
        <v>177</v>
      </c>
      <c r="P66">
        <v>2.62112813448E-3</v>
      </c>
      <c r="Q66" t="s">
        <v>177</v>
      </c>
      <c r="R66">
        <v>3.392150815506458E-3</v>
      </c>
      <c r="S66" t="s">
        <v>178</v>
      </c>
      <c r="T66">
        <v>1.2026557899972916E-2</v>
      </c>
      <c r="U66">
        <v>0.118261152683067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1</v>
      </c>
      <c r="AC66">
        <v>0.5</v>
      </c>
      <c r="AD66">
        <v>0.50345253019720215</v>
      </c>
      <c r="AE66">
        <v>10800</v>
      </c>
      <c r="AF66">
        <v>200000</v>
      </c>
      <c r="AG66">
        <v>16666.666666666668</v>
      </c>
      <c r="AH66">
        <v>1</v>
      </c>
      <c r="AI66">
        <v>1</v>
      </c>
      <c r="AJ66" t="s">
        <v>162</v>
      </c>
      <c r="AK66" t="s">
        <v>176</v>
      </c>
      <c r="AL66">
        <v>0</v>
      </c>
      <c r="AM66" t="s">
        <v>176</v>
      </c>
      <c r="AN66">
        <v>0</v>
      </c>
    </row>
    <row r="67" spans="1:40" x14ac:dyDescent="0.15">
      <c r="A67" s="4" t="str">
        <f>HYPERLINK("https://ibp.a2mac1.com/costing(costing:projects/details/9760/process/12083065)","Process")</f>
        <v>Process</v>
      </c>
      <c r="B67" t="s">
        <v>794</v>
      </c>
      <c r="C67">
        <v>12083065</v>
      </c>
      <c r="D67">
        <v>8411291</v>
      </c>
      <c r="E67">
        <v>0.38867333399999998</v>
      </c>
      <c r="F67">
        <v>0</v>
      </c>
      <c r="G67">
        <v>0</v>
      </c>
      <c r="H67">
        <v>1.9716161103157893E-3</v>
      </c>
      <c r="I67" t="s">
        <v>176</v>
      </c>
      <c r="J67">
        <v>1.3637660842105263E-2</v>
      </c>
      <c r="K67">
        <v>0.40428261095242107</v>
      </c>
      <c r="L67">
        <v>5.7106901908252496E-2</v>
      </c>
      <c r="M67">
        <v>0.34264141144951499</v>
      </c>
      <c r="N67">
        <v>0.74692402240193601</v>
      </c>
      <c r="O67" t="s">
        <v>177</v>
      </c>
      <c r="P67">
        <v>2.4256956657145261E-2</v>
      </c>
      <c r="Q67" t="s">
        <v>177</v>
      </c>
      <c r="R67">
        <v>2.0558484686970899E-2</v>
      </c>
      <c r="S67" t="s">
        <v>178</v>
      </c>
      <c r="T67">
        <v>8.9630882688232327E-2</v>
      </c>
      <c r="U67">
        <v>0.88137034643428447</v>
      </c>
      <c r="V67">
        <v>0</v>
      </c>
      <c r="W67">
        <v>0</v>
      </c>
      <c r="X67">
        <v>0</v>
      </c>
      <c r="Y67">
        <v>0</v>
      </c>
      <c r="Z67">
        <v>0</v>
      </c>
      <c r="AA67">
        <v>31</v>
      </c>
      <c r="AB67">
        <v>1</v>
      </c>
      <c r="AC67">
        <v>0.5</v>
      </c>
      <c r="AD67">
        <v>0.50345253019720215</v>
      </c>
      <c r="AE67">
        <v>10800</v>
      </c>
      <c r="AF67">
        <v>200000</v>
      </c>
      <c r="AG67">
        <v>16666.666666666668</v>
      </c>
      <c r="AH67">
        <v>1</v>
      </c>
      <c r="AI67">
        <v>1</v>
      </c>
      <c r="AJ67" t="s">
        <v>162</v>
      </c>
      <c r="AK67" t="s">
        <v>176</v>
      </c>
      <c r="AL67">
        <v>0</v>
      </c>
      <c r="AM67" t="s">
        <v>176</v>
      </c>
      <c r="AN67">
        <v>0</v>
      </c>
    </row>
    <row r="68" spans="1:40" x14ac:dyDescent="0.15">
      <c r="A68" s="4" t="str">
        <f>HYPERLINK("https://ibp.a2mac1.com/costing(costing:projects/details/9760/process/12083035)","Final Assembly + Inspection")</f>
        <v>Final Assembly + Inspection</v>
      </c>
      <c r="C68">
        <v>12083035</v>
      </c>
      <c r="D68">
        <v>8411149</v>
      </c>
      <c r="E68">
        <v>0</v>
      </c>
      <c r="F68">
        <v>0</v>
      </c>
      <c r="G68">
        <v>0</v>
      </c>
      <c r="H68">
        <v>0</v>
      </c>
      <c r="I68" t="s">
        <v>176</v>
      </c>
      <c r="J68">
        <v>0</v>
      </c>
      <c r="K68">
        <v>0</v>
      </c>
      <c r="L68">
        <v>0.14464504391757629</v>
      </c>
      <c r="M68">
        <v>0.86787026350545782</v>
      </c>
      <c r="N68">
        <v>0.86787026350545782</v>
      </c>
      <c r="O68" t="s">
        <v>90</v>
      </c>
      <c r="P68">
        <v>0</v>
      </c>
      <c r="Q68" t="s">
        <v>90</v>
      </c>
      <c r="R68">
        <v>0</v>
      </c>
      <c r="S68" t="s">
        <v>90</v>
      </c>
      <c r="T68">
        <v>0</v>
      </c>
      <c r="U68">
        <v>0.86787026350545782</v>
      </c>
      <c r="V68">
        <v>0</v>
      </c>
      <c r="W68">
        <v>0</v>
      </c>
      <c r="X68">
        <v>0</v>
      </c>
      <c r="Y68">
        <v>0</v>
      </c>
      <c r="Z68">
        <v>0</v>
      </c>
      <c r="AA68">
        <v>80</v>
      </c>
      <c r="AB68">
        <v>1</v>
      </c>
      <c r="AC68">
        <v>0.1</v>
      </c>
      <c r="AD68">
        <v>0.10987913295375087</v>
      </c>
      <c r="AE68">
        <v>10800</v>
      </c>
      <c r="AF68">
        <v>200000</v>
      </c>
      <c r="AG68">
        <v>10000</v>
      </c>
      <c r="AH68">
        <v>1</v>
      </c>
      <c r="AI68">
        <v>1</v>
      </c>
      <c r="AJ68" t="s">
        <v>76</v>
      </c>
      <c r="AK68" t="s">
        <v>176</v>
      </c>
      <c r="AL68">
        <v>0</v>
      </c>
      <c r="AM68" t="s">
        <v>176</v>
      </c>
      <c r="AN68">
        <v>0</v>
      </c>
    </row>
    <row r="69" spans="1:40" x14ac:dyDescent="0.15">
      <c r="A69" s="4" t="str">
        <f>HYPERLINK("https://ibp.a2mac1.com/costing(costing:projects/details/9760/process/12083066)","Final Assembly + Inspection")</f>
        <v>Final Assembly + Inspection</v>
      </c>
      <c r="C69">
        <v>12083066</v>
      </c>
      <c r="D69">
        <v>8411292</v>
      </c>
      <c r="E69">
        <v>0</v>
      </c>
      <c r="F69">
        <v>0</v>
      </c>
      <c r="G69">
        <v>0</v>
      </c>
      <c r="H69">
        <v>0</v>
      </c>
      <c r="I69" t="s">
        <v>176</v>
      </c>
      <c r="J69">
        <v>0</v>
      </c>
      <c r="K69">
        <v>0</v>
      </c>
      <c r="L69">
        <v>0.2345394895988839</v>
      </c>
      <c r="M69">
        <v>1.4072369375933034</v>
      </c>
      <c r="N69">
        <v>1.4072369375933034</v>
      </c>
      <c r="O69" t="s">
        <v>90</v>
      </c>
      <c r="P69">
        <v>0</v>
      </c>
      <c r="Q69" t="s">
        <v>90</v>
      </c>
      <c r="R69">
        <v>0</v>
      </c>
      <c r="S69" t="s">
        <v>90</v>
      </c>
      <c r="T69">
        <v>0</v>
      </c>
      <c r="U69">
        <v>1.4072369375933034</v>
      </c>
      <c r="V69">
        <v>0</v>
      </c>
      <c r="W69">
        <v>0</v>
      </c>
      <c r="X69">
        <v>0</v>
      </c>
      <c r="Y69">
        <v>0</v>
      </c>
      <c r="Z69">
        <v>0</v>
      </c>
      <c r="AA69">
        <v>132</v>
      </c>
      <c r="AB69">
        <v>1</v>
      </c>
      <c r="AC69">
        <v>0.1</v>
      </c>
      <c r="AD69">
        <v>0.10389195236953569</v>
      </c>
      <c r="AE69">
        <v>10800</v>
      </c>
      <c r="AF69">
        <v>200000</v>
      </c>
      <c r="AG69">
        <v>16666.666666666668</v>
      </c>
      <c r="AH69">
        <v>1</v>
      </c>
      <c r="AI69">
        <v>1</v>
      </c>
      <c r="AJ69" t="s">
        <v>162</v>
      </c>
      <c r="AK69" t="s">
        <v>176</v>
      </c>
      <c r="AL69">
        <v>0</v>
      </c>
      <c r="AM69" t="s">
        <v>176</v>
      </c>
      <c r="AN69">
        <v>0</v>
      </c>
    </row>
    <row r="70" spans="1:40" x14ac:dyDescent="0.15">
      <c r="A70" s="4" t="str">
        <f>HYPERLINK("https://ibp.a2mac1.com/costing(costing:projects/details/9760/process/12083067)","Process")</f>
        <v>Process</v>
      </c>
      <c r="B70" t="s">
        <v>744</v>
      </c>
      <c r="C70">
        <v>12083067</v>
      </c>
      <c r="D70">
        <v>8411293</v>
      </c>
      <c r="E70">
        <v>17</v>
      </c>
      <c r="F70">
        <v>0</v>
      </c>
      <c r="G70">
        <v>0</v>
      </c>
      <c r="H70">
        <v>8.6019999999999999E-2</v>
      </c>
      <c r="I70" t="s">
        <v>176</v>
      </c>
      <c r="J70">
        <v>0.59499999999999997</v>
      </c>
      <c r="K70">
        <v>17.68102</v>
      </c>
      <c r="L70">
        <v>0.12951633490517039</v>
      </c>
      <c r="M70">
        <v>0.77709800943102236</v>
      </c>
      <c r="N70">
        <v>18.458118009431022</v>
      </c>
      <c r="O70" t="s">
        <v>90</v>
      </c>
      <c r="P70">
        <v>0</v>
      </c>
      <c r="Q70" t="s">
        <v>90</v>
      </c>
      <c r="R70">
        <v>0</v>
      </c>
      <c r="S70" t="s">
        <v>90</v>
      </c>
      <c r="T70">
        <v>0</v>
      </c>
      <c r="U70">
        <v>18.458118009431022</v>
      </c>
      <c r="V70">
        <v>0</v>
      </c>
      <c r="W70">
        <v>0</v>
      </c>
      <c r="X70">
        <v>0</v>
      </c>
      <c r="Y70">
        <v>0</v>
      </c>
      <c r="Z70">
        <v>0</v>
      </c>
      <c r="AA70">
        <v>72</v>
      </c>
      <c r="AB70">
        <v>1</v>
      </c>
      <c r="AC70">
        <v>0.5</v>
      </c>
      <c r="AD70">
        <v>0.50345253019720215</v>
      </c>
      <c r="AE70">
        <v>10800</v>
      </c>
      <c r="AF70">
        <v>200000</v>
      </c>
      <c r="AG70">
        <v>16666.666666666668</v>
      </c>
      <c r="AH70">
        <v>1</v>
      </c>
      <c r="AI70">
        <v>1</v>
      </c>
      <c r="AJ70" t="s">
        <v>162</v>
      </c>
      <c r="AK70" t="s">
        <v>176</v>
      </c>
      <c r="AL70">
        <v>0</v>
      </c>
      <c r="AM70" t="s">
        <v>176</v>
      </c>
      <c r="AN70">
        <v>0</v>
      </c>
    </row>
    <row r="71" spans="1:40" x14ac:dyDescent="0.15">
      <c r="A71" s="4" t="str">
        <f>HYPERLINK("https://ibp.a2mac1.com/costing(costing:projects/details/9760/process/12083068)","Process")</f>
        <v>Process</v>
      </c>
      <c r="B71" t="s">
        <v>753</v>
      </c>
      <c r="C71">
        <v>12083068</v>
      </c>
      <c r="D71">
        <v>8411295</v>
      </c>
      <c r="E71">
        <v>0.2</v>
      </c>
      <c r="F71">
        <v>0</v>
      </c>
      <c r="G71">
        <v>0</v>
      </c>
      <c r="H71">
        <v>1.0120000000000001E-3</v>
      </c>
      <c r="I71" t="s">
        <v>176</v>
      </c>
      <c r="J71">
        <v>7.0000000000000001E-3</v>
      </c>
      <c r="K71">
        <v>0.208012</v>
      </c>
      <c r="L71">
        <v>2.5317394738873903E-2</v>
      </c>
      <c r="M71">
        <v>0.1519043684332434</v>
      </c>
      <c r="N71">
        <v>0.35991636843324343</v>
      </c>
      <c r="O71" t="s">
        <v>177</v>
      </c>
      <c r="P71">
        <v>1.2480720000000001E-2</v>
      </c>
      <c r="Q71" t="s">
        <v>177</v>
      </c>
      <c r="R71">
        <v>9.1142621059946052E-3</v>
      </c>
      <c r="S71" t="s">
        <v>178</v>
      </c>
      <c r="T71">
        <v>4.3189964211989208E-2</v>
      </c>
      <c r="U71">
        <v>0.42470131475122724</v>
      </c>
      <c r="V71">
        <v>0</v>
      </c>
      <c r="W71">
        <v>0</v>
      </c>
      <c r="X71">
        <v>0</v>
      </c>
      <c r="Y71">
        <v>0</v>
      </c>
      <c r="Z71">
        <v>0</v>
      </c>
      <c r="AA71">
        <v>13</v>
      </c>
      <c r="AB71">
        <v>1</v>
      </c>
      <c r="AC71">
        <v>0.5</v>
      </c>
      <c r="AD71">
        <v>0.50345253019720215</v>
      </c>
      <c r="AE71">
        <v>10800</v>
      </c>
      <c r="AF71">
        <v>200000</v>
      </c>
      <c r="AG71">
        <v>16666.666666666668</v>
      </c>
      <c r="AH71">
        <v>1</v>
      </c>
      <c r="AI71">
        <v>1</v>
      </c>
      <c r="AJ71" t="s">
        <v>162</v>
      </c>
      <c r="AK71" t="s">
        <v>176</v>
      </c>
      <c r="AL71">
        <v>0</v>
      </c>
      <c r="AM71" t="s">
        <v>176</v>
      </c>
      <c r="AN71">
        <v>0</v>
      </c>
    </row>
    <row r="72" spans="1:40" x14ac:dyDescent="0.15">
      <c r="A72" s="4" t="str">
        <f>HYPERLINK("https://ibp.a2mac1.com/costing(costing:projects/details/9760/process/12083069)","Final Assembly + Inspection")</f>
        <v>Final Assembly + Inspection</v>
      </c>
      <c r="C72">
        <v>12083069</v>
      </c>
      <c r="D72">
        <v>8411296</v>
      </c>
      <c r="E72">
        <v>0</v>
      </c>
      <c r="F72">
        <v>0</v>
      </c>
      <c r="G72">
        <v>0</v>
      </c>
      <c r="H72">
        <v>0</v>
      </c>
      <c r="I72" t="s">
        <v>176</v>
      </c>
      <c r="J72">
        <v>0</v>
      </c>
      <c r="K72">
        <v>0</v>
      </c>
      <c r="L72">
        <v>0.2345394895988839</v>
      </c>
      <c r="M72">
        <v>1.4072369375933034</v>
      </c>
      <c r="N72">
        <v>1.4072369375933034</v>
      </c>
      <c r="O72" t="s">
        <v>90</v>
      </c>
      <c r="P72">
        <v>0</v>
      </c>
      <c r="Q72" t="s">
        <v>90</v>
      </c>
      <c r="R72">
        <v>0</v>
      </c>
      <c r="S72" t="s">
        <v>90</v>
      </c>
      <c r="T72">
        <v>0</v>
      </c>
      <c r="U72">
        <v>1.4072369375933034</v>
      </c>
      <c r="V72">
        <v>0</v>
      </c>
      <c r="W72">
        <v>0</v>
      </c>
      <c r="X72">
        <v>0</v>
      </c>
      <c r="Y72">
        <v>0</v>
      </c>
      <c r="Z72">
        <v>0</v>
      </c>
      <c r="AA72">
        <v>132</v>
      </c>
      <c r="AB72">
        <v>1</v>
      </c>
      <c r="AC72">
        <v>0.1</v>
      </c>
      <c r="AD72">
        <v>0.10389195236953569</v>
      </c>
      <c r="AE72">
        <v>10800</v>
      </c>
      <c r="AF72">
        <v>200000</v>
      </c>
      <c r="AG72">
        <v>16666.666666666668</v>
      </c>
      <c r="AH72">
        <v>1</v>
      </c>
      <c r="AI72">
        <v>1</v>
      </c>
      <c r="AJ72" t="s">
        <v>162</v>
      </c>
      <c r="AK72" t="s">
        <v>176</v>
      </c>
      <c r="AL72">
        <v>0</v>
      </c>
      <c r="AM72" t="s">
        <v>176</v>
      </c>
      <c r="AN72">
        <v>0</v>
      </c>
    </row>
    <row r="73" spans="1:40" x14ac:dyDescent="0.15">
      <c r="A73" s="4" t="str">
        <f>HYPERLINK("https://ibp.a2mac1.com/costing(costing:projects/details/9760/process/12083070)","Process")</f>
        <v>Process</v>
      </c>
      <c r="B73" t="s">
        <v>744</v>
      </c>
      <c r="C73">
        <v>12083070</v>
      </c>
      <c r="D73">
        <v>8411297</v>
      </c>
      <c r="E73">
        <v>13.63</v>
      </c>
      <c r="F73">
        <v>0</v>
      </c>
      <c r="G73">
        <v>0</v>
      </c>
      <c r="H73">
        <v>6.8967799999999996E-2</v>
      </c>
      <c r="I73" t="s">
        <v>176</v>
      </c>
      <c r="J73">
        <v>0.47704999999999997</v>
      </c>
      <c r="K73">
        <v>14.1760178</v>
      </c>
      <c r="L73">
        <v>0.12951633490517039</v>
      </c>
      <c r="M73">
        <v>0.77709800943102236</v>
      </c>
      <c r="N73">
        <v>14.953115809431022</v>
      </c>
      <c r="O73" t="s">
        <v>90</v>
      </c>
      <c r="P73">
        <v>0</v>
      </c>
      <c r="Q73" t="s">
        <v>90</v>
      </c>
      <c r="R73">
        <v>0</v>
      </c>
      <c r="S73" t="s">
        <v>90</v>
      </c>
      <c r="T73">
        <v>0</v>
      </c>
      <c r="U73">
        <v>14.953115809431022</v>
      </c>
      <c r="V73">
        <v>0</v>
      </c>
      <c r="W73">
        <v>0</v>
      </c>
      <c r="X73">
        <v>0</v>
      </c>
      <c r="Y73">
        <v>0</v>
      </c>
      <c r="Z73">
        <v>0</v>
      </c>
      <c r="AA73">
        <v>72</v>
      </c>
      <c r="AB73">
        <v>1</v>
      </c>
      <c r="AC73">
        <v>0.5</v>
      </c>
      <c r="AD73">
        <v>0.50345253019720215</v>
      </c>
      <c r="AE73">
        <v>10800</v>
      </c>
      <c r="AF73">
        <v>200000</v>
      </c>
      <c r="AG73">
        <v>16666.666666666668</v>
      </c>
      <c r="AH73">
        <v>1</v>
      </c>
      <c r="AI73">
        <v>1</v>
      </c>
      <c r="AJ73" t="s">
        <v>162</v>
      </c>
      <c r="AK73" t="s">
        <v>176</v>
      </c>
      <c r="AL73">
        <v>0</v>
      </c>
      <c r="AM73" t="s">
        <v>176</v>
      </c>
      <c r="AN73">
        <v>0</v>
      </c>
    </row>
    <row r="74" spans="1:40" x14ac:dyDescent="0.15">
      <c r="A74" s="4" t="str">
        <f>HYPERLINK("https://ibp.a2mac1.com/costing(costing:projects/details/9760/process/12083071)","Process")</f>
        <v>Process</v>
      </c>
      <c r="B74" t="s">
        <v>753</v>
      </c>
      <c r="C74">
        <v>12083071</v>
      </c>
      <c r="D74">
        <v>8411299</v>
      </c>
      <c r="E74">
        <v>0.2</v>
      </c>
      <c r="F74">
        <v>0</v>
      </c>
      <c r="G74">
        <v>0</v>
      </c>
      <c r="H74">
        <v>1.0120000000000001E-3</v>
      </c>
      <c r="I74" t="s">
        <v>176</v>
      </c>
      <c r="J74">
        <v>7.0000000000000001E-3</v>
      </c>
      <c r="K74">
        <v>0.208012</v>
      </c>
      <c r="L74">
        <v>2.5317394738873903E-2</v>
      </c>
      <c r="M74">
        <v>0.1519043684332434</v>
      </c>
      <c r="N74">
        <v>0.35991636843324343</v>
      </c>
      <c r="O74" t="s">
        <v>177</v>
      </c>
      <c r="P74">
        <v>1.2480720000000001E-2</v>
      </c>
      <c r="Q74" t="s">
        <v>177</v>
      </c>
      <c r="R74">
        <v>9.1142621059946052E-3</v>
      </c>
      <c r="S74" t="s">
        <v>178</v>
      </c>
      <c r="T74">
        <v>4.3189964211989208E-2</v>
      </c>
      <c r="U74">
        <v>0.42470131475122724</v>
      </c>
      <c r="V74">
        <v>0</v>
      </c>
      <c r="W74">
        <v>0</v>
      </c>
      <c r="X74">
        <v>0</v>
      </c>
      <c r="Y74">
        <v>0</v>
      </c>
      <c r="Z74">
        <v>0</v>
      </c>
      <c r="AA74">
        <v>13</v>
      </c>
      <c r="AB74">
        <v>1</v>
      </c>
      <c r="AC74">
        <v>0.5</v>
      </c>
      <c r="AD74">
        <v>0.50345253019720215</v>
      </c>
      <c r="AE74">
        <v>10800</v>
      </c>
      <c r="AF74">
        <v>200000</v>
      </c>
      <c r="AG74">
        <v>16666.666666666668</v>
      </c>
      <c r="AH74">
        <v>1</v>
      </c>
      <c r="AI74">
        <v>1</v>
      </c>
      <c r="AJ74" t="s">
        <v>162</v>
      </c>
      <c r="AK74" t="s">
        <v>176</v>
      </c>
      <c r="AL74">
        <v>0</v>
      </c>
      <c r="AM74" t="s">
        <v>176</v>
      </c>
      <c r="AN74">
        <v>0</v>
      </c>
    </row>
    <row r="75" spans="1:40" x14ac:dyDescent="0.15">
      <c r="A75" s="4" t="str">
        <f>HYPERLINK("https://ibp.a2mac1.com/costing(costing:projects/details/9760/process/12083072)","Process")</f>
        <v>Process</v>
      </c>
      <c r="B75" t="s">
        <v>846</v>
      </c>
      <c r="C75">
        <v>12083072</v>
      </c>
      <c r="D75">
        <v>8411300</v>
      </c>
      <c r="E75">
        <v>5.9804304000000003E-2</v>
      </c>
      <c r="F75">
        <v>0</v>
      </c>
      <c r="G75">
        <v>0</v>
      </c>
      <c r="H75">
        <v>3.0336819873684213E-4</v>
      </c>
      <c r="I75" t="s">
        <v>176</v>
      </c>
      <c r="J75">
        <v>2.0983966315789473E-3</v>
      </c>
      <c r="K75">
        <v>6.2206068830315792E-2</v>
      </c>
      <c r="L75">
        <v>7.6565574225524614E-3</v>
      </c>
      <c r="M75">
        <v>4.5939344535314765E-2</v>
      </c>
      <c r="N75">
        <v>0.10814541336563056</v>
      </c>
      <c r="O75" t="s">
        <v>177</v>
      </c>
      <c r="P75">
        <v>3.7323641298189474E-3</v>
      </c>
      <c r="Q75" t="s">
        <v>177</v>
      </c>
      <c r="R75">
        <v>2.756360672118886E-3</v>
      </c>
      <c r="S75" t="s">
        <v>178</v>
      </c>
      <c r="T75">
        <v>1.2977449603875667E-2</v>
      </c>
      <c r="U75">
        <v>0.12761158777144405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</v>
      </c>
      <c r="AC75">
        <v>0.5</v>
      </c>
      <c r="AD75">
        <v>0.50345253019720215</v>
      </c>
      <c r="AE75">
        <v>10800</v>
      </c>
      <c r="AF75">
        <v>200000</v>
      </c>
      <c r="AG75">
        <v>16666.666666666668</v>
      </c>
      <c r="AH75">
        <v>1</v>
      </c>
      <c r="AI75">
        <v>1</v>
      </c>
      <c r="AJ75" t="s">
        <v>162</v>
      </c>
      <c r="AK75" t="s">
        <v>176</v>
      </c>
      <c r="AL75">
        <v>0</v>
      </c>
      <c r="AM75" t="s">
        <v>176</v>
      </c>
      <c r="AN75">
        <v>0</v>
      </c>
    </row>
    <row r="76" spans="1:40" x14ac:dyDescent="0.15">
      <c r="A76" s="4" t="str">
        <f>HYPERLINK("https://ibp.a2mac1.com/costing(costing:projects/details/9760/process/12083036)","Process")</f>
        <v>Process</v>
      </c>
      <c r="B76" t="s">
        <v>851</v>
      </c>
      <c r="C76">
        <v>12083036</v>
      </c>
      <c r="D76">
        <v>8411157</v>
      </c>
      <c r="E76">
        <v>13.99</v>
      </c>
      <c r="F76">
        <v>0</v>
      </c>
      <c r="G76">
        <v>0</v>
      </c>
      <c r="H76">
        <v>7.0789400000000002E-2</v>
      </c>
      <c r="I76" t="s">
        <v>176</v>
      </c>
      <c r="J76">
        <v>0.48964999999999997</v>
      </c>
      <c r="K76">
        <v>14.5504394</v>
      </c>
      <c r="L76">
        <v>8.8896409077631092E-2</v>
      </c>
      <c r="M76">
        <v>0.53337845446578647</v>
      </c>
      <c r="N76">
        <v>15.083817854465787</v>
      </c>
      <c r="O76" t="s">
        <v>177</v>
      </c>
      <c r="P76">
        <v>0.873026364</v>
      </c>
      <c r="Q76" t="s">
        <v>177</v>
      </c>
      <c r="R76">
        <v>3.2002707267947191E-2</v>
      </c>
      <c r="S76" t="s">
        <v>178</v>
      </c>
      <c r="T76">
        <v>1.8100581425358944</v>
      </c>
      <c r="U76">
        <v>17.798905068269629</v>
      </c>
      <c r="V76">
        <v>0</v>
      </c>
      <c r="W76">
        <v>0</v>
      </c>
      <c r="X76">
        <v>0</v>
      </c>
      <c r="Y76">
        <v>0</v>
      </c>
      <c r="Z76">
        <v>0</v>
      </c>
      <c r="AA76">
        <v>49</v>
      </c>
      <c r="AB76">
        <v>1</v>
      </c>
      <c r="AC76">
        <v>0.5</v>
      </c>
      <c r="AD76">
        <v>0.50345253019720215</v>
      </c>
      <c r="AE76">
        <v>10800</v>
      </c>
      <c r="AF76">
        <v>200000</v>
      </c>
      <c r="AG76">
        <v>16666.666666666668</v>
      </c>
      <c r="AH76">
        <v>1</v>
      </c>
      <c r="AI76">
        <v>1</v>
      </c>
      <c r="AJ76" t="s">
        <v>162</v>
      </c>
      <c r="AK76" t="s">
        <v>176</v>
      </c>
      <c r="AL76">
        <v>0</v>
      </c>
      <c r="AM76" t="s">
        <v>176</v>
      </c>
      <c r="AN76">
        <v>0</v>
      </c>
    </row>
    <row r="77" spans="1:40" x14ac:dyDescent="0.15">
      <c r="A77" s="4" t="str">
        <f>HYPERLINK("https://ibp.a2mac1.com/costing(costing:projects/details/9760/process/12083037)","Process")</f>
        <v>Process</v>
      </c>
      <c r="B77" t="s">
        <v>855</v>
      </c>
      <c r="C77">
        <v>12083037</v>
      </c>
      <c r="D77">
        <v>8411158</v>
      </c>
      <c r="E77">
        <v>3.14</v>
      </c>
      <c r="F77">
        <v>0</v>
      </c>
      <c r="G77">
        <v>0</v>
      </c>
      <c r="H77">
        <v>1.58884E-2</v>
      </c>
      <c r="I77" t="s">
        <v>176</v>
      </c>
      <c r="J77">
        <v>0.1099</v>
      </c>
      <c r="K77">
        <v>3.2657883999999999</v>
      </c>
      <c r="L77">
        <v>5.7106901908252496E-2</v>
      </c>
      <c r="M77">
        <v>0.34264141144951499</v>
      </c>
      <c r="N77">
        <v>3.6084298114495148</v>
      </c>
      <c r="O77" t="s">
        <v>177</v>
      </c>
      <c r="P77">
        <v>0.19594730399999999</v>
      </c>
      <c r="Q77" t="s">
        <v>177</v>
      </c>
      <c r="R77">
        <v>2.0558484686970899E-2</v>
      </c>
      <c r="S77" t="s">
        <v>178</v>
      </c>
      <c r="T77">
        <v>0.4330115773739418</v>
      </c>
      <c r="U77">
        <v>4.2579471775104274</v>
      </c>
      <c r="V77">
        <v>0</v>
      </c>
      <c r="W77">
        <v>0</v>
      </c>
      <c r="X77">
        <v>0</v>
      </c>
      <c r="Y77">
        <v>0</v>
      </c>
      <c r="Z77">
        <v>0</v>
      </c>
      <c r="AA77">
        <v>31</v>
      </c>
      <c r="AB77">
        <v>1</v>
      </c>
      <c r="AC77">
        <v>0.5</v>
      </c>
      <c r="AD77">
        <v>0.50345253019720215</v>
      </c>
      <c r="AE77">
        <v>10800</v>
      </c>
      <c r="AF77">
        <v>200000</v>
      </c>
      <c r="AG77">
        <v>16666.666666666668</v>
      </c>
      <c r="AH77">
        <v>1</v>
      </c>
      <c r="AI77">
        <v>1</v>
      </c>
      <c r="AJ77" t="s">
        <v>162</v>
      </c>
      <c r="AK77" t="s">
        <v>176</v>
      </c>
      <c r="AL77">
        <v>0</v>
      </c>
      <c r="AM77" t="s">
        <v>176</v>
      </c>
      <c r="AN77">
        <v>0</v>
      </c>
    </row>
    <row r="78" spans="1:40" x14ac:dyDescent="0.15">
      <c r="A78" s="4" t="str">
        <f>HYPERLINK("https://ibp.a2mac1.com/costing(costing:projects/details/9760/process/12083073)","Process")</f>
        <v>Process</v>
      </c>
      <c r="B78" t="s">
        <v>846</v>
      </c>
      <c r="C78">
        <v>12083073</v>
      </c>
      <c r="D78">
        <v>8411301</v>
      </c>
      <c r="E78">
        <v>5.9804304000000003E-2</v>
      </c>
      <c r="F78">
        <v>0</v>
      </c>
      <c r="G78">
        <v>0</v>
      </c>
      <c r="H78">
        <v>3.0336819873684213E-4</v>
      </c>
      <c r="I78" t="s">
        <v>176</v>
      </c>
      <c r="J78">
        <v>2.0983966315789473E-3</v>
      </c>
      <c r="K78">
        <v>6.2206068830315792E-2</v>
      </c>
      <c r="L78">
        <v>7.6565574225524614E-3</v>
      </c>
      <c r="M78">
        <v>4.5939344535314765E-2</v>
      </c>
      <c r="N78">
        <v>0.10814541336563056</v>
      </c>
      <c r="O78" t="s">
        <v>177</v>
      </c>
      <c r="P78">
        <v>3.7323641298189474E-3</v>
      </c>
      <c r="Q78" t="s">
        <v>177</v>
      </c>
      <c r="R78">
        <v>2.756360672118886E-3</v>
      </c>
      <c r="S78" t="s">
        <v>178</v>
      </c>
      <c r="T78">
        <v>1.2977449603875667E-2</v>
      </c>
      <c r="U78">
        <v>0.12761158777144405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</v>
      </c>
      <c r="AC78">
        <v>0.5</v>
      </c>
      <c r="AD78">
        <v>0.50345253019720215</v>
      </c>
      <c r="AE78">
        <v>10800</v>
      </c>
      <c r="AF78">
        <v>200000</v>
      </c>
      <c r="AG78">
        <v>16666.666666666668</v>
      </c>
      <c r="AH78">
        <v>1</v>
      </c>
      <c r="AI78">
        <v>1</v>
      </c>
      <c r="AJ78" t="s">
        <v>162</v>
      </c>
      <c r="AK78" t="s">
        <v>176</v>
      </c>
      <c r="AL78">
        <v>0</v>
      </c>
      <c r="AM78" t="s">
        <v>176</v>
      </c>
      <c r="AN78">
        <v>0</v>
      </c>
    </row>
    <row r="79" spans="1:40" x14ac:dyDescent="0.15">
      <c r="A79" s="4" t="str">
        <f>HYPERLINK("https://ibp.a2mac1.com/costing(costing:projects/details/9760/process/12083074)","Process")</f>
        <v>Process</v>
      </c>
      <c r="B79" t="s">
        <v>753</v>
      </c>
      <c r="C79">
        <v>12083074</v>
      </c>
      <c r="D79">
        <v>8411302</v>
      </c>
      <c r="E79">
        <v>3.4086836000000002E-2</v>
      </c>
      <c r="F79">
        <v>0</v>
      </c>
      <c r="G79">
        <v>0</v>
      </c>
      <c r="H79">
        <v>2.0291692960000001E-4</v>
      </c>
      <c r="I79" t="s">
        <v>176</v>
      </c>
      <c r="J79">
        <v>1.4035756E-3</v>
      </c>
      <c r="K79">
        <v>3.5693328529599999E-2</v>
      </c>
      <c r="L79">
        <v>1.4720892349081038E-2</v>
      </c>
      <c r="M79">
        <v>8.8325354094486219E-2</v>
      </c>
      <c r="N79">
        <v>0.12401868262408622</v>
      </c>
      <c r="O79" t="s">
        <v>177</v>
      </c>
      <c r="P79">
        <v>2.1415997117759998E-3</v>
      </c>
      <c r="Q79" t="s">
        <v>177</v>
      </c>
      <c r="R79">
        <v>5.2995212456691731E-3</v>
      </c>
      <c r="S79" t="s">
        <v>178</v>
      </c>
      <c r="T79">
        <v>1.4882241914890347E-2</v>
      </c>
      <c r="U79">
        <v>0.14634204549642174</v>
      </c>
      <c r="V79">
        <v>0</v>
      </c>
      <c r="W79">
        <v>0</v>
      </c>
      <c r="X79">
        <v>0</v>
      </c>
      <c r="Y79">
        <v>0</v>
      </c>
      <c r="Z79">
        <v>0</v>
      </c>
      <c r="AA79">
        <v>7</v>
      </c>
      <c r="AB79">
        <v>1</v>
      </c>
      <c r="AC79">
        <v>0.5</v>
      </c>
      <c r="AD79">
        <v>0.50345253019720215</v>
      </c>
      <c r="AE79">
        <v>10800</v>
      </c>
      <c r="AF79">
        <v>200000</v>
      </c>
      <c r="AG79">
        <v>16666.666666666668</v>
      </c>
      <c r="AH79">
        <v>1</v>
      </c>
      <c r="AI79">
        <v>1</v>
      </c>
      <c r="AJ79" t="s">
        <v>162</v>
      </c>
      <c r="AK79" t="s">
        <v>176</v>
      </c>
      <c r="AL79">
        <v>0</v>
      </c>
      <c r="AM79" t="s">
        <v>176</v>
      </c>
      <c r="AN79">
        <v>0</v>
      </c>
    </row>
    <row r="80" spans="1:40" x14ac:dyDescent="0.15">
      <c r="A80" s="4" t="str">
        <f>HYPERLINK("https://ibp.a2mac1.com/costing(costing:projects/details/9760/process/12083038)","Process")</f>
        <v>Process</v>
      </c>
      <c r="B80" t="s">
        <v>855</v>
      </c>
      <c r="C80">
        <v>12083038</v>
      </c>
      <c r="D80">
        <v>8411162</v>
      </c>
      <c r="E80">
        <v>3.14</v>
      </c>
      <c r="F80">
        <v>0</v>
      </c>
      <c r="G80">
        <v>0</v>
      </c>
      <c r="H80">
        <v>1.58884E-2</v>
      </c>
      <c r="I80" t="s">
        <v>176</v>
      </c>
      <c r="J80">
        <v>0.1099</v>
      </c>
      <c r="K80">
        <v>3.2657883999999999</v>
      </c>
      <c r="L80">
        <v>5.7106901908252496E-2</v>
      </c>
      <c r="M80">
        <v>0.34264141144951499</v>
      </c>
      <c r="N80">
        <v>3.6084298114495148</v>
      </c>
      <c r="O80" t="s">
        <v>177</v>
      </c>
      <c r="P80">
        <v>0.19594730399999999</v>
      </c>
      <c r="Q80" t="s">
        <v>177</v>
      </c>
      <c r="R80">
        <v>2.0558484686970899E-2</v>
      </c>
      <c r="S80" t="s">
        <v>178</v>
      </c>
      <c r="T80">
        <v>0.4330115773739418</v>
      </c>
      <c r="U80">
        <v>4.2579471775104274</v>
      </c>
      <c r="V80">
        <v>0</v>
      </c>
      <c r="W80">
        <v>0</v>
      </c>
      <c r="X80">
        <v>0</v>
      </c>
      <c r="Y80">
        <v>0</v>
      </c>
      <c r="Z80">
        <v>0</v>
      </c>
      <c r="AA80">
        <v>31</v>
      </c>
      <c r="AB80">
        <v>1</v>
      </c>
      <c r="AC80">
        <v>0.5</v>
      </c>
      <c r="AD80">
        <v>0.50345253019720215</v>
      </c>
      <c r="AE80">
        <v>10800</v>
      </c>
      <c r="AF80">
        <v>200000</v>
      </c>
      <c r="AG80">
        <v>16666.666666666668</v>
      </c>
      <c r="AH80">
        <v>1</v>
      </c>
      <c r="AI80">
        <v>1</v>
      </c>
      <c r="AJ80" t="s">
        <v>162</v>
      </c>
      <c r="AK80" t="s">
        <v>176</v>
      </c>
      <c r="AL80">
        <v>0</v>
      </c>
      <c r="AM80" t="s">
        <v>176</v>
      </c>
      <c r="AN80">
        <v>0</v>
      </c>
    </row>
    <row r="81" spans="1:40" x14ac:dyDescent="0.15">
      <c r="A81" s="4" t="str">
        <f>HYPERLINK("https://ibp.a2mac1.com/costing(costing:projects/details/9760/process/12083075)","Process")</f>
        <v>Process</v>
      </c>
      <c r="B81" t="s">
        <v>846</v>
      </c>
      <c r="C81">
        <v>12083075</v>
      </c>
      <c r="D81">
        <v>8411305</v>
      </c>
      <c r="E81">
        <v>5.9804304000000003E-2</v>
      </c>
      <c r="F81">
        <v>0</v>
      </c>
      <c r="G81">
        <v>0</v>
      </c>
      <c r="H81">
        <v>3.0336819873684213E-4</v>
      </c>
      <c r="I81" t="s">
        <v>176</v>
      </c>
      <c r="J81">
        <v>2.0983966315789473E-3</v>
      </c>
      <c r="K81">
        <v>6.2206068830315792E-2</v>
      </c>
      <c r="L81">
        <v>7.6565574225524614E-3</v>
      </c>
      <c r="M81">
        <v>4.5939344535314765E-2</v>
      </c>
      <c r="N81">
        <v>0.10814541336563056</v>
      </c>
      <c r="O81" t="s">
        <v>177</v>
      </c>
      <c r="P81">
        <v>3.7323641298189474E-3</v>
      </c>
      <c r="Q81" t="s">
        <v>177</v>
      </c>
      <c r="R81">
        <v>2.756360672118886E-3</v>
      </c>
      <c r="S81" t="s">
        <v>178</v>
      </c>
      <c r="T81">
        <v>1.2977449603875667E-2</v>
      </c>
      <c r="U81">
        <v>0.12761158777144405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</v>
      </c>
      <c r="AC81">
        <v>0.5</v>
      </c>
      <c r="AD81">
        <v>0.50345253019720215</v>
      </c>
      <c r="AE81">
        <v>10800</v>
      </c>
      <c r="AF81">
        <v>200000</v>
      </c>
      <c r="AG81">
        <v>16666.666666666668</v>
      </c>
      <c r="AH81">
        <v>1</v>
      </c>
      <c r="AI81">
        <v>1</v>
      </c>
      <c r="AJ81" t="s">
        <v>162</v>
      </c>
      <c r="AK81" t="s">
        <v>176</v>
      </c>
      <c r="AL81">
        <v>0</v>
      </c>
      <c r="AM81" t="s">
        <v>176</v>
      </c>
      <c r="AN81">
        <v>0</v>
      </c>
    </row>
    <row r="82" spans="1:40" x14ac:dyDescent="0.15">
      <c r="A82" s="4" t="str">
        <f>HYPERLINK("https://ibp.a2mac1.com/costing(costing:projects/details/9760/process/12083039)","Process")</f>
        <v>Process</v>
      </c>
      <c r="B82" t="s">
        <v>895</v>
      </c>
      <c r="C82">
        <v>12083039</v>
      </c>
      <c r="D82">
        <v>8411165</v>
      </c>
      <c r="E82">
        <v>12.6</v>
      </c>
      <c r="F82">
        <v>0</v>
      </c>
      <c r="G82">
        <v>0</v>
      </c>
      <c r="H82">
        <v>6.3755999999999993E-2</v>
      </c>
      <c r="I82" t="s">
        <v>176</v>
      </c>
      <c r="J82">
        <v>0.441</v>
      </c>
      <c r="K82">
        <v>13.104756</v>
      </c>
      <c r="L82">
        <v>8.3598157882734656E-2</v>
      </c>
      <c r="M82">
        <v>0.50158894729640791</v>
      </c>
      <c r="N82">
        <v>13.606344947296408</v>
      </c>
      <c r="O82" t="s">
        <v>177</v>
      </c>
      <c r="P82">
        <v>0.78628536000000004</v>
      </c>
      <c r="Q82" t="s">
        <v>177</v>
      </c>
      <c r="R82">
        <v>3.0095336837784474E-2</v>
      </c>
      <c r="S82" t="s">
        <v>178</v>
      </c>
      <c r="T82">
        <v>1.6327613936755689</v>
      </c>
      <c r="U82">
        <v>16.055487037809762</v>
      </c>
      <c r="V82">
        <v>0</v>
      </c>
      <c r="W82">
        <v>0</v>
      </c>
      <c r="X82">
        <v>0</v>
      </c>
      <c r="Y82">
        <v>0</v>
      </c>
      <c r="Z82">
        <v>0</v>
      </c>
      <c r="AA82">
        <v>46</v>
      </c>
      <c r="AB82">
        <v>1</v>
      </c>
      <c r="AC82">
        <v>0.5</v>
      </c>
      <c r="AD82">
        <v>0.50345253019720215</v>
      </c>
      <c r="AE82">
        <v>10800</v>
      </c>
      <c r="AF82">
        <v>200000</v>
      </c>
      <c r="AG82">
        <v>16666.666666666668</v>
      </c>
      <c r="AH82">
        <v>1</v>
      </c>
      <c r="AI82">
        <v>1</v>
      </c>
      <c r="AJ82" t="s">
        <v>162</v>
      </c>
      <c r="AK82" t="s">
        <v>176</v>
      </c>
      <c r="AL82">
        <v>0</v>
      </c>
      <c r="AM82" t="s">
        <v>176</v>
      </c>
      <c r="AN82">
        <v>0</v>
      </c>
    </row>
    <row r="83" spans="1:40" x14ac:dyDescent="0.15">
      <c r="A83" s="4" t="str">
        <f>HYPERLINK("https://ibp.a2mac1.com/costing(costing:projects/details/9760/process/12083040)","Process")</f>
        <v>Process</v>
      </c>
      <c r="B83" t="s">
        <v>855</v>
      </c>
      <c r="C83">
        <v>12083040</v>
      </c>
      <c r="D83">
        <v>8411166</v>
      </c>
      <c r="E83">
        <v>3.67</v>
      </c>
      <c r="F83">
        <v>0</v>
      </c>
      <c r="G83">
        <v>0</v>
      </c>
      <c r="H83">
        <v>1.8570199999999999E-2</v>
      </c>
      <c r="I83" t="s">
        <v>176</v>
      </c>
      <c r="J83">
        <v>0.12845000000000001</v>
      </c>
      <c r="K83">
        <v>3.8170202</v>
      </c>
      <c r="L83">
        <v>5.7106901908252496E-2</v>
      </c>
      <c r="M83">
        <v>0.34264141144951499</v>
      </c>
      <c r="N83">
        <v>4.1596616114495149</v>
      </c>
      <c r="O83" t="s">
        <v>177</v>
      </c>
      <c r="P83">
        <v>0.229021212</v>
      </c>
      <c r="Q83" t="s">
        <v>177</v>
      </c>
      <c r="R83">
        <v>2.0558484686970899E-2</v>
      </c>
      <c r="S83" t="s">
        <v>178</v>
      </c>
      <c r="T83">
        <v>0.49915939337394177</v>
      </c>
      <c r="U83">
        <v>4.9084007015104278</v>
      </c>
      <c r="V83">
        <v>0</v>
      </c>
      <c r="W83">
        <v>0</v>
      </c>
      <c r="X83">
        <v>0</v>
      </c>
      <c r="Y83">
        <v>0</v>
      </c>
      <c r="Z83">
        <v>0</v>
      </c>
      <c r="AA83">
        <v>31</v>
      </c>
      <c r="AB83">
        <v>1</v>
      </c>
      <c r="AC83">
        <v>0.5</v>
      </c>
      <c r="AD83">
        <v>0.50345253019720215</v>
      </c>
      <c r="AE83">
        <v>10800</v>
      </c>
      <c r="AF83">
        <v>200000</v>
      </c>
      <c r="AG83">
        <v>16666.666666666668</v>
      </c>
      <c r="AH83">
        <v>1</v>
      </c>
      <c r="AI83">
        <v>1</v>
      </c>
      <c r="AJ83" t="s">
        <v>162</v>
      </c>
      <c r="AK83" t="s">
        <v>176</v>
      </c>
      <c r="AL83">
        <v>0</v>
      </c>
      <c r="AM83" t="s">
        <v>176</v>
      </c>
      <c r="AN83">
        <v>0</v>
      </c>
    </row>
    <row r="84" spans="1:40" x14ac:dyDescent="0.15">
      <c r="A84" s="4" t="str">
        <f>HYPERLINK("https://ibp.a2mac1.com/costing(costing:projects/details/9760/process/12083041)","Process")</f>
        <v>Process</v>
      </c>
      <c r="B84" t="s">
        <v>895</v>
      </c>
      <c r="C84">
        <v>12083041</v>
      </c>
      <c r="D84">
        <v>8411168</v>
      </c>
      <c r="E84">
        <v>8.64</v>
      </c>
      <c r="F84">
        <v>0</v>
      </c>
      <c r="G84">
        <v>0</v>
      </c>
      <c r="H84">
        <v>4.3718399999999998E-2</v>
      </c>
      <c r="I84" t="s">
        <v>176</v>
      </c>
      <c r="J84">
        <v>0.3024</v>
      </c>
      <c r="K84">
        <v>8.9861184000000005</v>
      </c>
      <c r="L84">
        <v>8.183207415110251E-2</v>
      </c>
      <c r="M84">
        <v>0.49099244490661503</v>
      </c>
      <c r="N84">
        <v>9.4771108449066155</v>
      </c>
      <c r="O84" t="s">
        <v>177</v>
      </c>
      <c r="P84">
        <v>0.53916710400000001</v>
      </c>
      <c r="Q84" t="s">
        <v>177</v>
      </c>
      <c r="R84">
        <v>2.9459546694396904E-2</v>
      </c>
      <c r="S84" t="s">
        <v>178</v>
      </c>
      <c r="T84">
        <v>1.1372533013887938</v>
      </c>
      <c r="U84">
        <v>11.182990796989806</v>
      </c>
      <c r="V84">
        <v>0</v>
      </c>
      <c r="W84">
        <v>0</v>
      </c>
      <c r="X84">
        <v>0</v>
      </c>
      <c r="Y84">
        <v>0</v>
      </c>
      <c r="Z84">
        <v>0</v>
      </c>
      <c r="AA84">
        <v>45</v>
      </c>
      <c r="AB84">
        <v>1</v>
      </c>
      <c r="AC84">
        <v>0.5</v>
      </c>
      <c r="AD84">
        <v>0.50345253019720215</v>
      </c>
      <c r="AE84">
        <v>10800</v>
      </c>
      <c r="AF84">
        <v>200000</v>
      </c>
      <c r="AG84">
        <v>16666.666666666668</v>
      </c>
      <c r="AH84">
        <v>1</v>
      </c>
      <c r="AI84">
        <v>1</v>
      </c>
      <c r="AJ84" t="s">
        <v>162</v>
      </c>
      <c r="AK84" t="s">
        <v>176</v>
      </c>
      <c r="AL84">
        <v>0</v>
      </c>
      <c r="AM84" t="s">
        <v>176</v>
      </c>
      <c r="AN84">
        <v>0</v>
      </c>
    </row>
    <row r="85" spans="1:40" x14ac:dyDescent="0.15">
      <c r="A85" s="4" t="str">
        <f>HYPERLINK("https://ibp.a2mac1.com/costing(costing:projects/details/9760/process/12083042)","Process")</f>
        <v>Process</v>
      </c>
      <c r="B85" t="s">
        <v>855</v>
      </c>
      <c r="C85">
        <v>12083042</v>
      </c>
      <c r="D85">
        <v>8411170</v>
      </c>
      <c r="E85">
        <v>3.67</v>
      </c>
      <c r="F85">
        <v>0</v>
      </c>
      <c r="G85">
        <v>0</v>
      </c>
      <c r="H85">
        <v>1.8570199999999999E-2</v>
      </c>
      <c r="I85" t="s">
        <v>176</v>
      </c>
      <c r="J85">
        <v>0.12845000000000001</v>
      </c>
      <c r="K85">
        <v>3.8170202</v>
      </c>
      <c r="L85">
        <v>5.7106901908252496E-2</v>
      </c>
      <c r="M85">
        <v>0.34264141144951499</v>
      </c>
      <c r="N85">
        <v>4.1596616114495149</v>
      </c>
      <c r="O85" t="s">
        <v>177</v>
      </c>
      <c r="P85">
        <v>0.229021212</v>
      </c>
      <c r="Q85" t="s">
        <v>177</v>
      </c>
      <c r="R85">
        <v>2.0558484686970899E-2</v>
      </c>
      <c r="S85" t="s">
        <v>178</v>
      </c>
      <c r="T85">
        <v>0.49915939337394177</v>
      </c>
      <c r="U85">
        <v>4.9084007015104278</v>
      </c>
      <c r="V85">
        <v>0</v>
      </c>
      <c r="W85">
        <v>0</v>
      </c>
      <c r="X85">
        <v>0</v>
      </c>
      <c r="Y85">
        <v>0</v>
      </c>
      <c r="Z85">
        <v>0</v>
      </c>
      <c r="AA85">
        <v>31</v>
      </c>
      <c r="AB85">
        <v>1</v>
      </c>
      <c r="AC85">
        <v>0.5</v>
      </c>
      <c r="AD85">
        <v>0.50345253019720215</v>
      </c>
      <c r="AE85">
        <v>10800</v>
      </c>
      <c r="AF85">
        <v>200000</v>
      </c>
      <c r="AG85">
        <v>16666.666666666668</v>
      </c>
      <c r="AH85">
        <v>1</v>
      </c>
      <c r="AI85">
        <v>1</v>
      </c>
      <c r="AJ85" t="s">
        <v>162</v>
      </c>
      <c r="AK85" t="s">
        <v>176</v>
      </c>
      <c r="AL85">
        <v>0</v>
      </c>
      <c r="AM85" t="s">
        <v>176</v>
      </c>
      <c r="AN85">
        <v>0</v>
      </c>
    </row>
    <row r="86" spans="1:40" x14ac:dyDescent="0.15">
      <c r="A86" s="4" t="str">
        <f>HYPERLINK("https://ibp.a2mac1.com/costing(costing:projects/details/9760/process/12083076)","Process")</f>
        <v>Process</v>
      </c>
      <c r="B86" t="s">
        <v>846</v>
      </c>
      <c r="C86">
        <v>12083076</v>
      </c>
      <c r="D86">
        <v>8411309</v>
      </c>
      <c r="E86">
        <v>5.9804304000000003E-2</v>
      </c>
      <c r="F86">
        <v>0</v>
      </c>
      <c r="G86">
        <v>0</v>
      </c>
      <c r="H86">
        <v>3.0336819873684213E-4</v>
      </c>
      <c r="I86" t="s">
        <v>176</v>
      </c>
      <c r="J86">
        <v>2.0983966315789473E-3</v>
      </c>
      <c r="K86">
        <v>6.2206068830315792E-2</v>
      </c>
      <c r="L86">
        <v>7.6565574225524614E-3</v>
      </c>
      <c r="M86">
        <v>4.5939344535314765E-2</v>
      </c>
      <c r="N86">
        <v>0.10814541336563056</v>
      </c>
      <c r="O86" t="s">
        <v>177</v>
      </c>
      <c r="P86">
        <v>3.7323641298189474E-3</v>
      </c>
      <c r="Q86" t="s">
        <v>177</v>
      </c>
      <c r="R86">
        <v>2.756360672118886E-3</v>
      </c>
      <c r="S86" t="s">
        <v>178</v>
      </c>
      <c r="T86">
        <v>1.2977449603875667E-2</v>
      </c>
      <c r="U86">
        <v>0.12761158777144405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</v>
      </c>
      <c r="AC86">
        <v>0.5</v>
      </c>
      <c r="AD86">
        <v>0.50345253019720215</v>
      </c>
      <c r="AE86">
        <v>10800</v>
      </c>
      <c r="AF86">
        <v>200000</v>
      </c>
      <c r="AG86">
        <v>16666.666666666668</v>
      </c>
      <c r="AH86">
        <v>1</v>
      </c>
      <c r="AI86">
        <v>1</v>
      </c>
      <c r="AJ86" t="s">
        <v>162</v>
      </c>
      <c r="AK86" t="s">
        <v>176</v>
      </c>
      <c r="AL86">
        <v>0</v>
      </c>
      <c r="AM86" t="s">
        <v>176</v>
      </c>
      <c r="AN86">
        <v>0</v>
      </c>
    </row>
    <row r="87" spans="1:40" x14ac:dyDescent="0.15">
      <c r="A87" s="4" t="str">
        <f>HYPERLINK("https://ibp.a2mac1.com/costing(costing:projects/details/9760/process/12083043)","Process")</f>
        <v>Process</v>
      </c>
      <c r="B87" t="s">
        <v>855</v>
      </c>
      <c r="C87">
        <v>12083043</v>
      </c>
      <c r="D87">
        <v>8411174</v>
      </c>
      <c r="E87">
        <v>3.67</v>
      </c>
      <c r="F87">
        <v>0</v>
      </c>
      <c r="G87">
        <v>0</v>
      </c>
      <c r="H87">
        <v>1.8570199999999999E-2</v>
      </c>
      <c r="I87" t="s">
        <v>176</v>
      </c>
      <c r="J87">
        <v>0.12845000000000001</v>
      </c>
      <c r="K87">
        <v>3.8170202</v>
      </c>
      <c r="L87">
        <v>5.7106901908252496E-2</v>
      </c>
      <c r="M87">
        <v>0.34264141144951499</v>
      </c>
      <c r="N87">
        <v>4.1596616114495149</v>
      </c>
      <c r="O87" t="s">
        <v>177</v>
      </c>
      <c r="P87">
        <v>0.229021212</v>
      </c>
      <c r="Q87" t="s">
        <v>177</v>
      </c>
      <c r="R87">
        <v>2.0558484686970899E-2</v>
      </c>
      <c r="S87" t="s">
        <v>178</v>
      </c>
      <c r="T87">
        <v>0.49915939337394177</v>
      </c>
      <c r="U87">
        <v>4.9084007015104278</v>
      </c>
      <c r="V87">
        <v>0</v>
      </c>
      <c r="W87">
        <v>0</v>
      </c>
      <c r="X87">
        <v>0</v>
      </c>
      <c r="Y87">
        <v>0</v>
      </c>
      <c r="Z87">
        <v>0</v>
      </c>
      <c r="AA87">
        <v>31</v>
      </c>
      <c r="AB87">
        <v>1</v>
      </c>
      <c r="AC87">
        <v>0.5</v>
      </c>
      <c r="AD87">
        <v>0.50345253019720215</v>
      </c>
      <c r="AE87">
        <v>10800</v>
      </c>
      <c r="AF87">
        <v>200000</v>
      </c>
      <c r="AG87">
        <v>16666.666666666668</v>
      </c>
      <c r="AH87">
        <v>1</v>
      </c>
      <c r="AI87">
        <v>1</v>
      </c>
      <c r="AJ87" t="s">
        <v>162</v>
      </c>
      <c r="AK87" t="s">
        <v>176</v>
      </c>
      <c r="AL87">
        <v>0</v>
      </c>
      <c r="AM87" t="s">
        <v>176</v>
      </c>
      <c r="AN87">
        <v>0</v>
      </c>
    </row>
    <row r="88" spans="1:40" x14ac:dyDescent="0.15">
      <c r="A88" s="4" t="str">
        <f>HYPERLINK("https://ibp.a2mac1.com/costing(costing:projects/details/9760/process/12083016)","Process")</f>
        <v>Process</v>
      </c>
      <c r="B88" t="s">
        <v>950</v>
      </c>
      <c r="C88">
        <v>12083016</v>
      </c>
      <c r="D88">
        <v>8411122</v>
      </c>
      <c r="E88">
        <v>6.0125855999999998E-2</v>
      </c>
      <c r="F88">
        <v>0</v>
      </c>
      <c r="G88">
        <v>0</v>
      </c>
      <c r="H88">
        <v>3.0319103326315787E-4</v>
      </c>
      <c r="I88" t="s">
        <v>176</v>
      </c>
      <c r="J88">
        <v>2.1096791578947369E-3</v>
      </c>
      <c r="K88">
        <v>6.2538726191157898E-2</v>
      </c>
      <c r="L88">
        <v>1.8839428075948805E-2</v>
      </c>
      <c r="M88">
        <v>0.11303656845569283</v>
      </c>
      <c r="N88">
        <v>0.17557529464685073</v>
      </c>
      <c r="O88" t="s">
        <v>177</v>
      </c>
      <c r="P88">
        <v>3.7523235714694739E-3</v>
      </c>
      <c r="Q88" t="s">
        <v>177</v>
      </c>
      <c r="R88">
        <v>6.7821941073415697E-3</v>
      </c>
      <c r="S88" t="s">
        <v>178</v>
      </c>
      <c r="T88">
        <v>2.1069035357622088E-2</v>
      </c>
      <c r="U88">
        <v>0.20717884768328385</v>
      </c>
      <c r="V88">
        <v>0</v>
      </c>
      <c r="W88">
        <v>0</v>
      </c>
      <c r="X88">
        <v>0</v>
      </c>
      <c r="Y88">
        <v>0</v>
      </c>
      <c r="Z88">
        <v>0</v>
      </c>
      <c r="AA88">
        <v>10</v>
      </c>
      <c r="AB88">
        <v>1</v>
      </c>
      <c r="AC88">
        <v>0.5</v>
      </c>
      <c r="AD88">
        <v>0.50048257265952256</v>
      </c>
      <c r="AE88">
        <v>10800</v>
      </c>
      <c r="AF88">
        <v>400000</v>
      </c>
      <c r="AG88">
        <v>33333.333333333336</v>
      </c>
      <c r="AH88">
        <v>1</v>
      </c>
      <c r="AI88">
        <v>1</v>
      </c>
      <c r="AJ88" t="s">
        <v>162</v>
      </c>
      <c r="AK88" t="s">
        <v>176</v>
      </c>
      <c r="AL88">
        <v>0</v>
      </c>
      <c r="AM88" t="s">
        <v>176</v>
      </c>
      <c r="AN88">
        <v>0</v>
      </c>
    </row>
    <row r="89" spans="1:40" x14ac:dyDescent="0.15">
      <c r="A89" s="4" t="str">
        <f>HYPERLINK("https://ibp.a2mac1.com/costing(costing:projects/details/9760/process/12083028)","Process")</f>
        <v>Process</v>
      </c>
      <c r="B89" t="s">
        <v>1002</v>
      </c>
      <c r="C89">
        <v>12083028</v>
      </c>
      <c r="D89">
        <v>8411265</v>
      </c>
      <c r="E89">
        <v>9.59</v>
      </c>
      <c r="F89">
        <v>0</v>
      </c>
      <c r="G89">
        <v>0</v>
      </c>
      <c r="H89">
        <v>1.918E-4</v>
      </c>
      <c r="I89" t="s">
        <v>176</v>
      </c>
      <c r="J89">
        <v>0.33565</v>
      </c>
      <c r="K89">
        <v>9.9258418000000006</v>
      </c>
      <c r="L89">
        <v>1.4942326126313195</v>
      </c>
      <c r="M89">
        <v>8.9653956757879172</v>
      </c>
      <c r="N89">
        <v>18.891237475787918</v>
      </c>
      <c r="O89" t="s">
        <v>177</v>
      </c>
      <c r="P89">
        <v>0.59555050799999998</v>
      </c>
      <c r="Q89" t="s">
        <v>177</v>
      </c>
      <c r="R89">
        <v>0.53792374054727499</v>
      </c>
      <c r="S89" t="s">
        <v>178</v>
      </c>
      <c r="T89">
        <v>2.2669484970945502</v>
      </c>
      <c r="U89">
        <v>22.291660221429741</v>
      </c>
      <c r="V89">
        <v>0</v>
      </c>
      <c r="W89">
        <v>0</v>
      </c>
      <c r="X89">
        <v>0</v>
      </c>
      <c r="Y89">
        <v>0</v>
      </c>
      <c r="Z89">
        <v>0</v>
      </c>
      <c r="AA89">
        <v>849</v>
      </c>
      <c r="AB89">
        <v>1</v>
      </c>
      <c r="AC89">
        <v>0</v>
      </c>
      <c r="AD89">
        <v>1.9999600007999841E-3</v>
      </c>
      <c r="AE89">
        <v>10800</v>
      </c>
      <c r="AF89">
        <v>200000</v>
      </c>
      <c r="AG89">
        <v>16666.666666666668</v>
      </c>
      <c r="AH89">
        <v>1</v>
      </c>
      <c r="AI89">
        <v>1</v>
      </c>
      <c r="AJ89" t="s">
        <v>162</v>
      </c>
      <c r="AK89" t="s">
        <v>176</v>
      </c>
      <c r="AL89">
        <v>0</v>
      </c>
      <c r="AM89" t="s">
        <v>176</v>
      </c>
      <c r="AN89">
        <v>0</v>
      </c>
    </row>
    <row r="90" spans="1:40" x14ac:dyDescent="0.15">
      <c r="A90" s="4" t="str">
        <f>HYPERLINK("https://ibp.a2mac1.com/costing(costing:projects/details/9760/process/12083029)","Process")</f>
        <v>Process</v>
      </c>
      <c r="B90" t="s">
        <v>1002</v>
      </c>
      <c r="C90">
        <v>12083029</v>
      </c>
      <c r="D90">
        <v>8411266</v>
      </c>
      <c r="E90">
        <v>9.59</v>
      </c>
      <c r="F90">
        <v>0</v>
      </c>
      <c r="G90">
        <v>0</v>
      </c>
      <c r="H90">
        <v>1.918E-4</v>
      </c>
      <c r="I90" t="s">
        <v>176</v>
      </c>
      <c r="J90">
        <v>0.33565</v>
      </c>
      <c r="K90">
        <v>9.9258418000000006</v>
      </c>
      <c r="L90">
        <v>1.4942326126313195</v>
      </c>
      <c r="M90">
        <v>8.9653956757879172</v>
      </c>
      <c r="N90">
        <v>18.891237475787918</v>
      </c>
      <c r="O90" t="s">
        <v>177</v>
      </c>
      <c r="P90">
        <v>0.59555050799999998</v>
      </c>
      <c r="Q90" t="s">
        <v>177</v>
      </c>
      <c r="R90">
        <v>0.53792374054727499</v>
      </c>
      <c r="S90" t="s">
        <v>178</v>
      </c>
      <c r="T90">
        <v>2.2669484970945502</v>
      </c>
      <c r="U90">
        <v>22.291660221429741</v>
      </c>
      <c r="V90">
        <v>0</v>
      </c>
      <c r="W90">
        <v>0</v>
      </c>
      <c r="X90">
        <v>0</v>
      </c>
      <c r="Y90">
        <v>0</v>
      </c>
      <c r="Z90">
        <v>0</v>
      </c>
      <c r="AA90">
        <v>849</v>
      </c>
      <c r="AB90">
        <v>1</v>
      </c>
      <c r="AC90">
        <v>0</v>
      </c>
      <c r="AD90">
        <v>1.9999600007999841E-3</v>
      </c>
      <c r="AE90">
        <v>10800</v>
      </c>
      <c r="AF90">
        <v>200000</v>
      </c>
      <c r="AG90">
        <v>16666.666666666668</v>
      </c>
      <c r="AH90">
        <v>1</v>
      </c>
      <c r="AI90">
        <v>1</v>
      </c>
      <c r="AJ90" t="s">
        <v>162</v>
      </c>
      <c r="AK90" t="s">
        <v>176</v>
      </c>
      <c r="AL90">
        <v>0</v>
      </c>
      <c r="AM90" t="s">
        <v>176</v>
      </c>
      <c r="AN90">
        <v>0</v>
      </c>
    </row>
    <row r="91" spans="1:40" x14ac:dyDescent="0.15">
      <c r="A91" s="4" t="str">
        <f>HYPERLINK("https://ibp.a2mac1.com/costing(costing:projects/details/9760/process/12083050)","Process")</f>
        <v>Process</v>
      </c>
      <c r="B91" t="s">
        <v>1018</v>
      </c>
      <c r="C91">
        <v>12083050</v>
      </c>
      <c r="D91">
        <v>8411310</v>
      </c>
      <c r="E91">
        <v>27.25</v>
      </c>
      <c r="F91">
        <v>0</v>
      </c>
      <c r="G91">
        <v>0</v>
      </c>
      <c r="H91">
        <v>5.4500000000000002E-4</v>
      </c>
      <c r="I91" t="s">
        <v>176</v>
      </c>
      <c r="J91">
        <v>0.95374999999999999</v>
      </c>
      <c r="K91">
        <v>28.204294999999998</v>
      </c>
      <c r="L91">
        <v>0.51369967753771173</v>
      </c>
      <c r="M91">
        <v>3.0821980652262706</v>
      </c>
      <c r="N91">
        <v>31.286493065226271</v>
      </c>
      <c r="O91" t="s">
        <v>90</v>
      </c>
      <c r="P91">
        <v>0</v>
      </c>
      <c r="Q91" t="s">
        <v>90</v>
      </c>
      <c r="R91">
        <v>0</v>
      </c>
      <c r="S91" t="s">
        <v>90</v>
      </c>
      <c r="T91">
        <v>0</v>
      </c>
      <c r="U91">
        <v>31.286493065226271</v>
      </c>
      <c r="V91">
        <v>0</v>
      </c>
      <c r="W91">
        <v>0</v>
      </c>
      <c r="X91">
        <v>0</v>
      </c>
      <c r="Y91">
        <v>0</v>
      </c>
      <c r="Z91">
        <v>0</v>
      </c>
      <c r="AA91">
        <v>291</v>
      </c>
      <c r="AB91">
        <v>1</v>
      </c>
      <c r="AC91">
        <v>0</v>
      </c>
      <c r="AD91">
        <v>1.9999600007999841E-3</v>
      </c>
      <c r="AE91">
        <v>10800</v>
      </c>
      <c r="AF91">
        <v>200000</v>
      </c>
      <c r="AG91">
        <v>16666.666666666668</v>
      </c>
      <c r="AH91">
        <v>1</v>
      </c>
      <c r="AI91">
        <v>1</v>
      </c>
      <c r="AJ91" t="s">
        <v>162</v>
      </c>
      <c r="AK91" t="s">
        <v>176</v>
      </c>
      <c r="AL91">
        <v>0</v>
      </c>
      <c r="AM91" t="s">
        <v>176</v>
      </c>
      <c r="AN91">
        <v>0</v>
      </c>
    </row>
    <row r="92" spans="1:40" x14ac:dyDescent="0.15">
      <c r="A92" s="4" t="str">
        <f>HYPERLINK("https://ibp.a2mac1.com/costing(costing:projects/details/9760/process/12083030)","Process")</f>
        <v>Process</v>
      </c>
      <c r="B92" t="s">
        <v>1021</v>
      </c>
      <c r="C92">
        <v>12083030</v>
      </c>
      <c r="D92">
        <v>8411267</v>
      </c>
      <c r="E92">
        <v>0</v>
      </c>
      <c r="F92">
        <v>0</v>
      </c>
      <c r="G92">
        <v>0</v>
      </c>
      <c r="H92">
        <v>0</v>
      </c>
      <c r="I92" t="s">
        <v>176</v>
      </c>
      <c r="J92">
        <v>0</v>
      </c>
      <c r="K92">
        <v>0</v>
      </c>
      <c r="L92">
        <v>0.16381522491985734</v>
      </c>
      <c r="M92">
        <v>0.98289134951914403</v>
      </c>
      <c r="N92">
        <v>0.98289134951914403</v>
      </c>
      <c r="O92" t="s">
        <v>90</v>
      </c>
      <c r="P92">
        <v>0</v>
      </c>
      <c r="Q92" t="s">
        <v>90</v>
      </c>
      <c r="R92">
        <v>0</v>
      </c>
      <c r="S92" t="s">
        <v>90</v>
      </c>
      <c r="T92">
        <v>0</v>
      </c>
      <c r="U92">
        <v>0.98289134951914403</v>
      </c>
      <c r="V92">
        <v>0</v>
      </c>
      <c r="W92">
        <v>0</v>
      </c>
      <c r="X92">
        <v>0</v>
      </c>
      <c r="Y92">
        <v>0</v>
      </c>
      <c r="Z92">
        <v>0</v>
      </c>
      <c r="AA92">
        <v>91</v>
      </c>
      <c r="AB92">
        <v>1</v>
      </c>
      <c r="AC92">
        <v>0</v>
      </c>
      <c r="AD92">
        <v>0</v>
      </c>
      <c r="AE92">
        <v>10800</v>
      </c>
      <c r="AF92">
        <v>200000</v>
      </c>
      <c r="AG92">
        <v>10000</v>
      </c>
      <c r="AH92">
        <v>1</v>
      </c>
      <c r="AI92">
        <v>1</v>
      </c>
      <c r="AJ92" t="s">
        <v>76</v>
      </c>
      <c r="AK92" t="s">
        <v>176</v>
      </c>
      <c r="AL92">
        <v>0</v>
      </c>
      <c r="AM92" t="s">
        <v>176</v>
      </c>
      <c r="AN92">
        <v>0</v>
      </c>
    </row>
    <row r="93" spans="1:40" x14ac:dyDescent="0.15">
      <c r="A93" s="4" t="str">
        <f>HYPERLINK("https://ibp.a2mac1.com/costing(costing:projects/details/9760/process/12083051)","Process")</f>
        <v>Process</v>
      </c>
      <c r="B93" t="s">
        <v>1018</v>
      </c>
      <c r="C93">
        <v>12083051</v>
      </c>
      <c r="D93">
        <v>8411312</v>
      </c>
      <c r="E93">
        <v>27.25</v>
      </c>
      <c r="F93">
        <v>0</v>
      </c>
      <c r="G93">
        <v>0</v>
      </c>
      <c r="H93">
        <v>5.4500000000000002E-4</v>
      </c>
      <c r="I93" t="s">
        <v>176</v>
      </c>
      <c r="J93">
        <v>0.95374999999999999</v>
      </c>
      <c r="K93">
        <v>28.204294999999998</v>
      </c>
      <c r="L93">
        <v>0.51369967753771173</v>
      </c>
      <c r="M93">
        <v>3.0821980652262706</v>
      </c>
      <c r="N93">
        <v>31.286493065226271</v>
      </c>
      <c r="O93" t="s">
        <v>90</v>
      </c>
      <c r="P93">
        <v>0</v>
      </c>
      <c r="Q93" t="s">
        <v>90</v>
      </c>
      <c r="R93">
        <v>0</v>
      </c>
      <c r="S93" t="s">
        <v>90</v>
      </c>
      <c r="T93">
        <v>0</v>
      </c>
      <c r="U93">
        <v>31.286493065226271</v>
      </c>
      <c r="V93">
        <v>0</v>
      </c>
      <c r="W93">
        <v>0</v>
      </c>
      <c r="X93">
        <v>0</v>
      </c>
      <c r="Y93">
        <v>0</v>
      </c>
      <c r="Z93">
        <v>0</v>
      </c>
      <c r="AA93">
        <v>291</v>
      </c>
      <c r="AB93">
        <v>1</v>
      </c>
      <c r="AC93">
        <v>0</v>
      </c>
      <c r="AD93">
        <v>1.9999600007999841E-3</v>
      </c>
      <c r="AE93">
        <v>10800</v>
      </c>
      <c r="AF93">
        <v>200000</v>
      </c>
      <c r="AG93">
        <v>16666.666666666668</v>
      </c>
      <c r="AH93">
        <v>1</v>
      </c>
      <c r="AI93">
        <v>1</v>
      </c>
      <c r="AJ93" t="s">
        <v>162</v>
      </c>
      <c r="AK93" t="s">
        <v>176</v>
      </c>
      <c r="AL93">
        <v>0</v>
      </c>
      <c r="AM93" t="s">
        <v>176</v>
      </c>
      <c r="AN93">
        <v>0</v>
      </c>
    </row>
    <row r="94" spans="1:40" x14ac:dyDescent="0.15">
      <c r="A94" s="4" t="str">
        <f>HYPERLINK("https://ibp.a2mac1.com/costing(costing:projects/details/9760/process/12083031)","Process")</f>
        <v>Process</v>
      </c>
      <c r="B94" t="s">
        <v>1021</v>
      </c>
      <c r="C94">
        <v>12083031</v>
      </c>
      <c r="D94">
        <v>8411268</v>
      </c>
      <c r="E94">
        <v>0</v>
      </c>
      <c r="F94">
        <v>0</v>
      </c>
      <c r="G94">
        <v>0</v>
      </c>
      <c r="H94">
        <v>0</v>
      </c>
      <c r="I94" t="s">
        <v>176</v>
      </c>
      <c r="J94">
        <v>0</v>
      </c>
      <c r="K94">
        <v>0</v>
      </c>
      <c r="L94">
        <v>0.16381522491985734</v>
      </c>
      <c r="M94">
        <v>0.98289134951914403</v>
      </c>
      <c r="N94">
        <v>0.98289134951914403</v>
      </c>
      <c r="O94" t="s">
        <v>90</v>
      </c>
      <c r="P94">
        <v>0</v>
      </c>
      <c r="Q94" t="s">
        <v>90</v>
      </c>
      <c r="R94">
        <v>0</v>
      </c>
      <c r="S94" t="s">
        <v>90</v>
      </c>
      <c r="T94">
        <v>0</v>
      </c>
      <c r="U94">
        <v>0.98289134951914403</v>
      </c>
      <c r="V94">
        <v>0</v>
      </c>
      <c r="W94">
        <v>0</v>
      </c>
      <c r="X94">
        <v>0</v>
      </c>
      <c r="Y94">
        <v>0</v>
      </c>
      <c r="Z94">
        <v>0</v>
      </c>
      <c r="AA94">
        <v>91</v>
      </c>
      <c r="AB94">
        <v>1</v>
      </c>
      <c r="AC94">
        <v>0</v>
      </c>
      <c r="AD94">
        <v>0</v>
      </c>
      <c r="AE94">
        <v>10800</v>
      </c>
      <c r="AF94">
        <v>200000</v>
      </c>
      <c r="AG94">
        <v>10000</v>
      </c>
      <c r="AH94">
        <v>1</v>
      </c>
      <c r="AI94">
        <v>1</v>
      </c>
      <c r="AJ94" t="s">
        <v>76</v>
      </c>
      <c r="AK94" t="s">
        <v>176</v>
      </c>
      <c r="AL94">
        <v>0</v>
      </c>
      <c r="AM94" t="s">
        <v>176</v>
      </c>
      <c r="AN94">
        <v>0</v>
      </c>
    </row>
    <row r="95" spans="1:40" x14ac:dyDescent="0.15">
      <c r="A95" s="4" t="str">
        <f>HYPERLINK("https://ibp.a2mac1.com/costing(costing:projects/details/9760/process/12083054)","Process")</f>
        <v>Process</v>
      </c>
      <c r="B95" t="s">
        <v>1069</v>
      </c>
      <c r="C95">
        <v>12083054</v>
      </c>
      <c r="D95">
        <v>8411412</v>
      </c>
      <c r="E95">
        <v>11.35</v>
      </c>
      <c r="F95">
        <v>0</v>
      </c>
      <c r="G95">
        <v>0</v>
      </c>
      <c r="H95">
        <v>2.2699999999999999E-4</v>
      </c>
      <c r="I95" t="s">
        <v>176</v>
      </c>
      <c r="J95">
        <v>0.39724999999999999</v>
      </c>
      <c r="K95">
        <v>11.747477</v>
      </c>
      <c r="L95">
        <v>0.52951472487793128</v>
      </c>
      <c r="M95">
        <v>3.1770883492675877</v>
      </c>
      <c r="N95">
        <v>14.924565349267587</v>
      </c>
      <c r="O95" t="s">
        <v>90</v>
      </c>
      <c r="P95">
        <v>0</v>
      </c>
      <c r="Q95" t="s">
        <v>90</v>
      </c>
      <c r="R95">
        <v>0</v>
      </c>
      <c r="S95" t="s">
        <v>90</v>
      </c>
      <c r="T95">
        <v>0</v>
      </c>
      <c r="U95">
        <v>14.924565349267587</v>
      </c>
      <c r="V95">
        <v>0</v>
      </c>
      <c r="W95">
        <v>0</v>
      </c>
      <c r="X95">
        <v>0</v>
      </c>
      <c r="Y95">
        <v>0</v>
      </c>
      <c r="Z95">
        <v>0</v>
      </c>
      <c r="AA95">
        <v>300</v>
      </c>
      <c r="AB95">
        <v>1</v>
      </c>
      <c r="AC95">
        <v>0</v>
      </c>
      <c r="AD95">
        <v>1.9999600007999841E-3</v>
      </c>
      <c r="AE95">
        <v>10800</v>
      </c>
      <c r="AF95">
        <v>200000</v>
      </c>
      <c r="AG95">
        <v>16666.666666666668</v>
      </c>
      <c r="AH95">
        <v>1</v>
      </c>
      <c r="AI95">
        <v>1</v>
      </c>
      <c r="AJ95" t="s">
        <v>162</v>
      </c>
      <c r="AK95" t="s">
        <v>176</v>
      </c>
      <c r="AL95">
        <v>0</v>
      </c>
      <c r="AM95" t="s">
        <v>176</v>
      </c>
      <c r="AN95">
        <v>0</v>
      </c>
    </row>
    <row r="96" spans="1:40" x14ac:dyDescent="0.15">
      <c r="A96" s="4" t="str">
        <f>HYPERLINK("https://ibp.a2mac1.com/costing(costing:projects/details/9760/process/12083052)","Process")</f>
        <v>Process</v>
      </c>
      <c r="B96" t="s">
        <v>1021</v>
      </c>
      <c r="C96">
        <v>12083052</v>
      </c>
      <c r="D96">
        <v>8411314</v>
      </c>
      <c r="E96">
        <v>0</v>
      </c>
      <c r="F96">
        <v>0</v>
      </c>
      <c r="G96">
        <v>0</v>
      </c>
      <c r="H96">
        <v>0</v>
      </c>
      <c r="I96" t="s">
        <v>176</v>
      </c>
      <c r="J96">
        <v>0</v>
      </c>
      <c r="K96">
        <v>0</v>
      </c>
      <c r="L96">
        <v>0.33465921919331404</v>
      </c>
      <c r="M96">
        <v>1.1713072671765992</v>
      </c>
      <c r="N96">
        <v>1.1713072671765992</v>
      </c>
      <c r="O96" t="s">
        <v>90</v>
      </c>
      <c r="P96">
        <v>0</v>
      </c>
      <c r="Q96" t="s">
        <v>90</v>
      </c>
      <c r="R96">
        <v>0</v>
      </c>
      <c r="S96" t="s">
        <v>90</v>
      </c>
      <c r="T96">
        <v>0</v>
      </c>
      <c r="U96">
        <v>1.1713072671765992</v>
      </c>
      <c r="V96">
        <v>0</v>
      </c>
      <c r="W96">
        <v>0</v>
      </c>
      <c r="X96">
        <v>0</v>
      </c>
      <c r="Y96">
        <v>0</v>
      </c>
      <c r="Z96">
        <v>0</v>
      </c>
      <c r="AA96">
        <v>93</v>
      </c>
      <c r="AB96">
        <v>1</v>
      </c>
      <c r="AC96">
        <v>0</v>
      </c>
      <c r="AD96">
        <v>0</v>
      </c>
      <c r="AE96">
        <v>10800</v>
      </c>
      <c r="AF96">
        <v>200000</v>
      </c>
      <c r="AG96">
        <v>10000</v>
      </c>
      <c r="AH96">
        <v>1</v>
      </c>
      <c r="AI96">
        <v>1</v>
      </c>
      <c r="AJ96" t="s">
        <v>76</v>
      </c>
      <c r="AK96" t="s">
        <v>176</v>
      </c>
      <c r="AL96">
        <v>0</v>
      </c>
      <c r="AM96" t="s">
        <v>176</v>
      </c>
      <c r="AN96">
        <v>0</v>
      </c>
    </row>
    <row r="97" spans="1:40" x14ac:dyDescent="0.15">
      <c r="A97" s="4" t="str">
        <f>HYPERLINK("https://ibp.a2mac1.com/costing(costing:projects/details/9760/process/12083055)","Process")</f>
        <v>Process</v>
      </c>
      <c r="B97" t="s">
        <v>1069</v>
      </c>
      <c r="C97">
        <v>12083055</v>
      </c>
      <c r="D97">
        <v>8411417</v>
      </c>
      <c r="E97">
        <v>11.35</v>
      </c>
      <c r="F97">
        <v>0</v>
      </c>
      <c r="G97">
        <v>0</v>
      </c>
      <c r="H97">
        <v>2.2699999999999999E-4</v>
      </c>
      <c r="I97" t="s">
        <v>176</v>
      </c>
      <c r="J97">
        <v>0.39724999999999999</v>
      </c>
      <c r="K97">
        <v>11.747477</v>
      </c>
      <c r="L97">
        <v>0.52951472487793128</v>
      </c>
      <c r="M97">
        <v>3.1770883492675877</v>
      </c>
      <c r="N97">
        <v>14.924565349267587</v>
      </c>
      <c r="O97" t="s">
        <v>90</v>
      </c>
      <c r="P97">
        <v>0</v>
      </c>
      <c r="Q97" t="s">
        <v>90</v>
      </c>
      <c r="R97">
        <v>0</v>
      </c>
      <c r="S97" t="s">
        <v>90</v>
      </c>
      <c r="T97">
        <v>0</v>
      </c>
      <c r="U97">
        <v>14.924565349267587</v>
      </c>
      <c r="V97">
        <v>0</v>
      </c>
      <c r="W97">
        <v>0</v>
      </c>
      <c r="X97">
        <v>0</v>
      </c>
      <c r="Y97">
        <v>0</v>
      </c>
      <c r="Z97">
        <v>0</v>
      </c>
      <c r="AA97">
        <v>300</v>
      </c>
      <c r="AB97">
        <v>1</v>
      </c>
      <c r="AC97">
        <v>0</v>
      </c>
      <c r="AD97">
        <v>1.9999600007999841E-3</v>
      </c>
      <c r="AE97">
        <v>10800</v>
      </c>
      <c r="AF97">
        <v>200000</v>
      </c>
      <c r="AG97">
        <v>16666.666666666668</v>
      </c>
      <c r="AH97">
        <v>1</v>
      </c>
      <c r="AI97">
        <v>1</v>
      </c>
      <c r="AJ97" t="s">
        <v>162</v>
      </c>
      <c r="AK97" t="s">
        <v>176</v>
      </c>
      <c r="AL97">
        <v>0</v>
      </c>
      <c r="AM97" t="s">
        <v>176</v>
      </c>
      <c r="AN97">
        <v>0</v>
      </c>
    </row>
    <row r="98" spans="1:40" x14ac:dyDescent="0.15">
      <c r="A98" s="4" t="str">
        <f>HYPERLINK("https://ibp.a2mac1.com/costing(costing:projects/details/9760/process/12083053)","Process")</f>
        <v>Process</v>
      </c>
      <c r="B98" t="s">
        <v>1021</v>
      </c>
      <c r="C98">
        <v>12083053</v>
      </c>
      <c r="D98">
        <v>8411315</v>
      </c>
      <c r="E98">
        <v>0</v>
      </c>
      <c r="F98">
        <v>0</v>
      </c>
      <c r="G98">
        <v>0</v>
      </c>
      <c r="H98">
        <v>0</v>
      </c>
      <c r="I98" t="s">
        <v>176</v>
      </c>
      <c r="J98">
        <v>0</v>
      </c>
      <c r="K98">
        <v>0</v>
      </c>
      <c r="L98">
        <v>0.33465921919331404</v>
      </c>
      <c r="M98">
        <v>1.1713072671765992</v>
      </c>
      <c r="N98">
        <v>1.1713072671765992</v>
      </c>
      <c r="O98" t="s">
        <v>90</v>
      </c>
      <c r="P98">
        <v>0</v>
      </c>
      <c r="Q98" t="s">
        <v>90</v>
      </c>
      <c r="R98">
        <v>0</v>
      </c>
      <c r="S98" t="s">
        <v>90</v>
      </c>
      <c r="T98">
        <v>0</v>
      </c>
      <c r="U98">
        <v>1.1713072671765992</v>
      </c>
      <c r="V98">
        <v>0</v>
      </c>
      <c r="W98">
        <v>0</v>
      </c>
      <c r="X98">
        <v>0</v>
      </c>
      <c r="Y98">
        <v>0</v>
      </c>
      <c r="Z98">
        <v>0</v>
      </c>
      <c r="AA98">
        <v>93</v>
      </c>
      <c r="AB98">
        <v>1</v>
      </c>
      <c r="AC98">
        <v>0</v>
      </c>
      <c r="AD98">
        <v>0</v>
      </c>
      <c r="AE98">
        <v>10800</v>
      </c>
      <c r="AF98">
        <v>200000</v>
      </c>
      <c r="AG98">
        <v>10000</v>
      </c>
      <c r="AH98">
        <v>1</v>
      </c>
      <c r="AI98">
        <v>1</v>
      </c>
      <c r="AJ98" t="s">
        <v>76</v>
      </c>
      <c r="AK98" t="s">
        <v>176</v>
      </c>
      <c r="AL98">
        <v>0</v>
      </c>
      <c r="AM98" t="s">
        <v>176</v>
      </c>
      <c r="AN98">
        <v>0</v>
      </c>
    </row>
    <row r="99" spans="1:40" x14ac:dyDescent="0.15">
      <c r="A99" s="4" t="str">
        <f>HYPERLINK("https://ibp.a2mac1.com/costing(costing:projects/details/9760/process/12083032)","Process")</f>
        <v>Process</v>
      </c>
      <c r="B99" t="s">
        <v>1002</v>
      </c>
      <c r="C99">
        <v>12083032</v>
      </c>
      <c r="D99">
        <v>8411275</v>
      </c>
      <c r="E99">
        <v>7.2549999999999999</v>
      </c>
      <c r="F99">
        <v>0</v>
      </c>
      <c r="G99">
        <v>0</v>
      </c>
      <c r="H99">
        <v>1.451E-4</v>
      </c>
      <c r="I99" t="s">
        <v>176</v>
      </c>
      <c r="J99">
        <v>0.25392500000000001</v>
      </c>
      <c r="K99">
        <v>7.5090700999999997</v>
      </c>
      <c r="L99">
        <v>1.1064693264350913</v>
      </c>
      <c r="M99">
        <v>6.6388159586105475</v>
      </c>
      <c r="N99">
        <v>14.147886058610547</v>
      </c>
      <c r="O99" t="s">
        <v>177</v>
      </c>
      <c r="P99">
        <v>0.450544206</v>
      </c>
      <c r="Q99" t="s">
        <v>177</v>
      </c>
      <c r="R99">
        <v>0.39832895751663283</v>
      </c>
      <c r="S99" t="s">
        <v>178</v>
      </c>
      <c r="T99">
        <v>1.6977463270332658</v>
      </c>
      <c r="U99">
        <v>16.694505549160446</v>
      </c>
      <c r="V99">
        <v>0</v>
      </c>
      <c r="W99">
        <v>0</v>
      </c>
      <c r="X99">
        <v>0</v>
      </c>
      <c r="Y99">
        <v>0</v>
      </c>
      <c r="Z99">
        <v>0</v>
      </c>
      <c r="AA99">
        <v>629</v>
      </c>
      <c r="AB99">
        <v>1</v>
      </c>
      <c r="AC99">
        <v>0</v>
      </c>
      <c r="AD99">
        <v>1.9999600007999841E-3</v>
      </c>
      <c r="AE99">
        <v>10800</v>
      </c>
      <c r="AF99">
        <v>400000</v>
      </c>
      <c r="AG99">
        <v>33333.333333333336</v>
      </c>
      <c r="AH99">
        <v>1</v>
      </c>
      <c r="AI99">
        <v>1</v>
      </c>
      <c r="AJ99" t="s">
        <v>162</v>
      </c>
      <c r="AK99" t="s">
        <v>176</v>
      </c>
      <c r="AL99">
        <v>0</v>
      </c>
      <c r="AM99" t="s">
        <v>176</v>
      </c>
      <c r="AN99">
        <v>0</v>
      </c>
    </row>
    <row r="100" spans="1:40" x14ac:dyDescent="0.15">
      <c r="A100" s="4" t="str">
        <f>HYPERLINK("https://ibp.a2mac1.com/costing(costing:projects/details/9760/process/12083138)","Process")</f>
        <v>Process</v>
      </c>
      <c r="B100" t="s">
        <v>360</v>
      </c>
      <c r="C100">
        <v>12083138</v>
      </c>
      <c r="D100">
        <v>8411447</v>
      </c>
      <c r="E100">
        <v>0</v>
      </c>
      <c r="F100">
        <v>0</v>
      </c>
      <c r="G100">
        <v>0</v>
      </c>
      <c r="H100">
        <v>0</v>
      </c>
      <c r="I100" t="s">
        <v>176</v>
      </c>
      <c r="J100">
        <v>0</v>
      </c>
      <c r="K100">
        <v>0</v>
      </c>
      <c r="L100">
        <v>8.3510703387854809E-2</v>
      </c>
      <c r="M100">
        <v>0.50106422032712883</v>
      </c>
      <c r="N100">
        <v>0.50106422032712883</v>
      </c>
      <c r="O100" t="s">
        <v>90</v>
      </c>
      <c r="P100">
        <v>0</v>
      </c>
      <c r="Q100" t="s">
        <v>90</v>
      </c>
      <c r="R100">
        <v>0</v>
      </c>
      <c r="S100" t="s">
        <v>90</v>
      </c>
      <c r="T100">
        <v>0</v>
      </c>
      <c r="U100">
        <v>0.50106422032712883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77</v>
      </c>
      <c r="AB100">
        <v>1</v>
      </c>
      <c r="AC100">
        <v>0</v>
      </c>
      <c r="AD100">
        <v>0</v>
      </c>
      <c r="AE100">
        <v>216</v>
      </c>
      <c r="AF100">
        <v>200000</v>
      </c>
      <c r="AG100">
        <v>10000</v>
      </c>
      <c r="AH100">
        <v>1</v>
      </c>
      <c r="AI100">
        <v>1</v>
      </c>
      <c r="AJ100" t="s">
        <v>76</v>
      </c>
      <c r="AK100" t="s">
        <v>176</v>
      </c>
      <c r="AL100">
        <v>0</v>
      </c>
      <c r="AM100" t="s">
        <v>176</v>
      </c>
      <c r="AN100">
        <v>0</v>
      </c>
    </row>
    <row r="101" spans="1:40" x14ac:dyDescent="0.15">
      <c r="A101" s="4" t="str">
        <f>HYPERLINK("https://ibp.a2mac1.com/costing(costing:projects/details/9760/process/12083201)","Process")</f>
        <v>Process</v>
      </c>
      <c r="B101" t="s">
        <v>360</v>
      </c>
      <c r="C101">
        <v>12083201</v>
      </c>
      <c r="D101">
        <v>8411468</v>
      </c>
      <c r="E101">
        <v>0</v>
      </c>
      <c r="F101">
        <v>0</v>
      </c>
      <c r="G101">
        <v>0</v>
      </c>
      <c r="H101">
        <v>0</v>
      </c>
      <c r="I101" t="s">
        <v>176</v>
      </c>
      <c r="J101">
        <v>0</v>
      </c>
      <c r="K101">
        <v>0</v>
      </c>
      <c r="L101">
        <v>8.6786436408492429E-2</v>
      </c>
      <c r="M101">
        <v>0.30375252742972347</v>
      </c>
      <c r="N101">
        <v>0.30375252742972347</v>
      </c>
      <c r="O101" t="s">
        <v>90</v>
      </c>
      <c r="P101">
        <v>0</v>
      </c>
      <c r="Q101" t="s">
        <v>90</v>
      </c>
      <c r="R101">
        <v>0</v>
      </c>
      <c r="S101" t="s">
        <v>90</v>
      </c>
      <c r="T101">
        <v>0</v>
      </c>
      <c r="U101">
        <v>0.30375252742972347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40</v>
      </c>
      <c r="AB101">
        <v>1</v>
      </c>
      <c r="AC101">
        <v>0</v>
      </c>
      <c r="AD101">
        <v>0</v>
      </c>
      <c r="AE101">
        <v>216</v>
      </c>
      <c r="AF101">
        <v>200000</v>
      </c>
      <c r="AG101">
        <v>10000</v>
      </c>
      <c r="AH101">
        <v>1</v>
      </c>
      <c r="AI101">
        <v>1</v>
      </c>
      <c r="AJ101" t="s">
        <v>76</v>
      </c>
      <c r="AK101" t="s">
        <v>176</v>
      </c>
      <c r="AL101">
        <v>0</v>
      </c>
      <c r="AM101" t="s">
        <v>176</v>
      </c>
      <c r="AN101">
        <v>0</v>
      </c>
    </row>
    <row r="102" spans="1:40" x14ac:dyDescent="0.15">
      <c r="A102" s="4" t="str">
        <f>HYPERLINK("https://ibp.a2mac1.com/costing(costing:projects/details/9760/process/12083202)","Process")</f>
        <v>Process</v>
      </c>
      <c r="B102" t="s">
        <v>360</v>
      </c>
      <c r="C102">
        <v>12083202</v>
      </c>
      <c r="D102">
        <v>8411469</v>
      </c>
      <c r="E102">
        <v>0</v>
      </c>
      <c r="F102">
        <v>0</v>
      </c>
      <c r="G102">
        <v>0</v>
      </c>
      <c r="H102">
        <v>0</v>
      </c>
      <c r="I102" t="s">
        <v>176</v>
      </c>
      <c r="J102">
        <v>0</v>
      </c>
      <c r="K102">
        <v>0</v>
      </c>
      <c r="L102">
        <v>0.15617884321257217</v>
      </c>
      <c r="M102">
        <v>0.54662595124400259</v>
      </c>
      <c r="N102">
        <v>0.54662595124400259</v>
      </c>
      <c r="O102" t="s">
        <v>90</v>
      </c>
      <c r="P102">
        <v>0</v>
      </c>
      <c r="Q102" t="s">
        <v>90</v>
      </c>
      <c r="R102">
        <v>0</v>
      </c>
      <c r="S102" t="s">
        <v>90</v>
      </c>
      <c r="T102">
        <v>0</v>
      </c>
      <c r="U102">
        <v>0.54662595124400259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72</v>
      </c>
      <c r="AB102">
        <v>1</v>
      </c>
      <c r="AC102">
        <v>0</v>
      </c>
      <c r="AD102">
        <v>0</v>
      </c>
      <c r="AE102">
        <v>216</v>
      </c>
      <c r="AF102">
        <v>200000</v>
      </c>
      <c r="AG102">
        <v>10000</v>
      </c>
      <c r="AH102">
        <v>1</v>
      </c>
      <c r="AI102">
        <v>1</v>
      </c>
      <c r="AJ102" t="s">
        <v>76</v>
      </c>
      <c r="AK102" t="s">
        <v>176</v>
      </c>
      <c r="AL102">
        <v>0</v>
      </c>
      <c r="AM102" t="s">
        <v>176</v>
      </c>
      <c r="AN102">
        <v>0</v>
      </c>
    </row>
    <row r="103" spans="1:40" x14ac:dyDescent="0.15">
      <c r="A103" s="4" t="str">
        <f>HYPERLINK("https://ibp.a2mac1.com/costing(costing:projects/details/9760/process/12083203)","Process")</f>
        <v>Process</v>
      </c>
      <c r="B103" t="s">
        <v>360</v>
      </c>
      <c r="C103">
        <v>12083203</v>
      </c>
      <c r="D103">
        <v>8411477</v>
      </c>
      <c r="E103">
        <v>0</v>
      </c>
      <c r="F103">
        <v>0</v>
      </c>
      <c r="G103">
        <v>0</v>
      </c>
      <c r="H103">
        <v>0</v>
      </c>
      <c r="I103" t="s">
        <v>176</v>
      </c>
      <c r="J103">
        <v>0</v>
      </c>
      <c r="K103">
        <v>0</v>
      </c>
      <c r="L103">
        <v>3.8579119982213181E-2</v>
      </c>
      <c r="M103">
        <v>0.23147471989327909</v>
      </c>
      <c r="N103">
        <v>0.23147471989327909</v>
      </c>
      <c r="O103" t="s">
        <v>90</v>
      </c>
      <c r="P103">
        <v>0</v>
      </c>
      <c r="Q103" t="s">
        <v>90</v>
      </c>
      <c r="R103">
        <v>0</v>
      </c>
      <c r="S103" t="s">
        <v>90</v>
      </c>
      <c r="T103">
        <v>0</v>
      </c>
      <c r="U103">
        <v>0.23147471989327909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35.56</v>
      </c>
      <c r="AB103">
        <v>1</v>
      </c>
      <c r="AC103">
        <v>0</v>
      </c>
      <c r="AD103">
        <v>0</v>
      </c>
      <c r="AE103">
        <v>216</v>
      </c>
      <c r="AF103">
        <v>200000</v>
      </c>
      <c r="AG103">
        <v>10000</v>
      </c>
      <c r="AH103">
        <v>1</v>
      </c>
      <c r="AI103">
        <v>1</v>
      </c>
      <c r="AJ103" t="s">
        <v>76</v>
      </c>
      <c r="AK103" t="s">
        <v>176</v>
      </c>
      <c r="AL103">
        <v>0</v>
      </c>
      <c r="AM103" t="s">
        <v>176</v>
      </c>
      <c r="AN103">
        <v>0</v>
      </c>
    </row>
    <row r="104" spans="1:40" x14ac:dyDescent="0.15">
      <c r="A104" s="4" t="str">
        <f>HYPERLINK("https://ibp.a2mac1.com/costing(costing:projects/details/9760/process/12083204)","Process")</f>
        <v>Process</v>
      </c>
      <c r="B104" t="s">
        <v>360</v>
      </c>
      <c r="C104">
        <v>12083204</v>
      </c>
      <c r="D104">
        <v>8411478</v>
      </c>
      <c r="E104">
        <v>0</v>
      </c>
      <c r="F104">
        <v>0</v>
      </c>
      <c r="G104">
        <v>0</v>
      </c>
      <c r="H104">
        <v>0</v>
      </c>
      <c r="I104" t="s">
        <v>176</v>
      </c>
      <c r="J104">
        <v>0</v>
      </c>
      <c r="K104">
        <v>0</v>
      </c>
      <c r="L104">
        <v>0.21828504730222353</v>
      </c>
      <c r="M104">
        <v>0.76399766555778237</v>
      </c>
      <c r="N104">
        <v>0.76399766555778237</v>
      </c>
      <c r="O104" t="s">
        <v>90</v>
      </c>
      <c r="P104">
        <v>0</v>
      </c>
      <c r="Q104" t="s">
        <v>90</v>
      </c>
      <c r="R104">
        <v>0</v>
      </c>
      <c r="S104" t="s">
        <v>90</v>
      </c>
      <c r="T104">
        <v>0</v>
      </c>
      <c r="U104">
        <v>0.76399766555778237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100.64</v>
      </c>
      <c r="AB104">
        <v>1</v>
      </c>
      <c r="AC104">
        <v>0</v>
      </c>
      <c r="AD104">
        <v>0</v>
      </c>
      <c r="AE104">
        <v>216</v>
      </c>
      <c r="AF104">
        <v>200000</v>
      </c>
      <c r="AG104">
        <v>10000</v>
      </c>
      <c r="AH104">
        <v>1</v>
      </c>
      <c r="AI104">
        <v>1</v>
      </c>
      <c r="AJ104" t="s">
        <v>76</v>
      </c>
      <c r="AK104" t="s">
        <v>176</v>
      </c>
      <c r="AL104">
        <v>0</v>
      </c>
      <c r="AM104" t="s">
        <v>176</v>
      </c>
      <c r="AN104">
        <v>0</v>
      </c>
    </row>
    <row r="105" spans="1:40" x14ac:dyDescent="0.15">
      <c r="A105" s="4" t="str">
        <f>HYPERLINK("https://ibp.a2mac1.com/costing(costing:projects/details/9760/process/12083205)","Process")</f>
        <v>Process</v>
      </c>
      <c r="B105" t="s">
        <v>360</v>
      </c>
      <c r="C105">
        <v>12083205</v>
      </c>
      <c r="D105">
        <v>8411489</v>
      </c>
      <c r="E105">
        <v>0</v>
      </c>
      <c r="F105">
        <v>0</v>
      </c>
      <c r="G105">
        <v>0</v>
      </c>
      <c r="H105">
        <v>0</v>
      </c>
      <c r="I105" t="s">
        <v>176</v>
      </c>
      <c r="J105">
        <v>0</v>
      </c>
      <c r="K105">
        <v>0</v>
      </c>
      <c r="L105">
        <v>7.8112385557982458E-2</v>
      </c>
      <c r="M105">
        <v>0.27339334945293858</v>
      </c>
      <c r="N105">
        <v>0.27339334945293858</v>
      </c>
      <c r="O105" t="s">
        <v>90</v>
      </c>
      <c r="P105">
        <v>0</v>
      </c>
      <c r="Q105" t="s">
        <v>90</v>
      </c>
      <c r="R105">
        <v>0</v>
      </c>
      <c r="S105" t="s">
        <v>90</v>
      </c>
      <c r="T105">
        <v>0</v>
      </c>
      <c r="U105">
        <v>0.27339334945293858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36</v>
      </c>
      <c r="AB105">
        <v>1</v>
      </c>
      <c r="AC105">
        <v>0</v>
      </c>
      <c r="AD105">
        <v>0</v>
      </c>
      <c r="AE105">
        <v>216</v>
      </c>
      <c r="AF105">
        <v>200000</v>
      </c>
      <c r="AG105">
        <v>10000</v>
      </c>
      <c r="AH105">
        <v>1</v>
      </c>
      <c r="AI105">
        <v>1</v>
      </c>
      <c r="AJ105" t="s">
        <v>76</v>
      </c>
      <c r="AK105" t="s">
        <v>176</v>
      </c>
      <c r="AL105">
        <v>0</v>
      </c>
      <c r="AM105" t="s">
        <v>176</v>
      </c>
      <c r="AN105">
        <v>0</v>
      </c>
    </row>
    <row r="106" spans="1:40" x14ac:dyDescent="0.15">
      <c r="A106" s="4" t="str">
        <f>HYPERLINK("https://ibp.a2mac1.com/costing(costing:projects/details/9760/process/12083251)","Process")</f>
        <v>Process</v>
      </c>
      <c r="B106" t="s">
        <v>360</v>
      </c>
      <c r="C106">
        <v>12083251</v>
      </c>
      <c r="D106">
        <v>8411562</v>
      </c>
      <c r="E106">
        <v>0</v>
      </c>
      <c r="F106">
        <v>0</v>
      </c>
      <c r="G106">
        <v>0</v>
      </c>
      <c r="H106">
        <v>0</v>
      </c>
      <c r="I106" t="s">
        <v>176</v>
      </c>
      <c r="J106">
        <v>0</v>
      </c>
      <c r="K106">
        <v>0</v>
      </c>
      <c r="L106">
        <v>0.89382831254095496</v>
      </c>
      <c r="M106">
        <v>3.1283990938933424</v>
      </c>
      <c r="N106">
        <v>3.1283990938933424</v>
      </c>
      <c r="O106" t="s">
        <v>90</v>
      </c>
      <c r="P106">
        <v>0</v>
      </c>
      <c r="Q106" t="s">
        <v>90</v>
      </c>
      <c r="R106">
        <v>0</v>
      </c>
      <c r="S106" t="s">
        <v>90</v>
      </c>
      <c r="T106">
        <v>0</v>
      </c>
      <c r="U106">
        <v>3.1283990938933424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411.3</v>
      </c>
      <c r="AB106">
        <v>1</v>
      </c>
      <c r="AC106">
        <v>0.2</v>
      </c>
      <c r="AD106">
        <v>0.20955992415926555</v>
      </c>
      <c r="AE106">
        <v>216</v>
      </c>
      <c r="AF106">
        <v>200000</v>
      </c>
      <c r="AG106">
        <v>10000</v>
      </c>
      <c r="AH106">
        <v>1</v>
      </c>
      <c r="AI106">
        <v>1</v>
      </c>
      <c r="AJ106" t="s">
        <v>76</v>
      </c>
      <c r="AK106" t="s">
        <v>176</v>
      </c>
      <c r="AL106">
        <v>0</v>
      </c>
      <c r="AM106" t="s">
        <v>176</v>
      </c>
      <c r="AN106">
        <v>0</v>
      </c>
    </row>
    <row r="107" spans="1:40" x14ac:dyDescent="0.15">
      <c r="A107" s="4" t="str">
        <f>HYPERLINK("https://ibp.a2mac1.com/costing(costing:projects/details/9760/process/12083252)","Process")</f>
        <v>Process</v>
      </c>
      <c r="B107" t="s">
        <v>360</v>
      </c>
      <c r="C107">
        <v>12083252</v>
      </c>
      <c r="D107">
        <v>8411567</v>
      </c>
      <c r="E107">
        <v>0</v>
      </c>
      <c r="F107">
        <v>0</v>
      </c>
      <c r="G107">
        <v>0</v>
      </c>
      <c r="H107">
        <v>0</v>
      </c>
      <c r="I107" t="s">
        <v>176</v>
      </c>
      <c r="J107">
        <v>0</v>
      </c>
      <c r="K107">
        <v>0</v>
      </c>
      <c r="L107">
        <v>3.5244142922415795</v>
      </c>
      <c r="M107">
        <v>12.335450022845528</v>
      </c>
      <c r="N107">
        <v>12.335450022845528</v>
      </c>
      <c r="O107" t="s">
        <v>90</v>
      </c>
      <c r="P107">
        <v>0</v>
      </c>
      <c r="Q107" t="s">
        <v>90</v>
      </c>
      <c r="R107">
        <v>0</v>
      </c>
      <c r="S107" t="s">
        <v>90</v>
      </c>
      <c r="T107">
        <v>0</v>
      </c>
      <c r="U107">
        <v>12.335450022845528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1617</v>
      </c>
      <c r="AB107">
        <v>1</v>
      </c>
      <c r="AC107">
        <v>0.5</v>
      </c>
      <c r="AD107">
        <v>0.50741219779126456</v>
      </c>
      <c r="AE107">
        <v>216</v>
      </c>
      <c r="AF107">
        <v>200000</v>
      </c>
      <c r="AG107">
        <v>10000</v>
      </c>
      <c r="AH107">
        <v>1</v>
      </c>
      <c r="AI107">
        <v>1</v>
      </c>
      <c r="AJ107" t="s">
        <v>76</v>
      </c>
      <c r="AK107" t="s">
        <v>176</v>
      </c>
      <c r="AL107">
        <v>0</v>
      </c>
      <c r="AM107" t="s">
        <v>176</v>
      </c>
      <c r="AN107">
        <v>0</v>
      </c>
    </row>
    <row r="108" spans="1:40" x14ac:dyDescent="0.15">
      <c r="A108" s="4" t="str">
        <f>HYPERLINK("https://ibp.a2mac1.com/costing(costing:projects/details/9760/process/12083206)","Process")</f>
        <v>Process</v>
      </c>
      <c r="B108" t="s">
        <v>360</v>
      </c>
      <c r="C108">
        <v>12083206</v>
      </c>
      <c r="D108">
        <v>8411496</v>
      </c>
      <c r="E108">
        <v>0</v>
      </c>
      <c r="F108">
        <v>0</v>
      </c>
      <c r="G108">
        <v>0</v>
      </c>
      <c r="H108">
        <v>0</v>
      </c>
      <c r="I108" t="s">
        <v>176</v>
      </c>
      <c r="J108">
        <v>0</v>
      </c>
      <c r="K108">
        <v>0</v>
      </c>
      <c r="L108">
        <v>0.9476859833216067</v>
      </c>
      <c r="M108">
        <v>3.3169009416256232</v>
      </c>
      <c r="N108">
        <v>3.3169009416256232</v>
      </c>
      <c r="O108" t="s">
        <v>90</v>
      </c>
      <c r="P108">
        <v>0</v>
      </c>
      <c r="Q108" t="s">
        <v>90</v>
      </c>
      <c r="R108">
        <v>0</v>
      </c>
      <c r="S108" t="s">
        <v>90</v>
      </c>
      <c r="T108">
        <v>0</v>
      </c>
      <c r="U108">
        <v>3.3169009416256232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437</v>
      </c>
      <c r="AB108">
        <v>1</v>
      </c>
      <c r="AC108">
        <v>0</v>
      </c>
      <c r="AD108">
        <v>0</v>
      </c>
      <c r="AE108">
        <v>216</v>
      </c>
      <c r="AF108">
        <v>200000</v>
      </c>
      <c r="AG108">
        <v>10000</v>
      </c>
      <c r="AH108">
        <v>1</v>
      </c>
      <c r="AI108">
        <v>1</v>
      </c>
      <c r="AJ108" t="s">
        <v>76</v>
      </c>
      <c r="AK108" t="s">
        <v>176</v>
      </c>
      <c r="AL108">
        <v>0</v>
      </c>
      <c r="AM108" t="s">
        <v>176</v>
      </c>
      <c r="AN108">
        <v>0</v>
      </c>
    </row>
    <row r="109" spans="1:40" x14ac:dyDescent="0.15">
      <c r="A109" s="4" t="str">
        <f>HYPERLINK("https://ibp.a2mac1.com/costing(costing:projects/details/9760/process/12083207)","Process")</f>
        <v>Process</v>
      </c>
      <c r="B109" t="s">
        <v>360</v>
      </c>
      <c r="C109">
        <v>12083207</v>
      </c>
      <c r="D109">
        <v>8411499</v>
      </c>
      <c r="E109">
        <v>0</v>
      </c>
      <c r="F109">
        <v>0</v>
      </c>
      <c r="G109">
        <v>0</v>
      </c>
      <c r="H109">
        <v>0</v>
      </c>
      <c r="I109" t="s">
        <v>176</v>
      </c>
      <c r="J109">
        <v>0</v>
      </c>
      <c r="K109">
        <v>0</v>
      </c>
      <c r="L109">
        <v>0.35568201277430139</v>
      </c>
      <c r="M109">
        <v>1.2448870447100548</v>
      </c>
      <c r="N109">
        <v>1.2448870447100548</v>
      </c>
      <c r="O109" t="s">
        <v>90</v>
      </c>
      <c r="P109">
        <v>0</v>
      </c>
      <c r="Q109" t="s">
        <v>90</v>
      </c>
      <c r="R109">
        <v>0</v>
      </c>
      <c r="S109" t="s">
        <v>90</v>
      </c>
      <c r="T109">
        <v>0</v>
      </c>
      <c r="U109">
        <v>1.2448870447100548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164</v>
      </c>
      <c r="AB109">
        <v>1</v>
      </c>
      <c r="AC109">
        <v>0</v>
      </c>
      <c r="AD109">
        <v>0</v>
      </c>
      <c r="AE109">
        <v>216</v>
      </c>
      <c r="AF109">
        <v>200000</v>
      </c>
      <c r="AG109">
        <v>10000</v>
      </c>
      <c r="AH109">
        <v>1</v>
      </c>
      <c r="AI109">
        <v>1</v>
      </c>
      <c r="AJ109" t="s">
        <v>76</v>
      </c>
      <c r="AK109" t="s">
        <v>176</v>
      </c>
      <c r="AL109">
        <v>0</v>
      </c>
      <c r="AM109" t="s">
        <v>176</v>
      </c>
      <c r="AN109">
        <v>0</v>
      </c>
    </row>
    <row r="110" spans="1:40" x14ac:dyDescent="0.15">
      <c r="A110" s="4" t="str">
        <f>HYPERLINK("https://ibp.a2mac1.com/costing(costing:projects/details/9760/process/12083208)","Process")</f>
        <v>Process</v>
      </c>
      <c r="B110" t="s">
        <v>360</v>
      </c>
      <c r="C110">
        <v>12083208</v>
      </c>
      <c r="D110">
        <v>8411501</v>
      </c>
      <c r="E110">
        <v>0</v>
      </c>
      <c r="F110">
        <v>0</v>
      </c>
      <c r="G110">
        <v>0</v>
      </c>
      <c r="H110">
        <v>0</v>
      </c>
      <c r="I110" t="s">
        <v>176</v>
      </c>
      <c r="J110">
        <v>0</v>
      </c>
      <c r="K110">
        <v>0</v>
      </c>
      <c r="L110">
        <v>0.11992131065744049</v>
      </c>
      <c r="M110">
        <v>0.41972458730104173</v>
      </c>
      <c r="N110">
        <v>0.41972458730104173</v>
      </c>
      <c r="O110" t="s">
        <v>90</v>
      </c>
      <c r="P110">
        <v>0</v>
      </c>
      <c r="Q110" t="s">
        <v>90</v>
      </c>
      <c r="R110">
        <v>0</v>
      </c>
      <c r="S110" t="s">
        <v>90</v>
      </c>
      <c r="T110">
        <v>0</v>
      </c>
      <c r="U110">
        <v>0.41972458730104173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55.28</v>
      </c>
      <c r="AB110">
        <v>1</v>
      </c>
      <c r="AC110">
        <v>0</v>
      </c>
      <c r="AD110">
        <v>0</v>
      </c>
      <c r="AE110">
        <v>216</v>
      </c>
      <c r="AF110">
        <v>200000</v>
      </c>
      <c r="AG110">
        <v>10000</v>
      </c>
      <c r="AH110">
        <v>1</v>
      </c>
      <c r="AI110">
        <v>1</v>
      </c>
      <c r="AJ110" t="s">
        <v>76</v>
      </c>
      <c r="AK110" t="s">
        <v>176</v>
      </c>
      <c r="AL110">
        <v>0</v>
      </c>
      <c r="AM110" t="s">
        <v>176</v>
      </c>
      <c r="AN110">
        <v>0</v>
      </c>
    </row>
    <row r="111" spans="1:40" x14ac:dyDescent="0.15">
      <c r="A111" s="4" t="str">
        <f>HYPERLINK("https://ibp.a2mac1.com/costing(costing:projects/details/9760/process/12083209)","Automated Process")</f>
        <v>Automated Process</v>
      </c>
      <c r="B111" t="s">
        <v>1463</v>
      </c>
      <c r="C111">
        <v>12083209</v>
      </c>
      <c r="D111">
        <v>8411505</v>
      </c>
      <c r="E111">
        <v>1.8575434500000002E-2</v>
      </c>
      <c r="F111">
        <v>0</v>
      </c>
      <c r="G111">
        <v>0</v>
      </c>
      <c r="H111">
        <v>9.4227266736842104E-5</v>
      </c>
      <c r="I111" t="s">
        <v>176</v>
      </c>
      <c r="J111">
        <v>6.5176963157894741E-4</v>
      </c>
      <c r="K111">
        <v>1.932143139831579E-2</v>
      </c>
      <c r="L111">
        <v>0.88540017204372801</v>
      </c>
      <c r="M111">
        <v>5.3124010322623683</v>
      </c>
      <c r="N111">
        <v>5.3317224636606841</v>
      </c>
      <c r="O111" t="s">
        <v>90</v>
      </c>
      <c r="P111">
        <v>0</v>
      </c>
      <c r="Q111" t="s">
        <v>90</v>
      </c>
      <c r="R111">
        <v>0</v>
      </c>
      <c r="S111" t="s">
        <v>90</v>
      </c>
      <c r="T111">
        <v>0</v>
      </c>
      <c r="U111">
        <v>5.3317224636606841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500</v>
      </c>
      <c r="AB111">
        <v>1</v>
      </c>
      <c r="AC111">
        <v>0.5</v>
      </c>
      <c r="AD111">
        <v>0.50345253019720215</v>
      </c>
      <c r="AE111">
        <v>10800</v>
      </c>
      <c r="AF111">
        <v>200000</v>
      </c>
      <c r="AG111">
        <v>16666.666666666668</v>
      </c>
      <c r="AH111">
        <v>1</v>
      </c>
      <c r="AI111">
        <v>1</v>
      </c>
      <c r="AJ111" t="s">
        <v>162</v>
      </c>
      <c r="AK111" t="s">
        <v>176</v>
      </c>
      <c r="AL111">
        <v>0</v>
      </c>
      <c r="AM111" t="s">
        <v>176</v>
      </c>
      <c r="AN111">
        <v>0</v>
      </c>
    </row>
    <row r="112" spans="1:40" x14ac:dyDescent="0.15">
      <c r="A112" s="4" t="str">
        <f>HYPERLINK("https://ibp.a2mac1.com/costing(costing:projects/details/9760/process/12083210)","Automated Process")</f>
        <v>Automated Process</v>
      </c>
      <c r="B112" t="s">
        <v>1471</v>
      </c>
      <c r="C112">
        <v>12083210</v>
      </c>
      <c r="D112">
        <v>8411506</v>
      </c>
      <c r="E112">
        <v>1.3268167500000001E-2</v>
      </c>
      <c r="F112">
        <v>0</v>
      </c>
      <c r="G112">
        <v>0</v>
      </c>
      <c r="H112">
        <v>6.7305190526315787E-5</v>
      </c>
      <c r="I112" t="s">
        <v>176</v>
      </c>
      <c r="J112">
        <v>4.6554973684210529E-4</v>
      </c>
      <c r="K112">
        <v>1.3801022427368421E-2</v>
      </c>
      <c r="L112">
        <v>0.88540017204372801</v>
      </c>
      <c r="M112">
        <v>5.3124010322623683</v>
      </c>
      <c r="N112">
        <v>5.3262020546897366</v>
      </c>
      <c r="O112" t="s">
        <v>177</v>
      </c>
      <c r="P112">
        <v>8.2806134564210527E-4</v>
      </c>
      <c r="Q112" t="s">
        <v>177</v>
      </c>
      <c r="R112">
        <v>0.31874406193574212</v>
      </c>
      <c r="S112" t="s">
        <v>178</v>
      </c>
      <c r="T112">
        <v>0.63914424656276836</v>
      </c>
      <c r="U112">
        <v>6.2849184245338892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500</v>
      </c>
      <c r="AB112">
        <v>1</v>
      </c>
      <c r="AC112">
        <v>0.5</v>
      </c>
      <c r="AD112">
        <v>0.50345253019720215</v>
      </c>
      <c r="AE112">
        <v>10800</v>
      </c>
      <c r="AF112">
        <v>200000</v>
      </c>
      <c r="AG112">
        <v>16666.666666666668</v>
      </c>
      <c r="AH112">
        <v>1</v>
      </c>
      <c r="AI112">
        <v>1</v>
      </c>
      <c r="AJ112" t="s">
        <v>162</v>
      </c>
      <c r="AK112" t="s">
        <v>176</v>
      </c>
      <c r="AL112">
        <v>0</v>
      </c>
      <c r="AM112" t="s">
        <v>176</v>
      </c>
      <c r="AN112">
        <v>0</v>
      </c>
    </row>
    <row r="113" spans="1:40" x14ac:dyDescent="0.15">
      <c r="A113" s="4" t="str">
        <f>HYPERLINK("https://ibp.a2mac1.com/costing(costing:projects/details/9760/process/12083211)","Process")</f>
        <v>Process</v>
      </c>
      <c r="C113">
        <v>12083211</v>
      </c>
      <c r="D113">
        <v>8411507</v>
      </c>
      <c r="E113">
        <v>0</v>
      </c>
      <c r="F113">
        <v>0</v>
      </c>
      <c r="G113">
        <v>0</v>
      </c>
      <c r="H113">
        <v>0</v>
      </c>
      <c r="I113" t="s">
        <v>176</v>
      </c>
      <c r="J113">
        <v>0</v>
      </c>
      <c r="K113">
        <v>0</v>
      </c>
      <c r="L113">
        <v>4.4538644137318506E-2</v>
      </c>
      <c r="M113">
        <v>0.26723186482391104</v>
      </c>
      <c r="N113">
        <v>0.26723186482391104</v>
      </c>
      <c r="O113" t="s">
        <v>90</v>
      </c>
      <c r="P113">
        <v>0</v>
      </c>
      <c r="Q113" t="s">
        <v>90</v>
      </c>
      <c r="R113">
        <v>0</v>
      </c>
      <c r="S113" t="s">
        <v>90</v>
      </c>
      <c r="T113">
        <v>0</v>
      </c>
      <c r="U113">
        <v>0.26723186482391104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39</v>
      </c>
      <c r="AB113">
        <v>1</v>
      </c>
      <c r="AC113">
        <v>5</v>
      </c>
      <c r="AD113">
        <v>5.0061745986510875</v>
      </c>
      <c r="AE113">
        <v>216</v>
      </c>
      <c r="AF113">
        <v>200000</v>
      </c>
      <c r="AG113">
        <v>10000</v>
      </c>
      <c r="AH113">
        <v>1</v>
      </c>
      <c r="AI113">
        <v>1</v>
      </c>
      <c r="AJ113" t="s">
        <v>76</v>
      </c>
      <c r="AK113" t="s">
        <v>176</v>
      </c>
      <c r="AL113">
        <v>0</v>
      </c>
      <c r="AM113" t="s">
        <v>176</v>
      </c>
      <c r="AN113">
        <v>0</v>
      </c>
    </row>
    <row r="114" spans="1:40" x14ac:dyDescent="0.15">
      <c r="A114" s="4" t="str">
        <f>HYPERLINK("https://ibp.a2mac1.com/costing(costing:projects/details/9760/process/12083212)","Process")</f>
        <v>Process</v>
      </c>
      <c r="C114">
        <v>12083212</v>
      </c>
      <c r="D114">
        <v>8411528</v>
      </c>
      <c r="E114">
        <v>0</v>
      </c>
      <c r="F114">
        <v>0</v>
      </c>
      <c r="G114">
        <v>0</v>
      </c>
      <c r="H114">
        <v>0</v>
      </c>
      <c r="I114" t="s">
        <v>176</v>
      </c>
      <c r="J114">
        <v>0</v>
      </c>
      <c r="K114">
        <v>0</v>
      </c>
      <c r="L114">
        <v>3.4266074140695185E-2</v>
      </c>
      <c r="M114">
        <v>0.20559644484417111</v>
      </c>
      <c r="N114">
        <v>0.20559644484417111</v>
      </c>
      <c r="O114" t="s">
        <v>90</v>
      </c>
      <c r="P114">
        <v>0</v>
      </c>
      <c r="Q114" t="s">
        <v>90</v>
      </c>
      <c r="R114">
        <v>0</v>
      </c>
      <c r="S114" t="s">
        <v>90</v>
      </c>
      <c r="T114">
        <v>0</v>
      </c>
      <c r="U114">
        <v>0.20559644484417111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30</v>
      </c>
      <c r="AB114">
        <v>1</v>
      </c>
      <c r="AC114">
        <v>5</v>
      </c>
      <c r="AD114">
        <v>5.0061745986510875</v>
      </c>
      <c r="AE114">
        <v>216</v>
      </c>
      <c r="AF114">
        <v>200000</v>
      </c>
      <c r="AG114">
        <v>10000</v>
      </c>
      <c r="AH114">
        <v>1</v>
      </c>
      <c r="AI114">
        <v>1</v>
      </c>
      <c r="AJ114" t="s">
        <v>76</v>
      </c>
      <c r="AK114" t="s">
        <v>176</v>
      </c>
      <c r="AL114">
        <v>0</v>
      </c>
      <c r="AM114" t="s">
        <v>176</v>
      </c>
      <c r="AN114">
        <v>0</v>
      </c>
    </row>
    <row r="115" spans="1:40" x14ac:dyDescent="0.15">
      <c r="A115" s="4" t="str">
        <f>HYPERLINK("https://ibp.a2mac1.com/costing(costing:projects/details/9760/process/12083256)","Process")</f>
        <v>Process</v>
      </c>
      <c r="B115" t="s">
        <v>360</v>
      </c>
      <c r="C115">
        <v>12083256</v>
      </c>
      <c r="D115">
        <v>8411633</v>
      </c>
      <c r="E115">
        <v>0</v>
      </c>
      <c r="F115">
        <v>0</v>
      </c>
      <c r="G115">
        <v>0</v>
      </c>
      <c r="H115">
        <v>0</v>
      </c>
      <c r="I115" t="s">
        <v>176</v>
      </c>
      <c r="J115">
        <v>0</v>
      </c>
      <c r="K115">
        <v>0</v>
      </c>
      <c r="L115">
        <v>0.71131809764521003</v>
      </c>
      <c r="M115">
        <v>2.4896133417582353</v>
      </c>
      <c r="N115">
        <v>2.4896133417582353</v>
      </c>
      <c r="O115" t="s">
        <v>90</v>
      </c>
      <c r="P115">
        <v>0</v>
      </c>
      <c r="Q115" t="s">
        <v>90</v>
      </c>
      <c r="R115">
        <v>0</v>
      </c>
      <c r="S115" t="s">
        <v>90</v>
      </c>
      <c r="T115">
        <v>0</v>
      </c>
      <c r="U115">
        <v>2.4896133417582353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328</v>
      </c>
      <c r="AB115">
        <v>1</v>
      </c>
      <c r="AC115">
        <v>0</v>
      </c>
      <c r="AD115">
        <v>0</v>
      </c>
      <c r="AE115">
        <v>216</v>
      </c>
      <c r="AF115">
        <v>200000</v>
      </c>
      <c r="AG115">
        <v>10000</v>
      </c>
      <c r="AH115">
        <v>1</v>
      </c>
      <c r="AI115">
        <v>1</v>
      </c>
      <c r="AJ115" t="s">
        <v>76</v>
      </c>
      <c r="AK115" t="s">
        <v>176</v>
      </c>
      <c r="AL115">
        <v>0</v>
      </c>
      <c r="AM115" t="s">
        <v>176</v>
      </c>
      <c r="AN115">
        <v>0</v>
      </c>
    </row>
    <row r="116" spans="1:40" x14ac:dyDescent="0.15">
      <c r="A116" s="4" t="str">
        <f>HYPERLINK("https://ibp.a2mac1.com/costing(costing:projects/details/9760/process/12083257)","Process")</f>
        <v>Process</v>
      </c>
      <c r="B116" t="s">
        <v>360</v>
      </c>
      <c r="C116">
        <v>12083257</v>
      </c>
      <c r="D116">
        <v>8411636</v>
      </c>
      <c r="E116">
        <v>0</v>
      </c>
      <c r="F116">
        <v>0</v>
      </c>
      <c r="G116">
        <v>0</v>
      </c>
      <c r="H116">
        <v>0</v>
      </c>
      <c r="I116" t="s">
        <v>176</v>
      </c>
      <c r="J116">
        <v>0</v>
      </c>
      <c r="K116">
        <v>0</v>
      </c>
      <c r="L116">
        <v>0.71131809764521003</v>
      </c>
      <c r="M116">
        <v>2.4896133417582353</v>
      </c>
      <c r="N116">
        <v>2.4896133417582353</v>
      </c>
      <c r="O116" t="s">
        <v>90</v>
      </c>
      <c r="P116">
        <v>0</v>
      </c>
      <c r="Q116" t="s">
        <v>90</v>
      </c>
      <c r="R116">
        <v>0</v>
      </c>
      <c r="S116" t="s">
        <v>90</v>
      </c>
      <c r="T116">
        <v>0</v>
      </c>
      <c r="U116">
        <v>2.4896133417582353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328</v>
      </c>
      <c r="AB116">
        <v>1</v>
      </c>
      <c r="AC116">
        <v>0</v>
      </c>
      <c r="AD116">
        <v>0</v>
      </c>
      <c r="AE116">
        <v>216</v>
      </c>
      <c r="AF116">
        <v>200000</v>
      </c>
      <c r="AG116">
        <v>10000</v>
      </c>
      <c r="AH116">
        <v>1</v>
      </c>
      <c r="AI116">
        <v>1</v>
      </c>
      <c r="AJ116" t="s">
        <v>76</v>
      </c>
      <c r="AK116" t="s">
        <v>176</v>
      </c>
      <c r="AL116">
        <v>0</v>
      </c>
      <c r="AM116" t="s">
        <v>176</v>
      </c>
      <c r="AN116">
        <v>0</v>
      </c>
    </row>
    <row r="117" spans="1:40" x14ac:dyDescent="0.15">
      <c r="A117" s="4" t="str">
        <f>HYPERLINK("https://ibp.a2mac1.com/costing(costing:projects/details/9760/process/12083213)","Process")</f>
        <v>Process</v>
      </c>
      <c r="B117" t="s">
        <v>360</v>
      </c>
      <c r="C117">
        <v>12083213</v>
      </c>
      <c r="D117">
        <v>8411533</v>
      </c>
      <c r="E117">
        <v>0</v>
      </c>
      <c r="F117">
        <v>0</v>
      </c>
      <c r="G117">
        <v>0</v>
      </c>
      <c r="H117">
        <v>0</v>
      </c>
      <c r="I117" t="s">
        <v>176</v>
      </c>
      <c r="J117">
        <v>0</v>
      </c>
      <c r="K117">
        <v>0</v>
      </c>
      <c r="L117">
        <v>0.71912824806753417</v>
      </c>
      <c r="M117">
        <v>2.5169488682363697</v>
      </c>
      <c r="N117">
        <v>2.5169488682363697</v>
      </c>
      <c r="O117" t="s">
        <v>90</v>
      </c>
      <c r="P117">
        <v>0</v>
      </c>
      <c r="Q117" t="s">
        <v>90</v>
      </c>
      <c r="R117">
        <v>0</v>
      </c>
      <c r="S117" t="s">
        <v>90</v>
      </c>
      <c r="T117">
        <v>0</v>
      </c>
      <c r="U117">
        <v>2.5169488682363697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315</v>
      </c>
      <c r="AB117">
        <v>1</v>
      </c>
      <c r="AC117">
        <v>5</v>
      </c>
      <c r="AD117">
        <v>5.0061745986510875</v>
      </c>
      <c r="AE117">
        <v>216</v>
      </c>
      <c r="AF117">
        <v>200000</v>
      </c>
      <c r="AG117">
        <v>10000</v>
      </c>
      <c r="AH117">
        <v>1</v>
      </c>
      <c r="AI117">
        <v>1</v>
      </c>
      <c r="AJ117" t="s">
        <v>76</v>
      </c>
      <c r="AK117" t="s">
        <v>176</v>
      </c>
      <c r="AL117">
        <v>0</v>
      </c>
      <c r="AM117" t="s">
        <v>176</v>
      </c>
      <c r="AN117">
        <v>0</v>
      </c>
    </row>
    <row r="118" spans="1:40" x14ac:dyDescent="0.15">
      <c r="A118" s="4" t="str">
        <f>HYPERLINK("https://ibp.a2mac1.com/costing(costing:projects/details/9760/process/12083214)","Process")</f>
        <v>Process</v>
      </c>
      <c r="B118" t="s">
        <v>360</v>
      </c>
      <c r="C118">
        <v>12083214</v>
      </c>
      <c r="D118">
        <v>8411535</v>
      </c>
      <c r="E118">
        <v>0</v>
      </c>
      <c r="F118">
        <v>0</v>
      </c>
      <c r="G118">
        <v>0</v>
      </c>
      <c r="H118">
        <v>0</v>
      </c>
      <c r="I118" t="s">
        <v>176</v>
      </c>
      <c r="J118">
        <v>0</v>
      </c>
      <c r="K118">
        <v>0</v>
      </c>
      <c r="L118">
        <v>0.71131809764521003</v>
      </c>
      <c r="M118">
        <v>2.4896133417582353</v>
      </c>
      <c r="N118">
        <v>2.4896133417582353</v>
      </c>
      <c r="O118" t="s">
        <v>90</v>
      </c>
      <c r="P118">
        <v>0</v>
      </c>
      <c r="Q118" t="s">
        <v>90</v>
      </c>
      <c r="R118">
        <v>0</v>
      </c>
      <c r="S118" t="s">
        <v>90</v>
      </c>
      <c r="T118">
        <v>0</v>
      </c>
      <c r="U118">
        <v>2.4896133417582353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328</v>
      </c>
      <c r="AB118">
        <v>1</v>
      </c>
      <c r="AC118">
        <v>0</v>
      </c>
      <c r="AD118">
        <v>0</v>
      </c>
      <c r="AE118">
        <v>216</v>
      </c>
      <c r="AF118">
        <v>200000</v>
      </c>
      <c r="AG118">
        <v>10000</v>
      </c>
      <c r="AH118">
        <v>1</v>
      </c>
      <c r="AI118">
        <v>1</v>
      </c>
      <c r="AJ118" t="s">
        <v>76</v>
      </c>
      <c r="AK118" t="s">
        <v>176</v>
      </c>
      <c r="AL118">
        <v>0</v>
      </c>
      <c r="AM118" t="s">
        <v>176</v>
      </c>
      <c r="AN118">
        <v>0</v>
      </c>
    </row>
    <row r="119" spans="1:40" x14ac:dyDescent="0.15">
      <c r="A119" s="4" t="str">
        <f>HYPERLINK("https://ibp.a2mac1.com/costing(costing:projects/details/9760/process/12083215)","Process")</f>
        <v>Process</v>
      </c>
      <c r="B119" t="s">
        <v>360</v>
      </c>
      <c r="C119">
        <v>12083215</v>
      </c>
      <c r="D119">
        <v>8411537</v>
      </c>
      <c r="E119">
        <v>0</v>
      </c>
      <c r="F119">
        <v>0</v>
      </c>
      <c r="G119">
        <v>0</v>
      </c>
      <c r="H119">
        <v>0</v>
      </c>
      <c r="I119" t="s">
        <v>176</v>
      </c>
      <c r="J119">
        <v>0</v>
      </c>
      <c r="K119">
        <v>0</v>
      </c>
      <c r="L119">
        <v>0.71131809764521003</v>
      </c>
      <c r="M119">
        <v>2.4896133417582353</v>
      </c>
      <c r="N119">
        <v>2.4896133417582353</v>
      </c>
      <c r="O119" t="s">
        <v>90</v>
      </c>
      <c r="P119">
        <v>0</v>
      </c>
      <c r="Q119" t="s">
        <v>90</v>
      </c>
      <c r="R119">
        <v>0</v>
      </c>
      <c r="S119" t="s">
        <v>90</v>
      </c>
      <c r="T119">
        <v>0</v>
      </c>
      <c r="U119">
        <v>2.4896133417582353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328</v>
      </c>
      <c r="AB119">
        <v>1</v>
      </c>
      <c r="AC119">
        <v>0</v>
      </c>
      <c r="AD119">
        <v>0</v>
      </c>
      <c r="AE119">
        <v>216</v>
      </c>
      <c r="AF119">
        <v>200000</v>
      </c>
      <c r="AG119">
        <v>10000</v>
      </c>
      <c r="AH119">
        <v>1</v>
      </c>
      <c r="AI119">
        <v>1</v>
      </c>
      <c r="AJ119" t="s">
        <v>76</v>
      </c>
      <c r="AK119" t="s">
        <v>176</v>
      </c>
      <c r="AL119">
        <v>0</v>
      </c>
      <c r="AM119" t="s">
        <v>176</v>
      </c>
      <c r="AN119">
        <v>0</v>
      </c>
    </row>
    <row r="120" spans="1:40" x14ac:dyDescent="0.15">
      <c r="A120" s="4" t="str">
        <f>HYPERLINK("https://ibp.a2mac1.com/costing(costing:projects/details/9760/process/12083216)","Process")</f>
        <v>Process</v>
      </c>
      <c r="B120" t="s">
        <v>360</v>
      </c>
      <c r="C120">
        <v>12083216</v>
      </c>
      <c r="D120">
        <v>8411539</v>
      </c>
      <c r="E120">
        <v>0</v>
      </c>
      <c r="F120">
        <v>0</v>
      </c>
      <c r="G120">
        <v>0</v>
      </c>
      <c r="H120">
        <v>0</v>
      </c>
      <c r="I120" t="s">
        <v>176</v>
      </c>
      <c r="J120">
        <v>0</v>
      </c>
      <c r="K120">
        <v>0</v>
      </c>
      <c r="L120">
        <v>1.9792301676533284</v>
      </c>
      <c r="M120">
        <v>6.9273055867866491</v>
      </c>
      <c r="N120">
        <v>6.9273055867866491</v>
      </c>
      <c r="O120" t="s">
        <v>90</v>
      </c>
      <c r="P120">
        <v>0</v>
      </c>
      <c r="Q120" t="s">
        <v>90</v>
      </c>
      <c r="R120">
        <v>0</v>
      </c>
      <c r="S120" t="s">
        <v>90</v>
      </c>
      <c r="T120">
        <v>0</v>
      </c>
      <c r="U120">
        <v>6.9273055867866491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867</v>
      </c>
      <c r="AB120">
        <v>1</v>
      </c>
      <c r="AC120">
        <v>5</v>
      </c>
      <c r="AD120">
        <v>5.0061745986510875</v>
      </c>
      <c r="AE120">
        <v>216</v>
      </c>
      <c r="AF120">
        <v>200000</v>
      </c>
      <c r="AG120">
        <v>10000</v>
      </c>
      <c r="AH120">
        <v>1</v>
      </c>
      <c r="AI120">
        <v>1</v>
      </c>
      <c r="AJ120" t="s">
        <v>76</v>
      </c>
      <c r="AK120" t="s">
        <v>176</v>
      </c>
      <c r="AL120">
        <v>0</v>
      </c>
      <c r="AM120" t="s">
        <v>176</v>
      </c>
      <c r="AN120">
        <v>0</v>
      </c>
    </row>
    <row r="121" spans="1:40" x14ac:dyDescent="0.15">
      <c r="A121" s="4" t="str">
        <f>HYPERLINK("https://ibp.a2mac1.com/costing(costing:projects/details/9760/process/12083217)","Process")</f>
        <v>Process</v>
      </c>
      <c r="B121" t="s">
        <v>360</v>
      </c>
      <c r="C121">
        <v>12083217</v>
      </c>
      <c r="D121">
        <v>8411540</v>
      </c>
      <c r="E121">
        <v>0</v>
      </c>
      <c r="F121">
        <v>0</v>
      </c>
      <c r="G121">
        <v>0</v>
      </c>
      <c r="H121">
        <v>0</v>
      </c>
      <c r="I121" t="s">
        <v>176</v>
      </c>
      <c r="J121">
        <v>0</v>
      </c>
      <c r="K121">
        <v>0</v>
      </c>
      <c r="L121">
        <v>0.59202693449900168</v>
      </c>
      <c r="M121">
        <v>2.0720942707465055</v>
      </c>
      <c r="N121">
        <v>2.0720942707465055</v>
      </c>
      <c r="O121" t="s">
        <v>90</v>
      </c>
      <c r="P121">
        <v>0</v>
      </c>
      <c r="Q121" t="s">
        <v>90</v>
      </c>
      <c r="R121">
        <v>0</v>
      </c>
      <c r="S121" t="s">
        <v>90</v>
      </c>
      <c r="T121">
        <v>0</v>
      </c>
      <c r="U121">
        <v>2.0720942707465055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273</v>
      </c>
      <c r="AB121">
        <v>1</v>
      </c>
      <c r="AC121">
        <v>0</v>
      </c>
      <c r="AD121">
        <v>0</v>
      </c>
      <c r="AE121">
        <v>216</v>
      </c>
      <c r="AF121">
        <v>400000</v>
      </c>
      <c r="AG121">
        <v>20000</v>
      </c>
      <c r="AH121">
        <v>1</v>
      </c>
      <c r="AI121">
        <v>1</v>
      </c>
      <c r="AJ121" t="s">
        <v>76</v>
      </c>
      <c r="AK121" t="s">
        <v>176</v>
      </c>
      <c r="AL121">
        <v>0</v>
      </c>
      <c r="AM121" t="s">
        <v>176</v>
      </c>
      <c r="AN121">
        <v>0</v>
      </c>
    </row>
    <row r="122" spans="1:40" x14ac:dyDescent="0.15">
      <c r="A122" s="4" t="str">
        <f>HYPERLINK("https://ibp.a2mac1.com/costing(costing:projects/details/9760/process/12083218)","Process")</f>
        <v>Process</v>
      </c>
      <c r="B122" t="s">
        <v>360</v>
      </c>
      <c r="C122">
        <v>12083218</v>
      </c>
      <c r="D122">
        <v>8411541</v>
      </c>
      <c r="E122">
        <v>0</v>
      </c>
      <c r="F122">
        <v>0</v>
      </c>
      <c r="G122">
        <v>0</v>
      </c>
      <c r="H122">
        <v>0</v>
      </c>
      <c r="I122" t="s">
        <v>176</v>
      </c>
      <c r="J122">
        <v>0</v>
      </c>
      <c r="K122">
        <v>0</v>
      </c>
      <c r="L122">
        <v>0.71129513369351371</v>
      </c>
      <c r="M122">
        <v>2.4895329679272979</v>
      </c>
      <c r="N122">
        <v>2.4895329679272979</v>
      </c>
      <c r="O122" t="s">
        <v>90</v>
      </c>
      <c r="P122">
        <v>0</v>
      </c>
      <c r="Q122" t="s">
        <v>90</v>
      </c>
      <c r="R122">
        <v>0</v>
      </c>
      <c r="S122" t="s">
        <v>90</v>
      </c>
      <c r="T122">
        <v>0</v>
      </c>
      <c r="U122">
        <v>2.4895329679272979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328</v>
      </c>
      <c r="AB122">
        <v>1</v>
      </c>
      <c r="AC122">
        <v>0</v>
      </c>
      <c r="AD122">
        <v>0</v>
      </c>
      <c r="AE122">
        <v>216</v>
      </c>
      <c r="AF122">
        <v>400000</v>
      </c>
      <c r="AG122">
        <v>20000</v>
      </c>
      <c r="AH122">
        <v>1</v>
      </c>
      <c r="AI122">
        <v>1</v>
      </c>
      <c r="AJ122" t="s">
        <v>76</v>
      </c>
      <c r="AK122" t="s">
        <v>176</v>
      </c>
      <c r="AL122">
        <v>0</v>
      </c>
      <c r="AM122" t="s">
        <v>176</v>
      </c>
      <c r="AN122">
        <v>0</v>
      </c>
    </row>
    <row r="123" spans="1:40" x14ac:dyDescent="0.15">
      <c r="A123" s="4" t="str">
        <f>HYPERLINK("https://ibp.a2mac1.com/costing(costing:projects/details/9760/process/12083219)","Process")</f>
        <v>Process</v>
      </c>
      <c r="B123" t="s">
        <v>360</v>
      </c>
      <c r="C123">
        <v>12083219</v>
      </c>
      <c r="D123">
        <v>8411544</v>
      </c>
      <c r="E123">
        <v>0</v>
      </c>
      <c r="F123">
        <v>0</v>
      </c>
      <c r="G123">
        <v>0</v>
      </c>
      <c r="H123">
        <v>0</v>
      </c>
      <c r="I123" t="s">
        <v>176</v>
      </c>
      <c r="J123">
        <v>0</v>
      </c>
      <c r="K123">
        <v>0</v>
      </c>
      <c r="L123">
        <v>0.71131809764521003</v>
      </c>
      <c r="M123">
        <v>2.4896133417582353</v>
      </c>
      <c r="N123">
        <v>2.4896133417582353</v>
      </c>
      <c r="O123" t="s">
        <v>90</v>
      </c>
      <c r="P123">
        <v>0</v>
      </c>
      <c r="Q123" t="s">
        <v>90</v>
      </c>
      <c r="R123">
        <v>0</v>
      </c>
      <c r="S123" t="s">
        <v>90</v>
      </c>
      <c r="T123">
        <v>0</v>
      </c>
      <c r="U123">
        <v>2.4896133417582353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328</v>
      </c>
      <c r="AB123">
        <v>1</v>
      </c>
      <c r="AC123">
        <v>0</v>
      </c>
      <c r="AD123">
        <v>0</v>
      </c>
      <c r="AE123">
        <v>216</v>
      </c>
      <c r="AF123">
        <v>200000</v>
      </c>
      <c r="AG123">
        <v>10000</v>
      </c>
      <c r="AH123">
        <v>1</v>
      </c>
      <c r="AI123">
        <v>1</v>
      </c>
      <c r="AJ123" t="s">
        <v>76</v>
      </c>
      <c r="AK123" t="s">
        <v>176</v>
      </c>
      <c r="AL123">
        <v>0</v>
      </c>
      <c r="AM123" t="s">
        <v>176</v>
      </c>
      <c r="AN123">
        <v>0</v>
      </c>
    </row>
    <row r="124" spans="1:40" x14ac:dyDescent="0.15">
      <c r="A124" s="4" t="str">
        <f>HYPERLINK("https://ibp.a2mac1.com/costing(costing:projects/details/9760/process/12083220)","Process")</f>
        <v>Process</v>
      </c>
      <c r="B124" t="s">
        <v>360</v>
      </c>
      <c r="C124">
        <v>12083220</v>
      </c>
      <c r="D124">
        <v>8411546</v>
      </c>
      <c r="E124">
        <v>0</v>
      </c>
      <c r="F124">
        <v>0</v>
      </c>
      <c r="G124">
        <v>0</v>
      </c>
      <c r="H124">
        <v>0</v>
      </c>
      <c r="I124" t="s">
        <v>176</v>
      </c>
      <c r="J124">
        <v>0</v>
      </c>
      <c r="K124">
        <v>0</v>
      </c>
      <c r="L124">
        <v>1.2144944012380365</v>
      </c>
      <c r="M124">
        <v>4.2507304043331278</v>
      </c>
      <c r="N124">
        <v>4.2507304043331278</v>
      </c>
      <c r="O124" t="s">
        <v>90</v>
      </c>
      <c r="P124">
        <v>0</v>
      </c>
      <c r="Q124" t="s">
        <v>90</v>
      </c>
      <c r="R124">
        <v>0</v>
      </c>
      <c r="S124" t="s">
        <v>90</v>
      </c>
      <c r="T124">
        <v>0</v>
      </c>
      <c r="U124">
        <v>4.2507304043331278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532</v>
      </c>
      <c r="AB124">
        <v>1</v>
      </c>
      <c r="AC124">
        <v>5</v>
      </c>
      <c r="AD124">
        <v>5.0061745986510875</v>
      </c>
      <c r="AE124">
        <v>216</v>
      </c>
      <c r="AF124">
        <v>200000</v>
      </c>
      <c r="AG124">
        <v>10000</v>
      </c>
      <c r="AH124">
        <v>1</v>
      </c>
      <c r="AI124">
        <v>1</v>
      </c>
      <c r="AJ124" t="s">
        <v>76</v>
      </c>
      <c r="AK124" t="s">
        <v>176</v>
      </c>
      <c r="AL124">
        <v>0</v>
      </c>
      <c r="AM124" t="s">
        <v>176</v>
      </c>
      <c r="AN124">
        <v>0</v>
      </c>
    </row>
    <row r="125" spans="1:40" x14ac:dyDescent="0.15">
      <c r="A125" s="4" t="str">
        <f>HYPERLINK("https://ibp.a2mac1.com/costing(costing:projects/details/9760/process/12083221)","Process")</f>
        <v>Process</v>
      </c>
      <c r="B125" t="s">
        <v>360</v>
      </c>
      <c r="C125">
        <v>12083221</v>
      </c>
      <c r="D125">
        <v>8411548</v>
      </c>
      <c r="E125">
        <v>0</v>
      </c>
      <c r="F125">
        <v>0</v>
      </c>
      <c r="G125">
        <v>0</v>
      </c>
      <c r="H125">
        <v>0</v>
      </c>
      <c r="I125" t="s">
        <v>176</v>
      </c>
      <c r="J125">
        <v>0</v>
      </c>
      <c r="K125">
        <v>0</v>
      </c>
      <c r="L125">
        <v>0.44675954670465606</v>
      </c>
      <c r="M125">
        <v>1.5636584134662963</v>
      </c>
      <c r="N125">
        <v>1.5636584134662963</v>
      </c>
      <c r="O125" t="s">
        <v>90</v>
      </c>
      <c r="P125">
        <v>0</v>
      </c>
      <c r="Q125" t="s">
        <v>90</v>
      </c>
      <c r="R125">
        <v>0</v>
      </c>
      <c r="S125" t="s">
        <v>90</v>
      </c>
      <c r="T125">
        <v>0</v>
      </c>
      <c r="U125">
        <v>1.5636584134662963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206</v>
      </c>
      <c r="AB125">
        <v>1</v>
      </c>
      <c r="AC125">
        <v>0</v>
      </c>
      <c r="AD125">
        <v>0</v>
      </c>
      <c r="AE125">
        <v>216</v>
      </c>
      <c r="AF125">
        <v>200000</v>
      </c>
      <c r="AG125">
        <v>10000</v>
      </c>
      <c r="AH125">
        <v>1</v>
      </c>
      <c r="AI125">
        <v>1</v>
      </c>
      <c r="AJ125" t="s">
        <v>76</v>
      </c>
      <c r="AK125" t="s">
        <v>176</v>
      </c>
      <c r="AL125">
        <v>0</v>
      </c>
      <c r="AM125" t="s">
        <v>176</v>
      </c>
      <c r="AN125">
        <v>0</v>
      </c>
    </row>
    <row r="126" spans="1:40" x14ac:dyDescent="0.15">
      <c r="A126" s="4" t="str">
        <f>HYPERLINK("https://ibp.a2mac1.com/costing(costing:projects/details/9760/process/12083222)","Process")</f>
        <v>Process</v>
      </c>
      <c r="B126" t="s">
        <v>360</v>
      </c>
      <c r="C126">
        <v>12083222</v>
      </c>
      <c r="D126">
        <v>8411551</v>
      </c>
      <c r="E126">
        <v>0</v>
      </c>
      <c r="F126">
        <v>0</v>
      </c>
      <c r="G126">
        <v>0</v>
      </c>
      <c r="H126">
        <v>0</v>
      </c>
      <c r="I126" t="s">
        <v>176</v>
      </c>
      <c r="J126">
        <v>0</v>
      </c>
      <c r="K126">
        <v>0</v>
      </c>
      <c r="L126">
        <v>0.71131809764521003</v>
      </c>
      <c r="M126">
        <v>2.4896133417582353</v>
      </c>
      <c r="N126">
        <v>2.4896133417582353</v>
      </c>
      <c r="O126" t="s">
        <v>90</v>
      </c>
      <c r="P126">
        <v>0</v>
      </c>
      <c r="Q126" t="s">
        <v>90</v>
      </c>
      <c r="R126">
        <v>0</v>
      </c>
      <c r="S126" t="s">
        <v>90</v>
      </c>
      <c r="T126">
        <v>0</v>
      </c>
      <c r="U126">
        <v>2.4896133417582353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328</v>
      </c>
      <c r="AB126">
        <v>1</v>
      </c>
      <c r="AC126">
        <v>0</v>
      </c>
      <c r="AD126">
        <v>0</v>
      </c>
      <c r="AE126">
        <v>216</v>
      </c>
      <c r="AF126">
        <v>200000</v>
      </c>
      <c r="AG126">
        <v>10000</v>
      </c>
      <c r="AH126">
        <v>1</v>
      </c>
      <c r="AI126">
        <v>1</v>
      </c>
      <c r="AJ126" t="s">
        <v>76</v>
      </c>
      <c r="AK126" t="s">
        <v>176</v>
      </c>
      <c r="AL126">
        <v>0</v>
      </c>
      <c r="AM126" t="s">
        <v>176</v>
      </c>
      <c r="AN126">
        <v>0</v>
      </c>
    </row>
    <row r="127" spans="1:40" x14ac:dyDescent="0.15">
      <c r="A127" s="4" t="str">
        <f>HYPERLINK("https://ibp.a2mac1.com/costing(costing:projects/details/9760/process/12083228)","Pressure Die Casting : Furnace")</f>
        <v>Pressure Die Casting : Furnace</v>
      </c>
      <c r="B127" t="s">
        <v>1596</v>
      </c>
      <c r="C127">
        <v>12083228</v>
      </c>
      <c r="D127">
        <v>8411610</v>
      </c>
      <c r="E127">
        <v>1.2319634316111112</v>
      </c>
      <c r="F127">
        <v>0</v>
      </c>
      <c r="G127">
        <v>0</v>
      </c>
      <c r="H127">
        <v>2.5936072244444446E-5</v>
      </c>
      <c r="I127" t="s">
        <v>176</v>
      </c>
      <c r="J127">
        <v>4.5388126427777779E-2</v>
      </c>
      <c r="K127">
        <v>1.2773774941111333</v>
      </c>
      <c r="L127">
        <v>2.2704200780173579E-2</v>
      </c>
      <c r="M127">
        <v>0.13622520468104146</v>
      </c>
      <c r="N127">
        <v>1.4136026987921748</v>
      </c>
      <c r="O127" t="s">
        <v>90</v>
      </c>
      <c r="P127">
        <v>0</v>
      </c>
      <c r="Q127" t="s">
        <v>90</v>
      </c>
      <c r="R127">
        <v>0</v>
      </c>
      <c r="S127" t="s">
        <v>90</v>
      </c>
      <c r="T127">
        <v>0</v>
      </c>
      <c r="U127">
        <v>1.4136026987921748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60</v>
      </c>
      <c r="AB127">
        <v>1</v>
      </c>
      <c r="AC127">
        <v>0</v>
      </c>
      <c r="AD127">
        <v>1.9999600007999841E-3</v>
      </c>
      <c r="AE127">
        <v>0</v>
      </c>
      <c r="AF127">
        <v>200000</v>
      </c>
      <c r="AG127">
        <v>16666.666666666668</v>
      </c>
      <c r="AH127">
        <v>1</v>
      </c>
      <c r="AI127">
        <v>1</v>
      </c>
      <c r="AJ127" t="s">
        <v>162</v>
      </c>
      <c r="AK127" t="s">
        <v>176</v>
      </c>
      <c r="AL127">
        <v>0</v>
      </c>
      <c r="AM127" t="s">
        <v>176</v>
      </c>
      <c r="AN127">
        <v>0</v>
      </c>
    </row>
    <row r="128" spans="1:40" x14ac:dyDescent="0.15">
      <c r="A128" s="4" t="str">
        <f>HYPERLINK("https://ibp.a2mac1.com/costing(costing:projects/details/9760/process/12083229)","Pressure Die Casting : Ladle")</f>
        <v>Pressure Die Casting : Ladle</v>
      </c>
      <c r="B128" t="s">
        <v>1596</v>
      </c>
      <c r="C128">
        <v>12083229</v>
      </c>
      <c r="D128">
        <v>8411610</v>
      </c>
      <c r="E128">
        <v>0</v>
      </c>
      <c r="F128">
        <v>0</v>
      </c>
      <c r="G128">
        <v>0</v>
      </c>
      <c r="H128">
        <v>0</v>
      </c>
      <c r="I128" t="s">
        <v>176</v>
      </c>
      <c r="J128">
        <v>0</v>
      </c>
      <c r="K128">
        <v>0</v>
      </c>
      <c r="L128">
        <v>5.6179122706109573E-3</v>
      </c>
      <c r="M128">
        <v>3.3707473623665739E-2</v>
      </c>
      <c r="N128">
        <v>3.3707473623665739E-2</v>
      </c>
      <c r="O128" t="s">
        <v>90</v>
      </c>
      <c r="P128">
        <v>0</v>
      </c>
      <c r="Q128" t="s">
        <v>90</v>
      </c>
      <c r="R128">
        <v>0</v>
      </c>
      <c r="S128" t="s">
        <v>90</v>
      </c>
      <c r="T128">
        <v>0</v>
      </c>
      <c r="U128">
        <v>3.3707473623665739E-2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60</v>
      </c>
      <c r="AB128">
        <v>1</v>
      </c>
      <c r="AC128">
        <v>0</v>
      </c>
      <c r="AD128">
        <v>1.9999600007999841E-3</v>
      </c>
      <c r="AE128">
        <v>900</v>
      </c>
      <c r="AF128">
        <v>200000</v>
      </c>
      <c r="AG128">
        <v>16666.666666666668</v>
      </c>
      <c r="AH128">
        <v>1</v>
      </c>
      <c r="AI128">
        <v>1</v>
      </c>
      <c r="AJ128" t="s">
        <v>162</v>
      </c>
      <c r="AK128" t="s">
        <v>176</v>
      </c>
      <c r="AL128">
        <v>0</v>
      </c>
      <c r="AM128" t="s">
        <v>176</v>
      </c>
      <c r="AN128">
        <v>0</v>
      </c>
    </row>
    <row r="129" spans="1:40" x14ac:dyDescent="0.15">
      <c r="A129" s="4" t="str">
        <f>HYPERLINK("https://ibp.a2mac1.com/costing(costing:projects/details/9760/process/12083230)","Pressure Die Casting : Press")</f>
        <v>Pressure Die Casting : Press</v>
      </c>
      <c r="B129" t="s">
        <v>1596</v>
      </c>
      <c r="C129">
        <v>12083230</v>
      </c>
      <c r="D129">
        <v>8411610</v>
      </c>
      <c r="E129">
        <v>0</v>
      </c>
      <c r="F129">
        <v>0</v>
      </c>
      <c r="G129">
        <v>0</v>
      </c>
      <c r="H129">
        <v>0</v>
      </c>
      <c r="I129" t="s">
        <v>176</v>
      </c>
      <c r="J129">
        <v>0</v>
      </c>
      <c r="K129">
        <v>0</v>
      </c>
      <c r="L129">
        <v>8.276966946318573E-2</v>
      </c>
      <c r="M129">
        <v>0.49661801677911438</v>
      </c>
      <c r="N129">
        <v>0.49661801677911438</v>
      </c>
      <c r="O129" t="s">
        <v>90</v>
      </c>
      <c r="P129">
        <v>0</v>
      </c>
      <c r="Q129" t="s">
        <v>90</v>
      </c>
      <c r="R129">
        <v>0</v>
      </c>
      <c r="S129" t="s">
        <v>90</v>
      </c>
      <c r="T129">
        <v>0</v>
      </c>
      <c r="U129">
        <v>0.49661801677911438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60</v>
      </c>
      <c r="AB129">
        <v>1</v>
      </c>
      <c r="AC129">
        <v>0</v>
      </c>
      <c r="AD129">
        <v>1.9999600007999841E-3</v>
      </c>
      <c r="AE129">
        <v>7200</v>
      </c>
      <c r="AF129">
        <v>200000</v>
      </c>
      <c r="AG129">
        <v>16666.666666666668</v>
      </c>
      <c r="AH129">
        <v>1</v>
      </c>
      <c r="AI129">
        <v>1</v>
      </c>
      <c r="AJ129" t="s">
        <v>162</v>
      </c>
      <c r="AK129" t="s">
        <v>176</v>
      </c>
      <c r="AL129">
        <v>0</v>
      </c>
      <c r="AM129" t="s">
        <v>176</v>
      </c>
      <c r="AN129">
        <v>0</v>
      </c>
    </row>
    <row r="130" spans="1:40" x14ac:dyDescent="0.15">
      <c r="A130" s="4" t="str">
        <f>HYPERLINK("https://ibp.a2mac1.com/costing(costing:projects/details/9760/process/12083231)","Pressure Die Casting : Trimming")</f>
        <v>Pressure Die Casting : Trimming</v>
      </c>
      <c r="B130" t="s">
        <v>1596</v>
      </c>
      <c r="C130">
        <v>12083231</v>
      </c>
      <c r="D130">
        <v>8411610</v>
      </c>
      <c r="E130">
        <v>0</v>
      </c>
      <c r="F130">
        <v>0</v>
      </c>
      <c r="G130">
        <v>0</v>
      </c>
      <c r="H130">
        <v>0</v>
      </c>
      <c r="I130" t="s">
        <v>176</v>
      </c>
      <c r="J130">
        <v>0</v>
      </c>
      <c r="K130">
        <v>0</v>
      </c>
      <c r="L130">
        <v>9.0995036181009074E-3</v>
      </c>
      <c r="M130">
        <v>5.4597021708605441E-2</v>
      </c>
      <c r="N130">
        <v>5.4597021708605441E-2</v>
      </c>
      <c r="O130" t="s">
        <v>90</v>
      </c>
      <c r="P130">
        <v>0</v>
      </c>
      <c r="Q130" t="s">
        <v>90</v>
      </c>
      <c r="R130">
        <v>0</v>
      </c>
      <c r="S130" t="s">
        <v>90</v>
      </c>
      <c r="T130">
        <v>0</v>
      </c>
      <c r="U130">
        <v>5.4597021708605441E-2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30</v>
      </c>
      <c r="AB130">
        <v>1</v>
      </c>
      <c r="AC130">
        <v>0</v>
      </c>
      <c r="AD130">
        <v>1.9999600007999841E-3</v>
      </c>
      <c r="AE130">
        <v>900</v>
      </c>
      <c r="AF130">
        <v>200000</v>
      </c>
      <c r="AG130">
        <v>16666.666666666668</v>
      </c>
      <c r="AH130">
        <v>1</v>
      </c>
      <c r="AI130">
        <v>1</v>
      </c>
      <c r="AJ130" t="s">
        <v>162</v>
      </c>
      <c r="AK130" t="s">
        <v>176</v>
      </c>
      <c r="AL130">
        <v>0</v>
      </c>
      <c r="AM130" t="s">
        <v>176</v>
      </c>
      <c r="AN130">
        <v>0</v>
      </c>
    </row>
    <row r="131" spans="1:40" x14ac:dyDescent="0.15">
      <c r="A131" s="4" t="str">
        <f>HYPERLINK("https://ibp.a2mac1.com/costing(costing:projects/details/9760/process/12083232)","Pressure Die Casting : Laser Marking")</f>
        <v>Pressure Die Casting : Laser Marking</v>
      </c>
      <c r="B131" t="s">
        <v>1596</v>
      </c>
      <c r="C131">
        <v>12083232</v>
      </c>
      <c r="D131">
        <v>8411610</v>
      </c>
      <c r="E131">
        <v>0</v>
      </c>
      <c r="F131">
        <v>0</v>
      </c>
      <c r="G131">
        <v>0</v>
      </c>
      <c r="H131">
        <v>0</v>
      </c>
      <c r="I131" t="s">
        <v>176</v>
      </c>
      <c r="J131">
        <v>0</v>
      </c>
      <c r="K131">
        <v>0</v>
      </c>
      <c r="L131">
        <v>1.2743603250381362E-2</v>
      </c>
      <c r="M131">
        <v>7.6461619502288164E-2</v>
      </c>
      <c r="N131">
        <v>7.6461619502288164E-2</v>
      </c>
      <c r="O131" t="s">
        <v>90</v>
      </c>
      <c r="P131">
        <v>0</v>
      </c>
      <c r="Q131" t="s">
        <v>90</v>
      </c>
      <c r="R131">
        <v>0</v>
      </c>
      <c r="S131" t="s">
        <v>90</v>
      </c>
      <c r="T131">
        <v>0</v>
      </c>
      <c r="U131">
        <v>7.6461619502288164E-2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30</v>
      </c>
      <c r="AB131">
        <v>1</v>
      </c>
      <c r="AC131">
        <v>0</v>
      </c>
      <c r="AD131">
        <v>1.9999600007999841E-3</v>
      </c>
      <c r="AE131">
        <v>3600</v>
      </c>
      <c r="AF131">
        <v>200000</v>
      </c>
      <c r="AG131">
        <v>16666.666666666668</v>
      </c>
      <c r="AH131">
        <v>1</v>
      </c>
      <c r="AI131">
        <v>1</v>
      </c>
      <c r="AJ131" t="s">
        <v>162</v>
      </c>
      <c r="AK131" t="s">
        <v>176</v>
      </c>
      <c r="AL131">
        <v>0</v>
      </c>
      <c r="AM131" t="s">
        <v>176</v>
      </c>
      <c r="AN131">
        <v>0</v>
      </c>
    </row>
    <row r="132" spans="1:40" x14ac:dyDescent="0.15">
      <c r="A132" s="4" t="str">
        <f>HYPERLINK("https://ibp.a2mac1.com/costing(costing:projects/details/9760/process/12083233)","Machining")</f>
        <v>Machining</v>
      </c>
      <c r="B132" t="s">
        <v>1596</v>
      </c>
      <c r="C132">
        <v>12083233</v>
      </c>
      <c r="D132">
        <v>8411610</v>
      </c>
      <c r="E132">
        <v>0</v>
      </c>
      <c r="F132">
        <v>0</v>
      </c>
      <c r="G132">
        <v>0</v>
      </c>
      <c r="H132">
        <v>0</v>
      </c>
      <c r="I132" t="s">
        <v>176</v>
      </c>
      <c r="J132">
        <v>0</v>
      </c>
      <c r="K132">
        <v>0</v>
      </c>
      <c r="L132">
        <v>9.6543961516383364E-2</v>
      </c>
      <c r="M132">
        <v>0.57926376909830024</v>
      </c>
      <c r="N132">
        <v>0.57926376909830024</v>
      </c>
      <c r="O132" t="s">
        <v>90</v>
      </c>
      <c r="P132">
        <v>0</v>
      </c>
      <c r="Q132" t="s">
        <v>90</v>
      </c>
      <c r="R132">
        <v>0</v>
      </c>
      <c r="S132" t="s">
        <v>90</v>
      </c>
      <c r="T132">
        <v>0</v>
      </c>
      <c r="U132">
        <v>0.57926376909830024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45</v>
      </c>
      <c r="AB132">
        <v>1</v>
      </c>
      <c r="AC132">
        <v>0</v>
      </c>
      <c r="AD132">
        <v>1.9999600007999841E-3</v>
      </c>
      <c r="AE132">
        <v>7200</v>
      </c>
      <c r="AF132">
        <v>200000</v>
      </c>
      <c r="AG132">
        <v>16666.666666666668</v>
      </c>
      <c r="AH132">
        <v>1</v>
      </c>
      <c r="AI132">
        <v>1</v>
      </c>
      <c r="AJ132" t="s">
        <v>162</v>
      </c>
      <c r="AK132" t="s">
        <v>176</v>
      </c>
      <c r="AL132">
        <v>0</v>
      </c>
      <c r="AM132" t="s">
        <v>176</v>
      </c>
      <c r="AN132">
        <v>0</v>
      </c>
    </row>
    <row r="133" spans="1:40" x14ac:dyDescent="0.15">
      <c r="A133" s="4" t="str">
        <f>HYPERLINK("https://ibp.a2mac1.com/costing(costing:projects/details/9760/process/12083234)","Cleaning")</f>
        <v>Cleaning</v>
      </c>
      <c r="B133" t="s">
        <v>1596</v>
      </c>
      <c r="C133">
        <v>12083234</v>
      </c>
      <c r="D133">
        <v>8411610</v>
      </c>
      <c r="E133">
        <v>0</v>
      </c>
      <c r="F133">
        <v>0</v>
      </c>
      <c r="G133">
        <v>0</v>
      </c>
      <c r="H133">
        <v>0</v>
      </c>
      <c r="I133" t="s">
        <v>176</v>
      </c>
      <c r="J133">
        <v>0</v>
      </c>
      <c r="K133">
        <v>0</v>
      </c>
      <c r="L133">
        <v>2.464497606241391E-2</v>
      </c>
      <c r="M133">
        <v>0.14786985637448347</v>
      </c>
      <c r="N133">
        <v>0.14786985637448347</v>
      </c>
      <c r="O133" t="s">
        <v>90</v>
      </c>
      <c r="P133">
        <v>0</v>
      </c>
      <c r="Q133" t="s">
        <v>90</v>
      </c>
      <c r="R133">
        <v>0</v>
      </c>
      <c r="S133" t="s">
        <v>90</v>
      </c>
      <c r="T133">
        <v>0</v>
      </c>
      <c r="U133">
        <v>0.14786985637448347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30</v>
      </c>
      <c r="AB133">
        <v>1</v>
      </c>
      <c r="AC133">
        <v>0</v>
      </c>
      <c r="AD133">
        <v>1.9999600007999841E-3</v>
      </c>
      <c r="AE133">
        <v>300</v>
      </c>
      <c r="AF133">
        <v>200000</v>
      </c>
      <c r="AG133">
        <v>16666.666666666668</v>
      </c>
      <c r="AH133">
        <v>1</v>
      </c>
      <c r="AI133">
        <v>1</v>
      </c>
      <c r="AJ133" t="s">
        <v>162</v>
      </c>
      <c r="AK133" t="s">
        <v>176</v>
      </c>
      <c r="AL133">
        <v>0</v>
      </c>
      <c r="AM133" t="s">
        <v>176</v>
      </c>
      <c r="AN133">
        <v>0</v>
      </c>
    </row>
    <row r="134" spans="1:40" x14ac:dyDescent="0.15">
      <c r="A134" s="4" t="str">
        <f>HYPERLINK("https://ibp.a2mac1.com/costing(costing:projects/details/9760/process/12083235)","Reaction Injection Molding- Overmolding PUR")</f>
        <v>Reaction Injection Molding- Overmolding PUR</v>
      </c>
      <c r="B134" t="s">
        <v>1596</v>
      </c>
      <c r="C134">
        <v>12083235</v>
      </c>
      <c r="D134">
        <v>8411611</v>
      </c>
      <c r="E134">
        <v>11.255791508585714</v>
      </c>
      <c r="F134">
        <v>0</v>
      </c>
      <c r="G134">
        <v>0</v>
      </c>
      <c r="H134">
        <v>2.2549830474285714E-4</v>
      </c>
      <c r="I134" t="s">
        <v>176</v>
      </c>
      <c r="J134">
        <v>0.39462203330000001</v>
      </c>
      <c r="K134">
        <v>11.650639040190457</v>
      </c>
      <c r="L134">
        <v>9.8607819847267353E-2</v>
      </c>
      <c r="M134">
        <v>0.59164691908360412</v>
      </c>
      <c r="N134">
        <v>12.242285959274062</v>
      </c>
      <c r="O134" t="s">
        <v>90</v>
      </c>
      <c r="P134">
        <v>0</v>
      </c>
      <c r="Q134" t="s">
        <v>90</v>
      </c>
      <c r="R134">
        <v>0</v>
      </c>
      <c r="S134" t="s">
        <v>90</v>
      </c>
      <c r="T134">
        <v>0</v>
      </c>
      <c r="U134">
        <v>12.242285959274062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40</v>
      </c>
      <c r="AB134">
        <v>1</v>
      </c>
      <c r="AC134">
        <v>0</v>
      </c>
      <c r="AD134">
        <v>1.9999600007999841E-3</v>
      </c>
      <c r="AE134">
        <v>5400</v>
      </c>
      <c r="AF134">
        <v>200000</v>
      </c>
      <c r="AG134">
        <v>16666.666666666668</v>
      </c>
      <c r="AH134">
        <v>1</v>
      </c>
      <c r="AI134">
        <v>1</v>
      </c>
      <c r="AJ134" t="s">
        <v>162</v>
      </c>
      <c r="AK134" t="s">
        <v>176</v>
      </c>
      <c r="AL134">
        <v>0</v>
      </c>
      <c r="AM134" t="s">
        <v>176</v>
      </c>
      <c r="AN134">
        <v>0</v>
      </c>
    </row>
    <row r="135" spans="1:40" x14ac:dyDescent="0.15">
      <c r="A135" s="4" t="str">
        <f>HYPERLINK("https://ibp.a2mac1.com/costing(costing:projects/details/9760/process/12083236)","Leather Cutting")</f>
        <v>Leather Cutting</v>
      </c>
      <c r="B135" t="s">
        <v>1596</v>
      </c>
      <c r="C135">
        <v>12083236</v>
      </c>
      <c r="D135">
        <v>8411612</v>
      </c>
      <c r="E135">
        <v>3.4304686166666665</v>
      </c>
      <c r="F135">
        <v>0</v>
      </c>
      <c r="G135">
        <v>0</v>
      </c>
      <c r="H135">
        <v>6.8609372333333334E-5</v>
      </c>
      <c r="I135" t="s">
        <v>176</v>
      </c>
      <c r="J135">
        <v>0.12006640158333333</v>
      </c>
      <c r="K135">
        <v>3.5506036276223334</v>
      </c>
      <c r="L135">
        <v>4.8526268589123237E-3</v>
      </c>
      <c r="M135">
        <v>2.9115761153473946E-2</v>
      </c>
      <c r="N135">
        <v>3.5797193887758074</v>
      </c>
      <c r="O135" t="s">
        <v>90</v>
      </c>
      <c r="P135">
        <v>0</v>
      </c>
      <c r="Q135" t="s">
        <v>90</v>
      </c>
      <c r="R135">
        <v>0</v>
      </c>
      <c r="S135" t="s">
        <v>90</v>
      </c>
      <c r="T135">
        <v>0</v>
      </c>
      <c r="U135">
        <v>3.5797193887758074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10</v>
      </c>
      <c r="AB135">
        <v>1</v>
      </c>
      <c r="AC135">
        <v>0</v>
      </c>
      <c r="AD135">
        <v>1.9999600007999841E-3</v>
      </c>
      <c r="AE135">
        <v>1800</v>
      </c>
      <c r="AF135">
        <v>200000</v>
      </c>
      <c r="AG135">
        <v>16666.666666666668</v>
      </c>
      <c r="AH135">
        <v>1</v>
      </c>
      <c r="AI135">
        <v>1</v>
      </c>
      <c r="AJ135" t="s">
        <v>162</v>
      </c>
      <c r="AK135" t="s">
        <v>176</v>
      </c>
      <c r="AL135">
        <v>0</v>
      </c>
      <c r="AM135" t="s">
        <v>176</v>
      </c>
      <c r="AN135">
        <v>0</v>
      </c>
    </row>
    <row r="136" spans="1:40" x14ac:dyDescent="0.15">
      <c r="A136" s="4" t="str">
        <f>HYPERLINK("https://ibp.a2mac1.com/costing(costing:projects/details/9760/process/12083237)","Adjusting leather and sewing")</f>
        <v>Adjusting leather and sewing</v>
      </c>
      <c r="B136" t="s">
        <v>1596</v>
      </c>
      <c r="C136">
        <v>12083237</v>
      </c>
      <c r="D136">
        <v>8411612</v>
      </c>
      <c r="E136">
        <v>0</v>
      </c>
      <c r="F136">
        <v>0</v>
      </c>
      <c r="G136">
        <v>0</v>
      </c>
      <c r="H136">
        <v>0</v>
      </c>
      <c r="I136" t="s">
        <v>176</v>
      </c>
      <c r="J136">
        <v>0</v>
      </c>
      <c r="K136">
        <v>0</v>
      </c>
      <c r="L136">
        <v>0.49604957064202304</v>
      </c>
      <c r="M136">
        <v>2.976297423852138</v>
      </c>
      <c r="N136">
        <v>2.976297423852138</v>
      </c>
      <c r="O136" t="s">
        <v>90</v>
      </c>
      <c r="P136">
        <v>0</v>
      </c>
      <c r="Q136" t="s">
        <v>90</v>
      </c>
      <c r="R136">
        <v>0</v>
      </c>
      <c r="S136" t="s">
        <v>90</v>
      </c>
      <c r="T136">
        <v>0</v>
      </c>
      <c r="U136">
        <v>2.976297423852138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900</v>
      </c>
      <c r="AB136">
        <v>1</v>
      </c>
      <c r="AC136">
        <v>0</v>
      </c>
      <c r="AD136">
        <v>1.9999600007999841E-3</v>
      </c>
      <c r="AE136">
        <v>900</v>
      </c>
      <c r="AF136">
        <v>200000</v>
      </c>
      <c r="AG136">
        <v>16666.666666666668</v>
      </c>
      <c r="AH136">
        <v>1</v>
      </c>
      <c r="AI136">
        <v>1</v>
      </c>
      <c r="AJ136" t="s">
        <v>162</v>
      </c>
      <c r="AK136" t="s">
        <v>176</v>
      </c>
      <c r="AL136">
        <v>0</v>
      </c>
      <c r="AM136" t="s">
        <v>176</v>
      </c>
      <c r="AN136">
        <v>0</v>
      </c>
    </row>
    <row r="137" spans="1:40" x14ac:dyDescent="0.15">
      <c r="A137" s="4" t="str">
        <f>HYPERLINK("https://ibp.a2mac1.com/costing(costing:projects/details/9760/process/12083238)","Painting")</f>
        <v>Painting</v>
      </c>
      <c r="B137" t="s">
        <v>1624</v>
      </c>
      <c r="C137">
        <v>12083238</v>
      </c>
      <c r="D137">
        <v>8411613</v>
      </c>
      <c r="E137">
        <v>1.5322244897959183E-2</v>
      </c>
      <c r="F137">
        <v>0</v>
      </c>
      <c r="G137">
        <v>0</v>
      </c>
      <c r="H137">
        <v>3.2942826530612244E-4</v>
      </c>
      <c r="I137" t="s">
        <v>176</v>
      </c>
      <c r="J137">
        <v>5.362785714285714E-4</v>
      </c>
      <c r="K137">
        <v>1.6187951734693878E-2</v>
      </c>
      <c r="L137">
        <v>1.9690326129541625E-2</v>
      </c>
      <c r="M137">
        <v>0.11814195677724976</v>
      </c>
      <c r="N137">
        <v>0.13432990851194362</v>
      </c>
      <c r="O137" t="s">
        <v>177</v>
      </c>
      <c r="P137">
        <v>9.7127710408163263E-4</v>
      </c>
      <c r="Q137" t="s">
        <v>177</v>
      </c>
      <c r="R137">
        <v>7.0885174066349851E-3</v>
      </c>
      <c r="S137" t="s">
        <v>178</v>
      </c>
      <c r="T137">
        <v>1.6119589021433237E-2</v>
      </c>
      <c r="U137">
        <v>0.1585092920440935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94</v>
      </c>
      <c r="AB137">
        <v>165</v>
      </c>
      <c r="AC137">
        <v>2</v>
      </c>
      <c r="AD137">
        <v>2.1047479197258934</v>
      </c>
      <c r="AE137">
        <v>0</v>
      </c>
      <c r="AF137">
        <v>200000</v>
      </c>
      <c r="AG137">
        <v>16666.666666666668</v>
      </c>
      <c r="AH137">
        <v>1</v>
      </c>
      <c r="AI137">
        <v>1</v>
      </c>
      <c r="AJ137" t="s">
        <v>162</v>
      </c>
      <c r="AK137" t="s">
        <v>176</v>
      </c>
      <c r="AL137">
        <v>0</v>
      </c>
      <c r="AM137" t="s">
        <v>176</v>
      </c>
      <c r="AN137">
        <v>0</v>
      </c>
    </row>
    <row r="138" spans="1:40" x14ac:dyDescent="0.15">
      <c r="A138" s="4" t="str">
        <f>HYPERLINK("https://ibp.a2mac1.com/costing(costing:projects/details/9760/process/12083239)","Loading + Unloading + Retouching + Checking")</f>
        <v>Loading + Unloading + Retouching + Checking</v>
      </c>
      <c r="B138" t="s">
        <v>1626</v>
      </c>
      <c r="C138">
        <v>12083239</v>
      </c>
      <c r="D138">
        <v>8411613</v>
      </c>
      <c r="E138">
        <v>0</v>
      </c>
      <c r="F138">
        <v>0</v>
      </c>
      <c r="G138">
        <v>0</v>
      </c>
      <c r="H138">
        <v>0</v>
      </c>
      <c r="I138" t="s">
        <v>176</v>
      </c>
      <c r="J138">
        <v>0</v>
      </c>
      <c r="K138">
        <v>0</v>
      </c>
      <c r="L138">
        <v>7.8543901323805242E-3</v>
      </c>
      <c r="M138">
        <v>4.7126340794283149E-2</v>
      </c>
      <c r="N138">
        <v>4.7126340794283149E-2</v>
      </c>
      <c r="O138" t="s">
        <v>177</v>
      </c>
      <c r="P138">
        <v>0</v>
      </c>
      <c r="Q138" t="s">
        <v>177</v>
      </c>
      <c r="R138">
        <v>2.8275804476569888E-3</v>
      </c>
      <c r="S138" t="s">
        <v>178</v>
      </c>
      <c r="T138">
        <v>5.6551608953139777E-3</v>
      </c>
      <c r="U138">
        <v>5.5609082137254115E-2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94</v>
      </c>
      <c r="AB138">
        <v>165</v>
      </c>
      <c r="AC138">
        <v>0.1</v>
      </c>
      <c r="AD138">
        <v>0.10389195236953569</v>
      </c>
      <c r="AE138">
        <v>0</v>
      </c>
      <c r="AF138">
        <v>200000</v>
      </c>
      <c r="AG138">
        <v>16666.666666666668</v>
      </c>
      <c r="AH138">
        <v>1</v>
      </c>
      <c r="AI138">
        <v>1</v>
      </c>
      <c r="AJ138" t="s">
        <v>162</v>
      </c>
      <c r="AK138" t="s">
        <v>176</v>
      </c>
      <c r="AL138">
        <v>0</v>
      </c>
      <c r="AM138" t="s">
        <v>176</v>
      </c>
      <c r="AN138">
        <v>0</v>
      </c>
    </row>
    <row r="139" spans="1:40" x14ac:dyDescent="0.15">
      <c r="A139" s="4" t="str">
        <f>HYPERLINK("https://ibp.a2mac1.com/costing(costing:projects/details/9760/process/12083240)","Injection molding")</f>
        <v>Injection molding</v>
      </c>
      <c r="B139" t="s">
        <v>1631</v>
      </c>
      <c r="C139">
        <v>12083240</v>
      </c>
      <c r="D139">
        <v>8411613</v>
      </c>
      <c r="E139">
        <v>9.5403780269332408E-3</v>
      </c>
      <c r="F139">
        <v>0</v>
      </c>
      <c r="G139">
        <v>0</v>
      </c>
      <c r="H139">
        <v>1.9360863214596298E-7</v>
      </c>
      <c r="I139" t="s">
        <v>176</v>
      </c>
      <c r="J139">
        <v>3.3881510625543518E-4</v>
      </c>
      <c r="K139">
        <v>9.8793867418208222E-3</v>
      </c>
      <c r="L139">
        <v>5.1463015491811136E-3</v>
      </c>
      <c r="M139">
        <v>3.087780929508668E-2</v>
      </c>
      <c r="N139">
        <v>4.07571960369075E-2</v>
      </c>
      <c r="O139" t="s">
        <v>177</v>
      </c>
      <c r="P139">
        <v>5.9276320450924933E-4</v>
      </c>
      <c r="Q139" t="s">
        <v>177</v>
      </c>
      <c r="R139">
        <v>1.8526685577052008E-3</v>
      </c>
      <c r="S139" t="s">
        <v>178</v>
      </c>
      <c r="T139">
        <v>4.8908635244289001E-3</v>
      </c>
      <c r="U139">
        <v>4.8093491323550855E-2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14.629009999999999</v>
      </c>
      <c r="AB139">
        <v>1</v>
      </c>
      <c r="AC139">
        <v>0</v>
      </c>
      <c r="AD139">
        <v>1.9999600007999841E-3</v>
      </c>
      <c r="AE139">
        <v>7200</v>
      </c>
      <c r="AF139">
        <v>200000</v>
      </c>
      <c r="AG139">
        <v>16666.666666666668</v>
      </c>
      <c r="AH139">
        <v>1</v>
      </c>
      <c r="AI139">
        <v>1</v>
      </c>
      <c r="AJ139" t="s">
        <v>162</v>
      </c>
      <c r="AK139" t="s">
        <v>176</v>
      </c>
      <c r="AL139">
        <v>0</v>
      </c>
      <c r="AM139" t="s">
        <v>176</v>
      </c>
      <c r="AN139">
        <v>0</v>
      </c>
    </row>
    <row r="140" spans="1:40" x14ac:dyDescent="0.15">
      <c r="A140" s="4" t="str">
        <f>HYPERLINK("https://ibp.a2mac1.com/costing(costing:projects/details/9760/process/12083241)","Handling/Visual Inspection/Packaging")</f>
        <v>Handling/Visual Inspection/Packaging</v>
      </c>
      <c r="B140" t="s">
        <v>1636</v>
      </c>
      <c r="C140">
        <v>12083241</v>
      </c>
      <c r="D140">
        <v>8411614</v>
      </c>
      <c r="E140">
        <v>0</v>
      </c>
      <c r="F140">
        <v>0</v>
      </c>
      <c r="G140">
        <v>0</v>
      </c>
      <c r="H140">
        <v>0</v>
      </c>
      <c r="I140" t="s">
        <v>176</v>
      </c>
      <c r="J140">
        <v>0</v>
      </c>
      <c r="K140">
        <v>0</v>
      </c>
      <c r="L140">
        <v>2.8759505149332097E-3</v>
      </c>
      <c r="M140">
        <v>1.7255703089599259E-2</v>
      </c>
      <c r="N140">
        <v>1.7255703089599259E-2</v>
      </c>
      <c r="O140" t="s">
        <v>177</v>
      </c>
      <c r="P140">
        <v>0</v>
      </c>
      <c r="Q140" t="s">
        <v>177</v>
      </c>
      <c r="R140">
        <v>1.0353421853759555E-3</v>
      </c>
      <c r="S140" t="s">
        <v>178</v>
      </c>
      <c r="T140">
        <v>2.0706843707519111E-3</v>
      </c>
      <c r="U140">
        <v>2.0361729645727127E-2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10</v>
      </c>
      <c r="AB140">
        <v>1</v>
      </c>
      <c r="AC140">
        <v>0.1</v>
      </c>
      <c r="AD140">
        <v>0.10389195236953569</v>
      </c>
      <c r="AE140">
        <v>900</v>
      </c>
      <c r="AF140">
        <v>200000</v>
      </c>
      <c r="AG140">
        <v>16666.666666666668</v>
      </c>
      <c r="AH140">
        <v>1</v>
      </c>
      <c r="AI140">
        <v>1</v>
      </c>
      <c r="AJ140" t="s">
        <v>162</v>
      </c>
      <c r="AK140" t="s">
        <v>176</v>
      </c>
      <c r="AL140">
        <v>0</v>
      </c>
      <c r="AM140" t="s">
        <v>176</v>
      </c>
      <c r="AN140">
        <v>0</v>
      </c>
    </row>
    <row r="141" spans="1:40" x14ac:dyDescent="0.15">
      <c r="A141" s="4" t="str">
        <f>HYPERLINK("https://ibp.a2mac1.com/costing(costing:projects/details/9760/process/12083242)","Injection molding")</f>
        <v>Injection molding</v>
      </c>
      <c r="B141" t="s">
        <v>1640</v>
      </c>
      <c r="C141">
        <v>12083242</v>
      </c>
      <c r="D141">
        <v>8411614</v>
      </c>
      <c r="E141">
        <v>0.13926806179830181</v>
      </c>
      <c r="F141">
        <v>0</v>
      </c>
      <c r="G141">
        <v>0</v>
      </c>
      <c r="H141">
        <v>2.7946244378589858E-6</v>
      </c>
      <c r="I141" t="s">
        <v>176</v>
      </c>
      <c r="J141">
        <v>4.890592766253225E-3</v>
      </c>
      <c r="K141">
        <v>0.1441614491889929</v>
      </c>
      <c r="L141">
        <v>1.1271642814367403E-2</v>
      </c>
      <c r="M141">
        <v>6.7629856886204417E-2</v>
      </c>
      <c r="N141">
        <v>0.21179130607519733</v>
      </c>
      <c r="O141" t="s">
        <v>177</v>
      </c>
      <c r="P141">
        <v>8.649686951339575E-3</v>
      </c>
      <c r="Q141" t="s">
        <v>177</v>
      </c>
      <c r="R141">
        <v>4.0577914131722653E-3</v>
      </c>
      <c r="S141" t="s">
        <v>178</v>
      </c>
      <c r="T141">
        <v>2.5414956729023681E-2</v>
      </c>
      <c r="U141">
        <v>0.24991374116873286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17.39302</v>
      </c>
      <c r="AB141">
        <v>1</v>
      </c>
      <c r="AC141">
        <v>0</v>
      </c>
      <c r="AD141">
        <v>1.9999600007999841E-3</v>
      </c>
      <c r="AE141">
        <v>7200</v>
      </c>
      <c r="AF141">
        <v>200000</v>
      </c>
      <c r="AG141">
        <v>16666.666666666668</v>
      </c>
      <c r="AH141">
        <v>1</v>
      </c>
      <c r="AI141">
        <v>1</v>
      </c>
      <c r="AJ141" t="s">
        <v>162</v>
      </c>
      <c r="AK141" t="s">
        <v>176</v>
      </c>
      <c r="AL141">
        <v>0</v>
      </c>
      <c r="AM141" t="s">
        <v>176</v>
      </c>
      <c r="AN141">
        <v>0</v>
      </c>
    </row>
    <row r="142" spans="1:40" x14ac:dyDescent="0.15">
      <c r="A142" s="4" t="str">
        <f>HYPERLINK("https://ibp.a2mac1.com/costing(costing:projects/details/9760/process/12083243)","Painting")</f>
        <v>Painting</v>
      </c>
      <c r="B142" t="s">
        <v>1624</v>
      </c>
      <c r="C142">
        <v>12083243</v>
      </c>
      <c r="D142">
        <v>8411615</v>
      </c>
      <c r="E142">
        <v>0.35490500000000003</v>
      </c>
      <c r="F142">
        <v>0</v>
      </c>
      <c r="G142">
        <v>0</v>
      </c>
      <c r="H142">
        <v>7.6304574999999999E-3</v>
      </c>
      <c r="I142" t="s">
        <v>176</v>
      </c>
      <c r="J142">
        <v>1.2421675E-2</v>
      </c>
      <c r="K142">
        <v>0.37495713250000001</v>
      </c>
      <c r="L142">
        <v>6.7685496070299347E-2</v>
      </c>
      <c r="M142">
        <v>0.40611297642179606</v>
      </c>
      <c r="N142">
        <v>0.78107010892179607</v>
      </c>
      <c r="O142" t="s">
        <v>177</v>
      </c>
      <c r="P142">
        <v>2.2497427949999999E-2</v>
      </c>
      <c r="Q142" t="s">
        <v>177</v>
      </c>
      <c r="R142">
        <v>2.4366778585307763E-2</v>
      </c>
      <c r="S142" t="s">
        <v>178</v>
      </c>
      <c r="T142">
        <v>9.3728413070615524E-2</v>
      </c>
      <c r="U142">
        <v>0.92166272852771935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94</v>
      </c>
      <c r="AB142">
        <v>48</v>
      </c>
      <c r="AC142">
        <v>2</v>
      </c>
      <c r="AD142">
        <v>2.1047479197258934</v>
      </c>
      <c r="AE142">
        <v>0</v>
      </c>
      <c r="AF142">
        <v>200000</v>
      </c>
      <c r="AG142">
        <v>16666.666666666668</v>
      </c>
      <c r="AH142">
        <v>1</v>
      </c>
      <c r="AI142">
        <v>1</v>
      </c>
      <c r="AJ142" t="s">
        <v>162</v>
      </c>
      <c r="AK142" t="s">
        <v>176</v>
      </c>
      <c r="AL142">
        <v>0</v>
      </c>
      <c r="AM142" t="s">
        <v>176</v>
      </c>
      <c r="AN142">
        <v>0</v>
      </c>
    </row>
    <row r="143" spans="1:40" x14ac:dyDescent="0.15">
      <c r="A143" s="4" t="str">
        <f>HYPERLINK("https://ibp.a2mac1.com/costing(costing:projects/details/9760/process/12083244)","Loading + Unloading + Retouching + Checking")</f>
        <v>Loading + Unloading + Retouching + Checking</v>
      </c>
      <c r="B143" t="s">
        <v>1626</v>
      </c>
      <c r="C143">
        <v>12083244</v>
      </c>
      <c r="D143">
        <v>8411615</v>
      </c>
      <c r="E143">
        <v>0</v>
      </c>
      <c r="F143">
        <v>0</v>
      </c>
      <c r="G143">
        <v>0</v>
      </c>
      <c r="H143">
        <v>0</v>
      </c>
      <c r="I143" t="s">
        <v>176</v>
      </c>
      <c r="J143">
        <v>0</v>
      </c>
      <c r="K143">
        <v>0</v>
      </c>
      <c r="L143">
        <v>9.0011784187247184E-3</v>
      </c>
      <c r="M143">
        <v>5.4007070512348314E-2</v>
      </c>
      <c r="N143">
        <v>5.4007070512348314E-2</v>
      </c>
      <c r="O143" t="s">
        <v>177</v>
      </c>
      <c r="P143">
        <v>0</v>
      </c>
      <c r="Q143" t="s">
        <v>177</v>
      </c>
      <c r="R143">
        <v>3.2404242307408986E-3</v>
      </c>
      <c r="S143" t="s">
        <v>178</v>
      </c>
      <c r="T143">
        <v>6.4808484614817972E-3</v>
      </c>
      <c r="U143">
        <v>6.3728343204571006E-2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94</v>
      </c>
      <c r="AB143">
        <v>48</v>
      </c>
      <c r="AC143">
        <v>0.1</v>
      </c>
      <c r="AD143">
        <v>0.10389195236953569</v>
      </c>
      <c r="AE143">
        <v>0</v>
      </c>
      <c r="AF143">
        <v>200000</v>
      </c>
      <c r="AG143">
        <v>16666.666666666668</v>
      </c>
      <c r="AH143">
        <v>1</v>
      </c>
      <c r="AI143">
        <v>1</v>
      </c>
      <c r="AJ143" t="s">
        <v>162</v>
      </c>
      <c r="AK143" t="s">
        <v>176</v>
      </c>
      <c r="AL143">
        <v>0</v>
      </c>
      <c r="AM143" t="s">
        <v>176</v>
      </c>
      <c r="AN143">
        <v>0</v>
      </c>
    </row>
    <row r="144" spans="1:40" x14ac:dyDescent="0.15">
      <c r="A144" s="4" t="str">
        <f>HYPERLINK("https://ibp.a2mac1.com/costing(costing:projects/details/9760/process/12083245)","Injection molding")</f>
        <v>Injection molding</v>
      </c>
      <c r="B144" t="s">
        <v>1655</v>
      </c>
      <c r="C144">
        <v>12083245</v>
      </c>
      <c r="D144">
        <v>8411615</v>
      </c>
      <c r="E144">
        <v>0.10681794152592605</v>
      </c>
      <c r="F144">
        <v>0</v>
      </c>
      <c r="G144">
        <v>0</v>
      </c>
      <c r="H144">
        <v>2.1450049163352855E-6</v>
      </c>
      <c r="I144" t="s">
        <v>176</v>
      </c>
      <c r="J144">
        <v>3.7537586035867494E-3</v>
      </c>
      <c r="K144">
        <v>0.11057384513442914</v>
      </c>
      <c r="L144">
        <v>9.3623013015251364E-3</v>
      </c>
      <c r="M144">
        <v>5.6173807809150822E-2</v>
      </c>
      <c r="N144">
        <v>0.16674765294357996</v>
      </c>
      <c r="O144" t="s">
        <v>177</v>
      </c>
      <c r="P144">
        <v>6.6344307080657486E-3</v>
      </c>
      <c r="Q144" t="s">
        <v>177</v>
      </c>
      <c r="R144">
        <v>3.3704284685490489E-3</v>
      </c>
      <c r="S144" t="s">
        <v>178</v>
      </c>
      <c r="T144">
        <v>2.0009718353229594E-2</v>
      </c>
      <c r="U144">
        <v>0.19676223047342434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17.717089999999999</v>
      </c>
      <c r="AB144">
        <v>1</v>
      </c>
      <c r="AC144">
        <v>0</v>
      </c>
      <c r="AD144">
        <v>1.9999600007999841E-3</v>
      </c>
      <c r="AE144">
        <v>7200</v>
      </c>
      <c r="AF144">
        <v>200000</v>
      </c>
      <c r="AG144">
        <v>16666.666666666668</v>
      </c>
      <c r="AH144">
        <v>1</v>
      </c>
      <c r="AI144">
        <v>1</v>
      </c>
      <c r="AJ144" t="s">
        <v>162</v>
      </c>
      <c r="AK144" t="s">
        <v>176</v>
      </c>
      <c r="AL144">
        <v>0</v>
      </c>
      <c r="AM144" t="s">
        <v>176</v>
      </c>
      <c r="AN144">
        <v>0</v>
      </c>
    </row>
    <row r="145" spans="1:40" x14ac:dyDescent="0.15">
      <c r="A145" s="4" t="str">
        <f>HYPERLINK("https://ibp.a2mac1.com/costing(costing:projects/details/9760/process/12083246)","Painting")</f>
        <v>Painting</v>
      </c>
      <c r="B145" t="s">
        <v>1624</v>
      </c>
      <c r="C145">
        <v>12083246</v>
      </c>
      <c r="D145">
        <v>8411616</v>
      </c>
      <c r="E145">
        <v>9.8713061224489793E-2</v>
      </c>
      <c r="F145">
        <v>0</v>
      </c>
      <c r="G145">
        <v>0</v>
      </c>
      <c r="H145">
        <v>2.1223308163265306E-3</v>
      </c>
      <c r="I145" t="s">
        <v>176</v>
      </c>
      <c r="J145">
        <v>3.454957142857143E-3</v>
      </c>
      <c r="K145">
        <v>0.10429034918367347</v>
      </c>
      <c r="L145">
        <v>3.6919361492890553E-2</v>
      </c>
      <c r="M145">
        <v>0.2215161689573433</v>
      </c>
      <c r="N145">
        <v>0.32580651814101674</v>
      </c>
      <c r="O145" t="s">
        <v>177</v>
      </c>
      <c r="P145">
        <v>6.2574209510204079E-3</v>
      </c>
      <c r="Q145" t="s">
        <v>177</v>
      </c>
      <c r="R145">
        <v>1.3290970137440598E-2</v>
      </c>
      <c r="S145" t="s">
        <v>178</v>
      </c>
      <c r="T145">
        <v>3.9096782176922015E-2</v>
      </c>
      <c r="U145">
        <v>0.38445169140639979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94</v>
      </c>
      <c r="AB145">
        <v>88</v>
      </c>
      <c r="AC145">
        <v>2</v>
      </c>
      <c r="AD145">
        <v>2.1047479197258934</v>
      </c>
      <c r="AE145">
        <v>0</v>
      </c>
      <c r="AF145">
        <v>200000</v>
      </c>
      <c r="AG145">
        <v>16666.666666666668</v>
      </c>
      <c r="AH145">
        <v>1</v>
      </c>
      <c r="AI145">
        <v>1</v>
      </c>
      <c r="AJ145" t="s">
        <v>162</v>
      </c>
      <c r="AK145" t="s">
        <v>176</v>
      </c>
      <c r="AL145">
        <v>0</v>
      </c>
      <c r="AM145" t="s">
        <v>176</v>
      </c>
      <c r="AN145">
        <v>0</v>
      </c>
    </row>
    <row r="146" spans="1:40" x14ac:dyDescent="0.15">
      <c r="A146" s="4" t="str">
        <f>HYPERLINK("https://ibp.a2mac1.com/costing(costing:projects/details/9760/process/12083247)","Loading + Unloading + Retouching + Checking")</f>
        <v>Loading + Unloading + Retouching + Checking</v>
      </c>
      <c r="B146" t="s">
        <v>1626</v>
      </c>
      <c r="C146">
        <v>12083247</v>
      </c>
      <c r="D146">
        <v>8411616</v>
      </c>
      <c r="E146">
        <v>0</v>
      </c>
      <c r="F146">
        <v>0</v>
      </c>
      <c r="G146">
        <v>0</v>
      </c>
      <c r="H146">
        <v>0</v>
      </c>
      <c r="I146" t="s">
        <v>176</v>
      </c>
      <c r="J146">
        <v>0</v>
      </c>
      <c r="K146">
        <v>0</v>
      </c>
      <c r="L146">
        <v>7.609476832140756E-3</v>
      </c>
      <c r="M146">
        <v>4.5656860992844536E-2</v>
      </c>
      <c r="N146">
        <v>4.5656860992844536E-2</v>
      </c>
      <c r="O146" t="s">
        <v>177</v>
      </c>
      <c r="P146">
        <v>0</v>
      </c>
      <c r="Q146" t="s">
        <v>177</v>
      </c>
      <c r="R146">
        <v>2.7394116595706721E-3</v>
      </c>
      <c r="S146" t="s">
        <v>178</v>
      </c>
      <c r="T146">
        <v>5.4788233191413443E-3</v>
      </c>
      <c r="U146">
        <v>5.3875095971556548E-2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94</v>
      </c>
      <c r="AB146">
        <v>88</v>
      </c>
      <c r="AC146">
        <v>0.1</v>
      </c>
      <c r="AD146">
        <v>0.10389195236953569</v>
      </c>
      <c r="AE146">
        <v>0</v>
      </c>
      <c r="AF146">
        <v>200000</v>
      </c>
      <c r="AG146">
        <v>16666.666666666668</v>
      </c>
      <c r="AH146">
        <v>1</v>
      </c>
      <c r="AI146">
        <v>1</v>
      </c>
      <c r="AJ146" t="s">
        <v>162</v>
      </c>
      <c r="AK146" t="s">
        <v>176</v>
      </c>
      <c r="AL146">
        <v>0</v>
      </c>
      <c r="AM146" t="s">
        <v>176</v>
      </c>
      <c r="AN146">
        <v>0</v>
      </c>
    </row>
    <row r="147" spans="1:40" x14ac:dyDescent="0.15">
      <c r="A147" s="4" t="str">
        <f>HYPERLINK("https://ibp.a2mac1.com/costing(costing:projects/details/9760/process/12083248)","Injection molding")</f>
        <v>Injection molding</v>
      </c>
      <c r="B147" t="s">
        <v>1670</v>
      </c>
      <c r="C147">
        <v>12083248</v>
      </c>
      <c r="D147">
        <v>8411616</v>
      </c>
      <c r="E147">
        <v>4.1895070575780284E-2</v>
      </c>
      <c r="F147">
        <v>0</v>
      </c>
      <c r="G147">
        <v>0</v>
      </c>
      <c r="H147">
        <v>8.4338051738484804E-7</v>
      </c>
      <c r="I147" t="s">
        <v>176</v>
      </c>
      <c r="J147">
        <v>1.4759159054234842E-3</v>
      </c>
      <c r="K147">
        <v>4.3371829861721153E-2</v>
      </c>
      <c r="L147">
        <v>5.4376783675365104E-3</v>
      </c>
      <c r="M147">
        <v>3.2626070205219064E-2</v>
      </c>
      <c r="N147">
        <v>7.599790006694021E-2</v>
      </c>
      <c r="O147" t="s">
        <v>177</v>
      </c>
      <c r="P147">
        <v>2.602309791703269E-3</v>
      </c>
      <c r="Q147" t="s">
        <v>177</v>
      </c>
      <c r="R147">
        <v>1.9575642123131438E-3</v>
      </c>
      <c r="S147" t="s">
        <v>178</v>
      </c>
      <c r="T147">
        <v>9.1197480080328248E-3</v>
      </c>
      <c r="U147">
        <v>8.9677522078989449E-2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15.58966</v>
      </c>
      <c r="AB147">
        <v>1</v>
      </c>
      <c r="AC147">
        <v>0</v>
      </c>
      <c r="AD147">
        <v>1.9999600007999841E-3</v>
      </c>
      <c r="AE147">
        <v>7200</v>
      </c>
      <c r="AF147">
        <v>200000</v>
      </c>
      <c r="AG147">
        <v>16666.666666666668</v>
      </c>
      <c r="AH147">
        <v>1</v>
      </c>
      <c r="AI147">
        <v>1</v>
      </c>
      <c r="AJ147" t="s">
        <v>162</v>
      </c>
      <c r="AK147" t="s">
        <v>176</v>
      </c>
      <c r="AL147">
        <v>0</v>
      </c>
      <c r="AM147" t="s">
        <v>176</v>
      </c>
      <c r="AN147">
        <v>0</v>
      </c>
    </row>
    <row r="148" spans="1:40" x14ac:dyDescent="0.15">
      <c r="A148" s="4" t="str">
        <f>HYPERLINK("https://ibp.a2mac1.com/costing(costing:projects/details/9760/process/12083199)","Assembly")</f>
        <v>Assembly</v>
      </c>
      <c r="C148">
        <v>12083199</v>
      </c>
      <c r="D148">
        <v>8411554</v>
      </c>
      <c r="E148">
        <v>0</v>
      </c>
      <c r="F148">
        <v>0</v>
      </c>
      <c r="G148">
        <v>0</v>
      </c>
      <c r="H148">
        <v>0</v>
      </c>
      <c r="I148" t="s">
        <v>176</v>
      </c>
      <c r="J148">
        <v>0</v>
      </c>
      <c r="K148">
        <v>0</v>
      </c>
      <c r="L148">
        <v>0.15228760443166886</v>
      </c>
      <c r="M148">
        <v>0.91372562659001311</v>
      </c>
      <c r="N148">
        <v>0.91372562659001311</v>
      </c>
      <c r="O148" t="s">
        <v>90</v>
      </c>
      <c r="P148">
        <v>0</v>
      </c>
      <c r="Q148" t="s">
        <v>90</v>
      </c>
      <c r="R148">
        <v>0</v>
      </c>
      <c r="S148" t="s">
        <v>90</v>
      </c>
      <c r="T148">
        <v>0</v>
      </c>
      <c r="U148">
        <v>0.91372562659001311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84</v>
      </c>
      <c r="AB148">
        <v>1</v>
      </c>
      <c r="AC148">
        <v>0.5</v>
      </c>
      <c r="AD148">
        <v>0.50741219779126456</v>
      </c>
      <c r="AE148">
        <v>10800</v>
      </c>
      <c r="AF148">
        <v>200000</v>
      </c>
      <c r="AG148">
        <v>10000</v>
      </c>
      <c r="AH148">
        <v>1</v>
      </c>
      <c r="AI148">
        <v>1</v>
      </c>
      <c r="AJ148" t="s">
        <v>76</v>
      </c>
      <c r="AK148" t="s">
        <v>176</v>
      </c>
      <c r="AL148">
        <v>0</v>
      </c>
      <c r="AM148" t="s">
        <v>176</v>
      </c>
      <c r="AN148">
        <v>0</v>
      </c>
    </row>
    <row r="149" spans="1:40" x14ac:dyDescent="0.15">
      <c r="A149" s="4" t="str">
        <f>HYPERLINK("https://ibp.a2mac1.com/costing(costing:projects/details/9760/process/12083253)","Pre-Assembly Movement System")</f>
        <v>Pre-Assembly Movement System</v>
      </c>
      <c r="B149" t="s">
        <v>1687</v>
      </c>
      <c r="C149">
        <v>12083253</v>
      </c>
      <c r="D149">
        <v>8411629</v>
      </c>
      <c r="E149">
        <v>0</v>
      </c>
      <c r="F149">
        <v>0</v>
      </c>
      <c r="G149">
        <v>0</v>
      </c>
      <c r="H149">
        <v>0</v>
      </c>
      <c r="I149" t="s">
        <v>176</v>
      </c>
      <c r="J149">
        <v>0</v>
      </c>
      <c r="K149">
        <v>0</v>
      </c>
      <c r="L149">
        <v>0.30527242685057582</v>
      </c>
      <c r="M149">
        <v>1.0684534939770154</v>
      </c>
      <c r="N149">
        <v>1.0684534939770154</v>
      </c>
      <c r="O149" t="s">
        <v>90</v>
      </c>
      <c r="P149">
        <v>0</v>
      </c>
      <c r="Q149" t="s">
        <v>90</v>
      </c>
      <c r="R149">
        <v>0</v>
      </c>
      <c r="S149" t="s">
        <v>90</v>
      </c>
      <c r="T149">
        <v>0</v>
      </c>
      <c r="U149">
        <v>1.0684534939770154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60</v>
      </c>
      <c r="AB149">
        <v>1</v>
      </c>
      <c r="AC149">
        <v>0.1</v>
      </c>
      <c r="AD149">
        <v>0.10987913295375087</v>
      </c>
      <c r="AE149">
        <v>600</v>
      </c>
      <c r="AF149">
        <v>200000</v>
      </c>
      <c r="AG149">
        <v>10000</v>
      </c>
      <c r="AH149">
        <v>1</v>
      </c>
      <c r="AI149">
        <v>1</v>
      </c>
      <c r="AJ149" t="s">
        <v>76</v>
      </c>
      <c r="AK149" t="s">
        <v>176</v>
      </c>
      <c r="AL149">
        <v>0</v>
      </c>
      <c r="AM149" t="s">
        <v>176</v>
      </c>
      <c r="AN149">
        <v>0</v>
      </c>
    </row>
    <row r="150" spans="1:40" x14ac:dyDescent="0.15">
      <c r="A150" s="4" t="str">
        <f>HYPERLINK("https://ibp.a2mac1.com/costing(costing:projects/details/9760/process/12083254)","Pre-Assembly Movement System")</f>
        <v>Pre-Assembly Movement System</v>
      </c>
      <c r="B150" t="s">
        <v>1687</v>
      </c>
      <c r="C150">
        <v>12083254</v>
      </c>
      <c r="D150">
        <v>8411630</v>
      </c>
      <c r="E150">
        <v>0</v>
      </c>
      <c r="F150">
        <v>0</v>
      </c>
      <c r="G150">
        <v>0</v>
      </c>
      <c r="H150">
        <v>0</v>
      </c>
      <c r="I150" t="s">
        <v>176</v>
      </c>
      <c r="J150">
        <v>0</v>
      </c>
      <c r="K150">
        <v>0</v>
      </c>
      <c r="L150">
        <v>0.30527242685057582</v>
      </c>
      <c r="M150">
        <v>1.0684534939770154</v>
      </c>
      <c r="N150">
        <v>1.0684534939770154</v>
      </c>
      <c r="O150" t="s">
        <v>90</v>
      </c>
      <c r="P150">
        <v>0</v>
      </c>
      <c r="Q150" t="s">
        <v>90</v>
      </c>
      <c r="R150">
        <v>0</v>
      </c>
      <c r="S150" t="s">
        <v>90</v>
      </c>
      <c r="T150">
        <v>0</v>
      </c>
      <c r="U150">
        <v>1.0684534939770154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60</v>
      </c>
      <c r="AB150">
        <v>1</v>
      </c>
      <c r="AC150">
        <v>0.1</v>
      </c>
      <c r="AD150">
        <v>0.10987913295375087</v>
      </c>
      <c r="AE150">
        <v>600</v>
      </c>
      <c r="AF150">
        <v>200000</v>
      </c>
      <c r="AG150">
        <v>10000</v>
      </c>
      <c r="AH150">
        <v>1</v>
      </c>
      <c r="AI150">
        <v>1</v>
      </c>
      <c r="AJ150" t="s">
        <v>76</v>
      </c>
      <c r="AK150" t="s">
        <v>176</v>
      </c>
      <c r="AL150">
        <v>0</v>
      </c>
      <c r="AM150" t="s">
        <v>176</v>
      </c>
      <c r="AN150">
        <v>0</v>
      </c>
    </row>
    <row r="151" spans="1:40" x14ac:dyDescent="0.15">
      <c r="A151" s="4" t="str">
        <f>HYPERLINK("https://ibp.a2mac1.com/costing(costing:projects/details/9760/process/12083249)","Process")</f>
        <v>Process</v>
      </c>
      <c r="B151" t="s">
        <v>1694</v>
      </c>
      <c r="C151">
        <v>12083249</v>
      </c>
      <c r="D151">
        <v>8411617</v>
      </c>
      <c r="E151">
        <v>9.9499999999999993</v>
      </c>
      <c r="F151">
        <v>0</v>
      </c>
      <c r="G151">
        <v>0</v>
      </c>
      <c r="H151">
        <v>1.9900000000000001E-4</v>
      </c>
      <c r="I151" t="s">
        <v>176</v>
      </c>
      <c r="J151">
        <v>0.34825</v>
      </c>
      <c r="K151">
        <v>10.298449</v>
      </c>
      <c r="L151">
        <v>1.4432730156461677</v>
      </c>
      <c r="M151">
        <v>8.6596380938770068</v>
      </c>
      <c r="N151">
        <v>18.958087093877008</v>
      </c>
      <c r="O151" t="s">
        <v>90</v>
      </c>
      <c r="P151">
        <v>0</v>
      </c>
      <c r="Q151" t="s">
        <v>90</v>
      </c>
      <c r="R151">
        <v>0</v>
      </c>
      <c r="S151" t="s">
        <v>90</v>
      </c>
      <c r="T151">
        <v>0</v>
      </c>
      <c r="U151">
        <v>18.958087093877008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820</v>
      </c>
      <c r="AB151">
        <v>1</v>
      </c>
      <c r="AC151">
        <v>0</v>
      </c>
      <c r="AD151">
        <v>1.9999600007999841E-3</v>
      </c>
      <c r="AE151">
        <v>10800</v>
      </c>
      <c r="AF151">
        <v>200000</v>
      </c>
      <c r="AG151">
        <v>16666.666666666668</v>
      </c>
      <c r="AH151">
        <v>1</v>
      </c>
      <c r="AI151">
        <v>1</v>
      </c>
      <c r="AJ151" t="s">
        <v>162</v>
      </c>
      <c r="AK151" t="s">
        <v>176</v>
      </c>
      <c r="AL151">
        <v>0</v>
      </c>
      <c r="AM151" t="s">
        <v>176</v>
      </c>
      <c r="AN151">
        <v>0</v>
      </c>
    </row>
    <row r="152" spans="1:40" x14ac:dyDescent="0.15">
      <c r="A152" s="4" t="str">
        <f>HYPERLINK("https://ibp.a2mac1.com/costing(costing:projects/details/9760/process/12083223)","Process")</f>
        <v>Process</v>
      </c>
      <c r="B152" t="s">
        <v>1697</v>
      </c>
      <c r="C152">
        <v>12083223</v>
      </c>
      <c r="D152">
        <v>8411597</v>
      </c>
      <c r="E152">
        <v>0</v>
      </c>
      <c r="F152">
        <v>0</v>
      </c>
      <c r="G152">
        <v>0</v>
      </c>
      <c r="H152">
        <v>0</v>
      </c>
      <c r="I152" t="s">
        <v>176</v>
      </c>
      <c r="J152">
        <v>0</v>
      </c>
      <c r="K152">
        <v>0</v>
      </c>
      <c r="L152">
        <v>1.6947260891147908</v>
      </c>
      <c r="M152">
        <v>5.9315413119017677</v>
      </c>
      <c r="N152">
        <v>5.9315413119017677</v>
      </c>
      <c r="O152" t="s">
        <v>90</v>
      </c>
      <c r="P152">
        <v>0</v>
      </c>
      <c r="Q152" t="s">
        <v>90</v>
      </c>
      <c r="R152">
        <v>0</v>
      </c>
      <c r="S152" t="s">
        <v>90</v>
      </c>
      <c r="T152">
        <v>0</v>
      </c>
      <c r="U152">
        <v>5.9315413119017677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480</v>
      </c>
      <c r="AB152">
        <v>1</v>
      </c>
      <c r="AC152">
        <v>0</v>
      </c>
      <c r="AD152">
        <v>0</v>
      </c>
      <c r="AE152">
        <v>10800</v>
      </c>
      <c r="AF152">
        <v>200000</v>
      </c>
      <c r="AG152">
        <v>10000</v>
      </c>
      <c r="AH152">
        <v>1</v>
      </c>
      <c r="AI152">
        <v>1</v>
      </c>
      <c r="AJ152" t="s">
        <v>76</v>
      </c>
      <c r="AK152" t="s">
        <v>176</v>
      </c>
      <c r="AL152">
        <v>0</v>
      </c>
      <c r="AM152" t="s">
        <v>176</v>
      </c>
      <c r="AN152">
        <v>0</v>
      </c>
    </row>
    <row r="153" spans="1:40" x14ac:dyDescent="0.15">
      <c r="A153" s="4" t="str">
        <f>HYPERLINK("https://ibp.a2mac1.com/costing(costing:projects/details/9760/process/12083250)","Process")</f>
        <v>Process</v>
      </c>
      <c r="B153" t="s">
        <v>1703</v>
      </c>
      <c r="C153">
        <v>12083250</v>
      </c>
      <c r="D153">
        <v>8411620</v>
      </c>
      <c r="E153">
        <v>11.925000000000001</v>
      </c>
      <c r="F153">
        <v>0</v>
      </c>
      <c r="G153">
        <v>0</v>
      </c>
      <c r="H153">
        <v>2.385E-4</v>
      </c>
      <c r="I153" t="s">
        <v>176</v>
      </c>
      <c r="J153">
        <v>0.417375</v>
      </c>
      <c r="K153">
        <v>12.342613500000001</v>
      </c>
      <c r="L153">
        <v>0.94246318320588429</v>
      </c>
      <c r="M153">
        <v>5.6547790992353058</v>
      </c>
      <c r="N153">
        <v>17.997392599235305</v>
      </c>
      <c r="O153" t="s">
        <v>90</v>
      </c>
      <c r="P153">
        <v>0</v>
      </c>
      <c r="Q153" t="s">
        <v>90</v>
      </c>
      <c r="R153">
        <v>0</v>
      </c>
      <c r="S153" t="s">
        <v>90</v>
      </c>
      <c r="T153">
        <v>0</v>
      </c>
      <c r="U153">
        <v>17.997392599235305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535</v>
      </c>
      <c r="AB153">
        <v>1</v>
      </c>
      <c r="AC153">
        <v>0</v>
      </c>
      <c r="AD153">
        <v>1.9999600007999841E-3</v>
      </c>
      <c r="AE153">
        <v>10800</v>
      </c>
      <c r="AF153">
        <v>200000</v>
      </c>
      <c r="AG153">
        <v>16666.666666666668</v>
      </c>
      <c r="AH153">
        <v>1</v>
      </c>
      <c r="AI153">
        <v>1</v>
      </c>
      <c r="AJ153" t="s">
        <v>162</v>
      </c>
      <c r="AK153" t="s">
        <v>176</v>
      </c>
      <c r="AL153">
        <v>0</v>
      </c>
      <c r="AM153" t="s">
        <v>176</v>
      </c>
      <c r="AN153">
        <v>0</v>
      </c>
    </row>
    <row r="154" spans="1:40" x14ac:dyDescent="0.15">
      <c r="A154" s="4" t="str">
        <f>HYPERLINK("https://ibp.a2mac1.com/costing(costing:projects/details/9760/process/12083224)","Process")</f>
        <v>Process</v>
      </c>
      <c r="B154" t="s">
        <v>1706</v>
      </c>
      <c r="C154">
        <v>12083224</v>
      </c>
      <c r="D154">
        <v>8411598</v>
      </c>
      <c r="E154">
        <v>0</v>
      </c>
      <c r="F154">
        <v>0</v>
      </c>
      <c r="G154">
        <v>0</v>
      </c>
      <c r="H154">
        <v>0</v>
      </c>
      <c r="I154" t="s">
        <v>176</v>
      </c>
      <c r="J154">
        <v>0</v>
      </c>
      <c r="K154">
        <v>0</v>
      </c>
      <c r="L154">
        <v>0.79504361185407235</v>
      </c>
      <c r="M154">
        <v>2.7826526414892534</v>
      </c>
      <c r="N154">
        <v>2.7826526414892534</v>
      </c>
      <c r="O154" t="s">
        <v>90</v>
      </c>
      <c r="P154">
        <v>0</v>
      </c>
      <c r="Q154" t="s">
        <v>90</v>
      </c>
      <c r="R154">
        <v>0</v>
      </c>
      <c r="S154" t="s">
        <v>90</v>
      </c>
      <c r="T154">
        <v>0</v>
      </c>
      <c r="U154">
        <v>2.7826526414892534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224</v>
      </c>
      <c r="AB154">
        <v>1</v>
      </c>
      <c r="AC154">
        <v>0</v>
      </c>
      <c r="AD154">
        <v>0</v>
      </c>
      <c r="AE154">
        <v>10800</v>
      </c>
      <c r="AF154">
        <v>200000</v>
      </c>
      <c r="AG154">
        <v>10000</v>
      </c>
      <c r="AH154">
        <v>1</v>
      </c>
      <c r="AI154">
        <v>1</v>
      </c>
      <c r="AJ154" t="s">
        <v>76</v>
      </c>
      <c r="AK154" t="s">
        <v>176</v>
      </c>
      <c r="AL154">
        <v>0</v>
      </c>
      <c r="AM154" t="s">
        <v>176</v>
      </c>
      <c r="AN154">
        <v>0</v>
      </c>
    </row>
    <row r="155" spans="1:40" x14ac:dyDescent="0.15">
      <c r="A155" s="4" t="str">
        <f>HYPERLINK("https://ibp.a2mac1.com/costing(costing:projects/details/9760/process/12083258)","Automated Process")</f>
        <v>Automated Process</v>
      </c>
      <c r="B155" t="s">
        <v>794</v>
      </c>
      <c r="C155">
        <v>12083258</v>
      </c>
      <c r="D155">
        <v>8411648</v>
      </c>
      <c r="E155">
        <v>0.24</v>
      </c>
      <c r="F155">
        <v>0</v>
      </c>
      <c r="G155">
        <v>0</v>
      </c>
      <c r="H155">
        <v>1.2144E-3</v>
      </c>
      <c r="I155" t="s">
        <v>176</v>
      </c>
      <c r="J155">
        <v>8.3999999999999995E-3</v>
      </c>
      <c r="K155">
        <v>0.24961439999999999</v>
      </c>
      <c r="L155">
        <v>3.0615645933770332E-2</v>
      </c>
      <c r="M155">
        <v>0.18369387560262199</v>
      </c>
      <c r="N155">
        <v>0.43330827560262197</v>
      </c>
      <c r="O155" t="s">
        <v>177</v>
      </c>
      <c r="P155">
        <v>1.4976863999999999E-2</v>
      </c>
      <c r="Q155" t="s">
        <v>177</v>
      </c>
      <c r="R155">
        <v>1.102163253615732E-2</v>
      </c>
      <c r="S155" t="s">
        <v>178</v>
      </c>
      <c r="T155">
        <v>5.1996993072314639E-2</v>
      </c>
      <c r="U155">
        <v>0.511303765211094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16</v>
      </c>
      <c r="AB155">
        <v>1</v>
      </c>
      <c r="AC155">
        <v>0.5</v>
      </c>
      <c r="AD155">
        <v>0.50345253019720215</v>
      </c>
      <c r="AE155">
        <v>10800</v>
      </c>
      <c r="AF155">
        <v>200000</v>
      </c>
      <c r="AG155">
        <v>16666.666666666668</v>
      </c>
      <c r="AH155">
        <v>1</v>
      </c>
      <c r="AI155">
        <v>1</v>
      </c>
      <c r="AJ155" t="s">
        <v>162</v>
      </c>
      <c r="AK155" t="s">
        <v>176</v>
      </c>
      <c r="AL155">
        <v>0</v>
      </c>
      <c r="AM155" t="s">
        <v>176</v>
      </c>
      <c r="AN155">
        <v>0</v>
      </c>
    </row>
    <row r="156" spans="1:40" x14ac:dyDescent="0.15">
      <c r="A156" s="4" t="str">
        <f>HYPERLINK("https://ibp.a2mac1.com/costing(costing:projects/details/9760/process/12083255)","Automated Process")</f>
        <v>Automated Process</v>
      </c>
      <c r="B156" t="s">
        <v>794</v>
      </c>
      <c r="C156">
        <v>12083255</v>
      </c>
      <c r="D156">
        <v>8411631</v>
      </c>
      <c r="E156">
        <v>0.11</v>
      </c>
      <c r="F156">
        <v>0</v>
      </c>
      <c r="G156">
        <v>0</v>
      </c>
      <c r="H156">
        <v>5.5659999999999998E-4</v>
      </c>
      <c r="I156" t="s">
        <v>176</v>
      </c>
      <c r="J156">
        <v>3.8500000000000001E-3</v>
      </c>
      <c r="K156">
        <v>0.1144066</v>
      </c>
      <c r="L156">
        <v>1.2954808617448894E-2</v>
      </c>
      <c r="M156">
        <v>7.7728851704693361E-2</v>
      </c>
      <c r="N156">
        <v>0.19213545170469337</v>
      </c>
      <c r="O156" t="s">
        <v>177</v>
      </c>
      <c r="P156">
        <v>6.864396E-3</v>
      </c>
      <c r="Q156" t="s">
        <v>177</v>
      </c>
      <c r="R156">
        <v>4.6637311022816015E-3</v>
      </c>
      <c r="S156" t="s">
        <v>178</v>
      </c>
      <c r="T156">
        <v>2.3056254204563205E-2</v>
      </c>
      <c r="U156">
        <v>0.22671983301153817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6</v>
      </c>
      <c r="AB156">
        <v>1</v>
      </c>
      <c r="AC156">
        <v>0.5</v>
      </c>
      <c r="AD156">
        <v>0.50345253019720215</v>
      </c>
      <c r="AE156">
        <v>10800</v>
      </c>
      <c r="AF156">
        <v>200000</v>
      </c>
      <c r="AG156">
        <v>16666.666666666668</v>
      </c>
      <c r="AH156">
        <v>1</v>
      </c>
      <c r="AI156">
        <v>1</v>
      </c>
      <c r="AJ156" t="s">
        <v>162</v>
      </c>
      <c r="AK156" t="s">
        <v>176</v>
      </c>
      <c r="AL156">
        <v>0</v>
      </c>
      <c r="AM156" t="s">
        <v>176</v>
      </c>
      <c r="AN156">
        <v>0</v>
      </c>
    </row>
    <row r="157" spans="1:40" x14ac:dyDescent="0.15">
      <c r="A157" s="4" t="str">
        <f>HYPERLINK("https://ibp.a2mac1.com/costing(costing:projects/details/9760/process/12083225)","Automated Process")</f>
        <v>Automated Process</v>
      </c>
      <c r="B157" t="s">
        <v>1731</v>
      </c>
      <c r="C157">
        <v>12083225</v>
      </c>
      <c r="D157">
        <v>8411601</v>
      </c>
      <c r="E157">
        <v>1.63</v>
      </c>
      <c r="F157">
        <v>0</v>
      </c>
      <c r="G157">
        <v>0</v>
      </c>
      <c r="H157">
        <v>8.2477999999999996E-3</v>
      </c>
      <c r="I157" t="s">
        <v>176</v>
      </c>
      <c r="J157">
        <v>5.7049999999999997E-2</v>
      </c>
      <c r="K157">
        <v>1.6952978000000001</v>
      </c>
      <c r="L157">
        <v>0.15247542341638826</v>
      </c>
      <c r="M157">
        <v>0.91485254049832965</v>
      </c>
      <c r="N157">
        <v>2.6101503404983295</v>
      </c>
      <c r="O157" t="s">
        <v>177</v>
      </c>
      <c r="P157">
        <v>0.101717868</v>
      </c>
      <c r="Q157" t="s">
        <v>177</v>
      </c>
      <c r="R157">
        <v>5.4891152429899774E-2</v>
      </c>
      <c r="S157" t="s">
        <v>178</v>
      </c>
      <c r="T157">
        <v>0.31321804085979954</v>
      </c>
      <c r="U157">
        <v>3.079977401788029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85</v>
      </c>
      <c r="AB157">
        <v>1</v>
      </c>
      <c r="AC157">
        <v>0.5</v>
      </c>
      <c r="AD157">
        <v>0.50345253019720215</v>
      </c>
      <c r="AE157">
        <v>10800</v>
      </c>
      <c r="AF157">
        <v>200000</v>
      </c>
      <c r="AG157">
        <v>16666.666666666668</v>
      </c>
      <c r="AH157">
        <v>1</v>
      </c>
      <c r="AI157">
        <v>1</v>
      </c>
      <c r="AJ157" t="s">
        <v>162</v>
      </c>
      <c r="AK157" t="s">
        <v>176</v>
      </c>
      <c r="AL157">
        <v>0</v>
      </c>
      <c r="AM157" t="s">
        <v>176</v>
      </c>
      <c r="AN157">
        <v>0</v>
      </c>
    </row>
    <row r="158" spans="1:40" x14ac:dyDescent="0.15">
      <c r="A158" s="4" t="str">
        <f>HYPERLINK("https://ibp.a2mac1.com/costing(costing:projects/details/9760/process/12083226)","Automated Process")</f>
        <v>Automated Process</v>
      </c>
      <c r="B158" t="s">
        <v>794</v>
      </c>
      <c r="C158">
        <v>12083226</v>
      </c>
      <c r="D158">
        <v>8411602</v>
      </c>
      <c r="E158">
        <v>0.12</v>
      </c>
      <c r="F158">
        <v>0</v>
      </c>
      <c r="G158">
        <v>0</v>
      </c>
      <c r="H158">
        <v>6.0720000000000001E-4</v>
      </c>
      <c r="I158" t="s">
        <v>176</v>
      </c>
      <c r="J158">
        <v>4.1999999999999997E-3</v>
      </c>
      <c r="K158">
        <v>0.12480719999999999</v>
      </c>
      <c r="L158">
        <v>9.422641154184605E-3</v>
      </c>
      <c r="M158">
        <v>5.653584692510763E-2</v>
      </c>
      <c r="N158">
        <v>0.18134304692510764</v>
      </c>
      <c r="O158" t="s">
        <v>177</v>
      </c>
      <c r="P158">
        <v>7.4884319999999997E-3</v>
      </c>
      <c r="Q158" t="s">
        <v>177</v>
      </c>
      <c r="R158">
        <v>3.392150815506458E-3</v>
      </c>
      <c r="S158" t="s">
        <v>178</v>
      </c>
      <c r="T158">
        <v>2.1761165631012915E-2</v>
      </c>
      <c r="U158">
        <v>0.21398479537162701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1</v>
      </c>
      <c r="AC158">
        <v>0.5</v>
      </c>
      <c r="AD158">
        <v>0.50345253019720215</v>
      </c>
      <c r="AE158">
        <v>10800</v>
      </c>
      <c r="AF158">
        <v>200000</v>
      </c>
      <c r="AG158">
        <v>16666.666666666668</v>
      </c>
      <c r="AH158">
        <v>1</v>
      </c>
      <c r="AI158">
        <v>1</v>
      </c>
      <c r="AJ158" t="s">
        <v>162</v>
      </c>
      <c r="AK158" t="s">
        <v>176</v>
      </c>
      <c r="AL158">
        <v>0</v>
      </c>
      <c r="AM158" t="s">
        <v>176</v>
      </c>
      <c r="AN158">
        <v>0</v>
      </c>
    </row>
    <row r="159" spans="1:40" x14ac:dyDescent="0.15">
      <c r="A159" s="4" t="str">
        <f>HYPERLINK("https://ibp.a2mac1.com/costing(costing:projects/details/9760/process/12083227)","Process")</f>
        <v>Process</v>
      </c>
      <c r="B159" t="s">
        <v>1746</v>
      </c>
      <c r="C159">
        <v>12083227</v>
      </c>
      <c r="D159">
        <v>8411604</v>
      </c>
      <c r="E159">
        <v>51.24</v>
      </c>
      <c r="F159">
        <v>0</v>
      </c>
      <c r="G159">
        <v>0</v>
      </c>
      <c r="H159">
        <v>1.0248E-3</v>
      </c>
      <c r="I159" t="s">
        <v>90</v>
      </c>
      <c r="J159">
        <v>0</v>
      </c>
      <c r="K159">
        <v>51.241024799999998</v>
      </c>
      <c r="L159">
        <v>0</v>
      </c>
      <c r="M159">
        <v>78.313946970171529</v>
      </c>
      <c r="N159">
        <v>129.55497177017153</v>
      </c>
      <c r="O159" t="s">
        <v>90</v>
      </c>
      <c r="P159">
        <v>0</v>
      </c>
      <c r="Q159" t="s">
        <v>90</v>
      </c>
      <c r="R159">
        <v>0</v>
      </c>
      <c r="S159" t="s">
        <v>90</v>
      </c>
      <c r="T159">
        <v>0</v>
      </c>
      <c r="U159">
        <v>129.55497177017153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8900</v>
      </c>
      <c r="AB159">
        <v>1</v>
      </c>
      <c r="AC159">
        <v>0</v>
      </c>
      <c r="AD159">
        <v>1.9999600007999841E-3</v>
      </c>
      <c r="AE159">
        <v>108000</v>
      </c>
      <c r="AF159">
        <v>200000</v>
      </c>
      <c r="AG159">
        <v>16666.666666666668</v>
      </c>
      <c r="AH159">
        <v>1</v>
      </c>
      <c r="AI159">
        <v>1</v>
      </c>
      <c r="AJ159" t="s">
        <v>162</v>
      </c>
      <c r="AK159" t="s">
        <v>90</v>
      </c>
      <c r="AL159">
        <v>0</v>
      </c>
      <c r="AM159" t="s">
        <v>90</v>
      </c>
      <c r="AN159">
        <v>0</v>
      </c>
    </row>
    <row r="160" spans="1:40" x14ac:dyDescent="0.15">
      <c r="A160" s="4" t="str">
        <f>HYPERLINK("https://ibp.a2mac1.com/costing(costing:projects/details/9760/process/12083200)","Process")</f>
        <v>Process</v>
      </c>
      <c r="B160" t="s">
        <v>1751</v>
      </c>
      <c r="C160">
        <v>12083200</v>
      </c>
      <c r="D160">
        <v>8411556</v>
      </c>
      <c r="E160">
        <v>0</v>
      </c>
      <c r="F160">
        <v>0</v>
      </c>
      <c r="G160">
        <v>0</v>
      </c>
      <c r="H160">
        <v>0</v>
      </c>
      <c r="I160" t="s">
        <v>176</v>
      </c>
      <c r="J160">
        <v>0</v>
      </c>
      <c r="K160">
        <v>0</v>
      </c>
      <c r="L160">
        <v>2.0461645567947588</v>
      </c>
      <c r="M160">
        <v>7.1615759487816568</v>
      </c>
      <c r="N160">
        <v>7.1615759487816568</v>
      </c>
      <c r="O160" t="s">
        <v>90</v>
      </c>
      <c r="P160">
        <v>0</v>
      </c>
      <c r="Q160" t="s">
        <v>90</v>
      </c>
      <c r="R160">
        <v>0</v>
      </c>
      <c r="S160" t="s">
        <v>90</v>
      </c>
      <c r="T160">
        <v>0</v>
      </c>
      <c r="U160">
        <v>7.1615759487816568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580</v>
      </c>
      <c r="AB160">
        <v>1</v>
      </c>
      <c r="AC160">
        <v>0</v>
      </c>
      <c r="AD160">
        <v>0</v>
      </c>
      <c r="AE160">
        <v>10800</v>
      </c>
      <c r="AF160">
        <v>200000</v>
      </c>
      <c r="AG160">
        <v>10000</v>
      </c>
      <c r="AH160">
        <v>1</v>
      </c>
      <c r="AI160">
        <v>1</v>
      </c>
      <c r="AJ160" t="s">
        <v>76</v>
      </c>
      <c r="AK160" t="s">
        <v>176</v>
      </c>
      <c r="AL160">
        <v>0</v>
      </c>
      <c r="AM160" t="s">
        <v>176</v>
      </c>
      <c r="AN160">
        <v>0</v>
      </c>
    </row>
    <row r="161" spans="1:40" x14ac:dyDescent="0.15">
      <c r="A161" s="4" t="str">
        <f>HYPERLINK("https://ibp.a2mac1.com/costing(costing:projects/details/9760/process/12083316)","Process")</f>
        <v>Process</v>
      </c>
      <c r="B161" t="s">
        <v>1777</v>
      </c>
      <c r="C161">
        <v>12083316</v>
      </c>
      <c r="D161">
        <v>8411684</v>
      </c>
      <c r="E161">
        <v>2.7132389586666665</v>
      </c>
      <c r="F161">
        <v>0</v>
      </c>
      <c r="G161">
        <v>0</v>
      </c>
      <c r="H161">
        <v>5.8664626133333332E-5</v>
      </c>
      <c r="I161" t="s">
        <v>176</v>
      </c>
      <c r="J161">
        <v>0.10266309573333333</v>
      </c>
      <c r="K161">
        <v>2.8159607190261333</v>
      </c>
      <c r="L161">
        <v>1.7588534991828364</v>
      </c>
      <c r="M161">
        <v>10.553120995097018</v>
      </c>
      <c r="N161">
        <v>13.369081714123151</v>
      </c>
      <c r="O161" t="s">
        <v>177</v>
      </c>
      <c r="P161">
        <v>0.168957643141568</v>
      </c>
      <c r="Q161" t="s">
        <v>177</v>
      </c>
      <c r="R161">
        <v>0.63318725970582102</v>
      </c>
      <c r="S161" t="s">
        <v>178</v>
      </c>
      <c r="T161">
        <v>1.6042898056947781</v>
      </c>
      <c r="U161">
        <v>15.775516422665318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999.59</v>
      </c>
      <c r="AB161">
        <v>1</v>
      </c>
      <c r="AC161">
        <v>0</v>
      </c>
      <c r="AD161">
        <v>1.9999600007999841E-3</v>
      </c>
      <c r="AE161">
        <v>10800</v>
      </c>
      <c r="AF161">
        <v>200000</v>
      </c>
      <c r="AG161">
        <v>16666.666666666668</v>
      </c>
      <c r="AH161">
        <v>1</v>
      </c>
      <c r="AI161">
        <v>1</v>
      </c>
      <c r="AJ161" t="s">
        <v>162</v>
      </c>
      <c r="AK161" t="s">
        <v>176</v>
      </c>
      <c r="AL161">
        <v>0</v>
      </c>
      <c r="AM161" t="s">
        <v>176</v>
      </c>
      <c r="AN161">
        <v>0</v>
      </c>
    </row>
    <row r="162" spans="1:40" x14ac:dyDescent="0.15">
      <c r="A162" s="4" t="str">
        <f>HYPERLINK("https://ibp.a2mac1.com/costing(costing:projects/details/9760/process/12083314)","Differential assembly")</f>
        <v>Differential assembly</v>
      </c>
      <c r="B162" t="s">
        <v>1790</v>
      </c>
      <c r="C162">
        <v>12083314</v>
      </c>
      <c r="D162">
        <v>8411656</v>
      </c>
      <c r="E162">
        <v>0</v>
      </c>
      <c r="F162">
        <v>0</v>
      </c>
      <c r="G162">
        <v>0</v>
      </c>
      <c r="H162">
        <v>0</v>
      </c>
      <c r="I162" t="s">
        <v>90</v>
      </c>
      <c r="J162">
        <v>0</v>
      </c>
      <c r="K162">
        <v>0</v>
      </c>
      <c r="L162">
        <v>0</v>
      </c>
      <c r="M162">
        <v>5.6249971701228514</v>
      </c>
      <c r="N162">
        <v>5.6249971701228514</v>
      </c>
      <c r="O162" t="s">
        <v>90</v>
      </c>
      <c r="P162">
        <v>0</v>
      </c>
      <c r="Q162" t="s">
        <v>90</v>
      </c>
      <c r="R162">
        <v>0</v>
      </c>
      <c r="S162" t="s">
        <v>90</v>
      </c>
      <c r="T162">
        <v>0</v>
      </c>
      <c r="U162">
        <v>5.6249971701228514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638</v>
      </c>
      <c r="AB162">
        <v>1</v>
      </c>
      <c r="AC162">
        <v>0</v>
      </c>
      <c r="AD162">
        <v>0</v>
      </c>
      <c r="AE162">
        <v>10800</v>
      </c>
      <c r="AF162">
        <v>200000</v>
      </c>
      <c r="AG162">
        <v>10000</v>
      </c>
      <c r="AH162">
        <v>1</v>
      </c>
      <c r="AI162">
        <v>1</v>
      </c>
      <c r="AJ162" t="s">
        <v>76</v>
      </c>
      <c r="AK162" t="s">
        <v>90</v>
      </c>
      <c r="AL162">
        <v>0</v>
      </c>
      <c r="AM162" t="s">
        <v>90</v>
      </c>
      <c r="AN162">
        <v>0</v>
      </c>
    </row>
    <row r="163" spans="1:40" x14ac:dyDescent="0.15">
      <c r="A163" s="4" t="str">
        <f>HYPERLINK("https://ibp.a2mac1.com/costing(costing:projects/details/9760/process/12083317)","Process")</f>
        <v>Process</v>
      </c>
      <c r="B163" t="s">
        <v>1809</v>
      </c>
      <c r="C163">
        <v>12083317</v>
      </c>
      <c r="D163">
        <v>8411697</v>
      </c>
      <c r="E163">
        <v>1.8232132333333333</v>
      </c>
      <c r="F163">
        <v>0</v>
      </c>
      <c r="G163">
        <v>0</v>
      </c>
      <c r="H163">
        <v>3.9420826666666664E-5</v>
      </c>
      <c r="I163" t="s">
        <v>176</v>
      </c>
      <c r="J163">
        <v>6.8986446666666673E-2</v>
      </c>
      <c r="K163">
        <v>1.8922391008266666</v>
      </c>
      <c r="L163">
        <v>1.2360431786648252</v>
      </c>
      <c r="M163">
        <v>7.4162590719889518</v>
      </c>
      <c r="N163">
        <v>9.308498172815618</v>
      </c>
      <c r="O163" t="s">
        <v>177</v>
      </c>
      <c r="P163">
        <v>0.1135343460496</v>
      </c>
      <c r="Q163" t="s">
        <v>177</v>
      </c>
      <c r="R163">
        <v>0.44497554431933711</v>
      </c>
      <c r="S163" t="s">
        <v>178</v>
      </c>
      <c r="T163">
        <v>1.1170197807378741</v>
      </c>
      <c r="U163">
        <v>10.98402784392243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702.07</v>
      </c>
      <c r="AB163">
        <v>1</v>
      </c>
      <c r="AC163">
        <v>0</v>
      </c>
      <c r="AD163">
        <v>1.9999600007999841E-3</v>
      </c>
      <c r="AE163">
        <v>10800</v>
      </c>
      <c r="AF163">
        <v>200000</v>
      </c>
      <c r="AG163">
        <v>16666.666666666668</v>
      </c>
      <c r="AH163">
        <v>1</v>
      </c>
      <c r="AI163">
        <v>1</v>
      </c>
      <c r="AJ163" t="s">
        <v>162</v>
      </c>
      <c r="AK163" t="s">
        <v>176</v>
      </c>
      <c r="AL163">
        <v>0</v>
      </c>
      <c r="AM163" t="s">
        <v>176</v>
      </c>
      <c r="AN163">
        <v>0</v>
      </c>
    </row>
    <row r="164" spans="1:40" x14ac:dyDescent="0.15">
      <c r="A164" s="4" t="str">
        <f>HYPERLINK("https://ibp.a2mac1.com/costing(costing:projects/details/9760/process/12083318)","Process")</f>
        <v>Process</v>
      </c>
      <c r="B164" t="s">
        <v>1845</v>
      </c>
      <c r="C164">
        <v>12083318</v>
      </c>
      <c r="D164">
        <v>8411712</v>
      </c>
      <c r="E164">
        <v>11.249107647162459</v>
      </c>
      <c r="F164">
        <v>0</v>
      </c>
      <c r="G164">
        <v>0</v>
      </c>
      <c r="H164">
        <v>2.3115396377607026E-4</v>
      </c>
      <c r="I164" t="s">
        <v>176</v>
      </c>
      <c r="J164">
        <v>0.40451943660812295</v>
      </c>
      <c r="K164">
        <v>11.653858237734358</v>
      </c>
      <c r="L164">
        <v>0.66197453248968063</v>
      </c>
      <c r="M164">
        <v>3.9718471949380838</v>
      </c>
      <c r="N164">
        <v>15.625705432672442</v>
      </c>
      <c r="O164" t="s">
        <v>177</v>
      </c>
      <c r="P164">
        <v>0.6992314942640615</v>
      </c>
      <c r="Q164" t="s">
        <v>177</v>
      </c>
      <c r="R164">
        <v>0.23831083169628503</v>
      </c>
      <c r="S164" t="s">
        <v>178</v>
      </c>
      <c r="T164">
        <v>1.875084651920693</v>
      </c>
      <c r="U164">
        <v>18.438332410553482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375.38</v>
      </c>
      <c r="AB164">
        <v>1</v>
      </c>
      <c r="AC164">
        <v>0</v>
      </c>
      <c r="AD164">
        <v>1.9999600007999841E-3</v>
      </c>
      <c r="AE164">
        <v>10800</v>
      </c>
      <c r="AF164">
        <v>200000</v>
      </c>
      <c r="AG164">
        <v>16666.666666666668</v>
      </c>
      <c r="AH164">
        <v>1</v>
      </c>
      <c r="AI164">
        <v>1</v>
      </c>
      <c r="AJ164" t="s">
        <v>162</v>
      </c>
      <c r="AK164" t="s">
        <v>176</v>
      </c>
      <c r="AL164">
        <v>0</v>
      </c>
      <c r="AM164" t="s">
        <v>176</v>
      </c>
      <c r="AN164">
        <v>0</v>
      </c>
    </row>
    <row r="165" spans="1:40" x14ac:dyDescent="0.15">
      <c r="A165" s="4" t="str">
        <f>HYPERLINK("https://ibp.a2mac1.com/costing(costing:projects/details/9760/process/12083312)","Final assembly")</f>
        <v>Final assembly</v>
      </c>
      <c r="B165" t="s">
        <v>1854</v>
      </c>
      <c r="C165">
        <v>12083312</v>
      </c>
      <c r="D165">
        <v>8411652</v>
      </c>
      <c r="E165">
        <v>0</v>
      </c>
      <c r="F165">
        <v>0</v>
      </c>
      <c r="G165">
        <v>0</v>
      </c>
      <c r="H165">
        <v>0</v>
      </c>
      <c r="I165" t="s">
        <v>176</v>
      </c>
      <c r="J165">
        <v>0</v>
      </c>
      <c r="K165">
        <v>0</v>
      </c>
      <c r="L165">
        <v>4.045954742616277</v>
      </c>
      <c r="M165">
        <v>14.160841599156971</v>
      </c>
      <c r="N165">
        <v>14.160841599156971</v>
      </c>
      <c r="O165" t="s">
        <v>90</v>
      </c>
      <c r="P165">
        <v>0</v>
      </c>
      <c r="Q165" t="s">
        <v>90</v>
      </c>
      <c r="R165">
        <v>0</v>
      </c>
      <c r="S165" t="s">
        <v>90</v>
      </c>
      <c r="T165">
        <v>0</v>
      </c>
      <c r="U165">
        <v>14.160841599156971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1129</v>
      </c>
      <c r="AB165">
        <v>1</v>
      </c>
      <c r="AC165">
        <v>0</v>
      </c>
      <c r="AD165">
        <v>0</v>
      </c>
      <c r="AE165">
        <v>108000</v>
      </c>
      <c r="AF165">
        <v>200000</v>
      </c>
      <c r="AG165">
        <v>10000</v>
      </c>
      <c r="AH165">
        <v>1</v>
      </c>
      <c r="AI165">
        <v>1</v>
      </c>
      <c r="AJ165" t="s">
        <v>76</v>
      </c>
      <c r="AK165" t="s">
        <v>176</v>
      </c>
      <c r="AL165">
        <v>0</v>
      </c>
      <c r="AM165" t="s">
        <v>176</v>
      </c>
      <c r="AN165">
        <v>0</v>
      </c>
    </row>
    <row r="166" spans="1:40" x14ac:dyDescent="0.15">
      <c r="A166" s="4" t="str">
        <f>HYPERLINK("https://ibp.a2mac1.com/costing(costing:projects/details/9760/process/12083319)","Process")</f>
        <v>Process</v>
      </c>
      <c r="B166" t="s">
        <v>1777</v>
      </c>
      <c r="C166">
        <v>12083319</v>
      </c>
      <c r="D166">
        <v>8411718</v>
      </c>
      <c r="E166">
        <v>3.1627168333333335</v>
      </c>
      <c r="F166">
        <v>0</v>
      </c>
      <c r="G166">
        <v>0</v>
      </c>
      <c r="H166">
        <v>6.8383066666666666E-5</v>
      </c>
      <c r="I166" t="s">
        <v>176</v>
      </c>
      <c r="J166">
        <v>0.11967036666666667</v>
      </c>
      <c r="K166">
        <v>3.2824555830666666</v>
      </c>
      <c r="L166">
        <v>2.001487917430381</v>
      </c>
      <c r="M166">
        <v>12.008927504582287</v>
      </c>
      <c r="N166">
        <v>15.291383087648954</v>
      </c>
      <c r="O166" t="s">
        <v>177</v>
      </c>
      <c r="P166">
        <v>0.19694733498399999</v>
      </c>
      <c r="Q166" t="s">
        <v>177</v>
      </c>
      <c r="R166">
        <v>0.72053565027493727</v>
      </c>
      <c r="S166" t="s">
        <v>178</v>
      </c>
      <c r="T166">
        <v>1.8349659705178745</v>
      </c>
      <c r="U166">
        <v>18.043832043425766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1125.6500000000001</v>
      </c>
      <c r="AB166">
        <v>1</v>
      </c>
      <c r="AC166">
        <v>0</v>
      </c>
      <c r="AD166">
        <v>1.9999600007999841E-3</v>
      </c>
      <c r="AE166">
        <v>108000</v>
      </c>
      <c r="AF166">
        <v>200000</v>
      </c>
      <c r="AG166">
        <v>16666.666666666668</v>
      </c>
      <c r="AH166">
        <v>1</v>
      </c>
      <c r="AI166">
        <v>1</v>
      </c>
      <c r="AJ166" t="s">
        <v>162</v>
      </c>
      <c r="AK166" t="s">
        <v>176</v>
      </c>
      <c r="AL166">
        <v>0</v>
      </c>
      <c r="AM166" t="s">
        <v>176</v>
      </c>
      <c r="AN166">
        <v>0</v>
      </c>
    </row>
    <row r="167" spans="1:40" x14ac:dyDescent="0.15">
      <c r="A167" s="4" t="str">
        <f>HYPERLINK("https://ibp.a2mac1.com/costing(costing:projects/details/9760/process/12083315)","Differential assembly")</f>
        <v>Differential assembly</v>
      </c>
      <c r="B167" t="s">
        <v>1854</v>
      </c>
      <c r="C167">
        <v>12083315</v>
      </c>
      <c r="D167">
        <v>8411670</v>
      </c>
      <c r="E167">
        <v>0</v>
      </c>
      <c r="F167">
        <v>0</v>
      </c>
      <c r="G167">
        <v>0</v>
      </c>
      <c r="H167">
        <v>0</v>
      </c>
      <c r="I167" t="s">
        <v>176</v>
      </c>
      <c r="J167">
        <v>0</v>
      </c>
      <c r="K167">
        <v>0</v>
      </c>
      <c r="L167">
        <v>2.4257181018891245</v>
      </c>
      <c r="M167">
        <v>8.4900133566119358</v>
      </c>
      <c r="N167">
        <v>8.4900133566119358</v>
      </c>
      <c r="O167" t="s">
        <v>90</v>
      </c>
      <c r="P167">
        <v>0</v>
      </c>
      <c r="Q167" t="s">
        <v>90</v>
      </c>
      <c r="R167">
        <v>0</v>
      </c>
      <c r="S167" t="s">
        <v>90</v>
      </c>
      <c r="T167">
        <v>0</v>
      </c>
      <c r="U167">
        <v>8.4900133566119358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688</v>
      </c>
      <c r="AB167">
        <v>1</v>
      </c>
      <c r="AC167">
        <v>0</v>
      </c>
      <c r="AD167">
        <v>0</v>
      </c>
      <c r="AE167">
        <v>10800</v>
      </c>
      <c r="AF167">
        <v>200000</v>
      </c>
      <c r="AG167">
        <v>10000</v>
      </c>
      <c r="AH167">
        <v>1</v>
      </c>
      <c r="AI167">
        <v>1</v>
      </c>
      <c r="AJ167" t="s">
        <v>76</v>
      </c>
      <c r="AK167" t="s">
        <v>176</v>
      </c>
      <c r="AL167">
        <v>0</v>
      </c>
      <c r="AM167" t="s">
        <v>176</v>
      </c>
      <c r="AN167">
        <v>0</v>
      </c>
    </row>
    <row r="168" spans="1:40" x14ac:dyDescent="0.15">
      <c r="A168" s="4" t="str">
        <f>HYPERLINK("https://ibp.a2mac1.com/costing(costing:projects/details/9760/process/12083320)","Process")</f>
        <v>Process</v>
      </c>
      <c r="B168" t="s">
        <v>1809</v>
      </c>
      <c r="C168">
        <v>12083320</v>
      </c>
      <c r="D168">
        <v>8411729</v>
      </c>
      <c r="E168">
        <v>1.9236760033333333</v>
      </c>
      <c r="F168">
        <v>0</v>
      </c>
      <c r="G168">
        <v>0</v>
      </c>
      <c r="H168">
        <v>4.159299466666667E-5</v>
      </c>
      <c r="I168" t="s">
        <v>176</v>
      </c>
      <c r="J168">
        <v>7.278774066666667E-2</v>
      </c>
      <c r="K168">
        <v>1.9965053369946666</v>
      </c>
      <c r="L168">
        <v>1.2206850104699898</v>
      </c>
      <c r="M168">
        <v>7.3241100628199396</v>
      </c>
      <c r="N168">
        <v>9.3206153998146064</v>
      </c>
      <c r="O168" t="s">
        <v>177</v>
      </c>
      <c r="P168">
        <v>0.11979032021968</v>
      </c>
      <c r="Q168" t="s">
        <v>177</v>
      </c>
      <c r="R168">
        <v>0.43944660376919636</v>
      </c>
      <c r="S168" t="s">
        <v>178</v>
      </c>
      <c r="T168">
        <v>1.1184738479777527</v>
      </c>
      <c r="U168">
        <v>10.998326171781235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693.33</v>
      </c>
      <c r="AB168">
        <v>1</v>
      </c>
      <c r="AC168">
        <v>0</v>
      </c>
      <c r="AD168">
        <v>1.9999600007999841E-3</v>
      </c>
      <c r="AE168">
        <v>10800</v>
      </c>
      <c r="AF168">
        <v>200000</v>
      </c>
      <c r="AG168">
        <v>16666.666666666668</v>
      </c>
      <c r="AH168">
        <v>1</v>
      </c>
      <c r="AI168">
        <v>1</v>
      </c>
      <c r="AJ168" t="s">
        <v>162</v>
      </c>
      <c r="AK168" t="s">
        <v>176</v>
      </c>
      <c r="AL168">
        <v>0</v>
      </c>
      <c r="AM168" t="s">
        <v>176</v>
      </c>
      <c r="AN168">
        <v>0</v>
      </c>
    </row>
    <row r="169" spans="1:40" x14ac:dyDescent="0.15">
      <c r="A169" s="4" t="str">
        <f>HYPERLINK("https://ibp.a2mac1.com/costing(costing:projects/details/9760/process/12083321)","Process")</f>
        <v>Process</v>
      </c>
      <c r="B169" t="s">
        <v>1845</v>
      </c>
      <c r="C169">
        <v>12083321</v>
      </c>
      <c r="D169">
        <v>8411745</v>
      </c>
      <c r="E169">
        <v>11.963129127672888</v>
      </c>
      <c r="F169">
        <v>0</v>
      </c>
      <c r="G169">
        <v>0</v>
      </c>
      <c r="H169">
        <v>2.4582614050493965E-4</v>
      </c>
      <c r="I169" t="s">
        <v>176</v>
      </c>
      <c r="J169">
        <v>0.43019574588364434</v>
      </c>
      <c r="K169">
        <v>12.393570699697037</v>
      </c>
      <c r="L169">
        <v>0.73528606304900912</v>
      </c>
      <c r="M169">
        <v>4.4117163782940549</v>
      </c>
      <c r="N169">
        <v>16.805287077991093</v>
      </c>
      <c r="O169" t="s">
        <v>177</v>
      </c>
      <c r="P169">
        <v>0.74361424198182213</v>
      </c>
      <c r="Q169" t="s">
        <v>177</v>
      </c>
      <c r="R169">
        <v>0.26470298269764331</v>
      </c>
      <c r="S169" t="s">
        <v>178</v>
      </c>
      <c r="T169">
        <v>2.0166344493589308</v>
      </c>
      <c r="U169">
        <v>19.830238752029487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417.1</v>
      </c>
      <c r="AB169">
        <v>1</v>
      </c>
      <c r="AC169">
        <v>0</v>
      </c>
      <c r="AD169">
        <v>1.9999600007999841E-3</v>
      </c>
      <c r="AE169">
        <v>10800</v>
      </c>
      <c r="AF169">
        <v>200000</v>
      </c>
      <c r="AG169">
        <v>16666.666666666668</v>
      </c>
      <c r="AH169">
        <v>1</v>
      </c>
      <c r="AI169">
        <v>1</v>
      </c>
      <c r="AJ169" t="s">
        <v>162</v>
      </c>
      <c r="AK169" t="s">
        <v>176</v>
      </c>
      <c r="AL169">
        <v>0</v>
      </c>
      <c r="AM169" t="s">
        <v>176</v>
      </c>
      <c r="AN169">
        <v>0</v>
      </c>
    </row>
    <row r="170" spans="1:40" x14ac:dyDescent="0.15">
      <c r="A170" s="4" t="str">
        <f>HYPERLINK("https://ibp.a2mac1.com/costing(costing:projects/details/9760/process/12083313)","Final assembly")</f>
        <v>Final assembly</v>
      </c>
      <c r="B170" t="s">
        <v>1854</v>
      </c>
      <c r="C170">
        <v>12083313</v>
      </c>
      <c r="D170">
        <v>8411654</v>
      </c>
      <c r="E170">
        <v>0</v>
      </c>
      <c r="F170">
        <v>0</v>
      </c>
      <c r="G170">
        <v>0</v>
      </c>
      <c r="H170">
        <v>0</v>
      </c>
      <c r="I170" t="s">
        <v>176</v>
      </c>
      <c r="J170">
        <v>0</v>
      </c>
      <c r="K170">
        <v>0</v>
      </c>
      <c r="L170">
        <v>4.045954742616277</v>
      </c>
      <c r="M170">
        <v>14.160841599156971</v>
      </c>
      <c r="N170">
        <v>14.160841599156971</v>
      </c>
      <c r="O170" t="s">
        <v>90</v>
      </c>
      <c r="P170">
        <v>0</v>
      </c>
      <c r="Q170" t="s">
        <v>90</v>
      </c>
      <c r="R170">
        <v>0</v>
      </c>
      <c r="S170" t="s">
        <v>90</v>
      </c>
      <c r="T170">
        <v>0</v>
      </c>
      <c r="U170">
        <v>14.160841599156971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1129</v>
      </c>
      <c r="AB170">
        <v>1</v>
      </c>
      <c r="AC170">
        <v>0</v>
      </c>
      <c r="AD170">
        <v>0</v>
      </c>
      <c r="AE170">
        <v>108000</v>
      </c>
      <c r="AF170">
        <v>200000</v>
      </c>
      <c r="AG170">
        <v>10000</v>
      </c>
      <c r="AH170">
        <v>1</v>
      </c>
      <c r="AI170">
        <v>1</v>
      </c>
      <c r="AJ170" t="s">
        <v>76</v>
      </c>
      <c r="AK170" t="s">
        <v>176</v>
      </c>
      <c r="AL170">
        <v>0</v>
      </c>
      <c r="AM170" t="s">
        <v>176</v>
      </c>
      <c r="AN170">
        <v>0</v>
      </c>
    </row>
    <row r="171" spans="1:40" x14ac:dyDescent="0.15">
      <c r="A171" s="4" t="str">
        <f>HYPERLINK("https://ibp.a2mac1.com/costing(costing:projects/details/9760/process/12083818)","Automated Process")</f>
        <v>Automated Process</v>
      </c>
      <c r="B171" t="s">
        <v>1951</v>
      </c>
      <c r="C171">
        <v>12083818</v>
      </c>
      <c r="D171">
        <v>8412585</v>
      </c>
      <c r="E171">
        <v>3.6</v>
      </c>
      <c r="F171">
        <v>0</v>
      </c>
      <c r="G171">
        <v>0</v>
      </c>
      <c r="H171">
        <v>1.8216E-2</v>
      </c>
      <c r="I171" t="s">
        <v>176</v>
      </c>
      <c r="J171">
        <v>0.126</v>
      </c>
      <c r="K171">
        <v>3.7442160000000002</v>
      </c>
      <c r="L171">
        <v>7.3001655492941783E-2</v>
      </c>
      <c r="M171">
        <v>0.43800993295765073</v>
      </c>
      <c r="N171">
        <v>4.1822259329576505</v>
      </c>
      <c r="O171" t="s">
        <v>90</v>
      </c>
      <c r="P171">
        <v>0</v>
      </c>
      <c r="Q171" t="s">
        <v>90</v>
      </c>
      <c r="R171">
        <v>0</v>
      </c>
      <c r="S171" t="s">
        <v>90</v>
      </c>
      <c r="T171">
        <v>0</v>
      </c>
      <c r="U171">
        <v>4.1822259329576505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40</v>
      </c>
      <c r="AB171">
        <v>1</v>
      </c>
      <c r="AC171">
        <v>0.5</v>
      </c>
      <c r="AD171">
        <v>0.50345253019720215</v>
      </c>
      <c r="AE171">
        <v>10800</v>
      </c>
      <c r="AF171">
        <v>200000</v>
      </c>
      <c r="AG171">
        <v>16666.666666666668</v>
      </c>
      <c r="AH171">
        <v>1</v>
      </c>
      <c r="AI171">
        <v>1</v>
      </c>
      <c r="AJ171" t="s">
        <v>162</v>
      </c>
      <c r="AK171" t="s">
        <v>176</v>
      </c>
      <c r="AL171">
        <v>0</v>
      </c>
      <c r="AM171" t="s">
        <v>176</v>
      </c>
      <c r="AN171">
        <v>0</v>
      </c>
    </row>
    <row r="172" spans="1:40" x14ac:dyDescent="0.15">
      <c r="A172" s="4" t="str">
        <f>HYPERLINK("https://ibp.a2mac1.com/costing(costing:projects/details/9760/process/12083819)","Automated Process")</f>
        <v>Automated Process</v>
      </c>
      <c r="B172" t="s">
        <v>1956</v>
      </c>
      <c r="C172">
        <v>12083819</v>
      </c>
      <c r="D172">
        <v>8412586</v>
      </c>
      <c r="E172">
        <v>0.18</v>
      </c>
      <c r="F172">
        <v>0</v>
      </c>
      <c r="G172">
        <v>0</v>
      </c>
      <c r="H172">
        <v>9.1080000000000002E-4</v>
      </c>
      <c r="I172" t="s">
        <v>176</v>
      </c>
      <c r="J172">
        <v>6.3E-3</v>
      </c>
      <c r="K172">
        <v>0.18721080000000001</v>
      </c>
      <c r="L172">
        <v>9.422641154184605E-3</v>
      </c>
      <c r="M172">
        <v>5.653584692510763E-2</v>
      </c>
      <c r="N172">
        <v>0.24374664692510764</v>
      </c>
      <c r="O172" t="s">
        <v>90</v>
      </c>
      <c r="P172">
        <v>0</v>
      </c>
      <c r="Q172" t="s">
        <v>90</v>
      </c>
      <c r="R172">
        <v>0</v>
      </c>
      <c r="S172" t="s">
        <v>90</v>
      </c>
      <c r="T172">
        <v>0</v>
      </c>
      <c r="U172">
        <v>0.24374664692510764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</v>
      </c>
      <c r="AB172">
        <v>1</v>
      </c>
      <c r="AC172">
        <v>0.5</v>
      </c>
      <c r="AD172">
        <v>0.50345253019720215</v>
      </c>
      <c r="AE172">
        <v>10800</v>
      </c>
      <c r="AF172">
        <v>200000</v>
      </c>
      <c r="AG172">
        <v>16666.666666666668</v>
      </c>
      <c r="AH172">
        <v>1</v>
      </c>
      <c r="AI172">
        <v>1</v>
      </c>
      <c r="AJ172" t="s">
        <v>162</v>
      </c>
      <c r="AK172" t="s">
        <v>176</v>
      </c>
      <c r="AL172">
        <v>0</v>
      </c>
      <c r="AM172" t="s">
        <v>176</v>
      </c>
      <c r="AN172">
        <v>0</v>
      </c>
    </row>
    <row r="173" spans="1:40" x14ac:dyDescent="0.15">
      <c r="A173" s="4" t="str">
        <f>HYPERLINK("https://ibp.a2mac1.com/costing(costing:projects/details/9760/process/12083820)","Automated Process")</f>
        <v>Automated Process</v>
      </c>
      <c r="B173" t="s">
        <v>1965</v>
      </c>
      <c r="C173">
        <v>12083820</v>
      </c>
      <c r="D173">
        <v>8412589</v>
      </c>
      <c r="E173">
        <v>0.4</v>
      </c>
      <c r="F173">
        <v>0</v>
      </c>
      <c r="G173">
        <v>0</v>
      </c>
      <c r="H173">
        <v>2.0240000000000002E-3</v>
      </c>
      <c r="I173" t="s">
        <v>176</v>
      </c>
      <c r="J173">
        <v>1.4E-2</v>
      </c>
      <c r="K173">
        <v>0.416024</v>
      </c>
      <c r="L173">
        <v>0.13128241863680254</v>
      </c>
      <c r="M173">
        <v>0.78769451182081529</v>
      </c>
      <c r="N173">
        <v>1.2037185118208154</v>
      </c>
      <c r="O173" t="s">
        <v>90</v>
      </c>
      <c r="P173">
        <v>0</v>
      </c>
      <c r="Q173" t="s">
        <v>90</v>
      </c>
      <c r="R173">
        <v>0</v>
      </c>
      <c r="S173" t="s">
        <v>90</v>
      </c>
      <c r="T173">
        <v>0</v>
      </c>
      <c r="U173">
        <v>1.2037185118208154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73</v>
      </c>
      <c r="AB173">
        <v>1</v>
      </c>
      <c r="AC173">
        <v>0.5</v>
      </c>
      <c r="AD173">
        <v>0.50345253019720215</v>
      </c>
      <c r="AE173">
        <v>10800</v>
      </c>
      <c r="AF173">
        <v>200000</v>
      </c>
      <c r="AG173">
        <v>16666.666666666668</v>
      </c>
      <c r="AH173">
        <v>1</v>
      </c>
      <c r="AI173">
        <v>1</v>
      </c>
      <c r="AJ173" t="s">
        <v>162</v>
      </c>
      <c r="AK173" t="s">
        <v>176</v>
      </c>
      <c r="AL173">
        <v>0</v>
      </c>
      <c r="AM173" t="s">
        <v>176</v>
      </c>
      <c r="AN173">
        <v>0</v>
      </c>
    </row>
    <row r="174" spans="1:40" x14ac:dyDescent="0.15">
      <c r="A174" s="4" t="str">
        <f>HYPERLINK("https://ibp.a2mac1.com/costing(costing:projects/details/9760/process/12083821)","Automated Process")</f>
        <v>Automated Process</v>
      </c>
      <c r="B174" t="s">
        <v>794</v>
      </c>
      <c r="C174">
        <v>12083821</v>
      </c>
      <c r="D174">
        <v>8412590</v>
      </c>
      <c r="E174">
        <v>0.29128999999999999</v>
      </c>
      <c r="F174">
        <v>0</v>
      </c>
      <c r="G174">
        <v>0</v>
      </c>
      <c r="H174">
        <v>1.4739274E-3</v>
      </c>
      <c r="I174" t="s">
        <v>176</v>
      </c>
      <c r="J174">
        <v>1.019515E-2</v>
      </c>
      <c r="K174">
        <v>0.3029590774</v>
      </c>
      <c r="L174">
        <v>3.2381729665402474E-2</v>
      </c>
      <c r="M174">
        <v>0.19429037799241486</v>
      </c>
      <c r="N174">
        <v>0.49724945539241489</v>
      </c>
      <c r="O174" t="s">
        <v>177</v>
      </c>
      <c r="P174">
        <v>1.8177544644E-2</v>
      </c>
      <c r="Q174" t="s">
        <v>177</v>
      </c>
      <c r="R174">
        <v>1.1657422679544891E-2</v>
      </c>
      <c r="S174" t="s">
        <v>178</v>
      </c>
      <c r="T174">
        <v>5.9669934647089785E-2</v>
      </c>
      <c r="U174">
        <v>0.58675435736304959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17</v>
      </c>
      <c r="AB174">
        <v>1</v>
      </c>
      <c r="AC174">
        <v>0.5</v>
      </c>
      <c r="AD174">
        <v>0.50345253019720215</v>
      </c>
      <c r="AE174">
        <v>10800</v>
      </c>
      <c r="AF174">
        <v>200000</v>
      </c>
      <c r="AG174">
        <v>16666.666666666668</v>
      </c>
      <c r="AH174">
        <v>1</v>
      </c>
      <c r="AI174">
        <v>1</v>
      </c>
      <c r="AJ174" t="s">
        <v>162</v>
      </c>
      <c r="AK174" t="s">
        <v>176</v>
      </c>
      <c r="AL174">
        <v>0</v>
      </c>
      <c r="AM174" t="s">
        <v>176</v>
      </c>
      <c r="AN174">
        <v>0</v>
      </c>
    </row>
    <row r="175" spans="1:40" x14ac:dyDescent="0.15">
      <c r="A175" s="4" t="str">
        <f>HYPERLINK("https://ibp.a2mac1.com/costing(costing:projects/details/9760/process/12083822)","Automated Process")</f>
        <v>Automated Process</v>
      </c>
      <c r="B175" t="s">
        <v>794</v>
      </c>
      <c r="C175">
        <v>12083822</v>
      </c>
      <c r="D175">
        <v>8412591</v>
      </c>
      <c r="E175">
        <v>0.52</v>
      </c>
      <c r="F175">
        <v>0</v>
      </c>
      <c r="G175">
        <v>0</v>
      </c>
      <c r="H175">
        <v>2.6312000000000002E-3</v>
      </c>
      <c r="I175" t="s">
        <v>176</v>
      </c>
      <c r="J175">
        <v>1.8200000000000001E-2</v>
      </c>
      <c r="K175">
        <v>0.54083119999999996</v>
      </c>
      <c r="L175">
        <v>2.7083478470506045E-2</v>
      </c>
      <c r="M175">
        <v>0.16250087082303627</v>
      </c>
      <c r="N175">
        <v>0.70333207082303628</v>
      </c>
      <c r="O175" t="s">
        <v>90</v>
      </c>
      <c r="P175">
        <v>0</v>
      </c>
      <c r="Q175" t="s">
        <v>90</v>
      </c>
      <c r="R175">
        <v>0</v>
      </c>
      <c r="S175" t="s">
        <v>90</v>
      </c>
      <c r="T175">
        <v>0</v>
      </c>
      <c r="U175">
        <v>0.70333207082303628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14</v>
      </c>
      <c r="AB175">
        <v>1</v>
      </c>
      <c r="AC175">
        <v>0.5</v>
      </c>
      <c r="AD175">
        <v>0.50345253019720215</v>
      </c>
      <c r="AE175">
        <v>10800</v>
      </c>
      <c r="AF175">
        <v>200000</v>
      </c>
      <c r="AG175">
        <v>16666.666666666668</v>
      </c>
      <c r="AH175">
        <v>1</v>
      </c>
      <c r="AI175">
        <v>1</v>
      </c>
      <c r="AJ175" t="s">
        <v>162</v>
      </c>
      <c r="AK175" t="s">
        <v>176</v>
      </c>
      <c r="AL175">
        <v>0</v>
      </c>
      <c r="AM175" t="s">
        <v>176</v>
      </c>
      <c r="AN175">
        <v>0</v>
      </c>
    </row>
    <row r="176" spans="1:40" x14ac:dyDescent="0.15">
      <c r="A176" s="4" t="str">
        <f>HYPERLINK("https://ibp.a2mac1.com/costing(costing:projects/details/9760/process/12083823)","Automated Process")</f>
        <v>Automated Process</v>
      </c>
      <c r="B176" t="s">
        <v>794</v>
      </c>
      <c r="C176">
        <v>12083823</v>
      </c>
      <c r="D176">
        <v>8412592</v>
      </c>
      <c r="E176">
        <v>0.34342</v>
      </c>
      <c r="F176">
        <v>0</v>
      </c>
      <c r="G176">
        <v>0</v>
      </c>
      <c r="H176">
        <v>1.7377052E-3</v>
      </c>
      <c r="I176" t="s">
        <v>176</v>
      </c>
      <c r="J176">
        <v>1.2019699999999999E-2</v>
      </c>
      <c r="K176">
        <v>0.35717740520000002</v>
      </c>
      <c r="L176">
        <v>3.767998086029891E-2</v>
      </c>
      <c r="M176">
        <v>0.22607988516179345</v>
      </c>
      <c r="N176">
        <v>0.58325729036179341</v>
      </c>
      <c r="O176" t="s">
        <v>90</v>
      </c>
      <c r="P176">
        <v>0</v>
      </c>
      <c r="Q176" t="s">
        <v>90</v>
      </c>
      <c r="R176">
        <v>0</v>
      </c>
      <c r="S176" t="s">
        <v>90</v>
      </c>
      <c r="T176">
        <v>0</v>
      </c>
      <c r="U176">
        <v>0.58325729036179341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20</v>
      </c>
      <c r="AB176">
        <v>1</v>
      </c>
      <c r="AC176">
        <v>0.5</v>
      </c>
      <c r="AD176">
        <v>0.50345253019720215</v>
      </c>
      <c r="AE176">
        <v>10800</v>
      </c>
      <c r="AF176">
        <v>200000</v>
      </c>
      <c r="AG176">
        <v>16666.666666666668</v>
      </c>
      <c r="AH176">
        <v>1</v>
      </c>
      <c r="AI176">
        <v>1</v>
      </c>
      <c r="AJ176" t="s">
        <v>162</v>
      </c>
      <c r="AK176" t="s">
        <v>176</v>
      </c>
      <c r="AL176">
        <v>0</v>
      </c>
      <c r="AM176" t="s">
        <v>176</v>
      </c>
      <c r="AN176">
        <v>0</v>
      </c>
    </row>
    <row r="177" spans="1:40" x14ac:dyDescent="0.15">
      <c r="A177" s="4" t="str">
        <f>HYPERLINK("https://ibp.a2mac1.com/costing(costing:projects/details/9760/process/12083942)","Automated Process")</f>
        <v>Automated Process</v>
      </c>
      <c r="B177" t="s">
        <v>794</v>
      </c>
      <c r="C177">
        <v>12083942</v>
      </c>
      <c r="D177">
        <v>8412696</v>
      </c>
      <c r="E177">
        <v>0.1</v>
      </c>
      <c r="F177">
        <v>0</v>
      </c>
      <c r="G177">
        <v>0</v>
      </c>
      <c r="H177">
        <v>5.0299999999999997E-4</v>
      </c>
      <c r="I177" t="s">
        <v>176</v>
      </c>
      <c r="J177">
        <v>3.5000000000000001E-3</v>
      </c>
      <c r="K177">
        <v>0.104003</v>
      </c>
      <c r="L177">
        <v>4.7111799490528695E-3</v>
      </c>
      <c r="M177">
        <v>2.8267079694317215E-2</v>
      </c>
      <c r="N177">
        <v>0.13227007969431723</v>
      </c>
      <c r="O177" t="s">
        <v>90</v>
      </c>
      <c r="P177">
        <v>0</v>
      </c>
      <c r="Q177" t="s">
        <v>90</v>
      </c>
      <c r="R177">
        <v>0</v>
      </c>
      <c r="S177" t="s">
        <v>90</v>
      </c>
      <c r="T177">
        <v>0</v>
      </c>
      <c r="U177">
        <v>0.13227007969431723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</v>
      </c>
      <c r="AB177">
        <v>1</v>
      </c>
      <c r="AC177">
        <v>0.5</v>
      </c>
      <c r="AD177">
        <v>0.50048257265952256</v>
      </c>
      <c r="AE177">
        <v>10800</v>
      </c>
      <c r="AF177">
        <v>400000</v>
      </c>
      <c r="AG177">
        <v>33333.333333333336</v>
      </c>
      <c r="AH177">
        <v>1</v>
      </c>
      <c r="AI177">
        <v>1</v>
      </c>
      <c r="AJ177" t="s">
        <v>162</v>
      </c>
      <c r="AK177" t="s">
        <v>176</v>
      </c>
      <c r="AL177">
        <v>0</v>
      </c>
      <c r="AM177" t="s">
        <v>176</v>
      </c>
      <c r="AN177">
        <v>0</v>
      </c>
    </row>
    <row r="178" spans="1:40" x14ac:dyDescent="0.15">
      <c r="A178" s="4" t="str">
        <f>HYPERLINK("https://ibp.a2mac1.com/costing(costing:projects/details/9760/process/12083943)","Automated Process")</f>
        <v>Automated Process</v>
      </c>
      <c r="B178" t="s">
        <v>1987</v>
      </c>
      <c r="C178">
        <v>12083943</v>
      </c>
      <c r="D178">
        <v>8412697</v>
      </c>
      <c r="E178">
        <v>14.81</v>
      </c>
      <c r="F178">
        <v>0</v>
      </c>
      <c r="G178">
        <v>0</v>
      </c>
      <c r="H178">
        <v>7.4938599999999994E-2</v>
      </c>
      <c r="I178" t="s">
        <v>176</v>
      </c>
      <c r="J178">
        <v>0.51834999999999998</v>
      </c>
      <c r="K178">
        <v>15.4032886</v>
      </c>
      <c r="L178">
        <v>0.369703722407142</v>
      </c>
      <c r="M178">
        <v>2.218222334442852</v>
      </c>
      <c r="N178">
        <v>17.621510934442853</v>
      </c>
      <c r="O178" t="s">
        <v>90</v>
      </c>
      <c r="P178">
        <v>0</v>
      </c>
      <c r="Q178" t="s">
        <v>90</v>
      </c>
      <c r="R178">
        <v>0</v>
      </c>
      <c r="S178" t="s">
        <v>90</v>
      </c>
      <c r="T178">
        <v>0</v>
      </c>
      <c r="U178">
        <v>17.621510934442853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208</v>
      </c>
      <c r="AB178">
        <v>1</v>
      </c>
      <c r="AC178">
        <v>0.5</v>
      </c>
      <c r="AD178">
        <v>0.50345253019720215</v>
      </c>
      <c r="AE178">
        <v>10800</v>
      </c>
      <c r="AF178">
        <v>200000</v>
      </c>
      <c r="AG178">
        <v>16666.666666666668</v>
      </c>
      <c r="AH178">
        <v>1</v>
      </c>
      <c r="AI178">
        <v>1</v>
      </c>
      <c r="AJ178" t="s">
        <v>162</v>
      </c>
      <c r="AK178" t="s">
        <v>176</v>
      </c>
      <c r="AL178">
        <v>0</v>
      </c>
      <c r="AM178" t="s">
        <v>176</v>
      </c>
      <c r="AN178">
        <v>0</v>
      </c>
    </row>
    <row r="179" spans="1:40" x14ac:dyDescent="0.15">
      <c r="A179" s="4" t="str">
        <f>HYPERLINK("https://ibp.a2mac1.com/costing(costing:projects/details/9760/process/12083944)","Automated Process")</f>
        <v>Automated Process</v>
      </c>
      <c r="B179" t="s">
        <v>1992</v>
      </c>
      <c r="C179">
        <v>12083944</v>
      </c>
      <c r="D179">
        <v>8412698</v>
      </c>
      <c r="E179">
        <v>0.89</v>
      </c>
      <c r="F179">
        <v>0</v>
      </c>
      <c r="G179">
        <v>0</v>
      </c>
      <c r="H179">
        <v>4.5034000000000003E-3</v>
      </c>
      <c r="I179" t="s">
        <v>176</v>
      </c>
      <c r="J179">
        <v>3.1150000000000001E-2</v>
      </c>
      <c r="K179">
        <v>0.92565339999999996</v>
      </c>
      <c r="L179">
        <v>0.1454110884898597</v>
      </c>
      <c r="M179">
        <v>0.87246653093915816</v>
      </c>
      <c r="N179">
        <v>1.7981199309391582</v>
      </c>
      <c r="O179" t="s">
        <v>90</v>
      </c>
      <c r="P179">
        <v>0</v>
      </c>
      <c r="Q179" t="s">
        <v>90</v>
      </c>
      <c r="R179">
        <v>0</v>
      </c>
      <c r="S179" t="s">
        <v>90</v>
      </c>
      <c r="T179">
        <v>0</v>
      </c>
      <c r="U179">
        <v>1.7981199309391582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81</v>
      </c>
      <c r="AB179">
        <v>1</v>
      </c>
      <c r="AC179">
        <v>0.5</v>
      </c>
      <c r="AD179">
        <v>0.50345253019720215</v>
      </c>
      <c r="AE179">
        <v>10800</v>
      </c>
      <c r="AF179">
        <v>200000</v>
      </c>
      <c r="AG179">
        <v>16666.666666666668</v>
      </c>
      <c r="AH179">
        <v>1</v>
      </c>
      <c r="AI179">
        <v>1</v>
      </c>
      <c r="AJ179" t="s">
        <v>162</v>
      </c>
      <c r="AK179" t="s">
        <v>176</v>
      </c>
      <c r="AL179">
        <v>0</v>
      </c>
      <c r="AM179" t="s">
        <v>176</v>
      </c>
      <c r="AN179">
        <v>0</v>
      </c>
    </row>
    <row r="180" spans="1:40" x14ac:dyDescent="0.15">
      <c r="A180" s="4" t="str">
        <f>HYPERLINK("https://ibp.a2mac1.com/costing(costing:projects/details/9760/process/12083945)","Automated Process")</f>
        <v>Automated Process</v>
      </c>
      <c r="B180" t="s">
        <v>1996</v>
      </c>
      <c r="C180">
        <v>12083945</v>
      </c>
      <c r="D180">
        <v>8412699</v>
      </c>
      <c r="E180">
        <v>0.51</v>
      </c>
      <c r="F180">
        <v>0</v>
      </c>
      <c r="G180">
        <v>0</v>
      </c>
      <c r="H180">
        <v>2.5806000000000002E-3</v>
      </c>
      <c r="I180" t="s">
        <v>176</v>
      </c>
      <c r="J180">
        <v>1.7850000000000001E-2</v>
      </c>
      <c r="K180">
        <v>0.53043059999999997</v>
      </c>
      <c r="L180">
        <v>0.15777367461128469</v>
      </c>
      <c r="M180">
        <v>0.94664204766770821</v>
      </c>
      <c r="N180">
        <v>1.4770726476677083</v>
      </c>
      <c r="O180" t="s">
        <v>90</v>
      </c>
      <c r="P180">
        <v>0</v>
      </c>
      <c r="Q180" t="s">
        <v>90</v>
      </c>
      <c r="R180">
        <v>0</v>
      </c>
      <c r="S180" t="s">
        <v>90</v>
      </c>
      <c r="T180">
        <v>0</v>
      </c>
      <c r="U180">
        <v>1.4770726476677083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88</v>
      </c>
      <c r="AB180">
        <v>1</v>
      </c>
      <c r="AC180">
        <v>0.5</v>
      </c>
      <c r="AD180">
        <v>0.50345253019720215</v>
      </c>
      <c r="AE180">
        <v>10800</v>
      </c>
      <c r="AF180">
        <v>200000</v>
      </c>
      <c r="AG180">
        <v>16666.666666666668</v>
      </c>
      <c r="AH180">
        <v>1</v>
      </c>
      <c r="AI180">
        <v>1</v>
      </c>
      <c r="AJ180" t="s">
        <v>162</v>
      </c>
      <c r="AK180" t="s">
        <v>176</v>
      </c>
      <c r="AL180">
        <v>0</v>
      </c>
      <c r="AM180" t="s">
        <v>176</v>
      </c>
      <c r="AN180">
        <v>0</v>
      </c>
    </row>
    <row r="181" spans="1:40" x14ac:dyDescent="0.15">
      <c r="A181" s="4" t="str">
        <f>HYPERLINK("https://ibp.a2mac1.com/costing(costing:projects/details/9760/process/12083946)","Automated Process")</f>
        <v>Automated Process</v>
      </c>
      <c r="B181" t="s">
        <v>1992</v>
      </c>
      <c r="C181">
        <v>12083946</v>
      </c>
      <c r="D181">
        <v>8412700</v>
      </c>
      <c r="E181">
        <v>0.1</v>
      </c>
      <c r="F181">
        <v>0</v>
      </c>
      <c r="G181">
        <v>0</v>
      </c>
      <c r="H181">
        <v>5.0600000000000005E-4</v>
      </c>
      <c r="I181" t="s">
        <v>176</v>
      </c>
      <c r="J181">
        <v>3.5000000000000001E-3</v>
      </c>
      <c r="K181">
        <v>0.104006</v>
      </c>
      <c r="L181">
        <v>2.5317394738873903E-2</v>
      </c>
      <c r="M181">
        <v>0.1519043684332434</v>
      </c>
      <c r="N181">
        <v>0.25591036843324338</v>
      </c>
      <c r="O181" t="s">
        <v>90</v>
      </c>
      <c r="P181">
        <v>0</v>
      </c>
      <c r="Q181" t="s">
        <v>90</v>
      </c>
      <c r="R181">
        <v>0</v>
      </c>
      <c r="S181" t="s">
        <v>90</v>
      </c>
      <c r="T181">
        <v>0</v>
      </c>
      <c r="U181">
        <v>0.25591036843324338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13</v>
      </c>
      <c r="AB181">
        <v>1</v>
      </c>
      <c r="AC181">
        <v>0.5</v>
      </c>
      <c r="AD181">
        <v>0.50345253019720215</v>
      </c>
      <c r="AE181">
        <v>10800</v>
      </c>
      <c r="AF181">
        <v>200000</v>
      </c>
      <c r="AG181">
        <v>16666.666666666668</v>
      </c>
      <c r="AH181">
        <v>1</v>
      </c>
      <c r="AI181">
        <v>1</v>
      </c>
      <c r="AJ181" t="s">
        <v>162</v>
      </c>
      <c r="AK181" t="s">
        <v>176</v>
      </c>
      <c r="AL181">
        <v>0</v>
      </c>
      <c r="AM181" t="s">
        <v>176</v>
      </c>
      <c r="AN181">
        <v>0</v>
      </c>
    </row>
    <row r="182" spans="1:40" x14ac:dyDescent="0.15">
      <c r="A182" s="4" t="str">
        <f>HYPERLINK("https://ibp.a2mac1.com/costing(costing:projects/details/9760/process/12083947)","Automated Process")</f>
        <v>Automated Process</v>
      </c>
      <c r="B182" t="s">
        <v>794</v>
      </c>
      <c r="C182">
        <v>12083947</v>
      </c>
      <c r="D182">
        <v>8412701</v>
      </c>
      <c r="E182">
        <v>0.04</v>
      </c>
      <c r="F182">
        <v>0</v>
      </c>
      <c r="G182">
        <v>0</v>
      </c>
      <c r="H182">
        <v>2.0239999999999999E-4</v>
      </c>
      <c r="I182" t="s">
        <v>176</v>
      </c>
      <c r="J182">
        <v>1.4E-3</v>
      </c>
      <c r="K182">
        <v>4.1602399999999998E-2</v>
      </c>
      <c r="L182">
        <v>5.8904736909203177E-3</v>
      </c>
      <c r="M182">
        <v>3.5342842145521906E-2</v>
      </c>
      <c r="N182">
        <v>7.6945242145521897E-2</v>
      </c>
      <c r="O182" t="s">
        <v>90</v>
      </c>
      <c r="P182">
        <v>0</v>
      </c>
      <c r="Q182" t="s">
        <v>90</v>
      </c>
      <c r="R182">
        <v>0</v>
      </c>
      <c r="S182" t="s">
        <v>90</v>
      </c>
      <c r="T182">
        <v>0</v>
      </c>
      <c r="U182">
        <v>7.6945242145521897E-2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1</v>
      </c>
      <c r="AC182">
        <v>0.5</v>
      </c>
      <c r="AD182">
        <v>0.50345253019720215</v>
      </c>
      <c r="AE182">
        <v>10800</v>
      </c>
      <c r="AF182">
        <v>200000</v>
      </c>
      <c r="AG182">
        <v>16666.666666666668</v>
      </c>
      <c r="AH182">
        <v>1</v>
      </c>
      <c r="AI182">
        <v>1</v>
      </c>
      <c r="AJ182" t="s">
        <v>162</v>
      </c>
      <c r="AK182" t="s">
        <v>176</v>
      </c>
      <c r="AL182">
        <v>0</v>
      </c>
      <c r="AM182" t="s">
        <v>176</v>
      </c>
      <c r="AN182">
        <v>0</v>
      </c>
    </row>
    <row r="183" spans="1:40" x14ac:dyDescent="0.15">
      <c r="A183" s="4" t="str">
        <f>HYPERLINK("https://ibp.a2mac1.com/costing(costing:projects/details/9760/process/12083948)","Automated Process")</f>
        <v>Automated Process</v>
      </c>
      <c r="B183" t="s">
        <v>2007</v>
      </c>
      <c r="C183">
        <v>12083948</v>
      </c>
      <c r="D183">
        <v>8412702</v>
      </c>
      <c r="E183">
        <v>7.0000000000000007E-2</v>
      </c>
      <c r="F183">
        <v>0</v>
      </c>
      <c r="G183">
        <v>0</v>
      </c>
      <c r="H183">
        <v>3.5419999999999999E-4</v>
      </c>
      <c r="I183" t="s">
        <v>176</v>
      </c>
      <c r="J183">
        <v>2.4499999999999999E-3</v>
      </c>
      <c r="K183">
        <v>7.2804199999999999E-2</v>
      </c>
      <c r="L183">
        <v>9.422641154184605E-3</v>
      </c>
      <c r="M183">
        <v>5.653584692510763E-2</v>
      </c>
      <c r="N183">
        <v>0.12934004692510764</v>
      </c>
      <c r="O183" t="s">
        <v>90</v>
      </c>
      <c r="P183">
        <v>0</v>
      </c>
      <c r="Q183" t="s">
        <v>90</v>
      </c>
      <c r="R183">
        <v>0</v>
      </c>
      <c r="S183" t="s">
        <v>90</v>
      </c>
      <c r="T183">
        <v>0</v>
      </c>
      <c r="U183">
        <v>0.12934004692510764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</v>
      </c>
      <c r="AB183">
        <v>1</v>
      </c>
      <c r="AC183">
        <v>0.5</v>
      </c>
      <c r="AD183">
        <v>0.50345253019720215</v>
      </c>
      <c r="AE183">
        <v>10800</v>
      </c>
      <c r="AF183">
        <v>200000</v>
      </c>
      <c r="AG183">
        <v>16666.666666666668</v>
      </c>
      <c r="AH183">
        <v>1</v>
      </c>
      <c r="AI183">
        <v>1</v>
      </c>
      <c r="AJ183" t="s">
        <v>162</v>
      </c>
      <c r="AK183" t="s">
        <v>176</v>
      </c>
      <c r="AL183">
        <v>0</v>
      </c>
      <c r="AM183" t="s">
        <v>176</v>
      </c>
      <c r="AN183">
        <v>0</v>
      </c>
    </row>
    <row r="184" spans="1:40" x14ac:dyDescent="0.15">
      <c r="A184" s="4" t="str">
        <f>HYPERLINK("https://ibp.a2mac1.com/costing(costing:projects/details/9760/process/12083824)","Automated Process")</f>
        <v>Automated Process</v>
      </c>
      <c r="B184" t="s">
        <v>2012</v>
      </c>
      <c r="C184">
        <v>12083824</v>
      </c>
      <c r="D184">
        <v>8412593</v>
      </c>
      <c r="E184">
        <v>22.05</v>
      </c>
      <c r="F184">
        <v>0</v>
      </c>
      <c r="G184">
        <v>0</v>
      </c>
      <c r="H184">
        <v>0.11157300000000001</v>
      </c>
      <c r="I184" t="s">
        <v>176</v>
      </c>
      <c r="J184">
        <v>0.77175000000000005</v>
      </c>
      <c r="K184">
        <v>22.933323000000001</v>
      </c>
      <c r="L184">
        <v>0.63461628215196353</v>
      </c>
      <c r="M184">
        <v>3.8076976929117814</v>
      </c>
      <c r="N184">
        <v>26.741020692911782</v>
      </c>
      <c r="O184" t="s">
        <v>90</v>
      </c>
      <c r="P184">
        <v>0</v>
      </c>
      <c r="Q184" t="s">
        <v>90</v>
      </c>
      <c r="R184">
        <v>0</v>
      </c>
      <c r="S184" t="s">
        <v>90</v>
      </c>
      <c r="T184">
        <v>0</v>
      </c>
      <c r="U184">
        <v>26.741020692911782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358</v>
      </c>
      <c r="AB184">
        <v>1</v>
      </c>
      <c r="AC184">
        <v>0.5</v>
      </c>
      <c r="AD184">
        <v>0.50345253019720215</v>
      </c>
      <c r="AE184">
        <v>10800</v>
      </c>
      <c r="AF184">
        <v>200000</v>
      </c>
      <c r="AG184">
        <v>16666.666666666668</v>
      </c>
      <c r="AH184">
        <v>1</v>
      </c>
      <c r="AI184">
        <v>1</v>
      </c>
      <c r="AJ184" t="s">
        <v>162</v>
      </c>
      <c r="AK184" t="s">
        <v>176</v>
      </c>
      <c r="AL184">
        <v>0</v>
      </c>
      <c r="AM184" t="s">
        <v>176</v>
      </c>
      <c r="AN184">
        <v>0</v>
      </c>
    </row>
    <row r="185" spans="1:40" x14ac:dyDescent="0.15">
      <c r="A185" s="4" t="str">
        <f>HYPERLINK("https://ibp.a2mac1.com/costing(costing:projects/details/9760/process/12083825)","Automated Process")</f>
        <v>Automated Process</v>
      </c>
      <c r="B185" t="s">
        <v>1956</v>
      </c>
      <c r="C185">
        <v>12083825</v>
      </c>
      <c r="D185">
        <v>8412594</v>
      </c>
      <c r="E185">
        <v>2.57</v>
      </c>
      <c r="F185">
        <v>0</v>
      </c>
      <c r="G185">
        <v>0</v>
      </c>
      <c r="H185">
        <v>1.30042E-2</v>
      </c>
      <c r="I185" t="s">
        <v>176</v>
      </c>
      <c r="J185">
        <v>8.9950000000000002E-2</v>
      </c>
      <c r="K185">
        <v>2.6729541999999999</v>
      </c>
      <c r="L185">
        <v>0.11891983251537754</v>
      </c>
      <c r="M185">
        <v>0.71351899509226524</v>
      </c>
      <c r="N185">
        <v>3.3864731950922651</v>
      </c>
      <c r="O185" t="s">
        <v>90</v>
      </c>
      <c r="P185">
        <v>0</v>
      </c>
      <c r="Q185" t="s">
        <v>90</v>
      </c>
      <c r="R185">
        <v>0</v>
      </c>
      <c r="S185" t="s">
        <v>90</v>
      </c>
      <c r="T185">
        <v>0</v>
      </c>
      <c r="U185">
        <v>3.3864731950922651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66</v>
      </c>
      <c r="AB185">
        <v>1</v>
      </c>
      <c r="AC185">
        <v>0.5</v>
      </c>
      <c r="AD185">
        <v>0.50345253019720215</v>
      </c>
      <c r="AE185">
        <v>10800</v>
      </c>
      <c r="AF185">
        <v>200000</v>
      </c>
      <c r="AG185">
        <v>16666.666666666668</v>
      </c>
      <c r="AH185">
        <v>1</v>
      </c>
      <c r="AI185">
        <v>1</v>
      </c>
      <c r="AJ185" t="s">
        <v>162</v>
      </c>
      <c r="AK185" t="s">
        <v>176</v>
      </c>
      <c r="AL185">
        <v>0</v>
      </c>
      <c r="AM185" t="s">
        <v>176</v>
      </c>
      <c r="AN185">
        <v>0</v>
      </c>
    </row>
    <row r="186" spans="1:40" x14ac:dyDescent="0.15">
      <c r="A186" s="4" t="str">
        <f>HYPERLINK("https://ibp.a2mac1.com/costing(costing:projects/details/9760/process/12083826)","Automated Process")</f>
        <v>Automated Process</v>
      </c>
      <c r="B186" t="s">
        <v>1956</v>
      </c>
      <c r="C186">
        <v>12083826</v>
      </c>
      <c r="D186">
        <v>8412596</v>
      </c>
      <c r="E186">
        <v>0.21</v>
      </c>
      <c r="F186">
        <v>0</v>
      </c>
      <c r="G186">
        <v>0</v>
      </c>
      <c r="H186">
        <v>1.0625999999999999E-3</v>
      </c>
      <c r="I186" t="s">
        <v>176</v>
      </c>
      <c r="J186">
        <v>7.3499999999999998E-3</v>
      </c>
      <c r="K186">
        <v>0.21841260000000001</v>
      </c>
      <c r="L186">
        <v>1.1188724885816749E-2</v>
      </c>
      <c r="M186">
        <v>6.7132349314900502E-2</v>
      </c>
      <c r="N186">
        <v>0.28554494931490049</v>
      </c>
      <c r="O186" t="s">
        <v>90</v>
      </c>
      <c r="P186">
        <v>0</v>
      </c>
      <c r="Q186" t="s">
        <v>90</v>
      </c>
      <c r="R186">
        <v>0</v>
      </c>
      <c r="S186" t="s">
        <v>90</v>
      </c>
      <c r="T186">
        <v>0</v>
      </c>
      <c r="U186">
        <v>0.28554494931490049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5</v>
      </c>
      <c r="AB186">
        <v>1</v>
      </c>
      <c r="AC186">
        <v>0.5</v>
      </c>
      <c r="AD186">
        <v>0.50345253019720215</v>
      </c>
      <c r="AE186">
        <v>10800</v>
      </c>
      <c r="AF186">
        <v>200000</v>
      </c>
      <c r="AG186">
        <v>16666.666666666668</v>
      </c>
      <c r="AH186">
        <v>1</v>
      </c>
      <c r="AI186">
        <v>1</v>
      </c>
      <c r="AJ186" t="s">
        <v>162</v>
      </c>
      <c r="AK186" t="s">
        <v>176</v>
      </c>
      <c r="AL186">
        <v>0</v>
      </c>
      <c r="AM186" t="s">
        <v>176</v>
      </c>
      <c r="AN186">
        <v>0</v>
      </c>
    </row>
    <row r="187" spans="1:40" x14ac:dyDescent="0.15">
      <c r="A187" s="4" t="str">
        <f>HYPERLINK("https://ibp.a2mac1.com/costing(costing:projects/details/9760/process/12083827)","Automated Process")</f>
        <v>Automated Process</v>
      </c>
      <c r="B187" t="s">
        <v>2024</v>
      </c>
      <c r="C187">
        <v>12083827</v>
      </c>
      <c r="D187">
        <v>8412597</v>
      </c>
      <c r="E187">
        <v>3.05</v>
      </c>
      <c r="F187">
        <v>0</v>
      </c>
      <c r="G187">
        <v>0</v>
      </c>
      <c r="H187">
        <v>1.5433000000000001E-2</v>
      </c>
      <c r="I187" t="s">
        <v>176</v>
      </c>
      <c r="J187">
        <v>0.10675</v>
      </c>
      <c r="K187">
        <v>3.172183</v>
      </c>
      <c r="L187">
        <v>1.3357515236099247</v>
      </c>
      <c r="M187">
        <v>8.0145091416595484</v>
      </c>
      <c r="N187">
        <v>11.186692141659549</v>
      </c>
      <c r="O187" t="s">
        <v>90</v>
      </c>
      <c r="P187">
        <v>0</v>
      </c>
      <c r="Q187" t="s">
        <v>90</v>
      </c>
      <c r="R187">
        <v>0</v>
      </c>
      <c r="S187" t="s">
        <v>90</v>
      </c>
      <c r="T187">
        <v>0</v>
      </c>
      <c r="U187">
        <v>11.186692141659549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755</v>
      </c>
      <c r="AB187">
        <v>1</v>
      </c>
      <c r="AC187">
        <v>0.5</v>
      </c>
      <c r="AD187">
        <v>0.50345253019720215</v>
      </c>
      <c r="AE187">
        <v>10800</v>
      </c>
      <c r="AF187">
        <v>200000</v>
      </c>
      <c r="AG187">
        <v>16666.666666666668</v>
      </c>
      <c r="AH187">
        <v>1</v>
      </c>
      <c r="AI187">
        <v>1</v>
      </c>
      <c r="AJ187" t="s">
        <v>162</v>
      </c>
      <c r="AK187" t="s">
        <v>176</v>
      </c>
      <c r="AL187">
        <v>0</v>
      </c>
      <c r="AM187" t="s">
        <v>176</v>
      </c>
      <c r="AN187">
        <v>0</v>
      </c>
    </row>
    <row r="188" spans="1:40" x14ac:dyDescent="0.15">
      <c r="A188" s="4" t="str">
        <f>HYPERLINK("https://ibp.a2mac1.com/costing(costing:projects/details/9760/process/12083828)","Automated Process")</f>
        <v>Automated Process</v>
      </c>
      <c r="B188" t="s">
        <v>794</v>
      </c>
      <c r="C188">
        <v>12083828</v>
      </c>
      <c r="D188">
        <v>8412598</v>
      </c>
      <c r="E188">
        <v>0.4</v>
      </c>
      <c r="F188">
        <v>0</v>
      </c>
      <c r="G188">
        <v>0</v>
      </c>
      <c r="H188">
        <v>2.0240000000000002E-3</v>
      </c>
      <c r="I188" t="s">
        <v>176</v>
      </c>
      <c r="J188">
        <v>1.4E-2</v>
      </c>
      <c r="K188">
        <v>0.416024</v>
      </c>
      <c r="L188">
        <v>2.884956220213819E-2</v>
      </c>
      <c r="M188">
        <v>0.17309737321282914</v>
      </c>
      <c r="N188">
        <v>0.58912137321282909</v>
      </c>
      <c r="O188" t="s">
        <v>90</v>
      </c>
      <c r="P188">
        <v>0</v>
      </c>
      <c r="Q188" t="s">
        <v>90</v>
      </c>
      <c r="R188">
        <v>0</v>
      </c>
      <c r="S188" t="s">
        <v>90</v>
      </c>
      <c r="T188">
        <v>0</v>
      </c>
      <c r="U188">
        <v>0.58912137321282909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15</v>
      </c>
      <c r="AB188">
        <v>1</v>
      </c>
      <c r="AC188">
        <v>0.5</v>
      </c>
      <c r="AD188">
        <v>0.50345253019720215</v>
      </c>
      <c r="AE188">
        <v>10800</v>
      </c>
      <c r="AF188">
        <v>200000</v>
      </c>
      <c r="AG188">
        <v>16666.666666666668</v>
      </c>
      <c r="AH188">
        <v>1</v>
      </c>
      <c r="AI188">
        <v>1</v>
      </c>
      <c r="AJ188" t="s">
        <v>162</v>
      </c>
      <c r="AK188" t="s">
        <v>176</v>
      </c>
      <c r="AL188">
        <v>0</v>
      </c>
      <c r="AM188" t="s">
        <v>176</v>
      </c>
      <c r="AN188">
        <v>0</v>
      </c>
    </row>
    <row r="189" spans="1:40" x14ac:dyDescent="0.15">
      <c r="A189" s="4" t="str">
        <f>HYPERLINK("https://ibp.a2mac1.com/costing(costing:projects/details/9760/process/12083829)","Automated Process")</f>
        <v>Automated Process</v>
      </c>
      <c r="B189" t="s">
        <v>794</v>
      </c>
      <c r="C189">
        <v>12083829</v>
      </c>
      <c r="D189">
        <v>8412599</v>
      </c>
      <c r="E189">
        <v>0.4</v>
      </c>
      <c r="F189">
        <v>0</v>
      </c>
      <c r="G189">
        <v>0</v>
      </c>
      <c r="H189">
        <v>2.0240000000000002E-3</v>
      </c>
      <c r="I189" t="s">
        <v>176</v>
      </c>
      <c r="J189">
        <v>1.4E-2</v>
      </c>
      <c r="K189">
        <v>0.416024</v>
      </c>
      <c r="L189">
        <v>2.884956220213819E-2</v>
      </c>
      <c r="M189">
        <v>0.17309737321282914</v>
      </c>
      <c r="N189">
        <v>0.58912137321282909</v>
      </c>
      <c r="O189" t="s">
        <v>90</v>
      </c>
      <c r="P189">
        <v>0</v>
      </c>
      <c r="Q189" t="s">
        <v>90</v>
      </c>
      <c r="R189">
        <v>0</v>
      </c>
      <c r="S189" t="s">
        <v>90</v>
      </c>
      <c r="T189">
        <v>0</v>
      </c>
      <c r="U189">
        <v>0.58912137321282909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15</v>
      </c>
      <c r="AB189">
        <v>1</v>
      </c>
      <c r="AC189">
        <v>0.5</v>
      </c>
      <c r="AD189">
        <v>0.50345253019720215</v>
      </c>
      <c r="AE189">
        <v>10800</v>
      </c>
      <c r="AF189">
        <v>200000</v>
      </c>
      <c r="AG189">
        <v>16666.666666666668</v>
      </c>
      <c r="AH189">
        <v>1</v>
      </c>
      <c r="AI189">
        <v>1</v>
      </c>
      <c r="AJ189" t="s">
        <v>162</v>
      </c>
      <c r="AK189" t="s">
        <v>176</v>
      </c>
      <c r="AL189">
        <v>0</v>
      </c>
      <c r="AM189" t="s">
        <v>176</v>
      </c>
      <c r="AN189">
        <v>0</v>
      </c>
    </row>
    <row r="190" spans="1:40" x14ac:dyDescent="0.15">
      <c r="A190" s="4" t="str">
        <f>HYPERLINK("https://ibp.a2mac1.com/costing(costing:projects/details/9760/process/12083830)","Automated Process")</f>
        <v>Automated Process</v>
      </c>
      <c r="B190" t="s">
        <v>2034</v>
      </c>
      <c r="C190">
        <v>12083830</v>
      </c>
      <c r="D190">
        <v>8412600</v>
      </c>
      <c r="E190">
        <v>0.05</v>
      </c>
      <c r="F190">
        <v>0</v>
      </c>
      <c r="G190">
        <v>0</v>
      </c>
      <c r="H190">
        <v>2.5300000000000002E-4</v>
      </c>
      <c r="I190" t="s">
        <v>176</v>
      </c>
      <c r="J190">
        <v>1.75E-3</v>
      </c>
      <c r="K190">
        <v>5.2003000000000001E-2</v>
      </c>
      <c r="L190">
        <v>5.8904736909203177E-3</v>
      </c>
      <c r="M190">
        <v>3.5342842145521906E-2</v>
      </c>
      <c r="N190">
        <v>8.7345842145521907E-2</v>
      </c>
      <c r="O190" t="s">
        <v>90</v>
      </c>
      <c r="P190">
        <v>0</v>
      </c>
      <c r="Q190" t="s">
        <v>90</v>
      </c>
      <c r="R190">
        <v>0</v>
      </c>
      <c r="S190" t="s">
        <v>90</v>
      </c>
      <c r="T190">
        <v>0</v>
      </c>
      <c r="U190">
        <v>8.7345842145521907E-2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</v>
      </c>
      <c r="AB190">
        <v>1</v>
      </c>
      <c r="AC190">
        <v>0.5</v>
      </c>
      <c r="AD190">
        <v>0.50345253019720215</v>
      </c>
      <c r="AE190">
        <v>10800</v>
      </c>
      <c r="AF190">
        <v>200000</v>
      </c>
      <c r="AG190">
        <v>16666.666666666668</v>
      </c>
      <c r="AH190">
        <v>1</v>
      </c>
      <c r="AI190">
        <v>1</v>
      </c>
      <c r="AJ190" t="s">
        <v>162</v>
      </c>
      <c r="AK190" t="s">
        <v>176</v>
      </c>
      <c r="AL190">
        <v>0</v>
      </c>
      <c r="AM190" t="s">
        <v>176</v>
      </c>
      <c r="AN190">
        <v>0</v>
      </c>
    </row>
    <row r="191" spans="1:40" x14ac:dyDescent="0.15">
      <c r="A191" s="4" t="str">
        <f>HYPERLINK("https://ibp.a2mac1.com/costing(costing:projects/details/9760/process/12083831)","Automated Process")</f>
        <v>Automated Process</v>
      </c>
      <c r="B191" t="s">
        <v>2034</v>
      </c>
      <c r="C191">
        <v>12083831</v>
      </c>
      <c r="D191">
        <v>8412601</v>
      </c>
      <c r="E191">
        <v>0.04</v>
      </c>
      <c r="F191">
        <v>0</v>
      </c>
      <c r="G191">
        <v>0</v>
      </c>
      <c r="H191">
        <v>2.0239999999999999E-4</v>
      </c>
      <c r="I191" t="s">
        <v>176</v>
      </c>
      <c r="J191">
        <v>1.4E-3</v>
      </c>
      <c r="K191">
        <v>4.1602399999999998E-2</v>
      </c>
      <c r="L191">
        <v>5.8904736909203177E-3</v>
      </c>
      <c r="M191">
        <v>3.5342842145521906E-2</v>
      </c>
      <c r="N191">
        <v>7.6945242145521897E-2</v>
      </c>
      <c r="O191" t="s">
        <v>90</v>
      </c>
      <c r="P191">
        <v>0</v>
      </c>
      <c r="Q191" t="s">
        <v>90</v>
      </c>
      <c r="R191">
        <v>0</v>
      </c>
      <c r="S191" t="s">
        <v>90</v>
      </c>
      <c r="T191">
        <v>0</v>
      </c>
      <c r="U191">
        <v>7.6945242145521897E-2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1</v>
      </c>
      <c r="AC191">
        <v>0.5</v>
      </c>
      <c r="AD191">
        <v>0.50345253019720215</v>
      </c>
      <c r="AE191">
        <v>10800</v>
      </c>
      <c r="AF191">
        <v>200000</v>
      </c>
      <c r="AG191">
        <v>16666.666666666668</v>
      </c>
      <c r="AH191">
        <v>1</v>
      </c>
      <c r="AI191">
        <v>1</v>
      </c>
      <c r="AJ191" t="s">
        <v>162</v>
      </c>
      <c r="AK191" t="s">
        <v>176</v>
      </c>
      <c r="AL191">
        <v>0</v>
      </c>
      <c r="AM191" t="s">
        <v>176</v>
      </c>
      <c r="AN191">
        <v>0</v>
      </c>
    </row>
    <row r="192" spans="1:40" x14ac:dyDescent="0.15">
      <c r="A192" s="4" t="str">
        <f>HYPERLINK("https://ibp.a2mac1.com/costing(costing:projects/details/9760/process/12083832)","Automated Process")</f>
        <v>Automated Process</v>
      </c>
      <c r="B192" t="s">
        <v>794</v>
      </c>
      <c r="C192">
        <v>12083832</v>
      </c>
      <c r="D192">
        <v>8412603</v>
      </c>
      <c r="E192">
        <v>0.24</v>
      </c>
      <c r="F192">
        <v>0</v>
      </c>
      <c r="G192">
        <v>0</v>
      </c>
      <c r="H192">
        <v>1.2144E-3</v>
      </c>
      <c r="I192" t="s">
        <v>176</v>
      </c>
      <c r="J192">
        <v>8.3999999999999995E-3</v>
      </c>
      <c r="K192">
        <v>0.24961439999999999</v>
      </c>
      <c r="L192">
        <v>2.5317394738873903E-2</v>
      </c>
      <c r="M192">
        <v>0.1519043684332434</v>
      </c>
      <c r="N192">
        <v>0.40151876843324341</v>
      </c>
      <c r="O192" t="s">
        <v>90</v>
      </c>
      <c r="P192">
        <v>0</v>
      </c>
      <c r="Q192" t="s">
        <v>90</v>
      </c>
      <c r="R192">
        <v>0</v>
      </c>
      <c r="S192" t="s">
        <v>90</v>
      </c>
      <c r="T192">
        <v>0</v>
      </c>
      <c r="U192">
        <v>0.40151876843324341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13</v>
      </c>
      <c r="AB192">
        <v>1</v>
      </c>
      <c r="AC192">
        <v>0.5</v>
      </c>
      <c r="AD192">
        <v>0.50345253019720215</v>
      </c>
      <c r="AE192">
        <v>10800</v>
      </c>
      <c r="AF192">
        <v>200000</v>
      </c>
      <c r="AG192">
        <v>16666.666666666668</v>
      </c>
      <c r="AH192">
        <v>1</v>
      </c>
      <c r="AI192">
        <v>1</v>
      </c>
      <c r="AJ192" t="s">
        <v>162</v>
      </c>
      <c r="AK192" t="s">
        <v>176</v>
      </c>
      <c r="AL192">
        <v>0</v>
      </c>
      <c r="AM192" t="s">
        <v>176</v>
      </c>
      <c r="AN192">
        <v>0</v>
      </c>
    </row>
    <row r="193" spans="1:40" x14ac:dyDescent="0.15">
      <c r="A193" s="4" t="str">
        <f>HYPERLINK("https://ibp.a2mac1.com/costing(costing:projects/details/9760/process/12083949)","Automated Process")</f>
        <v>Automated Process</v>
      </c>
      <c r="B193" t="s">
        <v>794</v>
      </c>
      <c r="C193">
        <v>12083949</v>
      </c>
      <c r="D193">
        <v>8412703</v>
      </c>
      <c r="E193">
        <v>0.47</v>
      </c>
      <c r="F193">
        <v>0</v>
      </c>
      <c r="G193">
        <v>0</v>
      </c>
      <c r="H193">
        <v>2.3782E-3</v>
      </c>
      <c r="I193" t="s">
        <v>176</v>
      </c>
      <c r="J193">
        <v>1.6449999999999999E-2</v>
      </c>
      <c r="K193">
        <v>0.48882819999999999</v>
      </c>
      <c r="L193">
        <v>3.414781339703462E-2</v>
      </c>
      <c r="M193">
        <v>0.20488688038220773</v>
      </c>
      <c r="N193">
        <v>0.69371508038220775</v>
      </c>
      <c r="O193" t="s">
        <v>90</v>
      </c>
      <c r="P193">
        <v>0</v>
      </c>
      <c r="Q193" t="s">
        <v>90</v>
      </c>
      <c r="R193">
        <v>0</v>
      </c>
      <c r="S193" t="s">
        <v>90</v>
      </c>
      <c r="T193">
        <v>0</v>
      </c>
      <c r="U193">
        <v>0.69371508038220775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18</v>
      </c>
      <c r="AB193">
        <v>1</v>
      </c>
      <c r="AC193">
        <v>0.5</v>
      </c>
      <c r="AD193">
        <v>0.50345253019720215</v>
      </c>
      <c r="AE193">
        <v>10800</v>
      </c>
      <c r="AF193">
        <v>200000</v>
      </c>
      <c r="AG193">
        <v>16666.666666666668</v>
      </c>
      <c r="AH193">
        <v>1</v>
      </c>
      <c r="AI193">
        <v>1</v>
      </c>
      <c r="AJ193" t="s">
        <v>162</v>
      </c>
      <c r="AK193" t="s">
        <v>176</v>
      </c>
      <c r="AL193">
        <v>0</v>
      </c>
      <c r="AM193" t="s">
        <v>176</v>
      </c>
      <c r="AN193">
        <v>0</v>
      </c>
    </row>
    <row r="194" spans="1:40" x14ac:dyDescent="0.15">
      <c r="A194" s="4" t="str">
        <f>HYPERLINK("https://ibp.a2mac1.com/costing(costing:projects/details/9760/process/12083950)","Automated Process")</f>
        <v>Automated Process</v>
      </c>
      <c r="B194" t="s">
        <v>794</v>
      </c>
      <c r="C194">
        <v>12083950</v>
      </c>
      <c r="D194">
        <v>8412704</v>
      </c>
      <c r="E194">
        <v>0.23</v>
      </c>
      <c r="F194">
        <v>0</v>
      </c>
      <c r="G194">
        <v>0</v>
      </c>
      <c r="H194">
        <v>1.1638E-3</v>
      </c>
      <c r="I194" t="s">
        <v>176</v>
      </c>
      <c r="J194">
        <v>8.0499999999999999E-3</v>
      </c>
      <c r="K194">
        <v>0.2392138</v>
      </c>
      <c r="L194">
        <v>2.001914354397747E-2</v>
      </c>
      <c r="M194">
        <v>0.12011486126386482</v>
      </c>
      <c r="N194">
        <v>0.35932866126386481</v>
      </c>
      <c r="O194" t="s">
        <v>90</v>
      </c>
      <c r="P194">
        <v>0</v>
      </c>
      <c r="Q194" t="s">
        <v>90</v>
      </c>
      <c r="R194">
        <v>0</v>
      </c>
      <c r="S194" t="s">
        <v>90</v>
      </c>
      <c r="T194">
        <v>0</v>
      </c>
      <c r="U194">
        <v>0.35932866126386481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10</v>
      </c>
      <c r="AB194">
        <v>1</v>
      </c>
      <c r="AC194">
        <v>0.5</v>
      </c>
      <c r="AD194">
        <v>0.50345253019720215</v>
      </c>
      <c r="AE194">
        <v>10800</v>
      </c>
      <c r="AF194">
        <v>200000</v>
      </c>
      <c r="AG194">
        <v>16666.666666666668</v>
      </c>
      <c r="AH194">
        <v>1</v>
      </c>
      <c r="AI194">
        <v>1</v>
      </c>
      <c r="AJ194" t="s">
        <v>162</v>
      </c>
      <c r="AK194" t="s">
        <v>176</v>
      </c>
      <c r="AL194">
        <v>0</v>
      </c>
      <c r="AM194" t="s">
        <v>176</v>
      </c>
      <c r="AN194">
        <v>0</v>
      </c>
    </row>
    <row r="195" spans="1:40" x14ac:dyDescent="0.15">
      <c r="A195" s="4" t="str">
        <f>HYPERLINK("https://ibp.a2mac1.com/costing(costing:projects/details/9760/process/12083951)","Automated Process")</f>
        <v>Automated Process</v>
      </c>
      <c r="B195" t="s">
        <v>794</v>
      </c>
      <c r="C195">
        <v>12083951</v>
      </c>
      <c r="D195">
        <v>8412705</v>
      </c>
      <c r="E195">
        <v>0.08</v>
      </c>
      <c r="F195">
        <v>0</v>
      </c>
      <c r="G195">
        <v>0</v>
      </c>
      <c r="H195">
        <v>4.0479999999999997E-4</v>
      </c>
      <c r="I195" t="s">
        <v>176</v>
      </c>
      <c r="J195">
        <v>2.8E-3</v>
      </c>
      <c r="K195">
        <v>8.3204799999999995E-2</v>
      </c>
      <c r="L195">
        <v>7.6565574225524614E-3</v>
      </c>
      <c r="M195">
        <v>4.5939344535314765E-2</v>
      </c>
      <c r="N195">
        <v>0.12914414453531478</v>
      </c>
      <c r="O195" t="s">
        <v>90</v>
      </c>
      <c r="P195">
        <v>0</v>
      </c>
      <c r="Q195" t="s">
        <v>90</v>
      </c>
      <c r="R195">
        <v>0</v>
      </c>
      <c r="S195" t="s">
        <v>90</v>
      </c>
      <c r="T195">
        <v>0</v>
      </c>
      <c r="U195">
        <v>0.12914414453531478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</v>
      </c>
      <c r="AC195">
        <v>0.5</v>
      </c>
      <c r="AD195">
        <v>0.50345253019720215</v>
      </c>
      <c r="AE195">
        <v>10800</v>
      </c>
      <c r="AF195">
        <v>200000</v>
      </c>
      <c r="AG195">
        <v>16666.666666666668</v>
      </c>
      <c r="AH195">
        <v>1</v>
      </c>
      <c r="AI195">
        <v>1</v>
      </c>
      <c r="AJ195" t="s">
        <v>162</v>
      </c>
      <c r="AK195" t="s">
        <v>176</v>
      </c>
      <c r="AL195">
        <v>0</v>
      </c>
      <c r="AM195" t="s">
        <v>176</v>
      </c>
      <c r="AN195">
        <v>0</v>
      </c>
    </row>
    <row r="196" spans="1:40" x14ac:dyDescent="0.15">
      <c r="A196" s="4" t="str">
        <f>HYPERLINK("https://ibp.a2mac1.com/costing(costing:projects/details/9760/process/12083952)","Automated Process")</f>
        <v>Automated Process</v>
      </c>
      <c r="B196" t="s">
        <v>2058</v>
      </c>
      <c r="C196">
        <v>12083952</v>
      </c>
      <c r="D196">
        <v>8412706</v>
      </c>
      <c r="E196">
        <v>0.17</v>
      </c>
      <c r="F196">
        <v>0</v>
      </c>
      <c r="G196">
        <v>0</v>
      </c>
      <c r="H196">
        <v>8.6019999999999998E-4</v>
      </c>
      <c r="I196" t="s">
        <v>176</v>
      </c>
      <c r="J196">
        <v>5.9500000000000004E-3</v>
      </c>
      <c r="K196">
        <v>0.1768102</v>
      </c>
      <c r="L196">
        <v>2.1785227275609612E-2</v>
      </c>
      <c r="M196">
        <v>0.13071136365365768</v>
      </c>
      <c r="N196">
        <v>0.30752156365365768</v>
      </c>
      <c r="O196" t="s">
        <v>90</v>
      </c>
      <c r="P196">
        <v>0</v>
      </c>
      <c r="Q196" t="s">
        <v>90</v>
      </c>
      <c r="R196">
        <v>0</v>
      </c>
      <c r="S196" t="s">
        <v>90</v>
      </c>
      <c r="T196">
        <v>0</v>
      </c>
      <c r="U196">
        <v>0.30752156365365768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11</v>
      </c>
      <c r="AB196">
        <v>1</v>
      </c>
      <c r="AC196">
        <v>0.5</v>
      </c>
      <c r="AD196">
        <v>0.50345253019720215</v>
      </c>
      <c r="AE196">
        <v>10800</v>
      </c>
      <c r="AF196">
        <v>200000</v>
      </c>
      <c r="AG196">
        <v>16666.666666666668</v>
      </c>
      <c r="AH196">
        <v>1</v>
      </c>
      <c r="AI196">
        <v>1</v>
      </c>
      <c r="AJ196" t="s">
        <v>162</v>
      </c>
      <c r="AK196" t="s">
        <v>176</v>
      </c>
      <c r="AL196">
        <v>0</v>
      </c>
      <c r="AM196" t="s">
        <v>176</v>
      </c>
      <c r="AN196">
        <v>0</v>
      </c>
    </row>
    <row r="197" spans="1:40" x14ac:dyDescent="0.15">
      <c r="A197" s="4" t="str">
        <f>HYPERLINK("https://ibp.a2mac1.com/costing(costing:projects/details/9760/process/12083953)","Automated Process")</f>
        <v>Automated Process</v>
      </c>
      <c r="B197" t="s">
        <v>794</v>
      </c>
      <c r="C197">
        <v>12083953</v>
      </c>
      <c r="D197">
        <v>8412707</v>
      </c>
      <c r="E197">
        <v>0.21</v>
      </c>
      <c r="F197">
        <v>0</v>
      </c>
      <c r="G197">
        <v>0</v>
      </c>
      <c r="H197">
        <v>1.0625999999999999E-3</v>
      </c>
      <c r="I197" t="s">
        <v>176</v>
      </c>
      <c r="J197">
        <v>7.3499999999999998E-3</v>
      </c>
      <c r="K197">
        <v>0.21841260000000001</v>
      </c>
      <c r="L197">
        <v>1.8253059812345325E-2</v>
      </c>
      <c r="M197">
        <v>0.10951835887407195</v>
      </c>
      <c r="N197">
        <v>0.32793095887407198</v>
      </c>
      <c r="O197" t="s">
        <v>90</v>
      </c>
      <c r="P197">
        <v>0</v>
      </c>
      <c r="Q197" t="s">
        <v>90</v>
      </c>
      <c r="R197">
        <v>0</v>
      </c>
      <c r="S197" t="s">
        <v>90</v>
      </c>
      <c r="T197">
        <v>0</v>
      </c>
      <c r="U197">
        <v>0.32793095887407198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9</v>
      </c>
      <c r="AB197">
        <v>1</v>
      </c>
      <c r="AC197">
        <v>0.5</v>
      </c>
      <c r="AD197">
        <v>0.50345253019720215</v>
      </c>
      <c r="AE197">
        <v>10800</v>
      </c>
      <c r="AF197">
        <v>200000</v>
      </c>
      <c r="AG197">
        <v>16666.666666666668</v>
      </c>
      <c r="AH197">
        <v>1</v>
      </c>
      <c r="AI197">
        <v>1</v>
      </c>
      <c r="AJ197" t="s">
        <v>162</v>
      </c>
      <c r="AK197" t="s">
        <v>176</v>
      </c>
      <c r="AL197">
        <v>0</v>
      </c>
      <c r="AM197" t="s">
        <v>176</v>
      </c>
      <c r="AN197">
        <v>0</v>
      </c>
    </row>
    <row r="198" spans="1:40" x14ac:dyDescent="0.15">
      <c r="A198" s="4" t="str">
        <f>HYPERLINK("https://ibp.a2mac1.com/costing(costing:projects/details/9760/process/12083954)","Automated Process")</f>
        <v>Automated Process</v>
      </c>
      <c r="B198" t="s">
        <v>794</v>
      </c>
      <c r="C198">
        <v>12083954</v>
      </c>
      <c r="D198">
        <v>8412708</v>
      </c>
      <c r="E198">
        <v>0.08</v>
      </c>
      <c r="F198">
        <v>0</v>
      </c>
      <c r="G198">
        <v>0</v>
      </c>
      <c r="H198">
        <v>4.0479999999999997E-4</v>
      </c>
      <c r="I198" t="s">
        <v>176</v>
      </c>
      <c r="J198">
        <v>2.8E-3</v>
      </c>
      <c r="K198">
        <v>8.3204799999999995E-2</v>
      </c>
      <c r="L198">
        <v>7.6565574225524614E-3</v>
      </c>
      <c r="M198">
        <v>4.5939344535314765E-2</v>
      </c>
      <c r="N198">
        <v>0.12914414453531478</v>
      </c>
      <c r="O198" t="s">
        <v>90</v>
      </c>
      <c r="P198">
        <v>0</v>
      </c>
      <c r="Q198" t="s">
        <v>90</v>
      </c>
      <c r="R198">
        <v>0</v>
      </c>
      <c r="S198" t="s">
        <v>90</v>
      </c>
      <c r="T198">
        <v>0</v>
      </c>
      <c r="U198">
        <v>0.12914414453531478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</v>
      </c>
      <c r="AC198">
        <v>0.5</v>
      </c>
      <c r="AD198">
        <v>0.50345253019720215</v>
      </c>
      <c r="AE198">
        <v>10800</v>
      </c>
      <c r="AF198">
        <v>200000</v>
      </c>
      <c r="AG198">
        <v>16666.666666666668</v>
      </c>
      <c r="AH198">
        <v>1</v>
      </c>
      <c r="AI198">
        <v>1</v>
      </c>
      <c r="AJ198" t="s">
        <v>162</v>
      </c>
      <c r="AK198" t="s">
        <v>176</v>
      </c>
      <c r="AL198">
        <v>0</v>
      </c>
      <c r="AM198" t="s">
        <v>176</v>
      </c>
      <c r="AN198">
        <v>0</v>
      </c>
    </row>
    <row r="199" spans="1:40" x14ac:dyDescent="0.15">
      <c r="A199" s="4" t="str">
        <f>HYPERLINK("https://ibp.a2mac1.com/costing(costing:projects/details/9760/process/12083833)","Automated Process")</f>
        <v>Automated Process</v>
      </c>
      <c r="B199" t="s">
        <v>2012</v>
      </c>
      <c r="C199">
        <v>12083833</v>
      </c>
      <c r="D199">
        <v>8412606</v>
      </c>
      <c r="E199">
        <v>14.76</v>
      </c>
      <c r="F199">
        <v>0</v>
      </c>
      <c r="G199">
        <v>0</v>
      </c>
      <c r="H199">
        <v>7.4685600000000005E-2</v>
      </c>
      <c r="I199" t="s">
        <v>176</v>
      </c>
      <c r="J199">
        <v>0.51659999999999995</v>
      </c>
      <c r="K199">
        <v>15.351285600000001</v>
      </c>
      <c r="L199">
        <v>0.56044076542341359</v>
      </c>
      <c r="M199">
        <v>3.3626445925404811</v>
      </c>
      <c r="N199">
        <v>18.713930192540481</v>
      </c>
      <c r="O199" t="s">
        <v>90</v>
      </c>
      <c r="P199">
        <v>0</v>
      </c>
      <c r="Q199" t="s">
        <v>90</v>
      </c>
      <c r="R199">
        <v>0</v>
      </c>
      <c r="S199" t="s">
        <v>90</v>
      </c>
      <c r="T199">
        <v>0</v>
      </c>
      <c r="U199">
        <v>18.713930192540481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316</v>
      </c>
      <c r="AB199">
        <v>1</v>
      </c>
      <c r="AC199">
        <v>0.5</v>
      </c>
      <c r="AD199">
        <v>0.50345253019720215</v>
      </c>
      <c r="AE199">
        <v>10800</v>
      </c>
      <c r="AF199">
        <v>200000</v>
      </c>
      <c r="AG199">
        <v>16666.666666666668</v>
      </c>
      <c r="AH199">
        <v>1</v>
      </c>
      <c r="AI199">
        <v>1</v>
      </c>
      <c r="AJ199" t="s">
        <v>162</v>
      </c>
      <c r="AK199" t="s">
        <v>176</v>
      </c>
      <c r="AL199">
        <v>0</v>
      </c>
      <c r="AM199" t="s">
        <v>176</v>
      </c>
      <c r="AN199">
        <v>0</v>
      </c>
    </row>
    <row r="200" spans="1:40" x14ac:dyDescent="0.15">
      <c r="A200" s="4" t="str">
        <f>HYPERLINK("https://ibp.a2mac1.com/costing(costing:projects/details/9760/process/12083834)","Automated Process")</f>
        <v>Automated Process</v>
      </c>
      <c r="B200" t="s">
        <v>1956</v>
      </c>
      <c r="C200">
        <v>12083834</v>
      </c>
      <c r="D200">
        <v>8412607</v>
      </c>
      <c r="E200">
        <v>2.85</v>
      </c>
      <c r="F200">
        <v>0</v>
      </c>
      <c r="G200">
        <v>0</v>
      </c>
      <c r="H200">
        <v>1.4421E-2</v>
      </c>
      <c r="I200" t="s">
        <v>176</v>
      </c>
      <c r="J200">
        <v>9.9750000000000005E-2</v>
      </c>
      <c r="K200">
        <v>2.9641709999999999</v>
      </c>
      <c r="L200">
        <v>0.13304850236843468</v>
      </c>
      <c r="M200">
        <v>0.79829101421060811</v>
      </c>
      <c r="N200">
        <v>3.762462014210608</v>
      </c>
      <c r="O200" t="s">
        <v>90</v>
      </c>
      <c r="P200">
        <v>0</v>
      </c>
      <c r="Q200" t="s">
        <v>90</v>
      </c>
      <c r="R200">
        <v>0</v>
      </c>
      <c r="S200" t="s">
        <v>90</v>
      </c>
      <c r="T200">
        <v>0</v>
      </c>
      <c r="U200">
        <v>3.762462014210608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74</v>
      </c>
      <c r="AB200">
        <v>1</v>
      </c>
      <c r="AC200">
        <v>0.5</v>
      </c>
      <c r="AD200">
        <v>0.50345253019720215</v>
      </c>
      <c r="AE200">
        <v>10800</v>
      </c>
      <c r="AF200">
        <v>200000</v>
      </c>
      <c r="AG200">
        <v>16666.666666666668</v>
      </c>
      <c r="AH200">
        <v>1</v>
      </c>
      <c r="AI200">
        <v>1</v>
      </c>
      <c r="AJ200" t="s">
        <v>162</v>
      </c>
      <c r="AK200" t="s">
        <v>176</v>
      </c>
      <c r="AL200">
        <v>0</v>
      </c>
      <c r="AM200" t="s">
        <v>176</v>
      </c>
      <c r="AN200">
        <v>0</v>
      </c>
    </row>
    <row r="201" spans="1:40" x14ac:dyDescent="0.15">
      <c r="A201" s="4" t="str">
        <f>HYPERLINK("https://ibp.a2mac1.com/costing(costing:projects/details/9760/process/12083835)","Automated Process")</f>
        <v>Automated Process</v>
      </c>
      <c r="B201" t="s">
        <v>1956</v>
      </c>
      <c r="C201">
        <v>12083835</v>
      </c>
      <c r="D201">
        <v>8412608</v>
      </c>
      <c r="E201">
        <v>0.21</v>
      </c>
      <c r="F201">
        <v>0</v>
      </c>
      <c r="G201">
        <v>0</v>
      </c>
      <c r="H201">
        <v>1.0625999999999999E-3</v>
      </c>
      <c r="I201" t="s">
        <v>176</v>
      </c>
      <c r="J201">
        <v>7.3499999999999998E-3</v>
      </c>
      <c r="K201">
        <v>0.21841260000000001</v>
      </c>
      <c r="L201">
        <v>1.1188724885816749E-2</v>
      </c>
      <c r="M201">
        <v>6.7132349314900502E-2</v>
      </c>
      <c r="N201">
        <v>0.28554494931490049</v>
      </c>
      <c r="O201" t="s">
        <v>90</v>
      </c>
      <c r="P201">
        <v>0</v>
      </c>
      <c r="Q201" t="s">
        <v>90</v>
      </c>
      <c r="R201">
        <v>0</v>
      </c>
      <c r="S201" t="s">
        <v>90</v>
      </c>
      <c r="T201">
        <v>0</v>
      </c>
      <c r="U201">
        <v>0.28554494931490049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5</v>
      </c>
      <c r="AB201">
        <v>1</v>
      </c>
      <c r="AC201">
        <v>0.5</v>
      </c>
      <c r="AD201">
        <v>0.50345253019720215</v>
      </c>
      <c r="AE201">
        <v>10800</v>
      </c>
      <c r="AF201">
        <v>200000</v>
      </c>
      <c r="AG201">
        <v>16666.666666666668</v>
      </c>
      <c r="AH201">
        <v>1</v>
      </c>
      <c r="AI201">
        <v>1</v>
      </c>
      <c r="AJ201" t="s">
        <v>162</v>
      </c>
      <c r="AK201" t="s">
        <v>176</v>
      </c>
      <c r="AL201">
        <v>0</v>
      </c>
      <c r="AM201" t="s">
        <v>176</v>
      </c>
      <c r="AN201">
        <v>0</v>
      </c>
    </row>
    <row r="202" spans="1:40" x14ac:dyDescent="0.15">
      <c r="A202" s="4" t="str">
        <f>HYPERLINK("https://ibp.a2mac1.com/costing(costing:projects/details/9760/process/12083836)","Automated Process")</f>
        <v>Automated Process</v>
      </c>
      <c r="B202" t="s">
        <v>2078</v>
      </c>
      <c r="C202">
        <v>12083836</v>
      </c>
      <c r="D202">
        <v>8412609</v>
      </c>
      <c r="E202">
        <v>4.41</v>
      </c>
      <c r="F202">
        <v>0</v>
      </c>
      <c r="G202">
        <v>0</v>
      </c>
      <c r="H202">
        <v>2.23146E-2</v>
      </c>
      <c r="I202" t="s">
        <v>176</v>
      </c>
      <c r="J202">
        <v>0.15434999999999999</v>
      </c>
      <c r="K202">
        <v>4.5866645999999998</v>
      </c>
      <c r="L202">
        <v>0.47743483003670278</v>
      </c>
      <c r="M202">
        <v>2.8646089802202166</v>
      </c>
      <c r="N202">
        <v>7.4512735802202164</v>
      </c>
      <c r="O202" t="s">
        <v>90</v>
      </c>
      <c r="P202">
        <v>0</v>
      </c>
      <c r="Q202" t="s">
        <v>90</v>
      </c>
      <c r="R202">
        <v>0</v>
      </c>
      <c r="S202" t="s">
        <v>90</v>
      </c>
      <c r="T202">
        <v>0</v>
      </c>
      <c r="U202">
        <v>7.4512735802202164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269</v>
      </c>
      <c r="AB202">
        <v>1</v>
      </c>
      <c r="AC202">
        <v>0.5</v>
      </c>
      <c r="AD202">
        <v>0.50345253019720215</v>
      </c>
      <c r="AE202">
        <v>10800</v>
      </c>
      <c r="AF202">
        <v>200000</v>
      </c>
      <c r="AG202">
        <v>16666.666666666668</v>
      </c>
      <c r="AH202">
        <v>1</v>
      </c>
      <c r="AI202">
        <v>1</v>
      </c>
      <c r="AJ202" t="s">
        <v>162</v>
      </c>
      <c r="AK202" t="s">
        <v>176</v>
      </c>
      <c r="AL202">
        <v>0</v>
      </c>
      <c r="AM202" t="s">
        <v>176</v>
      </c>
      <c r="AN202">
        <v>0</v>
      </c>
    </row>
    <row r="203" spans="1:40" x14ac:dyDescent="0.15">
      <c r="A203" s="4" t="str">
        <f>HYPERLINK("https://ibp.a2mac1.com/costing(costing:projects/details/9760/process/12083837)","Automated Process")</f>
        <v>Automated Process</v>
      </c>
      <c r="B203" t="s">
        <v>2082</v>
      </c>
      <c r="C203">
        <v>12083837</v>
      </c>
      <c r="D203">
        <v>8412610</v>
      </c>
      <c r="E203">
        <v>1.28</v>
      </c>
      <c r="F203">
        <v>0</v>
      </c>
      <c r="G203">
        <v>0</v>
      </c>
      <c r="H203">
        <v>6.4767999999999996E-3</v>
      </c>
      <c r="I203" t="s">
        <v>176</v>
      </c>
      <c r="J203">
        <v>4.48E-2</v>
      </c>
      <c r="K203">
        <v>1.3312767999999999</v>
      </c>
      <c r="L203">
        <v>0.13834675356333112</v>
      </c>
      <c r="M203">
        <v>0.83008052137998667</v>
      </c>
      <c r="N203">
        <v>2.1613573213799868</v>
      </c>
      <c r="O203" t="s">
        <v>90</v>
      </c>
      <c r="P203">
        <v>0</v>
      </c>
      <c r="Q203" t="s">
        <v>90</v>
      </c>
      <c r="R203">
        <v>0</v>
      </c>
      <c r="S203" t="s">
        <v>90</v>
      </c>
      <c r="T203">
        <v>0</v>
      </c>
      <c r="U203">
        <v>2.1613573213799868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77</v>
      </c>
      <c r="AB203">
        <v>1</v>
      </c>
      <c r="AC203">
        <v>0.5</v>
      </c>
      <c r="AD203">
        <v>0.50345253019720215</v>
      </c>
      <c r="AE203">
        <v>10800</v>
      </c>
      <c r="AF203">
        <v>200000</v>
      </c>
      <c r="AG203">
        <v>16666.666666666668</v>
      </c>
      <c r="AH203">
        <v>1</v>
      </c>
      <c r="AI203">
        <v>1</v>
      </c>
      <c r="AJ203" t="s">
        <v>162</v>
      </c>
      <c r="AK203" t="s">
        <v>176</v>
      </c>
      <c r="AL203">
        <v>0</v>
      </c>
      <c r="AM203" t="s">
        <v>176</v>
      </c>
      <c r="AN203">
        <v>0</v>
      </c>
    </row>
    <row r="204" spans="1:40" x14ac:dyDescent="0.15">
      <c r="A204" s="4" t="str">
        <f>HYPERLINK("https://ibp.a2mac1.com/costing(costing:projects/details/9760/process/12083838)","Automated Process")</f>
        <v>Automated Process</v>
      </c>
      <c r="B204" t="s">
        <v>794</v>
      </c>
      <c r="C204">
        <v>12083838</v>
      </c>
      <c r="D204">
        <v>8412611</v>
      </c>
      <c r="E204">
        <v>0.08</v>
      </c>
      <c r="F204">
        <v>0</v>
      </c>
      <c r="G204">
        <v>0</v>
      </c>
      <c r="H204">
        <v>4.0240000000000002E-4</v>
      </c>
      <c r="I204" t="s">
        <v>176</v>
      </c>
      <c r="J204">
        <v>2.8E-3</v>
      </c>
      <c r="K204">
        <v>8.3202399999999996E-2</v>
      </c>
      <c r="L204">
        <v>4.7111799490528695E-3</v>
      </c>
      <c r="M204">
        <v>2.8267079694317215E-2</v>
      </c>
      <c r="N204">
        <v>0.11146947969431721</v>
      </c>
      <c r="O204" t="s">
        <v>90</v>
      </c>
      <c r="P204">
        <v>0</v>
      </c>
      <c r="Q204" t="s">
        <v>90</v>
      </c>
      <c r="R204">
        <v>0</v>
      </c>
      <c r="S204" t="s">
        <v>90</v>
      </c>
      <c r="T204">
        <v>0</v>
      </c>
      <c r="U204">
        <v>0.11146947969431721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</v>
      </c>
      <c r="AB204">
        <v>1</v>
      </c>
      <c r="AC204">
        <v>0.5</v>
      </c>
      <c r="AD204">
        <v>0.50048257265952256</v>
      </c>
      <c r="AE204">
        <v>10800</v>
      </c>
      <c r="AF204">
        <v>400000</v>
      </c>
      <c r="AG204">
        <v>33333.333333333336</v>
      </c>
      <c r="AH204">
        <v>1</v>
      </c>
      <c r="AI204">
        <v>1</v>
      </c>
      <c r="AJ204" t="s">
        <v>162</v>
      </c>
      <c r="AK204" t="s">
        <v>176</v>
      </c>
      <c r="AL204">
        <v>0</v>
      </c>
      <c r="AM204" t="s">
        <v>176</v>
      </c>
      <c r="AN204">
        <v>0</v>
      </c>
    </row>
    <row r="205" spans="1:40" x14ac:dyDescent="0.15">
      <c r="A205" s="4" t="str">
        <f>HYPERLINK("https://ibp.a2mac1.com/costing(costing:projects/details/9760/process/12083955)","Process")</f>
        <v>Process</v>
      </c>
      <c r="B205" t="s">
        <v>744</v>
      </c>
      <c r="C205">
        <v>12083955</v>
      </c>
      <c r="D205">
        <v>8412709</v>
      </c>
      <c r="E205">
        <v>20</v>
      </c>
      <c r="F205">
        <v>0</v>
      </c>
      <c r="G205">
        <v>0</v>
      </c>
      <c r="H205">
        <v>0.1012</v>
      </c>
      <c r="I205" t="s">
        <v>176</v>
      </c>
      <c r="J205">
        <v>0.7</v>
      </c>
      <c r="K205">
        <v>20.801200000000001</v>
      </c>
      <c r="L205">
        <v>0.10479116266232039</v>
      </c>
      <c r="M205">
        <v>0.62874697597392226</v>
      </c>
      <c r="N205">
        <v>21.429946975973923</v>
      </c>
      <c r="O205" t="s">
        <v>90</v>
      </c>
      <c r="P205">
        <v>0</v>
      </c>
      <c r="Q205" t="s">
        <v>90</v>
      </c>
      <c r="R205">
        <v>0</v>
      </c>
      <c r="S205" t="s">
        <v>90</v>
      </c>
      <c r="T205">
        <v>0</v>
      </c>
      <c r="U205">
        <v>21.429946975973923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58</v>
      </c>
      <c r="AB205">
        <v>1</v>
      </c>
      <c r="AC205">
        <v>0.5</v>
      </c>
      <c r="AD205">
        <v>0.50345253019720215</v>
      </c>
      <c r="AE205">
        <v>10800</v>
      </c>
      <c r="AF205">
        <v>200000</v>
      </c>
      <c r="AG205">
        <v>16666.666666666668</v>
      </c>
      <c r="AH205">
        <v>1</v>
      </c>
      <c r="AI205">
        <v>1</v>
      </c>
      <c r="AJ205" t="s">
        <v>162</v>
      </c>
      <c r="AK205" t="s">
        <v>176</v>
      </c>
      <c r="AL205">
        <v>0</v>
      </c>
      <c r="AM205" t="s">
        <v>176</v>
      </c>
      <c r="AN205">
        <v>0</v>
      </c>
    </row>
    <row r="206" spans="1:40" x14ac:dyDescent="0.15">
      <c r="A206" s="4" t="str">
        <f>HYPERLINK("https://ibp.a2mac1.com/costing(costing:projects/details/9760/process/12083839)","Final Assembly + Inspection")</f>
        <v>Final Assembly + Inspection</v>
      </c>
      <c r="C206">
        <v>12083839</v>
      </c>
      <c r="D206">
        <v>8412615</v>
      </c>
      <c r="E206">
        <v>0</v>
      </c>
      <c r="F206">
        <v>0</v>
      </c>
      <c r="G206">
        <v>0</v>
      </c>
      <c r="H206">
        <v>0</v>
      </c>
      <c r="I206" t="s">
        <v>176</v>
      </c>
      <c r="J206">
        <v>0</v>
      </c>
      <c r="K206">
        <v>0</v>
      </c>
      <c r="L206">
        <v>0.14464504391757629</v>
      </c>
      <c r="M206">
        <v>0.86787026350545782</v>
      </c>
      <c r="N206">
        <v>0.86787026350545782</v>
      </c>
      <c r="O206" t="s">
        <v>90</v>
      </c>
      <c r="P206">
        <v>0</v>
      </c>
      <c r="Q206" t="s">
        <v>90</v>
      </c>
      <c r="R206">
        <v>0</v>
      </c>
      <c r="S206" t="s">
        <v>90</v>
      </c>
      <c r="T206">
        <v>0</v>
      </c>
      <c r="U206">
        <v>0.86787026350545782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80</v>
      </c>
      <c r="AB206">
        <v>1</v>
      </c>
      <c r="AC206">
        <v>0.1</v>
      </c>
      <c r="AD206">
        <v>0.10987913295375087</v>
      </c>
      <c r="AE206">
        <v>10800</v>
      </c>
      <c r="AF206">
        <v>200000</v>
      </c>
      <c r="AG206">
        <v>10000</v>
      </c>
      <c r="AH206">
        <v>1</v>
      </c>
      <c r="AI206">
        <v>1</v>
      </c>
      <c r="AJ206" t="s">
        <v>76</v>
      </c>
      <c r="AK206" t="s">
        <v>176</v>
      </c>
      <c r="AL206">
        <v>0</v>
      </c>
      <c r="AM206" t="s">
        <v>176</v>
      </c>
      <c r="AN206">
        <v>0</v>
      </c>
    </row>
    <row r="207" spans="1:40" x14ac:dyDescent="0.15">
      <c r="A207" s="4" t="str">
        <f>HYPERLINK("https://ibp.a2mac1.com/costing(costing:projects/details/9760/process/12083956)","Process")</f>
        <v>Process</v>
      </c>
      <c r="B207" t="s">
        <v>744</v>
      </c>
      <c r="C207">
        <v>12083956</v>
      </c>
      <c r="D207">
        <v>8412712</v>
      </c>
      <c r="E207">
        <v>20</v>
      </c>
      <c r="F207">
        <v>0</v>
      </c>
      <c r="G207">
        <v>0</v>
      </c>
      <c r="H207">
        <v>0.1012</v>
      </c>
      <c r="I207" t="s">
        <v>176</v>
      </c>
      <c r="J207">
        <v>0.7</v>
      </c>
      <c r="K207">
        <v>20.801200000000001</v>
      </c>
      <c r="L207">
        <v>0.11891983251537754</v>
      </c>
      <c r="M207">
        <v>0.71351899509226524</v>
      </c>
      <c r="N207">
        <v>21.514718995092267</v>
      </c>
      <c r="O207" t="s">
        <v>90</v>
      </c>
      <c r="P207">
        <v>0</v>
      </c>
      <c r="Q207" t="s">
        <v>90</v>
      </c>
      <c r="R207">
        <v>0</v>
      </c>
      <c r="S207" t="s">
        <v>90</v>
      </c>
      <c r="T207">
        <v>0</v>
      </c>
      <c r="U207">
        <v>21.514718995092267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66</v>
      </c>
      <c r="AB207">
        <v>1</v>
      </c>
      <c r="AC207">
        <v>0.5</v>
      </c>
      <c r="AD207">
        <v>0.50345253019720215</v>
      </c>
      <c r="AE207">
        <v>10800</v>
      </c>
      <c r="AF207">
        <v>200000</v>
      </c>
      <c r="AG207">
        <v>16666.666666666668</v>
      </c>
      <c r="AH207">
        <v>1</v>
      </c>
      <c r="AI207">
        <v>1</v>
      </c>
      <c r="AJ207" t="s">
        <v>162</v>
      </c>
      <c r="AK207" t="s">
        <v>176</v>
      </c>
      <c r="AL207">
        <v>0</v>
      </c>
      <c r="AM207" t="s">
        <v>176</v>
      </c>
      <c r="AN207">
        <v>0</v>
      </c>
    </row>
    <row r="208" spans="1:40" x14ac:dyDescent="0.15">
      <c r="A208" s="4" t="str">
        <f>HYPERLINK("https://ibp.a2mac1.com/costing(costing:projects/details/9760/process/12083840)","Final Assembly + Inspection")</f>
        <v>Final Assembly + Inspection</v>
      </c>
      <c r="C208">
        <v>12083840</v>
      </c>
      <c r="D208">
        <v>8412616</v>
      </c>
      <c r="E208">
        <v>0</v>
      </c>
      <c r="F208">
        <v>0</v>
      </c>
      <c r="G208">
        <v>0</v>
      </c>
      <c r="H208">
        <v>0</v>
      </c>
      <c r="I208" t="s">
        <v>176</v>
      </c>
      <c r="J208">
        <v>0</v>
      </c>
      <c r="K208">
        <v>0</v>
      </c>
      <c r="L208">
        <v>0.14464504391757629</v>
      </c>
      <c r="M208">
        <v>0.86787026350545782</v>
      </c>
      <c r="N208">
        <v>0.86787026350545782</v>
      </c>
      <c r="O208" t="s">
        <v>90</v>
      </c>
      <c r="P208">
        <v>0</v>
      </c>
      <c r="Q208" t="s">
        <v>90</v>
      </c>
      <c r="R208">
        <v>0</v>
      </c>
      <c r="S208" t="s">
        <v>90</v>
      </c>
      <c r="T208">
        <v>0</v>
      </c>
      <c r="U208">
        <v>0.86787026350545782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80</v>
      </c>
      <c r="AB208">
        <v>1</v>
      </c>
      <c r="AC208">
        <v>0.1</v>
      </c>
      <c r="AD208">
        <v>0.10987913295375087</v>
      </c>
      <c r="AE208">
        <v>10800</v>
      </c>
      <c r="AF208">
        <v>200000</v>
      </c>
      <c r="AG208">
        <v>10000</v>
      </c>
      <c r="AH208">
        <v>1</v>
      </c>
      <c r="AI208">
        <v>1</v>
      </c>
      <c r="AJ208" t="s">
        <v>76</v>
      </c>
      <c r="AK208" t="s">
        <v>176</v>
      </c>
      <c r="AL208">
        <v>0</v>
      </c>
      <c r="AM208" t="s">
        <v>176</v>
      </c>
      <c r="AN208">
        <v>0</v>
      </c>
    </row>
    <row r="209" spans="1:40" x14ac:dyDescent="0.15">
      <c r="A209" s="4" t="str">
        <f>HYPERLINK("https://ibp.a2mac1.com/costing(costing:projects/details/9760/process/12084008)","Automated Process")</f>
        <v>Automated Process</v>
      </c>
      <c r="B209" t="s">
        <v>2118</v>
      </c>
      <c r="C209">
        <v>12084008</v>
      </c>
      <c r="D209">
        <v>8412800</v>
      </c>
      <c r="E209">
        <v>2.2999999999999998</v>
      </c>
      <c r="F209">
        <v>0</v>
      </c>
      <c r="G209">
        <v>0</v>
      </c>
      <c r="H209">
        <v>1.1638000000000001E-2</v>
      </c>
      <c r="I209" t="s">
        <v>176</v>
      </c>
      <c r="J209">
        <v>8.0500000000000002E-2</v>
      </c>
      <c r="K209">
        <v>2.3921380000000001</v>
      </c>
      <c r="L209">
        <v>0.53748167691219562</v>
      </c>
      <c r="M209">
        <v>3.2248900614731739</v>
      </c>
      <c r="N209">
        <v>5.6170280614731736</v>
      </c>
      <c r="O209" t="s">
        <v>90</v>
      </c>
      <c r="P209">
        <v>0</v>
      </c>
      <c r="Q209" t="s">
        <v>90</v>
      </c>
      <c r="R209">
        <v>0</v>
      </c>
      <c r="S209" t="s">
        <v>90</v>
      </c>
      <c r="T209">
        <v>0</v>
      </c>
      <c r="U209">
        <v>5.6170280614731736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303</v>
      </c>
      <c r="AB209">
        <v>1</v>
      </c>
      <c r="AC209">
        <v>0.5</v>
      </c>
      <c r="AD209">
        <v>0.50345253019720215</v>
      </c>
      <c r="AE209">
        <v>10800</v>
      </c>
      <c r="AF209">
        <v>200000</v>
      </c>
      <c r="AG209">
        <v>16666.666666666668</v>
      </c>
      <c r="AH209">
        <v>1</v>
      </c>
      <c r="AI209">
        <v>1</v>
      </c>
      <c r="AJ209" t="s">
        <v>162</v>
      </c>
      <c r="AK209" t="s">
        <v>176</v>
      </c>
      <c r="AL209">
        <v>0</v>
      </c>
      <c r="AM209" t="s">
        <v>176</v>
      </c>
      <c r="AN209">
        <v>0</v>
      </c>
    </row>
    <row r="210" spans="1:40" x14ac:dyDescent="0.15">
      <c r="A210" s="4" t="str">
        <f>HYPERLINK("https://ibp.a2mac1.com/costing(costing:projects/details/9760/process/12084009)","Automated Process")</f>
        <v>Automated Process</v>
      </c>
      <c r="B210" t="s">
        <v>2118</v>
      </c>
      <c r="C210">
        <v>12084009</v>
      </c>
      <c r="D210">
        <v>8412801</v>
      </c>
      <c r="E210">
        <v>2.2999999999999998</v>
      </c>
      <c r="F210">
        <v>0</v>
      </c>
      <c r="G210">
        <v>0</v>
      </c>
      <c r="H210">
        <v>1.1638000000000001E-2</v>
      </c>
      <c r="I210" t="s">
        <v>176</v>
      </c>
      <c r="J210">
        <v>8.0500000000000002E-2</v>
      </c>
      <c r="K210">
        <v>2.3921380000000001</v>
      </c>
      <c r="L210">
        <v>0.53748167691219562</v>
      </c>
      <c r="M210">
        <v>3.2248900614731739</v>
      </c>
      <c r="N210">
        <v>5.6170280614731736</v>
      </c>
      <c r="O210" t="s">
        <v>90</v>
      </c>
      <c r="P210">
        <v>0</v>
      </c>
      <c r="Q210" t="s">
        <v>90</v>
      </c>
      <c r="R210">
        <v>0</v>
      </c>
      <c r="S210" t="s">
        <v>90</v>
      </c>
      <c r="T210">
        <v>0</v>
      </c>
      <c r="U210">
        <v>5.6170280614731736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303</v>
      </c>
      <c r="AB210">
        <v>1</v>
      </c>
      <c r="AC210">
        <v>0.5</v>
      </c>
      <c r="AD210">
        <v>0.50345253019720215</v>
      </c>
      <c r="AE210">
        <v>10800</v>
      </c>
      <c r="AF210">
        <v>200000</v>
      </c>
      <c r="AG210">
        <v>16666.666666666668</v>
      </c>
      <c r="AH210">
        <v>1</v>
      </c>
      <c r="AI210">
        <v>1</v>
      </c>
      <c r="AJ210" t="s">
        <v>162</v>
      </c>
      <c r="AK210" t="s">
        <v>176</v>
      </c>
      <c r="AL210">
        <v>0</v>
      </c>
      <c r="AM210" t="s">
        <v>176</v>
      </c>
      <c r="AN210">
        <v>0</v>
      </c>
    </row>
    <row r="211" spans="1:40" x14ac:dyDescent="0.15">
      <c r="A211" s="4" t="str">
        <f>HYPERLINK("https://ibp.a2mac1.com/costing(costing:projects/details/9760/process/12083957)","Automated Process")</f>
        <v>Automated Process</v>
      </c>
      <c r="B211" t="s">
        <v>794</v>
      </c>
      <c r="C211">
        <v>12083957</v>
      </c>
      <c r="D211">
        <v>8412716</v>
      </c>
      <c r="E211">
        <v>0.25</v>
      </c>
      <c r="F211">
        <v>0</v>
      </c>
      <c r="G211">
        <v>0</v>
      </c>
      <c r="H211">
        <v>1.2650000000000001E-3</v>
      </c>
      <c r="I211" t="s">
        <v>176</v>
      </c>
      <c r="J211">
        <v>8.7500000000000008E-3</v>
      </c>
      <c r="K211">
        <v>0.260015</v>
      </c>
      <c r="L211">
        <v>2.1785227275609612E-2</v>
      </c>
      <c r="M211">
        <v>0.13071136365365768</v>
      </c>
      <c r="N211">
        <v>0.3907263636536577</v>
      </c>
      <c r="O211" t="s">
        <v>90</v>
      </c>
      <c r="P211">
        <v>0</v>
      </c>
      <c r="Q211" t="s">
        <v>90</v>
      </c>
      <c r="R211">
        <v>0</v>
      </c>
      <c r="S211" t="s">
        <v>90</v>
      </c>
      <c r="T211">
        <v>0</v>
      </c>
      <c r="U211">
        <v>0.3907263636536577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11</v>
      </c>
      <c r="AB211">
        <v>1</v>
      </c>
      <c r="AC211">
        <v>0.5</v>
      </c>
      <c r="AD211">
        <v>0.50345253019720215</v>
      </c>
      <c r="AE211">
        <v>10800</v>
      </c>
      <c r="AF211">
        <v>200000</v>
      </c>
      <c r="AG211">
        <v>16666.666666666668</v>
      </c>
      <c r="AH211">
        <v>1</v>
      </c>
      <c r="AI211">
        <v>1</v>
      </c>
      <c r="AJ211" t="s">
        <v>162</v>
      </c>
      <c r="AK211" t="s">
        <v>176</v>
      </c>
      <c r="AL211">
        <v>0</v>
      </c>
      <c r="AM211" t="s">
        <v>176</v>
      </c>
      <c r="AN211">
        <v>0</v>
      </c>
    </row>
    <row r="212" spans="1:40" x14ac:dyDescent="0.15">
      <c r="A212" s="4" t="str">
        <f>HYPERLINK("https://ibp.a2mac1.com/costing(costing:projects/details/9760/process/12083958)","Automated Process")</f>
        <v>Automated Process</v>
      </c>
      <c r="B212" t="s">
        <v>2138</v>
      </c>
      <c r="C212">
        <v>12083958</v>
      </c>
      <c r="D212">
        <v>8412721</v>
      </c>
      <c r="E212">
        <v>0.02</v>
      </c>
      <c r="F212">
        <v>0</v>
      </c>
      <c r="G212">
        <v>0</v>
      </c>
      <c r="H212">
        <v>1.0119999999999999E-4</v>
      </c>
      <c r="I212" t="s">
        <v>176</v>
      </c>
      <c r="J212">
        <v>6.9999999999999999E-4</v>
      </c>
      <c r="K212">
        <v>2.0801199999999999E-2</v>
      </c>
      <c r="L212">
        <v>9.422641154184605E-3</v>
      </c>
      <c r="M212">
        <v>5.653584692510763E-2</v>
      </c>
      <c r="N212">
        <v>7.7337046925107636E-2</v>
      </c>
      <c r="O212" t="s">
        <v>90</v>
      </c>
      <c r="P212">
        <v>0</v>
      </c>
      <c r="Q212" t="s">
        <v>90</v>
      </c>
      <c r="R212">
        <v>0</v>
      </c>
      <c r="S212" t="s">
        <v>90</v>
      </c>
      <c r="T212">
        <v>0</v>
      </c>
      <c r="U212">
        <v>7.7337046925107636E-2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</v>
      </c>
      <c r="AB212">
        <v>1</v>
      </c>
      <c r="AC212">
        <v>0.5</v>
      </c>
      <c r="AD212">
        <v>0.50345253019720215</v>
      </c>
      <c r="AE212">
        <v>10800</v>
      </c>
      <c r="AF212">
        <v>200000</v>
      </c>
      <c r="AG212">
        <v>16666.666666666668</v>
      </c>
      <c r="AH212">
        <v>1</v>
      </c>
      <c r="AI212">
        <v>1</v>
      </c>
      <c r="AJ212" t="s">
        <v>162</v>
      </c>
      <c r="AK212" t="s">
        <v>176</v>
      </c>
      <c r="AL212">
        <v>0</v>
      </c>
      <c r="AM212" t="s">
        <v>176</v>
      </c>
      <c r="AN212">
        <v>0</v>
      </c>
    </row>
    <row r="213" spans="1:40" x14ac:dyDescent="0.15">
      <c r="A213" s="4" t="str">
        <f>HYPERLINK("https://ibp.a2mac1.com/costing(costing:projects/details/9760/process/12084010)","Automated Process")</f>
        <v>Automated Process</v>
      </c>
      <c r="B213" t="s">
        <v>2149</v>
      </c>
      <c r="C213">
        <v>12084010</v>
      </c>
      <c r="D213">
        <v>8412804</v>
      </c>
      <c r="E213">
        <v>0.1235</v>
      </c>
      <c r="F213">
        <v>0</v>
      </c>
      <c r="G213">
        <v>0</v>
      </c>
      <c r="H213">
        <v>6.2491000000000001E-4</v>
      </c>
      <c r="I213" t="s">
        <v>176</v>
      </c>
      <c r="J213">
        <v>4.3225E-3</v>
      </c>
      <c r="K213">
        <v>0.12844741000000001</v>
      </c>
      <c r="L213">
        <v>1.1188724885816749E-2</v>
      </c>
      <c r="M213">
        <v>6.7132349314900502E-2</v>
      </c>
      <c r="N213">
        <v>0.19557975931490049</v>
      </c>
      <c r="O213" t="s">
        <v>90</v>
      </c>
      <c r="P213">
        <v>0</v>
      </c>
      <c r="Q213" t="s">
        <v>90</v>
      </c>
      <c r="R213">
        <v>0</v>
      </c>
      <c r="S213" t="s">
        <v>90</v>
      </c>
      <c r="T213">
        <v>0</v>
      </c>
      <c r="U213">
        <v>0.19557975931490049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5</v>
      </c>
      <c r="AB213">
        <v>1</v>
      </c>
      <c r="AC213">
        <v>0.5</v>
      </c>
      <c r="AD213">
        <v>0.50345253019720215</v>
      </c>
      <c r="AE213">
        <v>10800</v>
      </c>
      <c r="AF213">
        <v>200000</v>
      </c>
      <c r="AG213">
        <v>16666.666666666668</v>
      </c>
      <c r="AH213">
        <v>1</v>
      </c>
      <c r="AI213">
        <v>1</v>
      </c>
      <c r="AJ213" t="s">
        <v>162</v>
      </c>
      <c r="AK213" t="s">
        <v>176</v>
      </c>
      <c r="AL213">
        <v>0</v>
      </c>
      <c r="AM213" t="s">
        <v>176</v>
      </c>
      <c r="AN213">
        <v>0</v>
      </c>
    </row>
    <row r="214" spans="1:40" x14ac:dyDescent="0.15">
      <c r="A214" s="4" t="str">
        <f>HYPERLINK("https://ibp.a2mac1.com/costing(costing:projects/details/9760/process/12084011)","Automated Process")</f>
        <v>Automated Process</v>
      </c>
      <c r="B214" t="s">
        <v>2153</v>
      </c>
      <c r="C214">
        <v>12084011</v>
      </c>
      <c r="D214">
        <v>8412805</v>
      </c>
      <c r="E214">
        <v>0.53337000000000001</v>
      </c>
      <c r="F214">
        <v>0</v>
      </c>
      <c r="G214">
        <v>0</v>
      </c>
      <c r="H214">
        <v>2.6988521999999999E-3</v>
      </c>
      <c r="I214" t="s">
        <v>176</v>
      </c>
      <c r="J214">
        <v>1.8667949999999999E-2</v>
      </c>
      <c r="K214">
        <v>0.55473680219999999</v>
      </c>
      <c r="L214">
        <v>4.651039951845963E-2</v>
      </c>
      <c r="M214">
        <v>0.27906239711075775</v>
      </c>
      <c r="N214">
        <v>0.83379919931075774</v>
      </c>
      <c r="O214" t="s">
        <v>90</v>
      </c>
      <c r="P214">
        <v>0</v>
      </c>
      <c r="Q214" t="s">
        <v>90</v>
      </c>
      <c r="R214">
        <v>0</v>
      </c>
      <c r="S214" t="s">
        <v>90</v>
      </c>
      <c r="T214">
        <v>0</v>
      </c>
      <c r="U214">
        <v>0.83379919931075774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25</v>
      </c>
      <c r="AB214">
        <v>1</v>
      </c>
      <c r="AC214">
        <v>0.5</v>
      </c>
      <c r="AD214">
        <v>0.50345253019720215</v>
      </c>
      <c r="AE214">
        <v>10800</v>
      </c>
      <c r="AF214">
        <v>200000</v>
      </c>
      <c r="AG214">
        <v>16666.666666666668</v>
      </c>
      <c r="AH214">
        <v>1</v>
      </c>
      <c r="AI214">
        <v>1</v>
      </c>
      <c r="AJ214" t="s">
        <v>162</v>
      </c>
      <c r="AK214" t="s">
        <v>176</v>
      </c>
      <c r="AL214">
        <v>0</v>
      </c>
      <c r="AM214" t="s">
        <v>176</v>
      </c>
      <c r="AN214">
        <v>0</v>
      </c>
    </row>
    <row r="215" spans="1:40" x14ac:dyDescent="0.15">
      <c r="A215" s="4" t="str">
        <f>HYPERLINK("https://ibp.a2mac1.com/costing(costing:projects/details/9760/process/12083959)","Automated Process")</f>
        <v>Automated Process</v>
      </c>
      <c r="B215" t="s">
        <v>1992</v>
      </c>
      <c r="C215">
        <v>12083959</v>
      </c>
      <c r="D215">
        <v>8412724</v>
      </c>
      <c r="E215">
        <v>0.02</v>
      </c>
      <c r="F215">
        <v>0</v>
      </c>
      <c r="G215">
        <v>0</v>
      </c>
      <c r="H215">
        <v>1.0119999999999999E-4</v>
      </c>
      <c r="I215" t="s">
        <v>176</v>
      </c>
      <c r="J215">
        <v>6.9999999999999999E-4</v>
      </c>
      <c r="K215">
        <v>2.0801199999999999E-2</v>
      </c>
      <c r="L215">
        <v>9.422641154184605E-3</v>
      </c>
      <c r="M215">
        <v>5.653584692510763E-2</v>
      </c>
      <c r="N215">
        <v>7.7337046925107636E-2</v>
      </c>
      <c r="O215" t="s">
        <v>90</v>
      </c>
      <c r="P215">
        <v>0</v>
      </c>
      <c r="Q215" t="s">
        <v>90</v>
      </c>
      <c r="R215">
        <v>0</v>
      </c>
      <c r="S215" t="s">
        <v>90</v>
      </c>
      <c r="T215">
        <v>0</v>
      </c>
      <c r="U215">
        <v>7.7337046925107636E-2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</v>
      </c>
      <c r="AB215">
        <v>1</v>
      </c>
      <c r="AC215">
        <v>0.5</v>
      </c>
      <c r="AD215">
        <v>0.50345253019720215</v>
      </c>
      <c r="AE215">
        <v>10800</v>
      </c>
      <c r="AF215">
        <v>200000</v>
      </c>
      <c r="AG215">
        <v>16666.666666666668</v>
      </c>
      <c r="AH215">
        <v>1</v>
      </c>
      <c r="AI215">
        <v>1</v>
      </c>
      <c r="AJ215" t="s">
        <v>316</v>
      </c>
      <c r="AK215" t="s">
        <v>176</v>
      </c>
      <c r="AL215">
        <v>0</v>
      </c>
      <c r="AM215" t="s">
        <v>176</v>
      </c>
      <c r="AN215">
        <v>0</v>
      </c>
    </row>
    <row r="216" spans="1:40" x14ac:dyDescent="0.15">
      <c r="A216" s="4" t="str">
        <f>HYPERLINK("https://ibp.a2mac1.com/costing(costing:projects/details/9760/process/12083960)","Process")</f>
        <v>Process</v>
      </c>
      <c r="B216" t="s">
        <v>360</v>
      </c>
      <c r="C216">
        <v>12083960</v>
      </c>
      <c r="D216">
        <v>8412727</v>
      </c>
      <c r="E216">
        <v>0</v>
      </c>
      <c r="F216">
        <v>0</v>
      </c>
      <c r="G216">
        <v>0</v>
      </c>
      <c r="H216">
        <v>0</v>
      </c>
      <c r="I216" t="s">
        <v>176</v>
      </c>
      <c r="J216">
        <v>0</v>
      </c>
      <c r="K216">
        <v>0</v>
      </c>
      <c r="L216">
        <v>0.20605463560300447</v>
      </c>
      <c r="M216">
        <v>0.72119122461051566</v>
      </c>
      <c r="N216">
        <v>0.72119122461051566</v>
      </c>
      <c r="O216" t="s">
        <v>90</v>
      </c>
      <c r="P216">
        <v>0</v>
      </c>
      <c r="Q216" t="s">
        <v>90</v>
      </c>
      <c r="R216">
        <v>0</v>
      </c>
      <c r="S216" t="s">
        <v>90</v>
      </c>
      <c r="T216">
        <v>0</v>
      </c>
      <c r="U216">
        <v>0.72119122461051566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95</v>
      </c>
      <c r="AB216">
        <v>1</v>
      </c>
      <c r="AC216">
        <v>0</v>
      </c>
      <c r="AD216">
        <v>0</v>
      </c>
      <c r="AE216">
        <v>216</v>
      </c>
      <c r="AF216">
        <v>200000</v>
      </c>
      <c r="AG216">
        <v>10000</v>
      </c>
      <c r="AH216">
        <v>1</v>
      </c>
      <c r="AI216">
        <v>1</v>
      </c>
      <c r="AJ216" t="s">
        <v>76</v>
      </c>
      <c r="AK216" t="s">
        <v>176</v>
      </c>
      <c r="AL216">
        <v>0</v>
      </c>
      <c r="AM216" t="s">
        <v>176</v>
      </c>
      <c r="AN216">
        <v>0</v>
      </c>
    </row>
    <row r="217" spans="1:40" x14ac:dyDescent="0.15">
      <c r="A217" s="4" t="str">
        <f>HYPERLINK("https://ibp.a2mac1.com/costing(costing:projects/details/9760/process/12084012)","Automated Process")</f>
        <v>Automated Process</v>
      </c>
      <c r="B217" t="s">
        <v>2187</v>
      </c>
      <c r="C217">
        <v>12084012</v>
      </c>
      <c r="D217">
        <v>8412812</v>
      </c>
      <c r="E217">
        <v>0.09</v>
      </c>
      <c r="F217">
        <v>0</v>
      </c>
      <c r="G217">
        <v>0</v>
      </c>
      <c r="H217">
        <v>4.5540000000000001E-4</v>
      </c>
      <c r="I217" t="s">
        <v>176</v>
      </c>
      <c r="J217">
        <v>3.15E-3</v>
      </c>
      <c r="K217">
        <v>9.3605400000000005E-2</v>
      </c>
      <c r="L217">
        <v>1.2954808617448894E-2</v>
      </c>
      <c r="M217">
        <v>7.7728851704693361E-2</v>
      </c>
      <c r="N217">
        <v>0.17133425170469335</v>
      </c>
      <c r="O217" t="s">
        <v>90</v>
      </c>
      <c r="P217">
        <v>0</v>
      </c>
      <c r="Q217" t="s">
        <v>90</v>
      </c>
      <c r="R217">
        <v>0</v>
      </c>
      <c r="S217" t="s">
        <v>90</v>
      </c>
      <c r="T217">
        <v>0</v>
      </c>
      <c r="U217">
        <v>0.17133425170469335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6</v>
      </c>
      <c r="AB217">
        <v>1</v>
      </c>
      <c r="AC217">
        <v>0.5</v>
      </c>
      <c r="AD217">
        <v>0.50345253019720215</v>
      </c>
      <c r="AE217">
        <v>10800</v>
      </c>
      <c r="AF217">
        <v>200000</v>
      </c>
      <c r="AG217">
        <v>16666.666666666668</v>
      </c>
      <c r="AH217">
        <v>1</v>
      </c>
      <c r="AI217">
        <v>1</v>
      </c>
      <c r="AJ217" t="s">
        <v>162</v>
      </c>
      <c r="AK217" t="s">
        <v>176</v>
      </c>
      <c r="AL217">
        <v>0</v>
      </c>
      <c r="AM217" t="s">
        <v>176</v>
      </c>
      <c r="AN217">
        <v>0</v>
      </c>
    </row>
    <row r="218" spans="1:40" x14ac:dyDescent="0.15">
      <c r="A218" s="4" t="str">
        <f>HYPERLINK("https://ibp.a2mac1.com/costing(costing:projects/details/9760/process/12084013)","Automated Process")</f>
        <v>Automated Process</v>
      </c>
      <c r="B218" t="s">
        <v>2187</v>
      </c>
      <c r="C218">
        <v>12084013</v>
      </c>
      <c r="D218">
        <v>8412814</v>
      </c>
      <c r="E218">
        <v>7.0000000000000007E-2</v>
      </c>
      <c r="F218">
        <v>0</v>
      </c>
      <c r="G218">
        <v>0</v>
      </c>
      <c r="H218">
        <v>3.5419999999999999E-4</v>
      </c>
      <c r="I218" t="s">
        <v>176</v>
      </c>
      <c r="J218">
        <v>2.4499999999999999E-3</v>
      </c>
      <c r="K218">
        <v>7.2804199999999999E-2</v>
      </c>
      <c r="L218">
        <v>1.1188724885816749E-2</v>
      </c>
      <c r="M218">
        <v>6.7132349314900502E-2</v>
      </c>
      <c r="N218">
        <v>0.13993654931490049</v>
      </c>
      <c r="O218" t="s">
        <v>90</v>
      </c>
      <c r="P218">
        <v>0</v>
      </c>
      <c r="Q218" t="s">
        <v>90</v>
      </c>
      <c r="R218">
        <v>0</v>
      </c>
      <c r="S218" t="s">
        <v>90</v>
      </c>
      <c r="T218">
        <v>0</v>
      </c>
      <c r="U218">
        <v>0.13993654931490049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5</v>
      </c>
      <c r="AB218">
        <v>1</v>
      </c>
      <c r="AC218">
        <v>0.5</v>
      </c>
      <c r="AD218">
        <v>0.50345253019720215</v>
      </c>
      <c r="AE218">
        <v>10800</v>
      </c>
      <c r="AF218">
        <v>200000</v>
      </c>
      <c r="AG218">
        <v>16666.666666666668</v>
      </c>
      <c r="AH218">
        <v>1</v>
      </c>
      <c r="AI218">
        <v>1</v>
      </c>
      <c r="AJ218" t="s">
        <v>162</v>
      </c>
      <c r="AK218" t="s">
        <v>176</v>
      </c>
      <c r="AL218">
        <v>0</v>
      </c>
      <c r="AM218" t="s">
        <v>176</v>
      </c>
      <c r="AN218">
        <v>0</v>
      </c>
    </row>
    <row r="219" spans="1:40" x14ac:dyDescent="0.15">
      <c r="A219" s="4" t="str">
        <f>HYPERLINK("https://ibp.a2mac1.com/costing(costing:projects/details/9760/process/12083961)","Automated Process")</f>
        <v>Automated Process</v>
      </c>
      <c r="B219" t="s">
        <v>1996</v>
      </c>
      <c r="C219">
        <v>12083961</v>
      </c>
      <c r="D219">
        <v>8412728</v>
      </c>
      <c r="E219">
        <v>0.04</v>
      </c>
      <c r="F219">
        <v>0</v>
      </c>
      <c r="G219">
        <v>0</v>
      </c>
      <c r="H219">
        <v>2.0239999999999999E-4</v>
      </c>
      <c r="I219" t="s">
        <v>176</v>
      </c>
      <c r="J219">
        <v>1.4E-3</v>
      </c>
      <c r="K219">
        <v>4.1602399999999998E-2</v>
      </c>
      <c r="L219">
        <v>1.4720892349081038E-2</v>
      </c>
      <c r="M219">
        <v>8.8325354094486219E-2</v>
      </c>
      <c r="N219">
        <v>0.12992775409448623</v>
      </c>
      <c r="O219" t="s">
        <v>90</v>
      </c>
      <c r="P219">
        <v>0</v>
      </c>
      <c r="Q219" t="s">
        <v>90</v>
      </c>
      <c r="R219">
        <v>0</v>
      </c>
      <c r="S219" t="s">
        <v>90</v>
      </c>
      <c r="T219">
        <v>0</v>
      </c>
      <c r="U219">
        <v>0.12992775409448623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7</v>
      </c>
      <c r="AB219">
        <v>1</v>
      </c>
      <c r="AC219">
        <v>0.5</v>
      </c>
      <c r="AD219">
        <v>0.50345253019720215</v>
      </c>
      <c r="AE219">
        <v>10800</v>
      </c>
      <c r="AF219">
        <v>200000</v>
      </c>
      <c r="AG219">
        <v>16666.666666666668</v>
      </c>
      <c r="AH219">
        <v>1</v>
      </c>
      <c r="AI219">
        <v>1</v>
      </c>
      <c r="AJ219" t="s">
        <v>162</v>
      </c>
      <c r="AK219" t="s">
        <v>176</v>
      </c>
      <c r="AL219">
        <v>0</v>
      </c>
      <c r="AM219" t="s">
        <v>176</v>
      </c>
      <c r="AN219">
        <v>0</v>
      </c>
    </row>
    <row r="220" spans="1:40" x14ac:dyDescent="0.15">
      <c r="A220" s="4" t="str">
        <f>HYPERLINK("https://ibp.a2mac1.com/costing(costing:projects/details/9760/process/12083962)","Automated Process")</f>
        <v>Automated Process</v>
      </c>
      <c r="B220" t="s">
        <v>2202</v>
      </c>
      <c r="C220">
        <v>12083962</v>
      </c>
      <c r="D220">
        <v>8412730</v>
      </c>
      <c r="E220">
        <v>0.57999999999999996</v>
      </c>
      <c r="F220">
        <v>0</v>
      </c>
      <c r="G220">
        <v>0</v>
      </c>
      <c r="H220">
        <v>2.9174000000000001E-3</v>
      </c>
      <c r="I220" t="s">
        <v>176</v>
      </c>
      <c r="J220">
        <v>2.0299999999999999E-2</v>
      </c>
      <c r="K220">
        <v>0.60321740000000001</v>
      </c>
      <c r="L220">
        <v>2.0605459091810798E-2</v>
      </c>
      <c r="M220">
        <v>0.12363275455086478</v>
      </c>
      <c r="N220">
        <v>0.72685015455086477</v>
      </c>
      <c r="O220" t="s">
        <v>90</v>
      </c>
      <c r="P220">
        <v>0</v>
      </c>
      <c r="Q220" t="s">
        <v>90</v>
      </c>
      <c r="R220">
        <v>0</v>
      </c>
      <c r="S220" t="s">
        <v>90</v>
      </c>
      <c r="T220">
        <v>0</v>
      </c>
      <c r="U220">
        <v>0.72685015455086477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11</v>
      </c>
      <c r="AB220">
        <v>1</v>
      </c>
      <c r="AC220">
        <v>0.5</v>
      </c>
      <c r="AD220">
        <v>0.50048257265952256</v>
      </c>
      <c r="AE220">
        <v>10800</v>
      </c>
      <c r="AF220">
        <v>400000</v>
      </c>
      <c r="AG220">
        <v>33333.333333333336</v>
      </c>
      <c r="AH220">
        <v>1</v>
      </c>
      <c r="AI220">
        <v>1</v>
      </c>
      <c r="AJ220" t="s">
        <v>162</v>
      </c>
      <c r="AK220" t="s">
        <v>176</v>
      </c>
      <c r="AL220">
        <v>0</v>
      </c>
      <c r="AM220" t="s">
        <v>176</v>
      </c>
      <c r="AN220">
        <v>0</v>
      </c>
    </row>
    <row r="221" spans="1:40" x14ac:dyDescent="0.15">
      <c r="A221" s="4" t="str">
        <f>HYPERLINK("https://ibp.a2mac1.com/costing(costing:projects/details/9760/process/12083963)","Automated Process")</f>
        <v>Automated Process</v>
      </c>
      <c r="B221" t="s">
        <v>2206</v>
      </c>
      <c r="C221">
        <v>12083963</v>
      </c>
      <c r="D221">
        <v>8412731</v>
      </c>
      <c r="E221">
        <v>0.05</v>
      </c>
      <c r="F221">
        <v>0</v>
      </c>
      <c r="G221">
        <v>0</v>
      </c>
      <c r="H221">
        <v>2.5149999999999999E-4</v>
      </c>
      <c r="I221" t="s">
        <v>176</v>
      </c>
      <c r="J221">
        <v>1.75E-3</v>
      </c>
      <c r="K221">
        <v>5.2001499999999999E-2</v>
      </c>
      <c r="L221">
        <v>1.7073397060086815E-2</v>
      </c>
      <c r="M221">
        <v>0.10244038236052089</v>
      </c>
      <c r="N221">
        <v>0.15444188236052089</v>
      </c>
      <c r="O221" t="s">
        <v>90</v>
      </c>
      <c r="P221">
        <v>0</v>
      </c>
      <c r="Q221" t="s">
        <v>90</v>
      </c>
      <c r="R221">
        <v>0</v>
      </c>
      <c r="S221" t="s">
        <v>90</v>
      </c>
      <c r="T221">
        <v>0</v>
      </c>
      <c r="U221">
        <v>0.15444188236052089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9</v>
      </c>
      <c r="AB221">
        <v>1</v>
      </c>
      <c r="AC221">
        <v>0.5</v>
      </c>
      <c r="AD221">
        <v>0.50048257265952256</v>
      </c>
      <c r="AE221">
        <v>10800</v>
      </c>
      <c r="AF221">
        <v>400000</v>
      </c>
      <c r="AG221">
        <v>33333.333333333336</v>
      </c>
      <c r="AH221">
        <v>1</v>
      </c>
      <c r="AI221">
        <v>1</v>
      </c>
      <c r="AJ221" t="s">
        <v>162</v>
      </c>
      <c r="AK221" t="s">
        <v>176</v>
      </c>
      <c r="AL221">
        <v>0</v>
      </c>
      <c r="AM221" t="s">
        <v>176</v>
      </c>
      <c r="AN221">
        <v>0</v>
      </c>
    </row>
    <row r="222" spans="1:40" x14ac:dyDescent="0.15">
      <c r="A222" s="4" t="str">
        <f>HYPERLINK("https://ibp.a2mac1.com/costing(costing:projects/details/9760/process/12083841)","Automated Process")</f>
        <v>Automated Process</v>
      </c>
      <c r="B222" t="s">
        <v>794</v>
      </c>
      <c r="C222">
        <v>12083841</v>
      </c>
      <c r="D222">
        <v>8412618</v>
      </c>
      <c r="E222">
        <v>0.08</v>
      </c>
      <c r="F222">
        <v>0</v>
      </c>
      <c r="G222">
        <v>0</v>
      </c>
      <c r="H222">
        <v>4.0479999999999997E-4</v>
      </c>
      <c r="I222" t="s">
        <v>176</v>
      </c>
      <c r="J222">
        <v>2.8E-3</v>
      </c>
      <c r="K222">
        <v>8.3204799999999995E-2</v>
      </c>
      <c r="L222">
        <v>7.6565574225524614E-3</v>
      </c>
      <c r="M222">
        <v>4.5939344535314765E-2</v>
      </c>
      <c r="N222">
        <v>0.12914414453531478</v>
      </c>
      <c r="O222" t="s">
        <v>90</v>
      </c>
      <c r="P222">
        <v>0</v>
      </c>
      <c r="Q222" t="s">
        <v>90</v>
      </c>
      <c r="R222">
        <v>0</v>
      </c>
      <c r="S222" t="s">
        <v>90</v>
      </c>
      <c r="T222">
        <v>0</v>
      </c>
      <c r="U222">
        <v>0.12914414453531478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</v>
      </c>
      <c r="AC222">
        <v>0.5</v>
      </c>
      <c r="AD222">
        <v>0.50345253019720215</v>
      </c>
      <c r="AE222">
        <v>10800</v>
      </c>
      <c r="AF222">
        <v>200000</v>
      </c>
      <c r="AG222">
        <v>16666.666666666668</v>
      </c>
      <c r="AH222">
        <v>1</v>
      </c>
      <c r="AI222">
        <v>1</v>
      </c>
      <c r="AJ222" t="s">
        <v>162</v>
      </c>
      <c r="AK222" t="s">
        <v>176</v>
      </c>
      <c r="AL222">
        <v>0</v>
      </c>
      <c r="AM222" t="s">
        <v>176</v>
      </c>
      <c r="AN222">
        <v>0</v>
      </c>
    </row>
    <row r="223" spans="1:40" x14ac:dyDescent="0.15">
      <c r="A223" s="4" t="str">
        <f>HYPERLINK("https://ibp.a2mac1.com/costing(costing:projects/details/9760/process/12083842)","Automated Process")</f>
        <v>Automated Process</v>
      </c>
      <c r="B223" t="s">
        <v>2202</v>
      </c>
      <c r="C223">
        <v>12083842</v>
      </c>
      <c r="D223">
        <v>8412625</v>
      </c>
      <c r="E223">
        <v>0.06</v>
      </c>
      <c r="F223">
        <v>0</v>
      </c>
      <c r="G223">
        <v>0</v>
      </c>
      <c r="H223">
        <v>3.0360000000000001E-4</v>
      </c>
      <c r="I223" t="s">
        <v>176</v>
      </c>
      <c r="J223">
        <v>2.0999999999999999E-3</v>
      </c>
      <c r="K223">
        <v>6.2403599999999997E-2</v>
      </c>
      <c r="L223">
        <v>4.1243899592881732E-3</v>
      </c>
      <c r="M223">
        <v>2.4746339755729041E-2</v>
      </c>
      <c r="N223">
        <v>8.7149939755729044E-2</v>
      </c>
      <c r="O223" t="s">
        <v>90</v>
      </c>
      <c r="P223">
        <v>0</v>
      </c>
      <c r="Q223" t="s">
        <v>90</v>
      </c>
      <c r="R223">
        <v>0</v>
      </c>
      <c r="S223" t="s">
        <v>90</v>
      </c>
      <c r="T223">
        <v>0</v>
      </c>
      <c r="U223">
        <v>8.7149939755729044E-2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0.5</v>
      </c>
      <c r="AD223">
        <v>0.50345253019720215</v>
      </c>
      <c r="AE223">
        <v>10800</v>
      </c>
      <c r="AF223">
        <v>200000</v>
      </c>
      <c r="AG223">
        <v>16666.666666666668</v>
      </c>
      <c r="AH223">
        <v>1</v>
      </c>
      <c r="AI223">
        <v>1</v>
      </c>
      <c r="AJ223" t="s">
        <v>162</v>
      </c>
      <c r="AK223" t="s">
        <v>176</v>
      </c>
      <c r="AL223">
        <v>0</v>
      </c>
      <c r="AM223" t="s">
        <v>176</v>
      </c>
      <c r="AN223">
        <v>0</v>
      </c>
    </row>
    <row r="224" spans="1:40" x14ac:dyDescent="0.15">
      <c r="A224" s="4" t="str">
        <f>HYPERLINK("https://ibp.a2mac1.com/costing(costing:projects/details/9760/process/12083843)","Automated Process")</f>
        <v>Automated Process</v>
      </c>
      <c r="B224" t="s">
        <v>2202</v>
      </c>
      <c r="C224">
        <v>12083843</v>
      </c>
      <c r="D224">
        <v>8412626</v>
      </c>
      <c r="E224">
        <v>0.06</v>
      </c>
      <c r="F224">
        <v>0</v>
      </c>
      <c r="G224">
        <v>0</v>
      </c>
      <c r="H224">
        <v>3.0360000000000001E-4</v>
      </c>
      <c r="I224" t="s">
        <v>176</v>
      </c>
      <c r="J224">
        <v>2.0999999999999999E-3</v>
      </c>
      <c r="K224">
        <v>6.2403599999999997E-2</v>
      </c>
      <c r="L224">
        <v>4.1243899592881732E-3</v>
      </c>
      <c r="M224">
        <v>2.4746339755729041E-2</v>
      </c>
      <c r="N224">
        <v>8.7149939755729044E-2</v>
      </c>
      <c r="O224" t="s">
        <v>90</v>
      </c>
      <c r="P224">
        <v>0</v>
      </c>
      <c r="Q224" t="s">
        <v>90</v>
      </c>
      <c r="R224">
        <v>0</v>
      </c>
      <c r="S224" t="s">
        <v>90</v>
      </c>
      <c r="T224">
        <v>0</v>
      </c>
      <c r="U224">
        <v>8.7149939755729044E-2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0.5</v>
      </c>
      <c r="AD224">
        <v>0.50345253019720215</v>
      </c>
      <c r="AE224">
        <v>10800</v>
      </c>
      <c r="AF224">
        <v>200000</v>
      </c>
      <c r="AG224">
        <v>16666.666666666668</v>
      </c>
      <c r="AH224">
        <v>1</v>
      </c>
      <c r="AI224">
        <v>1</v>
      </c>
      <c r="AJ224" t="s">
        <v>162</v>
      </c>
      <c r="AK224" t="s">
        <v>176</v>
      </c>
      <c r="AL224">
        <v>0</v>
      </c>
      <c r="AM224" t="s">
        <v>176</v>
      </c>
      <c r="AN224">
        <v>0</v>
      </c>
    </row>
    <row r="225" spans="1:40" x14ac:dyDescent="0.15">
      <c r="A225" s="4" t="str">
        <f>HYPERLINK("https://ibp.a2mac1.com/costing(costing:projects/details/9760/process/12083844)","Automated Process")</f>
        <v>Automated Process</v>
      </c>
      <c r="B225" t="s">
        <v>2202</v>
      </c>
      <c r="C225">
        <v>12083844</v>
      </c>
      <c r="D225">
        <v>8412627</v>
      </c>
      <c r="E225">
        <v>0.06</v>
      </c>
      <c r="F225">
        <v>0</v>
      </c>
      <c r="G225">
        <v>0</v>
      </c>
      <c r="H225">
        <v>3.0360000000000001E-4</v>
      </c>
      <c r="I225" t="s">
        <v>176</v>
      </c>
      <c r="J225">
        <v>2.0999999999999999E-3</v>
      </c>
      <c r="K225">
        <v>6.2403599999999997E-2</v>
      </c>
      <c r="L225">
        <v>4.1243899592881732E-3</v>
      </c>
      <c r="M225">
        <v>2.4746339755729041E-2</v>
      </c>
      <c r="N225">
        <v>8.7149939755729044E-2</v>
      </c>
      <c r="O225" t="s">
        <v>90</v>
      </c>
      <c r="P225">
        <v>0</v>
      </c>
      <c r="Q225" t="s">
        <v>90</v>
      </c>
      <c r="R225">
        <v>0</v>
      </c>
      <c r="S225" t="s">
        <v>90</v>
      </c>
      <c r="T225">
        <v>0</v>
      </c>
      <c r="U225">
        <v>8.7149939755729044E-2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0.5</v>
      </c>
      <c r="AD225">
        <v>0.50345253019720215</v>
      </c>
      <c r="AE225">
        <v>10800</v>
      </c>
      <c r="AF225">
        <v>200000</v>
      </c>
      <c r="AG225">
        <v>16666.666666666668</v>
      </c>
      <c r="AH225">
        <v>1</v>
      </c>
      <c r="AI225">
        <v>1</v>
      </c>
      <c r="AJ225" t="s">
        <v>162</v>
      </c>
      <c r="AK225" t="s">
        <v>176</v>
      </c>
      <c r="AL225">
        <v>0</v>
      </c>
      <c r="AM225" t="s">
        <v>176</v>
      </c>
      <c r="AN225">
        <v>0</v>
      </c>
    </row>
    <row r="226" spans="1:40" x14ac:dyDescent="0.15">
      <c r="A226" s="4" t="str">
        <f>HYPERLINK("https://ibp.a2mac1.com/costing(costing:projects/details/9760/process/12083845)","Automated Process")</f>
        <v>Automated Process</v>
      </c>
      <c r="B226" t="s">
        <v>2202</v>
      </c>
      <c r="C226">
        <v>12083845</v>
      </c>
      <c r="D226">
        <v>8412628</v>
      </c>
      <c r="E226">
        <v>0.06</v>
      </c>
      <c r="F226">
        <v>0</v>
      </c>
      <c r="G226">
        <v>0</v>
      </c>
      <c r="H226">
        <v>3.0360000000000001E-4</v>
      </c>
      <c r="I226" t="s">
        <v>176</v>
      </c>
      <c r="J226">
        <v>2.0999999999999999E-3</v>
      </c>
      <c r="K226">
        <v>6.2403599999999997E-2</v>
      </c>
      <c r="L226">
        <v>4.1243899592881732E-3</v>
      </c>
      <c r="M226">
        <v>2.4746339755729041E-2</v>
      </c>
      <c r="N226">
        <v>8.7149939755729044E-2</v>
      </c>
      <c r="O226" t="s">
        <v>90</v>
      </c>
      <c r="P226">
        <v>0</v>
      </c>
      <c r="Q226" t="s">
        <v>90</v>
      </c>
      <c r="R226">
        <v>0</v>
      </c>
      <c r="S226" t="s">
        <v>90</v>
      </c>
      <c r="T226">
        <v>0</v>
      </c>
      <c r="U226">
        <v>8.7149939755729044E-2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0.5</v>
      </c>
      <c r="AD226">
        <v>0.50345253019720215</v>
      </c>
      <c r="AE226">
        <v>10800</v>
      </c>
      <c r="AF226">
        <v>200000</v>
      </c>
      <c r="AG226">
        <v>16666.666666666668</v>
      </c>
      <c r="AH226">
        <v>1</v>
      </c>
      <c r="AI226">
        <v>1</v>
      </c>
      <c r="AJ226" t="s">
        <v>162</v>
      </c>
      <c r="AK226" t="s">
        <v>176</v>
      </c>
      <c r="AL226">
        <v>0</v>
      </c>
      <c r="AM226" t="s">
        <v>176</v>
      </c>
      <c r="AN226">
        <v>0</v>
      </c>
    </row>
    <row r="227" spans="1:40" x14ac:dyDescent="0.15">
      <c r="A227" s="4" t="str">
        <f>HYPERLINK("https://ibp.a2mac1.com/costing(costing:projects/details/9760/process/12083846)","Automated Process")</f>
        <v>Automated Process</v>
      </c>
      <c r="B227" t="s">
        <v>753</v>
      </c>
      <c r="C227">
        <v>12083846</v>
      </c>
      <c r="D227">
        <v>8412632</v>
      </c>
      <c r="E227">
        <v>9.3299999999999994E-2</v>
      </c>
      <c r="F227">
        <v>0</v>
      </c>
      <c r="G227">
        <v>0</v>
      </c>
      <c r="H227">
        <v>4.7209800000000001E-4</v>
      </c>
      <c r="I227" t="s">
        <v>176</v>
      </c>
      <c r="J227">
        <v>3.2655000000000002E-3</v>
      </c>
      <c r="K227">
        <v>9.7037598000000003E-2</v>
      </c>
      <c r="L227">
        <v>9.422641154184605E-3</v>
      </c>
      <c r="M227">
        <v>5.653584692510763E-2</v>
      </c>
      <c r="N227">
        <v>0.15357344492510763</v>
      </c>
      <c r="O227" t="s">
        <v>177</v>
      </c>
      <c r="P227">
        <v>5.8222558800000001E-3</v>
      </c>
      <c r="Q227" t="s">
        <v>177</v>
      </c>
      <c r="R227">
        <v>3.392150815506458E-3</v>
      </c>
      <c r="S227" t="s">
        <v>178</v>
      </c>
      <c r="T227">
        <v>1.8428813391012915E-2</v>
      </c>
      <c r="U227">
        <v>0.181216665011627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4</v>
      </c>
      <c r="AB227">
        <v>1</v>
      </c>
      <c r="AC227">
        <v>0.5</v>
      </c>
      <c r="AD227">
        <v>0.50345253019720215</v>
      </c>
      <c r="AE227">
        <v>10800</v>
      </c>
      <c r="AF227">
        <v>200000</v>
      </c>
      <c r="AG227">
        <v>16666.666666666668</v>
      </c>
      <c r="AH227">
        <v>1</v>
      </c>
      <c r="AI227">
        <v>1</v>
      </c>
      <c r="AJ227" t="s">
        <v>162</v>
      </c>
      <c r="AK227" t="s">
        <v>176</v>
      </c>
      <c r="AL227">
        <v>0</v>
      </c>
      <c r="AM227" t="s">
        <v>176</v>
      </c>
      <c r="AN227">
        <v>0</v>
      </c>
    </row>
    <row r="228" spans="1:40" x14ac:dyDescent="0.15">
      <c r="A228" s="4" t="str">
        <f>HYPERLINK("https://ibp.a2mac1.com/costing(costing:projects/details/9760/process/12083847)","Automated Process")</f>
        <v>Automated Process</v>
      </c>
      <c r="B228" t="s">
        <v>1996</v>
      </c>
      <c r="C228">
        <v>12083847</v>
      </c>
      <c r="D228">
        <v>8412633</v>
      </c>
      <c r="E228">
        <v>0.86</v>
      </c>
      <c r="F228">
        <v>0</v>
      </c>
      <c r="G228">
        <v>0</v>
      </c>
      <c r="H228">
        <v>4.3515999999999997E-3</v>
      </c>
      <c r="I228" t="s">
        <v>176</v>
      </c>
      <c r="J228">
        <v>3.0099999999999998E-2</v>
      </c>
      <c r="K228">
        <v>0.89445160000000001</v>
      </c>
      <c r="L228">
        <v>0.2655047822408455</v>
      </c>
      <c r="M228">
        <v>1.5930286934450728</v>
      </c>
      <c r="N228">
        <v>2.4874802934450728</v>
      </c>
      <c r="O228" t="s">
        <v>177</v>
      </c>
      <c r="P228">
        <v>5.3667095999999997E-2</v>
      </c>
      <c r="Q228" t="s">
        <v>177</v>
      </c>
      <c r="R228">
        <v>9.5581721606704376E-2</v>
      </c>
      <c r="S228" t="s">
        <v>178</v>
      </c>
      <c r="T228">
        <v>0.29849763521340877</v>
      </c>
      <c r="U228">
        <v>2.9352267462651862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149</v>
      </c>
      <c r="AB228">
        <v>1</v>
      </c>
      <c r="AC228">
        <v>0.5</v>
      </c>
      <c r="AD228">
        <v>0.50345253019720215</v>
      </c>
      <c r="AE228">
        <v>10800</v>
      </c>
      <c r="AF228">
        <v>200000</v>
      </c>
      <c r="AG228">
        <v>16666.666666666668</v>
      </c>
      <c r="AH228">
        <v>1</v>
      </c>
      <c r="AI228">
        <v>1</v>
      </c>
      <c r="AJ228" t="s">
        <v>162</v>
      </c>
      <c r="AK228" t="s">
        <v>176</v>
      </c>
      <c r="AL228">
        <v>0</v>
      </c>
      <c r="AM228" t="s">
        <v>176</v>
      </c>
      <c r="AN228">
        <v>0</v>
      </c>
    </row>
    <row r="229" spans="1:40" x14ac:dyDescent="0.15">
      <c r="A229" s="4" t="str">
        <f>HYPERLINK("https://ibp.a2mac1.com/costing(costing:projects/details/9760/process/12083848)","Automated Process")</f>
        <v>Automated Process</v>
      </c>
      <c r="B229" t="s">
        <v>1996</v>
      </c>
      <c r="C229">
        <v>12083848</v>
      </c>
      <c r="D229">
        <v>8412635</v>
      </c>
      <c r="E229">
        <v>0.66</v>
      </c>
      <c r="F229">
        <v>0</v>
      </c>
      <c r="G229">
        <v>0</v>
      </c>
      <c r="H229">
        <v>3.3395999999999999E-3</v>
      </c>
      <c r="I229" t="s">
        <v>176</v>
      </c>
      <c r="J229">
        <v>2.3099999999999999E-2</v>
      </c>
      <c r="K229">
        <v>0.68643960000000004</v>
      </c>
      <c r="L229">
        <v>0.20722401909698474</v>
      </c>
      <c r="M229">
        <v>1.2433441145819084</v>
      </c>
      <c r="N229">
        <v>1.9297837145819083</v>
      </c>
      <c r="O229" t="s">
        <v>177</v>
      </c>
      <c r="P229">
        <v>4.1186375999999997E-2</v>
      </c>
      <c r="Q229" t="s">
        <v>177</v>
      </c>
      <c r="R229">
        <v>7.4600646874914509E-2</v>
      </c>
      <c r="S229" t="s">
        <v>178</v>
      </c>
      <c r="T229">
        <v>0.23157404574982901</v>
      </c>
      <c r="U229">
        <v>2.2771447832066518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116</v>
      </c>
      <c r="AB229">
        <v>1</v>
      </c>
      <c r="AC229">
        <v>0.5</v>
      </c>
      <c r="AD229">
        <v>0.50345253019720215</v>
      </c>
      <c r="AE229">
        <v>10800</v>
      </c>
      <c r="AF229">
        <v>200000</v>
      </c>
      <c r="AG229">
        <v>16666.666666666668</v>
      </c>
      <c r="AH229">
        <v>1</v>
      </c>
      <c r="AI229">
        <v>1</v>
      </c>
      <c r="AJ229" t="s">
        <v>162</v>
      </c>
      <c r="AK229" t="s">
        <v>176</v>
      </c>
      <c r="AL229">
        <v>0</v>
      </c>
      <c r="AM229" t="s">
        <v>176</v>
      </c>
      <c r="AN229">
        <v>0</v>
      </c>
    </row>
    <row r="230" spans="1:40" x14ac:dyDescent="0.15">
      <c r="A230" s="4" t="str">
        <f>HYPERLINK("https://ibp.a2mac1.com/costing(costing:projects/details/9760/process/12083814)","Process")</f>
        <v>Process</v>
      </c>
      <c r="B230" t="s">
        <v>318</v>
      </c>
      <c r="C230">
        <v>12083814</v>
      </c>
      <c r="D230">
        <v>8412562</v>
      </c>
      <c r="E230">
        <v>0</v>
      </c>
      <c r="F230">
        <v>0</v>
      </c>
      <c r="G230">
        <v>0</v>
      </c>
      <c r="H230">
        <v>0</v>
      </c>
      <c r="I230" t="s">
        <v>176</v>
      </c>
      <c r="J230">
        <v>0</v>
      </c>
      <c r="K230">
        <v>0</v>
      </c>
      <c r="L230">
        <v>0.27620423544165829</v>
      </c>
      <c r="M230">
        <v>0.966714824045804</v>
      </c>
      <c r="N230">
        <v>0.966714824045804</v>
      </c>
      <c r="O230" t="s">
        <v>90</v>
      </c>
      <c r="P230">
        <v>0</v>
      </c>
      <c r="Q230" t="s">
        <v>90</v>
      </c>
      <c r="R230">
        <v>0</v>
      </c>
      <c r="S230" t="s">
        <v>90</v>
      </c>
      <c r="T230">
        <v>0</v>
      </c>
      <c r="U230">
        <v>0.966714824045804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121</v>
      </c>
      <c r="AB230">
        <v>1</v>
      </c>
      <c r="AC230">
        <v>10</v>
      </c>
      <c r="AD230">
        <v>10.007199424046076</v>
      </c>
      <c r="AE230">
        <v>126</v>
      </c>
      <c r="AF230">
        <v>200000</v>
      </c>
      <c r="AG230">
        <v>10000</v>
      </c>
      <c r="AH230">
        <v>1</v>
      </c>
      <c r="AI230">
        <v>1</v>
      </c>
      <c r="AJ230" t="s">
        <v>76</v>
      </c>
      <c r="AK230" t="s">
        <v>176</v>
      </c>
      <c r="AL230">
        <v>0</v>
      </c>
      <c r="AM230" t="s">
        <v>176</v>
      </c>
      <c r="AN230">
        <v>0</v>
      </c>
    </row>
    <row r="231" spans="1:40" x14ac:dyDescent="0.15">
      <c r="A231" s="4" t="str">
        <f>HYPERLINK("https://ibp.a2mac1.com/costing(costing:projects/details/9760/process/12083813)","Automated Process")</f>
        <v>Automated Process</v>
      </c>
      <c r="B231" t="s">
        <v>753</v>
      </c>
      <c r="C231">
        <v>12083813</v>
      </c>
      <c r="D231">
        <v>8412552</v>
      </c>
      <c r="E231">
        <v>0.28000000000000003</v>
      </c>
      <c r="F231">
        <v>0</v>
      </c>
      <c r="G231">
        <v>0</v>
      </c>
      <c r="H231">
        <v>1.4168E-3</v>
      </c>
      <c r="I231" t="s">
        <v>176</v>
      </c>
      <c r="J231">
        <v>9.7999999999999997E-3</v>
      </c>
      <c r="K231">
        <v>0.2912168</v>
      </c>
      <c r="L231">
        <v>2.3551311007241758E-2</v>
      </c>
      <c r="M231">
        <v>0.14130786604345055</v>
      </c>
      <c r="N231">
        <v>0.43252466604345052</v>
      </c>
      <c r="O231" t="s">
        <v>90</v>
      </c>
      <c r="P231">
        <v>0</v>
      </c>
      <c r="Q231" t="s">
        <v>90</v>
      </c>
      <c r="R231">
        <v>0</v>
      </c>
      <c r="S231" t="s">
        <v>90</v>
      </c>
      <c r="T231">
        <v>0</v>
      </c>
      <c r="U231">
        <v>0.43252466604345052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12</v>
      </c>
      <c r="AB231">
        <v>1</v>
      </c>
      <c r="AC231">
        <v>0.5</v>
      </c>
      <c r="AD231">
        <v>0.50345253019720215</v>
      </c>
      <c r="AE231">
        <v>10800</v>
      </c>
      <c r="AF231">
        <v>200000</v>
      </c>
      <c r="AG231">
        <v>16666.666666666668</v>
      </c>
      <c r="AH231">
        <v>1</v>
      </c>
      <c r="AI231">
        <v>1</v>
      </c>
      <c r="AJ231" t="s">
        <v>162</v>
      </c>
      <c r="AK231" t="s">
        <v>176</v>
      </c>
      <c r="AL231">
        <v>0</v>
      </c>
      <c r="AM231" t="s">
        <v>176</v>
      </c>
      <c r="AN231">
        <v>0</v>
      </c>
    </row>
    <row r="232" spans="1:40" x14ac:dyDescent="0.15">
      <c r="A232" s="4" t="str">
        <f>HYPERLINK("https://ibp.a2mac1.com/costing(costing:projects/details/9760/process/12083744)","Final Assembly")</f>
        <v>Final Assembly</v>
      </c>
      <c r="C232">
        <v>12083744</v>
      </c>
      <c r="D232">
        <v>8412549</v>
      </c>
      <c r="E232">
        <v>0</v>
      </c>
      <c r="F232">
        <v>0</v>
      </c>
      <c r="G232">
        <v>0</v>
      </c>
      <c r="H232">
        <v>0</v>
      </c>
      <c r="I232" t="s">
        <v>176</v>
      </c>
      <c r="J232">
        <v>0</v>
      </c>
      <c r="K232">
        <v>0</v>
      </c>
      <c r="L232">
        <v>1.846029308964996</v>
      </c>
      <c r="M232">
        <v>11.076175853789977</v>
      </c>
      <c r="N232">
        <v>11.076175853789977</v>
      </c>
      <c r="O232" t="s">
        <v>90</v>
      </c>
      <c r="P232">
        <v>0</v>
      </c>
      <c r="Q232" t="s">
        <v>90</v>
      </c>
      <c r="R232">
        <v>0</v>
      </c>
      <c r="S232" t="s">
        <v>90</v>
      </c>
      <c r="T232">
        <v>0</v>
      </c>
      <c r="U232">
        <v>11.076175853789977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1043</v>
      </c>
      <c r="AB232">
        <v>1</v>
      </c>
      <c r="AC232">
        <v>0.5</v>
      </c>
      <c r="AD232">
        <v>0.50741219779126456</v>
      </c>
      <c r="AE232">
        <v>10800</v>
      </c>
      <c r="AF232">
        <v>200000</v>
      </c>
      <c r="AG232">
        <v>10000</v>
      </c>
      <c r="AH232">
        <v>1</v>
      </c>
      <c r="AI232">
        <v>1</v>
      </c>
      <c r="AJ232" t="s">
        <v>76</v>
      </c>
      <c r="AK232" t="s">
        <v>176</v>
      </c>
      <c r="AL232">
        <v>0</v>
      </c>
      <c r="AM232" t="s">
        <v>176</v>
      </c>
      <c r="AN232">
        <v>0</v>
      </c>
    </row>
    <row r="233" spans="1:40" x14ac:dyDescent="0.15">
      <c r="A233" s="4" t="str">
        <f>HYPERLINK("https://ibp.a2mac1.com/costing(costing:projects/details/9760/process/12083815)","Process")</f>
        <v>Process</v>
      </c>
      <c r="B233" t="s">
        <v>318</v>
      </c>
      <c r="C233">
        <v>12083815</v>
      </c>
      <c r="D233">
        <v>8412564</v>
      </c>
      <c r="E233">
        <v>0</v>
      </c>
      <c r="F233">
        <v>0</v>
      </c>
      <c r="G233">
        <v>0</v>
      </c>
      <c r="H233">
        <v>0</v>
      </c>
      <c r="I233" t="s">
        <v>176</v>
      </c>
      <c r="J233">
        <v>0</v>
      </c>
      <c r="K233">
        <v>0</v>
      </c>
      <c r="L233">
        <v>0.16436641484113643</v>
      </c>
      <c r="M233">
        <v>0.57528245194397742</v>
      </c>
      <c r="N233">
        <v>0.57528245194397742</v>
      </c>
      <c r="O233" t="s">
        <v>90</v>
      </c>
      <c r="P233">
        <v>0</v>
      </c>
      <c r="Q233" t="s">
        <v>90</v>
      </c>
      <c r="R233">
        <v>0</v>
      </c>
      <c r="S233" t="s">
        <v>90</v>
      </c>
      <c r="T233">
        <v>0</v>
      </c>
      <c r="U233">
        <v>0.57528245194397742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72</v>
      </c>
      <c r="AB233">
        <v>1</v>
      </c>
      <c r="AC233">
        <v>10</v>
      </c>
      <c r="AD233">
        <v>10.007199424046076</v>
      </c>
      <c r="AE233">
        <v>126</v>
      </c>
      <c r="AF233">
        <v>200000</v>
      </c>
      <c r="AG233">
        <v>10000</v>
      </c>
      <c r="AH233">
        <v>1</v>
      </c>
      <c r="AI233">
        <v>1</v>
      </c>
      <c r="AJ233" t="s">
        <v>76</v>
      </c>
      <c r="AK233" t="s">
        <v>176</v>
      </c>
      <c r="AL233">
        <v>0</v>
      </c>
      <c r="AM233" t="s">
        <v>176</v>
      </c>
      <c r="AN233">
        <v>0</v>
      </c>
    </row>
    <row r="234" spans="1:40" x14ac:dyDescent="0.15">
      <c r="A234" s="4" t="str">
        <f>HYPERLINK("https://ibp.a2mac1.com/costing(costing:projects/details/9760/process/12083849)","Automated Process")</f>
        <v>Automated Process</v>
      </c>
      <c r="B234" t="s">
        <v>1951</v>
      </c>
      <c r="C234">
        <v>12083849</v>
      </c>
      <c r="D234">
        <v>8412637</v>
      </c>
      <c r="E234">
        <v>3.6</v>
      </c>
      <c r="F234">
        <v>0</v>
      </c>
      <c r="G234">
        <v>0</v>
      </c>
      <c r="H234">
        <v>1.8216E-2</v>
      </c>
      <c r="I234" t="s">
        <v>176</v>
      </c>
      <c r="J234">
        <v>0.126</v>
      </c>
      <c r="K234">
        <v>3.7442160000000002</v>
      </c>
      <c r="L234">
        <v>7.3001655492941783E-2</v>
      </c>
      <c r="M234">
        <v>0.43800993295765073</v>
      </c>
      <c r="N234">
        <v>4.1822259329576505</v>
      </c>
      <c r="O234" t="s">
        <v>90</v>
      </c>
      <c r="P234">
        <v>0</v>
      </c>
      <c r="Q234" t="s">
        <v>90</v>
      </c>
      <c r="R234">
        <v>0</v>
      </c>
      <c r="S234" t="s">
        <v>90</v>
      </c>
      <c r="T234">
        <v>0</v>
      </c>
      <c r="U234">
        <v>4.1822259329576505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40</v>
      </c>
      <c r="AB234">
        <v>1</v>
      </c>
      <c r="AC234">
        <v>0.5</v>
      </c>
      <c r="AD234">
        <v>0.50345253019720215</v>
      </c>
      <c r="AE234">
        <v>10800</v>
      </c>
      <c r="AF234">
        <v>200000</v>
      </c>
      <c r="AG234">
        <v>16666.666666666668</v>
      </c>
      <c r="AH234">
        <v>1</v>
      </c>
      <c r="AI234">
        <v>1</v>
      </c>
      <c r="AJ234" t="s">
        <v>162</v>
      </c>
      <c r="AK234" t="s">
        <v>176</v>
      </c>
      <c r="AL234">
        <v>0</v>
      </c>
      <c r="AM234" t="s">
        <v>176</v>
      </c>
      <c r="AN234">
        <v>0</v>
      </c>
    </row>
    <row r="235" spans="1:40" x14ac:dyDescent="0.15">
      <c r="A235" s="4" t="str">
        <f>HYPERLINK("https://ibp.a2mac1.com/costing(costing:projects/details/9760/process/12083850)","Automated Process")</f>
        <v>Automated Process</v>
      </c>
      <c r="B235" t="s">
        <v>1956</v>
      </c>
      <c r="C235">
        <v>12083850</v>
      </c>
      <c r="D235">
        <v>8412638</v>
      </c>
      <c r="E235">
        <v>0.19</v>
      </c>
      <c r="F235">
        <v>0</v>
      </c>
      <c r="G235">
        <v>0</v>
      </c>
      <c r="H235">
        <v>9.6139999999999995E-4</v>
      </c>
      <c r="I235" t="s">
        <v>176</v>
      </c>
      <c r="J235">
        <v>6.6499999999999997E-3</v>
      </c>
      <c r="K235">
        <v>0.19761139999999999</v>
      </c>
      <c r="L235">
        <v>9.422641154184605E-3</v>
      </c>
      <c r="M235">
        <v>5.653584692510763E-2</v>
      </c>
      <c r="N235">
        <v>0.25414724692510765</v>
      </c>
      <c r="O235" t="s">
        <v>90</v>
      </c>
      <c r="P235">
        <v>0</v>
      </c>
      <c r="Q235" t="s">
        <v>90</v>
      </c>
      <c r="R235">
        <v>0</v>
      </c>
      <c r="S235" t="s">
        <v>90</v>
      </c>
      <c r="T235">
        <v>0</v>
      </c>
      <c r="U235">
        <v>0.25414724692510765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4</v>
      </c>
      <c r="AB235">
        <v>1</v>
      </c>
      <c r="AC235">
        <v>0.5</v>
      </c>
      <c r="AD235">
        <v>0.50345253019720215</v>
      </c>
      <c r="AE235">
        <v>10800</v>
      </c>
      <c r="AF235">
        <v>200000</v>
      </c>
      <c r="AG235">
        <v>16666.666666666668</v>
      </c>
      <c r="AH235">
        <v>1</v>
      </c>
      <c r="AI235">
        <v>1</v>
      </c>
      <c r="AJ235" t="s">
        <v>162</v>
      </c>
      <c r="AK235" t="s">
        <v>176</v>
      </c>
      <c r="AL235">
        <v>0</v>
      </c>
      <c r="AM235" t="s">
        <v>176</v>
      </c>
      <c r="AN235">
        <v>0</v>
      </c>
    </row>
    <row r="236" spans="1:40" x14ac:dyDescent="0.15">
      <c r="A236" s="4" t="str">
        <f>HYPERLINK("https://ibp.a2mac1.com/costing(costing:projects/details/9760/process/12083851)","Automated Process")</f>
        <v>Automated Process</v>
      </c>
      <c r="B236" t="s">
        <v>1965</v>
      </c>
      <c r="C236">
        <v>12083851</v>
      </c>
      <c r="D236">
        <v>8412639</v>
      </c>
      <c r="E236">
        <v>0.36</v>
      </c>
      <c r="F236">
        <v>0</v>
      </c>
      <c r="G236">
        <v>0</v>
      </c>
      <c r="H236">
        <v>1.8216E-3</v>
      </c>
      <c r="I236" t="s">
        <v>176</v>
      </c>
      <c r="J236">
        <v>1.26E-2</v>
      </c>
      <c r="K236">
        <v>0.37442160000000002</v>
      </c>
      <c r="L236">
        <v>0.11538766505211324</v>
      </c>
      <c r="M236">
        <v>0.6923259903126795</v>
      </c>
      <c r="N236">
        <v>1.0667475903126795</v>
      </c>
      <c r="O236" t="s">
        <v>90</v>
      </c>
      <c r="P236">
        <v>0</v>
      </c>
      <c r="Q236" t="s">
        <v>90</v>
      </c>
      <c r="R236">
        <v>0</v>
      </c>
      <c r="S236" t="s">
        <v>90</v>
      </c>
      <c r="T236">
        <v>0</v>
      </c>
      <c r="U236">
        <v>1.0667475903126795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64</v>
      </c>
      <c r="AB236">
        <v>1</v>
      </c>
      <c r="AC236">
        <v>0.5</v>
      </c>
      <c r="AD236">
        <v>0.50345253019720215</v>
      </c>
      <c r="AE236">
        <v>10800</v>
      </c>
      <c r="AF236">
        <v>200000</v>
      </c>
      <c r="AG236">
        <v>16666.666666666668</v>
      </c>
      <c r="AH236">
        <v>1</v>
      </c>
      <c r="AI236">
        <v>1</v>
      </c>
      <c r="AJ236" t="s">
        <v>162</v>
      </c>
      <c r="AK236" t="s">
        <v>176</v>
      </c>
      <c r="AL236">
        <v>0</v>
      </c>
      <c r="AM236" t="s">
        <v>176</v>
      </c>
      <c r="AN236">
        <v>0</v>
      </c>
    </row>
    <row r="237" spans="1:40" x14ac:dyDescent="0.15">
      <c r="A237" s="4" t="str">
        <f>HYPERLINK("https://ibp.a2mac1.com/costing(costing:projects/details/9760/process/12083852)","Automated Process")</f>
        <v>Automated Process</v>
      </c>
      <c r="B237" t="s">
        <v>794</v>
      </c>
      <c r="C237">
        <v>12083852</v>
      </c>
      <c r="D237">
        <v>8412640</v>
      </c>
      <c r="E237">
        <v>0.29128999999999999</v>
      </c>
      <c r="F237">
        <v>0</v>
      </c>
      <c r="G237">
        <v>0</v>
      </c>
      <c r="H237">
        <v>1.4739274E-3</v>
      </c>
      <c r="I237" t="s">
        <v>176</v>
      </c>
      <c r="J237">
        <v>1.019515E-2</v>
      </c>
      <c r="K237">
        <v>0.3029590774</v>
      </c>
      <c r="L237">
        <v>3.2381729665402474E-2</v>
      </c>
      <c r="M237">
        <v>0.19429037799241486</v>
      </c>
      <c r="N237">
        <v>0.49724945539241489</v>
      </c>
      <c r="O237" t="s">
        <v>90</v>
      </c>
      <c r="P237">
        <v>0</v>
      </c>
      <c r="Q237" t="s">
        <v>90</v>
      </c>
      <c r="R237">
        <v>0</v>
      </c>
      <c r="S237" t="s">
        <v>90</v>
      </c>
      <c r="T237">
        <v>0</v>
      </c>
      <c r="U237">
        <v>0.49724945539241489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17</v>
      </c>
      <c r="AB237">
        <v>1</v>
      </c>
      <c r="AC237">
        <v>0.5</v>
      </c>
      <c r="AD237">
        <v>0.50345253019720215</v>
      </c>
      <c r="AE237">
        <v>10800</v>
      </c>
      <c r="AF237">
        <v>200000</v>
      </c>
      <c r="AG237">
        <v>16666.666666666668</v>
      </c>
      <c r="AH237">
        <v>1</v>
      </c>
      <c r="AI237">
        <v>1</v>
      </c>
      <c r="AJ237" t="s">
        <v>162</v>
      </c>
      <c r="AK237" t="s">
        <v>176</v>
      </c>
      <c r="AL237">
        <v>0</v>
      </c>
      <c r="AM237" t="s">
        <v>176</v>
      </c>
      <c r="AN237">
        <v>0</v>
      </c>
    </row>
    <row r="238" spans="1:40" x14ac:dyDescent="0.15">
      <c r="A238" s="4" t="str">
        <f>HYPERLINK("https://ibp.a2mac1.com/costing(costing:projects/details/9760/process/12083853)","Automated Process")</f>
        <v>Automated Process</v>
      </c>
      <c r="B238" t="s">
        <v>794</v>
      </c>
      <c r="C238">
        <v>12083853</v>
      </c>
      <c r="D238">
        <v>8412641</v>
      </c>
      <c r="E238">
        <v>0.52</v>
      </c>
      <c r="F238">
        <v>0</v>
      </c>
      <c r="G238">
        <v>0</v>
      </c>
      <c r="H238">
        <v>2.6312000000000002E-3</v>
      </c>
      <c r="I238" t="s">
        <v>176</v>
      </c>
      <c r="J238">
        <v>1.8200000000000001E-2</v>
      </c>
      <c r="K238">
        <v>0.54083119999999996</v>
      </c>
      <c r="L238">
        <v>2.7083478470506045E-2</v>
      </c>
      <c r="M238">
        <v>0.16250087082303627</v>
      </c>
      <c r="N238">
        <v>0.70333207082303628</v>
      </c>
      <c r="O238" t="s">
        <v>90</v>
      </c>
      <c r="P238">
        <v>0</v>
      </c>
      <c r="Q238" t="s">
        <v>90</v>
      </c>
      <c r="R238">
        <v>0</v>
      </c>
      <c r="S238" t="s">
        <v>90</v>
      </c>
      <c r="T238">
        <v>0</v>
      </c>
      <c r="U238">
        <v>0.70333207082303628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14</v>
      </c>
      <c r="AB238">
        <v>1</v>
      </c>
      <c r="AC238">
        <v>0.5</v>
      </c>
      <c r="AD238">
        <v>0.50345253019720215</v>
      </c>
      <c r="AE238">
        <v>10800</v>
      </c>
      <c r="AF238">
        <v>200000</v>
      </c>
      <c r="AG238">
        <v>16666.666666666668</v>
      </c>
      <c r="AH238">
        <v>1</v>
      </c>
      <c r="AI238">
        <v>1</v>
      </c>
      <c r="AJ238" t="s">
        <v>162</v>
      </c>
      <c r="AK238" t="s">
        <v>176</v>
      </c>
      <c r="AL238">
        <v>0</v>
      </c>
      <c r="AM238" t="s">
        <v>176</v>
      </c>
      <c r="AN238">
        <v>0</v>
      </c>
    </row>
    <row r="239" spans="1:40" x14ac:dyDescent="0.15">
      <c r="A239" s="4" t="str">
        <f>HYPERLINK("https://ibp.a2mac1.com/costing(costing:projects/details/9760/process/12083854)","Automated Process")</f>
        <v>Automated Process</v>
      </c>
      <c r="B239" t="s">
        <v>794</v>
      </c>
      <c r="C239">
        <v>12083854</v>
      </c>
      <c r="D239">
        <v>8412642</v>
      </c>
      <c r="E239">
        <v>0.34342</v>
      </c>
      <c r="F239">
        <v>0</v>
      </c>
      <c r="G239">
        <v>0</v>
      </c>
      <c r="H239">
        <v>1.7377052E-3</v>
      </c>
      <c r="I239" t="s">
        <v>176</v>
      </c>
      <c r="J239">
        <v>1.2019699999999999E-2</v>
      </c>
      <c r="K239">
        <v>0.35717740520000002</v>
      </c>
      <c r="L239">
        <v>3.767998086029891E-2</v>
      </c>
      <c r="M239">
        <v>0.22607988516179345</v>
      </c>
      <c r="N239">
        <v>0.58325729036179341</v>
      </c>
      <c r="O239" t="s">
        <v>90</v>
      </c>
      <c r="P239">
        <v>0</v>
      </c>
      <c r="Q239" t="s">
        <v>90</v>
      </c>
      <c r="R239">
        <v>0</v>
      </c>
      <c r="S239" t="s">
        <v>90</v>
      </c>
      <c r="T239">
        <v>0</v>
      </c>
      <c r="U239">
        <v>0.58325729036179341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20</v>
      </c>
      <c r="AB239">
        <v>1</v>
      </c>
      <c r="AC239">
        <v>0.5</v>
      </c>
      <c r="AD239">
        <v>0.50345253019720215</v>
      </c>
      <c r="AE239">
        <v>10800</v>
      </c>
      <c r="AF239">
        <v>200000</v>
      </c>
      <c r="AG239">
        <v>16666.666666666668</v>
      </c>
      <c r="AH239">
        <v>1</v>
      </c>
      <c r="AI239">
        <v>1</v>
      </c>
      <c r="AJ239" t="s">
        <v>162</v>
      </c>
      <c r="AK239" t="s">
        <v>176</v>
      </c>
      <c r="AL239">
        <v>0</v>
      </c>
      <c r="AM239" t="s">
        <v>176</v>
      </c>
      <c r="AN239">
        <v>0</v>
      </c>
    </row>
    <row r="240" spans="1:40" x14ac:dyDescent="0.15">
      <c r="A240" s="4" t="str">
        <f>HYPERLINK("https://ibp.a2mac1.com/costing(costing:projects/details/9760/process/12083964)","Automated Process")</f>
        <v>Automated Process</v>
      </c>
      <c r="B240" t="s">
        <v>1987</v>
      </c>
      <c r="C240">
        <v>12083964</v>
      </c>
      <c r="D240">
        <v>8412732</v>
      </c>
      <c r="E240">
        <v>14.81</v>
      </c>
      <c r="F240">
        <v>0</v>
      </c>
      <c r="G240">
        <v>0</v>
      </c>
      <c r="H240">
        <v>7.4938599999999994E-2</v>
      </c>
      <c r="I240" t="s">
        <v>176</v>
      </c>
      <c r="J240">
        <v>0.51834999999999998</v>
      </c>
      <c r="K240">
        <v>15.4032886</v>
      </c>
      <c r="L240">
        <v>0.369703722407142</v>
      </c>
      <c r="M240">
        <v>2.218222334442852</v>
      </c>
      <c r="N240">
        <v>17.621510934442853</v>
      </c>
      <c r="O240" t="s">
        <v>90</v>
      </c>
      <c r="P240">
        <v>0</v>
      </c>
      <c r="Q240" t="s">
        <v>90</v>
      </c>
      <c r="R240">
        <v>0</v>
      </c>
      <c r="S240" t="s">
        <v>90</v>
      </c>
      <c r="T240">
        <v>0</v>
      </c>
      <c r="U240">
        <v>17.621510934442853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208</v>
      </c>
      <c r="AB240">
        <v>1</v>
      </c>
      <c r="AC240">
        <v>0.5</v>
      </c>
      <c r="AD240">
        <v>0.50345253019720215</v>
      </c>
      <c r="AE240">
        <v>10800</v>
      </c>
      <c r="AF240">
        <v>200000</v>
      </c>
      <c r="AG240">
        <v>16666.666666666668</v>
      </c>
      <c r="AH240">
        <v>1</v>
      </c>
      <c r="AI240">
        <v>1</v>
      </c>
      <c r="AJ240" t="s">
        <v>162</v>
      </c>
      <c r="AK240" t="s">
        <v>176</v>
      </c>
      <c r="AL240">
        <v>0</v>
      </c>
      <c r="AM240" t="s">
        <v>176</v>
      </c>
      <c r="AN240">
        <v>0</v>
      </c>
    </row>
    <row r="241" spans="1:40" x14ac:dyDescent="0.15">
      <c r="A241" s="4" t="str">
        <f>HYPERLINK("https://ibp.a2mac1.com/costing(costing:projects/details/9760/process/12083965)","Automated Process")</f>
        <v>Automated Process</v>
      </c>
      <c r="B241" t="s">
        <v>1992</v>
      </c>
      <c r="C241">
        <v>12083965</v>
      </c>
      <c r="D241">
        <v>8412733</v>
      </c>
      <c r="E241">
        <v>0.89</v>
      </c>
      <c r="F241">
        <v>0</v>
      </c>
      <c r="G241">
        <v>0</v>
      </c>
      <c r="H241">
        <v>4.5034000000000003E-3</v>
      </c>
      <c r="I241" t="s">
        <v>176</v>
      </c>
      <c r="J241">
        <v>3.1150000000000001E-2</v>
      </c>
      <c r="K241">
        <v>0.92565339999999996</v>
      </c>
      <c r="L241">
        <v>0.1454110884898597</v>
      </c>
      <c r="M241">
        <v>0.87246653093915816</v>
      </c>
      <c r="N241">
        <v>1.7981199309391582</v>
      </c>
      <c r="O241" t="s">
        <v>90</v>
      </c>
      <c r="P241">
        <v>0</v>
      </c>
      <c r="Q241" t="s">
        <v>90</v>
      </c>
      <c r="R241">
        <v>0</v>
      </c>
      <c r="S241" t="s">
        <v>90</v>
      </c>
      <c r="T241">
        <v>0</v>
      </c>
      <c r="U241">
        <v>1.7981199309391582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81</v>
      </c>
      <c r="AB241">
        <v>1</v>
      </c>
      <c r="AC241">
        <v>0.5</v>
      </c>
      <c r="AD241">
        <v>0.50345253019720215</v>
      </c>
      <c r="AE241">
        <v>10800</v>
      </c>
      <c r="AF241">
        <v>200000</v>
      </c>
      <c r="AG241">
        <v>16666.666666666668</v>
      </c>
      <c r="AH241">
        <v>1</v>
      </c>
      <c r="AI241">
        <v>1</v>
      </c>
      <c r="AJ241" t="s">
        <v>162</v>
      </c>
      <c r="AK241" t="s">
        <v>176</v>
      </c>
      <c r="AL241">
        <v>0</v>
      </c>
      <c r="AM241" t="s">
        <v>176</v>
      </c>
      <c r="AN241">
        <v>0</v>
      </c>
    </row>
    <row r="242" spans="1:40" x14ac:dyDescent="0.15">
      <c r="A242" s="4" t="str">
        <f>HYPERLINK("https://ibp.a2mac1.com/costing(costing:projects/details/9760/process/12083966)","Automated Process")</f>
        <v>Automated Process</v>
      </c>
      <c r="B242" t="s">
        <v>1996</v>
      </c>
      <c r="C242">
        <v>12083966</v>
      </c>
      <c r="D242">
        <v>8412734</v>
      </c>
      <c r="E242">
        <v>0.51</v>
      </c>
      <c r="F242">
        <v>0</v>
      </c>
      <c r="G242">
        <v>0</v>
      </c>
      <c r="H242">
        <v>2.5806000000000002E-3</v>
      </c>
      <c r="I242" t="s">
        <v>176</v>
      </c>
      <c r="J242">
        <v>1.7850000000000001E-2</v>
      </c>
      <c r="K242">
        <v>0.53043059999999997</v>
      </c>
      <c r="L242">
        <v>0.15777367461128469</v>
      </c>
      <c r="M242">
        <v>0.94664204766770821</v>
      </c>
      <c r="N242">
        <v>1.4770726476677083</v>
      </c>
      <c r="O242" t="s">
        <v>90</v>
      </c>
      <c r="P242">
        <v>0</v>
      </c>
      <c r="Q242" t="s">
        <v>90</v>
      </c>
      <c r="R242">
        <v>0</v>
      </c>
      <c r="S242" t="s">
        <v>90</v>
      </c>
      <c r="T242">
        <v>0</v>
      </c>
      <c r="U242">
        <v>1.4770726476677083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88</v>
      </c>
      <c r="AB242">
        <v>1</v>
      </c>
      <c r="AC242">
        <v>0.5</v>
      </c>
      <c r="AD242">
        <v>0.50345253019720215</v>
      </c>
      <c r="AE242">
        <v>10800</v>
      </c>
      <c r="AF242">
        <v>200000</v>
      </c>
      <c r="AG242">
        <v>16666.666666666668</v>
      </c>
      <c r="AH242">
        <v>1</v>
      </c>
      <c r="AI242">
        <v>1</v>
      </c>
      <c r="AJ242" t="s">
        <v>162</v>
      </c>
      <c r="AK242" t="s">
        <v>176</v>
      </c>
      <c r="AL242">
        <v>0</v>
      </c>
      <c r="AM242" t="s">
        <v>176</v>
      </c>
      <c r="AN242">
        <v>0</v>
      </c>
    </row>
    <row r="243" spans="1:40" x14ac:dyDescent="0.15">
      <c r="A243" s="4" t="str">
        <f>HYPERLINK("https://ibp.a2mac1.com/costing(costing:projects/details/9760/process/12083967)","Automated Process")</f>
        <v>Automated Process</v>
      </c>
      <c r="B243" t="s">
        <v>1992</v>
      </c>
      <c r="C243">
        <v>12083967</v>
      </c>
      <c r="D243">
        <v>8412735</v>
      </c>
      <c r="E243">
        <v>0.1</v>
      </c>
      <c r="F243">
        <v>0</v>
      </c>
      <c r="G243">
        <v>0</v>
      </c>
      <c r="H243">
        <v>5.0600000000000005E-4</v>
      </c>
      <c r="I243" t="s">
        <v>176</v>
      </c>
      <c r="J243">
        <v>3.5000000000000001E-3</v>
      </c>
      <c r="K243">
        <v>0.104006</v>
      </c>
      <c r="L243">
        <v>2.5317394738873903E-2</v>
      </c>
      <c r="M243">
        <v>0.1519043684332434</v>
      </c>
      <c r="N243">
        <v>0.25591036843324338</v>
      </c>
      <c r="O243" t="s">
        <v>90</v>
      </c>
      <c r="P243">
        <v>0</v>
      </c>
      <c r="Q243" t="s">
        <v>90</v>
      </c>
      <c r="R243">
        <v>0</v>
      </c>
      <c r="S243" t="s">
        <v>90</v>
      </c>
      <c r="T243">
        <v>0</v>
      </c>
      <c r="U243">
        <v>0.25591036843324338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13</v>
      </c>
      <c r="AB243">
        <v>1</v>
      </c>
      <c r="AC243">
        <v>0.5</v>
      </c>
      <c r="AD243">
        <v>0.50345253019720215</v>
      </c>
      <c r="AE243">
        <v>10800</v>
      </c>
      <c r="AF243">
        <v>200000</v>
      </c>
      <c r="AG243">
        <v>16666.666666666668</v>
      </c>
      <c r="AH243">
        <v>1</v>
      </c>
      <c r="AI243">
        <v>1</v>
      </c>
      <c r="AJ243" t="s">
        <v>162</v>
      </c>
      <c r="AK243" t="s">
        <v>176</v>
      </c>
      <c r="AL243">
        <v>0</v>
      </c>
      <c r="AM243" t="s">
        <v>176</v>
      </c>
      <c r="AN243">
        <v>0</v>
      </c>
    </row>
    <row r="244" spans="1:40" x14ac:dyDescent="0.15">
      <c r="A244" s="4" t="str">
        <f>HYPERLINK("https://ibp.a2mac1.com/costing(costing:projects/details/9760/process/12083968)","Automated Process")</f>
        <v>Automated Process</v>
      </c>
      <c r="B244" t="s">
        <v>2007</v>
      </c>
      <c r="C244">
        <v>12083968</v>
      </c>
      <c r="D244">
        <v>8412736</v>
      </c>
      <c r="E244">
        <v>7.0000000000000007E-2</v>
      </c>
      <c r="F244">
        <v>0</v>
      </c>
      <c r="G244">
        <v>0</v>
      </c>
      <c r="H244">
        <v>3.5419999999999999E-4</v>
      </c>
      <c r="I244" t="s">
        <v>176</v>
      </c>
      <c r="J244">
        <v>2.4499999999999999E-3</v>
      </c>
      <c r="K244">
        <v>7.2804199999999999E-2</v>
      </c>
      <c r="L244">
        <v>9.422641154184605E-3</v>
      </c>
      <c r="M244">
        <v>5.653584692510763E-2</v>
      </c>
      <c r="N244">
        <v>0.12934004692510764</v>
      </c>
      <c r="O244" t="s">
        <v>90</v>
      </c>
      <c r="P244">
        <v>0</v>
      </c>
      <c r="Q244" t="s">
        <v>90</v>
      </c>
      <c r="R244">
        <v>0</v>
      </c>
      <c r="S244" t="s">
        <v>90</v>
      </c>
      <c r="T244">
        <v>0</v>
      </c>
      <c r="U244">
        <v>0.12934004692510764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</v>
      </c>
      <c r="AB244">
        <v>1</v>
      </c>
      <c r="AC244">
        <v>0.5</v>
      </c>
      <c r="AD244">
        <v>0.50345253019720215</v>
      </c>
      <c r="AE244">
        <v>10800</v>
      </c>
      <c r="AF244">
        <v>200000</v>
      </c>
      <c r="AG244">
        <v>16666.666666666668</v>
      </c>
      <c r="AH244">
        <v>1</v>
      </c>
      <c r="AI244">
        <v>1</v>
      </c>
      <c r="AJ244" t="s">
        <v>162</v>
      </c>
      <c r="AK244" t="s">
        <v>176</v>
      </c>
      <c r="AL244">
        <v>0</v>
      </c>
      <c r="AM244" t="s">
        <v>176</v>
      </c>
      <c r="AN244">
        <v>0</v>
      </c>
    </row>
    <row r="245" spans="1:40" x14ac:dyDescent="0.15">
      <c r="A245" s="4" t="str">
        <f>HYPERLINK("https://ibp.a2mac1.com/costing(costing:projects/details/9760/process/12083969)","Automated Process")</f>
        <v>Automated Process</v>
      </c>
      <c r="B245" t="s">
        <v>794</v>
      </c>
      <c r="C245">
        <v>12083969</v>
      </c>
      <c r="D245">
        <v>8412737</v>
      </c>
      <c r="E245">
        <v>0.04</v>
      </c>
      <c r="F245">
        <v>0</v>
      </c>
      <c r="G245">
        <v>0</v>
      </c>
      <c r="H245">
        <v>2.0239999999999999E-4</v>
      </c>
      <c r="I245" t="s">
        <v>176</v>
      </c>
      <c r="J245">
        <v>1.4E-3</v>
      </c>
      <c r="K245">
        <v>4.1602399999999998E-2</v>
      </c>
      <c r="L245">
        <v>5.8904736909203177E-3</v>
      </c>
      <c r="M245">
        <v>3.5342842145521906E-2</v>
      </c>
      <c r="N245">
        <v>7.6945242145521897E-2</v>
      </c>
      <c r="O245" t="s">
        <v>90</v>
      </c>
      <c r="P245">
        <v>0</v>
      </c>
      <c r="Q245" t="s">
        <v>90</v>
      </c>
      <c r="R245">
        <v>0</v>
      </c>
      <c r="S245" t="s">
        <v>90</v>
      </c>
      <c r="T245">
        <v>0</v>
      </c>
      <c r="U245">
        <v>7.6945242145521897E-2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</v>
      </c>
      <c r="AB245">
        <v>1</v>
      </c>
      <c r="AC245">
        <v>0.5</v>
      </c>
      <c r="AD245">
        <v>0.50345253019720215</v>
      </c>
      <c r="AE245">
        <v>10800</v>
      </c>
      <c r="AF245">
        <v>200000</v>
      </c>
      <c r="AG245">
        <v>16666.666666666668</v>
      </c>
      <c r="AH245">
        <v>1</v>
      </c>
      <c r="AI245">
        <v>1</v>
      </c>
      <c r="AJ245" t="s">
        <v>162</v>
      </c>
      <c r="AK245" t="s">
        <v>176</v>
      </c>
      <c r="AL245">
        <v>0</v>
      </c>
      <c r="AM245" t="s">
        <v>176</v>
      </c>
      <c r="AN245">
        <v>0</v>
      </c>
    </row>
    <row r="246" spans="1:40" x14ac:dyDescent="0.15">
      <c r="A246" s="4" t="str">
        <f>HYPERLINK("https://ibp.a2mac1.com/costing(costing:projects/details/9760/process/12083970)","Automated Process")</f>
        <v>Automated Process</v>
      </c>
      <c r="B246" t="s">
        <v>794</v>
      </c>
      <c r="C246">
        <v>12083970</v>
      </c>
      <c r="D246">
        <v>8412738</v>
      </c>
      <c r="E246">
        <v>0.1</v>
      </c>
      <c r="F246">
        <v>0</v>
      </c>
      <c r="G246">
        <v>0</v>
      </c>
      <c r="H246">
        <v>5.0299999999999997E-4</v>
      </c>
      <c r="I246" t="s">
        <v>176</v>
      </c>
      <c r="J246">
        <v>3.5000000000000001E-3</v>
      </c>
      <c r="K246">
        <v>0.104003</v>
      </c>
      <c r="L246">
        <v>4.7111799490528695E-3</v>
      </c>
      <c r="M246">
        <v>2.8267079694317215E-2</v>
      </c>
      <c r="N246">
        <v>0.13227007969431723</v>
      </c>
      <c r="O246" t="s">
        <v>90</v>
      </c>
      <c r="P246">
        <v>0</v>
      </c>
      <c r="Q246" t="s">
        <v>90</v>
      </c>
      <c r="R246">
        <v>0</v>
      </c>
      <c r="S246" t="s">
        <v>90</v>
      </c>
      <c r="T246">
        <v>0</v>
      </c>
      <c r="U246">
        <v>0.13227007969431723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1</v>
      </c>
      <c r="AC246">
        <v>0.5</v>
      </c>
      <c r="AD246">
        <v>0.50048257265952256</v>
      </c>
      <c r="AE246">
        <v>10800</v>
      </c>
      <c r="AF246">
        <v>400000</v>
      </c>
      <c r="AG246">
        <v>33333.333333333336</v>
      </c>
      <c r="AH246">
        <v>1</v>
      </c>
      <c r="AI246">
        <v>1</v>
      </c>
      <c r="AJ246" t="s">
        <v>162</v>
      </c>
      <c r="AK246" t="s">
        <v>176</v>
      </c>
      <c r="AL246">
        <v>0</v>
      </c>
      <c r="AM246" t="s">
        <v>176</v>
      </c>
      <c r="AN246">
        <v>0</v>
      </c>
    </row>
    <row r="247" spans="1:40" x14ac:dyDescent="0.15">
      <c r="A247" s="4" t="str">
        <f>HYPERLINK("https://ibp.a2mac1.com/costing(costing:projects/details/9760/process/12083855)","Automated Process")</f>
        <v>Automated Process</v>
      </c>
      <c r="B247" t="s">
        <v>794</v>
      </c>
      <c r="C247">
        <v>12083855</v>
      </c>
      <c r="D247">
        <v>8412644</v>
      </c>
      <c r="E247">
        <v>0.4</v>
      </c>
      <c r="F247">
        <v>0</v>
      </c>
      <c r="G247">
        <v>0</v>
      </c>
      <c r="H247">
        <v>2.0240000000000002E-3</v>
      </c>
      <c r="I247" t="s">
        <v>176</v>
      </c>
      <c r="J247">
        <v>1.4E-2</v>
      </c>
      <c r="K247">
        <v>0.416024</v>
      </c>
      <c r="L247">
        <v>2.884956220213819E-2</v>
      </c>
      <c r="M247">
        <v>0.17309737321282914</v>
      </c>
      <c r="N247">
        <v>0.58912137321282909</v>
      </c>
      <c r="O247" t="s">
        <v>90</v>
      </c>
      <c r="P247">
        <v>0</v>
      </c>
      <c r="Q247" t="s">
        <v>90</v>
      </c>
      <c r="R247">
        <v>0</v>
      </c>
      <c r="S247" t="s">
        <v>90</v>
      </c>
      <c r="T247">
        <v>0</v>
      </c>
      <c r="U247">
        <v>0.58912137321282909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15</v>
      </c>
      <c r="AB247">
        <v>1</v>
      </c>
      <c r="AC247">
        <v>0.5</v>
      </c>
      <c r="AD247">
        <v>0.50345253019720215</v>
      </c>
      <c r="AE247">
        <v>10800</v>
      </c>
      <c r="AF247">
        <v>200000</v>
      </c>
      <c r="AG247">
        <v>16666.666666666668</v>
      </c>
      <c r="AH247">
        <v>1</v>
      </c>
      <c r="AI247">
        <v>1</v>
      </c>
      <c r="AJ247" t="s">
        <v>162</v>
      </c>
      <c r="AK247" t="s">
        <v>176</v>
      </c>
      <c r="AL247">
        <v>0</v>
      </c>
      <c r="AM247" t="s">
        <v>176</v>
      </c>
      <c r="AN247">
        <v>0</v>
      </c>
    </row>
    <row r="248" spans="1:40" x14ac:dyDescent="0.15">
      <c r="A248" s="4" t="str">
        <f>HYPERLINK("https://ibp.a2mac1.com/costing(costing:projects/details/9760/process/12083856)","Automated Process")</f>
        <v>Automated Process</v>
      </c>
      <c r="B248" t="s">
        <v>794</v>
      </c>
      <c r="C248">
        <v>12083856</v>
      </c>
      <c r="D248">
        <v>8412645</v>
      </c>
      <c r="E248">
        <v>0.4</v>
      </c>
      <c r="F248">
        <v>0</v>
      </c>
      <c r="G248">
        <v>0</v>
      </c>
      <c r="H248">
        <v>2.0240000000000002E-3</v>
      </c>
      <c r="I248" t="s">
        <v>176</v>
      </c>
      <c r="J248">
        <v>1.4E-2</v>
      </c>
      <c r="K248">
        <v>0.416024</v>
      </c>
      <c r="L248">
        <v>2.884956220213819E-2</v>
      </c>
      <c r="M248">
        <v>0.17309737321282914</v>
      </c>
      <c r="N248">
        <v>0.58912137321282909</v>
      </c>
      <c r="O248" t="s">
        <v>90</v>
      </c>
      <c r="P248">
        <v>0</v>
      </c>
      <c r="Q248" t="s">
        <v>90</v>
      </c>
      <c r="R248">
        <v>0</v>
      </c>
      <c r="S248" t="s">
        <v>90</v>
      </c>
      <c r="T248">
        <v>0</v>
      </c>
      <c r="U248">
        <v>0.58912137321282909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15</v>
      </c>
      <c r="AB248">
        <v>1</v>
      </c>
      <c r="AC248">
        <v>0.5</v>
      </c>
      <c r="AD248">
        <v>0.50345253019720215</v>
      </c>
      <c r="AE248">
        <v>10800</v>
      </c>
      <c r="AF248">
        <v>200000</v>
      </c>
      <c r="AG248">
        <v>16666.666666666668</v>
      </c>
      <c r="AH248">
        <v>1</v>
      </c>
      <c r="AI248">
        <v>1</v>
      </c>
      <c r="AJ248" t="s">
        <v>162</v>
      </c>
      <c r="AK248" t="s">
        <v>176</v>
      </c>
      <c r="AL248">
        <v>0</v>
      </c>
      <c r="AM248" t="s">
        <v>176</v>
      </c>
      <c r="AN248">
        <v>0</v>
      </c>
    </row>
    <row r="249" spans="1:40" x14ac:dyDescent="0.15">
      <c r="A249" s="4" t="str">
        <f>HYPERLINK("https://ibp.a2mac1.com/costing(costing:projects/details/9760/process/12083857)","Automated Process")</f>
        <v>Automated Process</v>
      </c>
      <c r="B249" t="s">
        <v>794</v>
      </c>
      <c r="C249">
        <v>12083857</v>
      </c>
      <c r="D249">
        <v>8412646</v>
      </c>
      <c r="E249">
        <v>0.24</v>
      </c>
      <c r="F249">
        <v>0</v>
      </c>
      <c r="G249">
        <v>0</v>
      </c>
      <c r="H249">
        <v>1.2144E-3</v>
      </c>
      <c r="I249" t="s">
        <v>176</v>
      </c>
      <c r="J249">
        <v>8.3999999999999995E-3</v>
      </c>
      <c r="K249">
        <v>0.24961439999999999</v>
      </c>
      <c r="L249">
        <v>2.5317394738873903E-2</v>
      </c>
      <c r="M249">
        <v>0.1519043684332434</v>
      </c>
      <c r="N249">
        <v>0.40151876843324341</v>
      </c>
      <c r="O249" t="s">
        <v>90</v>
      </c>
      <c r="P249">
        <v>0</v>
      </c>
      <c r="Q249" t="s">
        <v>90</v>
      </c>
      <c r="R249">
        <v>0</v>
      </c>
      <c r="S249" t="s">
        <v>90</v>
      </c>
      <c r="T249">
        <v>0</v>
      </c>
      <c r="U249">
        <v>0.40151876843324341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13</v>
      </c>
      <c r="AB249">
        <v>1</v>
      </c>
      <c r="AC249">
        <v>0.5</v>
      </c>
      <c r="AD249">
        <v>0.50345253019720215</v>
      </c>
      <c r="AE249">
        <v>10800</v>
      </c>
      <c r="AF249">
        <v>200000</v>
      </c>
      <c r="AG249">
        <v>16666.666666666668</v>
      </c>
      <c r="AH249">
        <v>1</v>
      </c>
      <c r="AI249">
        <v>1</v>
      </c>
      <c r="AJ249" t="s">
        <v>162</v>
      </c>
      <c r="AK249" t="s">
        <v>176</v>
      </c>
      <c r="AL249">
        <v>0</v>
      </c>
      <c r="AM249" t="s">
        <v>176</v>
      </c>
      <c r="AN249">
        <v>0</v>
      </c>
    </row>
    <row r="250" spans="1:40" x14ac:dyDescent="0.15">
      <c r="A250" s="4" t="str">
        <f>HYPERLINK("https://ibp.a2mac1.com/costing(costing:projects/details/9760/process/12083858)","Automated Process")</f>
        <v>Automated Process</v>
      </c>
      <c r="B250" t="s">
        <v>2024</v>
      </c>
      <c r="C250">
        <v>12083858</v>
      </c>
      <c r="D250">
        <v>8412650</v>
      </c>
      <c r="E250">
        <v>3.05</v>
      </c>
      <c r="F250">
        <v>0</v>
      </c>
      <c r="G250">
        <v>0</v>
      </c>
      <c r="H250">
        <v>1.5433000000000001E-2</v>
      </c>
      <c r="I250" t="s">
        <v>176</v>
      </c>
      <c r="J250">
        <v>0.10675</v>
      </c>
      <c r="K250">
        <v>3.172183</v>
      </c>
      <c r="L250">
        <v>1.3357515236099247</v>
      </c>
      <c r="M250">
        <v>8.0145091416595484</v>
      </c>
      <c r="N250">
        <v>11.186692141659549</v>
      </c>
      <c r="O250" t="s">
        <v>90</v>
      </c>
      <c r="P250">
        <v>0</v>
      </c>
      <c r="Q250" t="s">
        <v>90</v>
      </c>
      <c r="R250">
        <v>0</v>
      </c>
      <c r="S250" t="s">
        <v>90</v>
      </c>
      <c r="T250">
        <v>0</v>
      </c>
      <c r="U250">
        <v>11.186692141659549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755</v>
      </c>
      <c r="AB250">
        <v>1</v>
      </c>
      <c r="AC250">
        <v>0.5</v>
      </c>
      <c r="AD250">
        <v>0.50345253019720215</v>
      </c>
      <c r="AE250">
        <v>10800</v>
      </c>
      <c r="AF250">
        <v>200000</v>
      </c>
      <c r="AG250">
        <v>16666.666666666668</v>
      </c>
      <c r="AH250">
        <v>1</v>
      </c>
      <c r="AI250">
        <v>1</v>
      </c>
      <c r="AJ250" t="s">
        <v>162</v>
      </c>
      <c r="AK250" t="s">
        <v>176</v>
      </c>
      <c r="AL250">
        <v>0</v>
      </c>
      <c r="AM250" t="s">
        <v>176</v>
      </c>
      <c r="AN250">
        <v>0</v>
      </c>
    </row>
    <row r="251" spans="1:40" x14ac:dyDescent="0.15">
      <c r="A251" s="4" t="str">
        <f>HYPERLINK("https://ibp.a2mac1.com/costing(costing:projects/details/9760/process/12083859)","Automated Process")</f>
        <v>Automated Process</v>
      </c>
      <c r="B251" t="s">
        <v>1956</v>
      </c>
      <c r="C251">
        <v>12083859</v>
      </c>
      <c r="D251">
        <v>8412651</v>
      </c>
      <c r="E251">
        <v>0.21</v>
      </c>
      <c r="F251">
        <v>0</v>
      </c>
      <c r="G251">
        <v>0</v>
      </c>
      <c r="H251">
        <v>1.0625999999999999E-3</v>
      </c>
      <c r="I251" t="s">
        <v>176</v>
      </c>
      <c r="J251">
        <v>7.3499999999999998E-3</v>
      </c>
      <c r="K251">
        <v>0.21841260000000001</v>
      </c>
      <c r="L251">
        <v>1.1188724885816749E-2</v>
      </c>
      <c r="M251">
        <v>6.7132349314900502E-2</v>
      </c>
      <c r="N251">
        <v>0.28554494931490049</v>
      </c>
      <c r="O251" t="s">
        <v>90</v>
      </c>
      <c r="P251">
        <v>0</v>
      </c>
      <c r="Q251" t="s">
        <v>90</v>
      </c>
      <c r="R251">
        <v>0</v>
      </c>
      <c r="S251" t="s">
        <v>90</v>
      </c>
      <c r="T251">
        <v>0</v>
      </c>
      <c r="U251">
        <v>0.28554494931490049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</v>
      </c>
      <c r="AB251">
        <v>1</v>
      </c>
      <c r="AC251">
        <v>0.5</v>
      </c>
      <c r="AD251">
        <v>0.50345253019720215</v>
      </c>
      <c r="AE251">
        <v>10800</v>
      </c>
      <c r="AF251">
        <v>200000</v>
      </c>
      <c r="AG251">
        <v>16666.666666666668</v>
      </c>
      <c r="AH251">
        <v>1</v>
      </c>
      <c r="AI251">
        <v>1</v>
      </c>
      <c r="AJ251" t="s">
        <v>162</v>
      </c>
      <c r="AK251" t="s">
        <v>176</v>
      </c>
      <c r="AL251">
        <v>0</v>
      </c>
      <c r="AM251" t="s">
        <v>176</v>
      </c>
      <c r="AN251">
        <v>0</v>
      </c>
    </row>
    <row r="252" spans="1:40" x14ac:dyDescent="0.15">
      <c r="A252" s="4" t="str">
        <f>HYPERLINK("https://ibp.a2mac1.com/costing(costing:projects/details/9760/process/12083860)","Automated Process")</f>
        <v>Automated Process</v>
      </c>
      <c r="B252" t="s">
        <v>1956</v>
      </c>
      <c r="C252">
        <v>12083860</v>
      </c>
      <c r="D252">
        <v>8412652</v>
      </c>
      <c r="E252">
        <v>2.82</v>
      </c>
      <c r="F252">
        <v>0</v>
      </c>
      <c r="G252">
        <v>0</v>
      </c>
      <c r="H252">
        <v>1.4269199999999999E-2</v>
      </c>
      <c r="I252" t="s">
        <v>176</v>
      </c>
      <c r="J252">
        <v>9.8699999999999996E-2</v>
      </c>
      <c r="K252">
        <v>2.9329692000000001</v>
      </c>
      <c r="L252">
        <v>0.13128241863680254</v>
      </c>
      <c r="M252">
        <v>0.78769451182081529</v>
      </c>
      <c r="N252">
        <v>3.7206637118208152</v>
      </c>
      <c r="O252" t="s">
        <v>90</v>
      </c>
      <c r="P252">
        <v>0</v>
      </c>
      <c r="Q252" t="s">
        <v>90</v>
      </c>
      <c r="R252">
        <v>0</v>
      </c>
      <c r="S252" t="s">
        <v>90</v>
      </c>
      <c r="T252">
        <v>0</v>
      </c>
      <c r="U252">
        <v>3.7206637118208152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73</v>
      </c>
      <c r="AB252">
        <v>1</v>
      </c>
      <c r="AC252">
        <v>0.5</v>
      </c>
      <c r="AD252">
        <v>0.50345253019720215</v>
      </c>
      <c r="AE252">
        <v>10800</v>
      </c>
      <c r="AF252">
        <v>200000</v>
      </c>
      <c r="AG252">
        <v>16666.666666666668</v>
      </c>
      <c r="AH252">
        <v>1</v>
      </c>
      <c r="AI252">
        <v>1</v>
      </c>
      <c r="AJ252" t="s">
        <v>162</v>
      </c>
      <c r="AK252" t="s">
        <v>176</v>
      </c>
      <c r="AL252">
        <v>0</v>
      </c>
      <c r="AM252" t="s">
        <v>176</v>
      </c>
      <c r="AN252">
        <v>0</v>
      </c>
    </row>
    <row r="253" spans="1:40" x14ac:dyDescent="0.15">
      <c r="A253" s="4" t="str">
        <f>HYPERLINK("https://ibp.a2mac1.com/costing(costing:projects/details/9760/process/12083861)","Automated Process")</f>
        <v>Automated Process</v>
      </c>
      <c r="B253" t="s">
        <v>2012</v>
      </c>
      <c r="C253">
        <v>12083861</v>
      </c>
      <c r="D253">
        <v>8412653</v>
      </c>
      <c r="E253">
        <v>22.05</v>
      </c>
      <c r="F253">
        <v>0</v>
      </c>
      <c r="G253">
        <v>0</v>
      </c>
      <c r="H253">
        <v>0.11157300000000001</v>
      </c>
      <c r="I253" t="s">
        <v>176</v>
      </c>
      <c r="J253">
        <v>0.77175000000000005</v>
      </c>
      <c r="K253">
        <v>22.933323000000001</v>
      </c>
      <c r="L253">
        <v>0.63461628215196353</v>
      </c>
      <c r="M253">
        <v>3.8076976929117814</v>
      </c>
      <c r="N253">
        <v>26.741020692911782</v>
      </c>
      <c r="O253" t="s">
        <v>90</v>
      </c>
      <c r="P253">
        <v>0</v>
      </c>
      <c r="Q253" t="s">
        <v>90</v>
      </c>
      <c r="R253">
        <v>0</v>
      </c>
      <c r="S253" t="s">
        <v>90</v>
      </c>
      <c r="T253">
        <v>0</v>
      </c>
      <c r="U253">
        <v>26.741020692911782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358</v>
      </c>
      <c r="AB253">
        <v>1</v>
      </c>
      <c r="AC253">
        <v>0.5</v>
      </c>
      <c r="AD253">
        <v>0.50345253019720215</v>
      </c>
      <c r="AE253">
        <v>10800</v>
      </c>
      <c r="AF253">
        <v>200000</v>
      </c>
      <c r="AG253">
        <v>16666.666666666668</v>
      </c>
      <c r="AH253">
        <v>1</v>
      </c>
      <c r="AI253">
        <v>1</v>
      </c>
      <c r="AJ253" t="s">
        <v>162</v>
      </c>
      <c r="AK253" t="s">
        <v>176</v>
      </c>
      <c r="AL253">
        <v>0</v>
      </c>
      <c r="AM253" t="s">
        <v>176</v>
      </c>
      <c r="AN253">
        <v>0</v>
      </c>
    </row>
    <row r="254" spans="1:40" x14ac:dyDescent="0.15">
      <c r="A254" s="4" t="str">
        <f>HYPERLINK("https://ibp.a2mac1.com/costing(costing:projects/details/9760/process/12083971)","Automated Process")</f>
        <v>Automated Process</v>
      </c>
      <c r="B254" t="s">
        <v>794</v>
      </c>
      <c r="C254">
        <v>12083971</v>
      </c>
      <c r="D254">
        <v>8412739</v>
      </c>
      <c r="E254">
        <v>0.47</v>
      </c>
      <c r="F254">
        <v>0</v>
      </c>
      <c r="G254">
        <v>0</v>
      </c>
      <c r="H254">
        <v>2.3782E-3</v>
      </c>
      <c r="I254" t="s">
        <v>176</v>
      </c>
      <c r="J254">
        <v>1.6449999999999999E-2</v>
      </c>
      <c r="K254">
        <v>0.48882819999999999</v>
      </c>
      <c r="L254">
        <v>3.414781339703462E-2</v>
      </c>
      <c r="M254">
        <v>0.20488688038220773</v>
      </c>
      <c r="N254">
        <v>0.69371508038220775</v>
      </c>
      <c r="O254" t="s">
        <v>90</v>
      </c>
      <c r="P254">
        <v>0</v>
      </c>
      <c r="Q254" t="s">
        <v>90</v>
      </c>
      <c r="R254">
        <v>0</v>
      </c>
      <c r="S254" t="s">
        <v>90</v>
      </c>
      <c r="T254">
        <v>0</v>
      </c>
      <c r="U254">
        <v>0.69371508038220775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18</v>
      </c>
      <c r="AB254">
        <v>1</v>
      </c>
      <c r="AC254">
        <v>0.5</v>
      </c>
      <c r="AD254">
        <v>0.50345253019720215</v>
      </c>
      <c r="AE254">
        <v>10800</v>
      </c>
      <c r="AF254">
        <v>200000</v>
      </c>
      <c r="AG254">
        <v>16666.666666666668</v>
      </c>
      <c r="AH254">
        <v>1</v>
      </c>
      <c r="AI254">
        <v>1</v>
      </c>
      <c r="AJ254" t="s">
        <v>162</v>
      </c>
      <c r="AK254" t="s">
        <v>176</v>
      </c>
      <c r="AL254">
        <v>0</v>
      </c>
      <c r="AM254" t="s">
        <v>176</v>
      </c>
      <c r="AN254">
        <v>0</v>
      </c>
    </row>
    <row r="255" spans="1:40" x14ac:dyDescent="0.15">
      <c r="A255" s="4" t="str">
        <f>HYPERLINK("https://ibp.a2mac1.com/costing(costing:projects/details/9760/process/12083972)","Automated Process")</f>
        <v>Automated Process</v>
      </c>
      <c r="B255" t="s">
        <v>794</v>
      </c>
      <c r="C255">
        <v>12083972</v>
      </c>
      <c r="D255">
        <v>8412740</v>
      </c>
      <c r="E255">
        <v>0.21</v>
      </c>
      <c r="F255">
        <v>0</v>
      </c>
      <c r="G255">
        <v>0</v>
      </c>
      <c r="H255">
        <v>1.0625999999999999E-3</v>
      </c>
      <c r="I255" t="s">
        <v>176</v>
      </c>
      <c r="J255">
        <v>7.3499999999999998E-3</v>
      </c>
      <c r="K255">
        <v>0.21841260000000001</v>
      </c>
      <c r="L255">
        <v>1.8253059812345325E-2</v>
      </c>
      <c r="M255">
        <v>0.10951835887407195</v>
      </c>
      <c r="N255">
        <v>0.32793095887407198</v>
      </c>
      <c r="O255" t="s">
        <v>90</v>
      </c>
      <c r="P255">
        <v>0</v>
      </c>
      <c r="Q255" t="s">
        <v>90</v>
      </c>
      <c r="R255">
        <v>0</v>
      </c>
      <c r="S255" t="s">
        <v>90</v>
      </c>
      <c r="T255">
        <v>0</v>
      </c>
      <c r="U255">
        <v>0.32793095887407198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9</v>
      </c>
      <c r="AB255">
        <v>1</v>
      </c>
      <c r="AC255">
        <v>0.5</v>
      </c>
      <c r="AD255">
        <v>0.50345253019720215</v>
      </c>
      <c r="AE255">
        <v>10800</v>
      </c>
      <c r="AF255">
        <v>200000</v>
      </c>
      <c r="AG255">
        <v>16666.666666666668</v>
      </c>
      <c r="AH255">
        <v>1</v>
      </c>
      <c r="AI255">
        <v>1</v>
      </c>
      <c r="AJ255" t="s">
        <v>162</v>
      </c>
      <c r="AK255" t="s">
        <v>176</v>
      </c>
      <c r="AL255">
        <v>0</v>
      </c>
      <c r="AM255" t="s">
        <v>176</v>
      </c>
      <c r="AN255">
        <v>0</v>
      </c>
    </row>
    <row r="256" spans="1:40" x14ac:dyDescent="0.15">
      <c r="A256" s="4" t="str">
        <f>HYPERLINK("https://ibp.a2mac1.com/costing(costing:projects/details/9760/process/12083973)","Automated Process")</f>
        <v>Automated Process</v>
      </c>
      <c r="B256" t="s">
        <v>794</v>
      </c>
      <c r="C256">
        <v>12083973</v>
      </c>
      <c r="D256">
        <v>8412741</v>
      </c>
      <c r="E256">
        <v>0.23</v>
      </c>
      <c r="F256">
        <v>0</v>
      </c>
      <c r="G256">
        <v>0</v>
      </c>
      <c r="H256">
        <v>1.1638E-3</v>
      </c>
      <c r="I256" t="s">
        <v>176</v>
      </c>
      <c r="J256">
        <v>8.0499999999999999E-3</v>
      </c>
      <c r="K256">
        <v>0.2392138</v>
      </c>
      <c r="L256">
        <v>2.001914354397747E-2</v>
      </c>
      <c r="M256">
        <v>0.12011486126386482</v>
      </c>
      <c r="N256">
        <v>0.35932866126386481</v>
      </c>
      <c r="O256" t="s">
        <v>90</v>
      </c>
      <c r="P256">
        <v>0</v>
      </c>
      <c r="Q256" t="s">
        <v>90</v>
      </c>
      <c r="R256">
        <v>0</v>
      </c>
      <c r="S256" t="s">
        <v>90</v>
      </c>
      <c r="T256">
        <v>0</v>
      </c>
      <c r="U256">
        <v>0.35932866126386481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10</v>
      </c>
      <c r="AB256">
        <v>1</v>
      </c>
      <c r="AC256">
        <v>0.5</v>
      </c>
      <c r="AD256">
        <v>0.50345253019720215</v>
      </c>
      <c r="AE256">
        <v>10800</v>
      </c>
      <c r="AF256">
        <v>200000</v>
      </c>
      <c r="AG256">
        <v>16666.666666666668</v>
      </c>
      <c r="AH256">
        <v>1</v>
      </c>
      <c r="AI256">
        <v>1</v>
      </c>
      <c r="AJ256" t="s">
        <v>162</v>
      </c>
      <c r="AK256" t="s">
        <v>176</v>
      </c>
      <c r="AL256">
        <v>0</v>
      </c>
      <c r="AM256" t="s">
        <v>176</v>
      </c>
      <c r="AN256">
        <v>0</v>
      </c>
    </row>
    <row r="257" spans="1:40" x14ac:dyDescent="0.15">
      <c r="A257" s="4" t="str">
        <f>HYPERLINK("https://ibp.a2mac1.com/costing(costing:projects/details/9760/process/12083974)","Automated Process")</f>
        <v>Automated Process</v>
      </c>
      <c r="B257" t="s">
        <v>2058</v>
      </c>
      <c r="C257">
        <v>12083974</v>
      </c>
      <c r="D257">
        <v>8412742</v>
      </c>
      <c r="E257">
        <v>0.17</v>
      </c>
      <c r="F257">
        <v>0</v>
      </c>
      <c r="G257">
        <v>0</v>
      </c>
      <c r="H257">
        <v>8.6019999999999998E-4</v>
      </c>
      <c r="I257" t="s">
        <v>176</v>
      </c>
      <c r="J257">
        <v>5.9500000000000004E-3</v>
      </c>
      <c r="K257">
        <v>0.1768102</v>
      </c>
      <c r="L257">
        <v>2.1785227275609612E-2</v>
      </c>
      <c r="M257">
        <v>0.13071136365365768</v>
      </c>
      <c r="N257">
        <v>0.30752156365365768</v>
      </c>
      <c r="O257" t="s">
        <v>90</v>
      </c>
      <c r="P257">
        <v>0</v>
      </c>
      <c r="Q257" t="s">
        <v>90</v>
      </c>
      <c r="R257">
        <v>0</v>
      </c>
      <c r="S257" t="s">
        <v>90</v>
      </c>
      <c r="T257">
        <v>0</v>
      </c>
      <c r="U257">
        <v>0.30752156365365768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11</v>
      </c>
      <c r="AB257">
        <v>1</v>
      </c>
      <c r="AC257">
        <v>0.5</v>
      </c>
      <c r="AD257">
        <v>0.50345253019720215</v>
      </c>
      <c r="AE257">
        <v>10800</v>
      </c>
      <c r="AF257">
        <v>200000</v>
      </c>
      <c r="AG257">
        <v>16666.666666666668</v>
      </c>
      <c r="AH257">
        <v>1</v>
      </c>
      <c r="AI257">
        <v>1</v>
      </c>
      <c r="AJ257" t="s">
        <v>162</v>
      </c>
      <c r="AK257" t="s">
        <v>176</v>
      </c>
      <c r="AL257">
        <v>0</v>
      </c>
      <c r="AM257" t="s">
        <v>176</v>
      </c>
      <c r="AN257">
        <v>0</v>
      </c>
    </row>
    <row r="258" spans="1:40" x14ac:dyDescent="0.15">
      <c r="A258" s="4" t="str">
        <f>HYPERLINK("https://ibp.a2mac1.com/costing(costing:projects/details/9760/process/12083975)","Automated Process")</f>
        <v>Automated Process</v>
      </c>
      <c r="B258" t="s">
        <v>794</v>
      </c>
      <c r="C258">
        <v>12083975</v>
      </c>
      <c r="D258">
        <v>8412743</v>
      </c>
      <c r="E258">
        <v>0.08</v>
      </c>
      <c r="F258">
        <v>0</v>
      </c>
      <c r="G258">
        <v>0</v>
      </c>
      <c r="H258">
        <v>4.0479999999999997E-4</v>
      </c>
      <c r="I258" t="s">
        <v>176</v>
      </c>
      <c r="J258">
        <v>2.8E-3</v>
      </c>
      <c r="K258">
        <v>8.3204799999999995E-2</v>
      </c>
      <c r="L258">
        <v>7.6565574225524614E-3</v>
      </c>
      <c r="M258">
        <v>4.5939344535314765E-2</v>
      </c>
      <c r="N258">
        <v>0.12914414453531478</v>
      </c>
      <c r="O258" t="s">
        <v>90</v>
      </c>
      <c r="P258">
        <v>0</v>
      </c>
      <c r="Q258" t="s">
        <v>90</v>
      </c>
      <c r="R258">
        <v>0</v>
      </c>
      <c r="S258" t="s">
        <v>90</v>
      </c>
      <c r="T258">
        <v>0</v>
      </c>
      <c r="U258">
        <v>0.12914414453531478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</v>
      </c>
      <c r="AC258">
        <v>0.5</v>
      </c>
      <c r="AD258">
        <v>0.50345253019720215</v>
      </c>
      <c r="AE258">
        <v>10800</v>
      </c>
      <c r="AF258">
        <v>200000</v>
      </c>
      <c r="AG258">
        <v>16666.666666666668</v>
      </c>
      <c r="AH258">
        <v>1</v>
      </c>
      <c r="AI258">
        <v>1</v>
      </c>
      <c r="AJ258" t="s">
        <v>162</v>
      </c>
      <c r="AK258" t="s">
        <v>176</v>
      </c>
      <c r="AL258">
        <v>0</v>
      </c>
      <c r="AM258" t="s">
        <v>176</v>
      </c>
      <c r="AN258">
        <v>0</v>
      </c>
    </row>
    <row r="259" spans="1:40" x14ac:dyDescent="0.15">
      <c r="A259" s="4" t="str">
        <f>HYPERLINK("https://ibp.a2mac1.com/costing(costing:projects/details/9760/process/12083976)","Automated Process")</f>
        <v>Automated Process</v>
      </c>
      <c r="B259" t="s">
        <v>794</v>
      </c>
      <c r="C259">
        <v>12083976</v>
      </c>
      <c r="D259">
        <v>8412744</v>
      </c>
      <c r="E259">
        <v>0.08</v>
      </c>
      <c r="F259">
        <v>0</v>
      </c>
      <c r="G259">
        <v>0</v>
      </c>
      <c r="H259">
        <v>4.0479999999999997E-4</v>
      </c>
      <c r="I259" t="s">
        <v>176</v>
      </c>
      <c r="J259">
        <v>2.8E-3</v>
      </c>
      <c r="K259">
        <v>8.3204799999999995E-2</v>
      </c>
      <c r="L259">
        <v>7.6565574225524614E-3</v>
      </c>
      <c r="M259">
        <v>4.5939344535314765E-2</v>
      </c>
      <c r="N259">
        <v>0.12914414453531478</v>
      </c>
      <c r="O259" t="s">
        <v>90</v>
      </c>
      <c r="P259">
        <v>0</v>
      </c>
      <c r="Q259" t="s">
        <v>90</v>
      </c>
      <c r="R259">
        <v>0</v>
      </c>
      <c r="S259" t="s">
        <v>90</v>
      </c>
      <c r="T259">
        <v>0</v>
      </c>
      <c r="U259">
        <v>0.12914414453531478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</v>
      </c>
      <c r="AC259">
        <v>0.5</v>
      </c>
      <c r="AD259">
        <v>0.50345253019720215</v>
      </c>
      <c r="AE259">
        <v>10800</v>
      </c>
      <c r="AF259">
        <v>200000</v>
      </c>
      <c r="AG259">
        <v>16666.666666666668</v>
      </c>
      <c r="AH259">
        <v>1</v>
      </c>
      <c r="AI259">
        <v>1</v>
      </c>
      <c r="AJ259" t="s">
        <v>162</v>
      </c>
      <c r="AK259" t="s">
        <v>176</v>
      </c>
      <c r="AL259">
        <v>0</v>
      </c>
      <c r="AM259" t="s">
        <v>176</v>
      </c>
      <c r="AN259">
        <v>0</v>
      </c>
    </row>
    <row r="260" spans="1:40" x14ac:dyDescent="0.15">
      <c r="A260" s="4" t="str">
        <f>HYPERLINK("https://ibp.a2mac1.com/costing(costing:projects/details/9760/process/12083862)","Automated Process")</f>
        <v>Automated Process</v>
      </c>
      <c r="B260" t="s">
        <v>2012</v>
      </c>
      <c r="C260">
        <v>12083862</v>
      </c>
      <c r="D260">
        <v>8412654</v>
      </c>
      <c r="E260">
        <v>14.76</v>
      </c>
      <c r="F260">
        <v>0</v>
      </c>
      <c r="G260">
        <v>0</v>
      </c>
      <c r="H260">
        <v>7.4685600000000005E-2</v>
      </c>
      <c r="I260" t="s">
        <v>176</v>
      </c>
      <c r="J260">
        <v>0.51659999999999995</v>
      </c>
      <c r="K260">
        <v>15.351285600000001</v>
      </c>
      <c r="L260">
        <v>0.56044076542341359</v>
      </c>
      <c r="M260">
        <v>3.3626445925404811</v>
      </c>
      <c r="N260">
        <v>18.713930192540481</v>
      </c>
      <c r="O260" t="s">
        <v>90</v>
      </c>
      <c r="P260">
        <v>0</v>
      </c>
      <c r="Q260" t="s">
        <v>90</v>
      </c>
      <c r="R260">
        <v>0</v>
      </c>
      <c r="S260" t="s">
        <v>90</v>
      </c>
      <c r="T260">
        <v>0</v>
      </c>
      <c r="U260">
        <v>18.713930192540481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316</v>
      </c>
      <c r="AB260">
        <v>1</v>
      </c>
      <c r="AC260">
        <v>0.5</v>
      </c>
      <c r="AD260">
        <v>0.50345253019720215</v>
      </c>
      <c r="AE260">
        <v>10800</v>
      </c>
      <c r="AF260">
        <v>200000</v>
      </c>
      <c r="AG260">
        <v>16666.666666666668</v>
      </c>
      <c r="AH260">
        <v>1</v>
      </c>
      <c r="AI260">
        <v>1</v>
      </c>
      <c r="AJ260" t="s">
        <v>162</v>
      </c>
      <c r="AK260" t="s">
        <v>176</v>
      </c>
      <c r="AL260">
        <v>0</v>
      </c>
      <c r="AM260" t="s">
        <v>176</v>
      </c>
      <c r="AN260">
        <v>0</v>
      </c>
    </row>
    <row r="261" spans="1:40" x14ac:dyDescent="0.15">
      <c r="A261" s="4" t="str">
        <f>HYPERLINK("https://ibp.a2mac1.com/costing(costing:projects/details/9760/process/12083863)","Automated Process")</f>
        <v>Automated Process</v>
      </c>
      <c r="B261" t="s">
        <v>1956</v>
      </c>
      <c r="C261">
        <v>12083863</v>
      </c>
      <c r="D261">
        <v>8412655</v>
      </c>
      <c r="E261">
        <v>2.85</v>
      </c>
      <c r="F261">
        <v>0</v>
      </c>
      <c r="G261">
        <v>0</v>
      </c>
      <c r="H261">
        <v>1.4421E-2</v>
      </c>
      <c r="I261" t="s">
        <v>176</v>
      </c>
      <c r="J261">
        <v>9.9750000000000005E-2</v>
      </c>
      <c r="K261">
        <v>2.9641709999999999</v>
      </c>
      <c r="L261">
        <v>0.13304850236843468</v>
      </c>
      <c r="M261">
        <v>0.79829101421060811</v>
      </c>
      <c r="N261">
        <v>3.762462014210608</v>
      </c>
      <c r="O261" t="s">
        <v>90</v>
      </c>
      <c r="P261">
        <v>0</v>
      </c>
      <c r="Q261" t="s">
        <v>90</v>
      </c>
      <c r="R261">
        <v>0</v>
      </c>
      <c r="S261" t="s">
        <v>90</v>
      </c>
      <c r="T261">
        <v>0</v>
      </c>
      <c r="U261">
        <v>3.762462014210608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74</v>
      </c>
      <c r="AB261">
        <v>1</v>
      </c>
      <c r="AC261">
        <v>0.5</v>
      </c>
      <c r="AD261">
        <v>0.50345253019720215</v>
      </c>
      <c r="AE261">
        <v>10800</v>
      </c>
      <c r="AF261">
        <v>200000</v>
      </c>
      <c r="AG261">
        <v>16666.666666666668</v>
      </c>
      <c r="AH261">
        <v>1</v>
      </c>
      <c r="AI261">
        <v>1</v>
      </c>
      <c r="AJ261" t="s">
        <v>162</v>
      </c>
      <c r="AK261" t="s">
        <v>176</v>
      </c>
      <c r="AL261">
        <v>0</v>
      </c>
      <c r="AM261" t="s">
        <v>176</v>
      </c>
      <c r="AN261">
        <v>0</v>
      </c>
    </row>
    <row r="262" spans="1:40" x14ac:dyDescent="0.15">
      <c r="A262" s="4" t="str">
        <f>HYPERLINK("https://ibp.a2mac1.com/costing(costing:projects/details/9760/process/12083864)","Automated Process")</f>
        <v>Automated Process</v>
      </c>
      <c r="B262" t="s">
        <v>2078</v>
      </c>
      <c r="C262">
        <v>12083864</v>
      </c>
      <c r="D262">
        <v>8412656</v>
      </c>
      <c r="E262">
        <v>6.47</v>
      </c>
      <c r="F262">
        <v>0</v>
      </c>
      <c r="G262">
        <v>0</v>
      </c>
      <c r="H262">
        <v>3.2738200000000002E-2</v>
      </c>
      <c r="I262" t="s">
        <v>176</v>
      </c>
      <c r="J262">
        <v>0.22645000000000001</v>
      </c>
      <c r="K262">
        <v>6.7291882000000003</v>
      </c>
      <c r="L262">
        <v>0.69819529649072076</v>
      </c>
      <c r="M262">
        <v>4.189171778944325</v>
      </c>
      <c r="N262">
        <v>10.918359978944325</v>
      </c>
      <c r="O262" t="s">
        <v>90</v>
      </c>
      <c r="P262">
        <v>0</v>
      </c>
      <c r="Q262" t="s">
        <v>90</v>
      </c>
      <c r="R262">
        <v>0</v>
      </c>
      <c r="S262" t="s">
        <v>90</v>
      </c>
      <c r="T262">
        <v>0</v>
      </c>
      <c r="U262">
        <v>10.918359978944325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394</v>
      </c>
      <c r="AB262">
        <v>1</v>
      </c>
      <c r="AC262">
        <v>0.5</v>
      </c>
      <c r="AD262">
        <v>0.50345253019720215</v>
      </c>
      <c r="AE262">
        <v>10800</v>
      </c>
      <c r="AF262">
        <v>200000</v>
      </c>
      <c r="AG262">
        <v>16666.666666666668</v>
      </c>
      <c r="AH262">
        <v>1</v>
      </c>
      <c r="AI262">
        <v>1</v>
      </c>
      <c r="AJ262" t="s">
        <v>162</v>
      </c>
      <c r="AK262" t="s">
        <v>176</v>
      </c>
      <c r="AL262">
        <v>0</v>
      </c>
      <c r="AM262" t="s">
        <v>176</v>
      </c>
      <c r="AN262">
        <v>0</v>
      </c>
    </row>
    <row r="263" spans="1:40" x14ac:dyDescent="0.15">
      <c r="A263" s="4" t="str">
        <f>HYPERLINK("https://ibp.a2mac1.com/costing(costing:projects/details/9760/process/12083865)","Automated Process")</f>
        <v>Automated Process</v>
      </c>
      <c r="B263" t="s">
        <v>1956</v>
      </c>
      <c r="C263">
        <v>12083865</v>
      </c>
      <c r="D263">
        <v>8412658</v>
      </c>
      <c r="E263">
        <v>0.21</v>
      </c>
      <c r="F263">
        <v>0</v>
      </c>
      <c r="G263">
        <v>0</v>
      </c>
      <c r="H263">
        <v>1.0625999999999999E-3</v>
      </c>
      <c r="I263" t="s">
        <v>176</v>
      </c>
      <c r="J263">
        <v>7.3499999999999998E-3</v>
      </c>
      <c r="K263">
        <v>0.21841260000000001</v>
      </c>
      <c r="L263">
        <v>1.1188724885816749E-2</v>
      </c>
      <c r="M263">
        <v>6.7132349314900502E-2</v>
      </c>
      <c r="N263">
        <v>0.28554494931490049</v>
      </c>
      <c r="O263" t="s">
        <v>90</v>
      </c>
      <c r="P263">
        <v>0</v>
      </c>
      <c r="Q263" t="s">
        <v>90</v>
      </c>
      <c r="R263">
        <v>0</v>
      </c>
      <c r="S263" t="s">
        <v>90</v>
      </c>
      <c r="T263">
        <v>0</v>
      </c>
      <c r="U263">
        <v>0.28554494931490049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5</v>
      </c>
      <c r="AB263">
        <v>1</v>
      </c>
      <c r="AC263">
        <v>0.5</v>
      </c>
      <c r="AD263">
        <v>0.50345253019720215</v>
      </c>
      <c r="AE263">
        <v>10800</v>
      </c>
      <c r="AF263">
        <v>200000</v>
      </c>
      <c r="AG263">
        <v>16666.666666666668</v>
      </c>
      <c r="AH263">
        <v>1</v>
      </c>
      <c r="AI263">
        <v>1</v>
      </c>
      <c r="AJ263" t="s">
        <v>162</v>
      </c>
      <c r="AK263" t="s">
        <v>176</v>
      </c>
      <c r="AL263">
        <v>0</v>
      </c>
      <c r="AM263" t="s">
        <v>176</v>
      </c>
      <c r="AN263">
        <v>0</v>
      </c>
    </row>
    <row r="264" spans="1:40" x14ac:dyDescent="0.15">
      <c r="A264" s="4" t="str">
        <f>HYPERLINK("https://ibp.a2mac1.com/costing(costing:projects/details/9760/process/12083977)","Process")</f>
        <v>Process</v>
      </c>
      <c r="B264" t="s">
        <v>744</v>
      </c>
      <c r="C264">
        <v>12083977</v>
      </c>
      <c r="D264">
        <v>8412746</v>
      </c>
      <c r="E264">
        <v>4.08</v>
      </c>
      <c r="F264">
        <v>0</v>
      </c>
      <c r="G264">
        <v>0</v>
      </c>
      <c r="H264">
        <v>2.0644800000000001E-2</v>
      </c>
      <c r="I264" t="s">
        <v>176</v>
      </c>
      <c r="J264">
        <v>0.14280000000000001</v>
      </c>
      <c r="K264">
        <v>4.2434447999999998</v>
      </c>
      <c r="L264">
        <v>0.10479116266232039</v>
      </c>
      <c r="M264">
        <v>0.62874697597392226</v>
      </c>
      <c r="N264">
        <v>4.8721917759739224</v>
      </c>
      <c r="O264" t="s">
        <v>90</v>
      </c>
      <c r="P264">
        <v>0</v>
      </c>
      <c r="Q264" t="s">
        <v>90</v>
      </c>
      <c r="R264">
        <v>0</v>
      </c>
      <c r="S264" t="s">
        <v>90</v>
      </c>
      <c r="T264">
        <v>0</v>
      </c>
      <c r="U264">
        <v>4.8721917759739224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58</v>
      </c>
      <c r="AB264">
        <v>1</v>
      </c>
      <c r="AC264">
        <v>0.5</v>
      </c>
      <c r="AD264">
        <v>0.50345253019720215</v>
      </c>
      <c r="AE264">
        <v>10800</v>
      </c>
      <c r="AF264">
        <v>200000</v>
      </c>
      <c r="AG264">
        <v>16666.666666666668</v>
      </c>
      <c r="AH264">
        <v>1</v>
      </c>
      <c r="AI264">
        <v>1</v>
      </c>
      <c r="AJ264" t="s">
        <v>162</v>
      </c>
      <c r="AK264" t="s">
        <v>176</v>
      </c>
      <c r="AL264">
        <v>0</v>
      </c>
      <c r="AM264" t="s">
        <v>176</v>
      </c>
      <c r="AN264">
        <v>0</v>
      </c>
    </row>
    <row r="265" spans="1:40" x14ac:dyDescent="0.15">
      <c r="A265" s="4" t="str">
        <f>HYPERLINK("https://ibp.a2mac1.com/costing(costing:projects/details/9760/process/12083866)","Final Assembly + Inspection")</f>
        <v>Final Assembly + Inspection</v>
      </c>
      <c r="C265">
        <v>12083866</v>
      </c>
      <c r="D265">
        <v>8412660</v>
      </c>
      <c r="E265">
        <v>0</v>
      </c>
      <c r="F265">
        <v>0</v>
      </c>
      <c r="G265">
        <v>0</v>
      </c>
      <c r="H265">
        <v>0</v>
      </c>
      <c r="I265" t="s">
        <v>176</v>
      </c>
      <c r="J265">
        <v>0</v>
      </c>
      <c r="K265">
        <v>0</v>
      </c>
      <c r="L265">
        <v>0.14464504391757629</v>
      </c>
      <c r="M265">
        <v>0.86787026350545782</v>
      </c>
      <c r="N265">
        <v>0.86787026350545782</v>
      </c>
      <c r="O265" t="s">
        <v>90</v>
      </c>
      <c r="P265">
        <v>0</v>
      </c>
      <c r="Q265" t="s">
        <v>90</v>
      </c>
      <c r="R265">
        <v>0</v>
      </c>
      <c r="S265" t="s">
        <v>90</v>
      </c>
      <c r="T265">
        <v>0</v>
      </c>
      <c r="U265">
        <v>0.86787026350545782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80</v>
      </c>
      <c r="AB265">
        <v>1</v>
      </c>
      <c r="AC265">
        <v>0.1</v>
      </c>
      <c r="AD265">
        <v>0.10987913295375087</v>
      </c>
      <c r="AE265">
        <v>10800</v>
      </c>
      <c r="AF265">
        <v>200000</v>
      </c>
      <c r="AG265">
        <v>10000</v>
      </c>
      <c r="AH265">
        <v>1</v>
      </c>
      <c r="AI265">
        <v>1</v>
      </c>
      <c r="AJ265" t="s">
        <v>76</v>
      </c>
      <c r="AK265" t="s">
        <v>176</v>
      </c>
      <c r="AL265">
        <v>0</v>
      </c>
      <c r="AM265" t="s">
        <v>176</v>
      </c>
      <c r="AN265">
        <v>0</v>
      </c>
    </row>
    <row r="266" spans="1:40" x14ac:dyDescent="0.15">
      <c r="A266" s="4" t="str">
        <f>HYPERLINK("https://ibp.a2mac1.com/costing(costing:projects/details/9760/process/12084014)","Automated Process")</f>
        <v>Automated Process</v>
      </c>
      <c r="B266" t="s">
        <v>2118</v>
      </c>
      <c r="C266">
        <v>12084014</v>
      </c>
      <c r="D266">
        <v>8412815</v>
      </c>
      <c r="E266">
        <v>2.2999999999999998</v>
      </c>
      <c r="F266">
        <v>0</v>
      </c>
      <c r="G266">
        <v>0</v>
      </c>
      <c r="H266">
        <v>1.1638000000000001E-2</v>
      </c>
      <c r="I266" t="s">
        <v>176</v>
      </c>
      <c r="J266">
        <v>8.0500000000000002E-2</v>
      </c>
      <c r="K266">
        <v>2.3921380000000001</v>
      </c>
      <c r="L266">
        <v>0.53748167691219562</v>
      </c>
      <c r="M266">
        <v>3.2248900614731739</v>
      </c>
      <c r="N266">
        <v>5.6170280614731736</v>
      </c>
      <c r="O266" t="s">
        <v>90</v>
      </c>
      <c r="P266">
        <v>0</v>
      </c>
      <c r="Q266" t="s">
        <v>90</v>
      </c>
      <c r="R266">
        <v>0</v>
      </c>
      <c r="S266" t="s">
        <v>90</v>
      </c>
      <c r="T266">
        <v>0</v>
      </c>
      <c r="U266">
        <v>5.6170280614731736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303</v>
      </c>
      <c r="AB266">
        <v>1</v>
      </c>
      <c r="AC266">
        <v>0.5</v>
      </c>
      <c r="AD266">
        <v>0.50345253019720215</v>
      </c>
      <c r="AE266">
        <v>10800</v>
      </c>
      <c r="AF266">
        <v>200000</v>
      </c>
      <c r="AG266">
        <v>16666.666666666668</v>
      </c>
      <c r="AH266">
        <v>1</v>
      </c>
      <c r="AI266">
        <v>1</v>
      </c>
      <c r="AJ266" t="s">
        <v>162</v>
      </c>
      <c r="AK266" t="s">
        <v>176</v>
      </c>
      <c r="AL266">
        <v>0</v>
      </c>
      <c r="AM266" t="s">
        <v>176</v>
      </c>
      <c r="AN266">
        <v>0</v>
      </c>
    </row>
    <row r="267" spans="1:40" x14ac:dyDescent="0.15">
      <c r="A267" s="4" t="str">
        <f>HYPERLINK("https://ibp.a2mac1.com/costing(costing:projects/details/9760/process/12084015)","Automated Process")</f>
        <v>Automated Process</v>
      </c>
      <c r="B267" t="s">
        <v>2118</v>
      </c>
      <c r="C267">
        <v>12084015</v>
      </c>
      <c r="D267">
        <v>8412816</v>
      </c>
      <c r="E267">
        <v>2.2999999999999998</v>
      </c>
      <c r="F267">
        <v>0</v>
      </c>
      <c r="G267">
        <v>0</v>
      </c>
      <c r="H267">
        <v>1.1638000000000001E-2</v>
      </c>
      <c r="I267" t="s">
        <v>176</v>
      </c>
      <c r="J267">
        <v>8.0500000000000002E-2</v>
      </c>
      <c r="K267">
        <v>2.3921380000000001</v>
      </c>
      <c r="L267">
        <v>0.53748167691219562</v>
      </c>
      <c r="M267">
        <v>3.2248900614731739</v>
      </c>
      <c r="N267">
        <v>5.6170280614731736</v>
      </c>
      <c r="O267" t="s">
        <v>90</v>
      </c>
      <c r="P267">
        <v>0</v>
      </c>
      <c r="Q267" t="s">
        <v>90</v>
      </c>
      <c r="R267">
        <v>0</v>
      </c>
      <c r="S267" t="s">
        <v>90</v>
      </c>
      <c r="T267">
        <v>0</v>
      </c>
      <c r="U267">
        <v>5.6170280614731736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303</v>
      </c>
      <c r="AB267">
        <v>1</v>
      </c>
      <c r="AC267">
        <v>0.5</v>
      </c>
      <c r="AD267">
        <v>0.50345253019720215</v>
      </c>
      <c r="AE267">
        <v>10800</v>
      </c>
      <c r="AF267">
        <v>200000</v>
      </c>
      <c r="AG267">
        <v>16666.666666666668</v>
      </c>
      <c r="AH267">
        <v>1</v>
      </c>
      <c r="AI267">
        <v>1</v>
      </c>
      <c r="AJ267" t="s">
        <v>162</v>
      </c>
      <c r="AK267" t="s">
        <v>176</v>
      </c>
      <c r="AL267">
        <v>0</v>
      </c>
      <c r="AM267" t="s">
        <v>176</v>
      </c>
      <c r="AN267">
        <v>0</v>
      </c>
    </row>
    <row r="268" spans="1:40" x14ac:dyDescent="0.15">
      <c r="A268" s="4" t="str">
        <f>HYPERLINK("https://ibp.a2mac1.com/costing(costing:projects/details/9760/process/12083978)","Automated Process")</f>
        <v>Automated Process</v>
      </c>
      <c r="B268" t="s">
        <v>794</v>
      </c>
      <c r="C268">
        <v>12083978</v>
      </c>
      <c r="D268">
        <v>8412750</v>
      </c>
      <c r="E268">
        <v>0.25</v>
      </c>
      <c r="F268">
        <v>0</v>
      </c>
      <c r="G268">
        <v>0</v>
      </c>
      <c r="H268">
        <v>1.2650000000000001E-3</v>
      </c>
      <c r="I268" t="s">
        <v>176</v>
      </c>
      <c r="J268">
        <v>8.7500000000000008E-3</v>
      </c>
      <c r="K268">
        <v>0.260015</v>
      </c>
      <c r="L268">
        <v>2.1785227275609612E-2</v>
      </c>
      <c r="M268">
        <v>0.13071136365365768</v>
      </c>
      <c r="N268">
        <v>0.3907263636536577</v>
      </c>
      <c r="O268" t="s">
        <v>90</v>
      </c>
      <c r="P268">
        <v>0</v>
      </c>
      <c r="Q268" t="s">
        <v>90</v>
      </c>
      <c r="R268">
        <v>0</v>
      </c>
      <c r="S268" t="s">
        <v>90</v>
      </c>
      <c r="T268">
        <v>0</v>
      </c>
      <c r="U268">
        <v>0.3907263636536577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11</v>
      </c>
      <c r="AB268">
        <v>1</v>
      </c>
      <c r="AC268">
        <v>0.5</v>
      </c>
      <c r="AD268">
        <v>0.50345253019720215</v>
      </c>
      <c r="AE268">
        <v>10800</v>
      </c>
      <c r="AF268">
        <v>200000</v>
      </c>
      <c r="AG268">
        <v>16666.666666666668</v>
      </c>
      <c r="AH268">
        <v>1</v>
      </c>
      <c r="AI268">
        <v>1</v>
      </c>
      <c r="AJ268" t="s">
        <v>162</v>
      </c>
      <c r="AK268" t="s">
        <v>176</v>
      </c>
      <c r="AL268">
        <v>0</v>
      </c>
      <c r="AM268" t="s">
        <v>176</v>
      </c>
      <c r="AN268">
        <v>0</v>
      </c>
    </row>
    <row r="269" spans="1:40" x14ac:dyDescent="0.15">
      <c r="A269" s="4" t="str">
        <f>HYPERLINK("https://ibp.a2mac1.com/costing(costing:projects/details/9760/process/12083979)","Automated Process")</f>
        <v>Automated Process</v>
      </c>
      <c r="C269">
        <v>12083979</v>
      </c>
      <c r="D269">
        <v>8412755</v>
      </c>
      <c r="E269">
        <v>0.02</v>
      </c>
      <c r="F269">
        <v>0</v>
      </c>
      <c r="G269">
        <v>0</v>
      </c>
      <c r="H269">
        <v>1.0119999999999999E-4</v>
      </c>
      <c r="I269" t="s">
        <v>176</v>
      </c>
      <c r="J269">
        <v>6.9999999999999999E-4</v>
      </c>
      <c r="K269">
        <v>2.0801199999999999E-2</v>
      </c>
      <c r="L269">
        <v>9.422641154184605E-3</v>
      </c>
      <c r="M269">
        <v>5.653584692510763E-2</v>
      </c>
      <c r="N269">
        <v>7.7337046925107636E-2</v>
      </c>
      <c r="O269" t="s">
        <v>90</v>
      </c>
      <c r="P269">
        <v>0</v>
      </c>
      <c r="Q269" t="s">
        <v>90</v>
      </c>
      <c r="R269">
        <v>0</v>
      </c>
      <c r="S269" t="s">
        <v>90</v>
      </c>
      <c r="T269">
        <v>0</v>
      </c>
      <c r="U269">
        <v>7.7337046925107636E-2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4</v>
      </c>
      <c r="AB269">
        <v>1</v>
      </c>
      <c r="AC269">
        <v>0.5</v>
      </c>
      <c r="AD269">
        <v>0.50345253019720215</v>
      </c>
      <c r="AE269">
        <v>10800</v>
      </c>
      <c r="AF269">
        <v>200000</v>
      </c>
      <c r="AG269">
        <v>16666.666666666668</v>
      </c>
      <c r="AH269">
        <v>1</v>
      </c>
      <c r="AI269">
        <v>1</v>
      </c>
      <c r="AJ269" t="s">
        <v>162</v>
      </c>
      <c r="AK269" t="s">
        <v>176</v>
      </c>
      <c r="AL269">
        <v>0</v>
      </c>
      <c r="AM269" t="s">
        <v>176</v>
      </c>
      <c r="AN269">
        <v>0</v>
      </c>
    </row>
    <row r="270" spans="1:40" x14ac:dyDescent="0.15">
      <c r="A270" s="4" t="str">
        <f>HYPERLINK("https://ibp.a2mac1.com/costing(costing:projects/details/9760/process/12083980)","Automated Process")</f>
        <v>Automated Process</v>
      </c>
      <c r="B270" t="s">
        <v>1992</v>
      </c>
      <c r="C270">
        <v>12083980</v>
      </c>
      <c r="D270">
        <v>8412758</v>
      </c>
      <c r="E270">
        <v>0.02</v>
      </c>
      <c r="F270">
        <v>0</v>
      </c>
      <c r="G270">
        <v>0</v>
      </c>
      <c r="H270">
        <v>1.0119999999999999E-4</v>
      </c>
      <c r="I270" t="s">
        <v>176</v>
      </c>
      <c r="J270">
        <v>6.9999999999999999E-4</v>
      </c>
      <c r="K270">
        <v>2.0801199999999999E-2</v>
      </c>
      <c r="L270">
        <v>9.422641154184605E-3</v>
      </c>
      <c r="M270">
        <v>5.653584692510763E-2</v>
      </c>
      <c r="N270">
        <v>7.7337046925107636E-2</v>
      </c>
      <c r="O270" t="s">
        <v>90</v>
      </c>
      <c r="P270">
        <v>0</v>
      </c>
      <c r="Q270" t="s">
        <v>90</v>
      </c>
      <c r="R270">
        <v>0</v>
      </c>
      <c r="S270" t="s">
        <v>90</v>
      </c>
      <c r="T270">
        <v>0</v>
      </c>
      <c r="U270">
        <v>7.7337046925107636E-2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</v>
      </c>
      <c r="AB270">
        <v>1</v>
      </c>
      <c r="AC270">
        <v>0.5</v>
      </c>
      <c r="AD270">
        <v>0.50345253019720215</v>
      </c>
      <c r="AE270">
        <v>10800</v>
      </c>
      <c r="AF270">
        <v>200000</v>
      </c>
      <c r="AG270">
        <v>16666.666666666668</v>
      </c>
      <c r="AH270">
        <v>1</v>
      </c>
      <c r="AI270">
        <v>1</v>
      </c>
      <c r="AJ270" t="s">
        <v>316</v>
      </c>
      <c r="AK270" t="s">
        <v>176</v>
      </c>
      <c r="AL270">
        <v>0</v>
      </c>
      <c r="AM270" t="s">
        <v>176</v>
      </c>
      <c r="AN270">
        <v>0</v>
      </c>
    </row>
    <row r="271" spans="1:40" x14ac:dyDescent="0.15">
      <c r="A271" s="4" t="str">
        <f>HYPERLINK("https://ibp.a2mac1.com/costing(costing:projects/details/9760/process/12083867)","Automated Process")</f>
        <v>Automated Process</v>
      </c>
      <c r="B271" t="s">
        <v>1996</v>
      </c>
      <c r="C271">
        <v>12083867</v>
      </c>
      <c r="D271">
        <v>8412663</v>
      </c>
      <c r="E271">
        <v>0.08</v>
      </c>
      <c r="F271">
        <v>0</v>
      </c>
      <c r="G271">
        <v>0</v>
      </c>
      <c r="H271">
        <v>4.0479999999999997E-4</v>
      </c>
      <c r="I271" t="s">
        <v>176</v>
      </c>
      <c r="J271">
        <v>2.8E-3</v>
      </c>
      <c r="K271">
        <v>8.3204799999999995E-2</v>
      </c>
      <c r="L271">
        <v>7.6565574225524614E-3</v>
      </c>
      <c r="M271">
        <v>4.5939344535314765E-2</v>
      </c>
      <c r="N271">
        <v>0.12914414453531478</v>
      </c>
      <c r="O271" t="s">
        <v>90</v>
      </c>
      <c r="P271">
        <v>0</v>
      </c>
      <c r="Q271" t="s">
        <v>90</v>
      </c>
      <c r="R271">
        <v>0</v>
      </c>
      <c r="S271" t="s">
        <v>90</v>
      </c>
      <c r="T271">
        <v>0</v>
      </c>
      <c r="U271">
        <v>0.12914414453531478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</v>
      </c>
      <c r="AC271">
        <v>0.5</v>
      </c>
      <c r="AD271">
        <v>0.50345253019720215</v>
      </c>
      <c r="AE271">
        <v>10800</v>
      </c>
      <c r="AF271">
        <v>200000</v>
      </c>
      <c r="AG271">
        <v>16666.666666666668</v>
      </c>
      <c r="AH271">
        <v>1</v>
      </c>
      <c r="AI271">
        <v>1</v>
      </c>
      <c r="AJ271" t="s">
        <v>162</v>
      </c>
      <c r="AK271" t="s">
        <v>176</v>
      </c>
      <c r="AL271">
        <v>0</v>
      </c>
      <c r="AM271" t="s">
        <v>176</v>
      </c>
      <c r="AN271">
        <v>0</v>
      </c>
    </row>
    <row r="272" spans="1:40" x14ac:dyDescent="0.15">
      <c r="A272" s="4" t="str">
        <f>HYPERLINK("https://ibp.a2mac1.com/costing(costing:projects/details/9760/process/12083868)","Automated Process")</f>
        <v>Automated Process</v>
      </c>
      <c r="B272" t="s">
        <v>2202</v>
      </c>
      <c r="C272">
        <v>12083868</v>
      </c>
      <c r="D272">
        <v>8412668</v>
      </c>
      <c r="E272">
        <v>0.06</v>
      </c>
      <c r="F272">
        <v>0</v>
      </c>
      <c r="G272">
        <v>0</v>
      </c>
      <c r="H272">
        <v>3.0360000000000001E-4</v>
      </c>
      <c r="I272" t="s">
        <v>176</v>
      </c>
      <c r="J272">
        <v>2.0999999999999999E-3</v>
      </c>
      <c r="K272">
        <v>6.2403599999999997E-2</v>
      </c>
      <c r="L272">
        <v>4.1243899592881732E-3</v>
      </c>
      <c r="M272">
        <v>2.4746339755729041E-2</v>
      </c>
      <c r="N272">
        <v>8.7149939755729044E-2</v>
      </c>
      <c r="O272" t="s">
        <v>90</v>
      </c>
      <c r="P272">
        <v>0</v>
      </c>
      <c r="Q272" t="s">
        <v>90</v>
      </c>
      <c r="R272">
        <v>0</v>
      </c>
      <c r="S272" t="s">
        <v>90</v>
      </c>
      <c r="T272">
        <v>0</v>
      </c>
      <c r="U272">
        <v>8.7149939755729044E-2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0.5</v>
      </c>
      <c r="AD272">
        <v>0.50345253019720215</v>
      </c>
      <c r="AE272">
        <v>10800</v>
      </c>
      <c r="AF272">
        <v>200000</v>
      </c>
      <c r="AG272">
        <v>16666.666666666668</v>
      </c>
      <c r="AH272">
        <v>1</v>
      </c>
      <c r="AI272">
        <v>1</v>
      </c>
      <c r="AJ272" t="s">
        <v>162</v>
      </c>
      <c r="AK272" t="s">
        <v>176</v>
      </c>
      <c r="AL272">
        <v>0</v>
      </c>
      <c r="AM272" t="s">
        <v>176</v>
      </c>
      <c r="AN272">
        <v>0</v>
      </c>
    </row>
    <row r="273" spans="1:40" x14ac:dyDescent="0.15">
      <c r="A273" s="4" t="str">
        <f>HYPERLINK("https://ibp.a2mac1.com/costing(costing:projects/details/9760/process/12083869)","Automated Process")</f>
        <v>Automated Process</v>
      </c>
      <c r="B273" t="s">
        <v>2202</v>
      </c>
      <c r="C273">
        <v>12083869</v>
      </c>
      <c r="D273">
        <v>8412669</v>
      </c>
      <c r="E273">
        <v>0.06</v>
      </c>
      <c r="F273">
        <v>0</v>
      </c>
      <c r="G273">
        <v>0</v>
      </c>
      <c r="H273">
        <v>3.0360000000000001E-4</v>
      </c>
      <c r="I273" t="s">
        <v>176</v>
      </c>
      <c r="J273">
        <v>2.0999999999999999E-3</v>
      </c>
      <c r="K273">
        <v>6.2403599999999997E-2</v>
      </c>
      <c r="L273">
        <v>4.1243899592881732E-3</v>
      </c>
      <c r="M273">
        <v>2.4746339755729041E-2</v>
      </c>
      <c r="N273">
        <v>8.7149939755729044E-2</v>
      </c>
      <c r="O273" t="s">
        <v>90</v>
      </c>
      <c r="P273">
        <v>0</v>
      </c>
      <c r="Q273" t="s">
        <v>90</v>
      </c>
      <c r="R273">
        <v>0</v>
      </c>
      <c r="S273" t="s">
        <v>90</v>
      </c>
      <c r="T273">
        <v>0</v>
      </c>
      <c r="U273">
        <v>8.7149939755729044E-2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0.5</v>
      </c>
      <c r="AD273">
        <v>0.50345253019720215</v>
      </c>
      <c r="AE273">
        <v>10800</v>
      </c>
      <c r="AF273">
        <v>200000</v>
      </c>
      <c r="AG273">
        <v>16666.666666666668</v>
      </c>
      <c r="AH273">
        <v>1</v>
      </c>
      <c r="AI273">
        <v>1</v>
      </c>
      <c r="AJ273" t="s">
        <v>162</v>
      </c>
      <c r="AK273" t="s">
        <v>176</v>
      </c>
      <c r="AL273">
        <v>0</v>
      </c>
      <c r="AM273" t="s">
        <v>176</v>
      </c>
      <c r="AN273">
        <v>0</v>
      </c>
    </row>
    <row r="274" spans="1:40" x14ac:dyDescent="0.15">
      <c r="A274" s="4" t="str">
        <f>HYPERLINK("https://ibp.a2mac1.com/costing(costing:projects/details/9760/process/12083870)","Automated Process")</f>
        <v>Automated Process</v>
      </c>
      <c r="B274" t="s">
        <v>2202</v>
      </c>
      <c r="C274">
        <v>12083870</v>
      </c>
      <c r="D274">
        <v>8412670</v>
      </c>
      <c r="E274">
        <v>0.06</v>
      </c>
      <c r="F274">
        <v>0</v>
      </c>
      <c r="G274">
        <v>0</v>
      </c>
      <c r="H274">
        <v>3.0360000000000001E-4</v>
      </c>
      <c r="I274" t="s">
        <v>176</v>
      </c>
      <c r="J274">
        <v>2.0999999999999999E-3</v>
      </c>
      <c r="K274">
        <v>6.2403599999999997E-2</v>
      </c>
      <c r="L274">
        <v>4.1243899592881732E-3</v>
      </c>
      <c r="M274">
        <v>2.4746339755729041E-2</v>
      </c>
      <c r="N274">
        <v>8.7149939755729044E-2</v>
      </c>
      <c r="O274" t="s">
        <v>90</v>
      </c>
      <c r="P274">
        <v>0</v>
      </c>
      <c r="Q274" t="s">
        <v>90</v>
      </c>
      <c r="R274">
        <v>0</v>
      </c>
      <c r="S274" t="s">
        <v>90</v>
      </c>
      <c r="T274">
        <v>0</v>
      </c>
      <c r="U274">
        <v>8.7149939755729044E-2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0.5</v>
      </c>
      <c r="AD274">
        <v>0.50345253019720215</v>
      </c>
      <c r="AE274">
        <v>10800</v>
      </c>
      <c r="AF274">
        <v>200000</v>
      </c>
      <c r="AG274">
        <v>16666.666666666668</v>
      </c>
      <c r="AH274">
        <v>1</v>
      </c>
      <c r="AI274">
        <v>1</v>
      </c>
      <c r="AJ274" t="s">
        <v>162</v>
      </c>
      <c r="AK274" t="s">
        <v>176</v>
      </c>
      <c r="AL274">
        <v>0</v>
      </c>
      <c r="AM274" t="s">
        <v>176</v>
      </c>
      <c r="AN274">
        <v>0</v>
      </c>
    </row>
    <row r="275" spans="1:40" x14ac:dyDescent="0.15">
      <c r="A275" s="4" t="str">
        <f>HYPERLINK("https://ibp.a2mac1.com/costing(costing:projects/details/9760/process/12083871)","Automated Process")</f>
        <v>Automated Process</v>
      </c>
      <c r="B275" t="s">
        <v>2202</v>
      </c>
      <c r="C275">
        <v>12083871</v>
      </c>
      <c r="D275">
        <v>8412671</v>
      </c>
      <c r="E275">
        <v>0.06</v>
      </c>
      <c r="F275">
        <v>0</v>
      </c>
      <c r="G275">
        <v>0</v>
      </c>
      <c r="H275">
        <v>3.0360000000000001E-4</v>
      </c>
      <c r="I275" t="s">
        <v>176</v>
      </c>
      <c r="J275">
        <v>2.0999999999999999E-3</v>
      </c>
      <c r="K275">
        <v>6.2403599999999997E-2</v>
      </c>
      <c r="L275">
        <v>4.1243899592881732E-3</v>
      </c>
      <c r="M275">
        <v>2.4746339755729041E-2</v>
      </c>
      <c r="N275">
        <v>8.7149939755729044E-2</v>
      </c>
      <c r="O275" t="s">
        <v>90</v>
      </c>
      <c r="P275">
        <v>0</v>
      </c>
      <c r="Q275" t="s">
        <v>90</v>
      </c>
      <c r="R275">
        <v>0</v>
      </c>
      <c r="S275" t="s">
        <v>90</v>
      </c>
      <c r="T275">
        <v>0</v>
      </c>
      <c r="U275">
        <v>8.7149939755729044E-2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0.5</v>
      </c>
      <c r="AD275">
        <v>0.50345253019720215</v>
      </c>
      <c r="AE275">
        <v>10800</v>
      </c>
      <c r="AF275">
        <v>200000</v>
      </c>
      <c r="AG275">
        <v>16666.666666666668</v>
      </c>
      <c r="AH275">
        <v>1</v>
      </c>
      <c r="AI275">
        <v>1</v>
      </c>
      <c r="AJ275" t="s">
        <v>162</v>
      </c>
      <c r="AK275" t="s">
        <v>176</v>
      </c>
      <c r="AL275">
        <v>0</v>
      </c>
      <c r="AM275" t="s">
        <v>176</v>
      </c>
      <c r="AN275">
        <v>0</v>
      </c>
    </row>
    <row r="276" spans="1:40" x14ac:dyDescent="0.15">
      <c r="A276" s="4" t="str">
        <f>HYPERLINK("https://ibp.a2mac1.com/costing(costing:projects/details/9760/process/12083981)","Automated Process")</f>
        <v>Automated Process</v>
      </c>
      <c r="B276" t="s">
        <v>753</v>
      </c>
      <c r="C276">
        <v>12083981</v>
      </c>
      <c r="D276">
        <v>8412761</v>
      </c>
      <c r="E276">
        <v>9.3299999999999994E-2</v>
      </c>
      <c r="F276">
        <v>0</v>
      </c>
      <c r="G276">
        <v>0</v>
      </c>
      <c r="H276">
        <v>4.7209800000000001E-4</v>
      </c>
      <c r="I276" t="s">
        <v>176</v>
      </c>
      <c r="J276">
        <v>3.2655000000000002E-3</v>
      </c>
      <c r="K276">
        <v>9.7037598000000003E-2</v>
      </c>
      <c r="L276">
        <v>9.422641154184605E-3</v>
      </c>
      <c r="M276">
        <v>5.653584692510763E-2</v>
      </c>
      <c r="N276">
        <v>0.15357344492510763</v>
      </c>
      <c r="O276" t="s">
        <v>90</v>
      </c>
      <c r="P276">
        <v>0</v>
      </c>
      <c r="Q276" t="s">
        <v>90</v>
      </c>
      <c r="R276">
        <v>0</v>
      </c>
      <c r="S276" t="s">
        <v>90</v>
      </c>
      <c r="T276">
        <v>0</v>
      </c>
      <c r="U276">
        <v>0.15357344492510763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4</v>
      </c>
      <c r="AB276">
        <v>1</v>
      </c>
      <c r="AC276">
        <v>0.5</v>
      </c>
      <c r="AD276">
        <v>0.50345253019720215</v>
      </c>
      <c r="AE276">
        <v>10800</v>
      </c>
      <c r="AF276">
        <v>200000</v>
      </c>
      <c r="AG276">
        <v>16666.666666666668</v>
      </c>
      <c r="AH276">
        <v>1</v>
      </c>
      <c r="AI276">
        <v>1</v>
      </c>
      <c r="AJ276" t="s">
        <v>162</v>
      </c>
      <c r="AK276" t="s">
        <v>176</v>
      </c>
      <c r="AL276">
        <v>0</v>
      </c>
      <c r="AM276" t="s">
        <v>176</v>
      </c>
      <c r="AN276">
        <v>0</v>
      </c>
    </row>
    <row r="277" spans="1:40" x14ac:dyDescent="0.15">
      <c r="A277" s="4" t="str">
        <f>HYPERLINK("https://ibp.a2mac1.com/costing(costing:projects/details/9760/process/12083872)","Automated Process")</f>
        <v>Automated Process</v>
      </c>
      <c r="B277" t="s">
        <v>1996</v>
      </c>
      <c r="C277">
        <v>12083872</v>
      </c>
      <c r="D277">
        <v>8412676</v>
      </c>
      <c r="E277">
        <v>0.66</v>
      </c>
      <c r="F277">
        <v>0</v>
      </c>
      <c r="G277">
        <v>0</v>
      </c>
      <c r="H277">
        <v>3.3395999999999999E-3</v>
      </c>
      <c r="I277" t="s">
        <v>176</v>
      </c>
      <c r="J277">
        <v>2.3099999999999999E-2</v>
      </c>
      <c r="K277">
        <v>0.68643960000000004</v>
      </c>
      <c r="L277">
        <v>0.20722401909698474</v>
      </c>
      <c r="M277">
        <v>1.2433441145819084</v>
      </c>
      <c r="N277">
        <v>1.9297837145819083</v>
      </c>
      <c r="O277" t="s">
        <v>177</v>
      </c>
      <c r="P277">
        <v>4.1186375999999997E-2</v>
      </c>
      <c r="Q277" t="s">
        <v>177</v>
      </c>
      <c r="R277">
        <v>7.4600646874914509E-2</v>
      </c>
      <c r="S277" t="s">
        <v>178</v>
      </c>
      <c r="T277">
        <v>0.23157404574982901</v>
      </c>
      <c r="U277">
        <v>2.2771447832066518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116</v>
      </c>
      <c r="AB277">
        <v>1</v>
      </c>
      <c r="AC277">
        <v>0.5</v>
      </c>
      <c r="AD277">
        <v>0.50345253019720215</v>
      </c>
      <c r="AE277">
        <v>10800</v>
      </c>
      <c r="AF277">
        <v>200000</v>
      </c>
      <c r="AG277">
        <v>16666.666666666668</v>
      </c>
      <c r="AH277">
        <v>1</v>
      </c>
      <c r="AI277">
        <v>1</v>
      </c>
      <c r="AJ277" t="s">
        <v>162</v>
      </c>
      <c r="AK277" t="s">
        <v>176</v>
      </c>
      <c r="AL277">
        <v>0</v>
      </c>
      <c r="AM277" t="s">
        <v>176</v>
      </c>
      <c r="AN277">
        <v>0</v>
      </c>
    </row>
    <row r="278" spans="1:40" x14ac:dyDescent="0.15">
      <c r="A278" s="4" t="str">
        <f>HYPERLINK("https://ibp.a2mac1.com/costing(costing:projects/details/9760/process/12083873)","Automated Process")</f>
        <v>Automated Process</v>
      </c>
      <c r="B278" t="s">
        <v>1996</v>
      </c>
      <c r="C278">
        <v>12083873</v>
      </c>
      <c r="D278">
        <v>8412677</v>
      </c>
      <c r="E278">
        <v>0.86</v>
      </c>
      <c r="F278">
        <v>0</v>
      </c>
      <c r="G278">
        <v>0</v>
      </c>
      <c r="H278">
        <v>4.3515999999999997E-3</v>
      </c>
      <c r="I278" t="s">
        <v>176</v>
      </c>
      <c r="J278">
        <v>3.0099999999999998E-2</v>
      </c>
      <c r="K278">
        <v>0.89445160000000001</v>
      </c>
      <c r="L278">
        <v>0.2655047822408455</v>
      </c>
      <c r="M278">
        <v>1.5930286934450728</v>
      </c>
      <c r="N278">
        <v>2.4874802934450728</v>
      </c>
      <c r="O278" t="s">
        <v>177</v>
      </c>
      <c r="P278">
        <v>5.3667095999999997E-2</v>
      </c>
      <c r="Q278" t="s">
        <v>177</v>
      </c>
      <c r="R278">
        <v>9.5581721606704376E-2</v>
      </c>
      <c r="S278" t="s">
        <v>178</v>
      </c>
      <c r="T278">
        <v>0.29849763521340877</v>
      </c>
      <c r="U278">
        <v>2.9352267462651862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149</v>
      </c>
      <c r="AB278">
        <v>1</v>
      </c>
      <c r="AC278">
        <v>0.5</v>
      </c>
      <c r="AD278">
        <v>0.50345253019720215</v>
      </c>
      <c r="AE278">
        <v>10800</v>
      </c>
      <c r="AF278">
        <v>200000</v>
      </c>
      <c r="AG278">
        <v>16666.666666666668</v>
      </c>
      <c r="AH278">
        <v>1</v>
      </c>
      <c r="AI278">
        <v>1</v>
      </c>
      <c r="AJ278" t="s">
        <v>162</v>
      </c>
      <c r="AK278" t="s">
        <v>176</v>
      </c>
      <c r="AL278">
        <v>0</v>
      </c>
      <c r="AM278" t="s">
        <v>176</v>
      </c>
      <c r="AN278">
        <v>0</v>
      </c>
    </row>
    <row r="279" spans="1:40" x14ac:dyDescent="0.15">
      <c r="A279" s="4" t="str">
        <f>HYPERLINK("https://ibp.a2mac1.com/costing(costing:projects/details/9760/process/12083816)","Automated Process")</f>
        <v>Automated Process</v>
      </c>
      <c r="B279" t="s">
        <v>2007</v>
      </c>
      <c r="C279">
        <v>12083816</v>
      </c>
      <c r="D279">
        <v>8412565</v>
      </c>
      <c r="E279">
        <v>0.04</v>
      </c>
      <c r="F279">
        <v>0</v>
      </c>
      <c r="G279">
        <v>0</v>
      </c>
      <c r="H279">
        <v>2.0239999999999999E-4</v>
      </c>
      <c r="I279" t="s">
        <v>176</v>
      </c>
      <c r="J279">
        <v>1.4E-3</v>
      </c>
      <c r="K279">
        <v>4.1602399999999998E-2</v>
      </c>
      <c r="L279">
        <v>7.6565574225524614E-3</v>
      </c>
      <c r="M279">
        <v>4.5939344535314765E-2</v>
      </c>
      <c r="N279">
        <v>8.7541744535314769E-2</v>
      </c>
      <c r="O279" t="s">
        <v>90</v>
      </c>
      <c r="P279">
        <v>0</v>
      </c>
      <c r="Q279" t="s">
        <v>90</v>
      </c>
      <c r="R279">
        <v>0</v>
      </c>
      <c r="S279" t="s">
        <v>90</v>
      </c>
      <c r="T279">
        <v>0</v>
      </c>
      <c r="U279">
        <v>8.7541744535314769E-2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</v>
      </c>
      <c r="AC279">
        <v>0.5</v>
      </c>
      <c r="AD279">
        <v>0.50345253019720215</v>
      </c>
      <c r="AE279">
        <v>10800</v>
      </c>
      <c r="AF279">
        <v>200000</v>
      </c>
      <c r="AG279">
        <v>16666.666666666668</v>
      </c>
      <c r="AH279">
        <v>1</v>
      </c>
      <c r="AI279">
        <v>1</v>
      </c>
      <c r="AJ279" t="s">
        <v>162</v>
      </c>
      <c r="AK279" t="s">
        <v>176</v>
      </c>
      <c r="AL279">
        <v>0</v>
      </c>
      <c r="AM279" t="s">
        <v>176</v>
      </c>
      <c r="AN279">
        <v>0</v>
      </c>
    </row>
    <row r="280" spans="1:40" x14ac:dyDescent="0.15">
      <c r="A280" s="4" t="str">
        <f>HYPERLINK("https://ibp.a2mac1.com/costing(costing:projects/details/9760/process/12083817)","Automated Process")</f>
        <v>Automated Process</v>
      </c>
      <c r="B280" t="s">
        <v>753</v>
      </c>
      <c r="C280">
        <v>12083817</v>
      </c>
      <c r="D280">
        <v>8412566</v>
      </c>
      <c r="E280">
        <v>0.13</v>
      </c>
      <c r="F280">
        <v>0</v>
      </c>
      <c r="G280">
        <v>0</v>
      </c>
      <c r="H280">
        <v>6.5780000000000005E-4</v>
      </c>
      <c r="I280" t="s">
        <v>176</v>
      </c>
      <c r="J280">
        <v>4.5500000000000002E-3</v>
      </c>
      <c r="K280">
        <v>0.13520779999999999</v>
      </c>
      <c r="L280">
        <v>4.8276483250091776E-2</v>
      </c>
      <c r="M280">
        <v>0.28965889950055063</v>
      </c>
      <c r="N280">
        <v>0.42486669950055062</v>
      </c>
      <c r="O280" t="s">
        <v>90</v>
      </c>
      <c r="P280">
        <v>0</v>
      </c>
      <c r="Q280" t="s">
        <v>90</v>
      </c>
      <c r="R280">
        <v>0</v>
      </c>
      <c r="S280" t="s">
        <v>90</v>
      </c>
      <c r="T280">
        <v>0</v>
      </c>
      <c r="U280">
        <v>0.42486669950055062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26</v>
      </c>
      <c r="AB280">
        <v>1</v>
      </c>
      <c r="AC280">
        <v>0.5</v>
      </c>
      <c r="AD280">
        <v>0.50345253019720215</v>
      </c>
      <c r="AE280">
        <v>10800</v>
      </c>
      <c r="AF280">
        <v>200000</v>
      </c>
      <c r="AG280">
        <v>16666.666666666668</v>
      </c>
      <c r="AH280">
        <v>1</v>
      </c>
      <c r="AI280">
        <v>1</v>
      </c>
      <c r="AJ280" t="s">
        <v>162</v>
      </c>
      <c r="AK280" t="s">
        <v>176</v>
      </c>
      <c r="AL280">
        <v>0</v>
      </c>
      <c r="AM280" t="s">
        <v>176</v>
      </c>
      <c r="AN280">
        <v>0</v>
      </c>
    </row>
    <row r="281" spans="1:40" x14ac:dyDescent="0.15">
      <c r="A281" s="4" t="str">
        <f>HYPERLINK("https://ibp.a2mac1.com/costing(costing:projects/details/9760/process/12083745)","Final Assembly")</f>
        <v>Final Assembly</v>
      </c>
      <c r="C281">
        <v>12083745</v>
      </c>
      <c r="D281">
        <v>8412550</v>
      </c>
      <c r="E281">
        <v>0</v>
      </c>
      <c r="F281">
        <v>0</v>
      </c>
      <c r="G281">
        <v>0</v>
      </c>
      <c r="H281">
        <v>0</v>
      </c>
      <c r="I281" t="s">
        <v>176</v>
      </c>
      <c r="J281">
        <v>0</v>
      </c>
      <c r="K281">
        <v>0</v>
      </c>
      <c r="L281">
        <v>1.5493154337182817</v>
      </c>
      <c r="M281">
        <v>9.2958926023096904</v>
      </c>
      <c r="N281">
        <v>9.2958926023096904</v>
      </c>
      <c r="O281" t="s">
        <v>90</v>
      </c>
      <c r="P281">
        <v>0</v>
      </c>
      <c r="Q281" t="s">
        <v>90</v>
      </c>
      <c r="R281">
        <v>0</v>
      </c>
      <c r="S281" t="s">
        <v>90</v>
      </c>
      <c r="T281">
        <v>0</v>
      </c>
      <c r="U281">
        <v>9.2958926023096904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875</v>
      </c>
      <c r="AB281">
        <v>1</v>
      </c>
      <c r="AC281">
        <v>0.5</v>
      </c>
      <c r="AD281">
        <v>0.50741219779126456</v>
      </c>
      <c r="AE281">
        <v>10800</v>
      </c>
      <c r="AF281">
        <v>200000</v>
      </c>
      <c r="AG281">
        <v>10000</v>
      </c>
      <c r="AH281">
        <v>1</v>
      </c>
      <c r="AI281">
        <v>1</v>
      </c>
      <c r="AJ281" t="s">
        <v>76</v>
      </c>
      <c r="AK281" t="s">
        <v>176</v>
      </c>
      <c r="AL281">
        <v>0</v>
      </c>
      <c r="AM281" t="s">
        <v>176</v>
      </c>
      <c r="AN281">
        <v>0</v>
      </c>
    </row>
    <row r="282" spans="1:40" x14ac:dyDescent="0.15">
      <c r="A282" s="4" t="str">
        <f>HYPERLINK("https://ibp.a2mac1.com/costing(costing:projects/details/9760/process/12083982)","Automated Process")</f>
        <v>Automated Process</v>
      </c>
      <c r="B282" t="s">
        <v>1951</v>
      </c>
      <c r="C282">
        <v>12083982</v>
      </c>
      <c r="D282">
        <v>8412762</v>
      </c>
      <c r="E282">
        <v>6</v>
      </c>
      <c r="F282">
        <v>0</v>
      </c>
      <c r="G282">
        <v>0</v>
      </c>
      <c r="H282">
        <v>3.0360000000000002E-2</v>
      </c>
      <c r="I282" t="s">
        <v>176</v>
      </c>
      <c r="J282">
        <v>0.21</v>
      </c>
      <c r="K282">
        <v>6.2403599999999999</v>
      </c>
      <c r="L282">
        <v>0.17543451192760615</v>
      </c>
      <c r="M282">
        <v>1.0526070715656368</v>
      </c>
      <c r="N282">
        <v>7.2929670715656369</v>
      </c>
      <c r="O282" t="s">
        <v>177</v>
      </c>
      <c r="P282">
        <v>0.37442160000000002</v>
      </c>
      <c r="Q282" t="s">
        <v>177</v>
      </c>
      <c r="R282">
        <v>6.315642429393821E-2</v>
      </c>
      <c r="S282" t="s">
        <v>178</v>
      </c>
      <c r="T282">
        <v>0.87515604858787643</v>
      </c>
      <c r="U282">
        <v>8.6057011444474512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98</v>
      </c>
      <c r="AB282">
        <v>1</v>
      </c>
      <c r="AC282">
        <v>0.5</v>
      </c>
      <c r="AD282">
        <v>0.50345253019720215</v>
      </c>
      <c r="AE282">
        <v>10800</v>
      </c>
      <c r="AF282">
        <v>200000</v>
      </c>
      <c r="AG282">
        <v>16666.666666666668</v>
      </c>
      <c r="AH282">
        <v>1</v>
      </c>
      <c r="AI282">
        <v>1</v>
      </c>
      <c r="AJ282" t="s">
        <v>162</v>
      </c>
      <c r="AK282" t="s">
        <v>176</v>
      </c>
      <c r="AL282">
        <v>0</v>
      </c>
      <c r="AM282" t="s">
        <v>176</v>
      </c>
      <c r="AN282">
        <v>0</v>
      </c>
    </row>
    <row r="283" spans="1:40" x14ac:dyDescent="0.15">
      <c r="A283" s="4" t="str">
        <f>HYPERLINK("https://ibp.a2mac1.com/costing(costing:projects/details/9760/process/12083983)","Automated Process")</f>
        <v>Automated Process</v>
      </c>
      <c r="B283" t="s">
        <v>1956</v>
      </c>
      <c r="C283">
        <v>12083983</v>
      </c>
      <c r="D283">
        <v>8412763</v>
      </c>
      <c r="E283">
        <v>0.27500000000000002</v>
      </c>
      <c r="F283">
        <v>0</v>
      </c>
      <c r="G283">
        <v>0</v>
      </c>
      <c r="H283">
        <v>1.3914999999999999E-3</v>
      </c>
      <c r="I283" t="s">
        <v>176</v>
      </c>
      <c r="J283">
        <v>9.6249999999999999E-3</v>
      </c>
      <c r="K283">
        <v>0.28601650000000001</v>
      </c>
      <c r="L283">
        <v>1.2954808617448894E-2</v>
      </c>
      <c r="M283">
        <v>7.7728851704693361E-2</v>
      </c>
      <c r="N283">
        <v>0.36374535170469335</v>
      </c>
      <c r="O283" t="s">
        <v>177</v>
      </c>
      <c r="P283">
        <v>1.7160990000000001E-2</v>
      </c>
      <c r="Q283" t="s">
        <v>177</v>
      </c>
      <c r="R283">
        <v>4.6637311022816015E-3</v>
      </c>
      <c r="S283" t="s">
        <v>178</v>
      </c>
      <c r="T283">
        <v>4.3649442204563203E-2</v>
      </c>
      <c r="U283">
        <v>0.42921951501153816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6</v>
      </c>
      <c r="AB283">
        <v>1</v>
      </c>
      <c r="AC283">
        <v>0.5</v>
      </c>
      <c r="AD283">
        <v>0.50345253019720215</v>
      </c>
      <c r="AE283">
        <v>10800</v>
      </c>
      <c r="AF283">
        <v>200000</v>
      </c>
      <c r="AG283">
        <v>16666.666666666668</v>
      </c>
      <c r="AH283">
        <v>1</v>
      </c>
      <c r="AI283">
        <v>1</v>
      </c>
      <c r="AJ283" t="s">
        <v>162</v>
      </c>
      <c r="AK283" t="s">
        <v>176</v>
      </c>
      <c r="AL283">
        <v>0</v>
      </c>
      <c r="AM283" t="s">
        <v>176</v>
      </c>
      <c r="AN283">
        <v>0</v>
      </c>
    </row>
    <row r="284" spans="1:40" x14ac:dyDescent="0.15">
      <c r="A284" s="4" t="str">
        <f>HYPERLINK("https://ibp.a2mac1.com/costing(costing:projects/details/9760/process/12083984)","Automated Process")</f>
        <v>Automated Process</v>
      </c>
      <c r="B284" t="s">
        <v>2479</v>
      </c>
      <c r="C284">
        <v>12083984</v>
      </c>
      <c r="D284">
        <v>8412764</v>
      </c>
      <c r="E284">
        <v>1.927</v>
      </c>
      <c r="F284">
        <v>0</v>
      </c>
      <c r="G284">
        <v>0</v>
      </c>
      <c r="H284">
        <v>9.7506199999999998E-3</v>
      </c>
      <c r="I284" t="s">
        <v>176</v>
      </c>
      <c r="J284">
        <v>6.7445000000000005E-2</v>
      </c>
      <c r="K284">
        <v>2.00419562</v>
      </c>
      <c r="L284">
        <v>0.1259841674419061</v>
      </c>
      <c r="M284">
        <v>0.75590500465143662</v>
      </c>
      <c r="N284">
        <v>2.7601006246514368</v>
      </c>
      <c r="O284" t="s">
        <v>177</v>
      </c>
      <c r="P284">
        <v>0.1202517372</v>
      </c>
      <c r="Q284" t="s">
        <v>177</v>
      </c>
      <c r="R284">
        <v>4.5354300279086199E-2</v>
      </c>
      <c r="S284" t="s">
        <v>178</v>
      </c>
      <c r="T284">
        <v>0.3312120749581724</v>
      </c>
      <c r="U284">
        <v>3.2569187370886952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70</v>
      </c>
      <c r="AB284">
        <v>1</v>
      </c>
      <c r="AC284">
        <v>0.5</v>
      </c>
      <c r="AD284">
        <v>0.50345253019720215</v>
      </c>
      <c r="AE284">
        <v>10800</v>
      </c>
      <c r="AF284">
        <v>200000</v>
      </c>
      <c r="AG284">
        <v>16666.666666666668</v>
      </c>
      <c r="AH284">
        <v>1</v>
      </c>
      <c r="AI284">
        <v>1</v>
      </c>
      <c r="AJ284" t="s">
        <v>162</v>
      </c>
      <c r="AK284" t="s">
        <v>176</v>
      </c>
      <c r="AL284">
        <v>0</v>
      </c>
      <c r="AM284" t="s">
        <v>176</v>
      </c>
      <c r="AN284">
        <v>0</v>
      </c>
    </row>
    <row r="285" spans="1:40" x14ac:dyDescent="0.15">
      <c r="A285" s="4" t="str">
        <f>HYPERLINK("https://ibp.a2mac1.com/costing(costing:projects/details/9760/process/12084016)","Automated Process")</f>
        <v>Automated Process</v>
      </c>
      <c r="B285" t="s">
        <v>2202</v>
      </c>
      <c r="C285">
        <v>12084016</v>
      </c>
      <c r="D285">
        <v>8412819</v>
      </c>
      <c r="E285">
        <v>0.11600000000000001</v>
      </c>
      <c r="F285">
        <v>0</v>
      </c>
      <c r="G285">
        <v>0</v>
      </c>
      <c r="H285">
        <v>5.8695999999999998E-4</v>
      </c>
      <c r="I285" t="s">
        <v>176</v>
      </c>
      <c r="J285">
        <v>4.0600000000000002E-3</v>
      </c>
      <c r="K285">
        <v>0.12064696</v>
      </c>
      <c r="L285">
        <v>4.1243899592881732E-3</v>
      </c>
      <c r="M285">
        <v>2.4746339755729041E-2</v>
      </c>
      <c r="N285">
        <v>0.14539329975572904</v>
      </c>
      <c r="O285" t="s">
        <v>90</v>
      </c>
      <c r="P285">
        <v>0</v>
      </c>
      <c r="Q285" t="s">
        <v>90</v>
      </c>
      <c r="R285">
        <v>0</v>
      </c>
      <c r="S285" t="s">
        <v>90</v>
      </c>
      <c r="T285">
        <v>0</v>
      </c>
      <c r="U285">
        <v>0.14539329975572904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0.5</v>
      </c>
      <c r="AD285">
        <v>0.50345253019720215</v>
      </c>
      <c r="AE285">
        <v>10800</v>
      </c>
      <c r="AF285">
        <v>200000</v>
      </c>
      <c r="AG285">
        <v>16666.666666666668</v>
      </c>
      <c r="AH285">
        <v>1</v>
      </c>
      <c r="AI285">
        <v>1</v>
      </c>
      <c r="AJ285" t="s">
        <v>162</v>
      </c>
      <c r="AK285" t="s">
        <v>176</v>
      </c>
      <c r="AL285">
        <v>0</v>
      </c>
      <c r="AM285" t="s">
        <v>176</v>
      </c>
      <c r="AN285">
        <v>0</v>
      </c>
    </row>
    <row r="286" spans="1:40" x14ac:dyDescent="0.15">
      <c r="A286" s="4" t="str">
        <f>HYPERLINK("https://ibp.a2mac1.com/costing(costing:projects/details/9760/process/12084017)","Automated Process")</f>
        <v>Automated Process</v>
      </c>
      <c r="B286" t="s">
        <v>2202</v>
      </c>
      <c r="C286">
        <v>12084017</v>
      </c>
      <c r="D286">
        <v>8412820</v>
      </c>
      <c r="E286">
        <v>0.11600000000000001</v>
      </c>
      <c r="F286">
        <v>0</v>
      </c>
      <c r="G286">
        <v>0</v>
      </c>
      <c r="H286">
        <v>5.8695999999999998E-4</v>
      </c>
      <c r="I286" t="s">
        <v>176</v>
      </c>
      <c r="J286">
        <v>4.0600000000000002E-3</v>
      </c>
      <c r="K286">
        <v>0.12064696</v>
      </c>
      <c r="L286">
        <v>4.1243899592881732E-3</v>
      </c>
      <c r="M286">
        <v>2.4746339755729041E-2</v>
      </c>
      <c r="N286">
        <v>0.14539329975572904</v>
      </c>
      <c r="O286" t="s">
        <v>90</v>
      </c>
      <c r="P286">
        <v>0</v>
      </c>
      <c r="Q286" t="s">
        <v>90</v>
      </c>
      <c r="R286">
        <v>0</v>
      </c>
      <c r="S286" t="s">
        <v>90</v>
      </c>
      <c r="T286">
        <v>0</v>
      </c>
      <c r="U286">
        <v>0.14539329975572904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0.5</v>
      </c>
      <c r="AD286">
        <v>0.50345253019720215</v>
      </c>
      <c r="AE286">
        <v>10800</v>
      </c>
      <c r="AF286">
        <v>200000</v>
      </c>
      <c r="AG286">
        <v>16666.666666666668</v>
      </c>
      <c r="AH286">
        <v>1</v>
      </c>
      <c r="AI286">
        <v>1</v>
      </c>
      <c r="AJ286" t="s">
        <v>162</v>
      </c>
      <c r="AK286" t="s">
        <v>176</v>
      </c>
      <c r="AL286">
        <v>0</v>
      </c>
      <c r="AM286" t="s">
        <v>176</v>
      </c>
      <c r="AN286">
        <v>0</v>
      </c>
    </row>
    <row r="287" spans="1:40" x14ac:dyDescent="0.15">
      <c r="A287" s="4" t="str">
        <f>HYPERLINK("https://ibp.a2mac1.com/costing(costing:projects/details/9760/process/12084034)","Automated Process")</f>
        <v>Automated Process</v>
      </c>
      <c r="B287" t="s">
        <v>2202</v>
      </c>
      <c r="C287">
        <v>12084034</v>
      </c>
      <c r="D287">
        <v>8412846</v>
      </c>
      <c r="E287">
        <v>0.115</v>
      </c>
      <c r="F287">
        <v>0</v>
      </c>
      <c r="G287">
        <v>0</v>
      </c>
      <c r="H287">
        <v>5.819E-4</v>
      </c>
      <c r="I287" t="s">
        <v>176</v>
      </c>
      <c r="J287">
        <v>4.0249999999999999E-3</v>
      </c>
      <c r="K287">
        <v>0.1196069</v>
      </c>
      <c r="L287">
        <v>5.8904736909203177E-3</v>
      </c>
      <c r="M287">
        <v>3.5342842145521906E-2</v>
      </c>
      <c r="N287">
        <v>0.1549497421455219</v>
      </c>
      <c r="O287" t="s">
        <v>90</v>
      </c>
      <c r="P287">
        <v>0</v>
      </c>
      <c r="Q287" t="s">
        <v>90</v>
      </c>
      <c r="R287">
        <v>0</v>
      </c>
      <c r="S287" t="s">
        <v>90</v>
      </c>
      <c r="T287">
        <v>0</v>
      </c>
      <c r="U287">
        <v>0.1549497421455219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1</v>
      </c>
      <c r="AC287">
        <v>0.5</v>
      </c>
      <c r="AD287">
        <v>0.50345253019720215</v>
      </c>
      <c r="AE287">
        <v>10800</v>
      </c>
      <c r="AF287">
        <v>200000</v>
      </c>
      <c r="AG287">
        <v>16666.666666666668</v>
      </c>
      <c r="AH287">
        <v>1</v>
      </c>
      <c r="AI287">
        <v>1</v>
      </c>
      <c r="AJ287" t="s">
        <v>162</v>
      </c>
      <c r="AK287" t="s">
        <v>176</v>
      </c>
      <c r="AL287">
        <v>0</v>
      </c>
      <c r="AM287" t="s">
        <v>176</v>
      </c>
      <c r="AN287">
        <v>0</v>
      </c>
    </row>
    <row r="288" spans="1:40" x14ac:dyDescent="0.15">
      <c r="A288" s="4" t="str">
        <f>HYPERLINK("https://ibp.a2mac1.com/costing(costing:projects/details/9760/process/12084035)","Automated Process")</f>
        <v>Automated Process</v>
      </c>
      <c r="B288" t="s">
        <v>2202</v>
      </c>
      <c r="C288">
        <v>12084035</v>
      </c>
      <c r="D288">
        <v>8412847</v>
      </c>
      <c r="E288">
        <v>0.158</v>
      </c>
      <c r="F288">
        <v>0</v>
      </c>
      <c r="G288">
        <v>0</v>
      </c>
      <c r="H288">
        <v>7.9947999999999998E-4</v>
      </c>
      <c r="I288" t="s">
        <v>176</v>
      </c>
      <c r="J288">
        <v>5.5300000000000002E-3</v>
      </c>
      <c r="K288">
        <v>0.16432948</v>
      </c>
      <c r="L288">
        <v>7.6565574225524614E-3</v>
      </c>
      <c r="M288">
        <v>4.5939344535314765E-2</v>
      </c>
      <c r="N288">
        <v>0.21026882453531476</v>
      </c>
      <c r="O288" t="s">
        <v>90</v>
      </c>
      <c r="P288">
        <v>0</v>
      </c>
      <c r="Q288" t="s">
        <v>90</v>
      </c>
      <c r="R288">
        <v>0</v>
      </c>
      <c r="S288" t="s">
        <v>90</v>
      </c>
      <c r="T288">
        <v>0</v>
      </c>
      <c r="U288">
        <v>0.21026882453531476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</v>
      </c>
      <c r="AC288">
        <v>0.5</v>
      </c>
      <c r="AD288">
        <v>0.50345253019720215</v>
      </c>
      <c r="AE288">
        <v>10800</v>
      </c>
      <c r="AF288">
        <v>200000</v>
      </c>
      <c r="AG288">
        <v>16666.666666666668</v>
      </c>
      <c r="AH288">
        <v>1</v>
      </c>
      <c r="AI288">
        <v>1</v>
      </c>
      <c r="AJ288" t="s">
        <v>162</v>
      </c>
      <c r="AK288" t="s">
        <v>176</v>
      </c>
      <c r="AL288">
        <v>0</v>
      </c>
      <c r="AM288" t="s">
        <v>176</v>
      </c>
      <c r="AN288">
        <v>0</v>
      </c>
    </row>
    <row r="289" spans="1:40" x14ac:dyDescent="0.15">
      <c r="A289" s="4" t="str">
        <f>HYPERLINK("https://ibp.a2mac1.com/costing(costing:projects/details/9760/process/12084036)","Automated Process")</f>
        <v>Automated Process</v>
      </c>
      <c r="B289" t="s">
        <v>2202</v>
      </c>
      <c r="C289">
        <v>12084036</v>
      </c>
      <c r="D289">
        <v>8412848</v>
      </c>
      <c r="E289">
        <v>0.22700000000000001</v>
      </c>
      <c r="F289">
        <v>0</v>
      </c>
      <c r="G289">
        <v>0</v>
      </c>
      <c r="H289">
        <v>1.1486199999999999E-3</v>
      </c>
      <c r="I289" t="s">
        <v>176</v>
      </c>
      <c r="J289">
        <v>7.9450000000000007E-3</v>
      </c>
      <c r="K289">
        <v>0.23609362</v>
      </c>
      <c r="L289">
        <v>2.001914354397747E-2</v>
      </c>
      <c r="M289">
        <v>0.12011486126386482</v>
      </c>
      <c r="N289">
        <v>0.35620848126386484</v>
      </c>
      <c r="O289" t="s">
        <v>90</v>
      </c>
      <c r="P289">
        <v>0</v>
      </c>
      <c r="Q289" t="s">
        <v>90</v>
      </c>
      <c r="R289">
        <v>0</v>
      </c>
      <c r="S289" t="s">
        <v>90</v>
      </c>
      <c r="T289">
        <v>0</v>
      </c>
      <c r="U289">
        <v>0.35620848126386484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10</v>
      </c>
      <c r="AB289">
        <v>1</v>
      </c>
      <c r="AC289">
        <v>0.5</v>
      </c>
      <c r="AD289">
        <v>0.50345253019720215</v>
      </c>
      <c r="AE289">
        <v>10800</v>
      </c>
      <c r="AF289">
        <v>200000</v>
      </c>
      <c r="AG289">
        <v>16666.666666666668</v>
      </c>
      <c r="AH289">
        <v>1</v>
      </c>
      <c r="AI289">
        <v>1</v>
      </c>
      <c r="AJ289" t="s">
        <v>162</v>
      </c>
      <c r="AK289" t="s">
        <v>176</v>
      </c>
      <c r="AL289">
        <v>0</v>
      </c>
      <c r="AM289" t="s">
        <v>176</v>
      </c>
      <c r="AN289">
        <v>0</v>
      </c>
    </row>
    <row r="290" spans="1:40" x14ac:dyDescent="0.15">
      <c r="A290" s="4" t="str">
        <f>HYPERLINK("https://ibp.a2mac1.com/costing(costing:projects/details/9760/process/12083985)","Automated Process")</f>
        <v>Automated Process</v>
      </c>
      <c r="B290" t="s">
        <v>1951</v>
      </c>
      <c r="C290">
        <v>12083985</v>
      </c>
      <c r="D290">
        <v>8412765</v>
      </c>
      <c r="E290">
        <v>23.15</v>
      </c>
      <c r="F290">
        <v>0</v>
      </c>
      <c r="G290">
        <v>0</v>
      </c>
      <c r="H290">
        <v>0.11713899999999999</v>
      </c>
      <c r="I290" t="s">
        <v>176</v>
      </c>
      <c r="J290">
        <v>0.81025000000000003</v>
      </c>
      <c r="K290">
        <v>24.077389</v>
      </c>
      <c r="L290">
        <v>0.57456943527647064</v>
      </c>
      <c r="M290">
        <v>3.4474166116588241</v>
      </c>
      <c r="N290">
        <v>27.524805611658824</v>
      </c>
      <c r="O290" t="s">
        <v>90</v>
      </c>
      <c r="P290">
        <v>0</v>
      </c>
      <c r="Q290" t="s">
        <v>90</v>
      </c>
      <c r="R290">
        <v>0</v>
      </c>
      <c r="S290" t="s">
        <v>90</v>
      </c>
      <c r="T290">
        <v>0</v>
      </c>
      <c r="U290">
        <v>27.524805611658824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324</v>
      </c>
      <c r="AB290">
        <v>1</v>
      </c>
      <c r="AC290">
        <v>0.5</v>
      </c>
      <c r="AD290">
        <v>0.50345253019720215</v>
      </c>
      <c r="AE290">
        <v>10800</v>
      </c>
      <c r="AF290">
        <v>200000</v>
      </c>
      <c r="AG290">
        <v>16666.666666666668</v>
      </c>
      <c r="AH290">
        <v>1</v>
      </c>
      <c r="AI290">
        <v>1</v>
      </c>
      <c r="AJ290" t="s">
        <v>162</v>
      </c>
      <c r="AK290" t="s">
        <v>176</v>
      </c>
      <c r="AL290">
        <v>0</v>
      </c>
      <c r="AM290" t="s">
        <v>176</v>
      </c>
      <c r="AN290">
        <v>0</v>
      </c>
    </row>
    <row r="291" spans="1:40" x14ac:dyDescent="0.15">
      <c r="A291" s="4" t="str">
        <f>HYPERLINK("https://ibp.a2mac1.com/costing(costing:projects/details/9760/process/12083986)","Automated Process")</f>
        <v>Automated Process</v>
      </c>
      <c r="B291" t="s">
        <v>1956</v>
      </c>
      <c r="C291">
        <v>12083986</v>
      </c>
      <c r="D291">
        <v>8412766</v>
      </c>
      <c r="E291">
        <v>3.58</v>
      </c>
      <c r="F291">
        <v>0</v>
      </c>
      <c r="G291">
        <v>0</v>
      </c>
      <c r="H291">
        <v>1.81148E-2</v>
      </c>
      <c r="I291" t="s">
        <v>176</v>
      </c>
      <c r="J291">
        <v>0.12529999999999999</v>
      </c>
      <c r="K291">
        <v>3.7234148</v>
      </c>
      <c r="L291">
        <v>0.17543451192760615</v>
      </c>
      <c r="M291">
        <v>1.0526070715656368</v>
      </c>
      <c r="N291">
        <v>4.7760218715656366</v>
      </c>
      <c r="O291" t="s">
        <v>90</v>
      </c>
      <c r="P291">
        <v>0</v>
      </c>
      <c r="Q291" t="s">
        <v>90</v>
      </c>
      <c r="R291">
        <v>0</v>
      </c>
      <c r="S291" t="s">
        <v>90</v>
      </c>
      <c r="T291">
        <v>0</v>
      </c>
      <c r="U291">
        <v>4.7760218715656366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98</v>
      </c>
      <c r="AB291">
        <v>1</v>
      </c>
      <c r="AC291">
        <v>0.5</v>
      </c>
      <c r="AD291">
        <v>0.50345253019720215</v>
      </c>
      <c r="AE291">
        <v>10800</v>
      </c>
      <c r="AF291">
        <v>200000</v>
      </c>
      <c r="AG291">
        <v>16666.666666666668</v>
      </c>
      <c r="AH291">
        <v>1</v>
      </c>
      <c r="AI291">
        <v>1</v>
      </c>
      <c r="AJ291" t="s">
        <v>162</v>
      </c>
      <c r="AK291" t="s">
        <v>176</v>
      </c>
      <c r="AL291">
        <v>0</v>
      </c>
      <c r="AM291" t="s">
        <v>176</v>
      </c>
      <c r="AN291">
        <v>0</v>
      </c>
    </row>
    <row r="292" spans="1:40" x14ac:dyDescent="0.15">
      <c r="A292" s="4" t="str">
        <f>HYPERLINK("https://ibp.a2mac1.com/costing(costing:projects/details/9760/process/12083987)","Automated Process")</f>
        <v>Automated Process</v>
      </c>
      <c r="B292" t="s">
        <v>2024</v>
      </c>
      <c r="C292">
        <v>12083987</v>
      </c>
      <c r="D292">
        <v>8412767</v>
      </c>
      <c r="E292">
        <v>2.96</v>
      </c>
      <c r="F292">
        <v>0</v>
      </c>
      <c r="G292">
        <v>0</v>
      </c>
      <c r="H292">
        <v>1.4977600000000001E-2</v>
      </c>
      <c r="I292" t="s">
        <v>176</v>
      </c>
      <c r="J292">
        <v>0.1036</v>
      </c>
      <c r="K292">
        <v>3.0785776</v>
      </c>
      <c r="L292">
        <v>1.2968976815140176</v>
      </c>
      <c r="M292">
        <v>7.7813860890841058</v>
      </c>
      <c r="N292">
        <v>10.859963689084106</v>
      </c>
      <c r="O292" t="s">
        <v>90</v>
      </c>
      <c r="P292">
        <v>0</v>
      </c>
      <c r="Q292" t="s">
        <v>90</v>
      </c>
      <c r="R292">
        <v>0</v>
      </c>
      <c r="S292" t="s">
        <v>90</v>
      </c>
      <c r="T292">
        <v>0</v>
      </c>
      <c r="U292">
        <v>10.859963689084106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733</v>
      </c>
      <c r="AB292">
        <v>1</v>
      </c>
      <c r="AC292">
        <v>0.5</v>
      </c>
      <c r="AD292">
        <v>0.50345253019720215</v>
      </c>
      <c r="AE292">
        <v>10800</v>
      </c>
      <c r="AF292">
        <v>200000</v>
      </c>
      <c r="AG292">
        <v>16666.666666666668</v>
      </c>
      <c r="AH292">
        <v>1</v>
      </c>
      <c r="AI292">
        <v>1</v>
      </c>
      <c r="AJ292" t="s">
        <v>162</v>
      </c>
      <c r="AK292" t="s">
        <v>176</v>
      </c>
      <c r="AL292">
        <v>0</v>
      </c>
      <c r="AM292" t="s">
        <v>176</v>
      </c>
      <c r="AN292">
        <v>0</v>
      </c>
    </row>
    <row r="293" spans="1:40" x14ac:dyDescent="0.15">
      <c r="A293" s="4" t="str">
        <f>HYPERLINK("https://ibp.a2mac1.com/costing(costing:projects/details/9760/process/12083988)","Automated Process")</f>
        <v>Automated Process</v>
      </c>
      <c r="C293">
        <v>12083988</v>
      </c>
      <c r="D293">
        <v>8412768</v>
      </c>
      <c r="E293">
        <v>0.91800000000000004</v>
      </c>
      <c r="F293">
        <v>0</v>
      </c>
      <c r="G293">
        <v>0</v>
      </c>
      <c r="H293">
        <v>4.6450800000000002E-3</v>
      </c>
      <c r="I293" t="s">
        <v>176</v>
      </c>
      <c r="J293">
        <v>3.2129999999999999E-2</v>
      </c>
      <c r="K293">
        <v>0.95477508</v>
      </c>
      <c r="L293">
        <v>0.28493170328879908</v>
      </c>
      <c r="M293">
        <v>1.7095902197327943</v>
      </c>
      <c r="N293">
        <v>2.6643652997327942</v>
      </c>
      <c r="O293" t="s">
        <v>90</v>
      </c>
      <c r="P293">
        <v>0</v>
      </c>
      <c r="Q293" t="s">
        <v>90</v>
      </c>
      <c r="R293">
        <v>0</v>
      </c>
      <c r="S293" t="s">
        <v>90</v>
      </c>
      <c r="T293">
        <v>0</v>
      </c>
      <c r="U293">
        <v>2.6643652997327942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160</v>
      </c>
      <c r="AB293">
        <v>1</v>
      </c>
      <c r="AC293">
        <v>0.5</v>
      </c>
      <c r="AD293">
        <v>0.50345253019720215</v>
      </c>
      <c r="AE293">
        <v>10800</v>
      </c>
      <c r="AF293">
        <v>200000</v>
      </c>
      <c r="AG293">
        <v>16666.666666666668</v>
      </c>
      <c r="AH293">
        <v>1</v>
      </c>
      <c r="AI293">
        <v>1</v>
      </c>
      <c r="AJ293" t="s">
        <v>162</v>
      </c>
      <c r="AK293" t="s">
        <v>176</v>
      </c>
      <c r="AL293">
        <v>0</v>
      </c>
      <c r="AM293" t="s">
        <v>176</v>
      </c>
      <c r="AN293">
        <v>0</v>
      </c>
    </row>
    <row r="294" spans="1:40" x14ac:dyDescent="0.15">
      <c r="A294" s="4" t="str">
        <f>HYPERLINK("https://ibp.a2mac1.com/costing(costing:projects/details/9760/process/12083989)","Automated Process")</f>
        <v>Automated Process</v>
      </c>
      <c r="B294" t="s">
        <v>1956</v>
      </c>
      <c r="C294">
        <v>12083989</v>
      </c>
      <c r="D294">
        <v>8412769</v>
      </c>
      <c r="E294">
        <v>0.184</v>
      </c>
      <c r="F294">
        <v>0</v>
      </c>
      <c r="G294">
        <v>0</v>
      </c>
      <c r="H294">
        <v>9.3103999999999995E-4</v>
      </c>
      <c r="I294" t="s">
        <v>176</v>
      </c>
      <c r="J294">
        <v>6.4400000000000004E-3</v>
      </c>
      <c r="K294">
        <v>0.19137103999999999</v>
      </c>
      <c r="L294">
        <v>9.422641154184605E-3</v>
      </c>
      <c r="M294">
        <v>5.653584692510763E-2</v>
      </c>
      <c r="N294">
        <v>0.24790688692510762</v>
      </c>
      <c r="O294" t="s">
        <v>90</v>
      </c>
      <c r="P294">
        <v>0</v>
      </c>
      <c r="Q294" t="s">
        <v>90</v>
      </c>
      <c r="R294">
        <v>0</v>
      </c>
      <c r="S294" t="s">
        <v>90</v>
      </c>
      <c r="T294">
        <v>0</v>
      </c>
      <c r="U294">
        <v>0.24790688692510762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</v>
      </c>
      <c r="AB294">
        <v>1</v>
      </c>
      <c r="AC294">
        <v>0.5</v>
      </c>
      <c r="AD294">
        <v>0.50345253019720215</v>
      </c>
      <c r="AE294">
        <v>10800</v>
      </c>
      <c r="AF294">
        <v>200000</v>
      </c>
      <c r="AG294">
        <v>16666.666666666668</v>
      </c>
      <c r="AH294">
        <v>1</v>
      </c>
      <c r="AI294">
        <v>1</v>
      </c>
      <c r="AJ294" t="s">
        <v>162</v>
      </c>
      <c r="AK294" t="s">
        <v>176</v>
      </c>
      <c r="AL294">
        <v>0</v>
      </c>
      <c r="AM294" t="s">
        <v>176</v>
      </c>
      <c r="AN294">
        <v>0</v>
      </c>
    </row>
    <row r="295" spans="1:40" x14ac:dyDescent="0.15">
      <c r="A295" s="4" t="str">
        <f>HYPERLINK("https://ibp.a2mac1.com/costing(costing:projects/details/9760/process/12083990)","Automated Process")</f>
        <v>Automated Process</v>
      </c>
      <c r="B295" t="s">
        <v>753</v>
      </c>
      <c r="C295">
        <v>12083990</v>
      </c>
      <c r="D295">
        <v>8412772</v>
      </c>
      <c r="E295">
        <v>0.16300000000000001</v>
      </c>
      <c r="F295">
        <v>0</v>
      </c>
      <c r="G295">
        <v>0</v>
      </c>
      <c r="H295">
        <v>8.2478E-4</v>
      </c>
      <c r="I295" t="s">
        <v>176</v>
      </c>
      <c r="J295">
        <v>5.705E-3</v>
      </c>
      <c r="K295">
        <v>0.16952977999999999</v>
      </c>
      <c r="L295">
        <v>2.001914354397747E-2</v>
      </c>
      <c r="M295">
        <v>0.12011486126386482</v>
      </c>
      <c r="N295">
        <v>0.2896446412638648</v>
      </c>
      <c r="O295" t="s">
        <v>90</v>
      </c>
      <c r="P295">
        <v>0</v>
      </c>
      <c r="Q295" t="s">
        <v>90</v>
      </c>
      <c r="R295">
        <v>0</v>
      </c>
      <c r="S295" t="s">
        <v>90</v>
      </c>
      <c r="T295">
        <v>0</v>
      </c>
      <c r="U295">
        <v>0.2896446412638648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10</v>
      </c>
      <c r="AB295">
        <v>1</v>
      </c>
      <c r="AC295">
        <v>0.5</v>
      </c>
      <c r="AD295">
        <v>0.50345253019720215</v>
      </c>
      <c r="AE295">
        <v>10800</v>
      </c>
      <c r="AF295">
        <v>200000</v>
      </c>
      <c r="AG295">
        <v>16666.666666666668</v>
      </c>
      <c r="AH295">
        <v>1</v>
      </c>
      <c r="AI295">
        <v>1</v>
      </c>
      <c r="AJ295" t="s">
        <v>162</v>
      </c>
      <c r="AK295" t="s">
        <v>176</v>
      </c>
      <c r="AL295">
        <v>0</v>
      </c>
      <c r="AM295" t="s">
        <v>176</v>
      </c>
      <c r="AN295">
        <v>0</v>
      </c>
    </row>
    <row r="296" spans="1:40" x14ac:dyDescent="0.15">
      <c r="A296" s="4" t="str">
        <f>HYPERLINK("https://ibp.a2mac1.com/costing(costing:projects/details/9760/process/12084018)","Automated Process")</f>
        <v>Automated Process</v>
      </c>
      <c r="B296" t="s">
        <v>1951</v>
      </c>
      <c r="C296">
        <v>12084018</v>
      </c>
      <c r="D296">
        <v>8412824</v>
      </c>
      <c r="E296">
        <v>3.66</v>
      </c>
      <c r="F296">
        <v>0</v>
      </c>
      <c r="G296">
        <v>0</v>
      </c>
      <c r="H296">
        <v>1.8519600000000001E-2</v>
      </c>
      <c r="I296" t="s">
        <v>176</v>
      </c>
      <c r="J296">
        <v>0.12809999999999999</v>
      </c>
      <c r="K296">
        <v>3.8066195999999999</v>
      </c>
      <c r="L296">
        <v>0.10832333012558466</v>
      </c>
      <c r="M296">
        <v>0.64993998075350801</v>
      </c>
      <c r="N296">
        <v>4.4565595807535079</v>
      </c>
      <c r="O296" t="s">
        <v>90</v>
      </c>
      <c r="P296">
        <v>0</v>
      </c>
      <c r="Q296" t="s">
        <v>90</v>
      </c>
      <c r="R296">
        <v>0</v>
      </c>
      <c r="S296" t="s">
        <v>90</v>
      </c>
      <c r="T296">
        <v>0</v>
      </c>
      <c r="U296">
        <v>4.4565595807535079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60</v>
      </c>
      <c r="AB296">
        <v>1</v>
      </c>
      <c r="AC296">
        <v>0.5</v>
      </c>
      <c r="AD296">
        <v>0.50345253019720215</v>
      </c>
      <c r="AE296">
        <v>10800</v>
      </c>
      <c r="AF296">
        <v>200000</v>
      </c>
      <c r="AG296">
        <v>16666.666666666668</v>
      </c>
      <c r="AH296">
        <v>1</v>
      </c>
      <c r="AI296">
        <v>1</v>
      </c>
      <c r="AJ296" t="s">
        <v>162</v>
      </c>
      <c r="AK296" t="s">
        <v>176</v>
      </c>
      <c r="AL296">
        <v>0</v>
      </c>
      <c r="AM296" t="s">
        <v>176</v>
      </c>
      <c r="AN296">
        <v>0</v>
      </c>
    </row>
    <row r="297" spans="1:40" x14ac:dyDescent="0.15">
      <c r="A297" s="4" t="str">
        <f>HYPERLINK("https://ibp.a2mac1.com/costing(costing:projects/details/9760/process/12084019)","Automated Process")</f>
        <v>Automated Process</v>
      </c>
      <c r="B297" t="s">
        <v>1956</v>
      </c>
      <c r="C297">
        <v>12084019</v>
      </c>
      <c r="D297">
        <v>8412825</v>
      </c>
      <c r="E297">
        <v>0.151</v>
      </c>
      <c r="F297">
        <v>0</v>
      </c>
      <c r="G297">
        <v>0</v>
      </c>
      <c r="H297">
        <v>7.6406E-4</v>
      </c>
      <c r="I297" t="s">
        <v>176</v>
      </c>
      <c r="J297">
        <v>5.2849999999999998E-3</v>
      </c>
      <c r="K297">
        <v>0.15704905999999999</v>
      </c>
      <c r="L297">
        <v>7.6565574225524614E-3</v>
      </c>
      <c r="M297">
        <v>4.5939344535314765E-2</v>
      </c>
      <c r="N297">
        <v>0.20298840453531478</v>
      </c>
      <c r="O297" t="s">
        <v>90</v>
      </c>
      <c r="P297">
        <v>0</v>
      </c>
      <c r="Q297" t="s">
        <v>90</v>
      </c>
      <c r="R297">
        <v>0</v>
      </c>
      <c r="S297" t="s">
        <v>90</v>
      </c>
      <c r="T297">
        <v>0</v>
      </c>
      <c r="U297">
        <v>0.20298840453531478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</v>
      </c>
      <c r="AC297">
        <v>0.5</v>
      </c>
      <c r="AD297">
        <v>0.50345253019720215</v>
      </c>
      <c r="AE297">
        <v>10800</v>
      </c>
      <c r="AF297">
        <v>200000</v>
      </c>
      <c r="AG297">
        <v>16666.666666666668</v>
      </c>
      <c r="AH297">
        <v>1</v>
      </c>
      <c r="AI297">
        <v>1</v>
      </c>
      <c r="AJ297" t="s">
        <v>162</v>
      </c>
      <c r="AK297" t="s">
        <v>176</v>
      </c>
      <c r="AL297">
        <v>0</v>
      </c>
      <c r="AM297" t="s">
        <v>176</v>
      </c>
      <c r="AN297">
        <v>0</v>
      </c>
    </row>
    <row r="298" spans="1:40" x14ac:dyDescent="0.15">
      <c r="A298" s="4" t="str">
        <f>HYPERLINK("https://ibp.a2mac1.com/costing(costing:projects/details/9760/process/12084020)","Automated Process")</f>
        <v>Automated Process</v>
      </c>
      <c r="B298" t="s">
        <v>2479</v>
      </c>
      <c r="C298">
        <v>12084020</v>
      </c>
      <c r="D298">
        <v>8412826</v>
      </c>
      <c r="E298">
        <v>1.33</v>
      </c>
      <c r="F298">
        <v>0</v>
      </c>
      <c r="G298">
        <v>0</v>
      </c>
      <c r="H298">
        <v>6.7298000000000002E-3</v>
      </c>
      <c r="I298" t="s">
        <v>176</v>
      </c>
      <c r="J298">
        <v>4.6550000000000001E-2</v>
      </c>
      <c r="K298">
        <v>1.3832797999999999</v>
      </c>
      <c r="L298">
        <v>9.949291146742395E-2</v>
      </c>
      <c r="M298">
        <v>0.5969574688045437</v>
      </c>
      <c r="N298">
        <v>1.9802372688045438</v>
      </c>
      <c r="O298" t="s">
        <v>90</v>
      </c>
      <c r="P298">
        <v>0</v>
      </c>
      <c r="Q298" t="s">
        <v>90</v>
      </c>
      <c r="R298">
        <v>0</v>
      </c>
      <c r="S298" t="s">
        <v>90</v>
      </c>
      <c r="T298">
        <v>0</v>
      </c>
      <c r="U298">
        <v>1.9802372688045438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55</v>
      </c>
      <c r="AB298">
        <v>1</v>
      </c>
      <c r="AC298">
        <v>0.5</v>
      </c>
      <c r="AD298">
        <v>0.50345253019720215</v>
      </c>
      <c r="AE298">
        <v>10800</v>
      </c>
      <c r="AF298">
        <v>200000</v>
      </c>
      <c r="AG298">
        <v>16666.666666666668</v>
      </c>
      <c r="AH298">
        <v>1</v>
      </c>
      <c r="AI298">
        <v>1</v>
      </c>
      <c r="AJ298" t="s">
        <v>162</v>
      </c>
      <c r="AK298" t="s">
        <v>176</v>
      </c>
      <c r="AL298">
        <v>0</v>
      </c>
      <c r="AM298" t="s">
        <v>176</v>
      </c>
      <c r="AN298">
        <v>0</v>
      </c>
    </row>
    <row r="299" spans="1:40" x14ac:dyDescent="0.15">
      <c r="A299" s="4" t="str">
        <f>HYPERLINK("https://ibp.a2mac1.com/costing(costing:projects/details/9760/process/12084021)","Automated Process")</f>
        <v>Automated Process</v>
      </c>
      <c r="B299" t="s">
        <v>1951</v>
      </c>
      <c r="C299">
        <v>12084021</v>
      </c>
      <c r="D299">
        <v>8412827</v>
      </c>
      <c r="E299">
        <v>6</v>
      </c>
      <c r="F299">
        <v>0</v>
      </c>
      <c r="G299">
        <v>0</v>
      </c>
      <c r="H299">
        <v>3.0360000000000002E-2</v>
      </c>
      <c r="I299" t="s">
        <v>176</v>
      </c>
      <c r="J299">
        <v>0.21</v>
      </c>
      <c r="K299">
        <v>6.2403599999999999</v>
      </c>
      <c r="L299">
        <v>0.17543451192760615</v>
      </c>
      <c r="M299">
        <v>1.0526070715656368</v>
      </c>
      <c r="N299">
        <v>7.2929670715656369</v>
      </c>
      <c r="O299" t="s">
        <v>90</v>
      </c>
      <c r="P299">
        <v>0</v>
      </c>
      <c r="Q299" t="s">
        <v>90</v>
      </c>
      <c r="R299">
        <v>0</v>
      </c>
      <c r="S299" t="s">
        <v>90</v>
      </c>
      <c r="T299">
        <v>0</v>
      </c>
      <c r="U299">
        <v>7.2929670715656369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98</v>
      </c>
      <c r="AB299">
        <v>1</v>
      </c>
      <c r="AC299">
        <v>0.5</v>
      </c>
      <c r="AD299">
        <v>0.50345253019720215</v>
      </c>
      <c r="AE299">
        <v>10800</v>
      </c>
      <c r="AF299">
        <v>200000</v>
      </c>
      <c r="AG299">
        <v>16666.666666666668</v>
      </c>
      <c r="AH299">
        <v>1</v>
      </c>
      <c r="AI299">
        <v>1</v>
      </c>
      <c r="AJ299" t="s">
        <v>162</v>
      </c>
      <c r="AK299" t="s">
        <v>176</v>
      </c>
      <c r="AL299">
        <v>0</v>
      </c>
      <c r="AM299" t="s">
        <v>176</v>
      </c>
      <c r="AN299">
        <v>0</v>
      </c>
    </row>
    <row r="300" spans="1:40" x14ac:dyDescent="0.15">
      <c r="A300" s="4" t="str">
        <f>HYPERLINK("https://ibp.a2mac1.com/costing(costing:projects/details/9760/process/12084022)","Automated Process")</f>
        <v>Automated Process</v>
      </c>
      <c r="B300" t="s">
        <v>1956</v>
      </c>
      <c r="C300">
        <v>12084022</v>
      </c>
      <c r="D300">
        <v>8412828</v>
      </c>
      <c r="E300">
        <v>0.27500000000000002</v>
      </c>
      <c r="F300">
        <v>0</v>
      </c>
      <c r="G300">
        <v>0</v>
      </c>
      <c r="H300">
        <v>1.3914999999999999E-3</v>
      </c>
      <c r="I300" t="s">
        <v>176</v>
      </c>
      <c r="J300">
        <v>9.6249999999999999E-3</v>
      </c>
      <c r="K300">
        <v>0.28601650000000001</v>
      </c>
      <c r="L300">
        <v>1.2954808617448894E-2</v>
      </c>
      <c r="M300">
        <v>7.7728851704693361E-2</v>
      </c>
      <c r="N300">
        <v>0.36374535170469335</v>
      </c>
      <c r="O300" t="s">
        <v>90</v>
      </c>
      <c r="P300">
        <v>0</v>
      </c>
      <c r="Q300" t="s">
        <v>90</v>
      </c>
      <c r="R300">
        <v>0</v>
      </c>
      <c r="S300" t="s">
        <v>90</v>
      </c>
      <c r="T300">
        <v>0</v>
      </c>
      <c r="U300">
        <v>0.36374535170469335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6</v>
      </c>
      <c r="AB300">
        <v>1</v>
      </c>
      <c r="AC300">
        <v>0.5</v>
      </c>
      <c r="AD300">
        <v>0.50345253019720215</v>
      </c>
      <c r="AE300">
        <v>10800</v>
      </c>
      <c r="AF300">
        <v>200000</v>
      </c>
      <c r="AG300">
        <v>16666.666666666668</v>
      </c>
      <c r="AH300">
        <v>1</v>
      </c>
      <c r="AI300">
        <v>1</v>
      </c>
      <c r="AJ300" t="s">
        <v>162</v>
      </c>
      <c r="AK300" t="s">
        <v>176</v>
      </c>
      <c r="AL300">
        <v>0</v>
      </c>
      <c r="AM300" t="s">
        <v>176</v>
      </c>
      <c r="AN300">
        <v>0</v>
      </c>
    </row>
    <row r="301" spans="1:40" x14ac:dyDescent="0.15">
      <c r="A301" s="4" t="str">
        <f>HYPERLINK("https://ibp.a2mac1.com/costing(costing:projects/details/9760/process/12084023)","Automated Process")</f>
        <v>Automated Process</v>
      </c>
      <c r="B301" t="s">
        <v>2479</v>
      </c>
      <c r="C301">
        <v>12084023</v>
      </c>
      <c r="D301">
        <v>8412829</v>
      </c>
      <c r="E301">
        <v>1.927</v>
      </c>
      <c r="F301">
        <v>0</v>
      </c>
      <c r="G301">
        <v>0</v>
      </c>
      <c r="H301">
        <v>9.7506199999999998E-3</v>
      </c>
      <c r="I301" t="s">
        <v>176</v>
      </c>
      <c r="J301">
        <v>6.7445000000000005E-2</v>
      </c>
      <c r="K301">
        <v>2.00419562</v>
      </c>
      <c r="L301">
        <v>0.1259841674419061</v>
      </c>
      <c r="M301">
        <v>0.75590500465143662</v>
      </c>
      <c r="N301">
        <v>2.7601006246514368</v>
      </c>
      <c r="O301" t="s">
        <v>90</v>
      </c>
      <c r="P301">
        <v>0</v>
      </c>
      <c r="Q301" t="s">
        <v>90</v>
      </c>
      <c r="R301">
        <v>0</v>
      </c>
      <c r="S301" t="s">
        <v>90</v>
      </c>
      <c r="T301">
        <v>0</v>
      </c>
      <c r="U301">
        <v>2.7601006246514368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70</v>
      </c>
      <c r="AB301">
        <v>1</v>
      </c>
      <c r="AC301">
        <v>0.5</v>
      </c>
      <c r="AD301">
        <v>0.50345253019720215</v>
      </c>
      <c r="AE301">
        <v>10800</v>
      </c>
      <c r="AF301">
        <v>200000</v>
      </c>
      <c r="AG301">
        <v>16666.666666666668</v>
      </c>
      <c r="AH301">
        <v>1</v>
      </c>
      <c r="AI301">
        <v>1</v>
      </c>
      <c r="AJ301" t="s">
        <v>162</v>
      </c>
      <c r="AK301" t="s">
        <v>176</v>
      </c>
      <c r="AL301">
        <v>0</v>
      </c>
      <c r="AM301" t="s">
        <v>176</v>
      </c>
      <c r="AN301">
        <v>0</v>
      </c>
    </row>
    <row r="302" spans="1:40" x14ac:dyDescent="0.15">
      <c r="A302" s="4" t="str">
        <f>HYPERLINK("https://ibp.a2mac1.com/costing(costing:projects/details/9760/process/12084024)","Automated Process")</f>
        <v>Automated Process</v>
      </c>
      <c r="B302" t="s">
        <v>794</v>
      </c>
      <c r="C302">
        <v>12084024</v>
      </c>
      <c r="D302">
        <v>8412830</v>
      </c>
      <c r="E302">
        <v>0.11600000000000001</v>
      </c>
      <c r="F302">
        <v>0</v>
      </c>
      <c r="G302">
        <v>0</v>
      </c>
      <c r="H302">
        <v>5.8695999999999998E-4</v>
      </c>
      <c r="I302" t="s">
        <v>176</v>
      </c>
      <c r="J302">
        <v>4.0600000000000002E-3</v>
      </c>
      <c r="K302">
        <v>0.12064696</v>
      </c>
      <c r="L302">
        <v>4.1243899592881732E-3</v>
      </c>
      <c r="M302">
        <v>2.4746339755729041E-2</v>
      </c>
      <c r="N302">
        <v>0.14539329975572904</v>
      </c>
      <c r="O302" t="s">
        <v>90</v>
      </c>
      <c r="P302">
        <v>0</v>
      </c>
      <c r="Q302" t="s">
        <v>90</v>
      </c>
      <c r="R302">
        <v>0</v>
      </c>
      <c r="S302" t="s">
        <v>90</v>
      </c>
      <c r="T302">
        <v>0</v>
      </c>
      <c r="U302">
        <v>0.14539329975572904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0.5</v>
      </c>
      <c r="AD302">
        <v>0.50345253019720215</v>
      </c>
      <c r="AE302">
        <v>10800</v>
      </c>
      <c r="AF302">
        <v>200000</v>
      </c>
      <c r="AG302">
        <v>16666.666666666668</v>
      </c>
      <c r="AH302">
        <v>1</v>
      </c>
      <c r="AI302">
        <v>1</v>
      </c>
      <c r="AJ302" t="s">
        <v>162</v>
      </c>
      <c r="AK302" t="s">
        <v>176</v>
      </c>
      <c r="AL302">
        <v>0</v>
      </c>
      <c r="AM302" t="s">
        <v>176</v>
      </c>
      <c r="AN302">
        <v>0</v>
      </c>
    </row>
    <row r="303" spans="1:40" x14ac:dyDescent="0.15">
      <c r="A303" s="4" t="str">
        <f>HYPERLINK("https://ibp.a2mac1.com/costing(costing:projects/details/9760/process/12084025)","Automated Process")</f>
        <v>Automated Process</v>
      </c>
      <c r="B303" t="s">
        <v>794</v>
      </c>
      <c r="C303">
        <v>12084025</v>
      </c>
      <c r="D303">
        <v>8412831</v>
      </c>
      <c r="E303">
        <v>0.11600000000000001</v>
      </c>
      <c r="F303">
        <v>0</v>
      </c>
      <c r="G303">
        <v>0</v>
      </c>
      <c r="H303">
        <v>5.8463999999999999E-4</v>
      </c>
      <c r="I303" t="s">
        <v>176</v>
      </c>
      <c r="J303">
        <v>4.0600000000000002E-3</v>
      </c>
      <c r="K303">
        <v>0.12064464</v>
      </c>
      <c r="L303">
        <v>2.5521350207822172E-3</v>
      </c>
      <c r="M303">
        <v>1.5312810124693304E-2</v>
      </c>
      <c r="N303">
        <v>0.13595745012469329</v>
      </c>
      <c r="O303" t="s">
        <v>90</v>
      </c>
      <c r="P303">
        <v>0</v>
      </c>
      <c r="Q303" t="s">
        <v>90</v>
      </c>
      <c r="R303">
        <v>0</v>
      </c>
      <c r="S303" t="s">
        <v>90</v>
      </c>
      <c r="T303">
        <v>0</v>
      </c>
      <c r="U303">
        <v>0.13595745012469329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0.5</v>
      </c>
      <c r="AD303">
        <v>0.50147257820584257</v>
      </c>
      <c r="AE303">
        <v>10800</v>
      </c>
      <c r="AF303">
        <v>600000</v>
      </c>
      <c r="AG303">
        <v>50000</v>
      </c>
      <c r="AH303">
        <v>1</v>
      </c>
      <c r="AI303">
        <v>1</v>
      </c>
      <c r="AJ303" t="s">
        <v>162</v>
      </c>
      <c r="AK303" t="s">
        <v>176</v>
      </c>
      <c r="AL303">
        <v>0</v>
      </c>
      <c r="AM303" t="s">
        <v>176</v>
      </c>
      <c r="AN303">
        <v>0</v>
      </c>
    </row>
    <row r="304" spans="1:40" x14ac:dyDescent="0.15">
      <c r="A304" s="4" t="str">
        <f>HYPERLINK("https://ibp.a2mac1.com/costing(costing:projects/details/9760/process/12084037)","Automated Process")</f>
        <v>Automated Process</v>
      </c>
      <c r="B304" t="s">
        <v>794</v>
      </c>
      <c r="C304">
        <v>12084037</v>
      </c>
      <c r="D304">
        <v>8412850</v>
      </c>
      <c r="E304">
        <v>0.115</v>
      </c>
      <c r="F304">
        <v>0</v>
      </c>
      <c r="G304">
        <v>0</v>
      </c>
      <c r="H304">
        <v>5.819E-4</v>
      </c>
      <c r="I304" t="s">
        <v>176</v>
      </c>
      <c r="J304">
        <v>4.0249999999999999E-3</v>
      </c>
      <c r="K304">
        <v>0.1196069</v>
      </c>
      <c r="L304">
        <v>5.8904736909203177E-3</v>
      </c>
      <c r="M304">
        <v>3.5342842145521906E-2</v>
      </c>
      <c r="N304">
        <v>0.1549497421455219</v>
      </c>
      <c r="O304" t="s">
        <v>90</v>
      </c>
      <c r="P304">
        <v>0</v>
      </c>
      <c r="Q304" t="s">
        <v>90</v>
      </c>
      <c r="R304">
        <v>0</v>
      </c>
      <c r="S304" t="s">
        <v>90</v>
      </c>
      <c r="T304">
        <v>0</v>
      </c>
      <c r="U304">
        <v>0.1549497421455219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</v>
      </c>
      <c r="AB304">
        <v>1</v>
      </c>
      <c r="AC304">
        <v>0.5</v>
      </c>
      <c r="AD304">
        <v>0.50345253019720215</v>
      </c>
      <c r="AE304">
        <v>10800</v>
      </c>
      <c r="AF304">
        <v>200000</v>
      </c>
      <c r="AG304">
        <v>16666.666666666668</v>
      </c>
      <c r="AH304">
        <v>1</v>
      </c>
      <c r="AI304">
        <v>1</v>
      </c>
      <c r="AJ304" t="s">
        <v>162</v>
      </c>
      <c r="AK304" t="s">
        <v>176</v>
      </c>
      <c r="AL304">
        <v>0</v>
      </c>
      <c r="AM304" t="s">
        <v>176</v>
      </c>
      <c r="AN304">
        <v>0</v>
      </c>
    </row>
    <row r="305" spans="1:40" x14ac:dyDescent="0.15">
      <c r="A305" s="4" t="str">
        <f>HYPERLINK("https://ibp.a2mac1.com/costing(costing:projects/details/9760/process/12084038)","Automated Process")</f>
        <v>Automated Process</v>
      </c>
      <c r="B305" t="s">
        <v>794</v>
      </c>
      <c r="C305">
        <v>12084038</v>
      </c>
      <c r="D305">
        <v>8412851</v>
      </c>
      <c r="E305">
        <v>0.158</v>
      </c>
      <c r="F305">
        <v>0</v>
      </c>
      <c r="G305">
        <v>0</v>
      </c>
      <c r="H305">
        <v>7.9947999999999998E-4</v>
      </c>
      <c r="I305" t="s">
        <v>176</v>
      </c>
      <c r="J305">
        <v>5.5300000000000002E-3</v>
      </c>
      <c r="K305">
        <v>0.16432948</v>
      </c>
      <c r="L305">
        <v>7.6565574225524614E-3</v>
      </c>
      <c r="M305">
        <v>4.5939344535314765E-2</v>
      </c>
      <c r="N305">
        <v>0.21026882453531476</v>
      </c>
      <c r="O305" t="s">
        <v>90</v>
      </c>
      <c r="P305">
        <v>0</v>
      </c>
      <c r="Q305" t="s">
        <v>90</v>
      </c>
      <c r="R305">
        <v>0</v>
      </c>
      <c r="S305" t="s">
        <v>90</v>
      </c>
      <c r="T305">
        <v>0</v>
      </c>
      <c r="U305">
        <v>0.21026882453531476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</v>
      </c>
      <c r="AC305">
        <v>0.5</v>
      </c>
      <c r="AD305">
        <v>0.50345253019720215</v>
      </c>
      <c r="AE305">
        <v>10800</v>
      </c>
      <c r="AF305">
        <v>200000</v>
      </c>
      <c r="AG305">
        <v>16666.666666666668</v>
      </c>
      <c r="AH305">
        <v>1</v>
      </c>
      <c r="AI305">
        <v>1</v>
      </c>
      <c r="AJ305" t="s">
        <v>162</v>
      </c>
      <c r="AK305" t="s">
        <v>176</v>
      </c>
      <c r="AL305">
        <v>0</v>
      </c>
      <c r="AM305" t="s">
        <v>176</v>
      </c>
      <c r="AN305">
        <v>0</v>
      </c>
    </row>
    <row r="306" spans="1:40" x14ac:dyDescent="0.15">
      <c r="A306" s="4" t="str">
        <f>HYPERLINK("https://ibp.a2mac1.com/costing(costing:projects/details/9760/process/12084039)","Automated Process")</f>
        <v>Automated Process</v>
      </c>
      <c r="B306" t="s">
        <v>794</v>
      </c>
      <c r="C306">
        <v>12084039</v>
      </c>
      <c r="D306">
        <v>8412853</v>
      </c>
      <c r="E306">
        <v>0.22700000000000001</v>
      </c>
      <c r="F306">
        <v>0</v>
      </c>
      <c r="G306">
        <v>0</v>
      </c>
      <c r="H306">
        <v>1.1486199999999999E-3</v>
      </c>
      <c r="I306" t="s">
        <v>176</v>
      </c>
      <c r="J306">
        <v>7.9450000000000007E-3</v>
      </c>
      <c r="K306">
        <v>0.23609362</v>
      </c>
      <c r="L306">
        <v>2.001914354397747E-2</v>
      </c>
      <c r="M306">
        <v>0.12011486126386482</v>
      </c>
      <c r="N306">
        <v>0.35620848126386484</v>
      </c>
      <c r="O306" t="s">
        <v>90</v>
      </c>
      <c r="P306">
        <v>0</v>
      </c>
      <c r="Q306" t="s">
        <v>90</v>
      </c>
      <c r="R306">
        <v>0</v>
      </c>
      <c r="S306" t="s">
        <v>90</v>
      </c>
      <c r="T306">
        <v>0</v>
      </c>
      <c r="U306">
        <v>0.35620848126386484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10</v>
      </c>
      <c r="AB306">
        <v>1</v>
      </c>
      <c r="AC306">
        <v>0.5</v>
      </c>
      <c r="AD306">
        <v>0.50345253019720215</v>
      </c>
      <c r="AE306">
        <v>10800</v>
      </c>
      <c r="AF306">
        <v>200000</v>
      </c>
      <c r="AG306">
        <v>16666.666666666668</v>
      </c>
      <c r="AH306">
        <v>1</v>
      </c>
      <c r="AI306">
        <v>1</v>
      </c>
      <c r="AJ306" t="s">
        <v>162</v>
      </c>
      <c r="AK306" t="s">
        <v>176</v>
      </c>
      <c r="AL306">
        <v>0</v>
      </c>
      <c r="AM306" t="s">
        <v>176</v>
      </c>
      <c r="AN306">
        <v>0</v>
      </c>
    </row>
    <row r="307" spans="1:40" x14ac:dyDescent="0.15">
      <c r="A307" s="4" t="str">
        <f>HYPERLINK("https://ibp.a2mac1.com/costing(costing:projects/details/9760/process/12084040)","Automated Process")</f>
        <v>Automated Process</v>
      </c>
      <c r="B307" t="s">
        <v>794</v>
      </c>
      <c r="C307">
        <v>12084040</v>
      </c>
      <c r="D307">
        <v>8412855</v>
      </c>
      <c r="E307">
        <v>9.2999999999999999E-2</v>
      </c>
      <c r="F307">
        <v>0</v>
      </c>
      <c r="G307">
        <v>0</v>
      </c>
      <c r="H307">
        <v>4.7058000000000001E-4</v>
      </c>
      <c r="I307" t="s">
        <v>176</v>
      </c>
      <c r="J307">
        <v>3.2550000000000001E-3</v>
      </c>
      <c r="K307">
        <v>9.6725580000000005E-2</v>
      </c>
      <c r="L307">
        <v>5.8904736909203177E-3</v>
      </c>
      <c r="M307">
        <v>3.5342842145521906E-2</v>
      </c>
      <c r="N307">
        <v>0.13206842214552189</v>
      </c>
      <c r="O307" t="s">
        <v>177</v>
      </c>
      <c r="P307">
        <v>5.8035348000000002E-3</v>
      </c>
      <c r="Q307" t="s">
        <v>177</v>
      </c>
      <c r="R307">
        <v>2.1205705287313144E-3</v>
      </c>
      <c r="S307" t="s">
        <v>178</v>
      </c>
      <c r="T307">
        <v>1.5848210657462627E-2</v>
      </c>
      <c r="U307">
        <v>0.15584073813171584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</v>
      </c>
      <c r="AB307">
        <v>1</v>
      </c>
      <c r="AC307">
        <v>0.5</v>
      </c>
      <c r="AD307">
        <v>0.50345253019720215</v>
      </c>
      <c r="AE307">
        <v>10800</v>
      </c>
      <c r="AF307">
        <v>200000</v>
      </c>
      <c r="AG307">
        <v>16666.666666666668</v>
      </c>
      <c r="AH307">
        <v>1</v>
      </c>
      <c r="AI307">
        <v>1</v>
      </c>
      <c r="AJ307" t="s">
        <v>162</v>
      </c>
      <c r="AK307" t="s">
        <v>176</v>
      </c>
      <c r="AL307">
        <v>0</v>
      </c>
      <c r="AM307" t="s">
        <v>176</v>
      </c>
      <c r="AN307">
        <v>0</v>
      </c>
    </row>
    <row r="308" spans="1:40" x14ac:dyDescent="0.15">
      <c r="A308" s="4" t="str">
        <f>HYPERLINK("https://ibp.a2mac1.com/costing(costing:projects/details/9760/process/12084041)","Automated Process")</f>
        <v>Automated Process</v>
      </c>
      <c r="B308" t="s">
        <v>794</v>
      </c>
      <c r="C308">
        <v>12084041</v>
      </c>
      <c r="D308">
        <v>8412856</v>
      </c>
      <c r="E308">
        <v>4.4999999999999998E-2</v>
      </c>
      <c r="F308">
        <v>0</v>
      </c>
      <c r="G308">
        <v>0</v>
      </c>
      <c r="H308">
        <v>2.2770000000000001E-4</v>
      </c>
      <c r="I308" t="s">
        <v>176</v>
      </c>
      <c r="J308">
        <v>1.575E-3</v>
      </c>
      <c r="K308">
        <v>4.6802700000000003E-2</v>
      </c>
      <c r="L308">
        <v>4.1243899592881732E-3</v>
      </c>
      <c r="M308">
        <v>2.4746339755729041E-2</v>
      </c>
      <c r="N308">
        <v>7.1549039755729044E-2</v>
      </c>
      <c r="O308" t="s">
        <v>90</v>
      </c>
      <c r="P308">
        <v>0</v>
      </c>
      <c r="Q308" t="s">
        <v>90</v>
      </c>
      <c r="R308">
        <v>0</v>
      </c>
      <c r="S308" t="s">
        <v>90</v>
      </c>
      <c r="T308">
        <v>0</v>
      </c>
      <c r="U308">
        <v>7.1549039755729044E-2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0.5</v>
      </c>
      <c r="AD308">
        <v>0.50345253019720215</v>
      </c>
      <c r="AE308">
        <v>10800</v>
      </c>
      <c r="AF308">
        <v>200000</v>
      </c>
      <c r="AG308">
        <v>16666.666666666668</v>
      </c>
      <c r="AH308">
        <v>1</v>
      </c>
      <c r="AI308">
        <v>1</v>
      </c>
      <c r="AJ308" t="s">
        <v>162</v>
      </c>
      <c r="AK308" t="s">
        <v>176</v>
      </c>
      <c r="AL308">
        <v>0</v>
      </c>
      <c r="AM308" t="s">
        <v>176</v>
      </c>
      <c r="AN308">
        <v>0</v>
      </c>
    </row>
    <row r="309" spans="1:40" x14ac:dyDescent="0.15">
      <c r="A309" s="4" t="str">
        <f>HYPERLINK("https://ibp.a2mac1.com/costing(costing:projects/details/9760/process/12084042)","Automated Process")</f>
        <v>Automated Process</v>
      </c>
      <c r="B309" t="s">
        <v>794</v>
      </c>
      <c r="C309">
        <v>12084042</v>
      </c>
      <c r="D309">
        <v>8412857</v>
      </c>
      <c r="E309">
        <v>2.5999999999999999E-2</v>
      </c>
      <c r="F309">
        <v>0</v>
      </c>
      <c r="G309">
        <v>0</v>
      </c>
      <c r="H309">
        <v>1.3155999999999999E-4</v>
      </c>
      <c r="I309" t="s">
        <v>176</v>
      </c>
      <c r="J309">
        <v>9.1E-4</v>
      </c>
      <c r="K309">
        <v>2.7041559999999999E-2</v>
      </c>
      <c r="L309">
        <v>4.1243899592881732E-3</v>
      </c>
      <c r="M309">
        <v>2.4746339755729041E-2</v>
      </c>
      <c r="N309">
        <v>5.178789975572904E-2</v>
      </c>
      <c r="O309" t="s">
        <v>90</v>
      </c>
      <c r="P309">
        <v>0</v>
      </c>
      <c r="Q309" t="s">
        <v>90</v>
      </c>
      <c r="R309">
        <v>0</v>
      </c>
      <c r="S309" t="s">
        <v>90</v>
      </c>
      <c r="T309">
        <v>0</v>
      </c>
      <c r="U309">
        <v>5.178789975572904E-2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0.5</v>
      </c>
      <c r="AD309">
        <v>0.50345253019720215</v>
      </c>
      <c r="AE309">
        <v>10800</v>
      </c>
      <c r="AF309">
        <v>200000</v>
      </c>
      <c r="AG309">
        <v>16666.666666666668</v>
      </c>
      <c r="AH309">
        <v>1</v>
      </c>
      <c r="AI309">
        <v>1</v>
      </c>
      <c r="AJ309" t="s">
        <v>162</v>
      </c>
      <c r="AK309" t="s">
        <v>176</v>
      </c>
      <c r="AL309">
        <v>0</v>
      </c>
      <c r="AM309" t="s">
        <v>176</v>
      </c>
      <c r="AN309">
        <v>0</v>
      </c>
    </row>
    <row r="310" spans="1:40" x14ac:dyDescent="0.15">
      <c r="A310" s="4" t="str">
        <f>HYPERLINK("https://ibp.a2mac1.com/costing(costing:projects/details/9760/process/12084043)","Automated Process")</f>
        <v>Automated Process</v>
      </c>
      <c r="B310" t="s">
        <v>794</v>
      </c>
      <c r="C310">
        <v>12084043</v>
      </c>
      <c r="D310">
        <v>8412858</v>
      </c>
      <c r="E310">
        <v>8.4000000000000005E-2</v>
      </c>
      <c r="F310">
        <v>0</v>
      </c>
      <c r="G310">
        <v>0</v>
      </c>
      <c r="H310">
        <v>4.2504000000000001E-4</v>
      </c>
      <c r="I310" t="s">
        <v>176</v>
      </c>
      <c r="J310">
        <v>2.9399999999999999E-3</v>
      </c>
      <c r="K310">
        <v>8.7365040000000005E-2</v>
      </c>
      <c r="L310">
        <v>7.6565574225524614E-3</v>
      </c>
      <c r="M310">
        <v>4.5939344535314765E-2</v>
      </c>
      <c r="N310">
        <v>0.13330438453531476</v>
      </c>
      <c r="O310" t="s">
        <v>90</v>
      </c>
      <c r="P310">
        <v>0</v>
      </c>
      <c r="Q310" t="s">
        <v>90</v>
      </c>
      <c r="R310">
        <v>0</v>
      </c>
      <c r="S310" t="s">
        <v>90</v>
      </c>
      <c r="T310">
        <v>0</v>
      </c>
      <c r="U310">
        <v>0.13330438453531476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</v>
      </c>
      <c r="AC310">
        <v>0.5</v>
      </c>
      <c r="AD310">
        <v>0.50345253019720215</v>
      </c>
      <c r="AE310">
        <v>10800</v>
      </c>
      <c r="AF310">
        <v>200000</v>
      </c>
      <c r="AG310">
        <v>16666.666666666668</v>
      </c>
      <c r="AH310">
        <v>1</v>
      </c>
      <c r="AI310">
        <v>1</v>
      </c>
      <c r="AJ310" t="s">
        <v>162</v>
      </c>
      <c r="AK310" t="s">
        <v>176</v>
      </c>
      <c r="AL310">
        <v>0</v>
      </c>
      <c r="AM310" t="s">
        <v>176</v>
      </c>
      <c r="AN310">
        <v>0</v>
      </c>
    </row>
    <row r="311" spans="1:40" x14ac:dyDescent="0.15">
      <c r="A311" s="4" t="str">
        <f>HYPERLINK("https://ibp.a2mac1.com/costing(costing:projects/details/9760/process/12084044)","Automated Process")</f>
        <v>Automated Process</v>
      </c>
      <c r="B311" t="s">
        <v>794</v>
      </c>
      <c r="C311">
        <v>12084044</v>
      </c>
      <c r="D311">
        <v>8412859</v>
      </c>
      <c r="E311">
        <v>0.57399999999999995</v>
      </c>
      <c r="F311">
        <v>0</v>
      </c>
      <c r="G311">
        <v>0</v>
      </c>
      <c r="H311">
        <v>2.9044399999999999E-3</v>
      </c>
      <c r="I311" t="s">
        <v>176</v>
      </c>
      <c r="J311">
        <v>2.009E-2</v>
      </c>
      <c r="K311">
        <v>0.59699444000000002</v>
      </c>
      <c r="L311">
        <v>2.884956220213819E-2</v>
      </c>
      <c r="M311">
        <v>0.17309737321282914</v>
      </c>
      <c r="N311">
        <v>0.77009181321282916</v>
      </c>
      <c r="O311" t="s">
        <v>90</v>
      </c>
      <c r="P311">
        <v>0</v>
      </c>
      <c r="Q311" t="s">
        <v>90</v>
      </c>
      <c r="R311">
        <v>0</v>
      </c>
      <c r="S311" t="s">
        <v>90</v>
      </c>
      <c r="T311">
        <v>0</v>
      </c>
      <c r="U311">
        <v>0.77009181321282916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15</v>
      </c>
      <c r="AB311">
        <v>1</v>
      </c>
      <c r="AC311">
        <v>0.5</v>
      </c>
      <c r="AD311">
        <v>0.50345253019720215</v>
      </c>
      <c r="AE311">
        <v>10800</v>
      </c>
      <c r="AF311">
        <v>200000</v>
      </c>
      <c r="AG311">
        <v>16666.666666666668</v>
      </c>
      <c r="AH311">
        <v>1</v>
      </c>
      <c r="AI311">
        <v>1</v>
      </c>
      <c r="AJ311" t="s">
        <v>162</v>
      </c>
      <c r="AK311" t="s">
        <v>176</v>
      </c>
      <c r="AL311">
        <v>0</v>
      </c>
      <c r="AM311" t="s">
        <v>176</v>
      </c>
      <c r="AN311">
        <v>0</v>
      </c>
    </row>
    <row r="312" spans="1:40" x14ac:dyDescent="0.15">
      <c r="A312" s="4" t="str">
        <f>HYPERLINK("https://ibp.a2mac1.com/costing(costing:projects/details/9760/process/12084045)","Automated Process")</f>
        <v>Automated Process</v>
      </c>
      <c r="B312" t="s">
        <v>794</v>
      </c>
      <c r="C312">
        <v>12084045</v>
      </c>
      <c r="D312">
        <v>8412860</v>
      </c>
      <c r="E312">
        <v>0.06</v>
      </c>
      <c r="F312">
        <v>0</v>
      </c>
      <c r="G312">
        <v>0</v>
      </c>
      <c r="H312">
        <v>3.0360000000000001E-4</v>
      </c>
      <c r="I312" t="s">
        <v>176</v>
      </c>
      <c r="J312">
        <v>2.0999999999999999E-3</v>
      </c>
      <c r="K312">
        <v>6.2403599999999997E-2</v>
      </c>
      <c r="L312">
        <v>4.1243899592881732E-3</v>
      </c>
      <c r="M312">
        <v>2.4746339755729041E-2</v>
      </c>
      <c r="N312">
        <v>8.7149939755729044E-2</v>
      </c>
      <c r="O312" t="s">
        <v>90</v>
      </c>
      <c r="P312">
        <v>0</v>
      </c>
      <c r="Q312" t="s">
        <v>90</v>
      </c>
      <c r="R312">
        <v>0</v>
      </c>
      <c r="S312" t="s">
        <v>90</v>
      </c>
      <c r="T312">
        <v>0</v>
      </c>
      <c r="U312">
        <v>8.7149939755729044E-2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0.5</v>
      </c>
      <c r="AD312">
        <v>0.50345253019720215</v>
      </c>
      <c r="AE312">
        <v>10800</v>
      </c>
      <c r="AF312">
        <v>200000</v>
      </c>
      <c r="AG312">
        <v>16666.666666666668</v>
      </c>
      <c r="AH312">
        <v>1</v>
      </c>
      <c r="AI312">
        <v>1</v>
      </c>
      <c r="AJ312" t="s">
        <v>162</v>
      </c>
      <c r="AK312" t="s">
        <v>176</v>
      </c>
      <c r="AL312">
        <v>0</v>
      </c>
      <c r="AM312" t="s">
        <v>176</v>
      </c>
      <c r="AN312">
        <v>0</v>
      </c>
    </row>
    <row r="313" spans="1:40" x14ac:dyDescent="0.15">
      <c r="A313" s="4" t="str">
        <f>HYPERLINK("https://ibp.a2mac1.com/costing(costing:projects/details/9760/process/12084046)","Automated Process")</f>
        <v>Automated Process</v>
      </c>
      <c r="B313" t="s">
        <v>794</v>
      </c>
      <c r="C313">
        <v>12084046</v>
      </c>
      <c r="D313">
        <v>8412861</v>
      </c>
      <c r="E313">
        <v>3.9E-2</v>
      </c>
      <c r="F313">
        <v>0</v>
      </c>
      <c r="G313">
        <v>0</v>
      </c>
      <c r="H313">
        <v>1.9734E-4</v>
      </c>
      <c r="I313" t="s">
        <v>176</v>
      </c>
      <c r="J313">
        <v>1.3649999999999999E-3</v>
      </c>
      <c r="K313">
        <v>4.0562340000000002E-2</v>
      </c>
      <c r="L313">
        <v>4.1243899592881732E-3</v>
      </c>
      <c r="M313">
        <v>2.4746339755729041E-2</v>
      </c>
      <c r="N313">
        <v>6.5308679755729043E-2</v>
      </c>
      <c r="O313" t="s">
        <v>90</v>
      </c>
      <c r="P313">
        <v>0</v>
      </c>
      <c r="Q313" t="s">
        <v>90</v>
      </c>
      <c r="R313">
        <v>0</v>
      </c>
      <c r="S313" t="s">
        <v>90</v>
      </c>
      <c r="T313">
        <v>0</v>
      </c>
      <c r="U313">
        <v>6.5308679755729043E-2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0.5</v>
      </c>
      <c r="AD313">
        <v>0.50345253019720215</v>
      </c>
      <c r="AE313">
        <v>10800</v>
      </c>
      <c r="AF313">
        <v>200000</v>
      </c>
      <c r="AG313">
        <v>16666.666666666668</v>
      </c>
      <c r="AH313">
        <v>1</v>
      </c>
      <c r="AI313">
        <v>1</v>
      </c>
      <c r="AJ313" t="s">
        <v>162</v>
      </c>
      <c r="AK313" t="s">
        <v>176</v>
      </c>
      <c r="AL313">
        <v>0</v>
      </c>
      <c r="AM313" t="s">
        <v>176</v>
      </c>
      <c r="AN313">
        <v>0</v>
      </c>
    </row>
    <row r="314" spans="1:40" x14ac:dyDescent="0.15">
      <c r="A314" s="4" t="str">
        <f>HYPERLINK("https://ibp.a2mac1.com/costing(costing:projects/details/9760/process/12084047)","Automated Process")</f>
        <v>Automated Process</v>
      </c>
      <c r="B314" t="s">
        <v>794</v>
      </c>
      <c r="C314">
        <v>12084047</v>
      </c>
      <c r="D314">
        <v>8412862</v>
      </c>
      <c r="E314">
        <v>0.13600000000000001</v>
      </c>
      <c r="F314">
        <v>0</v>
      </c>
      <c r="G314">
        <v>0</v>
      </c>
      <c r="H314">
        <v>6.8816000000000005E-4</v>
      </c>
      <c r="I314" t="s">
        <v>176</v>
      </c>
      <c r="J314">
        <v>4.7600000000000003E-3</v>
      </c>
      <c r="K314">
        <v>0.14144815999999999</v>
      </c>
      <c r="L314">
        <v>1.4720892349081038E-2</v>
      </c>
      <c r="M314">
        <v>8.8325354094486219E-2</v>
      </c>
      <c r="N314">
        <v>0.22977351409448624</v>
      </c>
      <c r="O314" t="s">
        <v>90</v>
      </c>
      <c r="P314">
        <v>0</v>
      </c>
      <c r="Q314" t="s">
        <v>90</v>
      </c>
      <c r="R314">
        <v>0</v>
      </c>
      <c r="S314" t="s">
        <v>90</v>
      </c>
      <c r="T314">
        <v>0</v>
      </c>
      <c r="U314">
        <v>0.22977351409448624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7</v>
      </c>
      <c r="AB314">
        <v>1</v>
      </c>
      <c r="AC314">
        <v>0.5</v>
      </c>
      <c r="AD314">
        <v>0.50345253019720215</v>
      </c>
      <c r="AE314">
        <v>10800</v>
      </c>
      <c r="AF314">
        <v>200000</v>
      </c>
      <c r="AG314">
        <v>16666.666666666668</v>
      </c>
      <c r="AH314">
        <v>1</v>
      </c>
      <c r="AI314">
        <v>1</v>
      </c>
      <c r="AJ314" t="s">
        <v>162</v>
      </c>
      <c r="AK314" t="s">
        <v>176</v>
      </c>
      <c r="AL314">
        <v>0</v>
      </c>
      <c r="AM314" t="s">
        <v>176</v>
      </c>
      <c r="AN314">
        <v>0</v>
      </c>
    </row>
    <row r="315" spans="1:40" x14ac:dyDescent="0.15">
      <c r="A315" s="4" t="str">
        <f>HYPERLINK("https://ibp.a2mac1.com/costing(costing:projects/details/9760/process/12084026)","Automated Process")</f>
        <v>Automated Process</v>
      </c>
      <c r="B315" t="s">
        <v>1951</v>
      </c>
      <c r="C315">
        <v>12084026</v>
      </c>
      <c r="D315">
        <v>8412835</v>
      </c>
      <c r="E315">
        <v>10.59</v>
      </c>
      <c r="F315">
        <v>0</v>
      </c>
      <c r="G315">
        <v>0</v>
      </c>
      <c r="H315">
        <v>5.3585399999999998E-2</v>
      </c>
      <c r="I315" t="s">
        <v>176</v>
      </c>
      <c r="J315">
        <v>0.37064999999999998</v>
      </c>
      <c r="K315">
        <v>11.0142354</v>
      </c>
      <c r="L315">
        <v>0.18249884685413473</v>
      </c>
      <c r="M315">
        <v>1.0949930811248083</v>
      </c>
      <c r="N315">
        <v>12.109228481124807</v>
      </c>
      <c r="O315" t="s">
        <v>90</v>
      </c>
      <c r="P315">
        <v>0</v>
      </c>
      <c r="Q315" t="s">
        <v>90</v>
      </c>
      <c r="R315">
        <v>0</v>
      </c>
      <c r="S315" t="s">
        <v>90</v>
      </c>
      <c r="T315">
        <v>0</v>
      </c>
      <c r="U315">
        <v>12.109228481124807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102</v>
      </c>
      <c r="AB315">
        <v>1</v>
      </c>
      <c r="AC315">
        <v>0.5</v>
      </c>
      <c r="AD315">
        <v>0.50345253019720215</v>
      </c>
      <c r="AE315">
        <v>10800</v>
      </c>
      <c r="AF315">
        <v>200000</v>
      </c>
      <c r="AG315">
        <v>16666.666666666668</v>
      </c>
      <c r="AH315">
        <v>1</v>
      </c>
      <c r="AI315">
        <v>1</v>
      </c>
      <c r="AJ315" t="s">
        <v>162</v>
      </c>
      <c r="AK315" t="s">
        <v>176</v>
      </c>
      <c r="AL315">
        <v>0</v>
      </c>
      <c r="AM315" t="s">
        <v>176</v>
      </c>
      <c r="AN315">
        <v>0</v>
      </c>
    </row>
    <row r="316" spans="1:40" x14ac:dyDescent="0.15">
      <c r="A316" s="4" t="str">
        <f>HYPERLINK("https://ibp.a2mac1.com/costing(costing:projects/details/9760/process/12084027)","Automated Process")</f>
        <v>Automated Process</v>
      </c>
      <c r="B316" t="s">
        <v>1956</v>
      </c>
      <c r="C316">
        <v>12084027</v>
      </c>
      <c r="D316">
        <v>8412836</v>
      </c>
      <c r="E316">
        <v>1.004</v>
      </c>
      <c r="F316">
        <v>0</v>
      </c>
      <c r="G316">
        <v>0</v>
      </c>
      <c r="H316">
        <v>5.0802399999999998E-3</v>
      </c>
      <c r="I316" t="s">
        <v>176</v>
      </c>
      <c r="J316">
        <v>3.5139999999999998E-2</v>
      </c>
      <c r="K316">
        <v>1.04422024</v>
      </c>
      <c r="L316">
        <v>4.8276483250091776E-2</v>
      </c>
      <c r="M316">
        <v>0.28965889950055063</v>
      </c>
      <c r="N316">
        <v>1.3338791395005507</v>
      </c>
      <c r="O316" t="s">
        <v>90</v>
      </c>
      <c r="P316">
        <v>0</v>
      </c>
      <c r="Q316" t="s">
        <v>90</v>
      </c>
      <c r="R316">
        <v>0</v>
      </c>
      <c r="S316" t="s">
        <v>90</v>
      </c>
      <c r="T316">
        <v>0</v>
      </c>
      <c r="U316">
        <v>1.3338791395005507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26</v>
      </c>
      <c r="AB316">
        <v>1</v>
      </c>
      <c r="AC316">
        <v>0.5</v>
      </c>
      <c r="AD316">
        <v>0.50345253019720215</v>
      </c>
      <c r="AE316">
        <v>10800</v>
      </c>
      <c r="AF316">
        <v>200000</v>
      </c>
      <c r="AG316">
        <v>16666.666666666668</v>
      </c>
      <c r="AH316">
        <v>1</v>
      </c>
      <c r="AI316">
        <v>1</v>
      </c>
      <c r="AJ316" t="s">
        <v>162</v>
      </c>
      <c r="AK316" t="s">
        <v>176</v>
      </c>
      <c r="AL316">
        <v>0</v>
      </c>
      <c r="AM316" t="s">
        <v>176</v>
      </c>
      <c r="AN316">
        <v>0</v>
      </c>
    </row>
    <row r="317" spans="1:40" x14ac:dyDescent="0.15">
      <c r="A317" s="4" t="str">
        <f>HYPERLINK("https://ibp.a2mac1.com/costing(costing:projects/details/9760/process/12084028)","Automated Process")</f>
        <v>Automated Process</v>
      </c>
      <c r="B317" t="s">
        <v>2632</v>
      </c>
      <c r="C317">
        <v>12084028</v>
      </c>
      <c r="D317">
        <v>8412837</v>
      </c>
      <c r="E317">
        <v>1.024</v>
      </c>
      <c r="F317">
        <v>0</v>
      </c>
      <c r="G317">
        <v>0</v>
      </c>
      <c r="H317">
        <v>5.1814399999999998E-3</v>
      </c>
      <c r="I317" t="s">
        <v>176</v>
      </c>
      <c r="J317">
        <v>3.5839999999999997E-2</v>
      </c>
      <c r="K317">
        <v>1.06502144</v>
      </c>
      <c r="L317">
        <v>0.12775025117353825</v>
      </c>
      <c r="M317">
        <v>0.76650150704122955</v>
      </c>
      <c r="N317">
        <v>1.8315229470412295</v>
      </c>
      <c r="O317" t="s">
        <v>90</v>
      </c>
      <c r="P317">
        <v>0</v>
      </c>
      <c r="Q317" t="s">
        <v>90</v>
      </c>
      <c r="R317">
        <v>0</v>
      </c>
      <c r="S317" t="s">
        <v>90</v>
      </c>
      <c r="T317">
        <v>0</v>
      </c>
      <c r="U317">
        <v>1.8315229470412295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71</v>
      </c>
      <c r="AB317">
        <v>1</v>
      </c>
      <c r="AC317">
        <v>0.5</v>
      </c>
      <c r="AD317">
        <v>0.50345253019720215</v>
      </c>
      <c r="AE317">
        <v>10800</v>
      </c>
      <c r="AF317">
        <v>200000</v>
      </c>
      <c r="AG317">
        <v>16666.666666666668</v>
      </c>
      <c r="AH317">
        <v>1</v>
      </c>
      <c r="AI317">
        <v>1</v>
      </c>
      <c r="AJ317" t="s">
        <v>162</v>
      </c>
      <c r="AK317" t="s">
        <v>176</v>
      </c>
      <c r="AL317">
        <v>0</v>
      </c>
      <c r="AM317" t="s">
        <v>176</v>
      </c>
      <c r="AN317">
        <v>0</v>
      </c>
    </row>
    <row r="318" spans="1:40" x14ac:dyDescent="0.15">
      <c r="A318" s="4" t="str">
        <f>HYPERLINK("https://ibp.a2mac1.com/costing(costing:projects/details/9760/process/12084029)","Automated Process")</f>
        <v>Automated Process</v>
      </c>
      <c r="B318" t="s">
        <v>794</v>
      </c>
      <c r="C318">
        <v>12084029</v>
      </c>
      <c r="D318">
        <v>8412838</v>
      </c>
      <c r="E318">
        <v>3.6999999999999998E-2</v>
      </c>
      <c r="F318">
        <v>0</v>
      </c>
      <c r="G318">
        <v>0</v>
      </c>
      <c r="H318">
        <v>1.8722000000000001E-4</v>
      </c>
      <c r="I318" t="s">
        <v>176</v>
      </c>
      <c r="J318">
        <v>1.2949999999999999E-3</v>
      </c>
      <c r="K318">
        <v>3.8482219999999998E-2</v>
      </c>
      <c r="L318">
        <v>4.1243899592881732E-3</v>
      </c>
      <c r="M318">
        <v>2.4746339755729041E-2</v>
      </c>
      <c r="N318">
        <v>6.3228559755729039E-2</v>
      </c>
      <c r="O318" t="s">
        <v>90</v>
      </c>
      <c r="P318">
        <v>0</v>
      </c>
      <c r="Q318" t="s">
        <v>90</v>
      </c>
      <c r="R318">
        <v>0</v>
      </c>
      <c r="S318" t="s">
        <v>90</v>
      </c>
      <c r="T318">
        <v>0</v>
      </c>
      <c r="U318">
        <v>6.3228559755729039E-2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0.5</v>
      </c>
      <c r="AD318">
        <v>0.50345253019720215</v>
      </c>
      <c r="AE318">
        <v>10800</v>
      </c>
      <c r="AF318">
        <v>200000</v>
      </c>
      <c r="AG318">
        <v>16666.666666666668</v>
      </c>
      <c r="AH318">
        <v>1</v>
      </c>
      <c r="AI318">
        <v>1</v>
      </c>
      <c r="AJ318" t="s">
        <v>162</v>
      </c>
      <c r="AK318" t="s">
        <v>176</v>
      </c>
      <c r="AL318">
        <v>0</v>
      </c>
      <c r="AM318" t="s">
        <v>176</v>
      </c>
      <c r="AN318">
        <v>0</v>
      </c>
    </row>
    <row r="319" spans="1:40" x14ac:dyDescent="0.15">
      <c r="A319" s="4" t="str">
        <f>HYPERLINK("https://ibp.a2mac1.com/costing(costing:projects/details/9760/process/12083991)","Automated Process")</f>
        <v>Automated Process</v>
      </c>
      <c r="B319" t="s">
        <v>1951</v>
      </c>
      <c r="C319">
        <v>12083991</v>
      </c>
      <c r="D319">
        <v>8412775</v>
      </c>
      <c r="E319">
        <v>32.92</v>
      </c>
      <c r="F319">
        <v>0</v>
      </c>
      <c r="G319">
        <v>0</v>
      </c>
      <c r="H319">
        <v>0.16657520000000001</v>
      </c>
      <c r="I319" t="s">
        <v>176</v>
      </c>
      <c r="J319">
        <v>1.1521999999999999</v>
      </c>
      <c r="K319">
        <v>34.238775199999999</v>
      </c>
      <c r="L319">
        <v>0.79179773426722444</v>
      </c>
      <c r="M319">
        <v>4.7507864056033462</v>
      </c>
      <c r="N319">
        <v>38.989561605603349</v>
      </c>
      <c r="O319" t="s">
        <v>90</v>
      </c>
      <c r="P319">
        <v>0</v>
      </c>
      <c r="Q319" t="s">
        <v>90</v>
      </c>
      <c r="R319">
        <v>0</v>
      </c>
      <c r="S319" t="s">
        <v>90</v>
      </c>
      <c r="T319">
        <v>0</v>
      </c>
      <c r="U319">
        <v>38.989561605603349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447</v>
      </c>
      <c r="AB319">
        <v>1</v>
      </c>
      <c r="AC319">
        <v>0.5</v>
      </c>
      <c r="AD319">
        <v>0.50345253019720215</v>
      </c>
      <c r="AE319">
        <v>10800</v>
      </c>
      <c r="AF319">
        <v>200000</v>
      </c>
      <c r="AG319">
        <v>16666.666666666668</v>
      </c>
      <c r="AH319">
        <v>1</v>
      </c>
      <c r="AI319">
        <v>1</v>
      </c>
      <c r="AJ319" t="s">
        <v>162</v>
      </c>
      <c r="AK319" t="s">
        <v>176</v>
      </c>
      <c r="AL319">
        <v>0</v>
      </c>
      <c r="AM319" t="s">
        <v>176</v>
      </c>
      <c r="AN319">
        <v>0</v>
      </c>
    </row>
    <row r="320" spans="1:40" x14ac:dyDescent="0.15">
      <c r="A320" s="4" t="str">
        <f>HYPERLINK("https://ibp.a2mac1.com/costing(costing:projects/details/9760/process/12083992)","Automated Process")</f>
        <v>Automated Process</v>
      </c>
      <c r="B320" t="s">
        <v>1956</v>
      </c>
      <c r="C320">
        <v>12083992</v>
      </c>
      <c r="D320">
        <v>8412776</v>
      </c>
      <c r="E320">
        <v>4.7350000000000003</v>
      </c>
      <c r="F320">
        <v>0</v>
      </c>
      <c r="G320">
        <v>0</v>
      </c>
      <c r="H320">
        <v>2.3959100000000001E-2</v>
      </c>
      <c r="I320" t="s">
        <v>176</v>
      </c>
      <c r="J320">
        <v>0.16572500000000001</v>
      </c>
      <c r="K320">
        <v>4.9246841000000003</v>
      </c>
      <c r="L320">
        <v>0.24254569372962761</v>
      </c>
      <c r="M320">
        <v>1.4552741623777656</v>
      </c>
      <c r="N320">
        <v>6.379958262377766</v>
      </c>
      <c r="O320" t="s">
        <v>90</v>
      </c>
      <c r="P320">
        <v>0</v>
      </c>
      <c r="Q320" t="s">
        <v>90</v>
      </c>
      <c r="R320">
        <v>0</v>
      </c>
      <c r="S320" t="s">
        <v>90</v>
      </c>
      <c r="T320">
        <v>0</v>
      </c>
      <c r="U320">
        <v>6.379958262377766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136</v>
      </c>
      <c r="AB320">
        <v>1</v>
      </c>
      <c r="AC320">
        <v>0.5</v>
      </c>
      <c r="AD320">
        <v>0.50345253019720215</v>
      </c>
      <c r="AE320">
        <v>10800</v>
      </c>
      <c r="AF320">
        <v>200000</v>
      </c>
      <c r="AG320">
        <v>16666.666666666668</v>
      </c>
      <c r="AH320">
        <v>1</v>
      </c>
      <c r="AI320">
        <v>1</v>
      </c>
      <c r="AJ320" t="s">
        <v>162</v>
      </c>
      <c r="AK320" t="s">
        <v>176</v>
      </c>
      <c r="AL320">
        <v>0</v>
      </c>
      <c r="AM320" t="s">
        <v>176</v>
      </c>
      <c r="AN320">
        <v>0</v>
      </c>
    </row>
    <row r="321" spans="1:40" x14ac:dyDescent="0.15">
      <c r="A321" s="4" t="str">
        <f>HYPERLINK("https://ibp.a2mac1.com/costing(costing:projects/details/9760/process/12083993)","Automated Process")</f>
        <v>Automated Process</v>
      </c>
      <c r="B321" t="s">
        <v>2024</v>
      </c>
      <c r="C321">
        <v>12083993</v>
      </c>
      <c r="D321">
        <v>8412777</v>
      </c>
      <c r="E321">
        <v>5.76</v>
      </c>
      <c r="F321">
        <v>0</v>
      </c>
      <c r="G321">
        <v>0</v>
      </c>
      <c r="H321">
        <v>2.9145600000000001E-2</v>
      </c>
      <c r="I321" t="s">
        <v>176</v>
      </c>
      <c r="J321">
        <v>0.2016</v>
      </c>
      <c r="K321">
        <v>5.9907456000000003</v>
      </c>
      <c r="L321">
        <v>2.5243258749983575</v>
      </c>
      <c r="M321">
        <v>15.145955249990147</v>
      </c>
      <c r="N321">
        <v>21.136700849990145</v>
      </c>
      <c r="O321" t="s">
        <v>90</v>
      </c>
      <c r="P321">
        <v>0</v>
      </c>
      <c r="Q321" t="s">
        <v>90</v>
      </c>
      <c r="R321">
        <v>0</v>
      </c>
      <c r="S321" t="s">
        <v>90</v>
      </c>
      <c r="T321">
        <v>0</v>
      </c>
      <c r="U321">
        <v>21.136700849990145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1428</v>
      </c>
      <c r="AB321">
        <v>1</v>
      </c>
      <c r="AC321">
        <v>0.5</v>
      </c>
      <c r="AD321">
        <v>0.50345253019720215</v>
      </c>
      <c r="AE321">
        <v>10800</v>
      </c>
      <c r="AF321">
        <v>200000</v>
      </c>
      <c r="AG321">
        <v>16666.666666666668</v>
      </c>
      <c r="AH321">
        <v>1</v>
      </c>
      <c r="AI321">
        <v>1</v>
      </c>
      <c r="AJ321" t="s">
        <v>162</v>
      </c>
      <c r="AK321" t="s">
        <v>176</v>
      </c>
      <c r="AL321">
        <v>0</v>
      </c>
      <c r="AM321" t="s">
        <v>176</v>
      </c>
      <c r="AN321">
        <v>0</v>
      </c>
    </row>
    <row r="322" spans="1:40" x14ac:dyDescent="0.15">
      <c r="A322" s="4" t="str">
        <f>HYPERLINK("https://ibp.a2mac1.com/costing(costing:projects/details/9760/process/12083994)","Automated Process")</f>
        <v>Automated Process</v>
      </c>
      <c r="C322">
        <v>12083994</v>
      </c>
      <c r="D322">
        <v>8412778</v>
      </c>
      <c r="E322">
        <v>1.409</v>
      </c>
      <c r="F322">
        <v>0</v>
      </c>
      <c r="G322">
        <v>0</v>
      </c>
      <c r="H322">
        <v>7.1295400000000002E-3</v>
      </c>
      <c r="I322" t="s">
        <v>176</v>
      </c>
      <c r="J322">
        <v>4.9314999999999998E-2</v>
      </c>
      <c r="K322">
        <v>1.46544454</v>
      </c>
      <c r="L322">
        <v>0.43328273674589918</v>
      </c>
      <c r="M322">
        <v>2.5996964204753952</v>
      </c>
      <c r="N322">
        <v>4.0651409604753947</v>
      </c>
      <c r="O322" t="s">
        <v>90</v>
      </c>
      <c r="P322">
        <v>0</v>
      </c>
      <c r="Q322" t="s">
        <v>90</v>
      </c>
      <c r="R322">
        <v>0</v>
      </c>
      <c r="S322" t="s">
        <v>90</v>
      </c>
      <c r="T322">
        <v>0</v>
      </c>
      <c r="U322">
        <v>4.0651409604753947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244</v>
      </c>
      <c r="AB322">
        <v>1</v>
      </c>
      <c r="AC322">
        <v>0.5</v>
      </c>
      <c r="AD322">
        <v>0.50345253019720215</v>
      </c>
      <c r="AE322">
        <v>10800</v>
      </c>
      <c r="AF322">
        <v>200000</v>
      </c>
      <c r="AG322">
        <v>16666.666666666668</v>
      </c>
      <c r="AH322">
        <v>1</v>
      </c>
      <c r="AI322">
        <v>1</v>
      </c>
      <c r="AJ322" t="s">
        <v>162</v>
      </c>
      <c r="AK322" t="s">
        <v>176</v>
      </c>
      <c r="AL322">
        <v>0</v>
      </c>
      <c r="AM322" t="s">
        <v>176</v>
      </c>
      <c r="AN322">
        <v>0</v>
      </c>
    </row>
    <row r="323" spans="1:40" x14ac:dyDescent="0.15">
      <c r="A323" s="4" t="str">
        <f>HYPERLINK("https://ibp.a2mac1.com/costing(costing:projects/details/9760/process/12083995)","Automated Process")</f>
        <v>Automated Process</v>
      </c>
      <c r="B323" t="s">
        <v>1956</v>
      </c>
      <c r="C323">
        <v>12083995</v>
      </c>
      <c r="D323">
        <v>8412779</v>
      </c>
      <c r="E323">
        <v>0.219</v>
      </c>
      <c r="F323">
        <v>0</v>
      </c>
      <c r="G323">
        <v>0</v>
      </c>
      <c r="H323">
        <v>1.1081400000000001E-3</v>
      </c>
      <c r="I323" t="s">
        <v>176</v>
      </c>
      <c r="J323">
        <v>7.6649999999999999E-3</v>
      </c>
      <c r="K323">
        <v>0.22777314000000001</v>
      </c>
      <c r="L323">
        <v>1.1188724885816749E-2</v>
      </c>
      <c r="M323">
        <v>6.7132349314900502E-2</v>
      </c>
      <c r="N323">
        <v>0.29490548931490052</v>
      </c>
      <c r="O323" t="s">
        <v>90</v>
      </c>
      <c r="P323">
        <v>0</v>
      </c>
      <c r="Q323" t="s">
        <v>90</v>
      </c>
      <c r="R323">
        <v>0</v>
      </c>
      <c r="S323" t="s">
        <v>90</v>
      </c>
      <c r="T323">
        <v>0</v>
      </c>
      <c r="U323">
        <v>0.29490548931490052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5</v>
      </c>
      <c r="AB323">
        <v>1</v>
      </c>
      <c r="AC323">
        <v>0.5</v>
      </c>
      <c r="AD323">
        <v>0.50345253019720215</v>
      </c>
      <c r="AE323">
        <v>10800</v>
      </c>
      <c r="AF323">
        <v>200000</v>
      </c>
      <c r="AG323">
        <v>16666.666666666668</v>
      </c>
      <c r="AH323">
        <v>1</v>
      </c>
      <c r="AI323">
        <v>1</v>
      </c>
      <c r="AJ323" t="s">
        <v>162</v>
      </c>
      <c r="AK323" t="s">
        <v>176</v>
      </c>
      <c r="AL323">
        <v>0</v>
      </c>
      <c r="AM323" t="s">
        <v>176</v>
      </c>
      <c r="AN323">
        <v>0</v>
      </c>
    </row>
    <row r="324" spans="1:40" x14ac:dyDescent="0.15">
      <c r="A324" s="4" t="str">
        <f>HYPERLINK("https://ibp.a2mac1.com/costing(costing:projects/details/9760/process/12083996)","Automated Process")</f>
        <v>Automated Process</v>
      </c>
      <c r="B324" t="s">
        <v>2149</v>
      </c>
      <c r="C324">
        <v>12083996</v>
      </c>
      <c r="D324">
        <v>8412784</v>
      </c>
      <c r="E324">
        <v>0.16300000000000001</v>
      </c>
      <c r="F324">
        <v>0</v>
      </c>
      <c r="G324">
        <v>0</v>
      </c>
      <c r="H324">
        <v>8.2478E-4</v>
      </c>
      <c r="I324" t="s">
        <v>176</v>
      </c>
      <c r="J324">
        <v>5.705E-3</v>
      </c>
      <c r="K324">
        <v>0.16952977999999999</v>
      </c>
      <c r="L324">
        <v>2.001914354397747E-2</v>
      </c>
      <c r="M324">
        <v>0.12011486126386482</v>
      </c>
      <c r="N324">
        <v>0.2896446412638648</v>
      </c>
      <c r="O324" t="s">
        <v>90</v>
      </c>
      <c r="P324">
        <v>0</v>
      </c>
      <c r="Q324" t="s">
        <v>90</v>
      </c>
      <c r="R324">
        <v>0</v>
      </c>
      <c r="S324" t="s">
        <v>90</v>
      </c>
      <c r="T324">
        <v>0</v>
      </c>
      <c r="U324">
        <v>0.2896446412638648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10</v>
      </c>
      <c r="AB324">
        <v>1</v>
      </c>
      <c r="AC324">
        <v>0.5</v>
      </c>
      <c r="AD324">
        <v>0.50345253019720215</v>
      </c>
      <c r="AE324">
        <v>10800</v>
      </c>
      <c r="AF324">
        <v>200000</v>
      </c>
      <c r="AG324">
        <v>16666.666666666668</v>
      </c>
      <c r="AH324">
        <v>1</v>
      </c>
      <c r="AI324">
        <v>1</v>
      </c>
      <c r="AJ324" t="s">
        <v>162</v>
      </c>
      <c r="AK324" t="s">
        <v>176</v>
      </c>
      <c r="AL324">
        <v>0</v>
      </c>
      <c r="AM324" t="s">
        <v>176</v>
      </c>
      <c r="AN324">
        <v>0</v>
      </c>
    </row>
    <row r="325" spans="1:40" x14ac:dyDescent="0.15">
      <c r="A325" s="4" t="str">
        <f>HYPERLINK("https://ibp.a2mac1.com/costing(costing:projects/details/9760/process/12083997)","Automated Process")</f>
        <v>Automated Process</v>
      </c>
      <c r="B325" t="s">
        <v>2668</v>
      </c>
      <c r="C325">
        <v>12083997</v>
      </c>
      <c r="D325">
        <v>8412787</v>
      </c>
      <c r="E325">
        <v>1.1299999999999999</v>
      </c>
      <c r="F325">
        <v>0</v>
      </c>
      <c r="G325">
        <v>0</v>
      </c>
      <c r="H325">
        <v>5.7178000000000003E-3</v>
      </c>
      <c r="I325" t="s">
        <v>176</v>
      </c>
      <c r="J325">
        <v>3.9550000000000002E-2</v>
      </c>
      <c r="K325">
        <v>1.1752678000000001</v>
      </c>
      <c r="L325">
        <v>0.10832333012558466</v>
      </c>
      <c r="M325">
        <v>0.64993998075350801</v>
      </c>
      <c r="N325">
        <v>1.8252077807535081</v>
      </c>
      <c r="O325" t="s">
        <v>90</v>
      </c>
      <c r="P325">
        <v>0</v>
      </c>
      <c r="Q325" t="s">
        <v>90</v>
      </c>
      <c r="R325">
        <v>0</v>
      </c>
      <c r="S325" t="s">
        <v>90</v>
      </c>
      <c r="T325">
        <v>0</v>
      </c>
      <c r="U325">
        <v>1.8252077807535081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60</v>
      </c>
      <c r="AB325">
        <v>1</v>
      </c>
      <c r="AC325">
        <v>0.5</v>
      </c>
      <c r="AD325">
        <v>0.50345253019720215</v>
      </c>
      <c r="AE325">
        <v>10800</v>
      </c>
      <c r="AF325">
        <v>200000</v>
      </c>
      <c r="AG325">
        <v>16666.666666666668</v>
      </c>
      <c r="AH325">
        <v>1</v>
      </c>
      <c r="AI325">
        <v>1</v>
      </c>
      <c r="AJ325" t="s">
        <v>162</v>
      </c>
      <c r="AK325" t="s">
        <v>176</v>
      </c>
      <c r="AL325">
        <v>0</v>
      </c>
      <c r="AM325" t="s">
        <v>176</v>
      </c>
      <c r="AN325">
        <v>0</v>
      </c>
    </row>
    <row r="326" spans="1:40" x14ac:dyDescent="0.15">
      <c r="A326" s="4" t="str">
        <f>HYPERLINK("https://ibp.a2mac1.com/costing(costing:projects/details/9760/process/12083874)","Automated Process")</f>
        <v>Automated Process</v>
      </c>
      <c r="C326">
        <v>12083874</v>
      </c>
      <c r="D326">
        <v>8412685</v>
      </c>
      <c r="E326">
        <v>1.51</v>
      </c>
      <c r="F326">
        <v>0</v>
      </c>
      <c r="G326">
        <v>0</v>
      </c>
      <c r="H326">
        <v>7.6406E-3</v>
      </c>
      <c r="I326" t="s">
        <v>176</v>
      </c>
      <c r="J326">
        <v>5.2850000000000001E-2</v>
      </c>
      <c r="K326">
        <v>1.5704906000000001</v>
      </c>
      <c r="L326">
        <v>0.53394950944893138</v>
      </c>
      <c r="M326">
        <v>3.2036970566935881</v>
      </c>
      <c r="N326">
        <v>4.7741876566935879</v>
      </c>
      <c r="O326" t="s">
        <v>90</v>
      </c>
      <c r="P326">
        <v>0</v>
      </c>
      <c r="Q326" t="s">
        <v>90</v>
      </c>
      <c r="R326">
        <v>0</v>
      </c>
      <c r="S326" t="s">
        <v>90</v>
      </c>
      <c r="T326">
        <v>0</v>
      </c>
      <c r="U326">
        <v>4.7741876566935879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301</v>
      </c>
      <c r="AB326">
        <v>1</v>
      </c>
      <c r="AC326">
        <v>0.5</v>
      </c>
      <c r="AD326">
        <v>0.50345253019720215</v>
      </c>
      <c r="AE326">
        <v>10800</v>
      </c>
      <c r="AF326">
        <v>200000</v>
      </c>
      <c r="AG326">
        <v>16666.666666666668</v>
      </c>
      <c r="AH326">
        <v>1</v>
      </c>
      <c r="AI326">
        <v>1</v>
      </c>
      <c r="AJ326" t="s">
        <v>162</v>
      </c>
      <c r="AK326" t="s">
        <v>176</v>
      </c>
      <c r="AL326">
        <v>0</v>
      </c>
      <c r="AM326" t="s">
        <v>176</v>
      </c>
      <c r="AN326">
        <v>0</v>
      </c>
    </row>
    <row r="327" spans="1:40" x14ac:dyDescent="0.15">
      <c r="A327" s="4" t="str">
        <f>HYPERLINK("https://ibp.a2mac1.com/costing(costing:projects/details/9760/process/12083875)","Automated Process")</f>
        <v>Automated Process</v>
      </c>
      <c r="B327" t="s">
        <v>2678</v>
      </c>
      <c r="C327">
        <v>12083875</v>
      </c>
      <c r="D327">
        <v>8412686</v>
      </c>
      <c r="E327">
        <v>32.58</v>
      </c>
      <c r="F327">
        <v>0</v>
      </c>
      <c r="G327">
        <v>0</v>
      </c>
      <c r="H327">
        <v>0.1648548</v>
      </c>
      <c r="I327" t="s">
        <v>176</v>
      </c>
      <c r="J327">
        <v>1.1403000000000001</v>
      </c>
      <c r="K327">
        <v>33.885154800000002</v>
      </c>
      <c r="L327">
        <v>1.0284529543059318</v>
      </c>
      <c r="M327">
        <v>6.1707177258355905</v>
      </c>
      <c r="N327">
        <v>40.055872525835589</v>
      </c>
      <c r="O327" t="s">
        <v>90</v>
      </c>
      <c r="P327">
        <v>0</v>
      </c>
      <c r="Q327" t="s">
        <v>90</v>
      </c>
      <c r="R327">
        <v>0</v>
      </c>
      <c r="S327" t="s">
        <v>90</v>
      </c>
      <c r="T327">
        <v>0</v>
      </c>
      <c r="U327">
        <v>40.055872525835589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581</v>
      </c>
      <c r="AB327">
        <v>1</v>
      </c>
      <c r="AC327">
        <v>0.5</v>
      </c>
      <c r="AD327">
        <v>0.50345253019720215</v>
      </c>
      <c r="AE327">
        <v>10800</v>
      </c>
      <c r="AF327">
        <v>200000</v>
      </c>
      <c r="AG327">
        <v>16666.666666666668</v>
      </c>
      <c r="AH327">
        <v>1</v>
      </c>
      <c r="AI327">
        <v>1</v>
      </c>
      <c r="AJ327" t="s">
        <v>162</v>
      </c>
      <c r="AK327" t="s">
        <v>176</v>
      </c>
      <c r="AL327">
        <v>0</v>
      </c>
      <c r="AM327" t="s">
        <v>176</v>
      </c>
      <c r="AN327">
        <v>0</v>
      </c>
    </row>
    <row r="328" spans="1:40" x14ac:dyDescent="0.15">
      <c r="A328" s="4" t="str">
        <f>HYPERLINK("https://ibp.a2mac1.com/costing(costing:projects/details/9760/process/12083876)","Automated Process")</f>
        <v>Automated Process</v>
      </c>
      <c r="B328" t="s">
        <v>1956</v>
      </c>
      <c r="C328">
        <v>12083876</v>
      </c>
      <c r="D328">
        <v>8412687</v>
      </c>
      <c r="E328">
        <v>7.3769999999999998</v>
      </c>
      <c r="F328">
        <v>0</v>
      </c>
      <c r="G328">
        <v>0</v>
      </c>
      <c r="H328">
        <v>3.7327619999999999E-2</v>
      </c>
      <c r="I328" t="s">
        <v>176</v>
      </c>
      <c r="J328">
        <v>0.25819500000000001</v>
      </c>
      <c r="K328">
        <v>7.6725226199999996</v>
      </c>
      <c r="L328">
        <v>0.39619497838162415</v>
      </c>
      <c r="M328">
        <v>2.377169870289745</v>
      </c>
      <c r="N328">
        <v>10.049692490289745</v>
      </c>
      <c r="O328" t="s">
        <v>90</v>
      </c>
      <c r="P328">
        <v>0</v>
      </c>
      <c r="Q328" t="s">
        <v>90</v>
      </c>
      <c r="R328">
        <v>0</v>
      </c>
      <c r="S328" t="s">
        <v>90</v>
      </c>
      <c r="T328">
        <v>0</v>
      </c>
      <c r="U328">
        <v>10.049692490289745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223</v>
      </c>
      <c r="AB328">
        <v>1</v>
      </c>
      <c r="AC328">
        <v>0.5</v>
      </c>
      <c r="AD328">
        <v>0.50345253019720215</v>
      </c>
      <c r="AE328">
        <v>10800</v>
      </c>
      <c r="AF328">
        <v>200000</v>
      </c>
      <c r="AG328">
        <v>16666.666666666668</v>
      </c>
      <c r="AH328">
        <v>1</v>
      </c>
      <c r="AI328">
        <v>1</v>
      </c>
      <c r="AJ328" t="s">
        <v>162</v>
      </c>
      <c r="AK328" t="s">
        <v>176</v>
      </c>
      <c r="AL328">
        <v>0</v>
      </c>
      <c r="AM328" t="s">
        <v>176</v>
      </c>
      <c r="AN328">
        <v>0</v>
      </c>
    </row>
    <row r="329" spans="1:40" x14ac:dyDescent="0.15">
      <c r="A329" s="4" t="str">
        <f>HYPERLINK("https://ibp.a2mac1.com/costing(costing:projects/details/9760/process/12083877)","Automated Process")</f>
        <v>Automated Process</v>
      </c>
      <c r="B329" t="s">
        <v>1956</v>
      </c>
      <c r="C329">
        <v>12083877</v>
      </c>
      <c r="D329">
        <v>8412688</v>
      </c>
      <c r="E329">
        <v>0.32200000000000001</v>
      </c>
      <c r="F329">
        <v>0</v>
      </c>
      <c r="G329">
        <v>0</v>
      </c>
      <c r="H329">
        <v>1.61966E-3</v>
      </c>
      <c r="I329" t="s">
        <v>176</v>
      </c>
      <c r="J329">
        <v>1.1270000000000001E-2</v>
      </c>
      <c r="K329">
        <v>0.33488965999999998</v>
      </c>
      <c r="L329">
        <v>1.5307366044224821E-2</v>
      </c>
      <c r="M329">
        <v>9.1844196265348926E-2</v>
      </c>
      <c r="N329">
        <v>0.42673385626534893</v>
      </c>
      <c r="O329" t="s">
        <v>90</v>
      </c>
      <c r="P329">
        <v>0</v>
      </c>
      <c r="Q329" t="s">
        <v>90</v>
      </c>
      <c r="R329">
        <v>0</v>
      </c>
      <c r="S329" t="s">
        <v>90</v>
      </c>
      <c r="T329">
        <v>0</v>
      </c>
      <c r="U329">
        <v>0.42673385626534893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8</v>
      </c>
      <c r="AB329">
        <v>1</v>
      </c>
      <c r="AC329">
        <v>0.5</v>
      </c>
      <c r="AD329">
        <v>0.50048257265952256</v>
      </c>
      <c r="AE329">
        <v>10800</v>
      </c>
      <c r="AF329">
        <v>400000</v>
      </c>
      <c r="AG329">
        <v>33333.333333333336</v>
      </c>
      <c r="AH329">
        <v>1</v>
      </c>
      <c r="AI329">
        <v>1</v>
      </c>
      <c r="AJ329" t="s">
        <v>162</v>
      </c>
      <c r="AK329" t="s">
        <v>176</v>
      </c>
      <c r="AL329">
        <v>0</v>
      </c>
      <c r="AM329" t="s">
        <v>176</v>
      </c>
      <c r="AN329">
        <v>0</v>
      </c>
    </row>
    <row r="330" spans="1:40" x14ac:dyDescent="0.15">
      <c r="A330" s="4" t="str">
        <f>HYPERLINK("https://ibp.a2mac1.com/costing(costing:projects/details/9760/process/12083878)","Process")</f>
        <v>Process</v>
      </c>
      <c r="B330" t="s">
        <v>318</v>
      </c>
      <c r="C330">
        <v>12083878</v>
      </c>
      <c r="D330">
        <v>8412691</v>
      </c>
      <c r="E330">
        <v>0</v>
      </c>
      <c r="F330">
        <v>0</v>
      </c>
      <c r="G330">
        <v>0</v>
      </c>
      <c r="H330">
        <v>0</v>
      </c>
      <c r="I330" t="s">
        <v>176</v>
      </c>
      <c r="J330">
        <v>0</v>
      </c>
      <c r="K330">
        <v>0</v>
      </c>
      <c r="L330">
        <v>5.4810998742666005E-2</v>
      </c>
      <c r="M330">
        <v>0.19183849559933103</v>
      </c>
      <c r="N330">
        <v>0.19183849559933103</v>
      </c>
      <c r="O330" t="s">
        <v>90</v>
      </c>
      <c r="P330">
        <v>0</v>
      </c>
      <c r="Q330" t="s">
        <v>90</v>
      </c>
      <c r="R330">
        <v>0</v>
      </c>
      <c r="S330" t="s">
        <v>90</v>
      </c>
      <c r="T330">
        <v>0</v>
      </c>
      <c r="U330">
        <v>0.19183849559933103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24</v>
      </c>
      <c r="AB330">
        <v>1</v>
      </c>
      <c r="AC330">
        <v>10</v>
      </c>
      <c r="AD330">
        <v>10.007199424046076</v>
      </c>
      <c r="AE330">
        <v>126</v>
      </c>
      <c r="AF330">
        <v>200000</v>
      </c>
      <c r="AG330">
        <v>10000</v>
      </c>
      <c r="AH330">
        <v>1</v>
      </c>
      <c r="AI330">
        <v>1</v>
      </c>
      <c r="AJ330" t="s">
        <v>76</v>
      </c>
      <c r="AK330" t="s">
        <v>176</v>
      </c>
      <c r="AL330">
        <v>0</v>
      </c>
      <c r="AM330" t="s">
        <v>176</v>
      </c>
      <c r="AN330">
        <v>0</v>
      </c>
    </row>
    <row r="331" spans="1:40" x14ac:dyDescent="0.15">
      <c r="A331" s="4" t="str">
        <f>HYPERLINK("https://ibp.a2mac1.com/costing(costing:projects/details/9760/process/12083998)","Automated Process")</f>
        <v>Automated Process</v>
      </c>
      <c r="B331" t="s">
        <v>794</v>
      </c>
      <c r="C331">
        <v>12083998</v>
      </c>
      <c r="D331">
        <v>8412788</v>
      </c>
      <c r="E331">
        <v>0.11899999999999999</v>
      </c>
      <c r="F331">
        <v>0</v>
      </c>
      <c r="G331">
        <v>0</v>
      </c>
      <c r="H331">
        <v>6.0214000000000003E-4</v>
      </c>
      <c r="I331" t="s">
        <v>176</v>
      </c>
      <c r="J331">
        <v>4.1650000000000003E-3</v>
      </c>
      <c r="K331">
        <v>0.12376714</v>
      </c>
      <c r="L331">
        <v>1.1188724885816749E-2</v>
      </c>
      <c r="M331">
        <v>6.7132349314900502E-2</v>
      </c>
      <c r="N331">
        <v>0.1908994893149005</v>
      </c>
      <c r="O331" t="s">
        <v>90</v>
      </c>
      <c r="P331">
        <v>0</v>
      </c>
      <c r="Q331" t="s">
        <v>90</v>
      </c>
      <c r="R331">
        <v>0</v>
      </c>
      <c r="S331" t="s">
        <v>90</v>
      </c>
      <c r="T331">
        <v>0</v>
      </c>
      <c r="U331">
        <v>0.1908994893149005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5</v>
      </c>
      <c r="AB331">
        <v>1</v>
      </c>
      <c r="AC331">
        <v>0.5</v>
      </c>
      <c r="AD331">
        <v>0.50345253019720215</v>
      </c>
      <c r="AE331">
        <v>10800</v>
      </c>
      <c r="AF331">
        <v>200000</v>
      </c>
      <c r="AG331">
        <v>16666.666666666668</v>
      </c>
      <c r="AH331">
        <v>1</v>
      </c>
      <c r="AI331">
        <v>1</v>
      </c>
      <c r="AJ331" t="s">
        <v>162</v>
      </c>
      <c r="AK331" t="s">
        <v>176</v>
      </c>
      <c r="AL331">
        <v>0</v>
      </c>
      <c r="AM331" t="s">
        <v>176</v>
      </c>
      <c r="AN331">
        <v>0</v>
      </c>
    </row>
    <row r="332" spans="1:40" x14ac:dyDescent="0.15">
      <c r="A332" s="4" t="str">
        <f>HYPERLINK("https://ibp.a2mac1.com/costing(costing:projects/details/9760/process/12083999)","Automated Process")</f>
        <v>Automated Process</v>
      </c>
      <c r="B332" t="s">
        <v>794</v>
      </c>
      <c r="C332">
        <v>12083999</v>
      </c>
      <c r="D332">
        <v>8412789</v>
      </c>
      <c r="E332">
        <v>0.11899999999999999</v>
      </c>
      <c r="F332">
        <v>0</v>
      </c>
      <c r="G332">
        <v>0</v>
      </c>
      <c r="H332">
        <v>6.0214000000000003E-4</v>
      </c>
      <c r="I332" t="s">
        <v>176</v>
      </c>
      <c r="J332">
        <v>4.1650000000000003E-3</v>
      </c>
      <c r="K332">
        <v>0.12376714</v>
      </c>
      <c r="L332">
        <v>1.1188724885816749E-2</v>
      </c>
      <c r="M332">
        <v>6.7132349314900502E-2</v>
      </c>
      <c r="N332">
        <v>0.1908994893149005</v>
      </c>
      <c r="O332" t="s">
        <v>90</v>
      </c>
      <c r="P332">
        <v>0</v>
      </c>
      <c r="Q332" t="s">
        <v>90</v>
      </c>
      <c r="R332">
        <v>0</v>
      </c>
      <c r="S332" t="s">
        <v>90</v>
      </c>
      <c r="T332">
        <v>0</v>
      </c>
      <c r="U332">
        <v>0.1908994893149005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5</v>
      </c>
      <c r="AB332">
        <v>1</v>
      </c>
      <c r="AC332">
        <v>0.5</v>
      </c>
      <c r="AD332">
        <v>0.50345253019720215</v>
      </c>
      <c r="AE332">
        <v>10800</v>
      </c>
      <c r="AF332">
        <v>200000</v>
      </c>
      <c r="AG332">
        <v>16666.666666666668</v>
      </c>
      <c r="AH332">
        <v>1</v>
      </c>
      <c r="AI332">
        <v>1</v>
      </c>
      <c r="AJ332" t="s">
        <v>162</v>
      </c>
      <c r="AK332" t="s">
        <v>176</v>
      </c>
      <c r="AL332">
        <v>0</v>
      </c>
      <c r="AM332" t="s">
        <v>176</v>
      </c>
      <c r="AN332">
        <v>0</v>
      </c>
    </row>
    <row r="333" spans="1:40" x14ac:dyDescent="0.15">
      <c r="A333" s="4" t="str">
        <f>HYPERLINK("https://ibp.a2mac1.com/costing(costing:projects/details/9760/process/12084030)","Automated Process")</f>
        <v>Automated Process</v>
      </c>
      <c r="B333" t="s">
        <v>794</v>
      </c>
      <c r="C333">
        <v>12084030</v>
      </c>
      <c r="D333">
        <v>8412842</v>
      </c>
      <c r="E333">
        <v>0.90400000000000003</v>
      </c>
      <c r="F333">
        <v>0</v>
      </c>
      <c r="G333">
        <v>0</v>
      </c>
      <c r="H333">
        <v>4.5742400000000003E-3</v>
      </c>
      <c r="I333" t="s">
        <v>176</v>
      </c>
      <c r="J333">
        <v>3.1640000000000001E-2</v>
      </c>
      <c r="K333">
        <v>0.94021423999999998</v>
      </c>
      <c r="L333">
        <v>3.767998086029891E-2</v>
      </c>
      <c r="M333">
        <v>0.22607988516179345</v>
      </c>
      <c r="N333">
        <v>1.1662941251617935</v>
      </c>
      <c r="O333" t="s">
        <v>90</v>
      </c>
      <c r="P333">
        <v>0</v>
      </c>
      <c r="Q333" t="s">
        <v>90</v>
      </c>
      <c r="R333">
        <v>0</v>
      </c>
      <c r="S333" t="s">
        <v>90</v>
      </c>
      <c r="T333">
        <v>0</v>
      </c>
      <c r="U333">
        <v>1.1662941251617935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20</v>
      </c>
      <c r="AB333">
        <v>1</v>
      </c>
      <c r="AC333">
        <v>0.5</v>
      </c>
      <c r="AD333">
        <v>0.50345253019720215</v>
      </c>
      <c r="AE333">
        <v>10800</v>
      </c>
      <c r="AF333">
        <v>200000</v>
      </c>
      <c r="AG333">
        <v>16666.666666666668</v>
      </c>
      <c r="AH333">
        <v>1</v>
      </c>
      <c r="AI333">
        <v>1</v>
      </c>
      <c r="AJ333" t="s">
        <v>162</v>
      </c>
      <c r="AK333" t="s">
        <v>176</v>
      </c>
      <c r="AL333">
        <v>0</v>
      </c>
      <c r="AM333" t="s">
        <v>176</v>
      </c>
      <c r="AN333">
        <v>0</v>
      </c>
    </row>
    <row r="334" spans="1:40" x14ac:dyDescent="0.15">
      <c r="A334" s="4" t="str">
        <f>HYPERLINK("https://ibp.a2mac1.com/costing(costing:projects/details/9760/process/12084031)","Automated Process")</f>
        <v>Automated Process</v>
      </c>
      <c r="B334" t="s">
        <v>2149</v>
      </c>
      <c r="C334">
        <v>12084031</v>
      </c>
      <c r="D334">
        <v>8412843</v>
      </c>
      <c r="E334">
        <v>1.1890000000000001</v>
      </c>
      <c r="F334">
        <v>0</v>
      </c>
      <c r="G334">
        <v>0</v>
      </c>
      <c r="H334">
        <v>6.0163400000000002E-3</v>
      </c>
      <c r="I334" t="s">
        <v>176</v>
      </c>
      <c r="J334">
        <v>4.1614999999999999E-2</v>
      </c>
      <c r="K334">
        <v>1.23663134</v>
      </c>
      <c r="L334">
        <v>0.38383239226019911</v>
      </c>
      <c r="M334">
        <v>2.302994353561195</v>
      </c>
      <c r="N334">
        <v>3.5396256935611947</v>
      </c>
      <c r="O334" t="s">
        <v>90</v>
      </c>
      <c r="P334">
        <v>0</v>
      </c>
      <c r="Q334" t="s">
        <v>90</v>
      </c>
      <c r="R334">
        <v>0</v>
      </c>
      <c r="S334" t="s">
        <v>90</v>
      </c>
      <c r="T334">
        <v>0</v>
      </c>
      <c r="U334">
        <v>3.5396256935611947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216</v>
      </c>
      <c r="AB334">
        <v>1</v>
      </c>
      <c r="AC334">
        <v>0.5</v>
      </c>
      <c r="AD334">
        <v>0.50345253019720215</v>
      </c>
      <c r="AE334">
        <v>10800</v>
      </c>
      <c r="AF334">
        <v>200000</v>
      </c>
      <c r="AG334">
        <v>16666.666666666668</v>
      </c>
      <c r="AH334">
        <v>1</v>
      </c>
      <c r="AI334">
        <v>1</v>
      </c>
      <c r="AJ334" t="s">
        <v>162</v>
      </c>
      <c r="AK334" t="s">
        <v>176</v>
      </c>
      <c r="AL334">
        <v>0</v>
      </c>
      <c r="AM334" t="s">
        <v>176</v>
      </c>
      <c r="AN334">
        <v>0</v>
      </c>
    </row>
    <row r="335" spans="1:40" x14ac:dyDescent="0.15">
      <c r="A335" s="4" t="str">
        <f>HYPERLINK("https://ibp.a2mac1.com/costing(costing:projects/details/9760/process/12084032)","Automated Process")</f>
        <v>Automated Process</v>
      </c>
      <c r="B335" t="s">
        <v>794</v>
      </c>
      <c r="C335">
        <v>12084032</v>
      </c>
      <c r="D335">
        <v>8412844</v>
      </c>
      <c r="E335">
        <v>0.90400000000000003</v>
      </c>
      <c r="F335">
        <v>0</v>
      </c>
      <c r="G335">
        <v>0</v>
      </c>
      <c r="H335">
        <v>4.5742400000000003E-3</v>
      </c>
      <c r="I335" t="s">
        <v>176</v>
      </c>
      <c r="J335">
        <v>3.1640000000000001E-2</v>
      </c>
      <c r="K335">
        <v>0.94021423999999998</v>
      </c>
      <c r="L335">
        <v>3.767998086029891E-2</v>
      </c>
      <c r="M335">
        <v>0.22607988516179345</v>
      </c>
      <c r="N335">
        <v>1.1662941251617935</v>
      </c>
      <c r="O335" t="s">
        <v>90</v>
      </c>
      <c r="P335">
        <v>0</v>
      </c>
      <c r="Q335" t="s">
        <v>90</v>
      </c>
      <c r="R335">
        <v>0</v>
      </c>
      <c r="S335" t="s">
        <v>90</v>
      </c>
      <c r="T335">
        <v>0</v>
      </c>
      <c r="U335">
        <v>1.1662941251617935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20</v>
      </c>
      <c r="AB335">
        <v>1</v>
      </c>
      <c r="AC335">
        <v>0.5</v>
      </c>
      <c r="AD335">
        <v>0.50345253019720215</v>
      </c>
      <c r="AE335">
        <v>10800</v>
      </c>
      <c r="AF335">
        <v>200000</v>
      </c>
      <c r="AG335">
        <v>16666.666666666668</v>
      </c>
      <c r="AH335">
        <v>1</v>
      </c>
      <c r="AI335">
        <v>1</v>
      </c>
      <c r="AJ335" t="s">
        <v>162</v>
      </c>
      <c r="AK335" t="s">
        <v>176</v>
      </c>
      <c r="AL335">
        <v>0</v>
      </c>
      <c r="AM335" t="s">
        <v>176</v>
      </c>
      <c r="AN335">
        <v>0</v>
      </c>
    </row>
    <row r="336" spans="1:40" x14ac:dyDescent="0.15">
      <c r="A336" s="4" t="str">
        <f>HYPERLINK("https://ibp.a2mac1.com/costing(costing:projects/details/9760/process/12084033)","Automated Process")</f>
        <v>Automated Process</v>
      </c>
      <c r="B336" t="s">
        <v>753</v>
      </c>
      <c r="C336">
        <v>12084033</v>
      </c>
      <c r="D336">
        <v>8412845</v>
      </c>
      <c r="E336">
        <v>0.13400000000000001</v>
      </c>
      <c r="F336">
        <v>0</v>
      </c>
      <c r="G336">
        <v>0</v>
      </c>
      <c r="H336">
        <v>6.7402E-4</v>
      </c>
      <c r="I336" t="s">
        <v>176</v>
      </c>
      <c r="J336">
        <v>4.6899999999999997E-3</v>
      </c>
      <c r="K336">
        <v>0.13936402000000001</v>
      </c>
      <c r="L336">
        <v>1.7073397060086815E-2</v>
      </c>
      <c r="M336">
        <v>0.10244038236052089</v>
      </c>
      <c r="N336">
        <v>0.24180440236052089</v>
      </c>
      <c r="O336" t="s">
        <v>90</v>
      </c>
      <c r="P336">
        <v>0</v>
      </c>
      <c r="Q336" t="s">
        <v>90</v>
      </c>
      <c r="R336">
        <v>0</v>
      </c>
      <c r="S336" t="s">
        <v>90</v>
      </c>
      <c r="T336">
        <v>0</v>
      </c>
      <c r="U336">
        <v>0.24180440236052089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9</v>
      </c>
      <c r="AB336">
        <v>1</v>
      </c>
      <c r="AC336">
        <v>0.5</v>
      </c>
      <c r="AD336">
        <v>0.50048257265952256</v>
      </c>
      <c r="AE336">
        <v>10800</v>
      </c>
      <c r="AF336">
        <v>400000</v>
      </c>
      <c r="AG336">
        <v>33333.333333333336</v>
      </c>
      <c r="AH336">
        <v>1</v>
      </c>
      <c r="AI336">
        <v>1</v>
      </c>
      <c r="AJ336" t="s">
        <v>162</v>
      </c>
      <c r="AK336" t="s">
        <v>176</v>
      </c>
      <c r="AL336">
        <v>0</v>
      </c>
      <c r="AM336" t="s">
        <v>176</v>
      </c>
      <c r="AN336">
        <v>0</v>
      </c>
    </row>
    <row r="337" spans="1:41" x14ac:dyDescent="0.15">
      <c r="A337" s="4" t="str">
        <f>HYPERLINK("https://ibp.a2mac1.com/costing(costing:projects/details/9760/process/12083879)","Automated Process")</f>
        <v>Automated Process</v>
      </c>
      <c r="B337" t="s">
        <v>794</v>
      </c>
      <c r="C337">
        <v>12083879</v>
      </c>
      <c r="D337">
        <v>8412694</v>
      </c>
      <c r="E337">
        <v>1.7000000000000001E-2</v>
      </c>
      <c r="F337">
        <v>0</v>
      </c>
      <c r="G337">
        <v>0</v>
      </c>
      <c r="H337">
        <v>8.551E-5</v>
      </c>
      <c r="I337" t="s">
        <v>176</v>
      </c>
      <c r="J337">
        <v>5.9500000000000004E-4</v>
      </c>
      <c r="K337">
        <v>1.768051E-2</v>
      </c>
      <c r="L337">
        <v>2.3555899745264348E-3</v>
      </c>
      <c r="M337">
        <v>1.4133539847158608E-2</v>
      </c>
      <c r="N337">
        <v>3.1814049847158611E-2</v>
      </c>
      <c r="O337" t="s">
        <v>90</v>
      </c>
      <c r="P337">
        <v>0</v>
      </c>
      <c r="Q337" t="s">
        <v>90</v>
      </c>
      <c r="R337">
        <v>0</v>
      </c>
      <c r="S337" t="s">
        <v>90</v>
      </c>
      <c r="T337">
        <v>0</v>
      </c>
      <c r="U337">
        <v>3.1814049847158611E-2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1</v>
      </c>
      <c r="AC337">
        <v>0.5</v>
      </c>
      <c r="AD337">
        <v>0.50048257265952256</v>
      </c>
      <c r="AE337">
        <v>10800</v>
      </c>
      <c r="AF337">
        <v>800000</v>
      </c>
      <c r="AG337">
        <v>66666.666666666672</v>
      </c>
      <c r="AH337">
        <v>1</v>
      </c>
      <c r="AI337">
        <v>1</v>
      </c>
      <c r="AJ337" t="s">
        <v>162</v>
      </c>
      <c r="AK337" t="s">
        <v>176</v>
      </c>
      <c r="AL337">
        <v>0</v>
      </c>
      <c r="AM337" t="s">
        <v>176</v>
      </c>
      <c r="AN337">
        <v>0</v>
      </c>
    </row>
    <row r="338" spans="1:41" x14ac:dyDescent="0.15">
      <c r="A338" s="4" t="str">
        <f>HYPERLINK("https://ibp.a2mac1.com/costing(costing:projects/details/9760/process/12083880)","Automated Process")</f>
        <v>Automated Process</v>
      </c>
      <c r="B338" t="s">
        <v>794</v>
      </c>
      <c r="C338">
        <v>12083880</v>
      </c>
      <c r="D338">
        <v>8412695</v>
      </c>
      <c r="E338">
        <v>8.4000000000000005E-2</v>
      </c>
      <c r="F338">
        <v>0</v>
      </c>
      <c r="G338">
        <v>0</v>
      </c>
      <c r="H338">
        <v>4.2252000000000001E-4</v>
      </c>
      <c r="I338" t="s">
        <v>176</v>
      </c>
      <c r="J338">
        <v>2.9399999999999999E-3</v>
      </c>
      <c r="K338">
        <v>8.7362519999999999E-2</v>
      </c>
      <c r="L338">
        <v>4.121620990388427E-3</v>
      </c>
      <c r="M338">
        <v>2.4729725942330562E-2</v>
      </c>
      <c r="N338">
        <v>0.11209224594233055</v>
      </c>
      <c r="O338" t="s">
        <v>90</v>
      </c>
      <c r="P338">
        <v>0</v>
      </c>
      <c r="Q338" t="s">
        <v>90</v>
      </c>
      <c r="R338">
        <v>0</v>
      </c>
      <c r="S338" t="s">
        <v>90</v>
      </c>
      <c r="T338">
        <v>0</v>
      </c>
      <c r="U338">
        <v>0.11209224594233055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</v>
      </c>
      <c r="AB338">
        <v>1</v>
      </c>
      <c r="AC338">
        <v>0.5</v>
      </c>
      <c r="AD338">
        <v>0.50048257265952256</v>
      </c>
      <c r="AE338">
        <v>10800</v>
      </c>
      <c r="AF338">
        <v>800000</v>
      </c>
      <c r="AG338">
        <v>66666.666666666672</v>
      </c>
      <c r="AH338">
        <v>1</v>
      </c>
      <c r="AI338">
        <v>1</v>
      </c>
      <c r="AJ338" t="s">
        <v>162</v>
      </c>
      <c r="AK338" t="s">
        <v>176</v>
      </c>
      <c r="AL338">
        <v>0</v>
      </c>
      <c r="AM338" t="s">
        <v>176</v>
      </c>
      <c r="AN338">
        <v>0</v>
      </c>
    </row>
    <row r="339" spans="1:41" x14ac:dyDescent="0.15">
      <c r="A339" s="4" t="str">
        <f>HYPERLINK("https://ibp.a2mac1.com/costing(costing:projects/details/9760/process/12083746)","Final Assembly")</f>
        <v>Final Assembly</v>
      </c>
      <c r="C339">
        <v>12083746</v>
      </c>
      <c r="D339">
        <v>8412551</v>
      </c>
      <c r="E339">
        <v>0</v>
      </c>
      <c r="F339">
        <v>0</v>
      </c>
      <c r="G339">
        <v>0</v>
      </c>
      <c r="H339">
        <v>0</v>
      </c>
      <c r="I339" t="s">
        <v>176</v>
      </c>
      <c r="J339">
        <v>0</v>
      </c>
      <c r="K339">
        <v>0</v>
      </c>
      <c r="L339">
        <v>1.6058323623367035</v>
      </c>
      <c r="M339">
        <v>9.6349941740202212</v>
      </c>
      <c r="N339">
        <v>9.6349941740202212</v>
      </c>
      <c r="O339" t="s">
        <v>90</v>
      </c>
      <c r="P339">
        <v>0</v>
      </c>
      <c r="Q339" t="s">
        <v>90</v>
      </c>
      <c r="R339">
        <v>0</v>
      </c>
      <c r="S339" t="s">
        <v>90</v>
      </c>
      <c r="T339">
        <v>0</v>
      </c>
      <c r="U339">
        <v>9.6349941740202212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907</v>
      </c>
      <c r="AB339">
        <v>1</v>
      </c>
      <c r="AC339">
        <v>0.5</v>
      </c>
      <c r="AD339">
        <v>0.50741219779126456</v>
      </c>
      <c r="AE339">
        <v>10800</v>
      </c>
      <c r="AF339">
        <v>200000</v>
      </c>
      <c r="AG339">
        <v>10000</v>
      </c>
      <c r="AH339">
        <v>1</v>
      </c>
      <c r="AI339">
        <v>1</v>
      </c>
      <c r="AJ339" t="s">
        <v>76</v>
      </c>
      <c r="AK339" t="s">
        <v>176</v>
      </c>
      <c r="AL339">
        <v>0</v>
      </c>
      <c r="AM339" t="s">
        <v>176</v>
      </c>
      <c r="AN339">
        <v>0</v>
      </c>
    </row>
    <row r="340" spans="1:41" x14ac:dyDescent="0.15">
      <c r="A340" s="4" t="str">
        <f>HYPERLINK("https://ibp.a2mac1.com/costing(costing:projects/details/9760/process/12084092)","Process")</f>
        <v>Process</v>
      </c>
      <c r="B340" t="s">
        <v>2762</v>
      </c>
      <c r="C340">
        <v>12084092</v>
      </c>
      <c r="D340">
        <v>8413341</v>
      </c>
      <c r="E340">
        <v>8.191490049285715</v>
      </c>
      <c r="F340">
        <v>0</v>
      </c>
      <c r="G340">
        <v>0</v>
      </c>
      <c r="H340">
        <v>0.34381183587142855</v>
      </c>
      <c r="I340" t="s">
        <v>176</v>
      </c>
      <c r="J340">
        <v>0.28843274821428572</v>
      </c>
      <c r="K340">
        <v>8.8237346333714282</v>
      </c>
      <c r="L340">
        <v>1.367999118928908</v>
      </c>
      <c r="M340">
        <v>8.2079947135734486</v>
      </c>
      <c r="N340">
        <v>17.031729346944875</v>
      </c>
      <c r="O340" t="s">
        <v>177</v>
      </c>
      <c r="P340">
        <v>0.52942407800228575</v>
      </c>
      <c r="Q340" t="s">
        <v>177</v>
      </c>
      <c r="R340">
        <v>0.4924796828144069</v>
      </c>
      <c r="S340" t="s">
        <v>178</v>
      </c>
      <c r="T340">
        <v>2.0438075216333851</v>
      </c>
      <c r="U340">
        <v>20.097440629394953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746</v>
      </c>
      <c r="AB340">
        <v>1</v>
      </c>
      <c r="AC340">
        <v>4</v>
      </c>
      <c r="AD340">
        <v>4.004914948354644</v>
      </c>
      <c r="AE340">
        <v>10800</v>
      </c>
      <c r="AF340">
        <v>200000</v>
      </c>
      <c r="AG340">
        <v>16666.666666666668</v>
      </c>
      <c r="AH340">
        <v>1</v>
      </c>
      <c r="AI340">
        <v>1</v>
      </c>
      <c r="AJ340" t="s">
        <v>162</v>
      </c>
      <c r="AK340" t="s">
        <v>176</v>
      </c>
      <c r="AL340">
        <v>0</v>
      </c>
      <c r="AM340" t="s">
        <v>176</v>
      </c>
      <c r="AN340">
        <v>0</v>
      </c>
    </row>
    <row r="341" spans="1:41" x14ac:dyDescent="0.15">
      <c r="A341" s="4" t="str">
        <f>HYPERLINK("https://ibp.a2mac1.com/costing(costing:projects/details/9760/process/12084049)","Final Assy")</f>
        <v>Final Assy</v>
      </c>
      <c r="B341" t="s">
        <v>1854</v>
      </c>
      <c r="C341">
        <v>12084049</v>
      </c>
      <c r="D341">
        <v>8412887</v>
      </c>
      <c r="E341">
        <v>0</v>
      </c>
      <c r="F341">
        <v>0</v>
      </c>
      <c r="G341">
        <v>0</v>
      </c>
      <c r="H341">
        <v>0</v>
      </c>
      <c r="I341" t="s">
        <v>176</v>
      </c>
      <c r="J341">
        <v>0</v>
      </c>
      <c r="K341">
        <v>0</v>
      </c>
      <c r="L341">
        <v>4.2989904393458538</v>
      </c>
      <c r="M341">
        <v>15.04646653771049</v>
      </c>
      <c r="N341">
        <v>15.04646653771049</v>
      </c>
      <c r="O341" t="s">
        <v>90</v>
      </c>
      <c r="P341">
        <v>0</v>
      </c>
      <c r="Q341" t="s">
        <v>90</v>
      </c>
      <c r="R341">
        <v>0</v>
      </c>
      <c r="S341" t="s">
        <v>90</v>
      </c>
      <c r="T341">
        <v>0</v>
      </c>
      <c r="U341">
        <v>15.04646653771049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1201</v>
      </c>
      <c r="AB341">
        <v>1</v>
      </c>
      <c r="AC341">
        <v>0</v>
      </c>
      <c r="AD341">
        <v>0</v>
      </c>
      <c r="AE341">
        <v>108000</v>
      </c>
      <c r="AF341">
        <v>200000</v>
      </c>
      <c r="AG341">
        <v>10000</v>
      </c>
      <c r="AH341">
        <v>1</v>
      </c>
      <c r="AI341">
        <v>1</v>
      </c>
      <c r="AJ341" t="s">
        <v>76</v>
      </c>
      <c r="AK341" t="s">
        <v>176</v>
      </c>
      <c r="AL341">
        <v>0</v>
      </c>
      <c r="AM341" t="s">
        <v>176</v>
      </c>
      <c r="AN341">
        <v>0</v>
      </c>
    </row>
    <row r="342" spans="1:41" x14ac:dyDescent="0.15">
      <c r="A342" s="4" t="str">
        <f>HYPERLINK("https://ibp.a2mac1.com/costing(costing:projects/details/9760/process/12084106)","Process")</f>
        <v>Process</v>
      </c>
      <c r="B342" t="s">
        <v>2823</v>
      </c>
      <c r="C342">
        <v>12084106</v>
      </c>
      <c r="D342">
        <v>8413641</v>
      </c>
      <c r="E342">
        <v>12.825183867730647</v>
      </c>
      <c r="F342">
        <v>0</v>
      </c>
      <c r="G342">
        <v>0</v>
      </c>
      <c r="H342">
        <v>1.3570242366914105E-2</v>
      </c>
      <c r="I342" t="s">
        <v>176</v>
      </c>
      <c r="J342">
        <v>0.45669084888653233</v>
      </c>
      <c r="K342">
        <v>13.295444958984094</v>
      </c>
      <c r="L342">
        <v>2.8695511775764753</v>
      </c>
      <c r="M342">
        <v>17.217307065458851</v>
      </c>
      <c r="N342">
        <v>30.512752024442943</v>
      </c>
      <c r="O342" t="s">
        <v>177</v>
      </c>
      <c r="P342">
        <v>0.79772669753904557</v>
      </c>
      <c r="Q342" t="s">
        <v>177</v>
      </c>
      <c r="R342">
        <v>1.033038423927531</v>
      </c>
      <c r="S342" t="s">
        <v>178</v>
      </c>
      <c r="T342">
        <v>3.6615302429331531</v>
      </c>
      <c r="U342">
        <v>36.005047388842677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1630</v>
      </c>
      <c r="AB342">
        <v>1</v>
      </c>
      <c r="AC342">
        <v>0.1</v>
      </c>
      <c r="AD342">
        <v>0.10389195236953569</v>
      </c>
      <c r="AE342">
        <v>10800</v>
      </c>
      <c r="AF342">
        <v>200000</v>
      </c>
      <c r="AG342">
        <v>16666.666666666668</v>
      </c>
      <c r="AH342">
        <v>1</v>
      </c>
      <c r="AI342">
        <v>1</v>
      </c>
      <c r="AJ342" t="s">
        <v>162</v>
      </c>
      <c r="AK342" t="s">
        <v>176</v>
      </c>
      <c r="AL342">
        <v>0</v>
      </c>
      <c r="AM342" t="s">
        <v>176</v>
      </c>
      <c r="AN342">
        <v>0</v>
      </c>
    </row>
    <row r="343" spans="1:41" x14ac:dyDescent="0.15">
      <c r="A343" s="4" t="str">
        <f>HYPERLINK("https://ibp.a2mac1.com/costing(costing:projects/details/9760/process/12084102)","Processs")</f>
        <v>Processs</v>
      </c>
      <c r="B343" t="s">
        <v>2845</v>
      </c>
      <c r="C343">
        <v>12084102</v>
      </c>
      <c r="D343">
        <v>8413620</v>
      </c>
      <c r="E343">
        <v>28.702252848462354</v>
      </c>
      <c r="F343">
        <v>0</v>
      </c>
      <c r="G343">
        <v>0</v>
      </c>
      <c r="H343">
        <v>3.0369664220572641E-2</v>
      </c>
      <c r="I343" t="s">
        <v>176</v>
      </c>
      <c r="J343">
        <v>1.0220560074231178</v>
      </c>
      <c r="K343">
        <v>29.754678520106044</v>
      </c>
      <c r="L343">
        <v>5.4517922710044253</v>
      </c>
      <c r="M343">
        <v>32.710753626026552</v>
      </c>
      <c r="N343">
        <v>62.465432146132599</v>
      </c>
      <c r="O343" t="s">
        <v>177</v>
      </c>
      <c r="P343">
        <v>1.7852807112063627</v>
      </c>
      <c r="Q343" t="s">
        <v>177</v>
      </c>
      <c r="R343">
        <v>1.9626452175615932</v>
      </c>
      <c r="S343" t="s">
        <v>178</v>
      </c>
      <c r="T343">
        <v>7.4958518575359117</v>
      </c>
      <c r="U343">
        <v>73.709209932436465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3098</v>
      </c>
      <c r="AB343">
        <v>1</v>
      </c>
      <c r="AC343">
        <v>0.1</v>
      </c>
      <c r="AD343">
        <v>0.10389195236953569</v>
      </c>
      <c r="AE343">
        <v>10800</v>
      </c>
      <c r="AF343">
        <v>200000</v>
      </c>
      <c r="AG343">
        <v>16666.666666666668</v>
      </c>
      <c r="AH343">
        <v>1</v>
      </c>
      <c r="AI343">
        <v>1</v>
      </c>
      <c r="AJ343" t="s">
        <v>162</v>
      </c>
      <c r="AK343" t="s">
        <v>176</v>
      </c>
      <c r="AL343">
        <v>0</v>
      </c>
      <c r="AM343" t="s">
        <v>176</v>
      </c>
      <c r="AN343">
        <v>0</v>
      </c>
    </row>
    <row r="344" spans="1:41" x14ac:dyDescent="0.15">
      <c r="A344" s="4" t="str">
        <f>HYPERLINK("https://ibp.a2mac1.com/costing(costing:projects/details/9760/process/12084103)","Process")</f>
        <v>Process</v>
      </c>
      <c r="B344" t="s">
        <v>2845</v>
      </c>
      <c r="C344">
        <v>12084103</v>
      </c>
      <c r="D344">
        <v>8413628</v>
      </c>
      <c r="E344">
        <v>39.747170400275714</v>
      </c>
      <c r="F344">
        <v>0</v>
      </c>
      <c r="G344">
        <v>0</v>
      </c>
      <c r="H344">
        <v>4.2056218553552495E-2</v>
      </c>
      <c r="I344" t="s">
        <v>176</v>
      </c>
      <c r="J344">
        <v>1.4153535090137859</v>
      </c>
      <c r="K344">
        <v>41.204580127843052</v>
      </c>
      <c r="L344">
        <v>7.6628801827475685</v>
      </c>
      <c r="M344">
        <v>45.977281096485413</v>
      </c>
      <c r="N344">
        <v>87.181861224328458</v>
      </c>
      <c r="O344" t="s">
        <v>177</v>
      </c>
      <c r="P344">
        <v>2.4722748076705834</v>
      </c>
      <c r="Q344" t="s">
        <v>177</v>
      </c>
      <c r="R344">
        <v>2.7586368657891245</v>
      </c>
      <c r="S344" t="s">
        <v>178</v>
      </c>
      <c r="T344">
        <v>10.461823346919415</v>
      </c>
      <c r="U344">
        <v>102.87459624470759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4355</v>
      </c>
      <c r="AB344">
        <v>1</v>
      </c>
      <c r="AC344">
        <v>0.1</v>
      </c>
      <c r="AD344">
        <v>0.10389195236953569</v>
      </c>
      <c r="AE344">
        <v>10800</v>
      </c>
      <c r="AF344">
        <v>200000</v>
      </c>
      <c r="AG344">
        <v>16666.666666666668</v>
      </c>
      <c r="AH344">
        <v>1</v>
      </c>
      <c r="AI344">
        <v>1</v>
      </c>
      <c r="AJ344" t="s">
        <v>162</v>
      </c>
      <c r="AK344" t="s">
        <v>176</v>
      </c>
      <c r="AL344">
        <v>0</v>
      </c>
      <c r="AM344" t="s">
        <v>176</v>
      </c>
      <c r="AN344">
        <v>0</v>
      </c>
    </row>
    <row r="345" spans="1:41" x14ac:dyDescent="0.15">
      <c r="A345" s="4" t="str">
        <f>HYPERLINK("https://ibp.a2mac1.com/costing(costing:projects/details/9760/process/12084104)","Process")</f>
        <v>Process</v>
      </c>
      <c r="B345" t="s">
        <v>2845</v>
      </c>
      <c r="C345">
        <v>12084104</v>
      </c>
      <c r="D345">
        <v>8413631</v>
      </c>
      <c r="E345">
        <v>39.492846640858964</v>
      </c>
      <c r="F345">
        <v>0</v>
      </c>
      <c r="G345">
        <v>0</v>
      </c>
      <c r="H345">
        <v>4.1787120262990453E-2</v>
      </c>
      <c r="I345" t="s">
        <v>176</v>
      </c>
      <c r="J345">
        <v>1.406297316542948</v>
      </c>
      <c r="K345">
        <v>40.940931077664899</v>
      </c>
      <c r="L345">
        <v>7.3638468136176289</v>
      </c>
      <c r="M345">
        <v>44.18308088170577</v>
      </c>
      <c r="N345">
        <v>85.124011959370677</v>
      </c>
      <c r="O345" t="s">
        <v>177</v>
      </c>
      <c r="P345">
        <v>2.456455864659894</v>
      </c>
      <c r="Q345" t="s">
        <v>177</v>
      </c>
      <c r="R345">
        <v>2.6509848529023463</v>
      </c>
      <c r="S345" t="s">
        <v>178</v>
      </c>
      <c r="T345">
        <v>10.214881435124481</v>
      </c>
      <c r="U345">
        <v>100.44633411205739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4185</v>
      </c>
      <c r="AB345">
        <v>1</v>
      </c>
      <c r="AC345">
        <v>0.1</v>
      </c>
      <c r="AD345">
        <v>0.10389195236953569</v>
      </c>
      <c r="AE345">
        <v>10800</v>
      </c>
      <c r="AF345">
        <v>200000</v>
      </c>
      <c r="AG345">
        <v>16666.666666666668</v>
      </c>
      <c r="AH345">
        <v>1</v>
      </c>
      <c r="AI345">
        <v>1</v>
      </c>
      <c r="AJ345" t="s">
        <v>162</v>
      </c>
      <c r="AK345" t="s">
        <v>176</v>
      </c>
      <c r="AL345">
        <v>0</v>
      </c>
      <c r="AM345" t="s">
        <v>176</v>
      </c>
      <c r="AN345">
        <v>0</v>
      </c>
    </row>
    <row r="346" spans="1:41" x14ac:dyDescent="0.15">
      <c r="A346" s="4" t="str">
        <f>HYPERLINK("https://ibp.a2mac1.com/costing(costing:projects/details/9760/process/12084105)","Process")</f>
        <v>Process</v>
      </c>
      <c r="B346" t="s">
        <v>2845</v>
      </c>
      <c r="C346">
        <v>12084105</v>
      </c>
      <c r="D346">
        <v>8413632</v>
      </c>
      <c r="E346">
        <v>17.875327090434784</v>
      </c>
      <c r="F346">
        <v>0</v>
      </c>
      <c r="G346">
        <v>0</v>
      </c>
      <c r="H346">
        <v>1.8913765565217393E-2</v>
      </c>
      <c r="I346" t="s">
        <v>176</v>
      </c>
      <c r="J346">
        <v>0.63652095652173912</v>
      </c>
      <c r="K346">
        <v>18.530761812521739</v>
      </c>
      <c r="L346">
        <v>3.6083395013092674</v>
      </c>
      <c r="M346">
        <v>21.650037007855605</v>
      </c>
      <c r="N346">
        <v>40.180798820377341</v>
      </c>
      <c r="O346" t="s">
        <v>177</v>
      </c>
      <c r="P346">
        <v>1.1118457087513043</v>
      </c>
      <c r="Q346" t="s">
        <v>177</v>
      </c>
      <c r="R346">
        <v>1.2990022204713363</v>
      </c>
      <c r="S346" t="s">
        <v>178</v>
      </c>
      <c r="T346">
        <v>4.8216958584452811</v>
      </c>
      <c r="U346">
        <v>47.413342608045262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2050</v>
      </c>
      <c r="AB346">
        <v>1</v>
      </c>
      <c r="AC346">
        <v>0.1</v>
      </c>
      <c r="AD346">
        <v>0.10389195236953569</v>
      </c>
      <c r="AE346">
        <v>10800</v>
      </c>
      <c r="AF346">
        <v>200000</v>
      </c>
      <c r="AG346">
        <v>16666.666666666668</v>
      </c>
      <c r="AH346">
        <v>1</v>
      </c>
      <c r="AI346">
        <v>1</v>
      </c>
      <c r="AJ346" t="s">
        <v>162</v>
      </c>
      <c r="AK346" t="s">
        <v>176</v>
      </c>
      <c r="AL346">
        <v>0</v>
      </c>
      <c r="AM346" t="s">
        <v>176</v>
      </c>
      <c r="AN346">
        <v>0</v>
      </c>
    </row>
    <row r="347" spans="1:41" x14ac:dyDescent="0.15">
      <c r="A347" s="4" t="str">
        <f>HYPERLINK("https://ibp.a2mac1.com/costing(costing:projects/details/9760/process/12084093)","Enclosure bottom assembly")</f>
        <v>Enclosure bottom assembly</v>
      </c>
      <c r="C347">
        <v>12084093</v>
      </c>
      <c r="D347">
        <v>8413380</v>
      </c>
      <c r="E347">
        <v>26.1</v>
      </c>
      <c r="F347">
        <v>0</v>
      </c>
      <c r="G347">
        <v>0</v>
      </c>
      <c r="H347">
        <v>0</v>
      </c>
      <c r="I347" t="s">
        <v>71</v>
      </c>
      <c r="J347">
        <v>0</v>
      </c>
      <c r="K347">
        <v>26.1</v>
      </c>
      <c r="L347">
        <v>0</v>
      </c>
      <c r="M347">
        <v>0</v>
      </c>
      <c r="N347">
        <v>26.1</v>
      </c>
      <c r="O347" t="s">
        <v>71</v>
      </c>
      <c r="P347">
        <v>0</v>
      </c>
      <c r="Q347" t="s">
        <v>71</v>
      </c>
      <c r="R347">
        <v>0</v>
      </c>
      <c r="S347" t="s">
        <v>71</v>
      </c>
      <c r="T347">
        <v>0</v>
      </c>
      <c r="U347">
        <v>26.1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10000</v>
      </c>
      <c r="AB347">
        <v>1</v>
      </c>
      <c r="AC347">
        <v>0.1</v>
      </c>
      <c r="AD347">
        <v>0</v>
      </c>
      <c r="AE347">
        <v>0</v>
      </c>
      <c r="AF347">
        <v>200000</v>
      </c>
      <c r="AG347">
        <v>10000</v>
      </c>
      <c r="AH347">
        <v>1</v>
      </c>
      <c r="AI347">
        <v>1</v>
      </c>
      <c r="AJ347" t="s">
        <v>76</v>
      </c>
      <c r="AK347" t="s">
        <v>71</v>
      </c>
      <c r="AL347">
        <v>0</v>
      </c>
      <c r="AM347" t="s">
        <v>71</v>
      </c>
      <c r="AN347">
        <v>0</v>
      </c>
      <c r="AO347">
        <v>26.1</v>
      </c>
    </row>
    <row r="348" spans="1:41" x14ac:dyDescent="0.15">
      <c r="A348" s="4" t="str">
        <f>HYPERLINK("https://ibp.a2mac1.com/costing(costing:projects/details/9760/process/12084098)","Process")</f>
        <v>Process</v>
      </c>
      <c r="B348" t="s">
        <v>753</v>
      </c>
      <c r="C348">
        <v>12084098</v>
      </c>
      <c r="D348">
        <v>8413542</v>
      </c>
      <c r="E348">
        <v>9.6679037777777772</v>
      </c>
      <c r="F348">
        <v>0</v>
      </c>
      <c r="G348">
        <v>0</v>
      </c>
      <c r="H348">
        <v>1.0365587555555555E-2</v>
      </c>
      <c r="I348" t="s">
        <v>176</v>
      </c>
      <c r="J348">
        <v>0.3488418888888889</v>
      </c>
      <c r="K348">
        <v>10.027111254222222</v>
      </c>
      <c r="L348">
        <v>2.1131726556595685</v>
      </c>
      <c r="M348">
        <v>12.679035933957412</v>
      </c>
      <c r="N348">
        <v>22.706147188179635</v>
      </c>
      <c r="O348" t="s">
        <v>177</v>
      </c>
      <c r="P348">
        <v>0.60162667525333335</v>
      </c>
      <c r="Q348" t="s">
        <v>177</v>
      </c>
      <c r="R348">
        <v>0.76074215603744466</v>
      </c>
      <c r="S348" t="s">
        <v>178</v>
      </c>
      <c r="T348">
        <v>2.724737662581556</v>
      </c>
      <c r="U348">
        <v>26.793253682051969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1200</v>
      </c>
      <c r="AB348">
        <v>1</v>
      </c>
      <c r="AC348">
        <v>0.1</v>
      </c>
      <c r="AD348">
        <v>0.10389195236953569</v>
      </c>
      <c r="AE348">
        <v>10800</v>
      </c>
      <c r="AF348">
        <v>200000</v>
      </c>
      <c r="AG348">
        <v>16666.666666666668</v>
      </c>
      <c r="AH348">
        <v>1</v>
      </c>
      <c r="AI348">
        <v>1</v>
      </c>
      <c r="AJ348" t="s">
        <v>162</v>
      </c>
      <c r="AK348" t="s">
        <v>176</v>
      </c>
      <c r="AL348">
        <v>0</v>
      </c>
      <c r="AM348" t="s">
        <v>176</v>
      </c>
      <c r="AN348">
        <v>0</v>
      </c>
    </row>
    <row r="349" spans="1:41" x14ac:dyDescent="0.15">
      <c r="A349" s="4" t="str">
        <f>HYPERLINK("https://ibp.a2mac1.com/costing(costing:projects/details/9760/process/12084099)","Process")</f>
        <v>Process</v>
      </c>
      <c r="B349" t="s">
        <v>753</v>
      </c>
      <c r="C349">
        <v>12084099</v>
      </c>
      <c r="D349">
        <v>8413543</v>
      </c>
      <c r="E349">
        <v>2.2605657946666669</v>
      </c>
      <c r="F349">
        <v>0</v>
      </c>
      <c r="G349">
        <v>0</v>
      </c>
      <c r="H349">
        <v>2.6715777573333333E-3</v>
      </c>
      <c r="I349" t="s">
        <v>176</v>
      </c>
      <c r="J349">
        <v>8.9908866833333337E-2</v>
      </c>
      <c r="K349">
        <v>2.3531462392573332</v>
      </c>
      <c r="L349">
        <v>1.381420411200422</v>
      </c>
      <c r="M349">
        <v>8.2885224672025313</v>
      </c>
      <c r="N349">
        <v>10.641668706459864</v>
      </c>
      <c r="O349" t="s">
        <v>177</v>
      </c>
      <c r="P349">
        <v>0.14118877435544</v>
      </c>
      <c r="Q349" t="s">
        <v>177</v>
      </c>
      <c r="R349">
        <v>0.49731134803215188</v>
      </c>
      <c r="S349" t="s">
        <v>178</v>
      </c>
      <c r="T349">
        <v>1.2770002447751838</v>
      </c>
      <c r="U349">
        <v>12.55716907362264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784</v>
      </c>
      <c r="AB349">
        <v>1</v>
      </c>
      <c r="AC349">
        <v>0.1</v>
      </c>
      <c r="AD349">
        <v>0.10389195236953569</v>
      </c>
      <c r="AE349">
        <v>10800</v>
      </c>
      <c r="AF349">
        <v>200000</v>
      </c>
      <c r="AG349">
        <v>16666.666666666668</v>
      </c>
      <c r="AH349">
        <v>1</v>
      </c>
      <c r="AI349">
        <v>1</v>
      </c>
      <c r="AJ349" t="s">
        <v>162</v>
      </c>
      <c r="AK349" t="s">
        <v>176</v>
      </c>
      <c r="AL349">
        <v>0</v>
      </c>
      <c r="AM349" t="s">
        <v>176</v>
      </c>
      <c r="AN349">
        <v>0</v>
      </c>
    </row>
    <row r="350" spans="1:41" x14ac:dyDescent="0.15">
      <c r="A350" s="4" t="str">
        <f>HYPERLINK("https://ibp.a2mac1.com/costing(costing:projects/details/9760/process/12084100)","Process")</f>
        <v>Process</v>
      </c>
      <c r="B350" t="s">
        <v>2938</v>
      </c>
      <c r="C350">
        <v>12084100</v>
      </c>
      <c r="D350">
        <v>8413544</v>
      </c>
      <c r="E350">
        <v>4.9939325380000001</v>
      </c>
      <c r="F350">
        <v>0</v>
      </c>
      <c r="G350">
        <v>0</v>
      </c>
      <c r="H350">
        <v>6.7015352768000002E-3</v>
      </c>
      <c r="I350" t="s">
        <v>176</v>
      </c>
      <c r="J350">
        <v>0.22553243719999999</v>
      </c>
      <c r="K350">
        <v>5.2261665104767996</v>
      </c>
      <c r="L350">
        <v>1.3216137373744339</v>
      </c>
      <c r="M350">
        <v>7.9296824242466037</v>
      </c>
      <c r="N350">
        <v>13.155848934723403</v>
      </c>
      <c r="O350" t="s">
        <v>90</v>
      </c>
      <c r="P350">
        <v>0</v>
      </c>
      <c r="Q350" t="s">
        <v>90</v>
      </c>
      <c r="R350">
        <v>0</v>
      </c>
      <c r="S350" t="s">
        <v>90</v>
      </c>
      <c r="T350">
        <v>0</v>
      </c>
      <c r="U350">
        <v>13.155848934723403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750</v>
      </c>
      <c r="AB350">
        <v>1</v>
      </c>
      <c r="AC350">
        <v>0.1</v>
      </c>
      <c r="AD350">
        <v>0.10389195236953569</v>
      </c>
      <c r="AE350">
        <v>10800</v>
      </c>
      <c r="AF350">
        <v>200000</v>
      </c>
      <c r="AG350">
        <v>16666.666666666668</v>
      </c>
      <c r="AH350">
        <v>1</v>
      </c>
      <c r="AI350">
        <v>1</v>
      </c>
      <c r="AJ350" t="s">
        <v>162</v>
      </c>
      <c r="AK350" t="s">
        <v>176</v>
      </c>
      <c r="AL350">
        <v>0</v>
      </c>
      <c r="AM350" t="s">
        <v>176</v>
      </c>
      <c r="AN350">
        <v>0</v>
      </c>
    </row>
    <row r="351" spans="1:41" x14ac:dyDescent="0.15">
      <c r="A351" s="4" t="str">
        <f>HYPERLINK("https://ibp.a2mac1.com/costing(costing:projects/details/9760/process/12084094)","Enclosure top assembly")</f>
        <v>Enclosure top assembly</v>
      </c>
      <c r="C351">
        <v>12084094</v>
      </c>
      <c r="D351">
        <v>8413381</v>
      </c>
      <c r="E351">
        <v>38.921999999999997</v>
      </c>
      <c r="F351">
        <v>0</v>
      </c>
      <c r="G351">
        <v>0</v>
      </c>
      <c r="H351">
        <v>0</v>
      </c>
      <c r="I351" t="s">
        <v>71</v>
      </c>
      <c r="J351">
        <v>0</v>
      </c>
      <c r="K351">
        <v>38.921999999999997</v>
      </c>
      <c r="L351">
        <v>0</v>
      </c>
      <c r="M351">
        <v>0</v>
      </c>
      <c r="N351">
        <v>38.921999999999997</v>
      </c>
      <c r="O351" t="s">
        <v>71</v>
      </c>
      <c r="P351">
        <v>0</v>
      </c>
      <c r="Q351" t="s">
        <v>71</v>
      </c>
      <c r="R351">
        <v>0</v>
      </c>
      <c r="S351" t="s">
        <v>71</v>
      </c>
      <c r="T351">
        <v>0</v>
      </c>
      <c r="U351">
        <v>38.921999999999997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3000</v>
      </c>
      <c r="AB351">
        <v>1</v>
      </c>
      <c r="AC351">
        <v>0.1</v>
      </c>
      <c r="AD351">
        <v>0</v>
      </c>
      <c r="AE351">
        <v>0</v>
      </c>
      <c r="AF351">
        <v>200000</v>
      </c>
      <c r="AG351">
        <v>10000</v>
      </c>
      <c r="AH351">
        <v>1</v>
      </c>
      <c r="AI351">
        <v>1</v>
      </c>
      <c r="AJ351" t="s">
        <v>76</v>
      </c>
      <c r="AK351" t="s">
        <v>71</v>
      </c>
      <c r="AL351">
        <v>0</v>
      </c>
      <c r="AM351" t="s">
        <v>71</v>
      </c>
      <c r="AN351">
        <v>0</v>
      </c>
      <c r="AO351">
        <v>38.921999999999997</v>
      </c>
    </row>
    <row r="352" spans="1:41" x14ac:dyDescent="0.15">
      <c r="A352" s="4" t="str">
        <f>HYPERLINK("https://ibp.a2mac1.com/costing(costing:projects/details/9760/process/12084101)","Process")</f>
        <v>Process</v>
      </c>
      <c r="B352" t="s">
        <v>2947</v>
      </c>
      <c r="C352">
        <v>12084101</v>
      </c>
      <c r="D352">
        <v>8413545</v>
      </c>
      <c r="E352">
        <v>1.8755262867804878</v>
      </c>
      <c r="F352">
        <v>0</v>
      </c>
      <c r="G352">
        <v>0</v>
      </c>
      <c r="H352">
        <v>2.0618893639024389E-3</v>
      </c>
      <c r="I352" t="s">
        <v>176</v>
      </c>
      <c r="J352">
        <v>6.939050743902439E-2</v>
      </c>
      <c r="K352">
        <v>1.9469786835834146</v>
      </c>
      <c r="L352">
        <v>0.98739997187626605</v>
      </c>
      <c r="M352">
        <v>5.9243998312575963</v>
      </c>
      <c r="N352">
        <v>7.8713785148410107</v>
      </c>
      <c r="O352" t="s">
        <v>177</v>
      </c>
      <c r="P352">
        <v>0.11681872101500487</v>
      </c>
      <c r="Q352" t="s">
        <v>177</v>
      </c>
      <c r="R352">
        <v>0.35546398987545574</v>
      </c>
      <c r="S352" t="s">
        <v>178</v>
      </c>
      <c r="T352">
        <v>0.94456542178092129</v>
      </c>
      <c r="U352">
        <v>9.288226647512392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560</v>
      </c>
      <c r="AB352">
        <v>1</v>
      </c>
      <c r="AC352">
        <v>0.1</v>
      </c>
      <c r="AD352">
        <v>0.10389195236953569</v>
      </c>
      <c r="AE352">
        <v>10800</v>
      </c>
      <c r="AF352">
        <v>200000</v>
      </c>
      <c r="AG352">
        <v>16666.666666666668</v>
      </c>
      <c r="AH352">
        <v>1</v>
      </c>
      <c r="AI352">
        <v>1</v>
      </c>
      <c r="AJ352" t="s">
        <v>162</v>
      </c>
      <c r="AK352" t="s">
        <v>176</v>
      </c>
      <c r="AL352">
        <v>0</v>
      </c>
      <c r="AM352" t="s">
        <v>176</v>
      </c>
      <c r="AN352">
        <v>0</v>
      </c>
    </row>
    <row r="353" spans="1:41" x14ac:dyDescent="0.15">
      <c r="A353" s="4" t="str">
        <f>HYPERLINK("https://ibp.a2mac1.com/costing(costing:projects/details/9760/process/12084095)","Process")</f>
        <v>Process</v>
      </c>
      <c r="B353" t="s">
        <v>2947</v>
      </c>
      <c r="C353">
        <v>12084095</v>
      </c>
      <c r="D353">
        <v>8413383</v>
      </c>
      <c r="E353">
        <v>22.244295111111111</v>
      </c>
      <c r="F353">
        <v>0</v>
      </c>
      <c r="G353">
        <v>0</v>
      </c>
      <c r="H353">
        <v>2.3578674432748539E-2</v>
      </c>
      <c r="I353" t="s">
        <v>176</v>
      </c>
      <c r="J353">
        <v>0.79351308187134506</v>
      </c>
      <c r="K353">
        <v>23.061386867415205</v>
      </c>
      <c r="L353">
        <v>3.7138806904139519</v>
      </c>
      <c r="M353">
        <v>22.283284142483712</v>
      </c>
      <c r="N353">
        <v>45.344671009898917</v>
      </c>
      <c r="O353" t="s">
        <v>177</v>
      </c>
      <c r="P353">
        <v>1.3836832120449123</v>
      </c>
      <c r="Q353" t="s">
        <v>177</v>
      </c>
      <c r="R353">
        <v>1.3369970485490228</v>
      </c>
      <c r="S353" t="s">
        <v>178</v>
      </c>
      <c r="T353">
        <v>5.4413605211878702</v>
      </c>
      <c r="U353">
        <v>53.506711791680722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2110</v>
      </c>
      <c r="AB353">
        <v>1</v>
      </c>
      <c r="AC353">
        <v>0.1</v>
      </c>
      <c r="AD353">
        <v>0.10389195236953569</v>
      </c>
      <c r="AE353">
        <v>10800</v>
      </c>
      <c r="AF353">
        <v>200000</v>
      </c>
      <c r="AG353">
        <v>16666.666666666668</v>
      </c>
      <c r="AH353">
        <v>1</v>
      </c>
      <c r="AI353">
        <v>1</v>
      </c>
      <c r="AJ353" t="s">
        <v>162</v>
      </c>
      <c r="AK353" t="s">
        <v>176</v>
      </c>
      <c r="AL353">
        <v>0</v>
      </c>
      <c r="AM353" t="s">
        <v>176</v>
      </c>
      <c r="AN353">
        <v>0</v>
      </c>
    </row>
    <row r="354" spans="1:41" x14ac:dyDescent="0.15">
      <c r="A354" s="4" t="str">
        <f>HYPERLINK("https://ibp.a2mac1.com/costing(costing:projects/details/9760/process/12084082)","Process")</f>
        <v>Process</v>
      </c>
      <c r="B354" t="s">
        <v>3046</v>
      </c>
      <c r="C354">
        <v>12084082</v>
      </c>
      <c r="D354">
        <v>8413246</v>
      </c>
      <c r="E354">
        <v>3.0779999999999998</v>
      </c>
      <c r="F354">
        <v>0</v>
      </c>
      <c r="G354">
        <v>0</v>
      </c>
      <c r="H354">
        <v>0</v>
      </c>
      <c r="I354" t="s">
        <v>71</v>
      </c>
      <c r="J354">
        <v>0</v>
      </c>
      <c r="K354">
        <v>3.0779999999999998</v>
      </c>
      <c r="L354">
        <v>0</v>
      </c>
      <c r="M354">
        <v>0</v>
      </c>
      <c r="N354">
        <v>3.0779999999999998</v>
      </c>
      <c r="O354" t="s">
        <v>71</v>
      </c>
      <c r="P354">
        <v>0</v>
      </c>
      <c r="Q354" t="s">
        <v>71</v>
      </c>
      <c r="R354">
        <v>0</v>
      </c>
      <c r="S354" t="s">
        <v>71</v>
      </c>
      <c r="T354">
        <v>0</v>
      </c>
      <c r="U354">
        <v>3.0779999999999998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138</v>
      </c>
      <c r="AB354">
        <v>1</v>
      </c>
      <c r="AC354">
        <v>0.1</v>
      </c>
      <c r="AD354">
        <v>0</v>
      </c>
      <c r="AE354">
        <v>0</v>
      </c>
      <c r="AF354">
        <v>200000</v>
      </c>
      <c r="AG354">
        <v>10000</v>
      </c>
      <c r="AH354">
        <v>1</v>
      </c>
      <c r="AI354">
        <v>1</v>
      </c>
      <c r="AJ354" t="s">
        <v>76</v>
      </c>
      <c r="AK354" t="s">
        <v>71</v>
      </c>
      <c r="AL354">
        <v>0</v>
      </c>
      <c r="AM354" t="s">
        <v>71</v>
      </c>
      <c r="AN354">
        <v>0</v>
      </c>
      <c r="AO354">
        <v>3.0779999999999998</v>
      </c>
    </row>
    <row r="355" spans="1:41" x14ac:dyDescent="0.15">
      <c r="A355" s="4" t="str">
        <f>HYPERLINK("https://ibp.a2mac1.com/costing(costing:projects/details/9760/process/12084083)","Process")</f>
        <v>Process</v>
      </c>
      <c r="B355" t="s">
        <v>3046</v>
      </c>
      <c r="C355">
        <v>12084083</v>
      </c>
      <c r="D355">
        <v>8413247</v>
      </c>
      <c r="E355">
        <v>2.25</v>
      </c>
      <c r="F355">
        <v>0</v>
      </c>
      <c r="G355">
        <v>0</v>
      </c>
      <c r="H355">
        <v>0</v>
      </c>
      <c r="I355" t="s">
        <v>71</v>
      </c>
      <c r="J355">
        <v>0</v>
      </c>
      <c r="K355">
        <v>2.25</v>
      </c>
      <c r="L355">
        <v>0</v>
      </c>
      <c r="M355">
        <v>0</v>
      </c>
      <c r="N355">
        <v>2.25</v>
      </c>
      <c r="O355" t="s">
        <v>71</v>
      </c>
      <c r="P355">
        <v>0</v>
      </c>
      <c r="Q355" t="s">
        <v>71</v>
      </c>
      <c r="R355">
        <v>0</v>
      </c>
      <c r="S355" t="s">
        <v>71</v>
      </c>
      <c r="T355">
        <v>0</v>
      </c>
      <c r="U355">
        <v>2.25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121</v>
      </c>
      <c r="AB355">
        <v>1</v>
      </c>
      <c r="AC355">
        <v>0.1</v>
      </c>
      <c r="AD355">
        <v>0</v>
      </c>
      <c r="AE355">
        <v>0</v>
      </c>
      <c r="AF355">
        <v>200000</v>
      </c>
      <c r="AG355">
        <v>10000</v>
      </c>
      <c r="AH355">
        <v>1</v>
      </c>
      <c r="AI355">
        <v>1</v>
      </c>
      <c r="AJ355" t="s">
        <v>76</v>
      </c>
      <c r="AK355" t="s">
        <v>71</v>
      </c>
      <c r="AL355">
        <v>0</v>
      </c>
      <c r="AM355" t="s">
        <v>71</v>
      </c>
      <c r="AN355">
        <v>0</v>
      </c>
      <c r="AO355">
        <v>2.25</v>
      </c>
    </row>
    <row r="356" spans="1:41" x14ac:dyDescent="0.15">
      <c r="A356" s="4" t="str">
        <f>HYPERLINK("https://ibp.a2mac1.com/costing(costing:projects/details/9760/process/12084096)","Process")</f>
        <v>Process</v>
      </c>
      <c r="B356" t="s">
        <v>753</v>
      </c>
      <c r="C356">
        <v>12084096</v>
      </c>
      <c r="D356">
        <v>8413444</v>
      </c>
      <c r="E356">
        <v>8.9196210133333338</v>
      </c>
      <c r="F356">
        <v>0</v>
      </c>
      <c r="G356">
        <v>0</v>
      </c>
      <c r="H356">
        <v>9.6629227644444444E-3</v>
      </c>
      <c r="I356" t="s">
        <v>176</v>
      </c>
      <c r="J356">
        <v>0.32519451611111111</v>
      </c>
      <c r="K356">
        <v>9.2544784522088896</v>
      </c>
      <c r="L356">
        <v>0.49487442272107107</v>
      </c>
      <c r="M356">
        <v>2.9692465363264264</v>
      </c>
      <c r="N356">
        <v>12.223724988535315</v>
      </c>
      <c r="O356" t="s">
        <v>177</v>
      </c>
      <c r="P356">
        <v>0.55526870713253329</v>
      </c>
      <c r="Q356" t="s">
        <v>177</v>
      </c>
      <c r="R356">
        <v>0.1781547921795856</v>
      </c>
      <c r="S356" t="s">
        <v>178</v>
      </c>
      <c r="T356">
        <v>1.4668469986242378</v>
      </c>
      <c r="U356">
        <v>14.423995486471672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280</v>
      </c>
      <c r="AB356">
        <v>1</v>
      </c>
      <c r="AC356">
        <v>0.1</v>
      </c>
      <c r="AD356">
        <v>0.10389195236953569</v>
      </c>
      <c r="AE356">
        <v>10800</v>
      </c>
      <c r="AF356">
        <v>200000</v>
      </c>
      <c r="AG356">
        <v>16666.666666666668</v>
      </c>
      <c r="AH356">
        <v>1</v>
      </c>
      <c r="AI356">
        <v>1</v>
      </c>
      <c r="AJ356" t="s">
        <v>162</v>
      </c>
      <c r="AK356" t="s">
        <v>176</v>
      </c>
      <c r="AL356">
        <v>0</v>
      </c>
      <c r="AM356" t="s">
        <v>176</v>
      </c>
      <c r="AN356">
        <v>0</v>
      </c>
    </row>
    <row r="357" spans="1:41" x14ac:dyDescent="0.15">
      <c r="A357" s="4" t="str">
        <f>HYPERLINK("https://ibp.a2mac1.com/costing(costing:projects/details/9760/process/12084084)","Process")</f>
        <v>Process</v>
      </c>
      <c r="B357" t="s">
        <v>3073</v>
      </c>
      <c r="C357">
        <v>12084084</v>
      </c>
      <c r="D357">
        <v>8413249</v>
      </c>
      <c r="E357">
        <v>1.9018999999999999</v>
      </c>
      <c r="F357">
        <v>0</v>
      </c>
      <c r="G357">
        <v>0</v>
      </c>
      <c r="H357">
        <v>0</v>
      </c>
      <c r="I357" t="s">
        <v>71</v>
      </c>
      <c r="J357">
        <v>0</v>
      </c>
      <c r="K357">
        <v>1.9018999999999999</v>
      </c>
      <c r="L357">
        <v>0</v>
      </c>
      <c r="M357">
        <v>0</v>
      </c>
      <c r="N357">
        <v>1.9018999999999999</v>
      </c>
      <c r="O357" t="s">
        <v>71</v>
      </c>
      <c r="P357">
        <v>0</v>
      </c>
      <c r="Q357" t="s">
        <v>71</v>
      </c>
      <c r="R357">
        <v>0</v>
      </c>
      <c r="S357" t="s">
        <v>71</v>
      </c>
      <c r="T357">
        <v>0</v>
      </c>
      <c r="U357">
        <v>1.9018999999999999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138</v>
      </c>
      <c r="AB357">
        <v>1</v>
      </c>
      <c r="AC357">
        <v>0.1</v>
      </c>
      <c r="AD357">
        <v>0</v>
      </c>
      <c r="AE357">
        <v>0</v>
      </c>
      <c r="AF357">
        <v>200000</v>
      </c>
      <c r="AG357">
        <v>10000</v>
      </c>
      <c r="AH357">
        <v>1</v>
      </c>
      <c r="AI357">
        <v>1</v>
      </c>
      <c r="AJ357" t="s">
        <v>76</v>
      </c>
      <c r="AK357" t="s">
        <v>71</v>
      </c>
      <c r="AL357">
        <v>0</v>
      </c>
      <c r="AM357" t="s">
        <v>71</v>
      </c>
      <c r="AN357">
        <v>0</v>
      </c>
      <c r="AO357">
        <v>1.9018999999999999</v>
      </c>
    </row>
    <row r="358" spans="1:41" x14ac:dyDescent="0.15">
      <c r="A358" s="4" t="str">
        <f>HYPERLINK("https://ibp.a2mac1.com/costing(costing:projects/details/9760/process/12084097)","Process")</f>
        <v>Process</v>
      </c>
      <c r="B358" t="s">
        <v>794</v>
      </c>
      <c r="C358">
        <v>12084097</v>
      </c>
      <c r="D358">
        <v>8413465</v>
      </c>
      <c r="E358">
        <v>3.3720553739999999</v>
      </c>
      <c r="F358">
        <v>0</v>
      </c>
      <c r="G358">
        <v>0</v>
      </c>
      <c r="H358">
        <v>3.5185488000000001E-3</v>
      </c>
      <c r="I358" t="s">
        <v>176</v>
      </c>
      <c r="J358">
        <v>0.1184127</v>
      </c>
      <c r="K358">
        <v>3.4939866228000001</v>
      </c>
      <c r="L358">
        <v>0.75520935584595983</v>
      </c>
      <c r="M358">
        <v>4.5312561350757594</v>
      </c>
      <c r="N358">
        <v>8.025242757875759</v>
      </c>
      <c r="O358" t="s">
        <v>177</v>
      </c>
      <c r="P358">
        <v>0.20963919736799999</v>
      </c>
      <c r="Q358" t="s">
        <v>177</v>
      </c>
      <c r="R358">
        <v>0.27187536810454555</v>
      </c>
      <c r="S358" t="s">
        <v>178</v>
      </c>
      <c r="T358">
        <v>0.96302913094509113</v>
      </c>
      <c r="U358">
        <v>9.4697864542933949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428</v>
      </c>
      <c r="AB358">
        <v>1</v>
      </c>
      <c r="AC358">
        <v>0.1</v>
      </c>
      <c r="AD358">
        <v>0.10389195236953569</v>
      </c>
      <c r="AE358">
        <v>10800</v>
      </c>
      <c r="AF358">
        <v>200000</v>
      </c>
      <c r="AG358">
        <v>16666.666666666668</v>
      </c>
      <c r="AH358">
        <v>1</v>
      </c>
      <c r="AI358">
        <v>1</v>
      </c>
      <c r="AJ358" t="s">
        <v>162</v>
      </c>
      <c r="AK358" t="s">
        <v>176</v>
      </c>
      <c r="AL358">
        <v>0</v>
      </c>
      <c r="AM358" t="s">
        <v>176</v>
      </c>
      <c r="AN358">
        <v>0</v>
      </c>
    </row>
    <row r="359" spans="1:41" x14ac:dyDescent="0.15">
      <c r="A359" s="4" t="str">
        <f>HYPERLINK("https://ibp.a2mac1.com/costing(costing:projects/details/9760/process/12084085)","Relay Box Assembly")</f>
        <v>Relay Box Assembly</v>
      </c>
      <c r="C359">
        <v>12084085</v>
      </c>
      <c r="D359">
        <v>8413251</v>
      </c>
      <c r="E359">
        <v>6.5559000000000003</v>
      </c>
      <c r="F359">
        <v>0</v>
      </c>
      <c r="G359">
        <v>0</v>
      </c>
      <c r="H359">
        <v>0</v>
      </c>
      <c r="I359" t="s">
        <v>71</v>
      </c>
      <c r="J359">
        <v>0</v>
      </c>
      <c r="K359">
        <v>6.5559000000000003</v>
      </c>
      <c r="L359">
        <v>0</v>
      </c>
      <c r="M359">
        <v>0</v>
      </c>
      <c r="N359">
        <v>6.5559000000000003</v>
      </c>
      <c r="O359" t="s">
        <v>71</v>
      </c>
      <c r="P359">
        <v>0</v>
      </c>
      <c r="Q359" t="s">
        <v>71</v>
      </c>
      <c r="R359">
        <v>0</v>
      </c>
      <c r="S359" t="s">
        <v>71</v>
      </c>
      <c r="T359">
        <v>0</v>
      </c>
      <c r="U359">
        <v>6.5559000000000003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355</v>
      </c>
      <c r="AB359">
        <v>1</v>
      </c>
      <c r="AC359">
        <v>0.1</v>
      </c>
      <c r="AD359">
        <v>0</v>
      </c>
      <c r="AE359">
        <v>0</v>
      </c>
      <c r="AF359">
        <v>200000</v>
      </c>
      <c r="AG359">
        <v>10000</v>
      </c>
      <c r="AH359">
        <v>1</v>
      </c>
      <c r="AI359">
        <v>1</v>
      </c>
      <c r="AJ359" t="s">
        <v>76</v>
      </c>
      <c r="AK359" t="s">
        <v>71</v>
      </c>
      <c r="AL359">
        <v>0</v>
      </c>
      <c r="AM359" t="s">
        <v>71</v>
      </c>
      <c r="AN359">
        <v>0</v>
      </c>
      <c r="AO359">
        <v>6.5559000000000003</v>
      </c>
    </row>
    <row r="360" spans="1:41" x14ac:dyDescent="0.15">
      <c r="A360" s="4" t="str">
        <f>HYPERLINK("https://ibp.a2mac1.com/costing(costing:projects/details/9760/process/12084086)","Process")</f>
        <v>Process</v>
      </c>
      <c r="B360" t="s">
        <v>3046</v>
      </c>
      <c r="C360">
        <v>12084086</v>
      </c>
      <c r="D360">
        <v>8413252</v>
      </c>
      <c r="E360">
        <v>2.25</v>
      </c>
      <c r="F360">
        <v>0</v>
      </c>
      <c r="G360">
        <v>0</v>
      </c>
      <c r="H360">
        <v>0</v>
      </c>
      <c r="I360" t="s">
        <v>71</v>
      </c>
      <c r="J360">
        <v>0</v>
      </c>
      <c r="K360">
        <v>2.25</v>
      </c>
      <c r="L360">
        <v>0</v>
      </c>
      <c r="M360">
        <v>0</v>
      </c>
      <c r="N360">
        <v>2.25</v>
      </c>
      <c r="O360" t="s">
        <v>71</v>
      </c>
      <c r="P360">
        <v>0</v>
      </c>
      <c r="Q360" t="s">
        <v>71</v>
      </c>
      <c r="R360">
        <v>0</v>
      </c>
      <c r="S360" t="s">
        <v>71</v>
      </c>
      <c r="T360">
        <v>0</v>
      </c>
      <c r="U360">
        <v>2.25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121</v>
      </c>
      <c r="AB360">
        <v>1</v>
      </c>
      <c r="AC360">
        <v>0.1</v>
      </c>
      <c r="AD360">
        <v>0</v>
      </c>
      <c r="AE360">
        <v>0</v>
      </c>
      <c r="AF360">
        <v>400000</v>
      </c>
      <c r="AG360">
        <v>20000</v>
      </c>
      <c r="AH360">
        <v>1</v>
      </c>
      <c r="AI360">
        <v>1</v>
      </c>
      <c r="AJ360" t="s">
        <v>76</v>
      </c>
      <c r="AK360" t="s">
        <v>71</v>
      </c>
      <c r="AL360">
        <v>0</v>
      </c>
      <c r="AM360" t="s">
        <v>71</v>
      </c>
      <c r="AN360">
        <v>0</v>
      </c>
      <c r="AO360">
        <v>2.25</v>
      </c>
    </row>
    <row r="361" spans="1:41" x14ac:dyDescent="0.15">
      <c r="A361" s="4" t="str">
        <f>HYPERLINK("https://ibp.a2mac1.com/costing(costing:projects/details/9760/process/12084050)","Battery final assembly")</f>
        <v>Battery final assembly</v>
      </c>
      <c r="C361">
        <v>12084050</v>
      </c>
      <c r="D361">
        <v>8412888</v>
      </c>
      <c r="E361">
        <v>129.34</v>
      </c>
      <c r="F361">
        <v>0</v>
      </c>
      <c r="G361">
        <v>0</v>
      </c>
      <c r="H361">
        <v>0</v>
      </c>
      <c r="I361" t="s">
        <v>71</v>
      </c>
      <c r="J361">
        <v>0</v>
      </c>
      <c r="K361">
        <v>129.34</v>
      </c>
      <c r="L361">
        <v>0</v>
      </c>
      <c r="M361">
        <v>0</v>
      </c>
      <c r="N361">
        <v>129.34</v>
      </c>
      <c r="O361" t="s">
        <v>71</v>
      </c>
      <c r="P361">
        <v>0</v>
      </c>
      <c r="Q361" t="s">
        <v>71</v>
      </c>
      <c r="R361">
        <v>0</v>
      </c>
      <c r="S361" t="s">
        <v>71</v>
      </c>
      <c r="T361">
        <v>0</v>
      </c>
      <c r="U361">
        <v>129.34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112</v>
      </c>
      <c r="AB361">
        <v>1</v>
      </c>
      <c r="AC361">
        <v>0.1</v>
      </c>
      <c r="AD361">
        <v>0</v>
      </c>
      <c r="AE361">
        <v>0</v>
      </c>
      <c r="AF361">
        <v>200000</v>
      </c>
      <c r="AG361">
        <v>10000</v>
      </c>
      <c r="AH361">
        <v>1</v>
      </c>
      <c r="AI361">
        <v>1</v>
      </c>
      <c r="AJ361" t="s">
        <v>76</v>
      </c>
      <c r="AK361" t="s">
        <v>71</v>
      </c>
      <c r="AL361">
        <v>0</v>
      </c>
      <c r="AM361" t="s">
        <v>71</v>
      </c>
      <c r="AN361">
        <v>0</v>
      </c>
      <c r="AO361">
        <v>129.34</v>
      </c>
    </row>
    <row r="362" spans="1:41" x14ac:dyDescent="0.15">
      <c r="A362" s="4" t="str">
        <f>HYPERLINK("https://ibp.a2mac1.com/costing(costing:projects/details/9760/process/12084051)","Process")</f>
        <v>Process</v>
      </c>
      <c r="C362">
        <v>12084051</v>
      </c>
      <c r="D362">
        <v>8412890</v>
      </c>
      <c r="E362">
        <v>0</v>
      </c>
      <c r="F362">
        <v>0</v>
      </c>
      <c r="G362">
        <v>0</v>
      </c>
      <c r="H362">
        <v>0</v>
      </c>
      <c r="I362" t="s">
        <v>176</v>
      </c>
      <c r="J362">
        <v>0</v>
      </c>
      <c r="K362">
        <v>0</v>
      </c>
      <c r="L362">
        <v>0.63744144014151793</v>
      </c>
      <c r="M362">
        <v>2.2310450404953128</v>
      </c>
      <c r="N362">
        <v>2.2310450404953128</v>
      </c>
      <c r="O362" t="s">
        <v>90</v>
      </c>
      <c r="P362">
        <v>0</v>
      </c>
      <c r="Q362" t="s">
        <v>90</v>
      </c>
      <c r="R362">
        <v>0</v>
      </c>
      <c r="S362" t="s">
        <v>90</v>
      </c>
      <c r="T362">
        <v>0</v>
      </c>
      <c r="U362">
        <v>2.2310450404953128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60</v>
      </c>
      <c r="AB362">
        <v>1</v>
      </c>
      <c r="AC362">
        <v>0.5</v>
      </c>
      <c r="AD362">
        <v>0.50741219779126456</v>
      </c>
      <c r="AE362">
        <v>1800</v>
      </c>
      <c r="AF362">
        <v>200000</v>
      </c>
      <c r="AG362">
        <v>10000</v>
      </c>
      <c r="AH362">
        <v>1</v>
      </c>
      <c r="AI362">
        <v>1</v>
      </c>
      <c r="AJ362" t="s">
        <v>76</v>
      </c>
      <c r="AK362" t="s">
        <v>176</v>
      </c>
      <c r="AL362">
        <v>0</v>
      </c>
      <c r="AM362" t="s">
        <v>176</v>
      </c>
      <c r="AN362">
        <v>0</v>
      </c>
    </row>
    <row r="363" spans="1:41" x14ac:dyDescent="0.15">
      <c r="A363" s="4" t="str">
        <f>HYPERLINK("https://ibp.a2mac1.com/costing(costing:projects/details/9760/process/12084052)","Process")</f>
        <v>Process</v>
      </c>
      <c r="C363">
        <v>12084052</v>
      </c>
      <c r="D363">
        <v>8412891</v>
      </c>
      <c r="E363">
        <v>0</v>
      </c>
      <c r="F363">
        <v>0</v>
      </c>
      <c r="G363">
        <v>0</v>
      </c>
      <c r="H363">
        <v>0</v>
      </c>
      <c r="I363" t="s">
        <v>176</v>
      </c>
      <c r="J363">
        <v>0</v>
      </c>
      <c r="K363">
        <v>0</v>
      </c>
      <c r="L363">
        <v>2.847459610734461</v>
      </c>
      <c r="M363">
        <v>9.9661086375706134</v>
      </c>
      <c r="N363">
        <v>9.9661086375706134</v>
      </c>
      <c r="O363" t="s">
        <v>90</v>
      </c>
      <c r="P363">
        <v>0</v>
      </c>
      <c r="Q363" t="s">
        <v>90</v>
      </c>
      <c r="R363">
        <v>0</v>
      </c>
      <c r="S363" t="s">
        <v>90</v>
      </c>
      <c r="T363">
        <v>0</v>
      </c>
      <c r="U363">
        <v>9.9661086375706134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60</v>
      </c>
      <c r="AB363">
        <v>1</v>
      </c>
      <c r="AC363">
        <v>0.5</v>
      </c>
      <c r="AD363">
        <v>0.50741219779126456</v>
      </c>
      <c r="AE363">
        <v>1800</v>
      </c>
      <c r="AF363">
        <v>200000</v>
      </c>
      <c r="AG363">
        <v>10000</v>
      </c>
      <c r="AH363">
        <v>1</v>
      </c>
      <c r="AI363">
        <v>1</v>
      </c>
      <c r="AJ363" t="s">
        <v>76</v>
      </c>
      <c r="AK363" t="s">
        <v>176</v>
      </c>
      <c r="AL363">
        <v>0</v>
      </c>
      <c r="AM363" t="s">
        <v>176</v>
      </c>
      <c r="AN363">
        <v>0</v>
      </c>
    </row>
    <row r="364" spans="1:41" x14ac:dyDescent="0.15">
      <c r="A364" s="4" t="str">
        <f>HYPERLINK("https://ibp.a2mac1.com/costing(costing:projects/details/9760/process/12084053)","Process")</f>
        <v>Process</v>
      </c>
      <c r="C364">
        <v>12084053</v>
      </c>
      <c r="D364">
        <v>8412892</v>
      </c>
      <c r="E364">
        <v>0</v>
      </c>
      <c r="F364">
        <v>0</v>
      </c>
      <c r="G364">
        <v>0</v>
      </c>
      <c r="H364">
        <v>0</v>
      </c>
      <c r="I364" t="s">
        <v>176</v>
      </c>
      <c r="J364">
        <v>0</v>
      </c>
      <c r="K364">
        <v>0</v>
      </c>
      <c r="L364">
        <v>0.25706331285070017</v>
      </c>
      <c r="M364">
        <v>0.89972159497745063</v>
      </c>
      <c r="N364">
        <v>0.89972159497745063</v>
      </c>
      <c r="O364" t="s">
        <v>90</v>
      </c>
      <c r="P364">
        <v>0</v>
      </c>
      <c r="Q364" t="s">
        <v>90</v>
      </c>
      <c r="R364">
        <v>0</v>
      </c>
      <c r="S364" t="s">
        <v>90</v>
      </c>
      <c r="T364">
        <v>0</v>
      </c>
      <c r="U364">
        <v>0.89972159497745063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60</v>
      </c>
      <c r="AB364">
        <v>1</v>
      </c>
      <c r="AC364">
        <v>0.5</v>
      </c>
      <c r="AD364">
        <v>0.50741219779126456</v>
      </c>
      <c r="AE364">
        <v>1800</v>
      </c>
      <c r="AF364">
        <v>200000</v>
      </c>
      <c r="AG364">
        <v>10000</v>
      </c>
      <c r="AH364">
        <v>1</v>
      </c>
      <c r="AI364">
        <v>1</v>
      </c>
      <c r="AJ364" t="s">
        <v>76</v>
      </c>
      <c r="AK364" t="s">
        <v>176</v>
      </c>
      <c r="AL364">
        <v>0</v>
      </c>
      <c r="AM364" t="s">
        <v>176</v>
      </c>
      <c r="AN364">
        <v>0</v>
      </c>
    </row>
    <row r="365" spans="1:41" x14ac:dyDescent="0.15">
      <c r="A365" s="4" t="str">
        <f>HYPERLINK("https://ibp.a2mac1.com/costing(costing:projects/details/9760/process/12084054)","Process")</f>
        <v>Process</v>
      </c>
      <c r="C365">
        <v>12084054</v>
      </c>
      <c r="D365">
        <v>8412893</v>
      </c>
      <c r="E365">
        <v>0</v>
      </c>
      <c r="F365">
        <v>0</v>
      </c>
      <c r="G365">
        <v>0</v>
      </c>
      <c r="H365">
        <v>0</v>
      </c>
      <c r="I365" t="s">
        <v>176</v>
      </c>
      <c r="J365">
        <v>0</v>
      </c>
      <c r="K365">
        <v>0</v>
      </c>
      <c r="L365">
        <v>0.34302992871933491</v>
      </c>
      <c r="M365">
        <v>1.2006047505176722</v>
      </c>
      <c r="N365">
        <v>1.2006047505176722</v>
      </c>
      <c r="O365" t="s">
        <v>90</v>
      </c>
      <c r="P365">
        <v>0</v>
      </c>
      <c r="Q365" t="s">
        <v>90</v>
      </c>
      <c r="R365">
        <v>0</v>
      </c>
      <c r="S365" t="s">
        <v>90</v>
      </c>
      <c r="T365">
        <v>0</v>
      </c>
      <c r="U365">
        <v>1.2006047505176722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60</v>
      </c>
      <c r="AB365">
        <v>1</v>
      </c>
      <c r="AC365">
        <v>0.5</v>
      </c>
      <c r="AD365">
        <v>0.50741219779126456</v>
      </c>
      <c r="AE365">
        <v>1800</v>
      </c>
      <c r="AF365">
        <v>200000</v>
      </c>
      <c r="AG365">
        <v>10000</v>
      </c>
      <c r="AH365">
        <v>1</v>
      </c>
      <c r="AI365">
        <v>1</v>
      </c>
      <c r="AJ365" t="s">
        <v>76</v>
      </c>
      <c r="AK365" t="s">
        <v>176</v>
      </c>
      <c r="AL365">
        <v>0</v>
      </c>
      <c r="AM365" t="s">
        <v>176</v>
      </c>
      <c r="AN365">
        <v>0</v>
      </c>
    </row>
    <row r="366" spans="1:41" x14ac:dyDescent="0.15">
      <c r="A366" s="4" t="str">
        <f>HYPERLINK("https://ibp.a2mac1.com/costing(costing:projects/details/9760/process/12084055)","Process")</f>
        <v>Process</v>
      </c>
      <c r="C366">
        <v>12084055</v>
      </c>
      <c r="D366">
        <v>8412894</v>
      </c>
      <c r="E366">
        <v>0</v>
      </c>
      <c r="F366">
        <v>0</v>
      </c>
      <c r="G366">
        <v>0</v>
      </c>
      <c r="H366">
        <v>0</v>
      </c>
      <c r="I366" t="s">
        <v>176</v>
      </c>
      <c r="J366">
        <v>0</v>
      </c>
      <c r="K366">
        <v>0</v>
      </c>
      <c r="L366">
        <v>1.33792447190896</v>
      </c>
      <c r="M366">
        <v>4.6827356516813605</v>
      </c>
      <c r="N366">
        <v>4.6827356516813605</v>
      </c>
      <c r="O366" t="s">
        <v>90</v>
      </c>
      <c r="P366">
        <v>0</v>
      </c>
      <c r="Q366" t="s">
        <v>90</v>
      </c>
      <c r="R366">
        <v>0</v>
      </c>
      <c r="S366" t="s">
        <v>90</v>
      </c>
      <c r="T366">
        <v>0</v>
      </c>
      <c r="U366">
        <v>4.6827356516813605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60</v>
      </c>
      <c r="AB366">
        <v>1</v>
      </c>
      <c r="AC366">
        <v>0.5</v>
      </c>
      <c r="AD366">
        <v>0.50741219779126456</v>
      </c>
      <c r="AE366">
        <v>1800</v>
      </c>
      <c r="AF366">
        <v>200000</v>
      </c>
      <c r="AG366">
        <v>10000</v>
      </c>
      <c r="AH366">
        <v>1</v>
      </c>
      <c r="AI366">
        <v>1</v>
      </c>
      <c r="AJ366" t="s">
        <v>76</v>
      </c>
      <c r="AK366" t="s">
        <v>176</v>
      </c>
      <c r="AL366">
        <v>0</v>
      </c>
      <c r="AM366" t="s">
        <v>176</v>
      </c>
      <c r="AN366">
        <v>0</v>
      </c>
    </row>
    <row r="367" spans="1:41" x14ac:dyDescent="0.15">
      <c r="A367" s="4" t="str">
        <f>HYPERLINK("https://ibp.a2mac1.com/costing(costing:projects/details/9760/process/12084056)","Process")</f>
        <v>Process</v>
      </c>
      <c r="C367">
        <v>12084056</v>
      </c>
      <c r="D367">
        <v>8412912</v>
      </c>
      <c r="E367">
        <v>0</v>
      </c>
      <c r="F367">
        <v>0</v>
      </c>
      <c r="G367">
        <v>0</v>
      </c>
      <c r="H367">
        <v>0</v>
      </c>
      <c r="I367" t="s">
        <v>176</v>
      </c>
      <c r="J367">
        <v>0</v>
      </c>
      <c r="K367">
        <v>0</v>
      </c>
      <c r="L367">
        <v>0.5868273876518002</v>
      </c>
      <c r="M367">
        <v>2.0538958567813004</v>
      </c>
      <c r="N367">
        <v>2.0538958567813004</v>
      </c>
      <c r="O367" t="s">
        <v>90</v>
      </c>
      <c r="P367">
        <v>0</v>
      </c>
      <c r="Q367" t="s">
        <v>90</v>
      </c>
      <c r="R367">
        <v>0</v>
      </c>
      <c r="S367" t="s">
        <v>90</v>
      </c>
      <c r="T367">
        <v>0</v>
      </c>
      <c r="U367">
        <v>2.0538958567813004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60</v>
      </c>
      <c r="AB367">
        <v>1</v>
      </c>
      <c r="AC367">
        <v>0.5</v>
      </c>
      <c r="AD367">
        <v>0.50741219779126456</v>
      </c>
      <c r="AE367">
        <v>1800</v>
      </c>
      <c r="AF367">
        <v>200000</v>
      </c>
      <c r="AG367">
        <v>10000</v>
      </c>
      <c r="AH367">
        <v>1</v>
      </c>
      <c r="AI367">
        <v>1</v>
      </c>
      <c r="AJ367" t="s">
        <v>76</v>
      </c>
      <c r="AK367" t="s">
        <v>176</v>
      </c>
      <c r="AL367">
        <v>0</v>
      </c>
      <c r="AM367" t="s">
        <v>176</v>
      </c>
      <c r="AN367">
        <v>0</v>
      </c>
    </row>
    <row r="368" spans="1:41" x14ac:dyDescent="0.15">
      <c r="A368" s="4" t="str">
        <f>HYPERLINK("https://ibp.a2mac1.com/costing(costing:projects/details/9760/process/12084057)","Process")</f>
        <v>Process</v>
      </c>
      <c r="C368">
        <v>12084057</v>
      </c>
      <c r="D368">
        <v>8412913</v>
      </c>
      <c r="E368">
        <v>0</v>
      </c>
      <c r="F368">
        <v>0</v>
      </c>
      <c r="G368">
        <v>0</v>
      </c>
      <c r="H368">
        <v>0</v>
      </c>
      <c r="I368" t="s">
        <v>176</v>
      </c>
      <c r="J368">
        <v>0</v>
      </c>
      <c r="K368">
        <v>0</v>
      </c>
      <c r="L368">
        <v>0.5868273876518002</v>
      </c>
      <c r="M368">
        <v>2.0538958567813004</v>
      </c>
      <c r="N368">
        <v>2.0538958567813004</v>
      </c>
      <c r="O368" t="s">
        <v>90</v>
      </c>
      <c r="P368">
        <v>0</v>
      </c>
      <c r="Q368" t="s">
        <v>90</v>
      </c>
      <c r="R368">
        <v>0</v>
      </c>
      <c r="S368" t="s">
        <v>90</v>
      </c>
      <c r="T368">
        <v>0</v>
      </c>
      <c r="U368">
        <v>2.0538958567813004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60</v>
      </c>
      <c r="AB368">
        <v>1</v>
      </c>
      <c r="AC368">
        <v>0.5</v>
      </c>
      <c r="AD368">
        <v>0.50741219779126456</v>
      </c>
      <c r="AE368">
        <v>1800</v>
      </c>
      <c r="AF368">
        <v>200000</v>
      </c>
      <c r="AG368">
        <v>10000</v>
      </c>
      <c r="AH368">
        <v>1</v>
      </c>
      <c r="AI368">
        <v>1</v>
      </c>
      <c r="AJ368" t="s">
        <v>76</v>
      </c>
      <c r="AK368" t="s">
        <v>176</v>
      </c>
      <c r="AL368">
        <v>0</v>
      </c>
      <c r="AM368" t="s">
        <v>176</v>
      </c>
      <c r="AN368">
        <v>0</v>
      </c>
    </row>
    <row r="369" spans="1:40" x14ac:dyDescent="0.15">
      <c r="A369" s="4" t="str">
        <f>HYPERLINK("https://ibp.a2mac1.com/costing(costing:projects/details/9760/process/12084058)","Process")</f>
        <v>Process</v>
      </c>
      <c r="B369" t="s">
        <v>3326</v>
      </c>
      <c r="C369">
        <v>12084058</v>
      </c>
      <c r="D369">
        <v>8412924</v>
      </c>
      <c r="E369">
        <v>2.5769253228571429</v>
      </c>
      <c r="F369">
        <v>0</v>
      </c>
      <c r="G369">
        <v>0</v>
      </c>
      <c r="H369">
        <v>0.45752090641632653</v>
      </c>
      <c r="I369" t="s">
        <v>176</v>
      </c>
      <c r="J369">
        <v>9.0736807142857145E-2</v>
      </c>
      <c r="K369">
        <v>3.1251830364163267</v>
      </c>
      <c r="L369">
        <v>2.1731445023931957</v>
      </c>
      <c r="M369">
        <v>13.038867014359175</v>
      </c>
      <c r="N369">
        <v>16.164050050775501</v>
      </c>
      <c r="O369" t="s">
        <v>177</v>
      </c>
      <c r="P369">
        <v>0.18751098218497958</v>
      </c>
      <c r="Q369" t="s">
        <v>177</v>
      </c>
      <c r="R369">
        <v>0.78233202086155051</v>
      </c>
      <c r="S369" t="s">
        <v>178</v>
      </c>
      <c r="T369">
        <v>1.9396860060930603</v>
      </c>
      <c r="U369">
        <v>19.07357905991509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250</v>
      </c>
      <c r="AB369">
        <v>1</v>
      </c>
      <c r="AC369">
        <v>15</v>
      </c>
      <c r="AD369">
        <v>15.000679994560043</v>
      </c>
      <c r="AE369">
        <v>6480000</v>
      </c>
      <c r="AF369">
        <v>200000</v>
      </c>
      <c r="AG369">
        <v>16666.666666666668</v>
      </c>
      <c r="AH369">
        <v>1</v>
      </c>
      <c r="AI369">
        <v>1</v>
      </c>
      <c r="AJ369" t="s">
        <v>162</v>
      </c>
      <c r="AK369" t="s">
        <v>176</v>
      </c>
      <c r="AL369">
        <v>0</v>
      </c>
      <c r="AM369" t="s">
        <v>176</v>
      </c>
      <c r="AN369">
        <v>0</v>
      </c>
    </row>
    <row r="370" spans="1:40" x14ac:dyDescent="0.15">
      <c r="A370" s="4" t="str">
        <f>HYPERLINK("https://ibp.a2mac1.com/costing(costing:projects/details/9760/process/12084069)","Process")</f>
        <v>Process</v>
      </c>
      <c r="B370" t="s">
        <v>3341</v>
      </c>
      <c r="C370">
        <v>12084069</v>
      </c>
      <c r="D370">
        <v>8413109</v>
      </c>
      <c r="E370">
        <v>32.622565563636364</v>
      </c>
      <c r="F370">
        <v>0</v>
      </c>
      <c r="G370">
        <v>0</v>
      </c>
      <c r="H370">
        <v>7.1228309090909088E-4</v>
      </c>
      <c r="I370" t="s">
        <v>176</v>
      </c>
      <c r="J370">
        <v>1.2464954090909091</v>
      </c>
      <c r="K370">
        <v>33.869773255818181</v>
      </c>
      <c r="L370">
        <v>0.46976899048154652</v>
      </c>
      <c r="M370">
        <v>2.8186139428892791</v>
      </c>
      <c r="N370">
        <v>36.68838719870746</v>
      </c>
      <c r="O370" t="s">
        <v>177</v>
      </c>
      <c r="P370">
        <v>2.0321863953490911</v>
      </c>
      <c r="Q370" t="s">
        <v>177</v>
      </c>
      <c r="R370">
        <v>0.16911683657335674</v>
      </c>
      <c r="S370" t="s">
        <v>178</v>
      </c>
      <c r="T370">
        <v>4.4026064638448954</v>
      </c>
      <c r="U370">
        <v>43.292296894474802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266</v>
      </c>
      <c r="AB370">
        <v>1</v>
      </c>
      <c r="AC370">
        <v>0</v>
      </c>
      <c r="AD370">
        <v>1.9999600007999841E-3</v>
      </c>
      <c r="AE370">
        <v>10800</v>
      </c>
      <c r="AF370">
        <v>200000</v>
      </c>
      <c r="AG370">
        <v>16666.666666666668</v>
      </c>
      <c r="AH370">
        <v>1</v>
      </c>
      <c r="AI370">
        <v>1</v>
      </c>
      <c r="AJ370" t="s">
        <v>162</v>
      </c>
      <c r="AK370" t="s">
        <v>176</v>
      </c>
      <c r="AL370">
        <v>0</v>
      </c>
      <c r="AM370" t="s">
        <v>176</v>
      </c>
      <c r="AN370">
        <v>0</v>
      </c>
    </row>
    <row r="371" spans="1:40" x14ac:dyDescent="0.15">
      <c r="A371" s="4" t="str">
        <f>HYPERLINK("https://ibp.a2mac1.com/costing(costing:projects/details/9760/process/12084065)","Process")</f>
        <v>Process</v>
      </c>
      <c r="B371" t="s">
        <v>3343</v>
      </c>
      <c r="C371">
        <v>12084065</v>
      </c>
      <c r="D371">
        <v>8413053</v>
      </c>
      <c r="E371">
        <v>0</v>
      </c>
      <c r="F371">
        <v>0</v>
      </c>
      <c r="G371">
        <v>0</v>
      </c>
      <c r="H371">
        <v>0</v>
      </c>
      <c r="I371" t="s">
        <v>176</v>
      </c>
      <c r="J371">
        <v>0</v>
      </c>
      <c r="K371">
        <v>0</v>
      </c>
      <c r="L371">
        <v>2.2113406366043442</v>
      </c>
      <c r="M371">
        <v>7.7396922281152039</v>
      </c>
      <c r="N371">
        <v>7.7396922281152039</v>
      </c>
      <c r="O371" t="s">
        <v>90</v>
      </c>
      <c r="P371">
        <v>0</v>
      </c>
      <c r="Q371" t="s">
        <v>90</v>
      </c>
      <c r="R371">
        <v>0</v>
      </c>
      <c r="S371" t="s">
        <v>90</v>
      </c>
      <c r="T371">
        <v>0</v>
      </c>
      <c r="U371">
        <v>7.7396922281152039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627</v>
      </c>
      <c r="AB371">
        <v>1</v>
      </c>
      <c r="AC371">
        <v>0</v>
      </c>
      <c r="AD371">
        <v>0</v>
      </c>
      <c r="AE371">
        <v>10800</v>
      </c>
      <c r="AF371">
        <v>200000</v>
      </c>
      <c r="AG371">
        <v>10000</v>
      </c>
      <c r="AH371">
        <v>1</v>
      </c>
      <c r="AI371">
        <v>1</v>
      </c>
      <c r="AJ371" t="s">
        <v>76</v>
      </c>
      <c r="AK371" t="s">
        <v>176</v>
      </c>
      <c r="AL371">
        <v>0</v>
      </c>
      <c r="AM371" t="s">
        <v>176</v>
      </c>
      <c r="AN371">
        <v>0</v>
      </c>
    </row>
    <row r="372" spans="1:40" x14ac:dyDescent="0.15">
      <c r="A372" s="4" t="str">
        <f>HYPERLINK("https://ibp.a2mac1.com/costing(costing:projects/details/9760/process/12084070)","Process")</f>
        <v>Process</v>
      </c>
      <c r="B372" t="s">
        <v>3351</v>
      </c>
      <c r="C372">
        <v>12084070</v>
      </c>
      <c r="D372">
        <v>8413112</v>
      </c>
      <c r="E372">
        <v>20.16614672</v>
      </c>
      <c r="F372">
        <v>0</v>
      </c>
      <c r="G372">
        <v>0</v>
      </c>
      <c r="H372">
        <v>4.2232768E-4</v>
      </c>
      <c r="I372" t="s">
        <v>176</v>
      </c>
      <c r="J372">
        <v>0.73907343999999997</v>
      </c>
      <c r="K372">
        <v>20.905642487680002</v>
      </c>
      <c r="L372">
        <v>0.4381388958011076</v>
      </c>
      <c r="M372">
        <v>2.6288333748066455</v>
      </c>
      <c r="N372">
        <v>23.534475862486644</v>
      </c>
      <c r="O372" t="s">
        <v>177</v>
      </c>
      <c r="P372">
        <v>1.2543385492607999</v>
      </c>
      <c r="Q372" t="s">
        <v>177</v>
      </c>
      <c r="R372">
        <v>0.15773000248839872</v>
      </c>
      <c r="S372" t="s">
        <v>178</v>
      </c>
      <c r="T372">
        <v>2.8241371034983973</v>
      </c>
      <c r="U372">
        <v>27.770681517734243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248</v>
      </c>
      <c r="AB372">
        <v>1</v>
      </c>
      <c r="AC372">
        <v>0</v>
      </c>
      <c r="AD372">
        <v>1.9999600007999841E-3</v>
      </c>
      <c r="AE372">
        <v>10800</v>
      </c>
      <c r="AF372">
        <v>200000</v>
      </c>
      <c r="AG372">
        <v>16666.666666666668</v>
      </c>
      <c r="AH372">
        <v>1</v>
      </c>
      <c r="AI372">
        <v>1</v>
      </c>
      <c r="AJ372" t="s">
        <v>162</v>
      </c>
      <c r="AK372" t="s">
        <v>176</v>
      </c>
      <c r="AL372">
        <v>0</v>
      </c>
      <c r="AM372" t="s">
        <v>176</v>
      </c>
      <c r="AN372">
        <v>0</v>
      </c>
    </row>
    <row r="373" spans="1:40" x14ac:dyDescent="0.15">
      <c r="A373" s="4" t="str">
        <f>HYPERLINK("https://ibp.a2mac1.com/costing(costing:projects/details/9760/process/12084071)","Process")</f>
        <v>Process</v>
      </c>
      <c r="B373" t="s">
        <v>3358</v>
      </c>
      <c r="C373">
        <v>12084071</v>
      </c>
      <c r="D373">
        <v>8413113</v>
      </c>
      <c r="E373">
        <v>4.0410455592786887</v>
      </c>
      <c r="F373">
        <v>0</v>
      </c>
      <c r="G373">
        <v>0</v>
      </c>
      <c r="H373">
        <v>8.7658255081967206E-5</v>
      </c>
      <c r="I373" t="s">
        <v>176</v>
      </c>
      <c r="J373">
        <v>0.15340194639344262</v>
      </c>
      <c r="K373">
        <v>4.1945351639272133</v>
      </c>
      <c r="L373">
        <v>0.61913332647250829</v>
      </c>
      <c r="M373">
        <v>3.7147999588350498</v>
      </c>
      <c r="N373">
        <v>7.909335122762263</v>
      </c>
      <c r="O373" t="s">
        <v>177</v>
      </c>
      <c r="P373">
        <v>0.25167210983563276</v>
      </c>
      <c r="Q373" t="s">
        <v>177</v>
      </c>
      <c r="R373">
        <v>0.22288799753010299</v>
      </c>
      <c r="S373" t="s">
        <v>178</v>
      </c>
      <c r="T373">
        <v>0.94912021473147157</v>
      </c>
      <c r="U373">
        <v>9.3330154448594698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351</v>
      </c>
      <c r="AB373">
        <v>1</v>
      </c>
      <c r="AC373">
        <v>0</v>
      </c>
      <c r="AD373">
        <v>1.9999600007999841E-3</v>
      </c>
      <c r="AE373">
        <v>10800</v>
      </c>
      <c r="AF373">
        <v>200000</v>
      </c>
      <c r="AG373">
        <v>16666.666666666668</v>
      </c>
      <c r="AH373">
        <v>1</v>
      </c>
      <c r="AI373">
        <v>1</v>
      </c>
      <c r="AJ373" t="s">
        <v>162</v>
      </c>
      <c r="AK373" t="s">
        <v>176</v>
      </c>
      <c r="AL373">
        <v>0</v>
      </c>
      <c r="AM373" t="s">
        <v>176</v>
      </c>
      <c r="AN373">
        <v>0</v>
      </c>
    </row>
    <row r="374" spans="1:40" x14ac:dyDescent="0.15">
      <c r="A374" s="4" t="str">
        <f>HYPERLINK("https://ibp.a2mac1.com/costing(costing:projects/details/9760/process/12084066)","Process")</f>
        <v>Process</v>
      </c>
      <c r="B374" t="s">
        <v>3360</v>
      </c>
      <c r="C374">
        <v>12084066</v>
      </c>
      <c r="D374">
        <v>8413054</v>
      </c>
      <c r="E374">
        <v>0</v>
      </c>
      <c r="F374">
        <v>0</v>
      </c>
      <c r="G374">
        <v>0</v>
      </c>
      <c r="H374">
        <v>0</v>
      </c>
      <c r="I374" t="s">
        <v>176</v>
      </c>
      <c r="J374">
        <v>0</v>
      </c>
      <c r="K374">
        <v>0</v>
      </c>
      <c r="L374">
        <v>0.7352990723484778</v>
      </c>
      <c r="M374">
        <v>2.5735467532196723</v>
      </c>
      <c r="N374">
        <v>2.5735467532196723</v>
      </c>
      <c r="O374" t="s">
        <v>90</v>
      </c>
      <c r="P374">
        <v>0</v>
      </c>
      <c r="Q374" t="s">
        <v>90</v>
      </c>
      <c r="R374">
        <v>0</v>
      </c>
      <c r="S374" t="s">
        <v>90</v>
      </c>
      <c r="T374">
        <v>0</v>
      </c>
      <c r="U374">
        <v>2.5735467532196723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207</v>
      </c>
      <c r="AB374">
        <v>1</v>
      </c>
      <c r="AC374">
        <v>0</v>
      </c>
      <c r="AD374">
        <v>0</v>
      </c>
      <c r="AE374">
        <v>10800</v>
      </c>
      <c r="AF374">
        <v>200000</v>
      </c>
      <c r="AG374">
        <v>10000</v>
      </c>
      <c r="AH374">
        <v>1</v>
      </c>
      <c r="AI374">
        <v>1</v>
      </c>
      <c r="AJ374" t="s">
        <v>76</v>
      </c>
      <c r="AK374" t="s">
        <v>176</v>
      </c>
      <c r="AL374">
        <v>0</v>
      </c>
      <c r="AM374" t="s">
        <v>176</v>
      </c>
      <c r="AN374">
        <v>0</v>
      </c>
    </row>
    <row r="375" spans="1:40" x14ac:dyDescent="0.15">
      <c r="A375" s="4" t="str">
        <f>HYPERLINK("https://ibp.a2mac1.com/costing(costing:projects/details/9760/process/12084072)","Process")</f>
        <v>Process</v>
      </c>
      <c r="B375" t="s">
        <v>3373</v>
      </c>
      <c r="C375">
        <v>12084072</v>
      </c>
      <c r="D375">
        <v>8413116</v>
      </c>
      <c r="E375">
        <v>45.932369551000001</v>
      </c>
      <c r="F375">
        <v>0.56401128</v>
      </c>
      <c r="G375">
        <v>0</v>
      </c>
      <c r="H375">
        <v>9.4705916599999997E-4</v>
      </c>
      <c r="I375" t="s">
        <v>176</v>
      </c>
      <c r="J375">
        <v>1.6573535404999999</v>
      </c>
      <c r="K375">
        <v>48.174421825465998</v>
      </c>
      <c r="L375">
        <v>1.4854464752200864</v>
      </c>
      <c r="M375">
        <v>8.9126788513205177</v>
      </c>
      <c r="N375">
        <v>57.08710067678652</v>
      </c>
      <c r="O375" t="s">
        <v>177</v>
      </c>
      <c r="P375">
        <v>2.89046530952796</v>
      </c>
      <c r="Q375" t="s">
        <v>177</v>
      </c>
      <c r="R375">
        <v>0.53476073107923117</v>
      </c>
      <c r="S375" t="s">
        <v>178</v>
      </c>
      <c r="T375">
        <v>6.8504520812143825</v>
      </c>
      <c r="U375">
        <v>67.36277879860809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844</v>
      </c>
      <c r="AB375">
        <v>1</v>
      </c>
      <c r="AC375">
        <v>0</v>
      </c>
      <c r="AD375">
        <v>1.9999600007999841E-3</v>
      </c>
      <c r="AE375">
        <v>10800</v>
      </c>
      <c r="AF375">
        <v>200000</v>
      </c>
      <c r="AG375">
        <v>16666.666666666668</v>
      </c>
      <c r="AH375">
        <v>1</v>
      </c>
      <c r="AI375">
        <v>1</v>
      </c>
      <c r="AJ375" t="s">
        <v>162</v>
      </c>
      <c r="AK375" t="s">
        <v>176</v>
      </c>
      <c r="AL375">
        <v>1.9740394800000002E-2</v>
      </c>
      <c r="AM375" t="s">
        <v>176</v>
      </c>
      <c r="AN375">
        <v>0</v>
      </c>
    </row>
    <row r="376" spans="1:40" x14ac:dyDescent="0.15">
      <c r="A376" s="4" t="str">
        <f>HYPERLINK("https://ibp.a2mac1.com/costing(costing:projects/details/9760/process/12084073)","Process")</f>
        <v>Process</v>
      </c>
      <c r="B376" t="s">
        <v>3373</v>
      </c>
      <c r="C376">
        <v>12084073</v>
      </c>
      <c r="D376">
        <v>8413117</v>
      </c>
      <c r="E376">
        <v>11.173598295</v>
      </c>
      <c r="F376">
        <v>7.8001559999999998E-2</v>
      </c>
      <c r="G376">
        <v>0</v>
      </c>
      <c r="H376">
        <v>2.3038347000000001E-4</v>
      </c>
      <c r="I376" t="s">
        <v>176</v>
      </c>
      <c r="J376">
        <v>0.40317107250000001</v>
      </c>
      <c r="K376">
        <v>11.657731365569999</v>
      </c>
      <c r="L376">
        <v>0.44341057824784741</v>
      </c>
      <c r="M376">
        <v>2.6604634694870843</v>
      </c>
      <c r="N376">
        <v>14.318194835057085</v>
      </c>
      <c r="O376" t="s">
        <v>177</v>
      </c>
      <c r="P376">
        <v>0.69946388193419995</v>
      </c>
      <c r="Q376" t="s">
        <v>177</v>
      </c>
      <c r="R376">
        <v>0.15962780816922506</v>
      </c>
      <c r="S376" t="s">
        <v>178</v>
      </c>
      <c r="T376">
        <v>1.7181833802068502</v>
      </c>
      <c r="U376">
        <v>16.89546990536736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251</v>
      </c>
      <c r="AB376">
        <v>1</v>
      </c>
      <c r="AC376">
        <v>0</v>
      </c>
      <c r="AD376">
        <v>1.9999600007999841E-3</v>
      </c>
      <c r="AE376">
        <v>10800</v>
      </c>
      <c r="AF376">
        <v>200000</v>
      </c>
      <c r="AG376">
        <v>16666.666666666668</v>
      </c>
      <c r="AH376">
        <v>1</v>
      </c>
      <c r="AI376">
        <v>1</v>
      </c>
      <c r="AJ376" t="s">
        <v>162</v>
      </c>
      <c r="AK376" t="s">
        <v>176</v>
      </c>
      <c r="AL376">
        <v>2.7300546000000002E-3</v>
      </c>
      <c r="AM376" t="s">
        <v>176</v>
      </c>
      <c r="AN376">
        <v>0</v>
      </c>
    </row>
    <row r="377" spans="1:40" x14ac:dyDescent="0.15">
      <c r="A377" s="4" t="str">
        <f>HYPERLINK("https://ibp.a2mac1.com/costing(costing:projects/details/9760/process/12084059)","Process")</f>
        <v>Process</v>
      </c>
      <c r="B377" t="s">
        <v>3413</v>
      </c>
      <c r="C377">
        <v>12084059</v>
      </c>
      <c r="D377">
        <v>8412932</v>
      </c>
      <c r="E377">
        <v>0</v>
      </c>
      <c r="F377">
        <v>0</v>
      </c>
      <c r="G377">
        <v>0</v>
      </c>
      <c r="H377">
        <v>0</v>
      </c>
      <c r="I377" t="s">
        <v>176</v>
      </c>
      <c r="J377">
        <v>0</v>
      </c>
      <c r="K377">
        <v>0</v>
      </c>
      <c r="L377">
        <v>1.9055891697227718</v>
      </c>
      <c r="M377">
        <v>6.6695620940297013</v>
      </c>
      <c r="N377">
        <v>6.6695620940297013</v>
      </c>
      <c r="O377" t="s">
        <v>90</v>
      </c>
      <c r="P377">
        <v>0</v>
      </c>
      <c r="Q377" t="s">
        <v>90</v>
      </c>
      <c r="R377">
        <v>0</v>
      </c>
      <c r="S377" t="s">
        <v>90</v>
      </c>
      <c r="T377">
        <v>0</v>
      </c>
      <c r="U377">
        <v>6.6695620940297013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540</v>
      </c>
      <c r="AB377">
        <v>1</v>
      </c>
      <c r="AC377">
        <v>0</v>
      </c>
      <c r="AD377">
        <v>0</v>
      </c>
      <c r="AE377">
        <v>10800</v>
      </c>
      <c r="AF377">
        <v>200000</v>
      </c>
      <c r="AG377">
        <v>10000</v>
      </c>
      <c r="AH377">
        <v>1</v>
      </c>
      <c r="AI377">
        <v>1</v>
      </c>
      <c r="AJ377" t="s">
        <v>76</v>
      </c>
      <c r="AK377" t="s">
        <v>176</v>
      </c>
      <c r="AL377">
        <v>0</v>
      </c>
      <c r="AM377" t="s">
        <v>176</v>
      </c>
      <c r="AN377">
        <v>0</v>
      </c>
    </row>
    <row r="378" spans="1:40" x14ac:dyDescent="0.15">
      <c r="A378" s="4" t="str">
        <f>HYPERLINK("https://ibp.a2mac1.com/costing(costing:projects/details/9760/process/12084074)","Process")</f>
        <v>Process</v>
      </c>
      <c r="B378" t="s">
        <v>3341</v>
      </c>
      <c r="C378">
        <v>12084074</v>
      </c>
      <c r="D378">
        <v>8413136</v>
      </c>
      <c r="E378">
        <v>34.361594065079366</v>
      </c>
      <c r="F378">
        <v>0</v>
      </c>
      <c r="G378">
        <v>0</v>
      </c>
      <c r="H378">
        <v>7.4628139682539688E-4</v>
      </c>
      <c r="I378" t="s">
        <v>176</v>
      </c>
      <c r="J378">
        <v>1.3059924444444444</v>
      </c>
      <c r="K378">
        <v>35.668332790920637</v>
      </c>
      <c r="L378">
        <v>0.73824615620076317</v>
      </c>
      <c r="M378">
        <v>4.429476937204579</v>
      </c>
      <c r="N378">
        <v>40.097809728125213</v>
      </c>
      <c r="O378" t="s">
        <v>177</v>
      </c>
      <c r="P378">
        <v>2.1400999674552379</v>
      </c>
      <c r="Q378" t="s">
        <v>177</v>
      </c>
      <c r="R378">
        <v>0.26576861623227471</v>
      </c>
      <c r="S378" t="s">
        <v>178</v>
      </c>
      <c r="T378">
        <v>4.8117371673750258</v>
      </c>
      <c r="U378">
        <v>47.315415479187749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340</v>
      </c>
      <c r="AB378">
        <v>1</v>
      </c>
      <c r="AC378">
        <v>0</v>
      </c>
      <c r="AD378">
        <v>1.9999600007999841E-3</v>
      </c>
      <c r="AE378">
        <v>648000</v>
      </c>
      <c r="AF378">
        <v>200000</v>
      </c>
      <c r="AG378">
        <v>16666.666666666668</v>
      </c>
      <c r="AH378">
        <v>1</v>
      </c>
      <c r="AI378">
        <v>1</v>
      </c>
      <c r="AJ378" t="s">
        <v>162</v>
      </c>
      <c r="AK378" t="s">
        <v>176</v>
      </c>
      <c r="AL378">
        <v>0</v>
      </c>
      <c r="AM378" t="s">
        <v>176</v>
      </c>
      <c r="AN378">
        <v>0</v>
      </c>
    </row>
    <row r="379" spans="1:40" x14ac:dyDescent="0.15">
      <c r="A379" s="4" t="str">
        <f>HYPERLINK("https://ibp.a2mac1.com/costing(costing:projects/details/9760/process/12084067)","Process")</f>
        <v>Process</v>
      </c>
      <c r="B379" t="s">
        <v>3343</v>
      </c>
      <c r="C379">
        <v>12084067</v>
      </c>
      <c r="D379">
        <v>8413057</v>
      </c>
      <c r="E379">
        <v>0</v>
      </c>
      <c r="F379">
        <v>1.4</v>
      </c>
      <c r="G379">
        <v>0</v>
      </c>
      <c r="H379">
        <v>0</v>
      </c>
      <c r="I379" t="s">
        <v>176</v>
      </c>
      <c r="J379">
        <v>0</v>
      </c>
      <c r="K379">
        <v>1.4490000000000001</v>
      </c>
      <c r="L379">
        <v>2.2113406366043442</v>
      </c>
      <c r="M379">
        <v>7.7396922281152039</v>
      </c>
      <c r="N379">
        <v>9.1886922281152046</v>
      </c>
      <c r="O379" t="s">
        <v>90</v>
      </c>
      <c r="P379">
        <v>0</v>
      </c>
      <c r="Q379" t="s">
        <v>90</v>
      </c>
      <c r="R379">
        <v>0</v>
      </c>
      <c r="S379" t="s">
        <v>90</v>
      </c>
      <c r="T379">
        <v>0</v>
      </c>
      <c r="U379">
        <v>9.1886922281152046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627</v>
      </c>
      <c r="AB379">
        <v>1</v>
      </c>
      <c r="AC379">
        <v>0</v>
      </c>
      <c r="AD379">
        <v>0</v>
      </c>
      <c r="AE379">
        <v>10800</v>
      </c>
      <c r="AF379">
        <v>200000</v>
      </c>
      <c r="AG379">
        <v>10000</v>
      </c>
      <c r="AH379">
        <v>1</v>
      </c>
      <c r="AI379">
        <v>1</v>
      </c>
      <c r="AJ379" t="s">
        <v>76</v>
      </c>
      <c r="AK379" t="s">
        <v>176</v>
      </c>
      <c r="AL379">
        <v>4.9000000000000002E-2</v>
      </c>
      <c r="AM379" t="s">
        <v>176</v>
      </c>
      <c r="AN379">
        <v>0</v>
      </c>
    </row>
    <row r="380" spans="1:40" x14ac:dyDescent="0.15">
      <c r="A380" s="4" t="str">
        <f>HYPERLINK("https://ibp.a2mac1.com/costing(costing:projects/details/9760/process/12084075)","Process")</f>
        <v>Process</v>
      </c>
      <c r="B380" t="s">
        <v>3351</v>
      </c>
      <c r="C380">
        <v>12084075</v>
      </c>
      <c r="D380">
        <v>8413143</v>
      </c>
      <c r="E380">
        <v>24.130416283018867</v>
      </c>
      <c r="F380">
        <v>0</v>
      </c>
      <c r="G380">
        <v>0</v>
      </c>
      <c r="H380">
        <v>5.1921283018867921E-4</v>
      </c>
      <c r="I380" t="s">
        <v>176</v>
      </c>
      <c r="J380">
        <v>0.90862245283018872</v>
      </c>
      <c r="K380">
        <v>25.039557948679246</v>
      </c>
      <c r="L380">
        <v>0.65252064863519388</v>
      </c>
      <c r="M380">
        <v>3.915123891811163</v>
      </c>
      <c r="N380">
        <v>28.954681840490409</v>
      </c>
      <c r="O380" t="s">
        <v>177</v>
      </c>
      <c r="P380">
        <v>1.5023734769207546</v>
      </c>
      <c r="Q380" t="s">
        <v>177</v>
      </c>
      <c r="R380">
        <v>0.2349074335086698</v>
      </c>
      <c r="S380" t="s">
        <v>178</v>
      </c>
      <c r="T380">
        <v>3.4745618208588489</v>
      </c>
      <c r="U380">
        <v>34.16652457177868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370</v>
      </c>
      <c r="AB380">
        <v>1</v>
      </c>
      <c r="AC380">
        <v>0</v>
      </c>
      <c r="AD380">
        <v>1.9999600007999841E-3</v>
      </c>
      <c r="AE380">
        <v>10800</v>
      </c>
      <c r="AF380">
        <v>200000</v>
      </c>
      <c r="AG380">
        <v>16666.666666666668</v>
      </c>
      <c r="AH380">
        <v>1</v>
      </c>
      <c r="AI380">
        <v>1</v>
      </c>
      <c r="AJ380" t="s">
        <v>162</v>
      </c>
      <c r="AK380" t="s">
        <v>176</v>
      </c>
      <c r="AL380">
        <v>0</v>
      </c>
      <c r="AM380" t="s">
        <v>176</v>
      </c>
      <c r="AN380">
        <v>0</v>
      </c>
    </row>
    <row r="381" spans="1:40" x14ac:dyDescent="0.15">
      <c r="A381" s="4" t="str">
        <f>HYPERLINK("https://ibp.a2mac1.com/costing(costing:projects/details/9760/process/12084076)","Process")</f>
        <v>Process</v>
      </c>
      <c r="B381" t="s">
        <v>3433</v>
      </c>
      <c r="C381">
        <v>12084076</v>
      </c>
      <c r="D381">
        <v>8413144</v>
      </c>
      <c r="E381">
        <v>3.7601513971803278</v>
      </c>
      <c r="F381">
        <v>0</v>
      </c>
      <c r="G381">
        <v>0</v>
      </c>
      <c r="H381">
        <v>8.1565106229508191E-5</v>
      </c>
      <c r="I381" t="s">
        <v>176</v>
      </c>
      <c r="J381">
        <v>0.14273893590163936</v>
      </c>
      <c r="K381">
        <v>3.9029718981881967</v>
      </c>
      <c r="L381">
        <v>0.73335311281853788</v>
      </c>
      <c r="M381">
        <v>4.4001186769112275</v>
      </c>
      <c r="N381">
        <v>8.3030905750994233</v>
      </c>
      <c r="O381" t="s">
        <v>177</v>
      </c>
      <c r="P381">
        <v>0.23417831389129179</v>
      </c>
      <c r="Q381" t="s">
        <v>177</v>
      </c>
      <c r="R381">
        <v>0.26400712061467363</v>
      </c>
      <c r="S381" t="s">
        <v>178</v>
      </c>
      <c r="T381">
        <v>0.99637086901193084</v>
      </c>
      <c r="U381">
        <v>9.7976468786173196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416</v>
      </c>
      <c r="AB381">
        <v>1</v>
      </c>
      <c r="AC381">
        <v>0</v>
      </c>
      <c r="AD381">
        <v>1.9999600007999841E-3</v>
      </c>
      <c r="AE381">
        <v>10800</v>
      </c>
      <c r="AF381">
        <v>200000</v>
      </c>
      <c r="AG381">
        <v>16666.666666666668</v>
      </c>
      <c r="AH381">
        <v>1</v>
      </c>
      <c r="AI381">
        <v>1</v>
      </c>
      <c r="AJ381" t="s">
        <v>162</v>
      </c>
      <c r="AK381" t="s">
        <v>176</v>
      </c>
      <c r="AL381">
        <v>0</v>
      </c>
      <c r="AM381" t="s">
        <v>176</v>
      </c>
      <c r="AN381">
        <v>0</v>
      </c>
    </row>
    <row r="382" spans="1:40" x14ac:dyDescent="0.15">
      <c r="A382" s="4" t="str">
        <f>HYPERLINK("https://ibp.a2mac1.com/costing(costing:projects/details/9760/process/12084068)","Process")</f>
        <v>Process</v>
      </c>
      <c r="B382" t="s">
        <v>3435</v>
      </c>
      <c r="C382">
        <v>12084068</v>
      </c>
      <c r="D382">
        <v>8413058</v>
      </c>
      <c r="E382">
        <v>0</v>
      </c>
      <c r="F382">
        <v>0</v>
      </c>
      <c r="G382">
        <v>0</v>
      </c>
      <c r="H382">
        <v>0</v>
      </c>
      <c r="I382" t="s">
        <v>176</v>
      </c>
      <c r="J382">
        <v>0</v>
      </c>
      <c r="K382">
        <v>0</v>
      </c>
      <c r="L382">
        <v>0.74584222637887676</v>
      </c>
      <c r="M382">
        <v>2.6104477923260689</v>
      </c>
      <c r="N382">
        <v>2.6104477923260689</v>
      </c>
      <c r="O382" t="s">
        <v>90</v>
      </c>
      <c r="P382">
        <v>0</v>
      </c>
      <c r="Q382" t="s">
        <v>90</v>
      </c>
      <c r="R382">
        <v>0</v>
      </c>
      <c r="S382" t="s">
        <v>90</v>
      </c>
      <c r="T382">
        <v>0</v>
      </c>
      <c r="U382">
        <v>2.6104477923260689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210</v>
      </c>
      <c r="AB382">
        <v>1</v>
      </c>
      <c r="AC382">
        <v>0</v>
      </c>
      <c r="AD382">
        <v>0</v>
      </c>
      <c r="AE382">
        <v>10800</v>
      </c>
      <c r="AF382">
        <v>200000</v>
      </c>
      <c r="AG382">
        <v>10000</v>
      </c>
      <c r="AH382">
        <v>1</v>
      </c>
      <c r="AI382">
        <v>1</v>
      </c>
      <c r="AJ382" t="s">
        <v>76</v>
      </c>
      <c r="AK382" t="s">
        <v>176</v>
      </c>
      <c r="AL382">
        <v>0</v>
      </c>
      <c r="AM382" t="s">
        <v>176</v>
      </c>
      <c r="AN382">
        <v>0</v>
      </c>
    </row>
    <row r="383" spans="1:40" x14ac:dyDescent="0.15">
      <c r="A383" s="4" t="str">
        <f>HYPERLINK("https://ibp.a2mac1.com/costing(costing:projects/details/9760/process/12084077)","Process")</f>
        <v>Process</v>
      </c>
      <c r="B383" t="s">
        <v>3373</v>
      </c>
      <c r="C383">
        <v>12084077</v>
      </c>
      <c r="D383">
        <v>8413147</v>
      </c>
      <c r="E383">
        <v>38.704021883333333</v>
      </c>
      <c r="F383">
        <v>0</v>
      </c>
      <c r="G383">
        <v>0</v>
      </c>
      <c r="H383">
        <v>8.1482151333333338E-4</v>
      </c>
      <c r="I383" t="s">
        <v>176</v>
      </c>
      <c r="J383">
        <v>1.4259376483333333</v>
      </c>
      <c r="K383">
        <v>40.130774353180001</v>
      </c>
      <c r="L383">
        <v>1.613724081424089</v>
      </c>
      <c r="M383">
        <v>9.6823444885445333</v>
      </c>
      <c r="N383">
        <v>49.813118841724531</v>
      </c>
      <c r="O383" t="s">
        <v>177</v>
      </c>
      <c r="P383">
        <v>2.4078464611907999</v>
      </c>
      <c r="Q383" t="s">
        <v>177</v>
      </c>
      <c r="R383">
        <v>0.58094066931267196</v>
      </c>
      <c r="S383" t="s">
        <v>178</v>
      </c>
      <c r="T383">
        <v>5.9775742610069438</v>
      </c>
      <c r="U383">
        <v>58.779480233234949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917</v>
      </c>
      <c r="AB383">
        <v>1</v>
      </c>
      <c r="AC383">
        <v>0</v>
      </c>
      <c r="AD383">
        <v>1.9999600007999841E-3</v>
      </c>
      <c r="AE383">
        <v>10800</v>
      </c>
      <c r="AF383">
        <v>200000</v>
      </c>
      <c r="AG383">
        <v>16666.666666666668</v>
      </c>
      <c r="AH383">
        <v>1</v>
      </c>
      <c r="AI383">
        <v>1</v>
      </c>
      <c r="AJ383" t="s">
        <v>162</v>
      </c>
      <c r="AK383" t="s">
        <v>176</v>
      </c>
      <c r="AL383">
        <v>0</v>
      </c>
      <c r="AM383" t="s">
        <v>176</v>
      </c>
      <c r="AN383">
        <v>0</v>
      </c>
    </row>
    <row r="384" spans="1:40" x14ac:dyDescent="0.15">
      <c r="A384" s="4" t="str">
        <f>HYPERLINK("https://ibp.a2mac1.com/costing(costing:projects/details/9760/process/12084078)","Process")</f>
        <v>Process</v>
      </c>
      <c r="B384" t="s">
        <v>3373</v>
      </c>
      <c r="C384">
        <v>12084078</v>
      </c>
      <c r="D384">
        <v>8413148</v>
      </c>
      <c r="E384">
        <v>11.185475264444445</v>
      </c>
      <c r="F384">
        <v>0</v>
      </c>
      <c r="G384">
        <v>0</v>
      </c>
      <c r="H384">
        <v>2.3548368977777776E-4</v>
      </c>
      <c r="I384" t="s">
        <v>176</v>
      </c>
      <c r="J384">
        <v>0.41209645711111109</v>
      </c>
      <c r="K384">
        <v>11.597807205245333</v>
      </c>
      <c r="L384">
        <v>0.60118241258552763</v>
      </c>
      <c r="M384">
        <v>3.6070944755131658</v>
      </c>
      <c r="N384">
        <v>15.2049016807585</v>
      </c>
      <c r="O384" t="s">
        <v>177</v>
      </c>
      <c r="P384">
        <v>0.69586843231471995</v>
      </c>
      <c r="Q384" t="s">
        <v>177</v>
      </c>
      <c r="R384">
        <v>0.21642566853078996</v>
      </c>
      <c r="S384" t="s">
        <v>178</v>
      </c>
      <c r="T384">
        <v>1.82458820169102</v>
      </c>
      <c r="U384">
        <v>17.941783983295029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262</v>
      </c>
      <c r="AB384">
        <v>1</v>
      </c>
      <c r="AC384">
        <v>0</v>
      </c>
      <c r="AD384">
        <v>1.9999600007999841E-3</v>
      </c>
      <c r="AE384">
        <v>648000</v>
      </c>
      <c r="AF384">
        <v>200000</v>
      </c>
      <c r="AG384">
        <v>16666.666666666668</v>
      </c>
      <c r="AH384">
        <v>1</v>
      </c>
      <c r="AI384">
        <v>1</v>
      </c>
      <c r="AJ384" t="s">
        <v>162</v>
      </c>
      <c r="AK384" t="s">
        <v>176</v>
      </c>
      <c r="AL384">
        <v>0</v>
      </c>
      <c r="AM384" t="s">
        <v>176</v>
      </c>
      <c r="AN384">
        <v>0</v>
      </c>
    </row>
    <row r="385" spans="1:42" x14ac:dyDescent="0.15">
      <c r="A385" s="4" t="str">
        <f>HYPERLINK("https://ibp.a2mac1.com/costing(costing:projects/details/9760/process/12084060)","Process")</f>
        <v>Process</v>
      </c>
      <c r="B385" t="s">
        <v>3413</v>
      </c>
      <c r="C385">
        <v>12084060</v>
      </c>
      <c r="D385">
        <v>8412933</v>
      </c>
      <c r="E385">
        <v>0</v>
      </c>
      <c r="F385">
        <v>0</v>
      </c>
      <c r="G385">
        <v>0</v>
      </c>
      <c r="H385">
        <v>0</v>
      </c>
      <c r="I385" t="s">
        <v>176</v>
      </c>
      <c r="J385">
        <v>0</v>
      </c>
      <c r="K385">
        <v>0</v>
      </c>
      <c r="L385">
        <v>1.9055891697227718</v>
      </c>
      <c r="M385">
        <v>6.6695620940297013</v>
      </c>
      <c r="N385">
        <v>6.6695620940297013</v>
      </c>
      <c r="O385" t="s">
        <v>90</v>
      </c>
      <c r="P385">
        <v>0</v>
      </c>
      <c r="Q385" t="s">
        <v>90</v>
      </c>
      <c r="R385">
        <v>0</v>
      </c>
      <c r="S385" t="s">
        <v>90</v>
      </c>
      <c r="T385">
        <v>0</v>
      </c>
      <c r="U385">
        <v>6.6695620940297013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540</v>
      </c>
      <c r="AB385">
        <v>1</v>
      </c>
      <c r="AC385">
        <v>0</v>
      </c>
      <c r="AD385">
        <v>0</v>
      </c>
      <c r="AE385">
        <v>10800</v>
      </c>
      <c r="AF385">
        <v>200000</v>
      </c>
      <c r="AG385">
        <v>10000</v>
      </c>
      <c r="AH385">
        <v>1</v>
      </c>
      <c r="AI385">
        <v>1</v>
      </c>
      <c r="AJ385" t="s">
        <v>76</v>
      </c>
      <c r="AK385" t="s">
        <v>176</v>
      </c>
      <c r="AL385">
        <v>0</v>
      </c>
      <c r="AM385" t="s">
        <v>176</v>
      </c>
      <c r="AN385">
        <v>0</v>
      </c>
    </row>
    <row r="386" spans="1:42" x14ac:dyDescent="0.15">
      <c r="A386" s="4" t="str">
        <f>HYPERLINK("https://ibp.a2mac1.com/costing(costing:projects/details/9760/process/12084087)","Process")</f>
        <v>Process</v>
      </c>
      <c r="B386" t="s">
        <v>3494</v>
      </c>
      <c r="C386">
        <v>12084087</v>
      </c>
      <c r="D386">
        <v>8413260</v>
      </c>
      <c r="E386">
        <v>6.9947203283921606</v>
      </c>
      <c r="F386">
        <v>0.69164361764199289</v>
      </c>
      <c r="G386">
        <v>0</v>
      </c>
      <c r="H386">
        <v>1.4951921652349147E-4</v>
      </c>
      <c r="I386" t="s">
        <v>176</v>
      </c>
      <c r="J386">
        <v>0.26165862891611008</v>
      </c>
      <c r="K386">
        <v>7.972379620784257</v>
      </c>
      <c r="L386">
        <v>0.17455477346411627</v>
      </c>
      <c r="M386">
        <v>1.0473286407846976</v>
      </c>
      <c r="N386">
        <v>9.0197082615689546</v>
      </c>
      <c r="O386" t="s">
        <v>177</v>
      </c>
      <c r="P386">
        <v>0.47834277724705543</v>
      </c>
      <c r="Q386" t="s">
        <v>177</v>
      </c>
      <c r="R386">
        <v>6.283971844708186E-2</v>
      </c>
      <c r="S386" t="s">
        <v>178</v>
      </c>
      <c r="T386">
        <v>1.0823649913882745</v>
      </c>
      <c r="U386">
        <v>10.643255748651367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98</v>
      </c>
      <c r="AB386">
        <v>1</v>
      </c>
      <c r="AC386">
        <v>0</v>
      </c>
      <c r="AD386">
        <v>1.9999600007999841E-3</v>
      </c>
      <c r="AE386">
        <v>10800</v>
      </c>
      <c r="AF386">
        <v>200000</v>
      </c>
      <c r="AG386">
        <v>16666.666666666668</v>
      </c>
      <c r="AH386">
        <v>1</v>
      </c>
      <c r="AI386">
        <v>1</v>
      </c>
      <c r="AJ386" t="s">
        <v>162</v>
      </c>
      <c r="AK386" t="s">
        <v>176</v>
      </c>
      <c r="AL386">
        <v>2.4207526617469752E-2</v>
      </c>
      <c r="AM386" t="s">
        <v>176</v>
      </c>
      <c r="AN386">
        <v>0</v>
      </c>
      <c r="AP386">
        <v>0</v>
      </c>
    </row>
    <row r="387" spans="1:42" x14ac:dyDescent="0.15">
      <c r="A387" s="4" t="str">
        <f>HYPERLINK("https://ibp.a2mac1.com/costing(costing:projects/details/9760/process/12084088)","Process")</f>
        <v>Process</v>
      </c>
      <c r="B387" t="s">
        <v>3494</v>
      </c>
      <c r="C387">
        <v>12084088</v>
      </c>
      <c r="D387">
        <v>8413268</v>
      </c>
      <c r="E387">
        <v>3.8885491826395939</v>
      </c>
      <c r="F387">
        <v>0</v>
      </c>
      <c r="G387">
        <v>0</v>
      </c>
      <c r="H387">
        <v>7.8358673705583763E-5</v>
      </c>
      <c r="I387" t="s">
        <v>176</v>
      </c>
      <c r="J387">
        <v>0.13712767898477157</v>
      </c>
      <c r="K387">
        <v>4.0257552202980706</v>
      </c>
      <c r="L387">
        <v>0.66833569597541331</v>
      </c>
      <c r="M387">
        <v>4.0100141758524801</v>
      </c>
      <c r="N387">
        <v>8.0357693961505507</v>
      </c>
      <c r="O387" t="s">
        <v>177</v>
      </c>
      <c r="P387">
        <v>0.24154531321788428</v>
      </c>
      <c r="Q387" t="s">
        <v>177</v>
      </c>
      <c r="R387">
        <v>0.2406008505511488</v>
      </c>
      <c r="S387" t="s">
        <v>178</v>
      </c>
      <c r="T387">
        <v>0.96429232753806615</v>
      </c>
      <c r="U387">
        <v>9.4822078874576512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379</v>
      </c>
      <c r="AB387">
        <v>1</v>
      </c>
      <c r="AC387">
        <v>0</v>
      </c>
      <c r="AD387">
        <v>1.9999600007999841E-3</v>
      </c>
      <c r="AE387">
        <v>10800</v>
      </c>
      <c r="AF387">
        <v>200000</v>
      </c>
      <c r="AG387">
        <v>16666.666666666668</v>
      </c>
      <c r="AH387">
        <v>1</v>
      </c>
      <c r="AI387">
        <v>1</v>
      </c>
      <c r="AJ387" t="s">
        <v>162</v>
      </c>
      <c r="AK387" t="s">
        <v>176</v>
      </c>
      <c r="AL387">
        <v>0</v>
      </c>
      <c r="AM387" t="s">
        <v>176</v>
      </c>
      <c r="AN387">
        <v>0</v>
      </c>
    </row>
    <row r="388" spans="1:42" x14ac:dyDescent="0.15">
      <c r="A388" s="4" t="str">
        <f>HYPERLINK("https://ibp.a2mac1.com/costing(costing:projects/details/9760/process/12084061)","Final Assembly")</f>
        <v>Final Assembly</v>
      </c>
      <c r="B388" t="s">
        <v>3567</v>
      </c>
      <c r="C388">
        <v>12084061</v>
      </c>
      <c r="D388">
        <v>8412938</v>
      </c>
      <c r="E388">
        <v>0</v>
      </c>
      <c r="F388">
        <v>0</v>
      </c>
      <c r="G388">
        <v>0</v>
      </c>
      <c r="H388">
        <v>0</v>
      </c>
      <c r="I388" t="s">
        <v>176</v>
      </c>
      <c r="J388">
        <v>0</v>
      </c>
      <c r="K388">
        <v>0</v>
      </c>
      <c r="L388">
        <v>3.6804587362291104</v>
      </c>
      <c r="M388">
        <v>12.881605576801885</v>
      </c>
      <c r="N388">
        <v>12.881605576801885</v>
      </c>
      <c r="O388" t="s">
        <v>90</v>
      </c>
      <c r="P388">
        <v>0</v>
      </c>
      <c r="Q388" t="s">
        <v>90</v>
      </c>
      <c r="R388">
        <v>0</v>
      </c>
      <c r="S388" t="s">
        <v>90</v>
      </c>
      <c r="T388">
        <v>0</v>
      </c>
      <c r="U388">
        <v>12.881605576801885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1025</v>
      </c>
      <c r="AB388">
        <v>1</v>
      </c>
      <c r="AC388">
        <v>0</v>
      </c>
      <c r="AD388">
        <v>0</v>
      </c>
      <c r="AE388">
        <v>108000</v>
      </c>
      <c r="AF388">
        <v>200000</v>
      </c>
      <c r="AG388">
        <v>10000</v>
      </c>
      <c r="AH388">
        <v>1</v>
      </c>
      <c r="AI388">
        <v>1</v>
      </c>
      <c r="AJ388" t="s">
        <v>76</v>
      </c>
      <c r="AK388" t="s">
        <v>176</v>
      </c>
      <c r="AL388">
        <v>0</v>
      </c>
      <c r="AM388" t="s">
        <v>176</v>
      </c>
      <c r="AN388">
        <v>0</v>
      </c>
    </row>
    <row r="389" spans="1:42" x14ac:dyDescent="0.15">
      <c r="A389" s="4" t="str">
        <f>HYPERLINK("https://ibp.a2mac1.com/costing(costing:projects/details/9760/process/12084089)","Process")</f>
        <v>Process</v>
      </c>
      <c r="B389" t="s">
        <v>3494</v>
      </c>
      <c r="C389">
        <v>12084089</v>
      </c>
      <c r="D389">
        <v>8413273</v>
      </c>
      <c r="E389">
        <v>4.342664828474982</v>
      </c>
      <c r="F389">
        <v>0.69164361764199289</v>
      </c>
      <c r="G389">
        <v>0</v>
      </c>
      <c r="H389">
        <v>9.6098853483683833E-5</v>
      </c>
      <c r="I389" t="s">
        <v>176</v>
      </c>
      <c r="J389">
        <v>0.16817299359644669</v>
      </c>
      <c r="K389">
        <v>5.2267850651843748</v>
      </c>
      <c r="L389">
        <v>1.6404300061921472E-2</v>
      </c>
      <c r="M389">
        <v>9.8425800371528843E-2</v>
      </c>
      <c r="N389">
        <v>5.3252108655559036</v>
      </c>
      <c r="O389" t="s">
        <v>177</v>
      </c>
      <c r="P389">
        <v>0.3136071039110625</v>
      </c>
      <c r="Q389" t="s">
        <v>177</v>
      </c>
      <c r="R389">
        <v>5.9055480222917301E-3</v>
      </c>
      <c r="S389" t="s">
        <v>178</v>
      </c>
      <c r="T389">
        <v>0.63902530386670842</v>
      </c>
      <c r="U389">
        <v>6.2837488213559665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8</v>
      </c>
      <c r="AB389">
        <v>1</v>
      </c>
      <c r="AC389">
        <v>0</v>
      </c>
      <c r="AD389">
        <v>1.9999600007999841E-3</v>
      </c>
      <c r="AE389">
        <v>10800</v>
      </c>
      <c r="AF389">
        <v>200000</v>
      </c>
      <c r="AG389">
        <v>16666.666666666668</v>
      </c>
      <c r="AH389">
        <v>1</v>
      </c>
      <c r="AI389">
        <v>1</v>
      </c>
      <c r="AJ389" t="s">
        <v>162</v>
      </c>
      <c r="AK389" t="s">
        <v>176</v>
      </c>
      <c r="AL389">
        <v>2.4207526617469752E-2</v>
      </c>
      <c r="AM389" t="s">
        <v>176</v>
      </c>
      <c r="AN389">
        <v>0</v>
      </c>
    </row>
    <row r="390" spans="1:42" x14ac:dyDescent="0.15">
      <c r="A390" s="4" t="str">
        <f>HYPERLINK("https://ibp.a2mac1.com/costing(costing:projects/details/9760/process/12084062)","Final Assembly")</f>
        <v>Final Assembly</v>
      </c>
      <c r="B390" t="s">
        <v>3567</v>
      </c>
      <c r="C390">
        <v>12084062</v>
      </c>
      <c r="D390">
        <v>8412939</v>
      </c>
      <c r="E390">
        <v>0</v>
      </c>
      <c r="F390">
        <v>0</v>
      </c>
      <c r="G390">
        <v>0</v>
      </c>
      <c r="H390">
        <v>0</v>
      </c>
      <c r="I390" t="s">
        <v>176</v>
      </c>
      <c r="J390">
        <v>0</v>
      </c>
      <c r="K390">
        <v>0</v>
      </c>
      <c r="L390">
        <v>3.6804587362291104</v>
      </c>
      <c r="M390">
        <v>12.881605576801885</v>
      </c>
      <c r="N390">
        <v>12.881605576801885</v>
      </c>
      <c r="O390" t="s">
        <v>90</v>
      </c>
      <c r="P390">
        <v>0</v>
      </c>
      <c r="Q390" t="s">
        <v>90</v>
      </c>
      <c r="R390">
        <v>0</v>
      </c>
      <c r="S390" t="s">
        <v>90</v>
      </c>
      <c r="T390">
        <v>0</v>
      </c>
      <c r="U390">
        <v>12.881605576801885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1025</v>
      </c>
      <c r="AB390">
        <v>1</v>
      </c>
      <c r="AC390">
        <v>0</v>
      </c>
      <c r="AD390">
        <v>0</v>
      </c>
      <c r="AE390">
        <v>108000</v>
      </c>
      <c r="AF390">
        <v>200000</v>
      </c>
      <c r="AG390">
        <v>10000</v>
      </c>
      <c r="AH390">
        <v>1</v>
      </c>
      <c r="AI390">
        <v>1</v>
      </c>
      <c r="AJ390" t="s">
        <v>76</v>
      </c>
      <c r="AK390" t="s">
        <v>176</v>
      </c>
      <c r="AL390">
        <v>0</v>
      </c>
      <c r="AM390" t="s">
        <v>176</v>
      </c>
      <c r="AN390">
        <v>0</v>
      </c>
    </row>
    <row r="391" spans="1:42" x14ac:dyDescent="0.15">
      <c r="A391" s="4" t="str">
        <f>HYPERLINK("https://ibp.a2mac1.com/costing(costing:projects/details/9760/process/12084090)","Process")</f>
        <v>Process</v>
      </c>
      <c r="B391" t="s">
        <v>2762</v>
      </c>
      <c r="C391">
        <v>12084090</v>
      </c>
      <c r="D391">
        <v>8413318</v>
      </c>
      <c r="E391">
        <v>7.8686971707142854</v>
      </c>
      <c r="F391">
        <v>0</v>
      </c>
      <c r="G391">
        <v>0</v>
      </c>
      <c r="H391">
        <v>0.33026362772857143</v>
      </c>
      <c r="I391" t="s">
        <v>176</v>
      </c>
      <c r="J391">
        <v>0.2770668017857143</v>
      </c>
      <c r="K391">
        <v>8.476027600228571</v>
      </c>
      <c r="L391">
        <v>1.1282033041676254</v>
      </c>
      <c r="M391">
        <v>6.7692198250057523</v>
      </c>
      <c r="N391">
        <v>15.245247425234323</v>
      </c>
      <c r="O391" t="s">
        <v>177</v>
      </c>
      <c r="P391">
        <v>0.50856165601371428</v>
      </c>
      <c r="Q391" t="s">
        <v>177</v>
      </c>
      <c r="R391">
        <v>0.40615318950034518</v>
      </c>
      <c r="S391" t="s">
        <v>178</v>
      </c>
      <c r="T391">
        <v>1.8294296910281189</v>
      </c>
      <c r="U391">
        <v>17.989391961776501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615</v>
      </c>
      <c r="AB391">
        <v>1</v>
      </c>
      <c r="AC391">
        <v>4</v>
      </c>
      <c r="AD391">
        <v>4.004914948354644</v>
      </c>
      <c r="AE391">
        <v>10800</v>
      </c>
      <c r="AF391">
        <v>200000</v>
      </c>
      <c r="AG391">
        <v>16666.666666666668</v>
      </c>
      <c r="AH391">
        <v>1</v>
      </c>
      <c r="AI391">
        <v>1</v>
      </c>
      <c r="AJ391" t="s">
        <v>162</v>
      </c>
      <c r="AK391" t="s">
        <v>176</v>
      </c>
      <c r="AL391">
        <v>0</v>
      </c>
      <c r="AM391" t="s">
        <v>176</v>
      </c>
      <c r="AN391">
        <v>0</v>
      </c>
    </row>
    <row r="392" spans="1:42" x14ac:dyDescent="0.15">
      <c r="A392" s="4" t="str">
        <f>HYPERLINK("https://ibp.a2mac1.com/costing(costing:projects/details/9760/process/12084063)","Final Assy")</f>
        <v>Final Assy</v>
      </c>
      <c r="B392" t="s">
        <v>1854</v>
      </c>
      <c r="C392">
        <v>12084063</v>
      </c>
      <c r="D392">
        <v>8412940</v>
      </c>
      <c r="E392">
        <v>0</v>
      </c>
      <c r="F392">
        <v>0</v>
      </c>
      <c r="G392">
        <v>0</v>
      </c>
      <c r="H392">
        <v>0</v>
      </c>
      <c r="I392" t="s">
        <v>176</v>
      </c>
      <c r="J392">
        <v>0</v>
      </c>
      <c r="K392">
        <v>0</v>
      </c>
      <c r="L392">
        <v>3.2726848089978477</v>
      </c>
      <c r="M392">
        <v>11.454396831492467</v>
      </c>
      <c r="N392">
        <v>11.454396831492467</v>
      </c>
      <c r="O392" t="s">
        <v>90</v>
      </c>
      <c r="P392">
        <v>0</v>
      </c>
      <c r="Q392" t="s">
        <v>90</v>
      </c>
      <c r="R392">
        <v>0</v>
      </c>
      <c r="S392" t="s">
        <v>90</v>
      </c>
      <c r="T392">
        <v>0</v>
      </c>
      <c r="U392">
        <v>11.454396831492467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929</v>
      </c>
      <c r="AB392">
        <v>1</v>
      </c>
      <c r="AC392">
        <v>0</v>
      </c>
      <c r="AD392">
        <v>0</v>
      </c>
      <c r="AE392">
        <v>10800</v>
      </c>
      <c r="AF392">
        <v>200000</v>
      </c>
      <c r="AG392">
        <v>10000</v>
      </c>
      <c r="AH392">
        <v>1</v>
      </c>
      <c r="AI392">
        <v>1</v>
      </c>
      <c r="AJ392" t="s">
        <v>76</v>
      </c>
      <c r="AK392" t="s">
        <v>176</v>
      </c>
      <c r="AL392">
        <v>0</v>
      </c>
      <c r="AM392" t="s">
        <v>176</v>
      </c>
      <c r="AN392">
        <v>0</v>
      </c>
    </row>
    <row r="393" spans="1:42" x14ac:dyDescent="0.15">
      <c r="A393" s="4" t="str">
        <f>HYPERLINK("https://ibp.a2mac1.com/costing(costing:projects/details/9760/process/12084064)","Process")</f>
        <v>Process</v>
      </c>
      <c r="C393">
        <v>12084064</v>
      </c>
      <c r="D393">
        <v>8412941</v>
      </c>
      <c r="E393">
        <v>0</v>
      </c>
      <c r="F393">
        <v>0</v>
      </c>
      <c r="G393">
        <v>0</v>
      </c>
      <c r="H393">
        <v>0</v>
      </c>
      <c r="I393" t="s">
        <v>176</v>
      </c>
      <c r="J393">
        <v>0</v>
      </c>
      <c r="K393">
        <v>0</v>
      </c>
      <c r="L393">
        <v>0.44563349954871095</v>
      </c>
      <c r="M393">
        <v>1.5597172484204884</v>
      </c>
      <c r="N393">
        <v>1.5597172484204884</v>
      </c>
      <c r="O393" t="s">
        <v>90</v>
      </c>
      <c r="P393">
        <v>0</v>
      </c>
      <c r="Q393" t="s">
        <v>90</v>
      </c>
      <c r="R393">
        <v>0</v>
      </c>
      <c r="S393" t="s">
        <v>90</v>
      </c>
      <c r="T393">
        <v>0</v>
      </c>
      <c r="U393">
        <v>1.5597172484204884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60</v>
      </c>
      <c r="AB393">
        <v>1</v>
      </c>
      <c r="AC393">
        <v>0.5</v>
      </c>
      <c r="AD393">
        <v>0.50741219779126456</v>
      </c>
      <c r="AE393">
        <v>1800</v>
      </c>
      <c r="AF393">
        <v>200000</v>
      </c>
      <c r="AG393">
        <v>10000</v>
      </c>
      <c r="AH393">
        <v>1</v>
      </c>
      <c r="AI393">
        <v>1</v>
      </c>
      <c r="AJ393" t="s">
        <v>76</v>
      </c>
      <c r="AK393" t="s">
        <v>176</v>
      </c>
      <c r="AL393">
        <v>0</v>
      </c>
      <c r="AM393" t="s">
        <v>176</v>
      </c>
      <c r="AN393">
        <v>0</v>
      </c>
    </row>
    <row r="394" spans="1:42" x14ac:dyDescent="0.15">
      <c r="A394" s="4" t="str">
        <f>HYPERLINK("https://ibp.a2mac1.com/costing(costing:projects/details/9760/process/12084693)","Automated Process")</f>
        <v>Automated Process</v>
      </c>
      <c r="B394" t="s">
        <v>3728</v>
      </c>
      <c r="C394">
        <v>12084693</v>
      </c>
      <c r="D394">
        <v>8414952</v>
      </c>
      <c r="E394">
        <v>3.458667177777778</v>
      </c>
      <c r="F394">
        <v>0</v>
      </c>
      <c r="G394">
        <v>0</v>
      </c>
      <c r="H394">
        <v>1.7500855919555556E-2</v>
      </c>
      <c r="I394" t="s">
        <v>176</v>
      </c>
      <c r="J394">
        <v>0.12105335122222222</v>
      </c>
      <c r="K394">
        <v>3.5972213849195556</v>
      </c>
      <c r="L394">
        <v>9.4194660272527514E-2</v>
      </c>
      <c r="M394">
        <v>0.56516796163516514</v>
      </c>
      <c r="N394">
        <v>4.162389346554721</v>
      </c>
      <c r="O394" t="s">
        <v>177</v>
      </c>
      <c r="P394">
        <v>0.21583328309517333</v>
      </c>
      <c r="Q394" t="s">
        <v>177</v>
      </c>
      <c r="R394">
        <v>3.3910077698109907E-2</v>
      </c>
      <c r="S394" t="s">
        <v>178</v>
      </c>
      <c r="T394">
        <v>0.49948672158656648</v>
      </c>
      <c r="U394">
        <v>4.9116194289345705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52</v>
      </c>
      <c r="AB394">
        <v>1</v>
      </c>
      <c r="AC394">
        <v>0.5</v>
      </c>
      <c r="AD394">
        <v>0.50345253019720215</v>
      </c>
      <c r="AE394">
        <v>10800</v>
      </c>
      <c r="AF394">
        <v>200000</v>
      </c>
      <c r="AG394">
        <v>16666.666666666668</v>
      </c>
      <c r="AH394">
        <v>1</v>
      </c>
      <c r="AI394">
        <v>1</v>
      </c>
      <c r="AJ394" t="s">
        <v>162</v>
      </c>
      <c r="AK394" t="s">
        <v>176</v>
      </c>
      <c r="AL394">
        <v>0</v>
      </c>
      <c r="AM394" t="s">
        <v>176</v>
      </c>
      <c r="AN394">
        <v>0</v>
      </c>
    </row>
    <row r="395" spans="1:42" x14ac:dyDescent="0.15">
      <c r="A395" s="4" t="str">
        <f>HYPERLINK("https://ibp.a2mac1.com/costing(costing:projects/details/9760/process/12084694)","Automated Process")</f>
        <v>Automated Process</v>
      </c>
      <c r="B395" t="s">
        <v>753</v>
      </c>
      <c r="C395">
        <v>12084694</v>
      </c>
      <c r="D395">
        <v>8414953</v>
      </c>
      <c r="E395">
        <v>0.33</v>
      </c>
      <c r="F395">
        <v>0</v>
      </c>
      <c r="G395">
        <v>0</v>
      </c>
      <c r="H395">
        <v>1.6697999999999999E-3</v>
      </c>
      <c r="I395" t="s">
        <v>176</v>
      </c>
      <c r="J395">
        <v>1.155E-2</v>
      </c>
      <c r="K395">
        <v>0.34321980000000002</v>
      </c>
      <c r="L395">
        <v>4.1212148323563194E-2</v>
      </c>
      <c r="M395">
        <v>0.24727288994137919</v>
      </c>
      <c r="N395">
        <v>0.59049268994137916</v>
      </c>
      <c r="O395" t="s">
        <v>177</v>
      </c>
      <c r="P395">
        <v>2.0593187999999998E-2</v>
      </c>
      <c r="Q395" t="s">
        <v>177</v>
      </c>
      <c r="R395">
        <v>1.4836373396482751E-2</v>
      </c>
      <c r="S395" t="s">
        <v>178</v>
      </c>
      <c r="T395">
        <v>7.0859122792965495E-2</v>
      </c>
      <c r="U395">
        <v>0.69678137413082741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22</v>
      </c>
      <c r="AB395">
        <v>1</v>
      </c>
      <c r="AC395">
        <v>0.5</v>
      </c>
      <c r="AD395">
        <v>0.50345253019720215</v>
      </c>
      <c r="AE395">
        <v>10800</v>
      </c>
      <c r="AF395">
        <v>200000</v>
      </c>
      <c r="AG395">
        <v>16666.666666666668</v>
      </c>
      <c r="AH395">
        <v>1</v>
      </c>
      <c r="AI395">
        <v>1</v>
      </c>
      <c r="AJ395" t="s">
        <v>162</v>
      </c>
      <c r="AK395" t="s">
        <v>176</v>
      </c>
      <c r="AL395">
        <v>0</v>
      </c>
      <c r="AM395" t="s">
        <v>176</v>
      </c>
      <c r="AN395">
        <v>0</v>
      </c>
    </row>
    <row r="396" spans="1:42" x14ac:dyDescent="0.15">
      <c r="A396" s="4" t="str">
        <f>HYPERLINK("https://ibp.a2mac1.com/costing(costing:projects/details/9760/process/12084592)","Automated Process")</f>
        <v>Automated Process</v>
      </c>
      <c r="B396" t="s">
        <v>2202</v>
      </c>
      <c r="C396">
        <v>12084592</v>
      </c>
      <c r="D396">
        <v>8414795</v>
      </c>
      <c r="E396">
        <v>27.38</v>
      </c>
      <c r="F396">
        <v>0</v>
      </c>
      <c r="G396">
        <v>0</v>
      </c>
      <c r="H396">
        <v>0.13854279999999999</v>
      </c>
      <c r="I396" t="s">
        <v>176</v>
      </c>
      <c r="J396">
        <v>0.95830000000000004</v>
      </c>
      <c r="K396">
        <v>28.4768428</v>
      </c>
      <c r="L396">
        <v>3.2837418796001794</v>
      </c>
      <c r="M396">
        <v>19.702451277601078</v>
      </c>
      <c r="N396">
        <v>48.179294077601078</v>
      </c>
      <c r="O396" t="s">
        <v>177</v>
      </c>
      <c r="P396">
        <v>1.7086105680000001</v>
      </c>
      <c r="Q396" t="s">
        <v>177</v>
      </c>
      <c r="R396">
        <v>1.1821470766560647</v>
      </c>
      <c r="S396" t="s">
        <v>178</v>
      </c>
      <c r="T396">
        <v>5.7815152893121295</v>
      </c>
      <c r="U396">
        <v>56.851567011569273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1858</v>
      </c>
      <c r="AB396">
        <v>1</v>
      </c>
      <c r="AC396">
        <v>0.5</v>
      </c>
      <c r="AD396">
        <v>0.50345253019720215</v>
      </c>
      <c r="AE396">
        <v>10800</v>
      </c>
      <c r="AF396">
        <v>200000</v>
      </c>
      <c r="AG396">
        <v>16666.666666666668</v>
      </c>
      <c r="AH396">
        <v>1</v>
      </c>
      <c r="AI396">
        <v>1</v>
      </c>
      <c r="AJ396" t="s">
        <v>162</v>
      </c>
      <c r="AK396" t="s">
        <v>176</v>
      </c>
      <c r="AL396">
        <v>0</v>
      </c>
      <c r="AM396" t="s">
        <v>176</v>
      </c>
      <c r="AN396">
        <v>0</v>
      </c>
    </row>
    <row r="397" spans="1:42" x14ac:dyDescent="0.15">
      <c r="A397" s="4" t="str">
        <f>HYPERLINK("https://ibp.a2mac1.com/costing(costing:projects/details/9760/process/12084593)","Automated Process")</f>
        <v>Automated Process</v>
      </c>
      <c r="B397" t="s">
        <v>2202</v>
      </c>
      <c r="C397">
        <v>12084593</v>
      </c>
      <c r="D397">
        <v>8414796</v>
      </c>
      <c r="E397">
        <v>2.4885631578947368E-2</v>
      </c>
      <c r="F397">
        <v>0</v>
      </c>
      <c r="G397">
        <v>0</v>
      </c>
      <c r="H397">
        <v>1.2592129578947367E-4</v>
      </c>
      <c r="I397" t="s">
        <v>176</v>
      </c>
      <c r="J397">
        <v>8.7099710526315787E-4</v>
      </c>
      <c r="K397">
        <v>2.5882549979999999E-2</v>
      </c>
      <c r="L397">
        <v>4.1243899592881732E-3</v>
      </c>
      <c r="M397">
        <v>2.4746339755729041E-2</v>
      </c>
      <c r="N397">
        <v>5.0628889735729037E-2</v>
      </c>
      <c r="O397" t="s">
        <v>177</v>
      </c>
      <c r="P397">
        <v>1.5529529988E-3</v>
      </c>
      <c r="Q397" t="s">
        <v>177</v>
      </c>
      <c r="R397">
        <v>1.4847803853437424E-3</v>
      </c>
      <c r="S397" t="s">
        <v>178</v>
      </c>
      <c r="T397">
        <v>6.0754667682874847E-3</v>
      </c>
      <c r="U397">
        <v>5.9742089888160266E-2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0.5</v>
      </c>
      <c r="AD397">
        <v>0.50345253019720215</v>
      </c>
      <c r="AE397">
        <v>10800</v>
      </c>
      <c r="AF397">
        <v>200000</v>
      </c>
      <c r="AG397">
        <v>16666.666666666668</v>
      </c>
      <c r="AH397">
        <v>1</v>
      </c>
      <c r="AI397">
        <v>1</v>
      </c>
      <c r="AJ397" t="s">
        <v>162</v>
      </c>
      <c r="AK397" t="s">
        <v>176</v>
      </c>
      <c r="AL397">
        <v>0</v>
      </c>
      <c r="AM397" t="s">
        <v>176</v>
      </c>
      <c r="AN397">
        <v>0</v>
      </c>
    </row>
    <row r="398" spans="1:42" x14ac:dyDescent="0.15">
      <c r="A398" s="4" t="str">
        <f>HYPERLINK("https://ibp.a2mac1.com/costing(costing:projects/details/9760/process/12084695)","Automated Process")</f>
        <v>Automated Process</v>
      </c>
      <c r="B398" t="s">
        <v>2202</v>
      </c>
      <c r="C398">
        <v>12084695</v>
      </c>
      <c r="D398">
        <v>8414954</v>
      </c>
      <c r="E398">
        <v>0.47</v>
      </c>
      <c r="F398">
        <v>0</v>
      </c>
      <c r="G398">
        <v>0</v>
      </c>
      <c r="H398">
        <v>2.3782E-3</v>
      </c>
      <c r="I398" t="s">
        <v>176</v>
      </c>
      <c r="J398">
        <v>1.6449999999999999E-2</v>
      </c>
      <c r="K398">
        <v>0.48882819999999999</v>
      </c>
      <c r="L398">
        <v>4.651039951845963E-2</v>
      </c>
      <c r="M398">
        <v>0.27906239711075775</v>
      </c>
      <c r="N398">
        <v>0.7678905971107578</v>
      </c>
      <c r="O398" t="s">
        <v>90</v>
      </c>
      <c r="P398">
        <v>0</v>
      </c>
      <c r="Q398" t="s">
        <v>90</v>
      </c>
      <c r="R398">
        <v>0</v>
      </c>
      <c r="S398" t="s">
        <v>90</v>
      </c>
      <c r="T398">
        <v>0</v>
      </c>
      <c r="U398">
        <v>0.7678905971107578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25</v>
      </c>
      <c r="AB398">
        <v>1</v>
      </c>
      <c r="AC398">
        <v>0.5</v>
      </c>
      <c r="AD398">
        <v>0.50345253019720215</v>
      </c>
      <c r="AE398">
        <v>10800</v>
      </c>
      <c r="AF398">
        <v>200000</v>
      </c>
      <c r="AG398">
        <v>16666.666666666668</v>
      </c>
      <c r="AH398">
        <v>1</v>
      </c>
      <c r="AI398">
        <v>1</v>
      </c>
      <c r="AJ398" t="s">
        <v>162</v>
      </c>
      <c r="AK398" t="s">
        <v>176</v>
      </c>
      <c r="AL398">
        <v>0</v>
      </c>
      <c r="AM398" t="s">
        <v>176</v>
      </c>
      <c r="AN398">
        <v>0</v>
      </c>
    </row>
    <row r="399" spans="1:42" x14ac:dyDescent="0.15">
      <c r="A399" s="4" t="str">
        <f>HYPERLINK("https://ibp.a2mac1.com/costing(costing:projects/details/9760/process/12084696)","Automated Process")</f>
        <v>Automated Process</v>
      </c>
      <c r="B399" t="s">
        <v>3754</v>
      </c>
      <c r="C399">
        <v>12084696</v>
      </c>
      <c r="D399">
        <v>8414955</v>
      </c>
      <c r="E399">
        <v>4.21</v>
      </c>
      <c r="F399">
        <v>0</v>
      </c>
      <c r="G399">
        <v>0</v>
      </c>
      <c r="H399">
        <v>2.1302600000000001E-2</v>
      </c>
      <c r="I399" t="s">
        <v>176</v>
      </c>
      <c r="J399">
        <v>0.14735000000000001</v>
      </c>
      <c r="K399">
        <v>4.3786525999999997</v>
      </c>
      <c r="L399">
        <v>0.55690859796014924</v>
      </c>
      <c r="M399">
        <v>3.3414515877608957</v>
      </c>
      <c r="N399">
        <v>7.7201041877608958</v>
      </c>
      <c r="O399" t="s">
        <v>90</v>
      </c>
      <c r="P399">
        <v>0</v>
      </c>
      <c r="Q399" t="s">
        <v>90</v>
      </c>
      <c r="R399">
        <v>0</v>
      </c>
      <c r="S399" t="s">
        <v>90</v>
      </c>
      <c r="T399">
        <v>0</v>
      </c>
      <c r="U399">
        <v>7.7201041877608958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314</v>
      </c>
      <c r="AB399">
        <v>1</v>
      </c>
      <c r="AC399">
        <v>0.5</v>
      </c>
      <c r="AD399">
        <v>0.50345253019720215</v>
      </c>
      <c r="AE399">
        <v>10800</v>
      </c>
      <c r="AF399">
        <v>200000</v>
      </c>
      <c r="AG399">
        <v>16666.666666666668</v>
      </c>
      <c r="AH399">
        <v>1</v>
      </c>
      <c r="AI399">
        <v>1</v>
      </c>
      <c r="AJ399" t="s">
        <v>162</v>
      </c>
      <c r="AK399" t="s">
        <v>176</v>
      </c>
      <c r="AL399">
        <v>0</v>
      </c>
      <c r="AM399" t="s">
        <v>176</v>
      </c>
      <c r="AN399">
        <v>0</v>
      </c>
    </row>
    <row r="400" spans="1:42" x14ac:dyDescent="0.15">
      <c r="A400" s="4" t="str">
        <f>HYPERLINK("https://ibp.a2mac1.com/costing(costing:projects/details/9760/process/12084697)","Automated Process")</f>
        <v>Automated Process</v>
      </c>
      <c r="B400" t="s">
        <v>794</v>
      </c>
      <c r="C400">
        <v>12084697</v>
      </c>
      <c r="D400">
        <v>8414956</v>
      </c>
      <c r="E400">
        <v>0.41</v>
      </c>
      <c r="F400">
        <v>0</v>
      </c>
      <c r="G400">
        <v>0</v>
      </c>
      <c r="H400">
        <v>2.0745999999999998E-3</v>
      </c>
      <c r="I400" t="s">
        <v>176</v>
      </c>
      <c r="J400">
        <v>1.435E-2</v>
      </c>
      <c r="K400">
        <v>0.42642459999999999</v>
      </c>
      <c r="L400">
        <v>4.1212148323563194E-2</v>
      </c>
      <c r="M400">
        <v>0.24727288994137919</v>
      </c>
      <c r="N400">
        <v>0.67369748994137924</v>
      </c>
      <c r="O400" t="s">
        <v>90</v>
      </c>
      <c r="P400">
        <v>0</v>
      </c>
      <c r="Q400" t="s">
        <v>90</v>
      </c>
      <c r="R400">
        <v>0</v>
      </c>
      <c r="S400" t="s">
        <v>90</v>
      </c>
      <c r="T400">
        <v>0</v>
      </c>
      <c r="U400">
        <v>0.67369748994137924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22</v>
      </c>
      <c r="AB400">
        <v>1</v>
      </c>
      <c r="AC400">
        <v>0.5</v>
      </c>
      <c r="AD400">
        <v>0.50345253019720215</v>
      </c>
      <c r="AE400">
        <v>10800</v>
      </c>
      <c r="AF400">
        <v>200000</v>
      </c>
      <c r="AG400">
        <v>16666.666666666668</v>
      </c>
      <c r="AH400">
        <v>1</v>
      </c>
      <c r="AI400">
        <v>1</v>
      </c>
      <c r="AJ400" t="s">
        <v>162</v>
      </c>
      <c r="AK400" t="s">
        <v>176</v>
      </c>
      <c r="AL400">
        <v>0</v>
      </c>
      <c r="AM400" t="s">
        <v>176</v>
      </c>
      <c r="AN400">
        <v>0</v>
      </c>
    </row>
    <row r="401" spans="1:40" x14ac:dyDescent="0.15">
      <c r="A401" s="4" t="str">
        <f>HYPERLINK("https://ibp.a2mac1.com/costing(costing:projects/details/9760/process/12084698)","Automated Process")</f>
        <v>Automated Process</v>
      </c>
      <c r="B401" t="s">
        <v>3754</v>
      </c>
      <c r="C401">
        <v>12084698</v>
      </c>
      <c r="D401">
        <v>8414957</v>
      </c>
      <c r="E401">
        <v>4.47</v>
      </c>
      <c r="F401">
        <v>0</v>
      </c>
      <c r="G401">
        <v>0</v>
      </c>
      <c r="H401">
        <v>2.2618200000000001E-2</v>
      </c>
      <c r="I401" t="s">
        <v>176</v>
      </c>
      <c r="J401">
        <v>0.15645000000000001</v>
      </c>
      <c r="K401">
        <v>4.6490682000000003</v>
      </c>
      <c r="L401">
        <v>0.59223027259279215</v>
      </c>
      <c r="M401">
        <v>3.5533816355567529</v>
      </c>
      <c r="N401">
        <v>8.2024498355567523</v>
      </c>
      <c r="O401" t="s">
        <v>90</v>
      </c>
      <c r="P401">
        <v>0</v>
      </c>
      <c r="Q401" t="s">
        <v>90</v>
      </c>
      <c r="R401">
        <v>0</v>
      </c>
      <c r="S401" t="s">
        <v>90</v>
      </c>
      <c r="T401">
        <v>0</v>
      </c>
      <c r="U401">
        <v>8.2024498355567523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334</v>
      </c>
      <c r="AB401">
        <v>1</v>
      </c>
      <c r="AC401">
        <v>0.5</v>
      </c>
      <c r="AD401">
        <v>0.50345253019720215</v>
      </c>
      <c r="AE401">
        <v>10800</v>
      </c>
      <c r="AF401">
        <v>200000</v>
      </c>
      <c r="AG401">
        <v>16666.666666666668</v>
      </c>
      <c r="AH401">
        <v>1</v>
      </c>
      <c r="AI401">
        <v>1</v>
      </c>
      <c r="AJ401" t="s">
        <v>162</v>
      </c>
      <c r="AK401" t="s">
        <v>176</v>
      </c>
      <c r="AL401">
        <v>0</v>
      </c>
      <c r="AM401" t="s">
        <v>176</v>
      </c>
      <c r="AN401">
        <v>0</v>
      </c>
    </row>
    <row r="402" spans="1:40" x14ac:dyDescent="0.15">
      <c r="A402" s="4" t="str">
        <f>HYPERLINK("https://ibp.a2mac1.com/costing(costing:projects/details/9760/process/12084699)","Automated Process")</f>
        <v>Automated Process</v>
      </c>
      <c r="B402" t="s">
        <v>3754</v>
      </c>
      <c r="C402">
        <v>12084699</v>
      </c>
      <c r="D402">
        <v>8414958</v>
      </c>
      <c r="E402">
        <v>9.08</v>
      </c>
      <c r="F402">
        <v>0</v>
      </c>
      <c r="G402">
        <v>0</v>
      </c>
      <c r="H402">
        <v>4.5944800000000001E-2</v>
      </c>
      <c r="I402" t="s">
        <v>176</v>
      </c>
      <c r="J402">
        <v>0.31780000000000003</v>
      </c>
      <c r="K402">
        <v>9.4437447999999993</v>
      </c>
      <c r="L402">
        <v>1.2015291600058817</v>
      </c>
      <c r="M402">
        <v>7.2091749600352912</v>
      </c>
      <c r="N402">
        <v>16.652919760035292</v>
      </c>
      <c r="O402" t="s">
        <v>90</v>
      </c>
      <c r="P402">
        <v>0</v>
      </c>
      <c r="Q402" t="s">
        <v>90</v>
      </c>
      <c r="R402">
        <v>0</v>
      </c>
      <c r="S402" t="s">
        <v>90</v>
      </c>
      <c r="T402">
        <v>0</v>
      </c>
      <c r="U402">
        <v>16.652919760035292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679</v>
      </c>
      <c r="AB402">
        <v>1</v>
      </c>
      <c r="AC402">
        <v>0.5</v>
      </c>
      <c r="AD402">
        <v>0.50345253019720215</v>
      </c>
      <c r="AE402">
        <v>10800</v>
      </c>
      <c r="AF402">
        <v>200000</v>
      </c>
      <c r="AG402">
        <v>16666.666666666668</v>
      </c>
      <c r="AH402">
        <v>1</v>
      </c>
      <c r="AI402">
        <v>1</v>
      </c>
      <c r="AJ402" t="s">
        <v>162</v>
      </c>
      <c r="AK402" t="s">
        <v>176</v>
      </c>
      <c r="AL402">
        <v>0</v>
      </c>
      <c r="AM402" t="s">
        <v>176</v>
      </c>
      <c r="AN402">
        <v>0</v>
      </c>
    </row>
    <row r="403" spans="1:40" x14ac:dyDescent="0.15">
      <c r="A403" s="4" t="str">
        <f>HYPERLINK("https://ibp.a2mac1.com/costing(costing:projects/details/9760/process/12084700)","Automated Process")</f>
        <v>Automated Process</v>
      </c>
      <c r="B403" t="s">
        <v>794</v>
      </c>
      <c r="C403">
        <v>12084700</v>
      </c>
      <c r="D403">
        <v>8414959</v>
      </c>
      <c r="E403">
        <v>0.04</v>
      </c>
      <c r="F403">
        <v>0</v>
      </c>
      <c r="G403">
        <v>0</v>
      </c>
      <c r="H403">
        <v>2.0239999999999999E-4</v>
      </c>
      <c r="I403" t="s">
        <v>176</v>
      </c>
      <c r="J403">
        <v>1.4E-3</v>
      </c>
      <c r="K403">
        <v>4.1602399999999998E-2</v>
      </c>
      <c r="L403">
        <v>5.8904736909203177E-3</v>
      </c>
      <c r="M403">
        <v>3.5342842145521906E-2</v>
      </c>
      <c r="N403">
        <v>7.6945242145521897E-2</v>
      </c>
      <c r="O403" t="s">
        <v>90</v>
      </c>
      <c r="P403">
        <v>0</v>
      </c>
      <c r="Q403" t="s">
        <v>90</v>
      </c>
      <c r="R403">
        <v>0</v>
      </c>
      <c r="S403" t="s">
        <v>90</v>
      </c>
      <c r="T403">
        <v>0</v>
      </c>
      <c r="U403">
        <v>7.6945242145521897E-2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2</v>
      </c>
      <c r="AB403">
        <v>1</v>
      </c>
      <c r="AC403">
        <v>0.5</v>
      </c>
      <c r="AD403">
        <v>0.50345253019720215</v>
      </c>
      <c r="AE403">
        <v>10800</v>
      </c>
      <c r="AF403">
        <v>200000</v>
      </c>
      <c r="AG403">
        <v>16666.666666666668</v>
      </c>
      <c r="AH403">
        <v>1</v>
      </c>
      <c r="AI403">
        <v>1</v>
      </c>
      <c r="AJ403" t="s">
        <v>162</v>
      </c>
      <c r="AK403" t="s">
        <v>176</v>
      </c>
      <c r="AL403">
        <v>0</v>
      </c>
      <c r="AM403" t="s">
        <v>176</v>
      </c>
      <c r="AN403">
        <v>0</v>
      </c>
    </row>
    <row r="404" spans="1:40" x14ac:dyDescent="0.15">
      <c r="A404" s="4" t="str">
        <f>HYPERLINK("https://ibp.a2mac1.com/costing(costing:projects/details/9760/process/12084594)","Automated Process")</f>
        <v>Automated Process</v>
      </c>
      <c r="B404" t="s">
        <v>2202</v>
      </c>
      <c r="C404">
        <v>12084594</v>
      </c>
      <c r="D404">
        <v>8414798</v>
      </c>
      <c r="E404">
        <v>0.18</v>
      </c>
      <c r="F404">
        <v>0</v>
      </c>
      <c r="G404">
        <v>0</v>
      </c>
      <c r="H404">
        <v>9.1080000000000002E-4</v>
      </c>
      <c r="I404" t="s">
        <v>176</v>
      </c>
      <c r="J404">
        <v>6.3E-3</v>
      </c>
      <c r="K404">
        <v>0.18721080000000001</v>
      </c>
      <c r="L404">
        <v>2.3551311007241758E-2</v>
      </c>
      <c r="M404">
        <v>0.14130786604345055</v>
      </c>
      <c r="N404">
        <v>0.32851866604345054</v>
      </c>
      <c r="O404" t="s">
        <v>90</v>
      </c>
      <c r="P404">
        <v>0</v>
      </c>
      <c r="Q404" t="s">
        <v>90</v>
      </c>
      <c r="R404">
        <v>0</v>
      </c>
      <c r="S404" t="s">
        <v>90</v>
      </c>
      <c r="T404">
        <v>0</v>
      </c>
      <c r="U404">
        <v>0.32851866604345054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12</v>
      </c>
      <c r="AB404">
        <v>1</v>
      </c>
      <c r="AC404">
        <v>0.5</v>
      </c>
      <c r="AD404">
        <v>0.50345253019720215</v>
      </c>
      <c r="AE404">
        <v>10800</v>
      </c>
      <c r="AF404">
        <v>200000</v>
      </c>
      <c r="AG404">
        <v>16666.666666666668</v>
      </c>
      <c r="AH404">
        <v>1</v>
      </c>
      <c r="AI404">
        <v>1</v>
      </c>
      <c r="AJ404" t="s">
        <v>162</v>
      </c>
      <c r="AK404" t="s">
        <v>176</v>
      </c>
      <c r="AL404">
        <v>0</v>
      </c>
      <c r="AM404" t="s">
        <v>176</v>
      </c>
      <c r="AN404">
        <v>0</v>
      </c>
    </row>
    <row r="405" spans="1:40" x14ac:dyDescent="0.15">
      <c r="A405" s="4" t="str">
        <f>HYPERLINK("https://ibp.a2mac1.com/costing(costing:projects/details/9760/process/12084595)","Automated Process")</f>
        <v>Automated Process</v>
      </c>
      <c r="B405" t="s">
        <v>2202</v>
      </c>
      <c r="C405">
        <v>12084595</v>
      </c>
      <c r="D405">
        <v>8414799</v>
      </c>
      <c r="E405">
        <v>0.18</v>
      </c>
      <c r="F405">
        <v>0</v>
      </c>
      <c r="G405">
        <v>0</v>
      </c>
      <c r="H405">
        <v>9.1080000000000002E-4</v>
      </c>
      <c r="I405" t="s">
        <v>176</v>
      </c>
      <c r="J405">
        <v>6.3E-3</v>
      </c>
      <c r="K405">
        <v>0.18721080000000001</v>
      </c>
      <c r="L405">
        <v>2.3551311007241758E-2</v>
      </c>
      <c r="M405">
        <v>0.14130786604345055</v>
      </c>
      <c r="N405">
        <v>0.32851866604345054</v>
      </c>
      <c r="O405" t="s">
        <v>90</v>
      </c>
      <c r="P405">
        <v>0</v>
      </c>
      <c r="Q405" t="s">
        <v>90</v>
      </c>
      <c r="R405">
        <v>0</v>
      </c>
      <c r="S405" t="s">
        <v>90</v>
      </c>
      <c r="T405">
        <v>0</v>
      </c>
      <c r="U405">
        <v>0.32851866604345054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12</v>
      </c>
      <c r="AB405">
        <v>1</v>
      </c>
      <c r="AC405">
        <v>0.5</v>
      </c>
      <c r="AD405">
        <v>0.50345253019720215</v>
      </c>
      <c r="AE405">
        <v>10800</v>
      </c>
      <c r="AF405">
        <v>200000</v>
      </c>
      <c r="AG405">
        <v>16666.666666666668</v>
      </c>
      <c r="AH405">
        <v>1</v>
      </c>
      <c r="AI405">
        <v>1</v>
      </c>
      <c r="AJ405" t="s">
        <v>162</v>
      </c>
      <c r="AK405" t="s">
        <v>176</v>
      </c>
      <c r="AL405">
        <v>0</v>
      </c>
      <c r="AM405" t="s">
        <v>176</v>
      </c>
      <c r="AN405">
        <v>0</v>
      </c>
    </row>
    <row r="406" spans="1:40" x14ac:dyDescent="0.15">
      <c r="A406" s="4" t="str">
        <f>HYPERLINK("https://ibp.a2mac1.com/costing(costing:projects/details/9760/process/12084596)","Automated Process")</f>
        <v>Automated Process</v>
      </c>
      <c r="B406" t="s">
        <v>2202</v>
      </c>
      <c r="C406">
        <v>12084596</v>
      </c>
      <c r="D406">
        <v>8414800</v>
      </c>
      <c r="E406">
        <v>0.25</v>
      </c>
      <c r="F406">
        <v>0</v>
      </c>
      <c r="G406">
        <v>0</v>
      </c>
      <c r="H406">
        <v>1.2650000000000001E-3</v>
      </c>
      <c r="I406" t="s">
        <v>176</v>
      </c>
      <c r="J406">
        <v>8.7500000000000008E-3</v>
      </c>
      <c r="K406">
        <v>0.260015</v>
      </c>
      <c r="L406">
        <v>2.5317394738873903E-2</v>
      </c>
      <c r="M406">
        <v>0.1519043684332434</v>
      </c>
      <c r="N406">
        <v>0.41191936843324339</v>
      </c>
      <c r="O406" t="s">
        <v>90</v>
      </c>
      <c r="P406">
        <v>0</v>
      </c>
      <c r="Q406" t="s">
        <v>90</v>
      </c>
      <c r="R406">
        <v>0</v>
      </c>
      <c r="S406" t="s">
        <v>90</v>
      </c>
      <c r="T406">
        <v>0</v>
      </c>
      <c r="U406">
        <v>0.41191936843324339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13</v>
      </c>
      <c r="AB406">
        <v>1</v>
      </c>
      <c r="AC406">
        <v>0.5</v>
      </c>
      <c r="AD406">
        <v>0.50345253019720215</v>
      </c>
      <c r="AE406">
        <v>10800</v>
      </c>
      <c r="AF406">
        <v>200000</v>
      </c>
      <c r="AG406">
        <v>16666.666666666668</v>
      </c>
      <c r="AH406">
        <v>1</v>
      </c>
      <c r="AI406">
        <v>1</v>
      </c>
      <c r="AJ406" t="s">
        <v>162</v>
      </c>
      <c r="AK406" t="s">
        <v>176</v>
      </c>
      <c r="AL406">
        <v>0</v>
      </c>
      <c r="AM406" t="s">
        <v>176</v>
      </c>
      <c r="AN406">
        <v>0</v>
      </c>
    </row>
    <row r="407" spans="1:40" x14ac:dyDescent="0.15">
      <c r="A407" s="4" t="str">
        <f>HYPERLINK("https://ibp.a2mac1.com/costing(costing:projects/details/9760/process/12084597)","Automated Process")</f>
        <v>Automated Process</v>
      </c>
      <c r="B407" t="s">
        <v>2202</v>
      </c>
      <c r="C407">
        <v>12084597</v>
      </c>
      <c r="D407">
        <v>8414801</v>
      </c>
      <c r="E407">
        <v>0.04</v>
      </c>
      <c r="F407">
        <v>0</v>
      </c>
      <c r="G407">
        <v>0</v>
      </c>
      <c r="H407">
        <v>2.0239999999999999E-4</v>
      </c>
      <c r="I407" t="s">
        <v>176</v>
      </c>
      <c r="J407">
        <v>1.4E-3</v>
      </c>
      <c r="K407">
        <v>4.1602399999999998E-2</v>
      </c>
      <c r="L407">
        <v>5.8904736909203177E-3</v>
      </c>
      <c r="M407">
        <v>3.5342842145521906E-2</v>
      </c>
      <c r="N407">
        <v>7.6945242145521897E-2</v>
      </c>
      <c r="O407" t="s">
        <v>90</v>
      </c>
      <c r="P407">
        <v>0</v>
      </c>
      <c r="Q407" t="s">
        <v>90</v>
      </c>
      <c r="R407">
        <v>0</v>
      </c>
      <c r="S407" t="s">
        <v>90</v>
      </c>
      <c r="T407">
        <v>0</v>
      </c>
      <c r="U407">
        <v>7.6945242145521897E-2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</v>
      </c>
      <c r="AB407">
        <v>1</v>
      </c>
      <c r="AC407">
        <v>0.5</v>
      </c>
      <c r="AD407">
        <v>0.50345253019720215</v>
      </c>
      <c r="AE407">
        <v>10800</v>
      </c>
      <c r="AF407">
        <v>200000</v>
      </c>
      <c r="AG407">
        <v>16666.666666666668</v>
      </c>
      <c r="AH407">
        <v>1</v>
      </c>
      <c r="AI407">
        <v>1</v>
      </c>
      <c r="AJ407" t="s">
        <v>162</v>
      </c>
      <c r="AK407" t="s">
        <v>176</v>
      </c>
      <c r="AL407">
        <v>0</v>
      </c>
      <c r="AM407" t="s">
        <v>176</v>
      </c>
      <c r="AN407">
        <v>0</v>
      </c>
    </row>
    <row r="408" spans="1:40" x14ac:dyDescent="0.15">
      <c r="A408" s="4" t="str">
        <f>HYPERLINK("https://ibp.a2mac1.com/costing(costing:projects/details/9760/process/12084598)","Automated Process")</f>
        <v>Automated Process</v>
      </c>
      <c r="B408" t="s">
        <v>2202</v>
      </c>
      <c r="C408">
        <v>12084598</v>
      </c>
      <c r="D408">
        <v>8414802</v>
      </c>
      <c r="E408">
        <v>0.24</v>
      </c>
      <c r="F408">
        <v>0</v>
      </c>
      <c r="G408">
        <v>0</v>
      </c>
      <c r="H408">
        <v>1.2144E-3</v>
      </c>
      <c r="I408" t="s">
        <v>176</v>
      </c>
      <c r="J408">
        <v>8.3999999999999995E-3</v>
      </c>
      <c r="K408">
        <v>0.24961439999999999</v>
      </c>
      <c r="L408">
        <v>1.8253059812345325E-2</v>
      </c>
      <c r="M408">
        <v>0.10951835887407195</v>
      </c>
      <c r="N408">
        <v>0.35913275887407198</v>
      </c>
      <c r="O408" t="s">
        <v>90</v>
      </c>
      <c r="P408">
        <v>0</v>
      </c>
      <c r="Q408" t="s">
        <v>90</v>
      </c>
      <c r="R408">
        <v>0</v>
      </c>
      <c r="S408" t="s">
        <v>90</v>
      </c>
      <c r="T408">
        <v>0</v>
      </c>
      <c r="U408">
        <v>0.35913275887407198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9</v>
      </c>
      <c r="AB408">
        <v>1</v>
      </c>
      <c r="AC408">
        <v>0.5</v>
      </c>
      <c r="AD408">
        <v>0.50345253019720215</v>
      </c>
      <c r="AE408">
        <v>10800</v>
      </c>
      <c r="AF408">
        <v>200000</v>
      </c>
      <c r="AG408">
        <v>16666.666666666668</v>
      </c>
      <c r="AH408">
        <v>1</v>
      </c>
      <c r="AI408">
        <v>1</v>
      </c>
      <c r="AJ408" t="s">
        <v>162</v>
      </c>
      <c r="AK408" t="s">
        <v>176</v>
      </c>
      <c r="AL408">
        <v>0</v>
      </c>
      <c r="AM408" t="s">
        <v>176</v>
      </c>
      <c r="AN408">
        <v>0</v>
      </c>
    </row>
    <row r="409" spans="1:40" x14ac:dyDescent="0.15">
      <c r="A409" s="4" t="str">
        <f>HYPERLINK("https://ibp.a2mac1.com/costing(costing:projects/details/9760/process/12084797)","Automated Process")</f>
        <v>Automated Process</v>
      </c>
      <c r="B409" t="s">
        <v>794</v>
      </c>
      <c r="C409">
        <v>12084797</v>
      </c>
      <c r="D409">
        <v>8415078</v>
      </c>
      <c r="E409">
        <v>0.08</v>
      </c>
      <c r="F409">
        <v>0</v>
      </c>
      <c r="G409">
        <v>0</v>
      </c>
      <c r="H409">
        <v>4.0479999999999997E-4</v>
      </c>
      <c r="I409" t="s">
        <v>176</v>
      </c>
      <c r="J409">
        <v>2.8E-3</v>
      </c>
      <c r="K409">
        <v>8.3204799999999995E-2</v>
      </c>
      <c r="L409">
        <v>4.1243899592881732E-3</v>
      </c>
      <c r="M409">
        <v>2.4746339755729041E-2</v>
      </c>
      <c r="N409">
        <v>0.10795113975572904</v>
      </c>
      <c r="O409" t="s">
        <v>90</v>
      </c>
      <c r="P409">
        <v>0</v>
      </c>
      <c r="Q409" t="s">
        <v>90</v>
      </c>
      <c r="R409">
        <v>0</v>
      </c>
      <c r="S409" t="s">
        <v>90</v>
      </c>
      <c r="T409">
        <v>0</v>
      </c>
      <c r="U409">
        <v>0.10795113975572904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0.5</v>
      </c>
      <c r="AD409">
        <v>0.50345253019720215</v>
      </c>
      <c r="AE409">
        <v>10800</v>
      </c>
      <c r="AF409">
        <v>200000</v>
      </c>
      <c r="AG409">
        <v>16666.666666666668</v>
      </c>
      <c r="AH409">
        <v>1</v>
      </c>
      <c r="AI409">
        <v>1</v>
      </c>
      <c r="AJ409" t="s">
        <v>162</v>
      </c>
      <c r="AK409" t="s">
        <v>176</v>
      </c>
      <c r="AL409">
        <v>0</v>
      </c>
      <c r="AM409" t="s">
        <v>176</v>
      </c>
      <c r="AN409">
        <v>0</v>
      </c>
    </row>
    <row r="410" spans="1:40" x14ac:dyDescent="0.15">
      <c r="A410" s="4" t="str">
        <f>HYPERLINK("https://ibp.a2mac1.com/costing(costing:projects/details/9760/process/12084701)","Automated Process")</f>
        <v>Automated Process</v>
      </c>
      <c r="B410" t="s">
        <v>794</v>
      </c>
      <c r="C410">
        <v>12084701</v>
      </c>
      <c r="D410">
        <v>8414960</v>
      </c>
      <c r="E410">
        <v>3.12</v>
      </c>
      <c r="F410">
        <v>0</v>
      </c>
      <c r="G410">
        <v>0</v>
      </c>
      <c r="H410">
        <v>1.5787200000000001E-2</v>
      </c>
      <c r="I410" t="s">
        <v>176</v>
      </c>
      <c r="J410">
        <v>0.10920000000000001</v>
      </c>
      <c r="K410">
        <v>3.2449872000000002</v>
      </c>
      <c r="L410">
        <v>6.9469488029677506E-2</v>
      </c>
      <c r="M410">
        <v>0.41681692817806498</v>
      </c>
      <c r="N410">
        <v>3.6618041281780651</v>
      </c>
      <c r="O410" t="s">
        <v>90</v>
      </c>
      <c r="P410">
        <v>0</v>
      </c>
      <c r="Q410" t="s">
        <v>90</v>
      </c>
      <c r="R410">
        <v>0</v>
      </c>
      <c r="S410" t="s">
        <v>90</v>
      </c>
      <c r="T410">
        <v>0</v>
      </c>
      <c r="U410">
        <v>3.6618041281780651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38</v>
      </c>
      <c r="AB410">
        <v>1</v>
      </c>
      <c r="AC410">
        <v>0.5</v>
      </c>
      <c r="AD410">
        <v>0.50345253019720215</v>
      </c>
      <c r="AE410">
        <v>10800</v>
      </c>
      <c r="AF410">
        <v>200000</v>
      </c>
      <c r="AG410">
        <v>16666.666666666668</v>
      </c>
      <c r="AH410">
        <v>1</v>
      </c>
      <c r="AI410">
        <v>1</v>
      </c>
      <c r="AJ410" t="s">
        <v>162</v>
      </c>
      <c r="AK410" t="s">
        <v>176</v>
      </c>
      <c r="AL410">
        <v>0</v>
      </c>
      <c r="AM410" t="s">
        <v>176</v>
      </c>
      <c r="AN410">
        <v>0</v>
      </c>
    </row>
    <row r="411" spans="1:40" x14ac:dyDescent="0.15">
      <c r="A411" s="4" t="str">
        <f>HYPERLINK("https://ibp.a2mac1.com/costing(costing:projects/details/9760/process/12084702)","Automated Process")</f>
        <v>Automated Process</v>
      </c>
      <c r="B411" t="s">
        <v>794</v>
      </c>
      <c r="C411">
        <v>12084702</v>
      </c>
      <c r="D411">
        <v>8414961</v>
      </c>
      <c r="E411">
        <v>4.2300000000000004</v>
      </c>
      <c r="F411">
        <v>0</v>
      </c>
      <c r="G411">
        <v>0</v>
      </c>
      <c r="H411">
        <v>2.1403800000000001E-2</v>
      </c>
      <c r="I411" t="s">
        <v>176</v>
      </c>
      <c r="J411">
        <v>0.14804999999999999</v>
      </c>
      <c r="K411">
        <v>4.3994537999999999</v>
      </c>
      <c r="L411">
        <v>9.4194660272527514E-2</v>
      </c>
      <c r="M411">
        <v>0.56516796163516514</v>
      </c>
      <c r="N411">
        <v>4.9646217616351649</v>
      </c>
      <c r="O411" t="s">
        <v>177</v>
      </c>
      <c r="P411">
        <v>0.263967228</v>
      </c>
      <c r="Q411" t="s">
        <v>177</v>
      </c>
      <c r="R411">
        <v>3.3910077698109907E-2</v>
      </c>
      <c r="S411" t="s">
        <v>178</v>
      </c>
      <c r="T411">
        <v>0.59575461139621977</v>
      </c>
      <c r="U411">
        <v>5.8582536787294952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52</v>
      </c>
      <c r="AB411">
        <v>1</v>
      </c>
      <c r="AC411">
        <v>0.5</v>
      </c>
      <c r="AD411">
        <v>0.50345253019720215</v>
      </c>
      <c r="AE411">
        <v>10800</v>
      </c>
      <c r="AF411">
        <v>200000</v>
      </c>
      <c r="AG411">
        <v>16666.666666666668</v>
      </c>
      <c r="AH411">
        <v>1</v>
      </c>
      <c r="AI411">
        <v>1</v>
      </c>
      <c r="AJ411" t="s">
        <v>162</v>
      </c>
      <c r="AK411" t="s">
        <v>176</v>
      </c>
      <c r="AL411">
        <v>0</v>
      </c>
      <c r="AM411" t="s">
        <v>176</v>
      </c>
      <c r="AN411">
        <v>0</v>
      </c>
    </row>
    <row r="412" spans="1:40" x14ac:dyDescent="0.15">
      <c r="A412" s="4" t="str">
        <f>HYPERLINK("https://ibp.a2mac1.com/costing(costing:projects/details/9760/process/12084703)","Automated Process")</f>
        <v>Automated Process</v>
      </c>
      <c r="B412" t="s">
        <v>794</v>
      </c>
      <c r="C412">
        <v>12084703</v>
      </c>
      <c r="D412">
        <v>8414962</v>
      </c>
      <c r="E412">
        <v>0.14000000000000001</v>
      </c>
      <c r="F412">
        <v>0</v>
      </c>
      <c r="G412">
        <v>0</v>
      </c>
      <c r="H412">
        <v>7.0839999999999998E-4</v>
      </c>
      <c r="I412" t="s">
        <v>176</v>
      </c>
      <c r="J412">
        <v>4.8999999999999998E-3</v>
      </c>
      <c r="K412">
        <v>0.1456084</v>
      </c>
      <c r="L412">
        <v>1.4720892349081038E-2</v>
      </c>
      <c r="M412">
        <v>8.8325354094486219E-2</v>
      </c>
      <c r="N412">
        <v>0.23393375409448622</v>
      </c>
      <c r="O412" t="s">
        <v>90</v>
      </c>
      <c r="P412">
        <v>0</v>
      </c>
      <c r="Q412" t="s">
        <v>90</v>
      </c>
      <c r="R412">
        <v>0</v>
      </c>
      <c r="S412" t="s">
        <v>90</v>
      </c>
      <c r="T412">
        <v>0</v>
      </c>
      <c r="U412">
        <v>0.23393375409448622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7</v>
      </c>
      <c r="AB412">
        <v>1</v>
      </c>
      <c r="AC412">
        <v>0.5</v>
      </c>
      <c r="AD412">
        <v>0.50345253019720215</v>
      </c>
      <c r="AE412">
        <v>10800</v>
      </c>
      <c r="AF412">
        <v>200000</v>
      </c>
      <c r="AG412">
        <v>16666.666666666668</v>
      </c>
      <c r="AH412">
        <v>1</v>
      </c>
      <c r="AI412">
        <v>1</v>
      </c>
      <c r="AJ412" t="s">
        <v>162</v>
      </c>
      <c r="AK412" t="s">
        <v>176</v>
      </c>
      <c r="AL412">
        <v>0</v>
      </c>
      <c r="AM412" t="s">
        <v>176</v>
      </c>
      <c r="AN412">
        <v>0</v>
      </c>
    </row>
    <row r="413" spans="1:40" x14ac:dyDescent="0.15">
      <c r="A413" s="4" t="str">
        <f>HYPERLINK("https://ibp.a2mac1.com/costing(costing:projects/details/9760/process/12084704)","Automated Process")</f>
        <v>Automated Process</v>
      </c>
      <c r="B413" t="s">
        <v>794</v>
      </c>
      <c r="C413">
        <v>12084704</v>
      </c>
      <c r="D413">
        <v>8414964</v>
      </c>
      <c r="E413">
        <v>9.7899999999999991</v>
      </c>
      <c r="F413">
        <v>0</v>
      </c>
      <c r="G413">
        <v>0</v>
      </c>
      <c r="H413">
        <v>4.9537400000000002E-2</v>
      </c>
      <c r="I413" t="s">
        <v>176</v>
      </c>
      <c r="J413">
        <v>0.34265000000000001</v>
      </c>
      <c r="K413">
        <v>10.1821874</v>
      </c>
      <c r="L413">
        <v>0.21958660521840975</v>
      </c>
      <c r="M413">
        <v>1.3175196313104585</v>
      </c>
      <c r="N413">
        <v>11.499707031310459</v>
      </c>
      <c r="O413" t="s">
        <v>90</v>
      </c>
      <c r="P413">
        <v>0</v>
      </c>
      <c r="Q413" t="s">
        <v>90</v>
      </c>
      <c r="R413">
        <v>0</v>
      </c>
      <c r="S413" t="s">
        <v>90</v>
      </c>
      <c r="T413">
        <v>0</v>
      </c>
      <c r="U413">
        <v>11.499707031310459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123</v>
      </c>
      <c r="AB413">
        <v>1</v>
      </c>
      <c r="AC413">
        <v>0.5</v>
      </c>
      <c r="AD413">
        <v>0.50345253019720215</v>
      </c>
      <c r="AE413">
        <v>10800</v>
      </c>
      <c r="AF413">
        <v>200000</v>
      </c>
      <c r="AG413">
        <v>16666.666666666668</v>
      </c>
      <c r="AH413">
        <v>1</v>
      </c>
      <c r="AI413">
        <v>1</v>
      </c>
      <c r="AJ413" t="s">
        <v>162</v>
      </c>
      <c r="AK413" t="s">
        <v>176</v>
      </c>
      <c r="AL413">
        <v>0</v>
      </c>
      <c r="AM413" t="s">
        <v>176</v>
      </c>
      <c r="AN413">
        <v>0</v>
      </c>
    </row>
    <row r="414" spans="1:40" x14ac:dyDescent="0.15">
      <c r="A414" s="4" t="str">
        <f>HYPERLINK("https://ibp.a2mac1.com/costing(costing:projects/details/9760/process/12084705)","Automated Process")</f>
        <v>Automated Process</v>
      </c>
      <c r="B414" t="s">
        <v>794</v>
      </c>
      <c r="C414">
        <v>12084705</v>
      </c>
      <c r="D414">
        <v>8414965</v>
      </c>
      <c r="E414">
        <v>0.17</v>
      </c>
      <c r="F414">
        <v>0</v>
      </c>
      <c r="G414">
        <v>0</v>
      </c>
      <c r="H414">
        <v>8.6019999999999998E-4</v>
      </c>
      <c r="I414" t="s">
        <v>176</v>
      </c>
      <c r="J414">
        <v>5.9500000000000004E-3</v>
      </c>
      <c r="K414">
        <v>0.1768102</v>
      </c>
      <c r="L414">
        <v>9.422641154184605E-3</v>
      </c>
      <c r="M414">
        <v>5.653584692510763E-2</v>
      </c>
      <c r="N414">
        <v>0.23334604692510763</v>
      </c>
      <c r="O414" t="s">
        <v>177</v>
      </c>
      <c r="P414">
        <v>1.0608612E-2</v>
      </c>
      <c r="Q414" t="s">
        <v>177</v>
      </c>
      <c r="R414">
        <v>3.392150815506458E-3</v>
      </c>
      <c r="S414" t="s">
        <v>178</v>
      </c>
      <c r="T414">
        <v>2.8001525631012915E-2</v>
      </c>
      <c r="U414">
        <v>0.27534833537162701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</v>
      </c>
      <c r="AB414">
        <v>1</v>
      </c>
      <c r="AC414">
        <v>0.5</v>
      </c>
      <c r="AD414">
        <v>0.50345253019720215</v>
      </c>
      <c r="AE414">
        <v>10800</v>
      </c>
      <c r="AF414">
        <v>200000</v>
      </c>
      <c r="AG414">
        <v>16666.666666666668</v>
      </c>
      <c r="AH414">
        <v>1</v>
      </c>
      <c r="AI414">
        <v>1</v>
      </c>
      <c r="AJ414" t="s">
        <v>162</v>
      </c>
      <c r="AK414" t="s">
        <v>176</v>
      </c>
      <c r="AL414">
        <v>0</v>
      </c>
      <c r="AM414" t="s">
        <v>176</v>
      </c>
      <c r="AN414">
        <v>0</v>
      </c>
    </row>
    <row r="415" spans="1:40" x14ac:dyDescent="0.15">
      <c r="A415" s="4" t="str">
        <f>HYPERLINK("https://ibp.a2mac1.com/costing(costing:projects/details/9760/process/12084706)","Automated Process")</f>
        <v>Automated Process</v>
      </c>
      <c r="B415" t="s">
        <v>794</v>
      </c>
      <c r="C415">
        <v>12084706</v>
      </c>
      <c r="D415">
        <v>8414966</v>
      </c>
      <c r="E415">
        <v>0.41</v>
      </c>
      <c r="F415">
        <v>0</v>
      </c>
      <c r="G415">
        <v>0</v>
      </c>
      <c r="H415">
        <v>2.0745999999999998E-3</v>
      </c>
      <c r="I415" t="s">
        <v>176</v>
      </c>
      <c r="J415">
        <v>1.435E-2</v>
      </c>
      <c r="K415">
        <v>0.42642459999999999</v>
      </c>
      <c r="L415">
        <v>2.001914354397747E-2</v>
      </c>
      <c r="M415">
        <v>0.12011486126386482</v>
      </c>
      <c r="N415">
        <v>0.54653946126386477</v>
      </c>
      <c r="O415" t="s">
        <v>90</v>
      </c>
      <c r="P415">
        <v>0</v>
      </c>
      <c r="Q415" t="s">
        <v>90</v>
      </c>
      <c r="R415">
        <v>0</v>
      </c>
      <c r="S415" t="s">
        <v>90</v>
      </c>
      <c r="T415">
        <v>0</v>
      </c>
      <c r="U415">
        <v>0.54653946126386477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10</v>
      </c>
      <c r="AB415">
        <v>1</v>
      </c>
      <c r="AC415">
        <v>0.5</v>
      </c>
      <c r="AD415">
        <v>0.50345253019720215</v>
      </c>
      <c r="AE415">
        <v>10800</v>
      </c>
      <c r="AF415">
        <v>200000</v>
      </c>
      <c r="AG415">
        <v>16666.666666666668</v>
      </c>
      <c r="AH415">
        <v>1</v>
      </c>
      <c r="AI415">
        <v>1</v>
      </c>
      <c r="AJ415" t="s">
        <v>162</v>
      </c>
      <c r="AK415" t="s">
        <v>176</v>
      </c>
      <c r="AL415">
        <v>0</v>
      </c>
      <c r="AM415" t="s">
        <v>176</v>
      </c>
      <c r="AN415">
        <v>0</v>
      </c>
    </row>
    <row r="416" spans="1:40" x14ac:dyDescent="0.15">
      <c r="A416" s="4" t="str">
        <f>HYPERLINK("https://ibp.a2mac1.com/costing(costing:projects/details/9760/process/12084799)","Process")</f>
        <v>Process</v>
      </c>
      <c r="B416" t="s">
        <v>318</v>
      </c>
      <c r="C416">
        <v>12084799</v>
      </c>
      <c r="D416">
        <v>8415088</v>
      </c>
      <c r="E416">
        <v>0</v>
      </c>
      <c r="F416">
        <v>0</v>
      </c>
      <c r="G416">
        <v>0</v>
      </c>
      <c r="H416">
        <v>0</v>
      </c>
      <c r="I416" t="s">
        <v>176</v>
      </c>
      <c r="J416">
        <v>0</v>
      </c>
      <c r="K416">
        <v>0</v>
      </c>
      <c r="L416">
        <v>2.626429712030727E-2</v>
      </c>
      <c r="M416">
        <v>0.15758578272184362</v>
      </c>
      <c r="N416">
        <v>0.15758578272184362</v>
      </c>
      <c r="O416" t="s">
        <v>90</v>
      </c>
      <c r="P416">
        <v>0</v>
      </c>
      <c r="Q416" t="s">
        <v>90</v>
      </c>
      <c r="R416">
        <v>0</v>
      </c>
      <c r="S416" t="s">
        <v>90</v>
      </c>
      <c r="T416">
        <v>0</v>
      </c>
      <c r="U416">
        <v>0.15758578272184362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23</v>
      </c>
      <c r="AB416">
        <v>1</v>
      </c>
      <c r="AC416">
        <v>10</v>
      </c>
      <c r="AD416">
        <v>10.007199424046076</v>
      </c>
      <c r="AE416">
        <v>126</v>
      </c>
      <c r="AF416">
        <v>200000</v>
      </c>
      <c r="AG416">
        <v>10000</v>
      </c>
      <c r="AH416">
        <v>1</v>
      </c>
      <c r="AI416">
        <v>1</v>
      </c>
      <c r="AJ416" t="s">
        <v>76</v>
      </c>
      <c r="AK416" t="s">
        <v>176</v>
      </c>
      <c r="AL416">
        <v>0</v>
      </c>
      <c r="AM416" t="s">
        <v>176</v>
      </c>
      <c r="AN416">
        <v>0</v>
      </c>
    </row>
    <row r="417" spans="1:40" x14ac:dyDescent="0.15">
      <c r="A417" s="4" t="str">
        <f>HYPERLINK("https://ibp.a2mac1.com/costing(costing:projects/details/9760/process/12084798)","Automated Process")</f>
        <v>Automated Process</v>
      </c>
      <c r="B417" t="s">
        <v>794</v>
      </c>
      <c r="C417">
        <v>12084798</v>
      </c>
      <c r="D417">
        <v>8415085</v>
      </c>
      <c r="E417">
        <v>5.9725515789473688E-2</v>
      </c>
      <c r="F417">
        <v>0</v>
      </c>
      <c r="G417">
        <v>0</v>
      </c>
      <c r="H417">
        <v>3.0041934442105262E-4</v>
      </c>
      <c r="I417" t="s">
        <v>176</v>
      </c>
      <c r="J417">
        <v>2.0903930526315791E-3</v>
      </c>
      <c r="K417">
        <v>6.2116328186526314E-2</v>
      </c>
      <c r="L417">
        <v>2.9451489331908773E-3</v>
      </c>
      <c r="M417">
        <v>1.7670893599145265E-2</v>
      </c>
      <c r="N417">
        <v>7.9787221785671575E-2</v>
      </c>
      <c r="O417" t="s">
        <v>90</v>
      </c>
      <c r="P417">
        <v>0</v>
      </c>
      <c r="Q417" t="s">
        <v>90</v>
      </c>
      <c r="R417">
        <v>0</v>
      </c>
      <c r="S417" t="s">
        <v>90</v>
      </c>
      <c r="T417">
        <v>0</v>
      </c>
      <c r="U417">
        <v>7.9787221785671575E-2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0.5</v>
      </c>
      <c r="AD417">
        <v>0.50048257265952256</v>
      </c>
      <c r="AE417">
        <v>10800</v>
      </c>
      <c r="AF417">
        <v>400000</v>
      </c>
      <c r="AG417">
        <v>33333.333333333336</v>
      </c>
      <c r="AH417">
        <v>1</v>
      </c>
      <c r="AI417">
        <v>1</v>
      </c>
      <c r="AJ417" t="s">
        <v>162</v>
      </c>
      <c r="AK417" t="s">
        <v>176</v>
      </c>
      <c r="AL417">
        <v>0</v>
      </c>
      <c r="AM417" t="s">
        <v>176</v>
      </c>
      <c r="AN417">
        <v>0</v>
      </c>
    </row>
    <row r="418" spans="1:40" x14ac:dyDescent="0.15">
      <c r="A418" s="4" t="str">
        <f>HYPERLINK("https://ibp.a2mac1.com/costing(costing:projects/details/9760/process/12084707)","Automated Process")</f>
        <v>Automated Process</v>
      </c>
      <c r="B418" t="s">
        <v>794</v>
      </c>
      <c r="C418">
        <v>12084707</v>
      </c>
      <c r="D418">
        <v>8414968</v>
      </c>
      <c r="E418">
        <v>4.18</v>
      </c>
      <c r="F418">
        <v>0</v>
      </c>
      <c r="G418">
        <v>0</v>
      </c>
      <c r="H418">
        <v>2.1150800000000001E-2</v>
      </c>
      <c r="I418" t="s">
        <v>176</v>
      </c>
      <c r="J418">
        <v>0.14630000000000001</v>
      </c>
      <c r="K418">
        <v>4.3474507999999998</v>
      </c>
      <c r="L418">
        <v>9.2428576540895369E-2</v>
      </c>
      <c r="M418">
        <v>0.55457145924537221</v>
      </c>
      <c r="N418">
        <v>4.9020222592453724</v>
      </c>
      <c r="O418" t="s">
        <v>90</v>
      </c>
      <c r="P418">
        <v>0</v>
      </c>
      <c r="Q418" t="s">
        <v>90</v>
      </c>
      <c r="R418">
        <v>0</v>
      </c>
      <c r="S418" t="s">
        <v>90</v>
      </c>
      <c r="T418">
        <v>0</v>
      </c>
      <c r="U418">
        <v>4.9020222592453724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51</v>
      </c>
      <c r="AB418">
        <v>1</v>
      </c>
      <c r="AC418">
        <v>0.5</v>
      </c>
      <c r="AD418">
        <v>0.50345253019720215</v>
      </c>
      <c r="AE418">
        <v>10800</v>
      </c>
      <c r="AF418">
        <v>200000</v>
      </c>
      <c r="AG418">
        <v>16666.666666666668</v>
      </c>
      <c r="AH418">
        <v>1</v>
      </c>
      <c r="AI418">
        <v>1</v>
      </c>
      <c r="AJ418" t="s">
        <v>162</v>
      </c>
      <c r="AK418" t="s">
        <v>176</v>
      </c>
      <c r="AL418">
        <v>0</v>
      </c>
      <c r="AM418" t="s">
        <v>176</v>
      </c>
      <c r="AN418">
        <v>0</v>
      </c>
    </row>
    <row r="419" spans="1:40" x14ac:dyDescent="0.15">
      <c r="A419" s="4" t="str">
        <f>HYPERLINK("https://ibp.a2mac1.com/costing(costing:projects/details/9760/process/12084708)","Automated Process")</f>
        <v>Automated Process</v>
      </c>
      <c r="B419" t="s">
        <v>794</v>
      </c>
      <c r="C419">
        <v>12084708</v>
      </c>
      <c r="D419">
        <v>8414969</v>
      </c>
      <c r="E419">
        <v>0.05</v>
      </c>
      <c r="F419">
        <v>0</v>
      </c>
      <c r="G419">
        <v>0</v>
      </c>
      <c r="H419">
        <v>2.5300000000000002E-4</v>
      </c>
      <c r="I419" t="s">
        <v>176</v>
      </c>
      <c r="J419">
        <v>1.75E-3</v>
      </c>
      <c r="K419">
        <v>5.2003000000000001E-2</v>
      </c>
      <c r="L419">
        <v>4.1243899592881732E-3</v>
      </c>
      <c r="M419">
        <v>2.4746339755729041E-2</v>
      </c>
      <c r="N419">
        <v>7.6749339755729035E-2</v>
      </c>
      <c r="O419" t="s">
        <v>177</v>
      </c>
      <c r="P419">
        <v>3.1201800000000002E-3</v>
      </c>
      <c r="Q419" t="s">
        <v>177</v>
      </c>
      <c r="R419">
        <v>1.4847803853437424E-3</v>
      </c>
      <c r="S419" t="s">
        <v>178</v>
      </c>
      <c r="T419">
        <v>9.2099207706874842E-3</v>
      </c>
      <c r="U419">
        <v>9.0564220911760265E-2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0.5</v>
      </c>
      <c r="AD419">
        <v>0.50345253019720215</v>
      </c>
      <c r="AE419">
        <v>10800</v>
      </c>
      <c r="AF419">
        <v>200000</v>
      </c>
      <c r="AG419">
        <v>16666.666666666668</v>
      </c>
      <c r="AH419">
        <v>1</v>
      </c>
      <c r="AI419">
        <v>1</v>
      </c>
      <c r="AJ419" t="s">
        <v>162</v>
      </c>
      <c r="AK419" t="s">
        <v>176</v>
      </c>
      <c r="AL419">
        <v>0</v>
      </c>
      <c r="AM419" t="s">
        <v>176</v>
      </c>
      <c r="AN419">
        <v>0</v>
      </c>
    </row>
    <row r="420" spans="1:40" x14ac:dyDescent="0.15">
      <c r="A420" s="4" t="str">
        <f>HYPERLINK("https://ibp.a2mac1.com/costing(costing:projects/details/9760/process/12084709)","Automated Process")</f>
        <v>Automated Process</v>
      </c>
      <c r="B420" t="s">
        <v>794</v>
      </c>
      <c r="C420">
        <v>12084709</v>
      </c>
      <c r="D420">
        <v>8414970</v>
      </c>
      <c r="E420">
        <v>0.26</v>
      </c>
      <c r="F420">
        <v>0</v>
      </c>
      <c r="G420">
        <v>0</v>
      </c>
      <c r="H420">
        <v>1.3156000000000001E-3</v>
      </c>
      <c r="I420" t="s">
        <v>176</v>
      </c>
      <c r="J420">
        <v>9.1000000000000004E-3</v>
      </c>
      <c r="K420">
        <v>0.27041559999999998</v>
      </c>
      <c r="L420">
        <v>1.2954808617448894E-2</v>
      </c>
      <c r="M420">
        <v>7.7728851704693361E-2</v>
      </c>
      <c r="N420">
        <v>0.34814445170469338</v>
      </c>
      <c r="O420" t="s">
        <v>177</v>
      </c>
      <c r="P420">
        <v>1.6224935999999999E-2</v>
      </c>
      <c r="Q420" t="s">
        <v>177</v>
      </c>
      <c r="R420">
        <v>4.6637311022816015E-3</v>
      </c>
      <c r="S420" t="s">
        <v>178</v>
      </c>
      <c r="T420">
        <v>4.1777334204563206E-2</v>
      </c>
      <c r="U420">
        <v>0.41081045301153818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6</v>
      </c>
      <c r="AB420">
        <v>1</v>
      </c>
      <c r="AC420">
        <v>0.5</v>
      </c>
      <c r="AD420">
        <v>0.50345253019720215</v>
      </c>
      <c r="AE420">
        <v>10800</v>
      </c>
      <c r="AF420">
        <v>200000</v>
      </c>
      <c r="AG420">
        <v>16666.666666666668</v>
      </c>
      <c r="AH420">
        <v>1</v>
      </c>
      <c r="AI420">
        <v>1</v>
      </c>
      <c r="AJ420" t="s">
        <v>162</v>
      </c>
      <c r="AK420" t="s">
        <v>176</v>
      </c>
      <c r="AL420">
        <v>0</v>
      </c>
      <c r="AM420" t="s">
        <v>176</v>
      </c>
      <c r="AN420">
        <v>0</v>
      </c>
    </row>
    <row r="421" spans="1:40" x14ac:dyDescent="0.15">
      <c r="A421" s="4" t="str">
        <f>HYPERLINK("https://ibp.a2mac1.com/costing(costing:projects/details/9760/process/12084710)","Automated Process")</f>
        <v>Automated Process</v>
      </c>
      <c r="B421" t="s">
        <v>794</v>
      </c>
      <c r="C421">
        <v>12084710</v>
      </c>
      <c r="D421">
        <v>8414971</v>
      </c>
      <c r="E421">
        <v>0.74</v>
      </c>
      <c r="F421">
        <v>0</v>
      </c>
      <c r="G421">
        <v>0</v>
      </c>
      <c r="H421">
        <v>3.7444000000000002E-3</v>
      </c>
      <c r="I421" t="s">
        <v>176</v>
      </c>
      <c r="J421">
        <v>2.5899999999999999E-2</v>
      </c>
      <c r="K421">
        <v>0.76964440000000001</v>
      </c>
      <c r="L421">
        <v>6.2405153103148925E-2</v>
      </c>
      <c r="M421">
        <v>0.37443091861889355</v>
      </c>
      <c r="N421">
        <v>1.1440753186188934</v>
      </c>
      <c r="O421" t="s">
        <v>90</v>
      </c>
      <c r="P421">
        <v>0</v>
      </c>
      <c r="Q421" t="s">
        <v>90</v>
      </c>
      <c r="R421">
        <v>0</v>
      </c>
      <c r="S421" t="s">
        <v>90</v>
      </c>
      <c r="T421">
        <v>0</v>
      </c>
      <c r="U421">
        <v>1.1440753186188934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34</v>
      </c>
      <c r="AB421">
        <v>1</v>
      </c>
      <c r="AC421">
        <v>0.5</v>
      </c>
      <c r="AD421">
        <v>0.50345253019720215</v>
      </c>
      <c r="AE421">
        <v>10800</v>
      </c>
      <c r="AF421">
        <v>200000</v>
      </c>
      <c r="AG421">
        <v>16666.666666666668</v>
      </c>
      <c r="AH421">
        <v>1</v>
      </c>
      <c r="AI421">
        <v>1</v>
      </c>
      <c r="AJ421" t="s">
        <v>162</v>
      </c>
      <c r="AK421" t="s">
        <v>176</v>
      </c>
      <c r="AL421">
        <v>0</v>
      </c>
      <c r="AM421" t="s">
        <v>176</v>
      </c>
      <c r="AN421">
        <v>0</v>
      </c>
    </row>
    <row r="422" spans="1:40" x14ac:dyDescent="0.15">
      <c r="A422" s="4" t="str">
        <f>HYPERLINK("https://ibp.a2mac1.com/costing(costing:projects/details/9760/process/12084711)","Automated Process")</f>
        <v>Automated Process</v>
      </c>
      <c r="B422" t="s">
        <v>794</v>
      </c>
      <c r="C422">
        <v>12084711</v>
      </c>
      <c r="D422">
        <v>8414972</v>
      </c>
      <c r="E422">
        <v>4.34</v>
      </c>
      <c r="F422">
        <v>0</v>
      </c>
      <c r="G422">
        <v>0</v>
      </c>
      <c r="H422">
        <v>2.1960400000000001E-2</v>
      </c>
      <c r="I422" t="s">
        <v>176</v>
      </c>
      <c r="J422">
        <v>0.15190000000000001</v>
      </c>
      <c r="K422">
        <v>4.5138604000000004</v>
      </c>
      <c r="L422">
        <v>9.5960744004159659E-2</v>
      </c>
      <c r="M422">
        <v>0.57576446402495796</v>
      </c>
      <c r="N422">
        <v>5.089624864024958</v>
      </c>
      <c r="O422" t="s">
        <v>90</v>
      </c>
      <c r="P422">
        <v>0</v>
      </c>
      <c r="Q422" t="s">
        <v>90</v>
      </c>
      <c r="R422">
        <v>0</v>
      </c>
      <c r="S422" t="s">
        <v>90</v>
      </c>
      <c r="T422">
        <v>0</v>
      </c>
      <c r="U422">
        <v>5.089624864024958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53</v>
      </c>
      <c r="AB422">
        <v>1</v>
      </c>
      <c r="AC422">
        <v>0.5</v>
      </c>
      <c r="AD422">
        <v>0.50345253019720215</v>
      </c>
      <c r="AE422">
        <v>10800</v>
      </c>
      <c r="AF422">
        <v>200000</v>
      </c>
      <c r="AG422">
        <v>16666.666666666668</v>
      </c>
      <c r="AH422">
        <v>1</v>
      </c>
      <c r="AI422">
        <v>1</v>
      </c>
      <c r="AJ422" t="s">
        <v>162</v>
      </c>
      <c r="AK422" t="s">
        <v>176</v>
      </c>
      <c r="AL422">
        <v>0</v>
      </c>
      <c r="AM422" t="s">
        <v>176</v>
      </c>
      <c r="AN422">
        <v>0</v>
      </c>
    </row>
    <row r="423" spans="1:40" x14ac:dyDescent="0.15">
      <c r="A423" s="4" t="str">
        <f>HYPERLINK("https://ibp.a2mac1.com/costing(costing:projects/details/9760/process/12084712)","Automated Process")</f>
        <v>Automated Process</v>
      </c>
      <c r="B423" t="s">
        <v>794</v>
      </c>
      <c r="C423">
        <v>12084712</v>
      </c>
      <c r="D423">
        <v>8414974</v>
      </c>
      <c r="E423">
        <v>0.12</v>
      </c>
      <c r="F423">
        <v>0</v>
      </c>
      <c r="G423">
        <v>0</v>
      </c>
      <c r="H423">
        <v>6.0360000000000003E-4</v>
      </c>
      <c r="I423" t="s">
        <v>176</v>
      </c>
      <c r="J423">
        <v>4.1999999999999997E-3</v>
      </c>
      <c r="K423">
        <v>0.1248036</v>
      </c>
      <c r="L423">
        <v>5.5941954569838654E-3</v>
      </c>
      <c r="M423">
        <v>3.3565172741903196E-2</v>
      </c>
      <c r="N423">
        <v>0.1583687727419032</v>
      </c>
      <c r="O423" t="s">
        <v>177</v>
      </c>
      <c r="P423">
        <v>7.4882159999999998E-3</v>
      </c>
      <c r="Q423" t="s">
        <v>177</v>
      </c>
      <c r="R423">
        <v>2.0139103645141917E-3</v>
      </c>
      <c r="S423" t="s">
        <v>178</v>
      </c>
      <c r="T423">
        <v>1.9004252729028382E-2</v>
      </c>
      <c r="U423">
        <v>0.18687515183544576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2.5</v>
      </c>
      <c r="AB423">
        <v>1</v>
      </c>
      <c r="AC423">
        <v>0.5</v>
      </c>
      <c r="AD423">
        <v>0.50048257265952256</v>
      </c>
      <c r="AE423">
        <v>10800</v>
      </c>
      <c r="AF423">
        <v>400000</v>
      </c>
      <c r="AG423">
        <v>33333.333333333336</v>
      </c>
      <c r="AH423">
        <v>1</v>
      </c>
      <c r="AI423">
        <v>1</v>
      </c>
      <c r="AJ423" t="s">
        <v>162</v>
      </c>
      <c r="AK423" t="s">
        <v>176</v>
      </c>
      <c r="AL423">
        <v>0</v>
      </c>
      <c r="AM423" t="s">
        <v>176</v>
      </c>
      <c r="AN423">
        <v>0</v>
      </c>
    </row>
    <row r="424" spans="1:40" x14ac:dyDescent="0.15">
      <c r="A424" s="4" t="str">
        <f>HYPERLINK("https://ibp.a2mac1.com/costing(costing:projects/details/9760/process/12084713)","Automated Process")</f>
        <v>Automated Process</v>
      </c>
      <c r="B424" t="s">
        <v>794</v>
      </c>
      <c r="C424">
        <v>12084713</v>
      </c>
      <c r="D424">
        <v>8414975</v>
      </c>
      <c r="E424">
        <v>0.42</v>
      </c>
      <c r="F424">
        <v>0</v>
      </c>
      <c r="G424">
        <v>0</v>
      </c>
      <c r="H424">
        <v>2.1251999999999998E-3</v>
      </c>
      <c r="I424" t="s">
        <v>176</v>
      </c>
      <c r="J424">
        <v>1.47E-2</v>
      </c>
      <c r="K424">
        <v>0.43682520000000002</v>
      </c>
      <c r="L424">
        <v>2.1785227275609612E-2</v>
      </c>
      <c r="M424">
        <v>0.13071136365365768</v>
      </c>
      <c r="N424">
        <v>0.56753656365365768</v>
      </c>
      <c r="O424" t="s">
        <v>177</v>
      </c>
      <c r="P424">
        <v>2.6209512000000001E-2</v>
      </c>
      <c r="Q424" t="s">
        <v>177</v>
      </c>
      <c r="R424">
        <v>7.8426818192194603E-3</v>
      </c>
      <c r="S424" t="s">
        <v>178</v>
      </c>
      <c r="T424">
        <v>6.8104387638438915E-2</v>
      </c>
      <c r="U424">
        <v>0.66969314511131606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11</v>
      </c>
      <c r="AB424">
        <v>1</v>
      </c>
      <c r="AC424">
        <v>0.5</v>
      </c>
      <c r="AD424">
        <v>0.50345253019720215</v>
      </c>
      <c r="AE424">
        <v>10800</v>
      </c>
      <c r="AF424">
        <v>200000</v>
      </c>
      <c r="AG424">
        <v>16666.666666666668</v>
      </c>
      <c r="AH424">
        <v>1</v>
      </c>
      <c r="AI424">
        <v>1</v>
      </c>
      <c r="AJ424" t="s">
        <v>162</v>
      </c>
      <c r="AK424" t="s">
        <v>176</v>
      </c>
      <c r="AL424">
        <v>0</v>
      </c>
      <c r="AM424" t="s">
        <v>176</v>
      </c>
      <c r="AN424">
        <v>0</v>
      </c>
    </row>
    <row r="425" spans="1:40" x14ac:dyDescent="0.15">
      <c r="A425" s="4" t="str">
        <f>HYPERLINK("https://ibp.a2mac1.com/costing(costing:projects/details/9760/process/12084714)","Process")</f>
        <v>Process</v>
      </c>
      <c r="B425" t="s">
        <v>360</v>
      </c>
      <c r="C425">
        <v>12084714</v>
      </c>
      <c r="D425">
        <v>8414976</v>
      </c>
      <c r="E425">
        <v>0</v>
      </c>
      <c r="F425">
        <v>0</v>
      </c>
      <c r="G425">
        <v>0</v>
      </c>
      <c r="H425">
        <v>0</v>
      </c>
      <c r="I425" t="s">
        <v>176</v>
      </c>
      <c r="J425">
        <v>0</v>
      </c>
      <c r="K425">
        <v>0</v>
      </c>
      <c r="L425">
        <v>0.34339054546518338</v>
      </c>
      <c r="M425">
        <v>1.2018669091281418</v>
      </c>
      <c r="N425">
        <v>1.2018669091281418</v>
      </c>
      <c r="O425" t="s">
        <v>90</v>
      </c>
      <c r="P425">
        <v>0</v>
      </c>
      <c r="Q425" t="s">
        <v>90</v>
      </c>
      <c r="R425">
        <v>0</v>
      </c>
      <c r="S425" t="s">
        <v>90</v>
      </c>
      <c r="T425">
        <v>0</v>
      </c>
      <c r="U425">
        <v>1.2018669091281418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158</v>
      </c>
      <c r="AB425">
        <v>1</v>
      </c>
      <c r="AC425">
        <v>0.2</v>
      </c>
      <c r="AD425">
        <v>0.20955992415926555</v>
      </c>
      <c r="AE425">
        <v>216</v>
      </c>
      <c r="AF425">
        <v>200000</v>
      </c>
      <c r="AG425">
        <v>10000</v>
      </c>
      <c r="AH425">
        <v>1</v>
      </c>
      <c r="AI425">
        <v>1</v>
      </c>
      <c r="AJ425" t="s">
        <v>76</v>
      </c>
      <c r="AK425" t="s">
        <v>176</v>
      </c>
      <c r="AL425">
        <v>0</v>
      </c>
      <c r="AM425" t="s">
        <v>176</v>
      </c>
      <c r="AN425">
        <v>0</v>
      </c>
    </row>
    <row r="426" spans="1:40" x14ac:dyDescent="0.15">
      <c r="A426" s="4" t="str">
        <f>HYPERLINK("https://ibp.a2mac1.com/costing(costing:projects/details/9760/process/12084717)","Process")</f>
        <v>Process</v>
      </c>
      <c r="B426" t="s">
        <v>360</v>
      </c>
      <c r="C426">
        <v>12084717</v>
      </c>
      <c r="D426">
        <v>8414979</v>
      </c>
      <c r="E426">
        <v>0</v>
      </c>
      <c r="F426">
        <v>0</v>
      </c>
      <c r="G426">
        <v>0</v>
      </c>
      <c r="H426">
        <v>0</v>
      </c>
      <c r="I426" t="s">
        <v>176</v>
      </c>
      <c r="J426">
        <v>0</v>
      </c>
      <c r="K426">
        <v>0</v>
      </c>
      <c r="L426">
        <v>0.13258007412475953</v>
      </c>
      <c r="M426">
        <v>0.79548044474855717</v>
      </c>
      <c r="N426">
        <v>0.79548044474855717</v>
      </c>
      <c r="O426" t="s">
        <v>90</v>
      </c>
      <c r="P426">
        <v>0</v>
      </c>
      <c r="Q426" t="s">
        <v>90</v>
      </c>
      <c r="R426">
        <v>0</v>
      </c>
      <c r="S426" t="s">
        <v>90</v>
      </c>
      <c r="T426">
        <v>0</v>
      </c>
      <c r="U426">
        <v>0.79548044474855717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122</v>
      </c>
      <c r="AB426">
        <v>1</v>
      </c>
      <c r="AC426">
        <v>0.2</v>
      </c>
      <c r="AD426">
        <v>0.20955992415926555</v>
      </c>
      <c r="AE426">
        <v>216</v>
      </c>
      <c r="AF426">
        <v>200000</v>
      </c>
      <c r="AG426">
        <v>10000</v>
      </c>
      <c r="AH426">
        <v>1</v>
      </c>
      <c r="AI426">
        <v>1</v>
      </c>
      <c r="AJ426" t="s">
        <v>76</v>
      </c>
      <c r="AK426" t="s">
        <v>176</v>
      </c>
      <c r="AL426">
        <v>0</v>
      </c>
      <c r="AM426" t="s">
        <v>176</v>
      </c>
      <c r="AN426">
        <v>0</v>
      </c>
    </row>
    <row r="427" spans="1:40" x14ac:dyDescent="0.15">
      <c r="A427" s="4" t="str">
        <f>HYPERLINK("https://ibp.a2mac1.com/costing(costing:projects/details/9760/process/12084800)","Automated Process")</f>
        <v>Automated Process</v>
      </c>
      <c r="B427" t="s">
        <v>1992</v>
      </c>
      <c r="C427">
        <v>12084800</v>
      </c>
      <c r="D427">
        <v>8415089</v>
      </c>
      <c r="E427">
        <v>0.15</v>
      </c>
      <c r="F427">
        <v>0</v>
      </c>
      <c r="G427">
        <v>0</v>
      </c>
      <c r="H427">
        <v>7.5900000000000002E-4</v>
      </c>
      <c r="I427" t="s">
        <v>176</v>
      </c>
      <c r="J427">
        <v>5.2500000000000003E-3</v>
      </c>
      <c r="K427">
        <v>0.15600900000000001</v>
      </c>
      <c r="L427">
        <v>3.9446064591931056E-2</v>
      </c>
      <c r="M427">
        <v>0.23667638755158632</v>
      </c>
      <c r="N427">
        <v>0.39268538755158633</v>
      </c>
      <c r="O427" t="s">
        <v>177</v>
      </c>
      <c r="P427">
        <v>9.3605400000000005E-3</v>
      </c>
      <c r="Q427" t="s">
        <v>177</v>
      </c>
      <c r="R427">
        <v>1.4200583253095179E-2</v>
      </c>
      <c r="S427" t="s">
        <v>178</v>
      </c>
      <c r="T427">
        <v>4.712224650619036E-2</v>
      </c>
      <c r="U427">
        <v>0.46336875731087185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21</v>
      </c>
      <c r="AB427">
        <v>1</v>
      </c>
      <c r="AC427">
        <v>0.5</v>
      </c>
      <c r="AD427">
        <v>0.50345253019720215</v>
      </c>
      <c r="AE427">
        <v>10800</v>
      </c>
      <c r="AF427">
        <v>200000</v>
      </c>
      <c r="AG427">
        <v>16666.666666666668</v>
      </c>
      <c r="AH427">
        <v>1</v>
      </c>
      <c r="AI427">
        <v>1</v>
      </c>
      <c r="AJ427" t="s">
        <v>162</v>
      </c>
      <c r="AK427" t="s">
        <v>176</v>
      </c>
      <c r="AL427">
        <v>0</v>
      </c>
      <c r="AM427" t="s">
        <v>176</v>
      </c>
      <c r="AN427">
        <v>0</v>
      </c>
    </row>
    <row r="428" spans="1:40" x14ac:dyDescent="0.15">
      <c r="A428" s="4" t="str">
        <f>HYPERLINK("https://ibp.a2mac1.com/costing(costing:projects/details/9760/process/12084801)","Automated Process")</f>
        <v>Automated Process</v>
      </c>
      <c r="B428" t="s">
        <v>1992</v>
      </c>
      <c r="C428">
        <v>12084801</v>
      </c>
      <c r="D428">
        <v>8415090</v>
      </c>
      <c r="E428">
        <v>0.15</v>
      </c>
      <c r="F428">
        <v>0</v>
      </c>
      <c r="G428">
        <v>0</v>
      </c>
      <c r="H428">
        <v>7.5900000000000002E-4</v>
      </c>
      <c r="I428" t="s">
        <v>176</v>
      </c>
      <c r="J428">
        <v>5.2500000000000003E-3</v>
      </c>
      <c r="K428">
        <v>0.15600900000000001</v>
      </c>
      <c r="L428">
        <v>3.9446064591931056E-2</v>
      </c>
      <c r="M428">
        <v>0.23667638755158632</v>
      </c>
      <c r="N428">
        <v>0.39268538755158633</v>
      </c>
      <c r="O428" t="s">
        <v>177</v>
      </c>
      <c r="P428">
        <v>9.3605400000000005E-3</v>
      </c>
      <c r="Q428" t="s">
        <v>177</v>
      </c>
      <c r="R428">
        <v>1.4200583253095179E-2</v>
      </c>
      <c r="S428" t="s">
        <v>178</v>
      </c>
      <c r="T428">
        <v>4.712224650619036E-2</v>
      </c>
      <c r="U428">
        <v>0.46336875731087185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21</v>
      </c>
      <c r="AB428">
        <v>1</v>
      </c>
      <c r="AC428">
        <v>0.5</v>
      </c>
      <c r="AD428">
        <v>0.50345253019720215</v>
      </c>
      <c r="AE428">
        <v>10800</v>
      </c>
      <c r="AF428">
        <v>200000</v>
      </c>
      <c r="AG428">
        <v>16666.666666666668</v>
      </c>
      <c r="AH428">
        <v>1</v>
      </c>
      <c r="AI428">
        <v>1</v>
      </c>
      <c r="AJ428" t="s">
        <v>162</v>
      </c>
      <c r="AK428" t="s">
        <v>176</v>
      </c>
      <c r="AL428">
        <v>0</v>
      </c>
      <c r="AM428" t="s">
        <v>176</v>
      </c>
      <c r="AN428">
        <v>0</v>
      </c>
    </row>
    <row r="429" spans="1:40" x14ac:dyDescent="0.15">
      <c r="A429" s="4" t="str">
        <f>HYPERLINK("https://ibp.a2mac1.com/costing(costing:projects/details/9760/process/12084715)","Automated Process")</f>
        <v>Automated Process</v>
      </c>
      <c r="B429" t="s">
        <v>794</v>
      </c>
      <c r="C429">
        <v>12084715</v>
      </c>
      <c r="D429">
        <v>8414977</v>
      </c>
      <c r="E429">
        <v>1.3377294E-2</v>
      </c>
      <c r="F429">
        <v>0</v>
      </c>
      <c r="G429">
        <v>0</v>
      </c>
      <c r="H429">
        <v>6.7858754526315789E-5</v>
      </c>
      <c r="I429" t="s">
        <v>176</v>
      </c>
      <c r="J429">
        <v>4.6937873684210524E-4</v>
      </c>
      <c r="K429">
        <v>1.3914531491368421E-2</v>
      </c>
      <c r="L429">
        <v>4.1243899592881732E-3</v>
      </c>
      <c r="M429">
        <v>2.4746339755729041E-2</v>
      </c>
      <c r="N429">
        <v>3.866087124709746E-2</v>
      </c>
      <c r="O429" t="s">
        <v>90</v>
      </c>
      <c r="P429">
        <v>0</v>
      </c>
      <c r="Q429" t="s">
        <v>90</v>
      </c>
      <c r="R429">
        <v>0</v>
      </c>
      <c r="S429" t="s">
        <v>90</v>
      </c>
      <c r="T429">
        <v>0</v>
      </c>
      <c r="U429">
        <v>3.866087124709746E-2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0.5</v>
      </c>
      <c r="AD429">
        <v>0.50345253019720215</v>
      </c>
      <c r="AE429">
        <v>10800</v>
      </c>
      <c r="AF429">
        <v>200000</v>
      </c>
      <c r="AG429">
        <v>16666.666666666668</v>
      </c>
      <c r="AH429">
        <v>1</v>
      </c>
      <c r="AI429">
        <v>1</v>
      </c>
      <c r="AJ429" t="s">
        <v>162</v>
      </c>
      <c r="AK429" t="s">
        <v>176</v>
      </c>
      <c r="AL429">
        <v>0</v>
      </c>
      <c r="AM429" t="s">
        <v>176</v>
      </c>
      <c r="AN429">
        <v>0</v>
      </c>
    </row>
    <row r="430" spans="1:40" x14ac:dyDescent="0.15">
      <c r="A430" s="4" t="str">
        <f>HYPERLINK("https://ibp.a2mac1.com/costing(costing:projects/details/9760/process/12084716)","Automated Process")</f>
        <v>Automated Process</v>
      </c>
      <c r="B430" t="s">
        <v>2149</v>
      </c>
      <c r="C430">
        <v>12084716</v>
      </c>
      <c r="D430">
        <v>8414978</v>
      </c>
      <c r="E430">
        <v>0.05</v>
      </c>
      <c r="F430">
        <v>0</v>
      </c>
      <c r="G430">
        <v>0</v>
      </c>
      <c r="H430">
        <v>2.5300000000000002E-4</v>
      </c>
      <c r="I430" t="s">
        <v>176</v>
      </c>
      <c r="J430">
        <v>1.75E-3</v>
      </c>
      <c r="K430">
        <v>5.2003000000000001E-2</v>
      </c>
      <c r="L430">
        <v>5.8904736909203177E-3</v>
      </c>
      <c r="M430">
        <v>3.5342842145521906E-2</v>
      </c>
      <c r="N430">
        <v>8.7345842145521907E-2</v>
      </c>
      <c r="O430" t="s">
        <v>90</v>
      </c>
      <c r="P430">
        <v>0</v>
      </c>
      <c r="Q430" t="s">
        <v>90</v>
      </c>
      <c r="R430">
        <v>0</v>
      </c>
      <c r="S430" t="s">
        <v>90</v>
      </c>
      <c r="T430">
        <v>0</v>
      </c>
      <c r="U430">
        <v>8.7345842145521907E-2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</v>
      </c>
      <c r="AB430">
        <v>1</v>
      </c>
      <c r="AC430">
        <v>0.5</v>
      </c>
      <c r="AD430">
        <v>0.50345253019720215</v>
      </c>
      <c r="AE430">
        <v>10800</v>
      </c>
      <c r="AF430">
        <v>200000</v>
      </c>
      <c r="AG430">
        <v>16666.666666666668</v>
      </c>
      <c r="AH430">
        <v>1</v>
      </c>
      <c r="AI430">
        <v>1</v>
      </c>
      <c r="AJ430" t="s">
        <v>162</v>
      </c>
      <c r="AK430" t="s">
        <v>176</v>
      </c>
      <c r="AL430">
        <v>0</v>
      </c>
      <c r="AM430" t="s">
        <v>176</v>
      </c>
      <c r="AN430">
        <v>0</v>
      </c>
    </row>
    <row r="431" spans="1:40" x14ac:dyDescent="0.15">
      <c r="A431" s="4" t="str">
        <f>HYPERLINK("https://ibp.a2mac1.com/costing(costing:projects/details/9760/process/12084718)","Process")</f>
        <v>Process</v>
      </c>
      <c r="B431" t="s">
        <v>360</v>
      </c>
      <c r="C431">
        <v>12084718</v>
      </c>
      <c r="D431">
        <v>8414981</v>
      </c>
      <c r="E431">
        <v>0</v>
      </c>
      <c r="F431">
        <v>0</v>
      </c>
      <c r="G431">
        <v>0</v>
      </c>
      <c r="H431">
        <v>0</v>
      </c>
      <c r="I431" t="s">
        <v>176</v>
      </c>
      <c r="J431">
        <v>0</v>
      </c>
      <c r="K431">
        <v>0</v>
      </c>
      <c r="L431">
        <v>3.9115658851352069</v>
      </c>
      <c r="M431">
        <v>13.690480597973224</v>
      </c>
      <c r="N431">
        <v>13.690480597973224</v>
      </c>
      <c r="O431" t="s">
        <v>90</v>
      </c>
      <c r="P431">
        <v>0</v>
      </c>
      <c r="Q431" t="s">
        <v>90</v>
      </c>
      <c r="R431">
        <v>0</v>
      </c>
      <c r="S431" t="s">
        <v>90</v>
      </c>
      <c r="T431">
        <v>0</v>
      </c>
      <c r="U431">
        <v>13.690480597973224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1800</v>
      </c>
      <c r="AB431">
        <v>1</v>
      </c>
      <c r="AC431">
        <v>0.2</v>
      </c>
      <c r="AD431">
        <v>0.20955992415926555</v>
      </c>
      <c r="AE431">
        <v>216</v>
      </c>
      <c r="AF431">
        <v>200000</v>
      </c>
      <c r="AG431">
        <v>10000</v>
      </c>
      <c r="AH431">
        <v>1</v>
      </c>
      <c r="AI431">
        <v>1</v>
      </c>
      <c r="AJ431" t="s">
        <v>76</v>
      </c>
      <c r="AK431" t="s">
        <v>176</v>
      </c>
      <c r="AL431">
        <v>0</v>
      </c>
      <c r="AM431" t="s">
        <v>176</v>
      </c>
      <c r="AN431">
        <v>0</v>
      </c>
    </row>
    <row r="432" spans="1:40" x14ac:dyDescent="0.15">
      <c r="A432" s="4" t="str">
        <f>HYPERLINK("https://ibp.a2mac1.com/costing(costing:projects/details/9760/process/12084719)","Automated Process")</f>
        <v>Automated Process</v>
      </c>
      <c r="B432" t="s">
        <v>794</v>
      </c>
      <c r="C432">
        <v>12084719</v>
      </c>
      <c r="D432">
        <v>8414982</v>
      </c>
      <c r="E432">
        <v>0.06</v>
      </c>
      <c r="F432">
        <v>0</v>
      </c>
      <c r="G432">
        <v>0</v>
      </c>
      <c r="H432">
        <v>3.0360000000000001E-4</v>
      </c>
      <c r="I432" t="s">
        <v>176</v>
      </c>
      <c r="J432">
        <v>2.0999999999999999E-3</v>
      </c>
      <c r="K432">
        <v>6.2403599999999997E-2</v>
      </c>
      <c r="L432">
        <v>7.6565574225524614E-3</v>
      </c>
      <c r="M432">
        <v>4.5939344535314765E-2</v>
      </c>
      <c r="N432">
        <v>0.10834294453531476</v>
      </c>
      <c r="O432" t="s">
        <v>90</v>
      </c>
      <c r="P432">
        <v>0</v>
      </c>
      <c r="Q432" t="s">
        <v>90</v>
      </c>
      <c r="R432">
        <v>0</v>
      </c>
      <c r="S432" t="s">
        <v>90</v>
      </c>
      <c r="T432">
        <v>0</v>
      </c>
      <c r="U432">
        <v>0.10834294453531476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</v>
      </c>
      <c r="AC432">
        <v>0.5</v>
      </c>
      <c r="AD432">
        <v>0.50345253019720215</v>
      </c>
      <c r="AE432">
        <v>10800</v>
      </c>
      <c r="AF432">
        <v>200000</v>
      </c>
      <c r="AG432">
        <v>16666.666666666668</v>
      </c>
      <c r="AH432">
        <v>1</v>
      </c>
      <c r="AI432">
        <v>1</v>
      </c>
      <c r="AJ432" t="s">
        <v>162</v>
      </c>
      <c r="AK432" t="s">
        <v>176</v>
      </c>
      <c r="AL432">
        <v>0</v>
      </c>
      <c r="AM432" t="s">
        <v>176</v>
      </c>
      <c r="AN432">
        <v>0</v>
      </c>
    </row>
    <row r="433" spans="1:40" x14ac:dyDescent="0.15">
      <c r="A433" s="4" t="str">
        <f>HYPERLINK("https://ibp.a2mac1.com/costing(costing:projects/details/9760/process/12084720)","Automated Process")</f>
        <v>Automated Process</v>
      </c>
      <c r="B433" t="s">
        <v>2149</v>
      </c>
      <c r="C433">
        <v>12084720</v>
      </c>
      <c r="D433">
        <v>8414983</v>
      </c>
      <c r="E433">
        <v>0.17</v>
      </c>
      <c r="F433">
        <v>0</v>
      </c>
      <c r="G433">
        <v>0</v>
      </c>
      <c r="H433">
        <v>8.6019999999999998E-4</v>
      </c>
      <c r="I433" t="s">
        <v>176</v>
      </c>
      <c r="J433">
        <v>5.9500000000000004E-3</v>
      </c>
      <c r="K433">
        <v>0.1768102</v>
      </c>
      <c r="L433">
        <v>2.1785227275609612E-2</v>
      </c>
      <c r="M433">
        <v>0.13071136365365768</v>
      </c>
      <c r="N433">
        <v>0.30752156365365768</v>
      </c>
      <c r="O433" t="s">
        <v>90</v>
      </c>
      <c r="P433">
        <v>0</v>
      </c>
      <c r="Q433" t="s">
        <v>90</v>
      </c>
      <c r="R433">
        <v>0</v>
      </c>
      <c r="S433" t="s">
        <v>90</v>
      </c>
      <c r="T433">
        <v>0</v>
      </c>
      <c r="U433">
        <v>0.30752156365365768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11</v>
      </c>
      <c r="AB433">
        <v>1</v>
      </c>
      <c r="AC433">
        <v>0.5</v>
      </c>
      <c r="AD433">
        <v>0.50345253019720215</v>
      </c>
      <c r="AE433">
        <v>10800</v>
      </c>
      <c r="AF433">
        <v>200000</v>
      </c>
      <c r="AG433">
        <v>16666.666666666668</v>
      </c>
      <c r="AH433">
        <v>1</v>
      </c>
      <c r="AI433">
        <v>1</v>
      </c>
      <c r="AJ433" t="s">
        <v>162</v>
      </c>
      <c r="AK433" t="s">
        <v>176</v>
      </c>
      <c r="AL433">
        <v>0</v>
      </c>
      <c r="AM433" t="s">
        <v>176</v>
      </c>
      <c r="AN433">
        <v>0</v>
      </c>
    </row>
    <row r="434" spans="1:40" x14ac:dyDescent="0.15">
      <c r="A434" s="4" t="str">
        <f>HYPERLINK("https://ibp.a2mac1.com/costing(costing:projects/details/9760/process/12084721)","Automated Process")</f>
        <v>Automated Process</v>
      </c>
      <c r="B434" t="s">
        <v>2149</v>
      </c>
      <c r="C434">
        <v>12084721</v>
      </c>
      <c r="D434">
        <v>8414984</v>
      </c>
      <c r="E434">
        <v>0.19</v>
      </c>
      <c r="F434">
        <v>0</v>
      </c>
      <c r="G434">
        <v>0</v>
      </c>
      <c r="H434">
        <v>9.6139999999999995E-4</v>
      </c>
      <c r="I434" t="s">
        <v>176</v>
      </c>
      <c r="J434">
        <v>6.6499999999999997E-3</v>
      </c>
      <c r="K434">
        <v>0.19761139999999999</v>
      </c>
      <c r="L434">
        <v>2.3551311007241758E-2</v>
      </c>
      <c r="M434">
        <v>0.14130786604345055</v>
      </c>
      <c r="N434">
        <v>0.33891926604345052</v>
      </c>
      <c r="O434" t="s">
        <v>177</v>
      </c>
      <c r="P434">
        <v>1.1856683999999999E-2</v>
      </c>
      <c r="Q434" t="s">
        <v>177</v>
      </c>
      <c r="R434">
        <v>8.4784719626070319E-3</v>
      </c>
      <c r="S434" t="s">
        <v>178</v>
      </c>
      <c r="T434">
        <v>4.0670311925214066E-2</v>
      </c>
      <c r="U434">
        <v>0.39992473393127165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12</v>
      </c>
      <c r="AB434">
        <v>1</v>
      </c>
      <c r="AC434">
        <v>0.5</v>
      </c>
      <c r="AD434">
        <v>0.50345253019720215</v>
      </c>
      <c r="AE434">
        <v>10800</v>
      </c>
      <c r="AF434">
        <v>200000</v>
      </c>
      <c r="AG434">
        <v>16666.666666666668</v>
      </c>
      <c r="AH434">
        <v>1</v>
      </c>
      <c r="AI434">
        <v>1</v>
      </c>
      <c r="AJ434" t="s">
        <v>162</v>
      </c>
      <c r="AK434" t="s">
        <v>176</v>
      </c>
      <c r="AL434">
        <v>0</v>
      </c>
      <c r="AM434" t="s">
        <v>176</v>
      </c>
      <c r="AN434">
        <v>0</v>
      </c>
    </row>
    <row r="435" spans="1:40" x14ac:dyDescent="0.15">
      <c r="A435" s="4" t="str">
        <f>HYPERLINK("https://ibp.a2mac1.com/costing(costing:projects/details/9760/process/12084722)","Automated Process")</f>
        <v>Automated Process</v>
      </c>
      <c r="B435" t="s">
        <v>794</v>
      </c>
      <c r="C435">
        <v>12084722</v>
      </c>
      <c r="D435">
        <v>8414985</v>
      </c>
      <c r="E435">
        <v>0.14000000000000001</v>
      </c>
      <c r="F435">
        <v>0</v>
      </c>
      <c r="G435">
        <v>0</v>
      </c>
      <c r="H435">
        <v>7.0839999999999998E-4</v>
      </c>
      <c r="I435" t="s">
        <v>176</v>
      </c>
      <c r="J435">
        <v>4.8999999999999998E-3</v>
      </c>
      <c r="K435">
        <v>0.1456084</v>
      </c>
      <c r="L435">
        <v>7.6565574225524614E-3</v>
      </c>
      <c r="M435">
        <v>4.5939344535314765E-2</v>
      </c>
      <c r="N435">
        <v>0.19154774453531476</v>
      </c>
      <c r="O435" t="s">
        <v>177</v>
      </c>
      <c r="P435">
        <v>8.7365040000000008E-3</v>
      </c>
      <c r="Q435" t="s">
        <v>177</v>
      </c>
      <c r="R435">
        <v>2.756360672118886E-3</v>
      </c>
      <c r="S435" t="s">
        <v>178</v>
      </c>
      <c r="T435">
        <v>2.2985729344237774E-2</v>
      </c>
      <c r="U435">
        <v>0.22602633855167142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</v>
      </c>
      <c r="AC435">
        <v>0.5</v>
      </c>
      <c r="AD435">
        <v>0.50345253019720215</v>
      </c>
      <c r="AE435">
        <v>10800</v>
      </c>
      <c r="AF435">
        <v>200000</v>
      </c>
      <c r="AG435">
        <v>16666.666666666668</v>
      </c>
      <c r="AH435">
        <v>1</v>
      </c>
      <c r="AI435">
        <v>1</v>
      </c>
      <c r="AJ435" t="s">
        <v>162</v>
      </c>
      <c r="AK435" t="s">
        <v>176</v>
      </c>
      <c r="AL435">
        <v>0</v>
      </c>
      <c r="AM435" t="s">
        <v>176</v>
      </c>
      <c r="AN435">
        <v>0</v>
      </c>
    </row>
    <row r="436" spans="1:40" x14ac:dyDescent="0.15">
      <c r="A436" s="4" t="str">
        <f>HYPERLINK("https://ibp.a2mac1.com/costing(costing:projects/details/9760/process/12084723)","Automated Process")</f>
        <v>Automated Process</v>
      </c>
      <c r="B436" t="s">
        <v>794</v>
      </c>
      <c r="C436">
        <v>12084723</v>
      </c>
      <c r="D436">
        <v>8414986</v>
      </c>
      <c r="E436">
        <v>0.04</v>
      </c>
      <c r="F436">
        <v>0</v>
      </c>
      <c r="G436">
        <v>0</v>
      </c>
      <c r="H436">
        <v>2.0239999999999999E-4</v>
      </c>
      <c r="I436" t="s">
        <v>176</v>
      </c>
      <c r="J436">
        <v>1.4E-3</v>
      </c>
      <c r="K436">
        <v>4.1602399999999998E-2</v>
      </c>
      <c r="L436">
        <v>4.1243899592881732E-3</v>
      </c>
      <c r="M436">
        <v>2.4746339755729041E-2</v>
      </c>
      <c r="N436">
        <v>6.6348739755729039E-2</v>
      </c>
      <c r="O436" t="s">
        <v>90</v>
      </c>
      <c r="P436">
        <v>0</v>
      </c>
      <c r="Q436" t="s">
        <v>90</v>
      </c>
      <c r="R436">
        <v>0</v>
      </c>
      <c r="S436" t="s">
        <v>90</v>
      </c>
      <c r="T436">
        <v>0</v>
      </c>
      <c r="U436">
        <v>6.6348739755729039E-2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0.5</v>
      </c>
      <c r="AD436">
        <v>0.50345253019720215</v>
      </c>
      <c r="AE436">
        <v>10800</v>
      </c>
      <c r="AF436">
        <v>200000</v>
      </c>
      <c r="AG436">
        <v>16666.666666666668</v>
      </c>
      <c r="AH436">
        <v>1</v>
      </c>
      <c r="AI436">
        <v>1</v>
      </c>
      <c r="AJ436" t="s">
        <v>162</v>
      </c>
      <c r="AK436" t="s">
        <v>176</v>
      </c>
      <c r="AL436">
        <v>0</v>
      </c>
      <c r="AM436" t="s">
        <v>176</v>
      </c>
      <c r="AN436">
        <v>0</v>
      </c>
    </row>
    <row r="437" spans="1:40" x14ac:dyDescent="0.15">
      <c r="A437" s="4" t="str">
        <f>HYPERLINK("https://ibp.a2mac1.com/costing(costing:projects/details/9760/process/12084724)","Process")</f>
        <v>Process</v>
      </c>
      <c r="B437" t="s">
        <v>360</v>
      </c>
      <c r="C437">
        <v>12084724</v>
      </c>
      <c r="D437">
        <v>8414987</v>
      </c>
      <c r="E437">
        <v>0</v>
      </c>
      <c r="F437">
        <v>0</v>
      </c>
      <c r="G437">
        <v>0</v>
      </c>
      <c r="H437">
        <v>0</v>
      </c>
      <c r="I437" t="s">
        <v>176</v>
      </c>
      <c r="J437">
        <v>0</v>
      </c>
      <c r="K437">
        <v>0</v>
      </c>
      <c r="L437">
        <v>0.3253228347975165</v>
      </c>
      <c r="M437">
        <v>1.1386299217913078</v>
      </c>
      <c r="N437">
        <v>1.1386299217913078</v>
      </c>
      <c r="O437" t="s">
        <v>90</v>
      </c>
      <c r="P437">
        <v>0</v>
      </c>
      <c r="Q437" t="s">
        <v>90</v>
      </c>
      <c r="R437">
        <v>0</v>
      </c>
      <c r="S437" t="s">
        <v>90</v>
      </c>
      <c r="T437">
        <v>0</v>
      </c>
      <c r="U437">
        <v>1.1386299217913078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150</v>
      </c>
      <c r="AB437">
        <v>1</v>
      </c>
      <c r="AC437">
        <v>0</v>
      </c>
      <c r="AD437">
        <v>0</v>
      </c>
      <c r="AE437">
        <v>216</v>
      </c>
      <c r="AF437">
        <v>200000</v>
      </c>
      <c r="AG437">
        <v>10000</v>
      </c>
      <c r="AH437">
        <v>1</v>
      </c>
      <c r="AI437">
        <v>1</v>
      </c>
      <c r="AJ437" t="s">
        <v>76</v>
      </c>
      <c r="AK437" t="s">
        <v>176</v>
      </c>
      <c r="AL437">
        <v>0</v>
      </c>
      <c r="AM437" t="s">
        <v>176</v>
      </c>
      <c r="AN437">
        <v>0</v>
      </c>
    </row>
    <row r="438" spans="1:40" x14ac:dyDescent="0.15">
      <c r="A438" s="4" t="str">
        <f>HYPERLINK("https://ibp.a2mac1.com/costing(costing:projects/details/9760/process/12084725)","Process")</f>
        <v>Process</v>
      </c>
      <c r="B438" t="s">
        <v>360</v>
      </c>
      <c r="C438">
        <v>12084725</v>
      </c>
      <c r="D438">
        <v>8414988</v>
      </c>
      <c r="E438">
        <v>0</v>
      </c>
      <c r="F438">
        <v>0</v>
      </c>
      <c r="G438">
        <v>0</v>
      </c>
      <c r="H438">
        <v>0</v>
      </c>
      <c r="I438" t="s">
        <v>176</v>
      </c>
      <c r="J438">
        <v>0</v>
      </c>
      <c r="K438">
        <v>0</v>
      </c>
      <c r="L438">
        <v>0.16626260625928166</v>
      </c>
      <c r="M438">
        <v>0.99757563755569001</v>
      </c>
      <c r="N438">
        <v>0.99757563755569001</v>
      </c>
      <c r="O438" t="s">
        <v>90</v>
      </c>
      <c r="P438">
        <v>0</v>
      </c>
      <c r="Q438" t="s">
        <v>90</v>
      </c>
      <c r="R438">
        <v>0</v>
      </c>
      <c r="S438" t="s">
        <v>90</v>
      </c>
      <c r="T438">
        <v>0</v>
      </c>
      <c r="U438">
        <v>0.99757563755569001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153</v>
      </c>
      <c r="AB438">
        <v>1</v>
      </c>
      <c r="AC438">
        <v>0.2</v>
      </c>
      <c r="AD438">
        <v>0.20955992415926555</v>
      </c>
      <c r="AE438">
        <v>216</v>
      </c>
      <c r="AF438">
        <v>200000</v>
      </c>
      <c r="AG438">
        <v>10000</v>
      </c>
      <c r="AH438">
        <v>1</v>
      </c>
      <c r="AI438">
        <v>1</v>
      </c>
      <c r="AJ438" t="s">
        <v>76</v>
      </c>
      <c r="AK438" t="s">
        <v>176</v>
      </c>
      <c r="AL438">
        <v>0</v>
      </c>
      <c r="AM438" t="s">
        <v>176</v>
      </c>
      <c r="AN438">
        <v>0</v>
      </c>
    </row>
    <row r="439" spans="1:40" x14ac:dyDescent="0.15">
      <c r="A439" s="4" t="str">
        <f>HYPERLINK("https://ibp.a2mac1.com/costing(costing:projects/details/9760/process/12084726)","Process")</f>
        <v>Process</v>
      </c>
      <c r="B439" t="s">
        <v>360</v>
      </c>
      <c r="C439">
        <v>12084726</v>
      </c>
      <c r="D439">
        <v>8414989</v>
      </c>
      <c r="E439">
        <v>0</v>
      </c>
      <c r="F439">
        <v>0</v>
      </c>
      <c r="G439">
        <v>0</v>
      </c>
      <c r="H439">
        <v>0</v>
      </c>
      <c r="I439" t="s">
        <v>176</v>
      </c>
      <c r="J439">
        <v>0</v>
      </c>
      <c r="K439">
        <v>0</v>
      </c>
      <c r="L439">
        <v>0.21689719916614195</v>
      </c>
      <c r="M439">
        <v>0.75914019708149671</v>
      </c>
      <c r="N439">
        <v>0.75914019708149671</v>
      </c>
      <c r="O439" t="s">
        <v>90</v>
      </c>
      <c r="P439">
        <v>0</v>
      </c>
      <c r="Q439" t="s">
        <v>90</v>
      </c>
      <c r="R439">
        <v>0</v>
      </c>
      <c r="S439" t="s">
        <v>90</v>
      </c>
      <c r="T439">
        <v>0</v>
      </c>
      <c r="U439">
        <v>0.75914019708149671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100</v>
      </c>
      <c r="AB439">
        <v>1</v>
      </c>
      <c r="AC439">
        <v>0</v>
      </c>
      <c r="AD439">
        <v>0</v>
      </c>
      <c r="AE439">
        <v>216</v>
      </c>
      <c r="AF439">
        <v>200000</v>
      </c>
      <c r="AG439">
        <v>10000</v>
      </c>
      <c r="AH439">
        <v>1</v>
      </c>
      <c r="AI439">
        <v>1</v>
      </c>
      <c r="AJ439" t="s">
        <v>76</v>
      </c>
      <c r="AK439" t="s">
        <v>176</v>
      </c>
      <c r="AL439">
        <v>0</v>
      </c>
      <c r="AM439" t="s">
        <v>176</v>
      </c>
      <c r="AN439">
        <v>0</v>
      </c>
    </row>
    <row r="440" spans="1:40" x14ac:dyDescent="0.15">
      <c r="A440" s="4" t="str">
        <f>HYPERLINK("https://ibp.a2mac1.com/costing(costing:projects/details/9760/process/12084727)","Process")</f>
        <v>Process</v>
      </c>
      <c r="B440" t="s">
        <v>360</v>
      </c>
      <c r="C440">
        <v>12084727</v>
      </c>
      <c r="D440">
        <v>8414992</v>
      </c>
      <c r="E440">
        <v>0</v>
      </c>
      <c r="F440">
        <v>0</v>
      </c>
      <c r="G440">
        <v>0</v>
      </c>
      <c r="H440">
        <v>0</v>
      </c>
      <c r="I440" t="s">
        <v>176</v>
      </c>
      <c r="J440">
        <v>0</v>
      </c>
      <c r="K440">
        <v>0</v>
      </c>
      <c r="L440">
        <v>0.98444518931576619</v>
      </c>
      <c r="M440">
        <v>3.4455581626051819</v>
      </c>
      <c r="N440">
        <v>3.4455581626051819</v>
      </c>
      <c r="O440" t="s">
        <v>90</v>
      </c>
      <c r="P440">
        <v>0</v>
      </c>
      <c r="Q440" t="s">
        <v>90</v>
      </c>
      <c r="R440">
        <v>0</v>
      </c>
      <c r="S440" t="s">
        <v>90</v>
      </c>
      <c r="T440">
        <v>0</v>
      </c>
      <c r="U440">
        <v>3.4455581626051819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453</v>
      </c>
      <c r="AB440">
        <v>1</v>
      </c>
      <c r="AC440">
        <v>0.2</v>
      </c>
      <c r="AD440">
        <v>0.20955992415926555</v>
      </c>
      <c r="AE440">
        <v>216</v>
      </c>
      <c r="AF440">
        <v>200000</v>
      </c>
      <c r="AG440">
        <v>10000</v>
      </c>
      <c r="AH440">
        <v>1</v>
      </c>
      <c r="AI440">
        <v>1</v>
      </c>
      <c r="AJ440" t="s">
        <v>76</v>
      </c>
      <c r="AK440" t="s">
        <v>176</v>
      </c>
      <c r="AL440">
        <v>0</v>
      </c>
      <c r="AM440" t="s">
        <v>176</v>
      </c>
      <c r="AN440">
        <v>0</v>
      </c>
    </row>
    <row r="441" spans="1:40" x14ac:dyDescent="0.15">
      <c r="A441" s="4" t="str">
        <f>HYPERLINK("https://ibp.a2mac1.com/costing(costing:projects/details/9760/process/12084599)","Automated Process")</f>
        <v>Automated Process</v>
      </c>
      <c r="B441" t="s">
        <v>794</v>
      </c>
      <c r="C441">
        <v>12084599</v>
      </c>
      <c r="D441">
        <v>8414815</v>
      </c>
      <c r="E441">
        <v>0.88</v>
      </c>
      <c r="F441">
        <v>0</v>
      </c>
      <c r="G441">
        <v>0</v>
      </c>
      <c r="H441">
        <v>4.4527999999999998E-3</v>
      </c>
      <c r="I441" t="s">
        <v>176</v>
      </c>
      <c r="J441">
        <v>3.0800000000000001E-2</v>
      </c>
      <c r="K441">
        <v>0.91525279999999998</v>
      </c>
      <c r="L441">
        <v>3.5913897128666765E-2</v>
      </c>
      <c r="M441">
        <v>0.2154833827720006</v>
      </c>
      <c r="N441">
        <v>1.1307361827720006</v>
      </c>
      <c r="O441" t="s">
        <v>90</v>
      </c>
      <c r="P441">
        <v>0</v>
      </c>
      <c r="Q441" t="s">
        <v>90</v>
      </c>
      <c r="R441">
        <v>0</v>
      </c>
      <c r="S441" t="s">
        <v>90</v>
      </c>
      <c r="T441">
        <v>0</v>
      </c>
      <c r="U441">
        <v>1.1307361827720006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19</v>
      </c>
      <c r="AB441">
        <v>1</v>
      </c>
      <c r="AC441">
        <v>0.5</v>
      </c>
      <c r="AD441">
        <v>0.50345253019720215</v>
      </c>
      <c r="AE441">
        <v>10800</v>
      </c>
      <c r="AF441">
        <v>200000</v>
      </c>
      <c r="AG441">
        <v>16666.666666666668</v>
      </c>
      <c r="AH441">
        <v>1</v>
      </c>
      <c r="AI441">
        <v>1</v>
      </c>
      <c r="AJ441" t="s">
        <v>162</v>
      </c>
      <c r="AK441" t="s">
        <v>176</v>
      </c>
      <c r="AL441">
        <v>0</v>
      </c>
      <c r="AM441" t="s">
        <v>176</v>
      </c>
      <c r="AN441">
        <v>0</v>
      </c>
    </row>
    <row r="442" spans="1:40" x14ac:dyDescent="0.15">
      <c r="A442" s="4" t="str">
        <f>HYPERLINK("https://ibp.a2mac1.com/costing(costing:projects/details/9760/process/12084600)","Automated Process")</f>
        <v>Automated Process</v>
      </c>
      <c r="B442" t="s">
        <v>794</v>
      </c>
      <c r="C442">
        <v>12084600</v>
      </c>
      <c r="D442">
        <v>8414816</v>
      </c>
      <c r="E442">
        <v>7.0000000000000007E-2</v>
      </c>
      <c r="F442">
        <v>0</v>
      </c>
      <c r="G442">
        <v>0</v>
      </c>
      <c r="H442">
        <v>3.5419999999999999E-4</v>
      </c>
      <c r="I442" t="s">
        <v>176</v>
      </c>
      <c r="J442">
        <v>2.4499999999999999E-3</v>
      </c>
      <c r="K442">
        <v>7.2804199999999999E-2</v>
      </c>
      <c r="L442">
        <v>4.1243899592881732E-3</v>
      </c>
      <c r="M442">
        <v>2.4746339755729041E-2</v>
      </c>
      <c r="N442">
        <v>9.755053975572904E-2</v>
      </c>
      <c r="O442" t="s">
        <v>90</v>
      </c>
      <c r="P442">
        <v>0</v>
      </c>
      <c r="Q442" t="s">
        <v>90</v>
      </c>
      <c r="R442">
        <v>0</v>
      </c>
      <c r="S442" t="s">
        <v>90</v>
      </c>
      <c r="T442">
        <v>0</v>
      </c>
      <c r="U442">
        <v>9.755053975572904E-2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0.5</v>
      </c>
      <c r="AD442">
        <v>0.50345253019720215</v>
      </c>
      <c r="AE442">
        <v>10800</v>
      </c>
      <c r="AF442">
        <v>200000</v>
      </c>
      <c r="AG442">
        <v>16666.666666666668</v>
      </c>
      <c r="AH442">
        <v>1</v>
      </c>
      <c r="AI442">
        <v>1</v>
      </c>
      <c r="AJ442" t="s">
        <v>162</v>
      </c>
      <c r="AK442" t="s">
        <v>176</v>
      </c>
      <c r="AL442">
        <v>0</v>
      </c>
      <c r="AM442" t="s">
        <v>176</v>
      </c>
      <c r="AN442">
        <v>0</v>
      </c>
    </row>
    <row r="443" spans="1:40" x14ac:dyDescent="0.15">
      <c r="A443" s="4" t="str">
        <f>HYPERLINK("https://ibp.a2mac1.com/costing(costing:projects/details/9760/process/12084728)","Automated Process")</f>
        <v>Automated Process</v>
      </c>
      <c r="B443" t="s">
        <v>3754</v>
      </c>
      <c r="C443">
        <v>12084728</v>
      </c>
      <c r="D443">
        <v>8414995</v>
      </c>
      <c r="E443">
        <v>0.13</v>
      </c>
      <c r="F443">
        <v>0</v>
      </c>
      <c r="G443">
        <v>0</v>
      </c>
      <c r="H443">
        <v>6.5780000000000005E-4</v>
      </c>
      <c r="I443" t="s">
        <v>176</v>
      </c>
      <c r="J443">
        <v>4.5500000000000002E-3</v>
      </c>
      <c r="K443">
        <v>0.13520779999999999</v>
      </c>
      <c r="L443">
        <v>1.8253059812345325E-2</v>
      </c>
      <c r="M443">
        <v>0.10951835887407195</v>
      </c>
      <c r="N443">
        <v>0.24472615887407195</v>
      </c>
      <c r="O443" t="s">
        <v>177</v>
      </c>
      <c r="P443">
        <v>8.1124679999999994E-3</v>
      </c>
      <c r="Q443" t="s">
        <v>177</v>
      </c>
      <c r="R443">
        <v>6.5711015324443171E-3</v>
      </c>
      <c r="S443" t="s">
        <v>178</v>
      </c>
      <c r="T443">
        <v>2.9367139064888633E-2</v>
      </c>
      <c r="U443">
        <v>0.28877686747140491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9</v>
      </c>
      <c r="AB443">
        <v>1</v>
      </c>
      <c r="AC443">
        <v>0.5</v>
      </c>
      <c r="AD443">
        <v>0.50345253019720215</v>
      </c>
      <c r="AE443">
        <v>10800</v>
      </c>
      <c r="AF443">
        <v>200000</v>
      </c>
      <c r="AG443">
        <v>16666.666666666668</v>
      </c>
      <c r="AH443">
        <v>1</v>
      </c>
      <c r="AI443">
        <v>1</v>
      </c>
      <c r="AJ443" t="s">
        <v>162</v>
      </c>
      <c r="AK443" t="s">
        <v>176</v>
      </c>
      <c r="AL443">
        <v>0</v>
      </c>
      <c r="AM443" t="s">
        <v>176</v>
      </c>
      <c r="AN443">
        <v>0</v>
      </c>
    </row>
    <row r="444" spans="1:40" x14ac:dyDescent="0.15">
      <c r="A444" s="4" t="str">
        <f>HYPERLINK("https://ibp.a2mac1.com/costing(costing:projects/details/9760/process/12084729)","Automated Process")</f>
        <v>Automated Process</v>
      </c>
      <c r="B444" t="s">
        <v>1992</v>
      </c>
      <c r="C444">
        <v>12084729</v>
      </c>
      <c r="D444">
        <v>8414996</v>
      </c>
      <c r="E444">
        <v>0.18</v>
      </c>
      <c r="F444">
        <v>0</v>
      </c>
      <c r="G444">
        <v>0</v>
      </c>
      <c r="H444">
        <v>9.1080000000000002E-4</v>
      </c>
      <c r="I444" t="s">
        <v>176</v>
      </c>
      <c r="J444">
        <v>6.3E-3</v>
      </c>
      <c r="K444">
        <v>0.18721080000000001</v>
      </c>
      <c r="L444">
        <v>4.651039951845963E-2</v>
      </c>
      <c r="M444">
        <v>0.27906239711075775</v>
      </c>
      <c r="N444">
        <v>0.46627319711075776</v>
      </c>
      <c r="O444" t="s">
        <v>177</v>
      </c>
      <c r="P444">
        <v>1.1232648E-2</v>
      </c>
      <c r="Q444" t="s">
        <v>177</v>
      </c>
      <c r="R444">
        <v>1.6743743826645466E-2</v>
      </c>
      <c r="S444" t="s">
        <v>178</v>
      </c>
      <c r="T444">
        <v>5.5952783653290934E-2</v>
      </c>
      <c r="U444">
        <v>0.55020237259069416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25</v>
      </c>
      <c r="AB444">
        <v>1</v>
      </c>
      <c r="AC444">
        <v>0.5</v>
      </c>
      <c r="AD444">
        <v>0.50345253019720215</v>
      </c>
      <c r="AE444">
        <v>10800</v>
      </c>
      <c r="AF444">
        <v>200000</v>
      </c>
      <c r="AG444">
        <v>16666.666666666668</v>
      </c>
      <c r="AH444">
        <v>1</v>
      </c>
      <c r="AI444">
        <v>1</v>
      </c>
      <c r="AJ444" t="s">
        <v>162</v>
      </c>
      <c r="AK444" t="s">
        <v>176</v>
      </c>
      <c r="AL444">
        <v>0</v>
      </c>
      <c r="AM444" t="s">
        <v>176</v>
      </c>
      <c r="AN444">
        <v>0</v>
      </c>
    </row>
    <row r="445" spans="1:40" x14ac:dyDescent="0.15">
      <c r="A445" s="4" t="str">
        <f>HYPERLINK("https://ibp.a2mac1.com/costing(costing:projects/details/9760/process/12084730)","Automated Process")</f>
        <v>Automated Process</v>
      </c>
      <c r="B445" t="s">
        <v>794</v>
      </c>
      <c r="C445">
        <v>12084730</v>
      </c>
      <c r="D445">
        <v>8414997</v>
      </c>
      <c r="E445">
        <v>0.18</v>
      </c>
      <c r="F445">
        <v>0</v>
      </c>
      <c r="G445">
        <v>0</v>
      </c>
      <c r="H445">
        <v>9.1080000000000002E-4</v>
      </c>
      <c r="I445" t="s">
        <v>176</v>
      </c>
      <c r="J445">
        <v>6.3E-3</v>
      </c>
      <c r="K445">
        <v>0.18721080000000001</v>
      </c>
      <c r="L445">
        <v>9.422641154184605E-3</v>
      </c>
      <c r="M445">
        <v>5.653584692510763E-2</v>
      </c>
      <c r="N445">
        <v>0.24374664692510764</v>
      </c>
      <c r="O445" t="s">
        <v>177</v>
      </c>
      <c r="P445">
        <v>1.1232648E-2</v>
      </c>
      <c r="Q445" t="s">
        <v>177</v>
      </c>
      <c r="R445">
        <v>3.392150815506458E-3</v>
      </c>
      <c r="S445" t="s">
        <v>178</v>
      </c>
      <c r="T445">
        <v>2.9249597631012914E-2</v>
      </c>
      <c r="U445">
        <v>0.28762104337162703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1</v>
      </c>
      <c r="AC445">
        <v>0.5</v>
      </c>
      <c r="AD445">
        <v>0.50345253019720215</v>
      </c>
      <c r="AE445">
        <v>10800</v>
      </c>
      <c r="AF445">
        <v>200000</v>
      </c>
      <c r="AG445">
        <v>16666.666666666668</v>
      </c>
      <c r="AH445">
        <v>1</v>
      </c>
      <c r="AI445">
        <v>1</v>
      </c>
      <c r="AJ445" t="s">
        <v>162</v>
      </c>
      <c r="AK445" t="s">
        <v>176</v>
      </c>
      <c r="AL445">
        <v>0</v>
      </c>
      <c r="AM445" t="s">
        <v>176</v>
      </c>
      <c r="AN445">
        <v>0</v>
      </c>
    </row>
    <row r="446" spans="1:40" x14ac:dyDescent="0.15">
      <c r="A446" s="4" t="str">
        <f>HYPERLINK("https://ibp.a2mac1.com/costing(costing:projects/details/9760/process/12084731)","Automated Process")</f>
        <v>Automated Process</v>
      </c>
      <c r="B446" t="s">
        <v>794</v>
      </c>
      <c r="C446">
        <v>12084731</v>
      </c>
      <c r="D446">
        <v>8414998</v>
      </c>
      <c r="E446">
        <v>7.0000000000000007E-2</v>
      </c>
      <c r="F446">
        <v>0</v>
      </c>
      <c r="G446">
        <v>0</v>
      </c>
      <c r="H446">
        <v>3.5419999999999999E-4</v>
      </c>
      <c r="I446" t="s">
        <v>176</v>
      </c>
      <c r="J446">
        <v>2.4499999999999999E-3</v>
      </c>
      <c r="K446">
        <v>7.2804199999999999E-2</v>
      </c>
      <c r="L446">
        <v>4.1243899592881732E-3</v>
      </c>
      <c r="M446">
        <v>2.4746339755729041E-2</v>
      </c>
      <c r="N446">
        <v>9.755053975572904E-2</v>
      </c>
      <c r="O446" t="s">
        <v>177</v>
      </c>
      <c r="P446">
        <v>4.3682520000000004E-3</v>
      </c>
      <c r="Q446" t="s">
        <v>177</v>
      </c>
      <c r="R446">
        <v>1.4847803853437424E-3</v>
      </c>
      <c r="S446" t="s">
        <v>178</v>
      </c>
      <c r="T446">
        <v>1.1706064770687485E-2</v>
      </c>
      <c r="U446">
        <v>0.11510963691176027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1</v>
      </c>
      <c r="AC446">
        <v>0.5</v>
      </c>
      <c r="AD446">
        <v>0.50345253019720215</v>
      </c>
      <c r="AE446">
        <v>10800</v>
      </c>
      <c r="AF446">
        <v>200000</v>
      </c>
      <c r="AG446">
        <v>16666.666666666668</v>
      </c>
      <c r="AH446">
        <v>1</v>
      </c>
      <c r="AI446">
        <v>1</v>
      </c>
      <c r="AJ446" t="s">
        <v>162</v>
      </c>
      <c r="AK446" t="s">
        <v>176</v>
      </c>
      <c r="AL446">
        <v>0</v>
      </c>
      <c r="AM446" t="s">
        <v>176</v>
      </c>
      <c r="AN446">
        <v>0</v>
      </c>
    </row>
    <row r="447" spans="1:40" x14ac:dyDescent="0.15">
      <c r="A447" s="4" t="str">
        <f>HYPERLINK("https://ibp.a2mac1.com/costing(costing:projects/details/9760/process/12084732)","Automated Process")</f>
        <v>Automated Process</v>
      </c>
      <c r="B447" t="s">
        <v>3754</v>
      </c>
      <c r="C447">
        <v>12084732</v>
      </c>
      <c r="D447">
        <v>8414999</v>
      </c>
      <c r="E447">
        <v>0.11</v>
      </c>
      <c r="F447">
        <v>0</v>
      </c>
      <c r="G447">
        <v>0</v>
      </c>
      <c r="H447">
        <v>5.5659999999999998E-4</v>
      </c>
      <c r="I447" t="s">
        <v>176</v>
      </c>
      <c r="J447">
        <v>3.8500000000000001E-3</v>
      </c>
      <c r="K447">
        <v>0.1144066</v>
      </c>
      <c r="L447">
        <v>1.4720892349081038E-2</v>
      </c>
      <c r="M447">
        <v>8.8325354094486219E-2</v>
      </c>
      <c r="N447">
        <v>0.20273195409448622</v>
      </c>
      <c r="O447" t="s">
        <v>177</v>
      </c>
      <c r="P447">
        <v>6.864396E-3</v>
      </c>
      <c r="Q447" t="s">
        <v>177</v>
      </c>
      <c r="R447">
        <v>5.2995212456691731E-3</v>
      </c>
      <c r="S447" t="s">
        <v>178</v>
      </c>
      <c r="T447">
        <v>2.4327834491338348E-2</v>
      </c>
      <c r="U447">
        <v>0.23922370583149374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7</v>
      </c>
      <c r="AB447">
        <v>1</v>
      </c>
      <c r="AC447">
        <v>0.5</v>
      </c>
      <c r="AD447">
        <v>0.50345253019720215</v>
      </c>
      <c r="AE447">
        <v>10800</v>
      </c>
      <c r="AF447">
        <v>200000</v>
      </c>
      <c r="AG447">
        <v>16666.666666666668</v>
      </c>
      <c r="AH447">
        <v>1</v>
      </c>
      <c r="AI447">
        <v>1</v>
      </c>
      <c r="AJ447" t="s">
        <v>162</v>
      </c>
      <c r="AK447" t="s">
        <v>176</v>
      </c>
      <c r="AL447">
        <v>0</v>
      </c>
      <c r="AM447" t="s">
        <v>176</v>
      </c>
      <c r="AN447">
        <v>0</v>
      </c>
    </row>
    <row r="448" spans="1:40" x14ac:dyDescent="0.15">
      <c r="A448" s="4" t="str">
        <f>HYPERLINK("https://ibp.a2mac1.com/costing(costing:projects/details/9760/process/12084733)","Automated Process")</f>
        <v>Automated Process</v>
      </c>
      <c r="B448" t="s">
        <v>1992</v>
      </c>
      <c r="C448">
        <v>12084733</v>
      </c>
      <c r="D448">
        <v>8415000</v>
      </c>
      <c r="E448">
        <v>0.18</v>
      </c>
      <c r="F448">
        <v>0</v>
      </c>
      <c r="G448">
        <v>0</v>
      </c>
      <c r="H448">
        <v>9.1080000000000002E-4</v>
      </c>
      <c r="I448" t="s">
        <v>176</v>
      </c>
      <c r="J448">
        <v>6.3E-3</v>
      </c>
      <c r="K448">
        <v>0.18721080000000001</v>
      </c>
      <c r="L448">
        <v>4.651039951845963E-2</v>
      </c>
      <c r="M448">
        <v>0.27906239711075775</v>
      </c>
      <c r="N448">
        <v>0.46627319711075776</v>
      </c>
      <c r="O448" t="s">
        <v>177</v>
      </c>
      <c r="P448">
        <v>1.1232648E-2</v>
      </c>
      <c r="Q448" t="s">
        <v>177</v>
      </c>
      <c r="R448">
        <v>1.6743743826645466E-2</v>
      </c>
      <c r="S448" t="s">
        <v>178</v>
      </c>
      <c r="T448">
        <v>5.5952783653290934E-2</v>
      </c>
      <c r="U448">
        <v>0.55020237259069416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25</v>
      </c>
      <c r="AB448">
        <v>1</v>
      </c>
      <c r="AC448">
        <v>0.5</v>
      </c>
      <c r="AD448">
        <v>0.50345253019720215</v>
      </c>
      <c r="AE448">
        <v>10800</v>
      </c>
      <c r="AF448">
        <v>200000</v>
      </c>
      <c r="AG448">
        <v>16666.666666666668</v>
      </c>
      <c r="AH448">
        <v>1</v>
      </c>
      <c r="AI448">
        <v>1</v>
      </c>
      <c r="AJ448" t="s">
        <v>162</v>
      </c>
      <c r="AK448" t="s">
        <v>176</v>
      </c>
      <c r="AL448">
        <v>0</v>
      </c>
      <c r="AM448" t="s">
        <v>176</v>
      </c>
      <c r="AN448">
        <v>0</v>
      </c>
    </row>
    <row r="449" spans="1:40" x14ac:dyDescent="0.15">
      <c r="A449" s="4" t="str">
        <f>HYPERLINK("https://ibp.a2mac1.com/costing(costing:projects/details/9760/process/12084734)","Automated Process")</f>
        <v>Automated Process</v>
      </c>
      <c r="B449" t="s">
        <v>3754</v>
      </c>
      <c r="C449">
        <v>12084734</v>
      </c>
      <c r="D449">
        <v>8415001</v>
      </c>
      <c r="E449">
        <v>0.33</v>
      </c>
      <c r="F449">
        <v>0</v>
      </c>
      <c r="G449">
        <v>0</v>
      </c>
      <c r="H449">
        <v>1.6697999999999999E-3</v>
      </c>
      <c r="I449" t="s">
        <v>176</v>
      </c>
      <c r="J449">
        <v>1.155E-2</v>
      </c>
      <c r="K449">
        <v>0.34321980000000002</v>
      </c>
      <c r="L449">
        <v>4.4744315786827485E-2</v>
      </c>
      <c r="M449">
        <v>0.26846589472096494</v>
      </c>
      <c r="N449">
        <v>0.6116856947209649</v>
      </c>
      <c r="O449" t="s">
        <v>177</v>
      </c>
      <c r="P449">
        <v>2.0593187999999998E-2</v>
      </c>
      <c r="Q449" t="s">
        <v>177</v>
      </c>
      <c r="R449">
        <v>1.6107953683257896E-2</v>
      </c>
      <c r="S449" t="s">
        <v>178</v>
      </c>
      <c r="T449">
        <v>7.3402283366515789E-2</v>
      </c>
      <c r="U449">
        <v>0.72178911977073856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24</v>
      </c>
      <c r="AB449">
        <v>1</v>
      </c>
      <c r="AC449">
        <v>0.5</v>
      </c>
      <c r="AD449">
        <v>0.50345253019720215</v>
      </c>
      <c r="AE449">
        <v>10800</v>
      </c>
      <c r="AF449">
        <v>200000</v>
      </c>
      <c r="AG449">
        <v>16666.666666666668</v>
      </c>
      <c r="AH449">
        <v>1</v>
      </c>
      <c r="AI449">
        <v>1</v>
      </c>
      <c r="AJ449" t="s">
        <v>162</v>
      </c>
      <c r="AK449" t="s">
        <v>176</v>
      </c>
      <c r="AL449">
        <v>0</v>
      </c>
      <c r="AM449" t="s">
        <v>176</v>
      </c>
      <c r="AN449">
        <v>0</v>
      </c>
    </row>
    <row r="450" spans="1:40" x14ac:dyDescent="0.15">
      <c r="A450" s="4" t="str">
        <f>HYPERLINK("https://ibp.a2mac1.com/costing(costing:projects/details/9760/process/12084735)","Automated Process")</f>
        <v>Automated Process</v>
      </c>
      <c r="B450" t="s">
        <v>1992</v>
      </c>
      <c r="C450">
        <v>12084735</v>
      </c>
      <c r="D450">
        <v>8415002</v>
      </c>
      <c r="E450">
        <v>0.56999999999999995</v>
      </c>
      <c r="F450">
        <v>0</v>
      </c>
      <c r="G450">
        <v>0</v>
      </c>
      <c r="H450">
        <v>2.8842E-3</v>
      </c>
      <c r="I450" t="s">
        <v>176</v>
      </c>
      <c r="J450">
        <v>1.9949999999999999E-2</v>
      </c>
      <c r="K450">
        <v>0.59283419999999998</v>
      </c>
      <c r="L450">
        <v>9.0662492809263223E-2</v>
      </c>
      <c r="M450">
        <v>0.54397495685557939</v>
      </c>
      <c r="N450">
        <v>1.1368091568555794</v>
      </c>
      <c r="O450" t="s">
        <v>177</v>
      </c>
      <c r="P450">
        <v>3.5570051999999998E-2</v>
      </c>
      <c r="Q450" t="s">
        <v>177</v>
      </c>
      <c r="R450">
        <v>3.263849741133476E-2</v>
      </c>
      <c r="S450" t="s">
        <v>178</v>
      </c>
      <c r="T450">
        <v>0.13641709882266953</v>
      </c>
      <c r="U450">
        <v>1.3414348050895837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50</v>
      </c>
      <c r="AB450">
        <v>1</v>
      </c>
      <c r="AC450">
        <v>0.5</v>
      </c>
      <c r="AD450">
        <v>0.50345253019720215</v>
      </c>
      <c r="AE450">
        <v>10800</v>
      </c>
      <c r="AF450">
        <v>200000</v>
      </c>
      <c r="AG450">
        <v>16666.666666666668</v>
      </c>
      <c r="AH450">
        <v>1</v>
      </c>
      <c r="AI450">
        <v>1</v>
      </c>
      <c r="AJ450" t="s">
        <v>162</v>
      </c>
      <c r="AK450" t="s">
        <v>176</v>
      </c>
      <c r="AL450">
        <v>0</v>
      </c>
      <c r="AM450" t="s">
        <v>176</v>
      </c>
      <c r="AN450">
        <v>0</v>
      </c>
    </row>
    <row r="451" spans="1:40" x14ac:dyDescent="0.15">
      <c r="A451" s="4" t="str">
        <f>HYPERLINK("https://ibp.a2mac1.com/costing(costing:projects/details/9760/process/12084601)","Automated Process")</f>
        <v>Automated Process</v>
      </c>
      <c r="C451">
        <v>12084601</v>
      </c>
      <c r="D451">
        <v>8414825</v>
      </c>
      <c r="E451">
        <v>0.09</v>
      </c>
      <c r="F451">
        <v>0</v>
      </c>
      <c r="G451">
        <v>0</v>
      </c>
      <c r="H451">
        <v>4.5540000000000001E-4</v>
      </c>
      <c r="I451" t="s">
        <v>176</v>
      </c>
      <c r="J451">
        <v>3.15E-3</v>
      </c>
      <c r="K451">
        <v>9.3605400000000005E-2</v>
      </c>
      <c r="L451">
        <v>1.2954808617448894E-2</v>
      </c>
      <c r="M451">
        <v>7.7728851704693361E-2</v>
      </c>
      <c r="N451">
        <v>0.17133425170469335</v>
      </c>
      <c r="O451" t="s">
        <v>177</v>
      </c>
      <c r="P451">
        <v>5.6163239999999998E-3</v>
      </c>
      <c r="Q451" t="s">
        <v>177</v>
      </c>
      <c r="R451">
        <v>4.6637311022816015E-3</v>
      </c>
      <c r="S451" t="s">
        <v>178</v>
      </c>
      <c r="T451">
        <v>2.0560110204563203E-2</v>
      </c>
      <c r="U451">
        <v>0.20217441701153815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6</v>
      </c>
      <c r="AB451">
        <v>1</v>
      </c>
      <c r="AC451">
        <v>0.5</v>
      </c>
      <c r="AD451">
        <v>0.50345253019720215</v>
      </c>
      <c r="AE451">
        <v>10800</v>
      </c>
      <c r="AF451">
        <v>200000</v>
      </c>
      <c r="AG451">
        <v>16666.666666666668</v>
      </c>
      <c r="AH451">
        <v>1</v>
      </c>
      <c r="AI451">
        <v>1</v>
      </c>
      <c r="AJ451" t="s">
        <v>162</v>
      </c>
      <c r="AK451" t="s">
        <v>176</v>
      </c>
      <c r="AL451">
        <v>0</v>
      </c>
      <c r="AM451" t="s">
        <v>176</v>
      </c>
      <c r="AN451">
        <v>0</v>
      </c>
    </row>
    <row r="452" spans="1:40" x14ac:dyDescent="0.15">
      <c r="A452" s="4" t="str">
        <f>HYPERLINK("https://ibp.a2mac1.com/costing(costing:projects/details/9760/process/12084602)","Automated Process")</f>
        <v>Automated Process</v>
      </c>
      <c r="B452" t="s">
        <v>3754</v>
      </c>
      <c r="C452">
        <v>12084602</v>
      </c>
      <c r="D452">
        <v>8414826</v>
      </c>
      <c r="E452">
        <v>0.7</v>
      </c>
      <c r="F452">
        <v>0</v>
      </c>
      <c r="G452">
        <v>0</v>
      </c>
      <c r="H452">
        <v>3.542E-3</v>
      </c>
      <c r="I452" t="s">
        <v>176</v>
      </c>
      <c r="J452">
        <v>2.4500000000000001E-2</v>
      </c>
      <c r="K452">
        <v>0.72804199999999997</v>
      </c>
      <c r="L452">
        <v>9.2428576540895369E-2</v>
      </c>
      <c r="M452">
        <v>0.55457145924537221</v>
      </c>
      <c r="N452">
        <v>1.2826134592453722</v>
      </c>
      <c r="O452" t="s">
        <v>177</v>
      </c>
      <c r="P452">
        <v>4.3682520000000002E-2</v>
      </c>
      <c r="Q452" t="s">
        <v>177</v>
      </c>
      <c r="R452">
        <v>3.3274287554722337E-2</v>
      </c>
      <c r="S452" t="s">
        <v>178</v>
      </c>
      <c r="T452">
        <v>0.15391361510944468</v>
      </c>
      <c r="U452">
        <v>1.5134838819095393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51</v>
      </c>
      <c r="AB452">
        <v>1</v>
      </c>
      <c r="AC452">
        <v>0.5</v>
      </c>
      <c r="AD452">
        <v>0.50345253019720215</v>
      </c>
      <c r="AE452">
        <v>10800</v>
      </c>
      <c r="AF452">
        <v>200000</v>
      </c>
      <c r="AG452">
        <v>16666.666666666668</v>
      </c>
      <c r="AH452">
        <v>1</v>
      </c>
      <c r="AI452">
        <v>1</v>
      </c>
      <c r="AJ452" t="s">
        <v>162</v>
      </c>
      <c r="AK452" t="s">
        <v>176</v>
      </c>
      <c r="AL452">
        <v>0</v>
      </c>
      <c r="AM452" t="s">
        <v>176</v>
      </c>
      <c r="AN452">
        <v>0</v>
      </c>
    </row>
    <row r="453" spans="1:40" x14ac:dyDescent="0.15">
      <c r="A453" s="4" t="str">
        <f>HYPERLINK("https://ibp.a2mac1.com/costing(costing:projects/details/9760/process/12084802)","Automated Process")</f>
        <v>Automated Process</v>
      </c>
      <c r="B453" t="s">
        <v>1992</v>
      </c>
      <c r="C453">
        <v>12084802</v>
      </c>
      <c r="D453">
        <v>8415091</v>
      </c>
      <c r="E453">
        <v>0.09</v>
      </c>
      <c r="F453">
        <v>0</v>
      </c>
      <c r="G453">
        <v>0</v>
      </c>
      <c r="H453">
        <v>4.5540000000000001E-4</v>
      </c>
      <c r="I453" t="s">
        <v>176</v>
      </c>
      <c r="J453">
        <v>3.15E-3</v>
      </c>
      <c r="K453">
        <v>9.3605400000000005E-2</v>
      </c>
      <c r="L453">
        <v>2.3551311007241758E-2</v>
      </c>
      <c r="M453">
        <v>0.14130786604345055</v>
      </c>
      <c r="N453">
        <v>0.23491326604345053</v>
      </c>
      <c r="O453" t="s">
        <v>90</v>
      </c>
      <c r="P453">
        <v>0</v>
      </c>
      <c r="Q453" t="s">
        <v>90</v>
      </c>
      <c r="R453">
        <v>0</v>
      </c>
      <c r="S453" t="s">
        <v>90</v>
      </c>
      <c r="T453">
        <v>0</v>
      </c>
      <c r="U453">
        <v>0.23491326604345053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12</v>
      </c>
      <c r="AB453">
        <v>1</v>
      </c>
      <c r="AC453">
        <v>0.5</v>
      </c>
      <c r="AD453">
        <v>0.50345253019720215</v>
      </c>
      <c r="AE453">
        <v>10800</v>
      </c>
      <c r="AF453">
        <v>200000</v>
      </c>
      <c r="AG453">
        <v>16666.666666666668</v>
      </c>
      <c r="AH453">
        <v>1</v>
      </c>
      <c r="AI453">
        <v>1</v>
      </c>
      <c r="AJ453" t="s">
        <v>162</v>
      </c>
      <c r="AK453" t="s">
        <v>176</v>
      </c>
      <c r="AL453">
        <v>0</v>
      </c>
      <c r="AM453" t="s">
        <v>176</v>
      </c>
      <c r="AN453">
        <v>0</v>
      </c>
    </row>
    <row r="454" spans="1:40" x14ac:dyDescent="0.15">
      <c r="A454" s="4" t="str">
        <f>HYPERLINK("https://ibp.a2mac1.com/costing(costing:projects/details/9760/process/12084803)","Automated Process")</f>
        <v>Automated Process</v>
      </c>
      <c r="B454" t="s">
        <v>794</v>
      </c>
      <c r="C454">
        <v>12084803</v>
      </c>
      <c r="D454">
        <v>8415092</v>
      </c>
      <c r="E454">
        <v>5.4748389473684211E-2</v>
      </c>
      <c r="F454">
        <v>0</v>
      </c>
      <c r="G454">
        <v>0</v>
      </c>
      <c r="H454">
        <v>2.7702685073684212E-4</v>
      </c>
      <c r="I454" t="s">
        <v>176</v>
      </c>
      <c r="J454">
        <v>1.9161936315789474E-3</v>
      </c>
      <c r="K454">
        <v>5.6941609955999999E-2</v>
      </c>
      <c r="L454">
        <v>5.8904736909203177E-3</v>
      </c>
      <c r="M454">
        <v>3.5342842145521906E-2</v>
      </c>
      <c r="N454">
        <v>9.2284452101521905E-2</v>
      </c>
      <c r="O454" t="s">
        <v>90</v>
      </c>
      <c r="P454">
        <v>0</v>
      </c>
      <c r="Q454" t="s">
        <v>90</v>
      </c>
      <c r="R454">
        <v>0</v>
      </c>
      <c r="S454" t="s">
        <v>90</v>
      </c>
      <c r="T454">
        <v>0</v>
      </c>
      <c r="U454">
        <v>9.2284452101521905E-2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</v>
      </c>
      <c r="AB454">
        <v>1</v>
      </c>
      <c r="AC454">
        <v>0.5</v>
      </c>
      <c r="AD454">
        <v>0.50345253019720215</v>
      </c>
      <c r="AE454">
        <v>10800</v>
      </c>
      <c r="AF454">
        <v>200000</v>
      </c>
      <c r="AG454">
        <v>16666.666666666668</v>
      </c>
      <c r="AH454">
        <v>1</v>
      </c>
      <c r="AI454">
        <v>1</v>
      </c>
      <c r="AJ454" t="s">
        <v>162</v>
      </c>
      <c r="AK454" t="s">
        <v>176</v>
      </c>
      <c r="AL454">
        <v>0</v>
      </c>
      <c r="AM454" t="s">
        <v>176</v>
      </c>
      <c r="AN454">
        <v>0</v>
      </c>
    </row>
    <row r="455" spans="1:40" x14ac:dyDescent="0.15">
      <c r="A455" s="4" t="str">
        <f>HYPERLINK("https://ibp.a2mac1.com/costing(costing:projects/details/9760/process/12084804)","Automated Process")</f>
        <v>Automated Process</v>
      </c>
      <c r="B455" t="s">
        <v>794</v>
      </c>
      <c r="C455">
        <v>12084804</v>
      </c>
      <c r="D455">
        <v>8415093</v>
      </c>
      <c r="E455">
        <v>0.02</v>
      </c>
      <c r="F455">
        <v>0</v>
      </c>
      <c r="G455">
        <v>0</v>
      </c>
      <c r="H455">
        <v>1.0119999999999999E-4</v>
      </c>
      <c r="I455" t="s">
        <v>176</v>
      </c>
      <c r="J455">
        <v>6.9999999999999999E-4</v>
      </c>
      <c r="K455">
        <v>2.0801199999999999E-2</v>
      </c>
      <c r="L455">
        <v>4.1243899592881732E-3</v>
      </c>
      <c r="M455">
        <v>2.4746339755729041E-2</v>
      </c>
      <c r="N455">
        <v>4.554753975572904E-2</v>
      </c>
      <c r="O455" t="s">
        <v>90</v>
      </c>
      <c r="P455">
        <v>0</v>
      </c>
      <c r="Q455" t="s">
        <v>90</v>
      </c>
      <c r="R455">
        <v>0</v>
      </c>
      <c r="S455" t="s">
        <v>90</v>
      </c>
      <c r="T455">
        <v>0</v>
      </c>
      <c r="U455">
        <v>4.554753975572904E-2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0.5</v>
      </c>
      <c r="AD455">
        <v>0.50345253019720215</v>
      </c>
      <c r="AE455">
        <v>10800</v>
      </c>
      <c r="AF455">
        <v>200000</v>
      </c>
      <c r="AG455">
        <v>16666.666666666668</v>
      </c>
      <c r="AH455">
        <v>1</v>
      </c>
      <c r="AI455">
        <v>1</v>
      </c>
      <c r="AJ455" t="s">
        <v>162</v>
      </c>
      <c r="AK455" t="s">
        <v>176</v>
      </c>
      <c r="AL455">
        <v>0</v>
      </c>
      <c r="AM455" t="s">
        <v>176</v>
      </c>
      <c r="AN455">
        <v>0</v>
      </c>
    </row>
    <row r="456" spans="1:40" x14ac:dyDescent="0.15">
      <c r="A456" s="4" t="str">
        <f>HYPERLINK("https://ibp.a2mac1.com/costing(costing:projects/details/9760/process/12084805)","Automated Process")</f>
        <v>Automated Process</v>
      </c>
      <c r="B456" t="s">
        <v>794</v>
      </c>
      <c r="C456">
        <v>12084805</v>
      </c>
      <c r="D456">
        <v>8415094</v>
      </c>
      <c r="E456">
        <v>0.03</v>
      </c>
      <c r="F456">
        <v>0</v>
      </c>
      <c r="G456">
        <v>0</v>
      </c>
      <c r="H456">
        <v>1.518E-4</v>
      </c>
      <c r="I456" t="s">
        <v>176</v>
      </c>
      <c r="J456">
        <v>1.0499999999999999E-3</v>
      </c>
      <c r="K456">
        <v>3.1201799999999998E-2</v>
      </c>
      <c r="L456">
        <v>4.1243899592881732E-3</v>
      </c>
      <c r="M456">
        <v>2.4746339755729041E-2</v>
      </c>
      <c r="N456">
        <v>5.5948139755729043E-2</v>
      </c>
      <c r="O456" t="s">
        <v>90</v>
      </c>
      <c r="P456">
        <v>0</v>
      </c>
      <c r="Q456" t="s">
        <v>90</v>
      </c>
      <c r="R456">
        <v>0</v>
      </c>
      <c r="S456" t="s">
        <v>90</v>
      </c>
      <c r="T456">
        <v>0</v>
      </c>
      <c r="U456">
        <v>5.5948139755729043E-2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0.5</v>
      </c>
      <c r="AD456">
        <v>0.50345253019720215</v>
      </c>
      <c r="AE456">
        <v>10800</v>
      </c>
      <c r="AF456">
        <v>200000</v>
      </c>
      <c r="AG456">
        <v>16666.666666666668</v>
      </c>
      <c r="AH456">
        <v>1</v>
      </c>
      <c r="AI456">
        <v>1</v>
      </c>
      <c r="AJ456" t="s">
        <v>162</v>
      </c>
      <c r="AK456" t="s">
        <v>176</v>
      </c>
      <c r="AL456">
        <v>0</v>
      </c>
      <c r="AM456" t="s">
        <v>176</v>
      </c>
      <c r="AN456">
        <v>0</v>
      </c>
    </row>
    <row r="457" spans="1:40" x14ac:dyDescent="0.15">
      <c r="A457" s="4" t="str">
        <f>HYPERLINK("https://ibp.a2mac1.com/costing(costing:projects/details/9760/process/12084806)","Automated Process")</f>
        <v>Automated Process</v>
      </c>
      <c r="B457" t="s">
        <v>794</v>
      </c>
      <c r="C457">
        <v>12084806</v>
      </c>
      <c r="D457">
        <v>8415096</v>
      </c>
      <c r="E457">
        <v>0.09</v>
      </c>
      <c r="F457">
        <v>0</v>
      </c>
      <c r="G457">
        <v>0</v>
      </c>
      <c r="H457">
        <v>4.5540000000000001E-4</v>
      </c>
      <c r="I457" t="s">
        <v>176</v>
      </c>
      <c r="J457">
        <v>3.15E-3</v>
      </c>
      <c r="K457">
        <v>9.3605400000000005E-2</v>
      </c>
      <c r="L457">
        <v>5.8904736909203177E-3</v>
      </c>
      <c r="M457">
        <v>3.5342842145521906E-2</v>
      </c>
      <c r="N457">
        <v>0.12894824214552189</v>
      </c>
      <c r="O457" t="s">
        <v>90</v>
      </c>
      <c r="P457">
        <v>0</v>
      </c>
      <c r="Q457" t="s">
        <v>90</v>
      </c>
      <c r="R457">
        <v>0</v>
      </c>
      <c r="S457" t="s">
        <v>90</v>
      </c>
      <c r="T457">
        <v>0</v>
      </c>
      <c r="U457">
        <v>0.12894824214552189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</v>
      </c>
      <c r="AB457">
        <v>1</v>
      </c>
      <c r="AC457">
        <v>0.5</v>
      </c>
      <c r="AD457">
        <v>0.50345253019720215</v>
      </c>
      <c r="AE457">
        <v>10800</v>
      </c>
      <c r="AF457">
        <v>200000</v>
      </c>
      <c r="AG457">
        <v>16666.666666666668</v>
      </c>
      <c r="AH457">
        <v>1</v>
      </c>
      <c r="AI457">
        <v>1</v>
      </c>
      <c r="AJ457" t="s">
        <v>162</v>
      </c>
      <c r="AK457" t="s">
        <v>176</v>
      </c>
      <c r="AL457">
        <v>0</v>
      </c>
      <c r="AM457" t="s">
        <v>176</v>
      </c>
      <c r="AN457">
        <v>0</v>
      </c>
    </row>
    <row r="458" spans="1:40" x14ac:dyDescent="0.15">
      <c r="A458" s="4" t="str">
        <f>HYPERLINK("https://ibp.a2mac1.com/costing(costing:projects/details/9760/process/12084807)","Automated Process")</f>
        <v>Automated Process</v>
      </c>
      <c r="B458" t="s">
        <v>794</v>
      </c>
      <c r="C458">
        <v>12084807</v>
      </c>
      <c r="D458">
        <v>8415097</v>
      </c>
      <c r="E458">
        <v>0.06</v>
      </c>
      <c r="F458">
        <v>0</v>
      </c>
      <c r="G458">
        <v>0</v>
      </c>
      <c r="H458">
        <v>3.0360000000000001E-4</v>
      </c>
      <c r="I458" t="s">
        <v>176</v>
      </c>
      <c r="J458">
        <v>2.0999999999999999E-3</v>
      </c>
      <c r="K458">
        <v>6.2403599999999997E-2</v>
      </c>
      <c r="L458">
        <v>4.1243899592881732E-3</v>
      </c>
      <c r="M458">
        <v>2.4746339755729041E-2</v>
      </c>
      <c r="N458">
        <v>8.7149939755729044E-2</v>
      </c>
      <c r="O458" t="s">
        <v>90</v>
      </c>
      <c r="P458">
        <v>0</v>
      </c>
      <c r="Q458" t="s">
        <v>90</v>
      </c>
      <c r="R458">
        <v>0</v>
      </c>
      <c r="S458" t="s">
        <v>90</v>
      </c>
      <c r="T458">
        <v>0</v>
      </c>
      <c r="U458">
        <v>8.7149939755729044E-2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1</v>
      </c>
      <c r="AC458">
        <v>0.5</v>
      </c>
      <c r="AD458">
        <v>0.50345253019720215</v>
      </c>
      <c r="AE458">
        <v>10800</v>
      </c>
      <c r="AF458">
        <v>200000</v>
      </c>
      <c r="AG458">
        <v>16666.666666666668</v>
      </c>
      <c r="AH458">
        <v>1</v>
      </c>
      <c r="AI458">
        <v>1</v>
      </c>
      <c r="AJ458" t="s">
        <v>162</v>
      </c>
      <c r="AK458" t="s">
        <v>176</v>
      </c>
      <c r="AL458">
        <v>0</v>
      </c>
      <c r="AM458" t="s">
        <v>176</v>
      </c>
      <c r="AN458">
        <v>0</v>
      </c>
    </row>
    <row r="459" spans="1:40" x14ac:dyDescent="0.15">
      <c r="A459" s="4" t="str">
        <f>HYPERLINK("https://ibp.a2mac1.com/costing(costing:projects/details/9760/process/12084808)","Automated Process")</f>
        <v>Automated Process</v>
      </c>
      <c r="B459" t="s">
        <v>794</v>
      </c>
      <c r="C459">
        <v>12084808</v>
      </c>
      <c r="D459">
        <v>8415098</v>
      </c>
      <c r="E459">
        <v>0.01</v>
      </c>
      <c r="F459">
        <v>0</v>
      </c>
      <c r="G459">
        <v>0</v>
      </c>
      <c r="H459">
        <v>5.0599999999999997E-5</v>
      </c>
      <c r="I459" t="s">
        <v>176</v>
      </c>
      <c r="J459">
        <v>3.5E-4</v>
      </c>
      <c r="K459">
        <v>1.0400599999999999E-2</v>
      </c>
      <c r="L459">
        <v>2.7998271605640655E-3</v>
      </c>
      <c r="M459">
        <v>1.679896296338439E-2</v>
      </c>
      <c r="N459">
        <v>2.7199562963384393E-2</v>
      </c>
      <c r="O459" t="s">
        <v>90</v>
      </c>
      <c r="P459">
        <v>0</v>
      </c>
      <c r="Q459" t="s">
        <v>90</v>
      </c>
      <c r="R459">
        <v>0</v>
      </c>
      <c r="S459" t="s">
        <v>90</v>
      </c>
      <c r="T459">
        <v>0</v>
      </c>
      <c r="U459">
        <v>2.7199562963384393E-2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0.25</v>
      </c>
      <c r="AB459">
        <v>1</v>
      </c>
      <c r="AC459">
        <v>0.5</v>
      </c>
      <c r="AD459">
        <v>0.50345253019720215</v>
      </c>
      <c r="AE459">
        <v>10800</v>
      </c>
      <c r="AF459">
        <v>200000</v>
      </c>
      <c r="AG459">
        <v>16666.666666666668</v>
      </c>
      <c r="AH459">
        <v>1</v>
      </c>
      <c r="AI459">
        <v>1</v>
      </c>
      <c r="AJ459" t="s">
        <v>162</v>
      </c>
      <c r="AK459" t="s">
        <v>176</v>
      </c>
      <c r="AL459">
        <v>0</v>
      </c>
      <c r="AM459" t="s">
        <v>176</v>
      </c>
      <c r="AN459">
        <v>0</v>
      </c>
    </row>
    <row r="460" spans="1:40" x14ac:dyDescent="0.15">
      <c r="A460" s="4" t="str">
        <f>HYPERLINK("https://ibp.a2mac1.com/costing(costing:projects/details/9760/process/12084736)","Automated Process")</f>
        <v>Automated Process</v>
      </c>
      <c r="B460" t="s">
        <v>794</v>
      </c>
      <c r="C460">
        <v>12084736</v>
      </c>
      <c r="D460">
        <v>8415003</v>
      </c>
      <c r="E460">
        <v>2.57</v>
      </c>
      <c r="F460">
        <v>0</v>
      </c>
      <c r="G460">
        <v>0</v>
      </c>
      <c r="H460">
        <v>1.30042E-2</v>
      </c>
      <c r="I460" t="s">
        <v>176</v>
      </c>
      <c r="J460">
        <v>8.9950000000000002E-2</v>
      </c>
      <c r="K460">
        <v>2.6729541999999999</v>
      </c>
      <c r="L460">
        <v>0.19132926551229543</v>
      </c>
      <c r="M460">
        <v>1.1479755930737727</v>
      </c>
      <c r="N460">
        <v>3.8209297930737725</v>
      </c>
      <c r="O460" t="s">
        <v>90</v>
      </c>
      <c r="P460">
        <v>0</v>
      </c>
      <c r="Q460" t="s">
        <v>90</v>
      </c>
      <c r="R460">
        <v>0</v>
      </c>
      <c r="S460" t="s">
        <v>90</v>
      </c>
      <c r="T460">
        <v>0</v>
      </c>
      <c r="U460">
        <v>3.8209297930737725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107</v>
      </c>
      <c r="AB460">
        <v>1</v>
      </c>
      <c r="AC460">
        <v>0.5</v>
      </c>
      <c r="AD460">
        <v>0.50345253019720215</v>
      </c>
      <c r="AE460">
        <v>10800</v>
      </c>
      <c r="AF460">
        <v>200000</v>
      </c>
      <c r="AG460">
        <v>16666.666666666668</v>
      </c>
      <c r="AH460">
        <v>1</v>
      </c>
      <c r="AI460">
        <v>1</v>
      </c>
      <c r="AJ460" t="s">
        <v>162</v>
      </c>
      <c r="AK460" t="s">
        <v>176</v>
      </c>
      <c r="AL460">
        <v>0</v>
      </c>
      <c r="AM460" t="s">
        <v>176</v>
      </c>
      <c r="AN460">
        <v>0</v>
      </c>
    </row>
    <row r="461" spans="1:40" x14ac:dyDescent="0.15">
      <c r="A461" s="4" t="str">
        <f>HYPERLINK("https://ibp.a2mac1.com/costing(costing:projects/details/9760/process/12084737)","Automated Process")</f>
        <v>Automated Process</v>
      </c>
      <c r="B461" t="s">
        <v>794</v>
      </c>
      <c r="C461">
        <v>12084737</v>
      </c>
      <c r="D461">
        <v>8415004</v>
      </c>
      <c r="E461">
        <v>1</v>
      </c>
      <c r="F461">
        <v>0</v>
      </c>
      <c r="G461">
        <v>0</v>
      </c>
      <c r="H461">
        <v>5.0600000000000003E-3</v>
      </c>
      <c r="I461" t="s">
        <v>176</v>
      </c>
      <c r="J461">
        <v>3.5000000000000003E-2</v>
      </c>
      <c r="K461">
        <v>1.04006</v>
      </c>
      <c r="L461">
        <v>7.1235571761309652E-2</v>
      </c>
      <c r="M461">
        <v>0.42741343056785785</v>
      </c>
      <c r="N461">
        <v>1.4674734305678578</v>
      </c>
      <c r="O461" t="s">
        <v>90</v>
      </c>
      <c r="P461">
        <v>0</v>
      </c>
      <c r="Q461" t="s">
        <v>90</v>
      </c>
      <c r="R461">
        <v>0</v>
      </c>
      <c r="S461" t="s">
        <v>90</v>
      </c>
      <c r="T461">
        <v>0</v>
      </c>
      <c r="U461">
        <v>1.4674734305678578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39</v>
      </c>
      <c r="AB461">
        <v>1</v>
      </c>
      <c r="AC461">
        <v>0.5</v>
      </c>
      <c r="AD461">
        <v>0.50345253019720215</v>
      </c>
      <c r="AE461">
        <v>10800</v>
      </c>
      <c r="AF461">
        <v>200000</v>
      </c>
      <c r="AG461">
        <v>16666.666666666668</v>
      </c>
      <c r="AH461">
        <v>1</v>
      </c>
      <c r="AI461">
        <v>1</v>
      </c>
      <c r="AJ461" t="s">
        <v>162</v>
      </c>
      <c r="AK461" t="s">
        <v>176</v>
      </c>
      <c r="AL461">
        <v>0</v>
      </c>
      <c r="AM461" t="s">
        <v>176</v>
      </c>
      <c r="AN461">
        <v>0</v>
      </c>
    </row>
    <row r="462" spans="1:40" x14ac:dyDescent="0.15">
      <c r="A462" s="4" t="str">
        <f>HYPERLINK("https://ibp.a2mac1.com/costing(costing:projects/details/9760/process/12084738)","Automated Process")</f>
        <v>Automated Process</v>
      </c>
      <c r="B462" t="s">
        <v>3754</v>
      </c>
      <c r="C462">
        <v>12084738</v>
      </c>
      <c r="D462">
        <v>8415005</v>
      </c>
      <c r="E462">
        <v>2.16</v>
      </c>
      <c r="F462">
        <v>0</v>
      </c>
      <c r="G462">
        <v>0</v>
      </c>
      <c r="H462">
        <v>1.0929599999999999E-2</v>
      </c>
      <c r="I462" t="s">
        <v>176</v>
      </c>
      <c r="J462">
        <v>7.5600000000000001E-2</v>
      </c>
      <c r="K462">
        <v>2.2465296000000001</v>
      </c>
      <c r="L462">
        <v>0.28669778702043119</v>
      </c>
      <c r="M462">
        <v>1.7201867221225873</v>
      </c>
      <c r="N462">
        <v>3.9667163221225872</v>
      </c>
      <c r="O462" t="s">
        <v>177</v>
      </c>
      <c r="P462">
        <v>0.134791776</v>
      </c>
      <c r="Q462" t="s">
        <v>177</v>
      </c>
      <c r="R462">
        <v>0.10321120332735524</v>
      </c>
      <c r="S462" t="s">
        <v>178</v>
      </c>
      <c r="T462">
        <v>0.47600595865471046</v>
      </c>
      <c r="U462">
        <v>4.6807252601046532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161</v>
      </c>
      <c r="AB462">
        <v>1</v>
      </c>
      <c r="AC462">
        <v>0.5</v>
      </c>
      <c r="AD462">
        <v>0.50345253019720215</v>
      </c>
      <c r="AE462">
        <v>10800</v>
      </c>
      <c r="AF462">
        <v>200000</v>
      </c>
      <c r="AG462">
        <v>16666.666666666668</v>
      </c>
      <c r="AH462">
        <v>1</v>
      </c>
      <c r="AI462">
        <v>1</v>
      </c>
      <c r="AJ462" t="s">
        <v>162</v>
      </c>
      <c r="AK462" t="s">
        <v>176</v>
      </c>
      <c r="AL462">
        <v>0</v>
      </c>
      <c r="AM462" t="s">
        <v>176</v>
      </c>
      <c r="AN462">
        <v>0</v>
      </c>
    </row>
    <row r="463" spans="1:40" x14ac:dyDescent="0.15">
      <c r="A463" s="4" t="str">
        <f>HYPERLINK("https://ibp.a2mac1.com/costing(costing:projects/details/9760/process/12084739)","Automated Process")</f>
        <v>Automated Process</v>
      </c>
      <c r="B463" t="s">
        <v>794</v>
      </c>
      <c r="C463">
        <v>12084739</v>
      </c>
      <c r="D463">
        <v>8415006</v>
      </c>
      <c r="E463">
        <v>0.12</v>
      </c>
      <c r="F463">
        <v>0</v>
      </c>
      <c r="G463">
        <v>0</v>
      </c>
      <c r="H463">
        <v>6.0720000000000001E-4</v>
      </c>
      <c r="I463" t="s">
        <v>176</v>
      </c>
      <c r="J463">
        <v>4.1999999999999997E-3</v>
      </c>
      <c r="K463">
        <v>0.12480719999999999</v>
      </c>
      <c r="L463">
        <v>1.1188724885816749E-2</v>
      </c>
      <c r="M463">
        <v>6.7132349314900502E-2</v>
      </c>
      <c r="N463">
        <v>0.19193954931490051</v>
      </c>
      <c r="O463" t="s">
        <v>90</v>
      </c>
      <c r="P463">
        <v>0</v>
      </c>
      <c r="Q463" t="s">
        <v>90</v>
      </c>
      <c r="R463">
        <v>0</v>
      </c>
      <c r="S463" t="s">
        <v>90</v>
      </c>
      <c r="T463">
        <v>0</v>
      </c>
      <c r="U463">
        <v>0.19193954931490051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5</v>
      </c>
      <c r="AB463">
        <v>1</v>
      </c>
      <c r="AC463">
        <v>0.5</v>
      </c>
      <c r="AD463">
        <v>0.50345253019720215</v>
      </c>
      <c r="AE463">
        <v>10800</v>
      </c>
      <c r="AF463">
        <v>200000</v>
      </c>
      <c r="AG463">
        <v>16666.666666666668</v>
      </c>
      <c r="AH463">
        <v>1</v>
      </c>
      <c r="AI463">
        <v>1</v>
      </c>
      <c r="AJ463" t="s">
        <v>162</v>
      </c>
      <c r="AK463" t="s">
        <v>176</v>
      </c>
      <c r="AL463">
        <v>0</v>
      </c>
      <c r="AM463" t="s">
        <v>176</v>
      </c>
      <c r="AN463">
        <v>0</v>
      </c>
    </row>
    <row r="464" spans="1:40" x14ac:dyDescent="0.15">
      <c r="A464" s="4" t="str">
        <f>HYPERLINK("https://ibp.a2mac1.com/costing(costing:projects/details/9760/process/12084740)","Automated Process")</f>
        <v>Automated Process</v>
      </c>
      <c r="B464" t="s">
        <v>1996</v>
      </c>
      <c r="C464">
        <v>12084740</v>
      </c>
      <c r="D464">
        <v>8415008</v>
      </c>
      <c r="E464">
        <v>0.55000000000000004</v>
      </c>
      <c r="F464">
        <v>0</v>
      </c>
      <c r="G464">
        <v>0</v>
      </c>
      <c r="H464">
        <v>2.7829999999999999E-3</v>
      </c>
      <c r="I464" t="s">
        <v>176</v>
      </c>
      <c r="J464">
        <v>1.925E-2</v>
      </c>
      <c r="K464">
        <v>0.57203300000000001</v>
      </c>
      <c r="L464">
        <v>4.1243899592881732E-3</v>
      </c>
      <c r="M464">
        <v>2.4746339755729041E-2</v>
      </c>
      <c r="N464">
        <v>0.59677933975572905</v>
      </c>
      <c r="O464" t="s">
        <v>177</v>
      </c>
      <c r="P464">
        <v>3.4321980000000002E-2</v>
      </c>
      <c r="Q464" t="s">
        <v>177</v>
      </c>
      <c r="R464">
        <v>1.4847803853437424E-3</v>
      </c>
      <c r="S464" t="s">
        <v>178</v>
      </c>
      <c r="T464">
        <v>7.1613520770687486E-2</v>
      </c>
      <c r="U464">
        <v>0.70419962091176025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0.5</v>
      </c>
      <c r="AD464">
        <v>0.50345253019720215</v>
      </c>
      <c r="AE464">
        <v>10800</v>
      </c>
      <c r="AF464">
        <v>200000</v>
      </c>
      <c r="AG464">
        <v>16666.666666666668</v>
      </c>
      <c r="AH464">
        <v>1</v>
      </c>
      <c r="AI464">
        <v>1</v>
      </c>
      <c r="AJ464" t="s">
        <v>162</v>
      </c>
      <c r="AK464" t="s">
        <v>176</v>
      </c>
      <c r="AL464">
        <v>0</v>
      </c>
      <c r="AM464" t="s">
        <v>176</v>
      </c>
      <c r="AN464">
        <v>0</v>
      </c>
    </row>
    <row r="465" spans="1:40" x14ac:dyDescent="0.15">
      <c r="A465" s="4" t="str">
        <f>HYPERLINK("https://ibp.a2mac1.com/costing(costing:projects/details/9760/process/12084809)","Automated Process")</f>
        <v>Automated Process</v>
      </c>
      <c r="B465" t="s">
        <v>794</v>
      </c>
      <c r="C465">
        <v>12084809</v>
      </c>
      <c r="D465">
        <v>8415100</v>
      </c>
      <c r="E465">
        <v>0.55000000000000004</v>
      </c>
      <c r="F465">
        <v>0</v>
      </c>
      <c r="G465">
        <v>0</v>
      </c>
      <c r="H465">
        <v>2.7829999999999999E-3</v>
      </c>
      <c r="I465" t="s">
        <v>176</v>
      </c>
      <c r="J465">
        <v>1.925E-2</v>
      </c>
      <c r="K465">
        <v>0.57203300000000001</v>
      </c>
      <c r="L465">
        <v>2.7083478470506045E-2</v>
      </c>
      <c r="M465">
        <v>0.16250087082303627</v>
      </c>
      <c r="N465">
        <v>0.73453387082303623</v>
      </c>
      <c r="O465" t="s">
        <v>90</v>
      </c>
      <c r="P465">
        <v>0</v>
      </c>
      <c r="Q465" t="s">
        <v>90</v>
      </c>
      <c r="R465">
        <v>0</v>
      </c>
      <c r="S465" t="s">
        <v>90</v>
      </c>
      <c r="T465">
        <v>0</v>
      </c>
      <c r="U465">
        <v>0.73453387082303623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14</v>
      </c>
      <c r="AB465">
        <v>1</v>
      </c>
      <c r="AC465">
        <v>0.5</v>
      </c>
      <c r="AD465">
        <v>0.50345253019720215</v>
      </c>
      <c r="AE465">
        <v>10800</v>
      </c>
      <c r="AF465">
        <v>200000</v>
      </c>
      <c r="AG465">
        <v>16666.666666666668</v>
      </c>
      <c r="AH465">
        <v>1</v>
      </c>
      <c r="AI465">
        <v>1</v>
      </c>
      <c r="AJ465" t="s">
        <v>162</v>
      </c>
      <c r="AK465" t="s">
        <v>176</v>
      </c>
      <c r="AL465">
        <v>0</v>
      </c>
      <c r="AM465" t="s">
        <v>176</v>
      </c>
      <c r="AN465">
        <v>0</v>
      </c>
    </row>
    <row r="466" spans="1:40" x14ac:dyDescent="0.15">
      <c r="A466" s="4" t="str">
        <f>HYPERLINK("https://ibp.a2mac1.com/costing(costing:projects/details/9760/process/12084810)","Automated Process")</f>
        <v>Automated Process</v>
      </c>
      <c r="B466" t="s">
        <v>3754</v>
      </c>
      <c r="C466">
        <v>12084810</v>
      </c>
      <c r="D466">
        <v>8415101</v>
      </c>
      <c r="E466">
        <v>0.35</v>
      </c>
      <c r="F466">
        <v>0</v>
      </c>
      <c r="G466">
        <v>0</v>
      </c>
      <c r="H466">
        <v>1.771E-3</v>
      </c>
      <c r="I466" t="s">
        <v>176</v>
      </c>
      <c r="J466">
        <v>1.225E-2</v>
      </c>
      <c r="K466">
        <v>0.36402099999999998</v>
      </c>
      <c r="L466">
        <v>4.651039951845963E-2</v>
      </c>
      <c r="M466">
        <v>0.27906239711075775</v>
      </c>
      <c r="N466">
        <v>0.64308339711075779</v>
      </c>
      <c r="O466" t="s">
        <v>90</v>
      </c>
      <c r="P466">
        <v>0</v>
      </c>
      <c r="Q466" t="s">
        <v>90</v>
      </c>
      <c r="R466">
        <v>0</v>
      </c>
      <c r="S466" t="s">
        <v>90</v>
      </c>
      <c r="T466">
        <v>0</v>
      </c>
      <c r="U466">
        <v>0.64308339711075779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25</v>
      </c>
      <c r="AB466">
        <v>1</v>
      </c>
      <c r="AC466">
        <v>0.5</v>
      </c>
      <c r="AD466">
        <v>0.50345253019720215</v>
      </c>
      <c r="AE466">
        <v>10800</v>
      </c>
      <c r="AF466">
        <v>200000</v>
      </c>
      <c r="AG466">
        <v>16666.666666666668</v>
      </c>
      <c r="AH466">
        <v>1</v>
      </c>
      <c r="AI466">
        <v>1</v>
      </c>
      <c r="AJ466" t="s">
        <v>162</v>
      </c>
      <c r="AK466" t="s">
        <v>176</v>
      </c>
      <c r="AL466">
        <v>0</v>
      </c>
      <c r="AM466" t="s">
        <v>176</v>
      </c>
      <c r="AN466">
        <v>0</v>
      </c>
    </row>
    <row r="467" spans="1:40" x14ac:dyDescent="0.15">
      <c r="A467" s="4" t="str">
        <f>HYPERLINK("https://ibp.a2mac1.com/costing(costing:projects/details/9760/process/12084811)","Automated Process")</f>
        <v>Automated Process</v>
      </c>
      <c r="B467" t="s">
        <v>794</v>
      </c>
      <c r="C467">
        <v>12084811</v>
      </c>
      <c r="D467">
        <v>8415102</v>
      </c>
      <c r="E467">
        <v>0.84</v>
      </c>
      <c r="F467">
        <v>0</v>
      </c>
      <c r="G467">
        <v>0</v>
      </c>
      <c r="H467">
        <v>4.2503999999999997E-3</v>
      </c>
      <c r="I467" t="s">
        <v>176</v>
      </c>
      <c r="J467">
        <v>2.9399999999999999E-2</v>
      </c>
      <c r="K467">
        <v>0.87365040000000005</v>
      </c>
      <c r="L467">
        <v>2.7083478470506045E-2</v>
      </c>
      <c r="M467">
        <v>0.16250087082303627</v>
      </c>
      <c r="N467">
        <v>1.0361512708230363</v>
      </c>
      <c r="O467" t="s">
        <v>90</v>
      </c>
      <c r="P467">
        <v>0</v>
      </c>
      <c r="Q467" t="s">
        <v>90</v>
      </c>
      <c r="R467">
        <v>0</v>
      </c>
      <c r="S467" t="s">
        <v>90</v>
      </c>
      <c r="T467">
        <v>0</v>
      </c>
      <c r="U467">
        <v>1.0361512708230363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14</v>
      </c>
      <c r="AB467">
        <v>1</v>
      </c>
      <c r="AC467">
        <v>0.5</v>
      </c>
      <c r="AD467">
        <v>0.50345253019720215</v>
      </c>
      <c r="AE467">
        <v>10800</v>
      </c>
      <c r="AF467">
        <v>200000</v>
      </c>
      <c r="AG467">
        <v>16666.666666666668</v>
      </c>
      <c r="AH467">
        <v>1</v>
      </c>
      <c r="AI467">
        <v>1</v>
      </c>
      <c r="AJ467" t="s">
        <v>162</v>
      </c>
      <c r="AK467" t="s">
        <v>176</v>
      </c>
      <c r="AL467">
        <v>0</v>
      </c>
      <c r="AM467" t="s">
        <v>176</v>
      </c>
      <c r="AN467">
        <v>0</v>
      </c>
    </row>
    <row r="468" spans="1:40" x14ac:dyDescent="0.15">
      <c r="A468" s="4" t="str">
        <f>HYPERLINK("https://ibp.a2mac1.com/costing(costing:projects/details/9760/process/12084573)","Automated Process")</f>
        <v>Automated Process</v>
      </c>
      <c r="B468" t="s">
        <v>2202</v>
      </c>
      <c r="C468">
        <v>12084573</v>
      </c>
      <c r="D468">
        <v>8414737</v>
      </c>
      <c r="E468">
        <v>5.83</v>
      </c>
      <c r="F468">
        <v>0</v>
      </c>
      <c r="G468">
        <v>0</v>
      </c>
      <c r="H468">
        <v>2.94998E-2</v>
      </c>
      <c r="I468" t="s">
        <v>176</v>
      </c>
      <c r="J468">
        <v>0.20405000000000001</v>
      </c>
      <c r="K468">
        <v>6.0635497999999997</v>
      </c>
      <c r="L468">
        <v>0.39619497838162415</v>
      </c>
      <c r="M468">
        <v>2.377169870289745</v>
      </c>
      <c r="N468">
        <v>8.4407196702897451</v>
      </c>
      <c r="O468" t="s">
        <v>90</v>
      </c>
      <c r="P468">
        <v>0</v>
      </c>
      <c r="Q468" t="s">
        <v>90</v>
      </c>
      <c r="R468">
        <v>0</v>
      </c>
      <c r="S468" t="s">
        <v>90</v>
      </c>
      <c r="T468">
        <v>0</v>
      </c>
      <c r="U468">
        <v>8.4407196702897451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223</v>
      </c>
      <c r="AB468">
        <v>1</v>
      </c>
      <c r="AC468">
        <v>0.5</v>
      </c>
      <c r="AD468">
        <v>0.50345253019720215</v>
      </c>
      <c r="AE468">
        <v>10800</v>
      </c>
      <c r="AF468">
        <v>200000</v>
      </c>
      <c r="AG468">
        <v>16666.666666666668</v>
      </c>
      <c r="AH468">
        <v>1</v>
      </c>
      <c r="AI468">
        <v>1</v>
      </c>
      <c r="AJ468" t="s">
        <v>162</v>
      </c>
      <c r="AK468" t="s">
        <v>176</v>
      </c>
      <c r="AL468">
        <v>0</v>
      </c>
      <c r="AM468" t="s">
        <v>176</v>
      </c>
      <c r="AN468">
        <v>0</v>
      </c>
    </row>
    <row r="469" spans="1:40" x14ac:dyDescent="0.15">
      <c r="A469" s="4" t="str">
        <f>HYPERLINK("https://ibp.a2mac1.com/costing(costing:projects/details/9760/process/12084603)","Process")</f>
        <v>Process</v>
      </c>
      <c r="B469" t="s">
        <v>4078</v>
      </c>
      <c r="C469">
        <v>12084603</v>
      </c>
      <c r="D469">
        <v>8414831</v>
      </c>
      <c r="E469">
        <v>4.0599999999999996</v>
      </c>
      <c r="F469">
        <v>0</v>
      </c>
      <c r="G469">
        <v>0</v>
      </c>
      <c r="H469">
        <v>2.0543599999999999E-2</v>
      </c>
      <c r="I469" t="s">
        <v>176</v>
      </c>
      <c r="J469">
        <v>0.1421</v>
      </c>
      <c r="K469">
        <v>4.2226435999999996</v>
      </c>
      <c r="L469">
        <v>0.55337643049688501</v>
      </c>
      <c r="M469">
        <v>3.3202585829813098</v>
      </c>
      <c r="N469">
        <v>7.5429021829813099</v>
      </c>
      <c r="O469" t="s">
        <v>177</v>
      </c>
      <c r="P469">
        <v>0.25335861599999998</v>
      </c>
      <c r="Q469" t="s">
        <v>177</v>
      </c>
      <c r="R469">
        <v>0.19921551497887857</v>
      </c>
      <c r="S469" t="s">
        <v>178</v>
      </c>
      <c r="T469">
        <v>0.90514826195775722</v>
      </c>
      <c r="U469">
        <v>8.900624575917945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312</v>
      </c>
      <c r="AB469">
        <v>1</v>
      </c>
      <c r="AC469">
        <v>0.5</v>
      </c>
      <c r="AD469">
        <v>0.50345253019720215</v>
      </c>
      <c r="AE469">
        <v>10800</v>
      </c>
      <c r="AF469">
        <v>200000</v>
      </c>
      <c r="AG469">
        <v>16666.666666666668</v>
      </c>
      <c r="AH469">
        <v>1</v>
      </c>
      <c r="AI469">
        <v>1</v>
      </c>
      <c r="AJ469" t="s">
        <v>162</v>
      </c>
      <c r="AK469" t="s">
        <v>176</v>
      </c>
      <c r="AL469">
        <v>0</v>
      </c>
      <c r="AM469" t="s">
        <v>176</v>
      </c>
      <c r="AN469">
        <v>0</v>
      </c>
    </row>
    <row r="470" spans="1:40" x14ac:dyDescent="0.15">
      <c r="A470" s="4" t="str">
        <f>HYPERLINK("https://ibp.a2mac1.com/costing(costing:projects/details/9760/process/12084604)","Process")</f>
        <v>Process</v>
      </c>
      <c r="B470" t="s">
        <v>4078</v>
      </c>
      <c r="C470">
        <v>12084604</v>
      </c>
      <c r="D470">
        <v>8414832</v>
      </c>
      <c r="E470">
        <v>4.0599999999999996</v>
      </c>
      <c r="F470">
        <v>0</v>
      </c>
      <c r="G470">
        <v>0</v>
      </c>
      <c r="H470">
        <v>2.0543599999999999E-2</v>
      </c>
      <c r="I470" t="s">
        <v>176</v>
      </c>
      <c r="J470">
        <v>0.1421</v>
      </c>
      <c r="K470">
        <v>4.2226435999999996</v>
      </c>
      <c r="L470">
        <v>0.55337643049688501</v>
      </c>
      <c r="M470">
        <v>3.3202585829813098</v>
      </c>
      <c r="N470">
        <v>7.5429021829813099</v>
      </c>
      <c r="O470" t="s">
        <v>177</v>
      </c>
      <c r="P470">
        <v>0.25335861599999998</v>
      </c>
      <c r="Q470" t="s">
        <v>177</v>
      </c>
      <c r="R470">
        <v>0.19921551497887857</v>
      </c>
      <c r="S470" t="s">
        <v>178</v>
      </c>
      <c r="T470">
        <v>0.90514826195775722</v>
      </c>
      <c r="U470">
        <v>8.900624575917945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312</v>
      </c>
      <c r="AB470">
        <v>1</v>
      </c>
      <c r="AC470">
        <v>0.5</v>
      </c>
      <c r="AD470">
        <v>0.50345253019720215</v>
      </c>
      <c r="AE470">
        <v>10800</v>
      </c>
      <c r="AF470">
        <v>200000</v>
      </c>
      <c r="AG470">
        <v>16666.666666666668</v>
      </c>
      <c r="AH470">
        <v>1</v>
      </c>
      <c r="AI470">
        <v>1</v>
      </c>
      <c r="AJ470" t="s">
        <v>162</v>
      </c>
      <c r="AK470" t="s">
        <v>176</v>
      </c>
      <c r="AL470">
        <v>0</v>
      </c>
      <c r="AM470" t="s">
        <v>176</v>
      </c>
      <c r="AN470">
        <v>0</v>
      </c>
    </row>
    <row r="471" spans="1:40" x14ac:dyDescent="0.15">
      <c r="A471" s="4" t="str">
        <f>HYPERLINK("https://ibp.a2mac1.com/costing(costing:projects/details/9760/process/12084605)","Process")</f>
        <v>Process</v>
      </c>
      <c r="B471" t="s">
        <v>4088</v>
      </c>
      <c r="C471">
        <v>12084605</v>
      </c>
      <c r="D471">
        <v>8414833</v>
      </c>
      <c r="E471">
        <v>0.66654478800000005</v>
      </c>
      <c r="F471">
        <v>0</v>
      </c>
      <c r="G471">
        <v>0</v>
      </c>
      <c r="H471">
        <v>3.3811695511578948E-3</v>
      </c>
      <c r="I471" t="s">
        <v>176</v>
      </c>
      <c r="J471">
        <v>2.3387536421052631E-2</v>
      </c>
      <c r="K471">
        <v>0.69331349397221054</v>
      </c>
      <c r="L471">
        <v>2.1785227275609612E-2</v>
      </c>
      <c r="M471">
        <v>0.13071136365365768</v>
      </c>
      <c r="N471">
        <v>0.82402485762586819</v>
      </c>
      <c r="O471" t="s">
        <v>177</v>
      </c>
      <c r="P471">
        <v>4.159880963833263E-2</v>
      </c>
      <c r="Q471" t="s">
        <v>177</v>
      </c>
      <c r="R471">
        <v>7.8426818192194603E-3</v>
      </c>
      <c r="S471" t="s">
        <v>178</v>
      </c>
      <c r="T471">
        <v>9.8882982915104181E-2</v>
      </c>
      <c r="U471">
        <v>0.97234933199852447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11</v>
      </c>
      <c r="AB471">
        <v>1</v>
      </c>
      <c r="AC471">
        <v>0.5</v>
      </c>
      <c r="AD471">
        <v>0.50345253019720215</v>
      </c>
      <c r="AE471">
        <v>10800</v>
      </c>
      <c r="AF471">
        <v>200000</v>
      </c>
      <c r="AG471">
        <v>16666.666666666668</v>
      </c>
      <c r="AH471">
        <v>1</v>
      </c>
      <c r="AI471">
        <v>1</v>
      </c>
      <c r="AJ471" t="s">
        <v>162</v>
      </c>
      <c r="AK471" t="s">
        <v>176</v>
      </c>
      <c r="AL471">
        <v>0</v>
      </c>
      <c r="AM471" t="s">
        <v>176</v>
      </c>
      <c r="AN471">
        <v>0</v>
      </c>
    </row>
    <row r="472" spans="1:40" x14ac:dyDescent="0.15">
      <c r="A472" s="4" t="str">
        <f>HYPERLINK("https://ibp.a2mac1.com/costing(costing:projects/details/9760/process/12084606)","Process")</f>
        <v>Process</v>
      </c>
      <c r="B472" t="s">
        <v>4088</v>
      </c>
      <c r="C472">
        <v>12084606</v>
      </c>
      <c r="D472">
        <v>8414834</v>
      </c>
      <c r="E472">
        <v>0.88990820100000001</v>
      </c>
      <c r="F472">
        <v>0</v>
      </c>
      <c r="G472">
        <v>0</v>
      </c>
      <c r="H472">
        <v>4.5142210496842104E-3</v>
      </c>
      <c r="I472" t="s">
        <v>176</v>
      </c>
      <c r="J472">
        <v>3.1224849157894738E-2</v>
      </c>
      <c r="K472">
        <v>0.92564727120757895</v>
      </c>
      <c r="L472">
        <v>2.1785227275609612E-2</v>
      </c>
      <c r="M472">
        <v>0.13071136365365768</v>
      </c>
      <c r="N472">
        <v>1.0563586348612366</v>
      </c>
      <c r="O472" t="s">
        <v>177</v>
      </c>
      <c r="P472">
        <v>5.5538836272454734E-2</v>
      </c>
      <c r="Q472" t="s">
        <v>177</v>
      </c>
      <c r="R472">
        <v>7.8426818192194603E-3</v>
      </c>
      <c r="S472" t="s">
        <v>178</v>
      </c>
      <c r="T472">
        <v>0.12676303618334839</v>
      </c>
      <c r="U472">
        <v>1.2465031891362592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11</v>
      </c>
      <c r="AB472">
        <v>1</v>
      </c>
      <c r="AC472">
        <v>0.5</v>
      </c>
      <c r="AD472">
        <v>0.50345253019720215</v>
      </c>
      <c r="AE472">
        <v>10800</v>
      </c>
      <c r="AF472">
        <v>200000</v>
      </c>
      <c r="AG472">
        <v>16666.666666666668</v>
      </c>
      <c r="AH472">
        <v>1</v>
      </c>
      <c r="AI472">
        <v>1</v>
      </c>
      <c r="AJ472" t="s">
        <v>162</v>
      </c>
      <c r="AK472" t="s">
        <v>176</v>
      </c>
      <c r="AL472">
        <v>0</v>
      </c>
      <c r="AM472" t="s">
        <v>176</v>
      </c>
      <c r="AN472">
        <v>0</v>
      </c>
    </row>
    <row r="473" spans="1:40" x14ac:dyDescent="0.15">
      <c r="A473" s="4" t="str">
        <f>HYPERLINK("https://ibp.a2mac1.com/costing(costing:projects/details/9760/process/12084607)","Process")</f>
        <v>Process</v>
      </c>
      <c r="B473" t="s">
        <v>4088</v>
      </c>
      <c r="C473">
        <v>12084607</v>
      </c>
      <c r="D473">
        <v>8414835</v>
      </c>
      <c r="E473">
        <v>1.528089381</v>
      </c>
      <c r="F473">
        <v>0</v>
      </c>
      <c r="G473">
        <v>0</v>
      </c>
      <c r="H473">
        <v>7.7515110454736838E-3</v>
      </c>
      <c r="I473" t="s">
        <v>176</v>
      </c>
      <c r="J473">
        <v>5.3617171263157896E-2</v>
      </c>
      <c r="K473">
        <v>1.5894580633086315</v>
      </c>
      <c r="L473">
        <v>3.2381729665402474E-2</v>
      </c>
      <c r="M473">
        <v>0.19429037799241486</v>
      </c>
      <c r="N473">
        <v>1.7837484413010465</v>
      </c>
      <c r="O473" t="s">
        <v>177</v>
      </c>
      <c r="P473">
        <v>9.5367483798517894E-2</v>
      </c>
      <c r="Q473" t="s">
        <v>177</v>
      </c>
      <c r="R473">
        <v>1.1657422679544891E-2</v>
      </c>
      <c r="S473" t="s">
        <v>178</v>
      </c>
      <c r="T473">
        <v>0.21404981295612557</v>
      </c>
      <c r="U473">
        <v>2.104823160735235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17</v>
      </c>
      <c r="AB473">
        <v>1</v>
      </c>
      <c r="AC473">
        <v>0.5</v>
      </c>
      <c r="AD473">
        <v>0.50345253019720215</v>
      </c>
      <c r="AE473">
        <v>10800</v>
      </c>
      <c r="AF473">
        <v>200000</v>
      </c>
      <c r="AG473">
        <v>16666.666666666668</v>
      </c>
      <c r="AH473">
        <v>1</v>
      </c>
      <c r="AI473">
        <v>1</v>
      </c>
      <c r="AJ473" t="s">
        <v>162</v>
      </c>
      <c r="AK473" t="s">
        <v>176</v>
      </c>
      <c r="AL473">
        <v>0</v>
      </c>
      <c r="AM473" t="s">
        <v>176</v>
      </c>
      <c r="AN473">
        <v>0</v>
      </c>
    </row>
    <row r="474" spans="1:40" x14ac:dyDescent="0.15">
      <c r="A474" s="4" t="str">
        <f>HYPERLINK("https://ibp.a2mac1.com/costing(costing:projects/details/9760/process/12084608)","Process")</f>
        <v>Process</v>
      </c>
      <c r="B474" t="s">
        <v>4088</v>
      </c>
      <c r="C474">
        <v>12084608</v>
      </c>
      <c r="D474">
        <v>8414836</v>
      </c>
      <c r="E474">
        <v>1.20545334</v>
      </c>
      <c r="F474">
        <v>0</v>
      </c>
      <c r="G474">
        <v>0</v>
      </c>
      <c r="H474">
        <v>6.1148811031578945E-3</v>
      </c>
      <c r="I474" t="s">
        <v>176</v>
      </c>
      <c r="J474">
        <v>4.229660842105263E-2</v>
      </c>
      <c r="K474">
        <v>1.2538648295242105</v>
      </c>
      <c r="L474">
        <v>3.2381729665402474E-2</v>
      </c>
      <c r="M474">
        <v>0.19429037799241486</v>
      </c>
      <c r="N474">
        <v>1.4481552075166253</v>
      </c>
      <c r="O474" t="s">
        <v>177</v>
      </c>
      <c r="P474">
        <v>7.5231889771452634E-2</v>
      </c>
      <c r="Q474" t="s">
        <v>177</v>
      </c>
      <c r="R474">
        <v>1.1657422679544891E-2</v>
      </c>
      <c r="S474" t="s">
        <v>178</v>
      </c>
      <c r="T474">
        <v>0.17377862490199505</v>
      </c>
      <c r="U474">
        <v>1.7088231448696181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17</v>
      </c>
      <c r="AB474">
        <v>1</v>
      </c>
      <c r="AC474">
        <v>0.5</v>
      </c>
      <c r="AD474">
        <v>0.50345253019720215</v>
      </c>
      <c r="AE474">
        <v>10800</v>
      </c>
      <c r="AF474">
        <v>200000</v>
      </c>
      <c r="AG474">
        <v>16666.666666666668</v>
      </c>
      <c r="AH474">
        <v>1</v>
      </c>
      <c r="AI474">
        <v>1</v>
      </c>
      <c r="AJ474" t="s">
        <v>162</v>
      </c>
      <c r="AK474" t="s">
        <v>176</v>
      </c>
      <c r="AL474">
        <v>0</v>
      </c>
      <c r="AM474" t="s">
        <v>176</v>
      </c>
      <c r="AN474">
        <v>0</v>
      </c>
    </row>
    <row r="475" spans="1:40" x14ac:dyDescent="0.15">
      <c r="A475" s="4" t="str">
        <f>HYPERLINK("https://ibp.a2mac1.com/costing(costing:projects/details/9760/process/12084609)","Process")</f>
        <v>Process</v>
      </c>
      <c r="B475" t="s">
        <v>1996</v>
      </c>
      <c r="C475">
        <v>12084609</v>
      </c>
      <c r="D475">
        <v>8414837</v>
      </c>
      <c r="E475">
        <v>0.82</v>
      </c>
      <c r="F475">
        <v>0</v>
      </c>
      <c r="G475">
        <v>0</v>
      </c>
      <c r="H475">
        <v>4.1491999999999996E-3</v>
      </c>
      <c r="I475" t="s">
        <v>176</v>
      </c>
      <c r="J475">
        <v>2.87E-2</v>
      </c>
      <c r="K475">
        <v>0.85284919999999997</v>
      </c>
      <c r="L475">
        <v>1.2954808617448894E-2</v>
      </c>
      <c r="M475">
        <v>7.7728851704693361E-2</v>
      </c>
      <c r="N475">
        <v>0.93057805170469332</v>
      </c>
      <c r="O475" t="s">
        <v>177</v>
      </c>
      <c r="P475">
        <v>5.1170951999999999E-2</v>
      </c>
      <c r="Q475" t="s">
        <v>177</v>
      </c>
      <c r="R475">
        <v>4.6637311022816015E-3</v>
      </c>
      <c r="S475" t="s">
        <v>178</v>
      </c>
      <c r="T475">
        <v>0.11166936620456321</v>
      </c>
      <c r="U475">
        <v>1.0980821010115382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6</v>
      </c>
      <c r="AB475">
        <v>1</v>
      </c>
      <c r="AC475">
        <v>0.5</v>
      </c>
      <c r="AD475">
        <v>0.50345253019720215</v>
      </c>
      <c r="AE475">
        <v>10800</v>
      </c>
      <c r="AF475">
        <v>200000</v>
      </c>
      <c r="AG475">
        <v>16666.666666666668</v>
      </c>
      <c r="AH475">
        <v>1</v>
      </c>
      <c r="AI475">
        <v>1</v>
      </c>
      <c r="AJ475" t="s">
        <v>162</v>
      </c>
      <c r="AK475" t="s">
        <v>176</v>
      </c>
      <c r="AL475">
        <v>0</v>
      </c>
      <c r="AM475" t="s">
        <v>176</v>
      </c>
      <c r="AN475">
        <v>0</v>
      </c>
    </row>
    <row r="476" spans="1:40" x14ac:dyDescent="0.15">
      <c r="A476" s="4" t="str">
        <f>HYPERLINK("https://ibp.a2mac1.com/costing(costing:projects/details/9760/process/12084610)","Process")</f>
        <v>Process</v>
      </c>
      <c r="B476" t="s">
        <v>1996</v>
      </c>
      <c r="C476">
        <v>12084610</v>
      </c>
      <c r="D476">
        <v>8414838</v>
      </c>
      <c r="E476">
        <v>0.82</v>
      </c>
      <c r="F476">
        <v>0</v>
      </c>
      <c r="G476">
        <v>0</v>
      </c>
      <c r="H476">
        <v>4.1491999999999996E-3</v>
      </c>
      <c r="I476" t="s">
        <v>176</v>
      </c>
      <c r="J476">
        <v>2.87E-2</v>
      </c>
      <c r="K476">
        <v>0.85284919999999997</v>
      </c>
      <c r="L476">
        <v>1.2954808617448894E-2</v>
      </c>
      <c r="M476">
        <v>7.7728851704693361E-2</v>
      </c>
      <c r="N476">
        <v>0.93057805170469332</v>
      </c>
      <c r="O476" t="s">
        <v>177</v>
      </c>
      <c r="P476">
        <v>5.1170951999999999E-2</v>
      </c>
      <c r="Q476" t="s">
        <v>177</v>
      </c>
      <c r="R476">
        <v>4.6637311022816015E-3</v>
      </c>
      <c r="S476" t="s">
        <v>178</v>
      </c>
      <c r="T476">
        <v>0.11166936620456321</v>
      </c>
      <c r="U476">
        <v>1.0980821010115382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6</v>
      </c>
      <c r="AB476">
        <v>1</v>
      </c>
      <c r="AC476">
        <v>0.5</v>
      </c>
      <c r="AD476">
        <v>0.50345253019720215</v>
      </c>
      <c r="AE476">
        <v>10800</v>
      </c>
      <c r="AF476">
        <v>200000</v>
      </c>
      <c r="AG476">
        <v>16666.666666666668</v>
      </c>
      <c r="AH476">
        <v>1</v>
      </c>
      <c r="AI476">
        <v>1</v>
      </c>
      <c r="AJ476" t="s">
        <v>162</v>
      </c>
      <c r="AK476" t="s">
        <v>176</v>
      </c>
      <c r="AL476">
        <v>0</v>
      </c>
      <c r="AM476" t="s">
        <v>176</v>
      </c>
      <c r="AN476">
        <v>0</v>
      </c>
    </row>
    <row r="477" spans="1:40" x14ac:dyDescent="0.15">
      <c r="A477" s="4" t="str">
        <f>HYPERLINK("https://ibp.a2mac1.com/costing(costing:projects/details/9760/process/12084611)","Process")</f>
        <v>Process</v>
      </c>
      <c r="B477" t="s">
        <v>4088</v>
      </c>
      <c r="C477">
        <v>12084611</v>
      </c>
      <c r="D477">
        <v>8414839</v>
      </c>
      <c r="E477">
        <v>0.54954490499999997</v>
      </c>
      <c r="F477">
        <v>0</v>
      </c>
      <c r="G477">
        <v>0</v>
      </c>
      <c r="H477">
        <v>2.787666385263158E-3</v>
      </c>
      <c r="I477" t="s">
        <v>176</v>
      </c>
      <c r="J477">
        <v>1.9282277368421051E-2</v>
      </c>
      <c r="K477">
        <v>0.57161484875368418</v>
      </c>
      <c r="L477">
        <v>2.1785227275609612E-2</v>
      </c>
      <c r="M477">
        <v>0.13071136365365768</v>
      </c>
      <c r="N477">
        <v>0.70232621240734194</v>
      </c>
      <c r="O477" t="s">
        <v>177</v>
      </c>
      <c r="P477">
        <v>3.4296890925221056E-2</v>
      </c>
      <c r="Q477" t="s">
        <v>177</v>
      </c>
      <c r="R477">
        <v>7.8426818192194603E-3</v>
      </c>
      <c r="S477" t="s">
        <v>178</v>
      </c>
      <c r="T477">
        <v>8.4279145488881033E-2</v>
      </c>
      <c r="U477">
        <v>0.82874493064066346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11</v>
      </c>
      <c r="AB477">
        <v>1</v>
      </c>
      <c r="AC477">
        <v>0.5</v>
      </c>
      <c r="AD477">
        <v>0.50345253019720215</v>
      </c>
      <c r="AE477">
        <v>10800</v>
      </c>
      <c r="AF477">
        <v>200000</v>
      </c>
      <c r="AG477">
        <v>16666.666666666668</v>
      </c>
      <c r="AH477">
        <v>1</v>
      </c>
      <c r="AI477">
        <v>1</v>
      </c>
      <c r="AJ477" t="s">
        <v>162</v>
      </c>
      <c r="AK477" t="s">
        <v>176</v>
      </c>
      <c r="AL477">
        <v>0</v>
      </c>
      <c r="AM477" t="s">
        <v>176</v>
      </c>
      <c r="AN477">
        <v>0</v>
      </c>
    </row>
    <row r="478" spans="1:40" x14ac:dyDescent="0.15">
      <c r="A478" s="4" t="str">
        <f>HYPERLINK("https://ibp.a2mac1.com/costing(costing:projects/details/9760/process/12084612)","Process")</f>
        <v>Process</v>
      </c>
      <c r="B478" t="s">
        <v>4088</v>
      </c>
      <c r="C478">
        <v>12084612</v>
      </c>
      <c r="D478">
        <v>8414840</v>
      </c>
      <c r="E478">
        <v>0.96790812299999995</v>
      </c>
      <c r="F478">
        <v>0</v>
      </c>
      <c r="G478">
        <v>0</v>
      </c>
      <c r="H478">
        <v>4.9098898269473688E-3</v>
      </c>
      <c r="I478" t="s">
        <v>176</v>
      </c>
      <c r="J478">
        <v>3.3961688526315786E-2</v>
      </c>
      <c r="K478">
        <v>1.0067797013532631</v>
      </c>
      <c r="L478">
        <v>2.1785227275609612E-2</v>
      </c>
      <c r="M478">
        <v>0.13071136365365768</v>
      </c>
      <c r="N478">
        <v>1.1374910650069208</v>
      </c>
      <c r="O478" t="s">
        <v>177</v>
      </c>
      <c r="P478">
        <v>6.0406782081195792E-2</v>
      </c>
      <c r="Q478" t="s">
        <v>177</v>
      </c>
      <c r="R478">
        <v>7.8426818192194603E-3</v>
      </c>
      <c r="S478" t="s">
        <v>178</v>
      </c>
      <c r="T478">
        <v>0.13649892780083051</v>
      </c>
      <c r="U478">
        <v>1.3422394567081666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11</v>
      </c>
      <c r="AB478">
        <v>1</v>
      </c>
      <c r="AC478">
        <v>0.5</v>
      </c>
      <c r="AD478">
        <v>0.50345253019720215</v>
      </c>
      <c r="AE478">
        <v>10800</v>
      </c>
      <c r="AF478">
        <v>200000</v>
      </c>
      <c r="AG478">
        <v>16666.666666666668</v>
      </c>
      <c r="AH478">
        <v>1</v>
      </c>
      <c r="AI478">
        <v>1</v>
      </c>
      <c r="AJ478" t="s">
        <v>162</v>
      </c>
      <c r="AK478" t="s">
        <v>176</v>
      </c>
      <c r="AL478">
        <v>0</v>
      </c>
      <c r="AM478" t="s">
        <v>176</v>
      </c>
      <c r="AN478">
        <v>0</v>
      </c>
    </row>
    <row r="479" spans="1:40" x14ac:dyDescent="0.15">
      <c r="A479" s="4" t="str">
        <f>HYPERLINK("https://ibp.a2mac1.com/costing(costing:projects/details/9760/process/12084613)","Process")</f>
        <v>Process</v>
      </c>
      <c r="B479" t="s">
        <v>1996</v>
      </c>
      <c r="C479">
        <v>12084613</v>
      </c>
      <c r="D479">
        <v>8414841</v>
      </c>
      <c r="E479">
        <v>0.34</v>
      </c>
      <c r="F479">
        <v>0</v>
      </c>
      <c r="G479">
        <v>0</v>
      </c>
      <c r="H479">
        <v>1.7102E-3</v>
      </c>
      <c r="I479" t="s">
        <v>176</v>
      </c>
      <c r="J479">
        <v>1.1900000000000001E-2</v>
      </c>
      <c r="K479">
        <v>0.35361019999999999</v>
      </c>
      <c r="L479">
        <v>8.2432419807768539E-3</v>
      </c>
      <c r="M479">
        <v>4.9459451884661124E-2</v>
      </c>
      <c r="N479">
        <v>0.4030696518846611</v>
      </c>
      <c r="O479" t="s">
        <v>177</v>
      </c>
      <c r="P479">
        <v>2.1216611999999999E-2</v>
      </c>
      <c r="Q479" t="s">
        <v>177</v>
      </c>
      <c r="R479">
        <v>2.9675671130796671E-3</v>
      </c>
      <c r="S479" t="s">
        <v>178</v>
      </c>
      <c r="T479">
        <v>4.8368358226159335E-2</v>
      </c>
      <c r="U479">
        <v>0.47562218922390015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</v>
      </c>
      <c r="AB479">
        <v>1</v>
      </c>
      <c r="AC479">
        <v>0.5</v>
      </c>
      <c r="AD479">
        <v>0.50048257265952256</v>
      </c>
      <c r="AE479">
        <v>10800</v>
      </c>
      <c r="AF479">
        <v>400000</v>
      </c>
      <c r="AG479">
        <v>33333.333333333336</v>
      </c>
      <c r="AH479">
        <v>1</v>
      </c>
      <c r="AI479">
        <v>1</v>
      </c>
      <c r="AJ479" t="s">
        <v>162</v>
      </c>
      <c r="AK479" t="s">
        <v>176</v>
      </c>
      <c r="AL479">
        <v>0</v>
      </c>
      <c r="AM479" t="s">
        <v>176</v>
      </c>
      <c r="AN479">
        <v>0</v>
      </c>
    </row>
    <row r="480" spans="1:40" x14ac:dyDescent="0.15">
      <c r="A480" s="4" t="str">
        <f>HYPERLINK("https://ibp.a2mac1.com/costing(costing:projects/details/9760/process/12084614)","Process")</f>
        <v>Process</v>
      </c>
      <c r="B480" t="s">
        <v>1996</v>
      </c>
      <c r="C480">
        <v>12084614</v>
      </c>
      <c r="D480">
        <v>8414842</v>
      </c>
      <c r="E480">
        <v>0.59</v>
      </c>
      <c r="F480">
        <v>0</v>
      </c>
      <c r="G480">
        <v>0</v>
      </c>
      <c r="H480">
        <v>2.9677000000000002E-3</v>
      </c>
      <c r="I480" t="s">
        <v>176</v>
      </c>
      <c r="J480">
        <v>2.0650000000000002E-2</v>
      </c>
      <c r="K480">
        <v>0.61361770000000004</v>
      </c>
      <c r="L480">
        <v>1.1775304012500837E-2</v>
      </c>
      <c r="M480">
        <v>7.0651824075005018E-2</v>
      </c>
      <c r="N480">
        <v>0.68426952407500508</v>
      </c>
      <c r="O480" t="s">
        <v>177</v>
      </c>
      <c r="P480">
        <v>3.6817061999999998E-2</v>
      </c>
      <c r="Q480" t="s">
        <v>177</v>
      </c>
      <c r="R480">
        <v>4.2391094445003016E-3</v>
      </c>
      <c r="S480" t="s">
        <v>178</v>
      </c>
      <c r="T480">
        <v>8.21123428890006E-2</v>
      </c>
      <c r="U480">
        <v>0.80743803840850592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6</v>
      </c>
      <c r="AB480">
        <v>1</v>
      </c>
      <c r="AC480">
        <v>0.5</v>
      </c>
      <c r="AD480">
        <v>0.50048257265952256</v>
      </c>
      <c r="AE480">
        <v>10800</v>
      </c>
      <c r="AF480">
        <v>400000</v>
      </c>
      <c r="AG480">
        <v>33333.333333333336</v>
      </c>
      <c r="AH480">
        <v>1</v>
      </c>
      <c r="AI480">
        <v>1</v>
      </c>
      <c r="AJ480" t="s">
        <v>162</v>
      </c>
      <c r="AK480" t="s">
        <v>176</v>
      </c>
      <c r="AL480">
        <v>0</v>
      </c>
      <c r="AM480" t="s">
        <v>176</v>
      </c>
      <c r="AN480">
        <v>0</v>
      </c>
    </row>
    <row r="481" spans="1:40" x14ac:dyDescent="0.15">
      <c r="A481" s="4" t="str">
        <f>HYPERLINK("https://ibp.a2mac1.com/costing(costing:projects/details/9760/process/12084615)","Process")</f>
        <v>Process</v>
      </c>
      <c r="B481" t="s">
        <v>1996</v>
      </c>
      <c r="C481">
        <v>12084615</v>
      </c>
      <c r="D481">
        <v>8414843</v>
      </c>
      <c r="E481">
        <v>0.15</v>
      </c>
      <c r="F481">
        <v>0</v>
      </c>
      <c r="G481">
        <v>0</v>
      </c>
      <c r="H481">
        <v>7.5449999999999996E-4</v>
      </c>
      <c r="I481" t="s">
        <v>176</v>
      </c>
      <c r="J481">
        <v>5.2500000000000003E-3</v>
      </c>
      <c r="K481">
        <v>0.15600449999999999</v>
      </c>
      <c r="L481">
        <v>8.2432419807768539E-3</v>
      </c>
      <c r="M481">
        <v>4.9459451884661124E-2</v>
      </c>
      <c r="N481">
        <v>0.20546395188466113</v>
      </c>
      <c r="O481" t="s">
        <v>177</v>
      </c>
      <c r="P481">
        <v>9.3602700000000004E-3</v>
      </c>
      <c r="Q481" t="s">
        <v>177</v>
      </c>
      <c r="R481">
        <v>2.9675671130796671E-3</v>
      </c>
      <c r="S481" t="s">
        <v>178</v>
      </c>
      <c r="T481">
        <v>2.4655674226159333E-2</v>
      </c>
      <c r="U481">
        <v>0.24244746322390012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</v>
      </c>
      <c r="AB481">
        <v>1</v>
      </c>
      <c r="AC481">
        <v>0.5</v>
      </c>
      <c r="AD481">
        <v>0.50048257265952256</v>
      </c>
      <c r="AE481">
        <v>10800</v>
      </c>
      <c r="AF481">
        <v>400000</v>
      </c>
      <c r="AG481">
        <v>33333.333333333336</v>
      </c>
      <c r="AH481">
        <v>1</v>
      </c>
      <c r="AI481">
        <v>1</v>
      </c>
      <c r="AJ481" t="s">
        <v>162</v>
      </c>
      <c r="AK481" t="s">
        <v>176</v>
      </c>
      <c r="AL481">
        <v>0</v>
      </c>
      <c r="AM481" t="s">
        <v>176</v>
      </c>
      <c r="AN481">
        <v>0</v>
      </c>
    </row>
    <row r="482" spans="1:40" x14ac:dyDescent="0.15">
      <c r="A482" s="4" t="str">
        <f>HYPERLINK("https://ibp.a2mac1.com/costing(costing:projects/details/9760/process/12084616)","Process")</f>
        <v>Process</v>
      </c>
      <c r="B482" t="s">
        <v>1996</v>
      </c>
      <c r="C482">
        <v>12084616</v>
      </c>
      <c r="D482">
        <v>8414844</v>
      </c>
      <c r="E482">
        <v>0.33</v>
      </c>
      <c r="F482">
        <v>0</v>
      </c>
      <c r="G482">
        <v>0</v>
      </c>
      <c r="H482">
        <v>1.6599E-3</v>
      </c>
      <c r="I482" t="s">
        <v>176</v>
      </c>
      <c r="J482">
        <v>1.155E-2</v>
      </c>
      <c r="K482">
        <v>0.34320990000000001</v>
      </c>
      <c r="L482">
        <v>8.2432419807768539E-3</v>
      </c>
      <c r="M482">
        <v>4.9459451884661124E-2</v>
      </c>
      <c r="N482">
        <v>0.39266935188466112</v>
      </c>
      <c r="O482" t="s">
        <v>177</v>
      </c>
      <c r="P482">
        <v>2.0592593999999999E-2</v>
      </c>
      <c r="Q482" t="s">
        <v>177</v>
      </c>
      <c r="R482">
        <v>2.9675671130796671E-3</v>
      </c>
      <c r="S482" t="s">
        <v>178</v>
      </c>
      <c r="T482">
        <v>4.7120322226159334E-2</v>
      </c>
      <c r="U482">
        <v>0.46334983522390011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</v>
      </c>
      <c r="AB482">
        <v>1</v>
      </c>
      <c r="AC482">
        <v>0.5</v>
      </c>
      <c r="AD482">
        <v>0.50048257265952256</v>
      </c>
      <c r="AE482">
        <v>10800</v>
      </c>
      <c r="AF482">
        <v>400000</v>
      </c>
      <c r="AG482">
        <v>33333.333333333336</v>
      </c>
      <c r="AH482">
        <v>1</v>
      </c>
      <c r="AI482">
        <v>1</v>
      </c>
      <c r="AJ482" t="s">
        <v>162</v>
      </c>
      <c r="AK482" t="s">
        <v>176</v>
      </c>
      <c r="AL482">
        <v>0</v>
      </c>
      <c r="AM482" t="s">
        <v>176</v>
      </c>
      <c r="AN482">
        <v>0</v>
      </c>
    </row>
    <row r="483" spans="1:40" x14ac:dyDescent="0.15">
      <c r="A483" s="4" t="str">
        <f>HYPERLINK("https://ibp.a2mac1.com/costing(costing:projects/details/9760/process/12084617)","Process")</f>
        <v>Process</v>
      </c>
      <c r="B483" t="s">
        <v>1996</v>
      </c>
      <c r="C483">
        <v>12084617</v>
      </c>
      <c r="D483">
        <v>8414845</v>
      </c>
      <c r="E483">
        <v>0.19</v>
      </c>
      <c r="F483">
        <v>0</v>
      </c>
      <c r="G483">
        <v>0</v>
      </c>
      <c r="H483">
        <v>9.5569999999999997E-4</v>
      </c>
      <c r="I483" t="s">
        <v>176</v>
      </c>
      <c r="J483">
        <v>6.6499999999999997E-3</v>
      </c>
      <c r="K483">
        <v>0.1976057</v>
      </c>
      <c r="L483">
        <v>8.2432419807768539E-3</v>
      </c>
      <c r="M483">
        <v>4.9459451884661124E-2</v>
      </c>
      <c r="N483">
        <v>0.24706515188466113</v>
      </c>
      <c r="O483" t="s">
        <v>177</v>
      </c>
      <c r="P483">
        <v>1.1856342000000001E-2</v>
      </c>
      <c r="Q483" t="s">
        <v>177</v>
      </c>
      <c r="R483">
        <v>2.9675671130796671E-3</v>
      </c>
      <c r="S483" t="s">
        <v>178</v>
      </c>
      <c r="T483">
        <v>2.9647818226159334E-2</v>
      </c>
      <c r="U483">
        <v>0.29153687922390015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</v>
      </c>
      <c r="AB483">
        <v>1</v>
      </c>
      <c r="AC483">
        <v>0.5</v>
      </c>
      <c r="AD483">
        <v>0.50048257265952256</v>
      </c>
      <c r="AE483">
        <v>10800</v>
      </c>
      <c r="AF483">
        <v>400000</v>
      </c>
      <c r="AG483">
        <v>33333.333333333336</v>
      </c>
      <c r="AH483">
        <v>1</v>
      </c>
      <c r="AI483">
        <v>1</v>
      </c>
      <c r="AJ483" t="s">
        <v>162</v>
      </c>
      <c r="AK483" t="s">
        <v>176</v>
      </c>
      <c r="AL483">
        <v>0</v>
      </c>
      <c r="AM483" t="s">
        <v>176</v>
      </c>
      <c r="AN483">
        <v>0</v>
      </c>
    </row>
    <row r="484" spans="1:40" x14ac:dyDescent="0.15">
      <c r="A484" s="4" t="str">
        <f>HYPERLINK("https://ibp.a2mac1.com/costing(costing:projects/details/9760/process/12084618)","Process")</f>
        <v>Process</v>
      </c>
      <c r="B484" t="s">
        <v>1996</v>
      </c>
      <c r="C484">
        <v>12084618</v>
      </c>
      <c r="D484">
        <v>8414846</v>
      </c>
      <c r="E484">
        <v>7.0000000000000007E-2</v>
      </c>
      <c r="F484">
        <v>0</v>
      </c>
      <c r="G484">
        <v>0</v>
      </c>
      <c r="H484">
        <v>3.5209999999999999E-4</v>
      </c>
      <c r="I484" t="s">
        <v>176</v>
      </c>
      <c r="J484">
        <v>2.4499999999999999E-3</v>
      </c>
      <c r="K484">
        <v>7.2802099999999995E-2</v>
      </c>
      <c r="L484">
        <v>6.4772109649148613E-3</v>
      </c>
      <c r="M484">
        <v>3.8863265789489169E-2</v>
      </c>
      <c r="N484">
        <v>0.11166536578948917</v>
      </c>
      <c r="O484" t="s">
        <v>177</v>
      </c>
      <c r="P484">
        <v>4.368126E-3</v>
      </c>
      <c r="Q484" t="s">
        <v>177</v>
      </c>
      <c r="R484">
        <v>2.3317959473693503E-3</v>
      </c>
      <c r="S484" t="s">
        <v>178</v>
      </c>
      <c r="T484">
        <v>1.33998438947387E-2</v>
      </c>
      <c r="U484">
        <v>0.13176513163159723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</v>
      </c>
      <c r="AC484">
        <v>0.5</v>
      </c>
      <c r="AD484">
        <v>0.50048257265952256</v>
      </c>
      <c r="AE484">
        <v>10800</v>
      </c>
      <c r="AF484">
        <v>400000</v>
      </c>
      <c r="AG484">
        <v>33333.333333333336</v>
      </c>
      <c r="AH484">
        <v>1</v>
      </c>
      <c r="AI484">
        <v>1</v>
      </c>
      <c r="AJ484" t="s">
        <v>162</v>
      </c>
      <c r="AK484" t="s">
        <v>176</v>
      </c>
      <c r="AL484">
        <v>0</v>
      </c>
      <c r="AM484" t="s">
        <v>176</v>
      </c>
      <c r="AN484">
        <v>0</v>
      </c>
    </row>
    <row r="485" spans="1:40" x14ac:dyDescent="0.15">
      <c r="A485" s="4" t="str">
        <f>HYPERLINK("https://ibp.a2mac1.com/costing(costing:projects/details/9760/process/12084619)","Process")</f>
        <v>Process</v>
      </c>
      <c r="B485" t="s">
        <v>1996</v>
      </c>
      <c r="C485">
        <v>12084619</v>
      </c>
      <c r="D485">
        <v>8414847</v>
      </c>
      <c r="E485">
        <v>0.52</v>
      </c>
      <c r="F485">
        <v>0</v>
      </c>
      <c r="G485">
        <v>0</v>
      </c>
      <c r="H485">
        <v>2.6312000000000002E-3</v>
      </c>
      <c r="I485" t="s">
        <v>176</v>
      </c>
      <c r="J485">
        <v>1.8200000000000001E-2</v>
      </c>
      <c r="K485">
        <v>0.54083119999999996</v>
      </c>
      <c r="L485">
        <v>1.2954808617448894E-2</v>
      </c>
      <c r="M485">
        <v>7.7728851704693361E-2</v>
      </c>
      <c r="N485">
        <v>0.61856005170469341</v>
      </c>
      <c r="O485" t="s">
        <v>177</v>
      </c>
      <c r="P485">
        <v>3.2449871999999998E-2</v>
      </c>
      <c r="Q485" t="s">
        <v>177</v>
      </c>
      <c r="R485">
        <v>4.6637311022816015E-3</v>
      </c>
      <c r="S485" t="s">
        <v>178</v>
      </c>
      <c r="T485">
        <v>7.4227206204563204E-2</v>
      </c>
      <c r="U485">
        <v>0.72990086101153817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6</v>
      </c>
      <c r="AB485">
        <v>1</v>
      </c>
      <c r="AC485">
        <v>0.5</v>
      </c>
      <c r="AD485">
        <v>0.50345253019720215</v>
      </c>
      <c r="AE485">
        <v>10800</v>
      </c>
      <c r="AF485">
        <v>200000</v>
      </c>
      <c r="AG485">
        <v>16666.666666666668</v>
      </c>
      <c r="AH485">
        <v>1</v>
      </c>
      <c r="AI485">
        <v>1</v>
      </c>
      <c r="AJ485" t="s">
        <v>162</v>
      </c>
      <c r="AK485" t="s">
        <v>176</v>
      </c>
      <c r="AL485">
        <v>0</v>
      </c>
      <c r="AM485" t="s">
        <v>176</v>
      </c>
      <c r="AN485">
        <v>0</v>
      </c>
    </row>
    <row r="486" spans="1:40" x14ac:dyDescent="0.15">
      <c r="A486" s="4" t="str">
        <f>HYPERLINK("https://ibp.a2mac1.com/costing(costing:projects/details/9760/process/12084620)","Process")</f>
        <v>Process</v>
      </c>
      <c r="B486" t="s">
        <v>1996</v>
      </c>
      <c r="C486">
        <v>12084620</v>
      </c>
      <c r="D486">
        <v>8414848</v>
      </c>
      <c r="E486">
        <v>0.65</v>
      </c>
      <c r="F486">
        <v>0</v>
      </c>
      <c r="G486">
        <v>0</v>
      </c>
      <c r="H486">
        <v>3.2889999999999998E-3</v>
      </c>
      <c r="I486" t="s">
        <v>176</v>
      </c>
      <c r="J486">
        <v>2.2749999999999999E-2</v>
      </c>
      <c r="K486">
        <v>0.67603899999999995</v>
      </c>
      <c r="L486">
        <v>1.2954808617448894E-2</v>
      </c>
      <c r="M486">
        <v>7.7728851704693361E-2</v>
      </c>
      <c r="N486">
        <v>0.7537678517046934</v>
      </c>
      <c r="O486" t="s">
        <v>177</v>
      </c>
      <c r="P486">
        <v>4.0562340000000002E-2</v>
      </c>
      <c r="Q486" t="s">
        <v>177</v>
      </c>
      <c r="R486">
        <v>4.6637311022816015E-3</v>
      </c>
      <c r="S486" t="s">
        <v>178</v>
      </c>
      <c r="T486">
        <v>9.0452142204563199E-2</v>
      </c>
      <c r="U486">
        <v>0.88944606501153811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6</v>
      </c>
      <c r="AB486">
        <v>1</v>
      </c>
      <c r="AC486">
        <v>0.5</v>
      </c>
      <c r="AD486">
        <v>0.50345253019720215</v>
      </c>
      <c r="AE486">
        <v>10800</v>
      </c>
      <c r="AF486">
        <v>200000</v>
      </c>
      <c r="AG486">
        <v>16666.666666666668</v>
      </c>
      <c r="AH486">
        <v>1</v>
      </c>
      <c r="AI486">
        <v>1</v>
      </c>
      <c r="AJ486" t="s">
        <v>162</v>
      </c>
      <c r="AK486" t="s">
        <v>176</v>
      </c>
      <c r="AL486">
        <v>0</v>
      </c>
      <c r="AM486" t="s">
        <v>176</v>
      </c>
      <c r="AN486">
        <v>0</v>
      </c>
    </row>
    <row r="487" spans="1:40" x14ac:dyDescent="0.15">
      <c r="A487" s="4" t="str">
        <f>HYPERLINK("https://ibp.a2mac1.com/costing(costing:projects/details/9760/process/12084621)","Process")</f>
        <v>Process</v>
      </c>
      <c r="C487">
        <v>12084621</v>
      </c>
      <c r="D487">
        <v>8414849</v>
      </c>
      <c r="E487">
        <v>0.56999999999999995</v>
      </c>
      <c r="F487">
        <v>0</v>
      </c>
      <c r="G487">
        <v>0</v>
      </c>
      <c r="H487">
        <v>2.8842E-3</v>
      </c>
      <c r="I487" t="s">
        <v>176</v>
      </c>
      <c r="J487">
        <v>1.9949999999999999E-2</v>
      </c>
      <c r="K487">
        <v>0.59283419999999998</v>
      </c>
      <c r="L487">
        <v>1.2954808617448894E-2</v>
      </c>
      <c r="M487">
        <v>7.7728851704693361E-2</v>
      </c>
      <c r="N487">
        <v>0.67056305170469332</v>
      </c>
      <c r="O487" t="s">
        <v>177</v>
      </c>
      <c r="P487">
        <v>3.5570051999999998E-2</v>
      </c>
      <c r="Q487" t="s">
        <v>177</v>
      </c>
      <c r="R487">
        <v>4.6637311022816015E-3</v>
      </c>
      <c r="S487" t="s">
        <v>178</v>
      </c>
      <c r="T487">
        <v>8.0467566204563204E-2</v>
      </c>
      <c r="U487">
        <v>0.79126440101153817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</v>
      </c>
      <c r="AB487">
        <v>1</v>
      </c>
      <c r="AC487">
        <v>0.5</v>
      </c>
      <c r="AD487">
        <v>0.50345253019720215</v>
      </c>
      <c r="AE487">
        <v>10800</v>
      </c>
      <c r="AF487">
        <v>200000</v>
      </c>
      <c r="AG487">
        <v>16666.666666666668</v>
      </c>
      <c r="AH487">
        <v>1</v>
      </c>
      <c r="AI487">
        <v>1</v>
      </c>
      <c r="AJ487" t="s">
        <v>162</v>
      </c>
      <c r="AK487" t="s">
        <v>176</v>
      </c>
      <c r="AL487">
        <v>0</v>
      </c>
      <c r="AM487" t="s">
        <v>176</v>
      </c>
      <c r="AN487">
        <v>0</v>
      </c>
    </row>
    <row r="488" spans="1:40" x14ac:dyDescent="0.15">
      <c r="A488" s="4" t="str">
        <f>HYPERLINK("https://ibp.a2mac1.com/costing(costing:projects/details/9760/process/12084622)","Process")</f>
        <v>Process</v>
      </c>
      <c r="B488" t="s">
        <v>1996</v>
      </c>
      <c r="C488">
        <v>12084622</v>
      </c>
      <c r="D488">
        <v>8414850</v>
      </c>
      <c r="E488">
        <v>0.06</v>
      </c>
      <c r="F488">
        <v>0</v>
      </c>
      <c r="G488">
        <v>0</v>
      </c>
      <c r="H488">
        <v>3.0360000000000001E-4</v>
      </c>
      <c r="I488" t="s">
        <v>176</v>
      </c>
      <c r="J488">
        <v>2.0999999999999999E-3</v>
      </c>
      <c r="K488">
        <v>6.2403599999999997E-2</v>
      </c>
      <c r="L488">
        <v>7.6565574225524614E-3</v>
      </c>
      <c r="M488">
        <v>4.5939344535314765E-2</v>
      </c>
      <c r="N488">
        <v>0.10834294453531476</v>
      </c>
      <c r="O488" t="s">
        <v>177</v>
      </c>
      <c r="P488">
        <v>3.7442159999999999E-3</v>
      </c>
      <c r="Q488" t="s">
        <v>177</v>
      </c>
      <c r="R488">
        <v>2.756360672118886E-3</v>
      </c>
      <c r="S488" t="s">
        <v>178</v>
      </c>
      <c r="T488">
        <v>1.3001153344237772E-2</v>
      </c>
      <c r="U488">
        <v>0.12784467455167142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</v>
      </c>
      <c r="AC488">
        <v>0.5</v>
      </c>
      <c r="AD488">
        <v>0.50345253019720215</v>
      </c>
      <c r="AE488">
        <v>10800</v>
      </c>
      <c r="AF488">
        <v>200000</v>
      </c>
      <c r="AG488">
        <v>16666.666666666668</v>
      </c>
      <c r="AH488">
        <v>1</v>
      </c>
      <c r="AI488">
        <v>1</v>
      </c>
      <c r="AJ488" t="s">
        <v>162</v>
      </c>
      <c r="AK488" t="s">
        <v>176</v>
      </c>
      <c r="AL488">
        <v>0</v>
      </c>
      <c r="AM488" t="s">
        <v>176</v>
      </c>
      <c r="AN488">
        <v>0</v>
      </c>
    </row>
    <row r="489" spans="1:40" x14ac:dyDescent="0.15">
      <c r="A489" s="4" t="str">
        <f>HYPERLINK("https://ibp.a2mac1.com/costing(costing:projects/details/9760/process/12084741)","Process")</f>
        <v>Process</v>
      </c>
      <c r="B489" t="s">
        <v>1996</v>
      </c>
      <c r="C489">
        <v>12084741</v>
      </c>
      <c r="D489">
        <v>8415011</v>
      </c>
      <c r="E489">
        <v>0.21</v>
      </c>
      <c r="F489">
        <v>0</v>
      </c>
      <c r="G489">
        <v>0</v>
      </c>
      <c r="H489">
        <v>1.0625999999999999E-3</v>
      </c>
      <c r="I489" t="s">
        <v>176</v>
      </c>
      <c r="J489">
        <v>7.3499999999999998E-3</v>
      </c>
      <c r="K489">
        <v>0.21841260000000001</v>
      </c>
      <c r="L489">
        <v>9.422641154184605E-3</v>
      </c>
      <c r="M489">
        <v>5.653584692510763E-2</v>
      </c>
      <c r="N489">
        <v>0.27494844692510761</v>
      </c>
      <c r="O489" t="s">
        <v>177</v>
      </c>
      <c r="P489">
        <v>1.3104756E-2</v>
      </c>
      <c r="Q489" t="s">
        <v>177</v>
      </c>
      <c r="R489">
        <v>3.392150815506458E-3</v>
      </c>
      <c r="S489" t="s">
        <v>178</v>
      </c>
      <c r="T489">
        <v>3.2993813631012919E-2</v>
      </c>
      <c r="U489">
        <v>0.32443916737162698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4</v>
      </c>
      <c r="AB489">
        <v>1</v>
      </c>
      <c r="AC489">
        <v>0.5</v>
      </c>
      <c r="AD489">
        <v>0.50345253019720215</v>
      </c>
      <c r="AE489">
        <v>10800</v>
      </c>
      <c r="AF489">
        <v>200000</v>
      </c>
      <c r="AG489">
        <v>16666.666666666668</v>
      </c>
      <c r="AH489">
        <v>1</v>
      </c>
      <c r="AI489">
        <v>1</v>
      </c>
      <c r="AJ489" t="s">
        <v>162</v>
      </c>
      <c r="AK489" t="s">
        <v>176</v>
      </c>
      <c r="AL489">
        <v>0</v>
      </c>
      <c r="AM489" t="s">
        <v>176</v>
      </c>
      <c r="AN489">
        <v>0</v>
      </c>
    </row>
    <row r="490" spans="1:40" x14ac:dyDescent="0.15">
      <c r="A490" s="4" t="str">
        <f>HYPERLINK("https://ibp.a2mac1.com/costing(costing:projects/details/9760/process/12084623)","Process")</f>
        <v>Process</v>
      </c>
      <c r="B490" t="s">
        <v>1996</v>
      </c>
      <c r="C490">
        <v>12084623</v>
      </c>
      <c r="D490">
        <v>8414851</v>
      </c>
      <c r="E490">
        <v>0.47</v>
      </c>
      <c r="F490">
        <v>0</v>
      </c>
      <c r="G490">
        <v>0</v>
      </c>
      <c r="H490">
        <v>2.3782E-3</v>
      </c>
      <c r="I490" t="s">
        <v>176</v>
      </c>
      <c r="J490">
        <v>1.6449999999999999E-2</v>
      </c>
      <c r="K490">
        <v>0.48882819999999999</v>
      </c>
      <c r="L490">
        <v>1.1188724885816749E-2</v>
      </c>
      <c r="M490">
        <v>6.7132349314900502E-2</v>
      </c>
      <c r="N490">
        <v>0.55596054931490047</v>
      </c>
      <c r="O490" t="s">
        <v>177</v>
      </c>
      <c r="P490">
        <v>2.9329692000000001E-2</v>
      </c>
      <c r="Q490" t="s">
        <v>177</v>
      </c>
      <c r="R490">
        <v>4.02794095889403E-3</v>
      </c>
      <c r="S490" t="s">
        <v>178</v>
      </c>
      <c r="T490">
        <v>6.6715265917788064E-2</v>
      </c>
      <c r="U490">
        <v>0.6560334481915826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</v>
      </c>
      <c r="AB490">
        <v>1</v>
      </c>
      <c r="AC490">
        <v>0.5</v>
      </c>
      <c r="AD490">
        <v>0.50345253019720215</v>
      </c>
      <c r="AE490">
        <v>10800</v>
      </c>
      <c r="AF490">
        <v>200000</v>
      </c>
      <c r="AG490">
        <v>16666.666666666668</v>
      </c>
      <c r="AH490">
        <v>1</v>
      </c>
      <c r="AI490">
        <v>1</v>
      </c>
      <c r="AJ490" t="s">
        <v>162</v>
      </c>
      <c r="AK490" t="s">
        <v>176</v>
      </c>
      <c r="AL490">
        <v>0</v>
      </c>
      <c r="AM490" t="s">
        <v>176</v>
      </c>
      <c r="AN490">
        <v>0</v>
      </c>
    </row>
    <row r="491" spans="1:40" x14ac:dyDescent="0.15">
      <c r="A491" s="4" t="str">
        <f>HYPERLINK("https://ibp.a2mac1.com/costing(costing:projects/details/9760/process/12084624)","Process")</f>
        <v>Process</v>
      </c>
      <c r="B491" t="s">
        <v>1996</v>
      </c>
      <c r="C491">
        <v>12084624</v>
      </c>
      <c r="D491">
        <v>8414852</v>
      </c>
      <c r="E491">
        <v>0.14000000000000001</v>
      </c>
      <c r="F491">
        <v>0</v>
      </c>
      <c r="G491">
        <v>0</v>
      </c>
      <c r="H491">
        <v>7.0839999999999998E-4</v>
      </c>
      <c r="I491" t="s">
        <v>176</v>
      </c>
      <c r="J491">
        <v>4.8999999999999998E-3</v>
      </c>
      <c r="K491">
        <v>0.1456084</v>
      </c>
      <c r="L491">
        <v>9.422641154184605E-3</v>
      </c>
      <c r="M491">
        <v>5.653584692510763E-2</v>
      </c>
      <c r="N491">
        <v>0.20214424692510763</v>
      </c>
      <c r="O491" t="s">
        <v>177</v>
      </c>
      <c r="P491">
        <v>8.7365040000000008E-3</v>
      </c>
      <c r="Q491" t="s">
        <v>177</v>
      </c>
      <c r="R491">
        <v>3.392150815506458E-3</v>
      </c>
      <c r="S491" t="s">
        <v>178</v>
      </c>
      <c r="T491">
        <v>2.4257309631012917E-2</v>
      </c>
      <c r="U491">
        <v>0.238530211371627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1</v>
      </c>
      <c r="AC491">
        <v>0.5</v>
      </c>
      <c r="AD491">
        <v>0.50345253019720215</v>
      </c>
      <c r="AE491">
        <v>10800</v>
      </c>
      <c r="AF491">
        <v>200000</v>
      </c>
      <c r="AG491">
        <v>16666.666666666668</v>
      </c>
      <c r="AH491">
        <v>1</v>
      </c>
      <c r="AI491">
        <v>1</v>
      </c>
      <c r="AJ491" t="s">
        <v>162</v>
      </c>
      <c r="AK491" t="s">
        <v>176</v>
      </c>
      <c r="AL491">
        <v>0</v>
      </c>
      <c r="AM491" t="s">
        <v>176</v>
      </c>
      <c r="AN491">
        <v>0</v>
      </c>
    </row>
    <row r="492" spans="1:40" x14ac:dyDescent="0.15">
      <c r="A492" s="4" t="str">
        <f>HYPERLINK("https://ibp.a2mac1.com/costing(costing:projects/details/9760/process/12084625)","Process")</f>
        <v>Process</v>
      </c>
      <c r="B492" t="s">
        <v>1996</v>
      </c>
      <c r="C492">
        <v>12084625</v>
      </c>
      <c r="D492">
        <v>8414853</v>
      </c>
      <c r="E492">
        <v>0.34</v>
      </c>
      <c r="F492">
        <v>0</v>
      </c>
      <c r="G492">
        <v>0</v>
      </c>
      <c r="H492">
        <v>1.7204E-3</v>
      </c>
      <c r="I492" t="s">
        <v>176</v>
      </c>
      <c r="J492">
        <v>1.1900000000000001E-2</v>
      </c>
      <c r="K492">
        <v>0.3536204</v>
      </c>
      <c r="L492">
        <v>9.422641154184605E-3</v>
      </c>
      <c r="M492">
        <v>5.653584692510763E-2</v>
      </c>
      <c r="N492">
        <v>0.41015624692510766</v>
      </c>
      <c r="O492" t="s">
        <v>177</v>
      </c>
      <c r="P492">
        <v>2.1217224E-2</v>
      </c>
      <c r="Q492" t="s">
        <v>177</v>
      </c>
      <c r="R492">
        <v>3.392150815506458E-3</v>
      </c>
      <c r="S492" t="s">
        <v>178</v>
      </c>
      <c r="T492">
        <v>4.9218749631012915E-2</v>
      </c>
      <c r="U492">
        <v>0.48398437137162703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4</v>
      </c>
      <c r="AB492">
        <v>1</v>
      </c>
      <c r="AC492">
        <v>0.5</v>
      </c>
      <c r="AD492">
        <v>0.50345253019720215</v>
      </c>
      <c r="AE492">
        <v>10800</v>
      </c>
      <c r="AF492">
        <v>200000</v>
      </c>
      <c r="AG492">
        <v>16666.666666666668</v>
      </c>
      <c r="AH492">
        <v>1</v>
      </c>
      <c r="AI492">
        <v>1</v>
      </c>
      <c r="AJ492" t="s">
        <v>162</v>
      </c>
      <c r="AK492" t="s">
        <v>176</v>
      </c>
      <c r="AL492">
        <v>0</v>
      </c>
      <c r="AM492" t="s">
        <v>176</v>
      </c>
      <c r="AN492">
        <v>0</v>
      </c>
    </row>
    <row r="493" spans="1:40" x14ac:dyDescent="0.15">
      <c r="A493" s="4" t="str">
        <f>HYPERLINK("https://ibp.a2mac1.com/costing(costing:projects/details/9760/process/12084626)","Process")</f>
        <v>Process</v>
      </c>
      <c r="B493" t="s">
        <v>1996</v>
      </c>
      <c r="C493">
        <v>12084626</v>
      </c>
      <c r="D493">
        <v>8414855</v>
      </c>
      <c r="E493">
        <v>0.1</v>
      </c>
      <c r="F493">
        <v>0</v>
      </c>
      <c r="G493">
        <v>0</v>
      </c>
      <c r="H493">
        <v>5.0600000000000005E-4</v>
      </c>
      <c r="I493" t="s">
        <v>176</v>
      </c>
      <c r="J493">
        <v>3.5000000000000001E-3</v>
      </c>
      <c r="K493">
        <v>0.104006</v>
      </c>
      <c r="L493">
        <v>7.6565574225524614E-3</v>
      </c>
      <c r="M493">
        <v>4.5939344535314765E-2</v>
      </c>
      <c r="N493">
        <v>0.14994534453531477</v>
      </c>
      <c r="O493" t="s">
        <v>177</v>
      </c>
      <c r="P493">
        <v>6.2403600000000004E-3</v>
      </c>
      <c r="Q493" t="s">
        <v>177</v>
      </c>
      <c r="R493">
        <v>2.756360672118886E-3</v>
      </c>
      <c r="S493" t="s">
        <v>178</v>
      </c>
      <c r="T493">
        <v>1.7993441344237773E-2</v>
      </c>
      <c r="U493">
        <v>0.17693550655167142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</v>
      </c>
      <c r="AC493">
        <v>0.5</v>
      </c>
      <c r="AD493">
        <v>0.50345253019720215</v>
      </c>
      <c r="AE493">
        <v>10800</v>
      </c>
      <c r="AF493">
        <v>200000</v>
      </c>
      <c r="AG493">
        <v>16666.666666666668</v>
      </c>
      <c r="AH493">
        <v>1</v>
      </c>
      <c r="AI493">
        <v>1</v>
      </c>
      <c r="AJ493" t="s">
        <v>162</v>
      </c>
      <c r="AK493" t="s">
        <v>176</v>
      </c>
      <c r="AL493">
        <v>0</v>
      </c>
      <c r="AM493" t="s">
        <v>176</v>
      </c>
      <c r="AN493">
        <v>0</v>
      </c>
    </row>
    <row r="494" spans="1:40" x14ac:dyDescent="0.15">
      <c r="A494" s="4" t="str">
        <f>HYPERLINK("https://ibp.a2mac1.com/costing(costing:projects/details/9760/process/12084627)","Process")</f>
        <v>Process</v>
      </c>
      <c r="B494" t="s">
        <v>1996</v>
      </c>
      <c r="C494">
        <v>12084627</v>
      </c>
      <c r="D494">
        <v>8414856</v>
      </c>
      <c r="E494">
        <v>7.0000000000000007E-2</v>
      </c>
      <c r="F494">
        <v>0</v>
      </c>
      <c r="G494">
        <v>0</v>
      </c>
      <c r="H494">
        <v>3.5419999999999999E-4</v>
      </c>
      <c r="I494" t="s">
        <v>176</v>
      </c>
      <c r="J494">
        <v>2.4499999999999999E-3</v>
      </c>
      <c r="K494">
        <v>7.2804199999999999E-2</v>
      </c>
      <c r="L494">
        <v>7.6565574225524614E-3</v>
      </c>
      <c r="M494">
        <v>4.5939344535314765E-2</v>
      </c>
      <c r="N494">
        <v>0.11874354453531477</v>
      </c>
      <c r="O494" t="s">
        <v>177</v>
      </c>
      <c r="P494">
        <v>4.3682520000000004E-3</v>
      </c>
      <c r="Q494" t="s">
        <v>177</v>
      </c>
      <c r="R494">
        <v>2.756360672118886E-3</v>
      </c>
      <c r="S494" t="s">
        <v>178</v>
      </c>
      <c r="T494">
        <v>1.4249225344237773E-2</v>
      </c>
      <c r="U494">
        <v>0.14011738255167142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</v>
      </c>
      <c r="AC494">
        <v>0.5</v>
      </c>
      <c r="AD494">
        <v>0.50345253019720215</v>
      </c>
      <c r="AE494">
        <v>10800</v>
      </c>
      <c r="AF494">
        <v>200000</v>
      </c>
      <c r="AG494">
        <v>16666.666666666668</v>
      </c>
      <c r="AH494">
        <v>1</v>
      </c>
      <c r="AI494">
        <v>1</v>
      </c>
      <c r="AJ494" t="s">
        <v>162</v>
      </c>
      <c r="AK494" t="s">
        <v>176</v>
      </c>
      <c r="AL494">
        <v>0</v>
      </c>
      <c r="AM494" t="s">
        <v>176</v>
      </c>
      <c r="AN494">
        <v>0</v>
      </c>
    </row>
    <row r="495" spans="1:40" x14ac:dyDescent="0.15">
      <c r="A495" s="4" t="str">
        <f>HYPERLINK("https://ibp.a2mac1.com/costing(costing:projects/details/9760/process/12084628)","Process")</f>
        <v>Process</v>
      </c>
      <c r="B495" t="s">
        <v>1996</v>
      </c>
      <c r="C495">
        <v>12084628</v>
      </c>
      <c r="D495">
        <v>8414857</v>
      </c>
      <c r="E495">
        <v>0.15</v>
      </c>
      <c r="F495">
        <v>0</v>
      </c>
      <c r="G495">
        <v>0</v>
      </c>
      <c r="H495">
        <v>7.5900000000000002E-4</v>
      </c>
      <c r="I495" t="s">
        <v>176</v>
      </c>
      <c r="J495">
        <v>5.2500000000000003E-3</v>
      </c>
      <c r="K495">
        <v>0.15600900000000001</v>
      </c>
      <c r="L495">
        <v>9.422641154184605E-3</v>
      </c>
      <c r="M495">
        <v>5.653584692510763E-2</v>
      </c>
      <c r="N495">
        <v>0.21254484692510764</v>
      </c>
      <c r="O495" t="s">
        <v>177</v>
      </c>
      <c r="P495">
        <v>9.3605400000000005E-3</v>
      </c>
      <c r="Q495" t="s">
        <v>177</v>
      </c>
      <c r="R495">
        <v>3.392150815506458E-3</v>
      </c>
      <c r="S495" t="s">
        <v>178</v>
      </c>
      <c r="T495">
        <v>2.5505381631012916E-2</v>
      </c>
      <c r="U495">
        <v>0.25080291937162702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</v>
      </c>
      <c r="AB495">
        <v>1</v>
      </c>
      <c r="AC495">
        <v>0.5</v>
      </c>
      <c r="AD495">
        <v>0.50345253019720215</v>
      </c>
      <c r="AE495">
        <v>10800</v>
      </c>
      <c r="AF495">
        <v>200000</v>
      </c>
      <c r="AG495">
        <v>16666.666666666668</v>
      </c>
      <c r="AH495">
        <v>1</v>
      </c>
      <c r="AI495">
        <v>1</v>
      </c>
      <c r="AJ495" t="s">
        <v>162</v>
      </c>
      <c r="AK495" t="s">
        <v>176</v>
      </c>
      <c r="AL495">
        <v>0</v>
      </c>
      <c r="AM495" t="s">
        <v>176</v>
      </c>
      <c r="AN495">
        <v>0</v>
      </c>
    </row>
    <row r="496" spans="1:40" x14ac:dyDescent="0.15">
      <c r="A496" s="4" t="str">
        <f>HYPERLINK("https://ibp.a2mac1.com/costing(costing:projects/details/9760/process/12084629)","Process")</f>
        <v>Process</v>
      </c>
      <c r="B496" t="s">
        <v>1996</v>
      </c>
      <c r="C496">
        <v>12084629</v>
      </c>
      <c r="D496">
        <v>8414858</v>
      </c>
      <c r="E496">
        <v>0.33</v>
      </c>
      <c r="F496">
        <v>0</v>
      </c>
      <c r="G496">
        <v>0</v>
      </c>
      <c r="H496">
        <v>1.6697999999999999E-3</v>
      </c>
      <c r="I496" t="s">
        <v>176</v>
      </c>
      <c r="J496">
        <v>1.155E-2</v>
      </c>
      <c r="K496">
        <v>0.34321980000000002</v>
      </c>
      <c r="L496">
        <v>9.422641154184605E-3</v>
      </c>
      <c r="M496">
        <v>5.653584692510763E-2</v>
      </c>
      <c r="N496">
        <v>0.39975564692510762</v>
      </c>
      <c r="O496" t="s">
        <v>177</v>
      </c>
      <c r="P496">
        <v>2.0593187999999998E-2</v>
      </c>
      <c r="Q496" t="s">
        <v>177</v>
      </c>
      <c r="R496">
        <v>3.392150815506458E-3</v>
      </c>
      <c r="S496" t="s">
        <v>178</v>
      </c>
      <c r="T496">
        <v>4.7970677631012919E-2</v>
      </c>
      <c r="U496">
        <v>0.47171166337162701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4</v>
      </c>
      <c r="AB496">
        <v>1</v>
      </c>
      <c r="AC496">
        <v>0.5</v>
      </c>
      <c r="AD496">
        <v>0.50345253019720215</v>
      </c>
      <c r="AE496">
        <v>10800</v>
      </c>
      <c r="AF496">
        <v>200000</v>
      </c>
      <c r="AG496">
        <v>16666.666666666668</v>
      </c>
      <c r="AH496">
        <v>1</v>
      </c>
      <c r="AI496">
        <v>1</v>
      </c>
      <c r="AJ496" t="s">
        <v>162</v>
      </c>
      <c r="AK496" t="s">
        <v>176</v>
      </c>
      <c r="AL496">
        <v>0</v>
      </c>
      <c r="AM496" t="s">
        <v>176</v>
      </c>
      <c r="AN496">
        <v>0</v>
      </c>
    </row>
    <row r="497" spans="1:40" x14ac:dyDescent="0.15">
      <c r="A497" s="4" t="str">
        <f>HYPERLINK("https://ibp.a2mac1.com/costing(costing:projects/details/9760/process/12084574)","Process")</f>
        <v>Process</v>
      </c>
      <c r="B497" t="s">
        <v>4188</v>
      </c>
      <c r="C497">
        <v>12084574</v>
      </c>
      <c r="D497">
        <v>8414747</v>
      </c>
      <c r="E497">
        <v>3.29</v>
      </c>
      <c r="F497">
        <v>0</v>
      </c>
      <c r="G497">
        <v>0</v>
      </c>
      <c r="H497">
        <v>1.66474E-2</v>
      </c>
      <c r="I497" t="s">
        <v>176</v>
      </c>
      <c r="J497">
        <v>0.11515</v>
      </c>
      <c r="K497">
        <v>3.4217974</v>
      </c>
      <c r="L497">
        <v>0.50392608601118494</v>
      </c>
      <c r="M497">
        <v>3.0235565160671096</v>
      </c>
      <c r="N497">
        <v>6.4453539160671092</v>
      </c>
      <c r="O497" t="s">
        <v>177</v>
      </c>
      <c r="P497">
        <v>0.20530784399999999</v>
      </c>
      <c r="Q497" t="s">
        <v>177</v>
      </c>
      <c r="R497">
        <v>0.18141339096402656</v>
      </c>
      <c r="S497" t="s">
        <v>178</v>
      </c>
      <c r="T497">
        <v>0.7734424699280531</v>
      </c>
      <c r="U497">
        <v>7.6055176209591897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284</v>
      </c>
      <c r="AB497">
        <v>1</v>
      </c>
      <c r="AC497">
        <v>0.5</v>
      </c>
      <c r="AD497">
        <v>0.50345253019720215</v>
      </c>
      <c r="AE497">
        <v>10800</v>
      </c>
      <c r="AF497">
        <v>200000</v>
      </c>
      <c r="AG497">
        <v>16666.666666666668</v>
      </c>
      <c r="AH497">
        <v>1</v>
      </c>
      <c r="AI497">
        <v>1</v>
      </c>
      <c r="AJ497" t="s">
        <v>162</v>
      </c>
      <c r="AK497" t="s">
        <v>176</v>
      </c>
      <c r="AL497">
        <v>0</v>
      </c>
      <c r="AM497" t="s">
        <v>176</v>
      </c>
      <c r="AN497">
        <v>0</v>
      </c>
    </row>
    <row r="498" spans="1:40" x14ac:dyDescent="0.15">
      <c r="A498" s="4" t="str">
        <f>HYPERLINK("https://ibp.a2mac1.com/costing(costing:projects/details/9760/process/12084575)","Process")</f>
        <v>Process</v>
      </c>
      <c r="B498" t="s">
        <v>4188</v>
      </c>
      <c r="C498">
        <v>12084575</v>
      </c>
      <c r="D498">
        <v>8414748</v>
      </c>
      <c r="E498">
        <v>20.99</v>
      </c>
      <c r="F498">
        <v>0</v>
      </c>
      <c r="G498">
        <v>0</v>
      </c>
      <c r="H498">
        <v>0.1062094</v>
      </c>
      <c r="I498" t="s">
        <v>176</v>
      </c>
      <c r="J498">
        <v>0.73465000000000003</v>
      </c>
      <c r="K498">
        <v>21.830859400000001</v>
      </c>
      <c r="L498">
        <v>0.71762221753867439</v>
      </c>
      <c r="M498">
        <v>4.3057333052320459</v>
      </c>
      <c r="N498">
        <v>26.136592705232047</v>
      </c>
      <c r="O498" t="s">
        <v>177</v>
      </c>
      <c r="P498">
        <v>1.3098515639999999</v>
      </c>
      <c r="Q498" t="s">
        <v>177</v>
      </c>
      <c r="R498">
        <v>0.25834399831392274</v>
      </c>
      <c r="S498" t="s">
        <v>178</v>
      </c>
      <c r="T498">
        <v>3.1363911246278455</v>
      </c>
      <c r="U498">
        <v>30.841179392173814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405</v>
      </c>
      <c r="AB498">
        <v>1</v>
      </c>
      <c r="AC498">
        <v>0.5</v>
      </c>
      <c r="AD498">
        <v>0.50345253019720215</v>
      </c>
      <c r="AE498">
        <v>10800</v>
      </c>
      <c r="AF498">
        <v>200000</v>
      </c>
      <c r="AG498">
        <v>16666.666666666668</v>
      </c>
      <c r="AH498">
        <v>1</v>
      </c>
      <c r="AI498">
        <v>1</v>
      </c>
      <c r="AJ498" t="s">
        <v>162</v>
      </c>
      <c r="AK498" t="s">
        <v>176</v>
      </c>
      <c r="AL498">
        <v>0</v>
      </c>
      <c r="AM498" t="s">
        <v>176</v>
      </c>
      <c r="AN498">
        <v>0</v>
      </c>
    </row>
    <row r="499" spans="1:40" x14ac:dyDescent="0.15">
      <c r="A499" s="4" t="str">
        <f>HYPERLINK("https://ibp.a2mac1.com/costing(costing:projects/details/9760/process/12084576)","Process")</f>
        <v>Process</v>
      </c>
      <c r="B499" t="s">
        <v>1996</v>
      </c>
      <c r="C499">
        <v>12084576</v>
      </c>
      <c r="D499">
        <v>8414749</v>
      </c>
      <c r="E499">
        <v>0.05</v>
      </c>
      <c r="F499">
        <v>0</v>
      </c>
      <c r="G499">
        <v>0</v>
      </c>
      <c r="H499">
        <v>2.5300000000000002E-4</v>
      </c>
      <c r="I499" t="s">
        <v>176</v>
      </c>
      <c r="J499">
        <v>1.75E-3</v>
      </c>
      <c r="K499">
        <v>5.2003000000000001E-2</v>
      </c>
      <c r="L499">
        <v>7.6565574225524614E-3</v>
      </c>
      <c r="M499">
        <v>4.5939344535314765E-2</v>
      </c>
      <c r="N499">
        <v>9.7942344535314765E-2</v>
      </c>
      <c r="O499" t="s">
        <v>177</v>
      </c>
      <c r="P499">
        <v>3.1201800000000002E-3</v>
      </c>
      <c r="Q499" t="s">
        <v>177</v>
      </c>
      <c r="R499">
        <v>2.756360672118886E-3</v>
      </c>
      <c r="S499" t="s">
        <v>178</v>
      </c>
      <c r="T499">
        <v>1.1753081344237772E-2</v>
      </c>
      <c r="U499">
        <v>0.11557196655167143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</v>
      </c>
      <c r="AC499">
        <v>0.5</v>
      </c>
      <c r="AD499">
        <v>0.50345253019720215</v>
      </c>
      <c r="AE499">
        <v>10800</v>
      </c>
      <c r="AF499">
        <v>200000</v>
      </c>
      <c r="AG499">
        <v>16666.666666666668</v>
      </c>
      <c r="AH499">
        <v>1</v>
      </c>
      <c r="AI499">
        <v>1</v>
      </c>
      <c r="AJ499" t="s">
        <v>162</v>
      </c>
      <c r="AK499" t="s">
        <v>176</v>
      </c>
      <c r="AL499">
        <v>0</v>
      </c>
      <c r="AM499" t="s">
        <v>176</v>
      </c>
      <c r="AN499">
        <v>0</v>
      </c>
    </row>
    <row r="500" spans="1:40" x14ac:dyDescent="0.15">
      <c r="A500" s="4" t="str">
        <f>HYPERLINK("https://ibp.a2mac1.com/costing(costing:projects/details/9760/process/12084577)","Process")</f>
        <v>Process</v>
      </c>
      <c r="B500" t="s">
        <v>1996</v>
      </c>
      <c r="C500">
        <v>12084577</v>
      </c>
      <c r="D500">
        <v>8414750</v>
      </c>
      <c r="E500">
        <v>0.06</v>
      </c>
      <c r="F500">
        <v>0</v>
      </c>
      <c r="G500">
        <v>0</v>
      </c>
      <c r="H500">
        <v>3.0360000000000001E-4</v>
      </c>
      <c r="I500" t="s">
        <v>176</v>
      </c>
      <c r="J500">
        <v>2.0999999999999999E-3</v>
      </c>
      <c r="K500">
        <v>6.2403599999999997E-2</v>
      </c>
      <c r="L500">
        <v>7.6565574225524614E-3</v>
      </c>
      <c r="M500">
        <v>4.5939344535314765E-2</v>
      </c>
      <c r="N500">
        <v>0.10834294453531476</v>
      </c>
      <c r="O500" t="s">
        <v>177</v>
      </c>
      <c r="P500">
        <v>3.7442159999999999E-3</v>
      </c>
      <c r="Q500" t="s">
        <v>177</v>
      </c>
      <c r="R500">
        <v>2.756360672118886E-3</v>
      </c>
      <c r="S500" t="s">
        <v>178</v>
      </c>
      <c r="T500">
        <v>1.3001153344237772E-2</v>
      </c>
      <c r="U500">
        <v>0.12784467455167142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</v>
      </c>
      <c r="AC500">
        <v>0.5</v>
      </c>
      <c r="AD500">
        <v>0.50345253019720215</v>
      </c>
      <c r="AE500">
        <v>10800</v>
      </c>
      <c r="AF500">
        <v>200000</v>
      </c>
      <c r="AG500">
        <v>16666.666666666668</v>
      </c>
      <c r="AH500">
        <v>1</v>
      </c>
      <c r="AI500">
        <v>1</v>
      </c>
      <c r="AJ500" t="s">
        <v>162</v>
      </c>
      <c r="AK500" t="s">
        <v>176</v>
      </c>
      <c r="AL500">
        <v>0</v>
      </c>
      <c r="AM500" t="s">
        <v>176</v>
      </c>
      <c r="AN500">
        <v>0</v>
      </c>
    </row>
    <row r="501" spans="1:40" x14ac:dyDescent="0.15">
      <c r="A501" s="4" t="str">
        <f>HYPERLINK("https://ibp.a2mac1.com/costing(costing:projects/details/9760/process/12084578)","Process")</f>
        <v>Process</v>
      </c>
      <c r="B501" t="s">
        <v>1996</v>
      </c>
      <c r="C501">
        <v>12084578</v>
      </c>
      <c r="D501">
        <v>8414751</v>
      </c>
      <c r="E501">
        <v>0.02</v>
      </c>
      <c r="F501">
        <v>0</v>
      </c>
      <c r="G501">
        <v>0</v>
      </c>
      <c r="H501">
        <v>1.0119999999999999E-4</v>
      </c>
      <c r="I501" t="s">
        <v>176</v>
      </c>
      <c r="J501">
        <v>6.9999999999999999E-4</v>
      </c>
      <c r="K501">
        <v>2.0801199999999999E-2</v>
      </c>
      <c r="L501">
        <v>7.6565574225524614E-3</v>
      </c>
      <c r="M501">
        <v>4.5939344535314765E-2</v>
      </c>
      <c r="N501">
        <v>6.6740544535314764E-2</v>
      </c>
      <c r="O501" t="s">
        <v>177</v>
      </c>
      <c r="P501">
        <v>1.248072E-3</v>
      </c>
      <c r="Q501" t="s">
        <v>177</v>
      </c>
      <c r="R501">
        <v>2.756360672118886E-3</v>
      </c>
      <c r="S501" t="s">
        <v>178</v>
      </c>
      <c r="T501">
        <v>8.0088653442377724E-3</v>
      </c>
      <c r="U501">
        <v>7.8753842551671421E-2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</v>
      </c>
      <c r="AC501">
        <v>0.5</v>
      </c>
      <c r="AD501">
        <v>0.50345253019720215</v>
      </c>
      <c r="AE501">
        <v>10800</v>
      </c>
      <c r="AF501">
        <v>200000</v>
      </c>
      <c r="AG501">
        <v>16666.666666666668</v>
      </c>
      <c r="AH501">
        <v>1</v>
      </c>
      <c r="AI501">
        <v>1</v>
      </c>
      <c r="AJ501" t="s">
        <v>162</v>
      </c>
      <c r="AK501" t="s">
        <v>176</v>
      </c>
      <c r="AL501">
        <v>0</v>
      </c>
      <c r="AM501" t="s">
        <v>176</v>
      </c>
      <c r="AN501">
        <v>0</v>
      </c>
    </row>
    <row r="502" spans="1:40" x14ac:dyDescent="0.15">
      <c r="A502" s="4" t="str">
        <f>HYPERLINK("https://ibp.a2mac1.com/costing(costing:projects/details/9760/process/12084579)","Process")</f>
        <v>Process</v>
      </c>
      <c r="B502" t="s">
        <v>1996</v>
      </c>
      <c r="C502">
        <v>12084579</v>
      </c>
      <c r="D502">
        <v>8414752</v>
      </c>
      <c r="E502">
        <v>0.17</v>
      </c>
      <c r="F502">
        <v>0</v>
      </c>
      <c r="G502">
        <v>0</v>
      </c>
      <c r="H502">
        <v>8.6019999999999998E-4</v>
      </c>
      <c r="I502" t="s">
        <v>176</v>
      </c>
      <c r="J502">
        <v>5.9500000000000004E-3</v>
      </c>
      <c r="K502">
        <v>0.1768102</v>
      </c>
      <c r="L502">
        <v>9.422641154184605E-3</v>
      </c>
      <c r="M502">
        <v>5.653584692510763E-2</v>
      </c>
      <c r="N502">
        <v>0.23334604692510763</v>
      </c>
      <c r="O502" t="s">
        <v>177</v>
      </c>
      <c r="P502">
        <v>1.0608612E-2</v>
      </c>
      <c r="Q502" t="s">
        <v>177</v>
      </c>
      <c r="R502">
        <v>3.392150815506458E-3</v>
      </c>
      <c r="S502" t="s">
        <v>178</v>
      </c>
      <c r="T502">
        <v>2.8001525631012915E-2</v>
      </c>
      <c r="U502">
        <v>0.27534833537162701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4</v>
      </c>
      <c r="AB502">
        <v>1</v>
      </c>
      <c r="AC502">
        <v>0.5</v>
      </c>
      <c r="AD502">
        <v>0.50345253019720215</v>
      </c>
      <c r="AE502">
        <v>10800</v>
      </c>
      <c r="AF502">
        <v>200000</v>
      </c>
      <c r="AG502">
        <v>16666.666666666668</v>
      </c>
      <c r="AH502">
        <v>1</v>
      </c>
      <c r="AI502">
        <v>1</v>
      </c>
      <c r="AJ502" t="s">
        <v>162</v>
      </c>
      <c r="AK502" t="s">
        <v>176</v>
      </c>
      <c r="AL502">
        <v>0</v>
      </c>
      <c r="AM502" t="s">
        <v>176</v>
      </c>
      <c r="AN502">
        <v>0</v>
      </c>
    </row>
    <row r="503" spans="1:40" x14ac:dyDescent="0.15">
      <c r="A503" s="4" t="str">
        <f>HYPERLINK("https://ibp.a2mac1.com/costing(costing:projects/details/9760/process/12084580)","Process")</f>
        <v>Process</v>
      </c>
      <c r="B503" t="s">
        <v>1996</v>
      </c>
      <c r="C503">
        <v>12084580</v>
      </c>
      <c r="D503">
        <v>8414755</v>
      </c>
      <c r="E503">
        <v>7.0000000000000007E-2</v>
      </c>
      <c r="F503">
        <v>0</v>
      </c>
      <c r="G503">
        <v>0</v>
      </c>
      <c r="H503">
        <v>3.5419999999999999E-4</v>
      </c>
      <c r="I503" t="s">
        <v>176</v>
      </c>
      <c r="J503">
        <v>2.4499999999999999E-3</v>
      </c>
      <c r="K503">
        <v>7.2804199999999999E-2</v>
      </c>
      <c r="L503">
        <v>7.6565574225524614E-3</v>
      </c>
      <c r="M503">
        <v>4.5939344535314765E-2</v>
      </c>
      <c r="N503">
        <v>0.11874354453531477</v>
      </c>
      <c r="O503" t="s">
        <v>177</v>
      </c>
      <c r="P503">
        <v>4.3682520000000004E-3</v>
      </c>
      <c r="Q503" t="s">
        <v>177</v>
      </c>
      <c r="R503">
        <v>2.756360672118886E-3</v>
      </c>
      <c r="S503" t="s">
        <v>178</v>
      </c>
      <c r="T503">
        <v>1.4249225344237773E-2</v>
      </c>
      <c r="U503">
        <v>0.14011738255167142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</v>
      </c>
      <c r="AC503">
        <v>0.5</v>
      </c>
      <c r="AD503">
        <v>0.50345253019720215</v>
      </c>
      <c r="AE503">
        <v>10800</v>
      </c>
      <c r="AF503">
        <v>200000</v>
      </c>
      <c r="AG503">
        <v>16666.666666666668</v>
      </c>
      <c r="AH503">
        <v>1</v>
      </c>
      <c r="AI503">
        <v>1</v>
      </c>
      <c r="AJ503" t="s">
        <v>162</v>
      </c>
      <c r="AK503" t="s">
        <v>176</v>
      </c>
      <c r="AL503">
        <v>0</v>
      </c>
      <c r="AM503" t="s">
        <v>176</v>
      </c>
      <c r="AN503">
        <v>0</v>
      </c>
    </row>
    <row r="504" spans="1:40" x14ac:dyDescent="0.15">
      <c r="A504" s="4" t="str">
        <f>HYPERLINK("https://ibp.a2mac1.com/costing(costing:projects/details/9760/process/12084581)","Process")</f>
        <v>Process</v>
      </c>
      <c r="B504" t="s">
        <v>1996</v>
      </c>
      <c r="C504">
        <v>12084581</v>
      </c>
      <c r="D504">
        <v>8414756</v>
      </c>
      <c r="E504">
        <v>0.28000000000000003</v>
      </c>
      <c r="F504">
        <v>0</v>
      </c>
      <c r="G504">
        <v>0</v>
      </c>
      <c r="H504">
        <v>1.4168E-3</v>
      </c>
      <c r="I504" t="s">
        <v>176</v>
      </c>
      <c r="J504">
        <v>9.7999999999999997E-3</v>
      </c>
      <c r="K504">
        <v>0.2912168</v>
      </c>
      <c r="L504">
        <v>9.422641154184605E-3</v>
      </c>
      <c r="M504">
        <v>5.653584692510763E-2</v>
      </c>
      <c r="N504">
        <v>0.34775264692510766</v>
      </c>
      <c r="O504" t="s">
        <v>177</v>
      </c>
      <c r="P504">
        <v>1.7473008000000002E-2</v>
      </c>
      <c r="Q504" t="s">
        <v>177</v>
      </c>
      <c r="R504">
        <v>3.392150815506458E-3</v>
      </c>
      <c r="S504" t="s">
        <v>178</v>
      </c>
      <c r="T504">
        <v>4.1730317631012918E-2</v>
      </c>
      <c r="U504">
        <v>0.41034812337162702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4</v>
      </c>
      <c r="AB504">
        <v>1</v>
      </c>
      <c r="AC504">
        <v>0.5</v>
      </c>
      <c r="AD504">
        <v>0.50345253019720215</v>
      </c>
      <c r="AE504">
        <v>10800</v>
      </c>
      <c r="AF504">
        <v>200000</v>
      </c>
      <c r="AG504">
        <v>16666.666666666668</v>
      </c>
      <c r="AH504">
        <v>1</v>
      </c>
      <c r="AI504">
        <v>1</v>
      </c>
      <c r="AJ504" t="s">
        <v>162</v>
      </c>
      <c r="AK504" t="s">
        <v>176</v>
      </c>
      <c r="AL504">
        <v>0</v>
      </c>
      <c r="AM504" t="s">
        <v>176</v>
      </c>
      <c r="AN504">
        <v>0</v>
      </c>
    </row>
    <row r="505" spans="1:40" x14ac:dyDescent="0.15">
      <c r="A505" s="4" t="str">
        <f>HYPERLINK("https://ibp.a2mac1.com/costing(costing:projects/details/9760/process/12084582)","Process")</f>
        <v>Process</v>
      </c>
      <c r="B505" t="s">
        <v>1996</v>
      </c>
      <c r="C505">
        <v>12084582</v>
      </c>
      <c r="D505">
        <v>8414757</v>
      </c>
      <c r="E505">
        <v>0.2</v>
      </c>
      <c r="F505">
        <v>0</v>
      </c>
      <c r="G505">
        <v>0</v>
      </c>
      <c r="H505">
        <v>1.0120000000000001E-3</v>
      </c>
      <c r="I505" t="s">
        <v>176</v>
      </c>
      <c r="J505">
        <v>7.0000000000000001E-3</v>
      </c>
      <c r="K505">
        <v>0.208012</v>
      </c>
      <c r="L505">
        <v>9.422641154184605E-3</v>
      </c>
      <c r="M505">
        <v>5.653584692510763E-2</v>
      </c>
      <c r="N505">
        <v>0.26454784692510763</v>
      </c>
      <c r="O505" t="s">
        <v>177</v>
      </c>
      <c r="P505">
        <v>1.2480720000000001E-2</v>
      </c>
      <c r="Q505" t="s">
        <v>177</v>
      </c>
      <c r="R505">
        <v>3.392150815506458E-3</v>
      </c>
      <c r="S505" t="s">
        <v>178</v>
      </c>
      <c r="T505">
        <v>3.1745741631012916E-2</v>
      </c>
      <c r="U505">
        <v>0.31216645937162701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4</v>
      </c>
      <c r="AB505">
        <v>1</v>
      </c>
      <c r="AC505">
        <v>0.5</v>
      </c>
      <c r="AD505">
        <v>0.50345253019720215</v>
      </c>
      <c r="AE505">
        <v>10800</v>
      </c>
      <c r="AF505">
        <v>200000</v>
      </c>
      <c r="AG505">
        <v>16666.666666666668</v>
      </c>
      <c r="AH505">
        <v>1</v>
      </c>
      <c r="AI505">
        <v>1</v>
      </c>
      <c r="AJ505" t="s">
        <v>162</v>
      </c>
      <c r="AK505" t="s">
        <v>176</v>
      </c>
      <c r="AL505">
        <v>0</v>
      </c>
      <c r="AM505" t="s">
        <v>176</v>
      </c>
      <c r="AN505">
        <v>0</v>
      </c>
    </row>
    <row r="506" spans="1:40" x14ac:dyDescent="0.15">
      <c r="A506" s="4" t="str">
        <f>HYPERLINK("https://ibp.a2mac1.com/costing(costing:projects/details/9760/process/12084583)","Process")</f>
        <v>Process</v>
      </c>
      <c r="B506" t="s">
        <v>4220</v>
      </c>
      <c r="C506">
        <v>12084583</v>
      </c>
      <c r="D506">
        <v>8414758</v>
      </c>
      <c r="E506">
        <v>1.63</v>
      </c>
      <c r="F506">
        <v>0</v>
      </c>
      <c r="G506">
        <v>0</v>
      </c>
      <c r="H506">
        <v>8.2477999999999996E-3</v>
      </c>
      <c r="I506" t="s">
        <v>176</v>
      </c>
      <c r="J506">
        <v>5.7049999999999997E-2</v>
      </c>
      <c r="K506">
        <v>1.6952978000000001</v>
      </c>
      <c r="L506">
        <v>0.25137611238778834</v>
      </c>
      <c r="M506">
        <v>1.5082566743267301</v>
      </c>
      <c r="N506">
        <v>3.2035544743267299</v>
      </c>
      <c r="O506" t="s">
        <v>177</v>
      </c>
      <c r="P506">
        <v>0.101717868</v>
      </c>
      <c r="Q506" t="s">
        <v>177</v>
      </c>
      <c r="R506">
        <v>9.0495400459603803E-2</v>
      </c>
      <c r="S506" t="s">
        <v>178</v>
      </c>
      <c r="T506">
        <v>0.38442653691920758</v>
      </c>
      <c r="U506">
        <v>3.7801942797055412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141</v>
      </c>
      <c r="AB506">
        <v>1</v>
      </c>
      <c r="AC506">
        <v>0.5</v>
      </c>
      <c r="AD506">
        <v>0.50345253019720215</v>
      </c>
      <c r="AE506">
        <v>10800</v>
      </c>
      <c r="AF506">
        <v>200000</v>
      </c>
      <c r="AG506">
        <v>16666.666666666668</v>
      </c>
      <c r="AH506">
        <v>1</v>
      </c>
      <c r="AI506">
        <v>1</v>
      </c>
      <c r="AJ506" t="s">
        <v>162</v>
      </c>
      <c r="AK506" t="s">
        <v>176</v>
      </c>
      <c r="AL506">
        <v>0</v>
      </c>
      <c r="AM506" t="s">
        <v>176</v>
      </c>
      <c r="AN506">
        <v>0</v>
      </c>
    </row>
    <row r="507" spans="1:40" x14ac:dyDescent="0.15">
      <c r="A507" s="4" t="str">
        <f>HYPERLINK("https://ibp.a2mac1.com/costing(costing:projects/details/9760/process/12084584)","Process")</f>
        <v>Process</v>
      </c>
      <c r="B507" t="s">
        <v>1996</v>
      </c>
      <c r="C507">
        <v>12084584</v>
      </c>
      <c r="D507">
        <v>8414759</v>
      </c>
      <c r="E507">
        <v>0.08</v>
      </c>
      <c r="F507">
        <v>0</v>
      </c>
      <c r="G507">
        <v>0</v>
      </c>
      <c r="H507">
        <v>4.0479999999999997E-4</v>
      </c>
      <c r="I507" t="s">
        <v>176</v>
      </c>
      <c r="J507">
        <v>2.8E-3</v>
      </c>
      <c r="K507">
        <v>8.3204799999999995E-2</v>
      </c>
      <c r="L507">
        <v>7.6565574225524614E-3</v>
      </c>
      <c r="M507">
        <v>4.5939344535314765E-2</v>
      </c>
      <c r="N507">
        <v>0.12914414453531478</v>
      </c>
      <c r="O507" t="s">
        <v>177</v>
      </c>
      <c r="P507">
        <v>4.9922880000000001E-3</v>
      </c>
      <c r="Q507" t="s">
        <v>177</v>
      </c>
      <c r="R507">
        <v>2.756360672118886E-3</v>
      </c>
      <c r="S507" t="s">
        <v>178</v>
      </c>
      <c r="T507">
        <v>1.5497297344237772E-2</v>
      </c>
      <c r="U507">
        <v>0.15239009055167144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</v>
      </c>
      <c r="AC507">
        <v>0.5</v>
      </c>
      <c r="AD507">
        <v>0.50345253019720215</v>
      </c>
      <c r="AE507">
        <v>10800</v>
      </c>
      <c r="AF507">
        <v>200000</v>
      </c>
      <c r="AG507">
        <v>16666.666666666668</v>
      </c>
      <c r="AH507">
        <v>1</v>
      </c>
      <c r="AI507">
        <v>1</v>
      </c>
      <c r="AJ507" t="s">
        <v>162</v>
      </c>
      <c r="AK507" t="s">
        <v>176</v>
      </c>
      <c r="AL507">
        <v>0</v>
      </c>
      <c r="AM507" t="s">
        <v>176</v>
      </c>
      <c r="AN507">
        <v>0</v>
      </c>
    </row>
    <row r="508" spans="1:40" x14ac:dyDescent="0.15">
      <c r="A508" s="4" t="str">
        <f>HYPERLINK("https://ibp.a2mac1.com/costing(costing:projects/details/9760/process/12084585)","Process")</f>
        <v>Process</v>
      </c>
      <c r="B508" t="s">
        <v>1996</v>
      </c>
      <c r="C508">
        <v>12084585</v>
      </c>
      <c r="D508">
        <v>8414760</v>
      </c>
      <c r="E508">
        <v>0.08</v>
      </c>
      <c r="F508">
        <v>0</v>
      </c>
      <c r="G508">
        <v>0</v>
      </c>
      <c r="H508">
        <v>4.0479999999999997E-4</v>
      </c>
      <c r="I508" t="s">
        <v>176</v>
      </c>
      <c r="J508">
        <v>2.8E-3</v>
      </c>
      <c r="K508">
        <v>8.3204799999999995E-2</v>
      </c>
      <c r="L508">
        <v>7.6565574225524614E-3</v>
      </c>
      <c r="M508">
        <v>4.5939344535314765E-2</v>
      </c>
      <c r="N508">
        <v>0.12914414453531478</v>
      </c>
      <c r="O508" t="s">
        <v>177</v>
      </c>
      <c r="P508">
        <v>4.9922880000000001E-3</v>
      </c>
      <c r="Q508" t="s">
        <v>177</v>
      </c>
      <c r="R508">
        <v>2.756360672118886E-3</v>
      </c>
      <c r="S508" t="s">
        <v>178</v>
      </c>
      <c r="T508">
        <v>1.5497297344237772E-2</v>
      </c>
      <c r="U508">
        <v>0.15239009055167144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</v>
      </c>
      <c r="AC508">
        <v>0.5</v>
      </c>
      <c r="AD508">
        <v>0.50345253019720215</v>
      </c>
      <c r="AE508">
        <v>10800</v>
      </c>
      <c r="AF508">
        <v>200000</v>
      </c>
      <c r="AG508">
        <v>16666.666666666668</v>
      </c>
      <c r="AH508">
        <v>1</v>
      </c>
      <c r="AI508">
        <v>1</v>
      </c>
      <c r="AJ508" t="s">
        <v>162</v>
      </c>
      <c r="AK508" t="s">
        <v>176</v>
      </c>
      <c r="AL508">
        <v>0</v>
      </c>
      <c r="AM508" t="s">
        <v>176</v>
      </c>
      <c r="AN508">
        <v>0</v>
      </c>
    </row>
    <row r="509" spans="1:40" x14ac:dyDescent="0.15">
      <c r="A509" s="4" t="str">
        <f>HYPERLINK("https://ibp.a2mac1.com/costing(costing:projects/details/9760/process/12084630)","Automated Process")</f>
        <v>Automated Process</v>
      </c>
      <c r="B509" t="s">
        <v>4235</v>
      </c>
      <c r="C509">
        <v>12084630</v>
      </c>
      <c r="D509">
        <v>8414859</v>
      </c>
      <c r="E509">
        <v>1.948676415</v>
      </c>
      <c r="F509">
        <v>0</v>
      </c>
      <c r="G509">
        <v>0</v>
      </c>
      <c r="H509">
        <v>9.8850151978947375E-3</v>
      </c>
      <c r="I509" t="s">
        <v>176</v>
      </c>
      <c r="J509">
        <v>6.8374611052631581E-2</v>
      </c>
      <c r="K509">
        <v>2.0269360412505262</v>
      </c>
      <c r="L509">
        <v>0.27963345209390261</v>
      </c>
      <c r="M509">
        <v>1.6778007125634158</v>
      </c>
      <c r="N509">
        <v>3.704736753813942</v>
      </c>
      <c r="O509" t="s">
        <v>90</v>
      </c>
      <c r="P509">
        <v>0</v>
      </c>
      <c r="Q509" t="s">
        <v>90</v>
      </c>
      <c r="R509">
        <v>0</v>
      </c>
      <c r="S509" t="s">
        <v>90</v>
      </c>
      <c r="T509">
        <v>0</v>
      </c>
      <c r="U509">
        <v>3.704736753813942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157</v>
      </c>
      <c r="AB509">
        <v>1</v>
      </c>
      <c r="AC509">
        <v>0.5</v>
      </c>
      <c r="AD509">
        <v>0.50345253019720215</v>
      </c>
      <c r="AE509">
        <v>10800</v>
      </c>
      <c r="AF509">
        <v>200000</v>
      </c>
      <c r="AG509">
        <v>16666.666666666668</v>
      </c>
      <c r="AH509">
        <v>1</v>
      </c>
      <c r="AI509">
        <v>1</v>
      </c>
      <c r="AJ509" t="s">
        <v>162</v>
      </c>
      <c r="AK509" t="s">
        <v>176</v>
      </c>
      <c r="AL509">
        <v>0</v>
      </c>
      <c r="AM509" t="s">
        <v>176</v>
      </c>
      <c r="AN509">
        <v>0</v>
      </c>
    </row>
    <row r="510" spans="1:40" x14ac:dyDescent="0.15">
      <c r="A510" s="4" t="str">
        <f>HYPERLINK("https://ibp.a2mac1.com/costing(costing:projects/details/9760/process/12084631)","Automated Process")</f>
        <v>Automated Process</v>
      </c>
      <c r="B510" t="s">
        <v>4235</v>
      </c>
      <c r="C510">
        <v>12084631</v>
      </c>
      <c r="D510">
        <v>8414860</v>
      </c>
      <c r="E510">
        <v>0.50563296000000002</v>
      </c>
      <c r="F510">
        <v>0</v>
      </c>
      <c r="G510">
        <v>0</v>
      </c>
      <c r="H510">
        <v>2.5649150652631578E-3</v>
      </c>
      <c r="I510" t="s">
        <v>176</v>
      </c>
      <c r="J510">
        <v>1.7741507368421054E-2</v>
      </c>
      <c r="K510">
        <v>0.52593938243368421</v>
      </c>
      <c r="L510">
        <v>0.14894325595312399</v>
      </c>
      <c r="M510">
        <v>0.8936595357187439</v>
      </c>
      <c r="N510">
        <v>1.419598918152428</v>
      </c>
      <c r="O510" t="s">
        <v>90</v>
      </c>
      <c r="P510">
        <v>0</v>
      </c>
      <c r="Q510" t="s">
        <v>90</v>
      </c>
      <c r="R510">
        <v>0</v>
      </c>
      <c r="S510" t="s">
        <v>90</v>
      </c>
      <c r="T510">
        <v>0</v>
      </c>
      <c r="U510">
        <v>1.419598918152428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83</v>
      </c>
      <c r="AB510">
        <v>1</v>
      </c>
      <c r="AC510">
        <v>0.5</v>
      </c>
      <c r="AD510">
        <v>0.50345253019720215</v>
      </c>
      <c r="AE510">
        <v>10800</v>
      </c>
      <c r="AF510">
        <v>200000</v>
      </c>
      <c r="AG510">
        <v>16666.666666666668</v>
      </c>
      <c r="AH510">
        <v>1</v>
      </c>
      <c r="AI510">
        <v>1</v>
      </c>
      <c r="AJ510" t="s">
        <v>162</v>
      </c>
      <c r="AK510" t="s">
        <v>176</v>
      </c>
      <c r="AL510">
        <v>0</v>
      </c>
      <c r="AM510" t="s">
        <v>176</v>
      </c>
      <c r="AN510">
        <v>0</v>
      </c>
    </row>
    <row r="511" spans="1:40" x14ac:dyDescent="0.15">
      <c r="A511" s="4" t="str">
        <f>HYPERLINK("https://ibp.a2mac1.com/costing(costing:projects/details/9760/process/12084632)","Automated Process")</f>
        <v>Automated Process</v>
      </c>
      <c r="B511" t="s">
        <v>4246</v>
      </c>
      <c r="C511">
        <v>12084632</v>
      </c>
      <c r="D511">
        <v>8414861</v>
      </c>
      <c r="E511">
        <v>0.12520435199999999</v>
      </c>
      <c r="F511">
        <v>0</v>
      </c>
      <c r="G511">
        <v>0</v>
      </c>
      <c r="H511">
        <v>6.3512182568421056E-4</v>
      </c>
      <c r="I511" t="s">
        <v>176</v>
      </c>
      <c r="J511">
        <v>4.3931351578947366E-3</v>
      </c>
      <c r="K511">
        <v>0.13023260898357894</v>
      </c>
      <c r="L511">
        <v>0.23548135880309903</v>
      </c>
      <c r="M511">
        <v>1.4128881528185941</v>
      </c>
      <c r="N511">
        <v>1.5431207618021732</v>
      </c>
      <c r="O511" t="s">
        <v>177</v>
      </c>
      <c r="P511">
        <v>7.813956539014736E-3</v>
      </c>
      <c r="Q511" t="s">
        <v>177</v>
      </c>
      <c r="R511">
        <v>8.4773289169115654E-2</v>
      </c>
      <c r="S511" t="s">
        <v>178</v>
      </c>
      <c r="T511">
        <v>0.18517449141626077</v>
      </c>
      <c r="U511">
        <v>1.8208824989265644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132</v>
      </c>
      <c r="AB511">
        <v>1</v>
      </c>
      <c r="AC511">
        <v>0.5</v>
      </c>
      <c r="AD511">
        <v>0.50345253019720215</v>
      </c>
      <c r="AE511">
        <v>10800</v>
      </c>
      <c r="AF511">
        <v>200000</v>
      </c>
      <c r="AG511">
        <v>16666.666666666668</v>
      </c>
      <c r="AH511">
        <v>1</v>
      </c>
      <c r="AI511">
        <v>1</v>
      </c>
      <c r="AJ511" t="s">
        <v>162</v>
      </c>
      <c r="AK511" t="s">
        <v>176</v>
      </c>
      <c r="AL511">
        <v>0</v>
      </c>
      <c r="AM511" t="s">
        <v>176</v>
      </c>
      <c r="AN511">
        <v>0</v>
      </c>
    </row>
    <row r="512" spans="1:40" x14ac:dyDescent="0.15">
      <c r="A512" s="4" t="str">
        <f>HYPERLINK("https://ibp.a2mac1.com/costing(costing:projects/details/9760/process/12084633)","Automated Process")</f>
        <v>Automated Process</v>
      </c>
      <c r="B512" t="s">
        <v>4254</v>
      </c>
      <c r="C512">
        <v>12084633</v>
      </c>
      <c r="D512">
        <v>8414862</v>
      </c>
      <c r="E512">
        <v>0.80391473723076923</v>
      </c>
      <c r="F512">
        <v>0</v>
      </c>
      <c r="G512">
        <v>0</v>
      </c>
      <c r="H512">
        <v>4.0759918708340084E-3</v>
      </c>
      <c r="I512" t="s">
        <v>176</v>
      </c>
      <c r="J512">
        <v>2.8193619659919029E-2</v>
      </c>
      <c r="K512">
        <v>0.83618434876152226</v>
      </c>
      <c r="L512">
        <v>0.15777367461128469</v>
      </c>
      <c r="M512">
        <v>0.94664204766770821</v>
      </c>
      <c r="N512">
        <v>1.7828263964292306</v>
      </c>
      <c r="O512" t="s">
        <v>90</v>
      </c>
      <c r="P512">
        <v>0</v>
      </c>
      <c r="Q512" t="s">
        <v>90</v>
      </c>
      <c r="R512">
        <v>0</v>
      </c>
      <c r="S512" t="s">
        <v>90</v>
      </c>
      <c r="T512">
        <v>0</v>
      </c>
      <c r="U512">
        <v>1.7828263964292306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88</v>
      </c>
      <c r="AB512">
        <v>1</v>
      </c>
      <c r="AC512">
        <v>0.5</v>
      </c>
      <c r="AD512">
        <v>0.50345253019720215</v>
      </c>
      <c r="AE512">
        <v>10800</v>
      </c>
      <c r="AF512">
        <v>200000</v>
      </c>
      <c r="AG512">
        <v>16666.666666666668</v>
      </c>
      <c r="AH512">
        <v>1</v>
      </c>
      <c r="AI512">
        <v>1</v>
      </c>
      <c r="AJ512" t="s">
        <v>162</v>
      </c>
      <c r="AK512" t="s">
        <v>176</v>
      </c>
      <c r="AL512">
        <v>0</v>
      </c>
      <c r="AM512" t="s">
        <v>176</v>
      </c>
      <c r="AN512">
        <v>0</v>
      </c>
    </row>
    <row r="513" spans="1:40" x14ac:dyDescent="0.15">
      <c r="A513" s="4" t="str">
        <f>HYPERLINK("https://ibp.a2mac1.com/costing(costing:projects/details/9760/process/12084634)","Automated Process")</f>
        <v>Automated Process</v>
      </c>
      <c r="B513" t="s">
        <v>4235</v>
      </c>
      <c r="C513">
        <v>12084634</v>
      </c>
      <c r="D513">
        <v>8414863</v>
      </c>
      <c r="E513">
        <v>0.85062114899999997</v>
      </c>
      <c r="F513">
        <v>0</v>
      </c>
      <c r="G513">
        <v>0</v>
      </c>
      <c r="H513">
        <v>4.3149303397894733E-3</v>
      </c>
      <c r="I513" t="s">
        <v>176</v>
      </c>
      <c r="J513">
        <v>2.9846356105263157E-2</v>
      </c>
      <c r="K513">
        <v>0.88478243544505264</v>
      </c>
      <c r="L513">
        <v>0.11891983251537754</v>
      </c>
      <c r="M513">
        <v>0.71351899509226524</v>
      </c>
      <c r="N513">
        <v>1.5983014305373178</v>
      </c>
      <c r="O513" t="s">
        <v>90</v>
      </c>
      <c r="P513">
        <v>0</v>
      </c>
      <c r="Q513" t="s">
        <v>90</v>
      </c>
      <c r="R513">
        <v>0</v>
      </c>
      <c r="S513" t="s">
        <v>90</v>
      </c>
      <c r="T513">
        <v>0</v>
      </c>
      <c r="U513">
        <v>1.5983014305373178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66</v>
      </c>
      <c r="AB513">
        <v>1</v>
      </c>
      <c r="AC513">
        <v>0.5</v>
      </c>
      <c r="AD513">
        <v>0.50345253019720215</v>
      </c>
      <c r="AE513">
        <v>10800</v>
      </c>
      <c r="AF513">
        <v>200000</v>
      </c>
      <c r="AG513">
        <v>16666.666666666668</v>
      </c>
      <c r="AH513">
        <v>1</v>
      </c>
      <c r="AI513">
        <v>1</v>
      </c>
      <c r="AJ513" t="s">
        <v>162</v>
      </c>
      <c r="AK513" t="s">
        <v>176</v>
      </c>
      <c r="AL513">
        <v>0</v>
      </c>
      <c r="AM513" t="s">
        <v>176</v>
      </c>
      <c r="AN513">
        <v>0</v>
      </c>
    </row>
    <row r="514" spans="1:40" x14ac:dyDescent="0.15">
      <c r="A514" s="4" t="str">
        <f>HYPERLINK("https://ibp.a2mac1.com/costing(costing:projects/details/9760/process/12084742)","Automated Process")</f>
        <v>Automated Process</v>
      </c>
      <c r="B514" t="s">
        <v>4254</v>
      </c>
      <c r="C514">
        <v>12084742</v>
      </c>
      <c r="D514">
        <v>8415012</v>
      </c>
      <c r="E514">
        <v>0.89144600123076922</v>
      </c>
      <c r="F514">
        <v>0</v>
      </c>
      <c r="G514">
        <v>0</v>
      </c>
      <c r="H514">
        <v>4.5162740822024296E-3</v>
      </c>
      <c r="I514" t="s">
        <v>176</v>
      </c>
      <c r="J514">
        <v>3.1239049975708501E-2</v>
      </c>
      <c r="K514">
        <v>0.92720132528868016</v>
      </c>
      <c r="L514">
        <v>0.10832333012558466</v>
      </c>
      <c r="M514">
        <v>0.64993998075350801</v>
      </c>
      <c r="N514">
        <v>1.5771413060421882</v>
      </c>
      <c r="O514" t="s">
        <v>90</v>
      </c>
      <c r="P514">
        <v>0</v>
      </c>
      <c r="Q514" t="s">
        <v>90</v>
      </c>
      <c r="R514">
        <v>0</v>
      </c>
      <c r="S514" t="s">
        <v>90</v>
      </c>
      <c r="T514">
        <v>0</v>
      </c>
      <c r="U514">
        <v>1.5771413060421882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60</v>
      </c>
      <c r="AB514">
        <v>1</v>
      </c>
      <c r="AC514">
        <v>0.5</v>
      </c>
      <c r="AD514">
        <v>0.50345253019720215</v>
      </c>
      <c r="AE514">
        <v>10800</v>
      </c>
      <c r="AF514">
        <v>200000</v>
      </c>
      <c r="AG514">
        <v>16666.666666666668</v>
      </c>
      <c r="AH514">
        <v>1</v>
      </c>
      <c r="AI514">
        <v>1</v>
      </c>
      <c r="AJ514" t="s">
        <v>162</v>
      </c>
      <c r="AK514" t="s">
        <v>176</v>
      </c>
      <c r="AL514">
        <v>0</v>
      </c>
      <c r="AM514" t="s">
        <v>176</v>
      </c>
      <c r="AN514">
        <v>0</v>
      </c>
    </row>
    <row r="515" spans="1:40" x14ac:dyDescent="0.15">
      <c r="A515" s="4" t="str">
        <f>HYPERLINK("https://ibp.a2mac1.com/costing(costing:projects/details/9760/process/12084743)","Automated Process")</f>
        <v>Automated Process</v>
      </c>
      <c r="B515" t="s">
        <v>4235</v>
      </c>
      <c r="C515">
        <v>12084743</v>
      </c>
      <c r="D515">
        <v>8415013</v>
      </c>
      <c r="E515">
        <v>0.71211560699999998</v>
      </c>
      <c r="F515">
        <v>0</v>
      </c>
      <c r="G515">
        <v>0</v>
      </c>
      <c r="H515">
        <v>3.6123358109473682E-3</v>
      </c>
      <c r="I515" t="s">
        <v>176</v>
      </c>
      <c r="J515">
        <v>2.4986512526315788E-2</v>
      </c>
      <c r="K515">
        <v>0.74071445533726321</v>
      </c>
      <c r="L515">
        <v>5.7106901908252496E-2</v>
      </c>
      <c r="M515">
        <v>0.34264141144951499</v>
      </c>
      <c r="N515">
        <v>1.0833558667867782</v>
      </c>
      <c r="O515" t="s">
        <v>90</v>
      </c>
      <c r="P515">
        <v>0</v>
      </c>
      <c r="Q515" t="s">
        <v>90</v>
      </c>
      <c r="R515">
        <v>0</v>
      </c>
      <c r="S515" t="s">
        <v>90</v>
      </c>
      <c r="T515">
        <v>0</v>
      </c>
      <c r="U515">
        <v>1.0833558667867782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31</v>
      </c>
      <c r="AB515">
        <v>1</v>
      </c>
      <c r="AC515">
        <v>0.5</v>
      </c>
      <c r="AD515">
        <v>0.50345253019720215</v>
      </c>
      <c r="AE515">
        <v>10800</v>
      </c>
      <c r="AF515">
        <v>200000</v>
      </c>
      <c r="AG515">
        <v>16666.666666666668</v>
      </c>
      <c r="AH515">
        <v>1</v>
      </c>
      <c r="AI515">
        <v>1</v>
      </c>
      <c r="AJ515" t="s">
        <v>162</v>
      </c>
      <c r="AK515" t="s">
        <v>176</v>
      </c>
      <c r="AL515">
        <v>0</v>
      </c>
      <c r="AM515" t="s">
        <v>176</v>
      </c>
      <c r="AN515">
        <v>0</v>
      </c>
    </row>
    <row r="516" spans="1:40" x14ac:dyDescent="0.15">
      <c r="A516" s="4" t="str">
        <f>HYPERLINK("https://ibp.a2mac1.com/costing(costing:projects/details/9760/process/12084744)","Automated Process")</f>
        <v>Automated Process</v>
      </c>
      <c r="B516" t="s">
        <v>4235</v>
      </c>
      <c r="C516">
        <v>12084744</v>
      </c>
      <c r="D516">
        <v>8415014</v>
      </c>
      <c r="E516">
        <v>1.0503235470000001</v>
      </c>
      <c r="F516">
        <v>0</v>
      </c>
      <c r="G516">
        <v>0</v>
      </c>
      <c r="H516">
        <v>5.3279570404210523E-3</v>
      </c>
      <c r="I516" t="s">
        <v>176</v>
      </c>
      <c r="J516">
        <v>3.6853457789473687E-2</v>
      </c>
      <c r="K516">
        <v>1.0925049618298948</v>
      </c>
      <c r="L516">
        <v>8.7130325345998946E-2</v>
      </c>
      <c r="M516">
        <v>0.52278195207599365</v>
      </c>
      <c r="N516">
        <v>1.6152869139058883</v>
      </c>
      <c r="O516" t="s">
        <v>90</v>
      </c>
      <c r="P516">
        <v>0</v>
      </c>
      <c r="Q516" t="s">
        <v>90</v>
      </c>
      <c r="R516">
        <v>0</v>
      </c>
      <c r="S516" t="s">
        <v>90</v>
      </c>
      <c r="T516">
        <v>0</v>
      </c>
      <c r="U516">
        <v>1.6152869139058883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48</v>
      </c>
      <c r="AB516">
        <v>1</v>
      </c>
      <c r="AC516">
        <v>0.5</v>
      </c>
      <c r="AD516">
        <v>0.50345253019720215</v>
      </c>
      <c r="AE516">
        <v>10800</v>
      </c>
      <c r="AF516">
        <v>200000</v>
      </c>
      <c r="AG516">
        <v>16666.666666666668</v>
      </c>
      <c r="AH516">
        <v>1</v>
      </c>
      <c r="AI516">
        <v>1</v>
      </c>
      <c r="AJ516" t="s">
        <v>162</v>
      </c>
      <c r="AK516" t="s">
        <v>176</v>
      </c>
      <c r="AL516">
        <v>0</v>
      </c>
      <c r="AM516" t="s">
        <v>176</v>
      </c>
      <c r="AN516">
        <v>0</v>
      </c>
    </row>
    <row r="517" spans="1:40" x14ac:dyDescent="0.15">
      <c r="A517" s="4" t="str">
        <f>HYPERLINK("https://ibp.a2mac1.com/costing(costing:projects/details/9760/process/12084745)","Automated Process")</f>
        <v>Automated Process</v>
      </c>
      <c r="B517" t="s">
        <v>4254</v>
      </c>
      <c r="C517">
        <v>12084745</v>
      </c>
      <c r="D517">
        <v>8415015</v>
      </c>
      <c r="E517">
        <v>0.89144600123076922</v>
      </c>
      <c r="F517">
        <v>0</v>
      </c>
      <c r="G517">
        <v>0</v>
      </c>
      <c r="H517">
        <v>4.5162740822024296E-3</v>
      </c>
      <c r="I517" t="s">
        <v>176</v>
      </c>
      <c r="J517">
        <v>3.1239049975708501E-2</v>
      </c>
      <c r="K517">
        <v>0.92720132528868016</v>
      </c>
      <c r="L517">
        <v>0.10832333012558466</v>
      </c>
      <c r="M517">
        <v>0.64993998075350801</v>
      </c>
      <c r="N517">
        <v>1.5771413060421882</v>
      </c>
      <c r="O517" t="s">
        <v>90</v>
      </c>
      <c r="P517">
        <v>0</v>
      </c>
      <c r="Q517" t="s">
        <v>90</v>
      </c>
      <c r="R517">
        <v>0</v>
      </c>
      <c r="S517" t="s">
        <v>90</v>
      </c>
      <c r="T517">
        <v>0</v>
      </c>
      <c r="U517">
        <v>1.5771413060421882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60</v>
      </c>
      <c r="AB517">
        <v>1</v>
      </c>
      <c r="AC517">
        <v>0.5</v>
      </c>
      <c r="AD517">
        <v>0.50345253019720215</v>
      </c>
      <c r="AE517">
        <v>10800</v>
      </c>
      <c r="AF517">
        <v>200000</v>
      </c>
      <c r="AG517">
        <v>16666.666666666668</v>
      </c>
      <c r="AH517">
        <v>1</v>
      </c>
      <c r="AI517">
        <v>1</v>
      </c>
      <c r="AJ517" t="s">
        <v>162</v>
      </c>
      <c r="AK517" t="s">
        <v>176</v>
      </c>
      <c r="AL517">
        <v>0</v>
      </c>
      <c r="AM517" t="s">
        <v>176</v>
      </c>
      <c r="AN517">
        <v>0</v>
      </c>
    </row>
    <row r="518" spans="1:40" x14ac:dyDescent="0.15">
      <c r="A518" s="4" t="str">
        <f>HYPERLINK("https://ibp.a2mac1.com/costing(costing:projects/details/9760/process/12084746)","Automated Process")</f>
        <v>Automated Process</v>
      </c>
      <c r="B518" t="s">
        <v>4235</v>
      </c>
      <c r="C518">
        <v>12084746</v>
      </c>
      <c r="D518">
        <v>8415016</v>
      </c>
      <c r="E518">
        <v>0.71211560699999998</v>
      </c>
      <c r="F518">
        <v>0</v>
      </c>
      <c r="G518">
        <v>0</v>
      </c>
      <c r="H518">
        <v>3.6123358109473682E-3</v>
      </c>
      <c r="I518" t="s">
        <v>176</v>
      </c>
      <c r="J518">
        <v>2.4986512526315788E-2</v>
      </c>
      <c r="K518">
        <v>0.74071445533726321</v>
      </c>
      <c r="L518">
        <v>5.7106901908252496E-2</v>
      </c>
      <c r="M518">
        <v>0.34264141144951499</v>
      </c>
      <c r="N518">
        <v>1.0833558667867782</v>
      </c>
      <c r="O518" t="s">
        <v>90</v>
      </c>
      <c r="P518">
        <v>0</v>
      </c>
      <c r="Q518" t="s">
        <v>90</v>
      </c>
      <c r="R518">
        <v>0</v>
      </c>
      <c r="S518" t="s">
        <v>90</v>
      </c>
      <c r="T518">
        <v>0</v>
      </c>
      <c r="U518">
        <v>1.0833558667867782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31</v>
      </c>
      <c r="AB518">
        <v>1</v>
      </c>
      <c r="AC518">
        <v>0.5</v>
      </c>
      <c r="AD518">
        <v>0.50345253019720215</v>
      </c>
      <c r="AE518">
        <v>10800</v>
      </c>
      <c r="AF518">
        <v>200000</v>
      </c>
      <c r="AG518">
        <v>16666.666666666668</v>
      </c>
      <c r="AH518">
        <v>1</v>
      </c>
      <c r="AI518">
        <v>1</v>
      </c>
      <c r="AJ518" t="s">
        <v>162</v>
      </c>
      <c r="AK518" t="s">
        <v>176</v>
      </c>
      <c r="AL518">
        <v>0</v>
      </c>
      <c r="AM518" t="s">
        <v>176</v>
      </c>
      <c r="AN518">
        <v>0</v>
      </c>
    </row>
    <row r="519" spans="1:40" x14ac:dyDescent="0.15">
      <c r="A519" s="4" t="str">
        <f>HYPERLINK("https://ibp.a2mac1.com/costing(costing:projects/details/9760/process/12084747)","Automated Process")</f>
        <v>Automated Process</v>
      </c>
      <c r="B519" t="s">
        <v>4235</v>
      </c>
      <c r="C519">
        <v>12084747</v>
      </c>
      <c r="D519">
        <v>8415017</v>
      </c>
      <c r="E519">
        <v>1.0503235470000001</v>
      </c>
      <c r="F519">
        <v>0</v>
      </c>
      <c r="G519">
        <v>0</v>
      </c>
      <c r="H519">
        <v>5.3279570404210523E-3</v>
      </c>
      <c r="I519" t="s">
        <v>176</v>
      </c>
      <c r="J519">
        <v>3.6853457789473687E-2</v>
      </c>
      <c r="K519">
        <v>1.0925049618298948</v>
      </c>
      <c r="L519">
        <v>8.7130325345998946E-2</v>
      </c>
      <c r="M519">
        <v>0.52278195207599365</v>
      </c>
      <c r="N519">
        <v>1.6152869139058883</v>
      </c>
      <c r="O519" t="s">
        <v>90</v>
      </c>
      <c r="P519">
        <v>0</v>
      </c>
      <c r="Q519" t="s">
        <v>90</v>
      </c>
      <c r="R519">
        <v>0</v>
      </c>
      <c r="S519" t="s">
        <v>90</v>
      </c>
      <c r="T519">
        <v>0</v>
      </c>
      <c r="U519">
        <v>1.6152869139058883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48</v>
      </c>
      <c r="AB519">
        <v>1</v>
      </c>
      <c r="AC519">
        <v>0.5</v>
      </c>
      <c r="AD519">
        <v>0.50345253019720215</v>
      </c>
      <c r="AE519">
        <v>10800</v>
      </c>
      <c r="AF519">
        <v>200000</v>
      </c>
      <c r="AG519">
        <v>16666.666666666668</v>
      </c>
      <c r="AH519">
        <v>1</v>
      </c>
      <c r="AI519">
        <v>1</v>
      </c>
      <c r="AJ519" t="s">
        <v>162</v>
      </c>
      <c r="AK519" t="s">
        <v>176</v>
      </c>
      <c r="AL519">
        <v>0</v>
      </c>
      <c r="AM519" t="s">
        <v>176</v>
      </c>
      <c r="AN519">
        <v>0</v>
      </c>
    </row>
    <row r="520" spans="1:40" x14ac:dyDescent="0.15">
      <c r="A520" s="4" t="str">
        <f>HYPERLINK("https://ibp.a2mac1.com/costing(costing:projects/details/9760/process/12084635)","Automated Process")</f>
        <v>Automated Process</v>
      </c>
      <c r="B520" t="s">
        <v>4235</v>
      </c>
      <c r="C520">
        <v>12084635</v>
      </c>
      <c r="D520">
        <v>8414866</v>
      </c>
      <c r="E520">
        <v>0.75182553600000002</v>
      </c>
      <c r="F520">
        <v>0</v>
      </c>
      <c r="G520">
        <v>0</v>
      </c>
      <c r="H520">
        <v>3.8137716412631577E-3</v>
      </c>
      <c r="I520" t="s">
        <v>176</v>
      </c>
      <c r="J520">
        <v>2.6379843368421054E-2</v>
      </c>
      <c r="K520">
        <v>0.78201915100968422</v>
      </c>
      <c r="L520">
        <v>5.3574734444988205E-2</v>
      </c>
      <c r="M520">
        <v>0.32144840666992924</v>
      </c>
      <c r="N520">
        <v>1.1034675576796134</v>
      </c>
      <c r="O520" t="s">
        <v>177</v>
      </c>
      <c r="P520">
        <v>4.6921149060581049E-2</v>
      </c>
      <c r="Q520" t="s">
        <v>177</v>
      </c>
      <c r="R520">
        <v>1.9286904400195756E-2</v>
      </c>
      <c r="S520" t="s">
        <v>178</v>
      </c>
      <c r="T520">
        <v>0.13241610692155362</v>
      </c>
      <c r="U520">
        <v>1.3020917180619438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29</v>
      </c>
      <c r="AB520">
        <v>1</v>
      </c>
      <c r="AC520">
        <v>0.5</v>
      </c>
      <c r="AD520">
        <v>0.50345253019720215</v>
      </c>
      <c r="AE520">
        <v>10800</v>
      </c>
      <c r="AF520">
        <v>200000</v>
      </c>
      <c r="AG520">
        <v>16666.666666666668</v>
      </c>
      <c r="AH520">
        <v>1</v>
      </c>
      <c r="AI520">
        <v>1</v>
      </c>
      <c r="AJ520" t="s">
        <v>162</v>
      </c>
      <c r="AK520" t="s">
        <v>176</v>
      </c>
      <c r="AL520">
        <v>0</v>
      </c>
      <c r="AM520" t="s">
        <v>176</v>
      </c>
      <c r="AN520">
        <v>0</v>
      </c>
    </row>
    <row r="521" spans="1:40" x14ac:dyDescent="0.15">
      <c r="A521" s="4" t="str">
        <f>HYPERLINK("https://ibp.a2mac1.com/costing(costing:projects/details/9760/process/12084636)","Automated Process")</f>
        <v>Automated Process</v>
      </c>
      <c r="B521" t="s">
        <v>4235</v>
      </c>
      <c r="C521">
        <v>12084636</v>
      </c>
      <c r="D521">
        <v>8414869</v>
      </c>
      <c r="E521">
        <v>0.20856156300000001</v>
      </c>
      <c r="F521">
        <v>0</v>
      </c>
      <c r="G521">
        <v>0</v>
      </c>
      <c r="H521">
        <v>1.0579664248421053E-3</v>
      </c>
      <c r="I521" t="s">
        <v>176</v>
      </c>
      <c r="J521">
        <v>7.3179495789473682E-3</v>
      </c>
      <c r="K521">
        <v>0.21693747900378949</v>
      </c>
      <c r="L521">
        <v>1.8253059812345325E-2</v>
      </c>
      <c r="M521">
        <v>0.10951835887407195</v>
      </c>
      <c r="N521">
        <v>0.32645583787786142</v>
      </c>
      <c r="O521" t="s">
        <v>177</v>
      </c>
      <c r="P521">
        <v>1.3016248740227368E-2</v>
      </c>
      <c r="Q521" t="s">
        <v>177</v>
      </c>
      <c r="R521">
        <v>6.5711015324443171E-3</v>
      </c>
      <c r="S521" t="s">
        <v>178</v>
      </c>
      <c r="T521">
        <v>3.9174700545343374E-2</v>
      </c>
      <c r="U521">
        <v>0.38521788869587648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9</v>
      </c>
      <c r="AB521">
        <v>1</v>
      </c>
      <c r="AC521">
        <v>0.5</v>
      </c>
      <c r="AD521">
        <v>0.50345253019720215</v>
      </c>
      <c r="AE521">
        <v>10800</v>
      </c>
      <c r="AF521">
        <v>200000</v>
      </c>
      <c r="AG521">
        <v>16666.666666666668</v>
      </c>
      <c r="AH521">
        <v>1</v>
      </c>
      <c r="AI521">
        <v>1</v>
      </c>
      <c r="AJ521" t="s">
        <v>162</v>
      </c>
      <c r="AK521" t="s">
        <v>176</v>
      </c>
      <c r="AL521">
        <v>0</v>
      </c>
      <c r="AM521" t="s">
        <v>176</v>
      </c>
      <c r="AN521">
        <v>0</v>
      </c>
    </row>
    <row r="522" spans="1:40" x14ac:dyDescent="0.15">
      <c r="A522" s="4" t="str">
        <f>HYPERLINK("https://ibp.a2mac1.com/costing(costing:projects/details/9760/process/12084637)","Automated Process")</f>
        <v>Automated Process</v>
      </c>
      <c r="B522" t="s">
        <v>4235</v>
      </c>
      <c r="C522">
        <v>12084637</v>
      </c>
      <c r="D522">
        <v>8414870</v>
      </c>
      <c r="E522">
        <v>4.2732238499999999E-2</v>
      </c>
      <c r="F522">
        <v>0</v>
      </c>
      <c r="G522">
        <v>0</v>
      </c>
      <c r="H522">
        <v>2.1676704442105264E-4</v>
      </c>
      <c r="I522" t="s">
        <v>176</v>
      </c>
      <c r="J522">
        <v>1.4993767894736843E-3</v>
      </c>
      <c r="K522">
        <v>4.444838233389474E-2</v>
      </c>
      <c r="L522">
        <v>5.8904736909203177E-3</v>
      </c>
      <c r="M522">
        <v>3.5342842145521906E-2</v>
      </c>
      <c r="N522">
        <v>7.9791224479416639E-2</v>
      </c>
      <c r="O522" t="s">
        <v>90</v>
      </c>
      <c r="P522">
        <v>0</v>
      </c>
      <c r="Q522" t="s">
        <v>90</v>
      </c>
      <c r="R522">
        <v>0</v>
      </c>
      <c r="S522" t="s">
        <v>90</v>
      </c>
      <c r="T522">
        <v>0</v>
      </c>
      <c r="U522">
        <v>7.9791224479416639E-2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2</v>
      </c>
      <c r="AB522">
        <v>1</v>
      </c>
      <c r="AC522">
        <v>0.5</v>
      </c>
      <c r="AD522">
        <v>0.50345253019720215</v>
      </c>
      <c r="AE522">
        <v>10800</v>
      </c>
      <c r="AF522">
        <v>200000</v>
      </c>
      <c r="AG522">
        <v>16666.666666666668</v>
      </c>
      <c r="AH522">
        <v>1</v>
      </c>
      <c r="AI522">
        <v>1</v>
      </c>
      <c r="AJ522" t="s">
        <v>162</v>
      </c>
      <c r="AK522" t="s">
        <v>176</v>
      </c>
      <c r="AL522">
        <v>0</v>
      </c>
      <c r="AM522" t="s">
        <v>176</v>
      </c>
      <c r="AN522">
        <v>0</v>
      </c>
    </row>
    <row r="523" spans="1:40" x14ac:dyDescent="0.15">
      <c r="A523" s="4" t="str">
        <f>HYPERLINK("https://ibp.a2mac1.com/costing(costing:projects/details/9760/process/12084638)","Automated Process")</f>
        <v>Automated Process</v>
      </c>
      <c r="B523" t="s">
        <v>4235</v>
      </c>
      <c r="C523">
        <v>12084638</v>
      </c>
      <c r="D523">
        <v>8414871</v>
      </c>
      <c r="E523">
        <v>0.18977223300000001</v>
      </c>
      <c r="F523">
        <v>0</v>
      </c>
      <c r="G523">
        <v>0</v>
      </c>
      <c r="H523">
        <v>9.6265413431578946E-4</v>
      </c>
      <c r="I523" t="s">
        <v>176</v>
      </c>
      <c r="J523">
        <v>6.658674842105263E-3</v>
      </c>
      <c r="K523">
        <v>0.19739356197642105</v>
      </c>
      <c r="L523">
        <v>1.6486976080713183E-2</v>
      </c>
      <c r="M523">
        <v>9.8921856484279092E-2</v>
      </c>
      <c r="N523">
        <v>0.29631541846070014</v>
      </c>
      <c r="O523" t="s">
        <v>90</v>
      </c>
      <c r="P523">
        <v>0</v>
      </c>
      <c r="Q523" t="s">
        <v>90</v>
      </c>
      <c r="R523">
        <v>0</v>
      </c>
      <c r="S523" t="s">
        <v>90</v>
      </c>
      <c r="T523">
        <v>0</v>
      </c>
      <c r="U523">
        <v>0.29631541846070014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8</v>
      </c>
      <c r="AB523">
        <v>1</v>
      </c>
      <c r="AC523">
        <v>0.5</v>
      </c>
      <c r="AD523">
        <v>0.50345253019720215</v>
      </c>
      <c r="AE523">
        <v>10800</v>
      </c>
      <c r="AF523">
        <v>200000</v>
      </c>
      <c r="AG523">
        <v>16666.666666666668</v>
      </c>
      <c r="AH523">
        <v>1</v>
      </c>
      <c r="AI523">
        <v>1</v>
      </c>
      <c r="AJ523" t="s">
        <v>162</v>
      </c>
      <c r="AK523" t="s">
        <v>176</v>
      </c>
      <c r="AL523">
        <v>0</v>
      </c>
      <c r="AM523" t="s">
        <v>176</v>
      </c>
      <c r="AN523">
        <v>0</v>
      </c>
    </row>
    <row r="524" spans="1:40" x14ac:dyDescent="0.15">
      <c r="A524" s="4" t="str">
        <f>HYPERLINK("https://ibp.a2mac1.com/costing(costing:projects/details/9760/process/12084639)","Automated Process")</f>
        <v>Automated Process</v>
      </c>
      <c r="B524" t="s">
        <v>4235</v>
      </c>
      <c r="C524">
        <v>12084639</v>
      </c>
      <c r="D524">
        <v>8414872</v>
      </c>
      <c r="E524">
        <v>2.6905483500000001E-2</v>
      </c>
      <c r="F524">
        <v>0</v>
      </c>
      <c r="G524">
        <v>0</v>
      </c>
      <c r="H524">
        <v>1.3648295389473685E-4</v>
      </c>
      <c r="I524" t="s">
        <v>176</v>
      </c>
      <c r="J524">
        <v>9.4405205263157891E-4</v>
      </c>
      <c r="K524">
        <v>2.7986018506526315E-2</v>
      </c>
      <c r="L524">
        <v>5.8904736909203177E-3</v>
      </c>
      <c r="M524">
        <v>3.5342842145521906E-2</v>
      </c>
      <c r="N524">
        <v>6.3328860652048222E-2</v>
      </c>
      <c r="O524" t="s">
        <v>90</v>
      </c>
      <c r="P524">
        <v>0</v>
      </c>
      <c r="Q524" t="s">
        <v>90</v>
      </c>
      <c r="R524">
        <v>0</v>
      </c>
      <c r="S524" t="s">
        <v>90</v>
      </c>
      <c r="T524">
        <v>0</v>
      </c>
      <c r="U524">
        <v>6.3328860652048222E-2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2</v>
      </c>
      <c r="AB524">
        <v>1</v>
      </c>
      <c r="AC524">
        <v>0.5</v>
      </c>
      <c r="AD524">
        <v>0.50345253019720215</v>
      </c>
      <c r="AE524">
        <v>10800</v>
      </c>
      <c r="AF524">
        <v>200000</v>
      </c>
      <c r="AG524">
        <v>16666.666666666668</v>
      </c>
      <c r="AH524">
        <v>1</v>
      </c>
      <c r="AI524">
        <v>1</v>
      </c>
      <c r="AJ524" t="s">
        <v>162</v>
      </c>
      <c r="AK524" t="s">
        <v>176</v>
      </c>
      <c r="AL524">
        <v>0</v>
      </c>
      <c r="AM524" t="s">
        <v>176</v>
      </c>
      <c r="AN524">
        <v>0</v>
      </c>
    </row>
    <row r="525" spans="1:40" x14ac:dyDescent="0.15">
      <c r="A525" s="4" t="str">
        <f>HYPERLINK("https://ibp.a2mac1.com/costing(costing:projects/details/9760/process/12084640)","Automated Process")</f>
        <v>Automated Process</v>
      </c>
      <c r="B525" t="s">
        <v>4254</v>
      </c>
      <c r="C525">
        <v>12084640</v>
      </c>
      <c r="D525">
        <v>8414873</v>
      </c>
      <c r="E525">
        <v>1.1322236012307691</v>
      </c>
      <c r="F525">
        <v>0</v>
      </c>
      <c r="G525">
        <v>0</v>
      </c>
      <c r="H525">
        <v>5.7376622085182185E-3</v>
      </c>
      <c r="I525" t="s">
        <v>176</v>
      </c>
      <c r="J525">
        <v>3.9687386817813766E-2</v>
      </c>
      <c r="K525">
        <v>1.1776486502571013</v>
      </c>
      <c r="L525">
        <v>0.16660409326944542</v>
      </c>
      <c r="M525">
        <v>0.99962455961667251</v>
      </c>
      <c r="N525">
        <v>2.1772732098737739</v>
      </c>
      <c r="O525" t="s">
        <v>177</v>
      </c>
      <c r="P525">
        <v>7.0658919015426078E-2</v>
      </c>
      <c r="Q525" t="s">
        <v>177</v>
      </c>
      <c r="R525">
        <v>5.9977473577000354E-2</v>
      </c>
      <c r="S525" t="s">
        <v>178</v>
      </c>
      <c r="T525">
        <v>0.26127278518485286</v>
      </c>
      <c r="U525">
        <v>2.5691823876510531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93</v>
      </c>
      <c r="AB525">
        <v>1</v>
      </c>
      <c r="AC525">
        <v>0.5</v>
      </c>
      <c r="AD525">
        <v>0.50345253019720215</v>
      </c>
      <c r="AE525">
        <v>10800</v>
      </c>
      <c r="AF525">
        <v>200000</v>
      </c>
      <c r="AG525">
        <v>16666.666666666668</v>
      </c>
      <c r="AH525">
        <v>1</v>
      </c>
      <c r="AI525">
        <v>1</v>
      </c>
      <c r="AJ525" t="s">
        <v>162</v>
      </c>
      <c r="AK525" t="s">
        <v>176</v>
      </c>
      <c r="AL525">
        <v>0</v>
      </c>
      <c r="AM525" t="s">
        <v>176</v>
      </c>
      <c r="AN525">
        <v>0</v>
      </c>
    </row>
    <row r="526" spans="1:40" x14ac:dyDescent="0.15">
      <c r="A526" s="4" t="str">
        <f>HYPERLINK("https://ibp.a2mac1.com/costing(costing:projects/details/9760/process/12084641)","Automated Process")</f>
        <v>Automated Process</v>
      </c>
      <c r="B526" t="s">
        <v>4235</v>
      </c>
      <c r="C526">
        <v>12084641</v>
      </c>
      <c r="D526">
        <v>8414874</v>
      </c>
      <c r="E526">
        <v>0.93180931199999995</v>
      </c>
      <c r="F526">
        <v>0</v>
      </c>
      <c r="G526">
        <v>0</v>
      </c>
      <c r="H526">
        <v>4.7267720488421055E-3</v>
      </c>
      <c r="I526" t="s">
        <v>176</v>
      </c>
      <c r="J526">
        <v>3.2695063578947366E-2</v>
      </c>
      <c r="K526">
        <v>0.9692311476277895</v>
      </c>
      <c r="L526">
        <v>5.8872985639884634E-2</v>
      </c>
      <c r="M526">
        <v>0.3532379138393078</v>
      </c>
      <c r="N526">
        <v>1.3224690614670973</v>
      </c>
      <c r="O526" t="s">
        <v>90</v>
      </c>
      <c r="P526">
        <v>0</v>
      </c>
      <c r="Q526" t="s">
        <v>90</v>
      </c>
      <c r="R526">
        <v>0</v>
      </c>
      <c r="S526" t="s">
        <v>90</v>
      </c>
      <c r="T526">
        <v>0</v>
      </c>
      <c r="U526">
        <v>1.3224690614670973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32</v>
      </c>
      <c r="AB526">
        <v>1</v>
      </c>
      <c r="AC526">
        <v>0.5</v>
      </c>
      <c r="AD526">
        <v>0.50345253019720215</v>
      </c>
      <c r="AE526">
        <v>10800</v>
      </c>
      <c r="AF526">
        <v>200000</v>
      </c>
      <c r="AG526">
        <v>16666.666666666668</v>
      </c>
      <c r="AH526">
        <v>1</v>
      </c>
      <c r="AI526">
        <v>1</v>
      </c>
      <c r="AJ526" t="s">
        <v>162</v>
      </c>
      <c r="AK526" t="s">
        <v>176</v>
      </c>
      <c r="AL526">
        <v>0</v>
      </c>
      <c r="AM526" t="s">
        <v>176</v>
      </c>
      <c r="AN526">
        <v>0</v>
      </c>
    </row>
    <row r="527" spans="1:40" x14ac:dyDescent="0.15">
      <c r="A527" s="4" t="str">
        <f>HYPERLINK("https://ibp.a2mac1.com/costing(costing:projects/details/9760/process/12084642)","Automated Process")</f>
        <v>Automated Process</v>
      </c>
      <c r="B527" t="s">
        <v>4254</v>
      </c>
      <c r="C527">
        <v>12084642</v>
      </c>
      <c r="D527">
        <v>8414875</v>
      </c>
      <c r="E527">
        <v>1.1394469292307692</v>
      </c>
      <c r="F527">
        <v>0</v>
      </c>
      <c r="G527">
        <v>0</v>
      </c>
      <c r="H527">
        <v>5.774303852307692E-3</v>
      </c>
      <c r="I527" t="s">
        <v>176</v>
      </c>
      <c r="J527">
        <v>3.9940836923076921E-2</v>
      </c>
      <c r="K527">
        <v>1.1851620700061538</v>
      </c>
      <c r="L527">
        <v>0.16837017700107756</v>
      </c>
      <c r="M527">
        <v>1.0102210620064653</v>
      </c>
      <c r="N527">
        <v>2.1953831320126191</v>
      </c>
      <c r="O527" t="s">
        <v>90</v>
      </c>
      <c r="P527">
        <v>0</v>
      </c>
      <c r="Q527" t="s">
        <v>90</v>
      </c>
      <c r="R527">
        <v>0</v>
      </c>
      <c r="S527" t="s">
        <v>90</v>
      </c>
      <c r="T527">
        <v>0</v>
      </c>
      <c r="U527">
        <v>2.1953831320126191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94</v>
      </c>
      <c r="AB527">
        <v>1</v>
      </c>
      <c r="AC527">
        <v>0.5</v>
      </c>
      <c r="AD527">
        <v>0.50345253019720215</v>
      </c>
      <c r="AE527">
        <v>10800</v>
      </c>
      <c r="AF527">
        <v>200000</v>
      </c>
      <c r="AG527">
        <v>16666.666666666668</v>
      </c>
      <c r="AH527">
        <v>1</v>
      </c>
      <c r="AI527">
        <v>1</v>
      </c>
      <c r="AJ527" t="s">
        <v>162</v>
      </c>
      <c r="AK527" t="s">
        <v>176</v>
      </c>
      <c r="AL527">
        <v>0</v>
      </c>
      <c r="AM527" t="s">
        <v>176</v>
      </c>
      <c r="AN527">
        <v>0</v>
      </c>
    </row>
    <row r="528" spans="1:40" x14ac:dyDescent="0.15">
      <c r="A528" s="4" t="str">
        <f>HYPERLINK("https://ibp.a2mac1.com/costing(costing:projects/details/9760/process/12084643)","Automated Process")</f>
        <v>Automated Process</v>
      </c>
      <c r="B528" t="s">
        <v>4235</v>
      </c>
      <c r="C528">
        <v>12084643</v>
      </c>
      <c r="D528">
        <v>8414876</v>
      </c>
      <c r="E528">
        <v>0.10129123199999999</v>
      </c>
      <c r="F528">
        <v>0</v>
      </c>
      <c r="G528">
        <v>0</v>
      </c>
      <c r="H528">
        <v>5.1381817936842103E-4</v>
      </c>
      <c r="I528" t="s">
        <v>176</v>
      </c>
      <c r="J528">
        <v>3.5540783157894736E-3</v>
      </c>
      <c r="K528">
        <v>0.1053591284951579</v>
      </c>
      <c r="L528">
        <v>1.1188724885816749E-2</v>
      </c>
      <c r="M528">
        <v>6.7132349314900502E-2</v>
      </c>
      <c r="N528">
        <v>0.17249147781005839</v>
      </c>
      <c r="O528" t="s">
        <v>90</v>
      </c>
      <c r="P528">
        <v>0</v>
      </c>
      <c r="Q528" t="s">
        <v>90</v>
      </c>
      <c r="R528">
        <v>0</v>
      </c>
      <c r="S528" t="s">
        <v>90</v>
      </c>
      <c r="T528">
        <v>0</v>
      </c>
      <c r="U528">
        <v>0.17249147781005839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</v>
      </c>
      <c r="AB528">
        <v>1</v>
      </c>
      <c r="AC528">
        <v>0.5</v>
      </c>
      <c r="AD528">
        <v>0.50345253019720215</v>
      </c>
      <c r="AE528">
        <v>10800</v>
      </c>
      <c r="AF528">
        <v>200000</v>
      </c>
      <c r="AG528">
        <v>16666.666666666668</v>
      </c>
      <c r="AH528">
        <v>1</v>
      </c>
      <c r="AI528">
        <v>1</v>
      </c>
      <c r="AJ528" t="s">
        <v>162</v>
      </c>
      <c r="AK528" t="s">
        <v>176</v>
      </c>
      <c r="AL528">
        <v>0</v>
      </c>
      <c r="AM528" t="s">
        <v>176</v>
      </c>
      <c r="AN528">
        <v>0</v>
      </c>
    </row>
    <row r="529" spans="1:40" x14ac:dyDescent="0.15">
      <c r="A529" s="4" t="str">
        <f>HYPERLINK("https://ibp.a2mac1.com/costing(costing:projects/details/9760/process/12084644)","Automated Process")</f>
        <v>Automated Process</v>
      </c>
      <c r="B529" t="s">
        <v>4235</v>
      </c>
      <c r="C529">
        <v>12084644</v>
      </c>
      <c r="D529">
        <v>8414877</v>
      </c>
      <c r="E529">
        <v>0.32986531200000002</v>
      </c>
      <c r="F529">
        <v>0</v>
      </c>
      <c r="G529">
        <v>0</v>
      </c>
      <c r="H529">
        <v>1.6733017330526315E-3</v>
      </c>
      <c r="I529" t="s">
        <v>176</v>
      </c>
      <c r="J529">
        <v>1.1574221473684211E-2</v>
      </c>
      <c r="K529">
        <v>0.34311283520673685</v>
      </c>
      <c r="L529">
        <v>2.1785227275609612E-2</v>
      </c>
      <c r="M529">
        <v>0.13071136365365768</v>
      </c>
      <c r="N529">
        <v>0.47382419886039451</v>
      </c>
      <c r="O529" t="s">
        <v>90</v>
      </c>
      <c r="P529">
        <v>0</v>
      </c>
      <c r="Q529" t="s">
        <v>90</v>
      </c>
      <c r="R529">
        <v>0</v>
      </c>
      <c r="S529" t="s">
        <v>90</v>
      </c>
      <c r="T529">
        <v>0</v>
      </c>
      <c r="U529">
        <v>0.47382419886039451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11</v>
      </c>
      <c r="AB529">
        <v>1</v>
      </c>
      <c r="AC529">
        <v>0.5</v>
      </c>
      <c r="AD529">
        <v>0.50345253019720215</v>
      </c>
      <c r="AE529">
        <v>10800</v>
      </c>
      <c r="AF529">
        <v>200000</v>
      </c>
      <c r="AG529">
        <v>16666.666666666668</v>
      </c>
      <c r="AH529">
        <v>1</v>
      </c>
      <c r="AI529">
        <v>1</v>
      </c>
      <c r="AJ529" t="s">
        <v>162</v>
      </c>
      <c r="AK529" t="s">
        <v>176</v>
      </c>
      <c r="AL529">
        <v>0</v>
      </c>
      <c r="AM529" t="s">
        <v>176</v>
      </c>
      <c r="AN529">
        <v>0</v>
      </c>
    </row>
    <row r="530" spans="1:40" x14ac:dyDescent="0.15">
      <c r="A530" s="4" t="str">
        <f>HYPERLINK("https://ibp.a2mac1.com/costing(costing:projects/details/9760/process/12084645)","Automated Process")</f>
        <v>Automated Process</v>
      </c>
      <c r="B530" t="s">
        <v>4235</v>
      </c>
      <c r="C530">
        <v>12084645</v>
      </c>
      <c r="D530">
        <v>8414878</v>
      </c>
      <c r="E530">
        <v>0.33949641600000002</v>
      </c>
      <c r="F530">
        <v>0</v>
      </c>
      <c r="G530">
        <v>0</v>
      </c>
      <c r="H530">
        <v>1.7221572581052631E-3</v>
      </c>
      <c r="I530" t="s">
        <v>176</v>
      </c>
      <c r="J530">
        <v>1.1912154947368421E-2</v>
      </c>
      <c r="K530">
        <v>0.3531307282054737</v>
      </c>
      <c r="L530">
        <v>2.3551311007241758E-2</v>
      </c>
      <c r="M530">
        <v>0.14130786604345055</v>
      </c>
      <c r="N530">
        <v>0.49443859424892422</v>
      </c>
      <c r="O530" t="s">
        <v>90</v>
      </c>
      <c r="P530">
        <v>0</v>
      </c>
      <c r="Q530" t="s">
        <v>90</v>
      </c>
      <c r="R530">
        <v>0</v>
      </c>
      <c r="S530" t="s">
        <v>90</v>
      </c>
      <c r="T530">
        <v>0</v>
      </c>
      <c r="U530">
        <v>0.49443859424892422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12</v>
      </c>
      <c r="AB530">
        <v>1</v>
      </c>
      <c r="AC530">
        <v>0.5</v>
      </c>
      <c r="AD530">
        <v>0.50345253019720215</v>
      </c>
      <c r="AE530">
        <v>10800</v>
      </c>
      <c r="AF530">
        <v>200000</v>
      </c>
      <c r="AG530">
        <v>16666.666666666668</v>
      </c>
      <c r="AH530">
        <v>1</v>
      </c>
      <c r="AI530">
        <v>1</v>
      </c>
      <c r="AJ530" t="s">
        <v>162</v>
      </c>
      <c r="AK530" t="s">
        <v>176</v>
      </c>
      <c r="AL530">
        <v>0</v>
      </c>
      <c r="AM530" t="s">
        <v>176</v>
      </c>
      <c r="AN530">
        <v>0</v>
      </c>
    </row>
    <row r="531" spans="1:40" x14ac:dyDescent="0.15">
      <c r="A531" s="4" t="str">
        <f>HYPERLINK("https://ibp.a2mac1.com/costing(costing:projects/details/9760/process/12084646)","Automated Process")</f>
        <v>Automated Process</v>
      </c>
      <c r="B531" t="s">
        <v>4235</v>
      </c>
      <c r="C531">
        <v>12084646</v>
      </c>
      <c r="D531">
        <v>8414879</v>
      </c>
      <c r="E531">
        <v>0.13483545599999999</v>
      </c>
      <c r="F531">
        <v>0</v>
      </c>
      <c r="G531">
        <v>0</v>
      </c>
      <c r="H531">
        <v>6.8397735073684213E-4</v>
      </c>
      <c r="I531" t="s">
        <v>176</v>
      </c>
      <c r="J531">
        <v>4.7310686315789477E-3</v>
      </c>
      <c r="K531">
        <v>0.14025050198231578</v>
      </c>
      <c r="L531">
        <v>1.1188724885816749E-2</v>
      </c>
      <c r="M531">
        <v>6.7132349314900502E-2</v>
      </c>
      <c r="N531">
        <v>0.20738285129721629</v>
      </c>
      <c r="O531" t="s">
        <v>90</v>
      </c>
      <c r="P531">
        <v>0</v>
      </c>
      <c r="Q531" t="s">
        <v>90</v>
      </c>
      <c r="R531">
        <v>0</v>
      </c>
      <c r="S531" t="s">
        <v>90</v>
      </c>
      <c r="T531">
        <v>0</v>
      </c>
      <c r="U531">
        <v>0.20738285129721629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5</v>
      </c>
      <c r="AB531">
        <v>1</v>
      </c>
      <c r="AC531">
        <v>0.5</v>
      </c>
      <c r="AD531">
        <v>0.50345253019720215</v>
      </c>
      <c r="AE531">
        <v>10800</v>
      </c>
      <c r="AF531">
        <v>200000</v>
      </c>
      <c r="AG531">
        <v>16666.666666666668</v>
      </c>
      <c r="AH531">
        <v>1</v>
      </c>
      <c r="AI531">
        <v>1</v>
      </c>
      <c r="AJ531" t="s">
        <v>162</v>
      </c>
      <c r="AK531" t="s">
        <v>176</v>
      </c>
      <c r="AL531">
        <v>0</v>
      </c>
      <c r="AM531" t="s">
        <v>176</v>
      </c>
      <c r="AN531">
        <v>0</v>
      </c>
    </row>
    <row r="532" spans="1:40" x14ac:dyDescent="0.15">
      <c r="A532" s="4" t="str">
        <f>HYPERLINK("https://ibp.a2mac1.com/costing(costing:projects/details/9760/process/12084647)","Automated Process")</f>
        <v>Automated Process</v>
      </c>
      <c r="B532" t="s">
        <v>4235</v>
      </c>
      <c r="C532">
        <v>12084647</v>
      </c>
      <c r="D532">
        <v>8414880</v>
      </c>
      <c r="E532">
        <v>8.4272159999999999E-2</v>
      </c>
      <c r="F532">
        <v>0</v>
      </c>
      <c r="G532">
        <v>0</v>
      </c>
      <c r="H532">
        <v>4.2748584421052632E-4</v>
      </c>
      <c r="I532" t="s">
        <v>176</v>
      </c>
      <c r="J532">
        <v>2.9569178947368422E-3</v>
      </c>
      <c r="K532">
        <v>8.7656563738947368E-2</v>
      </c>
      <c r="L532">
        <v>9.422641154184605E-3</v>
      </c>
      <c r="M532">
        <v>5.653584692510763E-2</v>
      </c>
      <c r="N532">
        <v>0.144192410664055</v>
      </c>
      <c r="O532" t="s">
        <v>90</v>
      </c>
      <c r="P532">
        <v>0</v>
      </c>
      <c r="Q532" t="s">
        <v>90</v>
      </c>
      <c r="R532">
        <v>0</v>
      </c>
      <c r="S532" t="s">
        <v>90</v>
      </c>
      <c r="T532">
        <v>0</v>
      </c>
      <c r="U532">
        <v>0.144192410664055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4</v>
      </c>
      <c r="AB532">
        <v>1</v>
      </c>
      <c r="AC532">
        <v>0.5</v>
      </c>
      <c r="AD532">
        <v>0.50345253019720215</v>
      </c>
      <c r="AE532">
        <v>10800</v>
      </c>
      <c r="AF532">
        <v>200000</v>
      </c>
      <c r="AG532">
        <v>16666.666666666668</v>
      </c>
      <c r="AH532">
        <v>1</v>
      </c>
      <c r="AI532">
        <v>1</v>
      </c>
      <c r="AJ532" t="s">
        <v>162</v>
      </c>
      <c r="AK532" t="s">
        <v>176</v>
      </c>
      <c r="AL532">
        <v>0</v>
      </c>
      <c r="AM532" t="s">
        <v>176</v>
      </c>
      <c r="AN532">
        <v>0</v>
      </c>
    </row>
    <row r="533" spans="1:40" x14ac:dyDescent="0.15">
      <c r="A533" s="4" t="str">
        <f>HYPERLINK("https://ibp.a2mac1.com/costing(costing:projects/details/9760/process/12084648)","Automated Process")</f>
        <v>Automated Process</v>
      </c>
      <c r="B533" t="s">
        <v>4235</v>
      </c>
      <c r="C533">
        <v>12084648</v>
      </c>
      <c r="D533">
        <v>8414881</v>
      </c>
      <c r="E533">
        <v>6.9116019000000001E-2</v>
      </c>
      <c r="F533">
        <v>0</v>
      </c>
      <c r="G533">
        <v>0</v>
      </c>
      <c r="H533">
        <v>3.5060356505263159E-4</v>
      </c>
      <c r="I533" t="s">
        <v>176</v>
      </c>
      <c r="J533">
        <v>2.4251234736842107E-3</v>
      </c>
      <c r="K533">
        <v>7.189174603873684E-2</v>
      </c>
      <c r="L533">
        <v>7.6565574225524614E-3</v>
      </c>
      <c r="M533">
        <v>4.5939344535314765E-2</v>
      </c>
      <c r="N533">
        <v>0.11783109057405161</v>
      </c>
      <c r="O533" t="s">
        <v>90</v>
      </c>
      <c r="P533">
        <v>0</v>
      </c>
      <c r="Q533" t="s">
        <v>90</v>
      </c>
      <c r="R533">
        <v>0</v>
      </c>
      <c r="S533" t="s">
        <v>90</v>
      </c>
      <c r="T533">
        <v>0</v>
      </c>
      <c r="U533">
        <v>0.11783109057405161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</v>
      </c>
      <c r="AC533">
        <v>0.5</v>
      </c>
      <c r="AD533">
        <v>0.50345253019720215</v>
      </c>
      <c r="AE533">
        <v>10800</v>
      </c>
      <c r="AF533">
        <v>200000</v>
      </c>
      <c r="AG533">
        <v>16666.666666666668</v>
      </c>
      <c r="AH533">
        <v>1</v>
      </c>
      <c r="AI533">
        <v>1</v>
      </c>
      <c r="AJ533" t="s">
        <v>162</v>
      </c>
      <c r="AK533" t="s">
        <v>176</v>
      </c>
      <c r="AL533">
        <v>0</v>
      </c>
      <c r="AM533" t="s">
        <v>176</v>
      </c>
      <c r="AN533">
        <v>0</v>
      </c>
    </row>
    <row r="534" spans="1:40" x14ac:dyDescent="0.15">
      <c r="A534" s="4" t="str">
        <f>HYPERLINK("https://ibp.a2mac1.com/costing(costing:projects/details/9760/process/12084649)","Automated Process")</f>
        <v>Automated Process</v>
      </c>
      <c r="B534" t="s">
        <v>4235</v>
      </c>
      <c r="C534">
        <v>12084649</v>
      </c>
      <c r="D534">
        <v>8414882</v>
      </c>
      <c r="E534">
        <v>2.9263605E-3</v>
      </c>
      <c r="F534">
        <v>0</v>
      </c>
      <c r="G534">
        <v>0</v>
      </c>
      <c r="H534">
        <v>1.475648452631579E-5</v>
      </c>
      <c r="I534" t="s">
        <v>176</v>
      </c>
      <c r="J534">
        <v>1.0267931578947368E-4</v>
      </c>
      <c r="K534">
        <v>3.0437963003157897E-3</v>
      </c>
      <c r="L534">
        <v>2.3555899745264348E-3</v>
      </c>
      <c r="M534">
        <v>1.4133539847158608E-2</v>
      </c>
      <c r="N534">
        <v>1.7177336147474399E-2</v>
      </c>
      <c r="O534" t="s">
        <v>177</v>
      </c>
      <c r="P534">
        <v>1.8262777801894737E-4</v>
      </c>
      <c r="Q534" t="s">
        <v>177</v>
      </c>
      <c r="R534">
        <v>8.4801239082951652E-4</v>
      </c>
      <c r="S534" t="s">
        <v>178</v>
      </c>
      <c r="T534">
        <v>2.0612803376969277E-3</v>
      </c>
      <c r="U534">
        <v>2.0269256654019789E-2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0.5</v>
      </c>
      <c r="AD534">
        <v>0.50048257265952256</v>
      </c>
      <c r="AE534">
        <v>10800</v>
      </c>
      <c r="AF534">
        <v>800000</v>
      </c>
      <c r="AG534">
        <v>66666.666666666672</v>
      </c>
      <c r="AH534">
        <v>1</v>
      </c>
      <c r="AI534">
        <v>1</v>
      </c>
      <c r="AJ534" t="s">
        <v>162</v>
      </c>
      <c r="AK534" t="s">
        <v>176</v>
      </c>
      <c r="AL534">
        <v>0</v>
      </c>
      <c r="AM534" t="s">
        <v>176</v>
      </c>
      <c r="AN534">
        <v>0</v>
      </c>
    </row>
    <row r="535" spans="1:40" x14ac:dyDescent="0.15">
      <c r="A535" s="4" t="str">
        <f>HYPERLINK("https://ibp.a2mac1.com/costing(costing:projects/details/9760/process/12084650)","Automated Process")</f>
        <v>Automated Process</v>
      </c>
      <c r="B535" t="s">
        <v>4235</v>
      </c>
      <c r="C535">
        <v>12084650</v>
      </c>
      <c r="D535">
        <v>8414883</v>
      </c>
      <c r="E535">
        <v>3.3180842105263161E-2</v>
      </c>
      <c r="F535">
        <v>0</v>
      </c>
      <c r="G535">
        <v>0</v>
      </c>
      <c r="H535">
        <v>1.668996357894737E-4</v>
      </c>
      <c r="I535" t="s">
        <v>176</v>
      </c>
      <c r="J535">
        <v>1.1613294736842106E-3</v>
      </c>
      <c r="K535">
        <v>3.4509071214736842E-2</v>
      </c>
      <c r="L535">
        <v>4.7111799490528695E-3</v>
      </c>
      <c r="M535">
        <v>2.8267079694317215E-2</v>
      </c>
      <c r="N535">
        <v>6.2776150909054057E-2</v>
      </c>
      <c r="O535" t="s">
        <v>90</v>
      </c>
      <c r="P535">
        <v>0</v>
      </c>
      <c r="Q535" t="s">
        <v>90</v>
      </c>
      <c r="R535">
        <v>0</v>
      </c>
      <c r="S535" t="s">
        <v>90</v>
      </c>
      <c r="T535">
        <v>0</v>
      </c>
      <c r="U535">
        <v>6.2776150909054057E-2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2</v>
      </c>
      <c r="AB535">
        <v>1</v>
      </c>
      <c r="AC535">
        <v>0.5</v>
      </c>
      <c r="AD535">
        <v>0.50048257265952256</v>
      </c>
      <c r="AE535">
        <v>10800</v>
      </c>
      <c r="AF535">
        <v>400000</v>
      </c>
      <c r="AG535">
        <v>33333.333333333336</v>
      </c>
      <c r="AH535">
        <v>1</v>
      </c>
      <c r="AI535">
        <v>1</v>
      </c>
      <c r="AJ535" t="s">
        <v>162</v>
      </c>
      <c r="AK535" t="s">
        <v>176</v>
      </c>
      <c r="AL535">
        <v>0</v>
      </c>
      <c r="AM535" t="s">
        <v>176</v>
      </c>
      <c r="AN535">
        <v>0</v>
      </c>
    </row>
    <row r="536" spans="1:40" x14ac:dyDescent="0.15">
      <c r="A536" s="4" t="str">
        <f>HYPERLINK("https://ibp.a2mac1.com/costing(costing:projects/details/9760/process/12084651)","Automated Process")</f>
        <v>Automated Process</v>
      </c>
      <c r="B536" t="s">
        <v>4235</v>
      </c>
      <c r="C536">
        <v>12084651</v>
      </c>
      <c r="D536">
        <v>8414884</v>
      </c>
      <c r="E536">
        <v>0.161320992</v>
      </c>
      <c r="F536">
        <v>0</v>
      </c>
      <c r="G536">
        <v>0</v>
      </c>
      <c r="H536">
        <v>8.1833004463157896E-4</v>
      </c>
      <c r="I536" t="s">
        <v>176</v>
      </c>
      <c r="J536">
        <v>5.6603856842105263E-3</v>
      </c>
      <c r="K536">
        <v>0.16779970772884212</v>
      </c>
      <c r="L536">
        <v>1.2954808617448894E-2</v>
      </c>
      <c r="M536">
        <v>7.7728851704693361E-2</v>
      </c>
      <c r="N536">
        <v>0.24552855943353546</v>
      </c>
      <c r="O536" t="s">
        <v>90</v>
      </c>
      <c r="P536">
        <v>0</v>
      </c>
      <c r="Q536" t="s">
        <v>90</v>
      </c>
      <c r="R536">
        <v>0</v>
      </c>
      <c r="S536" t="s">
        <v>90</v>
      </c>
      <c r="T536">
        <v>0</v>
      </c>
      <c r="U536">
        <v>0.24552855943353546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6</v>
      </c>
      <c r="AB536">
        <v>1</v>
      </c>
      <c r="AC536">
        <v>0.5</v>
      </c>
      <c r="AD536">
        <v>0.50345253019720215</v>
      </c>
      <c r="AE536">
        <v>10800</v>
      </c>
      <c r="AF536">
        <v>200000</v>
      </c>
      <c r="AG536">
        <v>16666.666666666668</v>
      </c>
      <c r="AH536">
        <v>1</v>
      </c>
      <c r="AI536">
        <v>1</v>
      </c>
      <c r="AJ536" t="s">
        <v>162</v>
      </c>
      <c r="AK536" t="s">
        <v>176</v>
      </c>
      <c r="AL536">
        <v>0</v>
      </c>
      <c r="AM536" t="s">
        <v>176</v>
      </c>
      <c r="AN536">
        <v>0</v>
      </c>
    </row>
    <row r="537" spans="1:40" x14ac:dyDescent="0.15">
      <c r="A537" s="4" t="str">
        <f>HYPERLINK("https://ibp.a2mac1.com/costing(costing:projects/details/9760/process/12084652)","Automated Process")</f>
        <v>Automated Process</v>
      </c>
      <c r="B537" t="s">
        <v>4254</v>
      </c>
      <c r="C537">
        <v>12084652</v>
      </c>
      <c r="D537">
        <v>8414885</v>
      </c>
      <c r="E537">
        <v>0.33243934400000003</v>
      </c>
      <c r="F537">
        <v>0</v>
      </c>
      <c r="G537">
        <v>0</v>
      </c>
      <c r="H537">
        <v>1.683868291368421E-3</v>
      </c>
      <c r="I537" t="s">
        <v>176</v>
      </c>
      <c r="J537">
        <v>1.1647310315789474E-2</v>
      </c>
      <c r="K537">
        <v>0.3457705226071579</v>
      </c>
      <c r="L537">
        <v>6.7703404298045361E-2</v>
      </c>
      <c r="M537">
        <v>0.40622042578827217</v>
      </c>
      <c r="N537">
        <v>0.75199094839543001</v>
      </c>
      <c r="O537" t="s">
        <v>90</v>
      </c>
      <c r="P537">
        <v>0</v>
      </c>
      <c r="Q537" t="s">
        <v>90</v>
      </c>
      <c r="R537">
        <v>0</v>
      </c>
      <c r="S537" t="s">
        <v>90</v>
      </c>
      <c r="T537">
        <v>0</v>
      </c>
      <c r="U537">
        <v>0.75199094839543001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37</v>
      </c>
      <c r="AB537">
        <v>1</v>
      </c>
      <c r="AC537">
        <v>0.5</v>
      </c>
      <c r="AD537">
        <v>0.50345253019720215</v>
      </c>
      <c r="AE537">
        <v>10800</v>
      </c>
      <c r="AF537">
        <v>200000</v>
      </c>
      <c r="AG537">
        <v>16666.666666666668</v>
      </c>
      <c r="AH537">
        <v>1</v>
      </c>
      <c r="AI537">
        <v>1</v>
      </c>
      <c r="AJ537" t="s">
        <v>162</v>
      </c>
      <c r="AK537" t="s">
        <v>176</v>
      </c>
      <c r="AL537">
        <v>0</v>
      </c>
      <c r="AM537" t="s">
        <v>176</v>
      </c>
      <c r="AN537">
        <v>0</v>
      </c>
    </row>
    <row r="538" spans="1:40" x14ac:dyDescent="0.15">
      <c r="A538" s="4" t="str">
        <f>HYPERLINK("https://ibp.a2mac1.com/costing(costing:projects/details/9760/process/12084653)","Automated Process")</f>
        <v>Automated Process</v>
      </c>
      <c r="B538" t="s">
        <v>4235</v>
      </c>
      <c r="C538">
        <v>12084653</v>
      </c>
      <c r="D538">
        <v>8414886</v>
      </c>
      <c r="E538">
        <v>6.2602175999999995E-2</v>
      </c>
      <c r="F538">
        <v>0</v>
      </c>
      <c r="G538">
        <v>0</v>
      </c>
      <c r="H538">
        <v>3.1756091284210528E-4</v>
      </c>
      <c r="I538" t="s">
        <v>176</v>
      </c>
      <c r="J538">
        <v>2.1965675789473683E-3</v>
      </c>
      <c r="K538">
        <v>6.511630449178947E-2</v>
      </c>
      <c r="L538">
        <v>7.6565574225524614E-3</v>
      </c>
      <c r="M538">
        <v>4.5939344535314765E-2</v>
      </c>
      <c r="N538">
        <v>0.11105564902710424</v>
      </c>
      <c r="O538" t="s">
        <v>90</v>
      </c>
      <c r="P538">
        <v>0</v>
      </c>
      <c r="Q538" t="s">
        <v>90</v>
      </c>
      <c r="R538">
        <v>0</v>
      </c>
      <c r="S538" t="s">
        <v>90</v>
      </c>
      <c r="T538">
        <v>0</v>
      </c>
      <c r="U538">
        <v>0.11105564902710424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</v>
      </c>
      <c r="AC538">
        <v>0.5</v>
      </c>
      <c r="AD538">
        <v>0.50345253019720215</v>
      </c>
      <c r="AE538">
        <v>10800</v>
      </c>
      <c r="AF538">
        <v>200000</v>
      </c>
      <c r="AG538">
        <v>16666.666666666668</v>
      </c>
      <c r="AH538">
        <v>1</v>
      </c>
      <c r="AI538">
        <v>1</v>
      </c>
      <c r="AJ538" t="s">
        <v>162</v>
      </c>
      <c r="AK538" t="s">
        <v>176</v>
      </c>
      <c r="AL538">
        <v>0</v>
      </c>
      <c r="AM538" t="s">
        <v>176</v>
      </c>
      <c r="AN538">
        <v>0</v>
      </c>
    </row>
    <row r="539" spans="1:40" x14ac:dyDescent="0.15">
      <c r="A539" s="4" t="str">
        <f>HYPERLINK("https://ibp.a2mac1.com/costing(costing:projects/details/9760/process/12084654)","Automated Process")</f>
        <v>Automated Process</v>
      </c>
      <c r="B539" t="s">
        <v>4235</v>
      </c>
      <c r="C539">
        <v>12084654</v>
      </c>
      <c r="D539">
        <v>8414887</v>
      </c>
      <c r="E539">
        <v>0.71963133899999998</v>
      </c>
      <c r="F539">
        <v>0</v>
      </c>
      <c r="G539">
        <v>0</v>
      </c>
      <c r="H539">
        <v>3.6504607271578946E-3</v>
      </c>
      <c r="I539" t="s">
        <v>176</v>
      </c>
      <c r="J539">
        <v>2.5250222421052633E-2</v>
      </c>
      <c r="K539">
        <v>0.74853202214821057</v>
      </c>
      <c r="L539">
        <v>5.8872985639884634E-2</v>
      </c>
      <c r="M539">
        <v>0.3532379138393078</v>
      </c>
      <c r="N539">
        <v>1.1017699359875184</v>
      </c>
      <c r="O539" t="s">
        <v>90</v>
      </c>
      <c r="P539">
        <v>0</v>
      </c>
      <c r="Q539" t="s">
        <v>90</v>
      </c>
      <c r="R539">
        <v>0</v>
      </c>
      <c r="S539" t="s">
        <v>90</v>
      </c>
      <c r="T539">
        <v>0</v>
      </c>
      <c r="U539">
        <v>1.1017699359875184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32</v>
      </c>
      <c r="AB539">
        <v>1</v>
      </c>
      <c r="AC539">
        <v>0.5</v>
      </c>
      <c r="AD539">
        <v>0.50345253019720215</v>
      </c>
      <c r="AE539">
        <v>10800</v>
      </c>
      <c r="AF539">
        <v>200000</v>
      </c>
      <c r="AG539">
        <v>16666.666666666668</v>
      </c>
      <c r="AH539">
        <v>1</v>
      </c>
      <c r="AI539">
        <v>1</v>
      </c>
      <c r="AJ539" t="s">
        <v>162</v>
      </c>
      <c r="AK539" t="s">
        <v>176</v>
      </c>
      <c r="AL539">
        <v>0</v>
      </c>
      <c r="AM539" t="s">
        <v>176</v>
      </c>
      <c r="AN539">
        <v>0</v>
      </c>
    </row>
    <row r="540" spans="1:40" x14ac:dyDescent="0.15">
      <c r="A540" s="4" t="str">
        <f>HYPERLINK("https://ibp.a2mac1.com/costing(costing:projects/details/9760/process/12084655)","Automated Process")</f>
        <v>Automated Process</v>
      </c>
      <c r="B540" t="s">
        <v>4235</v>
      </c>
      <c r="C540">
        <v>12084655</v>
      </c>
      <c r="D540">
        <v>8414888</v>
      </c>
      <c r="E540">
        <v>0.21999189450000001</v>
      </c>
      <c r="F540">
        <v>0</v>
      </c>
      <c r="G540">
        <v>0</v>
      </c>
      <c r="H540">
        <v>1.1159488583157894E-3</v>
      </c>
      <c r="I540" t="s">
        <v>176</v>
      </c>
      <c r="J540">
        <v>7.7190138421052634E-3</v>
      </c>
      <c r="K540">
        <v>0.22882685720042106</v>
      </c>
      <c r="L540">
        <v>2.1785227275609612E-2</v>
      </c>
      <c r="M540">
        <v>0.13071136365365768</v>
      </c>
      <c r="N540">
        <v>0.35953822085407872</v>
      </c>
      <c r="O540" t="s">
        <v>90</v>
      </c>
      <c r="P540">
        <v>0</v>
      </c>
      <c r="Q540" t="s">
        <v>90</v>
      </c>
      <c r="R540">
        <v>0</v>
      </c>
      <c r="S540" t="s">
        <v>90</v>
      </c>
      <c r="T540">
        <v>0</v>
      </c>
      <c r="U540">
        <v>0.35953822085407872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11</v>
      </c>
      <c r="AB540">
        <v>1</v>
      </c>
      <c r="AC540">
        <v>0.5</v>
      </c>
      <c r="AD540">
        <v>0.50345253019720215</v>
      </c>
      <c r="AE540">
        <v>10800</v>
      </c>
      <c r="AF540">
        <v>200000</v>
      </c>
      <c r="AG540">
        <v>16666.666666666668</v>
      </c>
      <c r="AH540">
        <v>1</v>
      </c>
      <c r="AI540">
        <v>1</v>
      </c>
      <c r="AJ540" t="s">
        <v>162</v>
      </c>
      <c r="AK540" t="s">
        <v>176</v>
      </c>
      <c r="AL540">
        <v>0</v>
      </c>
      <c r="AM540" t="s">
        <v>176</v>
      </c>
      <c r="AN540">
        <v>0</v>
      </c>
    </row>
    <row r="541" spans="1:40" x14ac:dyDescent="0.15">
      <c r="A541" s="4" t="str">
        <f>HYPERLINK("https://ibp.a2mac1.com/costing(costing:projects/details/9760/process/12084656)","Automated Process")</f>
        <v>Automated Process</v>
      </c>
      <c r="B541" t="s">
        <v>4235</v>
      </c>
      <c r="C541">
        <v>12084656</v>
      </c>
      <c r="D541">
        <v>8414890</v>
      </c>
      <c r="E541">
        <v>0.66326334899999995</v>
      </c>
      <c r="F541">
        <v>0</v>
      </c>
      <c r="G541">
        <v>0</v>
      </c>
      <c r="H541">
        <v>3.3645238555789474E-3</v>
      </c>
      <c r="I541" t="s">
        <v>176</v>
      </c>
      <c r="J541">
        <v>2.3272398210526315E-2</v>
      </c>
      <c r="K541">
        <v>0.6899002710661053</v>
      </c>
      <c r="L541">
        <v>5.3574734444988205E-2</v>
      </c>
      <c r="M541">
        <v>0.32144840666992924</v>
      </c>
      <c r="N541">
        <v>1.0113486777360345</v>
      </c>
      <c r="O541" t="s">
        <v>90</v>
      </c>
      <c r="P541">
        <v>0</v>
      </c>
      <c r="Q541" t="s">
        <v>90</v>
      </c>
      <c r="R541">
        <v>0</v>
      </c>
      <c r="S541" t="s">
        <v>90</v>
      </c>
      <c r="T541">
        <v>0</v>
      </c>
      <c r="U541">
        <v>1.0113486777360345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29</v>
      </c>
      <c r="AB541">
        <v>1</v>
      </c>
      <c r="AC541">
        <v>0.5</v>
      </c>
      <c r="AD541">
        <v>0.50345253019720215</v>
      </c>
      <c r="AE541">
        <v>10800</v>
      </c>
      <c r="AF541">
        <v>200000</v>
      </c>
      <c r="AG541">
        <v>16666.666666666668</v>
      </c>
      <c r="AH541">
        <v>1</v>
      </c>
      <c r="AI541">
        <v>1</v>
      </c>
      <c r="AJ541" t="s">
        <v>162</v>
      </c>
      <c r="AK541" t="s">
        <v>176</v>
      </c>
      <c r="AL541">
        <v>0</v>
      </c>
      <c r="AM541" t="s">
        <v>176</v>
      </c>
      <c r="AN541">
        <v>0</v>
      </c>
    </row>
    <row r="542" spans="1:40" x14ac:dyDescent="0.15">
      <c r="A542" s="4" t="str">
        <f>HYPERLINK("https://ibp.a2mac1.com/costing(costing:projects/details/9760/process/12084657)","Automated Process")</f>
        <v>Automated Process</v>
      </c>
      <c r="B542" t="s">
        <v>4428</v>
      </c>
      <c r="C542">
        <v>12084657</v>
      </c>
      <c r="D542">
        <v>8414891</v>
      </c>
      <c r="E542">
        <v>0.52971071999999997</v>
      </c>
      <c r="F542">
        <v>0</v>
      </c>
      <c r="G542">
        <v>0</v>
      </c>
      <c r="H542">
        <v>2.687053877894737E-3</v>
      </c>
      <c r="I542" t="s">
        <v>176</v>
      </c>
      <c r="J542">
        <v>1.8586341052631579E-2</v>
      </c>
      <c r="K542">
        <v>0.55098411493052635</v>
      </c>
      <c r="L542">
        <v>0.11185549758884895</v>
      </c>
      <c r="M542">
        <v>0.67113298553309375</v>
      </c>
      <c r="N542">
        <v>1.22211710046362</v>
      </c>
      <c r="O542" t="s">
        <v>90</v>
      </c>
      <c r="P542">
        <v>0</v>
      </c>
      <c r="Q542" t="s">
        <v>90</v>
      </c>
      <c r="R542">
        <v>0</v>
      </c>
      <c r="S542" t="s">
        <v>90</v>
      </c>
      <c r="T542">
        <v>0</v>
      </c>
      <c r="U542">
        <v>1.22211710046362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62</v>
      </c>
      <c r="AB542">
        <v>1</v>
      </c>
      <c r="AC542">
        <v>0.5</v>
      </c>
      <c r="AD542">
        <v>0.50345253019720215</v>
      </c>
      <c r="AE542">
        <v>10800</v>
      </c>
      <c r="AF542">
        <v>200000</v>
      </c>
      <c r="AG542">
        <v>16666.666666666668</v>
      </c>
      <c r="AH542">
        <v>1</v>
      </c>
      <c r="AI542">
        <v>1</v>
      </c>
      <c r="AJ542" t="s">
        <v>162</v>
      </c>
      <c r="AK542" t="s">
        <v>176</v>
      </c>
      <c r="AL542">
        <v>0</v>
      </c>
      <c r="AM542" t="s">
        <v>176</v>
      </c>
      <c r="AN542">
        <v>0</v>
      </c>
    </row>
    <row r="543" spans="1:40" x14ac:dyDescent="0.15">
      <c r="A543" s="4" t="str">
        <f>HYPERLINK("https://ibp.a2mac1.com/costing(costing:projects/details/9760/process/12084658)","Automated Process")</f>
        <v>Automated Process</v>
      </c>
      <c r="B543" t="s">
        <v>4254</v>
      </c>
      <c r="C543">
        <v>12084658</v>
      </c>
      <c r="D543">
        <v>8414892</v>
      </c>
      <c r="E543">
        <v>0.33427680809716598</v>
      </c>
      <c r="F543">
        <v>0</v>
      </c>
      <c r="G543">
        <v>0</v>
      </c>
      <c r="H543">
        <v>1.6914406489716598E-3</v>
      </c>
      <c r="I543" t="s">
        <v>176</v>
      </c>
      <c r="J543">
        <v>1.169968828340081E-2</v>
      </c>
      <c r="K543">
        <v>0.34766793702953847</v>
      </c>
      <c r="L543">
        <v>4.4744315786827485E-2</v>
      </c>
      <c r="M543">
        <v>0.26846589472096494</v>
      </c>
      <c r="N543">
        <v>0.6161338317505034</v>
      </c>
      <c r="O543" t="s">
        <v>90</v>
      </c>
      <c r="P543">
        <v>0</v>
      </c>
      <c r="Q543" t="s">
        <v>90</v>
      </c>
      <c r="R543">
        <v>0</v>
      </c>
      <c r="S543" t="s">
        <v>90</v>
      </c>
      <c r="T543">
        <v>0</v>
      </c>
      <c r="U543">
        <v>0.6161338317505034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24</v>
      </c>
      <c r="AB543">
        <v>1</v>
      </c>
      <c r="AC543">
        <v>0.5</v>
      </c>
      <c r="AD543">
        <v>0.50345253019720215</v>
      </c>
      <c r="AE543">
        <v>10800</v>
      </c>
      <c r="AF543">
        <v>200000</v>
      </c>
      <c r="AG543">
        <v>16666.666666666668</v>
      </c>
      <c r="AH543">
        <v>1</v>
      </c>
      <c r="AI543">
        <v>1</v>
      </c>
      <c r="AJ543" t="s">
        <v>162</v>
      </c>
      <c r="AK543" t="s">
        <v>176</v>
      </c>
      <c r="AL543">
        <v>0</v>
      </c>
      <c r="AM543" t="s">
        <v>176</v>
      </c>
      <c r="AN543">
        <v>0</v>
      </c>
    </row>
    <row r="544" spans="1:40" x14ac:dyDescent="0.15">
      <c r="A544" s="4" t="str">
        <f>HYPERLINK("https://ibp.a2mac1.com/costing(costing:projects/details/9760/process/12084659)","Automated Process")</f>
        <v>Automated Process</v>
      </c>
      <c r="B544" t="s">
        <v>4235</v>
      </c>
      <c r="C544">
        <v>12084659</v>
      </c>
      <c r="D544">
        <v>8414893</v>
      </c>
      <c r="E544">
        <v>7.4641055999999997E-2</v>
      </c>
      <c r="F544">
        <v>0</v>
      </c>
      <c r="G544">
        <v>0</v>
      </c>
      <c r="H544">
        <v>3.7863031915789475E-4</v>
      </c>
      <c r="I544" t="s">
        <v>176</v>
      </c>
      <c r="J544">
        <v>2.6189844210526315E-3</v>
      </c>
      <c r="K544">
        <v>7.7638670740210525E-2</v>
      </c>
      <c r="L544">
        <v>7.6565574225524614E-3</v>
      </c>
      <c r="M544">
        <v>4.5939344535314765E-2</v>
      </c>
      <c r="N544">
        <v>0.1235780152755253</v>
      </c>
      <c r="O544" t="s">
        <v>90</v>
      </c>
      <c r="P544">
        <v>0</v>
      </c>
      <c r="Q544" t="s">
        <v>90</v>
      </c>
      <c r="R544">
        <v>0</v>
      </c>
      <c r="S544" t="s">
        <v>90</v>
      </c>
      <c r="T544">
        <v>0</v>
      </c>
      <c r="U544">
        <v>0.1235780152755253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</v>
      </c>
      <c r="AC544">
        <v>0.5</v>
      </c>
      <c r="AD544">
        <v>0.50345253019720215</v>
      </c>
      <c r="AE544">
        <v>10800</v>
      </c>
      <c r="AF544">
        <v>200000</v>
      </c>
      <c r="AG544">
        <v>16666.666666666668</v>
      </c>
      <c r="AH544">
        <v>1</v>
      </c>
      <c r="AI544">
        <v>1</v>
      </c>
      <c r="AJ544" t="s">
        <v>162</v>
      </c>
      <c r="AK544" t="s">
        <v>176</v>
      </c>
      <c r="AL544">
        <v>0</v>
      </c>
      <c r="AM544" t="s">
        <v>176</v>
      </c>
      <c r="AN544">
        <v>0</v>
      </c>
    </row>
    <row r="545" spans="1:40" x14ac:dyDescent="0.15">
      <c r="A545" s="4" t="str">
        <f>HYPERLINK("https://ibp.a2mac1.com/costing(costing:projects/details/9760/process/12084748)","Automated Process")</f>
        <v>Automated Process</v>
      </c>
      <c r="B545" t="s">
        <v>4235</v>
      </c>
      <c r="C545">
        <v>12084748</v>
      </c>
      <c r="D545">
        <v>8415018</v>
      </c>
      <c r="E545">
        <v>0.47221804350000002</v>
      </c>
      <c r="F545">
        <v>0</v>
      </c>
      <c r="G545">
        <v>0</v>
      </c>
      <c r="H545">
        <v>2.3954118296842107E-3</v>
      </c>
      <c r="I545" t="s">
        <v>176</v>
      </c>
      <c r="J545">
        <v>1.6569054157894735E-2</v>
      </c>
      <c r="K545">
        <v>0.49118250948757897</v>
      </c>
      <c r="L545">
        <v>3.2381729665402474E-2</v>
      </c>
      <c r="M545">
        <v>0.19429037799241486</v>
      </c>
      <c r="N545">
        <v>0.6854728874799938</v>
      </c>
      <c r="O545" t="s">
        <v>90</v>
      </c>
      <c r="P545">
        <v>0</v>
      </c>
      <c r="Q545" t="s">
        <v>90</v>
      </c>
      <c r="R545">
        <v>0</v>
      </c>
      <c r="S545" t="s">
        <v>90</v>
      </c>
      <c r="T545">
        <v>0</v>
      </c>
      <c r="U545">
        <v>0.6854728874799938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17</v>
      </c>
      <c r="AB545">
        <v>1</v>
      </c>
      <c r="AC545">
        <v>0.5</v>
      </c>
      <c r="AD545">
        <v>0.50345253019720215</v>
      </c>
      <c r="AE545">
        <v>10800</v>
      </c>
      <c r="AF545">
        <v>200000</v>
      </c>
      <c r="AG545">
        <v>16666.666666666668</v>
      </c>
      <c r="AH545">
        <v>1</v>
      </c>
      <c r="AI545">
        <v>1</v>
      </c>
      <c r="AJ545" t="s">
        <v>162</v>
      </c>
      <c r="AK545" t="s">
        <v>176</v>
      </c>
      <c r="AL545">
        <v>0</v>
      </c>
      <c r="AM545" t="s">
        <v>176</v>
      </c>
      <c r="AN545">
        <v>0</v>
      </c>
    </row>
    <row r="546" spans="1:40" x14ac:dyDescent="0.15">
      <c r="A546" s="4" t="str">
        <f>HYPERLINK("https://ibp.a2mac1.com/costing(costing:projects/details/9760/process/12084749)","Automated Process")</f>
        <v>Automated Process</v>
      </c>
      <c r="B546" t="s">
        <v>4235</v>
      </c>
      <c r="C546">
        <v>12084749</v>
      </c>
      <c r="D546">
        <v>8415019</v>
      </c>
      <c r="E546">
        <v>3.4818861E-2</v>
      </c>
      <c r="F546">
        <v>0</v>
      </c>
      <c r="G546">
        <v>0</v>
      </c>
      <c r="H546">
        <v>1.7662499915789475E-4</v>
      </c>
      <c r="I546" t="s">
        <v>176</v>
      </c>
      <c r="J546">
        <v>1.2217144210526316E-3</v>
      </c>
      <c r="K546">
        <v>3.6217200420210524E-2</v>
      </c>
      <c r="L546">
        <v>5.8904736909203177E-3</v>
      </c>
      <c r="M546">
        <v>3.5342842145521906E-2</v>
      </c>
      <c r="N546">
        <v>7.1560042565732424E-2</v>
      </c>
      <c r="O546" t="s">
        <v>90</v>
      </c>
      <c r="P546">
        <v>0</v>
      </c>
      <c r="Q546" t="s">
        <v>90</v>
      </c>
      <c r="R546">
        <v>0</v>
      </c>
      <c r="S546" t="s">
        <v>90</v>
      </c>
      <c r="T546">
        <v>0</v>
      </c>
      <c r="U546">
        <v>7.1560042565732424E-2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</v>
      </c>
      <c r="AB546">
        <v>1</v>
      </c>
      <c r="AC546">
        <v>0.5</v>
      </c>
      <c r="AD546">
        <v>0.50345253019720215</v>
      </c>
      <c r="AE546">
        <v>10800</v>
      </c>
      <c r="AF546">
        <v>200000</v>
      </c>
      <c r="AG546">
        <v>16666.666666666668</v>
      </c>
      <c r="AH546">
        <v>1</v>
      </c>
      <c r="AI546">
        <v>1</v>
      </c>
      <c r="AJ546" t="s">
        <v>162</v>
      </c>
      <c r="AK546" t="s">
        <v>176</v>
      </c>
      <c r="AL546">
        <v>0</v>
      </c>
      <c r="AM546" t="s">
        <v>176</v>
      </c>
      <c r="AN546">
        <v>0</v>
      </c>
    </row>
    <row r="547" spans="1:40" x14ac:dyDescent="0.15">
      <c r="A547" s="4" t="str">
        <f>HYPERLINK("https://ibp.a2mac1.com/costing(costing:projects/details/9760/process/12084750)","Automated Process")</f>
        <v>Automated Process</v>
      </c>
      <c r="B547" t="s">
        <v>4246</v>
      </c>
      <c r="C547">
        <v>12084750</v>
      </c>
      <c r="D547">
        <v>8415020</v>
      </c>
      <c r="E547">
        <v>6.0194400000000002E-2</v>
      </c>
      <c r="F547">
        <v>0</v>
      </c>
      <c r="G547">
        <v>0</v>
      </c>
      <c r="H547">
        <v>3.0534703157894739E-4</v>
      </c>
      <c r="I547" t="s">
        <v>176</v>
      </c>
      <c r="J547">
        <v>2.1120842105263157E-3</v>
      </c>
      <c r="K547">
        <v>6.2611831242105259E-2</v>
      </c>
      <c r="L547">
        <v>0.20545793536535259</v>
      </c>
      <c r="M547">
        <v>1.2327476121921155</v>
      </c>
      <c r="N547">
        <v>1.2953594434342208</v>
      </c>
      <c r="O547" t="s">
        <v>177</v>
      </c>
      <c r="P547">
        <v>3.756709874526316E-3</v>
      </c>
      <c r="Q547" t="s">
        <v>177</v>
      </c>
      <c r="R547">
        <v>7.3964856731526932E-2</v>
      </c>
      <c r="S547" t="s">
        <v>178</v>
      </c>
      <c r="T547">
        <v>0.15544313321210651</v>
      </c>
      <c r="U547">
        <v>1.5285241432523806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115</v>
      </c>
      <c r="AB547">
        <v>1</v>
      </c>
      <c r="AC547">
        <v>0.5</v>
      </c>
      <c r="AD547">
        <v>0.50345253019720215</v>
      </c>
      <c r="AE547">
        <v>10800</v>
      </c>
      <c r="AF547">
        <v>200000</v>
      </c>
      <c r="AG547">
        <v>16666.666666666668</v>
      </c>
      <c r="AH547">
        <v>1</v>
      </c>
      <c r="AI547">
        <v>1</v>
      </c>
      <c r="AJ547" t="s">
        <v>162</v>
      </c>
      <c r="AK547" t="s">
        <v>176</v>
      </c>
      <c r="AL547">
        <v>0</v>
      </c>
      <c r="AM547" t="s">
        <v>176</v>
      </c>
      <c r="AN547">
        <v>0</v>
      </c>
    </row>
    <row r="548" spans="1:40" x14ac:dyDescent="0.15">
      <c r="A548" s="4" t="str">
        <f>HYPERLINK("https://ibp.a2mac1.com/costing(costing:projects/details/9760/process/12084675)","Process")</f>
        <v>Process</v>
      </c>
      <c r="B548" t="s">
        <v>360</v>
      </c>
      <c r="C548">
        <v>12084675</v>
      </c>
      <c r="D548">
        <v>8414917</v>
      </c>
      <c r="E548">
        <v>0</v>
      </c>
      <c r="F548">
        <v>0</v>
      </c>
      <c r="G548">
        <v>0</v>
      </c>
      <c r="H548">
        <v>0</v>
      </c>
      <c r="I548" t="s">
        <v>176</v>
      </c>
      <c r="J548">
        <v>0</v>
      </c>
      <c r="K548">
        <v>0</v>
      </c>
      <c r="L548">
        <v>7.2668139824717357E-2</v>
      </c>
      <c r="M548">
        <v>0.43600883894830411</v>
      </c>
      <c r="N548">
        <v>0.43600883894830411</v>
      </c>
      <c r="O548" t="s">
        <v>90</v>
      </c>
      <c r="P548">
        <v>0</v>
      </c>
      <c r="Q548" t="s">
        <v>90</v>
      </c>
      <c r="R548">
        <v>0</v>
      </c>
      <c r="S548" t="s">
        <v>90</v>
      </c>
      <c r="T548">
        <v>0</v>
      </c>
      <c r="U548">
        <v>0.43600883894830411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67</v>
      </c>
      <c r="AB548">
        <v>1</v>
      </c>
      <c r="AC548">
        <v>0</v>
      </c>
      <c r="AD548">
        <v>0</v>
      </c>
      <c r="AE548">
        <v>216</v>
      </c>
      <c r="AF548">
        <v>200000</v>
      </c>
      <c r="AG548">
        <v>10000</v>
      </c>
      <c r="AH548">
        <v>1</v>
      </c>
      <c r="AI548">
        <v>1</v>
      </c>
      <c r="AJ548" t="s">
        <v>76</v>
      </c>
      <c r="AK548" t="s">
        <v>176</v>
      </c>
      <c r="AL548">
        <v>0</v>
      </c>
      <c r="AM548" t="s">
        <v>176</v>
      </c>
      <c r="AN548">
        <v>0</v>
      </c>
    </row>
    <row r="549" spans="1:40" x14ac:dyDescent="0.15">
      <c r="A549" s="4" t="str">
        <f>HYPERLINK("https://ibp.a2mac1.com/costing(costing:projects/details/9760/process/12084660)","Automated Process")</f>
        <v>Automated Process</v>
      </c>
      <c r="B549" t="s">
        <v>4235</v>
      </c>
      <c r="C549">
        <v>12084660</v>
      </c>
      <c r="D549">
        <v>8414900</v>
      </c>
      <c r="E549">
        <v>0.39246748799999998</v>
      </c>
      <c r="F549">
        <v>0</v>
      </c>
      <c r="G549">
        <v>0</v>
      </c>
      <c r="H549">
        <v>1.9908626458947369E-3</v>
      </c>
      <c r="I549" t="s">
        <v>176</v>
      </c>
      <c r="J549">
        <v>1.3770789052631578E-2</v>
      </c>
      <c r="K549">
        <v>0.40822913969852631</v>
      </c>
      <c r="L549">
        <v>2.5317394738873903E-2</v>
      </c>
      <c r="M549">
        <v>0.1519043684332434</v>
      </c>
      <c r="N549">
        <v>0.56013350813176976</v>
      </c>
      <c r="O549" t="s">
        <v>90</v>
      </c>
      <c r="P549">
        <v>0</v>
      </c>
      <c r="Q549" t="s">
        <v>90</v>
      </c>
      <c r="R549">
        <v>0</v>
      </c>
      <c r="S549" t="s">
        <v>90</v>
      </c>
      <c r="T549">
        <v>0</v>
      </c>
      <c r="U549">
        <v>0.56013350813176976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13</v>
      </c>
      <c r="AB549">
        <v>1</v>
      </c>
      <c r="AC549">
        <v>0.5</v>
      </c>
      <c r="AD549">
        <v>0.50345253019720215</v>
      </c>
      <c r="AE549">
        <v>10800</v>
      </c>
      <c r="AF549">
        <v>200000</v>
      </c>
      <c r="AG549">
        <v>16666.666666666668</v>
      </c>
      <c r="AH549">
        <v>1</v>
      </c>
      <c r="AI549">
        <v>1</v>
      </c>
      <c r="AJ549" t="s">
        <v>162</v>
      </c>
      <c r="AK549" t="s">
        <v>176</v>
      </c>
      <c r="AL549">
        <v>0</v>
      </c>
      <c r="AM549" t="s">
        <v>176</v>
      </c>
      <c r="AN549">
        <v>0</v>
      </c>
    </row>
    <row r="550" spans="1:40" x14ac:dyDescent="0.15">
      <c r="A550" s="4" t="str">
        <f>HYPERLINK("https://ibp.a2mac1.com/costing(costing:projects/details/9760/process/12084661)","Automated Process")</f>
        <v>Automated Process</v>
      </c>
      <c r="C550">
        <v>12084661</v>
      </c>
      <c r="D550">
        <v>8414901</v>
      </c>
      <c r="E550">
        <v>7.7011436123076926</v>
      </c>
      <c r="F550">
        <v>0</v>
      </c>
      <c r="G550">
        <v>0</v>
      </c>
      <c r="H550">
        <v>3.8971069158866396E-2</v>
      </c>
      <c r="I550" t="s">
        <v>176</v>
      </c>
      <c r="J550">
        <v>0.26956273133603237</v>
      </c>
      <c r="K550">
        <v>8.0096774128025903</v>
      </c>
      <c r="L550">
        <v>0.12775025117353825</v>
      </c>
      <c r="M550">
        <v>0.76650150704122955</v>
      </c>
      <c r="N550">
        <v>8.7761789198438205</v>
      </c>
      <c r="O550" t="s">
        <v>90</v>
      </c>
      <c r="P550">
        <v>0</v>
      </c>
      <c r="Q550" t="s">
        <v>90</v>
      </c>
      <c r="R550">
        <v>0</v>
      </c>
      <c r="S550" t="s">
        <v>90</v>
      </c>
      <c r="T550">
        <v>0</v>
      </c>
      <c r="U550">
        <v>8.7761789198438205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71</v>
      </c>
      <c r="AB550">
        <v>1</v>
      </c>
      <c r="AC550">
        <v>0.5</v>
      </c>
      <c r="AD550">
        <v>0.50345253019720215</v>
      </c>
      <c r="AE550">
        <v>10800</v>
      </c>
      <c r="AF550">
        <v>200000</v>
      </c>
      <c r="AG550">
        <v>16666.666666666668</v>
      </c>
      <c r="AH550">
        <v>1</v>
      </c>
      <c r="AI550">
        <v>1</v>
      </c>
      <c r="AJ550" t="s">
        <v>162</v>
      </c>
      <c r="AK550" t="s">
        <v>176</v>
      </c>
      <c r="AL550">
        <v>0</v>
      </c>
      <c r="AM550" t="s">
        <v>176</v>
      </c>
      <c r="AN550">
        <v>0</v>
      </c>
    </row>
    <row r="551" spans="1:40" x14ac:dyDescent="0.15">
      <c r="A551" s="4" t="str">
        <f>HYPERLINK("https://ibp.a2mac1.com/costing(costing:projects/details/9760/process/12084662)","Automated Process")</f>
        <v>Automated Process</v>
      </c>
      <c r="B551" t="s">
        <v>4235</v>
      </c>
      <c r="C551">
        <v>12084662</v>
      </c>
      <c r="D551">
        <v>8414902</v>
      </c>
      <c r="E551">
        <v>4.2361430999999998E-2</v>
      </c>
      <c r="F551">
        <v>0</v>
      </c>
      <c r="G551">
        <v>0</v>
      </c>
      <c r="H551">
        <v>2.1488605600000001E-4</v>
      </c>
      <c r="I551" t="s">
        <v>176</v>
      </c>
      <c r="J551">
        <v>1.486366E-3</v>
      </c>
      <c r="K551">
        <v>4.4062683056000002E-2</v>
      </c>
      <c r="L551">
        <v>5.8904736909203177E-3</v>
      </c>
      <c r="M551">
        <v>3.5342842145521906E-2</v>
      </c>
      <c r="N551">
        <v>7.9405525201521901E-2</v>
      </c>
      <c r="O551" t="s">
        <v>90</v>
      </c>
      <c r="P551">
        <v>0</v>
      </c>
      <c r="Q551" t="s">
        <v>90</v>
      </c>
      <c r="R551">
        <v>0</v>
      </c>
      <c r="S551" t="s">
        <v>90</v>
      </c>
      <c r="T551">
        <v>0</v>
      </c>
      <c r="U551">
        <v>7.9405525201521901E-2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</v>
      </c>
      <c r="AB551">
        <v>1</v>
      </c>
      <c r="AC551">
        <v>0.5</v>
      </c>
      <c r="AD551">
        <v>0.50345253019720215</v>
      </c>
      <c r="AE551">
        <v>10800</v>
      </c>
      <c r="AF551">
        <v>200000</v>
      </c>
      <c r="AG551">
        <v>16666.666666666668</v>
      </c>
      <c r="AH551">
        <v>1</v>
      </c>
      <c r="AI551">
        <v>1</v>
      </c>
      <c r="AJ551" t="s">
        <v>162</v>
      </c>
      <c r="AK551" t="s">
        <v>176</v>
      </c>
      <c r="AL551">
        <v>0</v>
      </c>
      <c r="AM551" t="s">
        <v>176</v>
      </c>
      <c r="AN551">
        <v>0</v>
      </c>
    </row>
    <row r="552" spans="1:40" x14ac:dyDescent="0.15">
      <c r="A552" s="4" t="str">
        <f>HYPERLINK("https://ibp.a2mac1.com/costing(costing:projects/details/9760/process/12084663)","Automated Process")</f>
        <v>Automated Process</v>
      </c>
      <c r="B552" t="s">
        <v>4495</v>
      </c>
      <c r="C552">
        <v>12084663</v>
      </c>
      <c r="D552">
        <v>8414904</v>
      </c>
      <c r="E552">
        <v>1.5686566427499999</v>
      </c>
      <c r="F552">
        <v>0</v>
      </c>
      <c r="G552">
        <v>0</v>
      </c>
      <c r="H552">
        <v>8.4440453322500008E-3</v>
      </c>
      <c r="I552" t="s">
        <v>176</v>
      </c>
      <c r="J552">
        <v>5.8407428187499999E-2</v>
      </c>
      <c r="K552">
        <v>1.63550811626975</v>
      </c>
      <c r="L552">
        <v>7.6533822956206074E-2</v>
      </c>
      <c r="M552">
        <v>0.45920293773723647</v>
      </c>
      <c r="N552">
        <v>2.0947110540069867</v>
      </c>
      <c r="O552" t="s">
        <v>90</v>
      </c>
      <c r="P552">
        <v>0</v>
      </c>
      <c r="Q552" t="s">
        <v>90</v>
      </c>
      <c r="R552">
        <v>0</v>
      </c>
      <c r="S552" t="s">
        <v>90</v>
      </c>
      <c r="T552">
        <v>0</v>
      </c>
      <c r="U552">
        <v>2.0947110540069867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42</v>
      </c>
      <c r="AB552">
        <v>1</v>
      </c>
      <c r="AC552">
        <v>0.5</v>
      </c>
      <c r="AD552">
        <v>0.50345253019720215</v>
      </c>
      <c r="AE552">
        <v>10800</v>
      </c>
      <c r="AF552">
        <v>200000</v>
      </c>
      <c r="AG552">
        <v>16666.666666666668</v>
      </c>
      <c r="AH552">
        <v>1</v>
      </c>
      <c r="AI552">
        <v>1</v>
      </c>
      <c r="AJ552" t="s">
        <v>162</v>
      </c>
      <c r="AK552" t="s">
        <v>176</v>
      </c>
      <c r="AL552">
        <v>0</v>
      </c>
      <c r="AM552" t="s">
        <v>176</v>
      </c>
      <c r="AN552">
        <v>0</v>
      </c>
    </row>
    <row r="553" spans="1:40" x14ac:dyDescent="0.15">
      <c r="A553" s="4" t="str">
        <f>HYPERLINK("https://ibp.a2mac1.com/costing(costing:projects/details/9760/process/12084664)","Automated Process")</f>
        <v>Automated Process</v>
      </c>
      <c r="B553" t="s">
        <v>4235</v>
      </c>
      <c r="C553">
        <v>12084664</v>
      </c>
      <c r="D553">
        <v>8414905</v>
      </c>
      <c r="E553">
        <v>0.26967091199999998</v>
      </c>
      <c r="F553">
        <v>0</v>
      </c>
      <c r="G553">
        <v>0</v>
      </c>
      <c r="H553">
        <v>1.3679547014736843E-3</v>
      </c>
      <c r="I553" t="s">
        <v>176</v>
      </c>
      <c r="J553">
        <v>9.4621372631578955E-3</v>
      </c>
      <c r="K553">
        <v>0.28050100396463157</v>
      </c>
      <c r="L553">
        <v>1.8253059812345325E-2</v>
      </c>
      <c r="M553">
        <v>0.10951835887407195</v>
      </c>
      <c r="N553">
        <v>0.39001936283870353</v>
      </c>
      <c r="O553" t="s">
        <v>90</v>
      </c>
      <c r="P553">
        <v>0</v>
      </c>
      <c r="Q553" t="s">
        <v>90</v>
      </c>
      <c r="R553">
        <v>0</v>
      </c>
      <c r="S553" t="s">
        <v>90</v>
      </c>
      <c r="T553">
        <v>0</v>
      </c>
      <c r="U553">
        <v>0.39001936283870353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9</v>
      </c>
      <c r="AB553">
        <v>1</v>
      </c>
      <c r="AC553">
        <v>0.5</v>
      </c>
      <c r="AD553">
        <v>0.50345253019720215</v>
      </c>
      <c r="AE553">
        <v>10800</v>
      </c>
      <c r="AF553">
        <v>200000</v>
      </c>
      <c r="AG553">
        <v>16666.666666666668</v>
      </c>
      <c r="AH553">
        <v>1</v>
      </c>
      <c r="AI553">
        <v>1</v>
      </c>
      <c r="AJ553" t="s">
        <v>162</v>
      </c>
      <c r="AK553" t="s">
        <v>176</v>
      </c>
      <c r="AL553">
        <v>0</v>
      </c>
      <c r="AM553" t="s">
        <v>176</v>
      </c>
      <c r="AN553">
        <v>0</v>
      </c>
    </row>
    <row r="554" spans="1:40" x14ac:dyDescent="0.15">
      <c r="A554" s="4" t="str">
        <f>HYPERLINK("https://ibp.a2mac1.com/costing(costing:projects/details/9760/process/12084665)","Automated Process")</f>
        <v>Automated Process</v>
      </c>
      <c r="B554" t="s">
        <v>4235</v>
      </c>
      <c r="C554">
        <v>12084665</v>
      </c>
      <c r="D554">
        <v>8414906</v>
      </c>
      <c r="E554">
        <v>0.23392493684210527</v>
      </c>
      <c r="F554">
        <v>0</v>
      </c>
      <c r="G554">
        <v>0</v>
      </c>
      <c r="H554">
        <v>1.1836601804210527E-3</v>
      </c>
      <c r="I554" t="s">
        <v>176</v>
      </c>
      <c r="J554">
        <v>8.1873727894736844E-3</v>
      </c>
      <c r="K554">
        <v>0.243295969812</v>
      </c>
      <c r="L554">
        <v>2.3551311007241758E-2</v>
      </c>
      <c r="M554">
        <v>0.14130786604345055</v>
      </c>
      <c r="N554">
        <v>0.38460383585545055</v>
      </c>
      <c r="O554" t="s">
        <v>90</v>
      </c>
      <c r="P554">
        <v>0</v>
      </c>
      <c r="Q554" t="s">
        <v>90</v>
      </c>
      <c r="R554">
        <v>0</v>
      </c>
      <c r="S554" t="s">
        <v>90</v>
      </c>
      <c r="T554">
        <v>0</v>
      </c>
      <c r="U554">
        <v>0.38460383585545055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12</v>
      </c>
      <c r="AB554">
        <v>1</v>
      </c>
      <c r="AC554">
        <v>0.5</v>
      </c>
      <c r="AD554">
        <v>0.50345253019720215</v>
      </c>
      <c r="AE554">
        <v>10800</v>
      </c>
      <c r="AF554">
        <v>200000</v>
      </c>
      <c r="AG554">
        <v>16666.666666666668</v>
      </c>
      <c r="AH554">
        <v>1</v>
      </c>
      <c r="AI554">
        <v>1</v>
      </c>
      <c r="AJ554" t="s">
        <v>162</v>
      </c>
      <c r="AK554" t="s">
        <v>176</v>
      </c>
      <c r="AL554">
        <v>0</v>
      </c>
      <c r="AM554" t="s">
        <v>176</v>
      </c>
      <c r="AN554">
        <v>0</v>
      </c>
    </row>
    <row r="555" spans="1:40" x14ac:dyDescent="0.15">
      <c r="A555" s="4" t="str">
        <f>HYPERLINK("https://ibp.a2mac1.com/costing(costing:projects/details/9760/process/12084666)","Automated Process")</f>
        <v>Automated Process</v>
      </c>
      <c r="C555">
        <v>12084666</v>
      </c>
      <c r="D555">
        <v>8414907</v>
      </c>
      <c r="E555">
        <v>0.44587270000000001</v>
      </c>
      <c r="F555">
        <v>0</v>
      </c>
      <c r="G555">
        <v>0</v>
      </c>
      <c r="H555">
        <v>2.4645490999999999E-3</v>
      </c>
      <c r="I555" t="s">
        <v>176</v>
      </c>
      <c r="J555">
        <v>1.714895E-2</v>
      </c>
      <c r="K555">
        <v>0.4654861991</v>
      </c>
      <c r="L555">
        <v>6.8288296520084585E-2</v>
      </c>
      <c r="M555">
        <v>0.40972977912050751</v>
      </c>
      <c r="N555">
        <v>0.87521597822050745</v>
      </c>
      <c r="O555" t="s">
        <v>90</v>
      </c>
      <c r="P555">
        <v>0</v>
      </c>
      <c r="Q555" t="s">
        <v>90</v>
      </c>
      <c r="R555">
        <v>0</v>
      </c>
      <c r="S555" t="s">
        <v>90</v>
      </c>
      <c r="T555">
        <v>0</v>
      </c>
      <c r="U555">
        <v>0.87521597822050745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38</v>
      </c>
      <c r="AB555">
        <v>1</v>
      </c>
      <c r="AC555">
        <v>0.5</v>
      </c>
      <c r="AD555">
        <v>0.50048257265952256</v>
      </c>
      <c r="AE555">
        <v>10800</v>
      </c>
      <c r="AF555">
        <v>400000</v>
      </c>
      <c r="AG555">
        <v>33333.333333333336</v>
      </c>
      <c r="AH555">
        <v>1</v>
      </c>
      <c r="AI555">
        <v>1</v>
      </c>
      <c r="AJ555" t="s">
        <v>162</v>
      </c>
      <c r="AK555" t="s">
        <v>176</v>
      </c>
      <c r="AL555">
        <v>0</v>
      </c>
      <c r="AM555" t="s">
        <v>176</v>
      </c>
      <c r="AN555">
        <v>0</v>
      </c>
    </row>
    <row r="556" spans="1:40" x14ac:dyDescent="0.15">
      <c r="A556" s="4" t="str">
        <f>HYPERLINK("https://ibp.a2mac1.com/costing(costing:projects/details/9760/process/12084667)","Automated Process")</f>
        <v>Automated Process</v>
      </c>
      <c r="B556" t="s">
        <v>4235</v>
      </c>
      <c r="C556">
        <v>12084667</v>
      </c>
      <c r="D556">
        <v>8414908</v>
      </c>
      <c r="E556">
        <v>0.32504976000000002</v>
      </c>
      <c r="F556">
        <v>0</v>
      </c>
      <c r="G556">
        <v>0</v>
      </c>
      <c r="H556">
        <v>1.6488739705263157E-3</v>
      </c>
      <c r="I556" t="s">
        <v>176</v>
      </c>
      <c r="J556">
        <v>1.1405254736842105E-2</v>
      </c>
      <c r="K556">
        <v>0.33810388870736841</v>
      </c>
      <c r="L556">
        <v>2.1785227275609612E-2</v>
      </c>
      <c r="M556">
        <v>0.13071136365365768</v>
      </c>
      <c r="N556">
        <v>0.46881525236102611</v>
      </c>
      <c r="O556" t="s">
        <v>90</v>
      </c>
      <c r="P556">
        <v>0</v>
      </c>
      <c r="Q556" t="s">
        <v>90</v>
      </c>
      <c r="R556">
        <v>0</v>
      </c>
      <c r="S556" t="s">
        <v>90</v>
      </c>
      <c r="T556">
        <v>0</v>
      </c>
      <c r="U556">
        <v>0.46881525236102611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11</v>
      </c>
      <c r="AB556">
        <v>1</v>
      </c>
      <c r="AC556">
        <v>0.5</v>
      </c>
      <c r="AD556">
        <v>0.50345253019720215</v>
      </c>
      <c r="AE556">
        <v>10800</v>
      </c>
      <c r="AF556">
        <v>200000</v>
      </c>
      <c r="AG556">
        <v>16666.666666666668</v>
      </c>
      <c r="AH556">
        <v>1</v>
      </c>
      <c r="AI556">
        <v>1</v>
      </c>
      <c r="AJ556" t="s">
        <v>162</v>
      </c>
      <c r="AK556" t="s">
        <v>176</v>
      </c>
      <c r="AL556">
        <v>0</v>
      </c>
      <c r="AM556" t="s">
        <v>176</v>
      </c>
      <c r="AN556">
        <v>0</v>
      </c>
    </row>
    <row r="557" spans="1:40" x14ac:dyDescent="0.15">
      <c r="A557" s="4" t="str">
        <f>HYPERLINK("https://ibp.a2mac1.com/costing(costing:projects/details/9760/process/12084668)","Automated Process")</f>
        <v>Automated Process</v>
      </c>
      <c r="B557" t="s">
        <v>4235</v>
      </c>
      <c r="C557">
        <v>12084668</v>
      </c>
      <c r="D557">
        <v>8414909</v>
      </c>
      <c r="E557">
        <v>0.70066281600000002</v>
      </c>
      <c r="F557">
        <v>0</v>
      </c>
      <c r="G557">
        <v>0</v>
      </c>
      <c r="H557">
        <v>3.5542394475789473E-3</v>
      </c>
      <c r="I557" t="s">
        <v>176</v>
      </c>
      <c r="J557">
        <v>2.4584660210526316E-2</v>
      </c>
      <c r="K557">
        <v>0.72880171565810525</v>
      </c>
      <c r="L557">
        <v>4.4744315786827485E-2</v>
      </c>
      <c r="M557">
        <v>0.26846589472096494</v>
      </c>
      <c r="N557">
        <v>0.99726761037907019</v>
      </c>
      <c r="O557" t="s">
        <v>90</v>
      </c>
      <c r="P557">
        <v>0</v>
      </c>
      <c r="Q557" t="s">
        <v>90</v>
      </c>
      <c r="R557">
        <v>0</v>
      </c>
      <c r="S557" t="s">
        <v>90</v>
      </c>
      <c r="T557">
        <v>0</v>
      </c>
      <c r="U557">
        <v>0.99726761037907019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24</v>
      </c>
      <c r="AB557">
        <v>1</v>
      </c>
      <c r="AC557">
        <v>0.5</v>
      </c>
      <c r="AD557">
        <v>0.50345253019720215</v>
      </c>
      <c r="AE557">
        <v>10800</v>
      </c>
      <c r="AF557">
        <v>200000</v>
      </c>
      <c r="AG557">
        <v>16666.666666666668</v>
      </c>
      <c r="AH557">
        <v>1</v>
      </c>
      <c r="AI557">
        <v>1</v>
      </c>
      <c r="AJ557" t="s">
        <v>162</v>
      </c>
      <c r="AK557" t="s">
        <v>176</v>
      </c>
      <c r="AL557">
        <v>0</v>
      </c>
      <c r="AM557" t="s">
        <v>176</v>
      </c>
      <c r="AN557">
        <v>0</v>
      </c>
    </row>
    <row r="558" spans="1:40" x14ac:dyDescent="0.15">
      <c r="A558" s="4" t="str">
        <f>HYPERLINK("https://ibp.a2mac1.com/costing(costing:projects/details/9760/process/12084669)","Automated Process")</f>
        <v>Automated Process</v>
      </c>
      <c r="B558" t="s">
        <v>4522</v>
      </c>
      <c r="C558">
        <v>12084669</v>
      </c>
      <c r="D558">
        <v>8414910</v>
      </c>
      <c r="E558">
        <v>5.1818129999999997E-2</v>
      </c>
      <c r="F558">
        <v>0</v>
      </c>
      <c r="G558">
        <v>0</v>
      </c>
      <c r="H558">
        <v>2.6285688000000001E-4</v>
      </c>
      <c r="I558" t="s">
        <v>176</v>
      </c>
      <c r="J558">
        <v>1.81818E-3</v>
      </c>
      <c r="K558">
        <v>5.3899166880000002E-2</v>
      </c>
      <c r="L558">
        <v>9.422641154184605E-3</v>
      </c>
      <c r="M558">
        <v>5.653584692510763E-2</v>
      </c>
      <c r="N558">
        <v>0.11043501380510763</v>
      </c>
      <c r="O558" t="s">
        <v>90</v>
      </c>
      <c r="P558">
        <v>0</v>
      </c>
      <c r="Q558" t="s">
        <v>90</v>
      </c>
      <c r="R558">
        <v>0</v>
      </c>
      <c r="S558" t="s">
        <v>90</v>
      </c>
      <c r="T558">
        <v>0</v>
      </c>
      <c r="U558">
        <v>0.11043501380510763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</v>
      </c>
      <c r="AB558">
        <v>1</v>
      </c>
      <c r="AC558">
        <v>0.5</v>
      </c>
      <c r="AD558">
        <v>0.50345253019720215</v>
      </c>
      <c r="AE558">
        <v>10800</v>
      </c>
      <c r="AF558">
        <v>200000</v>
      </c>
      <c r="AG558">
        <v>16666.666666666668</v>
      </c>
      <c r="AH558">
        <v>1</v>
      </c>
      <c r="AI558">
        <v>1</v>
      </c>
      <c r="AJ558" t="s">
        <v>162</v>
      </c>
      <c r="AK558" t="s">
        <v>176</v>
      </c>
      <c r="AL558">
        <v>0</v>
      </c>
      <c r="AM558" t="s">
        <v>176</v>
      </c>
      <c r="AN558">
        <v>0</v>
      </c>
    </row>
    <row r="559" spans="1:40" x14ac:dyDescent="0.15">
      <c r="A559" s="4" t="str">
        <f>HYPERLINK("https://ibp.a2mac1.com/costing(costing:projects/details/9760/process/12084670)","Automated Process")</f>
        <v>Automated Process</v>
      </c>
      <c r="B559" t="s">
        <v>4526</v>
      </c>
      <c r="C559">
        <v>12084670</v>
      </c>
      <c r="D559">
        <v>8414911</v>
      </c>
      <c r="E559">
        <v>6.8717894736842103E-2</v>
      </c>
      <c r="F559">
        <v>0</v>
      </c>
      <c r="G559">
        <v>0</v>
      </c>
      <c r="H559">
        <v>3.4771254736842106E-4</v>
      </c>
      <c r="I559" t="s">
        <v>176</v>
      </c>
      <c r="J559">
        <v>2.4051263157894736E-3</v>
      </c>
      <c r="K559">
        <v>7.1470733600000003E-2</v>
      </c>
      <c r="L559">
        <v>7.6565574225524614E-3</v>
      </c>
      <c r="M559">
        <v>4.5939344535314765E-2</v>
      </c>
      <c r="N559">
        <v>0.11741007813531477</v>
      </c>
      <c r="O559" t="s">
        <v>90</v>
      </c>
      <c r="P559">
        <v>0</v>
      </c>
      <c r="Q559" t="s">
        <v>90</v>
      </c>
      <c r="R559">
        <v>0</v>
      </c>
      <c r="S559" t="s">
        <v>90</v>
      </c>
      <c r="T559">
        <v>0</v>
      </c>
      <c r="U559">
        <v>0.11741007813531477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</v>
      </c>
      <c r="AC559">
        <v>0.5</v>
      </c>
      <c r="AD559">
        <v>0.50345253019720215</v>
      </c>
      <c r="AE559">
        <v>10800</v>
      </c>
      <c r="AF559">
        <v>200000</v>
      </c>
      <c r="AG559">
        <v>16666.666666666668</v>
      </c>
      <c r="AH559">
        <v>1</v>
      </c>
      <c r="AI559">
        <v>1</v>
      </c>
      <c r="AJ559" t="s">
        <v>162</v>
      </c>
      <c r="AK559" t="s">
        <v>176</v>
      </c>
      <c r="AL559">
        <v>0</v>
      </c>
      <c r="AM559" t="s">
        <v>176</v>
      </c>
      <c r="AN559">
        <v>0</v>
      </c>
    </row>
    <row r="560" spans="1:40" x14ac:dyDescent="0.15">
      <c r="A560" s="4" t="str">
        <f>HYPERLINK("https://ibp.a2mac1.com/costing(costing:projects/details/9760/process/12084671)","Automated Process")</f>
        <v>Automated Process</v>
      </c>
      <c r="B560" t="s">
        <v>4235</v>
      </c>
      <c r="C560">
        <v>12084671</v>
      </c>
      <c r="D560">
        <v>8414912</v>
      </c>
      <c r="E560">
        <v>6.2602175999999995E-2</v>
      </c>
      <c r="F560">
        <v>0</v>
      </c>
      <c r="G560">
        <v>0</v>
      </c>
      <c r="H560">
        <v>3.1756091284210528E-4</v>
      </c>
      <c r="I560" t="s">
        <v>176</v>
      </c>
      <c r="J560">
        <v>2.1965675789473683E-3</v>
      </c>
      <c r="K560">
        <v>6.511630449178947E-2</v>
      </c>
      <c r="L560">
        <v>7.6565574225524614E-3</v>
      </c>
      <c r="M560">
        <v>4.5939344535314765E-2</v>
      </c>
      <c r="N560">
        <v>0.11105564902710424</v>
      </c>
      <c r="O560" t="s">
        <v>90</v>
      </c>
      <c r="P560">
        <v>0</v>
      </c>
      <c r="Q560" t="s">
        <v>90</v>
      </c>
      <c r="R560">
        <v>0</v>
      </c>
      <c r="S560" t="s">
        <v>90</v>
      </c>
      <c r="T560">
        <v>0</v>
      </c>
      <c r="U560">
        <v>0.11105564902710424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</v>
      </c>
      <c r="AC560">
        <v>0.5</v>
      </c>
      <c r="AD560">
        <v>0.50345253019720215</v>
      </c>
      <c r="AE560">
        <v>10800</v>
      </c>
      <c r="AF560">
        <v>200000</v>
      </c>
      <c r="AG560">
        <v>16666.666666666668</v>
      </c>
      <c r="AH560">
        <v>1</v>
      </c>
      <c r="AI560">
        <v>1</v>
      </c>
      <c r="AJ560" t="s">
        <v>162</v>
      </c>
      <c r="AK560" t="s">
        <v>176</v>
      </c>
      <c r="AL560">
        <v>0</v>
      </c>
      <c r="AM560" t="s">
        <v>176</v>
      </c>
      <c r="AN560">
        <v>0</v>
      </c>
    </row>
    <row r="561" spans="1:40" x14ac:dyDescent="0.15">
      <c r="A561" s="4" t="str">
        <f>HYPERLINK("https://ibp.a2mac1.com/costing(costing:projects/details/9760/process/12084672)","Automated Process")</f>
        <v>Automated Process</v>
      </c>
      <c r="B561" t="s">
        <v>4235</v>
      </c>
      <c r="C561">
        <v>12084672</v>
      </c>
      <c r="D561">
        <v>8414913</v>
      </c>
      <c r="E561">
        <v>3.4839884210526313E-2</v>
      </c>
      <c r="F561">
        <v>0</v>
      </c>
      <c r="G561">
        <v>0</v>
      </c>
      <c r="H561">
        <v>1.7628981410526315E-4</v>
      </c>
      <c r="I561" t="s">
        <v>176</v>
      </c>
      <c r="J561">
        <v>1.219395947368421E-3</v>
      </c>
      <c r="K561">
        <v>3.6235569971999997E-2</v>
      </c>
      <c r="L561">
        <v>5.8904736909203177E-3</v>
      </c>
      <c r="M561">
        <v>3.5342842145521906E-2</v>
      </c>
      <c r="N561">
        <v>7.1578412117521903E-2</v>
      </c>
      <c r="O561" t="s">
        <v>90</v>
      </c>
      <c r="P561">
        <v>0</v>
      </c>
      <c r="Q561" t="s">
        <v>90</v>
      </c>
      <c r="R561">
        <v>0</v>
      </c>
      <c r="S561" t="s">
        <v>90</v>
      </c>
      <c r="T561">
        <v>0</v>
      </c>
      <c r="U561">
        <v>7.1578412117521903E-2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</v>
      </c>
      <c r="AB561">
        <v>1</v>
      </c>
      <c r="AC561">
        <v>0.5</v>
      </c>
      <c r="AD561">
        <v>0.50345253019720215</v>
      </c>
      <c r="AE561">
        <v>10800</v>
      </c>
      <c r="AF561">
        <v>200000</v>
      </c>
      <c r="AG561">
        <v>16666.666666666668</v>
      </c>
      <c r="AH561">
        <v>1</v>
      </c>
      <c r="AI561">
        <v>1</v>
      </c>
      <c r="AJ561" t="s">
        <v>162</v>
      </c>
      <c r="AK561" t="s">
        <v>176</v>
      </c>
      <c r="AL561">
        <v>0</v>
      </c>
      <c r="AM561" t="s">
        <v>176</v>
      </c>
      <c r="AN561">
        <v>0</v>
      </c>
    </row>
    <row r="562" spans="1:40" x14ac:dyDescent="0.15">
      <c r="A562" s="4" t="str">
        <f>HYPERLINK("https://ibp.a2mac1.com/costing(costing:projects/details/9760/process/12084673)","Automated Process")</f>
        <v>Automated Process</v>
      </c>
      <c r="B562" t="s">
        <v>4235</v>
      </c>
      <c r="C562">
        <v>12084673</v>
      </c>
      <c r="D562">
        <v>8414914</v>
      </c>
      <c r="E562">
        <v>1.9250553E-2</v>
      </c>
      <c r="F562">
        <v>0</v>
      </c>
      <c r="G562">
        <v>0</v>
      </c>
      <c r="H562">
        <v>9.7651927999999996E-5</v>
      </c>
      <c r="I562" t="s">
        <v>176</v>
      </c>
      <c r="J562">
        <v>6.7545799999999998E-4</v>
      </c>
      <c r="K562">
        <v>2.0023662928000001E-2</v>
      </c>
      <c r="L562">
        <v>5.8904736909203177E-3</v>
      </c>
      <c r="M562">
        <v>3.5342842145521906E-2</v>
      </c>
      <c r="N562">
        <v>5.5366505073521907E-2</v>
      </c>
      <c r="O562" t="s">
        <v>90</v>
      </c>
      <c r="P562">
        <v>0</v>
      </c>
      <c r="Q562" t="s">
        <v>90</v>
      </c>
      <c r="R562">
        <v>0</v>
      </c>
      <c r="S562" t="s">
        <v>90</v>
      </c>
      <c r="T562">
        <v>0</v>
      </c>
      <c r="U562">
        <v>5.5366505073521907E-2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</v>
      </c>
      <c r="AB562">
        <v>1</v>
      </c>
      <c r="AC562">
        <v>0.5</v>
      </c>
      <c r="AD562">
        <v>0.50345253019720215</v>
      </c>
      <c r="AE562">
        <v>10800</v>
      </c>
      <c r="AF562">
        <v>200000</v>
      </c>
      <c r="AG562">
        <v>16666.666666666668</v>
      </c>
      <c r="AH562">
        <v>1</v>
      </c>
      <c r="AI562">
        <v>1</v>
      </c>
      <c r="AJ562" t="s">
        <v>162</v>
      </c>
      <c r="AK562" t="s">
        <v>176</v>
      </c>
      <c r="AL562">
        <v>0</v>
      </c>
      <c r="AM562" t="s">
        <v>176</v>
      </c>
      <c r="AN562">
        <v>0</v>
      </c>
    </row>
    <row r="563" spans="1:40" x14ac:dyDescent="0.15">
      <c r="A563" s="4" t="str">
        <f>HYPERLINK("https://ibp.a2mac1.com/costing(costing:projects/details/9760/process/12084674)","Automated Process")</f>
        <v>Automated Process</v>
      </c>
      <c r="B563" t="s">
        <v>4235</v>
      </c>
      <c r="C563">
        <v>12084674</v>
      </c>
      <c r="D563">
        <v>8414915</v>
      </c>
      <c r="E563">
        <v>7.712985E-2</v>
      </c>
      <c r="F563">
        <v>0</v>
      </c>
      <c r="G563">
        <v>0</v>
      </c>
      <c r="H563">
        <v>3.9125517894736845E-4</v>
      </c>
      <c r="I563" t="s">
        <v>176</v>
      </c>
      <c r="J563">
        <v>2.7063105263157895E-3</v>
      </c>
      <c r="K563">
        <v>8.0227415705263164E-2</v>
      </c>
      <c r="L563">
        <v>1.1188724885816749E-2</v>
      </c>
      <c r="M563">
        <v>6.7132349314900502E-2</v>
      </c>
      <c r="N563">
        <v>0.14735976502016365</v>
      </c>
      <c r="O563" t="s">
        <v>90</v>
      </c>
      <c r="P563">
        <v>0</v>
      </c>
      <c r="Q563" t="s">
        <v>90</v>
      </c>
      <c r="R563">
        <v>0</v>
      </c>
      <c r="S563" t="s">
        <v>90</v>
      </c>
      <c r="T563">
        <v>0</v>
      </c>
      <c r="U563">
        <v>0.14735976502016365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5</v>
      </c>
      <c r="AB563">
        <v>1</v>
      </c>
      <c r="AC563">
        <v>0.5</v>
      </c>
      <c r="AD563">
        <v>0.50345253019720215</v>
      </c>
      <c r="AE563">
        <v>10800</v>
      </c>
      <c r="AF563">
        <v>200000</v>
      </c>
      <c r="AG563">
        <v>16666.666666666668</v>
      </c>
      <c r="AH563">
        <v>1</v>
      </c>
      <c r="AI563">
        <v>1</v>
      </c>
      <c r="AJ563" t="s">
        <v>162</v>
      </c>
      <c r="AK563" t="s">
        <v>176</v>
      </c>
      <c r="AL563">
        <v>0</v>
      </c>
      <c r="AM563" t="s">
        <v>176</v>
      </c>
      <c r="AN563">
        <v>0</v>
      </c>
    </row>
    <row r="564" spans="1:40" x14ac:dyDescent="0.15">
      <c r="A564" s="4" t="str">
        <f>HYPERLINK("https://ibp.a2mac1.com/costing(costing:projects/details/9760/process/12084676)","Automated Process")</f>
        <v>Automated Process</v>
      </c>
      <c r="B564" t="s">
        <v>4235</v>
      </c>
      <c r="C564">
        <v>12084676</v>
      </c>
      <c r="D564">
        <v>8414918</v>
      </c>
      <c r="E564">
        <v>1.6590421052631579E-3</v>
      </c>
      <c r="F564">
        <v>0</v>
      </c>
      <c r="G564">
        <v>0</v>
      </c>
      <c r="H564">
        <v>8.3549360421052628E-6</v>
      </c>
      <c r="I564" t="s">
        <v>176</v>
      </c>
      <c r="J564">
        <v>5.8066473684210524E-5</v>
      </c>
      <c r="K564">
        <v>1.7254635149894736E-3</v>
      </c>
      <c r="L564">
        <v>2.2376915416675068E-3</v>
      </c>
      <c r="M564">
        <v>1.3426149250005041E-2</v>
      </c>
      <c r="N564">
        <v>1.5151612764994516E-2</v>
      </c>
      <c r="O564" t="s">
        <v>90</v>
      </c>
      <c r="P564">
        <v>0</v>
      </c>
      <c r="Q564" t="s">
        <v>90</v>
      </c>
      <c r="R564">
        <v>0</v>
      </c>
      <c r="S564" t="s">
        <v>90</v>
      </c>
      <c r="T564">
        <v>0</v>
      </c>
      <c r="U564">
        <v>1.5151612764994516E-2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0.5</v>
      </c>
      <c r="AD564">
        <v>0.50107657835142227</v>
      </c>
      <c r="AE564">
        <v>10800</v>
      </c>
      <c r="AF564">
        <v>1000000</v>
      </c>
      <c r="AG564">
        <v>83333.333333333328</v>
      </c>
      <c r="AH564">
        <v>1</v>
      </c>
      <c r="AI564">
        <v>1</v>
      </c>
      <c r="AJ564" t="s">
        <v>162</v>
      </c>
      <c r="AK564" t="s">
        <v>176</v>
      </c>
      <c r="AL564">
        <v>0</v>
      </c>
      <c r="AM564" t="s">
        <v>176</v>
      </c>
      <c r="AN564">
        <v>0</v>
      </c>
    </row>
    <row r="565" spans="1:40" x14ac:dyDescent="0.15">
      <c r="A565" s="4" t="str">
        <f>HYPERLINK("https://ibp.a2mac1.com/costing(costing:projects/details/9760/process/12084677)","Automated Process")</f>
        <v>Automated Process</v>
      </c>
      <c r="B565" t="s">
        <v>4235</v>
      </c>
      <c r="C565">
        <v>12084677</v>
      </c>
      <c r="D565">
        <v>8414919</v>
      </c>
      <c r="E565">
        <v>1.6590421052631579E-3</v>
      </c>
      <c r="F565">
        <v>0</v>
      </c>
      <c r="G565">
        <v>0</v>
      </c>
      <c r="H565">
        <v>8.3947530526315791E-6</v>
      </c>
      <c r="I565" t="s">
        <v>176</v>
      </c>
      <c r="J565">
        <v>5.8066473684210524E-5</v>
      </c>
      <c r="K565">
        <v>1.725503332E-3</v>
      </c>
      <c r="L565">
        <v>4.1243899592881732E-3</v>
      </c>
      <c r="M565">
        <v>2.4746339755729041E-2</v>
      </c>
      <c r="N565">
        <v>2.6471843087729041E-2</v>
      </c>
      <c r="O565" t="s">
        <v>90</v>
      </c>
      <c r="P565">
        <v>0</v>
      </c>
      <c r="Q565" t="s">
        <v>90</v>
      </c>
      <c r="R565">
        <v>0</v>
      </c>
      <c r="S565" t="s">
        <v>90</v>
      </c>
      <c r="T565">
        <v>0</v>
      </c>
      <c r="U565">
        <v>2.6471843087729041E-2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0.5</v>
      </c>
      <c r="AD565">
        <v>0.50345253019720215</v>
      </c>
      <c r="AE565">
        <v>10800</v>
      </c>
      <c r="AF565">
        <v>200000</v>
      </c>
      <c r="AG565">
        <v>16666.666666666668</v>
      </c>
      <c r="AH565">
        <v>1</v>
      </c>
      <c r="AI565">
        <v>1</v>
      </c>
      <c r="AJ565" t="s">
        <v>162</v>
      </c>
      <c r="AK565" t="s">
        <v>176</v>
      </c>
      <c r="AL565">
        <v>0</v>
      </c>
      <c r="AM565" t="s">
        <v>176</v>
      </c>
      <c r="AN565">
        <v>0</v>
      </c>
    </row>
    <row r="566" spans="1:40" x14ac:dyDescent="0.15">
      <c r="A566" s="4" t="str">
        <f>HYPERLINK("https://ibp.a2mac1.com/costing(costing:projects/details/9760/process/12084678)","Automated Process")</f>
        <v>Automated Process</v>
      </c>
      <c r="B566" t="s">
        <v>4235</v>
      </c>
      <c r="C566">
        <v>12084678</v>
      </c>
      <c r="D566">
        <v>8414920</v>
      </c>
      <c r="E566">
        <v>2.4525038999999998E-2</v>
      </c>
      <c r="F566">
        <v>0</v>
      </c>
      <c r="G566">
        <v>0</v>
      </c>
      <c r="H566">
        <v>1.2440771663157894E-4</v>
      </c>
      <c r="I566" t="s">
        <v>176</v>
      </c>
      <c r="J566">
        <v>8.6052768421052627E-4</v>
      </c>
      <c r="K566">
        <v>2.5509974400842104E-2</v>
      </c>
      <c r="L566">
        <v>4.1243899592881732E-3</v>
      </c>
      <c r="M566">
        <v>2.4746339755729041E-2</v>
      </c>
      <c r="N566">
        <v>5.0256314156571148E-2</v>
      </c>
      <c r="O566" t="s">
        <v>90</v>
      </c>
      <c r="P566">
        <v>0</v>
      </c>
      <c r="Q566" t="s">
        <v>90</v>
      </c>
      <c r="R566">
        <v>0</v>
      </c>
      <c r="S566" t="s">
        <v>90</v>
      </c>
      <c r="T566">
        <v>0</v>
      </c>
      <c r="U566">
        <v>5.0256314156571148E-2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0.5</v>
      </c>
      <c r="AD566">
        <v>0.50345253019720215</v>
      </c>
      <c r="AE566">
        <v>10800</v>
      </c>
      <c r="AF566">
        <v>200000</v>
      </c>
      <c r="AG566">
        <v>16666.666666666668</v>
      </c>
      <c r="AH566">
        <v>1</v>
      </c>
      <c r="AI566">
        <v>1</v>
      </c>
      <c r="AJ566" t="s">
        <v>162</v>
      </c>
      <c r="AK566" t="s">
        <v>176</v>
      </c>
      <c r="AL566">
        <v>0</v>
      </c>
      <c r="AM566" t="s">
        <v>176</v>
      </c>
      <c r="AN566">
        <v>0</v>
      </c>
    </row>
    <row r="567" spans="1:40" x14ac:dyDescent="0.15">
      <c r="A567" s="4" t="str">
        <f>HYPERLINK("https://ibp.a2mac1.com/costing(costing:projects/details/9760/process/12084679)","Automated Process")</f>
        <v>Automated Process</v>
      </c>
      <c r="B567" t="s">
        <v>4235</v>
      </c>
      <c r="C567">
        <v>12084679</v>
      </c>
      <c r="D567">
        <v>8414921</v>
      </c>
      <c r="E567">
        <v>4.3339968E-2</v>
      </c>
      <c r="F567">
        <v>0</v>
      </c>
      <c r="G567">
        <v>0</v>
      </c>
      <c r="H567">
        <v>2.1984986273684211E-4</v>
      </c>
      <c r="I567" t="s">
        <v>176</v>
      </c>
      <c r="J567">
        <v>1.5207006315789474E-3</v>
      </c>
      <c r="K567">
        <v>4.508051849431579E-2</v>
      </c>
      <c r="L567">
        <v>5.8904736909203177E-3</v>
      </c>
      <c r="M567">
        <v>3.5342842145521906E-2</v>
      </c>
      <c r="N567">
        <v>8.0423360639837696E-2</v>
      </c>
      <c r="O567" t="s">
        <v>90</v>
      </c>
      <c r="P567">
        <v>0</v>
      </c>
      <c r="Q567" t="s">
        <v>90</v>
      </c>
      <c r="R567">
        <v>0</v>
      </c>
      <c r="S567" t="s">
        <v>90</v>
      </c>
      <c r="T567">
        <v>0</v>
      </c>
      <c r="U567">
        <v>8.0423360639837696E-2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</v>
      </c>
      <c r="AB567">
        <v>1</v>
      </c>
      <c r="AC567">
        <v>0.5</v>
      </c>
      <c r="AD567">
        <v>0.50345253019720215</v>
      </c>
      <c r="AE567">
        <v>10800</v>
      </c>
      <c r="AF567">
        <v>200000</v>
      </c>
      <c r="AG567">
        <v>16666.666666666668</v>
      </c>
      <c r="AH567">
        <v>1</v>
      </c>
      <c r="AI567">
        <v>1</v>
      </c>
      <c r="AJ567" t="s">
        <v>162</v>
      </c>
      <c r="AK567" t="s">
        <v>176</v>
      </c>
      <c r="AL567">
        <v>0</v>
      </c>
      <c r="AM567" t="s">
        <v>176</v>
      </c>
      <c r="AN567">
        <v>0</v>
      </c>
    </row>
    <row r="568" spans="1:40" x14ac:dyDescent="0.15">
      <c r="A568" s="4" t="str">
        <f>HYPERLINK("https://ibp.a2mac1.com/costing(costing:projects/details/9760/process/12084680)","Automated Process")</f>
        <v>Automated Process</v>
      </c>
      <c r="B568" t="s">
        <v>4235</v>
      </c>
      <c r="C568">
        <v>12084680</v>
      </c>
      <c r="D568">
        <v>8414922</v>
      </c>
      <c r="E568">
        <v>1.2897500578947368E-2</v>
      </c>
      <c r="F568">
        <v>0</v>
      </c>
      <c r="G568">
        <v>0</v>
      </c>
      <c r="H568">
        <v>6.7149395789473681E-5</v>
      </c>
      <c r="I568" t="s">
        <v>176</v>
      </c>
      <c r="J568">
        <v>4.644721052631579E-4</v>
      </c>
      <c r="K568">
        <v>1.342912208E-2</v>
      </c>
      <c r="L568">
        <v>4.1243899592881732E-3</v>
      </c>
      <c r="M568">
        <v>2.4746339755729041E-2</v>
      </c>
      <c r="N568">
        <v>3.8175461835729042E-2</v>
      </c>
      <c r="O568" t="s">
        <v>90</v>
      </c>
      <c r="P568">
        <v>0</v>
      </c>
      <c r="Q568" t="s">
        <v>90</v>
      </c>
      <c r="R568">
        <v>0</v>
      </c>
      <c r="S568" t="s">
        <v>90</v>
      </c>
      <c r="T568">
        <v>0</v>
      </c>
      <c r="U568">
        <v>3.8175461835729042E-2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0.5</v>
      </c>
      <c r="AD568">
        <v>0.50345253019720215</v>
      </c>
      <c r="AE568">
        <v>10800</v>
      </c>
      <c r="AF568">
        <v>200000</v>
      </c>
      <c r="AG568">
        <v>16666.666666666668</v>
      </c>
      <c r="AH568">
        <v>1</v>
      </c>
      <c r="AI568">
        <v>1</v>
      </c>
      <c r="AJ568" t="s">
        <v>162</v>
      </c>
      <c r="AK568" t="s">
        <v>176</v>
      </c>
      <c r="AL568">
        <v>0</v>
      </c>
      <c r="AM568" t="s">
        <v>176</v>
      </c>
      <c r="AN568">
        <v>0</v>
      </c>
    </row>
    <row r="569" spans="1:40" x14ac:dyDescent="0.15">
      <c r="A569" s="4" t="str">
        <f>HYPERLINK("https://ibp.a2mac1.com/costing(costing:projects/details/9760/process/12084681)","Automated Process")</f>
        <v>Automated Process</v>
      </c>
      <c r="B569" t="s">
        <v>4573</v>
      </c>
      <c r="C569">
        <v>12084681</v>
      </c>
      <c r="D569">
        <v>8414923</v>
      </c>
      <c r="E569">
        <v>0.76589762974999998</v>
      </c>
      <c r="F569">
        <v>0</v>
      </c>
      <c r="G569">
        <v>0</v>
      </c>
      <c r="H569">
        <v>4.0983671038750001E-3</v>
      </c>
      <c r="I569" t="s">
        <v>176</v>
      </c>
      <c r="J569">
        <v>2.8517464937500001E-2</v>
      </c>
      <c r="K569">
        <v>0.79851346179137495</v>
      </c>
      <c r="L569">
        <v>2.0605459091810798E-2</v>
      </c>
      <c r="M569">
        <v>0.12363275455086478</v>
      </c>
      <c r="N569">
        <v>0.92214621634223981</v>
      </c>
      <c r="O569" t="s">
        <v>90</v>
      </c>
      <c r="P569">
        <v>0</v>
      </c>
      <c r="Q569" t="s">
        <v>90</v>
      </c>
      <c r="R569">
        <v>0</v>
      </c>
      <c r="S569" t="s">
        <v>90</v>
      </c>
      <c r="T569">
        <v>0</v>
      </c>
      <c r="U569">
        <v>0.92214621634223981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11</v>
      </c>
      <c r="AB569">
        <v>1</v>
      </c>
      <c r="AC569">
        <v>0.5</v>
      </c>
      <c r="AD569">
        <v>0.50048257265952256</v>
      </c>
      <c r="AE569">
        <v>10800</v>
      </c>
      <c r="AF569">
        <v>400000</v>
      </c>
      <c r="AG569">
        <v>33333.333333333336</v>
      </c>
      <c r="AH569">
        <v>1</v>
      </c>
      <c r="AI569">
        <v>1</v>
      </c>
      <c r="AJ569" t="s">
        <v>162</v>
      </c>
      <c r="AK569" t="s">
        <v>176</v>
      </c>
      <c r="AL569">
        <v>0</v>
      </c>
      <c r="AM569" t="s">
        <v>176</v>
      </c>
      <c r="AN569">
        <v>0</v>
      </c>
    </row>
    <row r="570" spans="1:40" x14ac:dyDescent="0.15">
      <c r="A570" s="4" t="str">
        <f>HYPERLINK("https://ibp.a2mac1.com/costing(costing:projects/details/9760/process/12084586)","Automated Process")</f>
        <v>Automated Process</v>
      </c>
      <c r="B570" t="s">
        <v>4254</v>
      </c>
      <c r="C570">
        <v>12084586</v>
      </c>
      <c r="D570">
        <v>8414766</v>
      </c>
      <c r="E570">
        <v>2.0416985390769229</v>
      </c>
      <c r="F570">
        <v>0</v>
      </c>
      <c r="G570">
        <v>0</v>
      </c>
      <c r="H570">
        <v>1.0331864846769231E-2</v>
      </c>
      <c r="I570" t="s">
        <v>176</v>
      </c>
      <c r="J570">
        <v>7.1465468307692306E-2</v>
      </c>
      <c r="K570">
        <v>2.1234958722313846</v>
      </c>
      <c r="L570">
        <v>3.5913897128666765E-2</v>
      </c>
      <c r="M570">
        <v>0.2154833827720006</v>
      </c>
      <c r="N570">
        <v>2.3389792550033852</v>
      </c>
      <c r="O570" t="s">
        <v>90</v>
      </c>
      <c r="P570">
        <v>0</v>
      </c>
      <c r="Q570" t="s">
        <v>90</v>
      </c>
      <c r="R570">
        <v>0</v>
      </c>
      <c r="S570" t="s">
        <v>90</v>
      </c>
      <c r="T570">
        <v>0</v>
      </c>
      <c r="U570">
        <v>2.3389792550033852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19</v>
      </c>
      <c r="AB570">
        <v>1</v>
      </c>
      <c r="AC570">
        <v>0.5</v>
      </c>
      <c r="AD570">
        <v>0.50345253019720215</v>
      </c>
      <c r="AE570">
        <v>10800</v>
      </c>
      <c r="AF570">
        <v>200000</v>
      </c>
      <c r="AG570">
        <v>16666.666666666668</v>
      </c>
      <c r="AH570">
        <v>1</v>
      </c>
      <c r="AI570">
        <v>1</v>
      </c>
      <c r="AJ570" t="s">
        <v>162</v>
      </c>
      <c r="AK570" t="s">
        <v>176</v>
      </c>
      <c r="AL570">
        <v>0</v>
      </c>
      <c r="AM570" t="s">
        <v>176</v>
      </c>
      <c r="AN570">
        <v>0</v>
      </c>
    </row>
    <row r="571" spans="1:40" x14ac:dyDescent="0.15">
      <c r="A571" s="4" t="str">
        <f>HYPERLINK("https://ibp.a2mac1.com/costing(costing:projects/details/9760/process/12084587)","Automated Process")</f>
        <v>Automated Process</v>
      </c>
      <c r="B571" t="s">
        <v>4254</v>
      </c>
      <c r="C571">
        <v>12084587</v>
      </c>
      <c r="D571">
        <v>8414767</v>
      </c>
      <c r="E571">
        <v>1.473799268923077</v>
      </c>
      <c r="F571">
        <v>0</v>
      </c>
      <c r="G571">
        <v>0</v>
      </c>
      <c r="H571">
        <v>7.4655770664939268E-3</v>
      </c>
      <c r="I571" t="s">
        <v>176</v>
      </c>
      <c r="J571">
        <v>5.1639367060728747E-2</v>
      </c>
      <c r="K571">
        <v>1.5329042130502997</v>
      </c>
      <c r="L571">
        <v>0.15777367461128469</v>
      </c>
      <c r="M571">
        <v>0.94664204766770821</v>
      </c>
      <c r="N571">
        <v>2.4795462607180077</v>
      </c>
      <c r="O571" t="s">
        <v>177</v>
      </c>
      <c r="P571">
        <v>9.1974252783017976E-2</v>
      </c>
      <c r="Q571" t="s">
        <v>177</v>
      </c>
      <c r="R571">
        <v>5.6798522860062491E-2</v>
      </c>
      <c r="S571" t="s">
        <v>178</v>
      </c>
      <c r="T571">
        <v>0.29754555128616095</v>
      </c>
      <c r="U571">
        <v>2.9258645876472493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88</v>
      </c>
      <c r="AB571">
        <v>1</v>
      </c>
      <c r="AC571">
        <v>0.5</v>
      </c>
      <c r="AD571">
        <v>0.50345253019720215</v>
      </c>
      <c r="AE571">
        <v>10800</v>
      </c>
      <c r="AF571">
        <v>200000</v>
      </c>
      <c r="AG571">
        <v>16666.666666666668</v>
      </c>
      <c r="AH571">
        <v>1</v>
      </c>
      <c r="AI571">
        <v>1</v>
      </c>
      <c r="AJ571" t="s">
        <v>162</v>
      </c>
      <c r="AK571" t="s">
        <v>176</v>
      </c>
      <c r="AL571">
        <v>0</v>
      </c>
      <c r="AM571" t="s">
        <v>176</v>
      </c>
      <c r="AN571">
        <v>0</v>
      </c>
    </row>
    <row r="572" spans="1:40" x14ac:dyDescent="0.15">
      <c r="A572" s="4" t="str">
        <f>HYPERLINK("https://ibp.a2mac1.com/costing(costing:projects/details/9760/process/12084588)","Automated Process")</f>
        <v>Automated Process</v>
      </c>
      <c r="B572" t="s">
        <v>4235</v>
      </c>
      <c r="C572">
        <v>12084588</v>
      </c>
      <c r="D572">
        <v>8414768</v>
      </c>
      <c r="E572">
        <v>1.9262207999999999E-2</v>
      </c>
      <c r="F572">
        <v>0</v>
      </c>
      <c r="G572">
        <v>0</v>
      </c>
      <c r="H572">
        <v>9.771105010526316E-5</v>
      </c>
      <c r="I572" t="s">
        <v>176</v>
      </c>
      <c r="J572">
        <v>6.7586694736842103E-4</v>
      </c>
      <c r="K572">
        <v>2.0035785997473684E-2</v>
      </c>
      <c r="L572">
        <v>4.1243899592881732E-3</v>
      </c>
      <c r="M572">
        <v>2.4746339755729041E-2</v>
      </c>
      <c r="N572">
        <v>4.4782125753202721E-2</v>
      </c>
      <c r="O572" t="s">
        <v>90</v>
      </c>
      <c r="P572">
        <v>0</v>
      </c>
      <c r="Q572" t="s">
        <v>90</v>
      </c>
      <c r="R572">
        <v>0</v>
      </c>
      <c r="S572" t="s">
        <v>90</v>
      </c>
      <c r="T572">
        <v>0</v>
      </c>
      <c r="U572">
        <v>4.4782125753202721E-2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0.5</v>
      </c>
      <c r="AD572">
        <v>0.50345253019720215</v>
      </c>
      <c r="AE572">
        <v>10800</v>
      </c>
      <c r="AF572">
        <v>200000</v>
      </c>
      <c r="AG572">
        <v>16666.666666666668</v>
      </c>
      <c r="AH572">
        <v>1</v>
      </c>
      <c r="AI572">
        <v>1</v>
      </c>
      <c r="AJ572" t="s">
        <v>162</v>
      </c>
      <c r="AK572" t="s">
        <v>176</v>
      </c>
      <c r="AL572">
        <v>0</v>
      </c>
      <c r="AM572" t="s">
        <v>176</v>
      </c>
      <c r="AN572">
        <v>0</v>
      </c>
    </row>
    <row r="573" spans="1:40" x14ac:dyDescent="0.15">
      <c r="A573" s="4" t="str">
        <f>HYPERLINK("https://ibp.a2mac1.com/costing(costing:projects/details/9760/process/12084589)","Automated Process")</f>
        <v>Automated Process</v>
      </c>
      <c r="B573" t="s">
        <v>4235</v>
      </c>
      <c r="C573">
        <v>12084589</v>
      </c>
      <c r="D573">
        <v>8414769</v>
      </c>
      <c r="E573">
        <v>1.5031464E-2</v>
      </c>
      <c r="F573">
        <v>0</v>
      </c>
      <c r="G573">
        <v>0</v>
      </c>
      <c r="H573">
        <v>7.6249832421052628E-5</v>
      </c>
      <c r="I573" t="s">
        <v>176</v>
      </c>
      <c r="J573">
        <v>5.2741978947368423E-4</v>
      </c>
      <c r="K573">
        <v>1.5635133621894736E-2</v>
      </c>
      <c r="L573">
        <v>4.1243899592881732E-3</v>
      </c>
      <c r="M573">
        <v>2.4746339755729041E-2</v>
      </c>
      <c r="N573">
        <v>4.0381473377623774E-2</v>
      </c>
      <c r="O573" t="s">
        <v>90</v>
      </c>
      <c r="P573">
        <v>0</v>
      </c>
      <c r="Q573" t="s">
        <v>90</v>
      </c>
      <c r="R573">
        <v>0</v>
      </c>
      <c r="S573" t="s">
        <v>90</v>
      </c>
      <c r="T573">
        <v>0</v>
      </c>
      <c r="U573">
        <v>4.0381473377623774E-2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0.5</v>
      </c>
      <c r="AD573">
        <v>0.50345253019720215</v>
      </c>
      <c r="AE573">
        <v>10800</v>
      </c>
      <c r="AF573">
        <v>200000</v>
      </c>
      <c r="AG573">
        <v>16666.666666666668</v>
      </c>
      <c r="AH573">
        <v>1</v>
      </c>
      <c r="AI573">
        <v>1</v>
      </c>
      <c r="AJ573" t="s">
        <v>162</v>
      </c>
      <c r="AK573" t="s">
        <v>176</v>
      </c>
      <c r="AL573">
        <v>0</v>
      </c>
      <c r="AM573" t="s">
        <v>176</v>
      </c>
      <c r="AN573">
        <v>0</v>
      </c>
    </row>
    <row r="574" spans="1:40" x14ac:dyDescent="0.15">
      <c r="A574" s="4" t="str">
        <f>HYPERLINK("https://ibp.a2mac1.com/costing(costing:projects/details/9760/process/12084590)","Automated Process")</f>
        <v>Automated Process</v>
      </c>
      <c r="B574" t="s">
        <v>4235</v>
      </c>
      <c r="C574">
        <v>12084590</v>
      </c>
      <c r="D574">
        <v>8414770</v>
      </c>
      <c r="E574">
        <v>1.5031464E-2</v>
      </c>
      <c r="F574">
        <v>0</v>
      </c>
      <c r="G574">
        <v>0</v>
      </c>
      <c r="H574">
        <v>7.6249832421052628E-5</v>
      </c>
      <c r="I574" t="s">
        <v>176</v>
      </c>
      <c r="J574">
        <v>5.2741978947368423E-4</v>
      </c>
      <c r="K574">
        <v>1.5635133621894736E-2</v>
      </c>
      <c r="L574">
        <v>4.1243899592881732E-3</v>
      </c>
      <c r="M574">
        <v>2.4746339755729041E-2</v>
      </c>
      <c r="N574">
        <v>4.0381473377623774E-2</v>
      </c>
      <c r="O574" t="s">
        <v>90</v>
      </c>
      <c r="P574">
        <v>0</v>
      </c>
      <c r="Q574" t="s">
        <v>90</v>
      </c>
      <c r="R574">
        <v>0</v>
      </c>
      <c r="S574" t="s">
        <v>90</v>
      </c>
      <c r="T574">
        <v>0</v>
      </c>
      <c r="U574">
        <v>4.0381473377623774E-2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0.5</v>
      </c>
      <c r="AD574">
        <v>0.50345253019720215</v>
      </c>
      <c r="AE574">
        <v>10800</v>
      </c>
      <c r="AF574">
        <v>200000</v>
      </c>
      <c r="AG574">
        <v>16666.666666666668</v>
      </c>
      <c r="AH574">
        <v>1</v>
      </c>
      <c r="AI574">
        <v>1</v>
      </c>
      <c r="AJ574" t="s">
        <v>162</v>
      </c>
      <c r="AK574" t="s">
        <v>176</v>
      </c>
      <c r="AL574">
        <v>0</v>
      </c>
      <c r="AM574" t="s">
        <v>176</v>
      </c>
      <c r="AN574">
        <v>0</v>
      </c>
    </row>
    <row r="575" spans="1:40" x14ac:dyDescent="0.15">
      <c r="A575" s="4" t="str">
        <f>HYPERLINK("https://ibp.a2mac1.com/costing(costing:projects/details/9760/process/12084591)","Automated Process")</f>
        <v>Automated Process</v>
      </c>
      <c r="B575" t="s">
        <v>4235</v>
      </c>
      <c r="C575">
        <v>12084591</v>
      </c>
      <c r="D575">
        <v>8414771</v>
      </c>
      <c r="E575">
        <v>9.5870606999999997E-2</v>
      </c>
      <c r="F575">
        <v>0</v>
      </c>
      <c r="G575">
        <v>0</v>
      </c>
      <c r="H575">
        <v>4.834377475789474E-4</v>
      </c>
      <c r="I575" t="s">
        <v>176</v>
      </c>
      <c r="J575">
        <v>3.3638809473684212E-3</v>
      </c>
      <c r="K575">
        <v>9.9717925694947362E-2</v>
      </c>
      <c r="L575">
        <v>8.2432419807768539E-3</v>
      </c>
      <c r="M575">
        <v>4.9459451884661124E-2</v>
      </c>
      <c r="N575">
        <v>0.1491773775796085</v>
      </c>
      <c r="O575" t="s">
        <v>90</v>
      </c>
      <c r="P575">
        <v>0</v>
      </c>
      <c r="Q575" t="s">
        <v>90</v>
      </c>
      <c r="R575">
        <v>0</v>
      </c>
      <c r="S575" t="s">
        <v>90</v>
      </c>
      <c r="T575">
        <v>0</v>
      </c>
      <c r="U575">
        <v>0.1491773775796085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4</v>
      </c>
      <c r="AB575">
        <v>1</v>
      </c>
      <c r="AC575">
        <v>0.5</v>
      </c>
      <c r="AD575">
        <v>0.50048257265952256</v>
      </c>
      <c r="AE575">
        <v>10800</v>
      </c>
      <c r="AF575">
        <v>400000</v>
      </c>
      <c r="AG575">
        <v>33333.333333333336</v>
      </c>
      <c r="AH575">
        <v>1</v>
      </c>
      <c r="AI575">
        <v>1</v>
      </c>
      <c r="AJ575" t="s">
        <v>162</v>
      </c>
      <c r="AK575" t="s">
        <v>176</v>
      </c>
      <c r="AL575">
        <v>0</v>
      </c>
      <c r="AM575" t="s">
        <v>176</v>
      </c>
      <c r="AN575">
        <v>0</v>
      </c>
    </row>
    <row r="576" spans="1:40" x14ac:dyDescent="0.15">
      <c r="A576" s="4" t="str">
        <f>HYPERLINK("https://ibp.a2mac1.com/costing(costing:projects/details/9760/process/12084682)","Process")</f>
        <v>Process</v>
      </c>
      <c r="B576" t="s">
        <v>4612</v>
      </c>
      <c r="C576">
        <v>12084682</v>
      </c>
      <c r="D576">
        <v>8414925</v>
      </c>
      <c r="E576">
        <v>41.91</v>
      </c>
      <c r="F576">
        <v>0</v>
      </c>
      <c r="G576">
        <v>0</v>
      </c>
      <c r="H576">
        <v>0.21206459999999999</v>
      </c>
      <c r="I576" t="s">
        <v>176</v>
      </c>
      <c r="J576">
        <v>1.46685</v>
      </c>
      <c r="K576">
        <v>43.588914600000003</v>
      </c>
      <c r="L576">
        <v>1.8638105593679357</v>
      </c>
      <c r="M576">
        <v>11.182863356207616</v>
      </c>
      <c r="N576">
        <v>54.771777956207615</v>
      </c>
      <c r="O576" t="s">
        <v>177</v>
      </c>
      <c r="P576">
        <v>2.6153348759999999</v>
      </c>
      <c r="Q576" t="s">
        <v>177</v>
      </c>
      <c r="R576">
        <v>0.67097180137245693</v>
      </c>
      <c r="S576" t="s">
        <v>178</v>
      </c>
      <c r="T576">
        <v>6.5726133547449139</v>
      </c>
      <c r="U576">
        <v>64.630697988324982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1054</v>
      </c>
      <c r="AB576">
        <v>1</v>
      </c>
      <c r="AC576">
        <v>0.5</v>
      </c>
      <c r="AD576">
        <v>0.50345253019720215</v>
      </c>
      <c r="AE576">
        <v>10800</v>
      </c>
      <c r="AF576">
        <v>200000</v>
      </c>
      <c r="AG576">
        <v>16666.666666666668</v>
      </c>
      <c r="AH576">
        <v>1</v>
      </c>
      <c r="AI576">
        <v>1</v>
      </c>
      <c r="AJ576" t="s">
        <v>162</v>
      </c>
      <c r="AK576" t="s">
        <v>176</v>
      </c>
      <c r="AL576">
        <v>0</v>
      </c>
      <c r="AM576" t="s">
        <v>176</v>
      </c>
      <c r="AN576">
        <v>0</v>
      </c>
    </row>
    <row r="577" spans="1:40" x14ac:dyDescent="0.15">
      <c r="A577" s="4" t="str">
        <f>HYPERLINK("https://ibp.a2mac1.com/costing(costing:projects/details/9760/process/12084751)","Process")</f>
        <v>Process</v>
      </c>
      <c r="B577" t="s">
        <v>4620</v>
      </c>
      <c r="C577">
        <v>12084751</v>
      </c>
      <c r="D577">
        <v>8415021</v>
      </c>
      <c r="E577">
        <v>10.99</v>
      </c>
      <c r="F577">
        <v>0</v>
      </c>
      <c r="G577">
        <v>0</v>
      </c>
      <c r="H577">
        <v>5.5609400000000003E-2</v>
      </c>
      <c r="I577" t="s">
        <v>176</v>
      </c>
      <c r="J577">
        <v>0.38464999999999999</v>
      </c>
      <c r="K577">
        <v>11.430259400000001</v>
      </c>
      <c r="L577">
        <v>0.69996138022235288</v>
      </c>
      <c r="M577">
        <v>4.1997682813341175</v>
      </c>
      <c r="N577">
        <v>15.630027681334118</v>
      </c>
      <c r="O577" t="s">
        <v>177</v>
      </c>
      <c r="P577">
        <v>0.68581556399999999</v>
      </c>
      <c r="Q577" t="s">
        <v>177</v>
      </c>
      <c r="R577">
        <v>0.25198609688004703</v>
      </c>
      <c r="S577" t="s">
        <v>178</v>
      </c>
      <c r="T577">
        <v>1.875603321760094</v>
      </c>
      <c r="U577">
        <v>18.44343266397426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395</v>
      </c>
      <c r="AB577">
        <v>1</v>
      </c>
      <c r="AC577">
        <v>0.5</v>
      </c>
      <c r="AD577">
        <v>0.50345253019720215</v>
      </c>
      <c r="AE577">
        <v>10800</v>
      </c>
      <c r="AF577">
        <v>200000</v>
      </c>
      <c r="AG577">
        <v>16666.666666666668</v>
      </c>
      <c r="AH577">
        <v>1</v>
      </c>
      <c r="AI577">
        <v>1</v>
      </c>
      <c r="AJ577" t="s">
        <v>162</v>
      </c>
      <c r="AK577" t="s">
        <v>176</v>
      </c>
      <c r="AL577">
        <v>0</v>
      </c>
      <c r="AM577" t="s">
        <v>176</v>
      </c>
      <c r="AN577">
        <v>0</v>
      </c>
    </row>
    <row r="578" spans="1:40" x14ac:dyDescent="0.15">
      <c r="A578" s="4" t="str">
        <f>HYPERLINK("https://ibp.a2mac1.com/costing(costing:projects/details/9760/process/12084752)","Process")</f>
        <v>Process</v>
      </c>
      <c r="B578" t="s">
        <v>4620</v>
      </c>
      <c r="C578">
        <v>12084752</v>
      </c>
      <c r="D578">
        <v>8415022</v>
      </c>
      <c r="E578">
        <v>10.99</v>
      </c>
      <c r="F578">
        <v>0</v>
      </c>
      <c r="G578">
        <v>0</v>
      </c>
      <c r="H578">
        <v>5.5609400000000003E-2</v>
      </c>
      <c r="I578" t="s">
        <v>176</v>
      </c>
      <c r="J578">
        <v>0.38464999999999999</v>
      </c>
      <c r="K578">
        <v>11.430259400000001</v>
      </c>
      <c r="L578">
        <v>0.69996138022235288</v>
      </c>
      <c r="M578">
        <v>4.1997682813341175</v>
      </c>
      <c r="N578">
        <v>15.630027681334118</v>
      </c>
      <c r="O578" t="s">
        <v>177</v>
      </c>
      <c r="P578">
        <v>0.68581556399999999</v>
      </c>
      <c r="Q578" t="s">
        <v>177</v>
      </c>
      <c r="R578">
        <v>0.25198609688004703</v>
      </c>
      <c r="S578" t="s">
        <v>178</v>
      </c>
      <c r="T578">
        <v>1.875603321760094</v>
      </c>
      <c r="U578">
        <v>18.44343266397426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395</v>
      </c>
      <c r="AB578">
        <v>1</v>
      </c>
      <c r="AC578">
        <v>0.5</v>
      </c>
      <c r="AD578">
        <v>0.50345253019720215</v>
      </c>
      <c r="AE578">
        <v>10800</v>
      </c>
      <c r="AF578">
        <v>200000</v>
      </c>
      <c r="AG578">
        <v>16666.666666666668</v>
      </c>
      <c r="AH578">
        <v>1</v>
      </c>
      <c r="AI578">
        <v>1</v>
      </c>
      <c r="AJ578" t="s">
        <v>162</v>
      </c>
      <c r="AK578" t="s">
        <v>176</v>
      </c>
      <c r="AL578">
        <v>0</v>
      </c>
      <c r="AM578" t="s">
        <v>176</v>
      </c>
      <c r="AN578">
        <v>0</v>
      </c>
    </row>
    <row r="579" spans="1:40" x14ac:dyDescent="0.15">
      <c r="A579" s="4" t="str">
        <f>HYPERLINK("https://ibp.a2mac1.com/costing(costing:projects/details/9760/process/12084753)","Process")</f>
        <v>Process</v>
      </c>
      <c r="B579" t="s">
        <v>2187</v>
      </c>
      <c r="C579">
        <v>12084753</v>
      </c>
      <c r="D579">
        <v>8415023</v>
      </c>
      <c r="E579">
        <v>0.38</v>
      </c>
      <c r="F579">
        <v>0</v>
      </c>
      <c r="G579">
        <v>0</v>
      </c>
      <c r="H579">
        <v>1.9227999999999999E-3</v>
      </c>
      <c r="I579" t="s">
        <v>176</v>
      </c>
      <c r="J579">
        <v>1.3299999999999999E-2</v>
      </c>
      <c r="K579">
        <v>0.39522279999999999</v>
      </c>
      <c r="L579">
        <v>5.1808650713356059E-2</v>
      </c>
      <c r="M579">
        <v>0.31085190428013637</v>
      </c>
      <c r="N579">
        <v>0.70607470428013641</v>
      </c>
      <c r="O579" t="s">
        <v>177</v>
      </c>
      <c r="P579">
        <v>2.3713367999999999E-2</v>
      </c>
      <c r="Q579" t="s">
        <v>177</v>
      </c>
      <c r="R579">
        <v>1.8651114256808182E-2</v>
      </c>
      <c r="S579" t="s">
        <v>178</v>
      </c>
      <c r="T579">
        <v>8.4728964513616362E-2</v>
      </c>
      <c r="U579">
        <v>0.83316815105056097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28</v>
      </c>
      <c r="AB579">
        <v>1</v>
      </c>
      <c r="AC579">
        <v>0.5</v>
      </c>
      <c r="AD579">
        <v>0.50345253019720215</v>
      </c>
      <c r="AE579">
        <v>10800</v>
      </c>
      <c r="AF579">
        <v>200000</v>
      </c>
      <c r="AG579">
        <v>16666.666666666668</v>
      </c>
      <c r="AH579">
        <v>1</v>
      </c>
      <c r="AI579">
        <v>1</v>
      </c>
      <c r="AJ579" t="s">
        <v>162</v>
      </c>
      <c r="AK579" t="s">
        <v>176</v>
      </c>
      <c r="AL579">
        <v>0</v>
      </c>
      <c r="AM579" t="s">
        <v>176</v>
      </c>
      <c r="AN579">
        <v>0</v>
      </c>
    </row>
    <row r="580" spans="1:40" x14ac:dyDescent="0.15">
      <c r="A580" s="4" t="str">
        <f>HYPERLINK("https://ibp.a2mac1.com/costing(costing:projects/details/9760/process/12084754)","Process")</f>
        <v>Process</v>
      </c>
      <c r="B580" t="s">
        <v>2187</v>
      </c>
      <c r="C580">
        <v>12084754</v>
      </c>
      <c r="D580">
        <v>8415024</v>
      </c>
      <c r="E580">
        <v>0.38</v>
      </c>
      <c r="F580">
        <v>0</v>
      </c>
      <c r="G580">
        <v>0</v>
      </c>
      <c r="H580">
        <v>1.9113999999999999E-3</v>
      </c>
      <c r="I580" t="s">
        <v>176</v>
      </c>
      <c r="J580">
        <v>1.3299999999999999E-2</v>
      </c>
      <c r="K580">
        <v>0.39521139999999999</v>
      </c>
      <c r="L580">
        <v>5.0627986361464664E-2</v>
      </c>
      <c r="M580">
        <v>0.30376791816878795</v>
      </c>
      <c r="N580">
        <v>0.698979318168788</v>
      </c>
      <c r="O580" t="s">
        <v>177</v>
      </c>
      <c r="P580">
        <v>2.3712684000000001E-2</v>
      </c>
      <c r="Q580" t="s">
        <v>177</v>
      </c>
      <c r="R580">
        <v>1.8226075090127278E-2</v>
      </c>
      <c r="S580" t="s">
        <v>178</v>
      </c>
      <c r="T580">
        <v>8.3877518180254559E-2</v>
      </c>
      <c r="U580">
        <v>0.8247955954391698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28</v>
      </c>
      <c r="AB580">
        <v>1</v>
      </c>
      <c r="AC580">
        <v>0.5</v>
      </c>
      <c r="AD580">
        <v>0.50048257265952256</v>
      </c>
      <c r="AE580">
        <v>10800</v>
      </c>
      <c r="AF580">
        <v>400000</v>
      </c>
      <c r="AG580">
        <v>33333.333333333336</v>
      </c>
      <c r="AH580">
        <v>1</v>
      </c>
      <c r="AI580">
        <v>1</v>
      </c>
      <c r="AJ580" t="s">
        <v>162</v>
      </c>
      <c r="AK580" t="s">
        <v>176</v>
      </c>
      <c r="AL580">
        <v>0</v>
      </c>
      <c r="AM580" t="s">
        <v>176</v>
      </c>
      <c r="AN580">
        <v>0</v>
      </c>
    </row>
    <row r="581" spans="1:40" x14ac:dyDescent="0.15">
      <c r="A581" s="4" t="str">
        <f>HYPERLINK("https://ibp.a2mac1.com/costing(costing:projects/details/9760/process/12084755)","Process")</f>
        <v>Process</v>
      </c>
      <c r="B581" t="s">
        <v>846</v>
      </c>
      <c r="C581">
        <v>12084755</v>
      </c>
      <c r="D581">
        <v>8415025</v>
      </c>
      <c r="E581">
        <v>0.11945103157894738</v>
      </c>
      <c r="F581">
        <v>0</v>
      </c>
      <c r="G581">
        <v>0</v>
      </c>
      <c r="H581">
        <v>6.044222197894737E-4</v>
      </c>
      <c r="I581" t="s">
        <v>176</v>
      </c>
      <c r="J581">
        <v>4.1807861052631581E-3</v>
      </c>
      <c r="K581">
        <v>0.124236239904</v>
      </c>
      <c r="L581">
        <v>1.4720892349081038E-2</v>
      </c>
      <c r="M581">
        <v>8.8325354094486219E-2</v>
      </c>
      <c r="N581">
        <v>0.21256159399848623</v>
      </c>
      <c r="O581" t="s">
        <v>177</v>
      </c>
      <c r="P581">
        <v>7.4541743942400001E-3</v>
      </c>
      <c r="Q581" t="s">
        <v>177</v>
      </c>
      <c r="R581">
        <v>5.2995212456691731E-3</v>
      </c>
      <c r="S581" t="s">
        <v>178</v>
      </c>
      <c r="T581">
        <v>2.5507391279818346E-2</v>
      </c>
      <c r="U581">
        <v>0.25082268091821375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7</v>
      </c>
      <c r="AB581">
        <v>1</v>
      </c>
      <c r="AC581">
        <v>0.5</v>
      </c>
      <c r="AD581">
        <v>0.50345253019720215</v>
      </c>
      <c r="AE581">
        <v>10800</v>
      </c>
      <c r="AF581">
        <v>200000</v>
      </c>
      <c r="AG581">
        <v>16666.666666666668</v>
      </c>
      <c r="AH581">
        <v>1</v>
      </c>
      <c r="AI581">
        <v>1</v>
      </c>
      <c r="AJ581" t="s">
        <v>162</v>
      </c>
      <c r="AK581" t="s">
        <v>176</v>
      </c>
      <c r="AL581">
        <v>0</v>
      </c>
      <c r="AM581" t="s">
        <v>176</v>
      </c>
      <c r="AN581">
        <v>0</v>
      </c>
    </row>
    <row r="582" spans="1:40" x14ac:dyDescent="0.15">
      <c r="A582" s="4" t="str">
        <f>HYPERLINK("https://ibp.a2mac1.com/costing(costing:projects/details/9760/process/12084756)","Process")</f>
        <v>Process</v>
      </c>
      <c r="B582" t="s">
        <v>846</v>
      </c>
      <c r="C582">
        <v>12084756</v>
      </c>
      <c r="D582">
        <v>8415026</v>
      </c>
      <c r="E582">
        <v>0.11945103157894738</v>
      </c>
      <c r="F582">
        <v>0</v>
      </c>
      <c r="G582">
        <v>0</v>
      </c>
      <c r="H582">
        <v>6.0083868884210523E-4</v>
      </c>
      <c r="I582" t="s">
        <v>176</v>
      </c>
      <c r="J582">
        <v>4.1807861052631581E-3</v>
      </c>
      <c r="K582">
        <v>0.12423265637305263</v>
      </c>
      <c r="L582">
        <v>1.3541335028362829E-2</v>
      </c>
      <c r="M582">
        <v>8.1248010170176979E-2</v>
      </c>
      <c r="N582">
        <v>0.20548066654322961</v>
      </c>
      <c r="O582" t="s">
        <v>177</v>
      </c>
      <c r="P582">
        <v>7.4539593823831577E-3</v>
      </c>
      <c r="Q582" t="s">
        <v>177</v>
      </c>
      <c r="R582">
        <v>4.8748806102106189E-3</v>
      </c>
      <c r="S582" t="s">
        <v>178</v>
      </c>
      <c r="T582">
        <v>2.4657679985187551E-2</v>
      </c>
      <c r="U582">
        <v>0.24246718652101093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7</v>
      </c>
      <c r="AB582">
        <v>1</v>
      </c>
      <c r="AC582">
        <v>0.5</v>
      </c>
      <c r="AD582">
        <v>0.50048257265952256</v>
      </c>
      <c r="AE582">
        <v>10800</v>
      </c>
      <c r="AF582">
        <v>400000</v>
      </c>
      <c r="AG582">
        <v>33333.333333333336</v>
      </c>
      <c r="AH582">
        <v>1</v>
      </c>
      <c r="AI582">
        <v>1</v>
      </c>
      <c r="AJ582" t="s">
        <v>162</v>
      </c>
      <c r="AK582" t="s">
        <v>176</v>
      </c>
      <c r="AL582">
        <v>0</v>
      </c>
      <c r="AM582" t="s">
        <v>176</v>
      </c>
      <c r="AN582">
        <v>0</v>
      </c>
    </row>
    <row r="583" spans="1:40" x14ac:dyDescent="0.15">
      <c r="A583" s="4" t="str">
        <f>HYPERLINK("https://ibp.a2mac1.com/costing(costing:projects/details/9760/process/12084757)","Process")</f>
        <v>Process</v>
      </c>
      <c r="B583" t="s">
        <v>360</v>
      </c>
      <c r="C583">
        <v>12084757</v>
      </c>
      <c r="D583">
        <v>8415027</v>
      </c>
      <c r="E583">
        <v>0</v>
      </c>
      <c r="F583">
        <v>0</v>
      </c>
      <c r="G583">
        <v>0</v>
      </c>
      <c r="H583">
        <v>0</v>
      </c>
      <c r="I583" t="s">
        <v>176</v>
      </c>
      <c r="J583">
        <v>0</v>
      </c>
      <c r="K583">
        <v>0</v>
      </c>
      <c r="L583">
        <v>6.2932796569590013E-2</v>
      </c>
      <c r="M583">
        <v>0.22026478799356505</v>
      </c>
      <c r="N583">
        <v>0.22026478799356505</v>
      </c>
      <c r="O583" t="s">
        <v>90</v>
      </c>
      <c r="P583">
        <v>0</v>
      </c>
      <c r="Q583" t="s">
        <v>90</v>
      </c>
      <c r="R583">
        <v>0</v>
      </c>
      <c r="S583" t="s">
        <v>90</v>
      </c>
      <c r="T583">
        <v>0</v>
      </c>
      <c r="U583">
        <v>0.22026478799356505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29</v>
      </c>
      <c r="AB583">
        <v>1</v>
      </c>
      <c r="AC583">
        <v>0</v>
      </c>
      <c r="AD583">
        <v>0</v>
      </c>
      <c r="AE583">
        <v>216</v>
      </c>
      <c r="AF583">
        <v>200000</v>
      </c>
      <c r="AG583">
        <v>10000</v>
      </c>
      <c r="AH583">
        <v>1</v>
      </c>
      <c r="AI583">
        <v>1</v>
      </c>
      <c r="AJ583" t="s">
        <v>76</v>
      </c>
      <c r="AK583" t="s">
        <v>176</v>
      </c>
      <c r="AL583">
        <v>0</v>
      </c>
      <c r="AM583" t="s">
        <v>176</v>
      </c>
      <c r="AN583">
        <v>0</v>
      </c>
    </row>
    <row r="584" spans="1:40" x14ac:dyDescent="0.15">
      <c r="A584" s="4" t="str">
        <f>HYPERLINK("https://ibp.a2mac1.com/costing(costing:projects/details/9760/process/12084683)","Process")</f>
        <v>Process</v>
      </c>
      <c r="B584" t="s">
        <v>4652</v>
      </c>
      <c r="C584">
        <v>12084683</v>
      </c>
      <c r="D584">
        <v>8414926</v>
      </c>
      <c r="E584">
        <v>3.5000000000000003E-2</v>
      </c>
      <c r="F584">
        <v>0</v>
      </c>
      <c r="G584">
        <v>0</v>
      </c>
      <c r="H584">
        <v>1.7605E-4</v>
      </c>
      <c r="I584" t="s">
        <v>176</v>
      </c>
      <c r="J584">
        <v>1.225E-3</v>
      </c>
      <c r="K584">
        <v>3.6401049999999997E-2</v>
      </c>
      <c r="L584">
        <v>1.1775304012500837E-2</v>
      </c>
      <c r="M584">
        <v>7.0651824075005018E-2</v>
      </c>
      <c r="N584">
        <v>0.10705287407500502</v>
      </c>
      <c r="O584" t="s">
        <v>177</v>
      </c>
      <c r="P584">
        <v>2.184063E-3</v>
      </c>
      <c r="Q584" t="s">
        <v>177</v>
      </c>
      <c r="R584">
        <v>4.2391094445003016E-3</v>
      </c>
      <c r="S584" t="s">
        <v>178</v>
      </c>
      <c r="T584">
        <v>1.2846344889000603E-2</v>
      </c>
      <c r="U584">
        <v>0.12632239140850593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6</v>
      </c>
      <c r="AB584">
        <v>1</v>
      </c>
      <c r="AC584">
        <v>0.5</v>
      </c>
      <c r="AD584">
        <v>0.50048257265952256</v>
      </c>
      <c r="AE584">
        <v>10800</v>
      </c>
      <c r="AF584">
        <v>400000</v>
      </c>
      <c r="AG584">
        <v>33333.333333333336</v>
      </c>
      <c r="AH584">
        <v>1</v>
      </c>
      <c r="AI584">
        <v>1</v>
      </c>
      <c r="AJ584" t="s">
        <v>162</v>
      </c>
      <c r="AK584" t="s">
        <v>176</v>
      </c>
      <c r="AL584">
        <v>0</v>
      </c>
      <c r="AM584" t="s">
        <v>176</v>
      </c>
      <c r="AN584">
        <v>0</v>
      </c>
    </row>
    <row r="585" spans="1:40" x14ac:dyDescent="0.15">
      <c r="A585" s="4" t="str">
        <f>HYPERLINK("https://ibp.a2mac1.com/costing(costing:projects/details/9760/process/12084812)","Process")</f>
        <v>Process</v>
      </c>
      <c r="B585" t="s">
        <v>794</v>
      </c>
      <c r="C585">
        <v>12084812</v>
      </c>
      <c r="D585">
        <v>8415105</v>
      </c>
      <c r="E585">
        <v>0.447186054</v>
      </c>
      <c r="F585">
        <v>0</v>
      </c>
      <c r="G585">
        <v>0</v>
      </c>
      <c r="H585">
        <v>2.268432514526316E-3</v>
      </c>
      <c r="I585" t="s">
        <v>176</v>
      </c>
      <c r="J585">
        <v>1.5690738736842104E-2</v>
      </c>
      <c r="K585">
        <v>0.46514522525136842</v>
      </c>
      <c r="L585">
        <v>3.767998086029891E-2</v>
      </c>
      <c r="M585">
        <v>0.22607988516179345</v>
      </c>
      <c r="N585">
        <v>0.69122511041316193</v>
      </c>
      <c r="O585" t="s">
        <v>177</v>
      </c>
      <c r="P585">
        <v>2.7908713515082104E-2</v>
      </c>
      <c r="Q585" t="s">
        <v>177</v>
      </c>
      <c r="R585">
        <v>1.3564793109707608E-2</v>
      </c>
      <c r="S585" t="s">
        <v>178</v>
      </c>
      <c r="T585">
        <v>8.2947013249579427E-2</v>
      </c>
      <c r="U585">
        <v>0.81564563028753101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20</v>
      </c>
      <c r="AB585">
        <v>1</v>
      </c>
      <c r="AC585">
        <v>0.5</v>
      </c>
      <c r="AD585">
        <v>0.50345253019720215</v>
      </c>
      <c r="AE585">
        <v>10800</v>
      </c>
      <c r="AF585">
        <v>200000</v>
      </c>
      <c r="AG585">
        <v>16666.666666666668</v>
      </c>
      <c r="AH585">
        <v>1</v>
      </c>
      <c r="AI585">
        <v>1</v>
      </c>
      <c r="AJ585" t="s">
        <v>316</v>
      </c>
      <c r="AK585" t="s">
        <v>176</v>
      </c>
      <c r="AL585">
        <v>0</v>
      </c>
      <c r="AM585" t="s">
        <v>176</v>
      </c>
      <c r="AN585">
        <v>0</v>
      </c>
    </row>
    <row r="586" spans="1:40" x14ac:dyDescent="0.15">
      <c r="A586" s="4" t="str">
        <f>HYPERLINK("https://ibp.a2mac1.com/costing(costing:projects/details/9760/process/12084758)","Process")</f>
        <v>Process</v>
      </c>
      <c r="B586" t="s">
        <v>4668</v>
      </c>
      <c r="C586">
        <v>12084758</v>
      </c>
      <c r="D586">
        <v>8415029</v>
      </c>
      <c r="E586">
        <v>1.43</v>
      </c>
      <c r="F586">
        <v>0</v>
      </c>
      <c r="G586">
        <v>0</v>
      </c>
      <c r="H586">
        <v>7.2357999999999997E-3</v>
      </c>
      <c r="I586" t="s">
        <v>176</v>
      </c>
      <c r="J586">
        <v>5.0049999999999997E-2</v>
      </c>
      <c r="K586">
        <v>1.4872858</v>
      </c>
      <c r="L586">
        <v>0.18956318178066328</v>
      </c>
      <c r="M586">
        <v>1.1373790906839798</v>
      </c>
      <c r="N586">
        <v>2.6246648906839796</v>
      </c>
      <c r="O586" t="s">
        <v>177</v>
      </c>
      <c r="P586">
        <v>8.9237148000000002E-2</v>
      </c>
      <c r="Q586" t="s">
        <v>177</v>
      </c>
      <c r="R586">
        <v>6.8242745441038782E-2</v>
      </c>
      <c r="S586" t="s">
        <v>178</v>
      </c>
      <c r="T586">
        <v>0.3149597868820776</v>
      </c>
      <c r="U586">
        <v>3.0971045710070961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106</v>
      </c>
      <c r="AB586">
        <v>1</v>
      </c>
      <c r="AC586">
        <v>0.5</v>
      </c>
      <c r="AD586">
        <v>0.50345253019720215</v>
      </c>
      <c r="AE586">
        <v>10800</v>
      </c>
      <c r="AF586">
        <v>200000</v>
      </c>
      <c r="AG586">
        <v>16666.666666666668</v>
      </c>
      <c r="AH586">
        <v>1</v>
      </c>
      <c r="AI586">
        <v>1</v>
      </c>
      <c r="AJ586" t="s">
        <v>162</v>
      </c>
      <c r="AK586" t="s">
        <v>176</v>
      </c>
      <c r="AL586">
        <v>0</v>
      </c>
      <c r="AM586" t="s">
        <v>176</v>
      </c>
      <c r="AN586">
        <v>0</v>
      </c>
    </row>
    <row r="587" spans="1:40" x14ac:dyDescent="0.15">
      <c r="A587" s="4" t="str">
        <f>HYPERLINK("https://ibp.a2mac1.com/costing(costing:projects/details/9760/process/12084759)","Process")</f>
        <v>Process</v>
      </c>
      <c r="B587" t="s">
        <v>794</v>
      </c>
      <c r="C587">
        <v>12084759</v>
      </c>
      <c r="D587">
        <v>8415030</v>
      </c>
      <c r="E587">
        <v>0.95637689699999995</v>
      </c>
      <c r="F587">
        <v>0</v>
      </c>
      <c r="G587">
        <v>0</v>
      </c>
      <c r="H587">
        <v>4.8513955877894739E-3</v>
      </c>
      <c r="I587" t="s">
        <v>176</v>
      </c>
      <c r="J587">
        <v>3.355708410526316E-2</v>
      </c>
      <c r="K587">
        <v>0.99478537669305267</v>
      </c>
      <c r="L587">
        <v>7.6533822956206074E-2</v>
      </c>
      <c r="M587">
        <v>0.45920293773723647</v>
      </c>
      <c r="N587">
        <v>1.4539883144302892</v>
      </c>
      <c r="O587" t="s">
        <v>177</v>
      </c>
      <c r="P587">
        <v>5.968712260158316E-2</v>
      </c>
      <c r="Q587" t="s">
        <v>177</v>
      </c>
      <c r="R587">
        <v>2.7552176264234188E-2</v>
      </c>
      <c r="S587" t="s">
        <v>178</v>
      </c>
      <c r="T587">
        <v>0.17447859773163468</v>
      </c>
      <c r="U587">
        <v>1.7157062110277412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42</v>
      </c>
      <c r="AB587">
        <v>1</v>
      </c>
      <c r="AC587">
        <v>0.5</v>
      </c>
      <c r="AD587">
        <v>0.50345253019720215</v>
      </c>
      <c r="AE587">
        <v>10800</v>
      </c>
      <c r="AF587">
        <v>200000</v>
      </c>
      <c r="AG587">
        <v>16666.666666666668</v>
      </c>
      <c r="AH587">
        <v>1</v>
      </c>
      <c r="AI587">
        <v>1</v>
      </c>
      <c r="AJ587" t="s">
        <v>162</v>
      </c>
      <c r="AK587" t="s">
        <v>176</v>
      </c>
      <c r="AL587">
        <v>0</v>
      </c>
      <c r="AM587" t="s">
        <v>176</v>
      </c>
      <c r="AN587">
        <v>0</v>
      </c>
    </row>
    <row r="588" spans="1:40" x14ac:dyDescent="0.15">
      <c r="A588" s="4" t="str">
        <f>HYPERLINK("https://ibp.a2mac1.com/costing(costing:projects/details/9760/process/12084760)","Process")</f>
        <v>Process</v>
      </c>
      <c r="B588" t="s">
        <v>4668</v>
      </c>
      <c r="C588">
        <v>12084760</v>
      </c>
      <c r="D588">
        <v>8415031</v>
      </c>
      <c r="E588">
        <v>0.61</v>
      </c>
      <c r="F588">
        <v>0</v>
      </c>
      <c r="G588">
        <v>0</v>
      </c>
      <c r="H588">
        <v>3.0866000000000001E-3</v>
      </c>
      <c r="I588" t="s">
        <v>176</v>
      </c>
      <c r="J588">
        <v>2.1350000000000001E-2</v>
      </c>
      <c r="K588">
        <v>0.63443660000000002</v>
      </c>
      <c r="L588">
        <v>8.3598157882734656E-2</v>
      </c>
      <c r="M588">
        <v>0.50158894729640791</v>
      </c>
      <c r="N588">
        <v>1.1360255472964078</v>
      </c>
      <c r="O588" t="s">
        <v>177</v>
      </c>
      <c r="P588">
        <v>3.8066195999999997E-2</v>
      </c>
      <c r="Q588" t="s">
        <v>177</v>
      </c>
      <c r="R588">
        <v>3.0095336837784474E-2</v>
      </c>
      <c r="S588" t="s">
        <v>178</v>
      </c>
      <c r="T588">
        <v>0.13632306567556896</v>
      </c>
      <c r="U588">
        <v>1.3405101458097612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46</v>
      </c>
      <c r="AB588">
        <v>1</v>
      </c>
      <c r="AC588">
        <v>0.5</v>
      </c>
      <c r="AD588">
        <v>0.50345253019720215</v>
      </c>
      <c r="AE588">
        <v>10800</v>
      </c>
      <c r="AF588">
        <v>200000</v>
      </c>
      <c r="AG588">
        <v>16666.666666666668</v>
      </c>
      <c r="AH588">
        <v>1</v>
      </c>
      <c r="AI588">
        <v>1</v>
      </c>
      <c r="AJ588" t="s">
        <v>162</v>
      </c>
      <c r="AK588" t="s">
        <v>176</v>
      </c>
      <c r="AL588">
        <v>0</v>
      </c>
      <c r="AM588" t="s">
        <v>176</v>
      </c>
      <c r="AN588">
        <v>0</v>
      </c>
    </row>
    <row r="589" spans="1:40" x14ac:dyDescent="0.15">
      <c r="A589" s="4" t="str">
        <f>HYPERLINK("https://ibp.a2mac1.com/costing(costing:projects/details/9760/process/12084761)","Process")</f>
        <v>Process</v>
      </c>
      <c r="B589" t="s">
        <v>794</v>
      </c>
      <c r="C589">
        <v>12084761</v>
      </c>
      <c r="D589">
        <v>8415032</v>
      </c>
      <c r="E589">
        <v>1.1912435219999999</v>
      </c>
      <c r="F589">
        <v>0</v>
      </c>
      <c r="G589">
        <v>0</v>
      </c>
      <c r="H589">
        <v>6.0427992193684207E-3</v>
      </c>
      <c r="I589" t="s">
        <v>176</v>
      </c>
      <c r="J589">
        <v>4.179801831578947E-2</v>
      </c>
      <c r="K589">
        <v>1.2390843395351578</v>
      </c>
      <c r="L589">
        <v>9.4194660272527514E-2</v>
      </c>
      <c r="M589">
        <v>0.56516796163516514</v>
      </c>
      <c r="N589">
        <v>1.8042523011703231</v>
      </c>
      <c r="O589" t="s">
        <v>177</v>
      </c>
      <c r="P589">
        <v>7.4345060372109473E-2</v>
      </c>
      <c r="Q589" t="s">
        <v>177</v>
      </c>
      <c r="R589">
        <v>3.3910077698109907E-2</v>
      </c>
      <c r="S589" t="s">
        <v>178</v>
      </c>
      <c r="T589">
        <v>0.21651027614043877</v>
      </c>
      <c r="U589">
        <v>2.1290177153809813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52</v>
      </c>
      <c r="AB589">
        <v>1</v>
      </c>
      <c r="AC589">
        <v>0.5</v>
      </c>
      <c r="AD589">
        <v>0.50345253019720215</v>
      </c>
      <c r="AE589">
        <v>10800</v>
      </c>
      <c r="AF589">
        <v>200000</v>
      </c>
      <c r="AG589">
        <v>16666.666666666668</v>
      </c>
      <c r="AH589">
        <v>1</v>
      </c>
      <c r="AI589">
        <v>1</v>
      </c>
      <c r="AJ589" t="s">
        <v>162</v>
      </c>
      <c r="AK589" t="s">
        <v>176</v>
      </c>
      <c r="AL589">
        <v>0</v>
      </c>
      <c r="AM589" t="s">
        <v>176</v>
      </c>
      <c r="AN589">
        <v>0</v>
      </c>
    </row>
    <row r="590" spans="1:40" x14ac:dyDescent="0.15">
      <c r="A590" s="4" t="str">
        <f>HYPERLINK("https://ibp.a2mac1.com/costing(costing:projects/details/9760/process/12084762)","Process")</f>
        <v>Process</v>
      </c>
      <c r="B590" t="s">
        <v>4668</v>
      </c>
      <c r="C590">
        <v>12084762</v>
      </c>
      <c r="D590">
        <v>8415033</v>
      </c>
      <c r="E590">
        <v>0.85</v>
      </c>
      <c r="F590">
        <v>0</v>
      </c>
      <c r="G590">
        <v>0</v>
      </c>
      <c r="H590">
        <v>4.3010000000000001E-3</v>
      </c>
      <c r="I590" t="s">
        <v>176</v>
      </c>
      <c r="J590">
        <v>2.9749999999999999E-2</v>
      </c>
      <c r="K590">
        <v>0.88405100000000003</v>
      </c>
      <c r="L590">
        <v>0.1136215813204811</v>
      </c>
      <c r="M590">
        <v>0.68172948792288657</v>
      </c>
      <c r="N590">
        <v>1.5657804879228867</v>
      </c>
      <c r="O590" t="s">
        <v>177</v>
      </c>
      <c r="P590">
        <v>5.3043060000000003E-2</v>
      </c>
      <c r="Q590" t="s">
        <v>177</v>
      </c>
      <c r="R590">
        <v>4.0903769275373196E-2</v>
      </c>
      <c r="S590" t="s">
        <v>178</v>
      </c>
      <c r="T590">
        <v>0.18789365855074638</v>
      </c>
      <c r="U590">
        <v>1.8476209757490063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63</v>
      </c>
      <c r="AB590">
        <v>1</v>
      </c>
      <c r="AC590">
        <v>0.5</v>
      </c>
      <c r="AD590">
        <v>0.50345253019720215</v>
      </c>
      <c r="AE590">
        <v>10800</v>
      </c>
      <c r="AF590">
        <v>200000</v>
      </c>
      <c r="AG590">
        <v>16666.666666666668</v>
      </c>
      <c r="AH590">
        <v>1</v>
      </c>
      <c r="AI590">
        <v>1</v>
      </c>
      <c r="AJ590" t="s">
        <v>162</v>
      </c>
      <c r="AK590" t="s">
        <v>176</v>
      </c>
      <c r="AL590">
        <v>0</v>
      </c>
      <c r="AM590" t="s">
        <v>176</v>
      </c>
      <c r="AN590">
        <v>0</v>
      </c>
    </row>
    <row r="591" spans="1:40" x14ac:dyDescent="0.15">
      <c r="A591" s="4" t="str">
        <f>HYPERLINK("https://ibp.a2mac1.com/costing(costing:projects/details/9760/process/12084763)","Process")</f>
        <v>Process</v>
      </c>
      <c r="B591" t="s">
        <v>4668</v>
      </c>
      <c r="C591">
        <v>12084763</v>
      </c>
      <c r="D591">
        <v>8415034</v>
      </c>
      <c r="E591">
        <v>1.41</v>
      </c>
      <c r="F591">
        <v>0</v>
      </c>
      <c r="G591">
        <v>0</v>
      </c>
      <c r="H591">
        <v>7.1345999999999996E-3</v>
      </c>
      <c r="I591" t="s">
        <v>176</v>
      </c>
      <c r="J591">
        <v>4.9349999999999998E-2</v>
      </c>
      <c r="K591">
        <v>1.4664846</v>
      </c>
      <c r="L591">
        <v>0.18603101431739902</v>
      </c>
      <c r="M591">
        <v>1.1161860859043939</v>
      </c>
      <c r="N591">
        <v>2.582670685904394</v>
      </c>
      <c r="O591" t="s">
        <v>177</v>
      </c>
      <c r="P591">
        <v>8.7989075999999999E-2</v>
      </c>
      <c r="Q591" t="s">
        <v>177</v>
      </c>
      <c r="R591">
        <v>6.6971165154263643E-2</v>
      </c>
      <c r="S591" t="s">
        <v>178</v>
      </c>
      <c r="T591">
        <v>0.30992048230852731</v>
      </c>
      <c r="U591">
        <v>3.0475514093671849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104</v>
      </c>
      <c r="AB591">
        <v>1</v>
      </c>
      <c r="AC591">
        <v>0.5</v>
      </c>
      <c r="AD591">
        <v>0.50345253019720215</v>
      </c>
      <c r="AE591">
        <v>10800</v>
      </c>
      <c r="AF591">
        <v>200000</v>
      </c>
      <c r="AG591">
        <v>16666.666666666668</v>
      </c>
      <c r="AH591">
        <v>1</v>
      </c>
      <c r="AI591">
        <v>1</v>
      </c>
      <c r="AJ591" t="s">
        <v>162</v>
      </c>
      <c r="AK591" t="s">
        <v>176</v>
      </c>
      <c r="AL591">
        <v>0</v>
      </c>
      <c r="AM591" t="s">
        <v>176</v>
      </c>
      <c r="AN591">
        <v>0</v>
      </c>
    </row>
    <row r="592" spans="1:40" x14ac:dyDescent="0.15">
      <c r="A592" s="4" t="str">
        <f>HYPERLINK("https://ibp.a2mac1.com/costing(costing:projects/details/9760/process/12084764)","Process")</f>
        <v>Process</v>
      </c>
      <c r="B592" t="s">
        <v>794</v>
      </c>
      <c r="C592">
        <v>12084764</v>
      </c>
      <c r="D592">
        <v>8415035</v>
      </c>
      <c r="E592">
        <v>0.934078992</v>
      </c>
      <c r="F592">
        <v>0</v>
      </c>
      <c r="G592">
        <v>0</v>
      </c>
      <c r="H592">
        <v>4.7382854130526312E-3</v>
      </c>
      <c r="I592" t="s">
        <v>176</v>
      </c>
      <c r="J592">
        <v>3.2774701473684213E-2</v>
      </c>
      <c r="K592">
        <v>0.97159197888673687</v>
      </c>
      <c r="L592">
        <v>5.3574734444988205E-2</v>
      </c>
      <c r="M592">
        <v>0.32144840666992924</v>
      </c>
      <c r="N592">
        <v>1.2930403855566661</v>
      </c>
      <c r="O592" t="s">
        <v>177</v>
      </c>
      <c r="P592">
        <v>5.829551873320421E-2</v>
      </c>
      <c r="Q592" t="s">
        <v>177</v>
      </c>
      <c r="R592">
        <v>1.9286904400195756E-2</v>
      </c>
      <c r="S592" t="s">
        <v>178</v>
      </c>
      <c r="T592">
        <v>0.15516484626679994</v>
      </c>
      <c r="U592">
        <v>1.5257876549568659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29</v>
      </c>
      <c r="AB592">
        <v>1</v>
      </c>
      <c r="AC592">
        <v>0.5</v>
      </c>
      <c r="AD592">
        <v>0.50345253019720215</v>
      </c>
      <c r="AE592">
        <v>10800</v>
      </c>
      <c r="AF592">
        <v>200000</v>
      </c>
      <c r="AG592">
        <v>16666.666666666668</v>
      </c>
      <c r="AH592">
        <v>1</v>
      </c>
      <c r="AI592">
        <v>1</v>
      </c>
      <c r="AJ592" t="s">
        <v>162</v>
      </c>
      <c r="AK592" t="s">
        <v>176</v>
      </c>
      <c r="AL592">
        <v>0</v>
      </c>
      <c r="AM592" t="s">
        <v>176</v>
      </c>
      <c r="AN592">
        <v>0</v>
      </c>
    </row>
    <row r="593" spans="1:40" x14ac:dyDescent="0.15">
      <c r="A593" s="4" t="str">
        <f>HYPERLINK("https://ibp.a2mac1.com/costing(costing:projects/details/9760/process/12084765)","Process")</f>
        <v>Process</v>
      </c>
      <c r="B593" t="s">
        <v>794</v>
      </c>
      <c r="C593">
        <v>12084765</v>
      </c>
      <c r="D593">
        <v>8415036</v>
      </c>
      <c r="E593">
        <v>0.41900205899999998</v>
      </c>
      <c r="F593">
        <v>0</v>
      </c>
      <c r="G593">
        <v>0</v>
      </c>
      <c r="H593">
        <v>2.1254640787368422E-3</v>
      </c>
      <c r="I593" t="s">
        <v>176</v>
      </c>
      <c r="J593">
        <v>1.4701826631578947E-2</v>
      </c>
      <c r="K593">
        <v>0.43582934971031578</v>
      </c>
      <c r="L593">
        <v>3.414781339703462E-2</v>
      </c>
      <c r="M593">
        <v>0.20488688038220773</v>
      </c>
      <c r="N593">
        <v>0.64071623009252354</v>
      </c>
      <c r="O593" t="s">
        <v>177</v>
      </c>
      <c r="P593">
        <v>2.6149760982618949E-2</v>
      </c>
      <c r="Q593" t="s">
        <v>177</v>
      </c>
      <c r="R593">
        <v>1.2293212822932463E-2</v>
      </c>
      <c r="S593" t="s">
        <v>178</v>
      </c>
      <c r="T593">
        <v>7.6885947611102817E-2</v>
      </c>
      <c r="U593">
        <v>0.75604515150917773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18</v>
      </c>
      <c r="AB593">
        <v>1</v>
      </c>
      <c r="AC593">
        <v>0.5</v>
      </c>
      <c r="AD593">
        <v>0.50345253019720215</v>
      </c>
      <c r="AE593">
        <v>10800</v>
      </c>
      <c r="AF593">
        <v>200000</v>
      </c>
      <c r="AG593">
        <v>16666.666666666668</v>
      </c>
      <c r="AH593">
        <v>1</v>
      </c>
      <c r="AI593">
        <v>1</v>
      </c>
      <c r="AJ593" t="s">
        <v>162</v>
      </c>
      <c r="AK593" t="s">
        <v>176</v>
      </c>
      <c r="AL593">
        <v>0</v>
      </c>
      <c r="AM593" t="s">
        <v>176</v>
      </c>
      <c r="AN593">
        <v>0</v>
      </c>
    </row>
    <row r="594" spans="1:40" x14ac:dyDescent="0.15">
      <c r="A594" s="4" t="str">
        <f>HYPERLINK("https://ibp.a2mac1.com/costing(costing:projects/details/9760/process/12084766)","Process")</f>
        <v>Process</v>
      </c>
      <c r="B594" t="s">
        <v>794</v>
      </c>
      <c r="C594">
        <v>12084766</v>
      </c>
      <c r="D594">
        <v>8415037</v>
      </c>
      <c r="E594">
        <v>1.0221395520000001</v>
      </c>
      <c r="F594">
        <v>0</v>
      </c>
      <c r="G594">
        <v>0</v>
      </c>
      <c r="H594">
        <v>5.1849886046315789E-3</v>
      </c>
      <c r="I594" t="s">
        <v>176</v>
      </c>
      <c r="J594">
        <v>3.5864545684210526E-2</v>
      </c>
      <c r="K594">
        <v>1.063189086288842</v>
      </c>
      <c r="L594">
        <v>8.183207415110251E-2</v>
      </c>
      <c r="M594">
        <v>0.49099244490661503</v>
      </c>
      <c r="N594">
        <v>1.5541815311954572</v>
      </c>
      <c r="O594" t="s">
        <v>177</v>
      </c>
      <c r="P594">
        <v>6.3791345177330525E-2</v>
      </c>
      <c r="Q594" t="s">
        <v>177</v>
      </c>
      <c r="R594">
        <v>2.9459546694396904E-2</v>
      </c>
      <c r="S594" t="s">
        <v>178</v>
      </c>
      <c r="T594">
        <v>0.18650178374345486</v>
      </c>
      <c r="U594">
        <v>1.8339342068106395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45</v>
      </c>
      <c r="AB594">
        <v>1</v>
      </c>
      <c r="AC594">
        <v>0.5</v>
      </c>
      <c r="AD594">
        <v>0.50345253019720215</v>
      </c>
      <c r="AE594">
        <v>10800</v>
      </c>
      <c r="AF594">
        <v>200000</v>
      </c>
      <c r="AG594">
        <v>16666.666666666668</v>
      </c>
      <c r="AH594">
        <v>1</v>
      </c>
      <c r="AI594">
        <v>1</v>
      </c>
      <c r="AJ594" t="s">
        <v>162</v>
      </c>
      <c r="AK594" t="s">
        <v>176</v>
      </c>
      <c r="AL594">
        <v>0</v>
      </c>
      <c r="AM594" t="s">
        <v>176</v>
      </c>
      <c r="AN594">
        <v>0</v>
      </c>
    </row>
    <row r="595" spans="1:40" x14ac:dyDescent="0.15">
      <c r="A595" s="4" t="str">
        <f>HYPERLINK("https://ibp.a2mac1.com/costing(costing:projects/details/9760/process/12084767)","Process")</f>
        <v>Process</v>
      </c>
      <c r="B595" t="s">
        <v>4668</v>
      </c>
      <c r="C595">
        <v>12084767</v>
      </c>
      <c r="D595">
        <v>8415039</v>
      </c>
      <c r="E595">
        <v>0.43</v>
      </c>
      <c r="F595">
        <v>0</v>
      </c>
      <c r="G595">
        <v>0</v>
      </c>
      <c r="H595">
        <v>2.1757999999999999E-3</v>
      </c>
      <c r="I595" t="s">
        <v>176</v>
      </c>
      <c r="J595">
        <v>1.5049999999999999E-2</v>
      </c>
      <c r="K595">
        <v>0.44722580000000001</v>
      </c>
      <c r="L595">
        <v>5.8872985639884634E-2</v>
      </c>
      <c r="M595">
        <v>0.3532379138393078</v>
      </c>
      <c r="N595">
        <v>0.80046371383930781</v>
      </c>
      <c r="O595" t="s">
        <v>177</v>
      </c>
      <c r="P595">
        <v>2.6833547999999999E-2</v>
      </c>
      <c r="Q595" t="s">
        <v>177</v>
      </c>
      <c r="R595">
        <v>2.1194274830358469E-2</v>
      </c>
      <c r="S595" t="s">
        <v>178</v>
      </c>
      <c r="T595">
        <v>9.6055645660716935E-2</v>
      </c>
      <c r="U595">
        <v>0.94454718233038326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32</v>
      </c>
      <c r="AB595">
        <v>1</v>
      </c>
      <c r="AC595">
        <v>0.5</v>
      </c>
      <c r="AD595">
        <v>0.50345253019720215</v>
      </c>
      <c r="AE595">
        <v>10800</v>
      </c>
      <c r="AF595">
        <v>200000</v>
      </c>
      <c r="AG595">
        <v>16666.666666666668</v>
      </c>
      <c r="AH595">
        <v>1</v>
      </c>
      <c r="AI595">
        <v>1</v>
      </c>
      <c r="AJ595" t="s">
        <v>162</v>
      </c>
      <c r="AK595" t="s">
        <v>176</v>
      </c>
      <c r="AL595">
        <v>0</v>
      </c>
      <c r="AM595" t="s">
        <v>176</v>
      </c>
      <c r="AN595">
        <v>0</v>
      </c>
    </row>
    <row r="596" spans="1:40" x14ac:dyDescent="0.15">
      <c r="A596" s="4" t="str">
        <f>HYPERLINK("https://ibp.a2mac1.com/costing(costing:projects/details/9760/process/12084768)","Process")</f>
        <v>Process</v>
      </c>
      <c r="B596" t="s">
        <v>4668</v>
      </c>
      <c r="C596">
        <v>12084768</v>
      </c>
      <c r="D596">
        <v>8415041</v>
      </c>
      <c r="E596">
        <v>1.91</v>
      </c>
      <c r="F596">
        <v>0</v>
      </c>
      <c r="G596">
        <v>0</v>
      </c>
      <c r="H596">
        <v>9.6646000000000006E-3</v>
      </c>
      <c r="I596" t="s">
        <v>176</v>
      </c>
      <c r="J596">
        <v>6.6850000000000007E-2</v>
      </c>
      <c r="K596">
        <v>1.9865146</v>
      </c>
      <c r="L596">
        <v>0.25137611238778834</v>
      </c>
      <c r="M596">
        <v>1.5082566743267301</v>
      </c>
      <c r="N596">
        <v>3.4947712743267298</v>
      </c>
      <c r="O596" t="s">
        <v>177</v>
      </c>
      <c r="P596">
        <v>0.119190876</v>
      </c>
      <c r="Q596" t="s">
        <v>177</v>
      </c>
      <c r="R596">
        <v>9.0495400459603803E-2</v>
      </c>
      <c r="S596" t="s">
        <v>178</v>
      </c>
      <c r="T596">
        <v>0.41937255291920761</v>
      </c>
      <c r="U596">
        <v>4.1238301037055418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141</v>
      </c>
      <c r="AB596">
        <v>1</v>
      </c>
      <c r="AC596">
        <v>0.5</v>
      </c>
      <c r="AD596">
        <v>0.50345253019720215</v>
      </c>
      <c r="AE596">
        <v>10800</v>
      </c>
      <c r="AF596">
        <v>200000</v>
      </c>
      <c r="AG596">
        <v>16666.666666666668</v>
      </c>
      <c r="AH596">
        <v>1</v>
      </c>
      <c r="AI596">
        <v>1</v>
      </c>
      <c r="AJ596" t="s">
        <v>162</v>
      </c>
      <c r="AK596" t="s">
        <v>176</v>
      </c>
      <c r="AL596">
        <v>0</v>
      </c>
      <c r="AM596" t="s">
        <v>176</v>
      </c>
      <c r="AN596">
        <v>0</v>
      </c>
    </row>
    <row r="597" spans="1:40" x14ac:dyDescent="0.15">
      <c r="A597" s="4" t="str">
        <f>HYPERLINK("https://ibp.a2mac1.com/costing(costing:projects/details/9760/process/12084835)","Process")</f>
        <v>Process</v>
      </c>
      <c r="B597" t="s">
        <v>4717</v>
      </c>
      <c r="C597">
        <v>12084835</v>
      </c>
      <c r="D597">
        <v>8415106</v>
      </c>
      <c r="E597">
        <v>2.3199999999999998</v>
      </c>
      <c r="F597">
        <v>0</v>
      </c>
      <c r="G597">
        <v>0</v>
      </c>
      <c r="H597">
        <v>1.17392E-2</v>
      </c>
      <c r="I597" t="s">
        <v>176</v>
      </c>
      <c r="J597">
        <v>8.1199999999999994E-2</v>
      </c>
      <c r="K597">
        <v>2.4129391999999998</v>
      </c>
      <c r="L597">
        <v>0.35557505255408484</v>
      </c>
      <c r="M597">
        <v>2.133450315324509</v>
      </c>
      <c r="N597">
        <v>4.5463895153245089</v>
      </c>
      <c r="O597" t="s">
        <v>177</v>
      </c>
      <c r="P597">
        <v>0.144776352</v>
      </c>
      <c r="Q597" t="s">
        <v>177</v>
      </c>
      <c r="R597">
        <v>0.12800701891947053</v>
      </c>
      <c r="S597" t="s">
        <v>178</v>
      </c>
      <c r="T597">
        <v>0.54556674183894105</v>
      </c>
      <c r="U597">
        <v>5.3647396280829209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200</v>
      </c>
      <c r="AB597">
        <v>1</v>
      </c>
      <c r="AC597">
        <v>0.5</v>
      </c>
      <c r="AD597">
        <v>0.50345253019720215</v>
      </c>
      <c r="AE597">
        <v>10800</v>
      </c>
      <c r="AF597">
        <v>200000</v>
      </c>
      <c r="AG597">
        <v>16666.666666666668</v>
      </c>
      <c r="AH597">
        <v>1</v>
      </c>
      <c r="AI597">
        <v>1</v>
      </c>
      <c r="AJ597" t="s">
        <v>162</v>
      </c>
      <c r="AK597" t="s">
        <v>176</v>
      </c>
      <c r="AL597">
        <v>0</v>
      </c>
      <c r="AM597" t="s">
        <v>176</v>
      </c>
      <c r="AN597">
        <v>0</v>
      </c>
    </row>
    <row r="598" spans="1:40" x14ac:dyDescent="0.15">
      <c r="A598" s="4" t="str">
        <f>HYPERLINK("https://ibp.a2mac1.com/costing(costing:projects/details/9760/process/12084836)","Process")</f>
        <v>Process</v>
      </c>
      <c r="B598" t="s">
        <v>4721</v>
      </c>
      <c r="C598">
        <v>12084836</v>
      </c>
      <c r="D598">
        <v>8415107</v>
      </c>
      <c r="E598">
        <v>0.08</v>
      </c>
      <c r="F598">
        <v>0</v>
      </c>
      <c r="G598">
        <v>0</v>
      </c>
      <c r="H598">
        <v>4.0479999999999997E-4</v>
      </c>
      <c r="I598" t="s">
        <v>176</v>
      </c>
      <c r="J598">
        <v>2.8E-3</v>
      </c>
      <c r="K598">
        <v>8.3204799999999995E-2</v>
      </c>
      <c r="L598">
        <v>1.4720892349081038E-2</v>
      </c>
      <c r="M598">
        <v>8.8325354094486219E-2</v>
      </c>
      <c r="N598">
        <v>0.17153015409448621</v>
      </c>
      <c r="O598" t="s">
        <v>177</v>
      </c>
      <c r="P598">
        <v>4.9922880000000001E-3</v>
      </c>
      <c r="Q598" t="s">
        <v>177</v>
      </c>
      <c r="R598">
        <v>5.2995212456691731E-3</v>
      </c>
      <c r="S598" t="s">
        <v>178</v>
      </c>
      <c r="T598">
        <v>2.0583618491338346E-2</v>
      </c>
      <c r="U598">
        <v>0.20240558183149374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7</v>
      </c>
      <c r="AB598">
        <v>1</v>
      </c>
      <c r="AC598">
        <v>0.5</v>
      </c>
      <c r="AD598">
        <v>0.50345253019720215</v>
      </c>
      <c r="AE598">
        <v>10800</v>
      </c>
      <c r="AF598">
        <v>200000</v>
      </c>
      <c r="AG598">
        <v>16666.666666666668</v>
      </c>
      <c r="AH598">
        <v>1</v>
      </c>
      <c r="AI598">
        <v>1</v>
      </c>
      <c r="AJ598" t="s">
        <v>162</v>
      </c>
      <c r="AK598" t="s">
        <v>176</v>
      </c>
      <c r="AL598">
        <v>0</v>
      </c>
      <c r="AM598" t="s">
        <v>176</v>
      </c>
      <c r="AN598">
        <v>0</v>
      </c>
    </row>
    <row r="599" spans="1:40" x14ac:dyDescent="0.15">
      <c r="A599" s="4" t="str">
        <f>HYPERLINK("https://ibp.a2mac1.com/costing(costing:projects/details/9760/process/12084837)","Process")</f>
        <v>Process</v>
      </c>
      <c r="B599" t="s">
        <v>4717</v>
      </c>
      <c r="C599">
        <v>12084837</v>
      </c>
      <c r="D599">
        <v>8415108</v>
      </c>
      <c r="E599">
        <v>2.3199999999999998</v>
      </c>
      <c r="F599">
        <v>0</v>
      </c>
      <c r="G599">
        <v>0</v>
      </c>
      <c r="H599">
        <v>1.17392E-2</v>
      </c>
      <c r="I599" t="s">
        <v>176</v>
      </c>
      <c r="J599">
        <v>8.1199999999999994E-2</v>
      </c>
      <c r="K599">
        <v>2.4129391999999998</v>
      </c>
      <c r="L599">
        <v>0.35557505255408484</v>
      </c>
      <c r="M599">
        <v>2.133450315324509</v>
      </c>
      <c r="N599">
        <v>4.5463895153245089</v>
      </c>
      <c r="O599" t="s">
        <v>177</v>
      </c>
      <c r="P599">
        <v>0.144776352</v>
      </c>
      <c r="Q599" t="s">
        <v>177</v>
      </c>
      <c r="R599">
        <v>0.12800701891947053</v>
      </c>
      <c r="S599" t="s">
        <v>178</v>
      </c>
      <c r="T599">
        <v>0.54556674183894105</v>
      </c>
      <c r="U599">
        <v>5.3647396280829209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200</v>
      </c>
      <c r="AB599">
        <v>1</v>
      </c>
      <c r="AC599">
        <v>0.5</v>
      </c>
      <c r="AD599">
        <v>0.50345253019720215</v>
      </c>
      <c r="AE599">
        <v>10800</v>
      </c>
      <c r="AF599">
        <v>200000</v>
      </c>
      <c r="AG599">
        <v>16666.666666666668</v>
      </c>
      <c r="AH599">
        <v>1</v>
      </c>
      <c r="AI599">
        <v>1</v>
      </c>
      <c r="AJ599" t="s">
        <v>162</v>
      </c>
      <c r="AK599" t="s">
        <v>176</v>
      </c>
      <c r="AL599">
        <v>0</v>
      </c>
      <c r="AM599" t="s">
        <v>176</v>
      </c>
      <c r="AN599">
        <v>0</v>
      </c>
    </row>
    <row r="600" spans="1:40" x14ac:dyDescent="0.15">
      <c r="A600" s="4" t="str">
        <f>HYPERLINK("https://ibp.a2mac1.com/costing(costing:projects/details/9760/process/12084769)","Process")</f>
        <v>Process</v>
      </c>
      <c r="B600" t="s">
        <v>846</v>
      </c>
      <c r="C600">
        <v>12084769</v>
      </c>
      <c r="D600">
        <v>8415042</v>
      </c>
      <c r="E600">
        <v>1.375378956</v>
      </c>
      <c r="F600">
        <v>0</v>
      </c>
      <c r="G600">
        <v>0</v>
      </c>
      <c r="H600">
        <v>6.9768596665263161E-3</v>
      </c>
      <c r="I600" t="s">
        <v>176</v>
      </c>
      <c r="J600">
        <v>4.8258910736842103E-2</v>
      </c>
      <c r="K600">
        <v>1.4306147264033684</v>
      </c>
      <c r="L600">
        <v>0.11715374878374539</v>
      </c>
      <c r="M600">
        <v>0.70292249270247231</v>
      </c>
      <c r="N600">
        <v>2.1335372191058406</v>
      </c>
      <c r="O600" t="s">
        <v>177</v>
      </c>
      <c r="P600">
        <v>8.5836883584202106E-2</v>
      </c>
      <c r="Q600" t="s">
        <v>177</v>
      </c>
      <c r="R600">
        <v>4.2175349562148343E-2</v>
      </c>
      <c r="S600" t="s">
        <v>178</v>
      </c>
      <c r="T600">
        <v>0.25602446629270087</v>
      </c>
      <c r="U600">
        <v>2.5175739185448922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65</v>
      </c>
      <c r="AB600">
        <v>1</v>
      </c>
      <c r="AC600">
        <v>0.5</v>
      </c>
      <c r="AD600">
        <v>0.50345253019720215</v>
      </c>
      <c r="AE600">
        <v>10800</v>
      </c>
      <c r="AF600">
        <v>200000</v>
      </c>
      <c r="AG600">
        <v>16666.666666666668</v>
      </c>
      <c r="AH600">
        <v>1</v>
      </c>
      <c r="AI600">
        <v>1</v>
      </c>
      <c r="AJ600" t="s">
        <v>162</v>
      </c>
      <c r="AK600" t="s">
        <v>176</v>
      </c>
      <c r="AL600">
        <v>0</v>
      </c>
      <c r="AM600" t="s">
        <v>176</v>
      </c>
      <c r="AN600">
        <v>0</v>
      </c>
    </row>
    <row r="601" spans="1:40" x14ac:dyDescent="0.15">
      <c r="A601" s="4" t="str">
        <f>HYPERLINK("https://ibp.a2mac1.com/costing(costing:projects/details/9760/process/12084770)","Process")</f>
        <v>Process</v>
      </c>
      <c r="B601" t="s">
        <v>846</v>
      </c>
      <c r="C601">
        <v>12084770</v>
      </c>
      <c r="D601">
        <v>8415043</v>
      </c>
      <c r="E601">
        <v>4.6725756E-2</v>
      </c>
      <c r="F601">
        <v>0</v>
      </c>
      <c r="G601">
        <v>0</v>
      </c>
      <c r="H601">
        <v>2.3561960168421052E-4</v>
      </c>
      <c r="I601" t="s">
        <v>176</v>
      </c>
      <c r="J601">
        <v>1.6395002105263159E-3</v>
      </c>
      <c r="K601">
        <v>4.860087581221053E-2</v>
      </c>
      <c r="L601">
        <v>8.2432419807768539E-3</v>
      </c>
      <c r="M601">
        <v>4.9459451884661124E-2</v>
      </c>
      <c r="N601">
        <v>9.8060327696871646E-2</v>
      </c>
      <c r="O601" t="s">
        <v>177</v>
      </c>
      <c r="P601">
        <v>2.9160525487326315E-3</v>
      </c>
      <c r="Q601" t="s">
        <v>177</v>
      </c>
      <c r="R601">
        <v>2.9675671130796671E-3</v>
      </c>
      <c r="S601" t="s">
        <v>178</v>
      </c>
      <c r="T601">
        <v>1.1767239323624598E-2</v>
      </c>
      <c r="U601">
        <v>0.11571118668230854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4</v>
      </c>
      <c r="AB601">
        <v>1</v>
      </c>
      <c r="AC601">
        <v>0.5</v>
      </c>
      <c r="AD601">
        <v>0.50048257265952256</v>
      </c>
      <c r="AE601">
        <v>10800</v>
      </c>
      <c r="AF601">
        <v>400000</v>
      </c>
      <c r="AG601">
        <v>33333.333333333336</v>
      </c>
      <c r="AH601">
        <v>1</v>
      </c>
      <c r="AI601">
        <v>1</v>
      </c>
      <c r="AJ601" t="s">
        <v>162</v>
      </c>
      <c r="AK601" t="s">
        <v>176</v>
      </c>
      <c r="AL601">
        <v>0</v>
      </c>
      <c r="AM601" t="s">
        <v>176</v>
      </c>
      <c r="AN601">
        <v>0</v>
      </c>
    </row>
    <row r="602" spans="1:40" x14ac:dyDescent="0.15">
      <c r="A602" s="4" t="str">
        <f>HYPERLINK("https://ibp.a2mac1.com/costing(costing:projects/details/9760/process/12084838)","Process")</f>
        <v>Process</v>
      </c>
      <c r="B602" t="s">
        <v>794</v>
      </c>
      <c r="C602">
        <v>12084838</v>
      </c>
      <c r="D602">
        <v>8415110</v>
      </c>
      <c r="E602">
        <v>0.447186054</v>
      </c>
      <c r="F602">
        <v>0</v>
      </c>
      <c r="G602">
        <v>0</v>
      </c>
      <c r="H602">
        <v>2.268432514526316E-3</v>
      </c>
      <c r="I602" t="s">
        <v>176</v>
      </c>
      <c r="J602">
        <v>1.5690738736842104E-2</v>
      </c>
      <c r="K602">
        <v>0.46514522525136842</v>
      </c>
      <c r="L602">
        <v>3.767998086029891E-2</v>
      </c>
      <c r="M602">
        <v>0.22607988516179345</v>
      </c>
      <c r="N602">
        <v>0.69122511041316193</v>
      </c>
      <c r="O602" t="s">
        <v>177</v>
      </c>
      <c r="P602">
        <v>2.7908713515082104E-2</v>
      </c>
      <c r="Q602" t="s">
        <v>177</v>
      </c>
      <c r="R602">
        <v>1.3564793109707608E-2</v>
      </c>
      <c r="S602" t="s">
        <v>178</v>
      </c>
      <c r="T602">
        <v>8.2947013249579427E-2</v>
      </c>
      <c r="U602">
        <v>0.81564563028753101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20</v>
      </c>
      <c r="AB602">
        <v>1</v>
      </c>
      <c r="AC602">
        <v>0.5</v>
      </c>
      <c r="AD602">
        <v>0.50345253019720215</v>
      </c>
      <c r="AE602">
        <v>10800</v>
      </c>
      <c r="AF602">
        <v>200000</v>
      </c>
      <c r="AG602">
        <v>16666.666666666668</v>
      </c>
      <c r="AH602">
        <v>1</v>
      </c>
      <c r="AI602">
        <v>1</v>
      </c>
      <c r="AJ602" t="s">
        <v>316</v>
      </c>
      <c r="AK602" t="s">
        <v>176</v>
      </c>
      <c r="AL602">
        <v>0</v>
      </c>
      <c r="AM602" t="s">
        <v>176</v>
      </c>
      <c r="AN602">
        <v>0</v>
      </c>
    </row>
    <row r="603" spans="1:40" x14ac:dyDescent="0.15">
      <c r="A603" s="4" t="str">
        <f>HYPERLINK("https://ibp.a2mac1.com/costing(costing:projects/details/9760/process/12084771)","Process")</f>
        <v>Process</v>
      </c>
      <c r="B603" t="s">
        <v>4668</v>
      </c>
      <c r="C603">
        <v>12084771</v>
      </c>
      <c r="D603">
        <v>8415046</v>
      </c>
      <c r="E603">
        <v>1.43</v>
      </c>
      <c r="F603">
        <v>0</v>
      </c>
      <c r="G603">
        <v>0</v>
      </c>
      <c r="H603">
        <v>7.2357999999999997E-3</v>
      </c>
      <c r="I603" t="s">
        <v>176</v>
      </c>
      <c r="J603">
        <v>5.0049999999999997E-2</v>
      </c>
      <c r="K603">
        <v>1.4872858</v>
      </c>
      <c r="L603">
        <v>0.18956318178066328</v>
      </c>
      <c r="M603">
        <v>1.1373790906839798</v>
      </c>
      <c r="N603">
        <v>2.6246648906839796</v>
      </c>
      <c r="O603" t="s">
        <v>177</v>
      </c>
      <c r="P603">
        <v>8.9237148000000002E-2</v>
      </c>
      <c r="Q603" t="s">
        <v>177</v>
      </c>
      <c r="R603">
        <v>6.8242745441038782E-2</v>
      </c>
      <c r="S603" t="s">
        <v>178</v>
      </c>
      <c r="T603">
        <v>0.3149597868820776</v>
      </c>
      <c r="U603">
        <v>3.0971045710070961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106</v>
      </c>
      <c r="AB603">
        <v>1</v>
      </c>
      <c r="AC603">
        <v>0.5</v>
      </c>
      <c r="AD603">
        <v>0.50345253019720215</v>
      </c>
      <c r="AE603">
        <v>10800</v>
      </c>
      <c r="AF603">
        <v>200000</v>
      </c>
      <c r="AG603">
        <v>16666.666666666668</v>
      </c>
      <c r="AH603">
        <v>1</v>
      </c>
      <c r="AI603">
        <v>1</v>
      </c>
      <c r="AJ603" t="s">
        <v>162</v>
      </c>
      <c r="AK603" t="s">
        <v>176</v>
      </c>
      <c r="AL603">
        <v>0</v>
      </c>
      <c r="AM603" t="s">
        <v>176</v>
      </c>
      <c r="AN603">
        <v>0</v>
      </c>
    </row>
    <row r="604" spans="1:40" x14ac:dyDescent="0.15">
      <c r="A604" s="4" t="str">
        <f>HYPERLINK("https://ibp.a2mac1.com/costing(costing:projects/details/9760/process/12084772)","Process")</f>
        <v>Process</v>
      </c>
      <c r="B604" t="s">
        <v>794</v>
      </c>
      <c r="C604">
        <v>12084772</v>
      </c>
      <c r="D604">
        <v>8415047</v>
      </c>
      <c r="E604">
        <v>0.95637689699999995</v>
      </c>
      <c r="F604">
        <v>0</v>
      </c>
      <c r="G604">
        <v>0</v>
      </c>
      <c r="H604">
        <v>4.8513955877894739E-3</v>
      </c>
      <c r="I604" t="s">
        <v>176</v>
      </c>
      <c r="J604">
        <v>3.355708410526316E-2</v>
      </c>
      <c r="K604">
        <v>0.99478537669305267</v>
      </c>
      <c r="L604">
        <v>7.6533822956206074E-2</v>
      </c>
      <c r="M604">
        <v>0.45920293773723647</v>
      </c>
      <c r="N604">
        <v>1.4539883144302892</v>
      </c>
      <c r="O604" t="s">
        <v>177</v>
      </c>
      <c r="P604">
        <v>5.968712260158316E-2</v>
      </c>
      <c r="Q604" t="s">
        <v>177</v>
      </c>
      <c r="R604">
        <v>2.7552176264234188E-2</v>
      </c>
      <c r="S604" t="s">
        <v>178</v>
      </c>
      <c r="T604">
        <v>0.17447859773163468</v>
      </c>
      <c r="U604">
        <v>1.7157062110277412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42</v>
      </c>
      <c r="AB604">
        <v>1</v>
      </c>
      <c r="AC604">
        <v>0.5</v>
      </c>
      <c r="AD604">
        <v>0.50345253019720215</v>
      </c>
      <c r="AE604">
        <v>10800</v>
      </c>
      <c r="AF604">
        <v>200000</v>
      </c>
      <c r="AG604">
        <v>16666.666666666668</v>
      </c>
      <c r="AH604">
        <v>1</v>
      </c>
      <c r="AI604">
        <v>1</v>
      </c>
      <c r="AJ604" t="s">
        <v>162</v>
      </c>
      <c r="AK604" t="s">
        <v>176</v>
      </c>
      <c r="AL604">
        <v>0</v>
      </c>
      <c r="AM604" t="s">
        <v>176</v>
      </c>
      <c r="AN604">
        <v>0</v>
      </c>
    </row>
    <row r="605" spans="1:40" x14ac:dyDescent="0.15">
      <c r="A605" s="4" t="str">
        <f>HYPERLINK("https://ibp.a2mac1.com/costing(costing:projects/details/9760/process/12084773)","Process")</f>
        <v>Process</v>
      </c>
      <c r="B605" t="s">
        <v>4668</v>
      </c>
      <c r="C605">
        <v>12084773</v>
      </c>
      <c r="D605">
        <v>8415048</v>
      </c>
      <c r="E605">
        <v>0.61</v>
      </c>
      <c r="F605">
        <v>0</v>
      </c>
      <c r="G605">
        <v>0</v>
      </c>
      <c r="H605">
        <v>3.0866000000000001E-3</v>
      </c>
      <c r="I605" t="s">
        <v>176</v>
      </c>
      <c r="J605">
        <v>2.1350000000000001E-2</v>
      </c>
      <c r="K605">
        <v>0.63443660000000002</v>
      </c>
      <c r="L605">
        <v>8.3598157882734656E-2</v>
      </c>
      <c r="M605">
        <v>0.50158894729640791</v>
      </c>
      <c r="N605">
        <v>1.1360255472964078</v>
      </c>
      <c r="O605" t="s">
        <v>177</v>
      </c>
      <c r="P605">
        <v>3.8066195999999997E-2</v>
      </c>
      <c r="Q605" t="s">
        <v>177</v>
      </c>
      <c r="R605">
        <v>3.0095336837784474E-2</v>
      </c>
      <c r="S605" t="s">
        <v>178</v>
      </c>
      <c r="T605">
        <v>0.13632306567556896</v>
      </c>
      <c r="U605">
        <v>1.3405101458097612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46</v>
      </c>
      <c r="AB605">
        <v>1</v>
      </c>
      <c r="AC605">
        <v>0.5</v>
      </c>
      <c r="AD605">
        <v>0.50345253019720215</v>
      </c>
      <c r="AE605">
        <v>10800</v>
      </c>
      <c r="AF605">
        <v>200000</v>
      </c>
      <c r="AG605">
        <v>16666.666666666668</v>
      </c>
      <c r="AH605">
        <v>1</v>
      </c>
      <c r="AI605">
        <v>1</v>
      </c>
      <c r="AJ605" t="s">
        <v>162</v>
      </c>
      <c r="AK605" t="s">
        <v>176</v>
      </c>
      <c r="AL605">
        <v>0</v>
      </c>
      <c r="AM605" t="s">
        <v>176</v>
      </c>
      <c r="AN605">
        <v>0</v>
      </c>
    </row>
    <row r="606" spans="1:40" x14ac:dyDescent="0.15">
      <c r="A606" s="4" t="str">
        <f>HYPERLINK("https://ibp.a2mac1.com/costing(costing:projects/details/9760/process/12084774)","Process")</f>
        <v>Process</v>
      </c>
      <c r="B606" t="s">
        <v>794</v>
      </c>
      <c r="C606">
        <v>12084774</v>
      </c>
      <c r="D606">
        <v>8415049</v>
      </c>
      <c r="E606">
        <v>1.1912435219999999</v>
      </c>
      <c r="F606">
        <v>0</v>
      </c>
      <c r="G606">
        <v>0</v>
      </c>
      <c r="H606">
        <v>6.0427992193684207E-3</v>
      </c>
      <c r="I606" t="s">
        <v>176</v>
      </c>
      <c r="J606">
        <v>4.179801831578947E-2</v>
      </c>
      <c r="K606">
        <v>1.2390843395351578</v>
      </c>
      <c r="L606">
        <v>9.4194660272527514E-2</v>
      </c>
      <c r="M606">
        <v>0.56516796163516514</v>
      </c>
      <c r="N606">
        <v>1.8042523011703231</v>
      </c>
      <c r="O606" t="s">
        <v>177</v>
      </c>
      <c r="P606">
        <v>7.4345060372109473E-2</v>
      </c>
      <c r="Q606" t="s">
        <v>177</v>
      </c>
      <c r="R606">
        <v>3.3910077698109907E-2</v>
      </c>
      <c r="S606" t="s">
        <v>178</v>
      </c>
      <c r="T606">
        <v>0.21651027614043877</v>
      </c>
      <c r="U606">
        <v>2.1290177153809813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52</v>
      </c>
      <c r="AB606">
        <v>1</v>
      </c>
      <c r="AC606">
        <v>0.5</v>
      </c>
      <c r="AD606">
        <v>0.50345253019720215</v>
      </c>
      <c r="AE606">
        <v>10800</v>
      </c>
      <c r="AF606">
        <v>200000</v>
      </c>
      <c r="AG606">
        <v>16666.666666666668</v>
      </c>
      <c r="AH606">
        <v>1</v>
      </c>
      <c r="AI606">
        <v>1</v>
      </c>
      <c r="AJ606" t="s">
        <v>162</v>
      </c>
      <c r="AK606" t="s">
        <v>176</v>
      </c>
      <c r="AL606">
        <v>0</v>
      </c>
      <c r="AM606" t="s">
        <v>176</v>
      </c>
      <c r="AN606">
        <v>0</v>
      </c>
    </row>
    <row r="607" spans="1:40" x14ac:dyDescent="0.15">
      <c r="A607" s="4" t="str">
        <f>HYPERLINK("https://ibp.a2mac1.com/costing(costing:projects/details/9760/process/12084775)","Process")</f>
        <v>Process</v>
      </c>
      <c r="B607" t="s">
        <v>4668</v>
      </c>
      <c r="C607">
        <v>12084775</v>
      </c>
      <c r="D607">
        <v>8415050</v>
      </c>
      <c r="E607">
        <v>0.85</v>
      </c>
      <c r="F607">
        <v>0</v>
      </c>
      <c r="G607">
        <v>0</v>
      </c>
      <c r="H607">
        <v>4.3010000000000001E-3</v>
      </c>
      <c r="I607" t="s">
        <v>176</v>
      </c>
      <c r="J607">
        <v>2.9749999999999999E-2</v>
      </c>
      <c r="K607">
        <v>0.88405100000000003</v>
      </c>
      <c r="L607">
        <v>0.1136215813204811</v>
      </c>
      <c r="M607">
        <v>0.68172948792288657</v>
      </c>
      <c r="N607">
        <v>1.5657804879228867</v>
      </c>
      <c r="O607" t="s">
        <v>177</v>
      </c>
      <c r="P607">
        <v>5.3043060000000003E-2</v>
      </c>
      <c r="Q607" t="s">
        <v>177</v>
      </c>
      <c r="R607">
        <v>4.0903769275373196E-2</v>
      </c>
      <c r="S607" t="s">
        <v>178</v>
      </c>
      <c r="T607">
        <v>0.18789365855074638</v>
      </c>
      <c r="U607">
        <v>1.8476209757490063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63</v>
      </c>
      <c r="AB607">
        <v>1</v>
      </c>
      <c r="AC607">
        <v>0.5</v>
      </c>
      <c r="AD607">
        <v>0.50345253019720215</v>
      </c>
      <c r="AE607">
        <v>10800</v>
      </c>
      <c r="AF607">
        <v>200000</v>
      </c>
      <c r="AG607">
        <v>16666.666666666668</v>
      </c>
      <c r="AH607">
        <v>1</v>
      </c>
      <c r="AI607">
        <v>1</v>
      </c>
      <c r="AJ607" t="s">
        <v>162</v>
      </c>
      <c r="AK607" t="s">
        <v>176</v>
      </c>
      <c r="AL607">
        <v>0</v>
      </c>
      <c r="AM607" t="s">
        <v>176</v>
      </c>
      <c r="AN607">
        <v>0</v>
      </c>
    </row>
    <row r="608" spans="1:40" x14ac:dyDescent="0.15">
      <c r="A608" s="4" t="str">
        <f>HYPERLINK("https://ibp.a2mac1.com/costing(costing:projects/details/9760/process/12084776)","Process")</f>
        <v>Process</v>
      </c>
      <c r="B608" t="s">
        <v>4668</v>
      </c>
      <c r="C608">
        <v>12084776</v>
      </c>
      <c r="D608">
        <v>8415051</v>
      </c>
      <c r="E608">
        <v>1.41</v>
      </c>
      <c r="F608">
        <v>0</v>
      </c>
      <c r="G608">
        <v>0</v>
      </c>
      <c r="H608">
        <v>7.1345999999999996E-3</v>
      </c>
      <c r="I608" t="s">
        <v>176</v>
      </c>
      <c r="J608">
        <v>4.9349999999999998E-2</v>
      </c>
      <c r="K608">
        <v>1.4664846</v>
      </c>
      <c r="L608">
        <v>0.18603101431739902</v>
      </c>
      <c r="M608">
        <v>1.1161860859043939</v>
      </c>
      <c r="N608">
        <v>2.582670685904394</v>
      </c>
      <c r="O608" t="s">
        <v>177</v>
      </c>
      <c r="P608">
        <v>8.7989075999999999E-2</v>
      </c>
      <c r="Q608" t="s">
        <v>177</v>
      </c>
      <c r="R608">
        <v>6.6971165154263643E-2</v>
      </c>
      <c r="S608" t="s">
        <v>178</v>
      </c>
      <c r="T608">
        <v>0.30992048230852731</v>
      </c>
      <c r="U608">
        <v>3.0475514093671849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104</v>
      </c>
      <c r="AB608">
        <v>1</v>
      </c>
      <c r="AC608">
        <v>0.5</v>
      </c>
      <c r="AD608">
        <v>0.50345253019720215</v>
      </c>
      <c r="AE608">
        <v>10800</v>
      </c>
      <c r="AF608">
        <v>200000</v>
      </c>
      <c r="AG608">
        <v>16666.666666666668</v>
      </c>
      <c r="AH608">
        <v>1</v>
      </c>
      <c r="AI608">
        <v>1</v>
      </c>
      <c r="AJ608" t="s">
        <v>162</v>
      </c>
      <c r="AK608" t="s">
        <v>176</v>
      </c>
      <c r="AL608">
        <v>0</v>
      </c>
      <c r="AM608" t="s">
        <v>176</v>
      </c>
      <c r="AN608">
        <v>0</v>
      </c>
    </row>
    <row r="609" spans="1:40" x14ac:dyDescent="0.15">
      <c r="A609" s="4" t="str">
        <f>HYPERLINK("https://ibp.a2mac1.com/costing(costing:projects/details/9760/process/12084777)","Process")</f>
        <v>Process</v>
      </c>
      <c r="B609" t="s">
        <v>794</v>
      </c>
      <c r="C609">
        <v>12084777</v>
      </c>
      <c r="D609">
        <v>8415052</v>
      </c>
      <c r="E609">
        <v>0.934078992</v>
      </c>
      <c r="F609">
        <v>0</v>
      </c>
      <c r="G609">
        <v>0</v>
      </c>
      <c r="H609">
        <v>4.7382854130526312E-3</v>
      </c>
      <c r="I609" t="s">
        <v>176</v>
      </c>
      <c r="J609">
        <v>3.2774701473684213E-2</v>
      </c>
      <c r="K609">
        <v>0.97159197888673687</v>
      </c>
      <c r="L609">
        <v>5.3574734444988205E-2</v>
      </c>
      <c r="M609">
        <v>0.32144840666992924</v>
      </c>
      <c r="N609">
        <v>1.2930403855566661</v>
      </c>
      <c r="O609" t="s">
        <v>177</v>
      </c>
      <c r="P609">
        <v>5.829551873320421E-2</v>
      </c>
      <c r="Q609" t="s">
        <v>177</v>
      </c>
      <c r="R609">
        <v>1.9286904400195756E-2</v>
      </c>
      <c r="S609" t="s">
        <v>178</v>
      </c>
      <c r="T609">
        <v>0.15516484626679994</v>
      </c>
      <c r="U609">
        <v>1.5257876549568659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29</v>
      </c>
      <c r="AB609">
        <v>1</v>
      </c>
      <c r="AC609">
        <v>0.5</v>
      </c>
      <c r="AD609">
        <v>0.50345253019720215</v>
      </c>
      <c r="AE609">
        <v>10800</v>
      </c>
      <c r="AF609">
        <v>200000</v>
      </c>
      <c r="AG609">
        <v>16666.666666666668</v>
      </c>
      <c r="AH609">
        <v>1</v>
      </c>
      <c r="AI609">
        <v>1</v>
      </c>
      <c r="AJ609" t="s">
        <v>162</v>
      </c>
      <c r="AK609" t="s">
        <v>176</v>
      </c>
      <c r="AL609">
        <v>0</v>
      </c>
      <c r="AM609" t="s">
        <v>176</v>
      </c>
      <c r="AN609">
        <v>0</v>
      </c>
    </row>
    <row r="610" spans="1:40" x14ac:dyDescent="0.15">
      <c r="A610" s="4" t="str">
        <f>HYPERLINK("https://ibp.a2mac1.com/costing(costing:projects/details/9760/process/12084778)","Process")</f>
        <v>Process</v>
      </c>
      <c r="B610" t="s">
        <v>794</v>
      </c>
      <c r="C610">
        <v>12084778</v>
      </c>
      <c r="D610">
        <v>8415053</v>
      </c>
      <c r="E610">
        <v>0.41900205899999998</v>
      </c>
      <c r="F610">
        <v>0</v>
      </c>
      <c r="G610">
        <v>0</v>
      </c>
      <c r="H610">
        <v>2.1254640787368422E-3</v>
      </c>
      <c r="I610" t="s">
        <v>176</v>
      </c>
      <c r="J610">
        <v>1.4701826631578947E-2</v>
      </c>
      <c r="K610">
        <v>0.43582934971031578</v>
      </c>
      <c r="L610">
        <v>3.414781339703462E-2</v>
      </c>
      <c r="M610">
        <v>0.20488688038220773</v>
      </c>
      <c r="N610">
        <v>0.64071623009252354</v>
      </c>
      <c r="O610" t="s">
        <v>177</v>
      </c>
      <c r="P610">
        <v>2.6149760982618949E-2</v>
      </c>
      <c r="Q610" t="s">
        <v>177</v>
      </c>
      <c r="R610">
        <v>1.2293212822932463E-2</v>
      </c>
      <c r="S610" t="s">
        <v>178</v>
      </c>
      <c r="T610">
        <v>7.6885947611102817E-2</v>
      </c>
      <c r="U610">
        <v>0.75604515150917773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18</v>
      </c>
      <c r="AB610">
        <v>1</v>
      </c>
      <c r="AC610">
        <v>0.5</v>
      </c>
      <c r="AD610">
        <v>0.50345253019720215</v>
      </c>
      <c r="AE610">
        <v>10800</v>
      </c>
      <c r="AF610">
        <v>200000</v>
      </c>
      <c r="AG610">
        <v>16666.666666666668</v>
      </c>
      <c r="AH610">
        <v>1</v>
      </c>
      <c r="AI610">
        <v>1</v>
      </c>
      <c r="AJ610" t="s">
        <v>162</v>
      </c>
      <c r="AK610" t="s">
        <v>176</v>
      </c>
      <c r="AL610">
        <v>0</v>
      </c>
      <c r="AM610" t="s">
        <v>176</v>
      </c>
      <c r="AN610">
        <v>0</v>
      </c>
    </row>
    <row r="611" spans="1:40" x14ac:dyDescent="0.15">
      <c r="A611" s="4" t="str">
        <f>HYPERLINK("https://ibp.a2mac1.com/costing(costing:projects/details/9760/process/12084779)","Process")</f>
        <v>Process</v>
      </c>
      <c r="B611" t="s">
        <v>794</v>
      </c>
      <c r="C611">
        <v>12084779</v>
      </c>
      <c r="D611">
        <v>8415054</v>
      </c>
      <c r="E611">
        <v>1.0221395520000001</v>
      </c>
      <c r="F611">
        <v>0</v>
      </c>
      <c r="G611">
        <v>0</v>
      </c>
      <c r="H611">
        <v>5.1849886046315789E-3</v>
      </c>
      <c r="I611" t="s">
        <v>176</v>
      </c>
      <c r="J611">
        <v>3.5864545684210526E-2</v>
      </c>
      <c r="K611">
        <v>1.063189086288842</v>
      </c>
      <c r="L611">
        <v>8.183207415110251E-2</v>
      </c>
      <c r="M611">
        <v>0.49099244490661503</v>
      </c>
      <c r="N611">
        <v>1.5541815311954572</v>
      </c>
      <c r="O611" t="s">
        <v>177</v>
      </c>
      <c r="P611">
        <v>6.3791345177330525E-2</v>
      </c>
      <c r="Q611" t="s">
        <v>177</v>
      </c>
      <c r="R611">
        <v>2.9459546694396904E-2</v>
      </c>
      <c r="S611" t="s">
        <v>178</v>
      </c>
      <c r="T611">
        <v>0.18650178374345486</v>
      </c>
      <c r="U611">
        <v>1.8339342068106395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45</v>
      </c>
      <c r="AB611">
        <v>1</v>
      </c>
      <c r="AC611">
        <v>0.5</v>
      </c>
      <c r="AD611">
        <v>0.50345253019720215</v>
      </c>
      <c r="AE611">
        <v>10800</v>
      </c>
      <c r="AF611">
        <v>200000</v>
      </c>
      <c r="AG611">
        <v>16666.666666666668</v>
      </c>
      <c r="AH611">
        <v>1</v>
      </c>
      <c r="AI611">
        <v>1</v>
      </c>
      <c r="AJ611" t="s">
        <v>162</v>
      </c>
      <c r="AK611" t="s">
        <v>176</v>
      </c>
      <c r="AL611">
        <v>0</v>
      </c>
      <c r="AM611" t="s">
        <v>176</v>
      </c>
      <c r="AN611">
        <v>0</v>
      </c>
    </row>
    <row r="612" spans="1:40" x14ac:dyDescent="0.15">
      <c r="A612" s="4" t="str">
        <f>HYPERLINK("https://ibp.a2mac1.com/costing(costing:projects/details/9760/process/12084780)","Process")</f>
        <v>Process</v>
      </c>
      <c r="B612" t="s">
        <v>4668</v>
      </c>
      <c r="C612">
        <v>12084780</v>
      </c>
      <c r="D612">
        <v>8415055</v>
      </c>
      <c r="E612">
        <v>0.43</v>
      </c>
      <c r="F612">
        <v>0</v>
      </c>
      <c r="G612">
        <v>0</v>
      </c>
      <c r="H612">
        <v>2.1757999999999999E-3</v>
      </c>
      <c r="I612" t="s">
        <v>176</v>
      </c>
      <c r="J612">
        <v>1.5049999999999999E-2</v>
      </c>
      <c r="K612">
        <v>0.44722580000000001</v>
      </c>
      <c r="L612">
        <v>5.8872985639884634E-2</v>
      </c>
      <c r="M612">
        <v>0.3532379138393078</v>
      </c>
      <c r="N612">
        <v>0.80046371383930781</v>
      </c>
      <c r="O612" t="s">
        <v>177</v>
      </c>
      <c r="P612">
        <v>2.6833547999999999E-2</v>
      </c>
      <c r="Q612" t="s">
        <v>177</v>
      </c>
      <c r="R612">
        <v>2.1194274830358469E-2</v>
      </c>
      <c r="S612" t="s">
        <v>178</v>
      </c>
      <c r="T612">
        <v>9.6055645660716935E-2</v>
      </c>
      <c r="U612">
        <v>0.94454718233038326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32</v>
      </c>
      <c r="AB612">
        <v>1</v>
      </c>
      <c r="AC612">
        <v>0.5</v>
      </c>
      <c r="AD612">
        <v>0.50345253019720215</v>
      </c>
      <c r="AE612">
        <v>10800</v>
      </c>
      <c r="AF612">
        <v>200000</v>
      </c>
      <c r="AG612">
        <v>16666.666666666668</v>
      </c>
      <c r="AH612">
        <v>1</v>
      </c>
      <c r="AI612">
        <v>1</v>
      </c>
      <c r="AJ612" t="s">
        <v>162</v>
      </c>
      <c r="AK612" t="s">
        <v>176</v>
      </c>
      <c r="AL612">
        <v>0</v>
      </c>
      <c r="AM612" t="s">
        <v>176</v>
      </c>
      <c r="AN612">
        <v>0</v>
      </c>
    </row>
    <row r="613" spans="1:40" x14ac:dyDescent="0.15">
      <c r="A613" s="4" t="str">
        <f>HYPERLINK("https://ibp.a2mac1.com/costing(costing:projects/details/9760/process/12084781)","Process")</f>
        <v>Process</v>
      </c>
      <c r="B613" t="s">
        <v>4668</v>
      </c>
      <c r="C613">
        <v>12084781</v>
      </c>
      <c r="D613">
        <v>8415057</v>
      </c>
      <c r="E613">
        <v>1.91</v>
      </c>
      <c r="F613">
        <v>0</v>
      </c>
      <c r="G613">
        <v>0</v>
      </c>
      <c r="H613">
        <v>9.6646000000000006E-3</v>
      </c>
      <c r="I613" t="s">
        <v>176</v>
      </c>
      <c r="J613">
        <v>6.6850000000000007E-2</v>
      </c>
      <c r="K613">
        <v>1.9865146</v>
      </c>
      <c r="L613">
        <v>0.25137611238778834</v>
      </c>
      <c r="M613">
        <v>1.5082566743267301</v>
      </c>
      <c r="N613">
        <v>3.4947712743267298</v>
      </c>
      <c r="O613" t="s">
        <v>177</v>
      </c>
      <c r="P613">
        <v>0.119190876</v>
      </c>
      <c r="Q613" t="s">
        <v>177</v>
      </c>
      <c r="R613">
        <v>9.0495400459603803E-2</v>
      </c>
      <c r="S613" t="s">
        <v>178</v>
      </c>
      <c r="T613">
        <v>0.41937255291920761</v>
      </c>
      <c r="U613">
        <v>4.1238301037055418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141</v>
      </c>
      <c r="AB613">
        <v>1</v>
      </c>
      <c r="AC613">
        <v>0.5</v>
      </c>
      <c r="AD613">
        <v>0.50345253019720215</v>
      </c>
      <c r="AE613">
        <v>10800</v>
      </c>
      <c r="AF613">
        <v>200000</v>
      </c>
      <c r="AG613">
        <v>16666.666666666668</v>
      </c>
      <c r="AH613">
        <v>1</v>
      </c>
      <c r="AI613">
        <v>1</v>
      </c>
      <c r="AJ613" t="s">
        <v>162</v>
      </c>
      <c r="AK613" t="s">
        <v>176</v>
      </c>
      <c r="AL613">
        <v>0</v>
      </c>
      <c r="AM613" t="s">
        <v>176</v>
      </c>
      <c r="AN613">
        <v>0</v>
      </c>
    </row>
    <row r="614" spans="1:40" x14ac:dyDescent="0.15">
      <c r="A614" s="4" t="str">
        <f>HYPERLINK("https://ibp.a2mac1.com/costing(costing:projects/details/9760/process/12084684)","Process")</f>
        <v>Process</v>
      </c>
      <c r="B614" t="s">
        <v>846</v>
      </c>
      <c r="C614">
        <v>12084684</v>
      </c>
      <c r="D614">
        <v>8414936</v>
      </c>
      <c r="E614">
        <v>0.33227308799999999</v>
      </c>
      <c r="F614">
        <v>0</v>
      </c>
      <c r="G614">
        <v>0</v>
      </c>
      <c r="H614">
        <v>1.6855156143157895E-3</v>
      </c>
      <c r="I614" t="s">
        <v>176</v>
      </c>
      <c r="J614">
        <v>1.1658704842105263E-2</v>
      </c>
      <c r="K614">
        <v>0.34561730845642108</v>
      </c>
      <c r="L614">
        <v>2.3551311007241758E-2</v>
      </c>
      <c r="M614">
        <v>0.14130786604345055</v>
      </c>
      <c r="N614">
        <v>0.4869251744998716</v>
      </c>
      <c r="O614" t="s">
        <v>177</v>
      </c>
      <c r="P614">
        <v>2.0737038507385262E-2</v>
      </c>
      <c r="Q614" t="s">
        <v>177</v>
      </c>
      <c r="R614">
        <v>8.4784719626070319E-3</v>
      </c>
      <c r="S614" t="s">
        <v>178</v>
      </c>
      <c r="T614">
        <v>5.843102093998459E-2</v>
      </c>
      <c r="U614">
        <v>0.57457170590984852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12</v>
      </c>
      <c r="AB614">
        <v>1</v>
      </c>
      <c r="AC614">
        <v>0.5</v>
      </c>
      <c r="AD614">
        <v>0.50345253019720215</v>
      </c>
      <c r="AE614">
        <v>10800</v>
      </c>
      <c r="AF614">
        <v>200000</v>
      </c>
      <c r="AG614">
        <v>16666.666666666668</v>
      </c>
      <c r="AH614">
        <v>1</v>
      </c>
      <c r="AI614">
        <v>1</v>
      </c>
      <c r="AJ614" t="s">
        <v>162</v>
      </c>
      <c r="AK614" t="s">
        <v>176</v>
      </c>
      <c r="AL614">
        <v>0</v>
      </c>
      <c r="AM614" t="s">
        <v>176</v>
      </c>
      <c r="AN614">
        <v>0</v>
      </c>
    </row>
    <row r="615" spans="1:40" x14ac:dyDescent="0.15">
      <c r="A615" s="4" t="str">
        <f>HYPERLINK("https://ibp.a2mac1.com/costing(costing:projects/details/9760/process/12084685)","Process")</f>
        <v>Process</v>
      </c>
      <c r="B615" t="s">
        <v>794</v>
      </c>
      <c r="C615">
        <v>12084685</v>
      </c>
      <c r="D615">
        <v>8414938</v>
      </c>
      <c r="E615">
        <v>5.0563296000000001E-2</v>
      </c>
      <c r="F615">
        <v>0</v>
      </c>
      <c r="G615">
        <v>0</v>
      </c>
      <c r="H615">
        <v>2.5649150652631581E-4</v>
      </c>
      <c r="I615" t="s">
        <v>176</v>
      </c>
      <c r="J615">
        <v>1.7741507368421053E-3</v>
      </c>
      <c r="K615">
        <v>5.2593938243368422E-2</v>
      </c>
      <c r="L615">
        <v>5.8904736909203177E-3</v>
      </c>
      <c r="M615">
        <v>3.5342842145521906E-2</v>
      </c>
      <c r="N615">
        <v>8.7936780388890329E-2</v>
      </c>
      <c r="O615" t="s">
        <v>177</v>
      </c>
      <c r="P615">
        <v>3.1556362946021052E-3</v>
      </c>
      <c r="Q615" t="s">
        <v>177</v>
      </c>
      <c r="R615">
        <v>2.1205705287313144E-3</v>
      </c>
      <c r="S615" t="s">
        <v>178</v>
      </c>
      <c r="T615">
        <v>1.0552413646666838E-2</v>
      </c>
      <c r="U615">
        <v>0.10376540085889058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2</v>
      </c>
      <c r="AB615">
        <v>1</v>
      </c>
      <c r="AC615">
        <v>0.5</v>
      </c>
      <c r="AD615">
        <v>0.50345253019720215</v>
      </c>
      <c r="AE615">
        <v>10800</v>
      </c>
      <c r="AF615">
        <v>200000</v>
      </c>
      <c r="AG615">
        <v>16666.666666666668</v>
      </c>
      <c r="AH615">
        <v>1</v>
      </c>
      <c r="AI615">
        <v>1</v>
      </c>
      <c r="AJ615" t="s">
        <v>162</v>
      </c>
      <c r="AK615" t="s">
        <v>176</v>
      </c>
      <c r="AL615">
        <v>0</v>
      </c>
      <c r="AM615" t="s">
        <v>176</v>
      </c>
      <c r="AN615">
        <v>0</v>
      </c>
    </row>
    <row r="616" spans="1:40" x14ac:dyDescent="0.15">
      <c r="A616" s="4" t="str">
        <f>HYPERLINK("https://ibp.a2mac1.com/costing(costing:projects/details/9760/process/12084686)","Process")</f>
        <v>Process</v>
      </c>
      <c r="B616" t="s">
        <v>753</v>
      </c>
      <c r="C616">
        <v>12084686</v>
      </c>
      <c r="D616">
        <v>8414939</v>
      </c>
      <c r="E616">
        <v>7.3397506000000001E-2</v>
      </c>
      <c r="F616">
        <v>0</v>
      </c>
      <c r="G616">
        <v>0</v>
      </c>
      <c r="H616">
        <v>4.0812239600000001E-4</v>
      </c>
      <c r="I616" t="s">
        <v>176</v>
      </c>
      <c r="J616">
        <v>2.822981E-3</v>
      </c>
      <c r="K616">
        <v>7.6628609395999997E-2</v>
      </c>
      <c r="L616">
        <v>1.2954808617448894E-2</v>
      </c>
      <c r="M616">
        <v>7.7728851704693361E-2</v>
      </c>
      <c r="N616">
        <v>0.15435746110069337</v>
      </c>
      <c r="O616" t="s">
        <v>177</v>
      </c>
      <c r="P616">
        <v>4.5977165637599996E-3</v>
      </c>
      <c r="Q616" t="s">
        <v>177</v>
      </c>
      <c r="R616">
        <v>4.6637311022816015E-3</v>
      </c>
      <c r="S616" t="s">
        <v>178</v>
      </c>
      <c r="T616">
        <v>1.8522895332083202E-2</v>
      </c>
      <c r="U616">
        <v>0.18214180409881817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6</v>
      </c>
      <c r="AB616">
        <v>1</v>
      </c>
      <c r="AC616">
        <v>0.5</v>
      </c>
      <c r="AD616">
        <v>0.50345253019720215</v>
      </c>
      <c r="AE616">
        <v>10800</v>
      </c>
      <c r="AF616">
        <v>200000</v>
      </c>
      <c r="AG616">
        <v>16666.666666666668</v>
      </c>
      <c r="AH616">
        <v>1</v>
      </c>
      <c r="AI616">
        <v>1</v>
      </c>
      <c r="AJ616" t="s">
        <v>162</v>
      </c>
      <c r="AK616" t="s">
        <v>176</v>
      </c>
      <c r="AL616">
        <v>0</v>
      </c>
      <c r="AM616" t="s">
        <v>176</v>
      </c>
      <c r="AN616">
        <v>0</v>
      </c>
    </row>
    <row r="617" spans="1:40" x14ac:dyDescent="0.15">
      <c r="A617" s="4" t="str">
        <f>HYPERLINK("https://ibp.a2mac1.com/costing(costing:projects/details/9760/process/12084687)","Process")</f>
        <v>Process</v>
      </c>
      <c r="B617" t="s">
        <v>4809</v>
      </c>
      <c r="C617">
        <v>12084687</v>
      </c>
      <c r="D617">
        <v>8414940</v>
      </c>
      <c r="E617">
        <v>2.7</v>
      </c>
      <c r="F617">
        <v>0</v>
      </c>
      <c r="G617">
        <v>0</v>
      </c>
      <c r="H617">
        <v>1.3662000000000001E-2</v>
      </c>
      <c r="I617" t="s">
        <v>176</v>
      </c>
      <c r="J617">
        <v>9.4500000000000001E-2</v>
      </c>
      <c r="K617">
        <v>2.8081619999999998</v>
      </c>
      <c r="L617">
        <v>0.45447574152548492</v>
      </c>
      <c r="M617">
        <v>2.7268544491529094</v>
      </c>
      <c r="N617">
        <v>5.5350164491529092</v>
      </c>
      <c r="O617" t="s">
        <v>177</v>
      </c>
      <c r="P617">
        <v>0.16848972000000001</v>
      </c>
      <c r="Q617" t="s">
        <v>177</v>
      </c>
      <c r="R617">
        <v>0.16361126694917455</v>
      </c>
      <c r="S617" t="s">
        <v>178</v>
      </c>
      <c r="T617">
        <v>0.66420197389834912</v>
      </c>
      <c r="U617">
        <v>6.5313194100004335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256</v>
      </c>
      <c r="AB617">
        <v>1</v>
      </c>
      <c r="AC617">
        <v>0.5</v>
      </c>
      <c r="AD617">
        <v>0.50345253019720215</v>
      </c>
      <c r="AE617">
        <v>10800</v>
      </c>
      <c r="AF617">
        <v>200000</v>
      </c>
      <c r="AG617">
        <v>16666.666666666668</v>
      </c>
      <c r="AH617">
        <v>1</v>
      </c>
      <c r="AI617">
        <v>1</v>
      </c>
      <c r="AJ617" t="s">
        <v>162</v>
      </c>
      <c r="AK617" t="s">
        <v>176</v>
      </c>
      <c r="AL617">
        <v>0</v>
      </c>
      <c r="AM617" t="s">
        <v>176</v>
      </c>
      <c r="AN617">
        <v>0</v>
      </c>
    </row>
    <row r="618" spans="1:40" x14ac:dyDescent="0.15">
      <c r="A618" s="4" t="str">
        <f>HYPERLINK("https://ibp.a2mac1.com/costing(costing:projects/details/9760/process/12084782)","Process")</f>
        <v>Process</v>
      </c>
      <c r="B618" t="s">
        <v>846</v>
      </c>
      <c r="C618">
        <v>12084782</v>
      </c>
      <c r="D618">
        <v>8415058</v>
      </c>
      <c r="E618">
        <v>6.890047311</v>
      </c>
      <c r="F618">
        <v>0</v>
      </c>
      <c r="G618">
        <v>0</v>
      </c>
      <c r="H618">
        <v>3.4951016936000001E-2</v>
      </c>
      <c r="I618" t="s">
        <v>176</v>
      </c>
      <c r="J618">
        <v>0.241756046</v>
      </c>
      <c r="K618">
        <v>7.1667543739359996</v>
      </c>
      <c r="L618">
        <v>0.44741140659895634</v>
      </c>
      <c r="M618">
        <v>2.6844684395937377</v>
      </c>
      <c r="N618">
        <v>9.8512228135297377</v>
      </c>
      <c r="O618" t="s">
        <v>177</v>
      </c>
      <c r="P618">
        <v>0.43000526243616</v>
      </c>
      <c r="Q618" t="s">
        <v>177</v>
      </c>
      <c r="R618">
        <v>0.16106810637562427</v>
      </c>
      <c r="S618" t="s">
        <v>178</v>
      </c>
      <c r="T618">
        <v>1.1821467376235686</v>
      </c>
      <c r="U618">
        <v>11.624442919965091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252</v>
      </c>
      <c r="AB618">
        <v>1</v>
      </c>
      <c r="AC618">
        <v>0.5</v>
      </c>
      <c r="AD618">
        <v>0.50345253019720215</v>
      </c>
      <c r="AE618">
        <v>10800</v>
      </c>
      <c r="AF618">
        <v>200000</v>
      </c>
      <c r="AG618">
        <v>16666.666666666668</v>
      </c>
      <c r="AH618">
        <v>1</v>
      </c>
      <c r="AI618">
        <v>1</v>
      </c>
      <c r="AJ618" t="s">
        <v>162</v>
      </c>
      <c r="AK618" t="s">
        <v>176</v>
      </c>
      <c r="AL618">
        <v>0</v>
      </c>
      <c r="AM618" t="s">
        <v>176</v>
      </c>
      <c r="AN618">
        <v>0</v>
      </c>
    </row>
    <row r="619" spans="1:40" x14ac:dyDescent="0.15">
      <c r="A619" s="4" t="str">
        <f>HYPERLINK("https://ibp.a2mac1.com/costing(costing:projects/details/9760/process/12084783)","Process")</f>
        <v>Process</v>
      </c>
      <c r="B619" t="s">
        <v>846</v>
      </c>
      <c r="C619">
        <v>12084783</v>
      </c>
      <c r="D619">
        <v>8415059</v>
      </c>
      <c r="E619">
        <v>1.2661403999999999E-2</v>
      </c>
      <c r="F619">
        <v>0</v>
      </c>
      <c r="G619">
        <v>0</v>
      </c>
      <c r="H619">
        <v>6.3846478315789467E-5</v>
      </c>
      <c r="I619" t="s">
        <v>176</v>
      </c>
      <c r="J619">
        <v>4.442597894736842E-4</v>
      </c>
      <c r="K619">
        <v>1.3169510267789473E-2</v>
      </c>
      <c r="L619">
        <v>2.9451489331908773E-3</v>
      </c>
      <c r="M619">
        <v>1.7670893599145265E-2</v>
      </c>
      <c r="N619">
        <v>3.0840403866934738E-2</v>
      </c>
      <c r="O619" t="s">
        <v>177</v>
      </c>
      <c r="P619">
        <v>7.9017061606736843E-4</v>
      </c>
      <c r="Q619" t="s">
        <v>177</v>
      </c>
      <c r="R619">
        <v>1.0602536159487158E-3</v>
      </c>
      <c r="S619" t="s">
        <v>178</v>
      </c>
      <c r="T619">
        <v>3.7008484640321687E-3</v>
      </c>
      <c r="U619">
        <v>3.6391676562982991E-2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0.5</v>
      </c>
      <c r="AD619">
        <v>0.50048257265952256</v>
      </c>
      <c r="AE619">
        <v>10800</v>
      </c>
      <c r="AF619">
        <v>400000</v>
      </c>
      <c r="AG619">
        <v>33333.333333333336</v>
      </c>
      <c r="AH619">
        <v>1</v>
      </c>
      <c r="AI619">
        <v>1</v>
      </c>
      <c r="AJ619" t="s">
        <v>162</v>
      </c>
      <c r="AK619" t="s">
        <v>176</v>
      </c>
      <c r="AL619">
        <v>0</v>
      </c>
      <c r="AM619" t="s">
        <v>176</v>
      </c>
      <c r="AN619">
        <v>0</v>
      </c>
    </row>
    <row r="620" spans="1:40" x14ac:dyDescent="0.15">
      <c r="A620" s="4" t="str">
        <f>HYPERLINK("https://ibp.a2mac1.com/costing(costing:projects/details/9760/process/12084784)","Process")</f>
        <v>Process</v>
      </c>
      <c r="B620" t="s">
        <v>4827</v>
      </c>
      <c r="C620">
        <v>12084784</v>
      </c>
      <c r="D620">
        <v>8415060</v>
      </c>
      <c r="E620">
        <v>1.6237371657499999</v>
      </c>
      <c r="F620">
        <v>0</v>
      </c>
      <c r="G620">
        <v>0</v>
      </c>
      <c r="H620">
        <v>8.3870961541052634E-3</v>
      </c>
      <c r="I620" t="s">
        <v>176</v>
      </c>
      <c r="J620">
        <v>5.8013510947368424E-2</v>
      </c>
      <c r="K620">
        <v>1.6901377728514737</v>
      </c>
      <c r="L620">
        <v>2.4564957110409874E-2</v>
      </c>
      <c r="M620">
        <v>0.14738974266245924</v>
      </c>
      <c r="N620">
        <v>1.837527515513933</v>
      </c>
      <c r="O620" t="s">
        <v>177</v>
      </c>
      <c r="P620">
        <v>0.10140826637108842</v>
      </c>
      <c r="Q620" t="s">
        <v>177</v>
      </c>
      <c r="R620">
        <v>8.8433845597475549E-3</v>
      </c>
      <c r="S620" t="s">
        <v>178</v>
      </c>
      <c r="T620">
        <v>0.22050330186167194</v>
      </c>
      <c r="U620">
        <v>2.1682824683064408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60</v>
      </c>
      <c r="AB620">
        <v>1</v>
      </c>
      <c r="AC620">
        <v>0.5</v>
      </c>
      <c r="AD620">
        <v>0.50345253019720215</v>
      </c>
      <c r="AE620">
        <v>9304.65</v>
      </c>
      <c r="AF620">
        <v>200000</v>
      </c>
      <c r="AG620">
        <v>16666.666666666668</v>
      </c>
      <c r="AH620">
        <v>1</v>
      </c>
      <c r="AI620">
        <v>1</v>
      </c>
      <c r="AJ620" t="s">
        <v>162</v>
      </c>
      <c r="AK620" t="s">
        <v>176</v>
      </c>
      <c r="AL620">
        <v>0</v>
      </c>
      <c r="AM620" t="s">
        <v>176</v>
      </c>
      <c r="AN620">
        <v>0</v>
      </c>
    </row>
    <row r="621" spans="1:40" x14ac:dyDescent="0.15">
      <c r="A621" s="4" t="str">
        <f>HYPERLINK("https://ibp.a2mac1.com/costing(costing:projects/details/9760/process/12084691)","Assembly")</f>
        <v>Assembly</v>
      </c>
      <c r="C621">
        <v>12084691</v>
      </c>
      <c r="D621">
        <v>8414944</v>
      </c>
      <c r="E621">
        <v>0</v>
      </c>
      <c r="F621">
        <v>0</v>
      </c>
      <c r="G621">
        <v>0</v>
      </c>
      <c r="H621">
        <v>0</v>
      </c>
      <c r="I621" t="s">
        <v>90</v>
      </c>
      <c r="J621">
        <v>0</v>
      </c>
      <c r="K621">
        <v>0</v>
      </c>
      <c r="L621">
        <v>0</v>
      </c>
      <c r="M621">
        <v>0.10796103500784267</v>
      </c>
      <c r="N621">
        <v>0.10796103500784267</v>
      </c>
      <c r="O621" t="s">
        <v>90</v>
      </c>
      <c r="P621">
        <v>0</v>
      </c>
      <c r="Q621" t="s">
        <v>90</v>
      </c>
      <c r="R621">
        <v>0</v>
      </c>
      <c r="S621" t="s">
        <v>90</v>
      </c>
      <c r="T621">
        <v>0</v>
      </c>
      <c r="U621">
        <v>0.10796103500784267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10</v>
      </c>
      <c r="AB621">
        <v>1</v>
      </c>
      <c r="AC621">
        <v>0.5</v>
      </c>
      <c r="AD621">
        <v>0.50741219779126456</v>
      </c>
      <c r="AE621">
        <v>10800</v>
      </c>
      <c r="AF621">
        <v>200000</v>
      </c>
      <c r="AG621">
        <v>10000</v>
      </c>
      <c r="AH621">
        <v>1</v>
      </c>
      <c r="AI621">
        <v>1</v>
      </c>
      <c r="AJ621" t="s">
        <v>76</v>
      </c>
      <c r="AK621" t="s">
        <v>90</v>
      </c>
      <c r="AL621">
        <v>0</v>
      </c>
      <c r="AM621" t="s">
        <v>90</v>
      </c>
      <c r="AN621">
        <v>0</v>
      </c>
    </row>
    <row r="622" spans="1:40" x14ac:dyDescent="0.15">
      <c r="A622" s="4" t="str">
        <f>HYPERLINK("https://ibp.a2mac1.com/costing(costing:projects/details/9760/process/12084688)","Process")</f>
        <v>Process</v>
      </c>
      <c r="B622" t="s">
        <v>846</v>
      </c>
      <c r="C622">
        <v>12084688</v>
      </c>
      <c r="D622">
        <v>8414941</v>
      </c>
      <c r="E622">
        <v>0.80189069099999999</v>
      </c>
      <c r="F622">
        <v>0</v>
      </c>
      <c r="G622">
        <v>0</v>
      </c>
      <c r="H622">
        <v>4.0677362370526316E-3</v>
      </c>
      <c r="I622" t="s">
        <v>176</v>
      </c>
      <c r="J622">
        <v>2.8136515473684211E-2</v>
      </c>
      <c r="K622">
        <v>0.83409494271073681</v>
      </c>
      <c r="L622">
        <v>7.3001655492941783E-2</v>
      </c>
      <c r="M622">
        <v>0.43800993295765073</v>
      </c>
      <c r="N622">
        <v>1.2721048756683875</v>
      </c>
      <c r="O622" t="s">
        <v>177</v>
      </c>
      <c r="P622">
        <v>5.004569656264421E-2</v>
      </c>
      <c r="Q622" t="s">
        <v>177</v>
      </c>
      <c r="R622">
        <v>2.6280595977459045E-2</v>
      </c>
      <c r="S622" t="s">
        <v>178</v>
      </c>
      <c r="T622">
        <v>0.15265258508020652</v>
      </c>
      <c r="U622">
        <v>1.5010837532886974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40</v>
      </c>
      <c r="AB622">
        <v>1</v>
      </c>
      <c r="AC622">
        <v>0.5</v>
      </c>
      <c r="AD622">
        <v>0.50345253019720215</v>
      </c>
      <c r="AE622">
        <v>10800</v>
      </c>
      <c r="AF622">
        <v>200000</v>
      </c>
      <c r="AG622">
        <v>16666.666666666668</v>
      </c>
      <c r="AH622">
        <v>1</v>
      </c>
      <c r="AI622">
        <v>1</v>
      </c>
      <c r="AJ622" t="s">
        <v>162</v>
      </c>
      <c r="AK622" t="s">
        <v>176</v>
      </c>
      <c r="AL622">
        <v>0</v>
      </c>
      <c r="AM622" t="s">
        <v>176</v>
      </c>
      <c r="AN622">
        <v>0</v>
      </c>
    </row>
    <row r="623" spans="1:40" x14ac:dyDescent="0.15">
      <c r="A623" s="4" t="str">
        <f>HYPERLINK("https://ibp.a2mac1.com/costing(costing:projects/details/9760/process/12084689)","Process")</f>
        <v>Process</v>
      </c>
      <c r="B623" t="s">
        <v>846</v>
      </c>
      <c r="C623">
        <v>12084689</v>
      </c>
      <c r="D623">
        <v>8414942</v>
      </c>
      <c r="E623">
        <v>0.53761068899999997</v>
      </c>
      <c r="F623">
        <v>0</v>
      </c>
      <c r="G623">
        <v>0</v>
      </c>
      <c r="H623">
        <v>2.7271279061052631E-3</v>
      </c>
      <c r="I623" t="s">
        <v>176</v>
      </c>
      <c r="J623">
        <v>1.8863532947368422E-2</v>
      </c>
      <c r="K623">
        <v>0.55920134985347369</v>
      </c>
      <c r="L623">
        <v>5.0042566981723914E-2</v>
      </c>
      <c r="M623">
        <v>0.3002554018903435</v>
      </c>
      <c r="N623">
        <v>0.85945675174381719</v>
      </c>
      <c r="O623" t="s">
        <v>177</v>
      </c>
      <c r="P623">
        <v>3.3552080991208419E-2</v>
      </c>
      <c r="Q623" t="s">
        <v>177</v>
      </c>
      <c r="R623">
        <v>1.8015324113420609E-2</v>
      </c>
      <c r="S623" t="s">
        <v>178</v>
      </c>
      <c r="T623">
        <v>0.10313481020925806</v>
      </c>
      <c r="U623">
        <v>1.0141589670577043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27</v>
      </c>
      <c r="AB623">
        <v>1</v>
      </c>
      <c r="AC623">
        <v>0.5</v>
      </c>
      <c r="AD623">
        <v>0.50345253019720215</v>
      </c>
      <c r="AE623">
        <v>10800</v>
      </c>
      <c r="AF623">
        <v>200000</v>
      </c>
      <c r="AG623">
        <v>16666.666666666668</v>
      </c>
      <c r="AH623">
        <v>1</v>
      </c>
      <c r="AI623">
        <v>1</v>
      </c>
      <c r="AJ623" t="s">
        <v>162</v>
      </c>
      <c r="AK623" t="s">
        <v>176</v>
      </c>
      <c r="AL623">
        <v>0</v>
      </c>
      <c r="AM623" t="s">
        <v>176</v>
      </c>
      <c r="AN623">
        <v>0</v>
      </c>
    </row>
    <row r="624" spans="1:40" x14ac:dyDescent="0.15">
      <c r="A624" s="4" t="str">
        <f>HYPERLINK("https://ibp.a2mac1.com/costing(costing:projects/details/9760/process/12084690)","Process")</f>
        <v>Process</v>
      </c>
      <c r="B624" t="s">
        <v>846</v>
      </c>
      <c r="C624">
        <v>12084690</v>
      </c>
      <c r="D624">
        <v>8414943</v>
      </c>
      <c r="E624">
        <v>0.72350614000000002</v>
      </c>
      <c r="F624">
        <v>0</v>
      </c>
      <c r="G624">
        <v>0</v>
      </c>
      <c r="H624">
        <v>3.7166914399999998E-3</v>
      </c>
      <c r="I624" t="s">
        <v>176</v>
      </c>
      <c r="J624">
        <v>2.570834E-2</v>
      </c>
      <c r="K624">
        <v>0.75293117143999999</v>
      </c>
      <c r="L624">
        <v>8.3598157882734656E-2</v>
      </c>
      <c r="M624">
        <v>0.50158894729640791</v>
      </c>
      <c r="N624">
        <v>1.2545201187364079</v>
      </c>
      <c r="O624" t="s">
        <v>177</v>
      </c>
      <c r="P624">
        <v>4.5175870286400001E-2</v>
      </c>
      <c r="Q624" t="s">
        <v>177</v>
      </c>
      <c r="R624">
        <v>3.0095336837784474E-2</v>
      </c>
      <c r="S624" t="s">
        <v>178</v>
      </c>
      <c r="T624">
        <v>0.15054241424836895</v>
      </c>
      <c r="U624">
        <v>1.4803337401089613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46</v>
      </c>
      <c r="AB624">
        <v>1</v>
      </c>
      <c r="AC624">
        <v>0.5</v>
      </c>
      <c r="AD624">
        <v>0.50345253019720215</v>
      </c>
      <c r="AE624">
        <v>10800</v>
      </c>
      <c r="AF624">
        <v>200000</v>
      </c>
      <c r="AG624">
        <v>16666.666666666668</v>
      </c>
      <c r="AH624">
        <v>1</v>
      </c>
      <c r="AI624">
        <v>1</v>
      </c>
      <c r="AJ624" t="s">
        <v>162</v>
      </c>
      <c r="AK624" t="s">
        <v>176</v>
      </c>
      <c r="AL624">
        <v>0</v>
      </c>
      <c r="AM624" t="s">
        <v>176</v>
      </c>
      <c r="AN624">
        <v>0</v>
      </c>
    </row>
    <row r="625" spans="1:40" x14ac:dyDescent="0.15">
      <c r="A625" s="4" t="str">
        <f>HYPERLINK("https://ibp.a2mac1.com/costing(costing:projects/details/9760/process/12084839)","Process")</f>
        <v>Process</v>
      </c>
      <c r="B625" t="s">
        <v>4853</v>
      </c>
      <c r="C625">
        <v>12084839</v>
      </c>
      <c r="D625">
        <v>8415111</v>
      </c>
      <c r="E625">
        <v>4.7699999999999996</v>
      </c>
      <c r="F625">
        <v>0</v>
      </c>
      <c r="G625">
        <v>0</v>
      </c>
      <c r="H625">
        <v>2.41362E-2</v>
      </c>
      <c r="I625" t="s">
        <v>176</v>
      </c>
      <c r="J625">
        <v>0.16694999999999999</v>
      </c>
      <c r="K625">
        <v>4.9610861999999996</v>
      </c>
      <c r="L625">
        <v>0.19662751670719186</v>
      </c>
      <c r="M625">
        <v>1.1797651002431513</v>
      </c>
      <c r="N625">
        <v>6.1408513002431508</v>
      </c>
      <c r="O625" t="s">
        <v>177</v>
      </c>
      <c r="P625">
        <v>0.29766517199999998</v>
      </c>
      <c r="Q625" t="s">
        <v>177</v>
      </c>
      <c r="R625">
        <v>7.0785906014589076E-2</v>
      </c>
      <c r="S625" t="s">
        <v>178</v>
      </c>
      <c r="T625">
        <v>0.73690215602917819</v>
      </c>
      <c r="U625">
        <v>7.2462045342869184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110</v>
      </c>
      <c r="AB625">
        <v>1</v>
      </c>
      <c r="AC625">
        <v>0.5</v>
      </c>
      <c r="AD625">
        <v>0.50345253019720215</v>
      </c>
      <c r="AE625">
        <v>10800</v>
      </c>
      <c r="AF625">
        <v>200000</v>
      </c>
      <c r="AG625">
        <v>16666.666666666668</v>
      </c>
      <c r="AH625">
        <v>1</v>
      </c>
      <c r="AI625">
        <v>1</v>
      </c>
      <c r="AJ625" t="s">
        <v>162</v>
      </c>
      <c r="AK625" t="s">
        <v>176</v>
      </c>
      <c r="AL625">
        <v>0</v>
      </c>
      <c r="AM625" t="s">
        <v>176</v>
      </c>
      <c r="AN625">
        <v>0</v>
      </c>
    </row>
    <row r="626" spans="1:40" x14ac:dyDescent="0.15">
      <c r="A626" s="4" t="str">
        <f>HYPERLINK("https://ibp.a2mac1.com/costing(costing:projects/details/9760/process/12084840)","Process")</f>
        <v>Process</v>
      </c>
      <c r="B626" t="s">
        <v>4853</v>
      </c>
      <c r="C626">
        <v>12084840</v>
      </c>
      <c r="D626">
        <v>8415112</v>
      </c>
      <c r="E626">
        <v>4.93</v>
      </c>
      <c r="F626">
        <v>0</v>
      </c>
      <c r="G626">
        <v>0</v>
      </c>
      <c r="H626">
        <v>2.4945800000000001E-2</v>
      </c>
      <c r="I626" t="s">
        <v>176</v>
      </c>
      <c r="J626">
        <v>0.17255000000000001</v>
      </c>
      <c r="K626">
        <v>5.1274958000000002</v>
      </c>
      <c r="L626">
        <v>0.19662751670719186</v>
      </c>
      <c r="M626">
        <v>1.1797651002431513</v>
      </c>
      <c r="N626">
        <v>6.3072609002431514</v>
      </c>
      <c r="O626" t="s">
        <v>177</v>
      </c>
      <c r="P626">
        <v>0.307649748</v>
      </c>
      <c r="Q626" t="s">
        <v>177</v>
      </c>
      <c r="R626">
        <v>7.0785906014589076E-2</v>
      </c>
      <c r="S626" t="s">
        <v>178</v>
      </c>
      <c r="T626">
        <v>0.75687130802917812</v>
      </c>
      <c r="U626">
        <v>7.4425678622869187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110</v>
      </c>
      <c r="AB626">
        <v>1</v>
      </c>
      <c r="AC626">
        <v>0.5</v>
      </c>
      <c r="AD626">
        <v>0.50345253019720215</v>
      </c>
      <c r="AE626">
        <v>10800</v>
      </c>
      <c r="AF626">
        <v>200000</v>
      </c>
      <c r="AG626">
        <v>16666.666666666668</v>
      </c>
      <c r="AH626">
        <v>1</v>
      </c>
      <c r="AI626">
        <v>1</v>
      </c>
      <c r="AJ626" t="s">
        <v>162</v>
      </c>
      <c r="AK626" t="s">
        <v>176</v>
      </c>
      <c r="AL626">
        <v>0</v>
      </c>
      <c r="AM626" t="s">
        <v>176</v>
      </c>
      <c r="AN626">
        <v>0</v>
      </c>
    </row>
    <row r="627" spans="1:40" x14ac:dyDescent="0.15">
      <c r="A627" s="4" t="str">
        <f>HYPERLINK("https://ibp.a2mac1.com/costing(costing:projects/details/9760/process/12084841)","Process")</f>
        <v>Process</v>
      </c>
      <c r="B627" t="s">
        <v>4853</v>
      </c>
      <c r="C627">
        <v>12084841</v>
      </c>
      <c r="D627">
        <v>8415113</v>
      </c>
      <c r="E627">
        <v>6.78</v>
      </c>
      <c r="F627">
        <v>0</v>
      </c>
      <c r="G627">
        <v>0</v>
      </c>
      <c r="H627">
        <v>3.4306799999999998E-2</v>
      </c>
      <c r="I627" t="s">
        <v>176</v>
      </c>
      <c r="J627">
        <v>0.23730000000000001</v>
      </c>
      <c r="K627">
        <v>7.0516068000000001</v>
      </c>
      <c r="L627">
        <v>0.32025337792144193</v>
      </c>
      <c r="M627">
        <v>1.9215202675286518</v>
      </c>
      <c r="N627">
        <v>8.973127067528651</v>
      </c>
      <c r="O627" t="s">
        <v>177</v>
      </c>
      <c r="P627">
        <v>0.42309640799999998</v>
      </c>
      <c r="Q627" t="s">
        <v>177</v>
      </c>
      <c r="R627">
        <v>0.1152912160517191</v>
      </c>
      <c r="S627" t="s">
        <v>178</v>
      </c>
      <c r="T627">
        <v>1.0767752481034383</v>
      </c>
      <c r="U627">
        <v>10.588289939683809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180</v>
      </c>
      <c r="AB627">
        <v>1</v>
      </c>
      <c r="AC627">
        <v>0.5</v>
      </c>
      <c r="AD627">
        <v>0.50345253019720215</v>
      </c>
      <c r="AE627">
        <v>10800</v>
      </c>
      <c r="AF627">
        <v>200000</v>
      </c>
      <c r="AG627">
        <v>16666.666666666668</v>
      </c>
      <c r="AH627">
        <v>1</v>
      </c>
      <c r="AI627">
        <v>1</v>
      </c>
      <c r="AJ627" t="s">
        <v>162</v>
      </c>
      <c r="AK627" t="s">
        <v>176</v>
      </c>
      <c r="AL627">
        <v>0</v>
      </c>
      <c r="AM627" t="s">
        <v>176</v>
      </c>
      <c r="AN627">
        <v>0</v>
      </c>
    </row>
    <row r="628" spans="1:40" x14ac:dyDescent="0.15">
      <c r="A628" s="4" t="str">
        <f>HYPERLINK("https://ibp.a2mac1.com/costing(costing:projects/details/9760/process/12084785)","Process")</f>
        <v>Process</v>
      </c>
      <c r="B628" t="s">
        <v>4865</v>
      </c>
      <c r="C628">
        <v>12084785</v>
      </c>
      <c r="D628">
        <v>8415061</v>
      </c>
      <c r="E628">
        <v>49.9</v>
      </c>
      <c r="F628">
        <v>0</v>
      </c>
      <c r="G628">
        <v>0</v>
      </c>
      <c r="H628">
        <v>0.252494</v>
      </c>
      <c r="I628" t="s">
        <v>176</v>
      </c>
      <c r="J628">
        <v>1.7464999999999999</v>
      </c>
      <c r="K628">
        <v>51.898994000000002</v>
      </c>
      <c r="L628">
        <v>1.1344179782038604</v>
      </c>
      <c r="M628">
        <v>6.8065078692231618</v>
      </c>
      <c r="N628">
        <v>58.705501869223163</v>
      </c>
      <c r="O628" t="s">
        <v>177</v>
      </c>
      <c r="P628">
        <v>3.1139396399999999</v>
      </c>
      <c r="Q628" t="s">
        <v>177</v>
      </c>
      <c r="R628">
        <v>0.40839047215338969</v>
      </c>
      <c r="S628" t="s">
        <v>178</v>
      </c>
      <c r="T628">
        <v>7.0446602243067797</v>
      </c>
      <c r="U628">
        <v>69.272492205683335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641</v>
      </c>
      <c r="AB628">
        <v>1</v>
      </c>
      <c r="AC628">
        <v>0.5</v>
      </c>
      <c r="AD628">
        <v>0.50345253019720215</v>
      </c>
      <c r="AE628">
        <v>10800</v>
      </c>
      <c r="AF628">
        <v>200000</v>
      </c>
      <c r="AG628">
        <v>16666.666666666668</v>
      </c>
      <c r="AH628">
        <v>1</v>
      </c>
      <c r="AI628">
        <v>1</v>
      </c>
      <c r="AJ628" t="s">
        <v>162</v>
      </c>
      <c r="AK628" t="s">
        <v>176</v>
      </c>
      <c r="AL628">
        <v>0</v>
      </c>
      <c r="AM628" t="s">
        <v>176</v>
      </c>
      <c r="AN628">
        <v>0</v>
      </c>
    </row>
    <row r="629" spans="1:40" x14ac:dyDescent="0.15">
      <c r="A629" s="4" t="str">
        <f>HYPERLINK("https://ibp.a2mac1.com/costing(costing:projects/details/9760/process/12084786)","Process")</f>
        <v>Process</v>
      </c>
      <c r="B629" t="s">
        <v>4870</v>
      </c>
      <c r="C629">
        <v>12084786</v>
      </c>
      <c r="D629">
        <v>8415062</v>
      </c>
      <c r="E629">
        <v>3.3</v>
      </c>
      <c r="F629">
        <v>0</v>
      </c>
      <c r="G629">
        <v>0</v>
      </c>
      <c r="H629">
        <v>1.6698000000000001E-2</v>
      </c>
      <c r="I629" t="s">
        <v>176</v>
      </c>
      <c r="J629">
        <v>0.11550000000000001</v>
      </c>
      <c r="K629">
        <v>3.4321980000000001</v>
      </c>
      <c r="L629">
        <v>0.5092243372060814</v>
      </c>
      <c r="M629">
        <v>3.055346023236488</v>
      </c>
      <c r="N629">
        <v>6.487544023236488</v>
      </c>
      <c r="O629" t="s">
        <v>177</v>
      </c>
      <c r="P629">
        <v>0.20593188000000001</v>
      </c>
      <c r="Q629" t="s">
        <v>177</v>
      </c>
      <c r="R629">
        <v>0.18332076139418929</v>
      </c>
      <c r="S629" t="s">
        <v>178</v>
      </c>
      <c r="T629">
        <v>0.77850528278837861</v>
      </c>
      <c r="U629">
        <v>7.6553019474190558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287</v>
      </c>
      <c r="AB629">
        <v>1</v>
      </c>
      <c r="AC629">
        <v>0.5</v>
      </c>
      <c r="AD629">
        <v>0.50345253019720215</v>
      </c>
      <c r="AE629">
        <v>10800</v>
      </c>
      <c r="AF629">
        <v>200000</v>
      </c>
      <c r="AG629">
        <v>16666.666666666668</v>
      </c>
      <c r="AH629">
        <v>1</v>
      </c>
      <c r="AI629">
        <v>1</v>
      </c>
      <c r="AJ629" t="s">
        <v>162</v>
      </c>
      <c r="AK629" t="s">
        <v>176</v>
      </c>
      <c r="AL629">
        <v>0</v>
      </c>
      <c r="AM629" t="s">
        <v>176</v>
      </c>
      <c r="AN629">
        <v>0</v>
      </c>
    </row>
    <row r="630" spans="1:40" x14ac:dyDescent="0.15">
      <c r="A630" s="4" t="str">
        <f>HYPERLINK("https://ibp.a2mac1.com/costing(costing:projects/details/9760/process/12084787)","Process")</f>
        <v>Process</v>
      </c>
      <c r="B630" t="s">
        <v>846</v>
      </c>
      <c r="C630">
        <v>12084787</v>
      </c>
      <c r="D630">
        <v>8415063</v>
      </c>
      <c r="E630">
        <v>8.6017868999999997E-2</v>
      </c>
      <c r="F630">
        <v>0</v>
      </c>
      <c r="G630">
        <v>0</v>
      </c>
      <c r="H630">
        <v>4.3634127031578948E-4</v>
      </c>
      <c r="I630" t="s">
        <v>176</v>
      </c>
      <c r="J630">
        <v>3.0181708421052633E-3</v>
      </c>
      <c r="K630">
        <v>8.9472381112421048E-2</v>
      </c>
      <c r="L630">
        <v>1.4720892349081038E-2</v>
      </c>
      <c r="M630">
        <v>8.8325354094486219E-2</v>
      </c>
      <c r="N630">
        <v>0.17779773520690728</v>
      </c>
      <c r="O630" t="s">
        <v>177</v>
      </c>
      <c r="P630">
        <v>5.3683428667452631E-3</v>
      </c>
      <c r="Q630" t="s">
        <v>177</v>
      </c>
      <c r="R630">
        <v>5.2995212456691731E-3</v>
      </c>
      <c r="S630" t="s">
        <v>178</v>
      </c>
      <c r="T630">
        <v>2.1335728224828873E-2</v>
      </c>
      <c r="U630">
        <v>0.2098013275441506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7</v>
      </c>
      <c r="AB630">
        <v>1</v>
      </c>
      <c r="AC630">
        <v>0.5</v>
      </c>
      <c r="AD630">
        <v>0.50345253019720215</v>
      </c>
      <c r="AE630">
        <v>10800</v>
      </c>
      <c r="AF630">
        <v>200000</v>
      </c>
      <c r="AG630">
        <v>16666.666666666668</v>
      </c>
      <c r="AH630">
        <v>1</v>
      </c>
      <c r="AI630">
        <v>1</v>
      </c>
      <c r="AJ630" t="s">
        <v>162</v>
      </c>
      <c r="AK630" t="s">
        <v>176</v>
      </c>
      <c r="AL630">
        <v>0</v>
      </c>
      <c r="AM630" t="s">
        <v>176</v>
      </c>
      <c r="AN630">
        <v>0</v>
      </c>
    </row>
    <row r="631" spans="1:40" x14ac:dyDescent="0.15">
      <c r="A631" s="4" t="str">
        <f>HYPERLINK("https://ibp.a2mac1.com/costing(costing:projects/details/9760/process/12084788)","Process")</f>
        <v>Process</v>
      </c>
      <c r="B631" t="s">
        <v>2668</v>
      </c>
      <c r="C631">
        <v>12084788</v>
      </c>
      <c r="D631">
        <v>8415064</v>
      </c>
      <c r="E631">
        <v>0.1363635</v>
      </c>
      <c r="F631">
        <v>0</v>
      </c>
      <c r="G631">
        <v>0</v>
      </c>
      <c r="H631">
        <v>6.9172863157894741E-4</v>
      </c>
      <c r="I631" t="s">
        <v>176</v>
      </c>
      <c r="J631">
        <v>4.784684210526316E-3</v>
      </c>
      <c r="K631">
        <v>0.14183991284210526</v>
      </c>
      <c r="L631">
        <v>2.1785227275609612E-2</v>
      </c>
      <c r="M631">
        <v>0.13071136365365768</v>
      </c>
      <c r="N631">
        <v>0.27255127649576294</v>
      </c>
      <c r="O631" t="s">
        <v>177</v>
      </c>
      <c r="P631">
        <v>8.5103947705263156E-3</v>
      </c>
      <c r="Q631" t="s">
        <v>177</v>
      </c>
      <c r="R631">
        <v>7.8426818192194603E-3</v>
      </c>
      <c r="S631" t="s">
        <v>178</v>
      </c>
      <c r="T631">
        <v>3.2706153179491555E-2</v>
      </c>
      <c r="U631">
        <v>0.32161050626500026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11</v>
      </c>
      <c r="AB631">
        <v>1</v>
      </c>
      <c r="AC631">
        <v>0.5</v>
      </c>
      <c r="AD631">
        <v>0.50345253019720215</v>
      </c>
      <c r="AE631">
        <v>10800</v>
      </c>
      <c r="AF631">
        <v>200000</v>
      </c>
      <c r="AG631">
        <v>16666.666666666668</v>
      </c>
      <c r="AH631">
        <v>1</v>
      </c>
      <c r="AI631">
        <v>1</v>
      </c>
      <c r="AJ631" t="s">
        <v>162</v>
      </c>
      <c r="AK631" t="s">
        <v>176</v>
      </c>
      <c r="AL631">
        <v>0</v>
      </c>
      <c r="AM631" t="s">
        <v>176</v>
      </c>
      <c r="AN631">
        <v>0</v>
      </c>
    </row>
    <row r="632" spans="1:40" x14ac:dyDescent="0.15">
      <c r="A632" s="4" t="str">
        <f>HYPERLINK("https://ibp.a2mac1.com/costing(costing:projects/details/9760/process/12084862)","Process")</f>
        <v>Process</v>
      </c>
      <c r="B632" t="s">
        <v>4888</v>
      </c>
      <c r="C632">
        <v>12084862</v>
      </c>
      <c r="D632">
        <v>8415325</v>
      </c>
      <c r="E632">
        <v>9.83</v>
      </c>
      <c r="F632">
        <v>0</v>
      </c>
      <c r="G632">
        <v>0</v>
      </c>
      <c r="H632">
        <v>4.9739800000000001E-2</v>
      </c>
      <c r="I632" t="s">
        <v>176</v>
      </c>
      <c r="J632">
        <v>0.34405000000000002</v>
      </c>
      <c r="K632">
        <v>10.2237898</v>
      </c>
      <c r="L632">
        <v>0.22488485641330616</v>
      </c>
      <c r="M632">
        <v>1.349309138479837</v>
      </c>
      <c r="N632">
        <v>11.573098938479838</v>
      </c>
      <c r="O632" t="s">
        <v>177</v>
      </c>
      <c r="P632">
        <v>0.61342738799999996</v>
      </c>
      <c r="Q632" t="s">
        <v>177</v>
      </c>
      <c r="R632">
        <v>8.0958548308790221E-2</v>
      </c>
      <c r="S632" t="s">
        <v>178</v>
      </c>
      <c r="T632">
        <v>1.3887718726175804</v>
      </c>
      <c r="U632">
        <v>13.656256747406207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126</v>
      </c>
      <c r="AB632">
        <v>1</v>
      </c>
      <c r="AC632">
        <v>0.5</v>
      </c>
      <c r="AD632">
        <v>0.50345253019720215</v>
      </c>
      <c r="AE632">
        <v>10800</v>
      </c>
      <c r="AF632">
        <v>200000</v>
      </c>
      <c r="AG632">
        <v>16666.666666666668</v>
      </c>
      <c r="AH632">
        <v>1</v>
      </c>
      <c r="AI632">
        <v>1</v>
      </c>
      <c r="AJ632" t="s">
        <v>162</v>
      </c>
      <c r="AK632" t="s">
        <v>176</v>
      </c>
      <c r="AL632">
        <v>0</v>
      </c>
      <c r="AM632" t="s">
        <v>176</v>
      </c>
      <c r="AN632">
        <v>0</v>
      </c>
    </row>
    <row r="633" spans="1:40" x14ac:dyDescent="0.15">
      <c r="A633" s="4" t="str">
        <f>HYPERLINK("https://ibp.a2mac1.com/costing(costing:projects/details/9760/process/12084842)","Process")</f>
        <v>Process</v>
      </c>
      <c r="B633" t="s">
        <v>4895</v>
      </c>
      <c r="C633">
        <v>12084842</v>
      </c>
      <c r="D633">
        <v>8415114</v>
      </c>
      <c r="E633">
        <v>5.38</v>
      </c>
      <c r="F633">
        <v>0</v>
      </c>
      <c r="G633">
        <v>0</v>
      </c>
      <c r="H633">
        <v>2.7222799999999998E-2</v>
      </c>
      <c r="I633" t="s">
        <v>176</v>
      </c>
      <c r="J633">
        <v>0.1883</v>
      </c>
      <c r="K633">
        <v>5.5955228000000004</v>
      </c>
      <c r="L633">
        <v>0.5357155931805635</v>
      </c>
      <c r="M633">
        <v>3.214293559083381</v>
      </c>
      <c r="N633">
        <v>8.8098163590833813</v>
      </c>
      <c r="O633" t="s">
        <v>177</v>
      </c>
      <c r="P633">
        <v>0.33573136799999997</v>
      </c>
      <c r="Q633" t="s">
        <v>177</v>
      </c>
      <c r="R633">
        <v>0.19285761354500286</v>
      </c>
      <c r="S633" t="s">
        <v>178</v>
      </c>
      <c r="T633">
        <v>1.0571779630900058</v>
      </c>
      <c r="U633">
        <v>10.395583303718389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302</v>
      </c>
      <c r="AB633">
        <v>1</v>
      </c>
      <c r="AC633">
        <v>0.5</v>
      </c>
      <c r="AD633">
        <v>0.50345253019720215</v>
      </c>
      <c r="AE633">
        <v>10800</v>
      </c>
      <c r="AF633">
        <v>200000</v>
      </c>
      <c r="AG633">
        <v>16666.666666666668</v>
      </c>
      <c r="AH633">
        <v>1</v>
      </c>
      <c r="AI633">
        <v>1</v>
      </c>
      <c r="AJ633" t="s">
        <v>162</v>
      </c>
      <c r="AK633" t="s">
        <v>176</v>
      </c>
      <c r="AL633">
        <v>0</v>
      </c>
      <c r="AM633" t="s">
        <v>176</v>
      </c>
      <c r="AN633">
        <v>0</v>
      </c>
    </row>
    <row r="634" spans="1:40" x14ac:dyDescent="0.15">
      <c r="A634" s="4" t="str">
        <f>HYPERLINK("https://ibp.a2mac1.com/costing(costing:projects/details/9760/process/12084843)","Process")</f>
        <v>Process</v>
      </c>
      <c r="B634" t="s">
        <v>846</v>
      </c>
      <c r="C634">
        <v>12084843</v>
      </c>
      <c r="D634">
        <v>8415115</v>
      </c>
      <c r="E634">
        <v>3.1213686000000001E-2</v>
      </c>
      <c r="F634">
        <v>0</v>
      </c>
      <c r="G634">
        <v>0</v>
      </c>
      <c r="H634">
        <v>1.5833709389473683E-4</v>
      </c>
      <c r="I634" t="s">
        <v>176</v>
      </c>
      <c r="J634">
        <v>1.0952170526315789E-3</v>
      </c>
      <c r="K634">
        <v>3.2467240146526313E-2</v>
      </c>
      <c r="L634">
        <v>7.6565574225524614E-3</v>
      </c>
      <c r="M634">
        <v>4.5939344535314765E-2</v>
      </c>
      <c r="N634">
        <v>7.8406584681841085E-2</v>
      </c>
      <c r="O634" t="s">
        <v>177</v>
      </c>
      <c r="P634">
        <v>1.9480344087915789E-3</v>
      </c>
      <c r="Q634" t="s">
        <v>177</v>
      </c>
      <c r="R634">
        <v>2.756360672118886E-3</v>
      </c>
      <c r="S634" t="s">
        <v>178</v>
      </c>
      <c r="T634">
        <v>9.4087901618209301E-3</v>
      </c>
      <c r="U634">
        <v>9.2519769924572476E-2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</v>
      </c>
      <c r="AC634">
        <v>0.5</v>
      </c>
      <c r="AD634">
        <v>0.50345253019720215</v>
      </c>
      <c r="AE634">
        <v>10800</v>
      </c>
      <c r="AF634">
        <v>200000</v>
      </c>
      <c r="AG634">
        <v>16666.666666666668</v>
      </c>
      <c r="AH634">
        <v>1</v>
      </c>
      <c r="AI634">
        <v>1</v>
      </c>
      <c r="AJ634" t="s">
        <v>162</v>
      </c>
      <c r="AK634" t="s">
        <v>176</v>
      </c>
      <c r="AL634">
        <v>0</v>
      </c>
      <c r="AM634" t="s">
        <v>176</v>
      </c>
      <c r="AN634">
        <v>0</v>
      </c>
    </row>
    <row r="635" spans="1:40" x14ac:dyDescent="0.15">
      <c r="A635" s="4" t="str">
        <f>HYPERLINK("https://ibp.a2mac1.com/costing(costing:projects/details/9760/process/12084789)","Process")</f>
        <v>Process</v>
      </c>
      <c r="B635" t="s">
        <v>4906</v>
      </c>
      <c r="C635">
        <v>12084789</v>
      </c>
      <c r="D635">
        <v>8415066</v>
      </c>
      <c r="E635">
        <v>2.98</v>
      </c>
      <c r="F635">
        <v>0</v>
      </c>
      <c r="G635">
        <v>0</v>
      </c>
      <c r="H635">
        <v>1.50788E-2</v>
      </c>
      <c r="I635" t="s">
        <v>176</v>
      </c>
      <c r="J635">
        <v>0.1043</v>
      </c>
      <c r="K635">
        <v>3.0993788000000002</v>
      </c>
      <c r="L635">
        <v>0.25490827985105263</v>
      </c>
      <c r="M635">
        <v>1.5294496791063157</v>
      </c>
      <c r="N635">
        <v>4.6288284791063159</v>
      </c>
      <c r="O635" t="s">
        <v>177</v>
      </c>
      <c r="P635">
        <v>0.18596272799999999</v>
      </c>
      <c r="Q635" t="s">
        <v>177</v>
      </c>
      <c r="R635">
        <v>9.1766980746378943E-2</v>
      </c>
      <c r="S635" t="s">
        <v>178</v>
      </c>
      <c r="T635">
        <v>0.55545941749275785</v>
      </c>
      <c r="U635">
        <v>5.4620176053454523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143</v>
      </c>
      <c r="AB635">
        <v>1</v>
      </c>
      <c r="AC635">
        <v>0.5</v>
      </c>
      <c r="AD635">
        <v>0.50345253019720215</v>
      </c>
      <c r="AE635">
        <v>10800</v>
      </c>
      <c r="AF635">
        <v>200000</v>
      </c>
      <c r="AG635">
        <v>16666.666666666668</v>
      </c>
      <c r="AH635">
        <v>1</v>
      </c>
      <c r="AI635">
        <v>1</v>
      </c>
      <c r="AJ635" t="s">
        <v>162</v>
      </c>
      <c r="AK635" t="s">
        <v>176</v>
      </c>
      <c r="AL635">
        <v>0</v>
      </c>
      <c r="AM635" t="s">
        <v>176</v>
      </c>
      <c r="AN635">
        <v>0</v>
      </c>
    </row>
    <row r="636" spans="1:40" x14ac:dyDescent="0.15">
      <c r="A636" s="4" t="str">
        <f>HYPERLINK("https://ibp.a2mac1.com/costing(costing:projects/details/9760/process/12084790)","Process")</f>
        <v>Process</v>
      </c>
      <c r="C636">
        <v>12084790</v>
      </c>
      <c r="D636">
        <v>8415069</v>
      </c>
      <c r="E636">
        <v>5.8407195E-3</v>
      </c>
      <c r="F636">
        <v>0</v>
      </c>
      <c r="G636">
        <v>0</v>
      </c>
      <c r="H636">
        <v>2.9452450210526315E-5</v>
      </c>
      <c r="I636" t="s">
        <v>176</v>
      </c>
      <c r="J636">
        <v>2.0493752631578949E-4</v>
      </c>
      <c r="K636">
        <v>6.0751094765263162E-3</v>
      </c>
      <c r="L636">
        <v>6.4772109649148613E-3</v>
      </c>
      <c r="M636">
        <v>3.8863265789489169E-2</v>
      </c>
      <c r="N636">
        <v>4.4938375266015483E-2</v>
      </c>
      <c r="O636" t="s">
        <v>177</v>
      </c>
      <c r="P636">
        <v>3.6450656859157894E-4</v>
      </c>
      <c r="Q636" t="s">
        <v>177</v>
      </c>
      <c r="R636">
        <v>2.3317959473693503E-3</v>
      </c>
      <c r="S636" t="s">
        <v>178</v>
      </c>
      <c r="T636">
        <v>5.3926050319218584E-3</v>
      </c>
      <c r="U636">
        <v>5.302728281389827E-2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</v>
      </c>
      <c r="AC636">
        <v>0.5</v>
      </c>
      <c r="AD636">
        <v>0.50048257265952256</v>
      </c>
      <c r="AE636">
        <v>10800</v>
      </c>
      <c r="AF636">
        <v>400000</v>
      </c>
      <c r="AG636">
        <v>33333.333333333336</v>
      </c>
      <c r="AH636">
        <v>1</v>
      </c>
      <c r="AI636">
        <v>1</v>
      </c>
      <c r="AJ636" t="s">
        <v>162</v>
      </c>
      <c r="AK636" t="s">
        <v>176</v>
      </c>
      <c r="AL636">
        <v>0</v>
      </c>
      <c r="AM636" t="s">
        <v>176</v>
      </c>
      <c r="AN636">
        <v>0</v>
      </c>
    </row>
    <row r="637" spans="1:40" x14ac:dyDescent="0.15">
      <c r="A637" s="4" t="str">
        <f>HYPERLINK("https://ibp.a2mac1.com/costing(costing:projects/details/9760/process/12084791)","Process")</f>
        <v>Process</v>
      </c>
      <c r="C637">
        <v>12084791</v>
      </c>
      <c r="D637">
        <v>8415071</v>
      </c>
      <c r="E637">
        <v>1.64602095E-2</v>
      </c>
      <c r="F637">
        <v>0</v>
      </c>
      <c r="G637">
        <v>0</v>
      </c>
      <c r="H637">
        <v>8.3002359684210532E-5</v>
      </c>
      <c r="I637" t="s">
        <v>176</v>
      </c>
      <c r="J637">
        <v>5.7755121052631582E-4</v>
      </c>
      <c r="K637">
        <v>1.7120763070210526E-2</v>
      </c>
      <c r="L637">
        <v>6.4772109649148613E-3</v>
      </c>
      <c r="M637">
        <v>3.8863265789489169E-2</v>
      </c>
      <c r="N637">
        <v>5.5984028859699692E-2</v>
      </c>
      <c r="O637" t="s">
        <v>177</v>
      </c>
      <c r="P637">
        <v>1.0272457842126317E-3</v>
      </c>
      <c r="Q637" t="s">
        <v>177</v>
      </c>
      <c r="R637">
        <v>2.3317959473693503E-3</v>
      </c>
      <c r="S637" t="s">
        <v>178</v>
      </c>
      <c r="T637">
        <v>6.7180834631639635E-3</v>
      </c>
      <c r="U637">
        <v>6.6061154054445639E-2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</v>
      </c>
      <c r="AC637">
        <v>0.5</v>
      </c>
      <c r="AD637">
        <v>0.50048257265952256</v>
      </c>
      <c r="AE637">
        <v>10800</v>
      </c>
      <c r="AF637">
        <v>400000</v>
      </c>
      <c r="AG637">
        <v>33333.333333333336</v>
      </c>
      <c r="AH637">
        <v>1</v>
      </c>
      <c r="AI637">
        <v>1</v>
      </c>
      <c r="AJ637" t="s">
        <v>162</v>
      </c>
      <c r="AK637" t="s">
        <v>176</v>
      </c>
      <c r="AL637">
        <v>0</v>
      </c>
      <c r="AM637" t="s">
        <v>176</v>
      </c>
      <c r="AN637">
        <v>0</v>
      </c>
    </row>
    <row r="638" spans="1:40" x14ac:dyDescent="0.15">
      <c r="A638" s="4" t="str">
        <f>HYPERLINK("https://ibp.a2mac1.com/costing(costing:projects/details/9760/process/12084792)","Process")</f>
        <v>Process</v>
      </c>
      <c r="C638">
        <v>12084792</v>
      </c>
      <c r="D638">
        <v>8415074</v>
      </c>
      <c r="E638">
        <v>2.0668262999999999E-2</v>
      </c>
      <c r="F638">
        <v>0</v>
      </c>
      <c r="G638">
        <v>0</v>
      </c>
      <c r="H638">
        <v>1.0422191768421053E-4</v>
      </c>
      <c r="I638" t="s">
        <v>176</v>
      </c>
      <c r="J638">
        <v>7.2520221052631577E-4</v>
      </c>
      <c r="K638">
        <v>2.1497687128210527E-2</v>
      </c>
      <c r="L638">
        <v>6.4772109649148613E-3</v>
      </c>
      <c r="M638">
        <v>3.8863265789489169E-2</v>
      </c>
      <c r="N638">
        <v>6.0360952917699696E-2</v>
      </c>
      <c r="O638" t="s">
        <v>177</v>
      </c>
      <c r="P638">
        <v>1.2898612276926317E-3</v>
      </c>
      <c r="Q638" t="s">
        <v>177</v>
      </c>
      <c r="R638">
        <v>2.3317959473693503E-3</v>
      </c>
      <c r="S638" t="s">
        <v>178</v>
      </c>
      <c r="T638">
        <v>7.2433143501239635E-3</v>
      </c>
      <c r="U638">
        <v>7.1225924442885641E-2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</v>
      </c>
      <c r="AC638">
        <v>0.5</v>
      </c>
      <c r="AD638">
        <v>0.50048257265952256</v>
      </c>
      <c r="AE638">
        <v>10800</v>
      </c>
      <c r="AF638">
        <v>400000</v>
      </c>
      <c r="AG638">
        <v>33333.333333333336</v>
      </c>
      <c r="AH638">
        <v>1</v>
      </c>
      <c r="AI638">
        <v>1</v>
      </c>
      <c r="AJ638" t="s">
        <v>162</v>
      </c>
      <c r="AK638" t="s">
        <v>176</v>
      </c>
      <c r="AL638">
        <v>0</v>
      </c>
      <c r="AM638" t="s">
        <v>176</v>
      </c>
      <c r="AN638">
        <v>0</v>
      </c>
    </row>
    <row r="639" spans="1:40" x14ac:dyDescent="0.15">
      <c r="A639" s="4" t="str">
        <f>HYPERLINK("https://ibp.a2mac1.com/costing(costing:projects/details/9760/process/12084793)","Automated Process")</f>
        <v>Automated Process</v>
      </c>
      <c r="C639">
        <v>12084793</v>
      </c>
      <c r="D639">
        <v>8415075</v>
      </c>
      <c r="E639">
        <v>0.101462382</v>
      </c>
      <c r="F639">
        <v>0</v>
      </c>
      <c r="G639">
        <v>0</v>
      </c>
      <c r="H639">
        <v>5.1163486863157895E-4</v>
      </c>
      <c r="I639" t="s">
        <v>176</v>
      </c>
      <c r="J639">
        <v>3.5600835789473683E-3</v>
      </c>
      <c r="K639">
        <v>0.10553410044757895</v>
      </c>
      <c r="L639">
        <v>2.0605459091810798E-2</v>
      </c>
      <c r="M639">
        <v>0.12363275455086478</v>
      </c>
      <c r="N639">
        <v>0.22916685499844372</v>
      </c>
      <c r="O639" t="s">
        <v>177</v>
      </c>
      <c r="P639">
        <v>6.3320460268547372E-3</v>
      </c>
      <c r="Q639" t="s">
        <v>177</v>
      </c>
      <c r="R639">
        <v>7.417965273051887E-3</v>
      </c>
      <c r="S639" t="s">
        <v>178</v>
      </c>
      <c r="T639">
        <v>2.7500022599813247E-2</v>
      </c>
      <c r="U639">
        <v>0.27041688889816362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11</v>
      </c>
      <c r="AB639">
        <v>1</v>
      </c>
      <c r="AC639">
        <v>0.5</v>
      </c>
      <c r="AD639">
        <v>0.50048257265952256</v>
      </c>
      <c r="AE639">
        <v>10800</v>
      </c>
      <c r="AF639">
        <v>400000</v>
      </c>
      <c r="AG639">
        <v>33333.333333333336</v>
      </c>
      <c r="AH639">
        <v>1</v>
      </c>
      <c r="AI639">
        <v>1</v>
      </c>
      <c r="AJ639" t="s">
        <v>162</v>
      </c>
      <c r="AK639" t="s">
        <v>176</v>
      </c>
      <c r="AL639">
        <v>0</v>
      </c>
      <c r="AM639" t="s">
        <v>176</v>
      </c>
      <c r="AN639">
        <v>0</v>
      </c>
    </row>
    <row r="640" spans="1:40" x14ac:dyDescent="0.15">
      <c r="A640" s="4" t="str">
        <f>HYPERLINK("https://ibp.a2mac1.com/costing(costing:projects/details/9760/process/12084692)","Process")</f>
        <v>Process</v>
      </c>
      <c r="B640" t="s">
        <v>846</v>
      </c>
      <c r="C640">
        <v>12084692</v>
      </c>
      <c r="D640">
        <v>8414950</v>
      </c>
      <c r="E640">
        <v>2.6754587999999999E-2</v>
      </c>
      <c r="F640">
        <v>0</v>
      </c>
      <c r="G640">
        <v>0</v>
      </c>
      <c r="H640">
        <v>1.3571750905263158E-4</v>
      </c>
      <c r="I640" t="s">
        <v>176</v>
      </c>
      <c r="J640">
        <v>9.3875747368421048E-4</v>
      </c>
      <c r="K640">
        <v>2.7829062982736841E-2</v>
      </c>
      <c r="L640">
        <v>7.6565574225524614E-3</v>
      </c>
      <c r="M640">
        <v>4.5939344535314765E-2</v>
      </c>
      <c r="N640">
        <v>7.376840751805161E-2</v>
      </c>
      <c r="O640" t="s">
        <v>177</v>
      </c>
      <c r="P640">
        <v>1.6697437789642106E-3</v>
      </c>
      <c r="Q640" t="s">
        <v>177</v>
      </c>
      <c r="R640">
        <v>2.756360672118886E-3</v>
      </c>
      <c r="S640" t="s">
        <v>178</v>
      </c>
      <c r="T640">
        <v>8.8522089021661927E-3</v>
      </c>
      <c r="U640">
        <v>8.7046720871300901E-2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</v>
      </c>
      <c r="AC640">
        <v>0.5</v>
      </c>
      <c r="AD640">
        <v>0.50345253019720215</v>
      </c>
      <c r="AE640">
        <v>10800</v>
      </c>
      <c r="AF640">
        <v>200000</v>
      </c>
      <c r="AG640">
        <v>16666.666666666668</v>
      </c>
      <c r="AH640">
        <v>1</v>
      </c>
      <c r="AI640">
        <v>1</v>
      </c>
      <c r="AJ640" t="s">
        <v>162</v>
      </c>
      <c r="AK640" t="s">
        <v>176</v>
      </c>
      <c r="AL640">
        <v>0</v>
      </c>
      <c r="AM640" t="s">
        <v>176</v>
      </c>
      <c r="AN640">
        <v>0</v>
      </c>
    </row>
    <row r="641" spans="1:40" x14ac:dyDescent="0.15">
      <c r="A641" s="4" t="str">
        <f>HYPERLINK("https://ibp.a2mac1.com/costing(costing:projects/details/9760/process/12085963)","MANUFACTURING  PROCESS")</f>
        <v>MANUFACTURING  PROCESS</v>
      </c>
      <c r="B641" t="s">
        <v>4962</v>
      </c>
      <c r="C641">
        <v>12085963</v>
      </c>
      <c r="D641">
        <v>8416476</v>
      </c>
      <c r="E641">
        <v>3.0591438725</v>
      </c>
      <c r="F641">
        <v>0</v>
      </c>
      <c r="G641">
        <v>0</v>
      </c>
      <c r="H641">
        <v>6.5088167500000006E-5</v>
      </c>
      <c r="I641" t="s">
        <v>176</v>
      </c>
      <c r="J641">
        <v>0.113904293125</v>
      </c>
      <c r="K641">
        <v>3.1731132537925002</v>
      </c>
      <c r="L641">
        <v>0.24982862648184256</v>
      </c>
      <c r="M641">
        <v>1.4989717588910554</v>
      </c>
      <c r="N641">
        <v>4.6720850126835556</v>
      </c>
      <c r="O641" t="s">
        <v>90</v>
      </c>
      <c r="P641">
        <v>0</v>
      </c>
      <c r="Q641" t="s">
        <v>90</v>
      </c>
      <c r="R641">
        <v>0</v>
      </c>
      <c r="S641" t="s">
        <v>90</v>
      </c>
      <c r="T641">
        <v>0</v>
      </c>
      <c r="U641">
        <v>4.6720850126835556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49.763039999999997</v>
      </c>
      <c r="AB641">
        <v>1</v>
      </c>
      <c r="AC641">
        <v>0</v>
      </c>
      <c r="AD641">
        <v>1.9999600007999841E-3</v>
      </c>
      <c r="AE641">
        <v>5400</v>
      </c>
      <c r="AF641">
        <v>200000</v>
      </c>
      <c r="AG641">
        <v>16666.666666666668</v>
      </c>
      <c r="AH641">
        <v>1</v>
      </c>
      <c r="AI641">
        <v>1</v>
      </c>
      <c r="AJ641" t="s">
        <v>162</v>
      </c>
      <c r="AK641" t="s">
        <v>176</v>
      </c>
      <c r="AL641">
        <v>0</v>
      </c>
      <c r="AM641" t="s">
        <v>176</v>
      </c>
      <c r="AN641">
        <v>0</v>
      </c>
    </row>
    <row r="642" spans="1:40" x14ac:dyDescent="0.15">
      <c r="A642" s="4" t="str">
        <f>HYPERLINK("https://ibp.a2mac1.com/costing(costing:projects/details/9760/process/12086161)","MANUFACTURING  PROCESS")</f>
        <v>MANUFACTURING  PROCESS</v>
      </c>
      <c r="B642" t="s">
        <v>4962</v>
      </c>
      <c r="C642">
        <v>12086161</v>
      </c>
      <c r="D642">
        <v>8416824</v>
      </c>
      <c r="E642">
        <v>1.3986544000000001</v>
      </c>
      <c r="F642">
        <v>0</v>
      </c>
      <c r="G642">
        <v>0</v>
      </c>
      <c r="H642">
        <v>3.0739657142857144E-5</v>
      </c>
      <c r="I642" t="s">
        <v>176</v>
      </c>
      <c r="J642">
        <v>5.3794399999999999E-2</v>
      </c>
      <c r="K642">
        <v>1.4524795396571428</v>
      </c>
      <c r="L642">
        <v>1.3850815167047692E-2</v>
      </c>
      <c r="M642">
        <v>8.3104891002286158E-2</v>
      </c>
      <c r="N642">
        <v>1.5355844306594291</v>
      </c>
      <c r="O642" t="s">
        <v>177</v>
      </c>
      <c r="P642">
        <v>8.7148772379428571E-2</v>
      </c>
      <c r="Q642" t="s">
        <v>177</v>
      </c>
      <c r="R642">
        <v>4.9862934601371698E-3</v>
      </c>
      <c r="S642" t="s">
        <v>178</v>
      </c>
      <c r="T642">
        <v>0.18427013167913148</v>
      </c>
      <c r="U642">
        <v>1.8119896281781263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2.42414</v>
      </c>
      <c r="AB642">
        <v>1</v>
      </c>
      <c r="AC642">
        <v>0</v>
      </c>
      <c r="AD642">
        <v>1.9999600007999841E-3</v>
      </c>
      <c r="AE642">
        <v>5400</v>
      </c>
      <c r="AF642">
        <v>200000</v>
      </c>
      <c r="AG642">
        <v>16666.666666666668</v>
      </c>
      <c r="AH642">
        <v>1</v>
      </c>
      <c r="AI642">
        <v>1</v>
      </c>
      <c r="AJ642" t="s">
        <v>162</v>
      </c>
      <c r="AK642" t="s">
        <v>176</v>
      </c>
      <c r="AL642">
        <v>0</v>
      </c>
      <c r="AM642" t="s">
        <v>176</v>
      </c>
      <c r="AN642">
        <v>0</v>
      </c>
    </row>
    <row r="643" spans="1:40" x14ac:dyDescent="0.15">
      <c r="A643" s="4" t="str">
        <f>HYPERLINK("https://ibp.a2mac1.com/costing(costing:projects/details/9760/process/12086162)","MANUFACTURING  PROCESS")</f>
        <v>MANUFACTURING  PROCESS</v>
      </c>
      <c r="B643" t="s">
        <v>4962</v>
      </c>
      <c r="C643">
        <v>12086162</v>
      </c>
      <c r="D643">
        <v>8416825</v>
      </c>
      <c r="E643">
        <v>5.3152535000000001E-2</v>
      </c>
      <c r="F643">
        <v>0</v>
      </c>
      <c r="G643">
        <v>0</v>
      </c>
      <c r="H643">
        <v>1.130905E-6</v>
      </c>
      <c r="I643" t="s">
        <v>176</v>
      </c>
      <c r="J643">
        <v>1.97908375E-3</v>
      </c>
      <c r="K643">
        <v>5.5132749655E-2</v>
      </c>
      <c r="L643">
        <v>4.3658469829901307E-3</v>
      </c>
      <c r="M643">
        <v>2.6195081897940786E-2</v>
      </c>
      <c r="N643">
        <v>8.132783155294078E-2</v>
      </c>
      <c r="O643" t="s">
        <v>177</v>
      </c>
      <c r="P643">
        <v>3.3079649793000001E-3</v>
      </c>
      <c r="Q643" t="s">
        <v>177</v>
      </c>
      <c r="R643">
        <v>1.5717049138764471E-3</v>
      </c>
      <c r="S643" t="s">
        <v>178</v>
      </c>
      <c r="T643">
        <v>9.7593397863528948E-3</v>
      </c>
      <c r="U643">
        <v>9.5966841232470124E-2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1.04277</v>
      </c>
      <c r="AB643">
        <v>2</v>
      </c>
      <c r="AC643">
        <v>0</v>
      </c>
      <c r="AD643">
        <v>1.9999600007999841E-3</v>
      </c>
      <c r="AE643">
        <v>5400</v>
      </c>
      <c r="AF643">
        <v>200000</v>
      </c>
      <c r="AG643">
        <v>16666.666666666668</v>
      </c>
      <c r="AH643">
        <v>1</v>
      </c>
      <c r="AI643">
        <v>1</v>
      </c>
      <c r="AJ643" t="s">
        <v>162</v>
      </c>
      <c r="AK643" t="s">
        <v>176</v>
      </c>
      <c r="AL643">
        <v>0</v>
      </c>
      <c r="AM643" t="s">
        <v>176</v>
      </c>
      <c r="AN643">
        <v>0</v>
      </c>
    </row>
    <row r="644" spans="1:40" x14ac:dyDescent="0.15">
      <c r="A644" s="4" t="str">
        <f>HYPERLINK("https://ibp.a2mac1.com/costing(costing:projects/details/9760/process/12086163)","MANUFACTURING  PROCESS")</f>
        <v>MANUFACTURING  PROCESS</v>
      </c>
      <c r="B644" t="s">
        <v>4962</v>
      </c>
      <c r="C644">
        <v>12086163</v>
      </c>
      <c r="D644">
        <v>8416826</v>
      </c>
      <c r="E644">
        <v>0.82386429250000004</v>
      </c>
      <c r="F644">
        <v>0</v>
      </c>
      <c r="G644">
        <v>0</v>
      </c>
      <c r="H644">
        <v>1.75290275E-5</v>
      </c>
      <c r="I644" t="s">
        <v>176</v>
      </c>
      <c r="J644">
        <v>3.0675798125000001E-2</v>
      </c>
      <c r="K644">
        <v>0.85455761965249999</v>
      </c>
      <c r="L644">
        <v>1.3850815167047692E-2</v>
      </c>
      <c r="M644">
        <v>8.3104891002286158E-2</v>
      </c>
      <c r="N644">
        <v>0.93766251065478612</v>
      </c>
      <c r="O644" t="s">
        <v>177</v>
      </c>
      <c r="P644">
        <v>5.1273457179150002E-2</v>
      </c>
      <c r="Q644" t="s">
        <v>177</v>
      </c>
      <c r="R644">
        <v>4.9862934601371698E-3</v>
      </c>
      <c r="S644" t="s">
        <v>178</v>
      </c>
      <c r="T644">
        <v>0.11251950127857434</v>
      </c>
      <c r="U644">
        <v>1.1064417625726477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2.42414</v>
      </c>
      <c r="AB644">
        <v>1</v>
      </c>
      <c r="AC644">
        <v>0</v>
      </c>
      <c r="AD644">
        <v>1.9999600007999841E-3</v>
      </c>
      <c r="AE644">
        <v>5400</v>
      </c>
      <c r="AF644">
        <v>200000</v>
      </c>
      <c r="AG644">
        <v>16666.666666666668</v>
      </c>
      <c r="AH644">
        <v>1</v>
      </c>
      <c r="AI644">
        <v>1</v>
      </c>
      <c r="AJ644" t="s">
        <v>162</v>
      </c>
      <c r="AK644" t="s">
        <v>176</v>
      </c>
      <c r="AL644">
        <v>0</v>
      </c>
      <c r="AM644" t="s">
        <v>176</v>
      </c>
      <c r="AN644">
        <v>0</v>
      </c>
    </row>
    <row r="645" spans="1:40" x14ac:dyDescent="0.15">
      <c r="A645" s="4" t="str">
        <f>HYPERLINK("https://ibp.a2mac1.com/costing(costing:projects/details/9760/process/12086164)","MANUFACTURING  PROCESS")</f>
        <v>MANUFACTURING  PROCESS</v>
      </c>
      <c r="B645" t="s">
        <v>4962</v>
      </c>
      <c r="C645">
        <v>12086164</v>
      </c>
      <c r="D645">
        <v>8416827</v>
      </c>
      <c r="E645">
        <v>0.27518688333333335</v>
      </c>
      <c r="F645">
        <v>0</v>
      </c>
      <c r="G645">
        <v>0</v>
      </c>
      <c r="H645">
        <v>5.9499866666666669E-6</v>
      </c>
      <c r="I645" t="s">
        <v>176</v>
      </c>
      <c r="J645">
        <v>1.0412476666666667E-2</v>
      </c>
      <c r="K645">
        <v>0.28560530998666667</v>
      </c>
      <c r="L645">
        <v>1.433145541358854E-2</v>
      </c>
      <c r="M645">
        <v>8.5988732481531244E-2</v>
      </c>
      <c r="N645">
        <v>0.37159404246819788</v>
      </c>
      <c r="O645" t="s">
        <v>177</v>
      </c>
      <c r="P645">
        <v>1.71363185992E-2</v>
      </c>
      <c r="Q645" t="s">
        <v>177</v>
      </c>
      <c r="R645">
        <v>5.1593239488918743E-3</v>
      </c>
      <c r="S645" t="s">
        <v>178</v>
      </c>
      <c r="T645">
        <v>4.459128509618375E-2</v>
      </c>
      <c r="U645">
        <v>0.43848097011247356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2.5205600000000001</v>
      </c>
      <c r="AB645">
        <v>1</v>
      </c>
      <c r="AC645">
        <v>0</v>
      </c>
      <c r="AD645">
        <v>1.9999600007999841E-3</v>
      </c>
      <c r="AE645">
        <v>5400</v>
      </c>
      <c r="AF645">
        <v>200000</v>
      </c>
      <c r="AG645">
        <v>16666.666666666668</v>
      </c>
      <c r="AH645">
        <v>1</v>
      </c>
      <c r="AI645">
        <v>1</v>
      </c>
      <c r="AJ645" t="s">
        <v>162</v>
      </c>
      <c r="AK645" t="s">
        <v>176</v>
      </c>
      <c r="AL645">
        <v>0</v>
      </c>
      <c r="AM645" t="s">
        <v>176</v>
      </c>
      <c r="AN645">
        <v>0</v>
      </c>
    </row>
    <row r="646" spans="1:40" x14ac:dyDescent="0.15">
      <c r="A646" s="4" t="str">
        <f>HYPERLINK("https://ibp.a2mac1.com/costing(costing:projects/details/9760/process/12085964)","MANUFACTURING  PROCESS")</f>
        <v>MANUFACTURING  PROCESS</v>
      </c>
      <c r="B646" t="s">
        <v>4962</v>
      </c>
      <c r="C646">
        <v>12085964</v>
      </c>
      <c r="D646">
        <v>8416523</v>
      </c>
      <c r="E646">
        <v>6.9138030000000003E-2</v>
      </c>
      <c r="F646">
        <v>0</v>
      </c>
      <c r="G646">
        <v>0</v>
      </c>
      <c r="H646">
        <v>1.5195171428571429E-6</v>
      </c>
      <c r="I646" t="s">
        <v>176</v>
      </c>
      <c r="J646">
        <v>2.6591549999999999E-3</v>
      </c>
      <c r="K646">
        <v>7.1798704517142861E-2</v>
      </c>
      <c r="L646">
        <v>4.9079754834314279E-3</v>
      </c>
      <c r="M646">
        <v>2.9447852900588566E-2</v>
      </c>
      <c r="N646">
        <v>0.10124655741773142</v>
      </c>
      <c r="O646" t="s">
        <v>177</v>
      </c>
      <c r="P646">
        <v>4.3079222710285716E-3</v>
      </c>
      <c r="Q646" t="s">
        <v>177</v>
      </c>
      <c r="R646">
        <v>1.7668711740353141E-3</v>
      </c>
      <c r="S646" t="s">
        <v>178</v>
      </c>
      <c r="T646">
        <v>1.2149586890127771E-2</v>
      </c>
      <c r="U646">
        <v>0.11947093775292308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1.2602800000000001</v>
      </c>
      <c r="AB646">
        <v>2</v>
      </c>
      <c r="AC646">
        <v>0</v>
      </c>
      <c r="AD646">
        <v>1.9999600007999841E-3</v>
      </c>
      <c r="AE646">
        <v>5400</v>
      </c>
      <c r="AF646">
        <v>200000</v>
      </c>
      <c r="AG646">
        <v>16666.666666666668</v>
      </c>
      <c r="AH646">
        <v>1</v>
      </c>
      <c r="AI646">
        <v>1</v>
      </c>
      <c r="AJ646" t="s">
        <v>162</v>
      </c>
      <c r="AK646" t="s">
        <v>176</v>
      </c>
      <c r="AL646">
        <v>0</v>
      </c>
      <c r="AM646" t="s">
        <v>176</v>
      </c>
      <c r="AN646">
        <v>0</v>
      </c>
    </row>
    <row r="647" spans="1:40" x14ac:dyDescent="0.15">
      <c r="A647" s="4" t="str">
        <f>HYPERLINK("https://ibp.a2mac1.com/costing(costing:projects/details/9760/process/12086440)","MANUFACTURING  PROCESS")</f>
        <v>MANUFACTURING  PROCESS</v>
      </c>
      <c r="B647" t="s">
        <v>4962</v>
      </c>
      <c r="C647">
        <v>12086440</v>
      </c>
      <c r="D647">
        <v>8417262</v>
      </c>
      <c r="E647">
        <v>0.13431789250000001</v>
      </c>
      <c r="F647">
        <v>0</v>
      </c>
      <c r="G647">
        <v>0</v>
      </c>
      <c r="H647">
        <v>2.8578275000000002E-6</v>
      </c>
      <c r="I647" t="s">
        <v>176</v>
      </c>
      <c r="J647">
        <v>5.001198125E-3</v>
      </c>
      <c r="K647">
        <v>0.13932194845250001</v>
      </c>
      <c r="L647">
        <v>4.0900761719984691E-2</v>
      </c>
      <c r="M647">
        <v>0.24540457031990814</v>
      </c>
      <c r="N647">
        <v>0.38472651877240815</v>
      </c>
      <c r="O647" t="s">
        <v>177</v>
      </c>
      <c r="P647">
        <v>8.3593169071499995E-3</v>
      </c>
      <c r="Q647" t="s">
        <v>177</v>
      </c>
      <c r="R647">
        <v>1.4724274219194488E-2</v>
      </c>
      <c r="S647" t="s">
        <v>178</v>
      </c>
      <c r="T647">
        <v>4.6167182252688975E-2</v>
      </c>
      <c r="U647">
        <v>0.45397729215144161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7.8505599999999998</v>
      </c>
      <c r="AB647">
        <v>1</v>
      </c>
      <c r="AC647">
        <v>0</v>
      </c>
      <c r="AD647">
        <v>1.9999600007999841E-3</v>
      </c>
      <c r="AE647">
        <v>5400</v>
      </c>
      <c r="AF647">
        <v>200000</v>
      </c>
      <c r="AG647">
        <v>16666.666666666668</v>
      </c>
      <c r="AH647">
        <v>1</v>
      </c>
      <c r="AI647">
        <v>1</v>
      </c>
      <c r="AJ647" t="s">
        <v>162</v>
      </c>
      <c r="AK647" t="s">
        <v>176</v>
      </c>
      <c r="AL647">
        <v>0</v>
      </c>
      <c r="AM647" t="s">
        <v>176</v>
      </c>
      <c r="AN647">
        <v>0</v>
      </c>
    </row>
    <row r="648" spans="1:40" x14ac:dyDescent="0.15">
      <c r="A648" s="4" t="str">
        <f>HYPERLINK("https://ibp.a2mac1.com/costing(costing:projects/details/9760/process/12086441)","MANUFACTURING  PROCESS")</f>
        <v>MANUFACTURING  PROCESS</v>
      </c>
      <c r="B648" t="s">
        <v>4962</v>
      </c>
      <c r="C648">
        <v>12086441</v>
      </c>
      <c r="D648">
        <v>8417263</v>
      </c>
      <c r="E648">
        <v>6.8178759230769229E-2</v>
      </c>
      <c r="F648">
        <v>0</v>
      </c>
      <c r="G648">
        <v>0</v>
      </c>
      <c r="H648">
        <v>1.5235476923076922E-6</v>
      </c>
      <c r="I648" t="s">
        <v>176</v>
      </c>
      <c r="J648">
        <v>2.6662084615384617E-3</v>
      </c>
      <c r="K648">
        <v>7.0846491240000004E-2</v>
      </c>
      <c r="L648">
        <v>3.0616828624627588E-3</v>
      </c>
      <c r="M648">
        <v>1.8370097174776553E-2</v>
      </c>
      <c r="N648">
        <v>8.921658841477656E-2</v>
      </c>
      <c r="O648" t="s">
        <v>177</v>
      </c>
      <c r="P648">
        <v>4.2507894743999998E-3</v>
      </c>
      <c r="Q648" t="s">
        <v>177</v>
      </c>
      <c r="R648">
        <v>1.1022058304865931E-3</v>
      </c>
      <c r="S648" t="s">
        <v>178</v>
      </c>
      <c r="T648">
        <v>1.0705990609773187E-2</v>
      </c>
      <c r="U648">
        <v>0.10527557432943634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0.51951999999999998</v>
      </c>
      <c r="AB648">
        <v>2</v>
      </c>
      <c r="AC648">
        <v>0</v>
      </c>
      <c r="AD648">
        <v>1.9999600007999841E-3</v>
      </c>
      <c r="AE648">
        <v>5400</v>
      </c>
      <c r="AF648">
        <v>200000</v>
      </c>
      <c r="AG648">
        <v>16666.666666666668</v>
      </c>
      <c r="AH648">
        <v>1</v>
      </c>
      <c r="AI648">
        <v>1</v>
      </c>
      <c r="AJ648" t="s">
        <v>162</v>
      </c>
      <c r="AK648" t="s">
        <v>176</v>
      </c>
      <c r="AL648">
        <v>0</v>
      </c>
      <c r="AM648" t="s">
        <v>176</v>
      </c>
      <c r="AN648">
        <v>0</v>
      </c>
    </row>
    <row r="649" spans="1:40" x14ac:dyDescent="0.15">
      <c r="A649" s="4" t="str">
        <f>HYPERLINK("https://ibp.a2mac1.com/costing(costing:projects/details/9760/process/12086165)","MANUFACTURING  PROCESS")</f>
        <v>MANUFACTURING  PROCESS</v>
      </c>
      <c r="B649" t="s">
        <v>4962</v>
      </c>
      <c r="C649">
        <v>12086165</v>
      </c>
      <c r="D649">
        <v>8416830</v>
      </c>
      <c r="E649">
        <v>1.2332824675</v>
      </c>
      <c r="F649">
        <v>0</v>
      </c>
      <c r="G649">
        <v>0</v>
      </c>
      <c r="H649">
        <v>2.62400525E-5</v>
      </c>
      <c r="I649" t="s">
        <v>176</v>
      </c>
      <c r="J649">
        <v>4.5920091874999999E-2</v>
      </c>
      <c r="K649">
        <v>1.2792287994275</v>
      </c>
      <c r="L649">
        <v>2.1317587816820249E-2</v>
      </c>
      <c r="M649">
        <v>0.1279055269009215</v>
      </c>
      <c r="N649">
        <v>1.4071343263284215</v>
      </c>
      <c r="O649" t="s">
        <v>177</v>
      </c>
      <c r="P649">
        <v>7.6753727965649998E-2</v>
      </c>
      <c r="Q649" t="s">
        <v>177</v>
      </c>
      <c r="R649">
        <v>7.6743316140552896E-3</v>
      </c>
      <c r="S649" t="s">
        <v>178</v>
      </c>
      <c r="T649">
        <v>0.16885611915941057</v>
      </c>
      <c r="U649">
        <v>1.6604185050675373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3.9220299999999999</v>
      </c>
      <c r="AB649">
        <v>1</v>
      </c>
      <c r="AC649">
        <v>0</v>
      </c>
      <c r="AD649">
        <v>1.9999600007999841E-3</v>
      </c>
      <c r="AE649">
        <v>5400</v>
      </c>
      <c r="AF649">
        <v>200000</v>
      </c>
      <c r="AG649">
        <v>16666.666666666668</v>
      </c>
      <c r="AH649">
        <v>1</v>
      </c>
      <c r="AI649">
        <v>1</v>
      </c>
      <c r="AJ649" t="s">
        <v>162</v>
      </c>
      <c r="AK649" t="s">
        <v>176</v>
      </c>
      <c r="AL649">
        <v>0</v>
      </c>
      <c r="AM649" t="s">
        <v>176</v>
      </c>
      <c r="AN649">
        <v>0</v>
      </c>
    </row>
    <row r="650" spans="1:40" x14ac:dyDescent="0.15">
      <c r="A650" s="4" t="str">
        <f>HYPERLINK("https://ibp.a2mac1.com/costing(costing:projects/details/9760/process/12085965)","MANUFACTURING  PROCESS")</f>
        <v>MANUFACTURING  PROCESS</v>
      </c>
      <c r="B650" t="s">
        <v>4962</v>
      </c>
      <c r="C650">
        <v>12085965</v>
      </c>
      <c r="D650">
        <v>8416526</v>
      </c>
      <c r="E650">
        <v>3.1934617649999999</v>
      </c>
      <c r="F650">
        <v>0</v>
      </c>
      <c r="G650">
        <v>0</v>
      </c>
      <c r="H650">
        <v>6.7945994999999996E-5</v>
      </c>
      <c r="I650" t="s">
        <v>176</v>
      </c>
      <c r="J650">
        <v>0.11890549124999999</v>
      </c>
      <c r="K650">
        <v>3.3124352022450001</v>
      </c>
      <c r="L650">
        <v>0.24982862648184256</v>
      </c>
      <c r="M650">
        <v>1.4989717588910554</v>
      </c>
      <c r="N650">
        <v>4.811406961136055</v>
      </c>
      <c r="O650" t="s">
        <v>90</v>
      </c>
      <c r="P650">
        <v>0</v>
      </c>
      <c r="Q650" t="s">
        <v>90</v>
      </c>
      <c r="R650">
        <v>0</v>
      </c>
      <c r="S650" t="s">
        <v>90</v>
      </c>
      <c r="T650">
        <v>0</v>
      </c>
      <c r="U650">
        <v>4.811406961136055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49.763039999999997</v>
      </c>
      <c r="AB650">
        <v>1</v>
      </c>
      <c r="AC650">
        <v>0</v>
      </c>
      <c r="AD650">
        <v>1.9999600007999841E-3</v>
      </c>
      <c r="AE650">
        <v>5400</v>
      </c>
      <c r="AF650">
        <v>200000</v>
      </c>
      <c r="AG650">
        <v>16666.666666666668</v>
      </c>
      <c r="AH650">
        <v>1</v>
      </c>
      <c r="AI650">
        <v>1</v>
      </c>
      <c r="AJ650" t="s">
        <v>162</v>
      </c>
      <c r="AK650" t="s">
        <v>176</v>
      </c>
      <c r="AL650">
        <v>0</v>
      </c>
      <c r="AM650" t="s">
        <v>176</v>
      </c>
      <c r="AN650">
        <v>0</v>
      </c>
    </row>
    <row r="651" spans="1:40" x14ac:dyDescent="0.15">
      <c r="A651" s="4" t="str">
        <f>HYPERLINK("https://ibp.a2mac1.com/costing(costing:projects/details/9760/process/12085966)","MANUFACTURING  PROCESS")</f>
        <v>MANUFACTURING  PROCESS</v>
      </c>
      <c r="B651" t="s">
        <v>4962</v>
      </c>
      <c r="C651">
        <v>12085966</v>
      </c>
      <c r="D651">
        <v>8416527</v>
      </c>
      <c r="E651">
        <v>0.35435023333333332</v>
      </c>
      <c r="F651">
        <v>0</v>
      </c>
      <c r="G651">
        <v>0</v>
      </c>
      <c r="H651">
        <v>7.661626666666667E-6</v>
      </c>
      <c r="I651" t="s">
        <v>176</v>
      </c>
      <c r="J651">
        <v>1.3407846666666667E-2</v>
      </c>
      <c r="K651">
        <v>0.36776574162666664</v>
      </c>
      <c r="L651">
        <v>1.2228940964449372E-2</v>
      </c>
      <c r="M651">
        <v>7.3373645786696237E-2</v>
      </c>
      <c r="N651">
        <v>0.44113938741336289</v>
      </c>
      <c r="O651" t="s">
        <v>177</v>
      </c>
      <c r="P651">
        <v>2.20659444976E-2</v>
      </c>
      <c r="Q651" t="s">
        <v>177</v>
      </c>
      <c r="R651">
        <v>4.4024187472017735E-3</v>
      </c>
      <c r="S651" t="s">
        <v>178</v>
      </c>
      <c r="T651">
        <v>5.2936726489603549E-2</v>
      </c>
      <c r="U651">
        <v>0.52054447714776819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2.0987800000000001</v>
      </c>
      <c r="AB651">
        <v>1</v>
      </c>
      <c r="AC651">
        <v>0</v>
      </c>
      <c r="AD651">
        <v>1.9999600007999841E-3</v>
      </c>
      <c r="AE651">
        <v>5400</v>
      </c>
      <c r="AF651">
        <v>200000</v>
      </c>
      <c r="AG651">
        <v>16666.666666666668</v>
      </c>
      <c r="AH651">
        <v>1</v>
      </c>
      <c r="AI651">
        <v>1</v>
      </c>
      <c r="AJ651" t="s">
        <v>162</v>
      </c>
      <c r="AK651" t="s">
        <v>176</v>
      </c>
      <c r="AL651">
        <v>0</v>
      </c>
      <c r="AM651" t="s">
        <v>176</v>
      </c>
      <c r="AN651">
        <v>0</v>
      </c>
    </row>
    <row r="652" spans="1:40" x14ac:dyDescent="0.15">
      <c r="A652" s="4" t="str">
        <f>HYPERLINK("https://ibp.a2mac1.com/costing(costing:projects/details/9760/process/12085967)","MANUFACTURING  PROCESS")</f>
        <v>MANUFACTURING  PROCESS</v>
      </c>
      <c r="B652" t="s">
        <v>4962</v>
      </c>
      <c r="C652">
        <v>12085967</v>
      </c>
      <c r="D652">
        <v>8416528</v>
      </c>
      <c r="E652">
        <v>0.21487195000000001</v>
      </c>
      <c r="F652">
        <v>0</v>
      </c>
      <c r="G652">
        <v>0</v>
      </c>
      <c r="H652">
        <v>4.6458800000000001E-6</v>
      </c>
      <c r="I652" t="s">
        <v>176</v>
      </c>
      <c r="J652">
        <v>8.1302900000000001E-3</v>
      </c>
      <c r="K652">
        <v>0.22300688588000001</v>
      </c>
      <c r="L652">
        <v>1.2228940964449372E-2</v>
      </c>
      <c r="M652">
        <v>7.3373645786696237E-2</v>
      </c>
      <c r="N652">
        <v>0.29638053166669626</v>
      </c>
      <c r="O652" t="s">
        <v>177</v>
      </c>
      <c r="P652">
        <v>1.3380413152800001E-2</v>
      </c>
      <c r="Q652" t="s">
        <v>177</v>
      </c>
      <c r="R652">
        <v>4.4024187472017735E-3</v>
      </c>
      <c r="S652" t="s">
        <v>178</v>
      </c>
      <c r="T652">
        <v>3.5565663800003547E-2</v>
      </c>
      <c r="U652">
        <v>0.34972902736670153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2.0987800000000001</v>
      </c>
      <c r="AB652">
        <v>1</v>
      </c>
      <c r="AC652">
        <v>0</v>
      </c>
      <c r="AD652">
        <v>1.9999600007999841E-3</v>
      </c>
      <c r="AE652">
        <v>5400</v>
      </c>
      <c r="AF652">
        <v>200000</v>
      </c>
      <c r="AG652">
        <v>16666.666666666668</v>
      </c>
      <c r="AH652">
        <v>1</v>
      </c>
      <c r="AI652">
        <v>1</v>
      </c>
      <c r="AJ652" t="s">
        <v>162</v>
      </c>
      <c r="AK652" t="s">
        <v>176</v>
      </c>
      <c r="AL652">
        <v>0</v>
      </c>
      <c r="AM652" t="s">
        <v>176</v>
      </c>
      <c r="AN652">
        <v>0</v>
      </c>
    </row>
    <row r="653" spans="1:40" x14ac:dyDescent="0.15">
      <c r="A653" s="4" t="str">
        <f>HYPERLINK("https://ibp.a2mac1.com/costing(costing:projects/details/9760/process/12085968)","MANUFACTURING  PROCESS")</f>
        <v>MANUFACTURING  PROCESS</v>
      </c>
      <c r="B653" t="s">
        <v>4962</v>
      </c>
      <c r="C653">
        <v>12085968</v>
      </c>
      <c r="D653">
        <v>8416529</v>
      </c>
      <c r="E653">
        <v>0.10127712749999999</v>
      </c>
      <c r="F653">
        <v>0</v>
      </c>
      <c r="G653">
        <v>0</v>
      </c>
      <c r="H653">
        <v>2.1548324999999998E-6</v>
      </c>
      <c r="I653" t="s">
        <v>176</v>
      </c>
      <c r="J653">
        <v>3.7709568750000002E-3</v>
      </c>
      <c r="K653">
        <v>0.10505023920750001</v>
      </c>
      <c r="L653">
        <v>1.2228940964449372E-2</v>
      </c>
      <c r="M653">
        <v>7.3373645786696237E-2</v>
      </c>
      <c r="N653">
        <v>0.17842388499419623</v>
      </c>
      <c r="O653" t="s">
        <v>177</v>
      </c>
      <c r="P653">
        <v>6.3030143524499998E-3</v>
      </c>
      <c r="Q653" t="s">
        <v>177</v>
      </c>
      <c r="R653">
        <v>4.4024187472017735E-3</v>
      </c>
      <c r="S653" t="s">
        <v>178</v>
      </c>
      <c r="T653">
        <v>2.1410866199303547E-2</v>
      </c>
      <c r="U653">
        <v>0.21054018429315155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2.0987800000000001</v>
      </c>
      <c r="AB653">
        <v>1</v>
      </c>
      <c r="AC653">
        <v>0</v>
      </c>
      <c r="AD653">
        <v>1.9999600007999841E-3</v>
      </c>
      <c r="AE653">
        <v>5400</v>
      </c>
      <c r="AF653">
        <v>200000</v>
      </c>
      <c r="AG653">
        <v>16666.666666666668</v>
      </c>
      <c r="AH653">
        <v>1</v>
      </c>
      <c r="AI653">
        <v>1</v>
      </c>
      <c r="AJ653" t="s">
        <v>162</v>
      </c>
      <c r="AK653" t="s">
        <v>176</v>
      </c>
      <c r="AL653">
        <v>0</v>
      </c>
      <c r="AM653" t="s">
        <v>176</v>
      </c>
      <c r="AN653">
        <v>0</v>
      </c>
    </row>
    <row r="654" spans="1:40" x14ac:dyDescent="0.15">
      <c r="A654" s="4" t="str">
        <f>HYPERLINK("https://ibp.a2mac1.com/costing(costing:projects/details/9760/process/12085969)","MANUFACTURING  PROCESS")</f>
        <v>MANUFACTURING  PROCESS</v>
      </c>
      <c r="B654" t="s">
        <v>4962</v>
      </c>
      <c r="C654">
        <v>12085969</v>
      </c>
      <c r="D654">
        <v>8416530</v>
      </c>
      <c r="E654">
        <v>0.116360955</v>
      </c>
      <c r="F654">
        <v>0</v>
      </c>
      <c r="G654">
        <v>0</v>
      </c>
      <c r="H654">
        <v>2.4757650000000002E-6</v>
      </c>
      <c r="I654" t="s">
        <v>176</v>
      </c>
      <c r="J654">
        <v>4.3325887499999997E-3</v>
      </c>
      <c r="K654">
        <v>0.120696019515</v>
      </c>
      <c r="L654">
        <v>1.2228940964449372E-2</v>
      </c>
      <c r="M654">
        <v>7.3373645786696237E-2</v>
      </c>
      <c r="N654">
        <v>0.19406966530169623</v>
      </c>
      <c r="O654" t="s">
        <v>177</v>
      </c>
      <c r="P654">
        <v>7.2417611709000001E-3</v>
      </c>
      <c r="Q654" t="s">
        <v>177</v>
      </c>
      <c r="R654">
        <v>4.4024187472017735E-3</v>
      </c>
      <c r="S654" t="s">
        <v>178</v>
      </c>
      <c r="T654">
        <v>2.3288359836203549E-2</v>
      </c>
      <c r="U654">
        <v>0.22900220505600155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2.0987800000000001</v>
      </c>
      <c r="AB654">
        <v>1</v>
      </c>
      <c r="AC654">
        <v>0</v>
      </c>
      <c r="AD654">
        <v>1.9999600007999841E-3</v>
      </c>
      <c r="AE654">
        <v>5400</v>
      </c>
      <c r="AF654">
        <v>200000</v>
      </c>
      <c r="AG654">
        <v>16666.666666666668</v>
      </c>
      <c r="AH654">
        <v>1</v>
      </c>
      <c r="AI654">
        <v>1</v>
      </c>
      <c r="AJ654" t="s">
        <v>162</v>
      </c>
      <c r="AK654" t="s">
        <v>176</v>
      </c>
      <c r="AL654">
        <v>0</v>
      </c>
      <c r="AM654" t="s">
        <v>176</v>
      </c>
      <c r="AN654">
        <v>0</v>
      </c>
    </row>
    <row r="655" spans="1:40" x14ac:dyDescent="0.15">
      <c r="A655" s="4" t="str">
        <f>HYPERLINK("https://ibp.a2mac1.com/costing(costing:projects/details/9760/process/12085970)","MANUFACTURING  PROCESS")</f>
        <v>MANUFACTURING  PROCESS</v>
      </c>
      <c r="B655" t="s">
        <v>4962</v>
      </c>
      <c r="C655">
        <v>12085970</v>
      </c>
      <c r="D655">
        <v>8416531</v>
      </c>
      <c r="E655">
        <v>0.45058923000000001</v>
      </c>
      <c r="F655">
        <v>0</v>
      </c>
      <c r="G655">
        <v>0</v>
      </c>
      <c r="H655">
        <v>9.9030600000000007E-6</v>
      </c>
      <c r="I655" t="s">
        <v>176</v>
      </c>
      <c r="J655">
        <v>1.7330354999999999E-2</v>
      </c>
      <c r="K655">
        <v>0.46792948806000001</v>
      </c>
      <c r="L655">
        <v>1.2228940964449372E-2</v>
      </c>
      <c r="M655">
        <v>7.3373645786696237E-2</v>
      </c>
      <c r="N655">
        <v>0.54130313384669626</v>
      </c>
      <c r="O655" t="s">
        <v>177</v>
      </c>
      <c r="P655">
        <v>2.8075769283600002E-2</v>
      </c>
      <c r="Q655" t="s">
        <v>177</v>
      </c>
      <c r="R655">
        <v>4.4024187472017735E-3</v>
      </c>
      <c r="S655" t="s">
        <v>178</v>
      </c>
      <c r="T655">
        <v>6.4956376061603552E-2</v>
      </c>
      <c r="U655">
        <v>0.63873769793910151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2.0987800000000001</v>
      </c>
      <c r="AB655">
        <v>1</v>
      </c>
      <c r="AC655">
        <v>0</v>
      </c>
      <c r="AD655">
        <v>1.9999600007999841E-3</v>
      </c>
      <c r="AE655">
        <v>5400</v>
      </c>
      <c r="AF655">
        <v>200000</v>
      </c>
      <c r="AG655">
        <v>16666.666666666668</v>
      </c>
      <c r="AH655">
        <v>1</v>
      </c>
      <c r="AI655">
        <v>1</v>
      </c>
      <c r="AJ655" t="s">
        <v>162</v>
      </c>
      <c r="AK655" t="s">
        <v>176</v>
      </c>
      <c r="AL655">
        <v>0</v>
      </c>
      <c r="AM655" t="s">
        <v>176</v>
      </c>
      <c r="AN655">
        <v>0</v>
      </c>
    </row>
    <row r="656" spans="1:40" x14ac:dyDescent="0.15">
      <c r="A656" s="4" t="str">
        <f>HYPERLINK("https://ibp.a2mac1.com/costing(costing:projects/details/9760/process/12086166)","MANUFACTURING  PROCESS")</f>
        <v>MANUFACTURING  PROCESS</v>
      </c>
      <c r="B656" t="s">
        <v>4962</v>
      </c>
      <c r="C656">
        <v>12086166</v>
      </c>
      <c r="D656">
        <v>8416831</v>
      </c>
      <c r="E656">
        <v>3.2322487499999997E-2</v>
      </c>
      <c r="F656">
        <v>0</v>
      </c>
      <c r="G656">
        <v>0</v>
      </c>
      <c r="H656">
        <v>6.8771250000000002E-7</v>
      </c>
      <c r="I656" t="s">
        <v>176</v>
      </c>
      <c r="J656">
        <v>1.2034968750000001E-3</v>
      </c>
      <c r="K656">
        <v>3.3526672087500001E-2</v>
      </c>
      <c r="L656">
        <v>2.3884525316540659E-3</v>
      </c>
      <c r="M656">
        <v>1.4330715189924396E-2</v>
      </c>
      <c r="N656">
        <v>4.7857387277424397E-2</v>
      </c>
      <c r="O656" t="s">
        <v>177</v>
      </c>
      <c r="P656">
        <v>2.0116003252500002E-3</v>
      </c>
      <c r="Q656" t="s">
        <v>177</v>
      </c>
      <c r="R656">
        <v>8.5984291139546386E-4</v>
      </c>
      <c r="S656" t="s">
        <v>178</v>
      </c>
      <c r="T656">
        <v>5.7428864732909273E-3</v>
      </c>
      <c r="U656">
        <v>5.6471716987360789E-2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0.24940999999999999</v>
      </c>
      <c r="AB656">
        <v>2</v>
      </c>
      <c r="AC656">
        <v>0</v>
      </c>
      <c r="AD656">
        <v>1.9999600007999841E-3</v>
      </c>
      <c r="AE656">
        <v>5400</v>
      </c>
      <c r="AF656">
        <v>200000</v>
      </c>
      <c r="AG656">
        <v>16666.666666666668</v>
      </c>
      <c r="AH656">
        <v>1</v>
      </c>
      <c r="AI656">
        <v>1</v>
      </c>
      <c r="AJ656" t="s">
        <v>162</v>
      </c>
      <c r="AK656" t="s">
        <v>176</v>
      </c>
      <c r="AL656">
        <v>0</v>
      </c>
      <c r="AM656" t="s">
        <v>176</v>
      </c>
      <c r="AN656">
        <v>0</v>
      </c>
    </row>
    <row r="657" spans="1:40" x14ac:dyDescent="0.15">
      <c r="A657" s="4" t="str">
        <f>HYPERLINK("https://ibp.a2mac1.com/costing(costing:projects/details/9760/process/12086167)","MANUFACTURING  PROCESS")</f>
        <v>MANUFACTURING  PROCESS</v>
      </c>
      <c r="B657" t="s">
        <v>4962</v>
      </c>
      <c r="C657">
        <v>12086167</v>
      </c>
      <c r="D657">
        <v>8416832</v>
      </c>
      <c r="E657">
        <v>3.2322487499999997E-2</v>
      </c>
      <c r="F657">
        <v>0</v>
      </c>
      <c r="G657">
        <v>0</v>
      </c>
      <c r="H657">
        <v>6.8771250000000002E-7</v>
      </c>
      <c r="I657" t="s">
        <v>176</v>
      </c>
      <c r="J657">
        <v>1.2034968750000001E-3</v>
      </c>
      <c r="K657">
        <v>3.3526672087500001E-2</v>
      </c>
      <c r="L657">
        <v>2.3884525316540659E-3</v>
      </c>
      <c r="M657">
        <v>1.4330715189924396E-2</v>
      </c>
      <c r="N657">
        <v>4.7857387277424397E-2</v>
      </c>
      <c r="O657" t="s">
        <v>177</v>
      </c>
      <c r="P657">
        <v>2.0116003252500002E-3</v>
      </c>
      <c r="Q657" t="s">
        <v>177</v>
      </c>
      <c r="R657">
        <v>8.5984291139546386E-4</v>
      </c>
      <c r="S657" t="s">
        <v>178</v>
      </c>
      <c r="T657">
        <v>5.7428864732909273E-3</v>
      </c>
      <c r="U657">
        <v>5.6471716987360789E-2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0.24940999999999999</v>
      </c>
      <c r="AB657">
        <v>2</v>
      </c>
      <c r="AC657">
        <v>0</v>
      </c>
      <c r="AD657">
        <v>1.9999600007999841E-3</v>
      </c>
      <c r="AE657">
        <v>5400</v>
      </c>
      <c r="AF657">
        <v>200000</v>
      </c>
      <c r="AG657">
        <v>16666.666666666668</v>
      </c>
      <c r="AH657">
        <v>1</v>
      </c>
      <c r="AI657">
        <v>1</v>
      </c>
      <c r="AJ657" t="s">
        <v>162</v>
      </c>
      <c r="AK657" t="s">
        <v>176</v>
      </c>
      <c r="AL657">
        <v>0</v>
      </c>
      <c r="AM657" t="s">
        <v>176</v>
      </c>
      <c r="AN657">
        <v>0</v>
      </c>
    </row>
    <row r="658" spans="1:40" x14ac:dyDescent="0.15">
      <c r="A658" s="4" t="str">
        <f>HYPERLINK("https://ibp.a2mac1.com/costing(costing:projects/details/9760/process/12085085)","Assembly")</f>
        <v>Assembly</v>
      </c>
      <c r="C658">
        <v>12085085</v>
      </c>
      <c r="D658">
        <v>8415618</v>
      </c>
      <c r="E658">
        <v>0</v>
      </c>
      <c r="F658">
        <v>0</v>
      </c>
      <c r="G658">
        <v>0</v>
      </c>
      <c r="H658">
        <v>0</v>
      </c>
      <c r="I658" t="s">
        <v>90</v>
      </c>
      <c r="J658">
        <v>0</v>
      </c>
      <c r="K658">
        <v>0</v>
      </c>
      <c r="L658">
        <v>0</v>
      </c>
      <c r="M658">
        <v>0.6579133898279117</v>
      </c>
      <c r="N658">
        <v>0.6579133898279117</v>
      </c>
      <c r="O658" t="s">
        <v>90</v>
      </c>
      <c r="P658">
        <v>0</v>
      </c>
      <c r="Q658" t="s">
        <v>90</v>
      </c>
      <c r="R658">
        <v>0</v>
      </c>
      <c r="S658" t="s">
        <v>90</v>
      </c>
      <c r="T658">
        <v>0</v>
      </c>
      <c r="U658">
        <v>0.6579133898279117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450</v>
      </c>
      <c r="AB658">
        <v>1</v>
      </c>
      <c r="AC658">
        <v>0.1</v>
      </c>
      <c r="AD658">
        <v>0.10987913295375087</v>
      </c>
      <c r="AE658">
        <v>600</v>
      </c>
      <c r="AF658">
        <v>200000</v>
      </c>
      <c r="AG658">
        <v>10000</v>
      </c>
      <c r="AH658">
        <v>1</v>
      </c>
      <c r="AI658">
        <v>1</v>
      </c>
      <c r="AJ658" t="s">
        <v>76</v>
      </c>
      <c r="AK658" t="s">
        <v>90</v>
      </c>
      <c r="AL658">
        <v>0</v>
      </c>
      <c r="AM658" t="s">
        <v>90</v>
      </c>
      <c r="AN658">
        <v>0</v>
      </c>
    </row>
    <row r="659" spans="1:40" x14ac:dyDescent="0.15">
      <c r="A659" s="4" t="str">
        <f>HYPERLINK("https://ibp.a2mac1.com/costing(costing:projects/details/9760/process/12085465)","Automated Process")</f>
        <v>Automated Process</v>
      </c>
      <c r="B659" t="s">
        <v>5077</v>
      </c>
      <c r="C659">
        <v>12085465</v>
      </c>
      <c r="D659">
        <v>8416168</v>
      </c>
      <c r="E659">
        <v>0.27207868800000001</v>
      </c>
      <c r="F659">
        <v>0</v>
      </c>
      <c r="G659">
        <v>0</v>
      </c>
      <c r="H659">
        <v>1.380168582736842E-3</v>
      </c>
      <c r="I659" t="s">
        <v>176</v>
      </c>
      <c r="J659">
        <v>9.5466206315789476E-3</v>
      </c>
      <c r="K659">
        <v>0.28300547721431579</v>
      </c>
      <c r="L659">
        <v>8.183207415110251E-2</v>
      </c>
      <c r="M659">
        <v>0.49099244490661503</v>
      </c>
      <c r="N659">
        <v>0.77399792212093088</v>
      </c>
      <c r="O659" t="s">
        <v>90</v>
      </c>
      <c r="P659">
        <v>0</v>
      </c>
      <c r="Q659" t="s">
        <v>90</v>
      </c>
      <c r="R659">
        <v>0</v>
      </c>
      <c r="S659" t="s">
        <v>90</v>
      </c>
      <c r="T659">
        <v>0</v>
      </c>
      <c r="U659">
        <v>0.77399792212093088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45</v>
      </c>
      <c r="AB659">
        <v>1</v>
      </c>
      <c r="AC659">
        <v>0.5</v>
      </c>
      <c r="AD659">
        <v>0.50345253019720215</v>
      </c>
      <c r="AE659">
        <v>10800</v>
      </c>
      <c r="AF659">
        <v>200000</v>
      </c>
      <c r="AG659">
        <v>16666.666666666668</v>
      </c>
      <c r="AH659">
        <v>1</v>
      </c>
      <c r="AI659">
        <v>1</v>
      </c>
      <c r="AJ659" t="s">
        <v>162</v>
      </c>
      <c r="AK659" t="s">
        <v>176</v>
      </c>
      <c r="AL659">
        <v>0</v>
      </c>
      <c r="AM659" t="s">
        <v>176</v>
      </c>
      <c r="AN659">
        <v>0</v>
      </c>
    </row>
    <row r="660" spans="1:40" x14ac:dyDescent="0.15">
      <c r="A660" s="4" t="str">
        <f>HYPERLINK("https://ibp.a2mac1.com/costing(costing:projects/details/9760/process/12085466)","Automated Process")</f>
        <v>Automated Process</v>
      </c>
      <c r="B660" t="s">
        <v>4254</v>
      </c>
      <c r="C660">
        <v>12085466</v>
      </c>
      <c r="D660">
        <v>8416169</v>
      </c>
      <c r="E660">
        <v>0.75925066757446813</v>
      </c>
      <c r="F660">
        <v>0</v>
      </c>
      <c r="G660">
        <v>0</v>
      </c>
      <c r="H660">
        <v>3.8473962286047032E-3</v>
      </c>
      <c r="I660" t="s">
        <v>176</v>
      </c>
      <c r="J660">
        <v>2.6612424506159013E-2</v>
      </c>
      <c r="K660">
        <v>0.78971048830923185</v>
      </c>
      <c r="L660">
        <v>0.10832333012558466</v>
      </c>
      <c r="M660">
        <v>0.64993998075350801</v>
      </c>
      <c r="N660">
        <v>1.4396504690627399</v>
      </c>
      <c r="O660" t="s">
        <v>90</v>
      </c>
      <c r="P660">
        <v>0</v>
      </c>
      <c r="Q660" t="s">
        <v>90</v>
      </c>
      <c r="R660">
        <v>0</v>
      </c>
      <c r="S660" t="s">
        <v>90</v>
      </c>
      <c r="T660">
        <v>0</v>
      </c>
      <c r="U660">
        <v>1.4396504690627399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60</v>
      </c>
      <c r="AB660">
        <v>1</v>
      </c>
      <c r="AC660">
        <v>0.5</v>
      </c>
      <c r="AD660">
        <v>0.50345253019720215</v>
      </c>
      <c r="AE660">
        <v>10800</v>
      </c>
      <c r="AF660">
        <v>200000</v>
      </c>
      <c r="AG660">
        <v>16666.666666666668</v>
      </c>
      <c r="AH660">
        <v>1</v>
      </c>
      <c r="AI660">
        <v>1</v>
      </c>
      <c r="AJ660" t="s">
        <v>162</v>
      </c>
      <c r="AK660" t="s">
        <v>176</v>
      </c>
      <c r="AL660">
        <v>0</v>
      </c>
      <c r="AM660" t="s">
        <v>176</v>
      </c>
      <c r="AN660">
        <v>0</v>
      </c>
    </row>
    <row r="661" spans="1:40" x14ac:dyDescent="0.15">
      <c r="A661" s="4" t="str">
        <f>HYPERLINK("https://ibp.a2mac1.com/costing(costing:projects/details/9760/process/12085467)","Automated Process")</f>
        <v>Automated Process</v>
      </c>
      <c r="B661" t="s">
        <v>4235</v>
      </c>
      <c r="C661">
        <v>12085467</v>
      </c>
      <c r="D661">
        <v>8416170</v>
      </c>
      <c r="E661">
        <v>7.2619511999999997E-2</v>
      </c>
      <c r="F661">
        <v>0</v>
      </c>
      <c r="G661">
        <v>0</v>
      </c>
      <c r="H661">
        <v>3.6837566989473685E-4</v>
      </c>
      <c r="I661" t="s">
        <v>176</v>
      </c>
      <c r="J661">
        <v>2.548053052631579E-3</v>
      </c>
      <c r="K661">
        <v>7.5535940722526312E-2</v>
      </c>
      <c r="L661">
        <v>7.6565574225524614E-3</v>
      </c>
      <c r="M661">
        <v>4.5939344535314765E-2</v>
      </c>
      <c r="N661">
        <v>0.12147528525784108</v>
      </c>
      <c r="O661" t="s">
        <v>90</v>
      </c>
      <c r="P661">
        <v>0</v>
      </c>
      <c r="Q661" t="s">
        <v>90</v>
      </c>
      <c r="R661">
        <v>0</v>
      </c>
      <c r="S661" t="s">
        <v>90</v>
      </c>
      <c r="T661">
        <v>0</v>
      </c>
      <c r="U661">
        <v>0.12147528525784108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</v>
      </c>
      <c r="AC661">
        <v>0.5</v>
      </c>
      <c r="AD661">
        <v>0.50345253019720215</v>
      </c>
      <c r="AE661">
        <v>10800</v>
      </c>
      <c r="AF661">
        <v>200000</v>
      </c>
      <c r="AG661">
        <v>16666.666666666668</v>
      </c>
      <c r="AH661">
        <v>1</v>
      </c>
      <c r="AI661">
        <v>1</v>
      </c>
      <c r="AJ661" t="s">
        <v>162</v>
      </c>
      <c r="AK661" t="s">
        <v>176</v>
      </c>
      <c r="AL661">
        <v>0</v>
      </c>
      <c r="AM661" t="s">
        <v>176</v>
      </c>
      <c r="AN661">
        <v>0</v>
      </c>
    </row>
    <row r="662" spans="1:40" x14ac:dyDescent="0.15">
      <c r="A662" s="4" t="str">
        <f>HYPERLINK("https://ibp.a2mac1.com/costing(costing:projects/details/9760/process/12085468)","Automated Process")</f>
        <v>Automated Process</v>
      </c>
      <c r="B662" t="s">
        <v>4235</v>
      </c>
      <c r="C662">
        <v>12085468</v>
      </c>
      <c r="D662">
        <v>8416171</v>
      </c>
      <c r="E662">
        <v>0.17474076899999999</v>
      </c>
      <c r="F662">
        <v>0</v>
      </c>
      <c r="G662">
        <v>0</v>
      </c>
      <c r="H662">
        <v>8.8640430189473689E-4</v>
      </c>
      <c r="I662" t="s">
        <v>176</v>
      </c>
      <c r="J662">
        <v>6.1312550526315792E-3</v>
      </c>
      <c r="K662">
        <v>0.18175842835452632</v>
      </c>
      <c r="L662">
        <v>1.6486976080713183E-2</v>
      </c>
      <c r="M662">
        <v>9.8921856484279092E-2</v>
      </c>
      <c r="N662">
        <v>0.28068028483880542</v>
      </c>
      <c r="O662" t="s">
        <v>177</v>
      </c>
      <c r="P662">
        <v>1.0905505701271578E-2</v>
      </c>
      <c r="Q662" t="s">
        <v>177</v>
      </c>
      <c r="R662">
        <v>5.9353113890567456E-3</v>
      </c>
      <c r="S662" t="s">
        <v>178</v>
      </c>
      <c r="T662">
        <v>3.3681634180656651E-2</v>
      </c>
      <c r="U662">
        <v>0.3312027361097904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8</v>
      </c>
      <c r="AB662">
        <v>1</v>
      </c>
      <c r="AC662">
        <v>0.5</v>
      </c>
      <c r="AD662">
        <v>0.50345253019720215</v>
      </c>
      <c r="AE662">
        <v>10800</v>
      </c>
      <c r="AF662">
        <v>200000</v>
      </c>
      <c r="AG662">
        <v>16666.666666666668</v>
      </c>
      <c r="AH662">
        <v>1</v>
      </c>
      <c r="AI662">
        <v>1</v>
      </c>
      <c r="AJ662" t="s">
        <v>162</v>
      </c>
      <c r="AK662" t="s">
        <v>176</v>
      </c>
      <c r="AL662">
        <v>0</v>
      </c>
      <c r="AM662" t="s">
        <v>176</v>
      </c>
      <c r="AN662">
        <v>0</v>
      </c>
    </row>
    <row r="663" spans="1:40" x14ac:dyDescent="0.15">
      <c r="A663" s="4" t="str">
        <f>HYPERLINK("https://ibp.a2mac1.com/costing(costing:projects/details/9760/process/12085469)","Automated Process")</f>
        <v>Automated Process</v>
      </c>
      <c r="B663" t="s">
        <v>4235</v>
      </c>
      <c r="C663">
        <v>12085469</v>
      </c>
      <c r="D663">
        <v>8416172</v>
      </c>
      <c r="E663">
        <v>3.9292112999999997E-2</v>
      </c>
      <c r="F663">
        <v>0</v>
      </c>
      <c r="G663">
        <v>0</v>
      </c>
      <c r="H663">
        <v>1.9931638273684211E-4</v>
      </c>
      <c r="I663" t="s">
        <v>176</v>
      </c>
      <c r="J663">
        <v>1.3786706315789474E-3</v>
      </c>
      <c r="K663">
        <v>4.0870100014315791E-2</v>
      </c>
      <c r="L663">
        <v>7.6565574225524614E-3</v>
      </c>
      <c r="M663">
        <v>4.5939344535314765E-2</v>
      </c>
      <c r="N663">
        <v>8.6809444549630563E-2</v>
      </c>
      <c r="O663" t="s">
        <v>177</v>
      </c>
      <c r="P663">
        <v>2.4522060008589472E-3</v>
      </c>
      <c r="Q663" t="s">
        <v>177</v>
      </c>
      <c r="R663">
        <v>2.756360672118886E-3</v>
      </c>
      <c r="S663" t="s">
        <v>178</v>
      </c>
      <c r="T663">
        <v>1.0417133345955667E-2</v>
      </c>
      <c r="U663">
        <v>0.10243514456856406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</v>
      </c>
      <c r="AC663">
        <v>0.5</v>
      </c>
      <c r="AD663">
        <v>0.50345253019720215</v>
      </c>
      <c r="AE663">
        <v>10800</v>
      </c>
      <c r="AF663">
        <v>200000</v>
      </c>
      <c r="AG663">
        <v>16666.666666666668</v>
      </c>
      <c r="AH663">
        <v>1</v>
      </c>
      <c r="AI663">
        <v>1</v>
      </c>
      <c r="AJ663" t="s">
        <v>162</v>
      </c>
      <c r="AK663" t="s">
        <v>176</v>
      </c>
      <c r="AL663">
        <v>0</v>
      </c>
      <c r="AM663" t="s">
        <v>176</v>
      </c>
      <c r="AN663">
        <v>0</v>
      </c>
    </row>
    <row r="664" spans="1:40" x14ac:dyDescent="0.15">
      <c r="A664" s="4" t="str">
        <f>HYPERLINK("https://ibp.a2mac1.com/costing(costing:projects/details/9760/process/12085470)","Automated Process")</f>
        <v>Automated Process</v>
      </c>
      <c r="B664" t="s">
        <v>5106</v>
      </c>
      <c r="C664">
        <v>12085470</v>
      </c>
      <c r="D664">
        <v>8416173</v>
      </c>
      <c r="E664">
        <v>1.3382168999999999E-2</v>
      </c>
      <c r="F664">
        <v>0</v>
      </c>
      <c r="G664">
        <v>0</v>
      </c>
      <c r="H664">
        <v>7.2035931000000004E-5</v>
      </c>
      <c r="I664" t="s">
        <v>176</v>
      </c>
      <c r="J664">
        <v>4.9827224999999999E-4</v>
      </c>
      <c r="K664">
        <v>1.3952477180999999E-2</v>
      </c>
      <c r="L664">
        <v>4.1243899592881732E-3</v>
      </c>
      <c r="M664">
        <v>2.4746339755729041E-2</v>
      </c>
      <c r="N664">
        <v>3.8698816936729039E-2</v>
      </c>
      <c r="O664" t="s">
        <v>177</v>
      </c>
      <c r="P664">
        <v>8.3714863086E-4</v>
      </c>
      <c r="Q664" t="s">
        <v>177</v>
      </c>
      <c r="R664">
        <v>1.4847803853437424E-3</v>
      </c>
      <c r="S664" t="s">
        <v>178</v>
      </c>
      <c r="T664">
        <v>4.6438580324074845E-3</v>
      </c>
      <c r="U664">
        <v>4.5664603985340266E-2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0.5</v>
      </c>
      <c r="AD664">
        <v>0.50345253019720215</v>
      </c>
      <c r="AE664">
        <v>10800</v>
      </c>
      <c r="AF664">
        <v>200000</v>
      </c>
      <c r="AG664">
        <v>16666.666666666668</v>
      </c>
      <c r="AH664">
        <v>1</v>
      </c>
      <c r="AI664">
        <v>1</v>
      </c>
      <c r="AJ664" t="s">
        <v>162</v>
      </c>
      <c r="AK664" t="s">
        <v>176</v>
      </c>
      <c r="AL664">
        <v>0</v>
      </c>
      <c r="AM664" t="s">
        <v>176</v>
      </c>
      <c r="AN664">
        <v>0</v>
      </c>
    </row>
    <row r="665" spans="1:40" x14ac:dyDescent="0.15">
      <c r="A665" s="4" t="str">
        <f>HYPERLINK("https://ibp.a2mac1.com/costing(costing:projects/details/9760/process/12085471)","Automated Process")</f>
        <v>Automated Process</v>
      </c>
      <c r="B665" t="s">
        <v>5111</v>
      </c>
      <c r="C665">
        <v>12085471</v>
      </c>
      <c r="D665">
        <v>8416174</v>
      </c>
      <c r="E665">
        <v>9.3675182999999995E-2</v>
      </c>
      <c r="F665">
        <v>0</v>
      </c>
      <c r="G665">
        <v>0</v>
      </c>
      <c r="H665">
        <v>5.0425151700000004E-4</v>
      </c>
      <c r="I665" t="s">
        <v>176</v>
      </c>
      <c r="J665">
        <v>3.48790575E-3</v>
      </c>
      <c r="K665">
        <v>9.7667340266999997E-2</v>
      </c>
      <c r="L665">
        <v>0.10832333012558466</v>
      </c>
      <c r="M665">
        <v>0.64993998075350801</v>
      </c>
      <c r="N665">
        <v>0.74760732102050798</v>
      </c>
      <c r="O665" t="s">
        <v>177</v>
      </c>
      <c r="P665">
        <v>5.8600404160200001E-3</v>
      </c>
      <c r="Q665" t="s">
        <v>177</v>
      </c>
      <c r="R665">
        <v>3.899639884521048E-2</v>
      </c>
      <c r="S665" t="s">
        <v>178</v>
      </c>
      <c r="T665">
        <v>8.9712878522460959E-2</v>
      </c>
      <c r="U665">
        <v>0.8821766388041995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60</v>
      </c>
      <c r="AB665">
        <v>1</v>
      </c>
      <c r="AC665">
        <v>0.5</v>
      </c>
      <c r="AD665">
        <v>0.50345253019720215</v>
      </c>
      <c r="AE665">
        <v>10800</v>
      </c>
      <c r="AF665">
        <v>200000</v>
      </c>
      <c r="AG665">
        <v>16666.666666666668</v>
      </c>
      <c r="AH665">
        <v>1</v>
      </c>
      <c r="AI665">
        <v>1</v>
      </c>
      <c r="AJ665" t="s">
        <v>162</v>
      </c>
      <c r="AK665" t="s">
        <v>176</v>
      </c>
      <c r="AL665">
        <v>0</v>
      </c>
      <c r="AM665" t="s">
        <v>176</v>
      </c>
      <c r="AN665">
        <v>0</v>
      </c>
    </row>
    <row r="666" spans="1:40" x14ac:dyDescent="0.15">
      <c r="A666" s="4" t="str">
        <f>HYPERLINK("https://ibp.a2mac1.com/costing(costing:projects/details/9760/process/12085472)","Automated Process")</f>
        <v>Automated Process</v>
      </c>
      <c r="B666" t="s">
        <v>4235</v>
      </c>
      <c r="C666">
        <v>12085472</v>
      </c>
      <c r="D666">
        <v>8416175</v>
      </c>
      <c r="E666">
        <v>0.113165472</v>
      </c>
      <c r="F666">
        <v>0</v>
      </c>
      <c r="G666">
        <v>0</v>
      </c>
      <c r="H666">
        <v>5.7405241936842109E-4</v>
      </c>
      <c r="I666" t="s">
        <v>176</v>
      </c>
      <c r="J666">
        <v>3.9707183157894734E-3</v>
      </c>
      <c r="K666">
        <v>0.1177102427351579</v>
      </c>
      <c r="L666">
        <v>3.0647397203088871E-3</v>
      </c>
      <c r="M666">
        <v>1.8388438321853322E-2</v>
      </c>
      <c r="N666">
        <v>0.13609868105701123</v>
      </c>
      <c r="O666" t="s">
        <v>90</v>
      </c>
      <c r="P666">
        <v>0</v>
      </c>
      <c r="Q666" t="s">
        <v>90</v>
      </c>
      <c r="R666">
        <v>0</v>
      </c>
      <c r="S666" t="s">
        <v>90</v>
      </c>
      <c r="T666">
        <v>0</v>
      </c>
      <c r="U666">
        <v>0.13609868105701123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0.4</v>
      </c>
      <c r="AB666">
        <v>1</v>
      </c>
      <c r="AC666">
        <v>0.5</v>
      </c>
      <c r="AD666">
        <v>0.50345253019720215</v>
      </c>
      <c r="AE666">
        <v>10800</v>
      </c>
      <c r="AF666">
        <v>200000</v>
      </c>
      <c r="AG666">
        <v>16666.666666666668</v>
      </c>
      <c r="AH666">
        <v>1</v>
      </c>
      <c r="AI666">
        <v>1</v>
      </c>
      <c r="AJ666" t="s">
        <v>162</v>
      </c>
      <c r="AK666" t="s">
        <v>176</v>
      </c>
      <c r="AL666">
        <v>0</v>
      </c>
      <c r="AM666" t="s">
        <v>176</v>
      </c>
      <c r="AN666">
        <v>0</v>
      </c>
    </row>
    <row r="667" spans="1:40" x14ac:dyDescent="0.15">
      <c r="A667" s="4" t="str">
        <f>HYPERLINK("https://ibp.a2mac1.com/costing(costing:projects/details/9760/process/12085190)","Automated Process")</f>
        <v>Automated Process</v>
      </c>
      <c r="B667" t="s">
        <v>5123</v>
      </c>
      <c r="C667">
        <v>12085190</v>
      </c>
      <c r="D667">
        <v>8415811</v>
      </c>
      <c r="E667">
        <v>2.7131792520000002</v>
      </c>
      <c r="F667">
        <v>0</v>
      </c>
      <c r="G667">
        <v>0</v>
      </c>
      <c r="H667">
        <v>1.3763094752E-2</v>
      </c>
      <c r="I667" t="s">
        <v>176</v>
      </c>
      <c r="J667">
        <v>9.5199272000000001E-2</v>
      </c>
      <c r="K667">
        <v>2.8221416187520001</v>
      </c>
      <c r="L667">
        <v>0.21252227029188117</v>
      </c>
      <c r="M667">
        <v>1.275133621751287</v>
      </c>
      <c r="N667">
        <v>4.0972752405032873</v>
      </c>
      <c r="O667" t="s">
        <v>90</v>
      </c>
      <c r="P667">
        <v>0</v>
      </c>
      <c r="Q667" t="s">
        <v>90</v>
      </c>
      <c r="R667">
        <v>0</v>
      </c>
      <c r="S667" t="s">
        <v>90</v>
      </c>
      <c r="T667">
        <v>0</v>
      </c>
      <c r="U667">
        <v>4.0972752405032873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119</v>
      </c>
      <c r="AB667">
        <v>1</v>
      </c>
      <c r="AC667">
        <v>0.5</v>
      </c>
      <c r="AD667">
        <v>0.50345253019720215</v>
      </c>
      <c r="AE667">
        <v>10800</v>
      </c>
      <c r="AF667">
        <v>200000</v>
      </c>
      <c r="AG667">
        <v>16666.666666666668</v>
      </c>
      <c r="AH667">
        <v>1</v>
      </c>
      <c r="AI667">
        <v>1</v>
      </c>
      <c r="AJ667" t="s">
        <v>162</v>
      </c>
      <c r="AK667" t="s">
        <v>176</v>
      </c>
      <c r="AL667">
        <v>0</v>
      </c>
      <c r="AM667" t="s">
        <v>176</v>
      </c>
      <c r="AN667">
        <v>0</v>
      </c>
    </row>
    <row r="668" spans="1:40" x14ac:dyDescent="0.15">
      <c r="A668" s="4" t="str">
        <f>HYPERLINK("https://ibp.a2mac1.com/costing(costing:projects/details/9760/process/12085191)","Automated Process")</f>
        <v>Automated Process</v>
      </c>
      <c r="B668" t="s">
        <v>4254</v>
      </c>
      <c r="C668">
        <v>12085191</v>
      </c>
      <c r="D668">
        <v>8415812</v>
      </c>
      <c r="E668">
        <v>1.1193436224680851</v>
      </c>
      <c r="F668">
        <v>0</v>
      </c>
      <c r="G668">
        <v>0</v>
      </c>
      <c r="H668">
        <v>5.6706879684927216E-3</v>
      </c>
      <c r="I668" t="s">
        <v>176</v>
      </c>
      <c r="J668">
        <v>3.9224126264277716E-2</v>
      </c>
      <c r="K668">
        <v>1.1642384367008556</v>
      </c>
      <c r="L668">
        <v>0.13304850236843468</v>
      </c>
      <c r="M668">
        <v>0.79829101421060811</v>
      </c>
      <c r="N668">
        <v>1.9625294509114637</v>
      </c>
      <c r="O668" t="s">
        <v>90</v>
      </c>
      <c r="P668">
        <v>0</v>
      </c>
      <c r="Q668" t="s">
        <v>90</v>
      </c>
      <c r="R668">
        <v>0</v>
      </c>
      <c r="S668" t="s">
        <v>90</v>
      </c>
      <c r="T668">
        <v>0</v>
      </c>
      <c r="U668">
        <v>1.9625294509114637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74</v>
      </c>
      <c r="AB668">
        <v>1</v>
      </c>
      <c r="AC668">
        <v>0.5</v>
      </c>
      <c r="AD668">
        <v>0.50345253019720215</v>
      </c>
      <c r="AE668">
        <v>10800</v>
      </c>
      <c r="AF668">
        <v>200000</v>
      </c>
      <c r="AG668">
        <v>16666.666666666668</v>
      </c>
      <c r="AH668">
        <v>1</v>
      </c>
      <c r="AI668">
        <v>1</v>
      </c>
      <c r="AJ668" t="s">
        <v>162</v>
      </c>
      <c r="AK668" t="s">
        <v>176</v>
      </c>
      <c r="AL668">
        <v>0</v>
      </c>
      <c r="AM668" t="s">
        <v>176</v>
      </c>
      <c r="AN668">
        <v>0</v>
      </c>
    </row>
    <row r="669" spans="1:40" x14ac:dyDescent="0.15">
      <c r="A669" s="4" t="str">
        <f>HYPERLINK("https://ibp.a2mac1.com/costing(costing:projects/details/9760/process/12085192)","Automated Process")</f>
        <v>Automated Process</v>
      </c>
      <c r="B669" t="s">
        <v>4254</v>
      </c>
      <c r="C669">
        <v>12085192</v>
      </c>
      <c r="D669">
        <v>8415813</v>
      </c>
      <c r="E669">
        <v>2.9817817247659573</v>
      </c>
      <c r="F669">
        <v>0</v>
      </c>
      <c r="G669">
        <v>0</v>
      </c>
      <c r="H669">
        <v>1.5103637367543114E-2</v>
      </c>
      <c r="I669" t="s">
        <v>176</v>
      </c>
      <c r="J669">
        <v>0.10447179997312429</v>
      </c>
      <c r="K669">
        <v>3.1013571621066247</v>
      </c>
      <c r="L669">
        <v>0.38913064345509557</v>
      </c>
      <c r="M669">
        <v>2.3347838607305733</v>
      </c>
      <c r="N669">
        <v>5.436141022837198</v>
      </c>
      <c r="O669" t="s">
        <v>90</v>
      </c>
      <c r="P669">
        <v>0</v>
      </c>
      <c r="Q669" t="s">
        <v>90</v>
      </c>
      <c r="R669">
        <v>0</v>
      </c>
      <c r="S669" t="s">
        <v>90</v>
      </c>
      <c r="T669">
        <v>0</v>
      </c>
      <c r="U669">
        <v>5.436141022837198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219</v>
      </c>
      <c r="AB669">
        <v>1</v>
      </c>
      <c r="AC669">
        <v>0.5</v>
      </c>
      <c r="AD669">
        <v>0.50345253019720215</v>
      </c>
      <c r="AE669">
        <v>10800</v>
      </c>
      <c r="AF669">
        <v>200000</v>
      </c>
      <c r="AG669">
        <v>16666.666666666668</v>
      </c>
      <c r="AH669">
        <v>1</v>
      </c>
      <c r="AI669">
        <v>1</v>
      </c>
      <c r="AJ669" t="s">
        <v>162</v>
      </c>
      <c r="AK669" t="s">
        <v>176</v>
      </c>
      <c r="AL669">
        <v>0</v>
      </c>
      <c r="AM669" t="s">
        <v>176</v>
      </c>
      <c r="AN669">
        <v>0</v>
      </c>
    </row>
    <row r="670" spans="1:40" x14ac:dyDescent="0.15">
      <c r="A670" s="4" t="str">
        <f>HYPERLINK("https://ibp.a2mac1.com/costing(costing:projects/details/9760/process/12085193)","Automated Process")</f>
        <v>Automated Process</v>
      </c>
      <c r="B670" t="s">
        <v>4235</v>
      </c>
      <c r="C670">
        <v>12085193</v>
      </c>
      <c r="D670">
        <v>8415814</v>
      </c>
      <c r="E670">
        <v>0.25040870399999998</v>
      </c>
      <c r="F670">
        <v>0</v>
      </c>
      <c r="G670">
        <v>0</v>
      </c>
      <c r="H670">
        <v>1.2702436513684211E-3</v>
      </c>
      <c r="I670" t="s">
        <v>176</v>
      </c>
      <c r="J670">
        <v>8.7862703157894732E-3</v>
      </c>
      <c r="K670">
        <v>0.26046521796715788</v>
      </c>
      <c r="L670">
        <v>7.4767739224573929E-2</v>
      </c>
      <c r="M670">
        <v>0.4486064353474436</v>
      </c>
      <c r="N670">
        <v>0.70907165331460154</v>
      </c>
      <c r="O670" t="s">
        <v>90</v>
      </c>
      <c r="P670">
        <v>0</v>
      </c>
      <c r="Q670" t="s">
        <v>90</v>
      </c>
      <c r="R670">
        <v>0</v>
      </c>
      <c r="S670" t="s">
        <v>90</v>
      </c>
      <c r="T670">
        <v>0</v>
      </c>
      <c r="U670">
        <v>0.70907165331460154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41</v>
      </c>
      <c r="AB670">
        <v>1</v>
      </c>
      <c r="AC670">
        <v>0.5</v>
      </c>
      <c r="AD670">
        <v>0.50345253019720215</v>
      </c>
      <c r="AE670">
        <v>10800</v>
      </c>
      <c r="AF670">
        <v>200000</v>
      </c>
      <c r="AG670">
        <v>16666.666666666668</v>
      </c>
      <c r="AH670">
        <v>1</v>
      </c>
      <c r="AI670">
        <v>1</v>
      </c>
      <c r="AJ670" t="s">
        <v>162</v>
      </c>
      <c r="AK670" t="s">
        <v>176</v>
      </c>
      <c r="AL670">
        <v>0</v>
      </c>
      <c r="AM670" t="s">
        <v>176</v>
      </c>
      <c r="AN670">
        <v>0</v>
      </c>
    </row>
    <row r="671" spans="1:40" x14ac:dyDescent="0.15">
      <c r="A671" s="4" t="str">
        <f>HYPERLINK("https://ibp.a2mac1.com/costing(costing:projects/details/9760/process/12085194)","Automated Process")</f>
        <v>Automated Process</v>
      </c>
      <c r="B671" t="s">
        <v>4254</v>
      </c>
      <c r="C671">
        <v>12085194</v>
      </c>
      <c r="D671">
        <v>8415815</v>
      </c>
      <c r="E671">
        <v>1.2663591059999999</v>
      </c>
      <c r="F671">
        <v>0</v>
      </c>
      <c r="G671">
        <v>0</v>
      </c>
      <c r="H671">
        <v>6.4144965928421048E-3</v>
      </c>
      <c r="I671" t="s">
        <v>176</v>
      </c>
      <c r="J671">
        <v>4.4369047578947371E-2</v>
      </c>
      <c r="K671">
        <v>1.3171426501717896</v>
      </c>
      <c r="L671">
        <v>0.16660409326944542</v>
      </c>
      <c r="M671">
        <v>0.99962455961667251</v>
      </c>
      <c r="N671">
        <v>2.3167672097884622</v>
      </c>
      <c r="O671" t="s">
        <v>90</v>
      </c>
      <c r="P671">
        <v>0</v>
      </c>
      <c r="Q671" t="s">
        <v>90</v>
      </c>
      <c r="R671">
        <v>0</v>
      </c>
      <c r="S671" t="s">
        <v>90</v>
      </c>
      <c r="T671">
        <v>0</v>
      </c>
      <c r="U671">
        <v>2.3167672097884622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93</v>
      </c>
      <c r="AB671">
        <v>1</v>
      </c>
      <c r="AC671">
        <v>0.5</v>
      </c>
      <c r="AD671">
        <v>0.50345253019720215</v>
      </c>
      <c r="AE671">
        <v>10800</v>
      </c>
      <c r="AF671">
        <v>200000</v>
      </c>
      <c r="AG671">
        <v>16666.666666666668</v>
      </c>
      <c r="AH671">
        <v>1</v>
      </c>
      <c r="AI671">
        <v>1</v>
      </c>
      <c r="AJ671" t="s">
        <v>162</v>
      </c>
      <c r="AK671" t="s">
        <v>176</v>
      </c>
      <c r="AL671">
        <v>0</v>
      </c>
      <c r="AM671" t="s">
        <v>176</v>
      </c>
      <c r="AN671">
        <v>0</v>
      </c>
    </row>
    <row r="672" spans="1:40" x14ac:dyDescent="0.15">
      <c r="A672" s="4" t="str">
        <f>HYPERLINK("https://ibp.a2mac1.com/costing(costing:projects/details/9760/process/12085195)","Automated Process")</f>
        <v>Automated Process</v>
      </c>
      <c r="B672" t="s">
        <v>4235</v>
      </c>
      <c r="C672">
        <v>12085195</v>
      </c>
      <c r="D672">
        <v>8415816</v>
      </c>
      <c r="E672">
        <v>0.80230439099999995</v>
      </c>
      <c r="F672">
        <v>0</v>
      </c>
      <c r="G672">
        <v>0</v>
      </c>
      <c r="H672">
        <v>4.0698348054736839E-3</v>
      </c>
      <c r="I672" t="s">
        <v>176</v>
      </c>
      <c r="J672">
        <v>2.8151031263157895E-2</v>
      </c>
      <c r="K672">
        <v>0.83452525706863157</v>
      </c>
      <c r="L672">
        <v>6.417123683478107E-2</v>
      </c>
      <c r="M672">
        <v>0.38502742100868642</v>
      </c>
      <c r="N672">
        <v>1.219552678077318</v>
      </c>
      <c r="O672" t="s">
        <v>90</v>
      </c>
      <c r="P672">
        <v>0</v>
      </c>
      <c r="Q672" t="s">
        <v>90</v>
      </c>
      <c r="R672">
        <v>0</v>
      </c>
      <c r="S672" t="s">
        <v>90</v>
      </c>
      <c r="T672">
        <v>0</v>
      </c>
      <c r="U672">
        <v>1.219552678077318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35</v>
      </c>
      <c r="AB672">
        <v>1</v>
      </c>
      <c r="AC672">
        <v>0.5</v>
      </c>
      <c r="AD672">
        <v>0.50345253019720215</v>
      </c>
      <c r="AE672">
        <v>10800</v>
      </c>
      <c r="AF672">
        <v>200000</v>
      </c>
      <c r="AG672">
        <v>16666.666666666668</v>
      </c>
      <c r="AH672">
        <v>1</v>
      </c>
      <c r="AI672">
        <v>1</v>
      </c>
      <c r="AJ672" t="s">
        <v>162</v>
      </c>
      <c r="AK672" t="s">
        <v>176</v>
      </c>
      <c r="AL672">
        <v>0</v>
      </c>
      <c r="AM672" t="s">
        <v>176</v>
      </c>
      <c r="AN672">
        <v>0</v>
      </c>
    </row>
    <row r="673" spans="1:40" x14ac:dyDescent="0.15">
      <c r="A673" s="4" t="str">
        <f>HYPERLINK("https://ibp.a2mac1.com/costing(costing:projects/details/9760/process/12085196)","Automated Process")</f>
        <v>Automated Process</v>
      </c>
      <c r="B673" t="s">
        <v>5157</v>
      </c>
      <c r="C673">
        <v>12085196</v>
      </c>
      <c r="D673">
        <v>8415817</v>
      </c>
      <c r="E673">
        <v>3.5821052631578949</v>
      </c>
      <c r="F673">
        <v>0</v>
      </c>
      <c r="G673">
        <v>0</v>
      </c>
      <c r="H673">
        <v>1.8125452631578949E-2</v>
      </c>
      <c r="I673" t="s">
        <v>176</v>
      </c>
      <c r="J673">
        <v>0.1253736842105263</v>
      </c>
      <c r="K673">
        <v>3.7256043999999999</v>
      </c>
      <c r="L673">
        <v>2.7083478470506045E-2</v>
      </c>
      <c r="M673">
        <v>0.16250087082303627</v>
      </c>
      <c r="N673">
        <v>3.8881052708230364</v>
      </c>
      <c r="O673" t="s">
        <v>177</v>
      </c>
      <c r="P673">
        <v>0.22353626400000001</v>
      </c>
      <c r="Q673" t="s">
        <v>177</v>
      </c>
      <c r="R673">
        <v>9.7500522493821767E-3</v>
      </c>
      <c r="S673" t="s">
        <v>178</v>
      </c>
      <c r="T673">
        <v>0.46657263249876435</v>
      </c>
      <c r="U673">
        <v>4.5879642195711829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14</v>
      </c>
      <c r="AB673">
        <v>1</v>
      </c>
      <c r="AC673">
        <v>0.5</v>
      </c>
      <c r="AD673">
        <v>0.50345253019720215</v>
      </c>
      <c r="AE673">
        <v>10800</v>
      </c>
      <c r="AF673">
        <v>200000</v>
      </c>
      <c r="AG673">
        <v>16666.666666666668</v>
      </c>
      <c r="AH673">
        <v>1</v>
      </c>
      <c r="AI673">
        <v>1</v>
      </c>
      <c r="AJ673" t="s">
        <v>162</v>
      </c>
      <c r="AK673" t="s">
        <v>176</v>
      </c>
      <c r="AL673">
        <v>0</v>
      </c>
      <c r="AM673" t="s">
        <v>176</v>
      </c>
      <c r="AN673">
        <v>0</v>
      </c>
    </row>
    <row r="674" spans="1:40" x14ac:dyDescent="0.15">
      <c r="A674" s="4" t="str">
        <f>HYPERLINK("https://ibp.a2mac1.com/costing(costing:projects/details/9760/process/12085197)","Automated Process")</f>
        <v>Automated Process</v>
      </c>
      <c r="B674" t="s">
        <v>4235</v>
      </c>
      <c r="C674">
        <v>12085197</v>
      </c>
      <c r="D674">
        <v>8415818</v>
      </c>
      <c r="E674">
        <v>0.18413543399999999</v>
      </c>
      <c r="F674">
        <v>0</v>
      </c>
      <c r="G674">
        <v>0</v>
      </c>
      <c r="H674">
        <v>9.3406044715789471E-4</v>
      </c>
      <c r="I674" t="s">
        <v>176</v>
      </c>
      <c r="J674">
        <v>6.4608924210526313E-3</v>
      </c>
      <c r="K674">
        <v>0.19153038686821053</v>
      </c>
      <c r="L674">
        <v>1.6486976080713183E-2</v>
      </c>
      <c r="M674">
        <v>9.8921856484279092E-2</v>
      </c>
      <c r="N674">
        <v>0.29045224335248959</v>
      </c>
      <c r="O674" t="s">
        <v>90</v>
      </c>
      <c r="P674">
        <v>0</v>
      </c>
      <c r="Q674" t="s">
        <v>90</v>
      </c>
      <c r="R674">
        <v>0</v>
      </c>
      <c r="S674" t="s">
        <v>90</v>
      </c>
      <c r="T674">
        <v>0</v>
      </c>
      <c r="U674">
        <v>0.29045224335248959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8</v>
      </c>
      <c r="AB674">
        <v>1</v>
      </c>
      <c r="AC674">
        <v>0.5</v>
      </c>
      <c r="AD674">
        <v>0.50345253019720215</v>
      </c>
      <c r="AE674">
        <v>10800</v>
      </c>
      <c r="AF674">
        <v>200000</v>
      </c>
      <c r="AG674">
        <v>16666.666666666668</v>
      </c>
      <c r="AH674">
        <v>1</v>
      </c>
      <c r="AI674">
        <v>1</v>
      </c>
      <c r="AJ674" t="s">
        <v>162</v>
      </c>
      <c r="AK674" t="s">
        <v>176</v>
      </c>
      <c r="AL674">
        <v>0</v>
      </c>
      <c r="AM674" t="s">
        <v>176</v>
      </c>
      <c r="AN674">
        <v>0</v>
      </c>
    </row>
    <row r="675" spans="1:40" x14ac:dyDescent="0.15">
      <c r="A675" s="4" t="str">
        <f>HYPERLINK("https://ibp.a2mac1.com/costing(costing:projects/details/9760/process/12085198)","Automated Process")</f>
        <v>Automated Process</v>
      </c>
      <c r="B675" t="s">
        <v>4235</v>
      </c>
      <c r="C675">
        <v>12085198</v>
      </c>
      <c r="D675">
        <v>8415819</v>
      </c>
      <c r="E675">
        <v>0.120283338</v>
      </c>
      <c r="F675">
        <v>0</v>
      </c>
      <c r="G675">
        <v>0</v>
      </c>
      <c r="H675">
        <v>6.1015908799999996E-4</v>
      </c>
      <c r="I675" t="s">
        <v>176</v>
      </c>
      <c r="J675">
        <v>4.2204679999999998E-3</v>
      </c>
      <c r="K675">
        <v>0.12511396508799999</v>
      </c>
      <c r="L675">
        <v>1.2954808617448894E-2</v>
      </c>
      <c r="M675">
        <v>7.7728851704693361E-2</v>
      </c>
      <c r="N675">
        <v>0.20284281679269336</v>
      </c>
      <c r="O675" t="s">
        <v>90</v>
      </c>
      <c r="P675">
        <v>0</v>
      </c>
      <c r="Q675" t="s">
        <v>90</v>
      </c>
      <c r="R675">
        <v>0</v>
      </c>
      <c r="S675" t="s">
        <v>90</v>
      </c>
      <c r="T675">
        <v>0</v>
      </c>
      <c r="U675">
        <v>0.20284281679269336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6</v>
      </c>
      <c r="AB675">
        <v>1</v>
      </c>
      <c r="AC675">
        <v>0.5</v>
      </c>
      <c r="AD675">
        <v>0.50345253019720215</v>
      </c>
      <c r="AE675">
        <v>10800</v>
      </c>
      <c r="AF675">
        <v>200000</v>
      </c>
      <c r="AG675">
        <v>16666.666666666668</v>
      </c>
      <c r="AH675">
        <v>1</v>
      </c>
      <c r="AI675">
        <v>1</v>
      </c>
      <c r="AJ675" t="s">
        <v>162</v>
      </c>
      <c r="AK675" t="s">
        <v>176</v>
      </c>
      <c r="AL675">
        <v>0</v>
      </c>
      <c r="AM675" t="s">
        <v>176</v>
      </c>
      <c r="AN675">
        <v>0</v>
      </c>
    </row>
    <row r="676" spans="1:40" x14ac:dyDescent="0.15">
      <c r="A676" s="4" t="str">
        <f>HYPERLINK("https://ibp.a2mac1.com/costing(costing:projects/details/9760/process/12085199)","Automated Process")</f>
        <v>Automated Process</v>
      </c>
      <c r="B676" t="s">
        <v>5171</v>
      </c>
      <c r="C676">
        <v>12085199</v>
      </c>
      <c r="D676">
        <v>8415820</v>
      </c>
      <c r="E676">
        <v>7.4641055999999997E-2</v>
      </c>
      <c r="F676">
        <v>0</v>
      </c>
      <c r="G676">
        <v>0</v>
      </c>
      <c r="H676">
        <v>3.7863031915789475E-4</v>
      </c>
      <c r="I676" t="s">
        <v>176</v>
      </c>
      <c r="J676">
        <v>2.6189844210526315E-3</v>
      </c>
      <c r="K676">
        <v>7.7638670740210525E-2</v>
      </c>
      <c r="L676">
        <v>3.5913897128666765E-2</v>
      </c>
      <c r="M676">
        <v>0.2154833827720006</v>
      </c>
      <c r="N676">
        <v>0.2931220535122111</v>
      </c>
      <c r="O676" t="s">
        <v>90</v>
      </c>
      <c r="P676">
        <v>0</v>
      </c>
      <c r="Q676" t="s">
        <v>90</v>
      </c>
      <c r="R676">
        <v>0</v>
      </c>
      <c r="S676" t="s">
        <v>90</v>
      </c>
      <c r="T676">
        <v>0</v>
      </c>
      <c r="U676">
        <v>0.2931220535122111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19</v>
      </c>
      <c r="AB676">
        <v>1</v>
      </c>
      <c r="AC676">
        <v>0.5</v>
      </c>
      <c r="AD676">
        <v>0.50345253019720215</v>
      </c>
      <c r="AE676">
        <v>10800</v>
      </c>
      <c r="AF676">
        <v>200000</v>
      </c>
      <c r="AG676">
        <v>16666.666666666668</v>
      </c>
      <c r="AH676">
        <v>1</v>
      </c>
      <c r="AI676">
        <v>1</v>
      </c>
      <c r="AJ676" t="s">
        <v>162</v>
      </c>
      <c r="AK676" t="s">
        <v>176</v>
      </c>
      <c r="AL676">
        <v>0</v>
      </c>
      <c r="AM676" t="s">
        <v>176</v>
      </c>
      <c r="AN676">
        <v>0</v>
      </c>
    </row>
    <row r="677" spans="1:40" x14ac:dyDescent="0.15">
      <c r="A677" s="4" t="str">
        <f>HYPERLINK("https://ibp.a2mac1.com/costing(costing:projects/details/9760/process/12085200)","Automated Process")</f>
        <v>Automated Process</v>
      </c>
      <c r="B677" t="s">
        <v>4235</v>
      </c>
      <c r="C677">
        <v>12085200</v>
      </c>
      <c r="D677">
        <v>8415821</v>
      </c>
      <c r="E677">
        <v>2.3531781000000002E-2</v>
      </c>
      <c r="F677">
        <v>0</v>
      </c>
      <c r="G677">
        <v>0</v>
      </c>
      <c r="H677">
        <v>1.1936923494736842E-4</v>
      </c>
      <c r="I677" t="s">
        <v>176</v>
      </c>
      <c r="J677">
        <v>8.2567652631578947E-4</v>
      </c>
      <c r="K677">
        <v>2.4476826761263157E-2</v>
      </c>
      <c r="L677">
        <v>4.1243899592881732E-3</v>
      </c>
      <c r="M677">
        <v>2.4746339755729041E-2</v>
      </c>
      <c r="N677">
        <v>4.9223166516992198E-2</v>
      </c>
      <c r="O677" t="s">
        <v>90</v>
      </c>
      <c r="P677">
        <v>0</v>
      </c>
      <c r="Q677" t="s">
        <v>90</v>
      </c>
      <c r="R677">
        <v>0</v>
      </c>
      <c r="S677" t="s">
        <v>90</v>
      </c>
      <c r="T677">
        <v>0</v>
      </c>
      <c r="U677">
        <v>4.9223166516992198E-2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1</v>
      </c>
      <c r="AC677">
        <v>0.5</v>
      </c>
      <c r="AD677">
        <v>0.50345253019720215</v>
      </c>
      <c r="AE677">
        <v>10800</v>
      </c>
      <c r="AF677">
        <v>200000</v>
      </c>
      <c r="AG677">
        <v>16666.666666666668</v>
      </c>
      <c r="AH677">
        <v>1</v>
      </c>
      <c r="AI677">
        <v>1</v>
      </c>
      <c r="AJ677" t="s">
        <v>162</v>
      </c>
      <c r="AK677" t="s">
        <v>176</v>
      </c>
      <c r="AL677">
        <v>0</v>
      </c>
      <c r="AM677" t="s">
        <v>176</v>
      </c>
      <c r="AN677">
        <v>0</v>
      </c>
    </row>
    <row r="678" spans="1:40" x14ac:dyDescent="0.15">
      <c r="A678" s="4" t="str">
        <f>HYPERLINK("https://ibp.a2mac1.com/costing(costing:projects/details/9760/process/12085201)","Automated Process")</f>
        <v>Automated Process</v>
      </c>
      <c r="B678" t="s">
        <v>4235</v>
      </c>
      <c r="C678">
        <v>12085201</v>
      </c>
      <c r="D678">
        <v>8415822</v>
      </c>
      <c r="E678">
        <v>3.6116639999999998E-2</v>
      </c>
      <c r="F678">
        <v>0</v>
      </c>
      <c r="G678">
        <v>0</v>
      </c>
      <c r="H678">
        <v>1.8320821894736843E-4</v>
      </c>
      <c r="I678" t="s">
        <v>176</v>
      </c>
      <c r="J678">
        <v>1.2672505263157895E-3</v>
      </c>
      <c r="K678">
        <v>3.7567098745263157E-2</v>
      </c>
      <c r="L678">
        <v>5.8904736909203177E-3</v>
      </c>
      <c r="M678">
        <v>3.5342842145521906E-2</v>
      </c>
      <c r="N678">
        <v>7.2909940890785063E-2</v>
      </c>
      <c r="O678" t="s">
        <v>90</v>
      </c>
      <c r="P678">
        <v>0</v>
      </c>
      <c r="Q678" t="s">
        <v>90</v>
      </c>
      <c r="R678">
        <v>0</v>
      </c>
      <c r="S678" t="s">
        <v>90</v>
      </c>
      <c r="T678">
        <v>0</v>
      </c>
      <c r="U678">
        <v>7.2909940890785063E-2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</v>
      </c>
      <c r="AB678">
        <v>1</v>
      </c>
      <c r="AC678">
        <v>0.5</v>
      </c>
      <c r="AD678">
        <v>0.50345253019720215</v>
      </c>
      <c r="AE678">
        <v>10800</v>
      </c>
      <c r="AF678">
        <v>200000</v>
      </c>
      <c r="AG678">
        <v>16666.666666666668</v>
      </c>
      <c r="AH678">
        <v>1</v>
      </c>
      <c r="AI678">
        <v>1</v>
      </c>
      <c r="AJ678" t="s">
        <v>162</v>
      </c>
      <c r="AK678" t="s">
        <v>176</v>
      </c>
      <c r="AL678">
        <v>0</v>
      </c>
      <c r="AM678" t="s">
        <v>176</v>
      </c>
      <c r="AN678">
        <v>0</v>
      </c>
    </row>
    <row r="679" spans="1:40" x14ac:dyDescent="0.15">
      <c r="A679" s="4" t="str">
        <f>HYPERLINK("https://ibp.a2mac1.com/costing(costing:projects/details/9760/process/12085485)","Process")</f>
        <v>Process</v>
      </c>
      <c r="C679">
        <v>12085485</v>
      </c>
      <c r="D679">
        <v>8416188</v>
      </c>
      <c r="E679">
        <v>0</v>
      </c>
      <c r="F679">
        <v>0</v>
      </c>
      <c r="G679">
        <v>0</v>
      </c>
      <c r="H679">
        <v>0</v>
      </c>
      <c r="I679" t="s">
        <v>176</v>
      </c>
      <c r="J679">
        <v>0</v>
      </c>
      <c r="K679">
        <v>0</v>
      </c>
      <c r="L679">
        <v>9.6239873010978194E-2</v>
      </c>
      <c r="M679">
        <v>0.57743923806586916</v>
      </c>
      <c r="N679">
        <v>0.57743923806586916</v>
      </c>
      <c r="O679" t="s">
        <v>90</v>
      </c>
      <c r="P679">
        <v>0</v>
      </c>
      <c r="Q679" t="s">
        <v>90</v>
      </c>
      <c r="R679">
        <v>0</v>
      </c>
      <c r="S679" t="s">
        <v>90</v>
      </c>
      <c r="T679">
        <v>0</v>
      </c>
      <c r="U679">
        <v>0.57743923806586916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88.74</v>
      </c>
      <c r="AB679">
        <v>1</v>
      </c>
      <c r="AC679">
        <v>0</v>
      </c>
      <c r="AD679">
        <v>0</v>
      </c>
      <c r="AE679">
        <v>216</v>
      </c>
      <c r="AF679">
        <v>200000</v>
      </c>
      <c r="AG679">
        <v>10000</v>
      </c>
      <c r="AH679">
        <v>1</v>
      </c>
      <c r="AI679">
        <v>1</v>
      </c>
      <c r="AJ679" t="s">
        <v>76</v>
      </c>
      <c r="AK679" t="s">
        <v>176</v>
      </c>
      <c r="AL679">
        <v>0</v>
      </c>
      <c r="AM679" t="s">
        <v>176</v>
      </c>
      <c r="AN679">
        <v>0</v>
      </c>
    </row>
    <row r="680" spans="1:40" x14ac:dyDescent="0.15">
      <c r="A680" s="4" t="str">
        <f>HYPERLINK("https://ibp.a2mac1.com/costing(costing:projects/details/9760/process/12085487)","Process")</f>
        <v>Process</v>
      </c>
      <c r="B680" t="s">
        <v>360</v>
      </c>
      <c r="C680">
        <v>12085487</v>
      </c>
      <c r="D680">
        <v>8416190</v>
      </c>
      <c r="E680">
        <v>0</v>
      </c>
      <c r="F680">
        <v>0</v>
      </c>
      <c r="G680">
        <v>0</v>
      </c>
      <c r="H680">
        <v>0</v>
      </c>
      <c r="I680" t="s">
        <v>176</v>
      </c>
      <c r="J680">
        <v>0</v>
      </c>
      <c r="K680">
        <v>0</v>
      </c>
      <c r="L680">
        <v>0.71131809764521003</v>
      </c>
      <c r="M680">
        <v>2.4896133417582353</v>
      </c>
      <c r="N680">
        <v>2.4896133417582353</v>
      </c>
      <c r="O680" t="s">
        <v>90</v>
      </c>
      <c r="P680">
        <v>0</v>
      </c>
      <c r="Q680" t="s">
        <v>90</v>
      </c>
      <c r="R680">
        <v>0</v>
      </c>
      <c r="S680" t="s">
        <v>90</v>
      </c>
      <c r="T680">
        <v>0</v>
      </c>
      <c r="U680">
        <v>2.4896133417582353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328</v>
      </c>
      <c r="AB680">
        <v>1</v>
      </c>
      <c r="AC680">
        <v>0</v>
      </c>
      <c r="AD680">
        <v>0</v>
      </c>
      <c r="AE680">
        <v>216</v>
      </c>
      <c r="AF680">
        <v>200000</v>
      </c>
      <c r="AG680">
        <v>10000</v>
      </c>
      <c r="AH680">
        <v>1</v>
      </c>
      <c r="AI680">
        <v>1</v>
      </c>
      <c r="AJ680" t="s">
        <v>76</v>
      </c>
      <c r="AK680" t="s">
        <v>176</v>
      </c>
      <c r="AL680">
        <v>0</v>
      </c>
      <c r="AM680" t="s">
        <v>176</v>
      </c>
      <c r="AN680">
        <v>0</v>
      </c>
    </row>
    <row r="681" spans="1:40" x14ac:dyDescent="0.15">
      <c r="A681" s="4" t="str">
        <f>HYPERLINK("https://ibp.a2mac1.com/costing(costing:projects/details/9760/process/12085473)","Furnace heating")</f>
        <v>Furnace heating</v>
      </c>
      <c r="C681">
        <v>12085473</v>
      </c>
      <c r="D681">
        <v>8416177</v>
      </c>
      <c r="E681">
        <v>0.84045808736842109</v>
      </c>
      <c r="F681">
        <v>0</v>
      </c>
      <c r="G681">
        <v>0</v>
      </c>
      <c r="H681">
        <v>2.6549855477894738E-3</v>
      </c>
      <c r="I681" t="s">
        <v>176</v>
      </c>
      <c r="J681">
        <v>3.0170290315789473E-2</v>
      </c>
      <c r="K681">
        <v>0.87328336323199995</v>
      </c>
      <c r="L681">
        <v>4.9500337708346621E-3</v>
      </c>
      <c r="M681">
        <v>2.9700202625007971E-2</v>
      </c>
      <c r="N681">
        <v>0.90298356585700801</v>
      </c>
      <c r="O681" t="s">
        <v>90</v>
      </c>
      <c r="P681">
        <v>0</v>
      </c>
      <c r="Q681" t="s">
        <v>90</v>
      </c>
      <c r="R681">
        <v>0</v>
      </c>
      <c r="S681" t="s">
        <v>90</v>
      </c>
      <c r="T681">
        <v>0</v>
      </c>
      <c r="U681">
        <v>0.90298356585700801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19.377199999999998</v>
      </c>
      <c r="AB681">
        <v>1</v>
      </c>
      <c r="AC681">
        <v>0.1</v>
      </c>
      <c r="AD681">
        <v>0.30705427283965386</v>
      </c>
      <c r="AE681">
        <v>0</v>
      </c>
      <c r="AF681">
        <v>200000</v>
      </c>
      <c r="AG681">
        <v>16666.666666666668</v>
      </c>
      <c r="AH681">
        <v>1</v>
      </c>
      <c r="AI681">
        <v>1</v>
      </c>
      <c r="AJ681" t="s">
        <v>162</v>
      </c>
      <c r="AK681" t="s">
        <v>176</v>
      </c>
      <c r="AL681">
        <v>0</v>
      </c>
      <c r="AM681" t="s">
        <v>176</v>
      </c>
      <c r="AN681">
        <v>0</v>
      </c>
    </row>
    <row r="682" spans="1:40" x14ac:dyDescent="0.15">
      <c r="A682" s="4" t="str">
        <f>HYPERLINK("https://ibp.a2mac1.com/costing(costing:projects/details/9760/process/12085474)","Transport with laddle")</f>
        <v>Transport with laddle</v>
      </c>
      <c r="C682">
        <v>12085474</v>
      </c>
      <c r="D682">
        <v>8416177</v>
      </c>
      <c r="E682">
        <v>0</v>
      </c>
      <c r="F682">
        <v>0</v>
      </c>
      <c r="G682">
        <v>0</v>
      </c>
      <c r="H682">
        <v>0</v>
      </c>
      <c r="I682" t="s">
        <v>176</v>
      </c>
      <c r="J682">
        <v>0</v>
      </c>
      <c r="K682">
        <v>0</v>
      </c>
      <c r="L682">
        <v>2.037798749605497E-3</v>
      </c>
      <c r="M682">
        <v>1.222679249763298E-2</v>
      </c>
      <c r="N682">
        <v>1.222679249763298E-2</v>
      </c>
      <c r="O682" t="s">
        <v>90</v>
      </c>
      <c r="P682">
        <v>0</v>
      </c>
      <c r="Q682" t="s">
        <v>90</v>
      </c>
      <c r="R682">
        <v>0</v>
      </c>
      <c r="S682" t="s">
        <v>90</v>
      </c>
      <c r="T682">
        <v>0</v>
      </c>
      <c r="U682">
        <v>1.222679249763298E-2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19.377199999999998</v>
      </c>
      <c r="AB682">
        <v>1</v>
      </c>
      <c r="AC682">
        <v>0.1</v>
      </c>
      <c r="AD682">
        <v>0.20557651238448796</v>
      </c>
      <c r="AE682">
        <v>900</v>
      </c>
      <c r="AF682">
        <v>200000</v>
      </c>
      <c r="AG682">
        <v>16666.666666666668</v>
      </c>
      <c r="AH682">
        <v>1</v>
      </c>
      <c r="AI682">
        <v>1</v>
      </c>
      <c r="AJ682" t="s">
        <v>162</v>
      </c>
      <c r="AK682" t="s">
        <v>176</v>
      </c>
      <c r="AL682">
        <v>0</v>
      </c>
      <c r="AM682" t="s">
        <v>176</v>
      </c>
      <c r="AN682">
        <v>0</v>
      </c>
    </row>
    <row r="683" spans="1:40" x14ac:dyDescent="0.15">
      <c r="A683" s="4" t="str">
        <f>HYPERLINK("https://ibp.a2mac1.com/costing(costing:projects/details/9760/process/12085475)","Pressing (Cold Chamber)")</f>
        <v>Pressing (Cold Chamber)</v>
      </c>
      <c r="C683">
        <v>12085475</v>
      </c>
      <c r="D683">
        <v>8416177</v>
      </c>
      <c r="E683">
        <v>0</v>
      </c>
      <c r="F683">
        <v>0</v>
      </c>
      <c r="G683">
        <v>0</v>
      </c>
      <c r="H683">
        <v>0</v>
      </c>
      <c r="I683" t="s">
        <v>176</v>
      </c>
      <c r="J683">
        <v>0</v>
      </c>
      <c r="K683">
        <v>0</v>
      </c>
      <c r="L683">
        <v>1.9396986049689587E-2</v>
      </c>
      <c r="M683">
        <v>0.11638191629813752</v>
      </c>
      <c r="N683">
        <v>0.11638191629813752</v>
      </c>
      <c r="O683" t="s">
        <v>90</v>
      </c>
      <c r="P683">
        <v>0</v>
      </c>
      <c r="Q683" t="s">
        <v>90</v>
      </c>
      <c r="R683">
        <v>0</v>
      </c>
      <c r="S683" t="s">
        <v>90</v>
      </c>
      <c r="T683">
        <v>0</v>
      </c>
      <c r="U683">
        <v>0.11638191629813752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19.377199999999998</v>
      </c>
      <c r="AB683">
        <v>1</v>
      </c>
      <c r="AC683">
        <v>0.1</v>
      </c>
      <c r="AD683">
        <v>0.10389195236953569</v>
      </c>
      <c r="AE683">
        <v>7200</v>
      </c>
      <c r="AF683">
        <v>200000</v>
      </c>
      <c r="AG683">
        <v>16666.666666666668</v>
      </c>
      <c r="AH683">
        <v>1</v>
      </c>
      <c r="AI683">
        <v>1</v>
      </c>
      <c r="AJ683" t="s">
        <v>162</v>
      </c>
      <c r="AK683" t="s">
        <v>176</v>
      </c>
      <c r="AL683">
        <v>0</v>
      </c>
      <c r="AM683" t="s">
        <v>176</v>
      </c>
      <c r="AN683">
        <v>0</v>
      </c>
    </row>
    <row r="684" spans="1:40" x14ac:dyDescent="0.15">
      <c r="A684" s="4" t="str">
        <f>HYPERLINK("https://ibp.a2mac1.com/costing(costing:projects/details/9760/process/12085476)","Injection molding")</f>
        <v>Injection molding</v>
      </c>
      <c r="B684" t="s">
        <v>5216</v>
      </c>
      <c r="C684">
        <v>12085476</v>
      </c>
      <c r="D684">
        <v>8416179</v>
      </c>
      <c r="E684">
        <v>0.27352171962886596</v>
      </c>
      <c r="F684">
        <v>0</v>
      </c>
      <c r="G684">
        <v>0</v>
      </c>
      <c r="H684">
        <v>2.8488992329896905E-4</v>
      </c>
      <c r="I684" t="s">
        <v>176</v>
      </c>
      <c r="J684">
        <v>9.5876416494845365E-3</v>
      </c>
      <c r="K684">
        <v>0.28339425120164946</v>
      </c>
      <c r="L684">
        <v>8.484225793651724E-3</v>
      </c>
      <c r="M684">
        <v>5.0905354761910347E-2</v>
      </c>
      <c r="N684">
        <v>0.33429960596355984</v>
      </c>
      <c r="O684" t="s">
        <v>90</v>
      </c>
      <c r="P684">
        <v>0</v>
      </c>
      <c r="Q684" t="s">
        <v>90</v>
      </c>
      <c r="R684">
        <v>0</v>
      </c>
      <c r="S684" t="s">
        <v>90</v>
      </c>
      <c r="T684">
        <v>0</v>
      </c>
      <c r="U684">
        <v>0.33429960596355984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21.53941</v>
      </c>
      <c r="AB684">
        <v>1</v>
      </c>
      <c r="AC684">
        <v>0.1</v>
      </c>
      <c r="AD684">
        <v>0.10389195236953569</v>
      </c>
      <c r="AE684">
        <v>7200</v>
      </c>
      <c r="AF684">
        <v>200000</v>
      </c>
      <c r="AG684">
        <v>16666.666666666668</v>
      </c>
      <c r="AH684">
        <v>1</v>
      </c>
      <c r="AI684">
        <v>1</v>
      </c>
      <c r="AJ684" t="s">
        <v>162</v>
      </c>
      <c r="AK684" t="s">
        <v>176</v>
      </c>
      <c r="AL684">
        <v>0</v>
      </c>
      <c r="AM684" t="s">
        <v>176</v>
      </c>
      <c r="AN684">
        <v>0</v>
      </c>
    </row>
    <row r="685" spans="1:40" x14ac:dyDescent="0.15">
      <c r="A685" s="4" t="str">
        <f>HYPERLINK("https://ibp.a2mac1.com/costing(costing:projects/details/9760/process/12085477)","Injection molding")</f>
        <v>Injection molding</v>
      </c>
      <c r="C685">
        <v>12085477</v>
      </c>
      <c r="D685">
        <v>8416180</v>
      </c>
      <c r="E685">
        <v>0.21229068000000001</v>
      </c>
      <c r="F685">
        <v>0</v>
      </c>
      <c r="G685">
        <v>0</v>
      </c>
      <c r="H685">
        <v>1.29396224E-3</v>
      </c>
      <c r="I685" t="s">
        <v>176</v>
      </c>
      <c r="J685">
        <v>7.4487957894736846E-3</v>
      </c>
      <c r="K685">
        <v>0.22103343802947367</v>
      </c>
      <c r="L685">
        <v>3.7179069743362532E-3</v>
      </c>
      <c r="M685">
        <v>2.2307441846017517E-2</v>
      </c>
      <c r="N685">
        <v>0.24334087987549119</v>
      </c>
      <c r="O685" t="s">
        <v>90</v>
      </c>
      <c r="P685">
        <v>0</v>
      </c>
      <c r="Q685" t="s">
        <v>90</v>
      </c>
      <c r="R685">
        <v>0</v>
      </c>
      <c r="S685" t="s">
        <v>90</v>
      </c>
      <c r="T685">
        <v>0</v>
      </c>
      <c r="U685">
        <v>0.24334087987549119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60</v>
      </c>
      <c r="AB685">
        <v>1</v>
      </c>
      <c r="AC685">
        <v>0.5</v>
      </c>
      <c r="AD685">
        <v>0.60432569974554706</v>
      </c>
      <c r="AE685">
        <v>216</v>
      </c>
      <c r="AF685">
        <v>200000</v>
      </c>
      <c r="AG685">
        <v>16666.666666666668</v>
      </c>
      <c r="AH685">
        <v>1</v>
      </c>
      <c r="AI685">
        <v>1</v>
      </c>
      <c r="AJ685" t="s">
        <v>162</v>
      </c>
      <c r="AK685" t="s">
        <v>176</v>
      </c>
      <c r="AL685">
        <v>0</v>
      </c>
      <c r="AM685" t="s">
        <v>176</v>
      </c>
      <c r="AN685">
        <v>0</v>
      </c>
    </row>
    <row r="686" spans="1:40" x14ac:dyDescent="0.15">
      <c r="A686" s="4" t="str">
        <f>HYPERLINK("https://ibp.a2mac1.com/costing(costing:projects/details/9760/process/12085478)","Painting")</f>
        <v>Painting</v>
      </c>
      <c r="B686" t="s">
        <v>5228</v>
      </c>
      <c r="C686">
        <v>12085478</v>
      </c>
      <c r="D686">
        <v>8416180</v>
      </c>
      <c r="E686">
        <v>0.3</v>
      </c>
      <c r="F686">
        <v>0</v>
      </c>
      <c r="G686">
        <v>0</v>
      </c>
      <c r="H686">
        <v>3.1199999999999999E-4</v>
      </c>
      <c r="I686" t="s">
        <v>176</v>
      </c>
      <c r="J686">
        <v>1.0500000000000001E-2</v>
      </c>
      <c r="K686">
        <v>0.31081199999999998</v>
      </c>
      <c r="L686">
        <v>9.4837498877817908E-2</v>
      </c>
      <c r="M686">
        <v>0.56902499326690748</v>
      </c>
      <c r="N686">
        <v>0.87983699326690745</v>
      </c>
      <c r="O686" t="s">
        <v>90</v>
      </c>
      <c r="P686">
        <v>0</v>
      </c>
      <c r="Q686" t="s">
        <v>90</v>
      </c>
      <c r="R686">
        <v>0</v>
      </c>
      <c r="S686" t="s">
        <v>90</v>
      </c>
      <c r="T686">
        <v>0</v>
      </c>
      <c r="U686">
        <v>0.87983699326690745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2.8</v>
      </c>
      <c r="AB686">
        <v>1</v>
      </c>
      <c r="AC686">
        <v>0.1</v>
      </c>
      <c r="AD686">
        <v>0.10389195236953569</v>
      </c>
      <c r="AE686">
        <v>0</v>
      </c>
      <c r="AF686">
        <v>200000</v>
      </c>
      <c r="AG686">
        <v>16666.666666666668</v>
      </c>
      <c r="AH686">
        <v>1</v>
      </c>
      <c r="AI686">
        <v>1</v>
      </c>
      <c r="AJ686" t="s">
        <v>162</v>
      </c>
      <c r="AK686" t="s">
        <v>176</v>
      </c>
      <c r="AL686">
        <v>0</v>
      </c>
      <c r="AM686" t="s">
        <v>176</v>
      </c>
      <c r="AN686">
        <v>0</v>
      </c>
    </row>
    <row r="687" spans="1:40" x14ac:dyDescent="0.15">
      <c r="A687" s="4" t="str">
        <f>HYPERLINK("https://ibp.a2mac1.com/costing(costing:projects/details/9760/process/12085479)","Injection molding")</f>
        <v>Injection molding</v>
      </c>
      <c r="C687">
        <v>12085479</v>
      </c>
      <c r="D687">
        <v>8416181</v>
      </c>
      <c r="E687">
        <v>0.13966732500000001</v>
      </c>
      <c r="F687">
        <v>0</v>
      </c>
      <c r="G687">
        <v>0</v>
      </c>
      <c r="H687">
        <v>7.0848788421052635E-4</v>
      </c>
      <c r="I687" t="s">
        <v>176</v>
      </c>
      <c r="J687">
        <v>4.9006078947368423E-3</v>
      </c>
      <c r="K687">
        <v>0.14527642077894737</v>
      </c>
      <c r="L687">
        <v>2.3211601582674491E-3</v>
      </c>
      <c r="M687">
        <v>1.3926960949604694E-2</v>
      </c>
      <c r="N687">
        <v>0.15920338172855206</v>
      </c>
      <c r="O687" t="s">
        <v>90</v>
      </c>
      <c r="P687">
        <v>0</v>
      </c>
      <c r="Q687" t="s">
        <v>90</v>
      </c>
      <c r="R687">
        <v>0</v>
      </c>
      <c r="S687" t="s">
        <v>90</v>
      </c>
      <c r="T687">
        <v>0</v>
      </c>
      <c r="U687">
        <v>0.15920338172855206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60</v>
      </c>
      <c r="AB687">
        <v>1</v>
      </c>
      <c r="AC687">
        <v>0.5</v>
      </c>
      <c r="AD687">
        <v>0.50345253019720215</v>
      </c>
      <c r="AE687">
        <v>135</v>
      </c>
      <c r="AF687">
        <v>200000</v>
      </c>
      <c r="AG687">
        <v>16666.666666666668</v>
      </c>
      <c r="AH687">
        <v>1</v>
      </c>
      <c r="AI687">
        <v>1</v>
      </c>
      <c r="AJ687" t="s">
        <v>162</v>
      </c>
      <c r="AK687" t="s">
        <v>176</v>
      </c>
      <c r="AL687">
        <v>0</v>
      </c>
      <c r="AM687" t="s">
        <v>176</v>
      </c>
      <c r="AN687">
        <v>0</v>
      </c>
    </row>
    <row r="688" spans="1:40" x14ac:dyDescent="0.15">
      <c r="A688" s="4" t="str">
        <f>HYPERLINK("https://ibp.a2mac1.com/costing(costing:projects/details/9760/process/12085480)","Injection molding")</f>
        <v>Injection molding</v>
      </c>
      <c r="C688">
        <v>12085480</v>
      </c>
      <c r="D688">
        <v>8416182</v>
      </c>
      <c r="E688">
        <v>0.13966732500000001</v>
      </c>
      <c r="F688">
        <v>0</v>
      </c>
      <c r="G688">
        <v>0</v>
      </c>
      <c r="H688">
        <v>7.0848788421052635E-4</v>
      </c>
      <c r="I688" t="s">
        <v>176</v>
      </c>
      <c r="J688">
        <v>4.9006078947368423E-3</v>
      </c>
      <c r="K688">
        <v>0.14527642077894737</v>
      </c>
      <c r="L688">
        <v>2.3211601582674491E-3</v>
      </c>
      <c r="M688">
        <v>1.3926960949604694E-2</v>
      </c>
      <c r="N688">
        <v>0.15920338172855206</v>
      </c>
      <c r="O688" t="s">
        <v>90</v>
      </c>
      <c r="P688">
        <v>0</v>
      </c>
      <c r="Q688" t="s">
        <v>90</v>
      </c>
      <c r="R688">
        <v>0</v>
      </c>
      <c r="S688" t="s">
        <v>90</v>
      </c>
      <c r="T688">
        <v>0</v>
      </c>
      <c r="U688">
        <v>0.15920338172855206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60</v>
      </c>
      <c r="AB688">
        <v>1</v>
      </c>
      <c r="AC688">
        <v>0.5</v>
      </c>
      <c r="AD688">
        <v>0.50345253019720215</v>
      </c>
      <c r="AE688">
        <v>135</v>
      </c>
      <c r="AF688">
        <v>200000</v>
      </c>
      <c r="AG688">
        <v>16666.666666666668</v>
      </c>
      <c r="AH688">
        <v>1</v>
      </c>
      <c r="AI688">
        <v>1</v>
      </c>
      <c r="AJ688" t="s">
        <v>162</v>
      </c>
      <c r="AK688" t="s">
        <v>176</v>
      </c>
      <c r="AL688">
        <v>0</v>
      </c>
      <c r="AM688" t="s">
        <v>176</v>
      </c>
      <c r="AN688">
        <v>0</v>
      </c>
    </row>
    <row r="689" spans="1:40" x14ac:dyDescent="0.15">
      <c r="A689" s="4" t="str">
        <f>HYPERLINK("https://ibp.a2mac1.com/costing(costing:projects/details/9760/process/12085481)","Injection molding")</f>
        <v>Injection molding</v>
      </c>
      <c r="C689">
        <v>12085481</v>
      </c>
      <c r="D689">
        <v>8416183</v>
      </c>
      <c r="E689">
        <v>1.7132685631578947E-2</v>
      </c>
      <c r="F689">
        <v>0</v>
      </c>
      <c r="G689">
        <v>0</v>
      </c>
      <c r="H689">
        <v>8.8011562736842105E-5</v>
      </c>
      <c r="I689" t="s">
        <v>176</v>
      </c>
      <c r="J689">
        <v>6.0877563157894733E-4</v>
      </c>
      <c r="K689">
        <v>1.7829472825894737E-2</v>
      </c>
      <c r="L689">
        <v>3.0171767124431421E-4</v>
      </c>
      <c r="M689">
        <v>1.8103060274658853E-3</v>
      </c>
      <c r="N689">
        <v>1.9639778853360622E-2</v>
      </c>
      <c r="O689" t="s">
        <v>90</v>
      </c>
      <c r="P689">
        <v>0</v>
      </c>
      <c r="Q689" t="s">
        <v>90</v>
      </c>
      <c r="R689">
        <v>0</v>
      </c>
      <c r="S689" t="s">
        <v>90</v>
      </c>
      <c r="T689">
        <v>0</v>
      </c>
      <c r="U689">
        <v>1.9639778853360622E-2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60</v>
      </c>
      <c r="AB689">
        <v>1</v>
      </c>
      <c r="AC689">
        <v>0.5</v>
      </c>
      <c r="AD689">
        <v>0.50345253019720215</v>
      </c>
      <c r="AE689">
        <v>17.55</v>
      </c>
      <c r="AF689">
        <v>200000</v>
      </c>
      <c r="AG689">
        <v>16666.666666666668</v>
      </c>
      <c r="AH689">
        <v>1</v>
      </c>
      <c r="AI689">
        <v>1</v>
      </c>
      <c r="AJ689" t="s">
        <v>162</v>
      </c>
      <c r="AK689" t="s">
        <v>176</v>
      </c>
      <c r="AL689">
        <v>0</v>
      </c>
      <c r="AM689" t="s">
        <v>176</v>
      </c>
      <c r="AN689">
        <v>0</v>
      </c>
    </row>
    <row r="690" spans="1:40" x14ac:dyDescent="0.15">
      <c r="A690" s="4" t="str">
        <f>HYPERLINK("https://ibp.a2mac1.com/costing(costing:projects/details/9760/process/12085482)","Injection molding")</f>
        <v>Injection molding</v>
      </c>
      <c r="C690">
        <v>12085482</v>
      </c>
      <c r="D690">
        <v>8416184</v>
      </c>
      <c r="E690">
        <v>7.5157319999999998E-3</v>
      </c>
      <c r="F690">
        <v>0</v>
      </c>
      <c r="G690">
        <v>0</v>
      </c>
      <c r="H690">
        <v>3.8124916210526314E-5</v>
      </c>
      <c r="I690" t="s">
        <v>176</v>
      </c>
      <c r="J690">
        <v>2.6370989473684212E-4</v>
      </c>
      <c r="K690">
        <v>7.817566810947368E-3</v>
      </c>
      <c r="L690">
        <v>1.8567124068331081E-4</v>
      </c>
      <c r="M690">
        <v>1.1140274440998648E-3</v>
      </c>
      <c r="N690">
        <v>8.9315942550472326E-3</v>
      </c>
      <c r="O690" t="s">
        <v>90</v>
      </c>
      <c r="P690">
        <v>0</v>
      </c>
      <c r="Q690" t="s">
        <v>90</v>
      </c>
      <c r="R690">
        <v>0</v>
      </c>
      <c r="S690" t="s">
        <v>90</v>
      </c>
      <c r="T690">
        <v>0</v>
      </c>
      <c r="U690">
        <v>8.9315942550472326E-3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60</v>
      </c>
      <c r="AB690">
        <v>1</v>
      </c>
      <c r="AC690">
        <v>0.5</v>
      </c>
      <c r="AD690">
        <v>0.50345253019720215</v>
      </c>
      <c r="AE690">
        <v>10.8</v>
      </c>
      <c r="AF690">
        <v>200000</v>
      </c>
      <c r="AG690">
        <v>16666.666666666668</v>
      </c>
      <c r="AH690">
        <v>1</v>
      </c>
      <c r="AI690">
        <v>1</v>
      </c>
      <c r="AJ690" t="s">
        <v>162</v>
      </c>
      <c r="AK690" t="s">
        <v>176</v>
      </c>
      <c r="AL690">
        <v>0</v>
      </c>
      <c r="AM690" t="s">
        <v>176</v>
      </c>
      <c r="AN690">
        <v>0</v>
      </c>
    </row>
    <row r="691" spans="1:40" x14ac:dyDescent="0.15">
      <c r="A691" s="4" t="str">
        <f>HYPERLINK("https://ibp.a2mac1.com/costing(costing:projects/details/9760/process/12085483)","Injection molding")</f>
        <v>Injection molding</v>
      </c>
      <c r="C691">
        <v>12085483</v>
      </c>
      <c r="D691">
        <v>8416185</v>
      </c>
      <c r="E691">
        <v>1.3178988947368421E-2</v>
      </c>
      <c r="F691">
        <v>0</v>
      </c>
      <c r="G691">
        <v>0</v>
      </c>
      <c r="H691">
        <v>6.7701202105263156E-5</v>
      </c>
      <c r="I691" t="s">
        <v>176</v>
      </c>
      <c r="J691">
        <v>4.6828894736842104E-4</v>
      </c>
      <c r="K691">
        <v>1.3714979096842106E-2</v>
      </c>
      <c r="L691">
        <v>2.3208963704919518E-4</v>
      </c>
      <c r="M691">
        <v>1.3925378222951711E-3</v>
      </c>
      <c r="N691">
        <v>1.5107516919137276E-2</v>
      </c>
      <c r="O691" t="s">
        <v>90</v>
      </c>
      <c r="P691">
        <v>0</v>
      </c>
      <c r="Q691" t="s">
        <v>90</v>
      </c>
      <c r="R691">
        <v>0</v>
      </c>
      <c r="S691" t="s">
        <v>90</v>
      </c>
      <c r="T691">
        <v>0</v>
      </c>
      <c r="U691">
        <v>1.5107516919137276E-2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60</v>
      </c>
      <c r="AB691">
        <v>1</v>
      </c>
      <c r="AC691">
        <v>0.5</v>
      </c>
      <c r="AD691">
        <v>0.50345253019720215</v>
      </c>
      <c r="AE691">
        <v>13.5</v>
      </c>
      <c r="AF691">
        <v>200000</v>
      </c>
      <c r="AG691">
        <v>16666.666666666668</v>
      </c>
      <c r="AH691">
        <v>1</v>
      </c>
      <c r="AI691">
        <v>1</v>
      </c>
      <c r="AJ691" t="s">
        <v>162</v>
      </c>
      <c r="AK691" t="s">
        <v>176</v>
      </c>
      <c r="AL691">
        <v>0</v>
      </c>
      <c r="AM691" t="s">
        <v>176</v>
      </c>
      <c r="AN691">
        <v>0</v>
      </c>
    </row>
    <row r="692" spans="1:40" x14ac:dyDescent="0.15">
      <c r="A692" s="4" t="str">
        <f>HYPERLINK("https://ibp.a2mac1.com/costing(costing:projects/details/9760/process/12085484)","Injection molding")</f>
        <v>Injection molding</v>
      </c>
      <c r="C692">
        <v>12085484</v>
      </c>
      <c r="D692">
        <v>8416187</v>
      </c>
      <c r="E692">
        <v>4.7486890499999997E-2</v>
      </c>
      <c r="F692">
        <v>0</v>
      </c>
      <c r="G692">
        <v>0</v>
      </c>
      <c r="H692">
        <v>2.4088588063157895E-4</v>
      </c>
      <c r="I692" t="s">
        <v>176</v>
      </c>
      <c r="J692">
        <v>1.6662066842105263E-3</v>
      </c>
      <c r="K692">
        <v>4.9393983064842106E-2</v>
      </c>
      <c r="L692">
        <v>3.9455587084421894E-4</v>
      </c>
      <c r="M692">
        <v>2.3673352250653135E-3</v>
      </c>
      <c r="N692">
        <v>5.1761318289907418E-2</v>
      </c>
      <c r="O692" t="s">
        <v>90</v>
      </c>
      <c r="P692">
        <v>0</v>
      </c>
      <c r="Q692" t="s">
        <v>90</v>
      </c>
      <c r="R692">
        <v>0</v>
      </c>
      <c r="S692" t="s">
        <v>90</v>
      </c>
      <c r="T692">
        <v>0</v>
      </c>
      <c r="U692">
        <v>5.1761318289907418E-2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60</v>
      </c>
      <c r="AB692">
        <v>1</v>
      </c>
      <c r="AC692">
        <v>0.5</v>
      </c>
      <c r="AD692">
        <v>0.50345253019720215</v>
      </c>
      <c r="AE692">
        <v>22.95</v>
      </c>
      <c r="AF692">
        <v>200000</v>
      </c>
      <c r="AG692">
        <v>16666.666666666668</v>
      </c>
      <c r="AH692">
        <v>1</v>
      </c>
      <c r="AI692">
        <v>1</v>
      </c>
      <c r="AJ692" t="s">
        <v>162</v>
      </c>
      <c r="AK692" t="s">
        <v>176</v>
      </c>
      <c r="AL692">
        <v>0</v>
      </c>
      <c r="AM692" t="s">
        <v>176</v>
      </c>
      <c r="AN692">
        <v>0</v>
      </c>
    </row>
    <row r="693" spans="1:40" x14ac:dyDescent="0.15">
      <c r="A693" s="4" t="str">
        <f>HYPERLINK("https://ibp.a2mac1.com/costing(costing:projects/details/9760/process/12085486)","Injection molding")</f>
        <v>Injection molding</v>
      </c>
      <c r="C693">
        <v>12085486</v>
      </c>
      <c r="D693">
        <v>8416189</v>
      </c>
      <c r="E693">
        <v>6.6556066499999997E-2</v>
      </c>
      <c r="F693">
        <v>0</v>
      </c>
      <c r="G693">
        <v>0</v>
      </c>
      <c r="H693">
        <v>3.3761774084210529E-4</v>
      </c>
      <c r="I693" t="s">
        <v>176</v>
      </c>
      <c r="J693">
        <v>2.3353005789473686E-3</v>
      </c>
      <c r="K693">
        <v>6.922898481978948E-2</v>
      </c>
      <c r="L693">
        <v>1.531899933371159E-3</v>
      </c>
      <c r="M693">
        <v>9.1913996002269543E-3</v>
      </c>
      <c r="N693">
        <v>7.8420384420016434E-2</v>
      </c>
      <c r="O693" t="s">
        <v>90</v>
      </c>
      <c r="P693">
        <v>0</v>
      </c>
      <c r="Q693" t="s">
        <v>90</v>
      </c>
      <c r="R693">
        <v>0</v>
      </c>
      <c r="S693" t="s">
        <v>90</v>
      </c>
      <c r="T693">
        <v>0</v>
      </c>
      <c r="U693">
        <v>7.8420384420016434E-2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60</v>
      </c>
      <c r="AB693">
        <v>1</v>
      </c>
      <c r="AC693">
        <v>0.5</v>
      </c>
      <c r="AD693">
        <v>0.50345253019720215</v>
      </c>
      <c r="AE693">
        <v>89.1</v>
      </c>
      <c r="AF693">
        <v>200000</v>
      </c>
      <c r="AG693">
        <v>16666.666666666668</v>
      </c>
      <c r="AH693">
        <v>1</v>
      </c>
      <c r="AI693">
        <v>1</v>
      </c>
      <c r="AJ693" t="s">
        <v>162</v>
      </c>
      <c r="AK693" t="s">
        <v>176</v>
      </c>
      <c r="AL693">
        <v>0</v>
      </c>
      <c r="AM693" t="s">
        <v>176</v>
      </c>
      <c r="AN693">
        <v>0</v>
      </c>
    </row>
    <row r="694" spans="1:40" x14ac:dyDescent="0.15">
      <c r="A694" s="4" t="str">
        <f>HYPERLINK("https://ibp.a2mac1.com/costing(costing:projects/details/9760/process/12085488)","Injection molding")</f>
        <v>Injection molding</v>
      </c>
      <c r="C694">
        <v>12085488</v>
      </c>
      <c r="D694">
        <v>8416191</v>
      </c>
      <c r="E694">
        <v>1.5133104E-2</v>
      </c>
      <c r="F694">
        <v>0</v>
      </c>
      <c r="G694">
        <v>0</v>
      </c>
      <c r="H694">
        <v>7.6765419789473678E-5</v>
      </c>
      <c r="I694" t="s">
        <v>176</v>
      </c>
      <c r="J694">
        <v>5.3098610526315789E-4</v>
      </c>
      <c r="K694">
        <v>1.5740855525052631E-2</v>
      </c>
      <c r="L694">
        <v>2.7850826789310219E-4</v>
      </c>
      <c r="M694">
        <v>1.6710496073586132E-3</v>
      </c>
      <c r="N694">
        <v>1.7411905132411244E-2</v>
      </c>
      <c r="O694" t="s">
        <v>90</v>
      </c>
      <c r="P694">
        <v>0</v>
      </c>
      <c r="Q694" t="s">
        <v>90</v>
      </c>
      <c r="R694">
        <v>0</v>
      </c>
      <c r="S694" t="s">
        <v>90</v>
      </c>
      <c r="T694">
        <v>0</v>
      </c>
      <c r="U694">
        <v>1.7411905132411244E-2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60</v>
      </c>
      <c r="AB694">
        <v>1</v>
      </c>
      <c r="AC694">
        <v>0.5</v>
      </c>
      <c r="AD694">
        <v>0.50345253019720215</v>
      </c>
      <c r="AE694">
        <v>16.2</v>
      </c>
      <c r="AF694">
        <v>200000</v>
      </c>
      <c r="AG694">
        <v>16666.666666666668</v>
      </c>
      <c r="AH694">
        <v>1</v>
      </c>
      <c r="AI694">
        <v>1</v>
      </c>
      <c r="AJ694" t="s">
        <v>162</v>
      </c>
      <c r="AK694" t="s">
        <v>176</v>
      </c>
      <c r="AL694">
        <v>0</v>
      </c>
      <c r="AM694" t="s">
        <v>176</v>
      </c>
      <c r="AN694">
        <v>0</v>
      </c>
    </row>
    <row r="695" spans="1:40" x14ac:dyDescent="0.15">
      <c r="A695" s="4" t="str">
        <f>HYPERLINK("https://ibp.a2mac1.com/costing(costing:projects/details/9760/process/12085489)","Injection molding")</f>
        <v>Injection molding</v>
      </c>
      <c r="B695" t="s">
        <v>5275</v>
      </c>
      <c r="C695">
        <v>12085489</v>
      </c>
      <c r="D695">
        <v>8416193</v>
      </c>
      <c r="E695">
        <v>0.2861677324226804</v>
      </c>
      <c r="F695">
        <v>0</v>
      </c>
      <c r="G695">
        <v>0</v>
      </c>
      <c r="H695">
        <v>8.8272069690721654E-4</v>
      </c>
      <c r="I695" t="s">
        <v>176</v>
      </c>
      <c r="J695">
        <v>1.0030917010309278E-2</v>
      </c>
      <c r="K695">
        <v>0.29708137012989688</v>
      </c>
      <c r="L695">
        <v>1.5144689297013134E-2</v>
      </c>
      <c r="M695">
        <v>9.0868135782078807E-2</v>
      </c>
      <c r="N695">
        <v>0.38794950591197569</v>
      </c>
      <c r="O695" t="s">
        <v>90</v>
      </c>
      <c r="P695">
        <v>0</v>
      </c>
      <c r="Q695" t="s">
        <v>90</v>
      </c>
      <c r="R695">
        <v>0</v>
      </c>
      <c r="S695" t="s">
        <v>90</v>
      </c>
      <c r="T695">
        <v>0</v>
      </c>
      <c r="U695">
        <v>0.38794950591197569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29.568680000000001</v>
      </c>
      <c r="AB695">
        <v>1</v>
      </c>
      <c r="AC695">
        <v>0.1</v>
      </c>
      <c r="AD695">
        <v>0.30705427283965386</v>
      </c>
      <c r="AE695">
        <v>7200</v>
      </c>
      <c r="AF695">
        <v>200000</v>
      </c>
      <c r="AG695">
        <v>16666.666666666668</v>
      </c>
      <c r="AH695">
        <v>1</v>
      </c>
      <c r="AI695">
        <v>1</v>
      </c>
      <c r="AJ695" t="s">
        <v>162</v>
      </c>
      <c r="AK695" t="s">
        <v>176</v>
      </c>
      <c r="AL695">
        <v>0</v>
      </c>
      <c r="AM695" t="s">
        <v>176</v>
      </c>
      <c r="AN695">
        <v>0</v>
      </c>
    </row>
    <row r="696" spans="1:40" x14ac:dyDescent="0.15">
      <c r="A696" s="4" t="str">
        <f>HYPERLINK("https://ibp.a2mac1.com/costing(costing:projects/details/9760/process/12085490)","Painting")</f>
        <v>Painting</v>
      </c>
      <c r="B696" t="s">
        <v>5228</v>
      </c>
      <c r="C696">
        <v>12085490</v>
      </c>
      <c r="D696">
        <v>8416193</v>
      </c>
      <c r="E696">
        <v>0.3</v>
      </c>
      <c r="F696">
        <v>0</v>
      </c>
      <c r="G696">
        <v>0</v>
      </c>
      <c r="H696">
        <v>6.1799999999999995E-4</v>
      </c>
      <c r="I696" t="s">
        <v>176</v>
      </c>
      <c r="J696">
        <v>1.0500000000000001E-2</v>
      </c>
      <c r="K696">
        <v>0.31111800000000001</v>
      </c>
      <c r="L696">
        <v>0.12748297809988446</v>
      </c>
      <c r="M696">
        <v>0.76489786859930675</v>
      </c>
      <c r="N696">
        <v>1.0760158685993069</v>
      </c>
      <c r="O696" t="s">
        <v>90</v>
      </c>
      <c r="P696">
        <v>0</v>
      </c>
      <c r="Q696" t="s">
        <v>90</v>
      </c>
      <c r="R696">
        <v>0</v>
      </c>
      <c r="S696" t="s">
        <v>90</v>
      </c>
      <c r="T696">
        <v>0</v>
      </c>
      <c r="U696">
        <v>1.0760158685993069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3.76</v>
      </c>
      <c r="AB696">
        <v>1</v>
      </c>
      <c r="AC696">
        <v>0.1</v>
      </c>
      <c r="AD696">
        <v>0.20557651238448796</v>
      </c>
      <c r="AE696">
        <v>0</v>
      </c>
      <c r="AF696">
        <v>200000</v>
      </c>
      <c r="AG696">
        <v>16666.666666666668</v>
      </c>
      <c r="AH696">
        <v>1</v>
      </c>
      <c r="AI696">
        <v>1</v>
      </c>
      <c r="AJ696" t="s">
        <v>162</v>
      </c>
      <c r="AK696" t="s">
        <v>176</v>
      </c>
      <c r="AL696">
        <v>0</v>
      </c>
      <c r="AM696" t="s">
        <v>176</v>
      </c>
      <c r="AN696">
        <v>0</v>
      </c>
    </row>
    <row r="697" spans="1:40" x14ac:dyDescent="0.15">
      <c r="A697" s="4" t="str">
        <f>HYPERLINK("https://ibp.a2mac1.com/costing(costing:projects/details/9760/process/12085491)","Handling and Packaging")</f>
        <v>Handling and Packaging</v>
      </c>
      <c r="C697">
        <v>12085491</v>
      </c>
      <c r="D697">
        <v>8416193</v>
      </c>
      <c r="E697">
        <v>0</v>
      </c>
      <c r="F697">
        <v>0</v>
      </c>
      <c r="G697">
        <v>0</v>
      </c>
      <c r="H697">
        <v>0</v>
      </c>
      <c r="I697" t="s">
        <v>176</v>
      </c>
      <c r="J697">
        <v>0</v>
      </c>
      <c r="K697">
        <v>0</v>
      </c>
      <c r="L697">
        <v>1.754507709714289E-2</v>
      </c>
      <c r="M697">
        <v>0.10527046258285734</v>
      </c>
      <c r="N697">
        <v>0.10527046258285734</v>
      </c>
      <c r="O697" t="s">
        <v>90</v>
      </c>
      <c r="P697">
        <v>0</v>
      </c>
      <c r="Q697" t="s">
        <v>90</v>
      </c>
      <c r="R697">
        <v>0</v>
      </c>
      <c r="S697" t="s">
        <v>90</v>
      </c>
      <c r="T697">
        <v>0</v>
      </c>
      <c r="U697">
        <v>0.10527046258285734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60</v>
      </c>
      <c r="AB697">
        <v>1</v>
      </c>
      <c r="AC697">
        <v>0.1</v>
      </c>
      <c r="AD697">
        <v>0.10389195236953569</v>
      </c>
      <c r="AE697">
        <v>900</v>
      </c>
      <c r="AF697">
        <v>200000</v>
      </c>
      <c r="AG697">
        <v>16666.666666666668</v>
      </c>
      <c r="AH697">
        <v>1</v>
      </c>
      <c r="AI697">
        <v>1</v>
      </c>
      <c r="AJ697" t="s">
        <v>162</v>
      </c>
      <c r="AK697" t="s">
        <v>176</v>
      </c>
      <c r="AL697">
        <v>0</v>
      </c>
      <c r="AM697" t="s">
        <v>176</v>
      </c>
      <c r="AN697">
        <v>0</v>
      </c>
    </row>
    <row r="698" spans="1:40" x14ac:dyDescent="0.15">
      <c r="A698" s="4" t="str">
        <f>HYPERLINK("https://ibp.a2mac1.com/costing(costing:projects/details/9760/process/12085205)","Assembly")</f>
        <v>Assembly</v>
      </c>
      <c r="C698">
        <v>12085205</v>
      </c>
      <c r="D698">
        <v>8415831</v>
      </c>
      <c r="E698">
        <v>0</v>
      </c>
      <c r="F698">
        <v>0</v>
      </c>
      <c r="G698">
        <v>0</v>
      </c>
      <c r="H698">
        <v>0</v>
      </c>
      <c r="I698" t="s">
        <v>176</v>
      </c>
      <c r="J698">
        <v>0</v>
      </c>
      <c r="K698">
        <v>0</v>
      </c>
      <c r="L698">
        <v>4.3891336015534119E-2</v>
      </c>
      <c r="M698">
        <v>0.26334801609320468</v>
      </c>
      <c r="N698">
        <v>0.26334801609320468</v>
      </c>
      <c r="O698" t="s">
        <v>90</v>
      </c>
      <c r="P698">
        <v>0</v>
      </c>
      <c r="Q698" t="s">
        <v>90</v>
      </c>
      <c r="R698">
        <v>0</v>
      </c>
      <c r="S698" t="s">
        <v>90</v>
      </c>
      <c r="T698">
        <v>0</v>
      </c>
      <c r="U698">
        <v>0.26334801609320468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150</v>
      </c>
      <c r="AB698">
        <v>1</v>
      </c>
      <c r="AC698">
        <v>0.1</v>
      </c>
      <c r="AD698">
        <v>0.10987913295375087</v>
      </c>
      <c r="AE698">
        <v>600</v>
      </c>
      <c r="AF698">
        <v>200000</v>
      </c>
      <c r="AG698">
        <v>10000</v>
      </c>
      <c r="AH698">
        <v>1</v>
      </c>
      <c r="AI698">
        <v>1</v>
      </c>
      <c r="AJ698" t="s">
        <v>76</v>
      </c>
      <c r="AK698" t="s">
        <v>176</v>
      </c>
      <c r="AL698">
        <v>0</v>
      </c>
      <c r="AM698" t="s">
        <v>176</v>
      </c>
      <c r="AN698">
        <v>0</v>
      </c>
    </row>
    <row r="699" spans="1:40" x14ac:dyDescent="0.15">
      <c r="A699" s="4" t="str">
        <f>HYPERLINK("https://ibp.a2mac1.com/costing(costing:projects/details/9760/process/12085202)","Injection molding")</f>
        <v>Injection molding</v>
      </c>
      <c r="C699">
        <v>12085202</v>
      </c>
      <c r="D699">
        <v>8415828</v>
      </c>
      <c r="E699">
        <v>2.1273829500000001E-2</v>
      </c>
      <c r="F699">
        <v>0</v>
      </c>
      <c r="G699">
        <v>0</v>
      </c>
      <c r="H699">
        <v>1.0791536568421053E-4</v>
      </c>
      <c r="I699" t="s">
        <v>176</v>
      </c>
      <c r="J699">
        <v>7.4645015789473685E-4</v>
      </c>
      <c r="K699">
        <v>2.2128195023578948E-2</v>
      </c>
      <c r="L699">
        <v>5.1060493928297736E-4</v>
      </c>
      <c r="M699">
        <v>3.0636296356978637E-3</v>
      </c>
      <c r="N699">
        <v>2.5191824659276812E-2</v>
      </c>
      <c r="O699" t="s">
        <v>90</v>
      </c>
      <c r="P699">
        <v>0</v>
      </c>
      <c r="Q699" t="s">
        <v>90</v>
      </c>
      <c r="R699">
        <v>0</v>
      </c>
      <c r="S699" t="s">
        <v>90</v>
      </c>
      <c r="T699">
        <v>0</v>
      </c>
      <c r="U699">
        <v>2.5191824659276812E-2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60</v>
      </c>
      <c r="AB699">
        <v>1</v>
      </c>
      <c r="AC699">
        <v>0.5</v>
      </c>
      <c r="AD699">
        <v>0.50345253019720215</v>
      </c>
      <c r="AE699">
        <v>29.7</v>
      </c>
      <c r="AF699">
        <v>200000</v>
      </c>
      <c r="AG699">
        <v>16666.666666666668</v>
      </c>
      <c r="AH699">
        <v>1</v>
      </c>
      <c r="AI699">
        <v>1</v>
      </c>
      <c r="AJ699" t="s">
        <v>162</v>
      </c>
      <c r="AK699" t="s">
        <v>176</v>
      </c>
      <c r="AL699">
        <v>0</v>
      </c>
      <c r="AM699" t="s">
        <v>176</v>
      </c>
      <c r="AN699">
        <v>0</v>
      </c>
    </row>
    <row r="700" spans="1:40" x14ac:dyDescent="0.15">
      <c r="A700" s="4" t="str">
        <f>HYPERLINK("https://ibp.a2mac1.com/costing(costing:projects/details/9760/process/12085203)","Press")</f>
        <v>Press</v>
      </c>
      <c r="C700">
        <v>12085203</v>
      </c>
      <c r="D700">
        <v>8415829</v>
      </c>
      <c r="E700">
        <v>2.6737153608247422E-3</v>
      </c>
      <c r="F700">
        <v>0</v>
      </c>
      <c r="G700">
        <v>0</v>
      </c>
      <c r="H700">
        <v>5.4679286597938147E-5</v>
      </c>
      <c r="I700" t="s">
        <v>176</v>
      </c>
      <c r="J700">
        <v>9.3720618556701035E-5</v>
      </c>
      <c r="K700">
        <v>2.8221152659793814E-3</v>
      </c>
      <c r="L700">
        <v>3.0381864284564599E-2</v>
      </c>
      <c r="M700">
        <v>0.18229118570738759</v>
      </c>
      <c r="N700">
        <v>0.18511330097336698</v>
      </c>
      <c r="O700" t="s">
        <v>90</v>
      </c>
      <c r="P700">
        <v>0</v>
      </c>
      <c r="Q700" t="s">
        <v>90</v>
      </c>
      <c r="R700">
        <v>0</v>
      </c>
      <c r="S700" t="s">
        <v>90</v>
      </c>
      <c r="T700">
        <v>0</v>
      </c>
      <c r="U700">
        <v>0.18511330097336698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120</v>
      </c>
      <c r="AB700">
        <v>3</v>
      </c>
      <c r="AC700">
        <v>1</v>
      </c>
      <c r="AD700">
        <v>2.001136786813273</v>
      </c>
      <c r="AE700">
        <v>3600</v>
      </c>
      <c r="AF700">
        <v>200000</v>
      </c>
      <c r="AG700">
        <v>16666.666666666668</v>
      </c>
      <c r="AH700">
        <v>1</v>
      </c>
      <c r="AI700">
        <v>1</v>
      </c>
      <c r="AJ700" t="s">
        <v>162</v>
      </c>
      <c r="AK700" t="s">
        <v>176</v>
      </c>
      <c r="AL700">
        <v>0</v>
      </c>
      <c r="AM700" t="s">
        <v>176</v>
      </c>
      <c r="AN700">
        <v>0</v>
      </c>
    </row>
    <row r="701" spans="1:40" x14ac:dyDescent="0.15">
      <c r="A701" s="4" t="str">
        <f>HYPERLINK("https://ibp.a2mac1.com/costing(costing:projects/details/9760/process/12085204)","Steam facility")</f>
        <v>Steam facility</v>
      </c>
      <c r="C701">
        <v>12085204</v>
      </c>
      <c r="D701">
        <v>8415829</v>
      </c>
      <c r="E701">
        <v>0</v>
      </c>
      <c r="F701">
        <v>0</v>
      </c>
      <c r="G701">
        <v>0</v>
      </c>
      <c r="H701">
        <v>0</v>
      </c>
      <c r="I701" t="s">
        <v>176</v>
      </c>
      <c r="J701">
        <v>0</v>
      </c>
      <c r="K701">
        <v>0</v>
      </c>
      <c r="L701">
        <v>7.469096004452671E-4</v>
      </c>
      <c r="M701">
        <v>4.4814576026716022E-3</v>
      </c>
      <c r="N701">
        <v>4.4814576026716022E-3</v>
      </c>
      <c r="O701" t="s">
        <v>90</v>
      </c>
      <c r="P701">
        <v>0</v>
      </c>
      <c r="Q701" t="s">
        <v>90</v>
      </c>
      <c r="R701">
        <v>0</v>
      </c>
      <c r="S701" t="s">
        <v>90</v>
      </c>
      <c r="T701">
        <v>0</v>
      </c>
      <c r="U701">
        <v>4.4814576026716022E-3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20</v>
      </c>
      <c r="AB701">
        <v>36</v>
      </c>
      <c r="AC701">
        <v>1</v>
      </c>
      <c r="AD701">
        <v>1.0057812623742775</v>
      </c>
      <c r="AE701">
        <v>3600</v>
      </c>
      <c r="AF701">
        <v>200000</v>
      </c>
      <c r="AG701">
        <v>16666.666666666668</v>
      </c>
      <c r="AH701">
        <v>1</v>
      </c>
      <c r="AI701">
        <v>1</v>
      </c>
      <c r="AJ701" t="s">
        <v>162</v>
      </c>
      <c r="AK701" t="s">
        <v>176</v>
      </c>
      <c r="AL701">
        <v>0</v>
      </c>
      <c r="AM701" t="s">
        <v>176</v>
      </c>
      <c r="AN701">
        <v>0</v>
      </c>
    </row>
    <row r="702" spans="1:40" x14ac:dyDescent="0.15">
      <c r="A702" s="4" t="str">
        <f>HYPERLINK("https://ibp.a2mac1.com/costing(costing:projects/details/9760/process/12085207)","Injection molding")</f>
        <v>Injection molding</v>
      </c>
      <c r="B702" t="s">
        <v>5302</v>
      </c>
      <c r="C702">
        <v>12085207</v>
      </c>
      <c r="D702">
        <v>8415832</v>
      </c>
      <c r="E702">
        <v>6.0246875371134018E-2</v>
      </c>
      <c r="F702">
        <v>0</v>
      </c>
      <c r="G702">
        <v>0</v>
      </c>
      <c r="H702">
        <v>1.2429500577319587E-4</v>
      </c>
      <c r="I702" t="s">
        <v>176</v>
      </c>
      <c r="J702">
        <v>2.1118083505154641E-3</v>
      </c>
      <c r="K702">
        <v>6.2482978727422679E-2</v>
      </c>
      <c r="L702">
        <v>1.3576184058357352E-2</v>
      </c>
      <c r="M702">
        <v>8.1457104350144111E-2</v>
      </c>
      <c r="N702">
        <v>0.14394008307756678</v>
      </c>
      <c r="O702" t="s">
        <v>177</v>
      </c>
      <c r="P702">
        <v>3.7489787236453607E-3</v>
      </c>
      <c r="Q702" t="s">
        <v>177</v>
      </c>
      <c r="R702">
        <v>4.8874262610086464E-3</v>
      </c>
      <c r="S702" t="s">
        <v>178</v>
      </c>
      <c r="T702">
        <v>1.7272809969308016E-2</v>
      </c>
      <c r="U702">
        <v>0.16984929803152882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42.330649999999999</v>
      </c>
      <c r="AB702">
        <v>1</v>
      </c>
      <c r="AC702">
        <v>0.1</v>
      </c>
      <c r="AD702">
        <v>0.20557651238448796</v>
      </c>
      <c r="AE702">
        <v>7200</v>
      </c>
      <c r="AF702">
        <v>200000</v>
      </c>
      <c r="AG702">
        <v>16666.666666666668</v>
      </c>
      <c r="AH702">
        <v>1</v>
      </c>
      <c r="AI702">
        <v>1</v>
      </c>
      <c r="AJ702" t="s">
        <v>162</v>
      </c>
      <c r="AK702" t="s">
        <v>176</v>
      </c>
      <c r="AL702">
        <v>0</v>
      </c>
      <c r="AM702" t="s">
        <v>176</v>
      </c>
      <c r="AN702">
        <v>0</v>
      </c>
    </row>
    <row r="703" spans="1:40" x14ac:dyDescent="0.15">
      <c r="A703" s="4" t="str">
        <f>HYPERLINK("https://ibp.a2mac1.com/costing(costing:projects/details/9760/process/12085206)","Handling/Visual Inspection/Packaging")</f>
        <v>Handling/Visual Inspection/Packaging</v>
      </c>
      <c r="C703">
        <v>12085206</v>
      </c>
      <c r="D703">
        <v>8415832</v>
      </c>
      <c r="E703">
        <v>0</v>
      </c>
      <c r="F703">
        <v>0</v>
      </c>
      <c r="G703">
        <v>0</v>
      </c>
      <c r="H703">
        <v>0</v>
      </c>
      <c r="I703" t="s">
        <v>176</v>
      </c>
      <c r="J703">
        <v>0</v>
      </c>
      <c r="K703">
        <v>0</v>
      </c>
      <c r="L703">
        <v>2.8759505147669608E-3</v>
      </c>
      <c r="M703">
        <v>1.7255703088601766E-2</v>
      </c>
      <c r="N703">
        <v>1.7255703088601766E-2</v>
      </c>
      <c r="O703" t="s">
        <v>177</v>
      </c>
      <c r="P703">
        <v>0</v>
      </c>
      <c r="Q703" t="s">
        <v>177</v>
      </c>
      <c r="R703">
        <v>1.0353421853161059E-3</v>
      </c>
      <c r="S703" t="s">
        <v>178</v>
      </c>
      <c r="T703">
        <v>2.0706843706322117E-3</v>
      </c>
      <c r="U703">
        <v>2.0361729644550082E-2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10</v>
      </c>
      <c r="AB703">
        <v>1</v>
      </c>
      <c r="AC703">
        <v>0.1</v>
      </c>
      <c r="AD703">
        <v>0.10389195236953569</v>
      </c>
      <c r="AE703">
        <v>900</v>
      </c>
      <c r="AF703">
        <v>200000</v>
      </c>
      <c r="AG703">
        <v>16666.666666666668</v>
      </c>
      <c r="AH703">
        <v>1</v>
      </c>
      <c r="AI703">
        <v>1</v>
      </c>
      <c r="AJ703" t="s">
        <v>162</v>
      </c>
      <c r="AK703" t="s">
        <v>176</v>
      </c>
      <c r="AL703">
        <v>0</v>
      </c>
      <c r="AM703" t="s">
        <v>176</v>
      </c>
      <c r="AN703">
        <v>0</v>
      </c>
    </row>
    <row r="704" spans="1:40" x14ac:dyDescent="0.15">
      <c r="A704" s="4" t="str">
        <f>HYPERLINK("https://ibp.a2mac1.com/costing(costing:projects/details/9760/process/12085208)","Injection molding")</f>
        <v>Injection molding</v>
      </c>
      <c r="B704" t="s">
        <v>5310</v>
      </c>
      <c r="C704">
        <v>12085208</v>
      </c>
      <c r="D704">
        <v>8415833</v>
      </c>
      <c r="E704">
        <v>1.551596943298969E-3</v>
      </c>
      <c r="F704">
        <v>0</v>
      </c>
      <c r="G704">
        <v>0</v>
      </c>
      <c r="H704">
        <v>3.2010913402061857E-6</v>
      </c>
      <c r="I704" t="s">
        <v>176</v>
      </c>
      <c r="J704">
        <v>5.4387474226804127E-5</v>
      </c>
      <c r="K704">
        <v>1.6091855088659795E-3</v>
      </c>
      <c r="L704">
        <v>7.2533910972382336E-3</v>
      </c>
      <c r="M704">
        <v>4.3520346583429403E-2</v>
      </c>
      <c r="N704">
        <v>4.5129532092295387E-2</v>
      </c>
      <c r="O704" t="s">
        <v>177</v>
      </c>
      <c r="P704">
        <v>9.6551130531958768E-5</v>
      </c>
      <c r="Q704" t="s">
        <v>177</v>
      </c>
      <c r="R704">
        <v>2.6112207950057644E-3</v>
      </c>
      <c r="S704" t="s">
        <v>178</v>
      </c>
      <c r="T704">
        <v>5.4155438510754463E-3</v>
      </c>
      <c r="U704">
        <v>5.3252847868908555E-2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21.527259999999998</v>
      </c>
      <c r="AB704">
        <v>1</v>
      </c>
      <c r="AC704">
        <v>0.1</v>
      </c>
      <c r="AD704">
        <v>0.20557651238448796</v>
      </c>
      <c r="AE704">
        <v>7200</v>
      </c>
      <c r="AF704">
        <v>200000</v>
      </c>
      <c r="AG704">
        <v>16666.666666666668</v>
      </c>
      <c r="AH704">
        <v>1</v>
      </c>
      <c r="AI704">
        <v>1</v>
      </c>
      <c r="AJ704" t="s">
        <v>162</v>
      </c>
      <c r="AK704" t="s">
        <v>176</v>
      </c>
      <c r="AL704">
        <v>0</v>
      </c>
      <c r="AM704" t="s">
        <v>176</v>
      </c>
      <c r="AN704">
        <v>0</v>
      </c>
    </row>
    <row r="705" spans="1:40" x14ac:dyDescent="0.15">
      <c r="A705" s="4" t="str">
        <f>HYPERLINK("https://ibp.a2mac1.com/costing(costing:projects/details/9760/process/12085209)","Handling/Visual Inspection/Packaging")</f>
        <v>Handling/Visual Inspection/Packaging</v>
      </c>
      <c r="C705">
        <v>12085209</v>
      </c>
      <c r="D705">
        <v>8415833</v>
      </c>
      <c r="E705">
        <v>0</v>
      </c>
      <c r="F705">
        <v>0</v>
      </c>
      <c r="G705">
        <v>0</v>
      </c>
      <c r="H705">
        <v>0</v>
      </c>
      <c r="I705" t="s">
        <v>176</v>
      </c>
      <c r="J705">
        <v>0</v>
      </c>
      <c r="K705">
        <v>0</v>
      </c>
      <c r="L705">
        <v>2.8759505147669608E-3</v>
      </c>
      <c r="M705">
        <v>1.7255703088601766E-2</v>
      </c>
      <c r="N705">
        <v>1.7255703088601766E-2</v>
      </c>
      <c r="O705" t="s">
        <v>177</v>
      </c>
      <c r="P705">
        <v>0</v>
      </c>
      <c r="Q705" t="s">
        <v>177</v>
      </c>
      <c r="R705">
        <v>1.0353421853161059E-3</v>
      </c>
      <c r="S705" t="s">
        <v>178</v>
      </c>
      <c r="T705">
        <v>2.0706843706322117E-3</v>
      </c>
      <c r="U705">
        <v>2.0361729644550082E-2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10</v>
      </c>
      <c r="AB705">
        <v>1</v>
      </c>
      <c r="AC705">
        <v>0.1</v>
      </c>
      <c r="AD705">
        <v>0.10389195236953569</v>
      </c>
      <c r="AE705">
        <v>900</v>
      </c>
      <c r="AF705">
        <v>200000</v>
      </c>
      <c r="AG705">
        <v>16666.666666666668</v>
      </c>
      <c r="AH705">
        <v>1</v>
      </c>
      <c r="AI705">
        <v>1</v>
      </c>
      <c r="AJ705" t="s">
        <v>162</v>
      </c>
      <c r="AK705" t="s">
        <v>176</v>
      </c>
      <c r="AL705">
        <v>0</v>
      </c>
      <c r="AM705" t="s">
        <v>176</v>
      </c>
      <c r="AN705">
        <v>0</v>
      </c>
    </row>
    <row r="706" spans="1:40" x14ac:dyDescent="0.15">
      <c r="A706" s="4" t="str">
        <f>HYPERLINK("https://ibp.a2mac1.com/costing(costing:projects/details/9760/process/12085493)","Injection molding")</f>
        <v>Injection molding</v>
      </c>
      <c r="B706" t="s">
        <v>5321</v>
      </c>
      <c r="C706">
        <v>12085493</v>
      </c>
      <c r="D706">
        <v>8416195</v>
      </c>
      <c r="E706">
        <v>3.0263814432989689E-2</v>
      </c>
      <c r="F706">
        <v>0</v>
      </c>
      <c r="G706">
        <v>0</v>
      </c>
      <c r="H706">
        <v>6.2437113402061855E-5</v>
      </c>
      <c r="I706" t="s">
        <v>176</v>
      </c>
      <c r="J706">
        <v>1.0608247422680412E-3</v>
      </c>
      <c r="K706">
        <v>3.138707628865979E-2</v>
      </c>
      <c r="L706">
        <v>2.0584577780424426E-2</v>
      </c>
      <c r="M706">
        <v>7.2046022231485485E-2</v>
      </c>
      <c r="N706">
        <v>0.10343309852014529</v>
      </c>
      <c r="O706" t="s">
        <v>177</v>
      </c>
      <c r="P706">
        <v>1.8832245773195877E-3</v>
      </c>
      <c r="Q706" t="s">
        <v>177</v>
      </c>
      <c r="R706">
        <v>4.3227613338891295E-3</v>
      </c>
      <c r="S706" t="s">
        <v>178</v>
      </c>
      <c r="T706">
        <v>1.2411971822417434E-2</v>
      </c>
      <c r="U706">
        <v>0.12205105625377144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19.215890000000002</v>
      </c>
      <c r="AB706">
        <v>2</v>
      </c>
      <c r="AC706">
        <v>0.1</v>
      </c>
      <c r="AD706">
        <v>0.20557651238448796</v>
      </c>
      <c r="AE706">
        <v>10800</v>
      </c>
      <c r="AF706">
        <v>200000</v>
      </c>
      <c r="AG706">
        <v>16666.666666666668</v>
      </c>
      <c r="AH706">
        <v>1</v>
      </c>
      <c r="AI706">
        <v>1</v>
      </c>
      <c r="AJ706" t="s">
        <v>162</v>
      </c>
      <c r="AK706" t="s">
        <v>176</v>
      </c>
      <c r="AL706">
        <v>0</v>
      </c>
      <c r="AM706" t="s">
        <v>176</v>
      </c>
      <c r="AN706">
        <v>0</v>
      </c>
    </row>
    <row r="707" spans="1:40" x14ac:dyDescent="0.15">
      <c r="A707" s="4" t="str">
        <f>HYPERLINK("https://ibp.a2mac1.com/costing(costing:projects/details/9760/process/12085492)","Handling/Visual Inspection/Packaging")</f>
        <v>Handling/Visual Inspection/Packaging</v>
      </c>
      <c r="C707">
        <v>12085492</v>
      </c>
      <c r="D707">
        <v>8416195</v>
      </c>
      <c r="E707">
        <v>0</v>
      </c>
      <c r="F707">
        <v>0</v>
      </c>
      <c r="G707">
        <v>0</v>
      </c>
      <c r="H707">
        <v>0</v>
      </c>
      <c r="I707" t="s">
        <v>176</v>
      </c>
      <c r="J707">
        <v>0</v>
      </c>
      <c r="K707">
        <v>0</v>
      </c>
      <c r="L707">
        <v>5.7519010295339216E-3</v>
      </c>
      <c r="M707">
        <v>2.0131653603368726E-2</v>
      </c>
      <c r="N707">
        <v>2.0131653603368726E-2</v>
      </c>
      <c r="O707" t="s">
        <v>177</v>
      </c>
      <c r="P707">
        <v>0</v>
      </c>
      <c r="Q707" t="s">
        <v>177</v>
      </c>
      <c r="R707">
        <v>1.2078992162021236E-3</v>
      </c>
      <c r="S707" t="s">
        <v>178</v>
      </c>
      <c r="T707">
        <v>2.4157984324042472E-3</v>
      </c>
      <c r="U707">
        <v>2.3755351251975095E-2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10</v>
      </c>
      <c r="AB707">
        <v>1</v>
      </c>
      <c r="AC707">
        <v>0.1</v>
      </c>
      <c r="AD707">
        <v>0.10389195236953569</v>
      </c>
      <c r="AE707">
        <v>900</v>
      </c>
      <c r="AF707">
        <v>200000</v>
      </c>
      <c r="AG707">
        <v>16666.666666666668</v>
      </c>
      <c r="AH707">
        <v>1</v>
      </c>
      <c r="AI707">
        <v>1</v>
      </c>
      <c r="AJ707" t="s">
        <v>162</v>
      </c>
      <c r="AK707" t="s">
        <v>176</v>
      </c>
      <c r="AL707">
        <v>0</v>
      </c>
      <c r="AM707" t="s">
        <v>176</v>
      </c>
      <c r="AN707">
        <v>0</v>
      </c>
    </row>
    <row r="708" spans="1:40" x14ac:dyDescent="0.15">
      <c r="A708" s="4" t="str">
        <f>HYPERLINK("https://ibp.a2mac1.com/costing(costing:projects/details/9760/process/12085494)","Injection molding")</f>
        <v>Injection molding</v>
      </c>
      <c r="B708" t="s">
        <v>5329</v>
      </c>
      <c r="C708">
        <v>12085494</v>
      </c>
      <c r="D708">
        <v>8416196</v>
      </c>
      <c r="E708">
        <v>3.5574506530927835E-2</v>
      </c>
      <c r="F708">
        <v>0</v>
      </c>
      <c r="G708">
        <v>0</v>
      </c>
      <c r="H708">
        <v>7.3393573814432988E-5</v>
      </c>
      <c r="I708" t="s">
        <v>176</v>
      </c>
      <c r="J708">
        <v>1.2469781958762886E-3</v>
      </c>
      <c r="K708">
        <v>3.6894878300618557E-2</v>
      </c>
      <c r="L708">
        <v>8.5600226222615049E-3</v>
      </c>
      <c r="M708">
        <v>5.1360135733569026E-2</v>
      </c>
      <c r="N708">
        <v>8.825501403418759E-2</v>
      </c>
      <c r="O708" t="s">
        <v>90</v>
      </c>
      <c r="P708">
        <v>0</v>
      </c>
      <c r="Q708" t="s">
        <v>90</v>
      </c>
      <c r="R708">
        <v>0</v>
      </c>
      <c r="S708" t="s">
        <v>90</v>
      </c>
      <c r="T708">
        <v>0</v>
      </c>
      <c r="U708">
        <v>8.825501403418759E-2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15.44525</v>
      </c>
      <c r="AB708">
        <v>2</v>
      </c>
      <c r="AC708">
        <v>0.1</v>
      </c>
      <c r="AD708">
        <v>0.20557651238448796</v>
      </c>
      <c r="AE708">
        <v>10800</v>
      </c>
      <c r="AF708">
        <v>200000</v>
      </c>
      <c r="AG708">
        <v>16666.666666666668</v>
      </c>
      <c r="AH708">
        <v>1</v>
      </c>
      <c r="AI708">
        <v>1</v>
      </c>
      <c r="AJ708" t="s">
        <v>162</v>
      </c>
      <c r="AK708" t="s">
        <v>176</v>
      </c>
      <c r="AL708">
        <v>0</v>
      </c>
      <c r="AM708" t="s">
        <v>176</v>
      </c>
      <c r="AN708">
        <v>0</v>
      </c>
    </row>
    <row r="709" spans="1:40" x14ac:dyDescent="0.15">
      <c r="A709" s="4" t="str">
        <f>HYPERLINK("https://ibp.a2mac1.com/costing(costing:projects/details/9760/process/12085495)","Handling/Visual Inspection/Packaging")</f>
        <v>Handling/Visual Inspection/Packaging</v>
      </c>
      <c r="C709">
        <v>12085495</v>
      </c>
      <c r="D709">
        <v>8416196</v>
      </c>
      <c r="E709">
        <v>0</v>
      </c>
      <c r="F709">
        <v>0</v>
      </c>
      <c r="G709">
        <v>0</v>
      </c>
      <c r="H709">
        <v>0</v>
      </c>
      <c r="I709" t="s">
        <v>176</v>
      </c>
      <c r="J709">
        <v>0</v>
      </c>
      <c r="K709">
        <v>0</v>
      </c>
      <c r="L709">
        <v>2.8759505147669608E-3</v>
      </c>
      <c r="M709">
        <v>1.7255703088601766E-2</v>
      </c>
      <c r="N709">
        <v>1.7255703088601766E-2</v>
      </c>
      <c r="O709" t="s">
        <v>90</v>
      </c>
      <c r="P709">
        <v>0</v>
      </c>
      <c r="Q709" t="s">
        <v>90</v>
      </c>
      <c r="R709">
        <v>0</v>
      </c>
      <c r="S709" t="s">
        <v>90</v>
      </c>
      <c r="T709">
        <v>0</v>
      </c>
      <c r="U709">
        <v>1.7255703088601766E-2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10</v>
      </c>
      <c r="AB709">
        <v>1</v>
      </c>
      <c r="AC709">
        <v>0.1</v>
      </c>
      <c r="AD709">
        <v>0.10389195236953569</v>
      </c>
      <c r="AE709">
        <v>900</v>
      </c>
      <c r="AF709">
        <v>200000</v>
      </c>
      <c r="AG709">
        <v>16666.666666666668</v>
      </c>
      <c r="AH709">
        <v>1</v>
      </c>
      <c r="AI709">
        <v>1</v>
      </c>
      <c r="AJ709" t="s">
        <v>162</v>
      </c>
      <c r="AK709" t="s">
        <v>176</v>
      </c>
      <c r="AL709">
        <v>0</v>
      </c>
      <c r="AM709" t="s">
        <v>176</v>
      </c>
      <c r="AN709">
        <v>0</v>
      </c>
    </row>
    <row r="710" spans="1:40" x14ac:dyDescent="0.15">
      <c r="A710" s="4" t="str">
        <f>HYPERLINK("https://ibp.a2mac1.com/costing(costing:projects/details/9760/process/12085210)","Process")</f>
        <v>Process</v>
      </c>
      <c r="C710">
        <v>12085210</v>
      </c>
      <c r="D710">
        <v>8415834</v>
      </c>
      <c r="E710">
        <v>0</v>
      </c>
      <c r="F710">
        <v>0</v>
      </c>
      <c r="G710">
        <v>0</v>
      </c>
      <c r="H710">
        <v>0</v>
      </c>
      <c r="I710" t="s">
        <v>176</v>
      </c>
      <c r="J710">
        <v>0</v>
      </c>
      <c r="K710">
        <v>0</v>
      </c>
      <c r="L710">
        <v>0.35650171081813409</v>
      </c>
      <c r="M710">
        <v>1.2477559878634694</v>
      </c>
      <c r="N710">
        <v>1.2477559878634694</v>
      </c>
      <c r="O710" t="s">
        <v>177</v>
      </c>
      <c r="P710">
        <v>0</v>
      </c>
      <c r="Q710" t="s">
        <v>177</v>
      </c>
      <c r="R710">
        <v>7.4865359271808166E-2</v>
      </c>
      <c r="S710" t="s">
        <v>322</v>
      </c>
      <c r="T710">
        <v>0.12477559878634693</v>
      </c>
      <c r="U710">
        <v>1.4473969459216245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100</v>
      </c>
      <c r="AB710">
        <v>1</v>
      </c>
      <c r="AC710">
        <v>0.1</v>
      </c>
      <c r="AD710">
        <v>0.10389195236953569</v>
      </c>
      <c r="AE710">
        <v>10800</v>
      </c>
      <c r="AF710">
        <v>200000</v>
      </c>
      <c r="AG710">
        <v>16666.666666666668</v>
      </c>
      <c r="AH710">
        <v>1</v>
      </c>
      <c r="AI710">
        <v>1</v>
      </c>
      <c r="AJ710" t="s">
        <v>162</v>
      </c>
      <c r="AK710" t="s">
        <v>176</v>
      </c>
      <c r="AL710">
        <v>0</v>
      </c>
      <c r="AM710" t="s">
        <v>176</v>
      </c>
      <c r="AN710">
        <v>0</v>
      </c>
    </row>
    <row r="711" spans="1:40" x14ac:dyDescent="0.15">
      <c r="A711" s="4" t="str">
        <f>HYPERLINK("https://ibp.a2mac1.com/costing(costing:projects/details/9760/process/12085496)","MANUFACTURING  PROCESS")</f>
        <v>MANUFACTURING  PROCESS</v>
      </c>
      <c r="B711" t="s">
        <v>4962</v>
      </c>
      <c r="C711">
        <v>12085496</v>
      </c>
      <c r="D711">
        <v>8416197</v>
      </c>
      <c r="E711">
        <v>0.14652861</v>
      </c>
      <c r="F711">
        <v>0</v>
      </c>
      <c r="G711">
        <v>0</v>
      </c>
      <c r="H711">
        <v>3.11763E-6</v>
      </c>
      <c r="I711" t="s">
        <v>176</v>
      </c>
      <c r="J711">
        <v>5.4558525000000004E-3</v>
      </c>
      <c r="K711">
        <v>0.15198758012999999</v>
      </c>
      <c r="L711">
        <v>0.18397179041108594</v>
      </c>
      <c r="M711">
        <v>1.1038307424665155</v>
      </c>
      <c r="N711">
        <v>1.2558183225965156</v>
      </c>
      <c r="O711" t="s">
        <v>90</v>
      </c>
      <c r="P711">
        <v>0</v>
      </c>
      <c r="Q711" t="s">
        <v>90</v>
      </c>
      <c r="R711">
        <v>0</v>
      </c>
      <c r="S711" t="s">
        <v>90</v>
      </c>
      <c r="T711">
        <v>0</v>
      </c>
      <c r="U711">
        <v>1.2558183225965156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36.551670000000001</v>
      </c>
      <c r="AB711">
        <v>1</v>
      </c>
      <c r="AC711">
        <v>0</v>
      </c>
      <c r="AD711">
        <v>1.9999600007999841E-3</v>
      </c>
      <c r="AE711">
        <v>5400</v>
      </c>
      <c r="AF711">
        <v>200000</v>
      </c>
      <c r="AG711">
        <v>16666.666666666668</v>
      </c>
      <c r="AH711">
        <v>1</v>
      </c>
      <c r="AI711">
        <v>1</v>
      </c>
      <c r="AJ711" t="s">
        <v>162</v>
      </c>
      <c r="AK711" t="s">
        <v>176</v>
      </c>
      <c r="AL711">
        <v>0</v>
      </c>
      <c r="AM711" t="s">
        <v>176</v>
      </c>
      <c r="AN711">
        <v>0</v>
      </c>
    </row>
    <row r="712" spans="1:40" x14ac:dyDescent="0.15">
      <c r="A712" s="4" t="str">
        <f>HYPERLINK("https://ibp.a2mac1.com/costing(costing:projects/details/9760/process/12085497)","MANUFACTURING  PROCESS")</f>
        <v>MANUFACTURING  PROCESS</v>
      </c>
      <c r="B712" t="s">
        <v>4962</v>
      </c>
      <c r="C712">
        <v>12085497</v>
      </c>
      <c r="D712">
        <v>8416198</v>
      </c>
      <c r="E712">
        <v>7.0391195000000004E-2</v>
      </c>
      <c r="F712">
        <v>0</v>
      </c>
      <c r="G712">
        <v>0</v>
      </c>
      <c r="H712">
        <v>1.4976850000000001E-6</v>
      </c>
      <c r="I712" t="s">
        <v>176</v>
      </c>
      <c r="J712">
        <v>2.6209487500000002E-3</v>
      </c>
      <c r="K712">
        <v>7.3013641434999998E-2</v>
      </c>
      <c r="L712">
        <v>0.22608553666765549</v>
      </c>
      <c r="M712">
        <v>1.3565132200059329</v>
      </c>
      <c r="N712">
        <v>1.4295268614409329</v>
      </c>
      <c r="O712" t="s">
        <v>90</v>
      </c>
      <c r="P712">
        <v>0</v>
      </c>
      <c r="Q712" t="s">
        <v>90</v>
      </c>
      <c r="R712">
        <v>0</v>
      </c>
      <c r="S712" t="s">
        <v>90</v>
      </c>
      <c r="T712">
        <v>0</v>
      </c>
      <c r="U712">
        <v>1.4295268614409329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45</v>
      </c>
      <c r="AB712">
        <v>1</v>
      </c>
      <c r="AC712">
        <v>0</v>
      </c>
      <c r="AD712">
        <v>1.9999600007999841E-3</v>
      </c>
      <c r="AE712">
        <v>5400</v>
      </c>
      <c r="AF712">
        <v>200000</v>
      </c>
      <c r="AG712">
        <v>16666.666666666668</v>
      </c>
      <c r="AH712">
        <v>1</v>
      </c>
      <c r="AI712">
        <v>1</v>
      </c>
      <c r="AJ712" t="s">
        <v>162</v>
      </c>
      <c r="AK712" t="s">
        <v>176</v>
      </c>
      <c r="AL712">
        <v>0</v>
      </c>
      <c r="AM712" t="s">
        <v>176</v>
      </c>
      <c r="AN712">
        <v>0</v>
      </c>
    </row>
    <row r="713" spans="1:40" x14ac:dyDescent="0.15">
      <c r="A713" s="4" t="str">
        <f>HYPERLINK("https://ibp.a2mac1.com/costing(costing:projects/details/9760/process/12085498)","MANUFACTURING  PROCESS")</f>
        <v>MANUFACTURING  PROCESS</v>
      </c>
      <c r="B713" t="s">
        <v>4962</v>
      </c>
      <c r="C713">
        <v>12085498</v>
      </c>
      <c r="D713">
        <v>8416199</v>
      </c>
      <c r="E713">
        <v>0.14652861</v>
      </c>
      <c r="F713">
        <v>0</v>
      </c>
      <c r="G713">
        <v>0</v>
      </c>
      <c r="H713">
        <v>3.11763E-6</v>
      </c>
      <c r="I713" t="s">
        <v>176</v>
      </c>
      <c r="J713">
        <v>5.4558525000000004E-3</v>
      </c>
      <c r="K713">
        <v>0.15198758012999999</v>
      </c>
      <c r="L713">
        <v>0.22608553666765549</v>
      </c>
      <c r="M713">
        <v>1.3565132200059329</v>
      </c>
      <c r="N713">
        <v>1.508500800135933</v>
      </c>
      <c r="O713" t="s">
        <v>90</v>
      </c>
      <c r="P713">
        <v>0</v>
      </c>
      <c r="Q713" t="s">
        <v>90</v>
      </c>
      <c r="R713">
        <v>0</v>
      </c>
      <c r="S713" t="s">
        <v>90</v>
      </c>
      <c r="T713">
        <v>0</v>
      </c>
      <c r="U713">
        <v>1.508500800135933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45</v>
      </c>
      <c r="AB713">
        <v>1</v>
      </c>
      <c r="AC713">
        <v>0</v>
      </c>
      <c r="AD713">
        <v>1.9999600007999841E-3</v>
      </c>
      <c r="AE713">
        <v>5400</v>
      </c>
      <c r="AF713">
        <v>200000</v>
      </c>
      <c r="AG713">
        <v>16666.666666666668</v>
      </c>
      <c r="AH713">
        <v>1</v>
      </c>
      <c r="AI713">
        <v>1</v>
      </c>
      <c r="AJ713" t="s">
        <v>162</v>
      </c>
      <c r="AK713" t="s">
        <v>176</v>
      </c>
      <c r="AL713">
        <v>0</v>
      </c>
      <c r="AM713" t="s">
        <v>176</v>
      </c>
      <c r="AN713">
        <v>0</v>
      </c>
    </row>
    <row r="714" spans="1:40" x14ac:dyDescent="0.15">
      <c r="A714" s="4" t="str">
        <f>HYPERLINK("https://ibp.a2mac1.com/costing(costing:projects/details/9760/process/12085499)","MANUFACTURING  PROCESS")</f>
        <v>MANUFACTURING  PROCESS</v>
      </c>
      <c r="B714" t="s">
        <v>4962</v>
      </c>
      <c r="C714">
        <v>12085499</v>
      </c>
      <c r="D714">
        <v>8416200</v>
      </c>
      <c r="E714">
        <v>7.0391195000000004E-2</v>
      </c>
      <c r="F714">
        <v>0</v>
      </c>
      <c r="G714">
        <v>0</v>
      </c>
      <c r="H714">
        <v>1.4976850000000001E-6</v>
      </c>
      <c r="I714" t="s">
        <v>176</v>
      </c>
      <c r="J714">
        <v>2.6209487500000002E-3</v>
      </c>
      <c r="K714">
        <v>7.3013641434999998E-2</v>
      </c>
      <c r="L714">
        <v>0.22608553666765549</v>
      </c>
      <c r="M714">
        <v>1.3565132200059329</v>
      </c>
      <c r="N714">
        <v>1.4295268614409329</v>
      </c>
      <c r="O714" t="s">
        <v>90</v>
      </c>
      <c r="P714">
        <v>0</v>
      </c>
      <c r="Q714" t="s">
        <v>90</v>
      </c>
      <c r="R714">
        <v>0</v>
      </c>
      <c r="S714" t="s">
        <v>90</v>
      </c>
      <c r="T714">
        <v>0</v>
      </c>
      <c r="U714">
        <v>1.4295268614409329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45</v>
      </c>
      <c r="AB714">
        <v>1</v>
      </c>
      <c r="AC714">
        <v>0</v>
      </c>
      <c r="AD714">
        <v>1.9999600007999841E-3</v>
      </c>
      <c r="AE714">
        <v>5400</v>
      </c>
      <c r="AF714">
        <v>200000</v>
      </c>
      <c r="AG714">
        <v>16666.666666666668</v>
      </c>
      <c r="AH714">
        <v>1</v>
      </c>
      <c r="AI714">
        <v>1</v>
      </c>
      <c r="AJ714" t="s">
        <v>162</v>
      </c>
      <c r="AK714" t="s">
        <v>176</v>
      </c>
      <c r="AL714">
        <v>0</v>
      </c>
      <c r="AM714" t="s">
        <v>176</v>
      </c>
      <c r="AN714">
        <v>0</v>
      </c>
    </row>
    <row r="715" spans="1:40" x14ac:dyDescent="0.15">
      <c r="A715" s="4" t="str">
        <f>HYPERLINK("https://ibp.a2mac1.com/costing(costing:projects/details/9760/process/12085211)","Injection molding")</f>
        <v>Injection molding</v>
      </c>
      <c r="C715">
        <v>12085211</v>
      </c>
      <c r="D715">
        <v>8415839</v>
      </c>
      <c r="E715">
        <v>4.5214049999999999E-2</v>
      </c>
      <c r="F715">
        <v>0</v>
      </c>
      <c r="G715">
        <v>0</v>
      </c>
      <c r="H715">
        <v>2.2935648421052631E-4</v>
      </c>
      <c r="I715" t="s">
        <v>176</v>
      </c>
      <c r="J715">
        <v>1.586457894736842E-3</v>
      </c>
      <c r="K715">
        <v>4.7029864378947371E-2</v>
      </c>
      <c r="L715">
        <v>1.5783251295997008E-3</v>
      </c>
      <c r="M715">
        <v>9.4699507775982041E-3</v>
      </c>
      <c r="N715">
        <v>5.649981515654557E-2</v>
      </c>
      <c r="O715" t="s">
        <v>177</v>
      </c>
      <c r="P715">
        <v>2.8217918627368422E-3</v>
      </c>
      <c r="Q715" t="s">
        <v>177</v>
      </c>
      <c r="R715">
        <v>5.6819704665589225E-4</v>
      </c>
      <c r="S715" t="s">
        <v>178</v>
      </c>
      <c r="T715">
        <v>6.7799778187854686E-3</v>
      </c>
      <c r="U715">
        <v>6.6669781884723778E-2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60</v>
      </c>
      <c r="AB715">
        <v>1</v>
      </c>
      <c r="AC715">
        <v>0.5</v>
      </c>
      <c r="AD715">
        <v>0.50345253019720215</v>
      </c>
      <c r="AE715">
        <v>91.8</v>
      </c>
      <c r="AF715">
        <v>200000</v>
      </c>
      <c r="AG715">
        <v>16666.666666666668</v>
      </c>
      <c r="AH715">
        <v>1</v>
      </c>
      <c r="AI715">
        <v>1</v>
      </c>
      <c r="AJ715" t="s">
        <v>162</v>
      </c>
      <c r="AK715" t="s">
        <v>176</v>
      </c>
      <c r="AL715">
        <v>0</v>
      </c>
      <c r="AM715" t="s">
        <v>176</v>
      </c>
      <c r="AN715">
        <v>0</v>
      </c>
    </row>
    <row r="716" spans="1:40" x14ac:dyDescent="0.15">
      <c r="A716" s="4" t="str">
        <f>HYPERLINK("https://ibp.a2mac1.com/costing(costing:projects/details/9760/process/12085501)","Seal Extrusion (Multi Layer)")</f>
        <v>Seal Extrusion (Multi Layer)</v>
      </c>
      <c r="C716">
        <v>12085501</v>
      </c>
      <c r="D716">
        <v>8416201</v>
      </c>
      <c r="E716">
        <v>3.8164060197368421</v>
      </c>
      <c r="F716">
        <v>0</v>
      </c>
      <c r="G716">
        <v>0</v>
      </c>
      <c r="H716">
        <v>7.8856528947368418E-3</v>
      </c>
      <c r="I716" t="s">
        <v>176</v>
      </c>
      <c r="J716">
        <v>0.13397953947368421</v>
      </c>
      <c r="K716">
        <v>3.958271212105263</v>
      </c>
      <c r="L716">
        <v>0.11042432234335599</v>
      </c>
      <c r="M716">
        <v>0.66254593406013595</v>
      </c>
      <c r="N716">
        <v>4.6208171461653995</v>
      </c>
      <c r="O716" t="s">
        <v>177</v>
      </c>
      <c r="P716">
        <v>0.23749627272631579</v>
      </c>
      <c r="Q716" t="s">
        <v>177</v>
      </c>
      <c r="R716">
        <v>3.9752756043608152E-2</v>
      </c>
      <c r="S716" t="s">
        <v>178</v>
      </c>
      <c r="T716">
        <v>0.55449805753984793</v>
      </c>
      <c r="U716">
        <v>5.4525642324751713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45</v>
      </c>
      <c r="AB716">
        <v>1</v>
      </c>
      <c r="AC716">
        <v>0.1</v>
      </c>
      <c r="AD716">
        <v>0.20557651238448796</v>
      </c>
      <c r="AE716">
        <v>1800</v>
      </c>
      <c r="AF716">
        <v>200000</v>
      </c>
      <c r="AG716">
        <v>16666.666666666668</v>
      </c>
      <c r="AH716">
        <v>1</v>
      </c>
      <c r="AI716">
        <v>1</v>
      </c>
      <c r="AJ716" t="s">
        <v>162</v>
      </c>
      <c r="AK716" t="s">
        <v>176</v>
      </c>
      <c r="AL716">
        <v>0</v>
      </c>
      <c r="AM716" t="s">
        <v>176</v>
      </c>
      <c r="AN716">
        <v>0</v>
      </c>
    </row>
    <row r="717" spans="1:40" x14ac:dyDescent="0.15">
      <c r="A717" s="4" t="str">
        <f>HYPERLINK("https://ibp.a2mac1.com/costing(costing:projects/details/9760/process/12085500)","End Glueing/Vulcanizing; Check and Pack")</f>
        <v>End Glueing/Vulcanizing; Check and Pack</v>
      </c>
      <c r="C717">
        <v>12085500</v>
      </c>
      <c r="D717">
        <v>8416201</v>
      </c>
      <c r="E717">
        <v>0</v>
      </c>
      <c r="F717">
        <v>0</v>
      </c>
      <c r="G717">
        <v>0</v>
      </c>
      <c r="H717">
        <v>0</v>
      </c>
      <c r="I717" t="s">
        <v>176</v>
      </c>
      <c r="J717">
        <v>0</v>
      </c>
      <c r="K717">
        <v>0</v>
      </c>
      <c r="L717">
        <v>1.5680387065327164E-2</v>
      </c>
      <c r="M717">
        <v>9.4082322391962986E-2</v>
      </c>
      <c r="N717">
        <v>9.4082322391962986E-2</v>
      </c>
      <c r="O717" t="s">
        <v>177</v>
      </c>
      <c r="P717">
        <v>0</v>
      </c>
      <c r="Q717" t="s">
        <v>177</v>
      </c>
      <c r="R717">
        <v>5.6449393435177792E-3</v>
      </c>
      <c r="S717" t="s">
        <v>178</v>
      </c>
      <c r="T717">
        <v>1.1289878687035558E-2</v>
      </c>
      <c r="U717">
        <v>0.11101714042251631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30</v>
      </c>
      <c r="AB717">
        <v>1</v>
      </c>
      <c r="AC717">
        <v>0.1</v>
      </c>
      <c r="AD717">
        <v>0.10389195236953569</v>
      </c>
      <c r="AE717">
        <v>600</v>
      </c>
      <c r="AF717">
        <v>200000</v>
      </c>
      <c r="AG717">
        <v>16666.666666666668</v>
      </c>
      <c r="AH717">
        <v>1</v>
      </c>
      <c r="AI717">
        <v>1</v>
      </c>
      <c r="AJ717" t="s">
        <v>162</v>
      </c>
      <c r="AK717" t="s">
        <v>176</v>
      </c>
      <c r="AL717">
        <v>0</v>
      </c>
      <c r="AM717" t="s">
        <v>176</v>
      </c>
      <c r="AN717">
        <v>0</v>
      </c>
    </row>
    <row r="718" spans="1:40" x14ac:dyDescent="0.15">
      <c r="A718" s="4" t="str">
        <f>HYPERLINK("https://ibp.a2mac1.com/costing(costing:projects/details/9760/process/12085502)","Seal Extrusion (Multi Layer)")</f>
        <v>Seal Extrusion (Multi Layer)</v>
      </c>
      <c r="C718">
        <v>12085502</v>
      </c>
      <c r="D718">
        <v>8416202</v>
      </c>
      <c r="E718">
        <v>0.6876947175</v>
      </c>
      <c r="F718">
        <v>0</v>
      </c>
      <c r="G718">
        <v>0</v>
      </c>
      <c r="H718">
        <v>7.1699499368421053E-4</v>
      </c>
      <c r="I718" t="s">
        <v>176</v>
      </c>
      <c r="J718">
        <v>2.4129639210526316E-2</v>
      </c>
      <c r="K718">
        <v>0.71254135170421051</v>
      </c>
      <c r="L718">
        <v>0.11031192108116587</v>
      </c>
      <c r="M718">
        <v>0.66187152648699521</v>
      </c>
      <c r="N718">
        <v>1.3744128781912057</v>
      </c>
      <c r="O718" t="s">
        <v>177</v>
      </c>
      <c r="P718">
        <v>4.2752481102252632E-2</v>
      </c>
      <c r="Q718" t="s">
        <v>177</v>
      </c>
      <c r="R718">
        <v>3.9712291589219711E-2</v>
      </c>
      <c r="S718" t="s">
        <v>178</v>
      </c>
      <c r="T718">
        <v>0.16492954538294469</v>
      </c>
      <c r="U718">
        <v>1.6218071962656229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45</v>
      </c>
      <c r="AB718">
        <v>1</v>
      </c>
      <c r="AC718">
        <v>0.1</v>
      </c>
      <c r="AD718">
        <v>0.10389195236953569</v>
      </c>
      <c r="AE718">
        <v>1800</v>
      </c>
      <c r="AF718">
        <v>200000</v>
      </c>
      <c r="AG718">
        <v>16666.666666666668</v>
      </c>
      <c r="AH718">
        <v>1</v>
      </c>
      <c r="AI718">
        <v>1</v>
      </c>
      <c r="AJ718" t="s">
        <v>162</v>
      </c>
      <c r="AK718" t="s">
        <v>176</v>
      </c>
      <c r="AL718">
        <v>0</v>
      </c>
      <c r="AM718" t="s">
        <v>176</v>
      </c>
      <c r="AN718">
        <v>0</v>
      </c>
    </row>
    <row r="719" spans="1:40" x14ac:dyDescent="0.15">
      <c r="A719" s="4" t="str">
        <f>HYPERLINK("https://ibp.a2mac1.com/costing(costing:projects/details/9760/process/12085212)","Seal Extrusion (Multi Layer)")</f>
        <v>Seal Extrusion (Multi Layer)</v>
      </c>
      <c r="C719">
        <v>12085212</v>
      </c>
      <c r="D719">
        <v>8415842</v>
      </c>
      <c r="E719">
        <v>1.5748593197368421</v>
      </c>
      <c r="F719">
        <v>0</v>
      </c>
      <c r="G719">
        <v>0</v>
      </c>
      <c r="H719">
        <v>1.6492440421052631E-3</v>
      </c>
      <c r="I719" t="s">
        <v>176</v>
      </c>
      <c r="J719">
        <v>5.5503405263157897E-2</v>
      </c>
      <c r="K719">
        <v>1.6320119690421053</v>
      </c>
      <c r="L719">
        <v>4.918855572128588E-2</v>
      </c>
      <c r="M719">
        <v>0.29513133432771527</v>
      </c>
      <c r="N719">
        <v>1.9271433033698204</v>
      </c>
      <c r="O719" t="s">
        <v>177</v>
      </c>
      <c r="P719">
        <v>9.7920718142526314E-2</v>
      </c>
      <c r="Q719" t="s">
        <v>177</v>
      </c>
      <c r="R719">
        <v>1.7707880059662916E-2</v>
      </c>
      <c r="S719" t="s">
        <v>178</v>
      </c>
      <c r="T719">
        <v>0.23125719640437847</v>
      </c>
      <c r="U719">
        <v>2.2740290979763884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20</v>
      </c>
      <c r="AB719">
        <v>1</v>
      </c>
      <c r="AC719">
        <v>0.1</v>
      </c>
      <c r="AD719">
        <v>0.10389195236953569</v>
      </c>
      <c r="AE719">
        <v>1800</v>
      </c>
      <c r="AF719">
        <v>200000</v>
      </c>
      <c r="AG719">
        <v>16666.666666666668</v>
      </c>
      <c r="AH719">
        <v>1</v>
      </c>
      <c r="AI719">
        <v>1</v>
      </c>
      <c r="AJ719" t="s">
        <v>162</v>
      </c>
      <c r="AK719" t="s">
        <v>176</v>
      </c>
      <c r="AL719">
        <v>0</v>
      </c>
      <c r="AM719" t="s">
        <v>176</v>
      </c>
      <c r="AN719">
        <v>0</v>
      </c>
    </row>
    <row r="720" spans="1:40" x14ac:dyDescent="0.15">
      <c r="A720" s="4" t="str">
        <f>HYPERLINK("https://ibp.a2mac1.com/costing(costing:projects/details/9760/process/12085213)","Seal Extrusion (Multi Layer)")</f>
        <v>Seal Extrusion (Multi Layer)</v>
      </c>
      <c r="C720">
        <v>12085213</v>
      </c>
      <c r="D720">
        <v>8415843</v>
      </c>
      <c r="E720">
        <v>0.75683892960526311</v>
      </c>
      <c r="F720">
        <v>0</v>
      </c>
      <c r="G720">
        <v>0</v>
      </c>
      <c r="H720">
        <v>7.9232317894736837E-4</v>
      </c>
      <c r="I720" t="s">
        <v>176</v>
      </c>
      <c r="J720">
        <v>2.6664722368421052E-2</v>
      </c>
      <c r="K720">
        <v>0.78429597515263161</v>
      </c>
      <c r="L720">
        <v>3.696388264930988E-2</v>
      </c>
      <c r="M720">
        <v>0.22178329589585927</v>
      </c>
      <c r="N720">
        <v>1.0060792710484909</v>
      </c>
      <c r="O720" t="s">
        <v>177</v>
      </c>
      <c r="P720">
        <v>4.7057758509157895E-2</v>
      </c>
      <c r="Q720" t="s">
        <v>177</v>
      </c>
      <c r="R720">
        <v>1.3306997753751557E-2</v>
      </c>
      <c r="S720" t="s">
        <v>178</v>
      </c>
      <c r="T720">
        <v>0.1207295125258189</v>
      </c>
      <c r="U720">
        <v>1.1871735398372192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15</v>
      </c>
      <c r="AB720">
        <v>1</v>
      </c>
      <c r="AC720">
        <v>0.1</v>
      </c>
      <c r="AD720">
        <v>0.10389195236953569</v>
      </c>
      <c r="AE720">
        <v>1800</v>
      </c>
      <c r="AF720">
        <v>200000</v>
      </c>
      <c r="AG720">
        <v>16666.666666666668</v>
      </c>
      <c r="AH720">
        <v>1</v>
      </c>
      <c r="AI720">
        <v>1</v>
      </c>
      <c r="AJ720" t="s">
        <v>162</v>
      </c>
      <c r="AK720" t="s">
        <v>176</v>
      </c>
      <c r="AL720">
        <v>0</v>
      </c>
      <c r="AM720" t="s">
        <v>176</v>
      </c>
      <c r="AN720">
        <v>0</v>
      </c>
    </row>
    <row r="721" spans="1:40" x14ac:dyDescent="0.15">
      <c r="A721" s="4" t="str">
        <f>HYPERLINK("https://ibp.a2mac1.com/costing(costing:projects/details/9760/process/12085214)","Aluminum extrusion")</f>
        <v>Aluminum extrusion</v>
      </c>
      <c r="C721">
        <v>12085214</v>
      </c>
      <c r="D721">
        <v>8415844</v>
      </c>
      <c r="E721">
        <v>0.20244549873449894</v>
      </c>
      <c r="F721">
        <v>0</v>
      </c>
      <c r="G721">
        <v>0</v>
      </c>
      <c r="H721">
        <v>2.1054331868387889E-4</v>
      </c>
      <c r="I721" t="s">
        <v>176</v>
      </c>
      <c r="J721">
        <v>7.085592455707463E-3</v>
      </c>
      <c r="K721">
        <v>0.20974163450889027</v>
      </c>
      <c r="L721">
        <v>5.0904421087457248E-2</v>
      </c>
      <c r="M721">
        <v>0.3054265265247435</v>
      </c>
      <c r="N721">
        <v>0.51516816103363372</v>
      </c>
      <c r="O721" t="s">
        <v>177</v>
      </c>
      <c r="P721">
        <v>1.2584498070533417E-2</v>
      </c>
      <c r="Q721" t="s">
        <v>177</v>
      </c>
      <c r="R721">
        <v>1.832559159148461E-2</v>
      </c>
      <c r="S721" t="s">
        <v>178</v>
      </c>
      <c r="T721">
        <v>6.1820179324036051E-2</v>
      </c>
      <c r="U721">
        <v>0.6078984300196878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4.6201100000000004</v>
      </c>
      <c r="AB721">
        <v>1</v>
      </c>
      <c r="AC721">
        <v>0.1</v>
      </c>
      <c r="AD721">
        <v>0.10389195236953569</v>
      </c>
      <c r="AE721">
        <v>360</v>
      </c>
      <c r="AF721">
        <v>200000</v>
      </c>
      <c r="AG721">
        <v>16666.666666666668</v>
      </c>
      <c r="AH721">
        <v>1</v>
      </c>
      <c r="AI721">
        <v>1</v>
      </c>
      <c r="AJ721" t="s">
        <v>162</v>
      </c>
      <c r="AK721" t="s">
        <v>176</v>
      </c>
      <c r="AL721">
        <v>0</v>
      </c>
      <c r="AM721" t="s">
        <v>176</v>
      </c>
      <c r="AN721">
        <v>0</v>
      </c>
    </row>
    <row r="722" spans="1:40" x14ac:dyDescent="0.15">
      <c r="A722" s="4" t="str">
        <f>HYPERLINK("https://ibp.a2mac1.com/costing(costing:projects/details/9760/process/12085215)","Process")</f>
        <v>Process</v>
      </c>
      <c r="C722">
        <v>12085215</v>
      </c>
      <c r="D722">
        <v>8415847</v>
      </c>
      <c r="E722">
        <v>0</v>
      </c>
      <c r="F722">
        <v>0</v>
      </c>
      <c r="G722">
        <v>0</v>
      </c>
      <c r="H722">
        <v>0</v>
      </c>
      <c r="I722" t="s">
        <v>176</v>
      </c>
      <c r="J722">
        <v>0</v>
      </c>
      <c r="K722">
        <v>0</v>
      </c>
      <c r="L722">
        <v>0.17352694491359211</v>
      </c>
      <c r="M722">
        <v>0.60734430719757238</v>
      </c>
      <c r="N722">
        <v>0.60734430719757238</v>
      </c>
      <c r="O722" t="s">
        <v>90</v>
      </c>
      <c r="P722">
        <v>0</v>
      </c>
      <c r="Q722" t="s">
        <v>90</v>
      </c>
      <c r="R722">
        <v>0</v>
      </c>
      <c r="S722" t="s">
        <v>90</v>
      </c>
      <c r="T722">
        <v>0</v>
      </c>
      <c r="U722">
        <v>0.60734430719757238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80</v>
      </c>
      <c r="AB722">
        <v>1</v>
      </c>
      <c r="AC722">
        <v>0</v>
      </c>
      <c r="AD722">
        <v>0</v>
      </c>
      <c r="AE722">
        <v>216</v>
      </c>
      <c r="AF722">
        <v>200000</v>
      </c>
      <c r="AG722">
        <v>10000</v>
      </c>
      <c r="AH722">
        <v>1</v>
      </c>
      <c r="AI722">
        <v>1</v>
      </c>
      <c r="AJ722" t="s">
        <v>76</v>
      </c>
      <c r="AK722" t="s">
        <v>176</v>
      </c>
      <c r="AL722">
        <v>0</v>
      </c>
      <c r="AM722" t="s">
        <v>176</v>
      </c>
      <c r="AN722">
        <v>0</v>
      </c>
    </row>
    <row r="723" spans="1:40" x14ac:dyDescent="0.15">
      <c r="A723" s="4" t="str">
        <f>HYPERLINK("https://ibp.a2mac1.com/costing(costing:projects/details/9760/process/12085503)","Process")</f>
        <v>Process</v>
      </c>
      <c r="B723" t="s">
        <v>5424</v>
      </c>
      <c r="C723">
        <v>12085503</v>
      </c>
      <c r="D723">
        <v>8416203</v>
      </c>
      <c r="E723">
        <v>14.153359999999999</v>
      </c>
      <c r="F723">
        <v>0</v>
      </c>
      <c r="G723">
        <v>0</v>
      </c>
      <c r="H723">
        <v>7.1616001600000007E-2</v>
      </c>
      <c r="I723" t="s">
        <v>176</v>
      </c>
      <c r="J723">
        <v>0.49536760000000002</v>
      </c>
      <c r="K723">
        <v>14.7203436016</v>
      </c>
      <c r="L723">
        <v>1.7189916933741001</v>
      </c>
      <c r="M723">
        <v>10.3139501602446</v>
      </c>
      <c r="N723">
        <v>25.034293761844602</v>
      </c>
      <c r="O723" t="s">
        <v>177</v>
      </c>
      <c r="P723">
        <v>0.883220616096</v>
      </c>
      <c r="Q723" t="s">
        <v>177</v>
      </c>
      <c r="R723">
        <v>0.61883700961467603</v>
      </c>
      <c r="S723" t="s">
        <v>178</v>
      </c>
      <c r="T723">
        <v>3.0041152514213518</v>
      </c>
      <c r="U723">
        <v>29.540466638976628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972</v>
      </c>
      <c r="AB723">
        <v>1</v>
      </c>
      <c r="AC723">
        <v>0.5</v>
      </c>
      <c r="AD723">
        <v>0.50345253019720215</v>
      </c>
      <c r="AE723">
        <v>10800</v>
      </c>
      <c r="AF723">
        <v>200000</v>
      </c>
      <c r="AG723">
        <v>16666.666666666668</v>
      </c>
      <c r="AH723">
        <v>1</v>
      </c>
      <c r="AI723">
        <v>1</v>
      </c>
      <c r="AJ723" t="s">
        <v>162</v>
      </c>
      <c r="AK723" t="s">
        <v>176</v>
      </c>
      <c r="AL723">
        <v>0</v>
      </c>
      <c r="AM723" t="s">
        <v>176</v>
      </c>
      <c r="AN723">
        <v>0</v>
      </c>
    </row>
    <row r="724" spans="1:40" x14ac:dyDescent="0.15">
      <c r="A724" s="4" t="str">
        <f>HYPERLINK("https://ibp.a2mac1.com/costing(costing:projects/details/9760/process/12085504)","Injection molding")</f>
        <v>Injection molding</v>
      </c>
      <c r="C724">
        <v>12085504</v>
      </c>
      <c r="D724">
        <v>8416204</v>
      </c>
      <c r="E724">
        <v>3.1301087999999998E-2</v>
      </c>
      <c r="F724">
        <v>0</v>
      </c>
      <c r="G724">
        <v>0</v>
      </c>
      <c r="H724">
        <v>1.5878045642105264E-4</v>
      </c>
      <c r="I724" t="s">
        <v>176</v>
      </c>
      <c r="J724">
        <v>1.0982837894736842E-3</v>
      </c>
      <c r="K724">
        <v>3.2558152245894735E-2</v>
      </c>
      <c r="L724">
        <v>3.0171767124431421E-4</v>
      </c>
      <c r="M724">
        <v>1.8103060274658853E-3</v>
      </c>
      <c r="N724">
        <v>3.4368458273360623E-2</v>
      </c>
      <c r="O724" t="s">
        <v>177</v>
      </c>
      <c r="P724">
        <v>1.953489134753684E-3</v>
      </c>
      <c r="Q724" t="s">
        <v>177</v>
      </c>
      <c r="R724">
        <v>1.0861836164795312E-4</v>
      </c>
      <c r="S724" t="s">
        <v>178</v>
      </c>
      <c r="T724">
        <v>4.1242149928032747E-3</v>
      </c>
      <c r="U724">
        <v>4.0554780762565537E-2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60</v>
      </c>
      <c r="AB724">
        <v>1</v>
      </c>
      <c r="AC724">
        <v>0.5</v>
      </c>
      <c r="AD724">
        <v>0.50345253019720215</v>
      </c>
      <c r="AE724">
        <v>17.55</v>
      </c>
      <c r="AF724">
        <v>200000</v>
      </c>
      <c r="AG724">
        <v>16666.666666666668</v>
      </c>
      <c r="AH724">
        <v>1</v>
      </c>
      <c r="AI724">
        <v>1</v>
      </c>
      <c r="AJ724" t="s">
        <v>162</v>
      </c>
      <c r="AK724" t="s">
        <v>176</v>
      </c>
      <c r="AL724">
        <v>0</v>
      </c>
      <c r="AM724" t="s">
        <v>176</v>
      </c>
      <c r="AN724">
        <v>0</v>
      </c>
    </row>
    <row r="725" spans="1:40" x14ac:dyDescent="0.15">
      <c r="A725" s="4" t="str">
        <f>HYPERLINK("https://ibp.a2mac1.com/costing(costing:projects/details/9760/process/12085505)","Injection molding")</f>
        <v>Injection molding</v>
      </c>
      <c r="B725" t="s">
        <v>5439</v>
      </c>
      <c r="C725">
        <v>12085505</v>
      </c>
      <c r="D725">
        <v>8416205</v>
      </c>
      <c r="E725">
        <v>0.14999578173195877</v>
      </c>
      <c r="F725">
        <v>0</v>
      </c>
      <c r="G725">
        <v>0</v>
      </c>
      <c r="H725">
        <v>1.5622995793814433E-4</v>
      </c>
      <c r="I725" t="s">
        <v>176</v>
      </c>
      <c r="J725">
        <v>5.257738969072165E-3</v>
      </c>
      <c r="K725">
        <v>0.15540975065896906</v>
      </c>
      <c r="L725">
        <v>5.5561688591553356E-3</v>
      </c>
      <c r="M725">
        <v>3.333701315493201E-2</v>
      </c>
      <c r="N725">
        <v>0.1887467638139011</v>
      </c>
      <c r="O725" t="s">
        <v>177</v>
      </c>
      <c r="P725">
        <v>9.3245850395381451E-3</v>
      </c>
      <c r="Q725" t="s">
        <v>177</v>
      </c>
      <c r="R725">
        <v>2.0002207892959208E-3</v>
      </c>
      <c r="S725" t="s">
        <v>178</v>
      </c>
      <c r="T725">
        <v>2.2649611657668132E-2</v>
      </c>
      <c r="U725">
        <v>0.22272118130040328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15.961650000000001</v>
      </c>
      <c r="AB725">
        <v>1</v>
      </c>
      <c r="AC725">
        <v>0.1</v>
      </c>
      <c r="AD725">
        <v>0.10389195236953569</v>
      </c>
      <c r="AE725">
        <v>7200</v>
      </c>
      <c r="AF725">
        <v>200000</v>
      </c>
      <c r="AG725">
        <v>16666.666666666668</v>
      </c>
      <c r="AH725">
        <v>1</v>
      </c>
      <c r="AI725">
        <v>1</v>
      </c>
      <c r="AJ725" t="s">
        <v>162</v>
      </c>
      <c r="AK725" t="s">
        <v>176</v>
      </c>
      <c r="AL725">
        <v>0</v>
      </c>
      <c r="AM725" t="s">
        <v>176</v>
      </c>
      <c r="AN725">
        <v>0</v>
      </c>
    </row>
    <row r="726" spans="1:40" x14ac:dyDescent="0.15">
      <c r="A726" s="4" t="str">
        <f>HYPERLINK("https://ibp.a2mac1.com/costing(costing:projects/details/9760/process/12085506)","Coiling + End forming")</f>
        <v>Coiling + End forming</v>
      </c>
      <c r="C726">
        <v>12085506</v>
      </c>
      <c r="D726">
        <v>8416207</v>
      </c>
      <c r="E726">
        <v>1.2225999999999999E-3</v>
      </c>
      <c r="F726">
        <v>0</v>
      </c>
      <c r="G726">
        <v>0</v>
      </c>
      <c r="H726">
        <v>2.518556E-6</v>
      </c>
      <c r="I726" t="s">
        <v>176</v>
      </c>
      <c r="J726">
        <v>4.2790999999999997E-5</v>
      </c>
      <c r="K726">
        <v>1.267909556E-3</v>
      </c>
      <c r="L726">
        <v>2.1977139272874653E-2</v>
      </c>
      <c r="M726">
        <v>0.1318628356372479</v>
      </c>
      <c r="N726">
        <v>0.13313074519324791</v>
      </c>
      <c r="O726" t="s">
        <v>177</v>
      </c>
      <c r="P726">
        <v>7.6074573359999998E-5</v>
      </c>
      <c r="Q726" t="s">
        <v>177</v>
      </c>
      <c r="R726">
        <v>7.9117701382348752E-3</v>
      </c>
      <c r="S726" t="s">
        <v>178</v>
      </c>
      <c r="T726">
        <v>1.5975689423189748E-2</v>
      </c>
      <c r="U726">
        <v>0.15709427932803252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30</v>
      </c>
      <c r="AB726">
        <v>1</v>
      </c>
      <c r="AC726">
        <v>0.1</v>
      </c>
      <c r="AD726">
        <v>0.20557651238448796</v>
      </c>
      <c r="AE726">
        <v>900</v>
      </c>
      <c r="AF726">
        <v>200000</v>
      </c>
      <c r="AG726">
        <v>16666.666666666668</v>
      </c>
      <c r="AH726">
        <v>1</v>
      </c>
      <c r="AI726">
        <v>1</v>
      </c>
      <c r="AJ726" t="s">
        <v>162</v>
      </c>
      <c r="AK726" t="s">
        <v>176</v>
      </c>
      <c r="AL726">
        <v>0</v>
      </c>
      <c r="AM726" t="s">
        <v>176</v>
      </c>
      <c r="AN726">
        <v>0</v>
      </c>
    </row>
    <row r="727" spans="1:40" x14ac:dyDescent="0.15">
      <c r="A727" s="4" t="str">
        <f>HYPERLINK("https://ibp.a2mac1.com/costing(costing:projects/details/9760/process/12085507)","Heat treatment")</f>
        <v>Heat treatment</v>
      </c>
      <c r="C727">
        <v>12085507</v>
      </c>
      <c r="D727">
        <v>8416207</v>
      </c>
      <c r="E727">
        <v>0</v>
      </c>
      <c r="F727">
        <v>0</v>
      </c>
      <c r="G727">
        <v>0</v>
      </c>
      <c r="H727">
        <v>0</v>
      </c>
      <c r="I727" t="s">
        <v>176</v>
      </c>
      <c r="J727">
        <v>0</v>
      </c>
      <c r="K727">
        <v>0</v>
      </c>
      <c r="L727">
        <v>1.9147638098182394E-2</v>
      </c>
      <c r="M727">
        <v>0.11488582858909437</v>
      </c>
      <c r="N727">
        <v>0.11488582858909437</v>
      </c>
      <c r="O727" t="s">
        <v>177</v>
      </c>
      <c r="P727">
        <v>0</v>
      </c>
      <c r="Q727" t="s">
        <v>177</v>
      </c>
      <c r="R727">
        <v>6.8931497153456624E-3</v>
      </c>
      <c r="S727" t="s">
        <v>178</v>
      </c>
      <c r="T727">
        <v>1.3786299430691325E-2</v>
      </c>
      <c r="U727">
        <v>0.13556527773513136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3600</v>
      </c>
      <c r="AB727">
        <v>200</v>
      </c>
      <c r="AC727">
        <v>0.1</v>
      </c>
      <c r="AD727">
        <v>0.10389195236953569</v>
      </c>
      <c r="AE727">
        <v>1800</v>
      </c>
      <c r="AF727">
        <v>200000</v>
      </c>
      <c r="AG727">
        <v>16666.666666666668</v>
      </c>
      <c r="AH727">
        <v>1</v>
      </c>
      <c r="AI727">
        <v>1</v>
      </c>
      <c r="AJ727" t="s">
        <v>162</v>
      </c>
      <c r="AK727" t="s">
        <v>176</v>
      </c>
      <c r="AL727">
        <v>0</v>
      </c>
      <c r="AM727" t="s">
        <v>176</v>
      </c>
      <c r="AN727">
        <v>0</v>
      </c>
    </row>
    <row r="728" spans="1:40" x14ac:dyDescent="0.15">
      <c r="A728" s="4" t="str">
        <f>HYPERLINK("https://ibp.a2mac1.com/costing(costing:projects/details/9760/process/12085508)","Injection molding")</f>
        <v>Injection molding</v>
      </c>
      <c r="B728" t="s">
        <v>5456</v>
      </c>
      <c r="C728">
        <v>12085508</v>
      </c>
      <c r="D728">
        <v>8416209</v>
      </c>
      <c r="E728">
        <v>0.14999578173195877</v>
      </c>
      <c r="F728">
        <v>0</v>
      </c>
      <c r="G728">
        <v>0</v>
      </c>
      <c r="H728">
        <v>1.5622995793814433E-4</v>
      </c>
      <c r="I728" t="s">
        <v>176</v>
      </c>
      <c r="J728">
        <v>5.257738969072165E-3</v>
      </c>
      <c r="K728">
        <v>0.15540975065896906</v>
      </c>
      <c r="L728">
        <v>4.4634349952700726E-3</v>
      </c>
      <c r="M728">
        <v>2.6780609971620437E-2</v>
      </c>
      <c r="N728">
        <v>0.18219036063058952</v>
      </c>
      <c r="O728" t="s">
        <v>177</v>
      </c>
      <c r="P728">
        <v>9.3245850395381451E-3</v>
      </c>
      <c r="Q728" t="s">
        <v>177</v>
      </c>
      <c r="R728">
        <v>1.6068365982972262E-3</v>
      </c>
      <c r="S728" t="s">
        <v>178</v>
      </c>
      <c r="T728">
        <v>2.186284327567074E-2</v>
      </c>
      <c r="U728">
        <v>0.21498462554409561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12.36265</v>
      </c>
      <c r="AB728">
        <v>1</v>
      </c>
      <c r="AC728">
        <v>0.1</v>
      </c>
      <c r="AD728">
        <v>0.10389195236953569</v>
      </c>
      <c r="AE728">
        <v>7200</v>
      </c>
      <c r="AF728">
        <v>200000</v>
      </c>
      <c r="AG728">
        <v>16666.666666666668</v>
      </c>
      <c r="AH728">
        <v>1</v>
      </c>
      <c r="AI728">
        <v>1</v>
      </c>
      <c r="AJ728" t="s">
        <v>162</v>
      </c>
      <c r="AK728" t="s">
        <v>176</v>
      </c>
      <c r="AL728">
        <v>0</v>
      </c>
      <c r="AM728" t="s">
        <v>176</v>
      </c>
      <c r="AN728">
        <v>0</v>
      </c>
    </row>
    <row r="729" spans="1:40" x14ac:dyDescent="0.15">
      <c r="A729" s="4" t="str">
        <f>HYPERLINK("https://ibp.a2mac1.com/costing(costing:projects/details/9760/process/12085509)","Injection molding")</f>
        <v>Injection molding</v>
      </c>
      <c r="B729" t="s">
        <v>5463</v>
      </c>
      <c r="C729">
        <v>12085509</v>
      </c>
      <c r="D729">
        <v>8416210</v>
      </c>
      <c r="E729">
        <v>0.61762968948453612</v>
      </c>
      <c r="F729">
        <v>0</v>
      </c>
      <c r="G729">
        <v>0</v>
      </c>
      <c r="H729">
        <v>6.4329982680412371E-4</v>
      </c>
      <c r="I729" t="s">
        <v>176</v>
      </c>
      <c r="J729">
        <v>2.1649513402061855E-2</v>
      </c>
      <c r="K729">
        <v>0.63992250271340201</v>
      </c>
      <c r="L729">
        <v>2.9674841040629066E-2</v>
      </c>
      <c r="M729">
        <v>0.17804904624377441</v>
      </c>
      <c r="N729">
        <v>0.8179715489571765</v>
      </c>
      <c r="O729" t="s">
        <v>177</v>
      </c>
      <c r="P729">
        <v>3.8395350162804126E-2</v>
      </c>
      <c r="Q729" t="s">
        <v>177</v>
      </c>
      <c r="R729">
        <v>1.0682942774626464E-2</v>
      </c>
      <c r="S729" t="s">
        <v>178</v>
      </c>
      <c r="T729">
        <v>9.8156585874861174E-2</v>
      </c>
      <c r="U729">
        <v>0.96520642776946819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48.01887</v>
      </c>
      <c r="AB729">
        <v>1</v>
      </c>
      <c r="AC729">
        <v>0.1</v>
      </c>
      <c r="AD729">
        <v>0.10389195236953569</v>
      </c>
      <c r="AE729">
        <v>7200</v>
      </c>
      <c r="AF729">
        <v>200000</v>
      </c>
      <c r="AG729">
        <v>16666.666666666668</v>
      </c>
      <c r="AH729">
        <v>1</v>
      </c>
      <c r="AI729">
        <v>1</v>
      </c>
      <c r="AJ729" t="s">
        <v>162</v>
      </c>
      <c r="AK729" t="s">
        <v>176</v>
      </c>
      <c r="AL729">
        <v>0</v>
      </c>
      <c r="AM729" t="s">
        <v>176</v>
      </c>
      <c r="AN729">
        <v>0</v>
      </c>
    </row>
    <row r="730" spans="1:40" x14ac:dyDescent="0.15">
      <c r="A730" s="4" t="str">
        <f>HYPERLINK("https://ibp.a2mac1.com/costing(costing:projects/details/9760/process/12085510)","Injection molding")</f>
        <v>Injection molding</v>
      </c>
      <c r="B730" t="s">
        <v>5468</v>
      </c>
      <c r="C730">
        <v>12085510</v>
      </c>
      <c r="D730">
        <v>8416211</v>
      </c>
      <c r="E730">
        <v>6.7411359922680408E-2</v>
      </c>
      <c r="F730">
        <v>0</v>
      </c>
      <c r="G730">
        <v>0</v>
      </c>
      <c r="H730">
        <v>7.5479119072164951E-4</v>
      </c>
      <c r="I730" t="s">
        <v>176</v>
      </c>
      <c r="J730">
        <v>2.3629420103092784E-3</v>
      </c>
      <c r="K730">
        <v>7.0529093123711334E-2</v>
      </c>
      <c r="L730">
        <v>8.2371225031320286E-3</v>
      </c>
      <c r="M730">
        <v>4.9422735018792172E-2</v>
      </c>
      <c r="N730">
        <v>0.11995182814250352</v>
      </c>
      <c r="O730" t="s">
        <v>177</v>
      </c>
      <c r="P730">
        <v>4.2317455874226802E-3</v>
      </c>
      <c r="Q730" t="s">
        <v>177</v>
      </c>
      <c r="R730">
        <v>2.9653641011275302E-3</v>
      </c>
      <c r="S730" t="s">
        <v>178</v>
      </c>
      <c r="T730">
        <v>1.4394219377100422E-2</v>
      </c>
      <c r="U730">
        <v>0.14154315720815414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20.623080000000002</v>
      </c>
      <c r="AB730">
        <v>1</v>
      </c>
      <c r="AC730">
        <v>0.1</v>
      </c>
      <c r="AD730">
        <v>1.1056389564667022</v>
      </c>
      <c r="AE730">
        <v>7200</v>
      </c>
      <c r="AF730">
        <v>200000</v>
      </c>
      <c r="AG730">
        <v>16666.666666666668</v>
      </c>
      <c r="AH730">
        <v>1</v>
      </c>
      <c r="AI730">
        <v>1</v>
      </c>
      <c r="AJ730" t="s">
        <v>162</v>
      </c>
      <c r="AK730" t="s">
        <v>176</v>
      </c>
      <c r="AL730">
        <v>0</v>
      </c>
      <c r="AM730" t="s">
        <v>176</v>
      </c>
      <c r="AN730">
        <v>0</v>
      </c>
    </row>
    <row r="731" spans="1:40" x14ac:dyDescent="0.15">
      <c r="A731" s="4" t="str">
        <f>HYPERLINK("https://ibp.a2mac1.com/costing(costing:projects/details/9760/process/12085511)","Painting")</f>
        <v>Painting</v>
      </c>
      <c r="C731">
        <v>12085511</v>
      </c>
      <c r="D731">
        <v>8416211</v>
      </c>
      <c r="E731">
        <v>0.1404061245972073</v>
      </c>
      <c r="F731">
        <v>0</v>
      </c>
      <c r="G731">
        <v>0</v>
      </c>
      <c r="H731">
        <v>1.4265262259076262E-3</v>
      </c>
      <c r="I731" t="s">
        <v>176</v>
      </c>
      <c r="J731">
        <v>4.9142143609022552E-3</v>
      </c>
      <c r="K731">
        <v>0.14674686518401719</v>
      </c>
      <c r="L731">
        <v>9.9798658116649411E-2</v>
      </c>
      <c r="M731">
        <v>0.59879194869989649</v>
      </c>
      <c r="N731">
        <v>0.74553881388391363</v>
      </c>
      <c r="O731" t="s">
        <v>177</v>
      </c>
      <c r="P731">
        <v>8.8048119110410317E-3</v>
      </c>
      <c r="Q731" t="s">
        <v>177</v>
      </c>
      <c r="R731">
        <v>3.5927516921993786E-2</v>
      </c>
      <c r="S731" t="s">
        <v>178</v>
      </c>
      <c r="T731">
        <v>8.9464657666069633E-2</v>
      </c>
      <c r="U731">
        <v>0.87973580038301813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2.7</v>
      </c>
      <c r="AB731">
        <v>1</v>
      </c>
      <c r="AC731">
        <v>1</v>
      </c>
      <c r="AD731">
        <v>1.0057812623742775</v>
      </c>
      <c r="AE731">
        <v>0</v>
      </c>
      <c r="AF731">
        <v>200000</v>
      </c>
      <c r="AG731">
        <v>16666.666666666668</v>
      </c>
      <c r="AH731">
        <v>1</v>
      </c>
      <c r="AI731">
        <v>1</v>
      </c>
      <c r="AJ731" t="s">
        <v>162</v>
      </c>
      <c r="AK731" t="s">
        <v>176</v>
      </c>
      <c r="AL731">
        <v>0</v>
      </c>
      <c r="AM731" t="s">
        <v>176</v>
      </c>
      <c r="AN731">
        <v>0</v>
      </c>
    </row>
    <row r="732" spans="1:40" x14ac:dyDescent="0.15">
      <c r="A732" s="4" t="str">
        <f>HYPERLINK("https://ibp.a2mac1.com/costing(costing:projects/details/9760/process/12085513)","Injection molding")</f>
        <v>Injection molding</v>
      </c>
      <c r="C732">
        <v>12085513</v>
      </c>
      <c r="D732">
        <v>8416212</v>
      </c>
      <c r="E732">
        <v>0.1237709025</v>
      </c>
      <c r="F732">
        <v>0</v>
      </c>
      <c r="G732">
        <v>0</v>
      </c>
      <c r="H732">
        <v>1.8934776663157894E-3</v>
      </c>
      <c r="I732" t="s">
        <v>176</v>
      </c>
      <c r="J732">
        <v>4.3428386842105267E-3</v>
      </c>
      <c r="K732">
        <v>0.13000721885052632</v>
      </c>
      <c r="L732">
        <v>2.1102184692820868E-3</v>
      </c>
      <c r="M732">
        <v>1.2661310815692521E-2</v>
      </c>
      <c r="N732">
        <v>0.14266852966621885</v>
      </c>
      <c r="O732" t="s">
        <v>177</v>
      </c>
      <c r="P732">
        <v>7.8004331310315787E-3</v>
      </c>
      <c r="Q732" t="s">
        <v>177</v>
      </c>
      <c r="R732">
        <v>7.5967864894155128E-4</v>
      </c>
      <c r="S732" t="s">
        <v>178</v>
      </c>
      <c r="T732">
        <v>1.712022355994626E-2</v>
      </c>
      <c r="U732">
        <v>0.16834886500613822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60</v>
      </c>
      <c r="AB732">
        <v>1</v>
      </c>
      <c r="AC732">
        <v>0.5</v>
      </c>
      <c r="AD732">
        <v>1.5030632547327778</v>
      </c>
      <c r="AE732">
        <v>121.5</v>
      </c>
      <c r="AF732">
        <v>200000</v>
      </c>
      <c r="AG732">
        <v>16666.666666666668</v>
      </c>
      <c r="AH732">
        <v>1</v>
      </c>
      <c r="AI732">
        <v>1</v>
      </c>
      <c r="AJ732" t="s">
        <v>162</v>
      </c>
      <c r="AK732" t="s">
        <v>176</v>
      </c>
      <c r="AL732">
        <v>0</v>
      </c>
      <c r="AM732" t="s">
        <v>176</v>
      </c>
      <c r="AN732">
        <v>0</v>
      </c>
    </row>
    <row r="733" spans="1:40" x14ac:dyDescent="0.15">
      <c r="A733" s="4" t="str">
        <f>HYPERLINK("https://ibp.a2mac1.com/costing(costing:projects/details/9760/process/12085512)","Painting")</f>
        <v>Painting</v>
      </c>
      <c r="C733">
        <v>12085512</v>
      </c>
      <c r="D733">
        <v>8416212</v>
      </c>
      <c r="E733">
        <v>0.1404061245972073</v>
      </c>
      <c r="F733">
        <v>0</v>
      </c>
      <c r="G733">
        <v>0</v>
      </c>
      <c r="H733">
        <v>1.4265262259076262E-3</v>
      </c>
      <c r="I733" t="s">
        <v>176</v>
      </c>
      <c r="J733">
        <v>4.9142143609022552E-3</v>
      </c>
      <c r="K733">
        <v>0.14674686518401719</v>
      </c>
      <c r="L733">
        <v>9.9798658116649411E-2</v>
      </c>
      <c r="M733">
        <v>0.59879194869989649</v>
      </c>
      <c r="N733">
        <v>0.74553881388391363</v>
      </c>
      <c r="O733" t="s">
        <v>177</v>
      </c>
      <c r="P733">
        <v>8.8048119110410317E-3</v>
      </c>
      <c r="Q733" t="s">
        <v>177</v>
      </c>
      <c r="R733">
        <v>3.5927516921993786E-2</v>
      </c>
      <c r="S733" t="s">
        <v>178</v>
      </c>
      <c r="T733">
        <v>8.9464657666069633E-2</v>
      </c>
      <c r="U733">
        <v>0.87973580038301813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2.7</v>
      </c>
      <c r="AB733">
        <v>1</v>
      </c>
      <c r="AC733">
        <v>1</v>
      </c>
      <c r="AD733">
        <v>1.0057812623742775</v>
      </c>
      <c r="AE733">
        <v>0</v>
      </c>
      <c r="AF733">
        <v>200000</v>
      </c>
      <c r="AG733">
        <v>16666.666666666668</v>
      </c>
      <c r="AH733">
        <v>1</v>
      </c>
      <c r="AI733">
        <v>1</v>
      </c>
      <c r="AJ733" t="s">
        <v>162</v>
      </c>
      <c r="AK733" t="s">
        <v>176</v>
      </c>
      <c r="AL733">
        <v>0</v>
      </c>
      <c r="AM733" t="s">
        <v>176</v>
      </c>
      <c r="AN733">
        <v>0</v>
      </c>
    </row>
    <row r="734" spans="1:40" x14ac:dyDescent="0.15">
      <c r="A734" s="4" t="str">
        <f>HYPERLINK("https://ibp.a2mac1.com/costing(costing:projects/details/9760/process/12085514)","Injection molding ")</f>
        <v xml:space="preserve">Injection molding </v>
      </c>
      <c r="B734" t="s">
        <v>5483</v>
      </c>
      <c r="C734">
        <v>12085514</v>
      </c>
      <c r="D734">
        <v>8416215</v>
      </c>
      <c r="E734">
        <v>5.6251825402061854E-2</v>
      </c>
      <c r="F734">
        <v>0</v>
      </c>
      <c r="G734">
        <v>0</v>
      </c>
      <c r="H734">
        <v>5.8589783092783507E-5</v>
      </c>
      <c r="I734" t="s">
        <v>176</v>
      </c>
      <c r="J734">
        <v>1.9717715463917528E-3</v>
      </c>
      <c r="K734">
        <v>5.8282186731546393E-2</v>
      </c>
      <c r="L734">
        <v>8.4544306208829603E-3</v>
      </c>
      <c r="M734">
        <v>5.0726583725297758E-2</v>
      </c>
      <c r="N734">
        <v>0.10900877045684415</v>
      </c>
      <c r="O734" t="s">
        <v>177</v>
      </c>
      <c r="P734">
        <v>3.4969312038927833E-3</v>
      </c>
      <c r="Q734" t="s">
        <v>177</v>
      </c>
      <c r="R734">
        <v>3.0435950235178652E-3</v>
      </c>
      <c r="S734" t="s">
        <v>178</v>
      </c>
      <c r="T734">
        <v>1.3081052454821298E-2</v>
      </c>
      <c r="U734">
        <v>0.12863034913907609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25.507290000000001</v>
      </c>
      <c r="AB734">
        <v>1</v>
      </c>
      <c r="AC734">
        <v>0.1</v>
      </c>
      <c r="AD734">
        <v>0.10389195236953569</v>
      </c>
      <c r="AE734">
        <v>7200</v>
      </c>
      <c r="AF734">
        <v>200000</v>
      </c>
      <c r="AG734">
        <v>16666.666666666668</v>
      </c>
      <c r="AH734">
        <v>1</v>
      </c>
      <c r="AI734">
        <v>1</v>
      </c>
      <c r="AJ734" t="s">
        <v>162</v>
      </c>
      <c r="AK734" t="s">
        <v>176</v>
      </c>
      <c r="AL734">
        <v>0</v>
      </c>
      <c r="AM734" t="s">
        <v>176</v>
      </c>
      <c r="AN734">
        <v>0</v>
      </c>
    </row>
    <row r="735" spans="1:40" x14ac:dyDescent="0.15">
      <c r="A735" s="4" t="str">
        <f>HYPERLINK("https://ibp.a2mac1.com/costing(costing:projects/details/9760/process/12085217)","Stamping ")</f>
        <v xml:space="preserve">Stamping </v>
      </c>
      <c r="B735" t="s">
        <v>5493</v>
      </c>
      <c r="C735">
        <v>12085217</v>
      </c>
      <c r="D735">
        <v>8415850</v>
      </c>
      <c r="E735">
        <v>7.4700859999999994E-2</v>
      </c>
      <c r="F735">
        <v>0</v>
      </c>
      <c r="G735">
        <v>0</v>
      </c>
      <c r="H735">
        <v>5.8283088571428566E-4</v>
      </c>
      <c r="I735" t="s">
        <v>176</v>
      </c>
      <c r="J735">
        <v>2.8731099999999999E-3</v>
      </c>
      <c r="K735">
        <v>7.8156800885714292E-2</v>
      </c>
      <c r="L735">
        <v>1.804864171295764E-4</v>
      </c>
      <c r="M735">
        <v>1.0829185027774583E-3</v>
      </c>
      <c r="N735">
        <v>7.9239719388491739E-2</v>
      </c>
      <c r="O735" t="s">
        <v>177</v>
      </c>
      <c r="P735">
        <v>4.6894080531428572E-3</v>
      </c>
      <c r="Q735" t="s">
        <v>177</v>
      </c>
      <c r="R735">
        <v>6.49751101666475E-5</v>
      </c>
      <c r="S735" t="s">
        <v>178</v>
      </c>
      <c r="T735">
        <v>9.5087663266190097E-3</v>
      </c>
      <c r="U735">
        <v>9.3502868878420256E-2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5</v>
      </c>
      <c r="AB735">
        <v>2</v>
      </c>
      <c r="AC735">
        <v>0.5</v>
      </c>
      <c r="AD735">
        <v>0.70499453877469964</v>
      </c>
      <c r="AE735">
        <v>1800</v>
      </c>
      <c r="AF735">
        <v>200000</v>
      </c>
      <c r="AG735">
        <v>16666.666666666668</v>
      </c>
      <c r="AH735">
        <v>1</v>
      </c>
      <c r="AI735">
        <v>1</v>
      </c>
      <c r="AJ735" t="s">
        <v>162</v>
      </c>
      <c r="AK735" t="s">
        <v>176</v>
      </c>
      <c r="AL735">
        <v>0</v>
      </c>
      <c r="AM735" t="s">
        <v>176</v>
      </c>
      <c r="AN735">
        <v>0</v>
      </c>
    </row>
    <row r="736" spans="1:40" x14ac:dyDescent="0.15">
      <c r="A736" s="4" t="str">
        <f>HYPERLINK("https://ibp.a2mac1.com/costing(costing:projects/details/9760/process/12085218)","Wire Bending")</f>
        <v>Wire Bending</v>
      </c>
      <c r="C736">
        <v>12085218</v>
      </c>
      <c r="D736">
        <v>8415850</v>
      </c>
      <c r="E736">
        <v>0</v>
      </c>
      <c r="F736">
        <v>0</v>
      </c>
      <c r="G736">
        <v>0</v>
      </c>
      <c r="H736">
        <v>0</v>
      </c>
      <c r="I736" t="s">
        <v>176</v>
      </c>
      <c r="J736">
        <v>0</v>
      </c>
      <c r="K736">
        <v>0</v>
      </c>
      <c r="L736">
        <v>3.6698564783128945E-3</v>
      </c>
      <c r="M736">
        <v>2.2019138869877369E-2</v>
      </c>
      <c r="N736">
        <v>2.2019138869877369E-2</v>
      </c>
      <c r="O736" t="s">
        <v>177</v>
      </c>
      <c r="P736">
        <v>0</v>
      </c>
      <c r="Q736" t="s">
        <v>177</v>
      </c>
      <c r="R736">
        <v>1.321148332192642E-3</v>
      </c>
      <c r="S736" t="s">
        <v>178</v>
      </c>
      <c r="T736">
        <v>2.6422966643852839E-3</v>
      </c>
      <c r="U736">
        <v>2.5982583866455293E-2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5</v>
      </c>
      <c r="AB736">
        <v>1</v>
      </c>
      <c r="AC736">
        <v>0.1</v>
      </c>
      <c r="AD736">
        <v>0.20557651238448796</v>
      </c>
      <c r="AE736">
        <v>3600</v>
      </c>
      <c r="AF736">
        <v>200000</v>
      </c>
      <c r="AG736">
        <v>16666.666666666668</v>
      </c>
      <c r="AH736">
        <v>1</v>
      </c>
      <c r="AI736">
        <v>1</v>
      </c>
      <c r="AJ736" t="s">
        <v>162</v>
      </c>
      <c r="AK736" t="s">
        <v>176</v>
      </c>
      <c r="AL736">
        <v>0</v>
      </c>
      <c r="AM736" t="s">
        <v>176</v>
      </c>
      <c r="AN736">
        <v>0</v>
      </c>
    </row>
    <row r="737" spans="1:40" x14ac:dyDescent="0.15">
      <c r="A737" s="4" t="str">
        <f>HYPERLINK("https://ibp.a2mac1.com/costing(costing:projects/details/9760/process/12085216)","Press fit")</f>
        <v>Press fit</v>
      </c>
      <c r="C737">
        <v>12085216</v>
      </c>
      <c r="D737">
        <v>8415850</v>
      </c>
      <c r="E737">
        <v>0</v>
      </c>
      <c r="F737">
        <v>0</v>
      </c>
      <c r="G737">
        <v>0</v>
      </c>
      <c r="H737">
        <v>0</v>
      </c>
      <c r="I737" t="s">
        <v>176</v>
      </c>
      <c r="J737">
        <v>0</v>
      </c>
      <c r="K737">
        <v>0</v>
      </c>
      <c r="L737">
        <v>6.1912616210148697E-3</v>
      </c>
      <c r="M737">
        <v>3.7147569726089222E-2</v>
      </c>
      <c r="N737">
        <v>3.7147569726089222E-2</v>
      </c>
      <c r="O737" t="s">
        <v>177</v>
      </c>
      <c r="P737">
        <v>0</v>
      </c>
      <c r="Q737" t="s">
        <v>177</v>
      </c>
      <c r="R737">
        <v>2.2288541835653532E-3</v>
      </c>
      <c r="S737" t="s">
        <v>178</v>
      </c>
      <c r="T737">
        <v>4.4577083671307064E-3</v>
      </c>
      <c r="U737">
        <v>4.383413227678528E-2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15</v>
      </c>
      <c r="AB737">
        <v>1</v>
      </c>
      <c r="AC737">
        <v>0.1</v>
      </c>
      <c r="AD737">
        <v>0.10389195236953569</v>
      </c>
      <c r="AE737">
        <v>180</v>
      </c>
      <c r="AF737">
        <v>200000</v>
      </c>
      <c r="AG737">
        <v>16666.666666666668</v>
      </c>
      <c r="AH737">
        <v>1</v>
      </c>
      <c r="AI737">
        <v>1</v>
      </c>
      <c r="AJ737" t="s">
        <v>162</v>
      </c>
      <c r="AK737" t="s">
        <v>176</v>
      </c>
      <c r="AL737">
        <v>0</v>
      </c>
      <c r="AM737" t="s">
        <v>176</v>
      </c>
      <c r="AN737">
        <v>0</v>
      </c>
    </row>
    <row r="738" spans="1:40" x14ac:dyDescent="0.15">
      <c r="A738" s="4" t="str">
        <f>HYPERLINK("https://ibp.a2mac1.com/costing(costing:projects/details/9760/process/12085219)","Injection molding")</f>
        <v>Injection molding</v>
      </c>
      <c r="C738">
        <v>12085219</v>
      </c>
      <c r="D738">
        <v>8415851</v>
      </c>
      <c r="E738">
        <v>3.7578659999999999E-3</v>
      </c>
      <c r="F738">
        <v>0</v>
      </c>
      <c r="G738">
        <v>0</v>
      </c>
      <c r="H738">
        <v>1.9062458105263157E-5</v>
      </c>
      <c r="I738" t="s">
        <v>176</v>
      </c>
      <c r="J738">
        <v>1.3185494736842106E-4</v>
      </c>
      <c r="K738">
        <v>3.908783405473684E-3</v>
      </c>
      <c r="L738">
        <v>9.2835151385610077E-5</v>
      </c>
      <c r="M738">
        <v>5.5701090831366043E-4</v>
      </c>
      <c r="N738">
        <v>4.4657943137873446E-3</v>
      </c>
      <c r="O738" t="s">
        <v>177</v>
      </c>
      <c r="P738">
        <v>2.3452700432842106E-4</v>
      </c>
      <c r="Q738" t="s">
        <v>177</v>
      </c>
      <c r="R738">
        <v>3.3420654498819631E-5</v>
      </c>
      <c r="S738" t="s">
        <v>178</v>
      </c>
      <c r="T738">
        <v>5.3589531765448138E-4</v>
      </c>
      <c r="U738">
        <v>5.2696372902690664E-3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60</v>
      </c>
      <c r="AB738">
        <v>1</v>
      </c>
      <c r="AC738">
        <v>0.5</v>
      </c>
      <c r="AD738">
        <v>0.50345253019720215</v>
      </c>
      <c r="AE738">
        <v>5.4</v>
      </c>
      <c r="AF738">
        <v>200000</v>
      </c>
      <c r="AG738">
        <v>16666.666666666668</v>
      </c>
      <c r="AH738">
        <v>1</v>
      </c>
      <c r="AI738">
        <v>1</v>
      </c>
      <c r="AJ738" t="s">
        <v>162</v>
      </c>
      <c r="AK738" t="s">
        <v>176</v>
      </c>
      <c r="AL738">
        <v>0</v>
      </c>
      <c r="AM738" t="s">
        <v>176</v>
      </c>
      <c r="AN738">
        <v>0</v>
      </c>
    </row>
    <row r="739" spans="1:40" x14ac:dyDescent="0.15">
      <c r="A739" s="4" t="str">
        <f>HYPERLINK("https://ibp.a2mac1.com/costing(costing:projects/details/9760/process/12085088)","Assembly")</f>
        <v>Assembly</v>
      </c>
      <c r="C739">
        <v>12085088</v>
      </c>
      <c r="D739">
        <v>8415631</v>
      </c>
      <c r="E739">
        <v>0</v>
      </c>
      <c r="F739">
        <v>0</v>
      </c>
      <c r="G739">
        <v>0</v>
      </c>
      <c r="H739">
        <v>0</v>
      </c>
      <c r="I739" t="s">
        <v>90</v>
      </c>
      <c r="J739">
        <v>0</v>
      </c>
      <c r="K739">
        <v>0</v>
      </c>
      <c r="L739">
        <v>0</v>
      </c>
      <c r="M739">
        <v>0.21945668007767058</v>
      </c>
      <c r="N739">
        <v>0.21945668007767058</v>
      </c>
      <c r="O739" t="s">
        <v>90</v>
      </c>
      <c r="P739">
        <v>0</v>
      </c>
      <c r="Q739" t="s">
        <v>90</v>
      </c>
      <c r="R739">
        <v>0</v>
      </c>
      <c r="S739" t="s">
        <v>90</v>
      </c>
      <c r="T739">
        <v>0</v>
      </c>
      <c r="U739">
        <v>0.21945668007767058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150</v>
      </c>
      <c r="AB739">
        <v>1</v>
      </c>
      <c r="AC739">
        <v>0.1</v>
      </c>
      <c r="AD739">
        <v>0.10987913295375087</v>
      </c>
      <c r="AE739">
        <v>600</v>
      </c>
      <c r="AF739">
        <v>200000</v>
      </c>
      <c r="AG739">
        <v>10000</v>
      </c>
      <c r="AH739">
        <v>1</v>
      </c>
      <c r="AI739">
        <v>1</v>
      </c>
      <c r="AJ739" t="s">
        <v>76</v>
      </c>
      <c r="AK739" t="s">
        <v>90</v>
      </c>
      <c r="AL739">
        <v>0</v>
      </c>
      <c r="AM739" t="s">
        <v>90</v>
      </c>
      <c r="AN739">
        <v>0</v>
      </c>
    </row>
    <row r="740" spans="1:40" x14ac:dyDescent="0.15">
      <c r="A740" s="4" t="str">
        <f>HYPERLINK("https://ibp.a2mac1.com/costing(costing:projects/details/9760/process/12085086)","Thermocompression")</f>
        <v>Thermocompression</v>
      </c>
      <c r="C740">
        <v>12085086</v>
      </c>
      <c r="D740">
        <v>8415619</v>
      </c>
      <c r="E740">
        <v>0.13214344375000001</v>
      </c>
      <c r="F740">
        <v>0</v>
      </c>
      <c r="G740">
        <v>0</v>
      </c>
      <c r="H740">
        <v>2.772051875E-4</v>
      </c>
      <c r="I740" t="s">
        <v>176</v>
      </c>
      <c r="J740">
        <v>4.709796875E-3</v>
      </c>
      <c r="K740">
        <v>0.1371304458125</v>
      </c>
      <c r="L740">
        <v>2.5741114367713785E-2</v>
      </c>
      <c r="M740">
        <v>0.15444668620628271</v>
      </c>
      <c r="N740">
        <v>0.29157713201878271</v>
      </c>
      <c r="O740" t="s">
        <v>177</v>
      </c>
      <c r="P740">
        <v>8.2278267487500001E-3</v>
      </c>
      <c r="Q740" t="s">
        <v>177</v>
      </c>
      <c r="R740">
        <v>9.2668011723769615E-3</v>
      </c>
      <c r="S740" t="s">
        <v>178</v>
      </c>
      <c r="T740">
        <v>3.4989255842253923E-2</v>
      </c>
      <c r="U740">
        <v>0.34406101578216358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20</v>
      </c>
      <c r="AB740">
        <v>1</v>
      </c>
      <c r="AC740">
        <v>0.1</v>
      </c>
      <c r="AD740">
        <v>0.20557651238448796</v>
      </c>
      <c r="AE740">
        <v>1800</v>
      </c>
      <c r="AF740">
        <v>200000</v>
      </c>
      <c r="AG740">
        <v>16666.666666666668</v>
      </c>
      <c r="AH740">
        <v>1</v>
      </c>
      <c r="AI740">
        <v>1</v>
      </c>
      <c r="AJ740" t="s">
        <v>162</v>
      </c>
      <c r="AK740" t="s">
        <v>176</v>
      </c>
      <c r="AL740">
        <v>0</v>
      </c>
      <c r="AM740" t="s">
        <v>176</v>
      </c>
      <c r="AN740">
        <v>0</v>
      </c>
    </row>
    <row r="741" spans="1:40" x14ac:dyDescent="0.15">
      <c r="A741" s="4" t="str">
        <f>HYPERLINK("https://ibp.a2mac1.com/costing(costing:projects/details/9760/process/12085087)","Placement sheet")</f>
        <v>Placement sheet</v>
      </c>
      <c r="C741">
        <v>12085087</v>
      </c>
      <c r="D741">
        <v>8415619</v>
      </c>
      <c r="E741">
        <v>0</v>
      </c>
      <c r="F741">
        <v>0</v>
      </c>
      <c r="G741">
        <v>0</v>
      </c>
      <c r="H741">
        <v>0</v>
      </c>
      <c r="I741" t="s">
        <v>176</v>
      </c>
      <c r="J741">
        <v>0</v>
      </c>
      <c r="K741">
        <v>0</v>
      </c>
      <c r="L741">
        <v>1.1081676585198606E-3</v>
      </c>
      <c r="M741">
        <v>6.6490059511191638E-3</v>
      </c>
      <c r="N741">
        <v>6.6490059511191638E-3</v>
      </c>
      <c r="O741" t="s">
        <v>177</v>
      </c>
      <c r="P741">
        <v>0</v>
      </c>
      <c r="Q741" t="s">
        <v>177</v>
      </c>
      <c r="R741">
        <v>3.989403570671498E-4</v>
      </c>
      <c r="S741" t="s">
        <v>178</v>
      </c>
      <c r="T741">
        <v>7.978807141342996E-4</v>
      </c>
      <c r="U741">
        <v>7.8458270223206138E-3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5</v>
      </c>
      <c r="AB741">
        <v>1</v>
      </c>
      <c r="AC741">
        <v>0.1</v>
      </c>
      <c r="AD741">
        <v>0.10389195236953569</v>
      </c>
      <c r="AE741">
        <v>3600</v>
      </c>
      <c r="AF741">
        <v>200000</v>
      </c>
      <c r="AG741">
        <v>16666.666666666668</v>
      </c>
      <c r="AH741">
        <v>1</v>
      </c>
      <c r="AI741">
        <v>1</v>
      </c>
      <c r="AJ741" t="s">
        <v>162</v>
      </c>
      <c r="AK741" t="s">
        <v>176</v>
      </c>
      <c r="AL741">
        <v>0</v>
      </c>
      <c r="AM741" t="s">
        <v>176</v>
      </c>
      <c r="AN741">
        <v>0</v>
      </c>
    </row>
    <row r="742" spans="1:40" x14ac:dyDescent="0.15">
      <c r="A742" s="4" t="str">
        <f>HYPERLINK("https://ibp.a2mac1.com/costing(costing:projects/details/9760/process/12085061)","Assembly")</f>
        <v>Assembly</v>
      </c>
      <c r="C742">
        <v>12085061</v>
      </c>
      <c r="D742">
        <v>8415582</v>
      </c>
      <c r="E742">
        <v>0</v>
      </c>
      <c r="F742">
        <v>0</v>
      </c>
      <c r="G742">
        <v>0</v>
      </c>
      <c r="H742">
        <v>0</v>
      </c>
      <c r="I742" t="s">
        <v>90</v>
      </c>
      <c r="J742">
        <v>0</v>
      </c>
      <c r="K742">
        <v>0</v>
      </c>
      <c r="L742">
        <v>0</v>
      </c>
      <c r="M742">
        <v>0.6579133898279117</v>
      </c>
      <c r="N742">
        <v>0.6579133898279117</v>
      </c>
      <c r="O742" t="s">
        <v>90</v>
      </c>
      <c r="P742">
        <v>0</v>
      </c>
      <c r="Q742" t="s">
        <v>90</v>
      </c>
      <c r="R742">
        <v>0</v>
      </c>
      <c r="S742" t="s">
        <v>90</v>
      </c>
      <c r="T742">
        <v>0</v>
      </c>
      <c r="U742">
        <v>0.6579133898279117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450</v>
      </c>
      <c r="AB742">
        <v>1</v>
      </c>
      <c r="AC742">
        <v>0.1</v>
      </c>
      <c r="AD742">
        <v>0.10987913295375087</v>
      </c>
      <c r="AE742">
        <v>600</v>
      </c>
      <c r="AF742">
        <v>200000</v>
      </c>
      <c r="AG742">
        <v>10000</v>
      </c>
      <c r="AH742">
        <v>1</v>
      </c>
      <c r="AI742">
        <v>1</v>
      </c>
      <c r="AJ742" t="s">
        <v>76</v>
      </c>
      <c r="AK742" t="s">
        <v>90</v>
      </c>
      <c r="AL742">
        <v>0</v>
      </c>
      <c r="AM742" t="s">
        <v>90</v>
      </c>
      <c r="AN742">
        <v>0</v>
      </c>
    </row>
    <row r="743" spans="1:40" x14ac:dyDescent="0.15">
      <c r="A743" s="4" t="str">
        <f>HYPERLINK("https://ibp.a2mac1.com/costing(costing:projects/details/9760/process/12085515)","MANUFACTURING  PROCESS")</f>
        <v>MANUFACTURING  PROCESS</v>
      </c>
      <c r="B743" t="s">
        <v>4962</v>
      </c>
      <c r="C743">
        <v>12085515</v>
      </c>
      <c r="D743">
        <v>8416216</v>
      </c>
      <c r="E743">
        <v>0.24780573750000001</v>
      </c>
      <c r="F743">
        <v>0</v>
      </c>
      <c r="G743">
        <v>0</v>
      </c>
      <c r="H743">
        <v>5.2724624999999998E-6</v>
      </c>
      <c r="I743" t="s">
        <v>176</v>
      </c>
      <c r="J743">
        <v>9.2268093750000005E-3</v>
      </c>
      <c r="K743">
        <v>0.25703781933749997</v>
      </c>
      <c r="L743">
        <v>1.433145541358854E-2</v>
      </c>
      <c r="M743">
        <v>8.5988732481531244E-2</v>
      </c>
      <c r="N743">
        <v>0.34302655181903124</v>
      </c>
      <c r="O743" t="s">
        <v>90</v>
      </c>
      <c r="P743">
        <v>0</v>
      </c>
      <c r="Q743" t="s">
        <v>90</v>
      </c>
      <c r="R743">
        <v>0</v>
      </c>
      <c r="S743" t="s">
        <v>90</v>
      </c>
      <c r="T743">
        <v>0</v>
      </c>
      <c r="U743">
        <v>0.34302655181903124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2.5205600000000001</v>
      </c>
      <c r="AB743">
        <v>1</v>
      </c>
      <c r="AC743">
        <v>0</v>
      </c>
      <c r="AD743">
        <v>1.9999600007999841E-3</v>
      </c>
      <c r="AE743">
        <v>5400</v>
      </c>
      <c r="AF743">
        <v>200000</v>
      </c>
      <c r="AG743">
        <v>16666.666666666668</v>
      </c>
      <c r="AH743">
        <v>1</v>
      </c>
      <c r="AI743">
        <v>1</v>
      </c>
      <c r="AJ743" t="s">
        <v>162</v>
      </c>
      <c r="AK743" t="s">
        <v>176</v>
      </c>
      <c r="AL743">
        <v>0</v>
      </c>
      <c r="AM743" t="s">
        <v>176</v>
      </c>
      <c r="AN743">
        <v>0</v>
      </c>
    </row>
    <row r="744" spans="1:40" x14ac:dyDescent="0.15">
      <c r="A744" s="4" t="str">
        <f>HYPERLINK("https://ibp.a2mac1.com/costing(costing:projects/details/9760/process/12085516)","MANUFACTURING  PROCESS")</f>
        <v>MANUFACTURING  PROCESS</v>
      </c>
      <c r="B744" t="s">
        <v>4962</v>
      </c>
      <c r="C744">
        <v>12085516</v>
      </c>
      <c r="D744">
        <v>8416217</v>
      </c>
      <c r="E744">
        <v>0.245650905</v>
      </c>
      <c r="F744">
        <v>0</v>
      </c>
      <c r="G744">
        <v>0</v>
      </c>
      <c r="H744">
        <v>5.2266150000000003E-6</v>
      </c>
      <c r="I744" t="s">
        <v>176</v>
      </c>
      <c r="J744">
        <v>9.1465762499999999E-3</v>
      </c>
      <c r="K744">
        <v>0.25480270786499998</v>
      </c>
      <c r="L744">
        <v>4.9079754834314279E-3</v>
      </c>
      <c r="M744">
        <v>2.9447852900588566E-2</v>
      </c>
      <c r="N744">
        <v>0.28425056076558858</v>
      </c>
      <c r="O744" t="s">
        <v>90</v>
      </c>
      <c r="P744">
        <v>0</v>
      </c>
      <c r="Q744" t="s">
        <v>90</v>
      </c>
      <c r="R744">
        <v>0</v>
      </c>
      <c r="S744" t="s">
        <v>90</v>
      </c>
      <c r="T744">
        <v>0</v>
      </c>
      <c r="U744">
        <v>0.28425056076558858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1.2602800000000001</v>
      </c>
      <c r="AB744">
        <v>2</v>
      </c>
      <c r="AC744">
        <v>0</v>
      </c>
      <c r="AD744">
        <v>1.9999600007999841E-3</v>
      </c>
      <c r="AE744">
        <v>5400</v>
      </c>
      <c r="AF744">
        <v>200000</v>
      </c>
      <c r="AG744">
        <v>16666.666666666668</v>
      </c>
      <c r="AH744">
        <v>1</v>
      </c>
      <c r="AI744">
        <v>1</v>
      </c>
      <c r="AJ744" t="s">
        <v>162</v>
      </c>
      <c r="AK744" t="s">
        <v>176</v>
      </c>
      <c r="AL744">
        <v>0</v>
      </c>
      <c r="AM744" t="s">
        <v>176</v>
      </c>
      <c r="AN744">
        <v>0</v>
      </c>
    </row>
    <row r="745" spans="1:40" x14ac:dyDescent="0.15">
      <c r="A745" s="4" t="str">
        <f>HYPERLINK("https://ibp.a2mac1.com/costing(costing:projects/details/9760/process/12085517)","MANUFACTURING  PROCESS")</f>
        <v>MANUFACTURING  PROCESS</v>
      </c>
      <c r="B745" t="s">
        <v>4962</v>
      </c>
      <c r="C745">
        <v>12085517</v>
      </c>
      <c r="D745">
        <v>8416218</v>
      </c>
      <c r="E745">
        <v>0.49827062999999999</v>
      </c>
      <c r="F745">
        <v>0</v>
      </c>
      <c r="G745">
        <v>0</v>
      </c>
      <c r="H745">
        <v>1.0951002857142858E-5</v>
      </c>
      <c r="I745" t="s">
        <v>176</v>
      </c>
      <c r="J745">
        <v>1.9164255000000002E-2</v>
      </c>
      <c r="K745">
        <v>0.5174458360028571</v>
      </c>
      <c r="L745">
        <v>1.2228940964449372E-2</v>
      </c>
      <c r="M745">
        <v>7.3373645786696237E-2</v>
      </c>
      <c r="N745">
        <v>0.59081948178955335</v>
      </c>
      <c r="O745" t="s">
        <v>90</v>
      </c>
      <c r="P745">
        <v>0</v>
      </c>
      <c r="Q745" t="s">
        <v>90</v>
      </c>
      <c r="R745">
        <v>0</v>
      </c>
      <c r="S745" t="s">
        <v>90</v>
      </c>
      <c r="T745">
        <v>0</v>
      </c>
      <c r="U745">
        <v>0.59081948178955335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2.0987800000000001</v>
      </c>
      <c r="AB745">
        <v>1</v>
      </c>
      <c r="AC745">
        <v>0</v>
      </c>
      <c r="AD745">
        <v>1.9999600007999841E-3</v>
      </c>
      <c r="AE745">
        <v>5400</v>
      </c>
      <c r="AF745">
        <v>200000</v>
      </c>
      <c r="AG745">
        <v>16666.666666666668</v>
      </c>
      <c r="AH745">
        <v>1</v>
      </c>
      <c r="AI745">
        <v>1</v>
      </c>
      <c r="AJ745" t="s">
        <v>162</v>
      </c>
      <c r="AK745" t="s">
        <v>176</v>
      </c>
      <c r="AL745">
        <v>0</v>
      </c>
      <c r="AM745" t="s">
        <v>176</v>
      </c>
      <c r="AN745">
        <v>0</v>
      </c>
    </row>
    <row r="746" spans="1:40" x14ac:dyDescent="0.15">
      <c r="A746" s="4" t="str">
        <f>HYPERLINK("https://ibp.a2mac1.com/costing(costing:projects/details/9760/process/12085518)","MANUFACTURING  PROCESS")</f>
        <v>MANUFACTURING  PROCESS</v>
      </c>
      <c r="B746" t="s">
        <v>4962</v>
      </c>
      <c r="C746">
        <v>12085518</v>
      </c>
      <c r="D746">
        <v>8416219</v>
      </c>
      <c r="E746">
        <v>0.24780573750000001</v>
      </c>
      <c r="F746">
        <v>0</v>
      </c>
      <c r="G746">
        <v>0</v>
      </c>
      <c r="H746">
        <v>5.2724624999999998E-6</v>
      </c>
      <c r="I746" t="s">
        <v>176</v>
      </c>
      <c r="J746">
        <v>9.2268093750000005E-3</v>
      </c>
      <c r="K746">
        <v>0.25703781933749997</v>
      </c>
      <c r="L746">
        <v>1.433145541358854E-2</v>
      </c>
      <c r="M746">
        <v>8.5988732481531244E-2</v>
      </c>
      <c r="N746">
        <v>0.34302655181903124</v>
      </c>
      <c r="O746" t="s">
        <v>90</v>
      </c>
      <c r="P746">
        <v>0</v>
      </c>
      <c r="Q746" t="s">
        <v>90</v>
      </c>
      <c r="R746">
        <v>0</v>
      </c>
      <c r="S746" t="s">
        <v>90</v>
      </c>
      <c r="T746">
        <v>0</v>
      </c>
      <c r="U746">
        <v>0.34302655181903124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2.5205600000000001</v>
      </c>
      <c r="AB746">
        <v>1</v>
      </c>
      <c r="AC746">
        <v>0</v>
      </c>
      <c r="AD746">
        <v>1.9999600007999841E-3</v>
      </c>
      <c r="AE746">
        <v>5400</v>
      </c>
      <c r="AF746">
        <v>200000</v>
      </c>
      <c r="AG746">
        <v>16666.666666666668</v>
      </c>
      <c r="AH746">
        <v>1</v>
      </c>
      <c r="AI746">
        <v>1</v>
      </c>
      <c r="AJ746" t="s">
        <v>162</v>
      </c>
      <c r="AK746" t="s">
        <v>176</v>
      </c>
      <c r="AL746">
        <v>0</v>
      </c>
      <c r="AM746" t="s">
        <v>176</v>
      </c>
      <c r="AN746">
        <v>0</v>
      </c>
    </row>
    <row r="747" spans="1:40" x14ac:dyDescent="0.15">
      <c r="A747" s="4" t="str">
        <f>HYPERLINK("https://ibp.a2mac1.com/costing(costing:projects/details/9760/process/12085519)","MANUFACTURING  PROCESS")</f>
        <v>MANUFACTURING  PROCESS</v>
      </c>
      <c r="B747" t="s">
        <v>4962</v>
      </c>
      <c r="C747">
        <v>12085519</v>
      </c>
      <c r="D747">
        <v>8416220</v>
      </c>
      <c r="E747">
        <v>0.245650905</v>
      </c>
      <c r="F747">
        <v>0</v>
      </c>
      <c r="G747">
        <v>0</v>
      </c>
      <c r="H747">
        <v>5.2266150000000003E-6</v>
      </c>
      <c r="I747" t="s">
        <v>176</v>
      </c>
      <c r="J747">
        <v>9.1465762499999999E-3</v>
      </c>
      <c r="K747">
        <v>0.25480270786499998</v>
      </c>
      <c r="L747">
        <v>4.9079754834314279E-3</v>
      </c>
      <c r="M747">
        <v>2.9447852900588566E-2</v>
      </c>
      <c r="N747">
        <v>0.28425056076558858</v>
      </c>
      <c r="O747" t="s">
        <v>90</v>
      </c>
      <c r="P747">
        <v>0</v>
      </c>
      <c r="Q747" t="s">
        <v>90</v>
      </c>
      <c r="R747">
        <v>0</v>
      </c>
      <c r="S747" t="s">
        <v>90</v>
      </c>
      <c r="T747">
        <v>0</v>
      </c>
      <c r="U747">
        <v>0.28425056076558858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1.2602800000000001</v>
      </c>
      <c r="AB747">
        <v>2</v>
      </c>
      <c r="AC747">
        <v>0</v>
      </c>
      <c r="AD747">
        <v>1.9999600007999841E-3</v>
      </c>
      <c r="AE747">
        <v>5400</v>
      </c>
      <c r="AF747">
        <v>200000</v>
      </c>
      <c r="AG747">
        <v>16666.666666666668</v>
      </c>
      <c r="AH747">
        <v>1</v>
      </c>
      <c r="AI747">
        <v>1</v>
      </c>
      <c r="AJ747" t="s">
        <v>162</v>
      </c>
      <c r="AK747" t="s">
        <v>176</v>
      </c>
      <c r="AL747">
        <v>0</v>
      </c>
      <c r="AM747" t="s">
        <v>176</v>
      </c>
      <c r="AN747">
        <v>0</v>
      </c>
    </row>
    <row r="748" spans="1:40" x14ac:dyDescent="0.15">
      <c r="A748" s="4" t="str">
        <f>HYPERLINK("https://ibp.a2mac1.com/costing(costing:projects/details/9760/process/12085520)","MANUFACTURING  PROCESS")</f>
        <v>MANUFACTURING  PROCESS</v>
      </c>
      <c r="B748" t="s">
        <v>4962</v>
      </c>
      <c r="C748">
        <v>12085520</v>
      </c>
      <c r="D748">
        <v>8416221</v>
      </c>
      <c r="E748">
        <v>0.49827062999999999</v>
      </c>
      <c r="F748">
        <v>0</v>
      </c>
      <c r="G748">
        <v>0</v>
      </c>
      <c r="H748">
        <v>1.0951002857142858E-5</v>
      </c>
      <c r="I748" t="s">
        <v>176</v>
      </c>
      <c r="J748">
        <v>1.9164255000000002E-2</v>
      </c>
      <c r="K748">
        <v>0.5174458360028571</v>
      </c>
      <c r="L748">
        <v>1.2228940964449372E-2</v>
      </c>
      <c r="M748">
        <v>7.3373645786696237E-2</v>
      </c>
      <c r="N748">
        <v>0.59081948178955335</v>
      </c>
      <c r="O748" t="s">
        <v>90</v>
      </c>
      <c r="P748">
        <v>0</v>
      </c>
      <c r="Q748" t="s">
        <v>90</v>
      </c>
      <c r="R748">
        <v>0</v>
      </c>
      <c r="S748" t="s">
        <v>90</v>
      </c>
      <c r="T748">
        <v>0</v>
      </c>
      <c r="U748">
        <v>0.59081948178955335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2.0987800000000001</v>
      </c>
      <c r="AB748">
        <v>1</v>
      </c>
      <c r="AC748">
        <v>0</v>
      </c>
      <c r="AD748">
        <v>1.9999600007999841E-3</v>
      </c>
      <c r="AE748">
        <v>5400</v>
      </c>
      <c r="AF748">
        <v>200000</v>
      </c>
      <c r="AG748">
        <v>16666.666666666668</v>
      </c>
      <c r="AH748">
        <v>1</v>
      </c>
      <c r="AI748">
        <v>1</v>
      </c>
      <c r="AJ748" t="s">
        <v>162</v>
      </c>
      <c r="AK748" t="s">
        <v>176</v>
      </c>
      <c r="AL748">
        <v>0</v>
      </c>
      <c r="AM748" t="s">
        <v>176</v>
      </c>
      <c r="AN748">
        <v>0</v>
      </c>
    </row>
    <row r="749" spans="1:40" x14ac:dyDescent="0.15">
      <c r="A749" s="4" t="str">
        <f>HYPERLINK("https://ibp.a2mac1.com/costing(costing:projects/details/9760/process/12085521)","Extrusion Rubber")</f>
        <v>Extrusion Rubber</v>
      </c>
      <c r="C749">
        <v>12085521</v>
      </c>
      <c r="D749">
        <v>8416222</v>
      </c>
      <c r="E749">
        <v>2.6953499999999998E-2</v>
      </c>
      <c r="F749">
        <v>0</v>
      </c>
      <c r="G749">
        <v>0</v>
      </c>
      <c r="H749">
        <v>2.8101894736842106E-5</v>
      </c>
      <c r="I749" t="s">
        <v>176</v>
      </c>
      <c r="J749">
        <v>9.4573684210526321E-4</v>
      </c>
      <c r="K749">
        <v>2.7927338736842104E-2</v>
      </c>
      <c r="L749">
        <v>2.7964645753409748E-2</v>
      </c>
      <c r="M749">
        <v>0.16778787452045849</v>
      </c>
      <c r="N749">
        <v>0.1957152132573006</v>
      </c>
      <c r="O749" t="s">
        <v>177</v>
      </c>
      <c r="P749">
        <v>1.6756403242105264E-3</v>
      </c>
      <c r="Q749" t="s">
        <v>177</v>
      </c>
      <c r="R749">
        <v>1.0067272471227509E-2</v>
      </c>
      <c r="S749" t="s">
        <v>178</v>
      </c>
      <c r="T749">
        <v>2.3485825590876072E-2</v>
      </c>
      <c r="U749">
        <v>0.2309439516436147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10</v>
      </c>
      <c r="AB749">
        <v>1</v>
      </c>
      <c r="AC749">
        <v>0.1</v>
      </c>
      <c r="AD749">
        <v>0.10389195236953569</v>
      </c>
      <c r="AE749">
        <v>1800</v>
      </c>
      <c r="AF749">
        <v>200000</v>
      </c>
      <c r="AG749">
        <v>16666.666666666668</v>
      </c>
      <c r="AH749">
        <v>1</v>
      </c>
      <c r="AI749">
        <v>1</v>
      </c>
      <c r="AJ749" t="s">
        <v>162</v>
      </c>
      <c r="AK749" t="s">
        <v>176</v>
      </c>
      <c r="AL749">
        <v>0</v>
      </c>
      <c r="AM749" t="s">
        <v>176</v>
      </c>
      <c r="AN749">
        <v>0</v>
      </c>
    </row>
    <row r="750" spans="1:40" x14ac:dyDescent="0.15">
      <c r="A750" s="4" t="str">
        <f>HYPERLINK("https://ibp.a2mac1.com/costing(costing:projects/details/9760/process/12085522)","Injection molding")</f>
        <v>Injection molding</v>
      </c>
      <c r="B750" t="s">
        <v>5556</v>
      </c>
      <c r="C750">
        <v>12085522</v>
      </c>
      <c r="D750">
        <v>8416223</v>
      </c>
      <c r="E750">
        <v>2.3980660691489361E-3</v>
      </c>
      <c r="F750">
        <v>0</v>
      </c>
      <c r="G750">
        <v>0</v>
      </c>
      <c r="H750">
        <v>2.5014931914893615E-6</v>
      </c>
      <c r="I750" t="s">
        <v>176</v>
      </c>
      <c r="J750">
        <v>8.4184867021276598E-5</v>
      </c>
      <c r="K750">
        <v>2.4847524293617022E-3</v>
      </c>
      <c r="L750">
        <v>1.0356117529097338E-3</v>
      </c>
      <c r="M750">
        <v>6.2136705174584026E-3</v>
      </c>
      <c r="N750">
        <v>8.698422946820104E-3</v>
      </c>
      <c r="O750" t="s">
        <v>177</v>
      </c>
      <c r="P750">
        <v>1.4908514576170213E-4</v>
      </c>
      <c r="Q750" t="s">
        <v>177</v>
      </c>
      <c r="R750">
        <v>3.7282023104750415E-4</v>
      </c>
      <c r="S750" t="s">
        <v>178</v>
      </c>
      <c r="T750">
        <v>1.0438107536184125E-3</v>
      </c>
      <c r="U750">
        <v>1.0264139077247724E-2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8.5828799999999994</v>
      </c>
      <c r="AB750">
        <v>8</v>
      </c>
      <c r="AC750">
        <v>0.1</v>
      </c>
      <c r="AD750">
        <v>0.10389195236953569</v>
      </c>
      <c r="AE750">
        <v>7200</v>
      </c>
      <c r="AF750">
        <v>200000</v>
      </c>
      <c r="AG750">
        <v>16666.666666666668</v>
      </c>
      <c r="AH750">
        <v>1</v>
      </c>
      <c r="AI750">
        <v>1</v>
      </c>
      <c r="AJ750" t="s">
        <v>162</v>
      </c>
      <c r="AK750" t="s">
        <v>176</v>
      </c>
      <c r="AL750">
        <v>0</v>
      </c>
      <c r="AM750" t="s">
        <v>176</v>
      </c>
      <c r="AN750">
        <v>0</v>
      </c>
    </row>
    <row r="751" spans="1:40" x14ac:dyDescent="0.15">
      <c r="A751" s="4" t="str">
        <f>HYPERLINK("https://ibp.a2mac1.com/costing(costing:projects/details/9760/process/12085523)","Injection foam carrousel")</f>
        <v>Injection foam carrousel</v>
      </c>
      <c r="B751" t="s">
        <v>5560</v>
      </c>
      <c r="C751">
        <v>12085523</v>
      </c>
      <c r="D751">
        <v>8416224</v>
      </c>
      <c r="E751">
        <v>3.5454509999999998E-3</v>
      </c>
      <c r="F751">
        <v>0</v>
      </c>
      <c r="G751">
        <v>0</v>
      </c>
      <c r="H751">
        <v>3.6965103157894736E-6</v>
      </c>
      <c r="I751" t="s">
        <v>176</v>
      </c>
      <c r="J751">
        <v>1.2440178947368421E-4</v>
      </c>
      <c r="K751">
        <v>3.6735492997894735E-3</v>
      </c>
      <c r="L751">
        <v>9.1011314431675965E-3</v>
      </c>
      <c r="M751">
        <v>5.4606788659005583E-2</v>
      </c>
      <c r="N751">
        <v>5.8280337958795052E-2</v>
      </c>
      <c r="O751" t="s">
        <v>177</v>
      </c>
      <c r="P751">
        <v>2.2041295798736843E-4</v>
      </c>
      <c r="Q751" t="s">
        <v>177</v>
      </c>
      <c r="R751">
        <v>3.276407319540335E-3</v>
      </c>
      <c r="S751" t="s">
        <v>178</v>
      </c>
      <c r="T751">
        <v>6.9936405550554068E-3</v>
      </c>
      <c r="U751">
        <v>6.8770798791378165E-2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5</v>
      </c>
      <c r="AB751">
        <v>2</v>
      </c>
      <c r="AC751">
        <v>0.1</v>
      </c>
      <c r="AD751">
        <v>0.10389195236953569</v>
      </c>
      <c r="AE751">
        <v>1800</v>
      </c>
      <c r="AF751">
        <v>200000</v>
      </c>
      <c r="AG751">
        <v>16666.666666666668</v>
      </c>
      <c r="AH751">
        <v>1</v>
      </c>
      <c r="AI751">
        <v>1</v>
      </c>
      <c r="AJ751" t="s">
        <v>162</v>
      </c>
      <c r="AK751" t="s">
        <v>176</v>
      </c>
      <c r="AL751">
        <v>0</v>
      </c>
      <c r="AM751" t="s">
        <v>176</v>
      </c>
      <c r="AN751">
        <v>0</v>
      </c>
    </row>
    <row r="752" spans="1:40" x14ac:dyDescent="0.15">
      <c r="A752" s="4" t="str">
        <f>HYPERLINK("https://ibp.a2mac1.com/costing(costing:projects/details/9760/process/12085220)","Assembly")</f>
        <v>Assembly</v>
      </c>
      <c r="C752">
        <v>12085220</v>
      </c>
      <c r="D752">
        <v>8415858</v>
      </c>
      <c r="E752">
        <v>0</v>
      </c>
      <c r="F752">
        <v>0</v>
      </c>
      <c r="G752">
        <v>0</v>
      </c>
      <c r="H752">
        <v>0</v>
      </c>
      <c r="I752" t="s">
        <v>176</v>
      </c>
      <c r="J752">
        <v>0</v>
      </c>
      <c r="K752">
        <v>0</v>
      </c>
      <c r="L752">
        <v>8.8147992355148315E-3</v>
      </c>
      <c r="M752">
        <v>5.2888795413088989E-2</v>
      </c>
      <c r="N752">
        <v>5.2888795413088989E-2</v>
      </c>
      <c r="O752" t="s">
        <v>90</v>
      </c>
      <c r="P752">
        <v>0</v>
      </c>
      <c r="Q752" t="s">
        <v>90</v>
      </c>
      <c r="R752">
        <v>0</v>
      </c>
      <c r="S752" t="s">
        <v>90</v>
      </c>
      <c r="T752">
        <v>0</v>
      </c>
      <c r="U752">
        <v>5.2888795413088989E-2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30</v>
      </c>
      <c r="AB752">
        <v>1</v>
      </c>
      <c r="AC752">
        <v>0.1</v>
      </c>
      <c r="AD752">
        <v>0.10987913295375087</v>
      </c>
      <c r="AE752">
        <v>600</v>
      </c>
      <c r="AF752">
        <v>200000</v>
      </c>
      <c r="AG752">
        <v>10000</v>
      </c>
      <c r="AH752">
        <v>1</v>
      </c>
      <c r="AI752">
        <v>1</v>
      </c>
      <c r="AJ752" t="s">
        <v>76</v>
      </c>
      <c r="AK752" t="s">
        <v>176</v>
      </c>
      <c r="AL752">
        <v>0</v>
      </c>
      <c r="AM752" t="s">
        <v>176</v>
      </c>
      <c r="AN752">
        <v>0</v>
      </c>
    </row>
    <row r="753" spans="1:40" x14ac:dyDescent="0.15">
      <c r="A753" s="4" t="str">
        <f>HYPERLINK("https://ibp.a2mac1.com/costing(costing:projects/details/9760/process/12085222)","Injection molding")</f>
        <v>Injection molding</v>
      </c>
      <c r="B753" t="s">
        <v>5569</v>
      </c>
      <c r="C753">
        <v>12085222</v>
      </c>
      <c r="D753">
        <v>8415860</v>
      </c>
      <c r="E753">
        <v>2.3466808762886596E-2</v>
      </c>
      <c r="F753">
        <v>0</v>
      </c>
      <c r="G753">
        <v>0</v>
      </c>
      <c r="H753">
        <v>4.8414247422680415E-5</v>
      </c>
      <c r="I753" t="s">
        <v>176</v>
      </c>
      <c r="J753">
        <v>8.2257216494845359E-4</v>
      </c>
      <c r="K753">
        <v>2.4337795175257731E-2</v>
      </c>
      <c r="L753">
        <v>1.1879928849384052E-2</v>
      </c>
      <c r="M753">
        <v>7.1279573096304311E-2</v>
      </c>
      <c r="N753">
        <v>9.5617368271562045E-2</v>
      </c>
      <c r="O753" t="s">
        <v>177</v>
      </c>
      <c r="P753">
        <v>1.4602677105154639E-3</v>
      </c>
      <c r="Q753" t="s">
        <v>177</v>
      </c>
      <c r="R753">
        <v>4.2767743857782588E-3</v>
      </c>
      <c r="S753" t="s">
        <v>178</v>
      </c>
      <c r="T753">
        <v>1.1474084192587445E-2</v>
      </c>
      <c r="U753">
        <v>0.11282849456044321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50.450319999999998</v>
      </c>
      <c r="AB753">
        <v>2</v>
      </c>
      <c r="AC753">
        <v>0.1</v>
      </c>
      <c r="AD753">
        <v>0.20557651238448796</v>
      </c>
      <c r="AE753">
        <v>7200</v>
      </c>
      <c r="AF753">
        <v>200000</v>
      </c>
      <c r="AG753">
        <v>16666.666666666668</v>
      </c>
      <c r="AH753">
        <v>1</v>
      </c>
      <c r="AI753">
        <v>1</v>
      </c>
      <c r="AJ753" t="s">
        <v>162</v>
      </c>
      <c r="AK753" t="s">
        <v>176</v>
      </c>
      <c r="AL753">
        <v>0</v>
      </c>
      <c r="AM753" t="s">
        <v>176</v>
      </c>
      <c r="AN753">
        <v>0</v>
      </c>
    </row>
    <row r="754" spans="1:40" x14ac:dyDescent="0.15">
      <c r="A754" s="4" t="str">
        <f>HYPERLINK("https://ibp.a2mac1.com/costing(costing:projects/details/9760/process/12085221)","Handling/Visual Inspection/Packaging")</f>
        <v>Handling/Visual Inspection/Packaging</v>
      </c>
      <c r="C754">
        <v>12085221</v>
      </c>
      <c r="D754">
        <v>8415860</v>
      </c>
      <c r="E754">
        <v>0</v>
      </c>
      <c r="F754">
        <v>0</v>
      </c>
      <c r="G754">
        <v>0</v>
      </c>
      <c r="H754">
        <v>0</v>
      </c>
      <c r="I754" t="s">
        <v>176</v>
      </c>
      <c r="J754">
        <v>0</v>
      </c>
      <c r="K754">
        <v>0</v>
      </c>
      <c r="L754">
        <v>1.724017293860106E-2</v>
      </c>
      <c r="M754">
        <v>0.10344103763160636</v>
      </c>
      <c r="N754">
        <v>0.10344103763160636</v>
      </c>
      <c r="O754" t="s">
        <v>177</v>
      </c>
      <c r="P754">
        <v>0</v>
      </c>
      <c r="Q754" t="s">
        <v>177</v>
      </c>
      <c r="R754">
        <v>6.2064622578963816E-3</v>
      </c>
      <c r="S754" t="s">
        <v>178</v>
      </c>
      <c r="T754">
        <v>1.2412924515792763E-2</v>
      </c>
      <c r="U754">
        <v>0.12206042440529551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60</v>
      </c>
      <c r="AB754">
        <v>1</v>
      </c>
      <c r="AC754">
        <v>0.1</v>
      </c>
      <c r="AD754">
        <v>0.10389195236953569</v>
      </c>
      <c r="AE754">
        <v>900</v>
      </c>
      <c r="AF754">
        <v>200000</v>
      </c>
      <c r="AG754">
        <v>16666.666666666668</v>
      </c>
      <c r="AH754">
        <v>1</v>
      </c>
      <c r="AI754">
        <v>1</v>
      </c>
      <c r="AJ754" t="s">
        <v>162</v>
      </c>
      <c r="AK754" t="s">
        <v>176</v>
      </c>
      <c r="AL754">
        <v>0</v>
      </c>
      <c r="AM754" t="s">
        <v>176</v>
      </c>
      <c r="AN754">
        <v>0</v>
      </c>
    </row>
    <row r="755" spans="1:40" x14ac:dyDescent="0.15">
      <c r="A755" s="4" t="str">
        <f>HYPERLINK("https://ibp.a2mac1.com/costing(costing:projects/details/9760/process/12085223)","Injection molding")</f>
        <v>Injection molding</v>
      </c>
      <c r="B755" t="s">
        <v>5576</v>
      </c>
      <c r="C755">
        <v>12085223</v>
      </c>
      <c r="D755">
        <v>8415862</v>
      </c>
      <c r="E755">
        <v>0.16411143211855669</v>
      </c>
      <c r="F755">
        <v>0</v>
      </c>
      <c r="G755">
        <v>0</v>
      </c>
      <c r="H755">
        <v>3.385774162886598E-4</v>
      </c>
      <c r="I755" t="s">
        <v>176</v>
      </c>
      <c r="J755">
        <v>5.752528917525773E-3</v>
      </c>
      <c r="K755">
        <v>0.17020253845237113</v>
      </c>
      <c r="L755">
        <v>4.859605443596684E-3</v>
      </c>
      <c r="M755">
        <v>2.9157632661580106E-2</v>
      </c>
      <c r="N755">
        <v>0.19936017111395124</v>
      </c>
      <c r="O755" t="s">
        <v>177</v>
      </c>
      <c r="P755">
        <v>1.0212152307142269E-2</v>
      </c>
      <c r="Q755" t="s">
        <v>177</v>
      </c>
      <c r="R755">
        <v>1.7494579596948063E-3</v>
      </c>
      <c r="S755" t="s">
        <v>178</v>
      </c>
      <c r="T755">
        <v>2.3923220533674149E-2</v>
      </c>
      <c r="U755">
        <v>0.23524500191446246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18.572189999999999</v>
      </c>
      <c r="AB755">
        <v>2</v>
      </c>
      <c r="AC755">
        <v>0.1</v>
      </c>
      <c r="AD755">
        <v>0.20557651238448796</v>
      </c>
      <c r="AE755">
        <v>7200</v>
      </c>
      <c r="AF755">
        <v>200000</v>
      </c>
      <c r="AG755">
        <v>16666.666666666668</v>
      </c>
      <c r="AH755">
        <v>1</v>
      </c>
      <c r="AI755">
        <v>1</v>
      </c>
      <c r="AJ755" t="s">
        <v>162</v>
      </c>
      <c r="AK755" t="s">
        <v>176</v>
      </c>
      <c r="AL755">
        <v>0</v>
      </c>
      <c r="AM755" t="s">
        <v>176</v>
      </c>
      <c r="AN755">
        <v>0</v>
      </c>
    </row>
    <row r="756" spans="1:40" x14ac:dyDescent="0.15">
      <c r="A756" s="4" t="str">
        <f>HYPERLINK("https://ibp.a2mac1.com/costing(costing:projects/details/9760/process/12085224)","Handling/Visual Inspection/Packaging")</f>
        <v>Handling/Visual Inspection/Packaging</v>
      </c>
      <c r="C756">
        <v>12085224</v>
      </c>
      <c r="D756">
        <v>8415862</v>
      </c>
      <c r="E756">
        <v>0</v>
      </c>
      <c r="F756">
        <v>0</v>
      </c>
      <c r="G756">
        <v>0</v>
      </c>
      <c r="H756">
        <v>0</v>
      </c>
      <c r="I756" t="s">
        <v>176</v>
      </c>
      <c r="J756">
        <v>0</v>
      </c>
      <c r="K756">
        <v>0</v>
      </c>
      <c r="L756">
        <v>1.293090621145083E-2</v>
      </c>
      <c r="M756">
        <v>7.7585437268704982E-2</v>
      </c>
      <c r="N756">
        <v>7.7585437268704982E-2</v>
      </c>
      <c r="O756" t="s">
        <v>177</v>
      </c>
      <c r="P756">
        <v>0</v>
      </c>
      <c r="Q756" t="s">
        <v>177</v>
      </c>
      <c r="R756">
        <v>4.6551262361222987E-3</v>
      </c>
      <c r="S756" t="s">
        <v>178</v>
      </c>
      <c r="T756">
        <v>9.3102524722445974E-3</v>
      </c>
      <c r="U756">
        <v>9.1550815977071875E-2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45</v>
      </c>
      <c r="AB756">
        <v>1</v>
      </c>
      <c r="AC756">
        <v>0.1</v>
      </c>
      <c r="AD756">
        <v>0.10389195236953569</v>
      </c>
      <c r="AE756">
        <v>900</v>
      </c>
      <c r="AF756">
        <v>200000</v>
      </c>
      <c r="AG756">
        <v>16666.666666666668</v>
      </c>
      <c r="AH756">
        <v>1</v>
      </c>
      <c r="AI756">
        <v>1</v>
      </c>
      <c r="AJ756" t="s">
        <v>162</v>
      </c>
      <c r="AK756" t="s">
        <v>176</v>
      </c>
      <c r="AL756">
        <v>0</v>
      </c>
      <c r="AM756" t="s">
        <v>176</v>
      </c>
      <c r="AN756">
        <v>0</v>
      </c>
    </row>
    <row r="757" spans="1:40" x14ac:dyDescent="0.15">
      <c r="A757" s="4" t="str">
        <f>HYPERLINK("https://ibp.a2mac1.com/costing(costing:projects/details/9760/process/12085226)","Injection foam carrousel")</f>
        <v>Injection foam carrousel</v>
      </c>
      <c r="B757" t="s">
        <v>5560</v>
      </c>
      <c r="C757">
        <v>12085226</v>
      </c>
      <c r="D757">
        <v>8415865</v>
      </c>
      <c r="E757">
        <v>7.7999921999999999E-2</v>
      </c>
      <c r="F757">
        <v>0</v>
      </c>
      <c r="G757">
        <v>0</v>
      </c>
      <c r="H757">
        <v>1.6108254568421052E-4</v>
      </c>
      <c r="I757" t="s">
        <v>176</v>
      </c>
      <c r="J757">
        <v>2.7368393684210528E-3</v>
      </c>
      <c r="K757">
        <v>8.0897843914105261E-2</v>
      </c>
      <c r="L757">
        <v>0.10516436309937496</v>
      </c>
      <c r="M757">
        <v>0.63098617859624972</v>
      </c>
      <c r="N757">
        <v>0.7118840225103551</v>
      </c>
      <c r="O757" t="s">
        <v>177</v>
      </c>
      <c r="P757">
        <v>4.8538706348463159E-3</v>
      </c>
      <c r="Q757" t="s">
        <v>177</v>
      </c>
      <c r="R757">
        <v>3.7859170715774985E-2</v>
      </c>
      <c r="S757" t="s">
        <v>178</v>
      </c>
      <c r="T757">
        <v>8.5426082701242606E-2</v>
      </c>
      <c r="U757">
        <v>0.84002314656221899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30</v>
      </c>
      <c r="AB757">
        <v>1</v>
      </c>
      <c r="AC757">
        <v>0.1</v>
      </c>
      <c r="AD757">
        <v>0.20557651238448796</v>
      </c>
      <c r="AE757">
        <v>1800</v>
      </c>
      <c r="AF757">
        <v>200000</v>
      </c>
      <c r="AG757">
        <v>16666.666666666668</v>
      </c>
      <c r="AH757">
        <v>1</v>
      </c>
      <c r="AI757">
        <v>1</v>
      </c>
      <c r="AJ757" t="s">
        <v>162</v>
      </c>
      <c r="AK757" t="s">
        <v>176</v>
      </c>
      <c r="AL757">
        <v>0</v>
      </c>
      <c r="AM757" t="s">
        <v>176</v>
      </c>
      <c r="AN757">
        <v>0</v>
      </c>
    </row>
    <row r="758" spans="1:40" x14ac:dyDescent="0.15">
      <c r="A758" s="4" t="str">
        <f>HYPERLINK("https://ibp.a2mac1.com/costing(costing:projects/details/9760/process/12085225)","Handling/Visual Inspection/Packaging")</f>
        <v>Handling/Visual Inspection/Packaging</v>
      </c>
      <c r="C758">
        <v>12085225</v>
      </c>
      <c r="D758">
        <v>8415865</v>
      </c>
      <c r="E758">
        <v>0</v>
      </c>
      <c r="F758">
        <v>0</v>
      </c>
      <c r="G758">
        <v>0</v>
      </c>
      <c r="H758">
        <v>0</v>
      </c>
      <c r="I758" t="s">
        <v>176</v>
      </c>
      <c r="J758">
        <v>0</v>
      </c>
      <c r="K758">
        <v>0</v>
      </c>
      <c r="L758">
        <v>8.6216394843006E-3</v>
      </c>
      <c r="M758">
        <v>5.17298369058036E-2</v>
      </c>
      <c r="N758">
        <v>5.17298369058036E-2</v>
      </c>
      <c r="O758" t="s">
        <v>177</v>
      </c>
      <c r="P758">
        <v>0</v>
      </c>
      <c r="Q758" t="s">
        <v>177</v>
      </c>
      <c r="R758">
        <v>3.1037902143482162E-3</v>
      </c>
      <c r="S758" t="s">
        <v>178</v>
      </c>
      <c r="T758">
        <v>6.2075804286964324E-3</v>
      </c>
      <c r="U758">
        <v>6.1041207548848252E-2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30</v>
      </c>
      <c r="AB758">
        <v>1</v>
      </c>
      <c r="AC758">
        <v>0.1</v>
      </c>
      <c r="AD758">
        <v>0.10389195236953569</v>
      </c>
      <c r="AE758">
        <v>900</v>
      </c>
      <c r="AF758">
        <v>200000</v>
      </c>
      <c r="AG758">
        <v>16666.666666666668</v>
      </c>
      <c r="AH758">
        <v>1</v>
      </c>
      <c r="AI758">
        <v>1</v>
      </c>
      <c r="AJ758" t="s">
        <v>162</v>
      </c>
      <c r="AK758" t="s">
        <v>176</v>
      </c>
      <c r="AL758">
        <v>0</v>
      </c>
      <c r="AM758" t="s">
        <v>176</v>
      </c>
      <c r="AN758">
        <v>0</v>
      </c>
    </row>
    <row r="759" spans="1:40" x14ac:dyDescent="0.15">
      <c r="A759" s="4" t="str">
        <f>HYPERLINK("https://ibp.a2mac1.com/costing(costing:projects/details/9760/process/12085227)","Injection foam carrousel")</f>
        <v>Injection foam carrousel</v>
      </c>
      <c r="B759" t="s">
        <v>5560</v>
      </c>
      <c r="C759">
        <v>12085227</v>
      </c>
      <c r="D759">
        <v>8415866</v>
      </c>
      <c r="E759">
        <v>7.0909020000000003E-2</v>
      </c>
      <c r="F759">
        <v>0</v>
      </c>
      <c r="G759">
        <v>0</v>
      </c>
      <c r="H759">
        <v>1.4643867789473686E-4</v>
      </c>
      <c r="I759" t="s">
        <v>176</v>
      </c>
      <c r="J759">
        <v>2.4880357894736843E-3</v>
      </c>
      <c r="K759">
        <v>7.3543494467368423E-2</v>
      </c>
      <c r="L759">
        <v>0.10516436309937496</v>
      </c>
      <c r="M759">
        <v>0.63098617859624972</v>
      </c>
      <c r="N759">
        <v>0.70452967306361824</v>
      </c>
      <c r="O759" t="s">
        <v>177</v>
      </c>
      <c r="P759">
        <v>4.4126096680421056E-3</v>
      </c>
      <c r="Q759" t="s">
        <v>177</v>
      </c>
      <c r="R759">
        <v>3.7859170715774985E-2</v>
      </c>
      <c r="S759" t="s">
        <v>178</v>
      </c>
      <c r="T759">
        <v>8.4543560767634182E-2</v>
      </c>
      <c r="U759">
        <v>0.83134501421506946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30</v>
      </c>
      <c r="AB759">
        <v>1</v>
      </c>
      <c r="AC759">
        <v>0.1</v>
      </c>
      <c r="AD759">
        <v>0.20557651238448796</v>
      </c>
      <c r="AE759">
        <v>1800</v>
      </c>
      <c r="AF759">
        <v>200000</v>
      </c>
      <c r="AG759">
        <v>16666.666666666668</v>
      </c>
      <c r="AH759">
        <v>1</v>
      </c>
      <c r="AI759">
        <v>1</v>
      </c>
      <c r="AJ759" t="s">
        <v>162</v>
      </c>
      <c r="AK759" t="s">
        <v>176</v>
      </c>
      <c r="AL759">
        <v>0</v>
      </c>
      <c r="AM759" t="s">
        <v>176</v>
      </c>
      <c r="AN759">
        <v>0</v>
      </c>
    </row>
    <row r="760" spans="1:40" x14ac:dyDescent="0.15">
      <c r="A760" s="4" t="str">
        <f>HYPERLINK("https://ibp.a2mac1.com/costing(costing:projects/details/9760/process/12085228)","Handling/Visual Inspection/Packaging")</f>
        <v>Handling/Visual Inspection/Packaging</v>
      </c>
      <c r="C760">
        <v>12085228</v>
      </c>
      <c r="D760">
        <v>8415866</v>
      </c>
      <c r="E760">
        <v>0</v>
      </c>
      <c r="F760">
        <v>0</v>
      </c>
      <c r="G760">
        <v>0</v>
      </c>
      <c r="H760">
        <v>0</v>
      </c>
      <c r="I760" t="s">
        <v>176</v>
      </c>
      <c r="J760">
        <v>0</v>
      </c>
      <c r="K760">
        <v>0</v>
      </c>
      <c r="L760">
        <v>8.6216394843006E-3</v>
      </c>
      <c r="M760">
        <v>5.17298369058036E-2</v>
      </c>
      <c r="N760">
        <v>5.17298369058036E-2</v>
      </c>
      <c r="O760" t="s">
        <v>177</v>
      </c>
      <c r="P760">
        <v>0</v>
      </c>
      <c r="Q760" t="s">
        <v>177</v>
      </c>
      <c r="R760">
        <v>3.1037902143482162E-3</v>
      </c>
      <c r="S760" t="s">
        <v>178</v>
      </c>
      <c r="T760">
        <v>6.2075804286964324E-3</v>
      </c>
      <c r="U760">
        <v>6.1041207548848252E-2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30</v>
      </c>
      <c r="AB760">
        <v>1</v>
      </c>
      <c r="AC760">
        <v>0.1</v>
      </c>
      <c r="AD760">
        <v>0.10389195236953569</v>
      </c>
      <c r="AE760">
        <v>900</v>
      </c>
      <c r="AF760">
        <v>200000</v>
      </c>
      <c r="AG760">
        <v>16666.666666666668</v>
      </c>
      <c r="AH760">
        <v>1</v>
      </c>
      <c r="AI760">
        <v>1</v>
      </c>
      <c r="AJ760" t="s">
        <v>162</v>
      </c>
      <c r="AK760" t="s">
        <v>176</v>
      </c>
      <c r="AL760">
        <v>0</v>
      </c>
      <c r="AM760" t="s">
        <v>176</v>
      </c>
      <c r="AN760">
        <v>0</v>
      </c>
    </row>
    <row r="761" spans="1:40" x14ac:dyDescent="0.15">
      <c r="A761" s="4" t="str">
        <f>HYPERLINK("https://ibp.a2mac1.com/costing(costing:projects/details/9760/process/12085229)","Injection molding")</f>
        <v>Injection molding</v>
      </c>
      <c r="C761">
        <v>12085229</v>
      </c>
      <c r="D761">
        <v>8415867</v>
      </c>
      <c r="E761">
        <v>9.0717175499999997E-2</v>
      </c>
      <c r="F761">
        <v>0</v>
      </c>
      <c r="G761">
        <v>0</v>
      </c>
      <c r="H761">
        <v>4.5745102031578946E-4</v>
      </c>
      <c r="I761" t="s">
        <v>176</v>
      </c>
      <c r="J761">
        <v>3.1830587894736842E-3</v>
      </c>
      <c r="K761">
        <v>9.4357685309789469E-2</v>
      </c>
      <c r="L761">
        <v>1.4354290249013974E-3</v>
      </c>
      <c r="M761">
        <v>8.6125741494083845E-3</v>
      </c>
      <c r="N761">
        <v>0.10297025945919785</v>
      </c>
      <c r="O761" t="s">
        <v>177</v>
      </c>
      <c r="P761">
        <v>5.6614611185873687E-3</v>
      </c>
      <c r="Q761" t="s">
        <v>177</v>
      </c>
      <c r="R761">
        <v>5.1675444896450307E-4</v>
      </c>
      <c r="S761" t="s">
        <v>178</v>
      </c>
      <c r="T761">
        <v>1.2356431135103743E-2</v>
      </c>
      <c r="U761">
        <v>0.12150490616185347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60</v>
      </c>
      <c r="AB761">
        <v>1</v>
      </c>
      <c r="AC761">
        <v>0.5</v>
      </c>
      <c r="AD761">
        <v>0.50048257265952256</v>
      </c>
      <c r="AE761">
        <v>83.7</v>
      </c>
      <c r="AF761">
        <v>400000</v>
      </c>
      <c r="AG761">
        <v>33333.333333333336</v>
      </c>
      <c r="AH761">
        <v>1</v>
      </c>
      <c r="AI761">
        <v>1</v>
      </c>
      <c r="AJ761" t="s">
        <v>162</v>
      </c>
      <c r="AK761" t="s">
        <v>176</v>
      </c>
      <c r="AL761">
        <v>0</v>
      </c>
      <c r="AM761" t="s">
        <v>176</v>
      </c>
      <c r="AN761">
        <v>0</v>
      </c>
    </row>
    <row r="762" spans="1:40" x14ac:dyDescent="0.15">
      <c r="A762" s="4" t="str">
        <f>HYPERLINK("https://ibp.a2mac1.com/costing(costing:projects/details/9760/process/12085230)","Injection molding")</f>
        <v>Injection molding</v>
      </c>
      <c r="C762">
        <v>12085230</v>
      </c>
      <c r="D762">
        <v>8415868</v>
      </c>
      <c r="E762">
        <v>9.0717175499999997E-2</v>
      </c>
      <c r="F762">
        <v>0</v>
      </c>
      <c r="G762">
        <v>0</v>
      </c>
      <c r="H762">
        <v>4.5745102031578946E-4</v>
      </c>
      <c r="I762" t="s">
        <v>176</v>
      </c>
      <c r="J762">
        <v>3.1830587894736842E-3</v>
      </c>
      <c r="K762">
        <v>9.4357685309789469E-2</v>
      </c>
      <c r="L762">
        <v>1.4354290249013974E-3</v>
      </c>
      <c r="M762">
        <v>8.6125741494083845E-3</v>
      </c>
      <c r="N762">
        <v>0.10297025945919785</v>
      </c>
      <c r="O762" t="s">
        <v>177</v>
      </c>
      <c r="P762">
        <v>5.6614611185873687E-3</v>
      </c>
      <c r="Q762" t="s">
        <v>177</v>
      </c>
      <c r="R762">
        <v>5.1675444896450307E-4</v>
      </c>
      <c r="S762" t="s">
        <v>178</v>
      </c>
      <c r="T762">
        <v>1.2356431135103743E-2</v>
      </c>
      <c r="U762">
        <v>0.12150490616185347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60</v>
      </c>
      <c r="AB762">
        <v>1</v>
      </c>
      <c r="AC762">
        <v>0.5</v>
      </c>
      <c r="AD762">
        <v>0.50048257265952256</v>
      </c>
      <c r="AE762">
        <v>83.7</v>
      </c>
      <c r="AF762">
        <v>400000</v>
      </c>
      <c r="AG762">
        <v>33333.333333333336</v>
      </c>
      <c r="AH762">
        <v>1</v>
      </c>
      <c r="AI762">
        <v>1</v>
      </c>
      <c r="AJ762" t="s">
        <v>162</v>
      </c>
      <c r="AK762" t="s">
        <v>176</v>
      </c>
      <c r="AL762">
        <v>0</v>
      </c>
      <c r="AM762" t="s">
        <v>176</v>
      </c>
      <c r="AN762">
        <v>0</v>
      </c>
    </row>
    <row r="763" spans="1:40" x14ac:dyDescent="0.15">
      <c r="A763" s="4" t="str">
        <f>HYPERLINK("https://ibp.a2mac1.com/costing(costing:projects/details/9760/process/12085972)","Stamping")</f>
        <v>Stamping</v>
      </c>
      <c r="C763">
        <v>12085972</v>
      </c>
      <c r="D763">
        <v>8416533</v>
      </c>
      <c r="E763">
        <v>0</v>
      </c>
      <c r="F763">
        <v>0</v>
      </c>
      <c r="G763">
        <v>0</v>
      </c>
      <c r="H763">
        <v>0</v>
      </c>
      <c r="I763" t="s">
        <v>176</v>
      </c>
      <c r="J763">
        <v>0</v>
      </c>
      <c r="K763">
        <v>0</v>
      </c>
      <c r="L763">
        <v>3.8060399409196505E-2</v>
      </c>
      <c r="M763">
        <v>0.228362396455179</v>
      </c>
      <c r="N763">
        <v>0.228362396455179</v>
      </c>
      <c r="O763" t="s">
        <v>90</v>
      </c>
      <c r="P763">
        <v>0</v>
      </c>
      <c r="Q763" t="s">
        <v>90</v>
      </c>
      <c r="R763">
        <v>0</v>
      </c>
      <c r="S763" t="s">
        <v>90</v>
      </c>
      <c r="T763">
        <v>0</v>
      </c>
      <c r="U763">
        <v>0.228362396455179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3.0612200000000001</v>
      </c>
      <c r="AB763">
        <v>1</v>
      </c>
      <c r="AC763">
        <v>0.1</v>
      </c>
      <c r="AD763">
        <v>0.20557651238448796</v>
      </c>
      <c r="AE763">
        <v>3600</v>
      </c>
      <c r="AF763">
        <v>200000</v>
      </c>
      <c r="AG763">
        <v>16666.666666666668</v>
      </c>
      <c r="AH763">
        <v>1</v>
      </c>
      <c r="AI763">
        <v>1</v>
      </c>
      <c r="AJ763" t="s">
        <v>162</v>
      </c>
      <c r="AK763" t="s">
        <v>176</v>
      </c>
      <c r="AL763">
        <v>0</v>
      </c>
      <c r="AM763" t="s">
        <v>176</v>
      </c>
      <c r="AN763">
        <v>0</v>
      </c>
    </row>
    <row r="764" spans="1:40" x14ac:dyDescent="0.15">
      <c r="A764" s="4" t="str">
        <f>HYPERLINK("https://ibp.a2mac1.com/costing(costing:projects/details/9760/process/12085971)","Blanking")</f>
        <v>Blanking</v>
      </c>
      <c r="C764">
        <v>12085971</v>
      </c>
      <c r="D764">
        <v>8416533</v>
      </c>
      <c r="E764">
        <v>35.519195655942433</v>
      </c>
      <c r="F764">
        <v>0</v>
      </c>
      <c r="G764">
        <v>0</v>
      </c>
      <c r="H764">
        <v>4.5884562428257329E-2</v>
      </c>
      <c r="I764" t="s">
        <v>176</v>
      </c>
      <c r="J764">
        <v>1.5441920047971218</v>
      </c>
      <c r="K764">
        <v>37.109272223167814</v>
      </c>
      <c r="L764">
        <v>2.9151557715999681E-2</v>
      </c>
      <c r="M764">
        <v>0.17490934629599808</v>
      </c>
      <c r="N764">
        <v>37.284181569463811</v>
      </c>
      <c r="O764" t="s">
        <v>90</v>
      </c>
      <c r="P764">
        <v>0</v>
      </c>
      <c r="Q764" t="s">
        <v>90</v>
      </c>
      <c r="R764">
        <v>0</v>
      </c>
      <c r="S764" t="s">
        <v>90</v>
      </c>
      <c r="T764">
        <v>0</v>
      </c>
      <c r="U764">
        <v>37.284181569463811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6.7976000000000001</v>
      </c>
      <c r="AB764">
        <v>1</v>
      </c>
      <c r="AC764">
        <v>0.1</v>
      </c>
      <c r="AD764">
        <v>0.10389195236953569</v>
      </c>
      <c r="AE764">
        <v>900</v>
      </c>
      <c r="AF764">
        <v>200000</v>
      </c>
      <c r="AG764">
        <v>16666.666666666668</v>
      </c>
      <c r="AH764">
        <v>1</v>
      </c>
      <c r="AI764">
        <v>1</v>
      </c>
      <c r="AJ764" t="s">
        <v>162</v>
      </c>
      <c r="AK764" t="s">
        <v>176</v>
      </c>
      <c r="AL764">
        <v>0</v>
      </c>
      <c r="AM764" t="s">
        <v>176</v>
      </c>
      <c r="AN764">
        <v>0</v>
      </c>
    </row>
    <row r="765" spans="1:40" x14ac:dyDescent="0.15">
      <c r="A765" s="4" t="str">
        <f>HYPERLINK("https://ibp.a2mac1.com/costing(costing:projects/details/9760/process/12085973)","MANUFACTURING  PROCESS")</f>
        <v>MANUFACTURING  PROCESS</v>
      </c>
      <c r="B765" t="s">
        <v>4962</v>
      </c>
      <c r="C765">
        <v>12085973</v>
      </c>
      <c r="D765">
        <v>8416534</v>
      </c>
      <c r="E765">
        <v>0.63677611733333328</v>
      </c>
      <c r="F765">
        <v>0</v>
      </c>
      <c r="G765">
        <v>0</v>
      </c>
      <c r="H765">
        <v>1.3768132266666667E-5</v>
      </c>
      <c r="I765" t="s">
        <v>176</v>
      </c>
      <c r="J765">
        <v>2.4094231466666668E-2</v>
      </c>
      <c r="K765">
        <v>0.66088411693226667</v>
      </c>
      <c r="L765">
        <v>4.9079754834314279E-3</v>
      </c>
      <c r="M765">
        <v>2.9447852900588566E-2</v>
      </c>
      <c r="N765">
        <v>0.69033196983285527</v>
      </c>
      <c r="O765" t="s">
        <v>177</v>
      </c>
      <c r="P765">
        <v>3.9653047015935999E-2</v>
      </c>
      <c r="Q765" t="s">
        <v>177</v>
      </c>
      <c r="R765">
        <v>1.7668711740353141E-3</v>
      </c>
      <c r="S765" t="s">
        <v>178</v>
      </c>
      <c r="T765">
        <v>8.2839836379942633E-2</v>
      </c>
      <c r="U765">
        <v>0.81459172440276917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1.2602800000000001</v>
      </c>
      <c r="AB765">
        <v>2</v>
      </c>
      <c r="AC765">
        <v>0</v>
      </c>
      <c r="AD765">
        <v>1.9999600007999841E-3</v>
      </c>
      <c r="AE765">
        <v>5400</v>
      </c>
      <c r="AF765">
        <v>200000</v>
      </c>
      <c r="AG765">
        <v>16666.666666666668</v>
      </c>
      <c r="AH765">
        <v>1</v>
      </c>
      <c r="AI765">
        <v>1</v>
      </c>
      <c r="AJ765" t="s">
        <v>162</v>
      </c>
      <c r="AK765" t="s">
        <v>176</v>
      </c>
      <c r="AL765">
        <v>0</v>
      </c>
      <c r="AM765" t="s">
        <v>176</v>
      </c>
      <c r="AN765">
        <v>0</v>
      </c>
    </row>
    <row r="766" spans="1:40" x14ac:dyDescent="0.15">
      <c r="A766" s="4" t="str">
        <f>HYPERLINK("https://ibp.a2mac1.com/costing(costing:projects/details/9760/process/12085974)","MANUFACTURING  PROCESS")</f>
        <v>MANUFACTURING  PROCESS</v>
      </c>
      <c r="B766" t="s">
        <v>4962</v>
      </c>
      <c r="C766">
        <v>12085974</v>
      </c>
      <c r="D766">
        <v>8416535</v>
      </c>
      <c r="E766">
        <v>0.88768387699999995</v>
      </c>
      <c r="F766">
        <v>0</v>
      </c>
      <c r="G766">
        <v>0</v>
      </c>
      <c r="H766">
        <v>1.8886890999999999E-5</v>
      </c>
      <c r="I766" t="s">
        <v>176</v>
      </c>
      <c r="J766">
        <v>3.3052059250000002E-2</v>
      </c>
      <c r="K766">
        <v>0.92075482314099999</v>
      </c>
      <c r="L766">
        <v>1.3448047660232346E-2</v>
      </c>
      <c r="M766">
        <v>8.0688285961394074E-2</v>
      </c>
      <c r="N766">
        <v>1.0014431091023941</v>
      </c>
      <c r="O766" t="s">
        <v>177</v>
      </c>
      <c r="P766">
        <v>5.5245289388460003E-2</v>
      </c>
      <c r="Q766" t="s">
        <v>177</v>
      </c>
      <c r="R766">
        <v>4.8412971576836444E-3</v>
      </c>
      <c r="S766" t="s">
        <v>178</v>
      </c>
      <c r="T766">
        <v>0.12017317309228728</v>
      </c>
      <c r="U766">
        <v>1.1817028687408251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2.5205600000000001</v>
      </c>
      <c r="AB766">
        <v>1</v>
      </c>
      <c r="AC766">
        <v>0</v>
      </c>
      <c r="AD766">
        <v>1.9999600007999841E-3</v>
      </c>
      <c r="AE766">
        <v>5400</v>
      </c>
      <c r="AF766">
        <v>400000</v>
      </c>
      <c r="AG766">
        <v>33333.333333333336</v>
      </c>
      <c r="AH766">
        <v>1</v>
      </c>
      <c r="AI766">
        <v>1</v>
      </c>
      <c r="AJ766" t="s">
        <v>162</v>
      </c>
      <c r="AK766" t="s">
        <v>176</v>
      </c>
      <c r="AL766">
        <v>0</v>
      </c>
      <c r="AM766" t="s">
        <v>176</v>
      </c>
      <c r="AN766">
        <v>0</v>
      </c>
    </row>
    <row r="767" spans="1:40" x14ac:dyDescent="0.15">
      <c r="A767" s="4" t="str">
        <f>HYPERLINK("https://ibp.a2mac1.com/costing(costing:projects/details/9760/process/12085975)","MANUFACTURING  PROCESS")</f>
        <v>MANUFACTURING  PROCESS</v>
      </c>
      <c r="B767" t="s">
        <v>4962</v>
      </c>
      <c r="C767">
        <v>12085975</v>
      </c>
      <c r="D767">
        <v>8416536</v>
      </c>
      <c r="E767">
        <v>0.30311310499999999</v>
      </c>
      <c r="F767">
        <v>0</v>
      </c>
      <c r="G767">
        <v>0</v>
      </c>
      <c r="H767">
        <v>6.4492150000000002E-6</v>
      </c>
      <c r="I767" t="s">
        <v>176</v>
      </c>
      <c r="J767">
        <v>1.128612625E-2</v>
      </c>
      <c r="K767">
        <v>0.314405680465</v>
      </c>
      <c r="L767">
        <v>1.2228940964449372E-2</v>
      </c>
      <c r="M767">
        <v>7.3373645786696237E-2</v>
      </c>
      <c r="N767">
        <v>0.38777932625169625</v>
      </c>
      <c r="O767" t="s">
        <v>177</v>
      </c>
      <c r="P767">
        <v>1.8864340827899999E-2</v>
      </c>
      <c r="Q767" t="s">
        <v>177</v>
      </c>
      <c r="R767">
        <v>4.4024187472017735E-3</v>
      </c>
      <c r="S767" t="s">
        <v>178</v>
      </c>
      <c r="T767">
        <v>4.6533519150203546E-2</v>
      </c>
      <c r="U767">
        <v>0.45757960497700156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2.0987800000000001</v>
      </c>
      <c r="AB767">
        <v>1</v>
      </c>
      <c r="AC767">
        <v>0</v>
      </c>
      <c r="AD767">
        <v>1.9999600007999841E-3</v>
      </c>
      <c r="AE767">
        <v>5400</v>
      </c>
      <c r="AF767">
        <v>200000</v>
      </c>
      <c r="AG767">
        <v>16666.666666666668</v>
      </c>
      <c r="AH767">
        <v>1</v>
      </c>
      <c r="AI767">
        <v>1</v>
      </c>
      <c r="AJ767" t="s">
        <v>162</v>
      </c>
      <c r="AK767" t="s">
        <v>176</v>
      </c>
      <c r="AL767">
        <v>0</v>
      </c>
      <c r="AM767" t="s">
        <v>176</v>
      </c>
      <c r="AN767">
        <v>0</v>
      </c>
    </row>
    <row r="768" spans="1:40" x14ac:dyDescent="0.15">
      <c r="A768" s="4" t="str">
        <f>HYPERLINK("https://ibp.a2mac1.com/costing(costing:projects/details/9760/process/12085976)","MANUFACTURING  PROCESS")</f>
        <v>MANUFACTURING  PROCESS</v>
      </c>
      <c r="B768" t="s">
        <v>4962</v>
      </c>
      <c r="C768">
        <v>12085976</v>
      </c>
      <c r="D768">
        <v>8416537</v>
      </c>
      <c r="E768">
        <v>3.4477319999999999E-2</v>
      </c>
      <c r="F768">
        <v>0</v>
      </c>
      <c r="G768">
        <v>0</v>
      </c>
      <c r="H768">
        <v>7.3356000000000001E-7</v>
      </c>
      <c r="I768" t="s">
        <v>176</v>
      </c>
      <c r="J768">
        <v>1.2837300000000001E-3</v>
      </c>
      <c r="K768">
        <v>3.5761783560000003E-2</v>
      </c>
      <c r="L768">
        <v>4.187280951168211E-2</v>
      </c>
      <c r="M768">
        <v>0.25123685707009269</v>
      </c>
      <c r="N768">
        <v>0.28699864063009267</v>
      </c>
      <c r="O768" t="s">
        <v>177</v>
      </c>
      <c r="P768">
        <v>2.1457070136000002E-3</v>
      </c>
      <c r="Q768" t="s">
        <v>177</v>
      </c>
      <c r="R768">
        <v>1.507421142420556E-2</v>
      </c>
      <c r="S768" t="s">
        <v>178</v>
      </c>
      <c r="T768">
        <v>3.443983687561112E-2</v>
      </c>
      <c r="U768">
        <v>0.33865839594350933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8.04556</v>
      </c>
      <c r="AB768">
        <v>1</v>
      </c>
      <c r="AC768">
        <v>0</v>
      </c>
      <c r="AD768">
        <v>1.9999600007999841E-3</v>
      </c>
      <c r="AE768">
        <v>5400</v>
      </c>
      <c r="AF768">
        <v>200000</v>
      </c>
      <c r="AG768">
        <v>16666.666666666668</v>
      </c>
      <c r="AH768">
        <v>1</v>
      </c>
      <c r="AI768">
        <v>1</v>
      </c>
      <c r="AJ768" t="s">
        <v>162</v>
      </c>
      <c r="AK768" t="s">
        <v>176</v>
      </c>
      <c r="AL768">
        <v>0</v>
      </c>
      <c r="AM768" t="s">
        <v>176</v>
      </c>
      <c r="AN768">
        <v>0</v>
      </c>
    </row>
    <row r="769" spans="1:40" x14ac:dyDescent="0.15">
      <c r="A769" s="4" t="str">
        <f>HYPERLINK("https://ibp.a2mac1.com/costing(costing:projects/details/9760/process/12085524)","MANUFACTURING  PROCESS")</f>
        <v>MANUFACTURING  PROCESS</v>
      </c>
      <c r="B769" t="s">
        <v>4962</v>
      </c>
      <c r="C769">
        <v>12085524</v>
      </c>
      <c r="D769">
        <v>8416229</v>
      </c>
      <c r="E769">
        <v>20.046489162</v>
      </c>
      <c r="F769">
        <v>0</v>
      </c>
      <c r="G769">
        <v>0</v>
      </c>
      <c r="H769">
        <v>4.26521046E-4</v>
      </c>
      <c r="I769" t="s">
        <v>176</v>
      </c>
      <c r="J769">
        <v>0.74641183050000004</v>
      </c>
      <c r="K769">
        <v>20.793327513546</v>
      </c>
      <c r="L769">
        <v>0.24982862648184256</v>
      </c>
      <c r="M769">
        <v>1.4989717588910554</v>
      </c>
      <c r="N769">
        <v>22.292299272437056</v>
      </c>
      <c r="O769" t="s">
        <v>90</v>
      </c>
      <c r="P769">
        <v>0</v>
      </c>
      <c r="Q769" t="s">
        <v>90</v>
      </c>
      <c r="R769">
        <v>0</v>
      </c>
      <c r="S769" t="s">
        <v>90</v>
      </c>
      <c r="T769">
        <v>0</v>
      </c>
      <c r="U769">
        <v>22.292299272437056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49.763039999999997</v>
      </c>
      <c r="AB769">
        <v>1</v>
      </c>
      <c r="AC769">
        <v>0</v>
      </c>
      <c r="AD769">
        <v>1.9999600007999841E-3</v>
      </c>
      <c r="AE769">
        <v>5400</v>
      </c>
      <c r="AF769">
        <v>200000</v>
      </c>
      <c r="AG769">
        <v>16666.666666666668</v>
      </c>
      <c r="AH769">
        <v>1</v>
      </c>
      <c r="AI769">
        <v>1</v>
      </c>
      <c r="AJ769" t="s">
        <v>162</v>
      </c>
      <c r="AK769" t="s">
        <v>176</v>
      </c>
      <c r="AL769">
        <v>0</v>
      </c>
      <c r="AM769" t="s">
        <v>176</v>
      </c>
      <c r="AN769">
        <v>0</v>
      </c>
    </row>
    <row r="770" spans="1:40" x14ac:dyDescent="0.15">
      <c r="A770" s="4" t="str">
        <f>HYPERLINK("https://ibp.a2mac1.com/costing(costing:projects/details/9760/process/12085092)","Assembly")</f>
        <v>Assembly</v>
      </c>
      <c r="C770">
        <v>12085092</v>
      </c>
      <c r="D770">
        <v>8415639</v>
      </c>
      <c r="E770">
        <v>0</v>
      </c>
      <c r="F770">
        <v>0</v>
      </c>
      <c r="G770">
        <v>0</v>
      </c>
      <c r="H770">
        <v>0</v>
      </c>
      <c r="I770" t="s">
        <v>90</v>
      </c>
      <c r="J770">
        <v>0</v>
      </c>
      <c r="K770">
        <v>0</v>
      </c>
      <c r="L770">
        <v>0</v>
      </c>
      <c r="M770">
        <v>1.9646068803148939</v>
      </c>
      <c r="N770">
        <v>1.9646068803148939</v>
      </c>
      <c r="O770" t="s">
        <v>90</v>
      </c>
      <c r="P770">
        <v>0</v>
      </c>
      <c r="Q770" t="s">
        <v>90</v>
      </c>
      <c r="R770">
        <v>0</v>
      </c>
      <c r="S770" t="s">
        <v>90</v>
      </c>
      <c r="T770">
        <v>0</v>
      </c>
      <c r="U770">
        <v>1.9646068803148939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300</v>
      </c>
      <c r="AB770">
        <v>1</v>
      </c>
      <c r="AC770">
        <v>1.99</v>
      </c>
      <c r="AD770">
        <v>1.9992159937279499</v>
      </c>
      <c r="AE770">
        <v>1800</v>
      </c>
      <c r="AF770">
        <v>200000</v>
      </c>
      <c r="AG770">
        <v>10000</v>
      </c>
      <c r="AH770">
        <v>1</v>
      </c>
      <c r="AI770">
        <v>1</v>
      </c>
      <c r="AJ770" t="s">
        <v>76</v>
      </c>
      <c r="AK770" t="s">
        <v>90</v>
      </c>
      <c r="AL770">
        <v>0</v>
      </c>
      <c r="AM770" t="s">
        <v>90</v>
      </c>
      <c r="AN770">
        <v>0</v>
      </c>
    </row>
    <row r="771" spans="1:40" x14ac:dyDescent="0.15">
      <c r="A771" s="4" t="str">
        <f>HYPERLINK("https://ibp.a2mac1.com/costing(costing:projects/details/9760/process/12085091)","Injection molding")</f>
        <v>Injection molding</v>
      </c>
      <c r="B771" t="s">
        <v>5649</v>
      </c>
      <c r="C771">
        <v>12085091</v>
      </c>
      <c r="D771">
        <v>8415632</v>
      </c>
      <c r="E771">
        <v>7.2842695525773202E-2</v>
      </c>
      <c r="F771">
        <v>0</v>
      </c>
      <c r="G771">
        <v>0</v>
      </c>
      <c r="H771">
        <v>3.1004652577319588E-3</v>
      </c>
      <c r="I771" t="s">
        <v>176</v>
      </c>
      <c r="J771">
        <v>2.5533243298969071E-3</v>
      </c>
      <c r="K771">
        <v>7.8496485113402056E-2</v>
      </c>
      <c r="L771">
        <v>6.9724694375489947E-3</v>
      </c>
      <c r="M771">
        <v>4.1834816625293966E-2</v>
      </c>
      <c r="N771">
        <v>0.12033130173869604</v>
      </c>
      <c r="O771" t="s">
        <v>177</v>
      </c>
      <c r="P771">
        <v>4.7097891068041235E-3</v>
      </c>
      <c r="Q771" t="s">
        <v>177</v>
      </c>
      <c r="R771">
        <v>2.5100889975176381E-3</v>
      </c>
      <c r="S771" t="s">
        <v>178</v>
      </c>
      <c r="T771">
        <v>1.4439756208643524E-2</v>
      </c>
      <c r="U771">
        <v>0.14199093605166133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48.769689999999997</v>
      </c>
      <c r="AB771">
        <v>4</v>
      </c>
      <c r="AC771">
        <v>0.1</v>
      </c>
      <c r="AD771">
        <v>4.0767386091127102</v>
      </c>
      <c r="AE771">
        <v>7200</v>
      </c>
      <c r="AF771">
        <v>200000</v>
      </c>
      <c r="AG771">
        <v>16666.666666666668</v>
      </c>
      <c r="AH771">
        <v>1</v>
      </c>
      <c r="AI771">
        <v>1</v>
      </c>
      <c r="AJ771" t="s">
        <v>162</v>
      </c>
      <c r="AK771" t="s">
        <v>176</v>
      </c>
      <c r="AL771">
        <v>0</v>
      </c>
      <c r="AM771" t="s">
        <v>176</v>
      </c>
      <c r="AN771">
        <v>0</v>
      </c>
    </row>
    <row r="772" spans="1:40" x14ac:dyDescent="0.15">
      <c r="A772" s="4" t="str">
        <f>HYPERLINK("https://ibp.a2mac1.com/costing(costing:projects/details/9760/process/12085090)","Painting")</f>
        <v>Painting</v>
      </c>
      <c r="C772">
        <v>12085090</v>
      </c>
      <c r="D772">
        <v>8415632</v>
      </c>
      <c r="E772">
        <v>0.28081224919441461</v>
      </c>
      <c r="F772">
        <v>0</v>
      </c>
      <c r="G772">
        <v>0</v>
      </c>
      <c r="H772">
        <v>1.1631243361632654E-2</v>
      </c>
      <c r="I772" t="s">
        <v>176</v>
      </c>
      <c r="J772">
        <v>9.8284287218045104E-3</v>
      </c>
      <c r="K772">
        <v>0.3022719212778518</v>
      </c>
      <c r="L772">
        <v>9.3753102096842192E-2</v>
      </c>
      <c r="M772">
        <v>0.56251861258105307</v>
      </c>
      <c r="N772">
        <v>0.86479053385890492</v>
      </c>
      <c r="O772" t="s">
        <v>177</v>
      </c>
      <c r="P772">
        <v>1.8136315276671106E-2</v>
      </c>
      <c r="Q772" t="s">
        <v>177</v>
      </c>
      <c r="R772">
        <v>3.3751116754863184E-2</v>
      </c>
      <c r="S772" t="s">
        <v>178</v>
      </c>
      <c r="T772">
        <v>0.10377486406306859</v>
      </c>
      <c r="U772">
        <v>1.0204528299535078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5</v>
      </c>
      <c r="AB772">
        <v>1</v>
      </c>
      <c r="AC772">
        <v>1</v>
      </c>
      <c r="AD772">
        <v>3.9772618155979336</v>
      </c>
      <c r="AE772">
        <v>0</v>
      </c>
      <c r="AF772">
        <v>200000</v>
      </c>
      <c r="AG772">
        <v>16666.666666666668</v>
      </c>
      <c r="AH772">
        <v>1</v>
      </c>
      <c r="AI772">
        <v>1</v>
      </c>
      <c r="AJ772" t="s">
        <v>162</v>
      </c>
      <c r="AK772" t="s">
        <v>176</v>
      </c>
      <c r="AL772">
        <v>0</v>
      </c>
      <c r="AM772" t="s">
        <v>176</v>
      </c>
      <c r="AN772">
        <v>0</v>
      </c>
    </row>
    <row r="773" spans="1:40" x14ac:dyDescent="0.15">
      <c r="A773" s="4" t="str">
        <f>HYPERLINK("https://ibp.a2mac1.com/costing(costing:projects/details/9760/process/12085089)","Chroming line - Small Parts")</f>
        <v>Chroming line - Small Parts</v>
      </c>
      <c r="C773">
        <v>12085089</v>
      </c>
      <c r="D773">
        <v>8415632</v>
      </c>
      <c r="E773">
        <v>0.64646462222222223</v>
      </c>
      <c r="F773">
        <v>0</v>
      </c>
      <c r="G773">
        <v>0</v>
      </c>
      <c r="H773">
        <v>2.0027473996444445E-2</v>
      </c>
      <c r="I773" t="s">
        <v>176</v>
      </c>
      <c r="J773">
        <v>2.2626261777777778E-2</v>
      </c>
      <c r="K773">
        <v>0.6891183579964445</v>
      </c>
      <c r="L773">
        <v>8.9672634129637201E-3</v>
      </c>
      <c r="M773">
        <v>5.3803580477782317E-2</v>
      </c>
      <c r="N773">
        <v>0.74292193847422672</v>
      </c>
      <c r="O773" t="s">
        <v>177</v>
      </c>
      <c r="P773">
        <v>4.1347101479786666E-2</v>
      </c>
      <c r="Q773" t="s">
        <v>177</v>
      </c>
      <c r="R773">
        <v>3.2282148286669394E-3</v>
      </c>
      <c r="S773" t="s">
        <v>178</v>
      </c>
      <c r="T773">
        <v>8.9150632616907213E-2</v>
      </c>
      <c r="U773">
        <v>0.87664788739958754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120</v>
      </c>
      <c r="AB773">
        <v>240</v>
      </c>
      <c r="AC773">
        <v>3</v>
      </c>
      <c r="AD773">
        <v>3.0049079516576462</v>
      </c>
      <c r="AE773">
        <v>0</v>
      </c>
      <c r="AF773">
        <v>200000</v>
      </c>
      <c r="AG773">
        <v>16666.666666666668</v>
      </c>
      <c r="AH773">
        <v>1</v>
      </c>
      <c r="AI773">
        <v>1</v>
      </c>
      <c r="AJ773" t="s">
        <v>162</v>
      </c>
      <c r="AK773" t="s">
        <v>176</v>
      </c>
      <c r="AL773">
        <v>0</v>
      </c>
      <c r="AM773" t="s">
        <v>176</v>
      </c>
      <c r="AN773">
        <v>0</v>
      </c>
    </row>
    <row r="774" spans="1:40" x14ac:dyDescent="0.15">
      <c r="A774" s="4" t="str">
        <f>HYPERLINK("https://ibp.a2mac1.com/costing(costing:projects/details/9760/process/12085062)","Assembly")</f>
        <v>Assembly</v>
      </c>
      <c r="C774">
        <v>12085062</v>
      </c>
      <c r="D774">
        <v>8415583</v>
      </c>
      <c r="E774">
        <v>0</v>
      </c>
      <c r="F774">
        <v>0</v>
      </c>
      <c r="G774">
        <v>0</v>
      </c>
      <c r="H774">
        <v>0</v>
      </c>
      <c r="I774" t="s">
        <v>90</v>
      </c>
      <c r="J774">
        <v>0</v>
      </c>
      <c r="K774">
        <v>0</v>
      </c>
      <c r="L774">
        <v>0</v>
      </c>
      <c r="M774">
        <v>0.43868503495279115</v>
      </c>
      <c r="N774">
        <v>0.43868503495279115</v>
      </c>
      <c r="O774" t="s">
        <v>90</v>
      </c>
      <c r="P774">
        <v>0</v>
      </c>
      <c r="Q774" t="s">
        <v>90</v>
      </c>
      <c r="R774">
        <v>0</v>
      </c>
      <c r="S774" t="s">
        <v>90</v>
      </c>
      <c r="T774">
        <v>0</v>
      </c>
      <c r="U774">
        <v>0.43868503495279115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300</v>
      </c>
      <c r="AB774">
        <v>1</v>
      </c>
      <c r="AC774">
        <v>0.1</v>
      </c>
      <c r="AD774">
        <v>0.10987913295375087</v>
      </c>
      <c r="AE774">
        <v>600</v>
      </c>
      <c r="AF774">
        <v>200000</v>
      </c>
      <c r="AG774">
        <v>10000</v>
      </c>
      <c r="AH774">
        <v>1</v>
      </c>
      <c r="AI774">
        <v>1</v>
      </c>
      <c r="AJ774" t="s">
        <v>76</v>
      </c>
      <c r="AK774" t="s">
        <v>90</v>
      </c>
      <c r="AL774">
        <v>0</v>
      </c>
      <c r="AM774" t="s">
        <v>90</v>
      </c>
      <c r="AN774">
        <v>0</v>
      </c>
    </row>
    <row r="775" spans="1:40" x14ac:dyDescent="0.15">
      <c r="A775" s="4" t="str">
        <f>HYPERLINK("https://ibp.a2mac1.com/costing(costing:projects/details/9760/process/12086168)","MANUFACTURING  PROCESS")</f>
        <v>MANUFACTURING  PROCESS</v>
      </c>
      <c r="B775" t="s">
        <v>4962</v>
      </c>
      <c r="C775">
        <v>12086168</v>
      </c>
      <c r="D775">
        <v>8416833</v>
      </c>
      <c r="E775">
        <v>2.776860815</v>
      </c>
      <c r="F775">
        <v>0</v>
      </c>
      <c r="G775">
        <v>0</v>
      </c>
      <c r="H775">
        <v>5.9082144999999998E-5</v>
      </c>
      <c r="I775" t="s">
        <v>176</v>
      </c>
      <c r="J775">
        <v>0.10339375375</v>
      </c>
      <c r="K775">
        <v>2.8803136508949998</v>
      </c>
      <c r="L775">
        <v>0.24982862648184256</v>
      </c>
      <c r="M775">
        <v>1.4989717588910554</v>
      </c>
      <c r="N775">
        <v>4.3792854097860552</v>
      </c>
      <c r="O775" t="s">
        <v>90</v>
      </c>
      <c r="P775">
        <v>0</v>
      </c>
      <c r="Q775" t="s">
        <v>90</v>
      </c>
      <c r="R775">
        <v>0</v>
      </c>
      <c r="S775" t="s">
        <v>90</v>
      </c>
      <c r="T775">
        <v>0</v>
      </c>
      <c r="U775">
        <v>4.3792854097860552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49.763039999999997</v>
      </c>
      <c r="AB775">
        <v>1</v>
      </c>
      <c r="AC775">
        <v>0</v>
      </c>
      <c r="AD775">
        <v>1.9999600007999841E-3</v>
      </c>
      <c r="AE775">
        <v>5400</v>
      </c>
      <c r="AF775">
        <v>200000</v>
      </c>
      <c r="AG775">
        <v>16666.666666666668</v>
      </c>
      <c r="AH775">
        <v>1</v>
      </c>
      <c r="AI775">
        <v>1</v>
      </c>
      <c r="AJ775" t="s">
        <v>162</v>
      </c>
      <c r="AK775" t="s">
        <v>176</v>
      </c>
      <c r="AL775">
        <v>0</v>
      </c>
      <c r="AM775" t="s">
        <v>176</v>
      </c>
      <c r="AN775">
        <v>0</v>
      </c>
    </row>
    <row r="776" spans="1:40" x14ac:dyDescent="0.15">
      <c r="A776" s="4" t="str">
        <f>HYPERLINK("https://ibp.a2mac1.com/costing(costing:projects/details/9760/process/12086169)","MANUFACTURING  PROCESS")</f>
        <v>MANUFACTURING  PROCESS</v>
      </c>
      <c r="B776" t="s">
        <v>4962</v>
      </c>
      <c r="C776">
        <v>12086169</v>
      </c>
      <c r="D776">
        <v>8416834</v>
      </c>
      <c r="E776">
        <v>3.8450770000000002E-2</v>
      </c>
      <c r="F776">
        <v>0</v>
      </c>
      <c r="G776">
        <v>0</v>
      </c>
      <c r="H776">
        <v>8.3136799999999996E-7</v>
      </c>
      <c r="I776" t="s">
        <v>176</v>
      </c>
      <c r="J776">
        <v>1.454894E-3</v>
      </c>
      <c r="K776">
        <v>3.9906495367999999E-2</v>
      </c>
      <c r="L776">
        <v>4.0245677300752326E-3</v>
      </c>
      <c r="M776">
        <v>2.4147406380451396E-2</v>
      </c>
      <c r="N776">
        <v>6.4053901748451395E-2</v>
      </c>
      <c r="O776" t="s">
        <v>177</v>
      </c>
      <c r="P776">
        <v>2.3943897220800002E-3</v>
      </c>
      <c r="Q776" t="s">
        <v>177</v>
      </c>
      <c r="R776">
        <v>1.4488443828270837E-3</v>
      </c>
      <c r="S776" t="s">
        <v>178</v>
      </c>
      <c r="T776">
        <v>7.6864682098141679E-3</v>
      </c>
      <c r="U776">
        <v>7.5583604063172646E-2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1.2602800000000001</v>
      </c>
      <c r="AB776">
        <v>2</v>
      </c>
      <c r="AC776">
        <v>0</v>
      </c>
      <c r="AD776">
        <v>1.9999600007999841E-3</v>
      </c>
      <c r="AE776">
        <v>5400</v>
      </c>
      <c r="AF776">
        <v>400000</v>
      </c>
      <c r="AG776">
        <v>33333.333333333336</v>
      </c>
      <c r="AH776">
        <v>1</v>
      </c>
      <c r="AI776">
        <v>1</v>
      </c>
      <c r="AJ776" t="s">
        <v>162</v>
      </c>
      <c r="AK776" t="s">
        <v>176</v>
      </c>
      <c r="AL776">
        <v>0</v>
      </c>
      <c r="AM776" t="s">
        <v>176</v>
      </c>
      <c r="AN776">
        <v>0</v>
      </c>
    </row>
    <row r="777" spans="1:40" x14ac:dyDescent="0.15">
      <c r="A777" s="4" t="str">
        <f>HYPERLINK("https://ibp.a2mac1.com/costing(costing:projects/details/9760/process/12086170)","MANUFACTURING  PROCESS")</f>
        <v>MANUFACTURING  PROCESS</v>
      </c>
      <c r="B777" t="s">
        <v>4962</v>
      </c>
      <c r="C777">
        <v>12086170</v>
      </c>
      <c r="D777">
        <v>8416835</v>
      </c>
      <c r="E777">
        <v>6.3208420000000001E-2</v>
      </c>
      <c r="F777">
        <v>0</v>
      </c>
      <c r="G777">
        <v>0</v>
      </c>
      <c r="H777">
        <v>1.34486E-6</v>
      </c>
      <c r="I777" t="s">
        <v>176</v>
      </c>
      <c r="J777">
        <v>2.3535050000000001E-3</v>
      </c>
      <c r="K777">
        <v>6.5563269859999995E-2</v>
      </c>
      <c r="L777">
        <v>4.0245677300752326E-3</v>
      </c>
      <c r="M777">
        <v>2.4147406380451396E-2</v>
      </c>
      <c r="N777">
        <v>8.9710676240451398E-2</v>
      </c>
      <c r="O777" t="s">
        <v>177</v>
      </c>
      <c r="P777">
        <v>3.9337961915999996E-3</v>
      </c>
      <c r="Q777" t="s">
        <v>177</v>
      </c>
      <c r="R777">
        <v>1.4488443828270837E-3</v>
      </c>
      <c r="S777" t="s">
        <v>178</v>
      </c>
      <c r="T777">
        <v>1.0765281148854168E-2</v>
      </c>
      <c r="U777">
        <v>0.10585859796373265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1.2602800000000001</v>
      </c>
      <c r="AB777">
        <v>2</v>
      </c>
      <c r="AC777">
        <v>0</v>
      </c>
      <c r="AD777">
        <v>1.9999600007999841E-3</v>
      </c>
      <c r="AE777">
        <v>5400</v>
      </c>
      <c r="AF777">
        <v>400000</v>
      </c>
      <c r="AG777">
        <v>33333.333333333336</v>
      </c>
      <c r="AH777">
        <v>1</v>
      </c>
      <c r="AI777">
        <v>1</v>
      </c>
      <c r="AJ777" t="s">
        <v>162</v>
      </c>
      <c r="AK777" t="s">
        <v>176</v>
      </c>
      <c r="AL777">
        <v>0</v>
      </c>
      <c r="AM777" t="s">
        <v>176</v>
      </c>
      <c r="AN777">
        <v>0</v>
      </c>
    </row>
    <row r="778" spans="1:40" x14ac:dyDescent="0.15">
      <c r="A778" s="4" t="str">
        <f>HYPERLINK("https://ibp.a2mac1.com/costing(costing:projects/details/9760/process/12086171)","MANUFACTURING  PROCESS")</f>
        <v>MANUFACTURING  PROCESS</v>
      </c>
      <c r="B778" t="s">
        <v>4962</v>
      </c>
      <c r="C778">
        <v>12086171</v>
      </c>
      <c r="D778">
        <v>8416836</v>
      </c>
      <c r="E778">
        <v>0.44482263333333333</v>
      </c>
      <c r="F778">
        <v>0</v>
      </c>
      <c r="G778">
        <v>0</v>
      </c>
      <c r="H778">
        <v>9.6177866666666659E-6</v>
      </c>
      <c r="I778" t="s">
        <v>176</v>
      </c>
      <c r="J778">
        <v>1.6831126666666668E-2</v>
      </c>
      <c r="K778">
        <v>0.46166337778666666</v>
      </c>
      <c r="L778">
        <v>1.1345533211093177E-2</v>
      </c>
      <c r="M778">
        <v>6.8073199266559054E-2</v>
      </c>
      <c r="N778">
        <v>0.52973657705322574</v>
      </c>
      <c r="O778" t="s">
        <v>177</v>
      </c>
      <c r="P778">
        <v>2.7699802667199999E-2</v>
      </c>
      <c r="Q778" t="s">
        <v>177</v>
      </c>
      <c r="R778">
        <v>4.0843919559935436E-3</v>
      </c>
      <c r="S778" t="s">
        <v>178</v>
      </c>
      <c r="T778">
        <v>6.356838924638708E-2</v>
      </c>
      <c r="U778">
        <v>0.62508916092280631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2.0987800000000001</v>
      </c>
      <c r="AB778">
        <v>1</v>
      </c>
      <c r="AC778">
        <v>0</v>
      </c>
      <c r="AD778">
        <v>1.9999600007999841E-3</v>
      </c>
      <c r="AE778">
        <v>5400</v>
      </c>
      <c r="AF778">
        <v>400000</v>
      </c>
      <c r="AG778">
        <v>33333.333333333336</v>
      </c>
      <c r="AH778">
        <v>1</v>
      </c>
      <c r="AI778">
        <v>1</v>
      </c>
      <c r="AJ778" t="s">
        <v>162</v>
      </c>
      <c r="AK778" t="s">
        <v>176</v>
      </c>
      <c r="AL778">
        <v>0</v>
      </c>
      <c r="AM778" t="s">
        <v>176</v>
      </c>
      <c r="AN778">
        <v>0</v>
      </c>
    </row>
    <row r="779" spans="1:40" x14ac:dyDescent="0.15">
      <c r="A779" s="4" t="str">
        <f>HYPERLINK("https://ibp.a2mac1.com/costing(costing:projects/details/9760/process/12086172)","MANUFACTURING  PROCESS")</f>
        <v>MANUFACTURING  PROCESS</v>
      </c>
      <c r="B779" t="s">
        <v>4962</v>
      </c>
      <c r="C779">
        <v>12086172</v>
      </c>
      <c r="D779">
        <v>8416837</v>
      </c>
      <c r="E779">
        <v>0.343336645</v>
      </c>
      <c r="F779">
        <v>0</v>
      </c>
      <c r="G779">
        <v>0</v>
      </c>
      <c r="H779">
        <v>7.3050350000000003E-6</v>
      </c>
      <c r="I779" t="s">
        <v>176</v>
      </c>
      <c r="J779">
        <v>1.2783811250000001E-2</v>
      </c>
      <c r="K779">
        <v>0.35612776128500001</v>
      </c>
      <c r="L779">
        <v>1.2228940964449372E-2</v>
      </c>
      <c r="M779">
        <v>7.3373645786696237E-2</v>
      </c>
      <c r="N779">
        <v>0.42950140707169621</v>
      </c>
      <c r="O779" t="s">
        <v>177</v>
      </c>
      <c r="P779">
        <v>2.1367665677099999E-2</v>
      </c>
      <c r="Q779" t="s">
        <v>177</v>
      </c>
      <c r="R779">
        <v>4.4024187472017735E-3</v>
      </c>
      <c r="S779" t="s">
        <v>178</v>
      </c>
      <c r="T779">
        <v>5.1540168848603546E-2</v>
      </c>
      <c r="U779">
        <v>0.50681166034460157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2.0987800000000001</v>
      </c>
      <c r="AB779">
        <v>1</v>
      </c>
      <c r="AC779">
        <v>0</v>
      </c>
      <c r="AD779">
        <v>1.9999600007999841E-3</v>
      </c>
      <c r="AE779">
        <v>5400</v>
      </c>
      <c r="AF779">
        <v>200000</v>
      </c>
      <c r="AG779">
        <v>16666.666666666668</v>
      </c>
      <c r="AH779">
        <v>1</v>
      </c>
      <c r="AI779">
        <v>1</v>
      </c>
      <c r="AJ779" t="s">
        <v>162</v>
      </c>
      <c r="AK779" t="s">
        <v>176</v>
      </c>
      <c r="AL779">
        <v>0</v>
      </c>
      <c r="AM779" t="s">
        <v>176</v>
      </c>
      <c r="AN779">
        <v>0</v>
      </c>
    </row>
    <row r="780" spans="1:40" x14ac:dyDescent="0.15">
      <c r="A780" s="4" t="str">
        <f>HYPERLINK("https://ibp.a2mac1.com/costing(costing:projects/details/9760/process/12086173)","MANUFACTURING  PROCESS")</f>
        <v>MANUFACTURING  PROCESS</v>
      </c>
      <c r="B780" t="s">
        <v>4962</v>
      </c>
      <c r="C780">
        <v>12086173</v>
      </c>
      <c r="D780">
        <v>8416838</v>
      </c>
      <c r="E780">
        <v>2.5082250300000002</v>
      </c>
      <c r="F780">
        <v>0</v>
      </c>
      <c r="G780">
        <v>0</v>
      </c>
      <c r="H780">
        <v>5.3366489999999997E-5</v>
      </c>
      <c r="I780" t="s">
        <v>176</v>
      </c>
      <c r="J780">
        <v>9.3391357499999994E-2</v>
      </c>
      <c r="K780">
        <v>2.60166975399</v>
      </c>
      <c r="L780">
        <v>0.24982862648184256</v>
      </c>
      <c r="M780">
        <v>1.4989717588910554</v>
      </c>
      <c r="N780">
        <v>4.1006415128810554</v>
      </c>
      <c r="O780" t="s">
        <v>90</v>
      </c>
      <c r="P780">
        <v>0</v>
      </c>
      <c r="Q780" t="s">
        <v>90</v>
      </c>
      <c r="R780">
        <v>0</v>
      </c>
      <c r="S780" t="s">
        <v>90</v>
      </c>
      <c r="T780">
        <v>0</v>
      </c>
      <c r="U780">
        <v>4.1006415128810554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49.763039999999997</v>
      </c>
      <c r="AB780">
        <v>1</v>
      </c>
      <c r="AC780">
        <v>0</v>
      </c>
      <c r="AD780">
        <v>1.9999600007999841E-3</v>
      </c>
      <c r="AE780">
        <v>5400</v>
      </c>
      <c r="AF780">
        <v>200000</v>
      </c>
      <c r="AG780">
        <v>16666.666666666668</v>
      </c>
      <c r="AH780">
        <v>1</v>
      </c>
      <c r="AI780">
        <v>1</v>
      </c>
      <c r="AJ780" t="s">
        <v>162</v>
      </c>
      <c r="AK780" t="s">
        <v>176</v>
      </c>
      <c r="AL780">
        <v>0</v>
      </c>
      <c r="AM780" t="s">
        <v>176</v>
      </c>
      <c r="AN780">
        <v>0</v>
      </c>
    </row>
    <row r="781" spans="1:40" x14ac:dyDescent="0.15">
      <c r="A781" s="4" t="str">
        <f>HYPERLINK("https://ibp.a2mac1.com/costing(costing:projects/details/9760/process/12086174)","MANUFACTURING  PROCESS")</f>
        <v>MANUFACTURING  PROCESS</v>
      </c>
      <c r="B781" t="s">
        <v>4962</v>
      </c>
      <c r="C781">
        <v>12086174</v>
      </c>
      <c r="D781">
        <v>8416839</v>
      </c>
      <c r="E781">
        <v>0.79872458000000002</v>
      </c>
      <c r="F781">
        <v>0</v>
      </c>
      <c r="G781">
        <v>0</v>
      </c>
      <c r="H781">
        <v>1.699414E-5</v>
      </c>
      <c r="I781" t="s">
        <v>176</v>
      </c>
      <c r="J781">
        <v>2.9739745000000001E-2</v>
      </c>
      <c r="K781">
        <v>0.82848131914000001</v>
      </c>
      <c r="L781">
        <v>2.1317587816820249E-2</v>
      </c>
      <c r="M781">
        <v>0.1279055269009215</v>
      </c>
      <c r="N781">
        <v>0.9563868460409215</v>
      </c>
      <c r="O781" t="s">
        <v>177</v>
      </c>
      <c r="P781">
        <v>4.9708879148399998E-2</v>
      </c>
      <c r="Q781" t="s">
        <v>177</v>
      </c>
      <c r="R781">
        <v>7.6743316140552896E-3</v>
      </c>
      <c r="S781" t="s">
        <v>178</v>
      </c>
      <c r="T781">
        <v>0.11476642152491058</v>
      </c>
      <c r="U781">
        <v>1.1285364783282874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3.9220299999999999</v>
      </c>
      <c r="AB781">
        <v>1</v>
      </c>
      <c r="AC781">
        <v>0</v>
      </c>
      <c r="AD781">
        <v>1.9999600007999841E-3</v>
      </c>
      <c r="AE781">
        <v>5400</v>
      </c>
      <c r="AF781">
        <v>200000</v>
      </c>
      <c r="AG781">
        <v>16666.666666666668</v>
      </c>
      <c r="AH781">
        <v>1</v>
      </c>
      <c r="AI781">
        <v>1</v>
      </c>
      <c r="AJ781" t="s">
        <v>162</v>
      </c>
      <c r="AK781" t="s">
        <v>176</v>
      </c>
      <c r="AL781">
        <v>0</v>
      </c>
      <c r="AM781" t="s">
        <v>176</v>
      </c>
      <c r="AN781">
        <v>0</v>
      </c>
    </row>
    <row r="782" spans="1:40" x14ac:dyDescent="0.15">
      <c r="A782" s="4" t="str">
        <f>HYPERLINK("https://ibp.a2mac1.com/costing(costing:projects/details/9760/process/12086175)","MANUFACTURING  PROCESS")</f>
        <v>MANUFACTURING  PROCESS</v>
      </c>
      <c r="B782" t="s">
        <v>4962</v>
      </c>
      <c r="C782">
        <v>12086175</v>
      </c>
      <c r="D782">
        <v>8416840</v>
      </c>
      <c r="E782">
        <v>1.0871766733333332</v>
      </c>
      <c r="F782">
        <v>0</v>
      </c>
      <c r="G782">
        <v>0</v>
      </c>
      <c r="H782">
        <v>2.3506522666666666E-5</v>
      </c>
      <c r="I782" t="s">
        <v>176</v>
      </c>
      <c r="J782">
        <v>4.1136414666666669E-2</v>
      </c>
      <c r="K782">
        <v>1.1283365945226667</v>
      </c>
      <c r="L782">
        <v>2.1317587816820249E-2</v>
      </c>
      <c r="M782">
        <v>0.1279055269009215</v>
      </c>
      <c r="N782">
        <v>1.2562421214235882</v>
      </c>
      <c r="O782" t="s">
        <v>177</v>
      </c>
      <c r="P782">
        <v>6.770019567136E-2</v>
      </c>
      <c r="Q782" t="s">
        <v>177</v>
      </c>
      <c r="R782">
        <v>7.6743316140552896E-3</v>
      </c>
      <c r="S782" t="s">
        <v>178</v>
      </c>
      <c r="T782">
        <v>0.15074905457083057</v>
      </c>
      <c r="U782">
        <v>1.4823657032798341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3.9220299999999999</v>
      </c>
      <c r="AB782">
        <v>1</v>
      </c>
      <c r="AC782">
        <v>0</v>
      </c>
      <c r="AD782">
        <v>1.9999600007999841E-3</v>
      </c>
      <c r="AE782">
        <v>5400</v>
      </c>
      <c r="AF782">
        <v>200000</v>
      </c>
      <c r="AG782">
        <v>16666.666666666668</v>
      </c>
      <c r="AH782">
        <v>1</v>
      </c>
      <c r="AI782">
        <v>1</v>
      </c>
      <c r="AJ782" t="s">
        <v>162</v>
      </c>
      <c r="AK782" t="s">
        <v>176</v>
      </c>
      <c r="AL782">
        <v>0</v>
      </c>
      <c r="AM782" t="s">
        <v>176</v>
      </c>
      <c r="AN782">
        <v>0</v>
      </c>
    </row>
    <row r="783" spans="1:40" x14ac:dyDescent="0.15">
      <c r="A783" s="4" t="str">
        <f>HYPERLINK("https://ibp.a2mac1.com/costing(costing:projects/details/9760/process/12085093)","Assembly")</f>
        <v>Assembly</v>
      </c>
      <c r="C783">
        <v>12085093</v>
      </c>
      <c r="D783">
        <v>8415640</v>
      </c>
      <c r="E783">
        <v>0</v>
      </c>
      <c r="F783">
        <v>0</v>
      </c>
      <c r="G783">
        <v>0</v>
      </c>
      <c r="H783">
        <v>0</v>
      </c>
      <c r="I783" t="s">
        <v>176</v>
      </c>
      <c r="J783">
        <v>0</v>
      </c>
      <c r="K783">
        <v>0</v>
      </c>
      <c r="L783">
        <v>0.39292137606297878</v>
      </c>
      <c r="M783">
        <v>2.357528256377873</v>
      </c>
      <c r="N783">
        <v>2.357528256377873</v>
      </c>
      <c r="O783" t="s">
        <v>90</v>
      </c>
      <c r="P783">
        <v>0</v>
      </c>
      <c r="Q783" t="s">
        <v>90</v>
      </c>
      <c r="R783">
        <v>0</v>
      </c>
      <c r="S783" t="s">
        <v>90</v>
      </c>
      <c r="T783">
        <v>0</v>
      </c>
      <c r="U783">
        <v>2.357528256377873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300</v>
      </c>
      <c r="AB783">
        <v>1</v>
      </c>
      <c r="AC783">
        <v>1.99</v>
      </c>
      <c r="AD783">
        <v>1.9992159937279499</v>
      </c>
      <c r="AE783">
        <v>1800</v>
      </c>
      <c r="AF783">
        <v>200000</v>
      </c>
      <c r="AG783">
        <v>10000</v>
      </c>
      <c r="AH783">
        <v>1</v>
      </c>
      <c r="AI783">
        <v>1</v>
      </c>
      <c r="AJ783" t="s">
        <v>76</v>
      </c>
      <c r="AK783" t="s">
        <v>176</v>
      </c>
      <c r="AL783">
        <v>0</v>
      </c>
      <c r="AM783" t="s">
        <v>176</v>
      </c>
      <c r="AN783">
        <v>0</v>
      </c>
    </row>
    <row r="784" spans="1:40" x14ac:dyDescent="0.15">
      <c r="A784" s="4" t="str">
        <f>HYPERLINK("https://ibp.a2mac1.com/costing(costing:projects/details/9760/process/12085231)","Stamping")</f>
        <v>Stamping</v>
      </c>
      <c r="C784">
        <v>12085231</v>
      </c>
      <c r="D784">
        <v>8415872</v>
      </c>
      <c r="E784">
        <v>1.8733125E-3</v>
      </c>
      <c r="F784">
        <v>0</v>
      </c>
      <c r="G784">
        <v>0</v>
      </c>
      <c r="H784">
        <v>2.0084999999999999E-6</v>
      </c>
      <c r="I784" t="s">
        <v>176</v>
      </c>
      <c r="J784">
        <v>6.759375E-5</v>
      </c>
      <c r="K784">
        <v>1.9429147500000001E-3</v>
      </c>
      <c r="L784">
        <v>1.1484708742764049E-3</v>
      </c>
      <c r="M784">
        <v>6.8908252456584291E-3</v>
      </c>
      <c r="N784">
        <v>8.8337399956584291E-3</v>
      </c>
      <c r="O784" t="s">
        <v>177</v>
      </c>
      <c r="P784">
        <v>1.16574885E-4</v>
      </c>
      <c r="Q784" t="s">
        <v>177</v>
      </c>
      <c r="R784">
        <v>4.1344951473950577E-4</v>
      </c>
      <c r="S784" t="s">
        <v>178</v>
      </c>
      <c r="T784">
        <v>1.0600487994790115E-3</v>
      </c>
      <c r="U784">
        <v>1.0423813194876947E-2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0.17102000000000001</v>
      </c>
      <c r="AB784">
        <v>1</v>
      </c>
      <c r="AC784">
        <v>0.1</v>
      </c>
      <c r="AD784">
        <v>0.10389195236953569</v>
      </c>
      <c r="AE784">
        <v>1800</v>
      </c>
      <c r="AF784">
        <v>200000</v>
      </c>
      <c r="AG784">
        <v>16666.666666666668</v>
      </c>
      <c r="AH784">
        <v>1</v>
      </c>
      <c r="AI784">
        <v>1</v>
      </c>
      <c r="AJ784" t="s">
        <v>162</v>
      </c>
      <c r="AK784" t="s">
        <v>176</v>
      </c>
      <c r="AL784">
        <v>0</v>
      </c>
      <c r="AM784" t="s">
        <v>176</v>
      </c>
      <c r="AN784">
        <v>0</v>
      </c>
    </row>
    <row r="785" spans="1:40" x14ac:dyDescent="0.15">
      <c r="A785" s="4" t="str">
        <f>HYPERLINK("https://ibp.a2mac1.com/costing(costing:projects/details/9760/process/12085232)","Stamping")</f>
        <v>Stamping</v>
      </c>
      <c r="C785">
        <v>12085232</v>
      </c>
      <c r="D785">
        <v>8415873</v>
      </c>
      <c r="E785">
        <v>1.8733125E-3</v>
      </c>
      <c r="F785">
        <v>0</v>
      </c>
      <c r="G785">
        <v>0</v>
      </c>
      <c r="H785">
        <v>2.0084999999999999E-6</v>
      </c>
      <c r="I785" t="s">
        <v>176</v>
      </c>
      <c r="J785">
        <v>6.759375E-5</v>
      </c>
      <c r="K785">
        <v>1.9429147500000001E-3</v>
      </c>
      <c r="L785">
        <v>1.1484708742764049E-3</v>
      </c>
      <c r="M785">
        <v>6.8908252456584291E-3</v>
      </c>
      <c r="N785">
        <v>8.8337399956584291E-3</v>
      </c>
      <c r="O785" t="s">
        <v>177</v>
      </c>
      <c r="P785">
        <v>1.16574885E-4</v>
      </c>
      <c r="Q785" t="s">
        <v>177</v>
      </c>
      <c r="R785">
        <v>4.1344951473950577E-4</v>
      </c>
      <c r="S785" t="s">
        <v>178</v>
      </c>
      <c r="T785">
        <v>1.0600487994790115E-3</v>
      </c>
      <c r="U785">
        <v>1.0423813194876947E-2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0.17102000000000001</v>
      </c>
      <c r="AB785">
        <v>1</v>
      </c>
      <c r="AC785">
        <v>0.1</v>
      </c>
      <c r="AD785">
        <v>0.10389195236953569</v>
      </c>
      <c r="AE785">
        <v>1800</v>
      </c>
      <c r="AF785">
        <v>200000</v>
      </c>
      <c r="AG785">
        <v>16666.666666666668</v>
      </c>
      <c r="AH785">
        <v>1</v>
      </c>
      <c r="AI785">
        <v>1</v>
      </c>
      <c r="AJ785" t="s">
        <v>162</v>
      </c>
      <c r="AK785" t="s">
        <v>176</v>
      </c>
      <c r="AL785">
        <v>0</v>
      </c>
      <c r="AM785" t="s">
        <v>176</v>
      </c>
      <c r="AN785">
        <v>0</v>
      </c>
    </row>
    <row r="786" spans="1:40" x14ac:dyDescent="0.15">
      <c r="A786" s="4" t="str">
        <f>HYPERLINK("https://ibp.a2mac1.com/costing(costing:projects/details/9760/process/12085233)","Stamping")</f>
        <v>Stamping</v>
      </c>
      <c r="C786">
        <v>12085233</v>
      </c>
      <c r="D786">
        <v>8415874</v>
      </c>
      <c r="E786">
        <v>1.8733125E-3</v>
      </c>
      <c r="F786">
        <v>0</v>
      </c>
      <c r="G786">
        <v>0</v>
      </c>
      <c r="H786">
        <v>2.0084999999999999E-6</v>
      </c>
      <c r="I786" t="s">
        <v>176</v>
      </c>
      <c r="J786">
        <v>6.759375E-5</v>
      </c>
      <c r="K786">
        <v>1.9429147500000001E-3</v>
      </c>
      <c r="L786">
        <v>1.1484708742764049E-3</v>
      </c>
      <c r="M786">
        <v>6.8908252456584291E-3</v>
      </c>
      <c r="N786">
        <v>8.8337399956584291E-3</v>
      </c>
      <c r="O786" t="s">
        <v>177</v>
      </c>
      <c r="P786">
        <v>1.16574885E-4</v>
      </c>
      <c r="Q786" t="s">
        <v>177</v>
      </c>
      <c r="R786">
        <v>4.1344951473950577E-4</v>
      </c>
      <c r="S786" t="s">
        <v>178</v>
      </c>
      <c r="T786">
        <v>1.0600487994790115E-3</v>
      </c>
      <c r="U786">
        <v>1.0423813194876947E-2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0.17102000000000001</v>
      </c>
      <c r="AB786">
        <v>1</v>
      </c>
      <c r="AC786">
        <v>0.1</v>
      </c>
      <c r="AD786">
        <v>0.10389195236953569</v>
      </c>
      <c r="AE786">
        <v>1800</v>
      </c>
      <c r="AF786">
        <v>200000</v>
      </c>
      <c r="AG786">
        <v>16666.666666666668</v>
      </c>
      <c r="AH786">
        <v>1</v>
      </c>
      <c r="AI786">
        <v>1</v>
      </c>
      <c r="AJ786" t="s">
        <v>162</v>
      </c>
      <c r="AK786" t="s">
        <v>176</v>
      </c>
      <c r="AL786">
        <v>0</v>
      </c>
      <c r="AM786" t="s">
        <v>176</v>
      </c>
      <c r="AN786">
        <v>0</v>
      </c>
    </row>
    <row r="787" spans="1:40" x14ac:dyDescent="0.15">
      <c r="A787" s="4" t="str">
        <f>HYPERLINK("https://ibp.a2mac1.com/costing(costing:projects/details/9760/process/12085234)","Stamping")</f>
        <v>Stamping</v>
      </c>
      <c r="C787">
        <v>12085234</v>
      </c>
      <c r="D787">
        <v>8415875</v>
      </c>
      <c r="E787">
        <v>1.8733125E-3</v>
      </c>
      <c r="F787">
        <v>0</v>
      </c>
      <c r="G787">
        <v>0</v>
      </c>
      <c r="H787">
        <v>2.0084999999999999E-6</v>
      </c>
      <c r="I787" t="s">
        <v>176</v>
      </c>
      <c r="J787">
        <v>6.759375E-5</v>
      </c>
      <c r="K787">
        <v>1.9429147500000001E-3</v>
      </c>
      <c r="L787">
        <v>1.1484708742764049E-3</v>
      </c>
      <c r="M787">
        <v>6.8908252456584291E-3</v>
      </c>
      <c r="N787">
        <v>8.8337399956584291E-3</v>
      </c>
      <c r="O787" t="s">
        <v>177</v>
      </c>
      <c r="P787">
        <v>1.16574885E-4</v>
      </c>
      <c r="Q787" t="s">
        <v>177</v>
      </c>
      <c r="R787">
        <v>4.1344951473950577E-4</v>
      </c>
      <c r="S787" t="s">
        <v>178</v>
      </c>
      <c r="T787">
        <v>1.0600487994790115E-3</v>
      </c>
      <c r="U787">
        <v>1.0423813194876947E-2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0.17102000000000001</v>
      </c>
      <c r="AB787">
        <v>1</v>
      </c>
      <c r="AC787">
        <v>0.1</v>
      </c>
      <c r="AD787">
        <v>0.10389195236953569</v>
      </c>
      <c r="AE787">
        <v>1800</v>
      </c>
      <c r="AF787">
        <v>200000</v>
      </c>
      <c r="AG787">
        <v>16666.666666666668</v>
      </c>
      <c r="AH787">
        <v>1</v>
      </c>
      <c r="AI787">
        <v>1</v>
      </c>
      <c r="AJ787" t="s">
        <v>162</v>
      </c>
      <c r="AK787" t="s">
        <v>176</v>
      </c>
      <c r="AL787">
        <v>0</v>
      </c>
      <c r="AM787" t="s">
        <v>176</v>
      </c>
      <c r="AN787">
        <v>0</v>
      </c>
    </row>
    <row r="788" spans="1:40" x14ac:dyDescent="0.15">
      <c r="A788" s="4" t="str">
        <f>HYPERLINK("https://ibp.a2mac1.com/costing(costing:projects/details/9760/process/12085235)","Stamping")</f>
        <v>Stamping</v>
      </c>
      <c r="C788">
        <v>12085235</v>
      </c>
      <c r="D788">
        <v>8415876</v>
      </c>
      <c r="E788">
        <v>1.8733125E-3</v>
      </c>
      <c r="F788">
        <v>0</v>
      </c>
      <c r="G788">
        <v>0</v>
      </c>
      <c r="H788">
        <v>2.0084999999999999E-6</v>
      </c>
      <c r="I788" t="s">
        <v>176</v>
      </c>
      <c r="J788">
        <v>6.759375E-5</v>
      </c>
      <c r="K788">
        <v>1.9429147500000001E-3</v>
      </c>
      <c r="L788">
        <v>1.1484708742764049E-3</v>
      </c>
      <c r="M788">
        <v>6.8908252456584291E-3</v>
      </c>
      <c r="N788">
        <v>8.8337399956584291E-3</v>
      </c>
      <c r="O788" t="s">
        <v>177</v>
      </c>
      <c r="P788">
        <v>1.16574885E-4</v>
      </c>
      <c r="Q788" t="s">
        <v>177</v>
      </c>
      <c r="R788">
        <v>4.1344951473950577E-4</v>
      </c>
      <c r="S788" t="s">
        <v>178</v>
      </c>
      <c r="T788">
        <v>1.0600487994790115E-3</v>
      </c>
      <c r="U788">
        <v>1.0423813194876947E-2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0.17102000000000001</v>
      </c>
      <c r="AB788">
        <v>1</v>
      </c>
      <c r="AC788">
        <v>0.1</v>
      </c>
      <c r="AD788">
        <v>0.10389195236953569</v>
      </c>
      <c r="AE788">
        <v>1800</v>
      </c>
      <c r="AF788">
        <v>200000</v>
      </c>
      <c r="AG788">
        <v>16666.666666666668</v>
      </c>
      <c r="AH788">
        <v>1</v>
      </c>
      <c r="AI788">
        <v>1</v>
      </c>
      <c r="AJ788" t="s">
        <v>162</v>
      </c>
      <c r="AK788" t="s">
        <v>176</v>
      </c>
      <c r="AL788">
        <v>0</v>
      </c>
      <c r="AM788" t="s">
        <v>176</v>
      </c>
      <c r="AN788">
        <v>0</v>
      </c>
    </row>
    <row r="789" spans="1:40" x14ac:dyDescent="0.15">
      <c r="A789" s="4" t="str">
        <f>HYPERLINK("https://ibp.a2mac1.com/costing(costing:projects/details/9760/process/12085236)","Stamping")</f>
        <v>Stamping</v>
      </c>
      <c r="C789">
        <v>12085236</v>
      </c>
      <c r="D789">
        <v>8415877</v>
      </c>
      <c r="E789">
        <v>1.8733125E-3</v>
      </c>
      <c r="F789">
        <v>0</v>
      </c>
      <c r="G789">
        <v>0</v>
      </c>
      <c r="H789">
        <v>2.0084999999999999E-6</v>
      </c>
      <c r="I789" t="s">
        <v>176</v>
      </c>
      <c r="J789">
        <v>6.759375E-5</v>
      </c>
      <c r="K789">
        <v>1.9429147500000001E-3</v>
      </c>
      <c r="L789">
        <v>1.1484708742764049E-3</v>
      </c>
      <c r="M789">
        <v>6.8908252456584291E-3</v>
      </c>
      <c r="N789">
        <v>8.8337399956584291E-3</v>
      </c>
      <c r="O789" t="s">
        <v>177</v>
      </c>
      <c r="P789">
        <v>1.16574885E-4</v>
      </c>
      <c r="Q789" t="s">
        <v>177</v>
      </c>
      <c r="R789">
        <v>4.1344951473950577E-4</v>
      </c>
      <c r="S789" t="s">
        <v>178</v>
      </c>
      <c r="T789">
        <v>1.0600487994790115E-3</v>
      </c>
      <c r="U789">
        <v>1.0423813194876947E-2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0.17102000000000001</v>
      </c>
      <c r="AB789">
        <v>1</v>
      </c>
      <c r="AC789">
        <v>0.1</v>
      </c>
      <c r="AD789">
        <v>0.10389195236953569</v>
      </c>
      <c r="AE789">
        <v>1800</v>
      </c>
      <c r="AF789">
        <v>200000</v>
      </c>
      <c r="AG789">
        <v>16666.666666666668</v>
      </c>
      <c r="AH789">
        <v>1</v>
      </c>
      <c r="AI789">
        <v>1</v>
      </c>
      <c r="AJ789" t="s">
        <v>162</v>
      </c>
      <c r="AK789" t="s">
        <v>176</v>
      </c>
      <c r="AL789">
        <v>0</v>
      </c>
      <c r="AM789" t="s">
        <v>176</v>
      </c>
      <c r="AN789">
        <v>0</v>
      </c>
    </row>
    <row r="790" spans="1:40" x14ac:dyDescent="0.15">
      <c r="A790" s="4" t="str">
        <f>HYPERLINK("https://ibp.a2mac1.com/costing(costing:projects/details/9760/process/12085099)","Cleaning")</f>
        <v>Cleaning</v>
      </c>
      <c r="C790">
        <v>12085099</v>
      </c>
      <c r="D790">
        <v>8415643</v>
      </c>
      <c r="E790">
        <v>0</v>
      </c>
      <c r="F790">
        <v>0</v>
      </c>
      <c r="G790">
        <v>0</v>
      </c>
      <c r="H790">
        <v>0</v>
      </c>
      <c r="I790" t="s">
        <v>176</v>
      </c>
      <c r="J790">
        <v>0</v>
      </c>
      <c r="K790">
        <v>0</v>
      </c>
      <c r="L790">
        <v>8.7225172915840563E-3</v>
      </c>
      <c r="M790">
        <v>5.2335103749504341E-2</v>
      </c>
      <c r="N790">
        <v>5.2335103749504341E-2</v>
      </c>
      <c r="O790" t="s">
        <v>90</v>
      </c>
      <c r="P790">
        <v>0</v>
      </c>
      <c r="Q790" t="s">
        <v>90</v>
      </c>
      <c r="R790">
        <v>0</v>
      </c>
      <c r="S790" t="s">
        <v>90</v>
      </c>
      <c r="T790">
        <v>0</v>
      </c>
      <c r="U790">
        <v>5.2335103749504341E-2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15</v>
      </c>
      <c r="AB790">
        <v>1</v>
      </c>
      <c r="AC790">
        <v>0.1</v>
      </c>
      <c r="AD790">
        <v>0.21951706246258232</v>
      </c>
      <c r="AE790">
        <v>0</v>
      </c>
      <c r="AF790">
        <v>200000</v>
      </c>
      <c r="AG790">
        <v>10000</v>
      </c>
      <c r="AH790">
        <v>1</v>
      </c>
      <c r="AI790">
        <v>1</v>
      </c>
      <c r="AJ790" t="s">
        <v>76</v>
      </c>
      <c r="AK790" t="s">
        <v>176</v>
      </c>
      <c r="AL790">
        <v>0</v>
      </c>
      <c r="AM790" t="s">
        <v>176</v>
      </c>
      <c r="AN790">
        <v>0</v>
      </c>
    </row>
    <row r="791" spans="1:40" x14ac:dyDescent="0.15">
      <c r="A791" s="4" t="str">
        <f>HYPERLINK("https://ibp.a2mac1.com/costing(costing:projects/details/9760/process/12085098)","Packaging")</f>
        <v>Packaging</v>
      </c>
      <c r="C791">
        <v>12085098</v>
      </c>
      <c r="D791">
        <v>8415643</v>
      </c>
      <c r="E791">
        <v>0</v>
      </c>
      <c r="F791">
        <v>0</v>
      </c>
      <c r="G791">
        <v>0</v>
      </c>
      <c r="H791">
        <v>0</v>
      </c>
      <c r="I791" t="s">
        <v>176</v>
      </c>
      <c r="J791">
        <v>0</v>
      </c>
      <c r="K791">
        <v>0</v>
      </c>
      <c r="L791">
        <v>4.4008029152917258E-3</v>
      </c>
      <c r="M791">
        <v>2.6404817491750356E-2</v>
      </c>
      <c r="N791">
        <v>2.6404817491750356E-2</v>
      </c>
      <c r="O791" t="s">
        <v>90</v>
      </c>
      <c r="P791">
        <v>0</v>
      </c>
      <c r="Q791" t="s">
        <v>90</v>
      </c>
      <c r="R791">
        <v>0</v>
      </c>
      <c r="S791" t="s">
        <v>90</v>
      </c>
      <c r="T791">
        <v>0</v>
      </c>
      <c r="U791">
        <v>2.6404817491750356E-2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15</v>
      </c>
      <c r="AB791">
        <v>1</v>
      </c>
      <c r="AC791">
        <v>0.1</v>
      </c>
      <c r="AD791">
        <v>0.10987913295375087</v>
      </c>
      <c r="AE791">
        <v>900</v>
      </c>
      <c r="AF791">
        <v>200000</v>
      </c>
      <c r="AG791">
        <v>10000</v>
      </c>
      <c r="AH791">
        <v>1</v>
      </c>
      <c r="AI791">
        <v>1</v>
      </c>
      <c r="AJ791" t="s">
        <v>76</v>
      </c>
      <c r="AK791" t="s">
        <v>176</v>
      </c>
      <c r="AL791">
        <v>0</v>
      </c>
      <c r="AM791" t="s">
        <v>176</v>
      </c>
      <c r="AN791">
        <v>0</v>
      </c>
    </row>
    <row r="792" spans="1:40" x14ac:dyDescent="0.15">
      <c r="A792" s="4" t="str">
        <f>HYPERLINK("https://ibp.a2mac1.com/costing(costing:projects/details/9760/process/12085525)","MANUFACTURING  PROCESS")</f>
        <v>MANUFACTURING  PROCESS</v>
      </c>
      <c r="B792" t="s">
        <v>4962</v>
      </c>
      <c r="C792">
        <v>12085525</v>
      </c>
      <c r="D792">
        <v>8416232</v>
      </c>
      <c r="E792">
        <v>0.15802105</v>
      </c>
      <c r="F792">
        <v>0</v>
      </c>
      <c r="G792">
        <v>0</v>
      </c>
      <c r="H792">
        <v>3.3621500000000001E-6</v>
      </c>
      <c r="I792" t="s">
        <v>176</v>
      </c>
      <c r="J792">
        <v>5.8837624999999996E-3</v>
      </c>
      <c r="K792">
        <v>0.16390817464999999</v>
      </c>
      <c r="L792">
        <v>4.9079754834314279E-3</v>
      </c>
      <c r="M792">
        <v>2.9447852900588566E-2</v>
      </c>
      <c r="N792">
        <v>0.19335602755058856</v>
      </c>
      <c r="O792" t="s">
        <v>90</v>
      </c>
      <c r="P792">
        <v>0</v>
      </c>
      <c r="Q792" t="s">
        <v>90</v>
      </c>
      <c r="R792">
        <v>0</v>
      </c>
      <c r="S792" t="s">
        <v>90</v>
      </c>
      <c r="T792">
        <v>0</v>
      </c>
      <c r="U792">
        <v>0.19335602755058856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1.2602800000000001</v>
      </c>
      <c r="AB792">
        <v>2</v>
      </c>
      <c r="AC792">
        <v>0</v>
      </c>
      <c r="AD792">
        <v>1.9999600007999841E-3</v>
      </c>
      <c r="AE792">
        <v>5400</v>
      </c>
      <c r="AF792">
        <v>200000</v>
      </c>
      <c r="AG792">
        <v>16666.666666666668</v>
      </c>
      <c r="AH792">
        <v>1</v>
      </c>
      <c r="AI792">
        <v>1</v>
      </c>
      <c r="AJ792" t="s">
        <v>162</v>
      </c>
      <c r="AK792" t="s">
        <v>176</v>
      </c>
      <c r="AL792">
        <v>0</v>
      </c>
      <c r="AM792" t="s">
        <v>176</v>
      </c>
      <c r="AN792">
        <v>0</v>
      </c>
    </row>
    <row r="793" spans="1:40" x14ac:dyDescent="0.15">
      <c r="A793" s="4" t="str">
        <f>HYPERLINK("https://ibp.a2mac1.com/costing(costing:projects/details/9760/process/12085526)","MANUFACTURING  PROCESS")</f>
        <v>MANUFACTURING  PROCESS</v>
      </c>
      <c r="B793" t="s">
        <v>4962</v>
      </c>
      <c r="C793">
        <v>12085526</v>
      </c>
      <c r="D793">
        <v>8416233</v>
      </c>
      <c r="E793">
        <v>0.29233894249999998</v>
      </c>
      <c r="F793">
        <v>0</v>
      </c>
      <c r="G793">
        <v>0</v>
      </c>
      <c r="H793">
        <v>6.2199774999999999E-6</v>
      </c>
      <c r="I793" t="s">
        <v>176</v>
      </c>
      <c r="J793">
        <v>1.0884960625E-2</v>
      </c>
      <c r="K793">
        <v>0.30323012310250003</v>
      </c>
      <c r="L793">
        <v>4.9079754834314279E-3</v>
      </c>
      <c r="M793">
        <v>2.9447852900588566E-2</v>
      </c>
      <c r="N793">
        <v>0.33267797600308857</v>
      </c>
      <c r="O793" t="s">
        <v>90</v>
      </c>
      <c r="P793">
        <v>0</v>
      </c>
      <c r="Q793" t="s">
        <v>90</v>
      </c>
      <c r="R793">
        <v>0</v>
      </c>
      <c r="S793" t="s">
        <v>90</v>
      </c>
      <c r="T793">
        <v>0</v>
      </c>
      <c r="U793">
        <v>0.33267797600308857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1.2602800000000001</v>
      </c>
      <c r="AB793">
        <v>2</v>
      </c>
      <c r="AC793">
        <v>0</v>
      </c>
      <c r="AD793">
        <v>1.9999600007999841E-3</v>
      </c>
      <c r="AE793">
        <v>5400</v>
      </c>
      <c r="AF793">
        <v>200000</v>
      </c>
      <c r="AG793">
        <v>16666.666666666668</v>
      </c>
      <c r="AH793">
        <v>1</v>
      </c>
      <c r="AI793">
        <v>1</v>
      </c>
      <c r="AJ793" t="s">
        <v>162</v>
      </c>
      <c r="AK793" t="s">
        <v>176</v>
      </c>
      <c r="AL793">
        <v>0</v>
      </c>
      <c r="AM793" t="s">
        <v>176</v>
      </c>
      <c r="AN793">
        <v>0</v>
      </c>
    </row>
    <row r="794" spans="1:40" x14ac:dyDescent="0.15">
      <c r="A794" s="4" t="str">
        <f>HYPERLINK("https://ibp.a2mac1.com/costing(costing:projects/details/9760/process/12085527)","MANUFACTURING  PROCESS")</f>
        <v>MANUFACTURING  PROCESS</v>
      </c>
      <c r="B794" t="s">
        <v>4962</v>
      </c>
      <c r="C794">
        <v>12085527</v>
      </c>
      <c r="D794">
        <v>8416234</v>
      </c>
      <c r="E794">
        <v>0.81596323999999998</v>
      </c>
      <c r="F794">
        <v>0</v>
      </c>
      <c r="G794">
        <v>0</v>
      </c>
      <c r="H794">
        <v>1.736092E-5</v>
      </c>
      <c r="I794" t="s">
        <v>176</v>
      </c>
      <c r="J794">
        <v>3.038161E-2</v>
      </c>
      <c r="K794">
        <v>0.84636221091999997</v>
      </c>
      <c r="L794">
        <v>4.187280951168211E-2</v>
      </c>
      <c r="M794">
        <v>0.25123685707009269</v>
      </c>
      <c r="N794">
        <v>1.0975990679900927</v>
      </c>
      <c r="O794" t="s">
        <v>90</v>
      </c>
      <c r="P794">
        <v>0</v>
      </c>
      <c r="Q794" t="s">
        <v>90</v>
      </c>
      <c r="R794">
        <v>0</v>
      </c>
      <c r="S794" t="s">
        <v>90</v>
      </c>
      <c r="T794">
        <v>0</v>
      </c>
      <c r="U794">
        <v>1.0975990679900927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8.04556</v>
      </c>
      <c r="AB794">
        <v>1</v>
      </c>
      <c r="AC794">
        <v>0</v>
      </c>
      <c r="AD794">
        <v>1.9999600007999841E-3</v>
      </c>
      <c r="AE794">
        <v>5400</v>
      </c>
      <c r="AF794">
        <v>200000</v>
      </c>
      <c r="AG794">
        <v>16666.666666666668</v>
      </c>
      <c r="AH794">
        <v>1</v>
      </c>
      <c r="AI794">
        <v>1</v>
      </c>
      <c r="AJ794" t="s">
        <v>162</v>
      </c>
      <c r="AK794" t="s">
        <v>176</v>
      </c>
      <c r="AL794">
        <v>0</v>
      </c>
      <c r="AM794" t="s">
        <v>176</v>
      </c>
      <c r="AN794">
        <v>0</v>
      </c>
    </row>
    <row r="795" spans="1:40" x14ac:dyDescent="0.15">
      <c r="A795" s="4" t="str">
        <f>HYPERLINK("https://ibp.a2mac1.com/costing(costing:projects/details/9760/process/12085528)","MANUFACTURING  PROCESS")</f>
        <v>MANUFACTURING  PROCESS</v>
      </c>
      <c r="B795" t="s">
        <v>4962</v>
      </c>
      <c r="C795">
        <v>12085528</v>
      </c>
      <c r="D795">
        <v>8416235</v>
      </c>
      <c r="E795">
        <v>0.13668668</v>
      </c>
      <c r="F795">
        <v>0</v>
      </c>
      <c r="G795">
        <v>0</v>
      </c>
      <c r="H795">
        <v>3.004102857142857E-6</v>
      </c>
      <c r="I795" t="s">
        <v>176</v>
      </c>
      <c r="J795">
        <v>5.2571800000000002E-3</v>
      </c>
      <c r="K795">
        <v>0.14194686410285715</v>
      </c>
      <c r="L795">
        <v>3.0616828624627588E-3</v>
      </c>
      <c r="M795">
        <v>1.8370097174776553E-2</v>
      </c>
      <c r="N795">
        <v>0.1603169612776337</v>
      </c>
      <c r="O795" t="s">
        <v>90</v>
      </c>
      <c r="P795">
        <v>0</v>
      </c>
      <c r="Q795" t="s">
        <v>90</v>
      </c>
      <c r="R795">
        <v>0</v>
      </c>
      <c r="S795" t="s">
        <v>90</v>
      </c>
      <c r="T795">
        <v>0</v>
      </c>
      <c r="U795">
        <v>0.1603169612776337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0.51951999999999998</v>
      </c>
      <c r="AB795">
        <v>2</v>
      </c>
      <c r="AC795">
        <v>0</v>
      </c>
      <c r="AD795">
        <v>1.9999600007999841E-3</v>
      </c>
      <c r="AE795">
        <v>5400</v>
      </c>
      <c r="AF795">
        <v>200000</v>
      </c>
      <c r="AG795">
        <v>16666.666666666668</v>
      </c>
      <c r="AH795">
        <v>1</v>
      </c>
      <c r="AI795">
        <v>1</v>
      </c>
      <c r="AJ795" t="s">
        <v>162</v>
      </c>
      <c r="AK795" t="s">
        <v>176</v>
      </c>
      <c r="AL795">
        <v>0</v>
      </c>
      <c r="AM795" t="s">
        <v>176</v>
      </c>
      <c r="AN795">
        <v>0</v>
      </c>
    </row>
    <row r="796" spans="1:40" x14ac:dyDescent="0.15">
      <c r="A796" s="4" t="str">
        <f>HYPERLINK("https://ibp.a2mac1.com/costing(costing:projects/details/9760/process/12085529)","MANUFACTURING  PROCESS")</f>
        <v>MANUFACTURING  PROCESS</v>
      </c>
      <c r="B796" t="s">
        <v>4962</v>
      </c>
      <c r="C796">
        <v>12085529</v>
      </c>
      <c r="D796">
        <v>8416236</v>
      </c>
      <c r="E796">
        <v>0.15802105</v>
      </c>
      <c r="F796">
        <v>0</v>
      </c>
      <c r="G796">
        <v>0</v>
      </c>
      <c r="H796">
        <v>3.3621500000000001E-6</v>
      </c>
      <c r="I796" t="s">
        <v>176</v>
      </c>
      <c r="J796">
        <v>5.8837624999999996E-3</v>
      </c>
      <c r="K796">
        <v>0.16390817464999999</v>
      </c>
      <c r="L796">
        <v>4.9079754834314279E-3</v>
      </c>
      <c r="M796">
        <v>2.9447852900588566E-2</v>
      </c>
      <c r="N796">
        <v>0.19335602755058856</v>
      </c>
      <c r="O796" t="s">
        <v>90</v>
      </c>
      <c r="P796">
        <v>0</v>
      </c>
      <c r="Q796" t="s">
        <v>90</v>
      </c>
      <c r="R796">
        <v>0</v>
      </c>
      <c r="S796" t="s">
        <v>90</v>
      </c>
      <c r="T796">
        <v>0</v>
      </c>
      <c r="U796">
        <v>0.19335602755058856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1.2602800000000001</v>
      </c>
      <c r="AB796">
        <v>2</v>
      </c>
      <c r="AC796">
        <v>0</v>
      </c>
      <c r="AD796">
        <v>1.9999600007999841E-3</v>
      </c>
      <c r="AE796">
        <v>5400</v>
      </c>
      <c r="AF796">
        <v>200000</v>
      </c>
      <c r="AG796">
        <v>16666.666666666668</v>
      </c>
      <c r="AH796">
        <v>1</v>
      </c>
      <c r="AI796">
        <v>1</v>
      </c>
      <c r="AJ796" t="s">
        <v>162</v>
      </c>
      <c r="AK796" t="s">
        <v>176</v>
      </c>
      <c r="AL796">
        <v>0</v>
      </c>
      <c r="AM796" t="s">
        <v>176</v>
      </c>
      <c r="AN796">
        <v>0</v>
      </c>
    </row>
    <row r="797" spans="1:40" x14ac:dyDescent="0.15">
      <c r="A797" s="4" t="str">
        <f>HYPERLINK("https://ibp.a2mac1.com/costing(costing:projects/details/9760/process/12085530)","MANUFACTURING  PROCESS")</f>
        <v>MANUFACTURING  PROCESS</v>
      </c>
      <c r="B797" t="s">
        <v>4962</v>
      </c>
      <c r="C797">
        <v>12085530</v>
      </c>
      <c r="D797">
        <v>8416237</v>
      </c>
      <c r="E797">
        <v>0.29233894249999998</v>
      </c>
      <c r="F797">
        <v>0</v>
      </c>
      <c r="G797">
        <v>0</v>
      </c>
      <c r="H797">
        <v>6.2199774999999999E-6</v>
      </c>
      <c r="I797" t="s">
        <v>176</v>
      </c>
      <c r="J797">
        <v>1.0884960625E-2</v>
      </c>
      <c r="K797">
        <v>0.30323012310250003</v>
      </c>
      <c r="L797">
        <v>4.9079754834314279E-3</v>
      </c>
      <c r="M797">
        <v>2.9447852900588566E-2</v>
      </c>
      <c r="N797">
        <v>0.33267797600308857</v>
      </c>
      <c r="O797" t="s">
        <v>90</v>
      </c>
      <c r="P797">
        <v>0</v>
      </c>
      <c r="Q797" t="s">
        <v>90</v>
      </c>
      <c r="R797">
        <v>0</v>
      </c>
      <c r="S797" t="s">
        <v>90</v>
      </c>
      <c r="T797">
        <v>0</v>
      </c>
      <c r="U797">
        <v>0.33267797600308857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1.2602800000000001</v>
      </c>
      <c r="AB797">
        <v>2</v>
      </c>
      <c r="AC797">
        <v>0</v>
      </c>
      <c r="AD797">
        <v>1.9999600007999841E-3</v>
      </c>
      <c r="AE797">
        <v>5400</v>
      </c>
      <c r="AF797">
        <v>200000</v>
      </c>
      <c r="AG797">
        <v>16666.666666666668</v>
      </c>
      <c r="AH797">
        <v>1</v>
      </c>
      <c r="AI797">
        <v>1</v>
      </c>
      <c r="AJ797" t="s">
        <v>162</v>
      </c>
      <c r="AK797" t="s">
        <v>176</v>
      </c>
      <c r="AL797">
        <v>0</v>
      </c>
      <c r="AM797" t="s">
        <v>176</v>
      </c>
      <c r="AN797">
        <v>0</v>
      </c>
    </row>
    <row r="798" spans="1:40" x14ac:dyDescent="0.15">
      <c r="A798" s="4" t="str">
        <f>HYPERLINK("https://ibp.a2mac1.com/costing(costing:projects/details/9760/process/12085531)","MANUFACTURING  PROCESS")</f>
        <v>MANUFACTURING  PROCESS</v>
      </c>
      <c r="B798" t="s">
        <v>4962</v>
      </c>
      <c r="C798">
        <v>12085531</v>
      </c>
      <c r="D798">
        <v>8416238</v>
      </c>
      <c r="E798">
        <v>0.81596323999999998</v>
      </c>
      <c r="F798">
        <v>0</v>
      </c>
      <c r="G798">
        <v>0</v>
      </c>
      <c r="H798">
        <v>1.736092E-5</v>
      </c>
      <c r="I798" t="s">
        <v>176</v>
      </c>
      <c r="J798">
        <v>3.038161E-2</v>
      </c>
      <c r="K798">
        <v>0.84636221091999997</v>
      </c>
      <c r="L798">
        <v>4.187280951168211E-2</v>
      </c>
      <c r="M798">
        <v>0.25123685707009269</v>
      </c>
      <c r="N798">
        <v>1.0975990679900927</v>
      </c>
      <c r="O798" t="s">
        <v>90</v>
      </c>
      <c r="P798">
        <v>0</v>
      </c>
      <c r="Q798" t="s">
        <v>90</v>
      </c>
      <c r="R798">
        <v>0</v>
      </c>
      <c r="S798" t="s">
        <v>90</v>
      </c>
      <c r="T798">
        <v>0</v>
      </c>
      <c r="U798">
        <v>1.0975990679900927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8.04556</v>
      </c>
      <c r="AB798">
        <v>1</v>
      </c>
      <c r="AC798">
        <v>0</v>
      </c>
      <c r="AD798">
        <v>1.9999600007999841E-3</v>
      </c>
      <c r="AE798">
        <v>5400</v>
      </c>
      <c r="AF798">
        <v>200000</v>
      </c>
      <c r="AG798">
        <v>16666.666666666668</v>
      </c>
      <c r="AH798">
        <v>1</v>
      </c>
      <c r="AI798">
        <v>1</v>
      </c>
      <c r="AJ798" t="s">
        <v>162</v>
      </c>
      <c r="AK798" t="s">
        <v>176</v>
      </c>
      <c r="AL798">
        <v>0</v>
      </c>
      <c r="AM798" t="s">
        <v>176</v>
      </c>
      <c r="AN798">
        <v>0</v>
      </c>
    </row>
    <row r="799" spans="1:40" x14ac:dyDescent="0.15">
      <c r="A799" s="4" t="str">
        <f>HYPERLINK("https://ibp.a2mac1.com/costing(costing:projects/details/9760/process/12085532)","MANUFACTURING  PROCESS")</f>
        <v>MANUFACTURING  PROCESS</v>
      </c>
      <c r="B799" t="s">
        <v>4962</v>
      </c>
      <c r="C799">
        <v>12085532</v>
      </c>
      <c r="D799">
        <v>8416239</v>
      </c>
      <c r="E799">
        <v>0.13668668</v>
      </c>
      <c r="F799">
        <v>0</v>
      </c>
      <c r="G799">
        <v>0</v>
      </c>
      <c r="H799">
        <v>3.004102857142857E-6</v>
      </c>
      <c r="I799" t="s">
        <v>176</v>
      </c>
      <c r="J799">
        <v>5.2571800000000002E-3</v>
      </c>
      <c r="K799">
        <v>0.14194686410285715</v>
      </c>
      <c r="L799">
        <v>3.0616828624627588E-3</v>
      </c>
      <c r="M799">
        <v>1.8370097174776553E-2</v>
      </c>
      <c r="N799">
        <v>0.1603169612776337</v>
      </c>
      <c r="O799" t="s">
        <v>90</v>
      </c>
      <c r="P799">
        <v>0</v>
      </c>
      <c r="Q799" t="s">
        <v>90</v>
      </c>
      <c r="R799">
        <v>0</v>
      </c>
      <c r="S799" t="s">
        <v>90</v>
      </c>
      <c r="T799">
        <v>0</v>
      </c>
      <c r="U799">
        <v>0.1603169612776337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0.51951999999999998</v>
      </c>
      <c r="AB799">
        <v>2</v>
      </c>
      <c r="AC799">
        <v>0</v>
      </c>
      <c r="AD799">
        <v>1.9999600007999841E-3</v>
      </c>
      <c r="AE799">
        <v>5400</v>
      </c>
      <c r="AF799">
        <v>200000</v>
      </c>
      <c r="AG799">
        <v>16666.666666666668</v>
      </c>
      <c r="AH799">
        <v>1</v>
      </c>
      <c r="AI799">
        <v>1</v>
      </c>
      <c r="AJ799" t="s">
        <v>162</v>
      </c>
      <c r="AK799" t="s">
        <v>176</v>
      </c>
      <c r="AL799">
        <v>0</v>
      </c>
      <c r="AM799" t="s">
        <v>176</v>
      </c>
      <c r="AN799">
        <v>0</v>
      </c>
    </row>
    <row r="800" spans="1:40" x14ac:dyDescent="0.15">
      <c r="A800" s="4" t="str">
        <f>HYPERLINK("https://ibp.a2mac1.com/costing(costing:projects/details/9760/process/12085238)","Injection molding")</f>
        <v>Injection molding</v>
      </c>
      <c r="B800" t="s">
        <v>5758</v>
      </c>
      <c r="C800">
        <v>12085238</v>
      </c>
      <c r="D800">
        <v>8415880</v>
      </c>
      <c r="E800">
        <v>0.20426652137113402</v>
      </c>
      <c r="F800">
        <v>0</v>
      </c>
      <c r="G800">
        <v>0</v>
      </c>
      <c r="H800">
        <v>4.214211657731959E-4</v>
      </c>
      <c r="I800" t="s">
        <v>176</v>
      </c>
      <c r="J800">
        <v>7.1600683505154642E-3</v>
      </c>
      <c r="K800">
        <v>0.21184801088742269</v>
      </c>
      <c r="L800">
        <v>1.425488719782223E-2</v>
      </c>
      <c r="M800">
        <v>8.5529323186933376E-2</v>
      </c>
      <c r="N800">
        <v>0.29737733407435607</v>
      </c>
      <c r="O800" t="s">
        <v>177</v>
      </c>
      <c r="P800">
        <v>1.2710880653245361E-2</v>
      </c>
      <c r="Q800" t="s">
        <v>177</v>
      </c>
      <c r="R800">
        <v>5.1317593912160028E-3</v>
      </c>
      <c r="S800" t="s">
        <v>178</v>
      </c>
      <c r="T800">
        <v>3.568528008892273E-2</v>
      </c>
      <c r="U800">
        <v>0.35090525420774016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22.317409999999999</v>
      </c>
      <c r="AB800">
        <v>1</v>
      </c>
      <c r="AC800">
        <v>0.1</v>
      </c>
      <c r="AD800">
        <v>0.20557651238448796</v>
      </c>
      <c r="AE800">
        <v>7200</v>
      </c>
      <c r="AF800">
        <v>200000</v>
      </c>
      <c r="AG800">
        <v>16666.666666666668</v>
      </c>
      <c r="AH800">
        <v>1</v>
      </c>
      <c r="AI800">
        <v>1</v>
      </c>
      <c r="AJ800" t="s">
        <v>162</v>
      </c>
      <c r="AK800" t="s">
        <v>176</v>
      </c>
      <c r="AL800">
        <v>0</v>
      </c>
      <c r="AM800" t="s">
        <v>176</v>
      </c>
      <c r="AN800">
        <v>0</v>
      </c>
    </row>
    <row r="801" spans="1:40" x14ac:dyDescent="0.15">
      <c r="A801" s="4" t="str">
        <f>HYPERLINK("https://ibp.a2mac1.com/costing(costing:projects/details/9760/process/12085237)","Handling/Visual Inspection/Packaging")</f>
        <v>Handling/Visual Inspection/Packaging</v>
      </c>
      <c r="C801">
        <v>12085237</v>
      </c>
      <c r="D801">
        <v>8415880</v>
      </c>
      <c r="E801">
        <v>0</v>
      </c>
      <c r="F801">
        <v>0</v>
      </c>
      <c r="G801">
        <v>0</v>
      </c>
      <c r="H801">
        <v>0</v>
      </c>
      <c r="I801" t="s">
        <v>176</v>
      </c>
      <c r="J801">
        <v>0</v>
      </c>
      <c r="K801">
        <v>0</v>
      </c>
      <c r="L801">
        <v>8.6216394843006E-3</v>
      </c>
      <c r="M801">
        <v>5.17298369058036E-2</v>
      </c>
      <c r="N801">
        <v>5.17298369058036E-2</v>
      </c>
      <c r="O801" t="s">
        <v>177</v>
      </c>
      <c r="P801">
        <v>0</v>
      </c>
      <c r="Q801" t="s">
        <v>177</v>
      </c>
      <c r="R801">
        <v>3.1037902143482162E-3</v>
      </c>
      <c r="S801" t="s">
        <v>178</v>
      </c>
      <c r="T801">
        <v>6.2075804286964324E-3</v>
      </c>
      <c r="U801">
        <v>6.1041207548848252E-2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30</v>
      </c>
      <c r="AB801">
        <v>1</v>
      </c>
      <c r="AC801">
        <v>0.1</v>
      </c>
      <c r="AD801">
        <v>0.10389195236953569</v>
      </c>
      <c r="AE801">
        <v>900</v>
      </c>
      <c r="AF801">
        <v>200000</v>
      </c>
      <c r="AG801">
        <v>16666.666666666668</v>
      </c>
      <c r="AH801">
        <v>1</v>
      </c>
      <c r="AI801">
        <v>1</v>
      </c>
      <c r="AJ801" t="s">
        <v>162</v>
      </c>
      <c r="AK801" t="s">
        <v>176</v>
      </c>
      <c r="AL801">
        <v>0</v>
      </c>
      <c r="AM801" t="s">
        <v>176</v>
      </c>
      <c r="AN801">
        <v>0</v>
      </c>
    </row>
    <row r="802" spans="1:40" x14ac:dyDescent="0.15">
      <c r="A802" s="4" t="str">
        <f>HYPERLINK("https://ibp.a2mac1.com/costing(costing:projects/details/9760/process/12085239)","Injection molding")</f>
        <v>Injection molding</v>
      </c>
      <c r="B802" t="s">
        <v>5758</v>
      </c>
      <c r="C802">
        <v>12085239</v>
      </c>
      <c r="D802">
        <v>8415881</v>
      </c>
      <c r="E802">
        <v>0.20426652137113402</v>
      </c>
      <c r="F802">
        <v>0</v>
      </c>
      <c r="G802">
        <v>0</v>
      </c>
      <c r="H802">
        <v>4.214211657731959E-4</v>
      </c>
      <c r="I802" t="s">
        <v>176</v>
      </c>
      <c r="J802">
        <v>7.1600683505154642E-3</v>
      </c>
      <c r="K802">
        <v>0.21184801088742269</v>
      </c>
      <c r="L802">
        <v>1.425488719782223E-2</v>
      </c>
      <c r="M802">
        <v>8.5529323186933376E-2</v>
      </c>
      <c r="N802">
        <v>0.29737733407435607</v>
      </c>
      <c r="O802" t="s">
        <v>177</v>
      </c>
      <c r="P802">
        <v>1.2710880653245361E-2</v>
      </c>
      <c r="Q802" t="s">
        <v>177</v>
      </c>
      <c r="R802">
        <v>5.1317593912160028E-3</v>
      </c>
      <c r="S802" t="s">
        <v>178</v>
      </c>
      <c r="T802">
        <v>3.568528008892273E-2</v>
      </c>
      <c r="U802">
        <v>0.35090525420774016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22.317409999999999</v>
      </c>
      <c r="AB802">
        <v>1</v>
      </c>
      <c r="AC802">
        <v>0.1</v>
      </c>
      <c r="AD802">
        <v>0.20557651238448796</v>
      </c>
      <c r="AE802">
        <v>7200</v>
      </c>
      <c r="AF802">
        <v>200000</v>
      </c>
      <c r="AG802">
        <v>16666.666666666668</v>
      </c>
      <c r="AH802">
        <v>1</v>
      </c>
      <c r="AI802">
        <v>1</v>
      </c>
      <c r="AJ802" t="s">
        <v>162</v>
      </c>
      <c r="AK802" t="s">
        <v>176</v>
      </c>
      <c r="AL802">
        <v>0</v>
      </c>
      <c r="AM802" t="s">
        <v>176</v>
      </c>
      <c r="AN802">
        <v>0</v>
      </c>
    </row>
    <row r="803" spans="1:40" x14ac:dyDescent="0.15">
      <c r="A803" s="4" t="str">
        <f>HYPERLINK("https://ibp.a2mac1.com/costing(costing:projects/details/9760/process/12085240)","Handling/Visual Inspection/Packaging")</f>
        <v>Handling/Visual Inspection/Packaging</v>
      </c>
      <c r="C803">
        <v>12085240</v>
      </c>
      <c r="D803">
        <v>8415881</v>
      </c>
      <c r="E803">
        <v>0</v>
      </c>
      <c r="F803">
        <v>0</v>
      </c>
      <c r="G803">
        <v>0</v>
      </c>
      <c r="H803">
        <v>0</v>
      </c>
      <c r="I803" t="s">
        <v>176</v>
      </c>
      <c r="J803">
        <v>0</v>
      </c>
      <c r="K803">
        <v>0</v>
      </c>
      <c r="L803">
        <v>8.6216394843006E-3</v>
      </c>
      <c r="M803">
        <v>5.17298369058036E-2</v>
      </c>
      <c r="N803">
        <v>5.17298369058036E-2</v>
      </c>
      <c r="O803" t="s">
        <v>177</v>
      </c>
      <c r="P803">
        <v>0</v>
      </c>
      <c r="Q803" t="s">
        <v>177</v>
      </c>
      <c r="R803">
        <v>3.1037902143482162E-3</v>
      </c>
      <c r="S803" t="s">
        <v>178</v>
      </c>
      <c r="T803">
        <v>6.2075804286964324E-3</v>
      </c>
      <c r="U803">
        <v>6.1041207548848252E-2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30</v>
      </c>
      <c r="AB803">
        <v>1</v>
      </c>
      <c r="AC803">
        <v>0.1</v>
      </c>
      <c r="AD803">
        <v>0.10389195236953569</v>
      </c>
      <c r="AE803">
        <v>900</v>
      </c>
      <c r="AF803">
        <v>200000</v>
      </c>
      <c r="AG803">
        <v>16666.666666666668</v>
      </c>
      <c r="AH803">
        <v>1</v>
      </c>
      <c r="AI803">
        <v>1</v>
      </c>
      <c r="AJ803" t="s">
        <v>162</v>
      </c>
      <c r="AK803" t="s">
        <v>176</v>
      </c>
      <c r="AL803">
        <v>0</v>
      </c>
      <c r="AM803" t="s">
        <v>176</v>
      </c>
      <c r="AN803">
        <v>0</v>
      </c>
    </row>
    <row r="804" spans="1:40" x14ac:dyDescent="0.15">
      <c r="A804" s="4" t="str">
        <f>HYPERLINK("https://ibp.a2mac1.com/costing(costing:projects/details/9760/process/12085241)","Stamping")</f>
        <v>Stamping</v>
      </c>
      <c r="C804">
        <v>12085241</v>
      </c>
      <c r="D804">
        <v>8415882</v>
      </c>
      <c r="E804">
        <v>0.16017588250000001</v>
      </c>
      <c r="F804">
        <v>0</v>
      </c>
      <c r="G804">
        <v>0</v>
      </c>
      <c r="H804">
        <v>5.1971961875E-4</v>
      </c>
      <c r="I804" t="s">
        <v>176</v>
      </c>
      <c r="J804">
        <v>5.9639956250000003E-3</v>
      </c>
      <c r="K804">
        <v>0.16665959774375</v>
      </c>
      <c r="L804">
        <v>3.6095743662273678E-3</v>
      </c>
      <c r="M804">
        <v>2.1657446197364209E-2</v>
      </c>
      <c r="N804">
        <v>0.1883170439411142</v>
      </c>
      <c r="O804" t="s">
        <v>177</v>
      </c>
      <c r="P804">
        <v>9.9995758646250002E-3</v>
      </c>
      <c r="Q804" t="s">
        <v>177</v>
      </c>
      <c r="R804">
        <v>1.2994467718418525E-3</v>
      </c>
      <c r="S804" t="s">
        <v>178</v>
      </c>
      <c r="T804">
        <v>2.2598045272933704E-2</v>
      </c>
      <c r="U804">
        <v>0.22221411185051476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0.85511000000000004</v>
      </c>
      <c r="AB804">
        <v>1</v>
      </c>
      <c r="AC804">
        <v>0.1</v>
      </c>
      <c r="AD804">
        <v>0.30407257863516274</v>
      </c>
      <c r="AE804">
        <v>1800</v>
      </c>
      <c r="AF804">
        <v>400000</v>
      </c>
      <c r="AG804">
        <v>33333.333333333336</v>
      </c>
      <c r="AH804">
        <v>1</v>
      </c>
      <c r="AI804">
        <v>1</v>
      </c>
      <c r="AJ804" t="s">
        <v>162</v>
      </c>
      <c r="AK804" t="s">
        <v>176</v>
      </c>
      <c r="AL804">
        <v>0</v>
      </c>
      <c r="AM804" t="s">
        <v>176</v>
      </c>
      <c r="AN804">
        <v>0</v>
      </c>
    </row>
    <row r="805" spans="1:40" x14ac:dyDescent="0.15">
      <c r="A805" s="4" t="str">
        <f>HYPERLINK("https://ibp.a2mac1.com/costing(costing:projects/details/9760/process/12085242)","Cleaning")</f>
        <v>Cleaning</v>
      </c>
      <c r="C805">
        <v>12085242</v>
      </c>
      <c r="D805">
        <v>8415882</v>
      </c>
      <c r="E805">
        <v>0</v>
      </c>
      <c r="F805">
        <v>0</v>
      </c>
      <c r="G805">
        <v>0</v>
      </c>
      <c r="H805">
        <v>0</v>
      </c>
      <c r="I805" t="s">
        <v>176</v>
      </c>
      <c r="J805">
        <v>0</v>
      </c>
      <c r="K805">
        <v>0</v>
      </c>
      <c r="L805">
        <v>1.3386663984690388E-2</v>
      </c>
      <c r="M805">
        <v>8.0319983908142337E-2</v>
      </c>
      <c r="N805">
        <v>8.0319983908142337E-2</v>
      </c>
      <c r="O805" t="s">
        <v>177</v>
      </c>
      <c r="P805">
        <v>0</v>
      </c>
      <c r="Q805" t="s">
        <v>177</v>
      </c>
      <c r="R805">
        <v>4.8191990344885402E-3</v>
      </c>
      <c r="S805" t="s">
        <v>178</v>
      </c>
      <c r="T805">
        <v>9.6383980689770804E-3</v>
      </c>
      <c r="U805">
        <v>9.477758101160795E-2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10</v>
      </c>
      <c r="AB805">
        <v>1</v>
      </c>
      <c r="AC805">
        <v>0.1</v>
      </c>
      <c r="AD805">
        <v>0.20258874484795864</v>
      </c>
      <c r="AE805">
        <v>0</v>
      </c>
      <c r="AF805">
        <v>400000</v>
      </c>
      <c r="AG805">
        <v>33333.333333333336</v>
      </c>
      <c r="AH805">
        <v>1</v>
      </c>
      <c r="AI805">
        <v>1</v>
      </c>
      <c r="AJ805" t="s">
        <v>162</v>
      </c>
      <c r="AK805" t="s">
        <v>176</v>
      </c>
      <c r="AL805">
        <v>0</v>
      </c>
      <c r="AM805" t="s">
        <v>176</v>
      </c>
      <c r="AN805">
        <v>0</v>
      </c>
    </row>
    <row r="806" spans="1:40" x14ac:dyDescent="0.15">
      <c r="A806" s="4" t="str">
        <f>HYPERLINK("https://ibp.a2mac1.com/costing(costing:projects/details/9760/process/12085243)","Packaging")</f>
        <v>Packaging</v>
      </c>
      <c r="C806">
        <v>12085243</v>
      </c>
      <c r="D806">
        <v>8415882</v>
      </c>
      <c r="E806">
        <v>0</v>
      </c>
      <c r="F806">
        <v>0</v>
      </c>
      <c r="G806">
        <v>0</v>
      </c>
      <c r="H806">
        <v>0</v>
      </c>
      <c r="I806" t="s">
        <v>176</v>
      </c>
      <c r="J806">
        <v>0</v>
      </c>
      <c r="K806">
        <v>0</v>
      </c>
      <c r="L806">
        <v>6.0501411787337415E-3</v>
      </c>
      <c r="M806">
        <v>3.6300847072402449E-2</v>
      </c>
      <c r="N806">
        <v>3.6300847072402449E-2</v>
      </c>
      <c r="O806" t="s">
        <v>177</v>
      </c>
      <c r="P806">
        <v>0</v>
      </c>
      <c r="Q806" t="s">
        <v>177</v>
      </c>
      <c r="R806">
        <v>2.1780508243441467E-3</v>
      </c>
      <c r="S806" t="s">
        <v>178</v>
      </c>
      <c r="T806">
        <v>4.3561016486882934E-3</v>
      </c>
      <c r="U806">
        <v>4.283499954543489E-2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8</v>
      </c>
      <c r="AB806">
        <v>1</v>
      </c>
      <c r="AC806">
        <v>0.1</v>
      </c>
      <c r="AD806">
        <v>0.1008980929261446</v>
      </c>
      <c r="AE806">
        <v>900</v>
      </c>
      <c r="AF806">
        <v>400000</v>
      </c>
      <c r="AG806">
        <v>33333.333333333336</v>
      </c>
      <c r="AH806">
        <v>1</v>
      </c>
      <c r="AI806">
        <v>1</v>
      </c>
      <c r="AJ806" t="s">
        <v>162</v>
      </c>
      <c r="AK806" t="s">
        <v>176</v>
      </c>
      <c r="AL806">
        <v>0</v>
      </c>
      <c r="AM806" t="s">
        <v>176</v>
      </c>
      <c r="AN806">
        <v>0</v>
      </c>
    </row>
    <row r="807" spans="1:40" x14ac:dyDescent="0.15">
      <c r="A807" s="4" t="str">
        <f>HYPERLINK("https://ibp.a2mac1.com/costing(costing:projects/details/9760/process/12085244)","Seal Extrusion (Multi Layer)")</f>
        <v>Seal Extrusion (Multi Layer)</v>
      </c>
      <c r="C807">
        <v>12085244</v>
      </c>
      <c r="D807">
        <v>8415883</v>
      </c>
      <c r="E807">
        <v>2.2117356377999999</v>
      </c>
      <c r="F807">
        <v>0</v>
      </c>
      <c r="G807">
        <v>0</v>
      </c>
      <c r="H807">
        <v>4.5725178927999996E-3</v>
      </c>
      <c r="I807" t="s">
        <v>176</v>
      </c>
      <c r="J807">
        <v>7.7688410799999996E-2</v>
      </c>
      <c r="K807">
        <v>2.2939965664928001</v>
      </c>
      <c r="L807">
        <v>7.3712934491209414E-2</v>
      </c>
      <c r="M807">
        <v>0.44227760694725643</v>
      </c>
      <c r="N807">
        <v>2.7362741734400564</v>
      </c>
      <c r="O807" t="s">
        <v>177</v>
      </c>
      <c r="P807">
        <v>0.13763979398956799</v>
      </c>
      <c r="Q807" t="s">
        <v>177</v>
      </c>
      <c r="R807">
        <v>2.6536656416835388E-2</v>
      </c>
      <c r="S807" t="s">
        <v>178</v>
      </c>
      <c r="T807">
        <v>0.32835290081280677</v>
      </c>
      <c r="U807">
        <v>3.2288035246592668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30</v>
      </c>
      <c r="AB807">
        <v>1</v>
      </c>
      <c r="AC807">
        <v>0.1</v>
      </c>
      <c r="AD807">
        <v>0.20557651238448796</v>
      </c>
      <c r="AE807">
        <v>1800</v>
      </c>
      <c r="AF807">
        <v>200000</v>
      </c>
      <c r="AG807">
        <v>16666.666666666668</v>
      </c>
      <c r="AH807">
        <v>1</v>
      </c>
      <c r="AI807">
        <v>1</v>
      </c>
      <c r="AJ807" t="s">
        <v>162</v>
      </c>
      <c r="AK807" t="s">
        <v>176</v>
      </c>
      <c r="AL807">
        <v>0</v>
      </c>
      <c r="AM807" t="s">
        <v>176</v>
      </c>
      <c r="AN807">
        <v>0</v>
      </c>
    </row>
    <row r="808" spans="1:40" x14ac:dyDescent="0.15">
      <c r="A808" s="4" t="str">
        <f>HYPERLINK("https://ibp.a2mac1.com/costing(costing:projects/details/9760/process/12085245)","End Glueing/Vulcanizing, Check and Pack")</f>
        <v>End Glueing/Vulcanizing, Check and Pack</v>
      </c>
      <c r="C808">
        <v>12085245</v>
      </c>
      <c r="D808">
        <v>8415883</v>
      </c>
      <c r="E808">
        <v>0</v>
      </c>
      <c r="F808">
        <v>0</v>
      </c>
      <c r="G808">
        <v>0</v>
      </c>
      <c r="H808">
        <v>0</v>
      </c>
      <c r="I808" t="s">
        <v>176</v>
      </c>
      <c r="J808">
        <v>0</v>
      </c>
      <c r="K808">
        <v>0</v>
      </c>
      <c r="L808">
        <v>1.5680387065327164E-2</v>
      </c>
      <c r="M808">
        <v>9.4082322391962986E-2</v>
      </c>
      <c r="N808">
        <v>9.4082322391962986E-2</v>
      </c>
      <c r="O808" t="s">
        <v>177</v>
      </c>
      <c r="P808">
        <v>0</v>
      </c>
      <c r="Q808" t="s">
        <v>177</v>
      </c>
      <c r="R808">
        <v>5.6449393435177792E-3</v>
      </c>
      <c r="S808" t="s">
        <v>178</v>
      </c>
      <c r="T808">
        <v>1.1289878687035558E-2</v>
      </c>
      <c r="U808">
        <v>0.11101714042251631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30</v>
      </c>
      <c r="AB808">
        <v>1</v>
      </c>
      <c r="AC808">
        <v>0.1</v>
      </c>
      <c r="AD808">
        <v>0.10389195236953569</v>
      </c>
      <c r="AE808">
        <v>600</v>
      </c>
      <c r="AF808">
        <v>200000</v>
      </c>
      <c r="AG808">
        <v>16666.666666666668</v>
      </c>
      <c r="AH808">
        <v>1</v>
      </c>
      <c r="AI808">
        <v>1</v>
      </c>
      <c r="AJ808" t="s">
        <v>162</v>
      </c>
      <c r="AK808" t="s">
        <v>176</v>
      </c>
      <c r="AL808">
        <v>0</v>
      </c>
      <c r="AM808" t="s">
        <v>176</v>
      </c>
      <c r="AN808">
        <v>0</v>
      </c>
    </row>
    <row r="809" spans="1:40" x14ac:dyDescent="0.15">
      <c r="A809" s="4" t="str">
        <f>HYPERLINK("https://ibp.a2mac1.com/costing(costing:projects/details/9760/process/12085533)","Injection molding")</f>
        <v>Injection molding</v>
      </c>
      <c r="B809" t="s">
        <v>5788</v>
      </c>
      <c r="C809">
        <v>12085533</v>
      </c>
      <c r="D809">
        <v>8416241</v>
      </c>
      <c r="E809">
        <v>5.7378236340206185E-3</v>
      </c>
      <c r="F809">
        <v>0</v>
      </c>
      <c r="G809">
        <v>0</v>
      </c>
      <c r="H809">
        <v>1.1837673195876289E-5</v>
      </c>
      <c r="I809" t="s">
        <v>176</v>
      </c>
      <c r="J809">
        <v>2.0112551546391753E-4</v>
      </c>
      <c r="K809">
        <v>5.9507868226804121E-3</v>
      </c>
      <c r="L809">
        <v>1.7036701688082662E-3</v>
      </c>
      <c r="M809">
        <v>1.0222021012849598E-2</v>
      </c>
      <c r="N809">
        <v>1.6172807835530011E-2</v>
      </c>
      <c r="O809" t="s">
        <v>177</v>
      </c>
      <c r="P809">
        <v>3.5704720936082472E-4</v>
      </c>
      <c r="Q809" t="s">
        <v>177</v>
      </c>
      <c r="R809">
        <v>6.1332126077097589E-4</v>
      </c>
      <c r="S809" t="s">
        <v>178</v>
      </c>
      <c r="T809">
        <v>1.9407369402636011E-3</v>
      </c>
      <c r="U809">
        <v>1.9083913245925413E-2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18.840599999999998</v>
      </c>
      <c r="AB809">
        <v>8</v>
      </c>
      <c r="AC809">
        <v>0.1</v>
      </c>
      <c r="AD809">
        <v>0.20557651238448796</v>
      </c>
      <c r="AE809">
        <v>7200</v>
      </c>
      <c r="AF809">
        <v>200000</v>
      </c>
      <c r="AG809">
        <v>16666.666666666668</v>
      </c>
      <c r="AH809">
        <v>1</v>
      </c>
      <c r="AI809">
        <v>1</v>
      </c>
      <c r="AJ809" t="s">
        <v>162</v>
      </c>
      <c r="AK809" t="s">
        <v>176</v>
      </c>
      <c r="AL809">
        <v>0</v>
      </c>
      <c r="AM809" t="s">
        <v>176</v>
      </c>
      <c r="AN809">
        <v>0</v>
      </c>
    </row>
    <row r="810" spans="1:40" x14ac:dyDescent="0.15">
      <c r="A810" s="4" t="str">
        <f>HYPERLINK("https://ibp.a2mac1.com/costing(costing:projects/details/9760/process/12085534)","Handling/Visual Inspection/Packaging")</f>
        <v>Handling/Visual Inspection/Packaging</v>
      </c>
      <c r="C810">
        <v>12085534</v>
      </c>
      <c r="D810">
        <v>8416241</v>
      </c>
      <c r="E810">
        <v>0</v>
      </c>
      <c r="F810">
        <v>0</v>
      </c>
      <c r="G810">
        <v>0</v>
      </c>
      <c r="H810">
        <v>0</v>
      </c>
      <c r="I810" t="s">
        <v>176</v>
      </c>
      <c r="J810">
        <v>0</v>
      </c>
      <c r="K810">
        <v>0</v>
      </c>
      <c r="L810">
        <v>2.8759505147669608E-3</v>
      </c>
      <c r="M810">
        <v>1.7255703088601766E-2</v>
      </c>
      <c r="N810">
        <v>1.7255703088601766E-2</v>
      </c>
      <c r="O810" t="s">
        <v>177</v>
      </c>
      <c r="P810">
        <v>0</v>
      </c>
      <c r="Q810" t="s">
        <v>177</v>
      </c>
      <c r="R810">
        <v>1.0353421853161059E-3</v>
      </c>
      <c r="S810" t="s">
        <v>178</v>
      </c>
      <c r="T810">
        <v>2.0706843706322117E-3</v>
      </c>
      <c r="U810">
        <v>2.0361729644550082E-2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10</v>
      </c>
      <c r="AB810">
        <v>1</v>
      </c>
      <c r="AC810">
        <v>0.1</v>
      </c>
      <c r="AD810">
        <v>0.10389195236953569</v>
      </c>
      <c r="AE810">
        <v>900</v>
      </c>
      <c r="AF810">
        <v>200000</v>
      </c>
      <c r="AG810">
        <v>16666.666666666668</v>
      </c>
      <c r="AH810">
        <v>1</v>
      </c>
      <c r="AI810">
        <v>1</v>
      </c>
      <c r="AJ810" t="s">
        <v>162</v>
      </c>
      <c r="AK810" t="s">
        <v>176</v>
      </c>
      <c r="AL810">
        <v>0</v>
      </c>
      <c r="AM810" t="s">
        <v>176</v>
      </c>
      <c r="AN810">
        <v>0</v>
      </c>
    </row>
    <row r="811" spans="1:40" x14ac:dyDescent="0.15">
      <c r="A811" s="4" t="str">
        <f>HYPERLINK("https://ibp.a2mac1.com/costing(costing:projects/details/9760/process/12085247)","Injection molding")</f>
        <v>Injection molding</v>
      </c>
      <c r="B811" t="s">
        <v>5798</v>
      </c>
      <c r="C811">
        <v>12085247</v>
      </c>
      <c r="D811">
        <v>8415885</v>
      </c>
      <c r="E811">
        <v>5.1577033690721648E-2</v>
      </c>
      <c r="F811">
        <v>0</v>
      </c>
      <c r="G811">
        <v>0</v>
      </c>
      <c r="H811">
        <v>1.064083018556701E-4</v>
      </c>
      <c r="I811" t="s">
        <v>176</v>
      </c>
      <c r="J811">
        <v>1.8079080412371133E-3</v>
      </c>
      <c r="K811">
        <v>5.349135003381443E-2</v>
      </c>
      <c r="L811">
        <v>5.2489860438344827E-3</v>
      </c>
      <c r="M811">
        <v>3.1493916263006898E-2</v>
      </c>
      <c r="N811">
        <v>8.4985266296821335E-2</v>
      </c>
      <c r="O811" t="s">
        <v>177</v>
      </c>
      <c r="P811">
        <v>3.2094810020288659E-3</v>
      </c>
      <c r="Q811" t="s">
        <v>177</v>
      </c>
      <c r="R811">
        <v>1.8896349757804138E-3</v>
      </c>
      <c r="S811" t="s">
        <v>178</v>
      </c>
      <c r="T811">
        <v>1.019823195561856E-2</v>
      </c>
      <c r="U811">
        <v>0.10028261423024917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22.28622</v>
      </c>
      <c r="AB811">
        <v>2</v>
      </c>
      <c r="AC811">
        <v>0.1</v>
      </c>
      <c r="AD811">
        <v>0.20557651238448796</v>
      </c>
      <c r="AE811">
        <v>7200</v>
      </c>
      <c r="AF811">
        <v>200000</v>
      </c>
      <c r="AG811">
        <v>16666.666666666668</v>
      </c>
      <c r="AH811">
        <v>1</v>
      </c>
      <c r="AI811">
        <v>1</v>
      </c>
      <c r="AJ811" t="s">
        <v>162</v>
      </c>
      <c r="AK811" t="s">
        <v>176</v>
      </c>
      <c r="AL811">
        <v>0</v>
      </c>
      <c r="AM811" t="s">
        <v>176</v>
      </c>
      <c r="AN811">
        <v>0</v>
      </c>
    </row>
    <row r="812" spans="1:40" x14ac:dyDescent="0.15">
      <c r="A812" s="4" t="str">
        <f>HYPERLINK("https://ibp.a2mac1.com/costing(costing:projects/details/9760/process/12085246)","Handling/Visual Inspection/Packaging")</f>
        <v>Handling/Visual Inspection/Packaging</v>
      </c>
      <c r="C812">
        <v>12085246</v>
      </c>
      <c r="D812">
        <v>8415885</v>
      </c>
      <c r="E812">
        <v>0</v>
      </c>
      <c r="F812">
        <v>0</v>
      </c>
      <c r="G812">
        <v>0</v>
      </c>
      <c r="H812">
        <v>0</v>
      </c>
      <c r="I812" t="s">
        <v>176</v>
      </c>
      <c r="J812">
        <v>0</v>
      </c>
      <c r="K812">
        <v>0</v>
      </c>
      <c r="L812">
        <v>2.8759505147669608E-3</v>
      </c>
      <c r="M812">
        <v>1.7255703088601766E-2</v>
      </c>
      <c r="N812">
        <v>1.7255703088601766E-2</v>
      </c>
      <c r="O812" t="s">
        <v>177</v>
      </c>
      <c r="P812">
        <v>0</v>
      </c>
      <c r="Q812" t="s">
        <v>177</v>
      </c>
      <c r="R812">
        <v>1.0353421853161059E-3</v>
      </c>
      <c r="S812" t="s">
        <v>178</v>
      </c>
      <c r="T812">
        <v>2.0706843706322117E-3</v>
      </c>
      <c r="U812">
        <v>2.0361729644550082E-2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10</v>
      </c>
      <c r="AB812">
        <v>1</v>
      </c>
      <c r="AC812">
        <v>0.1</v>
      </c>
      <c r="AD812">
        <v>0.10389195236953569</v>
      </c>
      <c r="AE812">
        <v>900</v>
      </c>
      <c r="AF812">
        <v>200000</v>
      </c>
      <c r="AG812">
        <v>16666.666666666668</v>
      </c>
      <c r="AH812">
        <v>1</v>
      </c>
      <c r="AI812">
        <v>1</v>
      </c>
      <c r="AJ812" t="s">
        <v>162</v>
      </c>
      <c r="AK812" t="s">
        <v>176</v>
      </c>
      <c r="AL812">
        <v>0</v>
      </c>
      <c r="AM812" t="s">
        <v>176</v>
      </c>
      <c r="AN812">
        <v>0</v>
      </c>
    </row>
    <row r="813" spans="1:40" x14ac:dyDescent="0.15">
      <c r="A813" s="4" t="str">
        <f>HYPERLINK("https://ibp.a2mac1.com/costing(costing:projects/details/9760/process/12085250)","Stamping ")</f>
        <v xml:space="preserve">Stamping </v>
      </c>
      <c r="B813" t="s">
        <v>5493</v>
      </c>
      <c r="C813">
        <v>12085250</v>
      </c>
      <c r="D813">
        <v>8415887</v>
      </c>
      <c r="E813">
        <v>8.9799970000000007E-2</v>
      </c>
      <c r="F813">
        <v>0</v>
      </c>
      <c r="G813">
        <v>0</v>
      </c>
      <c r="H813">
        <v>7.0063712857142862E-4</v>
      </c>
      <c r="I813" t="s">
        <v>176</v>
      </c>
      <c r="J813">
        <v>3.4538450000000001E-3</v>
      </c>
      <c r="K813">
        <v>9.3954452128571425E-2</v>
      </c>
      <c r="L813">
        <v>2.633609256231051E-4</v>
      </c>
      <c r="M813">
        <v>1.5801655537386306E-3</v>
      </c>
      <c r="N813">
        <v>9.5534617682310058E-2</v>
      </c>
      <c r="O813" t="s">
        <v>177</v>
      </c>
      <c r="P813">
        <v>5.6372671277142858E-3</v>
      </c>
      <c r="Q813" t="s">
        <v>177</v>
      </c>
      <c r="R813">
        <v>9.4809933224317843E-5</v>
      </c>
      <c r="S813" t="s">
        <v>178</v>
      </c>
      <c r="T813">
        <v>1.1464154121877207E-2</v>
      </c>
      <c r="U813">
        <v>0.11273084886512587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10</v>
      </c>
      <c r="AB813">
        <v>1</v>
      </c>
      <c r="AC813">
        <v>0.5</v>
      </c>
      <c r="AD813">
        <v>0.70499453877469964</v>
      </c>
      <c r="AE813">
        <v>1800</v>
      </c>
      <c r="AF813">
        <v>200000</v>
      </c>
      <c r="AG813">
        <v>16666.666666666668</v>
      </c>
      <c r="AH813">
        <v>1</v>
      </c>
      <c r="AI813">
        <v>1</v>
      </c>
      <c r="AJ813" t="s">
        <v>162</v>
      </c>
      <c r="AK813" t="s">
        <v>176</v>
      </c>
      <c r="AL813">
        <v>0</v>
      </c>
      <c r="AM813" t="s">
        <v>176</v>
      </c>
      <c r="AN813">
        <v>0</v>
      </c>
    </row>
    <row r="814" spans="1:40" x14ac:dyDescent="0.15">
      <c r="A814" s="4" t="str">
        <f>HYPERLINK("https://ibp.a2mac1.com/costing(costing:projects/details/9760/process/12085249)","Wire Bending")</f>
        <v>Wire Bending</v>
      </c>
      <c r="C814">
        <v>12085249</v>
      </c>
      <c r="D814">
        <v>8415887</v>
      </c>
      <c r="E814">
        <v>0</v>
      </c>
      <c r="F814">
        <v>0</v>
      </c>
      <c r="G814">
        <v>0</v>
      </c>
      <c r="H814">
        <v>0</v>
      </c>
      <c r="I814" t="s">
        <v>176</v>
      </c>
      <c r="J814">
        <v>0</v>
      </c>
      <c r="K814">
        <v>0</v>
      </c>
      <c r="L814">
        <v>3.6698564783128945E-3</v>
      </c>
      <c r="M814">
        <v>2.2019138869877369E-2</v>
      </c>
      <c r="N814">
        <v>2.2019138869877369E-2</v>
      </c>
      <c r="O814" t="s">
        <v>177</v>
      </c>
      <c r="P814">
        <v>0</v>
      </c>
      <c r="Q814" t="s">
        <v>177</v>
      </c>
      <c r="R814">
        <v>1.321148332192642E-3</v>
      </c>
      <c r="S814" t="s">
        <v>178</v>
      </c>
      <c r="T814">
        <v>2.6422966643852839E-3</v>
      </c>
      <c r="U814">
        <v>2.5982583866455293E-2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5</v>
      </c>
      <c r="AB814">
        <v>1</v>
      </c>
      <c r="AC814">
        <v>0.1</v>
      </c>
      <c r="AD814">
        <v>0.20557651238448796</v>
      </c>
      <c r="AE814">
        <v>3600</v>
      </c>
      <c r="AF814">
        <v>200000</v>
      </c>
      <c r="AG814">
        <v>16666.666666666668</v>
      </c>
      <c r="AH814">
        <v>1</v>
      </c>
      <c r="AI814">
        <v>1</v>
      </c>
      <c r="AJ814" t="s">
        <v>162</v>
      </c>
      <c r="AK814" t="s">
        <v>176</v>
      </c>
      <c r="AL814">
        <v>0</v>
      </c>
      <c r="AM814" t="s">
        <v>176</v>
      </c>
      <c r="AN814">
        <v>0</v>
      </c>
    </row>
    <row r="815" spans="1:40" x14ac:dyDescent="0.15">
      <c r="A815" s="4" t="str">
        <f>HYPERLINK("https://ibp.a2mac1.com/costing(costing:projects/details/9760/process/12085248)","Press fit")</f>
        <v>Press fit</v>
      </c>
      <c r="C815">
        <v>12085248</v>
      </c>
      <c r="D815">
        <v>8415887</v>
      </c>
      <c r="E815">
        <v>0</v>
      </c>
      <c r="F815">
        <v>0</v>
      </c>
      <c r="G815">
        <v>0</v>
      </c>
      <c r="H815">
        <v>0</v>
      </c>
      <c r="I815" t="s">
        <v>176</v>
      </c>
      <c r="J815">
        <v>0</v>
      </c>
      <c r="K815">
        <v>0</v>
      </c>
      <c r="L815">
        <v>6.1912616210148697E-3</v>
      </c>
      <c r="M815">
        <v>3.7147569726089222E-2</v>
      </c>
      <c r="N815">
        <v>3.7147569726089222E-2</v>
      </c>
      <c r="O815" t="s">
        <v>177</v>
      </c>
      <c r="P815">
        <v>0</v>
      </c>
      <c r="Q815" t="s">
        <v>177</v>
      </c>
      <c r="R815">
        <v>2.2288541835653532E-3</v>
      </c>
      <c r="S815" t="s">
        <v>178</v>
      </c>
      <c r="T815">
        <v>4.4577083671307064E-3</v>
      </c>
      <c r="U815">
        <v>4.383413227678528E-2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15</v>
      </c>
      <c r="AB815">
        <v>1</v>
      </c>
      <c r="AC815">
        <v>0.1</v>
      </c>
      <c r="AD815">
        <v>0.10389195236953569</v>
      </c>
      <c r="AE815">
        <v>180</v>
      </c>
      <c r="AF815">
        <v>200000</v>
      </c>
      <c r="AG815">
        <v>16666.666666666668</v>
      </c>
      <c r="AH815">
        <v>1</v>
      </c>
      <c r="AI815">
        <v>1</v>
      </c>
      <c r="AJ815" t="s">
        <v>162</v>
      </c>
      <c r="AK815" t="s">
        <v>176</v>
      </c>
      <c r="AL815">
        <v>0</v>
      </c>
      <c r="AM815" t="s">
        <v>176</v>
      </c>
      <c r="AN815">
        <v>0</v>
      </c>
    </row>
    <row r="816" spans="1:40" x14ac:dyDescent="0.15">
      <c r="A816" s="4" t="str">
        <f>HYPERLINK("https://ibp.a2mac1.com/costing(costing:projects/details/9760/process/12085251)","Injection molding")</f>
        <v>Injection molding</v>
      </c>
      <c r="B816" t="s">
        <v>5811</v>
      </c>
      <c r="C816">
        <v>12085251</v>
      </c>
      <c r="D816">
        <v>8415888</v>
      </c>
      <c r="E816">
        <v>5.9120509042553194E-3</v>
      </c>
      <c r="F816">
        <v>0</v>
      </c>
      <c r="G816">
        <v>0</v>
      </c>
      <c r="H816">
        <v>6.1670340425531913E-6</v>
      </c>
      <c r="I816" t="s">
        <v>176</v>
      </c>
      <c r="J816">
        <v>2.0754441489361701E-4</v>
      </c>
      <c r="K816">
        <v>6.125762353191489E-3</v>
      </c>
      <c r="L816">
        <v>1.223231637308433E-3</v>
      </c>
      <c r="M816">
        <v>7.339389823850598E-3</v>
      </c>
      <c r="N816">
        <v>1.3465152177042087E-2</v>
      </c>
      <c r="O816" t="s">
        <v>177</v>
      </c>
      <c r="P816">
        <v>3.6754574119148936E-4</v>
      </c>
      <c r="Q816" t="s">
        <v>177</v>
      </c>
      <c r="R816">
        <v>4.4036338943103585E-4</v>
      </c>
      <c r="S816" t="s">
        <v>178</v>
      </c>
      <c r="T816">
        <v>1.6158182612450505E-3</v>
      </c>
      <c r="U816">
        <v>1.5888879568909664E-2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6.7632000000000003</v>
      </c>
      <c r="AB816">
        <v>4</v>
      </c>
      <c r="AC816">
        <v>0.1</v>
      </c>
      <c r="AD816">
        <v>0.10389195236953569</v>
      </c>
      <c r="AE816">
        <v>7200</v>
      </c>
      <c r="AF816">
        <v>200000</v>
      </c>
      <c r="AG816">
        <v>16666.666666666668</v>
      </c>
      <c r="AH816">
        <v>1</v>
      </c>
      <c r="AI816">
        <v>1</v>
      </c>
      <c r="AJ816" t="s">
        <v>162</v>
      </c>
      <c r="AK816" t="s">
        <v>176</v>
      </c>
      <c r="AL816">
        <v>0</v>
      </c>
      <c r="AM816" t="s">
        <v>176</v>
      </c>
      <c r="AN816">
        <v>0</v>
      </c>
    </row>
    <row r="817" spans="1:40" x14ac:dyDescent="0.15">
      <c r="A817" s="4" t="str">
        <f>HYPERLINK("https://ibp.a2mac1.com/costing(costing:projects/details/9760/process/12085252)","Injection molding")</f>
        <v>Injection molding</v>
      </c>
      <c r="C817">
        <v>12085252</v>
      </c>
      <c r="D817">
        <v>8415893</v>
      </c>
      <c r="E817">
        <v>3.3443235000000002E-2</v>
      </c>
      <c r="F817">
        <v>0</v>
      </c>
      <c r="G817">
        <v>0</v>
      </c>
      <c r="H817">
        <v>1.686410747368421E-4</v>
      </c>
      <c r="I817" t="s">
        <v>176</v>
      </c>
      <c r="J817">
        <v>1.1734468421052632E-3</v>
      </c>
      <c r="K817">
        <v>3.4785322916842103E-2</v>
      </c>
      <c r="L817">
        <v>1.7077817103908839E-4</v>
      </c>
      <c r="M817">
        <v>1.0246690262345304E-3</v>
      </c>
      <c r="N817">
        <v>3.5809991943076637E-2</v>
      </c>
      <c r="O817" t="s">
        <v>177</v>
      </c>
      <c r="P817">
        <v>2.0871193750105262E-3</v>
      </c>
      <c r="Q817" t="s">
        <v>177</v>
      </c>
      <c r="R817">
        <v>6.148014157407183E-5</v>
      </c>
      <c r="S817" t="s">
        <v>178</v>
      </c>
      <c r="T817">
        <v>4.2971990331691964E-3</v>
      </c>
      <c r="U817">
        <v>4.2255790492830431E-2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60</v>
      </c>
      <c r="AB817">
        <v>8</v>
      </c>
      <c r="AC817">
        <v>0.5</v>
      </c>
      <c r="AD817">
        <v>0.50048257265952256</v>
      </c>
      <c r="AE817">
        <v>78.3</v>
      </c>
      <c r="AF817">
        <v>400000</v>
      </c>
      <c r="AG817">
        <v>33333.333333333336</v>
      </c>
      <c r="AH817">
        <v>1</v>
      </c>
      <c r="AI817">
        <v>1</v>
      </c>
      <c r="AJ817" t="s">
        <v>162</v>
      </c>
      <c r="AK817" t="s">
        <v>176</v>
      </c>
      <c r="AL817">
        <v>0</v>
      </c>
      <c r="AM817" t="s">
        <v>176</v>
      </c>
      <c r="AN817">
        <v>0</v>
      </c>
    </row>
    <row r="818" spans="1:40" x14ac:dyDescent="0.15">
      <c r="A818" s="4" t="str">
        <f>HYPERLINK("https://ibp.a2mac1.com/costing(costing:projects/details/9760/process/12085253)","Injection molding")</f>
        <v>Injection molding</v>
      </c>
      <c r="C818">
        <v>12085253</v>
      </c>
      <c r="D818">
        <v>8415894</v>
      </c>
      <c r="E818">
        <v>3.0070834500000001E-2</v>
      </c>
      <c r="F818">
        <v>0</v>
      </c>
      <c r="G818">
        <v>0</v>
      </c>
      <c r="H818">
        <v>1.5163538600000001E-4</v>
      </c>
      <c r="I818" t="s">
        <v>176</v>
      </c>
      <c r="J818">
        <v>1.0551169999999999E-3</v>
      </c>
      <c r="K818">
        <v>3.1277586885999999E-2</v>
      </c>
      <c r="L818">
        <v>9.0291801579330433E-4</v>
      </c>
      <c r="M818">
        <v>5.4175080947598256E-3</v>
      </c>
      <c r="N818">
        <v>3.6695094980759825E-2</v>
      </c>
      <c r="O818" t="s">
        <v>177</v>
      </c>
      <c r="P818">
        <v>1.8766552131599999E-3</v>
      </c>
      <c r="Q818" t="s">
        <v>177</v>
      </c>
      <c r="R818">
        <v>3.2505048568558952E-4</v>
      </c>
      <c r="S818" t="s">
        <v>178</v>
      </c>
      <c r="T818">
        <v>4.4034113976911789E-3</v>
      </c>
      <c r="U818">
        <v>4.3300212077296597E-2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60</v>
      </c>
      <c r="AB818">
        <v>1</v>
      </c>
      <c r="AC818">
        <v>0.5</v>
      </c>
      <c r="AD818">
        <v>0.50048257265952256</v>
      </c>
      <c r="AE818">
        <v>52.65</v>
      </c>
      <c r="AF818">
        <v>400000</v>
      </c>
      <c r="AG818">
        <v>33333.333333333336</v>
      </c>
      <c r="AH818">
        <v>1</v>
      </c>
      <c r="AI818">
        <v>1</v>
      </c>
      <c r="AJ818" t="s">
        <v>162</v>
      </c>
      <c r="AK818" t="s">
        <v>176</v>
      </c>
      <c r="AL818">
        <v>0</v>
      </c>
      <c r="AM818" t="s">
        <v>176</v>
      </c>
      <c r="AN818">
        <v>0</v>
      </c>
    </row>
    <row r="819" spans="1:40" x14ac:dyDescent="0.15">
      <c r="A819" s="4" t="str">
        <f>HYPERLINK("https://ibp.a2mac1.com/costing(costing:projects/details/9760/process/12085254)","Injection molding")</f>
        <v>Injection molding</v>
      </c>
      <c r="C819">
        <v>12085254</v>
      </c>
      <c r="D819">
        <v>8415895</v>
      </c>
      <c r="E819">
        <v>9.4960530000000008E-3</v>
      </c>
      <c r="F819">
        <v>0</v>
      </c>
      <c r="G819">
        <v>0</v>
      </c>
      <c r="H819">
        <v>4.7884858736842104E-5</v>
      </c>
      <c r="I819" t="s">
        <v>176</v>
      </c>
      <c r="J819">
        <v>3.3319484210526316E-4</v>
      </c>
      <c r="K819">
        <v>9.8771327008421051E-3</v>
      </c>
      <c r="L819">
        <v>1.3993797264491627E-4</v>
      </c>
      <c r="M819">
        <v>8.3962783586949755E-4</v>
      </c>
      <c r="N819">
        <v>1.0716760536711603E-2</v>
      </c>
      <c r="O819" t="s">
        <v>177</v>
      </c>
      <c r="P819">
        <v>5.9262796205052635E-4</v>
      </c>
      <c r="Q819" t="s">
        <v>177</v>
      </c>
      <c r="R819">
        <v>5.037767015216985E-5</v>
      </c>
      <c r="S819" t="s">
        <v>178</v>
      </c>
      <c r="T819">
        <v>1.2860112644053924E-3</v>
      </c>
      <c r="U819">
        <v>1.2645777433319691E-2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60</v>
      </c>
      <c r="AB819">
        <v>4</v>
      </c>
      <c r="AC819">
        <v>0.5</v>
      </c>
      <c r="AD819">
        <v>0.50048257265952256</v>
      </c>
      <c r="AE819">
        <v>32.4</v>
      </c>
      <c r="AF819">
        <v>400000</v>
      </c>
      <c r="AG819">
        <v>33333.333333333336</v>
      </c>
      <c r="AH819">
        <v>1</v>
      </c>
      <c r="AI819">
        <v>1</v>
      </c>
      <c r="AJ819" t="s">
        <v>162</v>
      </c>
      <c r="AK819" t="s">
        <v>176</v>
      </c>
      <c r="AL819">
        <v>0</v>
      </c>
      <c r="AM819" t="s">
        <v>176</v>
      </c>
      <c r="AN819">
        <v>0</v>
      </c>
    </row>
    <row r="820" spans="1:40" x14ac:dyDescent="0.15">
      <c r="A820" s="4" t="str">
        <f>HYPERLINK("https://ibp.a2mac1.com/costing(costing:projects/details/9760/process/12085255)","Injection molding")</f>
        <v>Injection molding</v>
      </c>
      <c r="C820">
        <v>12085255</v>
      </c>
      <c r="D820">
        <v>8415896</v>
      </c>
      <c r="E820">
        <v>1.0679340000000001E-2</v>
      </c>
      <c r="F820">
        <v>0</v>
      </c>
      <c r="G820">
        <v>0</v>
      </c>
      <c r="H820">
        <v>5.3851709473684212E-5</v>
      </c>
      <c r="I820" t="s">
        <v>176</v>
      </c>
      <c r="J820">
        <v>3.7471368421052633E-4</v>
      </c>
      <c r="K820">
        <v>1.110790539368421E-2</v>
      </c>
      <c r="L820">
        <v>6.476632063018608E-5</v>
      </c>
      <c r="M820">
        <v>3.8859792378111651E-4</v>
      </c>
      <c r="N820">
        <v>1.1496503317465327E-2</v>
      </c>
      <c r="O820" t="s">
        <v>177</v>
      </c>
      <c r="P820">
        <v>6.6647432362105261E-4</v>
      </c>
      <c r="Q820" t="s">
        <v>177</v>
      </c>
      <c r="R820">
        <v>2.331587542686699E-5</v>
      </c>
      <c r="S820" t="s">
        <v>178</v>
      </c>
      <c r="T820">
        <v>1.3795803980958393E-3</v>
      </c>
      <c r="U820">
        <v>1.3565873914609086E-2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60</v>
      </c>
      <c r="AB820">
        <v>8</v>
      </c>
      <c r="AC820">
        <v>0.5</v>
      </c>
      <c r="AD820">
        <v>0.50048257265952256</v>
      </c>
      <c r="AE820">
        <v>29.7</v>
      </c>
      <c r="AF820">
        <v>400000</v>
      </c>
      <c r="AG820">
        <v>33333.333333333336</v>
      </c>
      <c r="AH820">
        <v>1</v>
      </c>
      <c r="AI820">
        <v>1</v>
      </c>
      <c r="AJ820" t="s">
        <v>162</v>
      </c>
      <c r="AK820" t="s">
        <v>176</v>
      </c>
      <c r="AL820">
        <v>0</v>
      </c>
      <c r="AM820" t="s">
        <v>176</v>
      </c>
      <c r="AN820">
        <v>0</v>
      </c>
    </row>
    <row r="821" spans="1:40" x14ac:dyDescent="0.15">
      <c r="A821" s="4" t="str">
        <f>HYPERLINK("https://ibp.a2mac1.com/costing(costing:projects/details/9760/process/12085535)","Stamping")</f>
        <v>Stamping</v>
      </c>
      <c r="C821">
        <v>12085535</v>
      </c>
      <c r="D821">
        <v>8416243</v>
      </c>
      <c r="E821">
        <v>7.1827749999999996E-2</v>
      </c>
      <c r="F821">
        <v>0</v>
      </c>
      <c r="G821">
        <v>0</v>
      </c>
      <c r="H821">
        <v>7.9468999999999994E-5</v>
      </c>
      <c r="I821" t="s">
        <v>176</v>
      </c>
      <c r="J821">
        <v>2.6744375000000002E-3</v>
      </c>
      <c r="K821">
        <v>7.4581656499999996E-2</v>
      </c>
      <c r="L821">
        <v>1.9496073438883467E-2</v>
      </c>
      <c r="M821">
        <v>0.1169764406333008</v>
      </c>
      <c r="N821">
        <v>0.1915580971333008</v>
      </c>
      <c r="O821" t="s">
        <v>177</v>
      </c>
      <c r="P821">
        <v>4.4748993900000002E-3</v>
      </c>
      <c r="Q821" t="s">
        <v>177</v>
      </c>
      <c r="R821">
        <v>7.0185864379980478E-3</v>
      </c>
      <c r="S821" t="s">
        <v>178</v>
      </c>
      <c r="T821">
        <v>2.2986971655996096E-2</v>
      </c>
      <c r="U821">
        <v>0.22603855461729494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5</v>
      </c>
      <c r="AB821">
        <v>1</v>
      </c>
      <c r="AC821">
        <v>0.1</v>
      </c>
      <c r="AD821">
        <v>0.10389195236953569</v>
      </c>
      <c r="AE821">
        <v>2700</v>
      </c>
      <c r="AF821">
        <v>200000</v>
      </c>
      <c r="AG821">
        <v>16666.666666666668</v>
      </c>
      <c r="AH821">
        <v>1</v>
      </c>
      <c r="AI821">
        <v>1</v>
      </c>
      <c r="AJ821" t="s">
        <v>162</v>
      </c>
      <c r="AK821" t="s">
        <v>176</v>
      </c>
      <c r="AL821">
        <v>0</v>
      </c>
      <c r="AM821" t="s">
        <v>176</v>
      </c>
      <c r="AN821">
        <v>0</v>
      </c>
    </row>
    <row r="822" spans="1:40" x14ac:dyDescent="0.15">
      <c r="A822" s="4" t="str">
        <f>HYPERLINK("https://ibp.a2mac1.com/costing(costing:projects/details/9760/process/12085536)","Stamping")</f>
        <v>Stamping</v>
      </c>
      <c r="C822">
        <v>12085536</v>
      </c>
      <c r="D822">
        <v>8416244</v>
      </c>
      <c r="E822">
        <v>6.4644974999999993E-2</v>
      </c>
      <c r="F822">
        <v>0</v>
      </c>
      <c r="G822">
        <v>0</v>
      </c>
      <c r="H822">
        <v>7.1522100000000004E-5</v>
      </c>
      <c r="I822" t="s">
        <v>176</v>
      </c>
      <c r="J822">
        <v>2.4069937500000001E-3</v>
      </c>
      <c r="K822">
        <v>6.7123490849999995E-2</v>
      </c>
      <c r="L822">
        <v>1.9496073438883467E-2</v>
      </c>
      <c r="M822">
        <v>0.1169764406333008</v>
      </c>
      <c r="N822">
        <v>0.18409993148330081</v>
      </c>
      <c r="O822" t="s">
        <v>177</v>
      </c>
      <c r="P822">
        <v>4.0274094510000004E-3</v>
      </c>
      <c r="Q822" t="s">
        <v>177</v>
      </c>
      <c r="R822">
        <v>7.0185864379980478E-3</v>
      </c>
      <c r="S822" t="s">
        <v>178</v>
      </c>
      <c r="T822">
        <v>2.2091991777996096E-2</v>
      </c>
      <c r="U822">
        <v>0.21723791915029494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5</v>
      </c>
      <c r="AB822">
        <v>1</v>
      </c>
      <c r="AC822">
        <v>0.1</v>
      </c>
      <c r="AD822">
        <v>0.10389195236953569</v>
      </c>
      <c r="AE822">
        <v>2700</v>
      </c>
      <c r="AF822">
        <v>200000</v>
      </c>
      <c r="AG822">
        <v>16666.666666666668</v>
      </c>
      <c r="AH822">
        <v>1</v>
      </c>
      <c r="AI822">
        <v>1</v>
      </c>
      <c r="AJ822" t="s">
        <v>162</v>
      </c>
      <c r="AK822" t="s">
        <v>176</v>
      </c>
      <c r="AL822">
        <v>0</v>
      </c>
      <c r="AM822" t="s">
        <v>176</v>
      </c>
      <c r="AN822">
        <v>0</v>
      </c>
    </row>
    <row r="823" spans="1:40" x14ac:dyDescent="0.15">
      <c r="A823" s="4" t="str">
        <f>HYPERLINK("https://ibp.a2mac1.com/costing(costing:projects/details/9760/process/12085537)","Stamping")</f>
        <v>Stamping</v>
      </c>
      <c r="C823">
        <v>12085537</v>
      </c>
      <c r="D823">
        <v>8416245</v>
      </c>
      <c r="E823">
        <v>5.0279425000000003E-2</v>
      </c>
      <c r="F823">
        <v>0</v>
      </c>
      <c r="G823">
        <v>0</v>
      </c>
      <c r="H823">
        <v>5.5628299999999997E-5</v>
      </c>
      <c r="I823" t="s">
        <v>176</v>
      </c>
      <c r="J823">
        <v>1.87210625E-3</v>
      </c>
      <c r="K823">
        <v>5.220715955E-2</v>
      </c>
      <c r="L823">
        <v>1.9496073438883467E-2</v>
      </c>
      <c r="M823">
        <v>0.1169764406333008</v>
      </c>
      <c r="N823">
        <v>0.16918360018330081</v>
      </c>
      <c r="O823" t="s">
        <v>177</v>
      </c>
      <c r="P823">
        <v>3.1324295729999998E-3</v>
      </c>
      <c r="Q823" t="s">
        <v>177</v>
      </c>
      <c r="R823">
        <v>7.0185864379980478E-3</v>
      </c>
      <c r="S823" t="s">
        <v>178</v>
      </c>
      <c r="T823">
        <v>2.0302032021996097E-2</v>
      </c>
      <c r="U823">
        <v>0.19963664821629495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5</v>
      </c>
      <c r="AB823">
        <v>1</v>
      </c>
      <c r="AC823">
        <v>0.1</v>
      </c>
      <c r="AD823">
        <v>0.10389195236953569</v>
      </c>
      <c r="AE823">
        <v>2700</v>
      </c>
      <c r="AF823">
        <v>200000</v>
      </c>
      <c r="AG823">
        <v>16666.666666666668</v>
      </c>
      <c r="AH823">
        <v>1</v>
      </c>
      <c r="AI823">
        <v>1</v>
      </c>
      <c r="AJ823" t="s">
        <v>162</v>
      </c>
      <c r="AK823" t="s">
        <v>176</v>
      </c>
      <c r="AL823">
        <v>0</v>
      </c>
      <c r="AM823" t="s">
        <v>176</v>
      </c>
      <c r="AN823">
        <v>0</v>
      </c>
    </row>
    <row r="824" spans="1:40" x14ac:dyDescent="0.15">
      <c r="A824" s="4" t="str">
        <f>HYPERLINK("https://ibp.a2mac1.com/costing(costing:projects/details/9760/process/12085538)","Stamping")</f>
        <v>Stamping</v>
      </c>
      <c r="C824">
        <v>12085538</v>
      </c>
      <c r="D824">
        <v>8416246</v>
      </c>
      <c r="E824">
        <v>5.0279425000000003E-2</v>
      </c>
      <c r="F824">
        <v>0</v>
      </c>
      <c r="G824">
        <v>0</v>
      </c>
      <c r="H824">
        <v>5.5628299999999997E-5</v>
      </c>
      <c r="I824" t="s">
        <v>176</v>
      </c>
      <c r="J824">
        <v>1.87210625E-3</v>
      </c>
      <c r="K824">
        <v>5.220715955E-2</v>
      </c>
      <c r="L824">
        <v>1.9496073438883467E-2</v>
      </c>
      <c r="M824">
        <v>0.1169764406333008</v>
      </c>
      <c r="N824">
        <v>0.16918360018330081</v>
      </c>
      <c r="O824" t="s">
        <v>177</v>
      </c>
      <c r="P824">
        <v>3.1324295729999998E-3</v>
      </c>
      <c r="Q824" t="s">
        <v>177</v>
      </c>
      <c r="R824">
        <v>7.0185864379980478E-3</v>
      </c>
      <c r="S824" t="s">
        <v>178</v>
      </c>
      <c r="T824">
        <v>2.0302032021996097E-2</v>
      </c>
      <c r="U824">
        <v>0.19963664821629495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5</v>
      </c>
      <c r="AB824">
        <v>1</v>
      </c>
      <c r="AC824">
        <v>0.1</v>
      </c>
      <c r="AD824">
        <v>0.10389195236953569</v>
      </c>
      <c r="AE824">
        <v>2700</v>
      </c>
      <c r="AF824">
        <v>200000</v>
      </c>
      <c r="AG824">
        <v>16666.666666666668</v>
      </c>
      <c r="AH824">
        <v>1</v>
      </c>
      <c r="AI824">
        <v>1</v>
      </c>
      <c r="AJ824" t="s">
        <v>162</v>
      </c>
      <c r="AK824" t="s">
        <v>176</v>
      </c>
      <c r="AL824">
        <v>0</v>
      </c>
      <c r="AM824" t="s">
        <v>176</v>
      </c>
      <c r="AN824">
        <v>0</v>
      </c>
    </row>
    <row r="825" spans="1:40" x14ac:dyDescent="0.15">
      <c r="A825" s="4" t="str">
        <f>HYPERLINK("https://ibp.a2mac1.com/costing(costing:projects/details/9760/process/12085539)","Machining")</f>
        <v>Machining</v>
      </c>
      <c r="C825">
        <v>12085539</v>
      </c>
      <c r="D825">
        <v>8416247</v>
      </c>
      <c r="E825">
        <v>5.5932139999999998E-2</v>
      </c>
      <c r="F825">
        <v>0</v>
      </c>
      <c r="G825">
        <v>0</v>
      </c>
      <c r="H825">
        <v>5.8169425599999997E-5</v>
      </c>
      <c r="I825" t="s">
        <v>176</v>
      </c>
      <c r="J825">
        <v>1.9576249000000001E-3</v>
      </c>
      <c r="K825">
        <v>5.7947934325599998E-2</v>
      </c>
      <c r="L825">
        <v>7.58881820550103E-2</v>
      </c>
      <c r="M825">
        <v>0.45532909233006186</v>
      </c>
      <c r="N825">
        <v>0.51327702665566188</v>
      </c>
      <c r="O825" t="s">
        <v>177</v>
      </c>
      <c r="P825">
        <v>3.4768760595360001E-3</v>
      </c>
      <c r="Q825" t="s">
        <v>177</v>
      </c>
      <c r="R825">
        <v>2.7319745539803712E-2</v>
      </c>
      <c r="S825" t="s">
        <v>178</v>
      </c>
      <c r="T825">
        <v>6.1593243198679419E-2</v>
      </c>
      <c r="U825">
        <v>0.60566689145368102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60</v>
      </c>
      <c r="AB825">
        <v>1</v>
      </c>
      <c r="AC825">
        <v>0.1</v>
      </c>
      <c r="AD825">
        <v>0.10389195236953569</v>
      </c>
      <c r="AE825">
        <v>7200</v>
      </c>
      <c r="AF825">
        <v>200000</v>
      </c>
      <c r="AG825">
        <v>16666.666666666668</v>
      </c>
      <c r="AH825">
        <v>1</v>
      </c>
      <c r="AI825">
        <v>1</v>
      </c>
      <c r="AJ825" t="s">
        <v>162</v>
      </c>
      <c r="AK825" t="s">
        <v>176</v>
      </c>
      <c r="AL825">
        <v>0</v>
      </c>
      <c r="AM825" t="s">
        <v>176</v>
      </c>
      <c r="AN825">
        <v>0</v>
      </c>
    </row>
    <row r="826" spans="1:40" x14ac:dyDescent="0.15">
      <c r="A826" s="4" t="str">
        <f>HYPERLINK("https://ibp.a2mac1.com/costing(costing:projects/details/9760/process/12085263)","Cataphoresis")</f>
        <v>Cataphoresis</v>
      </c>
      <c r="C826">
        <v>12085263</v>
      </c>
      <c r="D826">
        <v>8415901</v>
      </c>
      <c r="E826">
        <v>0</v>
      </c>
      <c r="F826">
        <v>0</v>
      </c>
      <c r="G826">
        <v>0</v>
      </c>
      <c r="H826">
        <v>0</v>
      </c>
      <c r="I826" t="s">
        <v>176</v>
      </c>
      <c r="J826">
        <v>0</v>
      </c>
      <c r="K826">
        <v>0</v>
      </c>
      <c r="L826">
        <v>0.20283122386373956</v>
      </c>
      <c r="M826">
        <v>1.2169873431824372</v>
      </c>
      <c r="N826">
        <v>1.2169873431824372</v>
      </c>
      <c r="O826" t="s">
        <v>90</v>
      </c>
      <c r="P826">
        <v>0</v>
      </c>
      <c r="Q826" t="s">
        <v>90</v>
      </c>
      <c r="R826">
        <v>0</v>
      </c>
      <c r="S826" t="s">
        <v>90</v>
      </c>
      <c r="T826">
        <v>0</v>
      </c>
      <c r="U826">
        <v>1.2169873431824372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349.19349999999997</v>
      </c>
      <c r="AB826">
        <v>25</v>
      </c>
      <c r="AC826">
        <v>0.1</v>
      </c>
      <c r="AD826">
        <v>0.21951706246258232</v>
      </c>
      <c r="AE826">
        <v>0</v>
      </c>
      <c r="AF826">
        <v>200000</v>
      </c>
      <c r="AG826">
        <v>10000</v>
      </c>
      <c r="AH826">
        <v>1</v>
      </c>
      <c r="AI826">
        <v>1</v>
      </c>
      <c r="AJ826" t="s">
        <v>76</v>
      </c>
      <c r="AK826" t="s">
        <v>176</v>
      </c>
      <c r="AL826">
        <v>0</v>
      </c>
      <c r="AM826" t="s">
        <v>176</v>
      </c>
      <c r="AN826">
        <v>0</v>
      </c>
    </row>
    <row r="827" spans="1:40" x14ac:dyDescent="0.15">
      <c r="A827" s="4" t="str">
        <f>HYPERLINK("https://ibp.a2mac1.com/costing(costing:projects/details/9760/process/12085264)","Assembly")</f>
        <v>Assembly</v>
      </c>
      <c r="C827">
        <v>12085264</v>
      </c>
      <c r="D827">
        <v>8415901</v>
      </c>
      <c r="E827">
        <v>0</v>
      </c>
      <c r="F827">
        <v>0</v>
      </c>
      <c r="G827">
        <v>0</v>
      </c>
      <c r="H827">
        <v>0</v>
      </c>
      <c r="I827" t="s">
        <v>176</v>
      </c>
      <c r="J827">
        <v>0</v>
      </c>
      <c r="K827">
        <v>0</v>
      </c>
      <c r="L827">
        <v>8.8147992355148315E-3</v>
      </c>
      <c r="M827">
        <v>5.2888795413088989E-2</v>
      </c>
      <c r="N827">
        <v>5.2888795413088989E-2</v>
      </c>
      <c r="O827" t="s">
        <v>90</v>
      </c>
      <c r="P827">
        <v>0</v>
      </c>
      <c r="Q827" t="s">
        <v>90</v>
      </c>
      <c r="R827">
        <v>0</v>
      </c>
      <c r="S827" t="s">
        <v>90</v>
      </c>
      <c r="T827">
        <v>0</v>
      </c>
      <c r="U827">
        <v>5.2888795413088989E-2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30</v>
      </c>
      <c r="AB827">
        <v>1</v>
      </c>
      <c r="AC827">
        <v>0.1</v>
      </c>
      <c r="AD827">
        <v>0.10987913295375087</v>
      </c>
      <c r="AE827">
        <v>600</v>
      </c>
      <c r="AF827">
        <v>200000</v>
      </c>
      <c r="AG827">
        <v>10000</v>
      </c>
      <c r="AH827">
        <v>1</v>
      </c>
      <c r="AI827">
        <v>1</v>
      </c>
      <c r="AJ827" t="s">
        <v>76</v>
      </c>
      <c r="AK827" t="s">
        <v>176</v>
      </c>
      <c r="AL827">
        <v>0</v>
      </c>
      <c r="AM827" t="s">
        <v>176</v>
      </c>
      <c r="AN827">
        <v>0</v>
      </c>
    </row>
    <row r="828" spans="1:40" x14ac:dyDescent="0.15">
      <c r="A828" s="4" t="str">
        <f>HYPERLINK("https://ibp.a2mac1.com/costing(costing:projects/details/9760/process/12085540)","Stamping")</f>
        <v>Stamping</v>
      </c>
      <c r="C828">
        <v>12085540</v>
      </c>
      <c r="D828">
        <v>8416248</v>
      </c>
      <c r="E828">
        <v>7.1827749999999996E-2</v>
      </c>
      <c r="F828">
        <v>0</v>
      </c>
      <c r="G828">
        <v>0</v>
      </c>
      <c r="H828">
        <v>7.9468999999999994E-5</v>
      </c>
      <c r="I828" t="s">
        <v>176</v>
      </c>
      <c r="J828">
        <v>2.6744375000000002E-3</v>
      </c>
      <c r="K828">
        <v>7.4581656499999996E-2</v>
      </c>
      <c r="L828">
        <v>1.9496073438883467E-2</v>
      </c>
      <c r="M828">
        <v>0.1169764406333008</v>
      </c>
      <c r="N828">
        <v>0.1915580971333008</v>
      </c>
      <c r="O828" t="s">
        <v>177</v>
      </c>
      <c r="P828">
        <v>4.4748993900000002E-3</v>
      </c>
      <c r="Q828" t="s">
        <v>177</v>
      </c>
      <c r="R828">
        <v>7.0185864379980478E-3</v>
      </c>
      <c r="S828" t="s">
        <v>178</v>
      </c>
      <c r="T828">
        <v>2.2986971655996096E-2</v>
      </c>
      <c r="U828">
        <v>0.22603855461729494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5</v>
      </c>
      <c r="AB828">
        <v>1</v>
      </c>
      <c r="AC828">
        <v>0.1</v>
      </c>
      <c r="AD828">
        <v>0.10389195236953569</v>
      </c>
      <c r="AE828">
        <v>2700</v>
      </c>
      <c r="AF828">
        <v>200000</v>
      </c>
      <c r="AG828">
        <v>16666.666666666668</v>
      </c>
      <c r="AH828">
        <v>1</v>
      </c>
      <c r="AI828">
        <v>1</v>
      </c>
      <c r="AJ828" t="s">
        <v>162</v>
      </c>
      <c r="AK828" t="s">
        <v>176</v>
      </c>
      <c r="AL828">
        <v>0</v>
      </c>
      <c r="AM828" t="s">
        <v>176</v>
      </c>
      <c r="AN828">
        <v>0</v>
      </c>
    </row>
    <row r="829" spans="1:40" x14ac:dyDescent="0.15">
      <c r="A829" s="4" t="str">
        <f>HYPERLINK("https://ibp.a2mac1.com/costing(costing:projects/details/9760/process/12085541)","Stamping")</f>
        <v>Stamping</v>
      </c>
      <c r="C829">
        <v>12085541</v>
      </c>
      <c r="D829">
        <v>8416249</v>
      </c>
      <c r="E829">
        <v>6.4644974999999993E-2</v>
      </c>
      <c r="F829">
        <v>0</v>
      </c>
      <c r="G829">
        <v>0</v>
      </c>
      <c r="H829">
        <v>7.1522100000000004E-5</v>
      </c>
      <c r="I829" t="s">
        <v>176</v>
      </c>
      <c r="J829">
        <v>2.4069937500000001E-3</v>
      </c>
      <c r="K829">
        <v>6.7123490849999995E-2</v>
      </c>
      <c r="L829">
        <v>1.9496073438883467E-2</v>
      </c>
      <c r="M829">
        <v>0.1169764406333008</v>
      </c>
      <c r="N829">
        <v>0.18409993148330081</v>
      </c>
      <c r="O829" t="s">
        <v>177</v>
      </c>
      <c r="P829">
        <v>4.0274094510000004E-3</v>
      </c>
      <c r="Q829" t="s">
        <v>177</v>
      </c>
      <c r="R829">
        <v>7.0185864379980478E-3</v>
      </c>
      <c r="S829" t="s">
        <v>178</v>
      </c>
      <c r="T829">
        <v>2.2091991777996096E-2</v>
      </c>
      <c r="U829">
        <v>0.21723791915029494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5</v>
      </c>
      <c r="AB829">
        <v>1</v>
      </c>
      <c r="AC829">
        <v>0.1</v>
      </c>
      <c r="AD829">
        <v>0.10389195236953569</v>
      </c>
      <c r="AE829">
        <v>2700</v>
      </c>
      <c r="AF829">
        <v>200000</v>
      </c>
      <c r="AG829">
        <v>16666.666666666668</v>
      </c>
      <c r="AH829">
        <v>1</v>
      </c>
      <c r="AI829">
        <v>1</v>
      </c>
      <c r="AJ829" t="s">
        <v>162</v>
      </c>
      <c r="AK829" t="s">
        <v>176</v>
      </c>
      <c r="AL829">
        <v>0</v>
      </c>
      <c r="AM829" t="s">
        <v>176</v>
      </c>
      <c r="AN829">
        <v>0</v>
      </c>
    </row>
    <row r="830" spans="1:40" x14ac:dyDescent="0.15">
      <c r="A830" s="4" t="str">
        <f>HYPERLINK("https://ibp.a2mac1.com/costing(costing:projects/details/9760/process/12085542)","Stamping")</f>
        <v>Stamping</v>
      </c>
      <c r="C830">
        <v>12085542</v>
      </c>
      <c r="D830">
        <v>8416250</v>
      </c>
      <c r="E830">
        <v>5.0279425000000003E-2</v>
      </c>
      <c r="F830">
        <v>0</v>
      </c>
      <c r="G830">
        <v>0</v>
      </c>
      <c r="H830">
        <v>5.5628299999999997E-5</v>
      </c>
      <c r="I830" t="s">
        <v>176</v>
      </c>
      <c r="J830">
        <v>1.87210625E-3</v>
      </c>
      <c r="K830">
        <v>5.220715955E-2</v>
      </c>
      <c r="L830">
        <v>1.9496073438883467E-2</v>
      </c>
      <c r="M830">
        <v>0.1169764406333008</v>
      </c>
      <c r="N830">
        <v>0.16918360018330081</v>
      </c>
      <c r="O830" t="s">
        <v>177</v>
      </c>
      <c r="P830">
        <v>3.1324295729999998E-3</v>
      </c>
      <c r="Q830" t="s">
        <v>177</v>
      </c>
      <c r="R830">
        <v>7.0185864379980478E-3</v>
      </c>
      <c r="S830" t="s">
        <v>178</v>
      </c>
      <c r="T830">
        <v>2.0302032021996097E-2</v>
      </c>
      <c r="U830">
        <v>0.19963664821629495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5</v>
      </c>
      <c r="AB830">
        <v>1</v>
      </c>
      <c r="AC830">
        <v>0.1</v>
      </c>
      <c r="AD830">
        <v>0.10389195236953569</v>
      </c>
      <c r="AE830">
        <v>2700</v>
      </c>
      <c r="AF830">
        <v>200000</v>
      </c>
      <c r="AG830">
        <v>16666.666666666668</v>
      </c>
      <c r="AH830">
        <v>1</v>
      </c>
      <c r="AI830">
        <v>1</v>
      </c>
      <c r="AJ830" t="s">
        <v>162</v>
      </c>
      <c r="AK830" t="s">
        <v>176</v>
      </c>
      <c r="AL830">
        <v>0</v>
      </c>
      <c r="AM830" t="s">
        <v>176</v>
      </c>
      <c r="AN830">
        <v>0</v>
      </c>
    </row>
    <row r="831" spans="1:40" x14ac:dyDescent="0.15">
      <c r="A831" s="4" t="str">
        <f>HYPERLINK("https://ibp.a2mac1.com/costing(costing:projects/details/9760/process/12085543)","Stamping")</f>
        <v>Stamping</v>
      </c>
      <c r="C831">
        <v>12085543</v>
      </c>
      <c r="D831">
        <v>8416251</v>
      </c>
      <c r="E831">
        <v>5.0279425000000003E-2</v>
      </c>
      <c r="F831">
        <v>0</v>
      </c>
      <c r="G831">
        <v>0</v>
      </c>
      <c r="H831">
        <v>5.5628299999999997E-5</v>
      </c>
      <c r="I831" t="s">
        <v>176</v>
      </c>
      <c r="J831">
        <v>1.87210625E-3</v>
      </c>
      <c r="K831">
        <v>5.220715955E-2</v>
      </c>
      <c r="L831">
        <v>1.9496073438883467E-2</v>
      </c>
      <c r="M831">
        <v>0.1169764406333008</v>
      </c>
      <c r="N831">
        <v>0.16918360018330081</v>
      </c>
      <c r="O831" t="s">
        <v>177</v>
      </c>
      <c r="P831">
        <v>3.1324295729999998E-3</v>
      </c>
      <c r="Q831" t="s">
        <v>177</v>
      </c>
      <c r="R831">
        <v>7.0185864379980478E-3</v>
      </c>
      <c r="S831" t="s">
        <v>178</v>
      </c>
      <c r="T831">
        <v>2.0302032021996097E-2</v>
      </c>
      <c r="U831">
        <v>0.19963664821629495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5</v>
      </c>
      <c r="AB831">
        <v>1</v>
      </c>
      <c r="AC831">
        <v>0.1</v>
      </c>
      <c r="AD831">
        <v>0.10389195236953569</v>
      </c>
      <c r="AE831">
        <v>2700</v>
      </c>
      <c r="AF831">
        <v>200000</v>
      </c>
      <c r="AG831">
        <v>16666.666666666668</v>
      </c>
      <c r="AH831">
        <v>1</v>
      </c>
      <c r="AI831">
        <v>1</v>
      </c>
      <c r="AJ831" t="s">
        <v>162</v>
      </c>
      <c r="AK831" t="s">
        <v>176</v>
      </c>
      <c r="AL831">
        <v>0</v>
      </c>
      <c r="AM831" t="s">
        <v>176</v>
      </c>
      <c r="AN831">
        <v>0</v>
      </c>
    </row>
    <row r="832" spans="1:40" x14ac:dyDescent="0.15">
      <c r="A832" s="4" t="str">
        <f>HYPERLINK("https://ibp.a2mac1.com/costing(costing:projects/details/9760/process/12085544)","Machining")</f>
        <v>Machining</v>
      </c>
      <c r="C832">
        <v>12085544</v>
      </c>
      <c r="D832">
        <v>8416252</v>
      </c>
      <c r="E832">
        <v>5.5932139999999998E-2</v>
      </c>
      <c r="F832">
        <v>0</v>
      </c>
      <c r="G832">
        <v>0</v>
      </c>
      <c r="H832">
        <v>5.8169425599999997E-5</v>
      </c>
      <c r="I832" t="s">
        <v>176</v>
      </c>
      <c r="J832">
        <v>1.9576249000000001E-3</v>
      </c>
      <c r="K832">
        <v>5.7947934325599998E-2</v>
      </c>
      <c r="L832">
        <v>7.58881820550103E-2</v>
      </c>
      <c r="M832">
        <v>0.45532909233006186</v>
      </c>
      <c r="N832">
        <v>0.51327702665566188</v>
      </c>
      <c r="O832" t="s">
        <v>177</v>
      </c>
      <c r="P832">
        <v>3.4768760595360001E-3</v>
      </c>
      <c r="Q832" t="s">
        <v>177</v>
      </c>
      <c r="R832">
        <v>2.7319745539803712E-2</v>
      </c>
      <c r="S832" t="s">
        <v>178</v>
      </c>
      <c r="T832">
        <v>6.1593243198679419E-2</v>
      </c>
      <c r="U832">
        <v>0.60566689145368102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60</v>
      </c>
      <c r="AB832">
        <v>1</v>
      </c>
      <c r="AC832">
        <v>0.1</v>
      </c>
      <c r="AD832">
        <v>0.10389195236953569</v>
      </c>
      <c r="AE832">
        <v>7200</v>
      </c>
      <c r="AF832">
        <v>200000</v>
      </c>
      <c r="AG832">
        <v>16666.666666666668</v>
      </c>
      <c r="AH832">
        <v>1</v>
      </c>
      <c r="AI832">
        <v>1</v>
      </c>
      <c r="AJ832" t="s">
        <v>162</v>
      </c>
      <c r="AK832" t="s">
        <v>176</v>
      </c>
      <c r="AL832">
        <v>0</v>
      </c>
      <c r="AM832" t="s">
        <v>176</v>
      </c>
      <c r="AN832">
        <v>0</v>
      </c>
    </row>
    <row r="833" spans="1:40" x14ac:dyDescent="0.15">
      <c r="A833" s="4" t="str">
        <f>HYPERLINK("https://ibp.a2mac1.com/costing(costing:projects/details/9760/process/12085265)","Cataphoresis")</f>
        <v>Cataphoresis</v>
      </c>
      <c r="C833">
        <v>12085265</v>
      </c>
      <c r="D833">
        <v>8415902</v>
      </c>
      <c r="E833">
        <v>0</v>
      </c>
      <c r="F833">
        <v>0</v>
      </c>
      <c r="G833">
        <v>0</v>
      </c>
      <c r="H833">
        <v>0</v>
      </c>
      <c r="I833" t="s">
        <v>176</v>
      </c>
      <c r="J833">
        <v>0</v>
      </c>
      <c r="K833">
        <v>0</v>
      </c>
      <c r="L833">
        <v>0.20283122386373956</v>
      </c>
      <c r="M833">
        <v>1.2169873431824372</v>
      </c>
      <c r="N833">
        <v>1.2169873431824372</v>
      </c>
      <c r="O833" t="s">
        <v>90</v>
      </c>
      <c r="P833">
        <v>0</v>
      </c>
      <c r="Q833" t="s">
        <v>90</v>
      </c>
      <c r="R833">
        <v>0</v>
      </c>
      <c r="S833" t="s">
        <v>90</v>
      </c>
      <c r="T833">
        <v>0</v>
      </c>
      <c r="U833">
        <v>1.2169873431824372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349.19349999999997</v>
      </c>
      <c r="AB833">
        <v>25</v>
      </c>
      <c r="AC833">
        <v>0.1</v>
      </c>
      <c r="AD833">
        <v>0.21951706246258232</v>
      </c>
      <c r="AE833">
        <v>0</v>
      </c>
      <c r="AF833">
        <v>200000</v>
      </c>
      <c r="AG833">
        <v>10000</v>
      </c>
      <c r="AH833">
        <v>1</v>
      </c>
      <c r="AI833">
        <v>1</v>
      </c>
      <c r="AJ833" t="s">
        <v>76</v>
      </c>
      <c r="AK833" t="s">
        <v>176</v>
      </c>
      <c r="AL833">
        <v>0</v>
      </c>
      <c r="AM833" t="s">
        <v>176</v>
      </c>
      <c r="AN833">
        <v>0</v>
      </c>
    </row>
    <row r="834" spans="1:40" x14ac:dyDescent="0.15">
      <c r="A834" s="4" t="str">
        <f>HYPERLINK("https://ibp.a2mac1.com/costing(costing:projects/details/9760/process/12085266)","Assembly")</f>
        <v>Assembly</v>
      </c>
      <c r="C834">
        <v>12085266</v>
      </c>
      <c r="D834">
        <v>8415902</v>
      </c>
      <c r="E834">
        <v>0</v>
      </c>
      <c r="F834">
        <v>0</v>
      </c>
      <c r="G834">
        <v>0</v>
      </c>
      <c r="H834">
        <v>0</v>
      </c>
      <c r="I834" t="s">
        <v>176</v>
      </c>
      <c r="J834">
        <v>0</v>
      </c>
      <c r="K834">
        <v>0</v>
      </c>
      <c r="L834">
        <v>8.8147992355148315E-3</v>
      </c>
      <c r="M834">
        <v>5.2888795413088989E-2</v>
      </c>
      <c r="N834">
        <v>5.2888795413088989E-2</v>
      </c>
      <c r="O834" t="s">
        <v>90</v>
      </c>
      <c r="P834">
        <v>0</v>
      </c>
      <c r="Q834" t="s">
        <v>90</v>
      </c>
      <c r="R834">
        <v>0</v>
      </c>
      <c r="S834" t="s">
        <v>90</v>
      </c>
      <c r="T834">
        <v>0</v>
      </c>
      <c r="U834">
        <v>5.2888795413088989E-2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30</v>
      </c>
      <c r="AB834">
        <v>1</v>
      </c>
      <c r="AC834">
        <v>0.1</v>
      </c>
      <c r="AD834">
        <v>0.10987913295375087</v>
      </c>
      <c r="AE834">
        <v>600</v>
      </c>
      <c r="AF834">
        <v>200000</v>
      </c>
      <c r="AG834">
        <v>10000</v>
      </c>
      <c r="AH834">
        <v>1</v>
      </c>
      <c r="AI834">
        <v>1</v>
      </c>
      <c r="AJ834" t="s">
        <v>76</v>
      </c>
      <c r="AK834" t="s">
        <v>176</v>
      </c>
      <c r="AL834">
        <v>0</v>
      </c>
      <c r="AM834" t="s">
        <v>176</v>
      </c>
      <c r="AN834">
        <v>0</v>
      </c>
    </row>
    <row r="835" spans="1:40" x14ac:dyDescent="0.15">
      <c r="A835" s="4" t="str">
        <f>HYPERLINK("https://ibp.a2mac1.com/costing(costing:projects/details/9760/process/12085273)","Process")</f>
        <v>Process</v>
      </c>
      <c r="C835">
        <v>12085273</v>
      </c>
      <c r="D835">
        <v>8415908</v>
      </c>
      <c r="E835">
        <v>0</v>
      </c>
      <c r="F835">
        <v>0</v>
      </c>
      <c r="G835">
        <v>0</v>
      </c>
      <c r="H835">
        <v>0</v>
      </c>
      <c r="I835" t="s">
        <v>176</v>
      </c>
      <c r="J835">
        <v>0</v>
      </c>
      <c r="K835">
        <v>0</v>
      </c>
      <c r="L835">
        <v>6.0958171176528894E-2</v>
      </c>
      <c r="M835">
        <v>0.36574902705917339</v>
      </c>
      <c r="N835">
        <v>0.36574902705917339</v>
      </c>
      <c r="O835" t="s">
        <v>90</v>
      </c>
      <c r="P835">
        <v>0</v>
      </c>
      <c r="Q835" t="s">
        <v>90</v>
      </c>
      <c r="R835">
        <v>0</v>
      </c>
      <c r="S835" t="s">
        <v>90</v>
      </c>
      <c r="T835">
        <v>0</v>
      </c>
      <c r="U835">
        <v>0.36574902705917339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56.2</v>
      </c>
      <c r="AB835">
        <v>1</v>
      </c>
      <c r="AC835">
        <v>0</v>
      </c>
      <c r="AD835">
        <v>0</v>
      </c>
      <c r="AE835">
        <v>216</v>
      </c>
      <c r="AF835">
        <v>200000</v>
      </c>
      <c r="AG835">
        <v>10000</v>
      </c>
      <c r="AH835">
        <v>1</v>
      </c>
      <c r="AI835">
        <v>1</v>
      </c>
      <c r="AJ835" t="s">
        <v>76</v>
      </c>
      <c r="AK835" t="s">
        <v>176</v>
      </c>
      <c r="AL835">
        <v>0</v>
      </c>
      <c r="AM835" t="s">
        <v>176</v>
      </c>
      <c r="AN835">
        <v>0</v>
      </c>
    </row>
    <row r="836" spans="1:40" x14ac:dyDescent="0.15">
      <c r="A836" s="4" t="str">
        <f>HYPERLINK("https://ibp.a2mac1.com/costing(costing:projects/details/9760/process/12085256)","Injection molding")</f>
        <v>Injection molding</v>
      </c>
      <c r="B836" t="s">
        <v>5885</v>
      </c>
      <c r="C836">
        <v>12085256</v>
      </c>
      <c r="D836">
        <v>8415897</v>
      </c>
      <c r="E836">
        <v>7.1984192328505152</v>
      </c>
      <c r="F836">
        <v>0</v>
      </c>
      <c r="G836">
        <v>0</v>
      </c>
      <c r="H836">
        <v>8.7952643606185571E-2</v>
      </c>
      <c r="I836" t="s">
        <v>176</v>
      </c>
      <c r="J836">
        <v>0.25232315788659793</v>
      </c>
      <c r="K836">
        <v>7.5386950343432986</v>
      </c>
      <c r="L836">
        <v>0.14237161014547553</v>
      </c>
      <c r="M836">
        <v>0.85422966087285324</v>
      </c>
      <c r="N836">
        <v>8.392924695216152</v>
      </c>
      <c r="O836" t="s">
        <v>177</v>
      </c>
      <c r="P836">
        <v>0.45232170206059796</v>
      </c>
      <c r="Q836" t="s">
        <v>177</v>
      </c>
      <c r="R836">
        <v>5.1253779652371191E-2</v>
      </c>
      <c r="S836" t="s">
        <v>178</v>
      </c>
      <c r="T836">
        <v>1.0071509634259384</v>
      </c>
      <c r="U836">
        <v>9.9036511403550591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57.646320000000003</v>
      </c>
      <c r="AB836">
        <v>1</v>
      </c>
      <c r="AC836">
        <v>0.1</v>
      </c>
      <c r="AD836">
        <v>1.2052953961667654</v>
      </c>
      <c r="AE836">
        <v>18000</v>
      </c>
      <c r="AF836">
        <v>200000</v>
      </c>
      <c r="AG836">
        <v>16666.666666666668</v>
      </c>
      <c r="AH836">
        <v>1</v>
      </c>
      <c r="AI836">
        <v>1</v>
      </c>
      <c r="AJ836" t="s">
        <v>162</v>
      </c>
      <c r="AK836" t="s">
        <v>176</v>
      </c>
      <c r="AL836">
        <v>0</v>
      </c>
      <c r="AM836" t="s">
        <v>176</v>
      </c>
      <c r="AN836">
        <v>0</v>
      </c>
    </row>
    <row r="837" spans="1:40" x14ac:dyDescent="0.15">
      <c r="A837" s="4" t="str">
        <f>HYPERLINK("https://ibp.a2mac1.com/costing(costing:projects/details/9760/process/12085257)","Painting")</f>
        <v>Painting</v>
      </c>
      <c r="C837">
        <v>12085257</v>
      </c>
      <c r="D837">
        <v>8415897</v>
      </c>
      <c r="E837">
        <v>2.556803694951665</v>
      </c>
      <c r="F837">
        <v>0</v>
      </c>
      <c r="G837">
        <v>0</v>
      </c>
      <c r="H837">
        <v>2.8585065309559614E-2</v>
      </c>
      <c r="I837" t="s">
        <v>176</v>
      </c>
      <c r="J837">
        <v>8.9488129323308269E-2</v>
      </c>
      <c r="K837">
        <v>2.674876889584533</v>
      </c>
      <c r="L837">
        <v>1.2868693499490484</v>
      </c>
      <c r="M837">
        <v>7.7212160996942911</v>
      </c>
      <c r="N837">
        <v>10.396092989278824</v>
      </c>
      <c r="O837" t="s">
        <v>177</v>
      </c>
      <c r="P837">
        <v>0.16049261337507195</v>
      </c>
      <c r="Q837" t="s">
        <v>177</v>
      </c>
      <c r="R837">
        <v>0.46327296598165746</v>
      </c>
      <c r="S837" t="s">
        <v>178</v>
      </c>
      <c r="T837">
        <v>1.247531158713459</v>
      </c>
      <c r="U837">
        <v>12.267389727349013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35</v>
      </c>
      <c r="AB837">
        <v>1</v>
      </c>
      <c r="AC837">
        <v>1</v>
      </c>
      <c r="AD837">
        <v>1.1056389564667022</v>
      </c>
      <c r="AE837">
        <v>0</v>
      </c>
      <c r="AF837">
        <v>200000</v>
      </c>
      <c r="AG837">
        <v>16666.666666666668</v>
      </c>
      <c r="AH837">
        <v>1</v>
      </c>
      <c r="AI837">
        <v>1</v>
      </c>
      <c r="AJ837" t="s">
        <v>162</v>
      </c>
      <c r="AK837" t="s">
        <v>176</v>
      </c>
      <c r="AL837">
        <v>0</v>
      </c>
      <c r="AM837" t="s">
        <v>176</v>
      </c>
      <c r="AN837">
        <v>0</v>
      </c>
    </row>
    <row r="838" spans="1:40" x14ac:dyDescent="0.15">
      <c r="A838" s="4" t="str">
        <f>HYPERLINK("https://ibp.a2mac1.com/costing(costing:projects/details/9760/process/12085258)","Handling/Visual Inspection/Packaging")</f>
        <v>Handling/Visual Inspection/Packaging</v>
      </c>
      <c r="C838">
        <v>12085258</v>
      </c>
      <c r="D838">
        <v>8415897</v>
      </c>
      <c r="E838">
        <v>0</v>
      </c>
      <c r="F838">
        <v>0</v>
      </c>
      <c r="G838">
        <v>0</v>
      </c>
      <c r="H838">
        <v>0</v>
      </c>
      <c r="I838" t="s">
        <v>176</v>
      </c>
      <c r="J838">
        <v>0</v>
      </c>
      <c r="K838">
        <v>0</v>
      </c>
      <c r="L838">
        <v>1.724017293860106E-2</v>
      </c>
      <c r="M838">
        <v>0.10344103763160636</v>
      </c>
      <c r="N838">
        <v>0.10344103763160636</v>
      </c>
      <c r="O838" t="s">
        <v>177</v>
      </c>
      <c r="P838">
        <v>0</v>
      </c>
      <c r="Q838" t="s">
        <v>177</v>
      </c>
      <c r="R838">
        <v>6.2064622578963816E-3</v>
      </c>
      <c r="S838" t="s">
        <v>178</v>
      </c>
      <c r="T838">
        <v>1.2412924515792763E-2</v>
      </c>
      <c r="U838">
        <v>0.12206042440529551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60</v>
      </c>
      <c r="AB838">
        <v>1</v>
      </c>
      <c r="AC838">
        <v>0.1</v>
      </c>
      <c r="AD838">
        <v>0.10389195236953569</v>
      </c>
      <c r="AE838">
        <v>900</v>
      </c>
      <c r="AF838">
        <v>200000</v>
      </c>
      <c r="AG838">
        <v>16666.666666666668</v>
      </c>
      <c r="AH838">
        <v>1</v>
      </c>
      <c r="AI838">
        <v>1</v>
      </c>
      <c r="AJ838" t="s">
        <v>162</v>
      </c>
      <c r="AK838" t="s">
        <v>176</v>
      </c>
      <c r="AL838">
        <v>0</v>
      </c>
      <c r="AM838" t="s">
        <v>176</v>
      </c>
      <c r="AN838">
        <v>0</v>
      </c>
    </row>
    <row r="839" spans="1:40" x14ac:dyDescent="0.15">
      <c r="A839" s="4" t="str">
        <f>HYPERLINK("https://ibp.a2mac1.com/costing(costing:projects/details/9760/process/12085261)","Stamping")</f>
        <v>Stamping</v>
      </c>
      <c r="C839">
        <v>12085261</v>
      </c>
      <c r="D839">
        <v>8415898</v>
      </c>
      <c r="E839">
        <v>9.6967462500000004E-2</v>
      </c>
      <c r="F839">
        <v>0</v>
      </c>
      <c r="G839">
        <v>0</v>
      </c>
      <c r="H839">
        <v>3.1462846874999998E-4</v>
      </c>
      <c r="I839" t="s">
        <v>176</v>
      </c>
      <c r="J839">
        <v>3.6104906250000002E-3</v>
      </c>
      <c r="K839">
        <v>0.10089258159375</v>
      </c>
      <c r="L839">
        <v>3.9237824295462118E-3</v>
      </c>
      <c r="M839">
        <v>2.3542694577277267E-2</v>
      </c>
      <c r="N839">
        <v>0.12443527617102727</v>
      </c>
      <c r="O839" t="s">
        <v>177</v>
      </c>
      <c r="P839">
        <v>6.0535548956250004E-3</v>
      </c>
      <c r="Q839" t="s">
        <v>177</v>
      </c>
      <c r="R839">
        <v>1.4125616746366362E-3</v>
      </c>
      <c r="S839" t="s">
        <v>178</v>
      </c>
      <c r="T839">
        <v>1.4932233140523271E-2</v>
      </c>
      <c r="U839">
        <v>0.14683362588181217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0.52203999999999995</v>
      </c>
      <c r="AB839">
        <v>1</v>
      </c>
      <c r="AC839">
        <v>0.1</v>
      </c>
      <c r="AD839">
        <v>0.30407257863516274</v>
      </c>
      <c r="AE839">
        <v>1800</v>
      </c>
      <c r="AF839">
        <v>400000</v>
      </c>
      <c r="AG839">
        <v>33333.333333333336</v>
      </c>
      <c r="AH839">
        <v>1</v>
      </c>
      <c r="AI839">
        <v>1</v>
      </c>
      <c r="AJ839" t="s">
        <v>162</v>
      </c>
      <c r="AK839" t="s">
        <v>176</v>
      </c>
      <c r="AL839">
        <v>0</v>
      </c>
      <c r="AM839" t="s">
        <v>176</v>
      </c>
      <c r="AN839">
        <v>0</v>
      </c>
    </row>
    <row r="840" spans="1:40" x14ac:dyDescent="0.15">
      <c r="A840" s="4" t="str">
        <f>HYPERLINK("https://ibp.a2mac1.com/costing(costing:projects/details/9760/process/12085259)","Cleaning")</f>
        <v>Cleaning</v>
      </c>
      <c r="C840">
        <v>12085259</v>
      </c>
      <c r="D840">
        <v>8415898</v>
      </c>
      <c r="E840">
        <v>0</v>
      </c>
      <c r="F840">
        <v>0</v>
      </c>
      <c r="G840">
        <v>0</v>
      </c>
      <c r="H840">
        <v>0</v>
      </c>
      <c r="I840" t="s">
        <v>176</v>
      </c>
      <c r="J840">
        <v>0</v>
      </c>
      <c r="K840">
        <v>0</v>
      </c>
      <c r="L840">
        <v>1.3386663984690388E-2</v>
      </c>
      <c r="M840">
        <v>8.0319983908142337E-2</v>
      </c>
      <c r="N840">
        <v>8.0319983908142337E-2</v>
      </c>
      <c r="O840" t="s">
        <v>177</v>
      </c>
      <c r="P840">
        <v>0</v>
      </c>
      <c r="Q840" t="s">
        <v>177</v>
      </c>
      <c r="R840">
        <v>4.8191990344885402E-3</v>
      </c>
      <c r="S840" t="s">
        <v>178</v>
      </c>
      <c r="T840">
        <v>9.6383980689770804E-3</v>
      </c>
      <c r="U840">
        <v>9.477758101160795E-2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10</v>
      </c>
      <c r="AB840">
        <v>1</v>
      </c>
      <c r="AC840">
        <v>0.1</v>
      </c>
      <c r="AD840">
        <v>0.20258874484795864</v>
      </c>
      <c r="AE840">
        <v>0</v>
      </c>
      <c r="AF840">
        <v>400000</v>
      </c>
      <c r="AG840">
        <v>33333.333333333336</v>
      </c>
      <c r="AH840">
        <v>1</v>
      </c>
      <c r="AI840">
        <v>1</v>
      </c>
      <c r="AJ840" t="s">
        <v>162</v>
      </c>
      <c r="AK840" t="s">
        <v>176</v>
      </c>
      <c r="AL840">
        <v>0</v>
      </c>
      <c r="AM840" t="s">
        <v>176</v>
      </c>
      <c r="AN840">
        <v>0</v>
      </c>
    </row>
    <row r="841" spans="1:40" x14ac:dyDescent="0.15">
      <c r="A841" s="4" t="str">
        <f>HYPERLINK("https://ibp.a2mac1.com/costing(costing:projects/details/9760/process/12085260)","Packaging")</f>
        <v>Packaging</v>
      </c>
      <c r="C841">
        <v>12085260</v>
      </c>
      <c r="D841">
        <v>8415898</v>
      </c>
      <c r="E841">
        <v>0</v>
      </c>
      <c r="F841">
        <v>0</v>
      </c>
      <c r="G841">
        <v>0</v>
      </c>
      <c r="H841">
        <v>0</v>
      </c>
      <c r="I841" t="s">
        <v>176</v>
      </c>
      <c r="J841">
        <v>0</v>
      </c>
      <c r="K841">
        <v>0</v>
      </c>
      <c r="L841">
        <v>6.0501411787337415E-3</v>
      </c>
      <c r="M841">
        <v>3.6300847072402449E-2</v>
      </c>
      <c r="N841">
        <v>3.6300847072402449E-2</v>
      </c>
      <c r="O841" t="s">
        <v>177</v>
      </c>
      <c r="P841">
        <v>0</v>
      </c>
      <c r="Q841" t="s">
        <v>177</v>
      </c>
      <c r="R841">
        <v>2.1780508243441467E-3</v>
      </c>
      <c r="S841" t="s">
        <v>178</v>
      </c>
      <c r="T841">
        <v>4.3561016486882934E-3</v>
      </c>
      <c r="U841">
        <v>4.283499954543489E-2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8</v>
      </c>
      <c r="AB841">
        <v>1</v>
      </c>
      <c r="AC841">
        <v>0.1</v>
      </c>
      <c r="AD841">
        <v>0.1008980929261446</v>
      </c>
      <c r="AE841">
        <v>900</v>
      </c>
      <c r="AF841">
        <v>400000</v>
      </c>
      <c r="AG841">
        <v>33333.333333333336</v>
      </c>
      <c r="AH841">
        <v>1</v>
      </c>
      <c r="AI841">
        <v>1</v>
      </c>
      <c r="AJ841" t="s">
        <v>162</v>
      </c>
      <c r="AK841" t="s">
        <v>176</v>
      </c>
      <c r="AL841">
        <v>0</v>
      </c>
      <c r="AM841" t="s">
        <v>176</v>
      </c>
      <c r="AN841">
        <v>0</v>
      </c>
    </row>
    <row r="842" spans="1:40" x14ac:dyDescent="0.15">
      <c r="A842" s="4" t="str">
        <f>HYPERLINK("https://ibp.a2mac1.com/costing(costing:projects/details/9760/process/12085262)","Injection molding")</f>
        <v>Injection molding</v>
      </c>
      <c r="C842">
        <v>12085262</v>
      </c>
      <c r="D842">
        <v>8415899</v>
      </c>
      <c r="E842">
        <v>6.3806063999999996E-2</v>
      </c>
      <c r="F842">
        <v>0</v>
      </c>
      <c r="G842">
        <v>0</v>
      </c>
      <c r="H842">
        <v>3.2174887410526317E-4</v>
      </c>
      <c r="I842" t="s">
        <v>176</v>
      </c>
      <c r="J842">
        <v>2.2388092631578948E-3</v>
      </c>
      <c r="K842">
        <v>6.6366622137263159E-2</v>
      </c>
      <c r="L842">
        <v>1.2301874834648638E-3</v>
      </c>
      <c r="M842">
        <v>7.3811249007891839E-3</v>
      </c>
      <c r="N842">
        <v>7.3747747038052341E-2</v>
      </c>
      <c r="O842" t="s">
        <v>177</v>
      </c>
      <c r="P842">
        <v>3.9819973282357894E-3</v>
      </c>
      <c r="Q842" t="s">
        <v>177</v>
      </c>
      <c r="R842">
        <v>4.4286749404735099E-4</v>
      </c>
      <c r="S842" t="s">
        <v>178</v>
      </c>
      <c r="T842">
        <v>8.8497296445662812E-3</v>
      </c>
      <c r="U842">
        <v>8.7022341504901762E-2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60</v>
      </c>
      <c r="AB842">
        <v>2</v>
      </c>
      <c r="AC842">
        <v>0.5</v>
      </c>
      <c r="AD842">
        <v>0.50048257265952256</v>
      </c>
      <c r="AE842">
        <v>143.1</v>
      </c>
      <c r="AF842">
        <v>400000</v>
      </c>
      <c r="AG842">
        <v>33333.333333333336</v>
      </c>
      <c r="AH842">
        <v>1</v>
      </c>
      <c r="AI842">
        <v>1</v>
      </c>
      <c r="AJ842" t="s">
        <v>162</v>
      </c>
      <c r="AK842" t="s">
        <v>176</v>
      </c>
      <c r="AL842">
        <v>0</v>
      </c>
      <c r="AM842" t="s">
        <v>176</v>
      </c>
      <c r="AN842">
        <v>0</v>
      </c>
    </row>
    <row r="843" spans="1:40" x14ac:dyDescent="0.15">
      <c r="A843" s="4" t="str">
        <f>HYPERLINK("https://ibp.a2mac1.com/costing(costing:projects/details/9760/process/12085267)","Blanking")</f>
        <v>Blanking</v>
      </c>
      <c r="C843">
        <v>12085267</v>
      </c>
      <c r="D843">
        <v>8415903</v>
      </c>
      <c r="E843">
        <v>2.3997293961925954</v>
      </c>
      <c r="F843">
        <v>0</v>
      </c>
      <c r="G843">
        <v>0</v>
      </c>
      <c r="H843">
        <v>1.212854816912806E-2</v>
      </c>
      <c r="I843" t="s">
        <v>176</v>
      </c>
      <c r="J843">
        <v>0.10353638680962977</v>
      </c>
      <c r="K843">
        <v>2.5153943311713536</v>
      </c>
      <c r="L843">
        <v>3.3207161753867058E-2</v>
      </c>
      <c r="M843">
        <v>0.19924297052320236</v>
      </c>
      <c r="N843">
        <v>2.7146373016945557</v>
      </c>
      <c r="O843" t="s">
        <v>177</v>
      </c>
      <c r="P843">
        <v>0.1509236598702812</v>
      </c>
      <c r="Q843" t="s">
        <v>177</v>
      </c>
      <c r="R843">
        <v>1.195457823139214E-2</v>
      </c>
      <c r="S843" t="s">
        <v>178</v>
      </c>
      <c r="T843">
        <v>0.32575647620334669</v>
      </c>
      <c r="U843">
        <v>3.203272015999576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4.008</v>
      </c>
      <c r="AB843">
        <v>1</v>
      </c>
      <c r="AC843">
        <v>0.1</v>
      </c>
      <c r="AD843">
        <v>0.40832586395777315</v>
      </c>
      <c r="AE843">
        <v>900</v>
      </c>
      <c r="AF843">
        <v>200000</v>
      </c>
      <c r="AG843">
        <v>16666.666666666668</v>
      </c>
      <c r="AH843">
        <v>1</v>
      </c>
      <c r="AI843">
        <v>1</v>
      </c>
      <c r="AJ843" t="s">
        <v>162</v>
      </c>
      <c r="AK843" t="s">
        <v>176</v>
      </c>
      <c r="AL843">
        <v>0</v>
      </c>
      <c r="AM843" t="s">
        <v>176</v>
      </c>
      <c r="AN843">
        <v>0</v>
      </c>
    </row>
    <row r="844" spans="1:40" x14ac:dyDescent="0.15">
      <c r="A844" s="4" t="str">
        <f>HYPERLINK("https://ibp.a2mac1.com/costing(costing:projects/details/9760/process/12085268)","Stamping")</f>
        <v>Stamping</v>
      </c>
      <c r="C844">
        <v>12085268</v>
      </c>
      <c r="D844">
        <v>8415903</v>
      </c>
      <c r="E844">
        <v>0</v>
      </c>
      <c r="F844">
        <v>0</v>
      </c>
      <c r="G844">
        <v>0</v>
      </c>
      <c r="H844">
        <v>0</v>
      </c>
      <c r="I844" t="s">
        <v>176</v>
      </c>
      <c r="J844">
        <v>0</v>
      </c>
      <c r="K844">
        <v>0</v>
      </c>
      <c r="L844">
        <v>4.1485494829029287E-2</v>
      </c>
      <c r="M844">
        <v>0.24891296897417572</v>
      </c>
      <c r="N844">
        <v>0.24891296897417572</v>
      </c>
      <c r="O844" t="s">
        <v>177</v>
      </c>
      <c r="P844">
        <v>0</v>
      </c>
      <c r="Q844" t="s">
        <v>177</v>
      </c>
      <c r="R844">
        <v>1.4934778138450544E-2</v>
      </c>
      <c r="S844" t="s">
        <v>178</v>
      </c>
      <c r="T844">
        <v>2.9869556276901087E-2</v>
      </c>
      <c r="U844">
        <v>0.29371730338952734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4.0632099999999998</v>
      </c>
      <c r="AB844">
        <v>1</v>
      </c>
      <c r="AC844">
        <v>0.1</v>
      </c>
      <c r="AD844">
        <v>0.30705427283965386</v>
      </c>
      <c r="AE844">
        <v>3600</v>
      </c>
      <c r="AF844">
        <v>200000</v>
      </c>
      <c r="AG844">
        <v>16666.666666666668</v>
      </c>
      <c r="AH844">
        <v>1</v>
      </c>
      <c r="AI844">
        <v>1</v>
      </c>
      <c r="AJ844" t="s">
        <v>162</v>
      </c>
      <c r="AK844" t="s">
        <v>176</v>
      </c>
      <c r="AL844">
        <v>0</v>
      </c>
      <c r="AM844" t="s">
        <v>176</v>
      </c>
      <c r="AN844">
        <v>0</v>
      </c>
    </row>
    <row r="845" spans="1:40" x14ac:dyDescent="0.15">
      <c r="A845" s="4" t="str">
        <f>HYPERLINK("https://ibp.a2mac1.com/costing(costing:projects/details/9760/process/12085270)","Cleaning")</f>
        <v>Cleaning</v>
      </c>
      <c r="C845">
        <v>12085270</v>
      </c>
      <c r="D845">
        <v>8415903</v>
      </c>
      <c r="E845">
        <v>0</v>
      </c>
      <c r="F845">
        <v>0</v>
      </c>
      <c r="G845">
        <v>0</v>
      </c>
      <c r="H845">
        <v>0</v>
      </c>
      <c r="I845" t="s">
        <v>176</v>
      </c>
      <c r="J845">
        <v>0</v>
      </c>
      <c r="K845">
        <v>0</v>
      </c>
      <c r="L845">
        <v>1.3387064771013693E-2</v>
      </c>
      <c r="M845">
        <v>8.0322388626082167E-2</v>
      </c>
      <c r="N845">
        <v>8.0322388626082167E-2</v>
      </c>
      <c r="O845" t="s">
        <v>177</v>
      </c>
      <c r="P845">
        <v>0</v>
      </c>
      <c r="Q845" t="s">
        <v>177</v>
      </c>
      <c r="R845">
        <v>4.8193433175649295E-3</v>
      </c>
      <c r="S845" t="s">
        <v>178</v>
      </c>
      <c r="T845">
        <v>9.6386866351298589E-3</v>
      </c>
      <c r="U845">
        <v>9.4780418578776948E-2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10</v>
      </c>
      <c r="AB845">
        <v>1</v>
      </c>
      <c r="AC845">
        <v>0.1</v>
      </c>
      <c r="AD845">
        <v>0.20557651238448796</v>
      </c>
      <c r="AE845">
        <v>0</v>
      </c>
      <c r="AF845">
        <v>200000</v>
      </c>
      <c r="AG845">
        <v>16666.666666666668</v>
      </c>
      <c r="AH845">
        <v>1</v>
      </c>
      <c r="AI845">
        <v>1</v>
      </c>
      <c r="AJ845" t="s">
        <v>162</v>
      </c>
      <c r="AK845" t="s">
        <v>176</v>
      </c>
      <c r="AL845">
        <v>0</v>
      </c>
      <c r="AM845" t="s">
        <v>176</v>
      </c>
      <c r="AN845">
        <v>0</v>
      </c>
    </row>
    <row r="846" spans="1:40" x14ac:dyDescent="0.15">
      <c r="A846" s="4" t="str">
        <f>HYPERLINK("https://ibp.a2mac1.com/costing(costing:projects/details/9760/process/12085269)","Packaging")</f>
        <v>Packaging</v>
      </c>
      <c r="C846">
        <v>12085269</v>
      </c>
      <c r="D846">
        <v>8415903</v>
      </c>
      <c r="E846">
        <v>0</v>
      </c>
      <c r="F846">
        <v>0</v>
      </c>
      <c r="G846">
        <v>0</v>
      </c>
      <c r="H846">
        <v>0</v>
      </c>
      <c r="I846" t="s">
        <v>176</v>
      </c>
      <c r="J846">
        <v>0</v>
      </c>
      <c r="K846">
        <v>0</v>
      </c>
      <c r="L846">
        <v>6.0707770319905078E-3</v>
      </c>
      <c r="M846">
        <v>3.6424662191943048E-2</v>
      </c>
      <c r="N846">
        <v>3.6424662191943048E-2</v>
      </c>
      <c r="O846" t="s">
        <v>177</v>
      </c>
      <c r="P846">
        <v>0</v>
      </c>
      <c r="Q846" t="s">
        <v>177</v>
      </c>
      <c r="R846">
        <v>2.1854797315165827E-3</v>
      </c>
      <c r="S846" t="s">
        <v>178</v>
      </c>
      <c r="T846">
        <v>4.3709594630331654E-3</v>
      </c>
      <c r="U846">
        <v>4.2981101386492797E-2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8</v>
      </c>
      <c r="AB846">
        <v>1</v>
      </c>
      <c r="AC846">
        <v>0.1</v>
      </c>
      <c r="AD846">
        <v>0.10389195236953569</v>
      </c>
      <c r="AE846">
        <v>900</v>
      </c>
      <c r="AF846">
        <v>200000</v>
      </c>
      <c r="AG846">
        <v>16666.666666666668</v>
      </c>
      <c r="AH846">
        <v>1</v>
      </c>
      <c r="AI846">
        <v>1</v>
      </c>
      <c r="AJ846" t="s">
        <v>162</v>
      </c>
      <c r="AK846" t="s">
        <v>176</v>
      </c>
      <c r="AL846">
        <v>0</v>
      </c>
      <c r="AM846" t="s">
        <v>176</v>
      </c>
      <c r="AN846">
        <v>0</v>
      </c>
    </row>
    <row r="847" spans="1:40" x14ac:dyDescent="0.15">
      <c r="A847" s="4" t="str">
        <f>HYPERLINK("https://ibp.a2mac1.com/costing(costing:projects/details/9760/process/12085271)","Broaching")</f>
        <v>Broaching</v>
      </c>
      <c r="C847">
        <v>12085271</v>
      </c>
      <c r="D847">
        <v>8415907</v>
      </c>
      <c r="E847">
        <v>3.0370879999999999E-2</v>
      </c>
      <c r="F847">
        <v>0</v>
      </c>
      <c r="G847">
        <v>0</v>
      </c>
      <c r="H847">
        <v>6.2564012799999998E-5</v>
      </c>
      <c r="I847" t="s">
        <v>176</v>
      </c>
      <c r="J847">
        <v>1.0629808000000001E-3</v>
      </c>
      <c r="K847">
        <v>3.1496424812800003E-2</v>
      </c>
      <c r="L847">
        <v>2.5657323692072392E-2</v>
      </c>
      <c r="M847">
        <v>0.15394394215243434</v>
      </c>
      <c r="N847">
        <v>0.18544036696523436</v>
      </c>
      <c r="O847" t="s">
        <v>177</v>
      </c>
      <c r="P847">
        <v>1.889785488768E-3</v>
      </c>
      <c r="Q847" t="s">
        <v>177</v>
      </c>
      <c r="R847">
        <v>9.2366365291460615E-3</v>
      </c>
      <c r="S847" t="s">
        <v>178</v>
      </c>
      <c r="T847">
        <v>2.2252844035828123E-2</v>
      </c>
      <c r="U847">
        <v>0.21881963301897653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30</v>
      </c>
      <c r="AB847">
        <v>1</v>
      </c>
      <c r="AC847">
        <v>0.1</v>
      </c>
      <c r="AD847">
        <v>0.20557651238448796</v>
      </c>
      <c r="AE847">
        <v>900</v>
      </c>
      <c r="AF847">
        <v>200000</v>
      </c>
      <c r="AG847">
        <v>16666.666666666668</v>
      </c>
      <c r="AH847">
        <v>1</v>
      </c>
      <c r="AI847">
        <v>1</v>
      </c>
      <c r="AJ847" t="s">
        <v>162</v>
      </c>
      <c r="AK847" t="s">
        <v>176</v>
      </c>
      <c r="AL847">
        <v>0</v>
      </c>
      <c r="AM847" t="s">
        <v>176</v>
      </c>
      <c r="AN847">
        <v>0</v>
      </c>
    </row>
    <row r="848" spans="1:40" x14ac:dyDescent="0.15">
      <c r="A848" s="4" t="str">
        <f>HYPERLINK("https://ibp.a2mac1.com/costing(costing:projects/details/9760/process/12085272)","Anodizing")</f>
        <v>Anodizing</v>
      </c>
      <c r="C848">
        <v>12085272</v>
      </c>
      <c r="D848">
        <v>8415907</v>
      </c>
      <c r="E848">
        <v>0</v>
      </c>
      <c r="F848">
        <v>0</v>
      </c>
      <c r="G848">
        <v>0</v>
      </c>
      <c r="H848">
        <v>0</v>
      </c>
      <c r="I848" t="s">
        <v>176</v>
      </c>
      <c r="J848">
        <v>0</v>
      </c>
      <c r="K848">
        <v>0</v>
      </c>
      <c r="L848">
        <v>3.0636435527696182E-2</v>
      </c>
      <c r="M848">
        <v>0.18381861316617709</v>
      </c>
      <c r="N848">
        <v>0.18381861316617709</v>
      </c>
      <c r="O848" t="s">
        <v>177</v>
      </c>
      <c r="P848">
        <v>0</v>
      </c>
      <c r="Q848" t="s">
        <v>177</v>
      </c>
      <c r="R848">
        <v>1.1029116789970626E-2</v>
      </c>
      <c r="S848" t="s">
        <v>178</v>
      </c>
      <c r="T848">
        <v>2.2058233579941251E-2</v>
      </c>
      <c r="U848">
        <v>0.21690596353608896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7.5</v>
      </c>
      <c r="AB848">
        <v>1</v>
      </c>
      <c r="AC848">
        <v>0.1</v>
      </c>
      <c r="AD848">
        <v>0.10389195236953569</v>
      </c>
      <c r="AE848">
        <v>1800</v>
      </c>
      <c r="AF848">
        <v>200000</v>
      </c>
      <c r="AG848">
        <v>16666.666666666668</v>
      </c>
      <c r="AH848">
        <v>1</v>
      </c>
      <c r="AI848">
        <v>1</v>
      </c>
      <c r="AJ848" t="s">
        <v>162</v>
      </c>
      <c r="AK848" t="s">
        <v>176</v>
      </c>
      <c r="AL848">
        <v>0</v>
      </c>
      <c r="AM848" t="s">
        <v>176</v>
      </c>
      <c r="AN848">
        <v>0</v>
      </c>
    </row>
    <row r="849" spans="1:40" x14ac:dyDescent="0.15">
      <c r="A849" s="4" t="str">
        <f>HYPERLINK("https://ibp.a2mac1.com/costing(costing:projects/details/9760/process/12085274)","Rubber Extrusion")</f>
        <v>Rubber Extrusion</v>
      </c>
      <c r="C849">
        <v>12085274</v>
      </c>
      <c r="D849">
        <v>8415909</v>
      </c>
      <c r="E849">
        <v>6.9675249999999994E-2</v>
      </c>
      <c r="F849">
        <v>0</v>
      </c>
      <c r="G849">
        <v>0</v>
      </c>
      <c r="H849">
        <v>1.4144075750000001E-4</v>
      </c>
      <c r="I849" t="s">
        <v>176</v>
      </c>
      <c r="J849">
        <v>2.43863375E-3</v>
      </c>
      <c r="K849">
        <v>7.2255324507499996E-2</v>
      </c>
      <c r="L849">
        <v>1.3996150995109671E-2</v>
      </c>
      <c r="M849">
        <v>8.3976905970658031E-2</v>
      </c>
      <c r="N849">
        <v>0.15623223047815801</v>
      </c>
      <c r="O849" t="s">
        <v>177</v>
      </c>
      <c r="P849">
        <v>4.3353194704499999E-3</v>
      </c>
      <c r="Q849" t="s">
        <v>177</v>
      </c>
      <c r="R849">
        <v>5.0386143582394818E-3</v>
      </c>
      <c r="S849" t="s">
        <v>178</v>
      </c>
      <c r="T849">
        <v>1.8747867657378962E-2</v>
      </c>
      <c r="U849">
        <v>0.18435403196422648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5</v>
      </c>
      <c r="AB849">
        <v>1</v>
      </c>
      <c r="AC849">
        <v>0.1</v>
      </c>
      <c r="AD849">
        <v>0.20258874484795864</v>
      </c>
      <c r="AE849">
        <v>1800</v>
      </c>
      <c r="AF849">
        <v>400000</v>
      </c>
      <c r="AG849">
        <v>33333.333333333336</v>
      </c>
      <c r="AH849">
        <v>1</v>
      </c>
      <c r="AI849">
        <v>1</v>
      </c>
      <c r="AJ849" t="s">
        <v>162</v>
      </c>
      <c r="AK849" t="s">
        <v>176</v>
      </c>
      <c r="AL849">
        <v>0</v>
      </c>
      <c r="AM849" t="s">
        <v>176</v>
      </c>
      <c r="AN849">
        <v>0</v>
      </c>
    </row>
    <row r="850" spans="1:40" x14ac:dyDescent="0.15">
      <c r="A850" s="4" t="str">
        <f>HYPERLINK("https://ibp.a2mac1.com/costing(costing:projects/details/9760/process/12085275)","Handling/Visual Inspection/Packaging")</f>
        <v>Handling/Visual Inspection/Packaging</v>
      </c>
      <c r="C850">
        <v>12085275</v>
      </c>
      <c r="D850">
        <v>8415909</v>
      </c>
      <c r="E850">
        <v>0</v>
      </c>
      <c r="F850">
        <v>0</v>
      </c>
      <c r="G850">
        <v>0</v>
      </c>
      <c r="H850">
        <v>0</v>
      </c>
      <c r="I850" t="s">
        <v>176</v>
      </c>
      <c r="J850">
        <v>0</v>
      </c>
      <c r="K850">
        <v>0</v>
      </c>
      <c r="L850">
        <v>2.8743113574299277E-3</v>
      </c>
      <c r="M850">
        <v>1.7245868144579568E-2</v>
      </c>
      <c r="N850">
        <v>1.7245868144579568E-2</v>
      </c>
      <c r="O850" t="s">
        <v>177</v>
      </c>
      <c r="P850">
        <v>0</v>
      </c>
      <c r="Q850" t="s">
        <v>177</v>
      </c>
      <c r="R850">
        <v>1.034752088674774E-3</v>
      </c>
      <c r="S850" t="s">
        <v>178</v>
      </c>
      <c r="T850">
        <v>2.069504177349548E-3</v>
      </c>
      <c r="U850">
        <v>2.0350124410603888E-2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10</v>
      </c>
      <c r="AB850">
        <v>1</v>
      </c>
      <c r="AC850">
        <v>0.1</v>
      </c>
      <c r="AD850">
        <v>0.1008980929261446</v>
      </c>
      <c r="AE850">
        <v>900</v>
      </c>
      <c r="AF850">
        <v>400000</v>
      </c>
      <c r="AG850">
        <v>33333.333333333336</v>
      </c>
      <c r="AH850">
        <v>1</v>
      </c>
      <c r="AI850">
        <v>1</v>
      </c>
      <c r="AJ850" t="s">
        <v>162</v>
      </c>
      <c r="AK850" t="s">
        <v>176</v>
      </c>
      <c r="AL850">
        <v>0</v>
      </c>
      <c r="AM850" t="s">
        <v>176</v>
      </c>
      <c r="AN850">
        <v>0</v>
      </c>
    </row>
    <row r="851" spans="1:40" x14ac:dyDescent="0.15">
      <c r="A851" s="4" t="str">
        <f>HYPERLINK("https://ibp.a2mac1.com/costing(costing:projects/details/9760/process/12085277)","Injection molding")</f>
        <v>Injection molding</v>
      </c>
      <c r="B851" t="s">
        <v>5930</v>
      </c>
      <c r="C851">
        <v>12085277</v>
      </c>
      <c r="D851">
        <v>8415910</v>
      </c>
      <c r="E851">
        <v>1.5138904226804124E-2</v>
      </c>
      <c r="F851">
        <v>0</v>
      </c>
      <c r="G851">
        <v>0</v>
      </c>
      <c r="H851">
        <v>3.1011075257731957E-5</v>
      </c>
      <c r="I851" t="s">
        <v>176</v>
      </c>
      <c r="J851">
        <v>5.3467371134020619E-4</v>
      </c>
      <c r="K851">
        <v>1.5704589013402062E-2</v>
      </c>
      <c r="L851">
        <v>1.3899368122138346E-3</v>
      </c>
      <c r="M851">
        <v>8.3396208732830074E-3</v>
      </c>
      <c r="N851">
        <v>2.404420988668507E-2</v>
      </c>
      <c r="O851" t="s">
        <v>177</v>
      </c>
      <c r="P851">
        <v>9.4227534080412376E-4</v>
      </c>
      <c r="Q851" t="s">
        <v>177</v>
      </c>
      <c r="R851">
        <v>5.0037725239698047E-4</v>
      </c>
      <c r="S851" t="s">
        <v>178</v>
      </c>
      <c r="T851">
        <v>2.8853051864022082E-3</v>
      </c>
      <c r="U851">
        <v>2.8372167666288382E-2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13.61734</v>
      </c>
      <c r="AB851">
        <v>4</v>
      </c>
      <c r="AC851">
        <v>0.1</v>
      </c>
      <c r="AD851">
        <v>0.20258874484795864</v>
      </c>
      <c r="AE851">
        <v>7200</v>
      </c>
      <c r="AF851">
        <v>400000</v>
      </c>
      <c r="AG851">
        <v>33333.333333333336</v>
      </c>
      <c r="AH851">
        <v>1</v>
      </c>
      <c r="AI851">
        <v>1</v>
      </c>
      <c r="AJ851" t="s">
        <v>162</v>
      </c>
      <c r="AK851" t="s">
        <v>176</v>
      </c>
      <c r="AL851">
        <v>0</v>
      </c>
      <c r="AM851" t="s">
        <v>176</v>
      </c>
      <c r="AN851">
        <v>0</v>
      </c>
    </row>
    <row r="852" spans="1:40" x14ac:dyDescent="0.15">
      <c r="A852" s="4" t="str">
        <f>HYPERLINK("https://ibp.a2mac1.com/costing(costing:projects/details/9760/process/12085276)","Handling/Visual Inspection/Packaging")</f>
        <v>Handling/Visual Inspection/Packaging</v>
      </c>
      <c r="C852">
        <v>12085276</v>
      </c>
      <c r="D852">
        <v>8415910</v>
      </c>
      <c r="E852">
        <v>0</v>
      </c>
      <c r="F852">
        <v>0</v>
      </c>
      <c r="G852">
        <v>0</v>
      </c>
      <c r="H852">
        <v>0</v>
      </c>
      <c r="I852" t="s">
        <v>176</v>
      </c>
      <c r="J852">
        <v>0</v>
      </c>
      <c r="K852">
        <v>0</v>
      </c>
      <c r="L852">
        <v>2.8743113574299277E-3</v>
      </c>
      <c r="M852">
        <v>1.7245868144579568E-2</v>
      </c>
      <c r="N852">
        <v>1.7245868144579568E-2</v>
      </c>
      <c r="O852" t="s">
        <v>177</v>
      </c>
      <c r="P852">
        <v>0</v>
      </c>
      <c r="Q852" t="s">
        <v>177</v>
      </c>
      <c r="R852">
        <v>1.034752088674774E-3</v>
      </c>
      <c r="S852" t="s">
        <v>178</v>
      </c>
      <c r="T852">
        <v>2.069504177349548E-3</v>
      </c>
      <c r="U852">
        <v>2.0350124410603888E-2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10</v>
      </c>
      <c r="AB852">
        <v>1</v>
      </c>
      <c r="AC852">
        <v>0.1</v>
      </c>
      <c r="AD852">
        <v>0.1008980929261446</v>
      </c>
      <c r="AE852">
        <v>900</v>
      </c>
      <c r="AF852">
        <v>400000</v>
      </c>
      <c r="AG852">
        <v>33333.333333333336</v>
      </c>
      <c r="AH852">
        <v>1</v>
      </c>
      <c r="AI852">
        <v>1</v>
      </c>
      <c r="AJ852" t="s">
        <v>162</v>
      </c>
      <c r="AK852" t="s">
        <v>176</v>
      </c>
      <c r="AL852">
        <v>0</v>
      </c>
      <c r="AM852" t="s">
        <v>176</v>
      </c>
      <c r="AN852">
        <v>0</v>
      </c>
    </row>
    <row r="853" spans="1:40" x14ac:dyDescent="0.15">
      <c r="A853" s="4" t="str">
        <f>HYPERLINK("https://ibp.a2mac1.com/costing(costing:projects/details/9760/process/12085278)","Broaching")</f>
        <v>Broaching</v>
      </c>
      <c r="C853">
        <v>12085278</v>
      </c>
      <c r="D853">
        <v>8415911</v>
      </c>
      <c r="E853">
        <v>3.0370879999999999E-2</v>
      </c>
      <c r="F853">
        <v>0</v>
      </c>
      <c r="G853">
        <v>0</v>
      </c>
      <c r="H853">
        <v>6.2564012799999998E-5</v>
      </c>
      <c r="I853" t="s">
        <v>176</v>
      </c>
      <c r="J853">
        <v>1.0629808000000001E-3</v>
      </c>
      <c r="K853">
        <v>3.1496424812800003E-2</v>
      </c>
      <c r="L853">
        <v>2.5657323692072392E-2</v>
      </c>
      <c r="M853">
        <v>0.15394394215243434</v>
      </c>
      <c r="N853">
        <v>0.18544036696523436</v>
      </c>
      <c r="O853" t="s">
        <v>177</v>
      </c>
      <c r="P853">
        <v>1.889785488768E-3</v>
      </c>
      <c r="Q853" t="s">
        <v>177</v>
      </c>
      <c r="R853">
        <v>9.2366365291460615E-3</v>
      </c>
      <c r="S853" t="s">
        <v>178</v>
      </c>
      <c r="T853">
        <v>2.2252844035828123E-2</v>
      </c>
      <c r="U853">
        <v>0.21881963301897653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30</v>
      </c>
      <c r="AB853">
        <v>1</v>
      </c>
      <c r="AC853">
        <v>0.1</v>
      </c>
      <c r="AD853">
        <v>0.20557651238448796</v>
      </c>
      <c r="AE853">
        <v>900</v>
      </c>
      <c r="AF853">
        <v>200000</v>
      </c>
      <c r="AG853">
        <v>16666.666666666668</v>
      </c>
      <c r="AH853">
        <v>1</v>
      </c>
      <c r="AI853">
        <v>1</v>
      </c>
      <c r="AJ853" t="s">
        <v>162</v>
      </c>
      <c r="AK853" t="s">
        <v>176</v>
      </c>
      <c r="AL853">
        <v>0</v>
      </c>
      <c r="AM853" t="s">
        <v>176</v>
      </c>
      <c r="AN853">
        <v>0</v>
      </c>
    </row>
    <row r="854" spans="1:40" x14ac:dyDescent="0.15">
      <c r="A854" s="4" t="str">
        <f>HYPERLINK("https://ibp.a2mac1.com/costing(costing:projects/details/9760/process/12085279)","Anodizing")</f>
        <v>Anodizing</v>
      </c>
      <c r="C854">
        <v>12085279</v>
      </c>
      <c r="D854">
        <v>8415911</v>
      </c>
      <c r="E854">
        <v>0</v>
      </c>
      <c r="F854">
        <v>0</v>
      </c>
      <c r="G854">
        <v>0</v>
      </c>
      <c r="H854">
        <v>0</v>
      </c>
      <c r="I854" t="s">
        <v>176</v>
      </c>
      <c r="J854">
        <v>0</v>
      </c>
      <c r="K854">
        <v>0</v>
      </c>
      <c r="L854">
        <v>3.0636435527696182E-2</v>
      </c>
      <c r="M854">
        <v>0.18381861316617709</v>
      </c>
      <c r="N854">
        <v>0.18381861316617709</v>
      </c>
      <c r="O854" t="s">
        <v>177</v>
      </c>
      <c r="P854">
        <v>0</v>
      </c>
      <c r="Q854" t="s">
        <v>177</v>
      </c>
      <c r="R854">
        <v>1.1029116789970626E-2</v>
      </c>
      <c r="S854" t="s">
        <v>178</v>
      </c>
      <c r="T854">
        <v>2.2058233579941251E-2</v>
      </c>
      <c r="U854">
        <v>0.21690596353608896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7.5</v>
      </c>
      <c r="AB854">
        <v>1</v>
      </c>
      <c r="AC854">
        <v>0.1</v>
      </c>
      <c r="AD854">
        <v>0.10389195236953569</v>
      </c>
      <c r="AE854">
        <v>1800</v>
      </c>
      <c r="AF854">
        <v>200000</v>
      </c>
      <c r="AG854">
        <v>16666.666666666668</v>
      </c>
      <c r="AH854">
        <v>1</v>
      </c>
      <c r="AI854">
        <v>1</v>
      </c>
      <c r="AJ854" t="s">
        <v>162</v>
      </c>
      <c r="AK854" t="s">
        <v>176</v>
      </c>
      <c r="AL854">
        <v>0</v>
      </c>
      <c r="AM854" t="s">
        <v>176</v>
      </c>
      <c r="AN854">
        <v>0</v>
      </c>
    </row>
    <row r="855" spans="1:40" x14ac:dyDescent="0.15">
      <c r="A855" s="4" t="str">
        <f>HYPERLINK("https://ibp.a2mac1.com/costing(costing:projects/details/9760/process/12085280)","Injection molding")</f>
        <v>Injection molding</v>
      </c>
      <c r="B855" t="s">
        <v>5939</v>
      </c>
      <c r="C855">
        <v>12085280</v>
      </c>
      <c r="D855">
        <v>8415912</v>
      </c>
      <c r="E855">
        <v>2.2058203195876288E-3</v>
      </c>
      <c r="F855">
        <v>0</v>
      </c>
      <c r="G855">
        <v>0</v>
      </c>
      <c r="H855">
        <v>4.4845420618556702E-6</v>
      </c>
      <c r="I855" t="s">
        <v>176</v>
      </c>
      <c r="J855">
        <v>7.7319690721649483E-5</v>
      </c>
      <c r="K855">
        <v>2.2876245523711339E-3</v>
      </c>
      <c r="L855">
        <v>6.0074612181299696E-4</v>
      </c>
      <c r="M855">
        <v>3.604476730877982E-3</v>
      </c>
      <c r="N855">
        <v>5.8921012832491154E-3</v>
      </c>
      <c r="O855" t="s">
        <v>177</v>
      </c>
      <c r="P855">
        <v>1.3725747314226804E-4</v>
      </c>
      <c r="Q855" t="s">
        <v>177</v>
      </c>
      <c r="R855">
        <v>2.1626860385267892E-4</v>
      </c>
      <c r="S855" t="s">
        <v>178</v>
      </c>
      <c r="T855">
        <v>7.0705215398989387E-4</v>
      </c>
      <c r="U855">
        <v>6.9526795142339564E-3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6.4611599999999996</v>
      </c>
      <c r="AB855">
        <v>8</v>
      </c>
      <c r="AC855">
        <v>0.1</v>
      </c>
      <c r="AD855">
        <v>0.20258874484795864</v>
      </c>
      <c r="AE855">
        <v>7200</v>
      </c>
      <c r="AF855">
        <v>400000</v>
      </c>
      <c r="AG855">
        <v>33333.333333333336</v>
      </c>
      <c r="AH855">
        <v>1</v>
      </c>
      <c r="AI855">
        <v>1</v>
      </c>
      <c r="AJ855" t="s">
        <v>162</v>
      </c>
      <c r="AK855" t="s">
        <v>176</v>
      </c>
      <c r="AL855">
        <v>0</v>
      </c>
      <c r="AM855" t="s">
        <v>176</v>
      </c>
      <c r="AN855">
        <v>0</v>
      </c>
    </row>
    <row r="856" spans="1:40" x14ac:dyDescent="0.15">
      <c r="A856" s="4" t="str">
        <f>HYPERLINK("https://ibp.a2mac1.com/costing(costing:projects/details/9760/process/12085281)","Handling/Visual Inspection/Packaging")</f>
        <v>Handling/Visual Inspection/Packaging</v>
      </c>
      <c r="C856">
        <v>12085281</v>
      </c>
      <c r="D856">
        <v>8415912</v>
      </c>
      <c r="E856">
        <v>0</v>
      </c>
      <c r="F856">
        <v>0</v>
      </c>
      <c r="G856">
        <v>0</v>
      </c>
      <c r="H856">
        <v>0</v>
      </c>
      <c r="I856" t="s">
        <v>176</v>
      </c>
      <c r="J856">
        <v>0</v>
      </c>
      <c r="K856">
        <v>0</v>
      </c>
      <c r="L856">
        <v>2.8743113574299277E-3</v>
      </c>
      <c r="M856">
        <v>1.7245868144579568E-2</v>
      </c>
      <c r="N856">
        <v>1.7245868144579568E-2</v>
      </c>
      <c r="O856" t="s">
        <v>177</v>
      </c>
      <c r="P856">
        <v>0</v>
      </c>
      <c r="Q856" t="s">
        <v>177</v>
      </c>
      <c r="R856">
        <v>1.034752088674774E-3</v>
      </c>
      <c r="S856" t="s">
        <v>178</v>
      </c>
      <c r="T856">
        <v>2.069504177349548E-3</v>
      </c>
      <c r="U856">
        <v>2.0350124410603888E-2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10</v>
      </c>
      <c r="AB856">
        <v>1</v>
      </c>
      <c r="AC856">
        <v>0.1</v>
      </c>
      <c r="AD856">
        <v>0.1008980929261446</v>
      </c>
      <c r="AE856">
        <v>900</v>
      </c>
      <c r="AF856">
        <v>400000</v>
      </c>
      <c r="AG856">
        <v>33333.333333333336</v>
      </c>
      <c r="AH856">
        <v>1</v>
      </c>
      <c r="AI856">
        <v>1</v>
      </c>
      <c r="AJ856" t="s">
        <v>162</v>
      </c>
      <c r="AK856" t="s">
        <v>176</v>
      </c>
      <c r="AL856">
        <v>0</v>
      </c>
      <c r="AM856" t="s">
        <v>176</v>
      </c>
      <c r="AN856">
        <v>0</v>
      </c>
    </row>
    <row r="857" spans="1:40" x14ac:dyDescent="0.15">
      <c r="A857" s="4" t="str">
        <f>HYPERLINK("https://ibp.a2mac1.com/costing(costing:projects/details/9760/process/12085102)","Assembly")</f>
        <v>Assembly</v>
      </c>
      <c r="C857">
        <v>12085102</v>
      </c>
      <c r="D857">
        <v>8415650</v>
      </c>
      <c r="E857">
        <v>0</v>
      </c>
      <c r="F857">
        <v>0</v>
      </c>
      <c r="G857">
        <v>0</v>
      </c>
      <c r="H857">
        <v>0</v>
      </c>
      <c r="I857" t="s">
        <v>90</v>
      </c>
      <c r="J857">
        <v>0</v>
      </c>
      <c r="K857">
        <v>0</v>
      </c>
      <c r="L857">
        <v>0</v>
      </c>
      <c r="M857">
        <v>0.26330235105269467</v>
      </c>
      <c r="N857">
        <v>0.26330235105269467</v>
      </c>
      <c r="O857" t="s">
        <v>90</v>
      </c>
      <c r="P857">
        <v>0</v>
      </c>
      <c r="Q857" t="s">
        <v>90</v>
      </c>
      <c r="R857">
        <v>0</v>
      </c>
      <c r="S857" t="s">
        <v>90</v>
      </c>
      <c r="T857">
        <v>0</v>
      </c>
      <c r="U857">
        <v>0.26330235105269467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180</v>
      </c>
      <c r="AB857">
        <v>1</v>
      </c>
      <c r="AC857">
        <v>0.1</v>
      </c>
      <c r="AD857">
        <v>0.10987913295375087</v>
      </c>
      <c r="AE857">
        <v>600</v>
      </c>
      <c r="AF857">
        <v>200000</v>
      </c>
      <c r="AG857">
        <v>10000</v>
      </c>
      <c r="AH857">
        <v>1</v>
      </c>
      <c r="AI857">
        <v>1</v>
      </c>
      <c r="AJ857" t="s">
        <v>76</v>
      </c>
      <c r="AK857" t="s">
        <v>90</v>
      </c>
      <c r="AL857">
        <v>0</v>
      </c>
      <c r="AM857" t="s">
        <v>90</v>
      </c>
      <c r="AN857">
        <v>0</v>
      </c>
    </row>
    <row r="858" spans="1:40" x14ac:dyDescent="0.15">
      <c r="A858" s="4" t="str">
        <f>HYPERLINK("https://ibp.a2mac1.com/costing(costing:projects/details/9760/process/12085095)","Thermocompression")</f>
        <v>Thermocompression</v>
      </c>
      <c r="C858">
        <v>12085095</v>
      </c>
      <c r="D858">
        <v>8415641</v>
      </c>
      <c r="E858">
        <v>4.1052215399999996</v>
      </c>
      <c r="F858">
        <v>0</v>
      </c>
      <c r="G858">
        <v>0</v>
      </c>
      <c r="H858">
        <v>8.6117681999999997E-3</v>
      </c>
      <c r="I858" t="s">
        <v>176</v>
      </c>
      <c r="J858">
        <v>0.14631644999999999</v>
      </c>
      <c r="K858">
        <v>4.2601497581999999</v>
      </c>
      <c r="L858">
        <v>2.5741114367713785E-2</v>
      </c>
      <c r="M858">
        <v>0.15444668620628271</v>
      </c>
      <c r="N858">
        <v>4.4145964444062828</v>
      </c>
      <c r="O858" t="s">
        <v>177</v>
      </c>
      <c r="P858">
        <v>0.25560898549200001</v>
      </c>
      <c r="Q858" t="s">
        <v>177</v>
      </c>
      <c r="R858">
        <v>9.2668011723769615E-3</v>
      </c>
      <c r="S858" t="s">
        <v>178</v>
      </c>
      <c r="T858">
        <v>0.52975157332875389</v>
      </c>
      <c r="U858">
        <v>5.2092238043994135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20</v>
      </c>
      <c r="AB858">
        <v>1</v>
      </c>
      <c r="AC858">
        <v>0.1</v>
      </c>
      <c r="AD858">
        <v>0.20557651238448796</v>
      </c>
      <c r="AE858">
        <v>1800</v>
      </c>
      <c r="AF858">
        <v>200000</v>
      </c>
      <c r="AG858">
        <v>16666.666666666668</v>
      </c>
      <c r="AH858">
        <v>1</v>
      </c>
      <c r="AI858">
        <v>1</v>
      </c>
      <c r="AJ858" t="s">
        <v>162</v>
      </c>
      <c r="AK858" t="s">
        <v>176</v>
      </c>
      <c r="AL858">
        <v>0</v>
      </c>
      <c r="AM858" t="s">
        <v>176</v>
      </c>
      <c r="AN858">
        <v>0</v>
      </c>
    </row>
    <row r="859" spans="1:40" x14ac:dyDescent="0.15">
      <c r="A859" s="4" t="str">
        <f>HYPERLINK("https://ibp.a2mac1.com/costing(costing:projects/details/9760/process/12085094)","Placement sheet")</f>
        <v>Placement sheet</v>
      </c>
      <c r="C859">
        <v>12085094</v>
      </c>
      <c r="D859">
        <v>8415641</v>
      </c>
      <c r="E859">
        <v>0</v>
      </c>
      <c r="F859">
        <v>0</v>
      </c>
      <c r="G859">
        <v>0</v>
      </c>
      <c r="H859">
        <v>0</v>
      </c>
      <c r="I859" t="s">
        <v>176</v>
      </c>
      <c r="J859">
        <v>0</v>
      </c>
      <c r="K859">
        <v>0</v>
      </c>
      <c r="L859">
        <v>1.1081676585198606E-3</v>
      </c>
      <c r="M859">
        <v>6.6490059511191638E-3</v>
      </c>
      <c r="N859">
        <v>6.6490059511191638E-3</v>
      </c>
      <c r="O859" t="s">
        <v>177</v>
      </c>
      <c r="P859">
        <v>0</v>
      </c>
      <c r="Q859" t="s">
        <v>177</v>
      </c>
      <c r="R859">
        <v>3.989403570671498E-4</v>
      </c>
      <c r="S859" t="s">
        <v>178</v>
      </c>
      <c r="T859">
        <v>7.978807141342996E-4</v>
      </c>
      <c r="U859">
        <v>7.8458270223206138E-3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5</v>
      </c>
      <c r="AB859">
        <v>1</v>
      </c>
      <c r="AC859">
        <v>0.1</v>
      </c>
      <c r="AD859">
        <v>0.10389195236953569</v>
      </c>
      <c r="AE859">
        <v>3600</v>
      </c>
      <c r="AF859">
        <v>200000</v>
      </c>
      <c r="AG859">
        <v>16666.666666666668</v>
      </c>
      <c r="AH859">
        <v>1</v>
      </c>
      <c r="AI859">
        <v>1</v>
      </c>
      <c r="AJ859" t="s">
        <v>162</v>
      </c>
      <c r="AK859" t="s">
        <v>176</v>
      </c>
      <c r="AL859">
        <v>0</v>
      </c>
      <c r="AM859" t="s">
        <v>176</v>
      </c>
      <c r="AN859">
        <v>0</v>
      </c>
    </row>
    <row r="860" spans="1:40" x14ac:dyDescent="0.15">
      <c r="A860" s="4" t="str">
        <f>HYPERLINK("https://ibp.a2mac1.com/costing(costing:projects/details/9760/process/12085096)","Injection molding")</f>
        <v>Injection molding</v>
      </c>
      <c r="B860" t="s">
        <v>5954</v>
      </c>
      <c r="C860">
        <v>12085096</v>
      </c>
      <c r="D860">
        <v>8415642</v>
      </c>
      <c r="E860">
        <v>1.0155300865979382</v>
      </c>
      <c r="F860">
        <v>0</v>
      </c>
      <c r="G860">
        <v>0</v>
      </c>
      <c r="H860">
        <v>2.0951346804123712E-3</v>
      </c>
      <c r="I860" t="s">
        <v>176</v>
      </c>
      <c r="J860">
        <v>3.5596948453608245E-2</v>
      </c>
      <c r="K860">
        <v>1.0532221697319588</v>
      </c>
      <c r="L860">
        <v>6.7272453632153076E-2</v>
      </c>
      <c r="M860">
        <v>0.40363472179291843</v>
      </c>
      <c r="N860">
        <v>1.4568568915248772</v>
      </c>
      <c r="O860" t="s">
        <v>177</v>
      </c>
      <c r="P860">
        <v>6.3193330183917526E-2</v>
      </c>
      <c r="Q860" t="s">
        <v>177</v>
      </c>
      <c r="R860">
        <v>2.4218083307575106E-2</v>
      </c>
      <c r="S860" t="s">
        <v>178</v>
      </c>
      <c r="T860">
        <v>0.17482282698298526</v>
      </c>
      <c r="U860">
        <v>1.7190911319993551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38.530830000000002</v>
      </c>
      <c r="AB860">
        <v>1</v>
      </c>
      <c r="AC860">
        <v>0.1</v>
      </c>
      <c r="AD860">
        <v>0.20557651238448796</v>
      </c>
      <c r="AE860">
        <v>14400</v>
      </c>
      <c r="AF860">
        <v>200000</v>
      </c>
      <c r="AG860">
        <v>16666.666666666668</v>
      </c>
      <c r="AH860">
        <v>1</v>
      </c>
      <c r="AI860">
        <v>1</v>
      </c>
      <c r="AJ860" t="s">
        <v>162</v>
      </c>
      <c r="AK860" t="s">
        <v>176</v>
      </c>
      <c r="AL860">
        <v>0</v>
      </c>
      <c r="AM860" t="s">
        <v>176</v>
      </c>
      <c r="AN860">
        <v>0</v>
      </c>
    </row>
    <row r="861" spans="1:40" x14ac:dyDescent="0.15">
      <c r="A861" s="4" t="str">
        <f>HYPERLINK("https://ibp.a2mac1.com/costing(costing:projects/details/9760/process/12085097)","Handling/Visual Inspection/Packaging")</f>
        <v>Handling/Visual Inspection/Packaging</v>
      </c>
      <c r="C861">
        <v>12085097</v>
      </c>
      <c r="D861">
        <v>8415642</v>
      </c>
      <c r="E861">
        <v>0</v>
      </c>
      <c r="F861">
        <v>0</v>
      </c>
      <c r="G861">
        <v>0</v>
      </c>
      <c r="H861">
        <v>0</v>
      </c>
      <c r="I861" t="s">
        <v>176</v>
      </c>
      <c r="J861">
        <v>0</v>
      </c>
      <c r="K861">
        <v>0</v>
      </c>
      <c r="L861">
        <v>1.293090621145083E-2</v>
      </c>
      <c r="M861">
        <v>7.7585437268704982E-2</v>
      </c>
      <c r="N861">
        <v>7.7585437268704982E-2</v>
      </c>
      <c r="O861" t="s">
        <v>177</v>
      </c>
      <c r="P861">
        <v>0</v>
      </c>
      <c r="Q861" t="s">
        <v>177</v>
      </c>
      <c r="R861">
        <v>4.6551262361222987E-3</v>
      </c>
      <c r="S861" t="s">
        <v>178</v>
      </c>
      <c r="T861">
        <v>9.3102524722445974E-3</v>
      </c>
      <c r="U861">
        <v>9.1550815977071875E-2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45</v>
      </c>
      <c r="AB861">
        <v>1</v>
      </c>
      <c r="AC861">
        <v>0.1</v>
      </c>
      <c r="AD861">
        <v>0.10389195236953569</v>
      </c>
      <c r="AE861">
        <v>900</v>
      </c>
      <c r="AF861">
        <v>200000</v>
      </c>
      <c r="AG861">
        <v>16666.666666666668</v>
      </c>
      <c r="AH861">
        <v>1</v>
      </c>
      <c r="AI861">
        <v>1</v>
      </c>
      <c r="AJ861" t="s">
        <v>162</v>
      </c>
      <c r="AK861" t="s">
        <v>176</v>
      </c>
      <c r="AL861">
        <v>0</v>
      </c>
      <c r="AM861" t="s">
        <v>176</v>
      </c>
      <c r="AN861">
        <v>0</v>
      </c>
    </row>
    <row r="862" spans="1:40" x14ac:dyDescent="0.15">
      <c r="A862" s="4" t="str">
        <f>HYPERLINK("https://ibp.a2mac1.com/costing(costing:projects/details/9760/process/12085100)","Injection molding")</f>
        <v>Injection molding</v>
      </c>
      <c r="B862" t="s">
        <v>5960</v>
      </c>
      <c r="C862">
        <v>12085100</v>
      </c>
      <c r="D862">
        <v>8415644</v>
      </c>
      <c r="E862">
        <v>1.5987107127659575E-3</v>
      </c>
      <c r="F862">
        <v>0</v>
      </c>
      <c r="G862">
        <v>0</v>
      </c>
      <c r="H862">
        <v>3.2711834042553191E-6</v>
      </c>
      <c r="I862" t="s">
        <v>176</v>
      </c>
      <c r="J862">
        <v>5.6123244680851065E-5</v>
      </c>
      <c r="K862">
        <v>1.6581051408510639E-3</v>
      </c>
      <c r="L862">
        <v>5.5907495116801838E-4</v>
      </c>
      <c r="M862">
        <v>3.3544497070081103E-3</v>
      </c>
      <c r="N862">
        <v>5.0125548478591742E-3</v>
      </c>
      <c r="O862" t="s">
        <v>177</v>
      </c>
      <c r="P862">
        <v>9.9486308451063833E-5</v>
      </c>
      <c r="Q862" t="s">
        <v>177</v>
      </c>
      <c r="R862">
        <v>2.0126698242048662E-4</v>
      </c>
      <c r="S862" t="s">
        <v>178</v>
      </c>
      <c r="T862">
        <v>6.0150658174310087E-4</v>
      </c>
      <c r="U862">
        <v>5.9148147204738256E-3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8.4814600000000002</v>
      </c>
      <c r="AB862">
        <v>8</v>
      </c>
      <c r="AC862">
        <v>0.1</v>
      </c>
      <c r="AD862">
        <v>0.20358468723803441</v>
      </c>
      <c r="AE862">
        <v>7200</v>
      </c>
      <c r="AF862">
        <v>600000</v>
      </c>
      <c r="AG862">
        <v>50000</v>
      </c>
      <c r="AH862">
        <v>1</v>
      </c>
      <c r="AI862">
        <v>1</v>
      </c>
      <c r="AJ862" t="s">
        <v>162</v>
      </c>
      <c r="AK862" t="s">
        <v>176</v>
      </c>
      <c r="AL862">
        <v>0</v>
      </c>
      <c r="AM862" t="s">
        <v>176</v>
      </c>
      <c r="AN862">
        <v>0</v>
      </c>
    </row>
    <row r="863" spans="1:40" x14ac:dyDescent="0.15">
      <c r="A863" s="4" t="str">
        <f>HYPERLINK("https://ibp.a2mac1.com/costing(costing:projects/details/9760/process/12085101)","Handling/Visual Inspection/Packaging")</f>
        <v>Handling/Visual Inspection/Packaging</v>
      </c>
      <c r="C863">
        <v>12085101</v>
      </c>
      <c r="D863">
        <v>8415644</v>
      </c>
      <c r="E863">
        <v>0</v>
      </c>
      <c r="F863">
        <v>0</v>
      </c>
      <c r="G863">
        <v>0</v>
      </c>
      <c r="H863">
        <v>0</v>
      </c>
      <c r="I863" t="s">
        <v>176</v>
      </c>
      <c r="J863">
        <v>0</v>
      </c>
      <c r="K863">
        <v>0</v>
      </c>
      <c r="L863">
        <v>2.8738224102182355E-3</v>
      </c>
      <c r="M863">
        <v>1.7242934461309412E-2</v>
      </c>
      <c r="N863">
        <v>1.7242934461309412E-2</v>
      </c>
      <c r="O863" t="s">
        <v>177</v>
      </c>
      <c r="P863">
        <v>0</v>
      </c>
      <c r="Q863" t="s">
        <v>177</v>
      </c>
      <c r="R863">
        <v>1.0345760676785647E-3</v>
      </c>
      <c r="S863" t="s">
        <v>178</v>
      </c>
      <c r="T863">
        <v>2.0691521353571295E-3</v>
      </c>
      <c r="U863">
        <v>2.0346662664345108E-2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10</v>
      </c>
      <c r="AB863">
        <v>1</v>
      </c>
      <c r="AC863">
        <v>0.1</v>
      </c>
      <c r="AD863">
        <v>0.10189606601266708</v>
      </c>
      <c r="AE863">
        <v>900</v>
      </c>
      <c r="AF863">
        <v>600000</v>
      </c>
      <c r="AG863">
        <v>50000</v>
      </c>
      <c r="AH863">
        <v>1</v>
      </c>
      <c r="AI863">
        <v>1</v>
      </c>
      <c r="AJ863" t="s">
        <v>162</v>
      </c>
      <c r="AK863" t="s">
        <v>176</v>
      </c>
      <c r="AL863">
        <v>0</v>
      </c>
      <c r="AM863" t="s">
        <v>176</v>
      </c>
      <c r="AN863">
        <v>0</v>
      </c>
    </row>
    <row r="864" spans="1:40" x14ac:dyDescent="0.15">
      <c r="A864" s="4" t="str">
        <f>HYPERLINK("https://ibp.a2mac1.com/costing(costing:projects/details/9760/process/12085063)","Assembly")</f>
        <v>Assembly</v>
      </c>
      <c r="C864">
        <v>12085063</v>
      </c>
      <c r="D864">
        <v>8415584</v>
      </c>
      <c r="E864">
        <v>0</v>
      </c>
      <c r="F864">
        <v>0</v>
      </c>
      <c r="G864">
        <v>0</v>
      </c>
      <c r="H864">
        <v>0</v>
      </c>
      <c r="I864" t="s">
        <v>90</v>
      </c>
      <c r="J864">
        <v>0</v>
      </c>
      <c r="K864">
        <v>0</v>
      </c>
      <c r="L864">
        <v>0</v>
      </c>
      <c r="M864">
        <v>0.87714174470303219</v>
      </c>
      <c r="N864">
        <v>0.87714174470303219</v>
      </c>
      <c r="O864" t="s">
        <v>90</v>
      </c>
      <c r="P864">
        <v>0</v>
      </c>
      <c r="Q864" t="s">
        <v>90</v>
      </c>
      <c r="R864">
        <v>0</v>
      </c>
      <c r="S864" t="s">
        <v>90</v>
      </c>
      <c r="T864">
        <v>0</v>
      </c>
      <c r="U864">
        <v>0.87714174470303219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600</v>
      </c>
      <c r="AB864">
        <v>1</v>
      </c>
      <c r="AC864">
        <v>0.1</v>
      </c>
      <c r="AD864">
        <v>0.10987913295375087</v>
      </c>
      <c r="AE864">
        <v>600</v>
      </c>
      <c r="AF864">
        <v>200000</v>
      </c>
      <c r="AG864">
        <v>10000</v>
      </c>
      <c r="AH864">
        <v>1</v>
      </c>
      <c r="AI864">
        <v>1</v>
      </c>
      <c r="AJ864" t="s">
        <v>76</v>
      </c>
      <c r="AK864" t="s">
        <v>90</v>
      </c>
      <c r="AL864">
        <v>0</v>
      </c>
      <c r="AM864" t="s">
        <v>90</v>
      </c>
      <c r="AN864">
        <v>0</v>
      </c>
    </row>
    <row r="865" spans="1:40" x14ac:dyDescent="0.15">
      <c r="A865" s="4" t="str">
        <f>HYPERLINK("https://ibp.a2mac1.com/costing(costing:projects/details/9760/process/12085977)","MANUFACTURING  PROCESS")</f>
        <v>MANUFACTURING  PROCESS</v>
      </c>
      <c r="B865" t="s">
        <v>4962</v>
      </c>
      <c r="C865">
        <v>12085977</v>
      </c>
      <c r="D865">
        <v>8416542</v>
      </c>
      <c r="E865">
        <v>2.7187332384615384</v>
      </c>
      <c r="F865">
        <v>0</v>
      </c>
      <c r="G865">
        <v>0</v>
      </c>
      <c r="H865">
        <v>6.0753815384615383E-5</v>
      </c>
      <c r="I865" t="s">
        <v>176</v>
      </c>
      <c r="J865">
        <v>0.10631917692307692</v>
      </c>
      <c r="K865">
        <v>2.8251131692000002</v>
      </c>
      <c r="L865">
        <v>0.24982862648184256</v>
      </c>
      <c r="M865">
        <v>1.4989717588910554</v>
      </c>
      <c r="N865">
        <v>4.3240849280910556</v>
      </c>
      <c r="O865" t="s">
        <v>90</v>
      </c>
      <c r="P865">
        <v>0</v>
      </c>
      <c r="Q865" t="s">
        <v>90</v>
      </c>
      <c r="R865">
        <v>0</v>
      </c>
      <c r="S865" t="s">
        <v>90</v>
      </c>
      <c r="T865">
        <v>0</v>
      </c>
      <c r="U865">
        <v>4.3240849280910556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49.763039999999997</v>
      </c>
      <c r="AB865">
        <v>1</v>
      </c>
      <c r="AC865">
        <v>0</v>
      </c>
      <c r="AD865">
        <v>1.9999600007999841E-3</v>
      </c>
      <c r="AE865">
        <v>5400</v>
      </c>
      <c r="AF865">
        <v>200000</v>
      </c>
      <c r="AG865">
        <v>16666.666666666668</v>
      </c>
      <c r="AH865">
        <v>1</v>
      </c>
      <c r="AI865">
        <v>1</v>
      </c>
      <c r="AJ865" t="s">
        <v>162</v>
      </c>
      <c r="AK865" t="s">
        <v>176</v>
      </c>
      <c r="AL865">
        <v>0</v>
      </c>
      <c r="AM865" t="s">
        <v>176</v>
      </c>
      <c r="AN865">
        <v>0</v>
      </c>
    </row>
    <row r="866" spans="1:40" x14ac:dyDescent="0.15">
      <c r="A866" s="4" t="str">
        <f>HYPERLINK("https://ibp.a2mac1.com/costing(costing:projects/details/9760/process/12085978)","MANUFACTURING  PROCESS")</f>
        <v>MANUFACTURING  PROCESS</v>
      </c>
      <c r="B866" t="s">
        <v>4962</v>
      </c>
      <c r="C866">
        <v>12085978</v>
      </c>
      <c r="D866">
        <v>8416543</v>
      </c>
      <c r="E866">
        <v>0.23062938307692307</v>
      </c>
      <c r="F866">
        <v>0</v>
      </c>
      <c r="G866">
        <v>0</v>
      </c>
      <c r="H866">
        <v>5.1537292307692311E-6</v>
      </c>
      <c r="I866" t="s">
        <v>176</v>
      </c>
      <c r="J866">
        <v>9.019026153846154E-3</v>
      </c>
      <c r="K866">
        <v>0.23965356296000001</v>
      </c>
      <c r="L866">
        <v>1.2228940964449372E-2</v>
      </c>
      <c r="M866">
        <v>7.3373645786696237E-2</v>
      </c>
      <c r="N866">
        <v>0.31302720874669621</v>
      </c>
      <c r="O866" t="s">
        <v>177</v>
      </c>
      <c r="P866">
        <v>1.43792137776E-2</v>
      </c>
      <c r="Q866" t="s">
        <v>177</v>
      </c>
      <c r="R866">
        <v>4.4024187472017735E-3</v>
      </c>
      <c r="S866" t="s">
        <v>178</v>
      </c>
      <c r="T866">
        <v>3.7563265049603549E-2</v>
      </c>
      <c r="U866">
        <v>0.36937210632110157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2.0987800000000001</v>
      </c>
      <c r="AB866">
        <v>1</v>
      </c>
      <c r="AC866">
        <v>0</v>
      </c>
      <c r="AD866">
        <v>1.9999600007999841E-3</v>
      </c>
      <c r="AE866">
        <v>5400</v>
      </c>
      <c r="AF866">
        <v>200000</v>
      </c>
      <c r="AG866">
        <v>16666.666666666668</v>
      </c>
      <c r="AH866">
        <v>1</v>
      </c>
      <c r="AI866">
        <v>1</v>
      </c>
      <c r="AJ866" t="s">
        <v>162</v>
      </c>
      <c r="AK866" t="s">
        <v>176</v>
      </c>
      <c r="AL866">
        <v>0</v>
      </c>
      <c r="AM866" t="s">
        <v>176</v>
      </c>
      <c r="AN866">
        <v>0</v>
      </c>
    </row>
    <row r="867" spans="1:40" x14ac:dyDescent="0.15">
      <c r="A867" s="4" t="str">
        <f>HYPERLINK("https://ibp.a2mac1.com/costing(costing:projects/details/9760/process/12085979)","MANUFACTURING  PROCESS")</f>
        <v>MANUFACTURING  PROCESS</v>
      </c>
      <c r="B867" t="s">
        <v>4962</v>
      </c>
      <c r="C867">
        <v>12085979</v>
      </c>
      <c r="D867">
        <v>8416544</v>
      </c>
      <c r="E867">
        <v>0.34907267666666669</v>
      </c>
      <c r="F867">
        <v>0</v>
      </c>
      <c r="G867">
        <v>0</v>
      </c>
      <c r="H867">
        <v>7.5475173333333331E-6</v>
      </c>
      <c r="I867" t="s">
        <v>176</v>
      </c>
      <c r="J867">
        <v>1.3208155333333334E-2</v>
      </c>
      <c r="K867">
        <v>0.36228837951733334</v>
      </c>
      <c r="L867">
        <v>1.2228940964449372E-2</v>
      </c>
      <c r="M867">
        <v>7.3373645786696237E-2</v>
      </c>
      <c r="N867">
        <v>0.43566202530402959</v>
      </c>
      <c r="O867" t="s">
        <v>177</v>
      </c>
      <c r="P867">
        <v>2.1737302771039999E-2</v>
      </c>
      <c r="Q867" t="s">
        <v>177</v>
      </c>
      <c r="R867">
        <v>4.4024187472017735E-3</v>
      </c>
      <c r="S867" t="s">
        <v>178</v>
      </c>
      <c r="T867">
        <v>5.2279443036483547E-2</v>
      </c>
      <c r="U867">
        <v>0.51408118985875484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2.0987800000000001</v>
      </c>
      <c r="AB867">
        <v>1</v>
      </c>
      <c r="AC867">
        <v>0</v>
      </c>
      <c r="AD867">
        <v>1.9999600007999841E-3</v>
      </c>
      <c r="AE867">
        <v>5400</v>
      </c>
      <c r="AF867">
        <v>200000</v>
      </c>
      <c r="AG867">
        <v>16666.666666666668</v>
      </c>
      <c r="AH867">
        <v>1</v>
      </c>
      <c r="AI867">
        <v>1</v>
      </c>
      <c r="AJ867" t="s">
        <v>162</v>
      </c>
      <c r="AK867" t="s">
        <v>176</v>
      </c>
      <c r="AL867">
        <v>0</v>
      </c>
      <c r="AM867" t="s">
        <v>176</v>
      </c>
      <c r="AN867">
        <v>0</v>
      </c>
    </row>
    <row r="868" spans="1:40" x14ac:dyDescent="0.15">
      <c r="A868" s="4" t="str">
        <f>HYPERLINK("https://ibp.a2mac1.com/costing(costing:projects/details/9760/process/12085980)","MANUFACTURING  PROCESS")</f>
        <v>MANUFACTURING  PROCESS</v>
      </c>
      <c r="B868" t="s">
        <v>4962</v>
      </c>
      <c r="C868">
        <v>12085980</v>
      </c>
      <c r="D868">
        <v>8416545</v>
      </c>
      <c r="E868">
        <v>0.16134244666666667</v>
      </c>
      <c r="F868">
        <v>0</v>
      </c>
      <c r="G868">
        <v>0</v>
      </c>
      <c r="H868">
        <v>3.4884853333333335E-6</v>
      </c>
      <c r="I868" t="s">
        <v>176</v>
      </c>
      <c r="J868">
        <v>6.104849333333333E-3</v>
      </c>
      <c r="K868">
        <v>0.16745078448533332</v>
      </c>
      <c r="L868">
        <v>1.2228940964449372E-2</v>
      </c>
      <c r="M868">
        <v>7.3373645786696237E-2</v>
      </c>
      <c r="N868">
        <v>0.24082443027202957</v>
      </c>
      <c r="O868" t="s">
        <v>177</v>
      </c>
      <c r="P868">
        <v>1.004704706912E-2</v>
      </c>
      <c r="Q868" t="s">
        <v>177</v>
      </c>
      <c r="R868">
        <v>4.4024187472017735E-3</v>
      </c>
      <c r="S868" t="s">
        <v>178</v>
      </c>
      <c r="T868">
        <v>2.8898931632643548E-2</v>
      </c>
      <c r="U868">
        <v>0.28417282772099489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2.0987800000000001</v>
      </c>
      <c r="AB868">
        <v>1</v>
      </c>
      <c r="AC868">
        <v>0</v>
      </c>
      <c r="AD868">
        <v>1.9999600007999841E-3</v>
      </c>
      <c r="AE868">
        <v>5400</v>
      </c>
      <c r="AF868">
        <v>200000</v>
      </c>
      <c r="AG868">
        <v>16666.666666666668</v>
      </c>
      <c r="AH868">
        <v>1</v>
      </c>
      <c r="AI868">
        <v>1</v>
      </c>
      <c r="AJ868" t="s">
        <v>162</v>
      </c>
      <c r="AK868" t="s">
        <v>176</v>
      </c>
      <c r="AL868">
        <v>0</v>
      </c>
      <c r="AM868" t="s">
        <v>176</v>
      </c>
      <c r="AN868">
        <v>0</v>
      </c>
    </row>
    <row r="869" spans="1:40" x14ac:dyDescent="0.15">
      <c r="A869" s="4" t="str">
        <f>HYPERLINK("https://ibp.a2mac1.com/costing(costing:projects/details/9760/process/12085981)","MANUFACTURING  PROCESS")</f>
        <v>MANUFACTURING  PROCESS</v>
      </c>
      <c r="B869" t="s">
        <v>4962</v>
      </c>
      <c r="C869">
        <v>12085981</v>
      </c>
      <c r="D869">
        <v>8416546</v>
      </c>
      <c r="E869">
        <v>0.45538793500000002</v>
      </c>
      <c r="F869">
        <v>0</v>
      </c>
      <c r="G869">
        <v>0</v>
      </c>
      <c r="H869">
        <v>9.6891050000000005E-6</v>
      </c>
      <c r="I869" t="s">
        <v>176</v>
      </c>
      <c r="J869">
        <v>1.6955933749999999E-2</v>
      </c>
      <c r="K869">
        <v>0.47235355785499999</v>
      </c>
      <c r="L869">
        <v>1.2228940964449372E-2</v>
      </c>
      <c r="M869">
        <v>7.3373645786696237E-2</v>
      </c>
      <c r="N869">
        <v>0.54572720364169625</v>
      </c>
      <c r="O869" t="s">
        <v>177</v>
      </c>
      <c r="P869">
        <v>2.83412134713E-2</v>
      </c>
      <c r="Q869" t="s">
        <v>177</v>
      </c>
      <c r="R869">
        <v>4.4024187472017735E-3</v>
      </c>
      <c r="S869" t="s">
        <v>178</v>
      </c>
      <c r="T869">
        <v>6.5487264437003548E-2</v>
      </c>
      <c r="U869">
        <v>0.64395810029720157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2.0987800000000001</v>
      </c>
      <c r="AB869">
        <v>1</v>
      </c>
      <c r="AC869">
        <v>0</v>
      </c>
      <c r="AD869">
        <v>1.9999600007999841E-3</v>
      </c>
      <c r="AE869">
        <v>5400</v>
      </c>
      <c r="AF869">
        <v>200000</v>
      </c>
      <c r="AG869">
        <v>16666.666666666668</v>
      </c>
      <c r="AH869">
        <v>1</v>
      </c>
      <c r="AI869">
        <v>1</v>
      </c>
      <c r="AJ869" t="s">
        <v>162</v>
      </c>
      <c r="AK869" t="s">
        <v>176</v>
      </c>
      <c r="AL869">
        <v>0</v>
      </c>
      <c r="AM869" t="s">
        <v>176</v>
      </c>
      <c r="AN869">
        <v>0</v>
      </c>
    </row>
    <row r="870" spans="1:40" x14ac:dyDescent="0.15">
      <c r="A870" s="4" t="str">
        <f>HYPERLINK("https://ibp.a2mac1.com/costing(costing:projects/details/9760/process/12086176)","MANUFACTURING  PROCESS")</f>
        <v>MANUFACTURING  PROCESS</v>
      </c>
      <c r="B870" t="s">
        <v>4962</v>
      </c>
      <c r="C870">
        <v>12086176</v>
      </c>
      <c r="D870">
        <v>8416841</v>
      </c>
      <c r="E870">
        <v>3.2322487499999997E-2</v>
      </c>
      <c r="F870">
        <v>0</v>
      </c>
      <c r="G870">
        <v>0</v>
      </c>
      <c r="H870">
        <v>6.8771250000000002E-7</v>
      </c>
      <c r="I870" t="s">
        <v>176</v>
      </c>
      <c r="J870">
        <v>1.2034968750000001E-3</v>
      </c>
      <c r="K870">
        <v>3.3526672087500001E-2</v>
      </c>
      <c r="L870">
        <v>2.3884525316540659E-3</v>
      </c>
      <c r="M870">
        <v>1.4330715189924396E-2</v>
      </c>
      <c r="N870">
        <v>4.7857387277424397E-2</v>
      </c>
      <c r="O870" t="s">
        <v>177</v>
      </c>
      <c r="P870">
        <v>2.0116003252500002E-3</v>
      </c>
      <c r="Q870" t="s">
        <v>177</v>
      </c>
      <c r="R870">
        <v>8.5984291139546386E-4</v>
      </c>
      <c r="S870" t="s">
        <v>178</v>
      </c>
      <c r="T870">
        <v>5.7428864732909273E-3</v>
      </c>
      <c r="U870">
        <v>5.6471716987360789E-2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0.24940999999999999</v>
      </c>
      <c r="AB870">
        <v>2</v>
      </c>
      <c r="AC870">
        <v>0</v>
      </c>
      <c r="AD870">
        <v>1.9999600007999841E-3</v>
      </c>
      <c r="AE870">
        <v>5400</v>
      </c>
      <c r="AF870">
        <v>200000</v>
      </c>
      <c r="AG870">
        <v>16666.666666666668</v>
      </c>
      <c r="AH870">
        <v>1</v>
      </c>
      <c r="AI870">
        <v>1</v>
      </c>
      <c r="AJ870" t="s">
        <v>162</v>
      </c>
      <c r="AK870" t="s">
        <v>176</v>
      </c>
      <c r="AL870">
        <v>0</v>
      </c>
      <c r="AM870" t="s">
        <v>176</v>
      </c>
      <c r="AN870">
        <v>0</v>
      </c>
    </row>
    <row r="871" spans="1:40" x14ac:dyDescent="0.15">
      <c r="A871" s="4" t="str">
        <f>HYPERLINK("https://ibp.a2mac1.com/costing(costing:projects/details/9760/process/12086177)","MANUFACTURING  PROCESS")</f>
        <v>MANUFACTURING  PROCESS</v>
      </c>
      <c r="B871" t="s">
        <v>4962</v>
      </c>
      <c r="C871">
        <v>12086177</v>
      </c>
      <c r="D871">
        <v>8416842</v>
      </c>
      <c r="E871">
        <v>3.2322487499999997E-2</v>
      </c>
      <c r="F871">
        <v>0</v>
      </c>
      <c r="G871">
        <v>0</v>
      </c>
      <c r="H871">
        <v>6.8771250000000002E-7</v>
      </c>
      <c r="I871" t="s">
        <v>176</v>
      </c>
      <c r="J871">
        <v>1.2034968750000001E-3</v>
      </c>
      <c r="K871">
        <v>3.3526672087500001E-2</v>
      </c>
      <c r="L871">
        <v>2.3884525316540659E-3</v>
      </c>
      <c r="M871">
        <v>1.4330715189924396E-2</v>
      </c>
      <c r="N871">
        <v>4.7857387277424397E-2</v>
      </c>
      <c r="O871" t="s">
        <v>177</v>
      </c>
      <c r="P871">
        <v>2.0116003252500002E-3</v>
      </c>
      <c r="Q871" t="s">
        <v>177</v>
      </c>
      <c r="R871">
        <v>8.5984291139546386E-4</v>
      </c>
      <c r="S871" t="s">
        <v>178</v>
      </c>
      <c r="T871">
        <v>5.7428864732909273E-3</v>
      </c>
      <c r="U871">
        <v>5.6471716987360789E-2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0.24940999999999999</v>
      </c>
      <c r="AB871">
        <v>2</v>
      </c>
      <c r="AC871">
        <v>0</v>
      </c>
      <c r="AD871">
        <v>1.9999600007999841E-3</v>
      </c>
      <c r="AE871">
        <v>5400</v>
      </c>
      <c r="AF871">
        <v>200000</v>
      </c>
      <c r="AG871">
        <v>16666.666666666668</v>
      </c>
      <c r="AH871">
        <v>1</v>
      </c>
      <c r="AI871">
        <v>1</v>
      </c>
      <c r="AJ871" t="s">
        <v>162</v>
      </c>
      <c r="AK871" t="s">
        <v>176</v>
      </c>
      <c r="AL871">
        <v>0</v>
      </c>
      <c r="AM871" t="s">
        <v>176</v>
      </c>
      <c r="AN871">
        <v>0</v>
      </c>
    </row>
    <row r="872" spans="1:40" x14ac:dyDescent="0.15">
      <c r="A872" s="4" t="str">
        <f>HYPERLINK("https://ibp.a2mac1.com/costing(costing:projects/details/9760/process/12086178)","MANUFACTURING  PROCESS")</f>
        <v>MANUFACTURING  PROCESS</v>
      </c>
      <c r="B872" t="s">
        <v>4962</v>
      </c>
      <c r="C872">
        <v>12086178</v>
      </c>
      <c r="D872">
        <v>8416843</v>
      </c>
      <c r="E872">
        <v>1.0142078299999999</v>
      </c>
      <c r="F872">
        <v>0</v>
      </c>
      <c r="G872">
        <v>0</v>
      </c>
      <c r="H872">
        <v>2.157889E-5</v>
      </c>
      <c r="I872" t="s">
        <v>176</v>
      </c>
      <c r="J872">
        <v>3.7763057500000002E-2</v>
      </c>
      <c r="K872">
        <v>1.05199246639</v>
      </c>
      <c r="L872">
        <v>1.3850815167047692E-2</v>
      </c>
      <c r="M872">
        <v>8.3104891002286158E-2</v>
      </c>
      <c r="N872">
        <v>1.1350973573922862</v>
      </c>
      <c r="O872" t="s">
        <v>177</v>
      </c>
      <c r="P872">
        <v>6.3119547983399998E-2</v>
      </c>
      <c r="Q872" t="s">
        <v>177</v>
      </c>
      <c r="R872">
        <v>4.9862934601371698E-3</v>
      </c>
      <c r="S872" t="s">
        <v>178</v>
      </c>
      <c r="T872">
        <v>0.13621168288707433</v>
      </c>
      <c r="U872">
        <v>1.3394148817228977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2.42414</v>
      </c>
      <c r="AB872">
        <v>1</v>
      </c>
      <c r="AC872">
        <v>0</v>
      </c>
      <c r="AD872">
        <v>1.9999600007999841E-3</v>
      </c>
      <c r="AE872">
        <v>5400</v>
      </c>
      <c r="AF872">
        <v>200000</v>
      </c>
      <c r="AG872">
        <v>16666.666666666668</v>
      </c>
      <c r="AH872">
        <v>1</v>
      </c>
      <c r="AI872">
        <v>1</v>
      </c>
      <c r="AJ872" t="s">
        <v>162</v>
      </c>
      <c r="AK872" t="s">
        <v>176</v>
      </c>
      <c r="AL872">
        <v>0</v>
      </c>
      <c r="AM872" t="s">
        <v>176</v>
      </c>
      <c r="AN872">
        <v>0</v>
      </c>
    </row>
    <row r="873" spans="1:40" x14ac:dyDescent="0.15">
      <c r="A873" s="4" t="str">
        <f>HYPERLINK("https://ibp.a2mac1.com/costing(costing:projects/details/9760/process/12086179)","MANUFACTURING  PROCESS")</f>
        <v>MANUFACTURING  PROCESS</v>
      </c>
      <c r="B873" t="s">
        <v>4962</v>
      </c>
      <c r="C873">
        <v>12086179</v>
      </c>
      <c r="D873">
        <v>8416844</v>
      </c>
      <c r="E873">
        <v>1.4503092500000001</v>
      </c>
      <c r="F873">
        <v>0</v>
      </c>
      <c r="G873">
        <v>0</v>
      </c>
      <c r="H873">
        <v>3.1874928571428571E-5</v>
      </c>
      <c r="I873" t="s">
        <v>176</v>
      </c>
      <c r="J873">
        <v>5.5781125000000001E-2</v>
      </c>
      <c r="K873">
        <v>1.5061222499285714</v>
      </c>
      <c r="L873">
        <v>1.3850815167047692E-2</v>
      </c>
      <c r="M873">
        <v>8.3104891002286158E-2</v>
      </c>
      <c r="N873">
        <v>1.5892271409308576</v>
      </c>
      <c r="O873" t="s">
        <v>177</v>
      </c>
      <c r="P873">
        <v>9.0367334995714282E-2</v>
      </c>
      <c r="Q873" t="s">
        <v>177</v>
      </c>
      <c r="R873">
        <v>4.9862934601371698E-3</v>
      </c>
      <c r="S873" t="s">
        <v>178</v>
      </c>
      <c r="T873">
        <v>0.1907072569117029</v>
      </c>
      <c r="U873">
        <v>1.875288026298412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2.42414</v>
      </c>
      <c r="AB873">
        <v>1</v>
      </c>
      <c r="AC873">
        <v>0</v>
      </c>
      <c r="AD873">
        <v>1.9999600007999841E-3</v>
      </c>
      <c r="AE873">
        <v>5400</v>
      </c>
      <c r="AF873">
        <v>200000</v>
      </c>
      <c r="AG873">
        <v>16666.666666666668</v>
      </c>
      <c r="AH873">
        <v>1</v>
      </c>
      <c r="AI873">
        <v>1</v>
      </c>
      <c r="AJ873" t="s">
        <v>162</v>
      </c>
      <c r="AK873" t="s">
        <v>176</v>
      </c>
      <c r="AL873">
        <v>0</v>
      </c>
      <c r="AM873" t="s">
        <v>176</v>
      </c>
      <c r="AN873">
        <v>0</v>
      </c>
    </row>
    <row r="874" spans="1:40" x14ac:dyDescent="0.15">
      <c r="A874" s="4" t="str">
        <f>HYPERLINK("https://ibp.a2mac1.com/costing(costing:projects/details/9760/process/12086180)","MANUFACTURING  PROCESS")</f>
        <v>MANUFACTURING  PROCESS</v>
      </c>
      <c r="B874" t="s">
        <v>4962</v>
      </c>
      <c r="C874">
        <v>12086180</v>
      </c>
      <c r="D874">
        <v>8416845</v>
      </c>
      <c r="E874">
        <v>0.65004113750000003</v>
      </c>
      <c r="F874">
        <v>0</v>
      </c>
      <c r="G874">
        <v>0</v>
      </c>
      <c r="H874">
        <v>1.38306625E-5</v>
      </c>
      <c r="I874" t="s">
        <v>176</v>
      </c>
      <c r="J874">
        <v>2.4203659374999999E-2</v>
      </c>
      <c r="K874">
        <v>0.67425862753749999</v>
      </c>
      <c r="L874">
        <v>1.3850815167047692E-2</v>
      </c>
      <c r="M874">
        <v>8.3104891002286158E-2</v>
      </c>
      <c r="N874">
        <v>0.75736351853978612</v>
      </c>
      <c r="O874" t="s">
        <v>177</v>
      </c>
      <c r="P874">
        <v>4.045551765225E-2</v>
      </c>
      <c r="Q874" t="s">
        <v>177</v>
      </c>
      <c r="R874">
        <v>4.9862934601371698E-3</v>
      </c>
      <c r="S874" t="s">
        <v>178</v>
      </c>
      <c r="T874">
        <v>9.0883622224774335E-2</v>
      </c>
      <c r="U874">
        <v>0.89368895187694763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2.42414</v>
      </c>
      <c r="AB874">
        <v>1</v>
      </c>
      <c r="AC874">
        <v>0</v>
      </c>
      <c r="AD874">
        <v>1.9999600007999841E-3</v>
      </c>
      <c r="AE874">
        <v>5400</v>
      </c>
      <c r="AF874">
        <v>200000</v>
      </c>
      <c r="AG874">
        <v>16666.666666666668</v>
      </c>
      <c r="AH874">
        <v>1</v>
      </c>
      <c r="AI874">
        <v>1</v>
      </c>
      <c r="AJ874" t="s">
        <v>162</v>
      </c>
      <c r="AK874" t="s">
        <v>176</v>
      </c>
      <c r="AL874">
        <v>0</v>
      </c>
      <c r="AM874" t="s">
        <v>176</v>
      </c>
      <c r="AN874">
        <v>0</v>
      </c>
    </row>
    <row r="875" spans="1:40" x14ac:dyDescent="0.15">
      <c r="A875" s="4" t="str">
        <f>HYPERLINK("https://ibp.a2mac1.com/costing(costing:projects/details/9760/process/12085982)","MANUFACTURING  PROCESS")</f>
        <v>MANUFACTURING  PROCESS</v>
      </c>
      <c r="B875" t="s">
        <v>4962</v>
      </c>
      <c r="C875">
        <v>12085982</v>
      </c>
      <c r="D875">
        <v>8416551</v>
      </c>
      <c r="E875">
        <v>2.6640912475</v>
      </c>
      <c r="F875">
        <v>0</v>
      </c>
      <c r="G875">
        <v>0</v>
      </c>
      <c r="H875">
        <v>5.6682792500000002E-5</v>
      </c>
      <c r="I875" t="s">
        <v>176</v>
      </c>
      <c r="J875">
        <v>9.9194886874999999E-2</v>
      </c>
      <c r="K875">
        <v>2.7633428171675001</v>
      </c>
      <c r="L875">
        <v>0.24982862648184256</v>
      </c>
      <c r="M875">
        <v>1.4989717588910554</v>
      </c>
      <c r="N875">
        <v>4.2623145760585555</v>
      </c>
      <c r="O875" t="s">
        <v>90</v>
      </c>
      <c r="P875">
        <v>0</v>
      </c>
      <c r="Q875" t="s">
        <v>90</v>
      </c>
      <c r="R875">
        <v>0</v>
      </c>
      <c r="S875" t="s">
        <v>90</v>
      </c>
      <c r="T875">
        <v>0</v>
      </c>
      <c r="U875">
        <v>4.2623145760585555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49.763039999999997</v>
      </c>
      <c r="AB875">
        <v>1</v>
      </c>
      <c r="AC875">
        <v>0</v>
      </c>
      <c r="AD875">
        <v>1.9999600007999841E-3</v>
      </c>
      <c r="AE875">
        <v>5400</v>
      </c>
      <c r="AF875">
        <v>200000</v>
      </c>
      <c r="AG875">
        <v>16666.666666666668</v>
      </c>
      <c r="AH875">
        <v>1</v>
      </c>
      <c r="AI875">
        <v>1</v>
      </c>
      <c r="AJ875" t="s">
        <v>162</v>
      </c>
      <c r="AK875" t="s">
        <v>176</v>
      </c>
      <c r="AL875">
        <v>0</v>
      </c>
      <c r="AM875" t="s">
        <v>176</v>
      </c>
      <c r="AN875">
        <v>0</v>
      </c>
    </row>
    <row r="876" spans="1:40" x14ac:dyDescent="0.15">
      <c r="A876" s="4" t="str">
        <f>HYPERLINK("https://ibp.a2mac1.com/costing(costing:projects/details/9760/process/12085103)","Assembly")</f>
        <v>Assembly</v>
      </c>
      <c r="C876">
        <v>12085103</v>
      </c>
      <c r="D876">
        <v>8415651</v>
      </c>
      <c r="E876">
        <v>0</v>
      </c>
      <c r="F876">
        <v>0</v>
      </c>
      <c r="G876">
        <v>0</v>
      </c>
      <c r="H876">
        <v>0</v>
      </c>
      <c r="I876" t="s">
        <v>176</v>
      </c>
      <c r="J876">
        <v>0</v>
      </c>
      <c r="K876">
        <v>0</v>
      </c>
      <c r="L876">
        <v>0.13158267796558235</v>
      </c>
      <c r="M876">
        <v>0.78949606779349402</v>
      </c>
      <c r="N876">
        <v>0.78949606779349402</v>
      </c>
      <c r="O876" t="s">
        <v>90</v>
      </c>
      <c r="P876">
        <v>0</v>
      </c>
      <c r="Q876" t="s">
        <v>90</v>
      </c>
      <c r="R876">
        <v>0</v>
      </c>
      <c r="S876" t="s">
        <v>90</v>
      </c>
      <c r="T876">
        <v>0</v>
      </c>
      <c r="U876">
        <v>0.78949606779349402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450</v>
      </c>
      <c r="AB876">
        <v>1</v>
      </c>
      <c r="AC876">
        <v>0.1</v>
      </c>
      <c r="AD876">
        <v>0.10987913295375087</v>
      </c>
      <c r="AE876">
        <v>600</v>
      </c>
      <c r="AF876">
        <v>200000</v>
      </c>
      <c r="AG876">
        <v>10000</v>
      </c>
      <c r="AH876">
        <v>1</v>
      </c>
      <c r="AI876">
        <v>1</v>
      </c>
      <c r="AJ876" t="s">
        <v>76</v>
      </c>
      <c r="AK876" t="s">
        <v>176</v>
      </c>
      <c r="AL876">
        <v>0</v>
      </c>
      <c r="AM876" t="s">
        <v>176</v>
      </c>
      <c r="AN876">
        <v>0</v>
      </c>
    </row>
    <row r="877" spans="1:40" x14ac:dyDescent="0.15">
      <c r="A877" s="4" t="str">
        <f>HYPERLINK("https://ibp.a2mac1.com/costing(costing:projects/details/9760/process/12085545)","Automated Process")</f>
        <v>Automated Process</v>
      </c>
      <c r="B877" t="s">
        <v>5077</v>
      </c>
      <c r="C877">
        <v>12085545</v>
      </c>
      <c r="D877">
        <v>8416260</v>
      </c>
      <c r="E877">
        <v>0.27930201599999999</v>
      </c>
      <c r="F877">
        <v>0</v>
      </c>
      <c r="G877">
        <v>0</v>
      </c>
      <c r="H877">
        <v>1.4168102265263158E-3</v>
      </c>
      <c r="I877" t="s">
        <v>176</v>
      </c>
      <c r="J877">
        <v>9.8000707368421057E-3</v>
      </c>
      <c r="K877">
        <v>0.29051889696336841</v>
      </c>
      <c r="L877">
        <v>8.3598157882734656E-2</v>
      </c>
      <c r="M877">
        <v>0.50158894729640791</v>
      </c>
      <c r="N877">
        <v>0.79210784425977632</v>
      </c>
      <c r="O877" t="s">
        <v>177</v>
      </c>
      <c r="P877">
        <v>1.7431133817802105E-2</v>
      </c>
      <c r="Q877" t="s">
        <v>177</v>
      </c>
      <c r="R877">
        <v>3.0095336837784474E-2</v>
      </c>
      <c r="S877" t="s">
        <v>178</v>
      </c>
      <c r="T877">
        <v>9.5052941311173159E-2</v>
      </c>
      <c r="U877">
        <v>0.93468725622653603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46</v>
      </c>
      <c r="AB877">
        <v>1</v>
      </c>
      <c r="AC877">
        <v>0.5</v>
      </c>
      <c r="AD877">
        <v>0.50345253019720215</v>
      </c>
      <c r="AE877">
        <v>10800</v>
      </c>
      <c r="AF877">
        <v>200000</v>
      </c>
      <c r="AG877">
        <v>16666.666666666668</v>
      </c>
      <c r="AH877">
        <v>1</v>
      </c>
      <c r="AI877">
        <v>1</v>
      </c>
      <c r="AJ877" t="s">
        <v>162</v>
      </c>
      <c r="AK877" t="s">
        <v>176</v>
      </c>
      <c r="AL877">
        <v>0</v>
      </c>
      <c r="AM877" t="s">
        <v>176</v>
      </c>
      <c r="AN877">
        <v>0</v>
      </c>
    </row>
    <row r="878" spans="1:40" x14ac:dyDescent="0.15">
      <c r="A878" s="4" t="str">
        <f>HYPERLINK("https://ibp.a2mac1.com/costing(costing:projects/details/9760/process/12085546)","Automated Process")</f>
        <v>Automated Process</v>
      </c>
      <c r="B878" t="s">
        <v>4254</v>
      </c>
      <c r="C878">
        <v>12085546</v>
      </c>
      <c r="D878">
        <v>8416261</v>
      </c>
      <c r="E878">
        <v>0.70114850570212761</v>
      </c>
      <c r="F878">
        <v>0</v>
      </c>
      <c r="G878">
        <v>0</v>
      </c>
      <c r="H878">
        <v>3.5529718036864501E-3</v>
      </c>
      <c r="I878" t="s">
        <v>176</v>
      </c>
      <c r="J878">
        <v>2.4575891922732362E-2</v>
      </c>
      <c r="K878">
        <v>0.72927736942854648</v>
      </c>
      <c r="L878">
        <v>0.1012589951990561</v>
      </c>
      <c r="M878">
        <v>0.60755397119433652</v>
      </c>
      <c r="N878">
        <v>1.3368313406228831</v>
      </c>
      <c r="O878" t="s">
        <v>177</v>
      </c>
      <c r="P878">
        <v>4.3756642165712789E-2</v>
      </c>
      <c r="Q878" t="s">
        <v>177</v>
      </c>
      <c r="R878">
        <v>3.6453238271660193E-2</v>
      </c>
      <c r="S878" t="s">
        <v>178</v>
      </c>
      <c r="T878">
        <v>0.16041976087474596</v>
      </c>
      <c r="U878">
        <v>1.5774609819350021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56</v>
      </c>
      <c r="AB878">
        <v>1</v>
      </c>
      <c r="AC878">
        <v>0.5</v>
      </c>
      <c r="AD878">
        <v>0.50345253019720215</v>
      </c>
      <c r="AE878">
        <v>10800</v>
      </c>
      <c r="AF878">
        <v>200000</v>
      </c>
      <c r="AG878">
        <v>16666.666666666668</v>
      </c>
      <c r="AH878">
        <v>1</v>
      </c>
      <c r="AI878">
        <v>1</v>
      </c>
      <c r="AJ878" t="s">
        <v>162</v>
      </c>
      <c r="AK878" t="s">
        <v>176</v>
      </c>
      <c r="AL878">
        <v>0</v>
      </c>
      <c r="AM878" t="s">
        <v>176</v>
      </c>
      <c r="AN878">
        <v>0</v>
      </c>
    </row>
    <row r="879" spans="1:40" x14ac:dyDescent="0.15">
      <c r="A879" s="4" t="str">
        <f>HYPERLINK("https://ibp.a2mac1.com/costing(costing:projects/details/9760/process/12085547)","Automated Process")</f>
        <v>Automated Process</v>
      </c>
      <c r="B879" t="s">
        <v>4235</v>
      </c>
      <c r="C879">
        <v>12085547</v>
      </c>
      <c r="D879">
        <v>8416262</v>
      </c>
      <c r="E879">
        <v>0.161588238</v>
      </c>
      <c r="F879">
        <v>0</v>
      </c>
      <c r="G879">
        <v>0</v>
      </c>
      <c r="H879">
        <v>8.1968569852631579E-4</v>
      </c>
      <c r="I879" t="s">
        <v>176</v>
      </c>
      <c r="J879">
        <v>5.6697627368421056E-3</v>
      </c>
      <c r="K879">
        <v>0.16807768643536841</v>
      </c>
      <c r="L879">
        <v>1.4720892349081038E-2</v>
      </c>
      <c r="M879">
        <v>8.8325354094486219E-2</v>
      </c>
      <c r="N879">
        <v>0.25640304052985463</v>
      </c>
      <c r="O879" t="s">
        <v>177</v>
      </c>
      <c r="P879">
        <v>1.0084661186122106E-2</v>
      </c>
      <c r="Q879" t="s">
        <v>177</v>
      </c>
      <c r="R879">
        <v>5.2995212456691731E-3</v>
      </c>
      <c r="S879" t="s">
        <v>178</v>
      </c>
      <c r="T879">
        <v>3.0768364863582559E-2</v>
      </c>
      <c r="U879">
        <v>0.30255558782522846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7</v>
      </c>
      <c r="AB879">
        <v>1</v>
      </c>
      <c r="AC879">
        <v>0.5</v>
      </c>
      <c r="AD879">
        <v>0.50345253019720215</v>
      </c>
      <c r="AE879">
        <v>10800</v>
      </c>
      <c r="AF879">
        <v>200000</v>
      </c>
      <c r="AG879">
        <v>16666.666666666668</v>
      </c>
      <c r="AH879">
        <v>1</v>
      </c>
      <c r="AI879">
        <v>1</v>
      </c>
      <c r="AJ879" t="s">
        <v>162</v>
      </c>
      <c r="AK879" t="s">
        <v>176</v>
      </c>
      <c r="AL879">
        <v>0</v>
      </c>
      <c r="AM879" t="s">
        <v>176</v>
      </c>
      <c r="AN879">
        <v>0</v>
      </c>
    </row>
    <row r="880" spans="1:40" x14ac:dyDescent="0.15">
      <c r="A880" s="4" t="str">
        <f>HYPERLINK("https://ibp.a2mac1.com/costing(costing:projects/details/9760/process/12085548)","Automated Process")</f>
        <v>Automated Process</v>
      </c>
      <c r="B880" t="s">
        <v>5111</v>
      </c>
      <c r="C880">
        <v>12085548</v>
      </c>
      <c r="D880">
        <v>8416263</v>
      </c>
      <c r="E880">
        <v>8.0293013999999996E-2</v>
      </c>
      <c r="F880">
        <v>0</v>
      </c>
      <c r="G880">
        <v>0</v>
      </c>
      <c r="H880">
        <v>4.32215586E-4</v>
      </c>
      <c r="I880" t="s">
        <v>176</v>
      </c>
      <c r="J880">
        <v>2.9896335E-3</v>
      </c>
      <c r="K880">
        <v>8.3714863085999999E-2</v>
      </c>
      <c r="L880">
        <v>0.10832333012558466</v>
      </c>
      <c r="M880">
        <v>0.64993998075350801</v>
      </c>
      <c r="N880">
        <v>0.73365484383950796</v>
      </c>
      <c r="O880" t="s">
        <v>177</v>
      </c>
      <c r="P880">
        <v>5.0228917851600002E-3</v>
      </c>
      <c r="Q880" t="s">
        <v>177</v>
      </c>
      <c r="R880">
        <v>3.899639884521048E-2</v>
      </c>
      <c r="S880" t="s">
        <v>178</v>
      </c>
      <c r="T880">
        <v>8.8038581260740961E-2</v>
      </c>
      <c r="U880">
        <v>0.86571271573061948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60</v>
      </c>
      <c r="AB880">
        <v>1</v>
      </c>
      <c r="AC880">
        <v>0.5</v>
      </c>
      <c r="AD880">
        <v>0.50345253019720215</v>
      </c>
      <c r="AE880">
        <v>10800</v>
      </c>
      <c r="AF880">
        <v>200000</v>
      </c>
      <c r="AG880">
        <v>16666.666666666668</v>
      </c>
      <c r="AH880">
        <v>1</v>
      </c>
      <c r="AI880">
        <v>1</v>
      </c>
      <c r="AJ880" t="s">
        <v>162</v>
      </c>
      <c r="AK880" t="s">
        <v>176</v>
      </c>
      <c r="AL880">
        <v>0</v>
      </c>
      <c r="AM880" t="s">
        <v>176</v>
      </c>
      <c r="AN880">
        <v>0</v>
      </c>
    </row>
    <row r="881" spans="1:40" x14ac:dyDescent="0.15">
      <c r="A881" s="4" t="str">
        <f>HYPERLINK("https://ibp.a2mac1.com/costing(costing:projects/details/9760/process/12085549)","Automated Process")</f>
        <v>Automated Process</v>
      </c>
      <c r="B881" t="s">
        <v>4235</v>
      </c>
      <c r="C881">
        <v>12085549</v>
      </c>
      <c r="D881">
        <v>8416264</v>
      </c>
      <c r="E881">
        <v>6.9825503999999997E-2</v>
      </c>
      <c r="F881">
        <v>0</v>
      </c>
      <c r="G881">
        <v>0</v>
      </c>
      <c r="H881">
        <v>3.5420255663157896E-4</v>
      </c>
      <c r="I881" t="s">
        <v>176</v>
      </c>
      <c r="J881">
        <v>2.4500176842105264E-3</v>
      </c>
      <c r="K881">
        <v>7.2629724240842103E-2</v>
      </c>
      <c r="L881">
        <v>5.8904736909203177E-3</v>
      </c>
      <c r="M881">
        <v>3.5342842145521906E-2</v>
      </c>
      <c r="N881">
        <v>0.10797256638636402</v>
      </c>
      <c r="O881" t="s">
        <v>177</v>
      </c>
      <c r="P881">
        <v>4.3577834544505263E-3</v>
      </c>
      <c r="Q881" t="s">
        <v>177</v>
      </c>
      <c r="R881">
        <v>2.1205705287313144E-3</v>
      </c>
      <c r="S881" t="s">
        <v>178</v>
      </c>
      <c r="T881">
        <v>1.2956707966363681E-2</v>
      </c>
      <c r="U881">
        <v>0.12740762833590952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2</v>
      </c>
      <c r="AB881">
        <v>1</v>
      </c>
      <c r="AC881">
        <v>0.5</v>
      </c>
      <c r="AD881">
        <v>0.50345253019720215</v>
      </c>
      <c r="AE881">
        <v>10800</v>
      </c>
      <c r="AF881">
        <v>200000</v>
      </c>
      <c r="AG881">
        <v>16666.666666666668</v>
      </c>
      <c r="AH881">
        <v>1</v>
      </c>
      <c r="AI881">
        <v>1</v>
      </c>
      <c r="AJ881" t="s">
        <v>162</v>
      </c>
      <c r="AK881" t="s">
        <v>176</v>
      </c>
      <c r="AL881">
        <v>0</v>
      </c>
      <c r="AM881" t="s">
        <v>176</v>
      </c>
      <c r="AN881">
        <v>0</v>
      </c>
    </row>
    <row r="882" spans="1:40" x14ac:dyDescent="0.15">
      <c r="A882" s="4" t="str">
        <f>HYPERLINK("https://ibp.a2mac1.com/costing(costing:projects/details/9760/process/12085550)","Automated Process")</f>
        <v>Automated Process</v>
      </c>
      <c r="B882" t="s">
        <v>4235</v>
      </c>
      <c r="C882">
        <v>12085550</v>
      </c>
      <c r="D882">
        <v>8416265</v>
      </c>
      <c r="E882">
        <v>4.3539909000000002E-2</v>
      </c>
      <c r="F882">
        <v>0</v>
      </c>
      <c r="G882">
        <v>0</v>
      </c>
      <c r="H882">
        <v>2.2086409978947367E-4</v>
      </c>
      <c r="I882" t="s">
        <v>176</v>
      </c>
      <c r="J882">
        <v>1.5277161052631579E-3</v>
      </c>
      <c r="K882">
        <v>4.5288489205052629E-2</v>
      </c>
      <c r="L882">
        <v>7.6565574225524614E-3</v>
      </c>
      <c r="M882">
        <v>4.5939344535314765E-2</v>
      </c>
      <c r="N882">
        <v>9.1227833740367401E-2</v>
      </c>
      <c r="O882" t="s">
        <v>177</v>
      </c>
      <c r="P882">
        <v>2.7173093523031578E-3</v>
      </c>
      <c r="Q882" t="s">
        <v>177</v>
      </c>
      <c r="R882">
        <v>2.756360672118886E-3</v>
      </c>
      <c r="S882" t="s">
        <v>178</v>
      </c>
      <c r="T882">
        <v>1.0947340048844088E-2</v>
      </c>
      <c r="U882">
        <v>0.10764884381363353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</v>
      </c>
      <c r="AC882">
        <v>0.5</v>
      </c>
      <c r="AD882">
        <v>0.50345253019720215</v>
      </c>
      <c r="AE882">
        <v>10800</v>
      </c>
      <c r="AF882">
        <v>200000</v>
      </c>
      <c r="AG882">
        <v>16666.666666666668</v>
      </c>
      <c r="AH882">
        <v>1</v>
      </c>
      <c r="AI882">
        <v>1</v>
      </c>
      <c r="AJ882" t="s">
        <v>162</v>
      </c>
      <c r="AK882" t="s">
        <v>176</v>
      </c>
      <c r="AL882">
        <v>0</v>
      </c>
      <c r="AM882" t="s">
        <v>176</v>
      </c>
      <c r="AN882">
        <v>0</v>
      </c>
    </row>
    <row r="883" spans="1:40" x14ac:dyDescent="0.15">
      <c r="A883" s="4" t="str">
        <f>HYPERLINK("https://ibp.a2mac1.com/costing(costing:projects/details/9760/process/12085551)","Automated Process")</f>
        <v>Automated Process</v>
      </c>
      <c r="B883" t="s">
        <v>5106</v>
      </c>
      <c r="C883">
        <v>12085551</v>
      </c>
      <c r="D883">
        <v>8416266</v>
      </c>
      <c r="E883">
        <v>1.3382168999999999E-2</v>
      </c>
      <c r="F883">
        <v>0</v>
      </c>
      <c r="G883">
        <v>0</v>
      </c>
      <c r="H883">
        <v>7.2035931000000004E-5</v>
      </c>
      <c r="I883" t="s">
        <v>176</v>
      </c>
      <c r="J883">
        <v>4.9827224999999999E-4</v>
      </c>
      <c r="K883">
        <v>1.3952477180999999E-2</v>
      </c>
      <c r="L883">
        <v>4.1243899592881732E-3</v>
      </c>
      <c r="M883">
        <v>2.4746339755729041E-2</v>
      </c>
      <c r="N883">
        <v>3.8698816936729039E-2</v>
      </c>
      <c r="O883" t="s">
        <v>177</v>
      </c>
      <c r="P883">
        <v>8.3714863086E-4</v>
      </c>
      <c r="Q883" t="s">
        <v>177</v>
      </c>
      <c r="R883">
        <v>1.4847803853437424E-3</v>
      </c>
      <c r="S883" t="s">
        <v>178</v>
      </c>
      <c r="T883">
        <v>4.6438580324074845E-3</v>
      </c>
      <c r="U883">
        <v>4.5664603985340266E-2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1</v>
      </c>
      <c r="AC883">
        <v>0.5</v>
      </c>
      <c r="AD883">
        <v>0.50345253019720215</v>
      </c>
      <c r="AE883">
        <v>10800</v>
      </c>
      <c r="AF883">
        <v>200000</v>
      </c>
      <c r="AG883">
        <v>16666.666666666668</v>
      </c>
      <c r="AH883">
        <v>1</v>
      </c>
      <c r="AI883">
        <v>1</v>
      </c>
      <c r="AJ883" t="s">
        <v>162</v>
      </c>
      <c r="AK883" t="s">
        <v>176</v>
      </c>
      <c r="AL883">
        <v>0</v>
      </c>
      <c r="AM883" t="s">
        <v>176</v>
      </c>
      <c r="AN883">
        <v>0</v>
      </c>
    </row>
    <row r="884" spans="1:40" x14ac:dyDescent="0.15">
      <c r="A884" s="4" t="str">
        <f>HYPERLINK("https://ibp.a2mac1.com/costing(costing:projects/details/9760/process/12085282)","Automated Process")</f>
        <v>Automated Process</v>
      </c>
      <c r="B884" t="s">
        <v>4235</v>
      </c>
      <c r="C884">
        <v>12085282</v>
      </c>
      <c r="D884">
        <v>8415917</v>
      </c>
      <c r="E884">
        <v>2.138225754</v>
      </c>
      <c r="F884">
        <v>0</v>
      </c>
      <c r="G884">
        <v>0</v>
      </c>
      <c r="H884">
        <v>1.0846538661894736E-2</v>
      </c>
      <c r="I884" t="s">
        <v>176</v>
      </c>
      <c r="J884">
        <v>7.5025465052631579E-2</v>
      </c>
      <c r="K884">
        <v>2.2240977577145262</v>
      </c>
      <c r="L884">
        <v>0.173668428195974</v>
      </c>
      <c r="M884">
        <v>1.0420105691758439</v>
      </c>
      <c r="N884">
        <v>3.2661083268903703</v>
      </c>
      <c r="O884" t="s">
        <v>90</v>
      </c>
      <c r="P884">
        <v>0</v>
      </c>
      <c r="Q884" t="s">
        <v>90</v>
      </c>
      <c r="R884">
        <v>0</v>
      </c>
      <c r="S884" t="s">
        <v>90</v>
      </c>
      <c r="T884">
        <v>0</v>
      </c>
      <c r="U884">
        <v>3.2661083268903703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97</v>
      </c>
      <c r="AB884">
        <v>1</v>
      </c>
      <c r="AC884">
        <v>0.5</v>
      </c>
      <c r="AD884">
        <v>0.50345253019720215</v>
      </c>
      <c r="AE884">
        <v>10800</v>
      </c>
      <c r="AF884">
        <v>200000</v>
      </c>
      <c r="AG884">
        <v>16666.666666666668</v>
      </c>
      <c r="AH884">
        <v>1</v>
      </c>
      <c r="AI884">
        <v>1</v>
      </c>
      <c r="AJ884" t="s">
        <v>162</v>
      </c>
      <c r="AK884" t="s">
        <v>176</v>
      </c>
      <c r="AL884">
        <v>0</v>
      </c>
      <c r="AM884" t="s">
        <v>176</v>
      </c>
      <c r="AN884">
        <v>0</v>
      </c>
    </row>
    <row r="885" spans="1:40" x14ac:dyDescent="0.15">
      <c r="A885" s="4" t="str">
        <f>HYPERLINK("https://ibp.a2mac1.com/costing(costing:projects/details/9760/process/12085283)","Automated Process")</f>
        <v>Automated Process</v>
      </c>
      <c r="B885" t="s">
        <v>4254</v>
      </c>
      <c r="C885">
        <v>12085283</v>
      </c>
      <c r="D885">
        <v>8415918</v>
      </c>
      <c r="E885">
        <v>0.83825284731914895</v>
      </c>
      <c r="F885">
        <v>0</v>
      </c>
      <c r="G885">
        <v>0</v>
      </c>
      <c r="H885">
        <v>4.2466587028622618E-3</v>
      </c>
      <c r="I885" t="s">
        <v>176</v>
      </c>
      <c r="J885">
        <v>2.9374121462486004E-2</v>
      </c>
      <c r="K885">
        <v>0.87187362748449715</v>
      </c>
      <c r="L885">
        <v>9.949291146742395E-2</v>
      </c>
      <c r="M885">
        <v>0.5969574688045437</v>
      </c>
      <c r="N885">
        <v>1.468831096289041</v>
      </c>
      <c r="O885" t="s">
        <v>90</v>
      </c>
      <c r="P885">
        <v>0</v>
      </c>
      <c r="Q885" t="s">
        <v>90</v>
      </c>
      <c r="R885">
        <v>0</v>
      </c>
      <c r="S885" t="s">
        <v>90</v>
      </c>
      <c r="T885">
        <v>0</v>
      </c>
      <c r="U885">
        <v>1.468831096289041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55</v>
      </c>
      <c r="AB885">
        <v>1</v>
      </c>
      <c r="AC885">
        <v>0.5</v>
      </c>
      <c r="AD885">
        <v>0.50345253019720215</v>
      </c>
      <c r="AE885">
        <v>10800</v>
      </c>
      <c r="AF885">
        <v>200000</v>
      </c>
      <c r="AG885">
        <v>16666.666666666668</v>
      </c>
      <c r="AH885">
        <v>1</v>
      </c>
      <c r="AI885">
        <v>1</v>
      </c>
      <c r="AJ885" t="s">
        <v>162</v>
      </c>
      <c r="AK885" t="s">
        <v>176</v>
      </c>
      <c r="AL885">
        <v>0</v>
      </c>
      <c r="AM885" t="s">
        <v>176</v>
      </c>
      <c r="AN885">
        <v>0</v>
      </c>
    </row>
    <row r="886" spans="1:40" x14ac:dyDescent="0.15">
      <c r="A886" s="4" t="str">
        <f>HYPERLINK("https://ibp.a2mac1.com/costing(costing:projects/details/9760/process/12085284)","Automated Process")</f>
        <v>Automated Process</v>
      </c>
      <c r="B886" t="s">
        <v>4254</v>
      </c>
      <c r="C886">
        <v>12085284</v>
      </c>
      <c r="D886">
        <v>8415919</v>
      </c>
      <c r="E886">
        <v>2.6559010005106383</v>
      </c>
      <c r="F886">
        <v>0</v>
      </c>
      <c r="G886">
        <v>0</v>
      </c>
      <c r="H886">
        <v>1.3453727779905935E-2</v>
      </c>
      <c r="I886" t="s">
        <v>176</v>
      </c>
      <c r="J886">
        <v>9.3059381876819711E-2</v>
      </c>
      <c r="K886">
        <v>2.7624141101673638</v>
      </c>
      <c r="L886">
        <v>0.36617155494387771</v>
      </c>
      <c r="M886">
        <v>2.1970293296632661</v>
      </c>
      <c r="N886">
        <v>4.95944343983063</v>
      </c>
      <c r="O886" t="s">
        <v>90</v>
      </c>
      <c r="P886">
        <v>0</v>
      </c>
      <c r="Q886" t="s">
        <v>90</v>
      </c>
      <c r="R886">
        <v>0</v>
      </c>
      <c r="S886" t="s">
        <v>90</v>
      </c>
      <c r="T886">
        <v>0</v>
      </c>
      <c r="U886">
        <v>4.95944343983063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206</v>
      </c>
      <c r="AB886">
        <v>1</v>
      </c>
      <c r="AC886">
        <v>0.5</v>
      </c>
      <c r="AD886">
        <v>0.50345253019720215</v>
      </c>
      <c r="AE886">
        <v>10800</v>
      </c>
      <c r="AF886">
        <v>200000</v>
      </c>
      <c r="AG886">
        <v>16666.666666666668</v>
      </c>
      <c r="AH886">
        <v>1</v>
      </c>
      <c r="AI886">
        <v>1</v>
      </c>
      <c r="AJ886" t="s">
        <v>162</v>
      </c>
      <c r="AK886" t="s">
        <v>176</v>
      </c>
      <c r="AL886">
        <v>0</v>
      </c>
      <c r="AM886" t="s">
        <v>176</v>
      </c>
      <c r="AN886">
        <v>0</v>
      </c>
    </row>
    <row r="887" spans="1:40" x14ac:dyDescent="0.15">
      <c r="A887" s="4" t="str">
        <f>HYPERLINK("https://ibp.a2mac1.com/costing(costing:projects/details/9760/process/12085285)","Automated Process")</f>
        <v>Automated Process</v>
      </c>
      <c r="B887" t="s">
        <v>4235</v>
      </c>
      <c r="C887">
        <v>12085285</v>
      </c>
      <c r="D887">
        <v>8415920</v>
      </c>
      <c r="E887">
        <v>0.21669984</v>
      </c>
      <c r="F887">
        <v>0</v>
      </c>
      <c r="G887">
        <v>0</v>
      </c>
      <c r="H887">
        <v>1.0992493136842106E-3</v>
      </c>
      <c r="I887" t="s">
        <v>176</v>
      </c>
      <c r="J887">
        <v>7.6035031578947365E-3</v>
      </c>
      <c r="K887">
        <v>0.22540259247157896</v>
      </c>
      <c r="L887">
        <v>9.949291146742395E-2</v>
      </c>
      <c r="M887">
        <v>0.5969574688045437</v>
      </c>
      <c r="N887">
        <v>0.8223600612761226</v>
      </c>
      <c r="O887" t="s">
        <v>90</v>
      </c>
      <c r="P887">
        <v>0</v>
      </c>
      <c r="Q887" t="s">
        <v>90</v>
      </c>
      <c r="R887">
        <v>0</v>
      </c>
      <c r="S887" t="s">
        <v>90</v>
      </c>
      <c r="T887">
        <v>0</v>
      </c>
      <c r="U887">
        <v>0.8223600612761226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55</v>
      </c>
      <c r="AB887">
        <v>1</v>
      </c>
      <c r="AC887">
        <v>0.5</v>
      </c>
      <c r="AD887">
        <v>0.50345253019720215</v>
      </c>
      <c r="AE887">
        <v>10800</v>
      </c>
      <c r="AF887">
        <v>200000</v>
      </c>
      <c r="AG887">
        <v>16666.666666666668</v>
      </c>
      <c r="AH887">
        <v>1</v>
      </c>
      <c r="AI887">
        <v>1</v>
      </c>
      <c r="AJ887" t="s">
        <v>162</v>
      </c>
      <c r="AK887" t="s">
        <v>176</v>
      </c>
      <c r="AL887">
        <v>0</v>
      </c>
      <c r="AM887" t="s">
        <v>176</v>
      </c>
      <c r="AN887">
        <v>0</v>
      </c>
    </row>
    <row r="888" spans="1:40" x14ac:dyDescent="0.15">
      <c r="A888" s="4" t="str">
        <f>HYPERLINK("https://ibp.a2mac1.com/costing(costing:projects/details/9760/process/12085286)","Automated Process")</f>
        <v>Automated Process</v>
      </c>
      <c r="B888" t="s">
        <v>5171</v>
      </c>
      <c r="C888">
        <v>12085286</v>
      </c>
      <c r="D888">
        <v>8415921</v>
      </c>
      <c r="E888">
        <v>8.1864383999999998E-2</v>
      </c>
      <c r="F888">
        <v>0</v>
      </c>
      <c r="G888">
        <v>0</v>
      </c>
      <c r="H888">
        <v>4.1527196294736843E-4</v>
      </c>
      <c r="I888" t="s">
        <v>176</v>
      </c>
      <c r="J888">
        <v>2.8724345263157897E-3</v>
      </c>
      <c r="K888">
        <v>8.5152090489263157E-2</v>
      </c>
      <c r="L888">
        <v>3.9446064591931056E-2</v>
      </c>
      <c r="M888">
        <v>0.23667638755158632</v>
      </c>
      <c r="N888">
        <v>0.32182847804084946</v>
      </c>
      <c r="O888" t="s">
        <v>90</v>
      </c>
      <c r="P888">
        <v>0</v>
      </c>
      <c r="Q888" t="s">
        <v>90</v>
      </c>
      <c r="R888">
        <v>0</v>
      </c>
      <c r="S888" t="s">
        <v>90</v>
      </c>
      <c r="T888">
        <v>0</v>
      </c>
      <c r="U888">
        <v>0.32182847804084946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21</v>
      </c>
      <c r="AB888">
        <v>1</v>
      </c>
      <c r="AC888">
        <v>0.5</v>
      </c>
      <c r="AD888">
        <v>0.50345253019720215</v>
      </c>
      <c r="AE888">
        <v>10800</v>
      </c>
      <c r="AF888">
        <v>200000</v>
      </c>
      <c r="AG888">
        <v>16666.666666666668</v>
      </c>
      <c r="AH888">
        <v>1</v>
      </c>
      <c r="AI888">
        <v>1</v>
      </c>
      <c r="AJ888" t="s">
        <v>162</v>
      </c>
      <c r="AK888" t="s">
        <v>176</v>
      </c>
      <c r="AL888">
        <v>0</v>
      </c>
      <c r="AM888" t="s">
        <v>176</v>
      </c>
      <c r="AN888">
        <v>0</v>
      </c>
    </row>
    <row r="889" spans="1:40" x14ac:dyDescent="0.15">
      <c r="A889" s="4" t="str">
        <f>HYPERLINK("https://ibp.a2mac1.com/costing(costing:projects/details/9760/process/12085287)","Automated Process")</f>
        <v>Automated Process</v>
      </c>
      <c r="B889" t="s">
        <v>4254</v>
      </c>
      <c r="C889">
        <v>12085287</v>
      </c>
      <c r="D889">
        <v>8415922</v>
      </c>
      <c r="E889">
        <v>1.0093601539787234</v>
      </c>
      <c r="F889">
        <v>0</v>
      </c>
      <c r="G889">
        <v>0</v>
      </c>
      <c r="H889">
        <v>5.1142010359776034E-3</v>
      </c>
      <c r="I889" t="s">
        <v>176</v>
      </c>
      <c r="J889">
        <v>3.5374908351623741E-2</v>
      </c>
      <c r="K889">
        <v>1.0498492633663248</v>
      </c>
      <c r="L889">
        <v>0.17013626073270971</v>
      </c>
      <c r="M889">
        <v>1.0208175643962583</v>
      </c>
      <c r="N889">
        <v>2.070666827762583</v>
      </c>
      <c r="O889" t="s">
        <v>90</v>
      </c>
      <c r="P889">
        <v>0</v>
      </c>
      <c r="Q889" t="s">
        <v>90</v>
      </c>
      <c r="R889">
        <v>0</v>
      </c>
      <c r="S889" t="s">
        <v>90</v>
      </c>
      <c r="T889">
        <v>0</v>
      </c>
      <c r="U889">
        <v>2.070666827762583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95</v>
      </c>
      <c r="AB889">
        <v>1</v>
      </c>
      <c r="AC889">
        <v>0.5</v>
      </c>
      <c r="AD889">
        <v>0.50345253019720215</v>
      </c>
      <c r="AE889">
        <v>10800</v>
      </c>
      <c r="AF889">
        <v>200000</v>
      </c>
      <c r="AG889">
        <v>16666.666666666668</v>
      </c>
      <c r="AH889">
        <v>1</v>
      </c>
      <c r="AI889">
        <v>1</v>
      </c>
      <c r="AJ889" t="s">
        <v>162</v>
      </c>
      <c r="AK889" t="s">
        <v>176</v>
      </c>
      <c r="AL889">
        <v>0</v>
      </c>
      <c r="AM889" t="s">
        <v>176</v>
      </c>
      <c r="AN889">
        <v>0</v>
      </c>
    </row>
    <row r="890" spans="1:40" x14ac:dyDescent="0.15">
      <c r="A890" s="4" t="str">
        <f>HYPERLINK("https://ibp.a2mac1.com/costing(costing:projects/details/9760/process/12085288)","Automated Process")</f>
        <v>Automated Process</v>
      </c>
      <c r="B890" t="s">
        <v>4235</v>
      </c>
      <c r="C890">
        <v>12085288</v>
      </c>
      <c r="D890">
        <v>8415923</v>
      </c>
      <c r="E890">
        <v>0.53925377100000005</v>
      </c>
      <c r="F890">
        <v>0</v>
      </c>
      <c r="G890">
        <v>0</v>
      </c>
      <c r="H890">
        <v>2.7354627381052632E-3</v>
      </c>
      <c r="I890" t="s">
        <v>176</v>
      </c>
      <c r="J890">
        <v>1.892118494736842E-2</v>
      </c>
      <c r="K890">
        <v>0.56091041868547364</v>
      </c>
      <c r="L890">
        <v>4.4744315786827485E-2</v>
      </c>
      <c r="M890">
        <v>0.26846589472096494</v>
      </c>
      <c r="N890">
        <v>0.82937631340643858</v>
      </c>
      <c r="O890" t="s">
        <v>90</v>
      </c>
      <c r="P890">
        <v>0</v>
      </c>
      <c r="Q890" t="s">
        <v>90</v>
      </c>
      <c r="R890">
        <v>0</v>
      </c>
      <c r="S890" t="s">
        <v>90</v>
      </c>
      <c r="T890">
        <v>0</v>
      </c>
      <c r="U890">
        <v>0.82937631340643858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24</v>
      </c>
      <c r="AB890">
        <v>1</v>
      </c>
      <c r="AC890">
        <v>0.5</v>
      </c>
      <c r="AD890">
        <v>0.50345253019720215</v>
      </c>
      <c r="AE890">
        <v>10800</v>
      </c>
      <c r="AF890">
        <v>200000</v>
      </c>
      <c r="AG890">
        <v>16666.666666666668</v>
      </c>
      <c r="AH890">
        <v>1</v>
      </c>
      <c r="AI890">
        <v>1</v>
      </c>
      <c r="AJ890" t="s">
        <v>162</v>
      </c>
      <c r="AK890" t="s">
        <v>176</v>
      </c>
      <c r="AL890">
        <v>0</v>
      </c>
      <c r="AM890" t="s">
        <v>176</v>
      </c>
      <c r="AN890">
        <v>0</v>
      </c>
    </row>
    <row r="891" spans="1:40" x14ac:dyDescent="0.15">
      <c r="A891" s="4" t="str">
        <f>HYPERLINK("https://ibp.a2mac1.com/costing(costing:projects/details/9760/process/12085289)","Automated Process")</f>
        <v>Automated Process</v>
      </c>
      <c r="B891" t="s">
        <v>5157</v>
      </c>
      <c r="C891">
        <v>12085289</v>
      </c>
      <c r="D891">
        <v>8415924</v>
      </c>
      <c r="E891">
        <v>2.874421052631579</v>
      </c>
      <c r="F891">
        <v>0</v>
      </c>
      <c r="G891">
        <v>0</v>
      </c>
      <c r="H891">
        <v>1.4544570526315789E-2</v>
      </c>
      <c r="I891" t="s">
        <v>176</v>
      </c>
      <c r="J891">
        <v>0.10060473684210526</v>
      </c>
      <c r="K891">
        <v>2.9895703600000001</v>
      </c>
      <c r="L891">
        <v>2.7083478470506045E-2</v>
      </c>
      <c r="M891">
        <v>0.16250087082303627</v>
      </c>
      <c r="N891">
        <v>3.1520712308230361</v>
      </c>
      <c r="O891" t="s">
        <v>177</v>
      </c>
      <c r="P891">
        <v>0.17937422159999999</v>
      </c>
      <c r="Q891" t="s">
        <v>177</v>
      </c>
      <c r="R891">
        <v>9.7500522493821767E-3</v>
      </c>
      <c r="S891" t="s">
        <v>178</v>
      </c>
      <c r="T891">
        <v>0.37824854769876437</v>
      </c>
      <c r="U891">
        <v>3.7194440523711827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14</v>
      </c>
      <c r="AB891">
        <v>1</v>
      </c>
      <c r="AC891">
        <v>0.5</v>
      </c>
      <c r="AD891">
        <v>0.50345253019720215</v>
      </c>
      <c r="AE891">
        <v>10800</v>
      </c>
      <c r="AF891">
        <v>200000</v>
      </c>
      <c r="AG891">
        <v>16666.666666666668</v>
      </c>
      <c r="AH891">
        <v>1</v>
      </c>
      <c r="AI891">
        <v>1</v>
      </c>
      <c r="AJ891" t="s">
        <v>162</v>
      </c>
      <c r="AK891" t="s">
        <v>176</v>
      </c>
      <c r="AL891">
        <v>0</v>
      </c>
      <c r="AM891" t="s">
        <v>176</v>
      </c>
      <c r="AN891">
        <v>0</v>
      </c>
    </row>
    <row r="892" spans="1:40" x14ac:dyDescent="0.15">
      <c r="A892" s="4" t="str">
        <f>HYPERLINK("https://ibp.a2mac1.com/costing(costing:projects/details/9760/process/12085290)","Automated Process")</f>
        <v>Automated Process</v>
      </c>
      <c r="B892" t="s">
        <v>4235</v>
      </c>
      <c r="C892">
        <v>12085290</v>
      </c>
      <c r="D892">
        <v>8415925</v>
      </c>
      <c r="E892">
        <v>0.17849863499999999</v>
      </c>
      <c r="F892">
        <v>0</v>
      </c>
      <c r="G892">
        <v>0</v>
      </c>
      <c r="H892">
        <v>9.0546675999999995E-4</v>
      </c>
      <c r="I892" t="s">
        <v>176</v>
      </c>
      <c r="J892">
        <v>6.2631099999999997E-3</v>
      </c>
      <c r="K892">
        <v>0.18566721176000001</v>
      </c>
      <c r="L892">
        <v>1.6486976080713183E-2</v>
      </c>
      <c r="M892">
        <v>9.8921856484279092E-2</v>
      </c>
      <c r="N892">
        <v>0.2845890682442791</v>
      </c>
      <c r="O892" t="s">
        <v>177</v>
      </c>
      <c r="P892">
        <v>1.11400327056E-2</v>
      </c>
      <c r="Q892" t="s">
        <v>177</v>
      </c>
      <c r="R892">
        <v>5.9353113890567456E-3</v>
      </c>
      <c r="S892" t="s">
        <v>178</v>
      </c>
      <c r="T892">
        <v>3.4150688189313494E-2</v>
      </c>
      <c r="U892">
        <v>0.33581510052824931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8</v>
      </c>
      <c r="AB892">
        <v>1</v>
      </c>
      <c r="AC892">
        <v>0.5</v>
      </c>
      <c r="AD892">
        <v>0.50345253019720215</v>
      </c>
      <c r="AE892">
        <v>10800</v>
      </c>
      <c r="AF892">
        <v>200000</v>
      </c>
      <c r="AG892">
        <v>16666.666666666668</v>
      </c>
      <c r="AH892">
        <v>1</v>
      </c>
      <c r="AI892">
        <v>1</v>
      </c>
      <c r="AJ892" t="s">
        <v>162</v>
      </c>
      <c r="AK892" t="s">
        <v>176</v>
      </c>
      <c r="AL892">
        <v>0</v>
      </c>
      <c r="AM892" t="s">
        <v>176</v>
      </c>
      <c r="AN892">
        <v>0</v>
      </c>
    </row>
    <row r="893" spans="1:40" x14ac:dyDescent="0.15">
      <c r="A893" s="4" t="str">
        <f>HYPERLINK("https://ibp.a2mac1.com/costing(costing:projects/details/9760/process/12085552)","Injection molding")</f>
        <v>Injection molding</v>
      </c>
      <c r="C893">
        <v>12085552</v>
      </c>
      <c r="D893">
        <v>8416267</v>
      </c>
      <c r="E893">
        <v>3.1301087999999998E-2</v>
      </c>
      <c r="F893">
        <v>0</v>
      </c>
      <c r="G893">
        <v>0</v>
      </c>
      <c r="H893">
        <v>1.5878045642105264E-4</v>
      </c>
      <c r="I893" t="s">
        <v>176</v>
      </c>
      <c r="J893">
        <v>1.0982837894736842E-3</v>
      </c>
      <c r="K893">
        <v>3.2558152245894735E-2</v>
      </c>
      <c r="L893">
        <v>3.0171767124431421E-4</v>
      </c>
      <c r="M893">
        <v>1.8103060274658853E-3</v>
      </c>
      <c r="N893">
        <v>3.4368458273360623E-2</v>
      </c>
      <c r="O893" t="s">
        <v>177</v>
      </c>
      <c r="P893">
        <v>1.953489134753684E-3</v>
      </c>
      <c r="Q893" t="s">
        <v>177</v>
      </c>
      <c r="R893">
        <v>1.0861836164795312E-4</v>
      </c>
      <c r="S893" t="s">
        <v>178</v>
      </c>
      <c r="T893">
        <v>4.1242149928032747E-3</v>
      </c>
      <c r="U893">
        <v>4.0554780762565537E-2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60</v>
      </c>
      <c r="AB893">
        <v>1</v>
      </c>
      <c r="AC893">
        <v>0.5</v>
      </c>
      <c r="AD893">
        <v>0.50345253019720215</v>
      </c>
      <c r="AE893">
        <v>17.55</v>
      </c>
      <c r="AF893">
        <v>200000</v>
      </c>
      <c r="AG893">
        <v>16666.666666666668</v>
      </c>
      <c r="AH893">
        <v>1</v>
      </c>
      <c r="AI893">
        <v>1</v>
      </c>
      <c r="AJ893" t="s">
        <v>162</v>
      </c>
      <c r="AK893" t="s">
        <v>176</v>
      </c>
      <c r="AL893">
        <v>0</v>
      </c>
      <c r="AM893" t="s">
        <v>176</v>
      </c>
      <c r="AN893">
        <v>0</v>
      </c>
    </row>
    <row r="894" spans="1:40" x14ac:dyDescent="0.15">
      <c r="A894" s="4" t="str">
        <f>HYPERLINK("https://ibp.a2mac1.com/costing(costing:projects/details/9760/process/12085553)","Injection molding")</f>
        <v>Injection molding</v>
      </c>
      <c r="B894" t="s">
        <v>5439</v>
      </c>
      <c r="C894">
        <v>12085553</v>
      </c>
      <c r="D894">
        <v>8416268</v>
      </c>
      <c r="E894">
        <v>0.14999578173195877</v>
      </c>
      <c r="F894">
        <v>0</v>
      </c>
      <c r="G894">
        <v>0</v>
      </c>
      <c r="H894">
        <v>1.5622995793814433E-4</v>
      </c>
      <c r="I894" t="s">
        <v>176</v>
      </c>
      <c r="J894">
        <v>5.257738969072165E-3</v>
      </c>
      <c r="K894">
        <v>0.15540975065896906</v>
      </c>
      <c r="L894">
        <v>5.5561688591553356E-3</v>
      </c>
      <c r="M894">
        <v>3.333701315493201E-2</v>
      </c>
      <c r="N894">
        <v>0.1887467638139011</v>
      </c>
      <c r="O894" t="s">
        <v>177</v>
      </c>
      <c r="P894">
        <v>9.3245850395381451E-3</v>
      </c>
      <c r="Q894" t="s">
        <v>177</v>
      </c>
      <c r="R894">
        <v>2.0002207892959208E-3</v>
      </c>
      <c r="S894" t="s">
        <v>178</v>
      </c>
      <c r="T894">
        <v>2.2649611657668132E-2</v>
      </c>
      <c r="U894">
        <v>0.22272118130040328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15.961650000000001</v>
      </c>
      <c r="AB894">
        <v>1</v>
      </c>
      <c r="AC894">
        <v>0.1</v>
      </c>
      <c r="AD894">
        <v>0.10389195236953569</v>
      </c>
      <c r="AE894">
        <v>7200</v>
      </c>
      <c r="AF894">
        <v>200000</v>
      </c>
      <c r="AG894">
        <v>16666.666666666668</v>
      </c>
      <c r="AH894">
        <v>1</v>
      </c>
      <c r="AI894">
        <v>1</v>
      </c>
      <c r="AJ894" t="s">
        <v>162</v>
      </c>
      <c r="AK894" t="s">
        <v>176</v>
      </c>
      <c r="AL894">
        <v>0</v>
      </c>
      <c r="AM894" t="s">
        <v>176</v>
      </c>
      <c r="AN894">
        <v>0</v>
      </c>
    </row>
    <row r="895" spans="1:40" x14ac:dyDescent="0.15">
      <c r="A895" s="4" t="str">
        <f>HYPERLINK("https://ibp.a2mac1.com/costing(costing:projects/details/9760/process/12085554)","Coiling + End forming")</f>
        <v>Coiling + End forming</v>
      </c>
      <c r="C895">
        <v>12085554</v>
      </c>
      <c r="D895">
        <v>8416269</v>
      </c>
      <c r="E895">
        <v>1.2225999999999999E-3</v>
      </c>
      <c r="F895">
        <v>0</v>
      </c>
      <c r="G895">
        <v>0</v>
      </c>
      <c r="H895">
        <v>2.518556E-6</v>
      </c>
      <c r="I895" t="s">
        <v>176</v>
      </c>
      <c r="J895">
        <v>4.2790999999999997E-5</v>
      </c>
      <c r="K895">
        <v>1.267909556E-3</v>
      </c>
      <c r="L895">
        <v>2.1977139272874653E-2</v>
      </c>
      <c r="M895">
        <v>0.1318628356372479</v>
      </c>
      <c r="N895">
        <v>0.13313074519324791</v>
      </c>
      <c r="O895" t="s">
        <v>177</v>
      </c>
      <c r="P895">
        <v>7.6074573359999998E-5</v>
      </c>
      <c r="Q895" t="s">
        <v>177</v>
      </c>
      <c r="R895">
        <v>7.9117701382348752E-3</v>
      </c>
      <c r="S895" t="s">
        <v>178</v>
      </c>
      <c r="T895">
        <v>1.5975689423189748E-2</v>
      </c>
      <c r="U895">
        <v>0.15709427932803252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30</v>
      </c>
      <c r="AB895">
        <v>1</v>
      </c>
      <c r="AC895">
        <v>0.1</v>
      </c>
      <c r="AD895">
        <v>0.20557651238448796</v>
      </c>
      <c r="AE895">
        <v>900</v>
      </c>
      <c r="AF895">
        <v>200000</v>
      </c>
      <c r="AG895">
        <v>16666.666666666668</v>
      </c>
      <c r="AH895">
        <v>1</v>
      </c>
      <c r="AI895">
        <v>1</v>
      </c>
      <c r="AJ895" t="s">
        <v>162</v>
      </c>
      <c r="AK895" t="s">
        <v>176</v>
      </c>
      <c r="AL895">
        <v>0</v>
      </c>
      <c r="AM895" t="s">
        <v>176</v>
      </c>
      <c r="AN895">
        <v>0</v>
      </c>
    </row>
    <row r="896" spans="1:40" x14ac:dyDescent="0.15">
      <c r="A896" s="4" t="str">
        <f>HYPERLINK("https://ibp.a2mac1.com/costing(costing:projects/details/9760/process/12085555)","Heat treatment")</f>
        <v>Heat treatment</v>
      </c>
      <c r="C896">
        <v>12085555</v>
      </c>
      <c r="D896">
        <v>8416269</v>
      </c>
      <c r="E896">
        <v>0</v>
      </c>
      <c r="F896">
        <v>0</v>
      </c>
      <c r="G896">
        <v>0</v>
      </c>
      <c r="H896">
        <v>0</v>
      </c>
      <c r="I896" t="s">
        <v>176</v>
      </c>
      <c r="J896">
        <v>0</v>
      </c>
      <c r="K896">
        <v>0</v>
      </c>
      <c r="L896">
        <v>1.9147638098182394E-2</v>
      </c>
      <c r="M896">
        <v>0.11488582858909437</v>
      </c>
      <c r="N896">
        <v>0.11488582858909437</v>
      </c>
      <c r="O896" t="s">
        <v>177</v>
      </c>
      <c r="P896">
        <v>0</v>
      </c>
      <c r="Q896" t="s">
        <v>177</v>
      </c>
      <c r="R896">
        <v>6.8931497153456624E-3</v>
      </c>
      <c r="S896" t="s">
        <v>178</v>
      </c>
      <c r="T896">
        <v>1.3786299430691325E-2</v>
      </c>
      <c r="U896">
        <v>0.13556527773513136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3600</v>
      </c>
      <c r="AB896">
        <v>200</v>
      </c>
      <c r="AC896">
        <v>0.1</v>
      </c>
      <c r="AD896">
        <v>0.10389195236953569</v>
      </c>
      <c r="AE896">
        <v>1800</v>
      </c>
      <c r="AF896">
        <v>200000</v>
      </c>
      <c r="AG896">
        <v>16666.666666666668</v>
      </c>
      <c r="AH896">
        <v>1</v>
      </c>
      <c r="AI896">
        <v>1</v>
      </c>
      <c r="AJ896" t="s">
        <v>162</v>
      </c>
      <c r="AK896" t="s">
        <v>176</v>
      </c>
      <c r="AL896">
        <v>0</v>
      </c>
      <c r="AM896" t="s">
        <v>176</v>
      </c>
      <c r="AN896">
        <v>0</v>
      </c>
    </row>
    <row r="897" spans="1:40" x14ac:dyDescent="0.15">
      <c r="A897" s="4" t="str">
        <f>HYPERLINK("https://ibp.a2mac1.com/costing(costing:projects/details/9760/process/12085556)","Injection molding")</f>
        <v>Injection molding</v>
      </c>
      <c r="B897" t="s">
        <v>5456</v>
      </c>
      <c r="C897">
        <v>12085556</v>
      </c>
      <c r="D897">
        <v>8416272</v>
      </c>
      <c r="E897">
        <v>0.14999578173195877</v>
      </c>
      <c r="F897">
        <v>0</v>
      </c>
      <c r="G897">
        <v>0</v>
      </c>
      <c r="H897">
        <v>1.5622995793814433E-4</v>
      </c>
      <c r="I897" t="s">
        <v>176</v>
      </c>
      <c r="J897">
        <v>5.257738969072165E-3</v>
      </c>
      <c r="K897">
        <v>0.15540975065896906</v>
      </c>
      <c r="L897">
        <v>4.4634349952700726E-3</v>
      </c>
      <c r="M897">
        <v>2.6780609971620437E-2</v>
      </c>
      <c r="N897">
        <v>0.18219036063058952</v>
      </c>
      <c r="O897" t="s">
        <v>177</v>
      </c>
      <c r="P897">
        <v>9.3245850395381451E-3</v>
      </c>
      <c r="Q897" t="s">
        <v>177</v>
      </c>
      <c r="R897">
        <v>1.6068365982972262E-3</v>
      </c>
      <c r="S897" t="s">
        <v>178</v>
      </c>
      <c r="T897">
        <v>2.186284327567074E-2</v>
      </c>
      <c r="U897">
        <v>0.21498462554409561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12.36265</v>
      </c>
      <c r="AB897">
        <v>1</v>
      </c>
      <c r="AC897">
        <v>0.1</v>
      </c>
      <c r="AD897">
        <v>0.10389195236953569</v>
      </c>
      <c r="AE897">
        <v>7200</v>
      </c>
      <c r="AF897">
        <v>200000</v>
      </c>
      <c r="AG897">
        <v>16666.666666666668</v>
      </c>
      <c r="AH897">
        <v>1</v>
      </c>
      <c r="AI897">
        <v>1</v>
      </c>
      <c r="AJ897" t="s">
        <v>162</v>
      </c>
      <c r="AK897" t="s">
        <v>176</v>
      </c>
      <c r="AL897">
        <v>0</v>
      </c>
      <c r="AM897" t="s">
        <v>176</v>
      </c>
      <c r="AN897">
        <v>0</v>
      </c>
    </row>
    <row r="898" spans="1:40" x14ac:dyDescent="0.15">
      <c r="A898" s="4" t="str">
        <f>HYPERLINK("https://ibp.a2mac1.com/costing(costing:projects/details/9760/process/12085557)","Injection molding")</f>
        <v>Injection molding</v>
      </c>
      <c r="B898" t="s">
        <v>5463</v>
      </c>
      <c r="C898">
        <v>12085557</v>
      </c>
      <c r="D898">
        <v>8416273</v>
      </c>
      <c r="E898">
        <v>0.61762968948453612</v>
      </c>
      <c r="F898">
        <v>0</v>
      </c>
      <c r="G898">
        <v>0</v>
      </c>
      <c r="H898">
        <v>6.4329982680412371E-4</v>
      </c>
      <c r="I898" t="s">
        <v>176</v>
      </c>
      <c r="J898">
        <v>2.1649513402061855E-2</v>
      </c>
      <c r="K898">
        <v>0.63992250271340201</v>
      </c>
      <c r="L898">
        <v>2.9674841040629066E-2</v>
      </c>
      <c r="M898">
        <v>0.17804904624377441</v>
      </c>
      <c r="N898">
        <v>0.8179715489571765</v>
      </c>
      <c r="O898" t="s">
        <v>177</v>
      </c>
      <c r="P898">
        <v>3.8395350162804126E-2</v>
      </c>
      <c r="Q898" t="s">
        <v>177</v>
      </c>
      <c r="R898">
        <v>1.0682942774626464E-2</v>
      </c>
      <c r="S898" t="s">
        <v>178</v>
      </c>
      <c r="T898">
        <v>9.8156585874861174E-2</v>
      </c>
      <c r="U898">
        <v>0.96520642776946819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48.01887</v>
      </c>
      <c r="AB898">
        <v>1</v>
      </c>
      <c r="AC898">
        <v>0.1</v>
      </c>
      <c r="AD898">
        <v>0.10389195236953569</v>
      </c>
      <c r="AE898">
        <v>7200</v>
      </c>
      <c r="AF898">
        <v>200000</v>
      </c>
      <c r="AG898">
        <v>16666.666666666668</v>
      </c>
      <c r="AH898">
        <v>1</v>
      </c>
      <c r="AI898">
        <v>1</v>
      </c>
      <c r="AJ898" t="s">
        <v>162</v>
      </c>
      <c r="AK898" t="s">
        <v>176</v>
      </c>
      <c r="AL898">
        <v>0</v>
      </c>
      <c r="AM898" t="s">
        <v>176</v>
      </c>
      <c r="AN898">
        <v>0</v>
      </c>
    </row>
    <row r="899" spans="1:40" x14ac:dyDescent="0.15">
      <c r="A899" s="4" t="str">
        <f>HYPERLINK("https://ibp.a2mac1.com/costing(costing:projects/details/9760/process/12085578)","Injection molding")</f>
        <v>Injection molding</v>
      </c>
      <c r="B899" t="s">
        <v>5468</v>
      </c>
      <c r="C899">
        <v>12085578</v>
      </c>
      <c r="D899">
        <v>8416274</v>
      </c>
      <c r="E899">
        <v>6.7411359922680408E-2</v>
      </c>
      <c r="F899">
        <v>0</v>
      </c>
      <c r="G899">
        <v>0</v>
      </c>
      <c r="H899">
        <v>7.5479119072164951E-4</v>
      </c>
      <c r="I899" t="s">
        <v>176</v>
      </c>
      <c r="J899">
        <v>2.3629420103092784E-3</v>
      </c>
      <c r="K899">
        <v>7.0529093123711334E-2</v>
      </c>
      <c r="L899">
        <v>8.2371225031320286E-3</v>
      </c>
      <c r="M899">
        <v>4.9422735018792172E-2</v>
      </c>
      <c r="N899">
        <v>0.11995182814250352</v>
      </c>
      <c r="O899" t="s">
        <v>177</v>
      </c>
      <c r="P899">
        <v>4.2317455874226802E-3</v>
      </c>
      <c r="Q899" t="s">
        <v>177</v>
      </c>
      <c r="R899">
        <v>2.9653641011275302E-3</v>
      </c>
      <c r="S899" t="s">
        <v>178</v>
      </c>
      <c r="T899">
        <v>1.4394219377100422E-2</v>
      </c>
      <c r="U899">
        <v>0.14154315720815414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20.623080000000002</v>
      </c>
      <c r="AB899">
        <v>1</v>
      </c>
      <c r="AC899">
        <v>0.1</v>
      </c>
      <c r="AD899">
        <v>1.1056389564667022</v>
      </c>
      <c r="AE899">
        <v>7200</v>
      </c>
      <c r="AF899">
        <v>200000</v>
      </c>
      <c r="AG899">
        <v>16666.666666666668</v>
      </c>
      <c r="AH899">
        <v>1</v>
      </c>
      <c r="AI899">
        <v>1</v>
      </c>
      <c r="AJ899" t="s">
        <v>162</v>
      </c>
      <c r="AK899" t="s">
        <v>176</v>
      </c>
      <c r="AL899">
        <v>0</v>
      </c>
      <c r="AM899" t="s">
        <v>176</v>
      </c>
      <c r="AN899">
        <v>0</v>
      </c>
    </row>
    <row r="900" spans="1:40" x14ac:dyDescent="0.15">
      <c r="A900" s="4" t="str">
        <f>HYPERLINK("https://ibp.a2mac1.com/costing(costing:projects/details/9760/process/12085579)","Painting")</f>
        <v>Painting</v>
      </c>
      <c r="C900">
        <v>12085579</v>
      </c>
      <c r="D900">
        <v>8416274</v>
      </c>
      <c r="E900">
        <v>0.1404061245972073</v>
      </c>
      <c r="F900">
        <v>0</v>
      </c>
      <c r="G900">
        <v>0</v>
      </c>
      <c r="H900">
        <v>1.4265262259076262E-3</v>
      </c>
      <c r="I900" t="s">
        <v>176</v>
      </c>
      <c r="J900">
        <v>4.9142143609022552E-3</v>
      </c>
      <c r="K900">
        <v>0.14674686518401719</v>
      </c>
      <c r="L900">
        <v>9.9798658116649411E-2</v>
      </c>
      <c r="M900">
        <v>0.59879194869989649</v>
      </c>
      <c r="N900">
        <v>0.74553881388391363</v>
      </c>
      <c r="O900" t="s">
        <v>177</v>
      </c>
      <c r="P900">
        <v>8.8048119110410317E-3</v>
      </c>
      <c r="Q900" t="s">
        <v>177</v>
      </c>
      <c r="R900">
        <v>3.5927516921993786E-2</v>
      </c>
      <c r="S900" t="s">
        <v>178</v>
      </c>
      <c r="T900">
        <v>8.9464657666069633E-2</v>
      </c>
      <c r="U900">
        <v>0.87973580038301813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2.7</v>
      </c>
      <c r="AB900">
        <v>1</v>
      </c>
      <c r="AC900">
        <v>1</v>
      </c>
      <c r="AD900">
        <v>1.0057812623742775</v>
      </c>
      <c r="AE900">
        <v>0</v>
      </c>
      <c r="AF900">
        <v>200000</v>
      </c>
      <c r="AG900">
        <v>16666.666666666668</v>
      </c>
      <c r="AH900">
        <v>1</v>
      </c>
      <c r="AI900">
        <v>1</v>
      </c>
      <c r="AJ900" t="s">
        <v>162</v>
      </c>
      <c r="AK900" t="s">
        <v>176</v>
      </c>
      <c r="AL900">
        <v>0</v>
      </c>
      <c r="AM900" t="s">
        <v>176</v>
      </c>
      <c r="AN900">
        <v>0</v>
      </c>
    </row>
    <row r="901" spans="1:40" x14ac:dyDescent="0.15">
      <c r="A901" s="4" t="str">
        <f>HYPERLINK("https://ibp.a2mac1.com/costing(costing:projects/details/9760/process/12085580)","Injection molding")</f>
        <v>Injection molding</v>
      </c>
      <c r="C901">
        <v>12085580</v>
      </c>
      <c r="D901">
        <v>8416275</v>
      </c>
      <c r="E901">
        <v>0.1237709025</v>
      </c>
      <c r="F901">
        <v>0</v>
      </c>
      <c r="G901">
        <v>0</v>
      </c>
      <c r="H901">
        <v>1.8934776663157894E-3</v>
      </c>
      <c r="I901" t="s">
        <v>176</v>
      </c>
      <c r="J901">
        <v>4.3428386842105267E-3</v>
      </c>
      <c r="K901">
        <v>0.13000721885052632</v>
      </c>
      <c r="L901">
        <v>2.1102184692820868E-3</v>
      </c>
      <c r="M901">
        <v>1.2661310815692521E-2</v>
      </c>
      <c r="N901">
        <v>0.14266852966621885</v>
      </c>
      <c r="O901" t="s">
        <v>177</v>
      </c>
      <c r="P901">
        <v>7.8004331310315787E-3</v>
      </c>
      <c r="Q901" t="s">
        <v>177</v>
      </c>
      <c r="R901">
        <v>7.5967864894155128E-4</v>
      </c>
      <c r="S901" t="s">
        <v>178</v>
      </c>
      <c r="T901">
        <v>1.712022355994626E-2</v>
      </c>
      <c r="U901">
        <v>0.16834886500613822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60</v>
      </c>
      <c r="AB901">
        <v>1</v>
      </c>
      <c r="AC901">
        <v>0.5</v>
      </c>
      <c r="AD901">
        <v>1.5030632547327778</v>
      </c>
      <c r="AE901">
        <v>121.5</v>
      </c>
      <c r="AF901">
        <v>200000</v>
      </c>
      <c r="AG901">
        <v>16666.666666666668</v>
      </c>
      <c r="AH901">
        <v>1</v>
      </c>
      <c r="AI901">
        <v>1</v>
      </c>
      <c r="AJ901" t="s">
        <v>162</v>
      </c>
      <c r="AK901" t="s">
        <v>176</v>
      </c>
      <c r="AL901">
        <v>0</v>
      </c>
      <c r="AM901" t="s">
        <v>176</v>
      </c>
      <c r="AN901">
        <v>0</v>
      </c>
    </row>
    <row r="902" spans="1:40" x14ac:dyDescent="0.15">
      <c r="A902" s="4" t="str">
        <f>HYPERLINK("https://ibp.a2mac1.com/costing(costing:projects/details/9760/process/12085581)","Painting")</f>
        <v>Painting</v>
      </c>
      <c r="C902">
        <v>12085581</v>
      </c>
      <c r="D902">
        <v>8416275</v>
      </c>
      <c r="E902">
        <v>0.1404061245972073</v>
      </c>
      <c r="F902">
        <v>0</v>
      </c>
      <c r="G902">
        <v>0</v>
      </c>
      <c r="H902">
        <v>1.4265262259076262E-3</v>
      </c>
      <c r="I902" t="s">
        <v>176</v>
      </c>
      <c r="J902">
        <v>4.9142143609022552E-3</v>
      </c>
      <c r="K902">
        <v>0.14674686518401719</v>
      </c>
      <c r="L902">
        <v>9.9798658116649411E-2</v>
      </c>
      <c r="M902">
        <v>0.59879194869989649</v>
      </c>
      <c r="N902">
        <v>0.74553881388391363</v>
      </c>
      <c r="O902" t="s">
        <v>177</v>
      </c>
      <c r="P902">
        <v>8.8048119110410317E-3</v>
      </c>
      <c r="Q902" t="s">
        <v>177</v>
      </c>
      <c r="R902">
        <v>3.5927516921993786E-2</v>
      </c>
      <c r="S902" t="s">
        <v>178</v>
      </c>
      <c r="T902">
        <v>8.9464657666069633E-2</v>
      </c>
      <c r="U902">
        <v>0.87973580038301813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2.7</v>
      </c>
      <c r="AB902">
        <v>1</v>
      </c>
      <c r="AC902">
        <v>1</v>
      </c>
      <c r="AD902">
        <v>1.0057812623742775</v>
      </c>
      <c r="AE902">
        <v>0</v>
      </c>
      <c r="AF902">
        <v>200000</v>
      </c>
      <c r="AG902">
        <v>16666.666666666668</v>
      </c>
      <c r="AH902">
        <v>1</v>
      </c>
      <c r="AI902">
        <v>1</v>
      </c>
      <c r="AJ902" t="s">
        <v>162</v>
      </c>
      <c r="AK902" t="s">
        <v>176</v>
      </c>
      <c r="AL902">
        <v>0</v>
      </c>
      <c r="AM902" t="s">
        <v>176</v>
      </c>
      <c r="AN902">
        <v>0</v>
      </c>
    </row>
    <row r="903" spans="1:40" x14ac:dyDescent="0.15">
      <c r="A903" s="4" t="str">
        <f>HYPERLINK("https://ibp.a2mac1.com/costing(costing:projects/details/9760/process/12085582)","Injection molding")</f>
        <v>Injection molding</v>
      </c>
      <c r="B903" t="s">
        <v>5483</v>
      </c>
      <c r="C903">
        <v>12085582</v>
      </c>
      <c r="D903">
        <v>8416278</v>
      </c>
      <c r="E903">
        <v>5.6251825402061854E-2</v>
      </c>
      <c r="F903">
        <v>0</v>
      </c>
      <c r="G903">
        <v>0</v>
      </c>
      <c r="H903">
        <v>5.8589783092783507E-5</v>
      </c>
      <c r="I903" t="s">
        <v>176</v>
      </c>
      <c r="J903">
        <v>1.9717715463917528E-3</v>
      </c>
      <c r="K903">
        <v>5.8282186731546393E-2</v>
      </c>
      <c r="L903">
        <v>8.4544306208829603E-3</v>
      </c>
      <c r="M903">
        <v>5.0726583725297758E-2</v>
      </c>
      <c r="N903">
        <v>0.10900877045684415</v>
      </c>
      <c r="O903" t="s">
        <v>177</v>
      </c>
      <c r="P903">
        <v>3.4969312038927833E-3</v>
      </c>
      <c r="Q903" t="s">
        <v>177</v>
      </c>
      <c r="R903">
        <v>3.0435950235178652E-3</v>
      </c>
      <c r="S903" t="s">
        <v>178</v>
      </c>
      <c r="T903">
        <v>1.3081052454821298E-2</v>
      </c>
      <c r="U903">
        <v>0.12863034913907609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25.507290000000001</v>
      </c>
      <c r="AB903">
        <v>1</v>
      </c>
      <c r="AC903">
        <v>0.1</v>
      </c>
      <c r="AD903">
        <v>0.10389195236953569</v>
      </c>
      <c r="AE903">
        <v>7200</v>
      </c>
      <c r="AF903">
        <v>200000</v>
      </c>
      <c r="AG903">
        <v>16666.666666666668</v>
      </c>
      <c r="AH903">
        <v>1</v>
      </c>
      <c r="AI903">
        <v>1</v>
      </c>
      <c r="AJ903" t="s">
        <v>162</v>
      </c>
      <c r="AK903" t="s">
        <v>176</v>
      </c>
      <c r="AL903">
        <v>0</v>
      </c>
      <c r="AM903" t="s">
        <v>176</v>
      </c>
      <c r="AN903">
        <v>0</v>
      </c>
    </row>
    <row r="904" spans="1:40" x14ac:dyDescent="0.15">
      <c r="A904" s="4" t="str">
        <f>HYPERLINK("https://ibp.a2mac1.com/costing(costing:projects/details/9760/process/12085291)","Stamping ")</f>
        <v xml:space="preserve">Stamping </v>
      </c>
      <c r="B904" t="s">
        <v>5493</v>
      </c>
      <c r="C904">
        <v>12085291</v>
      </c>
      <c r="D904">
        <v>8415929</v>
      </c>
      <c r="E904">
        <v>7.4700859999999994E-2</v>
      </c>
      <c r="F904">
        <v>0</v>
      </c>
      <c r="G904">
        <v>0</v>
      </c>
      <c r="H904">
        <v>5.8283088571428566E-4</v>
      </c>
      <c r="I904" t="s">
        <v>176</v>
      </c>
      <c r="J904">
        <v>2.8731099999999999E-3</v>
      </c>
      <c r="K904">
        <v>7.8156800885714292E-2</v>
      </c>
      <c r="L904">
        <v>1.804864171295764E-4</v>
      </c>
      <c r="M904">
        <v>1.0829185027774583E-3</v>
      </c>
      <c r="N904">
        <v>7.9239719388491739E-2</v>
      </c>
      <c r="O904" t="s">
        <v>177</v>
      </c>
      <c r="P904">
        <v>4.6894080531428572E-3</v>
      </c>
      <c r="Q904" t="s">
        <v>177</v>
      </c>
      <c r="R904">
        <v>6.49751101666475E-5</v>
      </c>
      <c r="S904" t="s">
        <v>178</v>
      </c>
      <c r="T904">
        <v>9.5087663266190097E-3</v>
      </c>
      <c r="U904">
        <v>9.3502868878420256E-2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5</v>
      </c>
      <c r="AB904">
        <v>2</v>
      </c>
      <c r="AC904">
        <v>0.5</v>
      </c>
      <c r="AD904">
        <v>0.70499453877469964</v>
      </c>
      <c r="AE904">
        <v>1800</v>
      </c>
      <c r="AF904">
        <v>200000</v>
      </c>
      <c r="AG904">
        <v>16666.666666666668</v>
      </c>
      <c r="AH904">
        <v>1</v>
      </c>
      <c r="AI904">
        <v>1</v>
      </c>
      <c r="AJ904" t="s">
        <v>162</v>
      </c>
      <c r="AK904" t="s">
        <v>176</v>
      </c>
      <c r="AL904">
        <v>0</v>
      </c>
      <c r="AM904" t="s">
        <v>176</v>
      </c>
      <c r="AN904">
        <v>0</v>
      </c>
    </row>
    <row r="905" spans="1:40" x14ac:dyDescent="0.15">
      <c r="A905" s="4" t="str">
        <f>HYPERLINK("https://ibp.a2mac1.com/costing(costing:projects/details/9760/process/12085292)","Wire Bending")</f>
        <v>Wire Bending</v>
      </c>
      <c r="C905">
        <v>12085292</v>
      </c>
      <c r="D905">
        <v>8415929</v>
      </c>
      <c r="E905">
        <v>0</v>
      </c>
      <c r="F905">
        <v>0</v>
      </c>
      <c r="G905">
        <v>0</v>
      </c>
      <c r="H905">
        <v>0</v>
      </c>
      <c r="I905" t="s">
        <v>176</v>
      </c>
      <c r="J905">
        <v>0</v>
      </c>
      <c r="K905">
        <v>0</v>
      </c>
      <c r="L905">
        <v>3.6698564783128945E-3</v>
      </c>
      <c r="M905">
        <v>2.2019138869877369E-2</v>
      </c>
      <c r="N905">
        <v>2.2019138869877369E-2</v>
      </c>
      <c r="O905" t="s">
        <v>177</v>
      </c>
      <c r="P905">
        <v>0</v>
      </c>
      <c r="Q905" t="s">
        <v>177</v>
      </c>
      <c r="R905">
        <v>1.321148332192642E-3</v>
      </c>
      <c r="S905" t="s">
        <v>178</v>
      </c>
      <c r="T905">
        <v>2.6422966643852839E-3</v>
      </c>
      <c r="U905">
        <v>2.5982583866455293E-2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</v>
      </c>
      <c r="AB905">
        <v>1</v>
      </c>
      <c r="AC905">
        <v>0.1</v>
      </c>
      <c r="AD905">
        <v>0.20557651238448796</v>
      </c>
      <c r="AE905">
        <v>3600</v>
      </c>
      <c r="AF905">
        <v>200000</v>
      </c>
      <c r="AG905">
        <v>16666.666666666668</v>
      </c>
      <c r="AH905">
        <v>1</v>
      </c>
      <c r="AI905">
        <v>1</v>
      </c>
      <c r="AJ905" t="s">
        <v>162</v>
      </c>
      <c r="AK905" t="s">
        <v>176</v>
      </c>
      <c r="AL905">
        <v>0</v>
      </c>
      <c r="AM905" t="s">
        <v>176</v>
      </c>
      <c r="AN905">
        <v>0</v>
      </c>
    </row>
    <row r="906" spans="1:40" x14ac:dyDescent="0.15">
      <c r="A906" s="4" t="str">
        <f>HYPERLINK("https://ibp.a2mac1.com/costing(costing:projects/details/9760/process/12085293)","Press fit")</f>
        <v>Press fit</v>
      </c>
      <c r="C906">
        <v>12085293</v>
      </c>
      <c r="D906">
        <v>8415929</v>
      </c>
      <c r="E906">
        <v>0</v>
      </c>
      <c r="F906">
        <v>0</v>
      </c>
      <c r="G906">
        <v>0</v>
      </c>
      <c r="H906">
        <v>0</v>
      </c>
      <c r="I906" t="s">
        <v>176</v>
      </c>
      <c r="J906">
        <v>0</v>
      </c>
      <c r="K906">
        <v>0</v>
      </c>
      <c r="L906">
        <v>6.1912616210148697E-3</v>
      </c>
      <c r="M906">
        <v>3.7147569726089222E-2</v>
      </c>
      <c r="N906">
        <v>3.7147569726089222E-2</v>
      </c>
      <c r="O906" t="s">
        <v>177</v>
      </c>
      <c r="P906">
        <v>0</v>
      </c>
      <c r="Q906" t="s">
        <v>177</v>
      </c>
      <c r="R906">
        <v>2.2288541835653532E-3</v>
      </c>
      <c r="S906" t="s">
        <v>178</v>
      </c>
      <c r="T906">
        <v>4.4577083671307064E-3</v>
      </c>
      <c r="U906">
        <v>4.383413227678528E-2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15</v>
      </c>
      <c r="AB906">
        <v>1</v>
      </c>
      <c r="AC906">
        <v>0.1</v>
      </c>
      <c r="AD906">
        <v>0.10389195236953569</v>
      </c>
      <c r="AE906">
        <v>180</v>
      </c>
      <c r="AF906">
        <v>200000</v>
      </c>
      <c r="AG906">
        <v>16666.666666666668</v>
      </c>
      <c r="AH906">
        <v>1</v>
      </c>
      <c r="AI906">
        <v>1</v>
      </c>
      <c r="AJ906" t="s">
        <v>162</v>
      </c>
      <c r="AK906" t="s">
        <v>176</v>
      </c>
      <c r="AL906">
        <v>0</v>
      </c>
      <c r="AM906" t="s">
        <v>176</v>
      </c>
      <c r="AN906">
        <v>0</v>
      </c>
    </row>
    <row r="907" spans="1:40" x14ac:dyDescent="0.15">
      <c r="A907" s="4" t="str">
        <f>HYPERLINK("https://ibp.a2mac1.com/costing(costing:projects/details/9760/process/12085104)","Assembly")</f>
        <v>Assembly</v>
      </c>
      <c r="C907">
        <v>12085104</v>
      </c>
      <c r="D907">
        <v>8415653</v>
      </c>
      <c r="E907">
        <v>0</v>
      </c>
      <c r="F907">
        <v>0</v>
      </c>
      <c r="G907">
        <v>0</v>
      </c>
      <c r="H907">
        <v>0</v>
      </c>
      <c r="I907" t="s">
        <v>90</v>
      </c>
      <c r="J907">
        <v>0</v>
      </c>
      <c r="K907">
        <v>0</v>
      </c>
      <c r="L907">
        <v>0</v>
      </c>
      <c r="M907">
        <v>0.21945668007767058</v>
      </c>
      <c r="N907">
        <v>0.21945668007767058</v>
      </c>
      <c r="O907" t="s">
        <v>90</v>
      </c>
      <c r="P907">
        <v>0</v>
      </c>
      <c r="Q907" t="s">
        <v>90</v>
      </c>
      <c r="R907">
        <v>0</v>
      </c>
      <c r="S907" t="s">
        <v>90</v>
      </c>
      <c r="T907">
        <v>0</v>
      </c>
      <c r="U907">
        <v>0.21945668007767058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150</v>
      </c>
      <c r="AB907">
        <v>1</v>
      </c>
      <c r="AC907">
        <v>0.1</v>
      </c>
      <c r="AD907">
        <v>0.10987913295375087</v>
      </c>
      <c r="AE907">
        <v>600</v>
      </c>
      <c r="AF907">
        <v>200000</v>
      </c>
      <c r="AG907">
        <v>10000</v>
      </c>
      <c r="AH907">
        <v>1</v>
      </c>
      <c r="AI907">
        <v>1</v>
      </c>
      <c r="AJ907" t="s">
        <v>76</v>
      </c>
      <c r="AK907" t="s">
        <v>90</v>
      </c>
      <c r="AL907">
        <v>0</v>
      </c>
      <c r="AM907" t="s">
        <v>90</v>
      </c>
      <c r="AN907">
        <v>0</v>
      </c>
    </row>
    <row r="908" spans="1:40" x14ac:dyDescent="0.15">
      <c r="A908" s="4" t="str">
        <f>HYPERLINK("https://ibp.a2mac1.com/costing(costing:projects/details/9760/process/12085294)","Process")</f>
        <v>Process</v>
      </c>
      <c r="C908">
        <v>12085294</v>
      </c>
      <c r="D908">
        <v>8415934</v>
      </c>
      <c r="E908">
        <v>0</v>
      </c>
      <c r="F908">
        <v>0</v>
      </c>
      <c r="G908">
        <v>0</v>
      </c>
      <c r="H908">
        <v>0</v>
      </c>
      <c r="I908" t="s">
        <v>176</v>
      </c>
      <c r="J908">
        <v>0</v>
      </c>
      <c r="K908">
        <v>0</v>
      </c>
      <c r="L908">
        <v>8.6763472456796054E-2</v>
      </c>
      <c r="M908">
        <v>0.52058083474077632</v>
      </c>
      <c r="N908">
        <v>0.52058083474077632</v>
      </c>
      <c r="O908" t="s">
        <v>90</v>
      </c>
      <c r="P908">
        <v>0</v>
      </c>
      <c r="Q908" t="s">
        <v>90</v>
      </c>
      <c r="R908">
        <v>0</v>
      </c>
      <c r="S908" t="s">
        <v>90</v>
      </c>
      <c r="T908">
        <v>0</v>
      </c>
      <c r="U908">
        <v>0.52058083474077632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80</v>
      </c>
      <c r="AB908">
        <v>1</v>
      </c>
      <c r="AC908">
        <v>0</v>
      </c>
      <c r="AD908">
        <v>0</v>
      </c>
      <c r="AE908">
        <v>216</v>
      </c>
      <c r="AF908">
        <v>200000</v>
      </c>
      <c r="AG908">
        <v>10000</v>
      </c>
      <c r="AH908">
        <v>1</v>
      </c>
      <c r="AI908">
        <v>1</v>
      </c>
      <c r="AJ908" t="s">
        <v>76</v>
      </c>
      <c r="AK908" t="s">
        <v>176</v>
      </c>
      <c r="AL908">
        <v>0</v>
      </c>
      <c r="AM908" t="s">
        <v>176</v>
      </c>
      <c r="AN908">
        <v>0</v>
      </c>
    </row>
    <row r="909" spans="1:40" x14ac:dyDescent="0.15">
      <c r="A909" s="4" t="str">
        <f>HYPERLINK("https://ibp.a2mac1.com/costing(costing:projects/details/9760/process/12085583)","Automated Process")</f>
        <v>Automated Process</v>
      </c>
      <c r="B909" t="s">
        <v>5424</v>
      </c>
      <c r="C909">
        <v>12085583</v>
      </c>
      <c r="D909">
        <v>8416280</v>
      </c>
      <c r="E909">
        <v>10.904400000000001</v>
      </c>
      <c r="F909">
        <v>0</v>
      </c>
      <c r="G909">
        <v>0</v>
      </c>
      <c r="H909">
        <v>5.5176264000000003E-2</v>
      </c>
      <c r="I909" t="s">
        <v>176</v>
      </c>
      <c r="J909">
        <v>0.38165399999999999</v>
      </c>
      <c r="K909">
        <v>11.341230264</v>
      </c>
      <c r="L909">
        <v>1.325155021220132</v>
      </c>
      <c r="M909">
        <v>7.9509301273207917</v>
      </c>
      <c r="N909">
        <v>19.292160391320792</v>
      </c>
      <c r="O909" t="s">
        <v>90</v>
      </c>
      <c r="P909">
        <v>0</v>
      </c>
      <c r="Q909" t="s">
        <v>90</v>
      </c>
      <c r="R909">
        <v>0</v>
      </c>
      <c r="S909" t="s">
        <v>90</v>
      </c>
      <c r="T909">
        <v>0</v>
      </c>
      <c r="U909">
        <v>19.292160391320792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749</v>
      </c>
      <c r="AB909">
        <v>1</v>
      </c>
      <c r="AC909">
        <v>0.5</v>
      </c>
      <c r="AD909">
        <v>0.50345253019720215</v>
      </c>
      <c r="AE909">
        <v>10800</v>
      </c>
      <c r="AF909">
        <v>200000</v>
      </c>
      <c r="AG909">
        <v>16666.666666666668</v>
      </c>
      <c r="AH909">
        <v>1</v>
      </c>
      <c r="AI909">
        <v>1</v>
      </c>
      <c r="AJ909" t="s">
        <v>162</v>
      </c>
      <c r="AK909" t="s">
        <v>176</v>
      </c>
      <c r="AL909">
        <v>0</v>
      </c>
      <c r="AM909" t="s">
        <v>176</v>
      </c>
      <c r="AN909">
        <v>0</v>
      </c>
    </row>
    <row r="910" spans="1:40" x14ac:dyDescent="0.15">
      <c r="A910" s="4" t="str">
        <f>HYPERLINK("https://ibp.a2mac1.com/costing(costing:projects/details/9760/process/12085584)","Seal Extrusion (Multi Layer)")</f>
        <v>Seal Extrusion (Multi Layer)</v>
      </c>
      <c r="C910">
        <v>12085584</v>
      </c>
      <c r="D910">
        <v>8416281</v>
      </c>
      <c r="E910">
        <v>3.9120183184210524</v>
      </c>
      <c r="F910">
        <v>0</v>
      </c>
      <c r="G910">
        <v>0</v>
      </c>
      <c r="H910">
        <v>8.0817789894736848E-3</v>
      </c>
      <c r="I910" t="s">
        <v>176</v>
      </c>
      <c r="J910">
        <v>0.13731177894736843</v>
      </c>
      <c r="K910">
        <v>4.0574118763578948</v>
      </c>
      <c r="L910">
        <v>0.11042432234335599</v>
      </c>
      <c r="M910">
        <v>0.66254593406013595</v>
      </c>
      <c r="N910">
        <v>4.7199578104180304</v>
      </c>
      <c r="O910" t="s">
        <v>177</v>
      </c>
      <c r="P910">
        <v>0.24344471258147368</v>
      </c>
      <c r="Q910" t="s">
        <v>177</v>
      </c>
      <c r="R910">
        <v>3.9752756043608152E-2</v>
      </c>
      <c r="S910" t="s">
        <v>178</v>
      </c>
      <c r="T910">
        <v>0.56639493725016365</v>
      </c>
      <c r="U910">
        <v>5.5695502162932762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45</v>
      </c>
      <c r="AB910">
        <v>1</v>
      </c>
      <c r="AC910">
        <v>0.1</v>
      </c>
      <c r="AD910">
        <v>0.20557651238448796</v>
      </c>
      <c r="AE910">
        <v>1800</v>
      </c>
      <c r="AF910">
        <v>200000</v>
      </c>
      <c r="AG910">
        <v>16666.666666666668</v>
      </c>
      <c r="AH910">
        <v>1</v>
      </c>
      <c r="AI910">
        <v>1</v>
      </c>
      <c r="AJ910" t="s">
        <v>162</v>
      </c>
      <c r="AK910" t="s">
        <v>176</v>
      </c>
      <c r="AL910">
        <v>0</v>
      </c>
      <c r="AM910" t="s">
        <v>176</v>
      </c>
      <c r="AN910">
        <v>0</v>
      </c>
    </row>
    <row r="911" spans="1:40" x14ac:dyDescent="0.15">
      <c r="A911" s="4" t="str">
        <f>HYPERLINK("https://ibp.a2mac1.com/costing(costing:projects/details/9760/process/12085585)","End Glueing/Vulcanizing; Check and Pack")</f>
        <v>End Glueing/Vulcanizing; Check and Pack</v>
      </c>
      <c r="C911">
        <v>12085585</v>
      </c>
      <c r="D911">
        <v>8416281</v>
      </c>
      <c r="E911">
        <v>0</v>
      </c>
      <c r="F911">
        <v>0</v>
      </c>
      <c r="G911">
        <v>0</v>
      </c>
      <c r="H911">
        <v>0</v>
      </c>
      <c r="I911" t="s">
        <v>176</v>
      </c>
      <c r="J911">
        <v>0</v>
      </c>
      <c r="K911">
        <v>0</v>
      </c>
      <c r="L911">
        <v>1.5680387065327164E-2</v>
      </c>
      <c r="M911">
        <v>9.4082322391962986E-2</v>
      </c>
      <c r="N911">
        <v>9.4082322391962986E-2</v>
      </c>
      <c r="O911" t="s">
        <v>177</v>
      </c>
      <c r="P911">
        <v>0</v>
      </c>
      <c r="Q911" t="s">
        <v>177</v>
      </c>
      <c r="R911">
        <v>5.6449393435177792E-3</v>
      </c>
      <c r="S911" t="s">
        <v>178</v>
      </c>
      <c r="T911">
        <v>1.1289878687035558E-2</v>
      </c>
      <c r="U911">
        <v>0.11101714042251631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30</v>
      </c>
      <c r="AB911">
        <v>1</v>
      </c>
      <c r="AC911">
        <v>0.1</v>
      </c>
      <c r="AD911">
        <v>0.10389195236953569</v>
      </c>
      <c r="AE911">
        <v>600</v>
      </c>
      <c r="AF911">
        <v>200000</v>
      </c>
      <c r="AG911">
        <v>16666.666666666668</v>
      </c>
      <c r="AH911">
        <v>1</v>
      </c>
      <c r="AI911">
        <v>1</v>
      </c>
      <c r="AJ911" t="s">
        <v>162</v>
      </c>
      <c r="AK911" t="s">
        <v>176</v>
      </c>
      <c r="AL911">
        <v>0</v>
      </c>
      <c r="AM911" t="s">
        <v>176</v>
      </c>
      <c r="AN911">
        <v>0</v>
      </c>
    </row>
    <row r="912" spans="1:40" x14ac:dyDescent="0.15">
      <c r="A912" s="4" t="str">
        <f>HYPERLINK("https://ibp.a2mac1.com/costing(costing:projects/details/9760/process/12085586)","Seal Extrusion (Multi Layer)")</f>
        <v>Seal Extrusion (Multi Layer)</v>
      </c>
      <c r="C912">
        <v>12085586</v>
      </c>
      <c r="D912">
        <v>8416282</v>
      </c>
      <c r="E912">
        <v>0.63794658900000001</v>
      </c>
      <c r="F912">
        <v>0</v>
      </c>
      <c r="G912">
        <v>0</v>
      </c>
      <c r="H912">
        <v>6.6512727073684207E-4</v>
      </c>
      <c r="I912" t="s">
        <v>176</v>
      </c>
      <c r="J912">
        <v>2.2384090842105263E-2</v>
      </c>
      <c r="K912">
        <v>0.66099580711284212</v>
      </c>
      <c r="L912">
        <v>0.11031192108116587</v>
      </c>
      <c r="M912">
        <v>0.66187152648699521</v>
      </c>
      <c r="N912">
        <v>1.3228673335998373</v>
      </c>
      <c r="O912" t="s">
        <v>177</v>
      </c>
      <c r="P912">
        <v>3.9659748426770523E-2</v>
      </c>
      <c r="Q912" t="s">
        <v>177</v>
      </c>
      <c r="R912">
        <v>3.9712291589219711E-2</v>
      </c>
      <c r="S912" t="s">
        <v>178</v>
      </c>
      <c r="T912">
        <v>0.15874408003198048</v>
      </c>
      <c r="U912">
        <v>1.560983453647808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45</v>
      </c>
      <c r="AB912">
        <v>1</v>
      </c>
      <c r="AC912">
        <v>0.1</v>
      </c>
      <c r="AD912">
        <v>0.10389195236953569</v>
      </c>
      <c r="AE912">
        <v>1800</v>
      </c>
      <c r="AF912">
        <v>200000</v>
      </c>
      <c r="AG912">
        <v>16666.666666666668</v>
      </c>
      <c r="AH912">
        <v>1</v>
      </c>
      <c r="AI912">
        <v>1</v>
      </c>
      <c r="AJ912" t="s">
        <v>162</v>
      </c>
      <c r="AK912" t="s">
        <v>176</v>
      </c>
      <c r="AL912">
        <v>0</v>
      </c>
      <c r="AM912" t="s">
        <v>176</v>
      </c>
      <c r="AN912">
        <v>0</v>
      </c>
    </row>
    <row r="913" spans="1:40" x14ac:dyDescent="0.15">
      <c r="A913" s="4" t="str">
        <f>HYPERLINK("https://ibp.a2mac1.com/costing(costing:projects/details/9760/process/12085587)","Seal Extrusion (Multi Layer)")</f>
        <v>Seal Extrusion (Multi Layer)</v>
      </c>
      <c r="C913">
        <v>12085587</v>
      </c>
      <c r="D913">
        <v>8416283</v>
      </c>
      <c r="E913">
        <v>0.30273557184210526</v>
      </c>
      <c r="F913">
        <v>0</v>
      </c>
      <c r="G913">
        <v>0</v>
      </c>
      <c r="H913">
        <v>3.1692927157894735E-4</v>
      </c>
      <c r="I913" t="s">
        <v>176</v>
      </c>
      <c r="J913">
        <v>1.0665888947368422E-2</v>
      </c>
      <c r="K913">
        <v>0.31371839006105262</v>
      </c>
      <c r="L913">
        <v>0.11031192108116587</v>
      </c>
      <c r="M913">
        <v>0.66187152648699521</v>
      </c>
      <c r="N913">
        <v>0.97558991654804783</v>
      </c>
      <c r="O913" t="s">
        <v>177</v>
      </c>
      <c r="P913">
        <v>1.8823103403663159E-2</v>
      </c>
      <c r="Q913" t="s">
        <v>177</v>
      </c>
      <c r="R913">
        <v>3.9712291589219711E-2</v>
      </c>
      <c r="S913" t="s">
        <v>178</v>
      </c>
      <c r="T913">
        <v>0.11707078998576574</v>
      </c>
      <c r="U913">
        <v>1.1511961015266965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45</v>
      </c>
      <c r="AB913">
        <v>1</v>
      </c>
      <c r="AC913">
        <v>0.1</v>
      </c>
      <c r="AD913">
        <v>0.10389195236953569</v>
      </c>
      <c r="AE913">
        <v>1800</v>
      </c>
      <c r="AF913">
        <v>200000</v>
      </c>
      <c r="AG913">
        <v>16666.666666666668</v>
      </c>
      <c r="AH913">
        <v>1</v>
      </c>
      <c r="AI913">
        <v>1</v>
      </c>
      <c r="AJ913" t="s">
        <v>162</v>
      </c>
      <c r="AK913" t="s">
        <v>176</v>
      </c>
      <c r="AL913">
        <v>0</v>
      </c>
      <c r="AM913" t="s">
        <v>176</v>
      </c>
      <c r="AN913">
        <v>0</v>
      </c>
    </row>
    <row r="914" spans="1:40" x14ac:dyDescent="0.15">
      <c r="A914" s="4" t="str">
        <f>HYPERLINK("https://ibp.a2mac1.com/costing(costing:projects/details/9760/process/12085295)","Seal Extrusion (Multi Layer)")</f>
        <v>Seal Extrusion (Multi Layer)</v>
      </c>
      <c r="C914">
        <v>12085295</v>
      </c>
      <c r="D914">
        <v>8415936</v>
      </c>
      <c r="E914">
        <v>1.1226339921052633</v>
      </c>
      <c r="F914">
        <v>0</v>
      </c>
      <c r="G914">
        <v>0</v>
      </c>
      <c r="H914">
        <v>1.1737034947368421E-3</v>
      </c>
      <c r="I914" t="s">
        <v>176</v>
      </c>
      <c r="J914">
        <v>3.9499636842105265E-2</v>
      </c>
      <c r="K914">
        <v>1.1633073324421053</v>
      </c>
      <c r="L914">
        <v>4.918855572128588E-2</v>
      </c>
      <c r="M914">
        <v>0.29513133432771527</v>
      </c>
      <c r="N914">
        <v>1.4584386667698206</v>
      </c>
      <c r="O914" t="s">
        <v>177</v>
      </c>
      <c r="P914">
        <v>6.9798439946526319E-2</v>
      </c>
      <c r="Q914" t="s">
        <v>177</v>
      </c>
      <c r="R914">
        <v>1.7707880059662916E-2</v>
      </c>
      <c r="S914" t="s">
        <v>178</v>
      </c>
      <c r="T914">
        <v>0.17501264001237846</v>
      </c>
      <c r="U914">
        <v>1.7209576267883882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20</v>
      </c>
      <c r="AB914">
        <v>1</v>
      </c>
      <c r="AC914">
        <v>0.1</v>
      </c>
      <c r="AD914">
        <v>0.10389195236953569</v>
      </c>
      <c r="AE914">
        <v>1800</v>
      </c>
      <c r="AF914">
        <v>200000</v>
      </c>
      <c r="AG914">
        <v>16666.666666666668</v>
      </c>
      <c r="AH914">
        <v>1</v>
      </c>
      <c r="AI914">
        <v>1</v>
      </c>
      <c r="AJ914" t="s">
        <v>162</v>
      </c>
      <c r="AK914" t="s">
        <v>176</v>
      </c>
      <c r="AL914">
        <v>0</v>
      </c>
      <c r="AM914" t="s">
        <v>176</v>
      </c>
      <c r="AN914">
        <v>0</v>
      </c>
    </row>
    <row r="915" spans="1:40" x14ac:dyDescent="0.15">
      <c r="A915" s="4" t="str">
        <f>HYPERLINK("https://ibp.a2mac1.com/costing(costing:projects/details/9760/process/12085296)","Seal Extrusion (Multi Layer)")</f>
        <v>Seal Extrusion (Multi Layer)</v>
      </c>
      <c r="C915">
        <v>12085296</v>
      </c>
      <c r="D915">
        <v>8415937</v>
      </c>
      <c r="E915">
        <v>0.71533903249999997</v>
      </c>
      <c r="F915">
        <v>0</v>
      </c>
      <c r="G915">
        <v>0</v>
      </c>
      <c r="H915">
        <v>7.4889321684210529E-4</v>
      </c>
      <c r="I915" t="s">
        <v>176</v>
      </c>
      <c r="J915">
        <v>2.5203137105263156E-2</v>
      </c>
      <c r="K915">
        <v>0.74129106282210522</v>
      </c>
      <c r="L915">
        <v>3.696388264930988E-2</v>
      </c>
      <c r="M915">
        <v>0.22178329589585927</v>
      </c>
      <c r="N915">
        <v>0.96307435871796454</v>
      </c>
      <c r="O915" t="s">
        <v>177</v>
      </c>
      <c r="P915">
        <v>4.4477463769326313E-2</v>
      </c>
      <c r="Q915" t="s">
        <v>177</v>
      </c>
      <c r="R915">
        <v>1.3306997753751557E-2</v>
      </c>
      <c r="S915" t="s">
        <v>178</v>
      </c>
      <c r="T915">
        <v>0.11556892304615575</v>
      </c>
      <c r="U915">
        <v>1.1364277432871981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15</v>
      </c>
      <c r="AB915">
        <v>1</v>
      </c>
      <c r="AC915">
        <v>0.1</v>
      </c>
      <c r="AD915">
        <v>0.10389195236953569</v>
      </c>
      <c r="AE915">
        <v>1800</v>
      </c>
      <c r="AF915">
        <v>200000</v>
      </c>
      <c r="AG915">
        <v>16666.666666666668</v>
      </c>
      <c r="AH915">
        <v>1</v>
      </c>
      <c r="AI915">
        <v>1</v>
      </c>
      <c r="AJ915" t="s">
        <v>162</v>
      </c>
      <c r="AK915" t="s">
        <v>176</v>
      </c>
      <c r="AL915">
        <v>0</v>
      </c>
      <c r="AM915" t="s">
        <v>176</v>
      </c>
      <c r="AN915">
        <v>0</v>
      </c>
    </row>
    <row r="916" spans="1:40" x14ac:dyDescent="0.15">
      <c r="A916" s="4" t="str">
        <f>HYPERLINK("https://ibp.a2mac1.com/costing(costing:projects/details/9760/process/12085297)","Aluminum extrusion")</f>
        <v>Aluminum extrusion</v>
      </c>
      <c r="C916">
        <v>12085297</v>
      </c>
      <c r="D916">
        <v>8415938</v>
      </c>
      <c r="E916">
        <v>0.17690338931319882</v>
      </c>
      <c r="F916">
        <v>0</v>
      </c>
      <c r="G916">
        <v>0</v>
      </c>
      <c r="H916">
        <v>1.8708249383675253E-4</v>
      </c>
      <c r="I916" t="s">
        <v>176</v>
      </c>
      <c r="J916">
        <v>6.2960454656599413E-3</v>
      </c>
      <c r="K916">
        <v>0.1833865172726955</v>
      </c>
      <c r="L916">
        <v>3.4581168742771451E-2</v>
      </c>
      <c r="M916">
        <v>0.20748701245662871</v>
      </c>
      <c r="N916">
        <v>0.39087352972932421</v>
      </c>
      <c r="O916" t="s">
        <v>90</v>
      </c>
      <c r="P916">
        <v>0</v>
      </c>
      <c r="Q916" t="s">
        <v>90</v>
      </c>
      <c r="R916">
        <v>0</v>
      </c>
      <c r="S916" t="s">
        <v>90</v>
      </c>
      <c r="T916">
        <v>0</v>
      </c>
      <c r="U916">
        <v>0.39087352972932421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3.1318199999999998</v>
      </c>
      <c r="AB916">
        <v>1</v>
      </c>
      <c r="AC916">
        <v>0.1</v>
      </c>
      <c r="AD916">
        <v>0.10389195236953569</v>
      </c>
      <c r="AE916">
        <v>360</v>
      </c>
      <c r="AF916">
        <v>200000</v>
      </c>
      <c r="AG916">
        <v>16666.666666666668</v>
      </c>
      <c r="AH916">
        <v>1</v>
      </c>
      <c r="AI916">
        <v>1</v>
      </c>
      <c r="AJ916" t="s">
        <v>162</v>
      </c>
      <c r="AK916" t="s">
        <v>176</v>
      </c>
      <c r="AL916">
        <v>0</v>
      </c>
      <c r="AM916" t="s">
        <v>176</v>
      </c>
      <c r="AN916">
        <v>0</v>
      </c>
    </row>
    <row r="917" spans="1:40" x14ac:dyDescent="0.15">
      <c r="A917" s="4" t="str">
        <f>HYPERLINK("https://ibp.a2mac1.com/costing(costing:projects/details/9760/process/12085588)","Injection molding")</f>
        <v>Injection molding</v>
      </c>
      <c r="B917" t="s">
        <v>5321</v>
      </c>
      <c r="C917">
        <v>12085588</v>
      </c>
      <c r="D917">
        <v>8416285</v>
      </c>
      <c r="E917">
        <v>2.3778711340206187E-2</v>
      </c>
      <c r="F917">
        <v>0</v>
      </c>
      <c r="G917">
        <v>0</v>
      </c>
      <c r="H917">
        <v>4.9057731958762889E-5</v>
      </c>
      <c r="I917" t="s">
        <v>176</v>
      </c>
      <c r="J917">
        <v>8.3350515463917528E-4</v>
      </c>
      <c r="K917">
        <v>2.4661274226804124E-2</v>
      </c>
      <c r="L917">
        <v>1.0292288890212213E-2</v>
      </c>
      <c r="M917">
        <v>6.1753733341273279E-2</v>
      </c>
      <c r="N917">
        <v>8.6415007568077407E-2</v>
      </c>
      <c r="O917" t="s">
        <v>177</v>
      </c>
      <c r="P917">
        <v>1.4796764536082474E-3</v>
      </c>
      <c r="Q917" t="s">
        <v>177</v>
      </c>
      <c r="R917">
        <v>3.7052240004763967E-3</v>
      </c>
      <c r="S917" t="s">
        <v>178</v>
      </c>
      <c r="T917">
        <v>1.0369800908169288E-2</v>
      </c>
      <c r="U917">
        <v>0.10196970893033133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19.215890000000002</v>
      </c>
      <c r="AB917">
        <v>2</v>
      </c>
      <c r="AC917">
        <v>0.1</v>
      </c>
      <c r="AD917">
        <v>0.20557651238448796</v>
      </c>
      <c r="AE917">
        <v>10800</v>
      </c>
      <c r="AF917">
        <v>200000</v>
      </c>
      <c r="AG917">
        <v>16666.666666666668</v>
      </c>
      <c r="AH917">
        <v>1</v>
      </c>
      <c r="AI917">
        <v>1</v>
      </c>
      <c r="AJ917" t="s">
        <v>162</v>
      </c>
      <c r="AK917" t="s">
        <v>176</v>
      </c>
      <c r="AL917">
        <v>0</v>
      </c>
      <c r="AM917" t="s">
        <v>176</v>
      </c>
      <c r="AN917">
        <v>0</v>
      </c>
    </row>
    <row r="918" spans="1:40" x14ac:dyDescent="0.15">
      <c r="A918" s="4" t="str">
        <f>HYPERLINK("https://ibp.a2mac1.com/costing(costing:projects/details/9760/process/12085589)","Handling/Visual Inspection/Packaging")</f>
        <v>Handling/Visual Inspection/Packaging</v>
      </c>
      <c r="C918">
        <v>12085589</v>
      </c>
      <c r="D918">
        <v>8416285</v>
      </c>
      <c r="E918">
        <v>0</v>
      </c>
      <c r="F918">
        <v>0</v>
      </c>
      <c r="G918">
        <v>0</v>
      </c>
      <c r="H918">
        <v>0</v>
      </c>
      <c r="I918" t="s">
        <v>176</v>
      </c>
      <c r="J918">
        <v>0</v>
      </c>
      <c r="K918">
        <v>0</v>
      </c>
      <c r="L918">
        <v>1.4395282723835509E-3</v>
      </c>
      <c r="M918">
        <v>8.6371696343013043E-3</v>
      </c>
      <c r="N918">
        <v>8.6371696343013043E-3</v>
      </c>
      <c r="O918" t="s">
        <v>177</v>
      </c>
      <c r="P918">
        <v>0</v>
      </c>
      <c r="Q918" t="s">
        <v>177</v>
      </c>
      <c r="R918">
        <v>5.1823017805807832E-4</v>
      </c>
      <c r="S918" t="s">
        <v>178</v>
      </c>
      <c r="T918">
        <v>1.0364603561161566E-3</v>
      </c>
      <c r="U918">
        <v>1.019186016847554E-2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5</v>
      </c>
      <c r="AB918">
        <v>1</v>
      </c>
      <c r="AC918">
        <v>0.1</v>
      </c>
      <c r="AD918">
        <v>0.10389195236953569</v>
      </c>
      <c r="AE918">
        <v>900</v>
      </c>
      <c r="AF918">
        <v>200000</v>
      </c>
      <c r="AG918">
        <v>16666.666666666668</v>
      </c>
      <c r="AH918">
        <v>1</v>
      </c>
      <c r="AI918">
        <v>1</v>
      </c>
      <c r="AJ918" t="s">
        <v>162</v>
      </c>
      <c r="AK918" t="s">
        <v>176</v>
      </c>
      <c r="AL918">
        <v>0</v>
      </c>
      <c r="AM918" t="s">
        <v>176</v>
      </c>
      <c r="AN918">
        <v>0</v>
      </c>
    </row>
    <row r="919" spans="1:40" x14ac:dyDescent="0.15">
      <c r="A919" s="4" t="str">
        <f>HYPERLINK("https://ibp.a2mac1.com/costing(costing:projects/details/9760/process/12085590)","Injection molding")</f>
        <v>Injection molding</v>
      </c>
      <c r="B919" t="s">
        <v>5329</v>
      </c>
      <c r="C919">
        <v>12085590</v>
      </c>
      <c r="D919">
        <v>8416286</v>
      </c>
      <c r="E919">
        <v>2.6393988716494846E-2</v>
      </c>
      <c r="F919">
        <v>0</v>
      </c>
      <c r="G919">
        <v>0</v>
      </c>
      <c r="H919">
        <v>5.4453296701030927E-5</v>
      </c>
      <c r="I919" t="s">
        <v>176</v>
      </c>
      <c r="J919">
        <v>9.2517737113402066E-4</v>
      </c>
      <c r="K919">
        <v>2.7373619384329896E-2</v>
      </c>
      <c r="L919">
        <v>8.5600226222615049E-3</v>
      </c>
      <c r="M919">
        <v>5.1360135733569026E-2</v>
      </c>
      <c r="N919">
        <v>7.8733755117898929E-2</v>
      </c>
      <c r="O919" t="s">
        <v>177</v>
      </c>
      <c r="P919">
        <v>1.6424171630597937E-3</v>
      </c>
      <c r="Q919" t="s">
        <v>177</v>
      </c>
      <c r="R919">
        <v>3.0816081440141418E-3</v>
      </c>
      <c r="S919" t="s">
        <v>178</v>
      </c>
      <c r="T919">
        <v>9.448050614147871E-3</v>
      </c>
      <c r="U919">
        <v>9.2905831039120729E-2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15.44525</v>
      </c>
      <c r="AB919">
        <v>2</v>
      </c>
      <c r="AC919">
        <v>0.1</v>
      </c>
      <c r="AD919">
        <v>0.20557651238448796</v>
      </c>
      <c r="AE919">
        <v>10800</v>
      </c>
      <c r="AF919">
        <v>200000</v>
      </c>
      <c r="AG919">
        <v>16666.666666666668</v>
      </c>
      <c r="AH919">
        <v>1</v>
      </c>
      <c r="AI919">
        <v>1</v>
      </c>
      <c r="AJ919" t="s">
        <v>162</v>
      </c>
      <c r="AK919" t="s">
        <v>176</v>
      </c>
      <c r="AL919">
        <v>0</v>
      </c>
      <c r="AM919" t="s">
        <v>176</v>
      </c>
      <c r="AN919">
        <v>0</v>
      </c>
    </row>
    <row r="920" spans="1:40" x14ac:dyDescent="0.15">
      <c r="A920" s="4" t="str">
        <f>HYPERLINK("https://ibp.a2mac1.com/costing(costing:projects/details/9760/process/12085591)","Handling/Visual Inspection/Packaging")</f>
        <v>Handling/Visual Inspection/Packaging</v>
      </c>
      <c r="C920">
        <v>12085591</v>
      </c>
      <c r="D920">
        <v>8416286</v>
      </c>
      <c r="E920">
        <v>0</v>
      </c>
      <c r="F920">
        <v>0</v>
      </c>
      <c r="G920">
        <v>0</v>
      </c>
      <c r="H920">
        <v>0</v>
      </c>
      <c r="I920" t="s">
        <v>176</v>
      </c>
      <c r="J920">
        <v>0</v>
      </c>
      <c r="K920">
        <v>0</v>
      </c>
      <c r="L920">
        <v>2.8759505147669608E-3</v>
      </c>
      <c r="M920">
        <v>1.7255703088601766E-2</v>
      </c>
      <c r="N920">
        <v>1.7255703088601766E-2</v>
      </c>
      <c r="O920" t="s">
        <v>177</v>
      </c>
      <c r="P920">
        <v>0</v>
      </c>
      <c r="Q920" t="s">
        <v>177</v>
      </c>
      <c r="R920">
        <v>1.0353421853161059E-3</v>
      </c>
      <c r="S920" t="s">
        <v>178</v>
      </c>
      <c r="T920">
        <v>2.0706843706322117E-3</v>
      </c>
      <c r="U920">
        <v>2.0361729644550082E-2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10</v>
      </c>
      <c r="AB920">
        <v>1</v>
      </c>
      <c r="AC920">
        <v>0.1</v>
      </c>
      <c r="AD920">
        <v>0.10389195236953569</v>
      </c>
      <c r="AE920">
        <v>900</v>
      </c>
      <c r="AF920">
        <v>200000</v>
      </c>
      <c r="AG920">
        <v>16666.666666666668</v>
      </c>
      <c r="AH920">
        <v>1</v>
      </c>
      <c r="AI920">
        <v>1</v>
      </c>
      <c r="AJ920" t="s">
        <v>162</v>
      </c>
      <c r="AK920" t="s">
        <v>176</v>
      </c>
      <c r="AL920">
        <v>0</v>
      </c>
      <c r="AM920" t="s">
        <v>176</v>
      </c>
      <c r="AN920">
        <v>0</v>
      </c>
    </row>
    <row r="921" spans="1:40" x14ac:dyDescent="0.15">
      <c r="A921" s="4" t="str">
        <f>HYPERLINK("https://ibp.a2mac1.com/costing(costing:projects/details/9760/process/12085592)","Injection molding")</f>
        <v>Injection molding</v>
      </c>
      <c r="C921">
        <v>12085592</v>
      </c>
      <c r="D921">
        <v>8416288</v>
      </c>
      <c r="E921">
        <v>2.1229068E-2</v>
      </c>
      <c r="F921">
        <v>0</v>
      </c>
      <c r="G921">
        <v>0</v>
      </c>
      <c r="H921">
        <v>1.0768830484210526E-4</v>
      </c>
      <c r="I921" t="s">
        <v>176</v>
      </c>
      <c r="J921">
        <v>7.4487957894736839E-4</v>
      </c>
      <c r="K921">
        <v>2.2081635883789474E-2</v>
      </c>
      <c r="L921">
        <v>9.42055555662452E-5</v>
      </c>
      <c r="M921">
        <v>5.6523333339747125E-4</v>
      </c>
      <c r="N921">
        <v>2.2646869217186946E-2</v>
      </c>
      <c r="O921" t="s">
        <v>177</v>
      </c>
      <c r="P921">
        <v>1.3248981530273685E-3</v>
      </c>
      <c r="Q921" t="s">
        <v>177</v>
      </c>
      <c r="R921">
        <v>3.3914000003848275E-5</v>
      </c>
      <c r="S921" t="s">
        <v>178</v>
      </c>
      <c r="T921">
        <v>2.7176243060624333E-3</v>
      </c>
      <c r="U921">
        <v>2.6723305676280593E-2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60</v>
      </c>
      <c r="AB921">
        <v>4</v>
      </c>
      <c r="AC921">
        <v>0.5</v>
      </c>
      <c r="AD921">
        <v>0.50345253019720215</v>
      </c>
      <c r="AE921">
        <v>21.6</v>
      </c>
      <c r="AF921">
        <v>200000</v>
      </c>
      <c r="AG921">
        <v>16666.666666666668</v>
      </c>
      <c r="AH921">
        <v>1</v>
      </c>
      <c r="AI921">
        <v>1</v>
      </c>
      <c r="AJ921" t="s">
        <v>162</v>
      </c>
      <c r="AK921" t="s">
        <v>176</v>
      </c>
      <c r="AL921">
        <v>0</v>
      </c>
      <c r="AM921" t="s">
        <v>176</v>
      </c>
      <c r="AN921">
        <v>0</v>
      </c>
    </row>
    <row r="922" spans="1:40" x14ac:dyDescent="0.15">
      <c r="A922" s="4" t="str">
        <f>HYPERLINK("https://ibp.a2mac1.com/costing(costing:projects/details/9760/process/12085593)","MANUFACTURING  PROCESS")</f>
        <v>MANUFACTURING  PROCESS</v>
      </c>
      <c r="B922" t="s">
        <v>4962</v>
      </c>
      <c r="C922">
        <v>12085593</v>
      </c>
      <c r="D922">
        <v>8416289</v>
      </c>
      <c r="E922">
        <v>0.14652861</v>
      </c>
      <c r="F922">
        <v>0</v>
      </c>
      <c r="G922">
        <v>0</v>
      </c>
      <c r="H922">
        <v>3.11763E-6</v>
      </c>
      <c r="I922" t="s">
        <v>176</v>
      </c>
      <c r="J922">
        <v>5.4558525000000004E-3</v>
      </c>
      <c r="K922">
        <v>0.15198758012999999</v>
      </c>
      <c r="L922">
        <v>0.18397179041108594</v>
      </c>
      <c r="M922">
        <v>1.1038307424665155</v>
      </c>
      <c r="N922">
        <v>1.2558183225965156</v>
      </c>
      <c r="O922" t="s">
        <v>90</v>
      </c>
      <c r="P922">
        <v>0</v>
      </c>
      <c r="Q922" t="s">
        <v>90</v>
      </c>
      <c r="R922">
        <v>0</v>
      </c>
      <c r="S922" t="s">
        <v>90</v>
      </c>
      <c r="T922">
        <v>0</v>
      </c>
      <c r="U922">
        <v>1.2558183225965156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36.551670000000001</v>
      </c>
      <c r="AB922">
        <v>1</v>
      </c>
      <c r="AC922">
        <v>0</v>
      </c>
      <c r="AD922">
        <v>1.9999600007999841E-3</v>
      </c>
      <c r="AE922">
        <v>5400</v>
      </c>
      <c r="AF922">
        <v>200000</v>
      </c>
      <c r="AG922">
        <v>16666.666666666668</v>
      </c>
      <c r="AH922">
        <v>1</v>
      </c>
      <c r="AI922">
        <v>1</v>
      </c>
      <c r="AJ922" t="s">
        <v>162</v>
      </c>
      <c r="AK922" t="s">
        <v>176</v>
      </c>
      <c r="AL922">
        <v>0</v>
      </c>
      <c r="AM922" t="s">
        <v>176</v>
      </c>
      <c r="AN922">
        <v>0</v>
      </c>
    </row>
    <row r="923" spans="1:40" x14ac:dyDescent="0.15">
      <c r="A923" s="4" t="str">
        <f>HYPERLINK("https://ibp.a2mac1.com/costing(costing:projects/details/9760/process/12085594)","MANUFACTURING  PROCESS")</f>
        <v>MANUFACTURING  PROCESS</v>
      </c>
      <c r="B923" t="s">
        <v>4962</v>
      </c>
      <c r="C923">
        <v>12085594</v>
      </c>
      <c r="D923">
        <v>8416290</v>
      </c>
      <c r="E923">
        <v>7.0391195000000004E-2</v>
      </c>
      <c r="F923">
        <v>0</v>
      </c>
      <c r="G923">
        <v>0</v>
      </c>
      <c r="H923">
        <v>1.4976850000000001E-6</v>
      </c>
      <c r="I923" t="s">
        <v>176</v>
      </c>
      <c r="J923">
        <v>2.6209487500000002E-3</v>
      </c>
      <c r="K923">
        <v>7.3013641434999998E-2</v>
      </c>
      <c r="L923">
        <v>0.22608553666765549</v>
      </c>
      <c r="M923">
        <v>1.3565132200059329</v>
      </c>
      <c r="N923">
        <v>1.4295268614409329</v>
      </c>
      <c r="O923" t="s">
        <v>90</v>
      </c>
      <c r="P923">
        <v>0</v>
      </c>
      <c r="Q923" t="s">
        <v>90</v>
      </c>
      <c r="R923">
        <v>0</v>
      </c>
      <c r="S923" t="s">
        <v>90</v>
      </c>
      <c r="T923">
        <v>0</v>
      </c>
      <c r="U923">
        <v>1.4295268614409329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45</v>
      </c>
      <c r="AB923">
        <v>1</v>
      </c>
      <c r="AC923">
        <v>0</v>
      </c>
      <c r="AD923">
        <v>1.9999600007999841E-3</v>
      </c>
      <c r="AE923">
        <v>5400</v>
      </c>
      <c r="AF923">
        <v>200000</v>
      </c>
      <c r="AG923">
        <v>16666.666666666668</v>
      </c>
      <c r="AH923">
        <v>1</v>
      </c>
      <c r="AI923">
        <v>1</v>
      </c>
      <c r="AJ923" t="s">
        <v>162</v>
      </c>
      <c r="AK923" t="s">
        <v>176</v>
      </c>
      <c r="AL923">
        <v>0</v>
      </c>
      <c r="AM923" t="s">
        <v>176</v>
      </c>
      <c r="AN923">
        <v>0</v>
      </c>
    </row>
    <row r="924" spans="1:40" x14ac:dyDescent="0.15">
      <c r="A924" s="4" t="str">
        <f>HYPERLINK("https://ibp.a2mac1.com/costing(costing:projects/details/9760/process/12085595)","MANUFACTURING  PROCESS")</f>
        <v>MANUFACTURING  PROCESS</v>
      </c>
      <c r="B924" t="s">
        <v>4962</v>
      </c>
      <c r="C924">
        <v>12085595</v>
      </c>
      <c r="D924">
        <v>8416291</v>
      </c>
      <c r="E924">
        <v>0.14652861</v>
      </c>
      <c r="F924">
        <v>0</v>
      </c>
      <c r="G924">
        <v>0</v>
      </c>
      <c r="H924">
        <v>3.11763E-6</v>
      </c>
      <c r="I924" t="s">
        <v>176</v>
      </c>
      <c r="J924">
        <v>5.4558525000000004E-3</v>
      </c>
      <c r="K924">
        <v>0.15198758012999999</v>
      </c>
      <c r="L924">
        <v>0.22608553666765549</v>
      </c>
      <c r="M924">
        <v>1.3565132200059329</v>
      </c>
      <c r="N924">
        <v>1.508500800135933</v>
      </c>
      <c r="O924" t="s">
        <v>90</v>
      </c>
      <c r="P924">
        <v>0</v>
      </c>
      <c r="Q924" t="s">
        <v>90</v>
      </c>
      <c r="R924">
        <v>0</v>
      </c>
      <c r="S924" t="s">
        <v>90</v>
      </c>
      <c r="T924">
        <v>0</v>
      </c>
      <c r="U924">
        <v>1.508500800135933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45</v>
      </c>
      <c r="AB924">
        <v>1</v>
      </c>
      <c r="AC924">
        <v>0</v>
      </c>
      <c r="AD924">
        <v>1.9999600007999841E-3</v>
      </c>
      <c r="AE924">
        <v>5400</v>
      </c>
      <c r="AF924">
        <v>200000</v>
      </c>
      <c r="AG924">
        <v>16666.666666666668</v>
      </c>
      <c r="AH924">
        <v>1</v>
      </c>
      <c r="AI924">
        <v>1</v>
      </c>
      <c r="AJ924" t="s">
        <v>162</v>
      </c>
      <c r="AK924" t="s">
        <v>176</v>
      </c>
      <c r="AL924">
        <v>0</v>
      </c>
      <c r="AM924" t="s">
        <v>176</v>
      </c>
      <c r="AN924">
        <v>0</v>
      </c>
    </row>
    <row r="925" spans="1:40" x14ac:dyDescent="0.15">
      <c r="A925" s="4" t="str">
        <f>HYPERLINK("https://ibp.a2mac1.com/costing(costing:projects/details/9760/process/12085596)","MANUFACTURING  PROCESS")</f>
        <v>MANUFACTURING  PROCESS</v>
      </c>
      <c r="B925" t="s">
        <v>4962</v>
      </c>
      <c r="C925">
        <v>12085596</v>
      </c>
      <c r="D925">
        <v>8416292</v>
      </c>
      <c r="E925">
        <v>7.0391195000000004E-2</v>
      </c>
      <c r="F925">
        <v>0</v>
      </c>
      <c r="G925">
        <v>0</v>
      </c>
      <c r="H925">
        <v>1.4976850000000001E-6</v>
      </c>
      <c r="I925" t="s">
        <v>176</v>
      </c>
      <c r="J925">
        <v>2.6209487500000002E-3</v>
      </c>
      <c r="K925">
        <v>7.3013641434999998E-2</v>
      </c>
      <c r="L925">
        <v>0.22608553666765549</v>
      </c>
      <c r="M925">
        <v>1.3565132200059329</v>
      </c>
      <c r="N925">
        <v>1.4295268614409329</v>
      </c>
      <c r="O925" t="s">
        <v>90</v>
      </c>
      <c r="P925">
        <v>0</v>
      </c>
      <c r="Q925" t="s">
        <v>90</v>
      </c>
      <c r="R925">
        <v>0</v>
      </c>
      <c r="S925" t="s">
        <v>90</v>
      </c>
      <c r="T925">
        <v>0</v>
      </c>
      <c r="U925">
        <v>1.4295268614409329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45</v>
      </c>
      <c r="AB925">
        <v>1</v>
      </c>
      <c r="AC925">
        <v>0</v>
      </c>
      <c r="AD925">
        <v>1.9999600007999841E-3</v>
      </c>
      <c r="AE925">
        <v>5400</v>
      </c>
      <c r="AF925">
        <v>200000</v>
      </c>
      <c r="AG925">
        <v>16666.666666666668</v>
      </c>
      <c r="AH925">
        <v>1</v>
      </c>
      <c r="AI925">
        <v>1</v>
      </c>
      <c r="AJ925" t="s">
        <v>162</v>
      </c>
      <c r="AK925" t="s">
        <v>176</v>
      </c>
      <c r="AL925">
        <v>0</v>
      </c>
      <c r="AM925" t="s">
        <v>176</v>
      </c>
      <c r="AN925">
        <v>0</v>
      </c>
    </row>
    <row r="926" spans="1:40" x14ac:dyDescent="0.15">
      <c r="A926" s="4" t="str">
        <f>HYPERLINK("https://ibp.a2mac1.com/costing(costing:projects/details/9760/process/12085298)","Injection molding")</f>
        <v>Injection molding</v>
      </c>
      <c r="C926">
        <v>12085298</v>
      </c>
      <c r="D926">
        <v>8415949</v>
      </c>
      <c r="E926">
        <v>4.5214049999999999E-2</v>
      </c>
      <c r="F926">
        <v>0</v>
      </c>
      <c r="G926">
        <v>0</v>
      </c>
      <c r="H926">
        <v>2.2935648421052631E-4</v>
      </c>
      <c r="I926" t="s">
        <v>176</v>
      </c>
      <c r="J926">
        <v>1.586457894736842E-3</v>
      </c>
      <c r="K926">
        <v>4.7029864378947371E-2</v>
      </c>
      <c r="L926">
        <v>1.5783251295997008E-3</v>
      </c>
      <c r="M926">
        <v>9.4699507775982041E-3</v>
      </c>
      <c r="N926">
        <v>5.649981515654557E-2</v>
      </c>
      <c r="O926" t="s">
        <v>177</v>
      </c>
      <c r="P926">
        <v>2.8217918627368422E-3</v>
      </c>
      <c r="Q926" t="s">
        <v>177</v>
      </c>
      <c r="R926">
        <v>5.6819704665589225E-4</v>
      </c>
      <c r="S926" t="s">
        <v>178</v>
      </c>
      <c r="T926">
        <v>6.7799778187854686E-3</v>
      </c>
      <c r="U926">
        <v>6.6669781884723778E-2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60</v>
      </c>
      <c r="AB926">
        <v>1</v>
      </c>
      <c r="AC926">
        <v>0.5</v>
      </c>
      <c r="AD926">
        <v>0.50345253019720215</v>
      </c>
      <c r="AE926">
        <v>91.8</v>
      </c>
      <c r="AF926">
        <v>200000</v>
      </c>
      <c r="AG926">
        <v>16666.666666666668</v>
      </c>
      <c r="AH926">
        <v>1</v>
      </c>
      <c r="AI926">
        <v>1</v>
      </c>
      <c r="AJ926" t="s">
        <v>162</v>
      </c>
      <c r="AK926" t="s">
        <v>176</v>
      </c>
      <c r="AL926">
        <v>0</v>
      </c>
      <c r="AM926" t="s">
        <v>176</v>
      </c>
      <c r="AN926">
        <v>0</v>
      </c>
    </row>
    <row r="927" spans="1:40" x14ac:dyDescent="0.15">
      <c r="A927" s="4" t="str">
        <f>HYPERLINK("https://ibp.a2mac1.com/costing(costing:projects/details/9760/process/12085105)","Injection molding")</f>
        <v>Injection molding</v>
      </c>
      <c r="B927" t="s">
        <v>6273</v>
      </c>
      <c r="C927">
        <v>12085105</v>
      </c>
      <c r="D927">
        <v>8415660</v>
      </c>
      <c r="E927">
        <v>0.92459466334020624</v>
      </c>
      <c r="F927">
        <v>0</v>
      </c>
      <c r="G927">
        <v>0</v>
      </c>
      <c r="H927">
        <v>9.7031125113402066E-4</v>
      </c>
      <c r="I927" t="s">
        <v>176</v>
      </c>
      <c r="J927">
        <v>3.2654705567010306E-2</v>
      </c>
      <c r="K927">
        <v>0.95821968015835046</v>
      </c>
      <c r="L927">
        <v>4.0958812950510494E-2</v>
      </c>
      <c r="M927">
        <v>0.24575287770306295</v>
      </c>
      <c r="N927">
        <v>1.2039725578614136</v>
      </c>
      <c r="O927" t="s">
        <v>177</v>
      </c>
      <c r="P927">
        <v>5.7493180809501034E-2</v>
      </c>
      <c r="Q927" t="s">
        <v>177</v>
      </c>
      <c r="R927">
        <v>1.4745172662183777E-2</v>
      </c>
      <c r="S927" t="s">
        <v>178</v>
      </c>
      <c r="T927">
        <v>0.14447670694336961</v>
      </c>
      <c r="U927">
        <v>1.4206876182764678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22.743970000000001</v>
      </c>
      <c r="AB927">
        <v>1</v>
      </c>
      <c r="AC927">
        <v>0.1</v>
      </c>
      <c r="AD927">
        <v>0.10389195236953569</v>
      </c>
      <c r="AE927">
        <v>14400</v>
      </c>
      <c r="AF927">
        <v>200000</v>
      </c>
      <c r="AG927">
        <v>16666.666666666668</v>
      </c>
      <c r="AH927">
        <v>1</v>
      </c>
      <c r="AI927">
        <v>1</v>
      </c>
      <c r="AJ927" t="s">
        <v>162</v>
      </c>
      <c r="AK927" t="s">
        <v>176</v>
      </c>
      <c r="AL927">
        <v>0</v>
      </c>
      <c r="AM927" t="s">
        <v>176</v>
      </c>
      <c r="AN927">
        <v>0</v>
      </c>
    </row>
    <row r="928" spans="1:40" x14ac:dyDescent="0.15">
      <c r="A928" s="4" t="str">
        <f>HYPERLINK("https://ibp.a2mac1.com/costing(costing:projects/details/9760/process/12085064)","Assembly")</f>
        <v>Assembly</v>
      </c>
      <c r="C928">
        <v>12085064</v>
      </c>
      <c r="D928">
        <v>8415585</v>
      </c>
      <c r="E928">
        <v>0</v>
      </c>
      <c r="F928">
        <v>0</v>
      </c>
      <c r="G928">
        <v>0</v>
      </c>
      <c r="H928">
        <v>0</v>
      </c>
      <c r="I928" t="s">
        <v>90</v>
      </c>
      <c r="J928">
        <v>0</v>
      </c>
      <c r="K928">
        <v>0</v>
      </c>
      <c r="L928">
        <v>0</v>
      </c>
      <c r="M928">
        <v>0.6579133898279117</v>
      </c>
      <c r="N928">
        <v>0.6579133898279117</v>
      </c>
      <c r="O928" t="s">
        <v>90</v>
      </c>
      <c r="P928">
        <v>0</v>
      </c>
      <c r="Q928" t="s">
        <v>90</v>
      </c>
      <c r="R928">
        <v>0</v>
      </c>
      <c r="S928" t="s">
        <v>90</v>
      </c>
      <c r="T928">
        <v>0</v>
      </c>
      <c r="U928">
        <v>0.6579133898279117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450</v>
      </c>
      <c r="AB928">
        <v>1</v>
      </c>
      <c r="AC928">
        <v>0.1</v>
      </c>
      <c r="AD928">
        <v>0.10987913295375087</v>
      </c>
      <c r="AE928">
        <v>600</v>
      </c>
      <c r="AF928">
        <v>200000</v>
      </c>
      <c r="AG928">
        <v>10000</v>
      </c>
      <c r="AH928">
        <v>1</v>
      </c>
      <c r="AI928">
        <v>1</v>
      </c>
      <c r="AJ928" t="s">
        <v>76</v>
      </c>
      <c r="AK928" t="s">
        <v>90</v>
      </c>
      <c r="AL928">
        <v>0</v>
      </c>
      <c r="AM928" t="s">
        <v>90</v>
      </c>
      <c r="AN928">
        <v>0</v>
      </c>
    </row>
    <row r="929" spans="1:40" x14ac:dyDescent="0.15">
      <c r="A929" s="4" t="str">
        <f>HYPERLINK("https://ibp.a2mac1.com/costing(costing:projects/details/9760/process/12085597)","MANUFACTURING  PROCESS")</f>
        <v>MANUFACTURING  PROCESS</v>
      </c>
      <c r="B929" t="s">
        <v>4962</v>
      </c>
      <c r="C929">
        <v>12085597</v>
      </c>
      <c r="D929">
        <v>8416293</v>
      </c>
      <c r="E929">
        <v>0.14652861</v>
      </c>
      <c r="F929">
        <v>0</v>
      </c>
      <c r="G929">
        <v>0</v>
      </c>
      <c r="H929">
        <v>3.11763E-6</v>
      </c>
      <c r="I929" t="s">
        <v>176</v>
      </c>
      <c r="J929">
        <v>5.4558525000000004E-3</v>
      </c>
      <c r="K929">
        <v>0.15198758012999999</v>
      </c>
      <c r="L929">
        <v>0.18397179041108594</v>
      </c>
      <c r="M929">
        <v>1.1038307424665155</v>
      </c>
      <c r="N929">
        <v>1.2558183225965156</v>
      </c>
      <c r="O929" t="s">
        <v>90</v>
      </c>
      <c r="P929">
        <v>0</v>
      </c>
      <c r="Q929" t="s">
        <v>90</v>
      </c>
      <c r="R929">
        <v>0</v>
      </c>
      <c r="S929" t="s">
        <v>90</v>
      </c>
      <c r="T929">
        <v>0</v>
      </c>
      <c r="U929">
        <v>1.2558183225965156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36.551670000000001</v>
      </c>
      <c r="AB929">
        <v>1</v>
      </c>
      <c r="AC929">
        <v>0</v>
      </c>
      <c r="AD929">
        <v>1.9999600007999841E-3</v>
      </c>
      <c r="AE929">
        <v>5400</v>
      </c>
      <c r="AF929">
        <v>200000</v>
      </c>
      <c r="AG929">
        <v>16666.666666666668</v>
      </c>
      <c r="AH929">
        <v>1</v>
      </c>
      <c r="AI929">
        <v>1</v>
      </c>
      <c r="AJ929" t="s">
        <v>162</v>
      </c>
      <c r="AK929" t="s">
        <v>176</v>
      </c>
      <c r="AL929">
        <v>0</v>
      </c>
      <c r="AM929" t="s">
        <v>176</v>
      </c>
      <c r="AN929">
        <v>0</v>
      </c>
    </row>
    <row r="930" spans="1:40" x14ac:dyDescent="0.15">
      <c r="A930" s="4" t="str">
        <f>HYPERLINK("https://ibp.a2mac1.com/costing(costing:projects/details/9760/process/12085598)","MANUFACTURING  PROCESS")</f>
        <v>MANUFACTURING  PROCESS</v>
      </c>
      <c r="B930" t="s">
        <v>4962</v>
      </c>
      <c r="C930">
        <v>12085598</v>
      </c>
      <c r="D930">
        <v>8416294</v>
      </c>
      <c r="E930">
        <v>7.0391195000000004E-2</v>
      </c>
      <c r="F930">
        <v>0</v>
      </c>
      <c r="G930">
        <v>0</v>
      </c>
      <c r="H930">
        <v>1.4976850000000001E-6</v>
      </c>
      <c r="I930" t="s">
        <v>176</v>
      </c>
      <c r="J930">
        <v>2.6209487500000002E-3</v>
      </c>
      <c r="K930">
        <v>7.3013641434999998E-2</v>
      </c>
      <c r="L930">
        <v>0.22608553666765549</v>
      </c>
      <c r="M930">
        <v>1.3565132200059329</v>
      </c>
      <c r="N930">
        <v>1.4295268614409329</v>
      </c>
      <c r="O930" t="s">
        <v>90</v>
      </c>
      <c r="P930">
        <v>0</v>
      </c>
      <c r="Q930" t="s">
        <v>90</v>
      </c>
      <c r="R930">
        <v>0</v>
      </c>
      <c r="S930" t="s">
        <v>90</v>
      </c>
      <c r="T930">
        <v>0</v>
      </c>
      <c r="U930">
        <v>1.4295268614409329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45</v>
      </c>
      <c r="AB930">
        <v>1</v>
      </c>
      <c r="AC930">
        <v>0</v>
      </c>
      <c r="AD930">
        <v>1.9999600007999841E-3</v>
      </c>
      <c r="AE930">
        <v>5400</v>
      </c>
      <c r="AF930">
        <v>200000</v>
      </c>
      <c r="AG930">
        <v>16666.666666666668</v>
      </c>
      <c r="AH930">
        <v>1</v>
      </c>
      <c r="AI930">
        <v>1</v>
      </c>
      <c r="AJ930" t="s">
        <v>162</v>
      </c>
      <c r="AK930" t="s">
        <v>176</v>
      </c>
      <c r="AL930">
        <v>0</v>
      </c>
      <c r="AM930" t="s">
        <v>176</v>
      </c>
      <c r="AN930">
        <v>0</v>
      </c>
    </row>
    <row r="931" spans="1:40" x14ac:dyDescent="0.15">
      <c r="A931" s="4" t="str">
        <f>HYPERLINK("https://ibp.a2mac1.com/costing(costing:projects/details/9760/process/12085599)","MANUFACTURING  PROCESS")</f>
        <v>MANUFACTURING  PROCESS</v>
      </c>
      <c r="B931" t="s">
        <v>4962</v>
      </c>
      <c r="C931">
        <v>12085599</v>
      </c>
      <c r="D931">
        <v>8416295</v>
      </c>
      <c r="E931">
        <v>0.14652861</v>
      </c>
      <c r="F931">
        <v>0</v>
      </c>
      <c r="G931">
        <v>0</v>
      </c>
      <c r="H931">
        <v>3.11763E-6</v>
      </c>
      <c r="I931" t="s">
        <v>176</v>
      </c>
      <c r="J931">
        <v>5.4558525000000004E-3</v>
      </c>
      <c r="K931">
        <v>0.15198758012999999</v>
      </c>
      <c r="L931">
        <v>0.22608553666765549</v>
      </c>
      <c r="M931">
        <v>1.3565132200059329</v>
      </c>
      <c r="N931">
        <v>1.508500800135933</v>
      </c>
      <c r="O931" t="s">
        <v>90</v>
      </c>
      <c r="P931">
        <v>0</v>
      </c>
      <c r="Q931" t="s">
        <v>90</v>
      </c>
      <c r="R931">
        <v>0</v>
      </c>
      <c r="S931" t="s">
        <v>90</v>
      </c>
      <c r="T931">
        <v>0</v>
      </c>
      <c r="U931">
        <v>1.508500800135933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45</v>
      </c>
      <c r="AB931">
        <v>1</v>
      </c>
      <c r="AC931">
        <v>0</v>
      </c>
      <c r="AD931">
        <v>1.9999600007999841E-3</v>
      </c>
      <c r="AE931">
        <v>5400</v>
      </c>
      <c r="AF931">
        <v>200000</v>
      </c>
      <c r="AG931">
        <v>16666.666666666668</v>
      </c>
      <c r="AH931">
        <v>1</v>
      </c>
      <c r="AI931">
        <v>1</v>
      </c>
      <c r="AJ931" t="s">
        <v>162</v>
      </c>
      <c r="AK931" t="s">
        <v>176</v>
      </c>
      <c r="AL931">
        <v>0</v>
      </c>
      <c r="AM931" t="s">
        <v>176</v>
      </c>
      <c r="AN931">
        <v>0</v>
      </c>
    </row>
    <row r="932" spans="1:40" x14ac:dyDescent="0.15">
      <c r="A932" s="4" t="str">
        <f>HYPERLINK("https://ibp.a2mac1.com/costing(costing:projects/details/9760/process/12085600)","MANUFACTURING  PROCESS")</f>
        <v>MANUFACTURING  PROCESS</v>
      </c>
      <c r="B932" t="s">
        <v>4962</v>
      </c>
      <c r="C932">
        <v>12085600</v>
      </c>
      <c r="D932">
        <v>8416296</v>
      </c>
      <c r="E932">
        <v>7.0391195000000004E-2</v>
      </c>
      <c r="F932">
        <v>0</v>
      </c>
      <c r="G932">
        <v>0</v>
      </c>
      <c r="H932">
        <v>1.4976850000000001E-6</v>
      </c>
      <c r="I932" t="s">
        <v>176</v>
      </c>
      <c r="J932">
        <v>2.6209487500000002E-3</v>
      </c>
      <c r="K932">
        <v>7.3013641434999998E-2</v>
      </c>
      <c r="L932">
        <v>0.22608553666765549</v>
      </c>
      <c r="M932">
        <v>1.3565132200059329</v>
      </c>
      <c r="N932">
        <v>1.4295268614409329</v>
      </c>
      <c r="O932" t="s">
        <v>90</v>
      </c>
      <c r="P932">
        <v>0</v>
      </c>
      <c r="Q932" t="s">
        <v>90</v>
      </c>
      <c r="R932">
        <v>0</v>
      </c>
      <c r="S932" t="s">
        <v>90</v>
      </c>
      <c r="T932">
        <v>0</v>
      </c>
      <c r="U932">
        <v>1.4295268614409329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45</v>
      </c>
      <c r="AB932">
        <v>1</v>
      </c>
      <c r="AC932">
        <v>0</v>
      </c>
      <c r="AD932">
        <v>1.9999600007999841E-3</v>
      </c>
      <c r="AE932">
        <v>5400</v>
      </c>
      <c r="AF932">
        <v>200000</v>
      </c>
      <c r="AG932">
        <v>16666.666666666668</v>
      </c>
      <c r="AH932">
        <v>1</v>
      </c>
      <c r="AI932">
        <v>1</v>
      </c>
      <c r="AJ932" t="s">
        <v>162</v>
      </c>
      <c r="AK932" t="s">
        <v>176</v>
      </c>
      <c r="AL932">
        <v>0</v>
      </c>
      <c r="AM932" t="s">
        <v>176</v>
      </c>
      <c r="AN932">
        <v>0</v>
      </c>
    </row>
    <row r="933" spans="1:40" x14ac:dyDescent="0.15">
      <c r="A933" s="4" t="str">
        <f>HYPERLINK("https://ibp.a2mac1.com/costing(costing:projects/details/9760/process/12085299)","Injection molding")</f>
        <v>Injection molding</v>
      </c>
      <c r="C933">
        <v>12085299</v>
      </c>
      <c r="D933">
        <v>8415957</v>
      </c>
      <c r="E933">
        <v>4.5214049999999999E-2</v>
      </c>
      <c r="F933">
        <v>0</v>
      </c>
      <c r="G933">
        <v>0</v>
      </c>
      <c r="H933">
        <v>2.2935648421052631E-4</v>
      </c>
      <c r="I933" t="s">
        <v>176</v>
      </c>
      <c r="J933">
        <v>1.586457894736842E-3</v>
      </c>
      <c r="K933">
        <v>4.7029864378947371E-2</v>
      </c>
      <c r="L933">
        <v>1.5783251295997008E-3</v>
      </c>
      <c r="M933">
        <v>9.4699507775982041E-3</v>
      </c>
      <c r="N933">
        <v>5.649981515654557E-2</v>
      </c>
      <c r="O933" t="s">
        <v>177</v>
      </c>
      <c r="P933">
        <v>2.8217918627368422E-3</v>
      </c>
      <c r="Q933" t="s">
        <v>177</v>
      </c>
      <c r="R933">
        <v>5.6819704665589225E-4</v>
      </c>
      <c r="S933" t="s">
        <v>178</v>
      </c>
      <c r="T933">
        <v>6.7799778187854686E-3</v>
      </c>
      <c r="U933">
        <v>6.6669781884723778E-2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60</v>
      </c>
      <c r="AB933">
        <v>1</v>
      </c>
      <c r="AC933">
        <v>0.5</v>
      </c>
      <c r="AD933">
        <v>0.50345253019720215</v>
      </c>
      <c r="AE933">
        <v>91.8</v>
      </c>
      <c r="AF933">
        <v>200000</v>
      </c>
      <c r="AG933">
        <v>16666.666666666668</v>
      </c>
      <c r="AH933">
        <v>1</v>
      </c>
      <c r="AI933">
        <v>1</v>
      </c>
      <c r="AJ933" t="s">
        <v>162</v>
      </c>
      <c r="AK933" t="s">
        <v>176</v>
      </c>
      <c r="AL933">
        <v>0</v>
      </c>
      <c r="AM933" t="s">
        <v>176</v>
      </c>
      <c r="AN933">
        <v>0</v>
      </c>
    </row>
    <row r="934" spans="1:40" x14ac:dyDescent="0.15">
      <c r="A934" s="4" t="str">
        <f>HYPERLINK("https://ibp.a2mac1.com/costing(costing:projects/details/9760/process/12085300)","Injection molding")</f>
        <v>Injection molding</v>
      </c>
      <c r="C934">
        <v>12085300</v>
      </c>
      <c r="D934">
        <v>8415961</v>
      </c>
      <c r="E934">
        <v>2.1229068E-2</v>
      </c>
      <c r="F934">
        <v>0</v>
      </c>
      <c r="G934">
        <v>0</v>
      </c>
      <c r="H934">
        <v>1.0768830484210526E-4</v>
      </c>
      <c r="I934" t="s">
        <v>176</v>
      </c>
      <c r="J934">
        <v>7.4487957894736839E-4</v>
      </c>
      <c r="K934">
        <v>2.2081635883789474E-2</v>
      </c>
      <c r="L934">
        <v>9.42055555662452E-5</v>
      </c>
      <c r="M934">
        <v>5.6523333339747125E-4</v>
      </c>
      <c r="N934">
        <v>2.2646869217186946E-2</v>
      </c>
      <c r="O934" t="s">
        <v>177</v>
      </c>
      <c r="P934">
        <v>1.3248981530273685E-3</v>
      </c>
      <c r="Q934" t="s">
        <v>177</v>
      </c>
      <c r="R934">
        <v>3.3914000003848275E-5</v>
      </c>
      <c r="S934" t="s">
        <v>178</v>
      </c>
      <c r="T934">
        <v>2.7176243060624333E-3</v>
      </c>
      <c r="U934">
        <v>2.6723305676280593E-2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60</v>
      </c>
      <c r="AB934">
        <v>4</v>
      </c>
      <c r="AC934">
        <v>0.5</v>
      </c>
      <c r="AD934">
        <v>0.50345253019720215</v>
      </c>
      <c r="AE934">
        <v>21.6</v>
      </c>
      <c r="AF934">
        <v>200000</v>
      </c>
      <c r="AG934">
        <v>16666.666666666668</v>
      </c>
      <c r="AH934">
        <v>1</v>
      </c>
      <c r="AI934">
        <v>1</v>
      </c>
      <c r="AJ934" t="s">
        <v>162</v>
      </c>
      <c r="AK934" t="s">
        <v>176</v>
      </c>
      <c r="AL934">
        <v>0</v>
      </c>
      <c r="AM934" t="s">
        <v>176</v>
      </c>
      <c r="AN934">
        <v>0</v>
      </c>
    </row>
    <row r="935" spans="1:40" x14ac:dyDescent="0.15">
      <c r="A935" s="4" t="str">
        <f>HYPERLINK("https://ibp.a2mac1.com/costing(costing:projects/details/9760/process/12085601)","Injection molding")</f>
        <v>Injection molding</v>
      </c>
      <c r="B935" t="s">
        <v>5321</v>
      </c>
      <c r="C935">
        <v>12085601</v>
      </c>
      <c r="D935">
        <v>8416298</v>
      </c>
      <c r="E935">
        <v>4.9719123711340206E-2</v>
      </c>
      <c r="F935">
        <v>0</v>
      </c>
      <c r="G935">
        <v>0</v>
      </c>
      <c r="H935">
        <v>1.0257525773195877E-4</v>
      </c>
      <c r="I935" t="s">
        <v>176</v>
      </c>
      <c r="J935">
        <v>1.7427835051546392E-3</v>
      </c>
      <c r="K935">
        <v>5.1564482474226805E-2</v>
      </c>
      <c r="L935">
        <v>1.0292288890212213E-2</v>
      </c>
      <c r="M935">
        <v>6.1753733341273279E-2</v>
      </c>
      <c r="N935">
        <v>0.11331821581550008</v>
      </c>
      <c r="O935" t="s">
        <v>1326</v>
      </c>
      <c r="P935">
        <v>2.0625792989690723E-3</v>
      </c>
      <c r="Q935" t="s">
        <v>1326</v>
      </c>
      <c r="R935">
        <v>2.4701493336509311E-3</v>
      </c>
      <c r="S935" t="s">
        <v>177</v>
      </c>
      <c r="T935">
        <v>6.7990929489300045E-3</v>
      </c>
      <c r="U935">
        <v>0.12465003739705009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19.215890000000002</v>
      </c>
      <c r="AB935">
        <v>2</v>
      </c>
      <c r="AC935">
        <v>0.1</v>
      </c>
      <c r="AD935">
        <v>0.20557651238448796</v>
      </c>
      <c r="AE935">
        <v>10800</v>
      </c>
      <c r="AF935">
        <v>200000</v>
      </c>
      <c r="AG935">
        <v>16666.666666666668</v>
      </c>
      <c r="AH935">
        <v>1</v>
      </c>
      <c r="AI935">
        <v>1</v>
      </c>
      <c r="AJ935" t="s">
        <v>162</v>
      </c>
      <c r="AK935" t="s">
        <v>176</v>
      </c>
      <c r="AL935">
        <v>0</v>
      </c>
      <c r="AM935" t="s">
        <v>176</v>
      </c>
      <c r="AN935">
        <v>0</v>
      </c>
    </row>
    <row r="936" spans="1:40" x14ac:dyDescent="0.15">
      <c r="A936" s="4" t="str">
        <f>HYPERLINK("https://ibp.a2mac1.com/costing(costing:projects/details/9760/process/12085602)","Handling/Visual Inspection/Packaging")</f>
        <v>Handling/Visual Inspection/Packaging</v>
      </c>
      <c r="C936">
        <v>12085602</v>
      </c>
      <c r="D936">
        <v>8416298</v>
      </c>
      <c r="E936">
        <v>0</v>
      </c>
      <c r="F936">
        <v>0</v>
      </c>
      <c r="G936">
        <v>0</v>
      </c>
      <c r="H936">
        <v>0</v>
      </c>
      <c r="I936" t="s">
        <v>176</v>
      </c>
      <c r="J936">
        <v>0</v>
      </c>
      <c r="K936">
        <v>0</v>
      </c>
      <c r="L936">
        <v>2.8759505147669608E-3</v>
      </c>
      <c r="M936">
        <v>1.7255703088601766E-2</v>
      </c>
      <c r="N936">
        <v>1.7255703088601766E-2</v>
      </c>
      <c r="O936" t="s">
        <v>1326</v>
      </c>
      <c r="P936">
        <v>0</v>
      </c>
      <c r="Q936" t="s">
        <v>1326</v>
      </c>
      <c r="R936">
        <v>6.9022812354407057E-4</v>
      </c>
      <c r="S936" t="s">
        <v>177</v>
      </c>
      <c r="T936">
        <v>1.0353421853161059E-3</v>
      </c>
      <c r="U936">
        <v>1.8981273397461942E-2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10</v>
      </c>
      <c r="AB936">
        <v>1</v>
      </c>
      <c r="AC936">
        <v>0.1</v>
      </c>
      <c r="AD936">
        <v>0.10389195236953569</v>
      </c>
      <c r="AE936">
        <v>900</v>
      </c>
      <c r="AF936">
        <v>200000</v>
      </c>
      <c r="AG936">
        <v>16666.666666666668</v>
      </c>
      <c r="AH936">
        <v>1</v>
      </c>
      <c r="AI936">
        <v>1</v>
      </c>
      <c r="AJ936" t="s">
        <v>162</v>
      </c>
      <c r="AK936" t="s">
        <v>176</v>
      </c>
      <c r="AL936">
        <v>0</v>
      </c>
      <c r="AM936" t="s">
        <v>176</v>
      </c>
      <c r="AN936">
        <v>0</v>
      </c>
    </row>
    <row r="937" spans="1:40" x14ac:dyDescent="0.15">
      <c r="A937" s="4" t="str">
        <f>HYPERLINK("https://ibp.a2mac1.com/costing(costing:projects/details/9760/process/12085603)","Injection molding")</f>
        <v>Injection molding</v>
      </c>
      <c r="B937" t="s">
        <v>5329</v>
      </c>
      <c r="C937">
        <v>12085603</v>
      </c>
      <c r="D937">
        <v>8416299</v>
      </c>
      <c r="E937">
        <v>2.6393988716494846E-2</v>
      </c>
      <c r="F937">
        <v>0</v>
      </c>
      <c r="G937">
        <v>0</v>
      </c>
      <c r="H937">
        <v>5.4453296701030927E-5</v>
      </c>
      <c r="I937" t="s">
        <v>176</v>
      </c>
      <c r="J937">
        <v>9.2517737113402066E-4</v>
      </c>
      <c r="K937">
        <v>2.7373619384329896E-2</v>
      </c>
      <c r="L937">
        <v>8.5600226222615049E-3</v>
      </c>
      <c r="M937">
        <v>5.1360135733569026E-2</v>
      </c>
      <c r="N937">
        <v>7.8733755117898929E-2</v>
      </c>
      <c r="O937" t="s">
        <v>177</v>
      </c>
      <c r="P937">
        <v>1.6424171630597937E-3</v>
      </c>
      <c r="Q937" t="s">
        <v>177</v>
      </c>
      <c r="R937">
        <v>3.0816081440141418E-3</v>
      </c>
      <c r="S937" t="s">
        <v>178</v>
      </c>
      <c r="T937">
        <v>9.448050614147871E-3</v>
      </c>
      <c r="U937">
        <v>9.2905831039120729E-2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15.44525</v>
      </c>
      <c r="AB937">
        <v>2</v>
      </c>
      <c r="AC937">
        <v>0.1</v>
      </c>
      <c r="AD937">
        <v>0.20557651238448796</v>
      </c>
      <c r="AE937">
        <v>10800</v>
      </c>
      <c r="AF937">
        <v>200000</v>
      </c>
      <c r="AG937">
        <v>16666.666666666668</v>
      </c>
      <c r="AH937">
        <v>1</v>
      </c>
      <c r="AI937">
        <v>1</v>
      </c>
      <c r="AJ937" t="s">
        <v>162</v>
      </c>
      <c r="AK937" t="s">
        <v>176</v>
      </c>
      <c r="AL937">
        <v>0</v>
      </c>
      <c r="AM937" t="s">
        <v>176</v>
      </c>
      <c r="AN937">
        <v>0</v>
      </c>
    </row>
    <row r="938" spans="1:40" x14ac:dyDescent="0.15">
      <c r="A938" s="4" t="str">
        <f>HYPERLINK("https://ibp.a2mac1.com/costing(costing:projects/details/9760/process/12085604)","Handling/Visual Inspection/Packaging")</f>
        <v>Handling/Visual Inspection/Packaging</v>
      </c>
      <c r="C938">
        <v>12085604</v>
      </c>
      <c r="D938">
        <v>8416299</v>
      </c>
      <c r="E938">
        <v>0</v>
      </c>
      <c r="F938">
        <v>0</v>
      </c>
      <c r="G938">
        <v>0</v>
      </c>
      <c r="H938">
        <v>0</v>
      </c>
      <c r="I938" t="s">
        <v>176</v>
      </c>
      <c r="J938">
        <v>0</v>
      </c>
      <c r="K938">
        <v>0</v>
      </c>
      <c r="L938">
        <v>2.8759505147669608E-3</v>
      </c>
      <c r="M938">
        <v>1.7255703088601766E-2</v>
      </c>
      <c r="N938">
        <v>1.7255703088601766E-2</v>
      </c>
      <c r="O938" t="s">
        <v>177</v>
      </c>
      <c r="P938">
        <v>0</v>
      </c>
      <c r="Q938" t="s">
        <v>177</v>
      </c>
      <c r="R938">
        <v>1.0353421853161059E-3</v>
      </c>
      <c r="S938" t="s">
        <v>178</v>
      </c>
      <c r="T938">
        <v>2.0706843706322117E-3</v>
      </c>
      <c r="U938">
        <v>2.0361729644550082E-2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10</v>
      </c>
      <c r="AB938">
        <v>1</v>
      </c>
      <c r="AC938">
        <v>0.1</v>
      </c>
      <c r="AD938">
        <v>0.10389195236953569</v>
      </c>
      <c r="AE938">
        <v>900</v>
      </c>
      <c r="AF938">
        <v>200000</v>
      </c>
      <c r="AG938">
        <v>16666.666666666668</v>
      </c>
      <c r="AH938">
        <v>1</v>
      </c>
      <c r="AI938">
        <v>1</v>
      </c>
      <c r="AJ938" t="s">
        <v>162</v>
      </c>
      <c r="AK938" t="s">
        <v>176</v>
      </c>
      <c r="AL938">
        <v>0</v>
      </c>
      <c r="AM938" t="s">
        <v>176</v>
      </c>
      <c r="AN938">
        <v>0</v>
      </c>
    </row>
    <row r="939" spans="1:40" x14ac:dyDescent="0.15">
      <c r="A939" s="4" t="str">
        <f>HYPERLINK("https://ibp.a2mac1.com/costing(costing:projects/details/9760/process/12085605)","Seal Extrusion (Multi Layer)")</f>
        <v>Seal Extrusion (Multi Layer)</v>
      </c>
      <c r="C939">
        <v>12085605</v>
      </c>
      <c r="D939">
        <v>8416300</v>
      </c>
      <c r="E939">
        <v>3.9120183184210524</v>
      </c>
      <c r="F939">
        <v>0</v>
      </c>
      <c r="G939">
        <v>0</v>
      </c>
      <c r="H939">
        <v>8.0817789894736848E-3</v>
      </c>
      <c r="I939" t="s">
        <v>176</v>
      </c>
      <c r="J939">
        <v>0.13731177894736843</v>
      </c>
      <c r="K939">
        <v>4.0574118763578948</v>
      </c>
      <c r="L939">
        <v>0.11042432234335599</v>
      </c>
      <c r="M939">
        <v>0.66254593406013595</v>
      </c>
      <c r="N939">
        <v>4.7199578104180304</v>
      </c>
      <c r="O939" t="s">
        <v>177</v>
      </c>
      <c r="P939">
        <v>0.24344471258147368</v>
      </c>
      <c r="Q939" t="s">
        <v>177</v>
      </c>
      <c r="R939">
        <v>3.9752756043608152E-2</v>
      </c>
      <c r="S939" t="s">
        <v>178</v>
      </c>
      <c r="T939">
        <v>0.56639493725016365</v>
      </c>
      <c r="U939">
        <v>5.5695502162932762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45</v>
      </c>
      <c r="AB939">
        <v>1</v>
      </c>
      <c r="AC939">
        <v>0.1</v>
      </c>
      <c r="AD939">
        <v>0.20557651238448796</v>
      </c>
      <c r="AE939">
        <v>1800</v>
      </c>
      <c r="AF939">
        <v>200000</v>
      </c>
      <c r="AG939">
        <v>16666.666666666668</v>
      </c>
      <c r="AH939">
        <v>1</v>
      </c>
      <c r="AI939">
        <v>1</v>
      </c>
      <c r="AJ939" t="s">
        <v>162</v>
      </c>
      <c r="AK939" t="s">
        <v>176</v>
      </c>
      <c r="AL939">
        <v>0</v>
      </c>
      <c r="AM939" t="s">
        <v>176</v>
      </c>
      <c r="AN939">
        <v>0</v>
      </c>
    </row>
    <row r="940" spans="1:40" x14ac:dyDescent="0.15">
      <c r="A940" s="4" t="str">
        <f>HYPERLINK("https://ibp.a2mac1.com/costing(costing:projects/details/9760/process/12085606)","End Glueing/Vulcanizing; Check and Pack")</f>
        <v>End Glueing/Vulcanizing; Check and Pack</v>
      </c>
      <c r="C940">
        <v>12085606</v>
      </c>
      <c r="D940">
        <v>8416300</v>
      </c>
      <c r="E940">
        <v>0</v>
      </c>
      <c r="F940">
        <v>0</v>
      </c>
      <c r="G940">
        <v>0</v>
      </c>
      <c r="H940">
        <v>0</v>
      </c>
      <c r="I940" t="s">
        <v>176</v>
      </c>
      <c r="J940">
        <v>0</v>
      </c>
      <c r="K940">
        <v>0</v>
      </c>
      <c r="L940">
        <v>1.5680387065327164E-2</v>
      </c>
      <c r="M940">
        <v>9.4082322391962986E-2</v>
      </c>
      <c r="N940">
        <v>9.4082322391962986E-2</v>
      </c>
      <c r="O940" t="s">
        <v>177</v>
      </c>
      <c r="P940">
        <v>0</v>
      </c>
      <c r="Q940" t="s">
        <v>177</v>
      </c>
      <c r="R940">
        <v>5.6449393435177792E-3</v>
      </c>
      <c r="S940" t="s">
        <v>178</v>
      </c>
      <c r="T940">
        <v>1.1289878687035558E-2</v>
      </c>
      <c r="U940">
        <v>0.11101714042251631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30</v>
      </c>
      <c r="AB940">
        <v>1</v>
      </c>
      <c r="AC940">
        <v>0.1</v>
      </c>
      <c r="AD940">
        <v>0.10389195236953569</v>
      </c>
      <c r="AE940">
        <v>600</v>
      </c>
      <c r="AF940">
        <v>200000</v>
      </c>
      <c r="AG940">
        <v>16666.666666666668</v>
      </c>
      <c r="AH940">
        <v>1</v>
      </c>
      <c r="AI940">
        <v>1</v>
      </c>
      <c r="AJ940" t="s">
        <v>162</v>
      </c>
      <c r="AK940" t="s">
        <v>176</v>
      </c>
      <c r="AL940">
        <v>0</v>
      </c>
      <c r="AM940" t="s">
        <v>176</v>
      </c>
      <c r="AN940">
        <v>0</v>
      </c>
    </row>
    <row r="941" spans="1:40" x14ac:dyDescent="0.15">
      <c r="A941" s="4" t="str">
        <f>HYPERLINK("https://ibp.a2mac1.com/costing(costing:projects/details/9760/process/12085607)","Seal Extrusion (Multi Layer)")</f>
        <v>Seal Extrusion (Multi Layer)</v>
      </c>
      <c r="C941">
        <v>12085607</v>
      </c>
      <c r="D941">
        <v>8416301</v>
      </c>
      <c r="E941">
        <v>0.63794658900000001</v>
      </c>
      <c r="F941">
        <v>0</v>
      </c>
      <c r="G941">
        <v>0</v>
      </c>
      <c r="H941">
        <v>6.6512727073684207E-4</v>
      </c>
      <c r="I941" t="s">
        <v>176</v>
      </c>
      <c r="J941">
        <v>2.2384090842105263E-2</v>
      </c>
      <c r="K941">
        <v>0.66099580711284212</v>
      </c>
      <c r="L941">
        <v>0.11031192108116587</v>
      </c>
      <c r="M941">
        <v>0.66187152648699521</v>
      </c>
      <c r="N941">
        <v>1.3228673335998373</v>
      </c>
      <c r="O941" t="s">
        <v>177</v>
      </c>
      <c r="P941">
        <v>3.9659748426770523E-2</v>
      </c>
      <c r="Q941" t="s">
        <v>177</v>
      </c>
      <c r="R941">
        <v>3.9712291589219711E-2</v>
      </c>
      <c r="S941" t="s">
        <v>178</v>
      </c>
      <c r="T941">
        <v>0.15874408003198048</v>
      </c>
      <c r="U941">
        <v>1.560983453647808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45</v>
      </c>
      <c r="AB941">
        <v>1</v>
      </c>
      <c r="AC941">
        <v>0.1</v>
      </c>
      <c r="AD941">
        <v>0.10389195236953569</v>
      </c>
      <c r="AE941">
        <v>1800</v>
      </c>
      <c r="AF941">
        <v>200000</v>
      </c>
      <c r="AG941">
        <v>16666.666666666668</v>
      </c>
      <c r="AH941">
        <v>1</v>
      </c>
      <c r="AI941">
        <v>1</v>
      </c>
      <c r="AJ941" t="s">
        <v>162</v>
      </c>
      <c r="AK941" t="s">
        <v>176</v>
      </c>
      <c r="AL941">
        <v>0</v>
      </c>
      <c r="AM941" t="s">
        <v>176</v>
      </c>
      <c r="AN941">
        <v>0</v>
      </c>
    </row>
    <row r="942" spans="1:40" x14ac:dyDescent="0.15">
      <c r="A942" s="4" t="str">
        <f>HYPERLINK("https://ibp.a2mac1.com/costing(costing:projects/details/9760/process/12085608)","Seal Extrusion (Multi Layer)")</f>
        <v>Seal Extrusion (Multi Layer)</v>
      </c>
      <c r="C942">
        <v>12085608</v>
      </c>
      <c r="D942">
        <v>8416302</v>
      </c>
      <c r="E942">
        <v>0.30273557184210526</v>
      </c>
      <c r="F942">
        <v>0</v>
      </c>
      <c r="G942">
        <v>0</v>
      </c>
      <c r="H942">
        <v>3.1692927157894735E-4</v>
      </c>
      <c r="I942" t="s">
        <v>176</v>
      </c>
      <c r="J942">
        <v>1.0665888947368422E-2</v>
      </c>
      <c r="K942">
        <v>0.31371839006105262</v>
      </c>
      <c r="L942">
        <v>0.11031192108116587</v>
      </c>
      <c r="M942">
        <v>0.66187152648699521</v>
      </c>
      <c r="N942">
        <v>0.97558991654804783</v>
      </c>
      <c r="O942" t="s">
        <v>177</v>
      </c>
      <c r="P942">
        <v>1.8823103403663159E-2</v>
      </c>
      <c r="Q942" t="s">
        <v>177</v>
      </c>
      <c r="R942">
        <v>3.9712291589219711E-2</v>
      </c>
      <c r="S942" t="s">
        <v>178</v>
      </c>
      <c r="T942">
        <v>0.11707078998576574</v>
      </c>
      <c r="U942">
        <v>1.1511961015266965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45</v>
      </c>
      <c r="AB942">
        <v>1</v>
      </c>
      <c r="AC942">
        <v>0.1</v>
      </c>
      <c r="AD942">
        <v>0.10389195236953569</v>
      </c>
      <c r="AE942">
        <v>1800</v>
      </c>
      <c r="AF942">
        <v>200000</v>
      </c>
      <c r="AG942">
        <v>16666.666666666668</v>
      </c>
      <c r="AH942">
        <v>1</v>
      </c>
      <c r="AI942">
        <v>1</v>
      </c>
      <c r="AJ942" t="s">
        <v>162</v>
      </c>
      <c r="AK942" t="s">
        <v>176</v>
      </c>
      <c r="AL942">
        <v>0</v>
      </c>
      <c r="AM942" t="s">
        <v>176</v>
      </c>
      <c r="AN942">
        <v>0</v>
      </c>
    </row>
    <row r="943" spans="1:40" x14ac:dyDescent="0.15">
      <c r="A943" s="4" t="str">
        <f>HYPERLINK("https://ibp.a2mac1.com/costing(costing:projects/details/9760/process/12085301)","Seal Extrusion (Multi Layer)")</f>
        <v>Seal Extrusion (Multi Layer)</v>
      </c>
      <c r="C943">
        <v>12085301</v>
      </c>
      <c r="D943">
        <v>8415965</v>
      </c>
      <c r="E943">
        <v>1.1226339921052633</v>
      </c>
      <c r="F943">
        <v>0</v>
      </c>
      <c r="G943">
        <v>0</v>
      </c>
      <c r="H943">
        <v>1.1737034947368421E-3</v>
      </c>
      <c r="I943" t="s">
        <v>176</v>
      </c>
      <c r="J943">
        <v>3.9499636842105265E-2</v>
      </c>
      <c r="K943">
        <v>1.1633073324421053</v>
      </c>
      <c r="L943">
        <v>4.918855572128588E-2</v>
      </c>
      <c r="M943">
        <v>0.29513133432771527</v>
      </c>
      <c r="N943">
        <v>1.4584386667698206</v>
      </c>
      <c r="O943" t="s">
        <v>177</v>
      </c>
      <c r="P943">
        <v>6.9798439946526319E-2</v>
      </c>
      <c r="Q943" t="s">
        <v>177</v>
      </c>
      <c r="R943">
        <v>1.7707880059662916E-2</v>
      </c>
      <c r="S943" t="s">
        <v>178</v>
      </c>
      <c r="T943">
        <v>0.17501264001237846</v>
      </c>
      <c r="U943">
        <v>1.7209576267883882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20</v>
      </c>
      <c r="AB943">
        <v>1</v>
      </c>
      <c r="AC943">
        <v>0.1</v>
      </c>
      <c r="AD943">
        <v>0.10389195236953569</v>
      </c>
      <c r="AE943">
        <v>1800</v>
      </c>
      <c r="AF943">
        <v>200000</v>
      </c>
      <c r="AG943">
        <v>16666.666666666668</v>
      </c>
      <c r="AH943">
        <v>1</v>
      </c>
      <c r="AI943">
        <v>1</v>
      </c>
      <c r="AJ943" t="s">
        <v>162</v>
      </c>
      <c r="AK943" t="s">
        <v>176</v>
      </c>
      <c r="AL943">
        <v>0</v>
      </c>
      <c r="AM943" t="s">
        <v>176</v>
      </c>
      <c r="AN943">
        <v>0</v>
      </c>
    </row>
    <row r="944" spans="1:40" x14ac:dyDescent="0.15">
      <c r="A944" s="4" t="str">
        <f>HYPERLINK("https://ibp.a2mac1.com/costing(costing:projects/details/9760/process/12085302)","Seal Extrusion (Multi Layer)")</f>
        <v>Seal Extrusion (Multi Layer)</v>
      </c>
      <c r="C944">
        <v>12085302</v>
      </c>
      <c r="D944">
        <v>8415966</v>
      </c>
      <c r="E944">
        <v>0.71533903249999997</v>
      </c>
      <c r="F944">
        <v>0</v>
      </c>
      <c r="G944">
        <v>0</v>
      </c>
      <c r="H944">
        <v>7.4889321684210529E-4</v>
      </c>
      <c r="I944" t="s">
        <v>176</v>
      </c>
      <c r="J944">
        <v>2.5203137105263156E-2</v>
      </c>
      <c r="K944">
        <v>0.74129106282210522</v>
      </c>
      <c r="L944">
        <v>3.696388264930988E-2</v>
      </c>
      <c r="M944">
        <v>0.22178329589585927</v>
      </c>
      <c r="N944">
        <v>0.96307435871796454</v>
      </c>
      <c r="O944" t="s">
        <v>177</v>
      </c>
      <c r="P944">
        <v>4.4477463769326313E-2</v>
      </c>
      <c r="Q944" t="s">
        <v>177</v>
      </c>
      <c r="R944">
        <v>1.3306997753751557E-2</v>
      </c>
      <c r="S944" t="s">
        <v>178</v>
      </c>
      <c r="T944">
        <v>0.11556892304615575</v>
      </c>
      <c r="U944">
        <v>1.1364277432871981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15</v>
      </c>
      <c r="AB944">
        <v>1</v>
      </c>
      <c r="AC944">
        <v>0.1</v>
      </c>
      <c r="AD944">
        <v>0.10389195236953569</v>
      </c>
      <c r="AE944">
        <v>1800</v>
      </c>
      <c r="AF944">
        <v>200000</v>
      </c>
      <c r="AG944">
        <v>16666.666666666668</v>
      </c>
      <c r="AH944">
        <v>1</v>
      </c>
      <c r="AI944">
        <v>1</v>
      </c>
      <c r="AJ944" t="s">
        <v>162</v>
      </c>
      <c r="AK944" t="s">
        <v>176</v>
      </c>
      <c r="AL944">
        <v>0</v>
      </c>
      <c r="AM944" t="s">
        <v>176</v>
      </c>
      <c r="AN944">
        <v>0</v>
      </c>
    </row>
    <row r="945" spans="1:40" x14ac:dyDescent="0.15">
      <c r="A945" s="4" t="str">
        <f>HYPERLINK("https://ibp.a2mac1.com/costing(costing:projects/details/9760/process/12085303)","Aluminum extrusion")</f>
        <v>Aluminum extrusion</v>
      </c>
      <c r="C945">
        <v>12085303</v>
      </c>
      <c r="D945">
        <v>8415967</v>
      </c>
      <c r="E945">
        <v>0.17690338931319882</v>
      </c>
      <c r="F945">
        <v>0</v>
      </c>
      <c r="G945">
        <v>0</v>
      </c>
      <c r="H945">
        <v>1.8708249383675253E-4</v>
      </c>
      <c r="I945" t="s">
        <v>176</v>
      </c>
      <c r="J945">
        <v>6.2960454656599413E-3</v>
      </c>
      <c r="K945">
        <v>0.1833865172726955</v>
      </c>
      <c r="L945">
        <v>3.4581168742771451E-2</v>
      </c>
      <c r="M945">
        <v>0.20748701245662871</v>
      </c>
      <c r="N945">
        <v>0.39087352972932421</v>
      </c>
      <c r="O945" t="s">
        <v>177</v>
      </c>
      <c r="P945">
        <v>1.100319103636173E-2</v>
      </c>
      <c r="Q945" t="s">
        <v>177</v>
      </c>
      <c r="R945">
        <v>1.2449220747397722E-2</v>
      </c>
      <c r="S945" t="s">
        <v>178</v>
      </c>
      <c r="T945">
        <v>4.6904823567518905E-2</v>
      </c>
      <c r="U945">
        <v>0.46123076508060257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3.1318199999999998</v>
      </c>
      <c r="AB945">
        <v>1</v>
      </c>
      <c r="AC945">
        <v>0.1</v>
      </c>
      <c r="AD945">
        <v>0.10389195236953569</v>
      </c>
      <c r="AE945">
        <v>360</v>
      </c>
      <c r="AF945">
        <v>200000</v>
      </c>
      <c r="AG945">
        <v>16666.666666666668</v>
      </c>
      <c r="AH945">
        <v>1</v>
      </c>
      <c r="AI945">
        <v>1</v>
      </c>
      <c r="AJ945" t="s">
        <v>162</v>
      </c>
      <c r="AK945" t="s">
        <v>176</v>
      </c>
      <c r="AL945">
        <v>0</v>
      </c>
      <c r="AM945" t="s">
        <v>176</v>
      </c>
      <c r="AN945">
        <v>0</v>
      </c>
    </row>
    <row r="946" spans="1:40" x14ac:dyDescent="0.15">
      <c r="A946" s="4" t="str">
        <f>HYPERLINK("https://ibp.a2mac1.com/costing(costing:projects/details/9760/process/12085304)","Process")</f>
        <v>Process</v>
      </c>
      <c r="C946">
        <v>12085304</v>
      </c>
      <c r="D946">
        <v>8415970</v>
      </c>
      <c r="E946">
        <v>0</v>
      </c>
      <c r="F946">
        <v>0</v>
      </c>
      <c r="G946">
        <v>0</v>
      </c>
      <c r="H946">
        <v>0</v>
      </c>
      <c r="I946" t="s">
        <v>176</v>
      </c>
      <c r="J946">
        <v>0</v>
      </c>
      <c r="K946">
        <v>0</v>
      </c>
      <c r="L946">
        <v>0.17352694491359211</v>
      </c>
      <c r="M946">
        <v>0.60734430719757238</v>
      </c>
      <c r="N946">
        <v>0.60734430719757238</v>
      </c>
      <c r="O946" t="s">
        <v>90</v>
      </c>
      <c r="P946">
        <v>0</v>
      </c>
      <c r="Q946" t="s">
        <v>90</v>
      </c>
      <c r="R946">
        <v>0</v>
      </c>
      <c r="S946" t="s">
        <v>90</v>
      </c>
      <c r="T946">
        <v>0</v>
      </c>
      <c r="U946">
        <v>0.60734430719757238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80</v>
      </c>
      <c r="AB946">
        <v>1</v>
      </c>
      <c r="AC946">
        <v>0</v>
      </c>
      <c r="AD946">
        <v>0</v>
      </c>
      <c r="AE946">
        <v>216</v>
      </c>
      <c r="AF946">
        <v>200000</v>
      </c>
      <c r="AG946">
        <v>10000</v>
      </c>
      <c r="AH946">
        <v>1</v>
      </c>
      <c r="AI946">
        <v>1</v>
      </c>
      <c r="AJ946" t="s">
        <v>76</v>
      </c>
      <c r="AK946" t="s">
        <v>176</v>
      </c>
      <c r="AL946">
        <v>0</v>
      </c>
      <c r="AM946" t="s">
        <v>176</v>
      </c>
      <c r="AN946">
        <v>0</v>
      </c>
    </row>
    <row r="947" spans="1:40" x14ac:dyDescent="0.15">
      <c r="A947" s="4" t="str">
        <f>HYPERLINK("https://ibp.a2mac1.com/costing(costing:projects/details/9760/process/12085609)","Process")</f>
        <v>Process</v>
      </c>
      <c r="B947" t="s">
        <v>5424</v>
      </c>
      <c r="C947">
        <v>12085609</v>
      </c>
      <c r="D947">
        <v>8416303</v>
      </c>
      <c r="E947">
        <v>10.904400000000001</v>
      </c>
      <c r="F947">
        <v>0</v>
      </c>
      <c r="G947">
        <v>0</v>
      </c>
      <c r="H947">
        <v>5.5176264000000003E-2</v>
      </c>
      <c r="I947" t="s">
        <v>176</v>
      </c>
      <c r="J947">
        <v>0.38165399999999999</v>
      </c>
      <c r="K947">
        <v>11.341230264</v>
      </c>
      <c r="L947">
        <v>1.325155021220132</v>
      </c>
      <c r="M947">
        <v>7.9509301273207917</v>
      </c>
      <c r="N947">
        <v>19.292160391320792</v>
      </c>
      <c r="O947" t="s">
        <v>90</v>
      </c>
      <c r="P947">
        <v>0</v>
      </c>
      <c r="Q947" t="s">
        <v>90</v>
      </c>
      <c r="R947">
        <v>0</v>
      </c>
      <c r="S947" t="s">
        <v>90</v>
      </c>
      <c r="T947">
        <v>0</v>
      </c>
      <c r="U947">
        <v>19.292160391320792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749</v>
      </c>
      <c r="AB947">
        <v>1</v>
      </c>
      <c r="AC947">
        <v>0.5</v>
      </c>
      <c r="AD947">
        <v>0.50345253019720215</v>
      </c>
      <c r="AE947">
        <v>10800</v>
      </c>
      <c r="AF947">
        <v>200000</v>
      </c>
      <c r="AG947">
        <v>16666.666666666668</v>
      </c>
      <c r="AH947">
        <v>1</v>
      </c>
      <c r="AI947">
        <v>1</v>
      </c>
      <c r="AJ947" t="s">
        <v>162</v>
      </c>
      <c r="AK947" t="s">
        <v>176</v>
      </c>
      <c r="AL947">
        <v>0</v>
      </c>
      <c r="AM947" t="s">
        <v>176</v>
      </c>
      <c r="AN947">
        <v>0</v>
      </c>
    </row>
    <row r="948" spans="1:40" x14ac:dyDescent="0.15">
      <c r="A948" s="4" t="str">
        <f>HYPERLINK("https://ibp.a2mac1.com/costing(costing:projects/details/9760/process/12085610)","Injection molding")</f>
        <v>Injection molding</v>
      </c>
      <c r="C948">
        <v>12085610</v>
      </c>
      <c r="D948">
        <v>8416304</v>
      </c>
      <c r="E948">
        <v>3.1301087999999998E-2</v>
      </c>
      <c r="F948">
        <v>0</v>
      </c>
      <c r="G948">
        <v>0</v>
      </c>
      <c r="H948">
        <v>1.5878045642105264E-4</v>
      </c>
      <c r="I948" t="s">
        <v>176</v>
      </c>
      <c r="J948">
        <v>1.0982837894736842E-3</v>
      </c>
      <c r="K948">
        <v>3.2558152245894735E-2</v>
      </c>
      <c r="L948">
        <v>3.0171767124431421E-4</v>
      </c>
      <c r="M948">
        <v>1.8103060274658853E-3</v>
      </c>
      <c r="N948">
        <v>3.4368458273360623E-2</v>
      </c>
      <c r="O948" t="s">
        <v>177</v>
      </c>
      <c r="P948">
        <v>1.953489134753684E-3</v>
      </c>
      <c r="Q948" t="s">
        <v>177</v>
      </c>
      <c r="R948">
        <v>1.0861836164795312E-4</v>
      </c>
      <c r="S948" t="s">
        <v>178</v>
      </c>
      <c r="T948">
        <v>4.1242149928032747E-3</v>
      </c>
      <c r="U948">
        <v>4.0554780762565537E-2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60</v>
      </c>
      <c r="AB948">
        <v>1</v>
      </c>
      <c r="AC948">
        <v>0.5</v>
      </c>
      <c r="AD948">
        <v>0.50345253019720215</v>
      </c>
      <c r="AE948">
        <v>17.55</v>
      </c>
      <c r="AF948">
        <v>200000</v>
      </c>
      <c r="AG948">
        <v>16666.666666666668</v>
      </c>
      <c r="AH948">
        <v>1</v>
      </c>
      <c r="AI948">
        <v>1</v>
      </c>
      <c r="AJ948" t="s">
        <v>162</v>
      </c>
      <c r="AK948" t="s">
        <v>176</v>
      </c>
      <c r="AL948">
        <v>0</v>
      </c>
      <c r="AM948" t="s">
        <v>176</v>
      </c>
      <c r="AN948">
        <v>0</v>
      </c>
    </row>
    <row r="949" spans="1:40" x14ac:dyDescent="0.15">
      <c r="A949" s="4" t="str">
        <f>HYPERLINK("https://ibp.a2mac1.com/costing(costing:projects/details/9760/process/12085611)","Injection molding")</f>
        <v>Injection molding</v>
      </c>
      <c r="B949" t="s">
        <v>5439</v>
      </c>
      <c r="C949">
        <v>12085611</v>
      </c>
      <c r="D949">
        <v>8416305</v>
      </c>
      <c r="E949">
        <v>0.14999578173195877</v>
      </c>
      <c r="F949">
        <v>0</v>
      </c>
      <c r="G949">
        <v>0</v>
      </c>
      <c r="H949">
        <v>1.5622995793814433E-4</v>
      </c>
      <c r="I949" t="s">
        <v>176</v>
      </c>
      <c r="J949">
        <v>5.257738969072165E-3</v>
      </c>
      <c r="K949">
        <v>0.15540975065896906</v>
      </c>
      <c r="L949">
        <v>5.5561688591553356E-3</v>
      </c>
      <c r="M949">
        <v>3.333701315493201E-2</v>
      </c>
      <c r="N949">
        <v>0.1887467638139011</v>
      </c>
      <c r="O949" t="s">
        <v>177</v>
      </c>
      <c r="P949">
        <v>9.3245850395381451E-3</v>
      </c>
      <c r="Q949" t="s">
        <v>177</v>
      </c>
      <c r="R949">
        <v>2.0002207892959208E-3</v>
      </c>
      <c r="S949" t="s">
        <v>178</v>
      </c>
      <c r="T949">
        <v>2.2649611657668132E-2</v>
      </c>
      <c r="U949">
        <v>0.22272118130040328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15.961650000000001</v>
      </c>
      <c r="AB949">
        <v>1</v>
      </c>
      <c r="AC949">
        <v>0.1</v>
      </c>
      <c r="AD949">
        <v>0.10389195236953569</v>
      </c>
      <c r="AE949">
        <v>7200</v>
      </c>
      <c r="AF949">
        <v>200000</v>
      </c>
      <c r="AG949">
        <v>16666.666666666668</v>
      </c>
      <c r="AH949">
        <v>1</v>
      </c>
      <c r="AI949">
        <v>1</v>
      </c>
      <c r="AJ949" t="s">
        <v>162</v>
      </c>
      <c r="AK949" t="s">
        <v>176</v>
      </c>
      <c r="AL949">
        <v>0</v>
      </c>
      <c r="AM949" t="s">
        <v>176</v>
      </c>
      <c r="AN949">
        <v>0</v>
      </c>
    </row>
    <row r="950" spans="1:40" x14ac:dyDescent="0.15">
      <c r="A950" s="4" t="str">
        <f>HYPERLINK("https://ibp.a2mac1.com/costing(costing:projects/details/9760/process/12085612)","Coiling + End forming")</f>
        <v>Coiling + End forming</v>
      </c>
      <c r="C950">
        <v>12085612</v>
      </c>
      <c r="D950">
        <v>8416306</v>
      </c>
      <c r="E950">
        <v>1.2225999999999999E-3</v>
      </c>
      <c r="F950">
        <v>0</v>
      </c>
      <c r="G950">
        <v>0</v>
      </c>
      <c r="H950">
        <v>2.518556E-6</v>
      </c>
      <c r="I950" t="s">
        <v>176</v>
      </c>
      <c r="J950">
        <v>4.2790999999999997E-5</v>
      </c>
      <c r="K950">
        <v>1.267909556E-3</v>
      </c>
      <c r="L950">
        <v>2.1977139272874653E-2</v>
      </c>
      <c r="M950">
        <v>0.1318628356372479</v>
      </c>
      <c r="N950">
        <v>0.13313074519324791</v>
      </c>
      <c r="O950" t="s">
        <v>177</v>
      </c>
      <c r="P950">
        <v>7.6074573359999998E-5</v>
      </c>
      <c r="Q950" t="s">
        <v>177</v>
      </c>
      <c r="R950">
        <v>7.9117701382348752E-3</v>
      </c>
      <c r="S950" t="s">
        <v>178</v>
      </c>
      <c r="T950">
        <v>1.5975689423189748E-2</v>
      </c>
      <c r="U950">
        <v>0.15709427932803252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30</v>
      </c>
      <c r="AB950">
        <v>1</v>
      </c>
      <c r="AC950">
        <v>0.1</v>
      </c>
      <c r="AD950">
        <v>0.20557651238448796</v>
      </c>
      <c r="AE950">
        <v>900</v>
      </c>
      <c r="AF950">
        <v>200000</v>
      </c>
      <c r="AG950">
        <v>16666.666666666668</v>
      </c>
      <c r="AH950">
        <v>1</v>
      </c>
      <c r="AI950">
        <v>1</v>
      </c>
      <c r="AJ950" t="s">
        <v>162</v>
      </c>
      <c r="AK950" t="s">
        <v>176</v>
      </c>
      <c r="AL950">
        <v>0</v>
      </c>
      <c r="AM950" t="s">
        <v>176</v>
      </c>
      <c r="AN950">
        <v>0</v>
      </c>
    </row>
    <row r="951" spans="1:40" x14ac:dyDescent="0.15">
      <c r="A951" s="4" t="str">
        <f>HYPERLINK("https://ibp.a2mac1.com/costing(costing:projects/details/9760/process/12085613)","Heat treatment")</f>
        <v>Heat treatment</v>
      </c>
      <c r="C951">
        <v>12085613</v>
      </c>
      <c r="D951">
        <v>8416306</v>
      </c>
      <c r="E951">
        <v>0</v>
      </c>
      <c r="F951">
        <v>0</v>
      </c>
      <c r="G951">
        <v>0</v>
      </c>
      <c r="H951">
        <v>0</v>
      </c>
      <c r="I951" t="s">
        <v>176</v>
      </c>
      <c r="J951">
        <v>0</v>
      </c>
      <c r="K951">
        <v>0</v>
      </c>
      <c r="L951">
        <v>1.9147638098182394E-2</v>
      </c>
      <c r="M951">
        <v>0.11488582858909437</v>
      </c>
      <c r="N951">
        <v>0.11488582858909437</v>
      </c>
      <c r="O951" t="s">
        <v>177</v>
      </c>
      <c r="P951">
        <v>0</v>
      </c>
      <c r="Q951" t="s">
        <v>177</v>
      </c>
      <c r="R951">
        <v>6.8931497153456624E-3</v>
      </c>
      <c r="S951" t="s">
        <v>178</v>
      </c>
      <c r="T951">
        <v>1.3786299430691325E-2</v>
      </c>
      <c r="U951">
        <v>0.13556527773513136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3600</v>
      </c>
      <c r="AB951">
        <v>200</v>
      </c>
      <c r="AC951">
        <v>0.1</v>
      </c>
      <c r="AD951">
        <v>0.10389195236953569</v>
      </c>
      <c r="AE951">
        <v>1800</v>
      </c>
      <c r="AF951">
        <v>200000</v>
      </c>
      <c r="AG951">
        <v>16666.666666666668</v>
      </c>
      <c r="AH951">
        <v>1</v>
      </c>
      <c r="AI951">
        <v>1</v>
      </c>
      <c r="AJ951" t="s">
        <v>162</v>
      </c>
      <c r="AK951" t="s">
        <v>176</v>
      </c>
      <c r="AL951">
        <v>0</v>
      </c>
      <c r="AM951" t="s">
        <v>176</v>
      </c>
      <c r="AN951">
        <v>0</v>
      </c>
    </row>
    <row r="952" spans="1:40" x14ac:dyDescent="0.15">
      <c r="A952" s="4" t="str">
        <f>HYPERLINK("https://ibp.a2mac1.com/costing(costing:projects/details/9760/process/12085614)","Injection molding")</f>
        <v>Injection molding</v>
      </c>
      <c r="B952" t="s">
        <v>5456</v>
      </c>
      <c r="C952">
        <v>12085614</v>
      </c>
      <c r="D952">
        <v>8416309</v>
      </c>
      <c r="E952">
        <v>0.14999578173195877</v>
      </c>
      <c r="F952">
        <v>0</v>
      </c>
      <c r="G952">
        <v>0</v>
      </c>
      <c r="H952">
        <v>1.5622995793814433E-4</v>
      </c>
      <c r="I952" t="s">
        <v>176</v>
      </c>
      <c r="J952">
        <v>5.257738969072165E-3</v>
      </c>
      <c r="K952">
        <v>0.15540975065896906</v>
      </c>
      <c r="L952">
        <v>4.4634349952700726E-3</v>
      </c>
      <c r="M952">
        <v>2.6780609971620437E-2</v>
      </c>
      <c r="N952">
        <v>0.18219036063058952</v>
      </c>
      <c r="O952" t="s">
        <v>177</v>
      </c>
      <c r="P952">
        <v>9.3245850395381451E-3</v>
      </c>
      <c r="Q952" t="s">
        <v>177</v>
      </c>
      <c r="R952">
        <v>1.6068365982972262E-3</v>
      </c>
      <c r="S952" t="s">
        <v>178</v>
      </c>
      <c r="T952">
        <v>2.186284327567074E-2</v>
      </c>
      <c r="U952">
        <v>0.21498462554409561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12.36265</v>
      </c>
      <c r="AB952">
        <v>1</v>
      </c>
      <c r="AC952">
        <v>0.1</v>
      </c>
      <c r="AD952">
        <v>0.10389195236953569</v>
      </c>
      <c r="AE952">
        <v>7200</v>
      </c>
      <c r="AF952">
        <v>200000</v>
      </c>
      <c r="AG952">
        <v>16666.666666666668</v>
      </c>
      <c r="AH952">
        <v>1</v>
      </c>
      <c r="AI952">
        <v>1</v>
      </c>
      <c r="AJ952" t="s">
        <v>162</v>
      </c>
      <c r="AK952" t="s">
        <v>176</v>
      </c>
      <c r="AL952">
        <v>0</v>
      </c>
      <c r="AM952" t="s">
        <v>176</v>
      </c>
      <c r="AN952">
        <v>0</v>
      </c>
    </row>
    <row r="953" spans="1:40" x14ac:dyDescent="0.15">
      <c r="A953" s="4" t="str">
        <f>HYPERLINK("https://ibp.a2mac1.com/costing(costing:projects/details/9760/process/12085615)","Injection molding")</f>
        <v>Injection molding</v>
      </c>
      <c r="B953" t="s">
        <v>5463</v>
      </c>
      <c r="C953">
        <v>12085615</v>
      </c>
      <c r="D953">
        <v>8416310</v>
      </c>
      <c r="E953">
        <v>0.61762968948453612</v>
      </c>
      <c r="F953">
        <v>0</v>
      </c>
      <c r="G953">
        <v>0</v>
      </c>
      <c r="H953">
        <v>6.4329982680412371E-4</v>
      </c>
      <c r="I953" t="s">
        <v>176</v>
      </c>
      <c r="J953">
        <v>2.1649513402061855E-2</v>
      </c>
      <c r="K953">
        <v>0.63992250271340201</v>
      </c>
      <c r="L953">
        <v>2.9674841040629066E-2</v>
      </c>
      <c r="M953">
        <v>0.17804904624377441</v>
      </c>
      <c r="N953">
        <v>0.8179715489571765</v>
      </c>
      <c r="O953" t="s">
        <v>177</v>
      </c>
      <c r="P953">
        <v>3.8395350162804126E-2</v>
      </c>
      <c r="Q953" t="s">
        <v>177</v>
      </c>
      <c r="R953">
        <v>1.0682942774626464E-2</v>
      </c>
      <c r="S953" t="s">
        <v>178</v>
      </c>
      <c r="T953">
        <v>9.8156585874861174E-2</v>
      </c>
      <c r="U953">
        <v>0.96520642776946819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48.01887</v>
      </c>
      <c r="AB953">
        <v>1</v>
      </c>
      <c r="AC953">
        <v>0.1</v>
      </c>
      <c r="AD953">
        <v>0.10389195236953569</v>
      </c>
      <c r="AE953">
        <v>7200</v>
      </c>
      <c r="AF953">
        <v>200000</v>
      </c>
      <c r="AG953">
        <v>16666.666666666668</v>
      </c>
      <c r="AH953">
        <v>1</v>
      </c>
      <c r="AI953">
        <v>1</v>
      </c>
      <c r="AJ953" t="s">
        <v>162</v>
      </c>
      <c r="AK953" t="s">
        <v>176</v>
      </c>
      <c r="AL953">
        <v>0</v>
      </c>
      <c r="AM953" t="s">
        <v>176</v>
      </c>
      <c r="AN953">
        <v>0</v>
      </c>
    </row>
    <row r="954" spans="1:40" x14ac:dyDescent="0.15">
      <c r="A954" s="4" t="str">
        <f>HYPERLINK("https://ibp.a2mac1.com/costing(costing:projects/details/9760/process/12085616)","Injection molding")</f>
        <v>Injection molding</v>
      </c>
      <c r="B954" t="s">
        <v>5468</v>
      </c>
      <c r="C954">
        <v>12085616</v>
      </c>
      <c r="D954">
        <v>8416311</v>
      </c>
      <c r="E954">
        <v>6.7411359922680408E-2</v>
      </c>
      <c r="F954">
        <v>0</v>
      </c>
      <c r="G954">
        <v>0</v>
      </c>
      <c r="H954">
        <v>7.5479119072164951E-4</v>
      </c>
      <c r="I954" t="s">
        <v>176</v>
      </c>
      <c r="J954">
        <v>2.3629420103092784E-3</v>
      </c>
      <c r="K954">
        <v>7.0529093123711334E-2</v>
      </c>
      <c r="L954">
        <v>8.2371225031320286E-3</v>
      </c>
      <c r="M954">
        <v>4.9422735018792172E-2</v>
      </c>
      <c r="N954">
        <v>0.11995182814250352</v>
      </c>
      <c r="O954" t="s">
        <v>177</v>
      </c>
      <c r="P954">
        <v>4.2317455874226802E-3</v>
      </c>
      <c r="Q954" t="s">
        <v>177</v>
      </c>
      <c r="R954">
        <v>2.9653641011275302E-3</v>
      </c>
      <c r="S954" t="s">
        <v>178</v>
      </c>
      <c r="T954">
        <v>1.4394219377100422E-2</v>
      </c>
      <c r="U954">
        <v>0.14154315720815414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20.623080000000002</v>
      </c>
      <c r="AB954">
        <v>1</v>
      </c>
      <c r="AC954">
        <v>0.1</v>
      </c>
      <c r="AD954">
        <v>1.1056389564667022</v>
      </c>
      <c r="AE954">
        <v>7200</v>
      </c>
      <c r="AF954">
        <v>200000</v>
      </c>
      <c r="AG954">
        <v>16666.666666666668</v>
      </c>
      <c r="AH954">
        <v>1</v>
      </c>
      <c r="AI954">
        <v>1</v>
      </c>
      <c r="AJ954" t="s">
        <v>162</v>
      </c>
      <c r="AK954" t="s">
        <v>176</v>
      </c>
      <c r="AL954">
        <v>0</v>
      </c>
      <c r="AM954" t="s">
        <v>176</v>
      </c>
      <c r="AN954">
        <v>0</v>
      </c>
    </row>
    <row r="955" spans="1:40" x14ac:dyDescent="0.15">
      <c r="A955" s="4" t="str">
        <f>HYPERLINK("https://ibp.a2mac1.com/costing(costing:projects/details/9760/process/12085617)","Painting")</f>
        <v>Painting</v>
      </c>
      <c r="C955">
        <v>12085617</v>
      </c>
      <c r="D955">
        <v>8416311</v>
      </c>
      <c r="E955">
        <v>0.1404061245972073</v>
      </c>
      <c r="F955">
        <v>0</v>
      </c>
      <c r="G955">
        <v>0</v>
      </c>
      <c r="H955">
        <v>1.4265262259076262E-3</v>
      </c>
      <c r="I955" t="s">
        <v>176</v>
      </c>
      <c r="J955">
        <v>4.9142143609022552E-3</v>
      </c>
      <c r="K955">
        <v>0.14674686518401719</v>
      </c>
      <c r="L955">
        <v>9.9798658116649411E-2</v>
      </c>
      <c r="M955">
        <v>0.59879194869989649</v>
      </c>
      <c r="N955">
        <v>0.74553881388391363</v>
      </c>
      <c r="O955" t="s">
        <v>177</v>
      </c>
      <c r="P955">
        <v>8.8048119110410317E-3</v>
      </c>
      <c r="Q955" t="s">
        <v>177</v>
      </c>
      <c r="R955">
        <v>3.5927516921993786E-2</v>
      </c>
      <c r="S955" t="s">
        <v>178</v>
      </c>
      <c r="T955">
        <v>8.9464657666069633E-2</v>
      </c>
      <c r="U955">
        <v>0.87973580038301813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2.7</v>
      </c>
      <c r="AB955">
        <v>1</v>
      </c>
      <c r="AC955">
        <v>1</v>
      </c>
      <c r="AD955">
        <v>1.0057812623742775</v>
      </c>
      <c r="AE955">
        <v>0</v>
      </c>
      <c r="AF955">
        <v>200000</v>
      </c>
      <c r="AG955">
        <v>16666.666666666668</v>
      </c>
      <c r="AH955">
        <v>1</v>
      </c>
      <c r="AI955">
        <v>1</v>
      </c>
      <c r="AJ955" t="s">
        <v>162</v>
      </c>
      <c r="AK955" t="s">
        <v>176</v>
      </c>
      <c r="AL955">
        <v>0</v>
      </c>
      <c r="AM955" t="s">
        <v>176</v>
      </c>
      <c r="AN955">
        <v>0</v>
      </c>
    </row>
    <row r="956" spans="1:40" x14ac:dyDescent="0.15">
      <c r="A956" s="4" t="str">
        <f>HYPERLINK("https://ibp.a2mac1.com/costing(costing:projects/details/9760/process/12085618)","Injection molding")</f>
        <v>Injection molding</v>
      </c>
      <c r="C956">
        <v>12085618</v>
      </c>
      <c r="D956">
        <v>8416312</v>
      </c>
      <c r="E956">
        <v>0.1237709025</v>
      </c>
      <c r="F956">
        <v>0</v>
      </c>
      <c r="G956">
        <v>0</v>
      </c>
      <c r="H956">
        <v>1.8934776663157894E-3</v>
      </c>
      <c r="I956" t="s">
        <v>176</v>
      </c>
      <c r="J956">
        <v>4.3428386842105267E-3</v>
      </c>
      <c r="K956">
        <v>0.13000721885052632</v>
      </c>
      <c r="L956">
        <v>2.1102184692820868E-3</v>
      </c>
      <c r="M956">
        <v>1.2661310815692521E-2</v>
      </c>
      <c r="N956">
        <v>0.14266852966621885</v>
      </c>
      <c r="O956" t="s">
        <v>177</v>
      </c>
      <c r="P956">
        <v>7.8004331310315787E-3</v>
      </c>
      <c r="Q956" t="s">
        <v>177</v>
      </c>
      <c r="R956">
        <v>7.5967864894155128E-4</v>
      </c>
      <c r="S956" t="s">
        <v>178</v>
      </c>
      <c r="T956">
        <v>1.712022355994626E-2</v>
      </c>
      <c r="U956">
        <v>0.16834886500613822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60</v>
      </c>
      <c r="AB956">
        <v>1</v>
      </c>
      <c r="AC956">
        <v>0.5</v>
      </c>
      <c r="AD956">
        <v>1.5030632547327778</v>
      </c>
      <c r="AE956">
        <v>121.5</v>
      </c>
      <c r="AF956">
        <v>200000</v>
      </c>
      <c r="AG956">
        <v>16666.666666666668</v>
      </c>
      <c r="AH956">
        <v>1</v>
      </c>
      <c r="AI956">
        <v>1</v>
      </c>
      <c r="AJ956" t="s">
        <v>162</v>
      </c>
      <c r="AK956" t="s">
        <v>176</v>
      </c>
      <c r="AL956">
        <v>0</v>
      </c>
      <c r="AM956" t="s">
        <v>176</v>
      </c>
      <c r="AN956">
        <v>0</v>
      </c>
    </row>
    <row r="957" spans="1:40" x14ac:dyDescent="0.15">
      <c r="A957" s="4" t="str">
        <f>HYPERLINK("https://ibp.a2mac1.com/costing(costing:projects/details/9760/process/12085619)","Painting")</f>
        <v>Painting</v>
      </c>
      <c r="C957">
        <v>12085619</v>
      </c>
      <c r="D957">
        <v>8416312</v>
      </c>
      <c r="E957">
        <v>0.1404061245972073</v>
      </c>
      <c r="F957">
        <v>0</v>
      </c>
      <c r="G957">
        <v>0</v>
      </c>
      <c r="H957">
        <v>1.4265262259076262E-3</v>
      </c>
      <c r="I957" t="s">
        <v>176</v>
      </c>
      <c r="J957">
        <v>4.9142143609022552E-3</v>
      </c>
      <c r="K957">
        <v>0.14674686518401719</v>
      </c>
      <c r="L957">
        <v>9.9798658116649411E-2</v>
      </c>
      <c r="M957">
        <v>0.59879194869989649</v>
      </c>
      <c r="N957">
        <v>0.74553881388391363</v>
      </c>
      <c r="O957" t="s">
        <v>177</v>
      </c>
      <c r="P957">
        <v>8.8048119110410317E-3</v>
      </c>
      <c r="Q957" t="s">
        <v>177</v>
      </c>
      <c r="R957">
        <v>3.5927516921993786E-2</v>
      </c>
      <c r="S957" t="s">
        <v>178</v>
      </c>
      <c r="T957">
        <v>8.9464657666069633E-2</v>
      </c>
      <c r="U957">
        <v>0.87973580038301813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2.7</v>
      </c>
      <c r="AB957">
        <v>1</v>
      </c>
      <c r="AC957">
        <v>1</v>
      </c>
      <c r="AD957">
        <v>1.0057812623742775</v>
      </c>
      <c r="AE957">
        <v>0</v>
      </c>
      <c r="AF957">
        <v>200000</v>
      </c>
      <c r="AG957">
        <v>16666.666666666668</v>
      </c>
      <c r="AH957">
        <v>1</v>
      </c>
      <c r="AI957">
        <v>1</v>
      </c>
      <c r="AJ957" t="s">
        <v>162</v>
      </c>
      <c r="AK957" t="s">
        <v>176</v>
      </c>
      <c r="AL957">
        <v>0</v>
      </c>
      <c r="AM957" t="s">
        <v>176</v>
      </c>
      <c r="AN957">
        <v>0</v>
      </c>
    </row>
    <row r="958" spans="1:40" x14ac:dyDescent="0.15">
      <c r="A958" s="4" t="str">
        <f>HYPERLINK("https://ibp.a2mac1.com/costing(costing:projects/details/9760/process/12085662)","Injection molding")</f>
        <v>Injection molding</v>
      </c>
      <c r="B958" t="s">
        <v>5483</v>
      </c>
      <c r="C958">
        <v>12085662</v>
      </c>
      <c r="D958">
        <v>8416315</v>
      </c>
      <c r="E958">
        <v>5.6251825402061854E-2</v>
      </c>
      <c r="F958">
        <v>0</v>
      </c>
      <c r="G958">
        <v>0</v>
      </c>
      <c r="H958">
        <v>5.8589783092783507E-5</v>
      </c>
      <c r="I958" t="s">
        <v>176</v>
      </c>
      <c r="J958">
        <v>1.9717715463917528E-3</v>
      </c>
      <c r="K958">
        <v>5.8282186731546393E-2</v>
      </c>
      <c r="L958">
        <v>8.4544306208829603E-3</v>
      </c>
      <c r="M958">
        <v>5.0726583725297758E-2</v>
      </c>
      <c r="N958">
        <v>0.10900877045684415</v>
      </c>
      <c r="O958" t="s">
        <v>177</v>
      </c>
      <c r="P958">
        <v>3.4969312038927833E-3</v>
      </c>
      <c r="Q958" t="s">
        <v>177</v>
      </c>
      <c r="R958">
        <v>3.0435950235178652E-3</v>
      </c>
      <c r="S958" t="s">
        <v>178</v>
      </c>
      <c r="T958">
        <v>1.3081052454821298E-2</v>
      </c>
      <c r="U958">
        <v>0.12863034913907609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25.507290000000001</v>
      </c>
      <c r="AB958">
        <v>1</v>
      </c>
      <c r="AC958">
        <v>0.1</v>
      </c>
      <c r="AD958">
        <v>0.10389195236953569</v>
      </c>
      <c r="AE958">
        <v>7200</v>
      </c>
      <c r="AF958">
        <v>200000</v>
      </c>
      <c r="AG958">
        <v>16666.666666666668</v>
      </c>
      <c r="AH958">
        <v>1</v>
      </c>
      <c r="AI958">
        <v>1</v>
      </c>
      <c r="AJ958" t="s">
        <v>162</v>
      </c>
      <c r="AK958" t="s">
        <v>176</v>
      </c>
      <c r="AL958">
        <v>0</v>
      </c>
      <c r="AM958" t="s">
        <v>176</v>
      </c>
      <c r="AN958">
        <v>0</v>
      </c>
    </row>
    <row r="959" spans="1:40" x14ac:dyDescent="0.15">
      <c r="A959" s="4" t="str">
        <f>HYPERLINK("https://ibp.a2mac1.com/costing(costing:projects/details/9760/process/12085305)","Stamping ")</f>
        <v xml:space="preserve">Stamping </v>
      </c>
      <c r="B959" t="s">
        <v>5493</v>
      </c>
      <c r="C959">
        <v>12085305</v>
      </c>
      <c r="D959">
        <v>8415973</v>
      </c>
      <c r="E959">
        <v>7.4700859999999994E-2</v>
      </c>
      <c r="F959">
        <v>0</v>
      </c>
      <c r="G959">
        <v>0</v>
      </c>
      <c r="H959">
        <v>5.8283088571428566E-4</v>
      </c>
      <c r="I959" t="s">
        <v>176</v>
      </c>
      <c r="J959">
        <v>2.8731099999999999E-3</v>
      </c>
      <c r="K959">
        <v>7.8156800885714292E-2</v>
      </c>
      <c r="L959">
        <v>1.804864171295764E-4</v>
      </c>
      <c r="M959">
        <v>1.0829185027774583E-3</v>
      </c>
      <c r="N959">
        <v>7.9239719388491739E-2</v>
      </c>
      <c r="O959" t="s">
        <v>177</v>
      </c>
      <c r="P959">
        <v>4.6894080531428572E-3</v>
      </c>
      <c r="Q959" t="s">
        <v>177</v>
      </c>
      <c r="R959">
        <v>6.49751101666475E-5</v>
      </c>
      <c r="S959" t="s">
        <v>178</v>
      </c>
      <c r="T959">
        <v>9.5087663266190097E-3</v>
      </c>
      <c r="U959">
        <v>9.3502868878420256E-2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5</v>
      </c>
      <c r="AB959">
        <v>2</v>
      </c>
      <c r="AC959">
        <v>0.5</v>
      </c>
      <c r="AD959">
        <v>0.70499453877469964</v>
      </c>
      <c r="AE959">
        <v>1800</v>
      </c>
      <c r="AF959">
        <v>200000</v>
      </c>
      <c r="AG959">
        <v>16666.666666666668</v>
      </c>
      <c r="AH959">
        <v>1</v>
      </c>
      <c r="AI959">
        <v>1</v>
      </c>
      <c r="AJ959" t="s">
        <v>162</v>
      </c>
      <c r="AK959" t="s">
        <v>176</v>
      </c>
      <c r="AL959">
        <v>0</v>
      </c>
      <c r="AM959" t="s">
        <v>176</v>
      </c>
      <c r="AN959">
        <v>0</v>
      </c>
    </row>
    <row r="960" spans="1:40" x14ac:dyDescent="0.15">
      <c r="A960" s="4" t="str">
        <f>HYPERLINK("https://ibp.a2mac1.com/costing(costing:projects/details/9760/process/12085306)","Wire Bending")</f>
        <v>Wire Bending</v>
      </c>
      <c r="C960">
        <v>12085306</v>
      </c>
      <c r="D960">
        <v>8415973</v>
      </c>
      <c r="E960">
        <v>0</v>
      </c>
      <c r="F960">
        <v>0</v>
      </c>
      <c r="G960">
        <v>0</v>
      </c>
      <c r="H960">
        <v>0</v>
      </c>
      <c r="I960" t="s">
        <v>176</v>
      </c>
      <c r="J960">
        <v>0</v>
      </c>
      <c r="K960">
        <v>0</v>
      </c>
      <c r="L960">
        <v>3.6698564783128945E-3</v>
      </c>
      <c r="M960">
        <v>2.2019138869877369E-2</v>
      </c>
      <c r="N960">
        <v>2.2019138869877369E-2</v>
      </c>
      <c r="O960" t="s">
        <v>177</v>
      </c>
      <c r="P960">
        <v>0</v>
      </c>
      <c r="Q960" t="s">
        <v>177</v>
      </c>
      <c r="R960">
        <v>1.321148332192642E-3</v>
      </c>
      <c r="S960" t="s">
        <v>178</v>
      </c>
      <c r="T960">
        <v>2.6422966643852839E-3</v>
      </c>
      <c r="U960">
        <v>2.5982583866455293E-2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5</v>
      </c>
      <c r="AB960">
        <v>1</v>
      </c>
      <c r="AC960">
        <v>0.1</v>
      </c>
      <c r="AD960">
        <v>0.20557651238448796</v>
      </c>
      <c r="AE960">
        <v>3600</v>
      </c>
      <c r="AF960">
        <v>200000</v>
      </c>
      <c r="AG960">
        <v>16666.666666666668</v>
      </c>
      <c r="AH960">
        <v>1</v>
      </c>
      <c r="AI960">
        <v>1</v>
      </c>
      <c r="AJ960" t="s">
        <v>162</v>
      </c>
      <c r="AK960" t="s">
        <v>176</v>
      </c>
      <c r="AL960">
        <v>0</v>
      </c>
      <c r="AM960" t="s">
        <v>176</v>
      </c>
      <c r="AN960">
        <v>0</v>
      </c>
    </row>
    <row r="961" spans="1:40" x14ac:dyDescent="0.15">
      <c r="A961" s="4" t="str">
        <f>HYPERLINK("https://ibp.a2mac1.com/costing(costing:projects/details/9760/process/12085307)","Press fit")</f>
        <v>Press fit</v>
      </c>
      <c r="C961">
        <v>12085307</v>
      </c>
      <c r="D961">
        <v>8415973</v>
      </c>
      <c r="E961">
        <v>0</v>
      </c>
      <c r="F961">
        <v>0</v>
      </c>
      <c r="G961">
        <v>0</v>
      </c>
      <c r="H961">
        <v>0</v>
      </c>
      <c r="I961" t="s">
        <v>176</v>
      </c>
      <c r="J961">
        <v>0</v>
      </c>
      <c r="K961">
        <v>0</v>
      </c>
      <c r="L961">
        <v>6.1912616210148697E-3</v>
      </c>
      <c r="M961">
        <v>3.7147569726089222E-2</v>
      </c>
      <c r="N961">
        <v>3.7147569726089222E-2</v>
      </c>
      <c r="O961" t="s">
        <v>177</v>
      </c>
      <c r="P961">
        <v>0</v>
      </c>
      <c r="Q961" t="s">
        <v>177</v>
      </c>
      <c r="R961">
        <v>2.2288541835653532E-3</v>
      </c>
      <c r="S961" t="s">
        <v>178</v>
      </c>
      <c r="T961">
        <v>4.4577083671307064E-3</v>
      </c>
      <c r="U961">
        <v>4.383413227678528E-2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15</v>
      </c>
      <c r="AB961">
        <v>1</v>
      </c>
      <c r="AC961">
        <v>0.1</v>
      </c>
      <c r="AD961">
        <v>0.10389195236953569</v>
      </c>
      <c r="AE961">
        <v>180</v>
      </c>
      <c r="AF961">
        <v>200000</v>
      </c>
      <c r="AG961">
        <v>16666.666666666668</v>
      </c>
      <c r="AH961">
        <v>1</v>
      </c>
      <c r="AI961">
        <v>1</v>
      </c>
      <c r="AJ961" t="s">
        <v>162</v>
      </c>
      <c r="AK961" t="s">
        <v>176</v>
      </c>
      <c r="AL961">
        <v>0</v>
      </c>
      <c r="AM961" t="s">
        <v>176</v>
      </c>
      <c r="AN961">
        <v>0</v>
      </c>
    </row>
    <row r="962" spans="1:40" x14ac:dyDescent="0.15">
      <c r="A962" s="4" t="str">
        <f>HYPERLINK("https://ibp.a2mac1.com/costing(costing:projects/details/9760/process/12085106)","Assembly")</f>
        <v>Assembly</v>
      </c>
      <c r="C962">
        <v>12085106</v>
      </c>
      <c r="D962">
        <v>8415671</v>
      </c>
      <c r="E962">
        <v>0</v>
      </c>
      <c r="F962">
        <v>0</v>
      </c>
      <c r="G962">
        <v>0</v>
      </c>
      <c r="H962">
        <v>0</v>
      </c>
      <c r="I962" t="s">
        <v>90</v>
      </c>
      <c r="J962">
        <v>0</v>
      </c>
      <c r="K962">
        <v>0</v>
      </c>
      <c r="L962">
        <v>0</v>
      </c>
      <c r="M962">
        <v>0.21945668007767058</v>
      </c>
      <c r="N962">
        <v>0.21945668007767058</v>
      </c>
      <c r="O962" t="s">
        <v>90</v>
      </c>
      <c r="P962">
        <v>0</v>
      </c>
      <c r="Q962" t="s">
        <v>90</v>
      </c>
      <c r="R962">
        <v>0</v>
      </c>
      <c r="S962" t="s">
        <v>90</v>
      </c>
      <c r="T962">
        <v>0</v>
      </c>
      <c r="U962">
        <v>0.21945668007767058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150</v>
      </c>
      <c r="AB962">
        <v>1</v>
      </c>
      <c r="AC962">
        <v>0.1</v>
      </c>
      <c r="AD962">
        <v>0.10987913295375087</v>
      </c>
      <c r="AE962">
        <v>600</v>
      </c>
      <c r="AF962">
        <v>200000</v>
      </c>
      <c r="AG962">
        <v>10000</v>
      </c>
      <c r="AH962">
        <v>1</v>
      </c>
      <c r="AI962">
        <v>1</v>
      </c>
      <c r="AJ962" t="s">
        <v>76</v>
      </c>
      <c r="AK962" t="s">
        <v>90</v>
      </c>
      <c r="AL962">
        <v>0</v>
      </c>
      <c r="AM962" t="s">
        <v>90</v>
      </c>
      <c r="AN962">
        <v>0</v>
      </c>
    </row>
    <row r="963" spans="1:40" x14ac:dyDescent="0.15">
      <c r="A963" s="4" t="str">
        <f>HYPERLINK("https://ibp.a2mac1.com/costing(costing:projects/details/9760/process/12085663)","Automated Process")</f>
        <v>Automated Process</v>
      </c>
      <c r="B963" t="s">
        <v>5077</v>
      </c>
      <c r="C963">
        <v>12085663</v>
      </c>
      <c r="D963">
        <v>8416317</v>
      </c>
      <c r="E963">
        <v>0.27930201599999999</v>
      </c>
      <c r="F963">
        <v>0</v>
      </c>
      <c r="G963">
        <v>0</v>
      </c>
      <c r="H963">
        <v>1.4168102265263158E-3</v>
      </c>
      <c r="I963" t="s">
        <v>176</v>
      </c>
      <c r="J963">
        <v>9.8000707368421057E-3</v>
      </c>
      <c r="K963">
        <v>0.29051889696336841</v>
      </c>
      <c r="L963">
        <v>8.3598157882734656E-2</v>
      </c>
      <c r="M963">
        <v>0.50158894729640791</v>
      </c>
      <c r="N963">
        <v>0.79210784425977632</v>
      </c>
      <c r="O963" t="s">
        <v>90</v>
      </c>
      <c r="P963">
        <v>0</v>
      </c>
      <c r="Q963" t="s">
        <v>90</v>
      </c>
      <c r="R963">
        <v>0</v>
      </c>
      <c r="S963" t="s">
        <v>90</v>
      </c>
      <c r="T963">
        <v>0</v>
      </c>
      <c r="U963">
        <v>0.79210784425977632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46</v>
      </c>
      <c r="AB963">
        <v>1</v>
      </c>
      <c r="AC963">
        <v>0.5</v>
      </c>
      <c r="AD963">
        <v>0.50345253019720215</v>
      </c>
      <c r="AE963">
        <v>10800</v>
      </c>
      <c r="AF963">
        <v>200000</v>
      </c>
      <c r="AG963">
        <v>16666.666666666668</v>
      </c>
      <c r="AH963">
        <v>1</v>
      </c>
      <c r="AI963">
        <v>1</v>
      </c>
      <c r="AJ963" t="s">
        <v>162</v>
      </c>
      <c r="AK963" t="s">
        <v>176</v>
      </c>
      <c r="AL963">
        <v>0</v>
      </c>
      <c r="AM963" t="s">
        <v>176</v>
      </c>
      <c r="AN963">
        <v>0</v>
      </c>
    </row>
    <row r="964" spans="1:40" x14ac:dyDescent="0.15">
      <c r="A964" s="4" t="str">
        <f>HYPERLINK("https://ibp.a2mac1.com/costing(costing:projects/details/9760/process/12085664)","Automated Process")</f>
        <v>Automated Process</v>
      </c>
      <c r="B964" t="s">
        <v>4254</v>
      </c>
      <c r="C964">
        <v>12085664</v>
      </c>
      <c r="D964">
        <v>8416318</v>
      </c>
      <c r="E964">
        <v>0.70114850570212761</v>
      </c>
      <c r="F964">
        <v>0</v>
      </c>
      <c r="G964">
        <v>0</v>
      </c>
      <c r="H964">
        <v>3.5529718036864501E-3</v>
      </c>
      <c r="I964" t="s">
        <v>176</v>
      </c>
      <c r="J964">
        <v>2.4575891922732362E-2</v>
      </c>
      <c r="K964">
        <v>0.72927736942854648</v>
      </c>
      <c r="L964">
        <v>0.1012589951990561</v>
      </c>
      <c r="M964">
        <v>0.60755397119433652</v>
      </c>
      <c r="N964">
        <v>1.3368313406228831</v>
      </c>
      <c r="O964" t="s">
        <v>177</v>
      </c>
      <c r="P964">
        <v>4.3756642165712789E-2</v>
      </c>
      <c r="Q964" t="s">
        <v>177</v>
      </c>
      <c r="R964">
        <v>3.6453238271660193E-2</v>
      </c>
      <c r="S964" t="s">
        <v>178</v>
      </c>
      <c r="T964">
        <v>0.16041976087474596</v>
      </c>
      <c r="U964">
        <v>1.5774609819350021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56</v>
      </c>
      <c r="AB964">
        <v>1</v>
      </c>
      <c r="AC964">
        <v>0.5</v>
      </c>
      <c r="AD964">
        <v>0.50345253019720215</v>
      </c>
      <c r="AE964">
        <v>10800</v>
      </c>
      <c r="AF964">
        <v>200000</v>
      </c>
      <c r="AG964">
        <v>16666.666666666668</v>
      </c>
      <c r="AH964">
        <v>1</v>
      </c>
      <c r="AI964">
        <v>1</v>
      </c>
      <c r="AJ964" t="s">
        <v>162</v>
      </c>
      <c r="AK964" t="s">
        <v>176</v>
      </c>
      <c r="AL964">
        <v>0</v>
      </c>
      <c r="AM964" t="s">
        <v>176</v>
      </c>
      <c r="AN964">
        <v>0</v>
      </c>
    </row>
    <row r="965" spans="1:40" x14ac:dyDescent="0.15">
      <c r="A965" s="4" t="str">
        <f>HYPERLINK("https://ibp.a2mac1.com/costing(costing:projects/details/9760/process/12085665)","Automated Process")</f>
        <v>Automated Process</v>
      </c>
      <c r="B965" t="s">
        <v>4235</v>
      </c>
      <c r="C965">
        <v>12085665</v>
      </c>
      <c r="D965">
        <v>8416319</v>
      </c>
      <c r="E965">
        <v>0.161588238</v>
      </c>
      <c r="F965">
        <v>0</v>
      </c>
      <c r="G965">
        <v>0</v>
      </c>
      <c r="H965">
        <v>8.1968569852631579E-4</v>
      </c>
      <c r="I965" t="s">
        <v>176</v>
      </c>
      <c r="J965">
        <v>5.6697627368421056E-3</v>
      </c>
      <c r="K965">
        <v>0.16807768643536841</v>
      </c>
      <c r="L965">
        <v>1.4720892349081038E-2</v>
      </c>
      <c r="M965">
        <v>8.8325354094486219E-2</v>
      </c>
      <c r="N965">
        <v>0.25640304052985463</v>
      </c>
      <c r="O965" t="s">
        <v>177</v>
      </c>
      <c r="P965">
        <v>1.0084661186122106E-2</v>
      </c>
      <c r="Q965" t="s">
        <v>177</v>
      </c>
      <c r="R965">
        <v>5.2995212456691731E-3</v>
      </c>
      <c r="S965" t="s">
        <v>178</v>
      </c>
      <c r="T965">
        <v>3.0768364863582559E-2</v>
      </c>
      <c r="U965">
        <v>0.30255558782522846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7</v>
      </c>
      <c r="AB965">
        <v>1</v>
      </c>
      <c r="AC965">
        <v>0.5</v>
      </c>
      <c r="AD965">
        <v>0.50345253019720215</v>
      </c>
      <c r="AE965">
        <v>10800</v>
      </c>
      <c r="AF965">
        <v>200000</v>
      </c>
      <c r="AG965">
        <v>16666.666666666668</v>
      </c>
      <c r="AH965">
        <v>1</v>
      </c>
      <c r="AI965">
        <v>1</v>
      </c>
      <c r="AJ965" t="s">
        <v>162</v>
      </c>
      <c r="AK965" t="s">
        <v>176</v>
      </c>
      <c r="AL965">
        <v>0</v>
      </c>
      <c r="AM965" t="s">
        <v>176</v>
      </c>
      <c r="AN965">
        <v>0</v>
      </c>
    </row>
    <row r="966" spans="1:40" x14ac:dyDescent="0.15">
      <c r="A966" s="4" t="str">
        <f>HYPERLINK("https://ibp.a2mac1.com/costing(costing:projects/details/9760/process/12085666)","Automated Process")</f>
        <v>Automated Process</v>
      </c>
      <c r="B966" t="s">
        <v>5111</v>
      </c>
      <c r="C966">
        <v>12085666</v>
      </c>
      <c r="D966">
        <v>8416320</v>
      </c>
      <c r="E966">
        <v>8.0293013999999996E-2</v>
      </c>
      <c r="F966">
        <v>0</v>
      </c>
      <c r="G966">
        <v>0</v>
      </c>
      <c r="H966">
        <v>4.32215586E-4</v>
      </c>
      <c r="I966" t="s">
        <v>176</v>
      </c>
      <c r="J966">
        <v>2.9896335E-3</v>
      </c>
      <c r="K966">
        <v>8.3714863085999999E-2</v>
      </c>
      <c r="L966">
        <v>0.10832333012558466</v>
      </c>
      <c r="M966">
        <v>0.64993998075350801</v>
      </c>
      <c r="N966">
        <v>0.73365484383950796</v>
      </c>
      <c r="O966" t="s">
        <v>177</v>
      </c>
      <c r="P966">
        <v>5.0228917851600002E-3</v>
      </c>
      <c r="Q966" t="s">
        <v>177</v>
      </c>
      <c r="R966">
        <v>3.899639884521048E-2</v>
      </c>
      <c r="S966" t="s">
        <v>178</v>
      </c>
      <c r="T966">
        <v>8.8038581260740961E-2</v>
      </c>
      <c r="U966">
        <v>0.86571271573061948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60</v>
      </c>
      <c r="AB966">
        <v>1</v>
      </c>
      <c r="AC966">
        <v>0.5</v>
      </c>
      <c r="AD966">
        <v>0.50345253019720215</v>
      </c>
      <c r="AE966">
        <v>10800</v>
      </c>
      <c r="AF966">
        <v>200000</v>
      </c>
      <c r="AG966">
        <v>16666.666666666668</v>
      </c>
      <c r="AH966">
        <v>1</v>
      </c>
      <c r="AI966">
        <v>1</v>
      </c>
      <c r="AJ966" t="s">
        <v>162</v>
      </c>
      <c r="AK966" t="s">
        <v>176</v>
      </c>
      <c r="AL966">
        <v>0</v>
      </c>
      <c r="AM966" t="s">
        <v>176</v>
      </c>
      <c r="AN966">
        <v>0</v>
      </c>
    </row>
    <row r="967" spans="1:40" x14ac:dyDescent="0.15">
      <c r="A967" s="4" t="str">
        <f>HYPERLINK("https://ibp.a2mac1.com/costing(costing:projects/details/9760/process/12085667)","Automated Process")</f>
        <v>Automated Process</v>
      </c>
      <c r="B967" t="s">
        <v>4235</v>
      </c>
      <c r="C967">
        <v>12085667</v>
      </c>
      <c r="D967">
        <v>8416321</v>
      </c>
      <c r="E967">
        <v>6.9825503999999997E-2</v>
      </c>
      <c r="F967">
        <v>0</v>
      </c>
      <c r="G967">
        <v>0</v>
      </c>
      <c r="H967">
        <v>3.5420255663157896E-4</v>
      </c>
      <c r="I967" t="s">
        <v>176</v>
      </c>
      <c r="J967">
        <v>2.4500176842105264E-3</v>
      </c>
      <c r="K967">
        <v>7.2629724240842103E-2</v>
      </c>
      <c r="L967">
        <v>5.8904736909203177E-3</v>
      </c>
      <c r="M967">
        <v>3.5342842145521906E-2</v>
      </c>
      <c r="N967">
        <v>0.10797256638636402</v>
      </c>
      <c r="O967" t="s">
        <v>90</v>
      </c>
      <c r="P967">
        <v>0</v>
      </c>
      <c r="Q967" t="s">
        <v>90</v>
      </c>
      <c r="R967">
        <v>0</v>
      </c>
      <c r="S967" t="s">
        <v>90</v>
      </c>
      <c r="T967">
        <v>0</v>
      </c>
      <c r="U967">
        <v>0.10797256638636402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</v>
      </c>
      <c r="AB967">
        <v>1</v>
      </c>
      <c r="AC967">
        <v>0.5</v>
      </c>
      <c r="AD967">
        <v>0.50345253019720215</v>
      </c>
      <c r="AE967">
        <v>10800</v>
      </c>
      <c r="AF967">
        <v>200000</v>
      </c>
      <c r="AG967">
        <v>16666.666666666668</v>
      </c>
      <c r="AH967">
        <v>1</v>
      </c>
      <c r="AI967">
        <v>1</v>
      </c>
      <c r="AJ967" t="s">
        <v>162</v>
      </c>
      <c r="AK967" t="s">
        <v>176</v>
      </c>
      <c r="AL967">
        <v>0</v>
      </c>
      <c r="AM967" t="s">
        <v>176</v>
      </c>
      <c r="AN967">
        <v>0</v>
      </c>
    </row>
    <row r="968" spans="1:40" x14ac:dyDescent="0.15">
      <c r="A968" s="4" t="str">
        <f>HYPERLINK("https://ibp.a2mac1.com/costing(costing:projects/details/9760/process/12085668)","Automated Process")</f>
        <v>Automated Process</v>
      </c>
      <c r="B968" t="s">
        <v>4235</v>
      </c>
      <c r="C968">
        <v>12085668</v>
      </c>
      <c r="D968">
        <v>8416322</v>
      </c>
      <c r="E968">
        <v>4.3539909000000002E-2</v>
      </c>
      <c r="F968">
        <v>0</v>
      </c>
      <c r="G968">
        <v>0</v>
      </c>
      <c r="H968">
        <v>2.2086409978947367E-4</v>
      </c>
      <c r="I968" t="s">
        <v>176</v>
      </c>
      <c r="J968">
        <v>1.5277161052631579E-3</v>
      </c>
      <c r="K968">
        <v>4.5288489205052629E-2</v>
      </c>
      <c r="L968">
        <v>7.6565574225524614E-3</v>
      </c>
      <c r="M968">
        <v>4.5939344535314765E-2</v>
      </c>
      <c r="N968">
        <v>9.1227833740367401E-2</v>
      </c>
      <c r="O968" t="s">
        <v>177</v>
      </c>
      <c r="P968">
        <v>2.7173093523031578E-3</v>
      </c>
      <c r="Q968" t="s">
        <v>177</v>
      </c>
      <c r="R968">
        <v>2.756360672118886E-3</v>
      </c>
      <c r="S968" t="s">
        <v>178</v>
      </c>
      <c r="T968">
        <v>1.0947340048844088E-2</v>
      </c>
      <c r="U968">
        <v>0.10764884381363353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</v>
      </c>
      <c r="AC968">
        <v>0.5</v>
      </c>
      <c r="AD968">
        <v>0.50345253019720215</v>
      </c>
      <c r="AE968">
        <v>10800</v>
      </c>
      <c r="AF968">
        <v>200000</v>
      </c>
      <c r="AG968">
        <v>16666.666666666668</v>
      </c>
      <c r="AH968">
        <v>1</v>
      </c>
      <c r="AI968">
        <v>1</v>
      </c>
      <c r="AJ968" t="s">
        <v>162</v>
      </c>
      <c r="AK968" t="s">
        <v>176</v>
      </c>
      <c r="AL968">
        <v>0</v>
      </c>
      <c r="AM968" t="s">
        <v>176</v>
      </c>
      <c r="AN968">
        <v>0</v>
      </c>
    </row>
    <row r="969" spans="1:40" x14ac:dyDescent="0.15">
      <c r="A969" s="4" t="str">
        <f>HYPERLINK("https://ibp.a2mac1.com/costing(costing:projects/details/9760/process/12085669)","Automated Process")</f>
        <v>Automated Process</v>
      </c>
      <c r="B969" t="s">
        <v>5106</v>
      </c>
      <c r="C969">
        <v>12085669</v>
      </c>
      <c r="D969">
        <v>8416323</v>
      </c>
      <c r="E969">
        <v>1.3382168999999999E-2</v>
      </c>
      <c r="F969">
        <v>0</v>
      </c>
      <c r="G969">
        <v>0</v>
      </c>
      <c r="H969">
        <v>7.2035931000000004E-5</v>
      </c>
      <c r="I969" t="s">
        <v>176</v>
      </c>
      <c r="J969">
        <v>4.9827224999999999E-4</v>
      </c>
      <c r="K969">
        <v>1.3952477180999999E-2</v>
      </c>
      <c r="L969">
        <v>4.1243899592881732E-3</v>
      </c>
      <c r="M969">
        <v>2.4746339755729041E-2</v>
      </c>
      <c r="N969">
        <v>3.8698816936729039E-2</v>
      </c>
      <c r="O969" t="s">
        <v>177</v>
      </c>
      <c r="P969">
        <v>8.3714863086E-4</v>
      </c>
      <c r="Q969" t="s">
        <v>177</v>
      </c>
      <c r="R969">
        <v>1.4847803853437424E-3</v>
      </c>
      <c r="S969" t="s">
        <v>178</v>
      </c>
      <c r="T969">
        <v>4.6438580324074845E-3</v>
      </c>
      <c r="U969">
        <v>4.5664603985340266E-2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0.5</v>
      </c>
      <c r="AD969">
        <v>0.50345253019720215</v>
      </c>
      <c r="AE969">
        <v>10800</v>
      </c>
      <c r="AF969">
        <v>200000</v>
      </c>
      <c r="AG969">
        <v>16666.666666666668</v>
      </c>
      <c r="AH969">
        <v>1</v>
      </c>
      <c r="AI969">
        <v>1</v>
      </c>
      <c r="AJ969" t="s">
        <v>162</v>
      </c>
      <c r="AK969" t="s">
        <v>176</v>
      </c>
      <c r="AL969">
        <v>0</v>
      </c>
      <c r="AM969" t="s">
        <v>176</v>
      </c>
      <c r="AN969">
        <v>0</v>
      </c>
    </row>
    <row r="970" spans="1:40" x14ac:dyDescent="0.15">
      <c r="A970" s="4" t="str">
        <f>HYPERLINK("https://ibp.a2mac1.com/costing(costing:projects/details/9760/process/12085308)","Automated Process")</f>
        <v>Automated Process</v>
      </c>
      <c r="B970" t="s">
        <v>4235</v>
      </c>
      <c r="C970">
        <v>12085308</v>
      </c>
      <c r="D970">
        <v>8415977</v>
      </c>
      <c r="E970">
        <v>2.138225754</v>
      </c>
      <c r="F970">
        <v>0</v>
      </c>
      <c r="G970">
        <v>0</v>
      </c>
      <c r="H970">
        <v>1.0846538661894736E-2</v>
      </c>
      <c r="I970" t="s">
        <v>176</v>
      </c>
      <c r="J970">
        <v>7.5025465052631579E-2</v>
      </c>
      <c r="K970">
        <v>2.2240977577145262</v>
      </c>
      <c r="L970">
        <v>0.173668428195974</v>
      </c>
      <c r="M970">
        <v>1.0420105691758439</v>
      </c>
      <c r="N970">
        <v>3.2661083268903703</v>
      </c>
      <c r="O970" t="s">
        <v>177</v>
      </c>
      <c r="P970">
        <v>0.13344586546287157</v>
      </c>
      <c r="Q970" t="s">
        <v>177</v>
      </c>
      <c r="R970">
        <v>6.2520634150550633E-2</v>
      </c>
      <c r="S970" t="s">
        <v>178</v>
      </c>
      <c r="T970">
        <v>0.39193299922684444</v>
      </c>
      <c r="U970">
        <v>3.8540078257306369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97</v>
      </c>
      <c r="AB970">
        <v>1</v>
      </c>
      <c r="AC970">
        <v>0.5</v>
      </c>
      <c r="AD970">
        <v>0.50345253019720215</v>
      </c>
      <c r="AE970">
        <v>10800</v>
      </c>
      <c r="AF970">
        <v>200000</v>
      </c>
      <c r="AG970">
        <v>16666.666666666668</v>
      </c>
      <c r="AH970">
        <v>1</v>
      </c>
      <c r="AI970">
        <v>1</v>
      </c>
      <c r="AJ970" t="s">
        <v>162</v>
      </c>
      <c r="AK970" t="s">
        <v>176</v>
      </c>
      <c r="AL970">
        <v>0</v>
      </c>
      <c r="AM970" t="s">
        <v>176</v>
      </c>
      <c r="AN970">
        <v>0</v>
      </c>
    </row>
    <row r="971" spans="1:40" x14ac:dyDescent="0.15">
      <c r="A971" s="4" t="str">
        <f>HYPERLINK("https://ibp.a2mac1.com/costing(costing:projects/details/9760/process/12085309)","Automated Process")</f>
        <v>Automated Process</v>
      </c>
      <c r="B971" t="s">
        <v>4254</v>
      </c>
      <c r="C971">
        <v>12085309</v>
      </c>
      <c r="D971">
        <v>8415978</v>
      </c>
      <c r="E971">
        <v>0.83825284731914895</v>
      </c>
      <c r="F971">
        <v>0</v>
      </c>
      <c r="G971">
        <v>0</v>
      </c>
      <c r="H971">
        <v>4.2466587028622618E-3</v>
      </c>
      <c r="I971" t="s">
        <v>176</v>
      </c>
      <c r="J971">
        <v>2.9374121462486004E-2</v>
      </c>
      <c r="K971">
        <v>0.87187362748449715</v>
      </c>
      <c r="L971">
        <v>9.949291146742395E-2</v>
      </c>
      <c r="M971">
        <v>0.5969574688045437</v>
      </c>
      <c r="N971">
        <v>1.468831096289041</v>
      </c>
      <c r="O971" t="s">
        <v>90</v>
      </c>
      <c r="P971">
        <v>0</v>
      </c>
      <c r="Q971" t="s">
        <v>90</v>
      </c>
      <c r="R971">
        <v>0</v>
      </c>
      <c r="S971" t="s">
        <v>90</v>
      </c>
      <c r="T971">
        <v>0</v>
      </c>
      <c r="U971">
        <v>1.468831096289041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55</v>
      </c>
      <c r="AB971">
        <v>1</v>
      </c>
      <c r="AC971">
        <v>0.5</v>
      </c>
      <c r="AD971">
        <v>0.50345253019720215</v>
      </c>
      <c r="AE971">
        <v>10800</v>
      </c>
      <c r="AF971">
        <v>200000</v>
      </c>
      <c r="AG971">
        <v>16666.666666666668</v>
      </c>
      <c r="AH971">
        <v>1</v>
      </c>
      <c r="AI971">
        <v>1</v>
      </c>
      <c r="AJ971" t="s">
        <v>162</v>
      </c>
      <c r="AK971" t="s">
        <v>176</v>
      </c>
      <c r="AL971">
        <v>0</v>
      </c>
      <c r="AM971" t="s">
        <v>176</v>
      </c>
      <c r="AN971">
        <v>0</v>
      </c>
    </row>
    <row r="972" spans="1:40" x14ac:dyDescent="0.15">
      <c r="A972" s="4" t="str">
        <f>HYPERLINK("https://ibp.a2mac1.com/costing(costing:projects/details/9760/process/12085310)","Automated Process")</f>
        <v>Automated Process</v>
      </c>
      <c r="B972" t="s">
        <v>4254</v>
      </c>
      <c r="C972">
        <v>12085310</v>
      </c>
      <c r="D972">
        <v>8415979</v>
      </c>
      <c r="E972">
        <v>2.6559010005106383</v>
      </c>
      <c r="F972">
        <v>0</v>
      </c>
      <c r="G972">
        <v>0</v>
      </c>
      <c r="H972">
        <v>1.3453727779905935E-2</v>
      </c>
      <c r="I972" t="s">
        <v>176</v>
      </c>
      <c r="J972">
        <v>9.3059381876819711E-2</v>
      </c>
      <c r="K972">
        <v>2.7624141101673638</v>
      </c>
      <c r="L972">
        <v>0.36617155494387771</v>
      </c>
      <c r="M972">
        <v>2.1970293296632661</v>
      </c>
      <c r="N972">
        <v>4.95944343983063</v>
      </c>
      <c r="O972" t="s">
        <v>90</v>
      </c>
      <c r="P972">
        <v>0</v>
      </c>
      <c r="Q972" t="s">
        <v>90</v>
      </c>
      <c r="R972">
        <v>0</v>
      </c>
      <c r="S972" t="s">
        <v>90</v>
      </c>
      <c r="T972">
        <v>0</v>
      </c>
      <c r="U972">
        <v>4.95944343983063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206</v>
      </c>
      <c r="AB972">
        <v>1</v>
      </c>
      <c r="AC972">
        <v>0.5</v>
      </c>
      <c r="AD972">
        <v>0.50345253019720215</v>
      </c>
      <c r="AE972">
        <v>10800</v>
      </c>
      <c r="AF972">
        <v>200000</v>
      </c>
      <c r="AG972">
        <v>16666.666666666668</v>
      </c>
      <c r="AH972">
        <v>1</v>
      </c>
      <c r="AI972">
        <v>1</v>
      </c>
      <c r="AJ972" t="s">
        <v>162</v>
      </c>
      <c r="AK972" t="s">
        <v>176</v>
      </c>
      <c r="AL972">
        <v>0</v>
      </c>
      <c r="AM972" t="s">
        <v>176</v>
      </c>
      <c r="AN972">
        <v>0</v>
      </c>
    </row>
    <row r="973" spans="1:40" x14ac:dyDescent="0.15">
      <c r="A973" s="4" t="str">
        <f>HYPERLINK("https://ibp.a2mac1.com/costing(costing:projects/details/9760/process/12085311)","Automated Process")</f>
        <v>Automated Process</v>
      </c>
      <c r="B973" t="s">
        <v>4235</v>
      </c>
      <c r="C973">
        <v>12085311</v>
      </c>
      <c r="D973">
        <v>8415980</v>
      </c>
      <c r="E973">
        <v>0.21669984</v>
      </c>
      <c r="F973">
        <v>0</v>
      </c>
      <c r="G973">
        <v>0</v>
      </c>
      <c r="H973">
        <v>1.0992493136842106E-3</v>
      </c>
      <c r="I973" t="s">
        <v>176</v>
      </c>
      <c r="J973">
        <v>7.6035031578947365E-3</v>
      </c>
      <c r="K973">
        <v>0.22540259247157896</v>
      </c>
      <c r="L973">
        <v>9.949291146742395E-2</v>
      </c>
      <c r="M973">
        <v>0.5969574688045437</v>
      </c>
      <c r="N973">
        <v>0.8223600612761226</v>
      </c>
      <c r="O973" t="s">
        <v>90</v>
      </c>
      <c r="P973">
        <v>0</v>
      </c>
      <c r="Q973" t="s">
        <v>90</v>
      </c>
      <c r="R973">
        <v>0</v>
      </c>
      <c r="S973" t="s">
        <v>90</v>
      </c>
      <c r="T973">
        <v>0</v>
      </c>
      <c r="U973">
        <v>0.8223600612761226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55</v>
      </c>
      <c r="AB973">
        <v>1</v>
      </c>
      <c r="AC973">
        <v>0.5</v>
      </c>
      <c r="AD973">
        <v>0.50345253019720215</v>
      </c>
      <c r="AE973">
        <v>10800</v>
      </c>
      <c r="AF973">
        <v>200000</v>
      </c>
      <c r="AG973">
        <v>16666.666666666668</v>
      </c>
      <c r="AH973">
        <v>1</v>
      </c>
      <c r="AI973">
        <v>1</v>
      </c>
      <c r="AJ973" t="s">
        <v>162</v>
      </c>
      <c r="AK973" t="s">
        <v>176</v>
      </c>
      <c r="AL973">
        <v>0</v>
      </c>
      <c r="AM973" t="s">
        <v>176</v>
      </c>
      <c r="AN973">
        <v>0</v>
      </c>
    </row>
    <row r="974" spans="1:40" x14ac:dyDescent="0.15">
      <c r="A974" s="4" t="str">
        <f>HYPERLINK("https://ibp.a2mac1.com/costing(costing:projects/details/9760/process/12085312)","Automated Process")</f>
        <v>Automated Process</v>
      </c>
      <c r="B974" t="s">
        <v>5171</v>
      </c>
      <c r="C974">
        <v>12085312</v>
      </c>
      <c r="D974">
        <v>8415981</v>
      </c>
      <c r="E974">
        <v>8.1864383999999998E-2</v>
      </c>
      <c r="F974">
        <v>0</v>
      </c>
      <c r="G974">
        <v>0</v>
      </c>
      <c r="H974">
        <v>4.1527196294736843E-4</v>
      </c>
      <c r="I974" t="s">
        <v>176</v>
      </c>
      <c r="J974">
        <v>2.8724345263157897E-3</v>
      </c>
      <c r="K974">
        <v>8.5152090489263157E-2</v>
      </c>
      <c r="L974">
        <v>3.9446064591931056E-2</v>
      </c>
      <c r="M974">
        <v>0.23667638755158632</v>
      </c>
      <c r="N974">
        <v>0.32182847804084946</v>
      </c>
      <c r="O974" t="s">
        <v>90</v>
      </c>
      <c r="P974">
        <v>0</v>
      </c>
      <c r="Q974" t="s">
        <v>90</v>
      </c>
      <c r="R974">
        <v>0</v>
      </c>
      <c r="S974" t="s">
        <v>90</v>
      </c>
      <c r="T974">
        <v>0</v>
      </c>
      <c r="U974">
        <v>0.32182847804084946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21</v>
      </c>
      <c r="AB974">
        <v>1</v>
      </c>
      <c r="AC974">
        <v>0.5</v>
      </c>
      <c r="AD974">
        <v>0.50345253019720215</v>
      </c>
      <c r="AE974">
        <v>10800</v>
      </c>
      <c r="AF974">
        <v>200000</v>
      </c>
      <c r="AG974">
        <v>16666.666666666668</v>
      </c>
      <c r="AH974">
        <v>1</v>
      </c>
      <c r="AI974">
        <v>1</v>
      </c>
      <c r="AJ974" t="s">
        <v>162</v>
      </c>
      <c r="AK974" t="s">
        <v>176</v>
      </c>
      <c r="AL974">
        <v>0</v>
      </c>
      <c r="AM974" t="s">
        <v>176</v>
      </c>
      <c r="AN974">
        <v>0</v>
      </c>
    </row>
    <row r="975" spans="1:40" x14ac:dyDescent="0.15">
      <c r="A975" s="4" t="str">
        <f>HYPERLINK("https://ibp.a2mac1.com/costing(costing:projects/details/9760/process/12085313)","Automated Process")</f>
        <v>Automated Process</v>
      </c>
      <c r="B975" t="s">
        <v>4254</v>
      </c>
      <c r="C975">
        <v>12085313</v>
      </c>
      <c r="D975">
        <v>8415982</v>
      </c>
      <c r="E975">
        <v>1.0093601539787234</v>
      </c>
      <c r="F975">
        <v>0</v>
      </c>
      <c r="G975">
        <v>0</v>
      </c>
      <c r="H975">
        <v>5.1142010359776034E-3</v>
      </c>
      <c r="I975" t="s">
        <v>176</v>
      </c>
      <c r="J975">
        <v>3.5374908351623741E-2</v>
      </c>
      <c r="K975">
        <v>1.0498492633663248</v>
      </c>
      <c r="L975">
        <v>0.17013626073270971</v>
      </c>
      <c r="M975">
        <v>1.0208175643962583</v>
      </c>
      <c r="N975">
        <v>2.070666827762583</v>
      </c>
      <c r="O975" t="s">
        <v>90</v>
      </c>
      <c r="P975">
        <v>0</v>
      </c>
      <c r="Q975" t="s">
        <v>90</v>
      </c>
      <c r="R975">
        <v>0</v>
      </c>
      <c r="S975" t="s">
        <v>90</v>
      </c>
      <c r="T975">
        <v>0</v>
      </c>
      <c r="U975">
        <v>2.070666827762583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95</v>
      </c>
      <c r="AB975">
        <v>1</v>
      </c>
      <c r="AC975">
        <v>0.5</v>
      </c>
      <c r="AD975">
        <v>0.50345253019720215</v>
      </c>
      <c r="AE975">
        <v>10800</v>
      </c>
      <c r="AF975">
        <v>200000</v>
      </c>
      <c r="AG975">
        <v>16666.666666666668</v>
      </c>
      <c r="AH975">
        <v>1</v>
      </c>
      <c r="AI975">
        <v>1</v>
      </c>
      <c r="AJ975" t="s">
        <v>162</v>
      </c>
      <c r="AK975" t="s">
        <v>176</v>
      </c>
      <c r="AL975">
        <v>0</v>
      </c>
      <c r="AM975" t="s">
        <v>176</v>
      </c>
      <c r="AN975">
        <v>0</v>
      </c>
    </row>
    <row r="976" spans="1:40" x14ac:dyDescent="0.15">
      <c r="A976" s="4" t="str">
        <f>HYPERLINK("https://ibp.a2mac1.com/costing(costing:projects/details/9760/process/12085314)","Automated Process")</f>
        <v>Automated Process</v>
      </c>
      <c r="B976" t="s">
        <v>4235</v>
      </c>
      <c r="C976">
        <v>12085314</v>
      </c>
      <c r="D976">
        <v>8415983</v>
      </c>
      <c r="E976">
        <v>0.53925377100000005</v>
      </c>
      <c r="F976">
        <v>0</v>
      </c>
      <c r="G976">
        <v>0</v>
      </c>
      <c r="H976">
        <v>2.7354627381052632E-3</v>
      </c>
      <c r="I976" t="s">
        <v>176</v>
      </c>
      <c r="J976">
        <v>1.892118494736842E-2</v>
      </c>
      <c r="K976">
        <v>0.56091041868547364</v>
      </c>
      <c r="L976">
        <v>4.4744315786827485E-2</v>
      </c>
      <c r="M976">
        <v>0.26846589472096494</v>
      </c>
      <c r="N976">
        <v>0.82937631340643858</v>
      </c>
      <c r="O976" t="s">
        <v>90</v>
      </c>
      <c r="P976">
        <v>0</v>
      </c>
      <c r="Q976" t="s">
        <v>90</v>
      </c>
      <c r="R976">
        <v>0</v>
      </c>
      <c r="S976" t="s">
        <v>90</v>
      </c>
      <c r="T976">
        <v>0</v>
      </c>
      <c r="U976">
        <v>0.82937631340643858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24</v>
      </c>
      <c r="AB976">
        <v>1</v>
      </c>
      <c r="AC976">
        <v>0.5</v>
      </c>
      <c r="AD976">
        <v>0.50345253019720215</v>
      </c>
      <c r="AE976">
        <v>10800</v>
      </c>
      <c r="AF976">
        <v>200000</v>
      </c>
      <c r="AG976">
        <v>16666.666666666668</v>
      </c>
      <c r="AH976">
        <v>1</v>
      </c>
      <c r="AI976">
        <v>1</v>
      </c>
      <c r="AJ976" t="s">
        <v>162</v>
      </c>
      <c r="AK976" t="s">
        <v>176</v>
      </c>
      <c r="AL976">
        <v>0</v>
      </c>
      <c r="AM976" t="s">
        <v>176</v>
      </c>
      <c r="AN976">
        <v>0</v>
      </c>
    </row>
    <row r="977" spans="1:40" x14ac:dyDescent="0.15">
      <c r="A977" s="4" t="str">
        <f>HYPERLINK("https://ibp.a2mac1.com/costing(costing:projects/details/9760/process/12085315)","Automated Process")</f>
        <v>Automated Process</v>
      </c>
      <c r="B977" t="s">
        <v>5157</v>
      </c>
      <c r="C977">
        <v>12085315</v>
      </c>
      <c r="D977">
        <v>8415984</v>
      </c>
      <c r="E977">
        <v>2.874421052631579</v>
      </c>
      <c r="F977">
        <v>0</v>
      </c>
      <c r="G977">
        <v>0</v>
      </c>
      <c r="H977">
        <v>1.4544570526315789E-2</v>
      </c>
      <c r="I977" t="s">
        <v>176</v>
      </c>
      <c r="J977">
        <v>0.10060473684210526</v>
      </c>
      <c r="K977">
        <v>2.9895703600000001</v>
      </c>
      <c r="L977">
        <v>2.7083478470506045E-2</v>
      </c>
      <c r="M977">
        <v>0.16250087082303627</v>
      </c>
      <c r="N977">
        <v>3.1520712308230361</v>
      </c>
      <c r="O977" t="s">
        <v>177</v>
      </c>
      <c r="P977">
        <v>0.17937422159999999</v>
      </c>
      <c r="Q977" t="s">
        <v>177</v>
      </c>
      <c r="R977">
        <v>9.7500522493821767E-3</v>
      </c>
      <c r="S977" t="s">
        <v>178</v>
      </c>
      <c r="T977">
        <v>0.37824854769876437</v>
      </c>
      <c r="U977">
        <v>3.7194440523711827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14</v>
      </c>
      <c r="AB977">
        <v>1</v>
      </c>
      <c r="AC977">
        <v>0.5</v>
      </c>
      <c r="AD977">
        <v>0.50345253019720215</v>
      </c>
      <c r="AE977">
        <v>10800</v>
      </c>
      <c r="AF977">
        <v>200000</v>
      </c>
      <c r="AG977">
        <v>16666.666666666668</v>
      </c>
      <c r="AH977">
        <v>1</v>
      </c>
      <c r="AI977">
        <v>1</v>
      </c>
      <c r="AJ977" t="s">
        <v>162</v>
      </c>
      <c r="AK977" t="s">
        <v>176</v>
      </c>
      <c r="AL977">
        <v>0</v>
      </c>
      <c r="AM977" t="s">
        <v>176</v>
      </c>
      <c r="AN977">
        <v>0</v>
      </c>
    </row>
    <row r="978" spans="1:40" x14ac:dyDescent="0.15">
      <c r="A978" s="4" t="str">
        <f>HYPERLINK("https://ibp.a2mac1.com/costing(costing:projects/details/9760/process/12085316)","Automated Process")</f>
        <v>Automated Process</v>
      </c>
      <c r="B978" t="s">
        <v>4235</v>
      </c>
      <c r="C978">
        <v>12085316</v>
      </c>
      <c r="D978">
        <v>8415985</v>
      </c>
      <c r="E978">
        <v>0.17849863499999999</v>
      </c>
      <c r="F978">
        <v>0</v>
      </c>
      <c r="G978">
        <v>0</v>
      </c>
      <c r="H978">
        <v>9.0546675999999995E-4</v>
      </c>
      <c r="I978" t="s">
        <v>176</v>
      </c>
      <c r="J978">
        <v>6.2631099999999997E-3</v>
      </c>
      <c r="K978">
        <v>0.18566721176000001</v>
      </c>
      <c r="L978">
        <v>1.6486976080713183E-2</v>
      </c>
      <c r="M978">
        <v>9.8921856484279092E-2</v>
      </c>
      <c r="N978">
        <v>0.2845890682442791</v>
      </c>
      <c r="O978" t="s">
        <v>90</v>
      </c>
      <c r="P978">
        <v>0</v>
      </c>
      <c r="Q978" t="s">
        <v>90</v>
      </c>
      <c r="R978">
        <v>0</v>
      </c>
      <c r="S978" t="s">
        <v>90</v>
      </c>
      <c r="T978">
        <v>0</v>
      </c>
      <c r="U978">
        <v>0.2845890682442791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8</v>
      </c>
      <c r="AB978">
        <v>1</v>
      </c>
      <c r="AC978">
        <v>0.5</v>
      </c>
      <c r="AD978">
        <v>0.50345253019720215</v>
      </c>
      <c r="AE978">
        <v>10800</v>
      </c>
      <c r="AF978">
        <v>200000</v>
      </c>
      <c r="AG978">
        <v>16666.666666666668</v>
      </c>
      <c r="AH978">
        <v>1</v>
      </c>
      <c r="AI978">
        <v>1</v>
      </c>
      <c r="AJ978" t="s">
        <v>162</v>
      </c>
      <c r="AK978" t="s">
        <v>176</v>
      </c>
      <c r="AL978">
        <v>0</v>
      </c>
      <c r="AM978" t="s">
        <v>176</v>
      </c>
      <c r="AN978">
        <v>0</v>
      </c>
    </row>
    <row r="979" spans="1:40" x14ac:dyDescent="0.15">
      <c r="A979" s="4" t="str">
        <f>HYPERLINK("https://ibp.a2mac1.com/costing(costing:projects/details/9760/process/12085983)","MANUFACTURING  PROCESS")</f>
        <v>MANUFACTURING  PROCESS</v>
      </c>
      <c r="B979" t="s">
        <v>4962</v>
      </c>
      <c r="C979">
        <v>12085983</v>
      </c>
      <c r="D979">
        <v>8416552</v>
      </c>
      <c r="E979">
        <v>2.7187332384615384</v>
      </c>
      <c r="F979">
        <v>0</v>
      </c>
      <c r="G979">
        <v>0</v>
      </c>
      <c r="H979">
        <v>6.0753815384615383E-5</v>
      </c>
      <c r="I979" t="s">
        <v>176</v>
      </c>
      <c r="J979">
        <v>0.10631917692307692</v>
      </c>
      <c r="K979">
        <v>2.8251131692000002</v>
      </c>
      <c r="L979">
        <v>0.24982862648184256</v>
      </c>
      <c r="M979">
        <v>1.4989717588910554</v>
      </c>
      <c r="N979">
        <v>4.3240849280910556</v>
      </c>
      <c r="O979" t="s">
        <v>90</v>
      </c>
      <c r="P979">
        <v>0</v>
      </c>
      <c r="Q979" t="s">
        <v>90</v>
      </c>
      <c r="R979">
        <v>0</v>
      </c>
      <c r="S979" t="s">
        <v>90</v>
      </c>
      <c r="T979">
        <v>0</v>
      </c>
      <c r="U979">
        <v>4.3240849280910556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49.763039999999997</v>
      </c>
      <c r="AB979">
        <v>1</v>
      </c>
      <c r="AC979">
        <v>0</v>
      </c>
      <c r="AD979">
        <v>1.9999600007999841E-3</v>
      </c>
      <c r="AE979">
        <v>5400</v>
      </c>
      <c r="AF979">
        <v>200000</v>
      </c>
      <c r="AG979">
        <v>16666.666666666668</v>
      </c>
      <c r="AH979">
        <v>1</v>
      </c>
      <c r="AI979">
        <v>1</v>
      </c>
      <c r="AJ979" t="s">
        <v>162</v>
      </c>
      <c r="AK979" t="s">
        <v>176</v>
      </c>
      <c r="AL979">
        <v>0</v>
      </c>
      <c r="AM979" t="s">
        <v>176</v>
      </c>
      <c r="AN979">
        <v>0</v>
      </c>
    </row>
    <row r="980" spans="1:40" x14ac:dyDescent="0.15">
      <c r="A980" s="4" t="str">
        <f>HYPERLINK("https://ibp.a2mac1.com/costing(costing:projects/details/9760/process/12085984)","MANUFACTURING  PROCESS")</f>
        <v>MANUFACTURING  PROCESS</v>
      </c>
      <c r="B980" t="s">
        <v>4962</v>
      </c>
      <c r="C980">
        <v>12085984</v>
      </c>
      <c r="D980">
        <v>8416553</v>
      </c>
      <c r="E980">
        <v>0.23062938307692307</v>
      </c>
      <c r="F980">
        <v>0</v>
      </c>
      <c r="G980">
        <v>0</v>
      </c>
      <c r="H980">
        <v>5.1537292307692311E-6</v>
      </c>
      <c r="I980" t="s">
        <v>176</v>
      </c>
      <c r="J980">
        <v>9.019026153846154E-3</v>
      </c>
      <c r="K980">
        <v>0.23965356296000001</v>
      </c>
      <c r="L980">
        <v>1.2228940964449372E-2</v>
      </c>
      <c r="M980">
        <v>7.3373645786696237E-2</v>
      </c>
      <c r="N980">
        <v>0.31302720874669621</v>
      </c>
      <c r="O980" t="s">
        <v>177</v>
      </c>
      <c r="P980">
        <v>1.43792137776E-2</v>
      </c>
      <c r="Q980" t="s">
        <v>177</v>
      </c>
      <c r="R980">
        <v>4.4024187472017735E-3</v>
      </c>
      <c r="S980" t="s">
        <v>178</v>
      </c>
      <c r="T980">
        <v>3.7563265049603549E-2</v>
      </c>
      <c r="U980">
        <v>0.36937210632110157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2.0987800000000001</v>
      </c>
      <c r="AB980">
        <v>1</v>
      </c>
      <c r="AC980">
        <v>0</v>
      </c>
      <c r="AD980">
        <v>1.9999600007999841E-3</v>
      </c>
      <c r="AE980">
        <v>5400</v>
      </c>
      <c r="AF980">
        <v>200000</v>
      </c>
      <c r="AG980">
        <v>16666.666666666668</v>
      </c>
      <c r="AH980">
        <v>1</v>
      </c>
      <c r="AI980">
        <v>1</v>
      </c>
      <c r="AJ980" t="s">
        <v>162</v>
      </c>
      <c r="AK980" t="s">
        <v>176</v>
      </c>
      <c r="AL980">
        <v>0</v>
      </c>
      <c r="AM980" t="s">
        <v>176</v>
      </c>
      <c r="AN980">
        <v>0</v>
      </c>
    </row>
    <row r="981" spans="1:40" x14ac:dyDescent="0.15">
      <c r="A981" s="4" t="str">
        <f>HYPERLINK("https://ibp.a2mac1.com/costing(costing:projects/details/9760/process/12085985)","MANUFACTURING  PROCESS")</f>
        <v>MANUFACTURING  PROCESS</v>
      </c>
      <c r="B981" t="s">
        <v>4962</v>
      </c>
      <c r="C981">
        <v>12085985</v>
      </c>
      <c r="D981">
        <v>8416554</v>
      </c>
      <c r="E981">
        <v>0.34907267666666669</v>
      </c>
      <c r="F981">
        <v>0</v>
      </c>
      <c r="G981">
        <v>0</v>
      </c>
      <c r="H981">
        <v>7.5475173333333331E-6</v>
      </c>
      <c r="I981" t="s">
        <v>176</v>
      </c>
      <c r="J981">
        <v>1.3208155333333334E-2</v>
      </c>
      <c r="K981">
        <v>0.36228837951733334</v>
      </c>
      <c r="L981">
        <v>1.2228940964449372E-2</v>
      </c>
      <c r="M981">
        <v>7.3373645786696237E-2</v>
      </c>
      <c r="N981">
        <v>0.43566202530402959</v>
      </c>
      <c r="O981" t="s">
        <v>177</v>
      </c>
      <c r="P981">
        <v>2.1737302771039999E-2</v>
      </c>
      <c r="Q981" t="s">
        <v>177</v>
      </c>
      <c r="R981">
        <v>4.4024187472017735E-3</v>
      </c>
      <c r="S981" t="s">
        <v>178</v>
      </c>
      <c r="T981">
        <v>5.2279443036483547E-2</v>
      </c>
      <c r="U981">
        <v>0.51408118985875484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2.0987800000000001</v>
      </c>
      <c r="AB981">
        <v>1</v>
      </c>
      <c r="AC981">
        <v>0</v>
      </c>
      <c r="AD981">
        <v>1.9999600007999841E-3</v>
      </c>
      <c r="AE981">
        <v>5400</v>
      </c>
      <c r="AF981">
        <v>200000</v>
      </c>
      <c r="AG981">
        <v>16666.666666666668</v>
      </c>
      <c r="AH981">
        <v>1</v>
      </c>
      <c r="AI981">
        <v>1</v>
      </c>
      <c r="AJ981" t="s">
        <v>162</v>
      </c>
      <c r="AK981" t="s">
        <v>176</v>
      </c>
      <c r="AL981">
        <v>0</v>
      </c>
      <c r="AM981" t="s">
        <v>176</v>
      </c>
      <c r="AN981">
        <v>0</v>
      </c>
    </row>
    <row r="982" spans="1:40" x14ac:dyDescent="0.15">
      <c r="A982" s="4" t="str">
        <f>HYPERLINK("https://ibp.a2mac1.com/costing(costing:projects/details/9760/process/12085986)","MANUFACTURING  PROCESS")</f>
        <v>MANUFACTURING  PROCESS</v>
      </c>
      <c r="B982" t="s">
        <v>4962</v>
      </c>
      <c r="C982">
        <v>12085986</v>
      </c>
      <c r="D982">
        <v>8416555</v>
      </c>
      <c r="E982">
        <v>0.16134244666666667</v>
      </c>
      <c r="F982">
        <v>0</v>
      </c>
      <c r="G982">
        <v>0</v>
      </c>
      <c r="H982">
        <v>3.4884853333333335E-6</v>
      </c>
      <c r="I982" t="s">
        <v>176</v>
      </c>
      <c r="J982">
        <v>6.104849333333333E-3</v>
      </c>
      <c r="K982">
        <v>0.16745078448533332</v>
      </c>
      <c r="L982">
        <v>1.2228940964449372E-2</v>
      </c>
      <c r="M982">
        <v>7.3373645786696237E-2</v>
      </c>
      <c r="N982">
        <v>0.24082443027202957</v>
      </c>
      <c r="O982" t="s">
        <v>177</v>
      </c>
      <c r="P982">
        <v>1.004704706912E-2</v>
      </c>
      <c r="Q982" t="s">
        <v>177</v>
      </c>
      <c r="R982">
        <v>4.4024187472017735E-3</v>
      </c>
      <c r="S982" t="s">
        <v>178</v>
      </c>
      <c r="T982">
        <v>2.8898931632643548E-2</v>
      </c>
      <c r="U982">
        <v>0.28417282772099489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2.0987800000000001</v>
      </c>
      <c r="AB982">
        <v>1</v>
      </c>
      <c r="AC982">
        <v>0</v>
      </c>
      <c r="AD982">
        <v>1.9999600007999841E-3</v>
      </c>
      <c r="AE982">
        <v>5400</v>
      </c>
      <c r="AF982">
        <v>200000</v>
      </c>
      <c r="AG982">
        <v>16666.666666666668</v>
      </c>
      <c r="AH982">
        <v>1</v>
      </c>
      <c r="AI982">
        <v>1</v>
      </c>
      <c r="AJ982" t="s">
        <v>162</v>
      </c>
      <c r="AK982" t="s">
        <v>176</v>
      </c>
      <c r="AL982">
        <v>0</v>
      </c>
      <c r="AM982" t="s">
        <v>176</v>
      </c>
      <c r="AN982">
        <v>0</v>
      </c>
    </row>
    <row r="983" spans="1:40" x14ac:dyDescent="0.15">
      <c r="A983" s="4" t="str">
        <f>HYPERLINK("https://ibp.a2mac1.com/costing(costing:projects/details/9760/process/12085987)","MANUFACTURING  PROCESS")</f>
        <v>MANUFACTURING  PROCESS</v>
      </c>
      <c r="B983" t="s">
        <v>4962</v>
      </c>
      <c r="C983">
        <v>12085987</v>
      </c>
      <c r="D983">
        <v>8416556</v>
      </c>
      <c r="E983">
        <v>0.45538793500000002</v>
      </c>
      <c r="F983">
        <v>0</v>
      </c>
      <c r="G983">
        <v>0</v>
      </c>
      <c r="H983">
        <v>9.6891050000000005E-6</v>
      </c>
      <c r="I983" t="s">
        <v>176</v>
      </c>
      <c r="J983">
        <v>1.6955933749999999E-2</v>
      </c>
      <c r="K983">
        <v>0.47235355785499999</v>
      </c>
      <c r="L983">
        <v>1.2228940964449372E-2</v>
      </c>
      <c r="M983">
        <v>7.3373645786696237E-2</v>
      </c>
      <c r="N983">
        <v>0.54572720364169625</v>
      </c>
      <c r="O983" t="s">
        <v>177</v>
      </c>
      <c r="P983">
        <v>2.83412134713E-2</v>
      </c>
      <c r="Q983" t="s">
        <v>177</v>
      </c>
      <c r="R983">
        <v>4.4024187472017735E-3</v>
      </c>
      <c r="S983" t="s">
        <v>178</v>
      </c>
      <c r="T983">
        <v>6.5487264437003548E-2</v>
      </c>
      <c r="U983">
        <v>0.64395810029720157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2.0987800000000001</v>
      </c>
      <c r="AB983">
        <v>1</v>
      </c>
      <c r="AC983">
        <v>0</v>
      </c>
      <c r="AD983">
        <v>1.9999600007999841E-3</v>
      </c>
      <c r="AE983">
        <v>5400</v>
      </c>
      <c r="AF983">
        <v>200000</v>
      </c>
      <c r="AG983">
        <v>16666.666666666668</v>
      </c>
      <c r="AH983">
        <v>1</v>
      </c>
      <c r="AI983">
        <v>1</v>
      </c>
      <c r="AJ983" t="s">
        <v>162</v>
      </c>
      <c r="AK983" t="s">
        <v>176</v>
      </c>
      <c r="AL983">
        <v>0</v>
      </c>
      <c r="AM983" t="s">
        <v>176</v>
      </c>
      <c r="AN983">
        <v>0</v>
      </c>
    </row>
    <row r="984" spans="1:40" x14ac:dyDescent="0.15">
      <c r="A984" s="4" t="str">
        <f>HYPERLINK("https://ibp.a2mac1.com/costing(costing:projects/details/9760/process/12086181)","MANUFACTURING  PROCESS")</f>
        <v>MANUFACTURING  PROCESS</v>
      </c>
      <c r="B984" t="s">
        <v>4962</v>
      </c>
      <c r="C984">
        <v>12086181</v>
      </c>
      <c r="D984">
        <v>8416846</v>
      </c>
      <c r="E984">
        <v>3.2322487499999997E-2</v>
      </c>
      <c r="F984">
        <v>0</v>
      </c>
      <c r="G984">
        <v>0</v>
      </c>
      <c r="H984">
        <v>6.8771250000000002E-7</v>
      </c>
      <c r="I984" t="s">
        <v>176</v>
      </c>
      <c r="J984">
        <v>1.2034968750000001E-3</v>
      </c>
      <c r="K984">
        <v>3.3526672087500001E-2</v>
      </c>
      <c r="L984">
        <v>2.3884525316540659E-3</v>
      </c>
      <c r="M984">
        <v>1.4330715189924396E-2</v>
      </c>
      <c r="N984">
        <v>4.7857387277424397E-2</v>
      </c>
      <c r="O984" t="s">
        <v>177</v>
      </c>
      <c r="P984">
        <v>2.0116003252500002E-3</v>
      </c>
      <c r="Q984" t="s">
        <v>177</v>
      </c>
      <c r="R984">
        <v>8.5984291139546386E-4</v>
      </c>
      <c r="S984" t="s">
        <v>178</v>
      </c>
      <c r="T984">
        <v>5.7428864732909273E-3</v>
      </c>
      <c r="U984">
        <v>5.6471716987360789E-2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0.24940999999999999</v>
      </c>
      <c r="AB984">
        <v>2</v>
      </c>
      <c r="AC984">
        <v>0</v>
      </c>
      <c r="AD984">
        <v>1.9999600007999841E-3</v>
      </c>
      <c r="AE984">
        <v>5400</v>
      </c>
      <c r="AF984">
        <v>200000</v>
      </c>
      <c r="AG984">
        <v>16666.666666666668</v>
      </c>
      <c r="AH984">
        <v>1</v>
      </c>
      <c r="AI984">
        <v>1</v>
      </c>
      <c r="AJ984" t="s">
        <v>162</v>
      </c>
      <c r="AK984" t="s">
        <v>176</v>
      </c>
      <c r="AL984">
        <v>0</v>
      </c>
      <c r="AM984" t="s">
        <v>176</v>
      </c>
      <c r="AN984">
        <v>0</v>
      </c>
    </row>
    <row r="985" spans="1:40" x14ac:dyDescent="0.15">
      <c r="A985" s="4" t="str">
        <f>HYPERLINK("https://ibp.a2mac1.com/costing(costing:projects/details/9760/process/12086182)","MANUFACTURING  PROCESS")</f>
        <v>MANUFACTURING  PROCESS</v>
      </c>
      <c r="B985" t="s">
        <v>4962</v>
      </c>
      <c r="C985">
        <v>12086182</v>
      </c>
      <c r="D985">
        <v>8416847</v>
      </c>
      <c r="E985">
        <v>3.2322487499999997E-2</v>
      </c>
      <c r="F985">
        <v>0</v>
      </c>
      <c r="G985">
        <v>0</v>
      </c>
      <c r="H985">
        <v>6.8771250000000002E-7</v>
      </c>
      <c r="I985" t="s">
        <v>176</v>
      </c>
      <c r="J985">
        <v>1.2034968750000001E-3</v>
      </c>
      <c r="K985">
        <v>3.3526672087500001E-2</v>
      </c>
      <c r="L985">
        <v>2.3884525316540659E-3</v>
      </c>
      <c r="M985">
        <v>1.4330715189924396E-2</v>
      </c>
      <c r="N985">
        <v>4.7857387277424397E-2</v>
      </c>
      <c r="O985" t="s">
        <v>177</v>
      </c>
      <c r="P985">
        <v>2.0116003252500002E-3</v>
      </c>
      <c r="Q985" t="s">
        <v>177</v>
      </c>
      <c r="R985">
        <v>8.5984291139546386E-4</v>
      </c>
      <c r="S985" t="s">
        <v>178</v>
      </c>
      <c r="T985">
        <v>5.7428864732909273E-3</v>
      </c>
      <c r="U985">
        <v>5.6471716987360789E-2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0.24940999999999999</v>
      </c>
      <c r="AB985">
        <v>2</v>
      </c>
      <c r="AC985">
        <v>0</v>
      </c>
      <c r="AD985">
        <v>1.9999600007999841E-3</v>
      </c>
      <c r="AE985">
        <v>5400</v>
      </c>
      <c r="AF985">
        <v>200000</v>
      </c>
      <c r="AG985">
        <v>16666.666666666668</v>
      </c>
      <c r="AH985">
        <v>1</v>
      </c>
      <c r="AI985">
        <v>1</v>
      </c>
      <c r="AJ985" t="s">
        <v>162</v>
      </c>
      <c r="AK985" t="s">
        <v>176</v>
      </c>
      <c r="AL985">
        <v>0</v>
      </c>
      <c r="AM985" t="s">
        <v>176</v>
      </c>
      <c r="AN985">
        <v>0</v>
      </c>
    </row>
    <row r="986" spans="1:40" x14ac:dyDescent="0.15">
      <c r="A986" s="4" t="str">
        <f>HYPERLINK("https://ibp.a2mac1.com/costing(costing:projects/details/9760/process/12086183)","MANUFACTURING  PROCESS")</f>
        <v>MANUFACTURING  PROCESS</v>
      </c>
      <c r="B986" t="s">
        <v>4962</v>
      </c>
      <c r="C986">
        <v>12086183</v>
      </c>
      <c r="D986">
        <v>8416848</v>
      </c>
      <c r="E986">
        <v>1.0142078299999999</v>
      </c>
      <c r="F986">
        <v>0</v>
      </c>
      <c r="G986">
        <v>0</v>
      </c>
      <c r="H986">
        <v>2.157889E-5</v>
      </c>
      <c r="I986" t="s">
        <v>176</v>
      </c>
      <c r="J986">
        <v>3.7763057500000002E-2</v>
      </c>
      <c r="K986">
        <v>1.05199246639</v>
      </c>
      <c r="L986">
        <v>1.3850815167047692E-2</v>
      </c>
      <c r="M986">
        <v>8.3104891002286158E-2</v>
      </c>
      <c r="N986">
        <v>1.1350973573922862</v>
      </c>
      <c r="O986" t="s">
        <v>177</v>
      </c>
      <c r="P986">
        <v>6.3119547983399998E-2</v>
      </c>
      <c r="Q986" t="s">
        <v>177</v>
      </c>
      <c r="R986">
        <v>4.9862934601371698E-3</v>
      </c>
      <c r="S986" t="s">
        <v>178</v>
      </c>
      <c r="T986">
        <v>0.13621168288707433</v>
      </c>
      <c r="U986">
        <v>1.3394148817228977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2.42414</v>
      </c>
      <c r="AB986">
        <v>1</v>
      </c>
      <c r="AC986">
        <v>0</v>
      </c>
      <c r="AD986">
        <v>1.9999600007999841E-3</v>
      </c>
      <c r="AE986">
        <v>5400</v>
      </c>
      <c r="AF986">
        <v>200000</v>
      </c>
      <c r="AG986">
        <v>16666.666666666668</v>
      </c>
      <c r="AH986">
        <v>1</v>
      </c>
      <c r="AI986">
        <v>1</v>
      </c>
      <c r="AJ986" t="s">
        <v>162</v>
      </c>
      <c r="AK986" t="s">
        <v>176</v>
      </c>
      <c r="AL986">
        <v>0</v>
      </c>
      <c r="AM986" t="s">
        <v>176</v>
      </c>
      <c r="AN986">
        <v>0</v>
      </c>
    </row>
    <row r="987" spans="1:40" x14ac:dyDescent="0.15">
      <c r="A987" s="4" t="str">
        <f>HYPERLINK("https://ibp.a2mac1.com/costing(costing:projects/details/9760/process/12086184)","MANUFACTURING  PROCESS")</f>
        <v>MANUFACTURING  PROCESS</v>
      </c>
      <c r="B987" t="s">
        <v>4962</v>
      </c>
      <c r="C987">
        <v>12086184</v>
      </c>
      <c r="D987">
        <v>8416849</v>
      </c>
      <c r="E987">
        <v>1.4503092500000001</v>
      </c>
      <c r="F987">
        <v>0</v>
      </c>
      <c r="G987">
        <v>0</v>
      </c>
      <c r="H987">
        <v>3.1874928571428571E-5</v>
      </c>
      <c r="I987" t="s">
        <v>176</v>
      </c>
      <c r="J987">
        <v>5.5781125000000001E-2</v>
      </c>
      <c r="K987">
        <v>1.5061222499285714</v>
      </c>
      <c r="L987">
        <v>1.3850815167047692E-2</v>
      </c>
      <c r="M987">
        <v>8.3104891002286158E-2</v>
      </c>
      <c r="N987">
        <v>1.5892271409308576</v>
      </c>
      <c r="O987" t="s">
        <v>177</v>
      </c>
      <c r="P987">
        <v>9.0367334995714282E-2</v>
      </c>
      <c r="Q987" t="s">
        <v>177</v>
      </c>
      <c r="R987">
        <v>4.9862934601371698E-3</v>
      </c>
      <c r="S987" t="s">
        <v>178</v>
      </c>
      <c r="T987">
        <v>0.1907072569117029</v>
      </c>
      <c r="U987">
        <v>1.875288026298412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2.42414</v>
      </c>
      <c r="AB987">
        <v>1</v>
      </c>
      <c r="AC987">
        <v>0</v>
      </c>
      <c r="AD987">
        <v>1.9999600007999841E-3</v>
      </c>
      <c r="AE987">
        <v>5400</v>
      </c>
      <c r="AF987">
        <v>200000</v>
      </c>
      <c r="AG987">
        <v>16666.666666666668</v>
      </c>
      <c r="AH987">
        <v>1</v>
      </c>
      <c r="AI987">
        <v>1</v>
      </c>
      <c r="AJ987" t="s">
        <v>162</v>
      </c>
      <c r="AK987" t="s">
        <v>176</v>
      </c>
      <c r="AL987">
        <v>0</v>
      </c>
      <c r="AM987" t="s">
        <v>176</v>
      </c>
      <c r="AN987">
        <v>0</v>
      </c>
    </row>
    <row r="988" spans="1:40" x14ac:dyDescent="0.15">
      <c r="A988" s="4" t="str">
        <f>HYPERLINK("https://ibp.a2mac1.com/costing(costing:projects/details/9760/process/12086185)","MANUFACTURING  PROCESS")</f>
        <v>MANUFACTURING  PROCESS</v>
      </c>
      <c r="B988" t="s">
        <v>4962</v>
      </c>
      <c r="C988">
        <v>12086185</v>
      </c>
      <c r="D988">
        <v>8416850</v>
      </c>
      <c r="E988">
        <v>0.65004113750000003</v>
      </c>
      <c r="F988">
        <v>0</v>
      </c>
      <c r="G988">
        <v>0</v>
      </c>
      <c r="H988">
        <v>1.38306625E-5</v>
      </c>
      <c r="I988" t="s">
        <v>176</v>
      </c>
      <c r="J988">
        <v>2.4203659374999999E-2</v>
      </c>
      <c r="K988">
        <v>0.67425862753749999</v>
      </c>
      <c r="L988">
        <v>1.3850815167047692E-2</v>
      </c>
      <c r="M988">
        <v>8.3104891002286158E-2</v>
      </c>
      <c r="N988">
        <v>0.75736351853978612</v>
      </c>
      <c r="O988" t="s">
        <v>177</v>
      </c>
      <c r="P988">
        <v>4.045551765225E-2</v>
      </c>
      <c r="Q988" t="s">
        <v>177</v>
      </c>
      <c r="R988">
        <v>4.9862934601371698E-3</v>
      </c>
      <c r="S988" t="s">
        <v>178</v>
      </c>
      <c r="T988">
        <v>9.0883622224774335E-2</v>
      </c>
      <c r="U988">
        <v>0.89368895187694763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2.42414</v>
      </c>
      <c r="AB988">
        <v>1</v>
      </c>
      <c r="AC988">
        <v>0</v>
      </c>
      <c r="AD988">
        <v>1.9999600007999841E-3</v>
      </c>
      <c r="AE988">
        <v>5400</v>
      </c>
      <c r="AF988">
        <v>200000</v>
      </c>
      <c r="AG988">
        <v>16666.666666666668</v>
      </c>
      <c r="AH988">
        <v>1</v>
      </c>
      <c r="AI988">
        <v>1</v>
      </c>
      <c r="AJ988" t="s">
        <v>162</v>
      </c>
      <c r="AK988" t="s">
        <v>176</v>
      </c>
      <c r="AL988">
        <v>0</v>
      </c>
      <c r="AM988" t="s">
        <v>176</v>
      </c>
      <c r="AN988">
        <v>0</v>
      </c>
    </row>
    <row r="989" spans="1:40" x14ac:dyDescent="0.15">
      <c r="A989" s="4" t="str">
        <f>HYPERLINK("https://ibp.a2mac1.com/costing(costing:projects/details/9760/process/12085988)","MANUFACTURING  PROCESS")</f>
        <v>MANUFACTURING  PROCESS</v>
      </c>
      <c r="B989" t="s">
        <v>4962</v>
      </c>
      <c r="C989">
        <v>12085988</v>
      </c>
      <c r="D989">
        <v>8416561</v>
      </c>
      <c r="E989">
        <v>2.6640912475</v>
      </c>
      <c r="F989">
        <v>0</v>
      </c>
      <c r="G989">
        <v>0</v>
      </c>
      <c r="H989">
        <v>5.6682792500000002E-5</v>
      </c>
      <c r="I989" t="s">
        <v>176</v>
      </c>
      <c r="J989">
        <v>9.9194886874999999E-2</v>
      </c>
      <c r="K989">
        <v>2.7633428171675001</v>
      </c>
      <c r="L989">
        <v>0.24982862648184256</v>
      </c>
      <c r="M989">
        <v>1.4989717588910554</v>
      </c>
      <c r="N989">
        <v>4.2623145760585555</v>
      </c>
      <c r="O989" t="s">
        <v>90</v>
      </c>
      <c r="P989">
        <v>0</v>
      </c>
      <c r="Q989" t="s">
        <v>90</v>
      </c>
      <c r="R989">
        <v>0</v>
      </c>
      <c r="S989" t="s">
        <v>90</v>
      </c>
      <c r="T989">
        <v>0</v>
      </c>
      <c r="U989">
        <v>4.2623145760585555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49.763039999999997</v>
      </c>
      <c r="AB989">
        <v>1</v>
      </c>
      <c r="AC989">
        <v>0</v>
      </c>
      <c r="AD989">
        <v>1.9999600007999841E-3</v>
      </c>
      <c r="AE989">
        <v>5400</v>
      </c>
      <c r="AF989">
        <v>200000</v>
      </c>
      <c r="AG989">
        <v>16666.666666666668</v>
      </c>
      <c r="AH989">
        <v>1</v>
      </c>
      <c r="AI989">
        <v>1</v>
      </c>
      <c r="AJ989" t="s">
        <v>162</v>
      </c>
      <c r="AK989" t="s">
        <v>176</v>
      </c>
      <c r="AL989">
        <v>0</v>
      </c>
      <c r="AM989" t="s">
        <v>176</v>
      </c>
      <c r="AN989">
        <v>0</v>
      </c>
    </row>
    <row r="990" spans="1:40" x14ac:dyDescent="0.15">
      <c r="A990" s="4" t="str">
        <f>HYPERLINK("https://ibp.a2mac1.com/costing(costing:projects/details/9760/process/12085108)","Assembly")</f>
        <v>Assembly</v>
      </c>
      <c r="C990">
        <v>12085108</v>
      </c>
      <c r="D990">
        <v>8415676</v>
      </c>
      <c r="E990">
        <v>0</v>
      </c>
      <c r="F990">
        <v>0</v>
      </c>
      <c r="G990">
        <v>0</v>
      </c>
      <c r="H990">
        <v>0</v>
      </c>
      <c r="I990" t="s">
        <v>176</v>
      </c>
      <c r="J990">
        <v>0</v>
      </c>
      <c r="K990">
        <v>0</v>
      </c>
      <c r="L990">
        <v>0.13158267796558235</v>
      </c>
      <c r="M990">
        <v>0.78949606779349402</v>
      </c>
      <c r="N990">
        <v>0.78949606779349402</v>
      </c>
      <c r="O990" t="s">
        <v>90</v>
      </c>
      <c r="P990">
        <v>0</v>
      </c>
      <c r="Q990" t="s">
        <v>90</v>
      </c>
      <c r="R990">
        <v>0</v>
      </c>
      <c r="S990" t="s">
        <v>90</v>
      </c>
      <c r="T990">
        <v>0</v>
      </c>
      <c r="U990">
        <v>0.78949606779349402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450</v>
      </c>
      <c r="AB990">
        <v>1</v>
      </c>
      <c r="AC990">
        <v>0.1</v>
      </c>
      <c r="AD990">
        <v>0.10987913295375087</v>
      </c>
      <c r="AE990">
        <v>600</v>
      </c>
      <c r="AF990">
        <v>200000</v>
      </c>
      <c r="AG990">
        <v>10000</v>
      </c>
      <c r="AH990">
        <v>1</v>
      </c>
      <c r="AI990">
        <v>1</v>
      </c>
      <c r="AJ990" t="s">
        <v>76</v>
      </c>
      <c r="AK990" t="s">
        <v>176</v>
      </c>
      <c r="AL990">
        <v>0</v>
      </c>
      <c r="AM990" t="s">
        <v>176</v>
      </c>
      <c r="AN990">
        <v>0</v>
      </c>
    </row>
    <row r="991" spans="1:40" x14ac:dyDescent="0.15">
      <c r="A991" s="4" t="str">
        <f>HYPERLINK("https://ibp.a2mac1.com/costing(costing:projects/details/9760/process/12085107)","Injection molding")</f>
        <v>Injection molding</v>
      </c>
      <c r="B991" t="s">
        <v>6273</v>
      </c>
      <c r="C991">
        <v>12085107</v>
      </c>
      <c r="D991">
        <v>8415675</v>
      </c>
      <c r="E991">
        <v>0.92459466334020624</v>
      </c>
      <c r="F991">
        <v>0</v>
      </c>
      <c r="G991">
        <v>0</v>
      </c>
      <c r="H991">
        <v>9.7031125113402066E-4</v>
      </c>
      <c r="I991" t="s">
        <v>176</v>
      </c>
      <c r="J991">
        <v>3.2654705567010306E-2</v>
      </c>
      <c r="K991">
        <v>0.95821968015835046</v>
      </c>
      <c r="L991">
        <v>4.0958812950510494E-2</v>
      </c>
      <c r="M991">
        <v>0.24575287770306295</v>
      </c>
      <c r="N991">
        <v>1.2039725578614136</v>
      </c>
      <c r="O991" t="s">
        <v>177</v>
      </c>
      <c r="P991">
        <v>5.7493180809501034E-2</v>
      </c>
      <c r="Q991" t="s">
        <v>177</v>
      </c>
      <c r="R991">
        <v>1.4745172662183777E-2</v>
      </c>
      <c r="S991" t="s">
        <v>178</v>
      </c>
      <c r="T991">
        <v>0.14447670694336961</v>
      </c>
      <c r="U991">
        <v>1.4206876182764678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22.743970000000001</v>
      </c>
      <c r="AB991">
        <v>1</v>
      </c>
      <c r="AC991">
        <v>0.1</v>
      </c>
      <c r="AD991">
        <v>0.10389195236953569</v>
      </c>
      <c r="AE991">
        <v>14400</v>
      </c>
      <c r="AF991">
        <v>200000</v>
      </c>
      <c r="AG991">
        <v>16666.666666666668</v>
      </c>
      <c r="AH991">
        <v>1</v>
      </c>
      <c r="AI991">
        <v>1</v>
      </c>
      <c r="AJ991" t="s">
        <v>162</v>
      </c>
      <c r="AK991" t="s">
        <v>176</v>
      </c>
      <c r="AL991">
        <v>0</v>
      </c>
      <c r="AM991" t="s">
        <v>176</v>
      </c>
      <c r="AN991">
        <v>0</v>
      </c>
    </row>
    <row r="992" spans="1:40" x14ac:dyDescent="0.15">
      <c r="A992" s="4" t="str">
        <f>HYPERLINK("https://ibp.a2mac1.com/costing(costing:projects/details/9760/process/12085065)","Assembly")</f>
        <v>Assembly</v>
      </c>
      <c r="C992">
        <v>12085065</v>
      </c>
      <c r="D992">
        <v>8415586</v>
      </c>
      <c r="E992">
        <v>0</v>
      </c>
      <c r="F992">
        <v>0</v>
      </c>
      <c r="G992">
        <v>0</v>
      </c>
      <c r="H992">
        <v>0</v>
      </c>
      <c r="I992" t="s">
        <v>90</v>
      </c>
      <c r="J992">
        <v>0</v>
      </c>
      <c r="K992">
        <v>0</v>
      </c>
      <c r="L992">
        <v>0</v>
      </c>
      <c r="M992">
        <v>0.6579133898279117</v>
      </c>
      <c r="N992">
        <v>0.6579133898279117</v>
      </c>
      <c r="O992" t="s">
        <v>90</v>
      </c>
      <c r="P992">
        <v>0</v>
      </c>
      <c r="Q992" t="s">
        <v>90</v>
      </c>
      <c r="R992">
        <v>0</v>
      </c>
      <c r="S992" t="s">
        <v>90</v>
      </c>
      <c r="T992">
        <v>0</v>
      </c>
      <c r="U992">
        <v>0.6579133898279117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450</v>
      </c>
      <c r="AB992">
        <v>1</v>
      </c>
      <c r="AC992">
        <v>0.1</v>
      </c>
      <c r="AD992">
        <v>0.10987913295375087</v>
      </c>
      <c r="AE992">
        <v>600</v>
      </c>
      <c r="AF992">
        <v>200000</v>
      </c>
      <c r="AG992">
        <v>10000</v>
      </c>
      <c r="AH992">
        <v>1</v>
      </c>
      <c r="AI992">
        <v>1</v>
      </c>
      <c r="AJ992" t="s">
        <v>76</v>
      </c>
      <c r="AK992" t="s">
        <v>90</v>
      </c>
      <c r="AL992">
        <v>0</v>
      </c>
      <c r="AM992" t="s">
        <v>90</v>
      </c>
      <c r="AN992">
        <v>0</v>
      </c>
    </row>
    <row r="993" spans="1:40" x14ac:dyDescent="0.15">
      <c r="A993" s="4" t="str">
        <f>HYPERLINK("https://ibp.a2mac1.com/costing(costing:projects/details/9760/process/12085989)","MANUFACTURING  PROCESS")</f>
        <v>MANUFACTURING  PROCESS</v>
      </c>
      <c r="B993" t="s">
        <v>4962</v>
      </c>
      <c r="C993">
        <v>12085989</v>
      </c>
      <c r="D993">
        <v>8416562</v>
      </c>
      <c r="E993">
        <v>3.1934617649999999</v>
      </c>
      <c r="F993">
        <v>0</v>
      </c>
      <c r="G993">
        <v>0</v>
      </c>
      <c r="H993">
        <v>6.7945994999999996E-5</v>
      </c>
      <c r="I993" t="s">
        <v>176</v>
      </c>
      <c r="J993">
        <v>0.11890549124999999</v>
      </c>
      <c r="K993">
        <v>3.3124352022450001</v>
      </c>
      <c r="L993">
        <v>0.24982862648184256</v>
      </c>
      <c r="M993">
        <v>1.4989717588910554</v>
      </c>
      <c r="N993">
        <v>4.811406961136055</v>
      </c>
      <c r="O993" t="s">
        <v>90</v>
      </c>
      <c r="P993">
        <v>0</v>
      </c>
      <c r="Q993" t="s">
        <v>90</v>
      </c>
      <c r="R993">
        <v>0</v>
      </c>
      <c r="S993" t="s">
        <v>90</v>
      </c>
      <c r="T993">
        <v>0</v>
      </c>
      <c r="U993">
        <v>4.811406961136055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49.763039999999997</v>
      </c>
      <c r="AB993">
        <v>1</v>
      </c>
      <c r="AC993">
        <v>0</v>
      </c>
      <c r="AD993">
        <v>1.9999600007999841E-3</v>
      </c>
      <c r="AE993">
        <v>5400</v>
      </c>
      <c r="AF993">
        <v>200000</v>
      </c>
      <c r="AG993">
        <v>16666.666666666668</v>
      </c>
      <c r="AH993">
        <v>1</v>
      </c>
      <c r="AI993">
        <v>1</v>
      </c>
      <c r="AJ993" t="s">
        <v>162</v>
      </c>
      <c r="AK993" t="s">
        <v>176</v>
      </c>
      <c r="AL993">
        <v>0</v>
      </c>
      <c r="AM993" t="s">
        <v>176</v>
      </c>
      <c r="AN993">
        <v>0</v>
      </c>
    </row>
    <row r="994" spans="1:40" x14ac:dyDescent="0.15">
      <c r="A994" s="4" t="str">
        <f>HYPERLINK("https://ibp.a2mac1.com/costing(costing:projects/details/9760/process/12085990)","MANUFACTURING  PROCESS")</f>
        <v>MANUFACTURING  PROCESS</v>
      </c>
      <c r="B994" t="s">
        <v>4962</v>
      </c>
      <c r="C994">
        <v>12085990</v>
      </c>
      <c r="D994">
        <v>8416563</v>
      </c>
      <c r="E994">
        <v>0.35435023333333332</v>
      </c>
      <c r="F994">
        <v>0</v>
      </c>
      <c r="G994">
        <v>0</v>
      </c>
      <c r="H994">
        <v>7.661626666666667E-6</v>
      </c>
      <c r="I994" t="s">
        <v>176</v>
      </c>
      <c r="J994">
        <v>1.3407846666666667E-2</v>
      </c>
      <c r="K994">
        <v>0.36776574162666664</v>
      </c>
      <c r="L994">
        <v>1.2228940964449372E-2</v>
      </c>
      <c r="M994">
        <v>7.3373645786696237E-2</v>
      </c>
      <c r="N994">
        <v>0.44113938741336289</v>
      </c>
      <c r="O994" t="s">
        <v>177</v>
      </c>
      <c r="P994">
        <v>2.20659444976E-2</v>
      </c>
      <c r="Q994" t="s">
        <v>177</v>
      </c>
      <c r="R994">
        <v>4.4024187472017735E-3</v>
      </c>
      <c r="S994" t="s">
        <v>178</v>
      </c>
      <c r="T994">
        <v>5.2936726489603549E-2</v>
      </c>
      <c r="U994">
        <v>0.52054447714776819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2.0987800000000001</v>
      </c>
      <c r="AB994">
        <v>1</v>
      </c>
      <c r="AC994">
        <v>0</v>
      </c>
      <c r="AD994">
        <v>1.9999600007999841E-3</v>
      </c>
      <c r="AE994">
        <v>5400</v>
      </c>
      <c r="AF994">
        <v>200000</v>
      </c>
      <c r="AG994">
        <v>16666.666666666668</v>
      </c>
      <c r="AH994">
        <v>1</v>
      </c>
      <c r="AI994">
        <v>1</v>
      </c>
      <c r="AJ994" t="s">
        <v>162</v>
      </c>
      <c r="AK994" t="s">
        <v>176</v>
      </c>
      <c r="AL994">
        <v>0</v>
      </c>
      <c r="AM994" t="s">
        <v>176</v>
      </c>
      <c r="AN994">
        <v>0</v>
      </c>
    </row>
    <row r="995" spans="1:40" x14ac:dyDescent="0.15">
      <c r="A995" s="4" t="str">
        <f>HYPERLINK("https://ibp.a2mac1.com/costing(costing:projects/details/9760/process/12085991)","MANUFACTURING  PROCESS")</f>
        <v>MANUFACTURING  PROCESS</v>
      </c>
      <c r="B995" t="s">
        <v>4962</v>
      </c>
      <c r="C995">
        <v>12085991</v>
      </c>
      <c r="D995">
        <v>8416564</v>
      </c>
      <c r="E995">
        <v>0.21487195000000001</v>
      </c>
      <c r="F995">
        <v>0</v>
      </c>
      <c r="G995">
        <v>0</v>
      </c>
      <c r="H995">
        <v>4.6458800000000001E-6</v>
      </c>
      <c r="I995" t="s">
        <v>176</v>
      </c>
      <c r="J995">
        <v>8.1302900000000001E-3</v>
      </c>
      <c r="K995">
        <v>0.22300688588000001</v>
      </c>
      <c r="L995">
        <v>1.2228940964449372E-2</v>
      </c>
      <c r="M995">
        <v>7.3373645786696237E-2</v>
      </c>
      <c r="N995">
        <v>0.29638053166669626</v>
      </c>
      <c r="O995" t="s">
        <v>177</v>
      </c>
      <c r="P995">
        <v>1.3380413152800001E-2</v>
      </c>
      <c r="Q995" t="s">
        <v>177</v>
      </c>
      <c r="R995">
        <v>4.4024187472017735E-3</v>
      </c>
      <c r="S995" t="s">
        <v>178</v>
      </c>
      <c r="T995">
        <v>3.5565663800003547E-2</v>
      </c>
      <c r="U995">
        <v>0.34972902736670153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2.0987800000000001</v>
      </c>
      <c r="AB995">
        <v>1</v>
      </c>
      <c r="AC995">
        <v>0</v>
      </c>
      <c r="AD995">
        <v>1.9999600007999841E-3</v>
      </c>
      <c r="AE995">
        <v>5400</v>
      </c>
      <c r="AF995">
        <v>200000</v>
      </c>
      <c r="AG995">
        <v>16666.666666666668</v>
      </c>
      <c r="AH995">
        <v>1</v>
      </c>
      <c r="AI995">
        <v>1</v>
      </c>
      <c r="AJ995" t="s">
        <v>162</v>
      </c>
      <c r="AK995" t="s">
        <v>176</v>
      </c>
      <c r="AL995">
        <v>0</v>
      </c>
      <c r="AM995" t="s">
        <v>176</v>
      </c>
      <c r="AN995">
        <v>0</v>
      </c>
    </row>
    <row r="996" spans="1:40" x14ac:dyDescent="0.15">
      <c r="A996" s="4" t="str">
        <f>HYPERLINK("https://ibp.a2mac1.com/costing(costing:projects/details/9760/process/12085992)","MANUFACTURING  PROCESS")</f>
        <v>MANUFACTURING  PROCESS</v>
      </c>
      <c r="B996" t="s">
        <v>4962</v>
      </c>
      <c r="C996">
        <v>12085992</v>
      </c>
      <c r="D996">
        <v>8416565</v>
      </c>
      <c r="E996">
        <v>0.10127712749999999</v>
      </c>
      <c r="F996">
        <v>0</v>
      </c>
      <c r="G996">
        <v>0</v>
      </c>
      <c r="H996">
        <v>2.1548324999999998E-6</v>
      </c>
      <c r="I996" t="s">
        <v>176</v>
      </c>
      <c r="J996">
        <v>3.7709568750000002E-3</v>
      </c>
      <c r="K996">
        <v>0.10505023920750001</v>
      </c>
      <c r="L996">
        <v>1.2228940964449372E-2</v>
      </c>
      <c r="M996">
        <v>7.3373645786696237E-2</v>
      </c>
      <c r="N996">
        <v>0.17842388499419623</v>
      </c>
      <c r="O996" t="s">
        <v>177</v>
      </c>
      <c r="P996">
        <v>6.3030143524499998E-3</v>
      </c>
      <c r="Q996" t="s">
        <v>177</v>
      </c>
      <c r="R996">
        <v>4.4024187472017735E-3</v>
      </c>
      <c r="S996" t="s">
        <v>178</v>
      </c>
      <c r="T996">
        <v>2.1410866199303547E-2</v>
      </c>
      <c r="U996">
        <v>0.21054018429315155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2.0987800000000001</v>
      </c>
      <c r="AB996">
        <v>1</v>
      </c>
      <c r="AC996">
        <v>0</v>
      </c>
      <c r="AD996">
        <v>1.9999600007999841E-3</v>
      </c>
      <c r="AE996">
        <v>5400</v>
      </c>
      <c r="AF996">
        <v>200000</v>
      </c>
      <c r="AG996">
        <v>16666.666666666668</v>
      </c>
      <c r="AH996">
        <v>1</v>
      </c>
      <c r="AI996">
        <v>1</v>
      </c>
      <c r="AJ996" t="s">
        <v>162</v>
      </c>
      <c r="AK996" t="s">
        <v>176</v>
      </c>
      <c r="AL996">
        <v>0</v>
      </c>
      <c r="AM996" t="s">
        <v>176</v>
      </c>
      <c r="AN996">
        <v>0</v>
      </c>
    </row>
    <row r="997" spans="1:40" x14ac:dyDescent="0.15">
      <c r="A997" s="4" t="str">
        <f>HYPERLINK("https://ibp.a2mac1.com/costing(costing:projects/details/9760/process/12085993)","MANUFACTURING  PROCESS")</f>
        <v>MANUFACTURING  PROCESS</v>
      </c>
      <c r="B997" t="s">
        <v>4962</v>
      </c>
      <c r="C997">
        <v>12085993</v>
      </c>
      <c r="D997">
        <v>8416566</v>
      </c>
      <c r="E997">
        <v>0.116360955</v>
      </c>
      <c r="F997">
        <v>0</v>
      </c>
      <c r="G997">
        <v>0</v>
      </c>
      <c r="H997">
        <v>2.4757650000000002E-6</v>
      </c>
      <c r="I997" t="s">
        <v>176</v>
      </c>
      <c r="J997">
        <v>4.3325887499999997E-3</v>
      </c>
      <c r="K997">
        <v>0.120696019515</v>
      </c>
      <c r="L997">
        <v>1.2228940964449372E-2</v>
      </c>
      <c r="M997">
        <v>7.3373645786696237E-2</v>
      </c>
      <c r="N997">
        <v>0.19406966530169623</v>
      </c>
      <c r="O997" t="s">
        <v>177</v>
      </c>
      <c r="P997">
        <v>7.2417611709000001E-3</v>
      </c>
      <c r="Q997" t="s">
        <v>177</v>
      </c>
      <c r="R997">
        <v>4.4024187472017735E-3</v>
      </c>
      <c r="S997" t="s">
        <v>178</v>
      </c>
      <c r="T997">
        <v>2.3288359836203549E-2</v>
      </c>
      <c r="U997">
        <v>0.22900220505600155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2.0987800000000001</v>
      </c>
      <c r="AB997">
        <v>1</v>
      </c>
      <c r="AC997">
        <v>0</v>
      </c>
      <c r="AD997">
        <v>1.9999600007999841E-3</v>
      </c>
      <c r="AE997">
        <v>5400</v>
      </c>
      <c r="AF997">
        <v>200000</v>
      </c>
      <c r="AG997">
        <v>16666.666666666668</v>
      </c>
      <c r="AH997">
        <v>1</v>
      </c>
      <c r="AI997">
        <v>1</v>
      </c>
      <c r="AJ997" t="s">
        <v>162</v>
      </c>
      <c r="AK997" t="s">
        <v>176</v>
      </c>
      <c r="AL997">
        <v>0</v>
      </c>
      <c r="AM997" t="s">
        <v>176</v>
      </c>
      <c r="AN997">
        <v>0</v>
      </c>
    </row>
    <row r="998" spans="1:40" x14ac:dyDescent="0.15">
      <c r="A998" s="4" t="str">
        <f>HYPERLINK("https://ibp.a2mac1.com/costing(costing:projects/details/9760/process/12085994)","MANUFACTURING  PROCESS")</f>
        <v>MANUFACTURING  PROCESS</v>
      </c>
      <c r="B998" t="s">
        <v>4962</v>
      </c>
      <c r="C998">
        <v>12085994</v>
      </c>
      <c r="D998">
        <v>8416567</v>
      </c>
      <c r="E998">
        <v>0.45058923000000001</v>
      </c>
      <c r="F998">
        <v>0</v>
      </c>
      <c r="G998">
        <v>0</v>
      </c>
      <c r="H998">
        <v>9.9030600000000007E-6</v>
      </c>
      <c r="I998" t="s">
        <v>176</v>
      </c>
      <c r="J998">
        <v>1.7330354999999999E-2</v>
      </c>
      <c r="K998">
        <v>0.46792948806000001</v>
      </c>
      <c r="L998">
        <v>1.2228940964449372E-2</v>
      </c>
      <c r="M998">
        <v>7.3373645786696237E-2</v>
      </c>
      <c r="N998">
        <v>0.54130313384669626</v>
      </c>
      <c r="O998" t="s">
        <v>177</v>
      </c>
      <c r="P998">
        <v>2.8075769283600002E-2</v>
      </c>
      <c r="Q998" t="s">
        <v>177</v>
      </c>
      <c r="R998">
        <v>4.4024187472017735E-3</v>
      </c>
      <c r="S998" t="s">
        <v>178</v>
      </c>
      <c r="T998">
        <v>6.4956376061603552E-2</v>
      </c>
      <c r="U998">
        <v>0.63873769793910151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2.0987800000000001</v>
      </c>
      <c r="AB998">
        <v>1</v>
      </c>
      <c r="AC998">
        <v>0</v>
      </c>
      <c r="AD998">
        <v>1.9999600007999841E-3</v>
      </c>
      <c r="AE998">
        <v>5400</v>
      </c>
      <c r="AF998">
        <v>200000</v>
      </c>
      <c r="AG998">
        <v>16666.666666666668</v>
      </c>
      <c r="AH998">
        <v>1</v>
      </c>
      <c r="AI998">
        <v>1</v>
      </c>
      <c r="AJ998" t="s">
        <v>162</v>
      </c>
      <c r="AK998" t="s">
        <v>176</v>
      </c>
      <c r="AL998">
        <v>0</v>
      </c>
      <c r="AM998" t="s">
        <v>176</v>
      </c>
      <c r="AN998">
        <v>0</v>
      </c>
    </row>
    <row r="999" spans="1:40" x14ac:dyDescent="0.15">
      <c r="A999" s="4" t="str">
        <f>HYPERLINK("https://ibp.a2mac1.com/costing(costing:projects/details/9760/process/12086186)","MANUFACTURING  PROCESS")</f>
        <v>MANUFACTURING  PROCESS</v>
      </c>
      <c r="B999" t="s">
        <v>4962</v>
      </c>
      <c r="C999">
        <v>12086186</v>
      </c>
      <c r="D999">
        <v>8416851</v>
      </c>
      <c r="E999">
        <v>3.2322487499999997E-2</v>
      </c>
      <c r="F999">
        <v>0</v>
      </c>
      <c r="G999">
        <v>0</v>
      </c>
      <c r="H999">
        <v>6.8771250000000002E-7</v>
      </c>
      <c r="I999" t="s">
        <v>176</v>
      </c>
      <c r="J999">
        <v>1.2034968750000001E-3</v>
      </c>
      <c r="K999">
        <v>3.3526672087500001E-2</v>
      </c>
      <c r="L999">
        <v>2.3884525316540659E-3</v>
      </c>
      <c r="M999">
        <v>1.4330715189924396E-2</v>
      </c>
      <c r="N999">
        <v>4.7857387277424397E-2</v>
      </c>
      <c r="O999" t="s">
        <v>177</v>
      </c>
      <c r="P999">
        <v>2.0116003252500002E-3</v>
      </c>
      <c r="Q999" t="s">
        <v>177</v>
      </c>
      <c r="R999">
        <v>8.5984291139546386E-4</v>
      </c>
      <c r="S999" t="s">
        <v>178</v>
      </c>
      <c r="T999">
        <v>5.7428864732909273E-3</v>
      </c>
      <c r="U999">
        <v>5.6471716987360789E-2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0.24940999999999999</v>
      </c>
      <c r="AB999">
        <v>2</v>
      </c>
      <c r="AC999">
        <v>0</v>
      </c>
      <c r="AD999">
        <v>1.9999600007999841E-3</v>
      </c>
      <c r="AE999">
        <v>5400</v>
      </c>
      <c r="AF999">
        <v>200000</v>
      </c>
      <c r="AG999">
        <v>16666.666666666668</v>
      </c>
      <c r="AH999">
        <v>1</v>
      </c>
      <c r="AI999">
        <v>1</v>
      </c>
      <c r="AJ999" t="s">
        <v>162</v>
      </c>
      <c r="AK999" t="s">
        <v>176</v>
      </c>
      <c r="AL999">
        <v>0</v>
      </c>
      <c r="AM999" t="s">
        <v>176</v>
      </c>
      <c r="AN999">
        <v>0</v>
      </c>
    </row>
    <row r="1000" spans="1:40" x14ac:dyDescent="0.15">
      <c r="A1000" s="4" t="str">
        <f>HYPERLINK("https://ibp.a2mac1.com/costing(costing:projects/details/9760/process/12086187)","MANUFACTURING  PROCESS")</f>
        <v>MANUFACTURING  PROCESS</v>
      </c>
      <c r="B1000" t="s">
        <v>4962</v>
      </c>
      <c r="C1000">
        <v>12086187</v>
      </c>
      <c r="D1000">
        <v>8416852</v>
      </c>
      <c r="E1000">
        <v>3.2322487499999997E-2</v>
      </c>
      <c r="F1000">
        <v>0</v>
      </c>
      <c r="G1000">
        <v>0</v>
      </c>
      <c r="H1000">
        <v>6.8771250000000002E-7</v>
      </c>
      <c r="I1000" t="s">
        <v>176</v>
      </c>
      <c r="J1000">
        <v>1.2034968750000001E-3</v>
      </c>
      <c r="K1000">
        <v>3.3526672087500001E-2</v>
      </c>
      <c r="L1000">
        <v>2.3884525316540659E-3</v>
      </c>
      <c r="M1000">
        <v>1.4330715189924396E-2</v>
      </c>
      <c r="N1000">
        <v>4.7857387277424397E-2</v>
      </c>
      <c r="O1000" t="s">
        <v>177</v>
      </c>
      <c r="P1000">
        <v>2.0116003252500002E-3</v>
      </c>
      <c r="Q1000" t="s">
        <v>177</v>
      </c>
      <c r="R1000">
        <v>8.5984291139546386E-4</v>
      </c>
      <c r="S1000" t="s">
        <v>178</v>
      </c>
      <c r="T1000">
        <v>5.7428864732909273E-3</v>
      </c>
      <c r="U1000">
        <v>5.6471716987360789E-2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0.24940999999999999</v>
      </c>
      <c r="AB1000">
        <v>2</v>
      </c>
      <c r="AC1000">
        <v>0</v>
      </c>
      <c r="AD1000">
        <v>1.9999600007999841E-3</v>
      </c>
      <c r="AE1000">
        <v>5400</v>
      </c>
      <c r="AF1000">
        <v>200000</v>
      </c>
      <c r="AG1000">
        <v>16666.666666666668</v>
      </c>
      <c r="AH1000">
        <v>1</v>
      </c>
      <c r="AI1000">
        <v>1</v>
      </c>
      <c r="AJ1000" t="s">
        <v>162</v>
      </c>
      <c r="AK1000" t="s">
        <v>176</v>
      </c>
      <c r="AL1000">
        <v>0</v>
      </c>
      <c r="AM1000" t="s">
        <v>176</v>
      </c>
      <c r="AN1000">
        <v>0</v>
      </c>
    </row>
    <row r="1001" spans="1:40" x14ac:dyDescent="0.15">
      <c r="A1001" s="4" t="str">
        <f>HYPERLINK("https://ibp.a2mac1.com/costing(costing:projects/details/9760/process/12086188)","MANUFACTURING  PROCESS")</f>
        <v>MANUFACTURING  PROCESS</v>
      </c>
      <c r="B1001" t="s">
        <v>4962</v>
      </c>
      <c r="C1001">
        <v>12086188</v>
      </c>
      <c r="D1001">
        <v>8416853</v>
      </c>
      <c r="E1001">
        <v>1.2332824675</v>
      </c>
      <c r="F1001">
        <v>0</v>
      </c>
      <c r="G1001">
        <v>0</v>
      </c>
      <c r="H1001">
        <v>2.62400525E-5</v>
      </c>
      <c r="I1001" t="s">
        <v>176</v>
      </c>
      <c r="J1001">
        <v>4.5920091874999999E-2</v>
      </c>
      <c r="K1001">
        <v>1.2792287994275</v>
      </c>
      <c r="L1001">
        <v>2.1317587816820249E-2</v>
      </c>
      <c r="M1001">
        <v>0.1279055269009215</v>
      </c>
      <c r="N1001">
        <v>1.4071343263284215</v>
      </c>
      <c r="O1001" t="s">
        <v>177</v>
      </c>
      <c r="P1001">
        <v>7.6753727965649998E-2</v>
      </c>
      <c r="Q1001" t="s">
        <v>177</v>
      </c>
      <c r="R1001">
        <v>7.6743316140552896E-3</v>
      </c>
      <c r="S1001" t="s">
        <v>178</v>
      </c>
      <c r="T1001">
        <v>0.16885611915941057</v>
      </c>
      <c r="U1001">
        <v>1.6604185050675373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3.9220299999999999</v>
      </c>
      <c r="AB1001">
        <v>1</v>
      </c>
      <c r="AC1001">
        <v>0</v>
      </c>
      <c r="AD1001">
        <v>1.9999600007999841E-3</v>
      </c>
      <c r="AE1001">
        <v>5400</v>
      </c>
      <c r="AF1001">
        <v>200000</v>
      </c>
      <c r="AG1001">
        <v>16666.666666666668</v>
      </c>
      <c r="AH1001">
        <v>1</v>
      </c>
      <c r="AI1001">
        <v>1</v>
      </c>
      <c r="AJ1001" t="s">
        <v>162</v>
      </c>
      <c r="AK1001" t="s">
        <v>176</v>
      </c>
      <c r="AL1001">
        <v>0</v>
      </c>
      <c r="AM1001" t="s">
        <v>176</v>
      </c>
      <c r="AN1001">
        <v>0</v>
      </c>
    </row>
    <row r="1002" spans="1:40" x14ac:dyDescent="0.15">
      <c r="A1002" s="4" t="str">
        <f>HYPERLINK("https://ibp.a2mac1.com/costing(costing:projects/details/9760/process/12085995)","MANUFACTURING  PROCESS")</f>
        <v>MANUFACTURING  PROCESS</v>
      </c>
      <c r="B1002" t="s">
        <v>4962</v>
      </c>
      <c r="C1002">
        <v>12085995</v>
      </c>
      <c r="D1002">
        <v>8416570</v>
      </c>
      <c r="E1002">
        <v>6.9138030000000003E-2</v>
      </c>
      <c r="F1002">
        <v>0</v>
      </c>
      <c r="G1002">
        <v>0</v>
      </c>
      <c r="H1002">
        <v>1.5195171428571429E-6</v>
      </c>
      <c r="I1002" t="s">
        <v>176</v>
      </c>
      <c r="J1002">
        <v>2.6591549999999999E-3</v>
      </c>
      <c r="K1002">
        <v>7.1798704517142861E-2</v>
      </c>
      <c r="L1002">
        <v>4.9079754834314279E-3</v>
      </c>
      <c r="M1002">
        <v>2.9447852900588566E-2</v>
      </c>
      <c r="N1002">
        <v>0.10124655741773142</v>
      </c>
      <c r="O1002" t="s">
        <v>177</v>
      </c>
      <c r="P1002">
        <v>4.3079222710285716E-3</v>
      </c>
      <c r="Q1002" t="s">
        <v>177</v>
      </c>
      <c r="R1002">
        <v>1.7668711740353141E-3</v>
      </c>
      <c r="S1002" t="s">
        <v>178</v>
      </c>
      <c r="T1002">
        <v>1.2149586890127771E-2</v>
      </c>
      <c r="U1002">
        <v>0.11947093775292308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1.2602800000000001</v>
      </c>
      <c r="AB1002">
        <v>2</v>
      </c>
      <c r="AC1002">
        <v>0</v>
      </c>
      <c r="AD1002">
        <v>1.9999600007999841E-3</v>
      </c>
      <c r="AE1002">
        <v>5400</v>
      </c>
      <c r="AF1002">
        <v>200000</v>
      </c>
      <c r="AG1002">
        <v>16666.666666666668</v>
      </c>
      <c r="AH1002">
        <v>1</v>
      </c>
      <c r="AI1002">
        <v>1</v>
      </c>
      <c r="AJ1002" t="s">
        <v>162</v>
      </c>
      <c r="AK1002" t="s">
        <v>176</v>
      </c>
      <c r="AL1002">
        <v>0</v>
      </c>
      <c r="AM1002" t="s">
        <v>176</v>
      </c>
      <c r="AN1002">
        <v>0</v>
      </c>
    </row>
    <row r="1003" spans="1:40" x14ac:dyDescent="0.15">
      <c r="A1003" s="4" t="str">
        <f>HYPERLINK("https://ibp.a2mac1.com/costing(costing:projects/details/9760/process/12086442)","MANUFACTURING  PROCESS")</f>
        <v>MANUFACTURING  PROCESS</v>
      </c>
      <c r="B1003" t="s">
        <v>4962</v>
      </c>
      <c r="C1003">
        <v>12086442</v>
      </c>
      <c r="D1003">
        <v>8417264</v>
      </c>
      <c r="E1003">
        <v>0.13431789250000001</v>
      </c>
      <c r="F1003">
        <v>0</v>
      </c>
      <c r="G1003">
        <v>0</v>
      </c>
      <c r="H1003">
        <v>2.8578275000000002E-6</v>
      </c>
      <c r="I1003" t="s">
        <v>176</v>
      </c>
      <c r="J1003">
        <v>5.001198125E-3</v>
      </c>
      <c r="K1003">
        <v>0.13932194845250001</v>
      </c>
      <c r="L1003">
        <v>4.0900761719984691E-2</v>
      </c>
      <c r="M1003">
        <v>0.24540457031990814</v>
      </c>
      <c r="N1003">
        <v>0.38472651877240815</v>
      </c>
      <c r="O1003" t="s">
        <v>177</v>
      </c>
      <c r="P1003">
        <v>8.3593169071499995E-3</v>
      </c>
      <c r="Q1003" t="s">
        <v>177</v>
      </c>
      <c r="R1003">
        <v>1.4724274219194488E-2</v>
      </c>
      <c r="S1003" t="s">
        <v>178</v>
      </c>
      <c r="T1003">
        <v>4.6167182252688975E-2</v>
      </c>
      <c r="U1003">
        <v>0.45397729215144161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7.8505599999999998</v>
      </c>
      <c r="AB1003">
        <v>1</v>
      </c>
      <c r="AC1003">
        <v>0</v>
      </c>
      <c r="AD1003">
        <v>1.9999600007999841E-3</v>
      </c>
      <c r="AE1003">
        <v>5400</v>
      </c>
      <c r="AF1003">
        <v>200000</v>
      </c>
      <c r="AG1003">
        <v>16666.666666666668</v>
      </c>
      <c r="AH1003">
        <v>1</v>
      </c>
      <c r="AI1003">
        <v>1</v>
      </c>
      <c r="AJ1003" t="s">
        <v>162</v>
      </c>
      <c r="AK1003" t="s">
        <v>176</v>
      </c>
      <c r="AL1003">
        <v>0</v>
      </c>
      <c r="AM1003" t="s">
        <v>176</v>
      </c>
      <c r="AN1003">
        <v>0</v>
      </c>
    </row>
    <row r="1004" spans="1:40" x14ac:dyDescent="0.15">
      <c r="A1004" s="4" t="str">
        <f>HYPERLINK("https://ibp.a2mac1.com/costing(costing:projects/details/9760/process/12086443)","MANUFACTURING  PROCESS")</f>
        <v>MANUFACTURING  PROCESS</v>
      </c>
      <c r="B1004" t="s">
        <v>4962</v>
      </c>
      <c r="C1004">
        <v>12086443</v>
      </c>
      <c r="D1004">
        <v>8417265</v>
      </c>
      <c r="E1004">
        <v>6.8178759230769229E-2</v>
      </c>
      <c r="F1004">
        <v>0</v>
      </c>
      <c r="G1004">
        <v>0</v>
      </c>
      <c r="H1004">
        <v>1.5235476923076922E-6</v>
      </c>
      <c r="I1004" t="s">
        <v>176</v>
      </c>
      <c r="J1004">
        <v>2.6662084615384617E-3</v>
      </c>
      <c r="K1004">
        <v>7.0846491240000004E-2</v>
      </c>
      <c r="L1004">
        <v>3.0616828624627588E-3</v>
      </c>
      <c r="M1004">
        <v>1.8370097174776553E-2</v>
      </c>
      <c r="N1004">
        <v>8.921658841477656E-2</v>
      </c>
      <c r="O1004" t="s">
        <v>177</v>
      </c>
      <c r="P1004">
        <v>4.2507894743999998E-3</v>
      </c>
      <c r="Q1004" t="s">
        <v>177</v>
      </c>
      <c r="R1004">
        <v>1.1022058304865931E-3</v>
      </c>
      <c r="S1004" t="s">
        <v>178</v>
      </c>
      <c r="T1004">
        <v>1.0705990609773187E-2</v>
      </c>
      <c r="U1004">
        <v>0.10527557432943634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0.51951999999999998</v>
      </c>
      <c r="AB1004">
        <v>2</v>
      </c>
      <c r="AC1004">
        <v>0</v>
      </c>
      <c r="AD1004">
        <v>1.9999600007999841E-3</v>
      </c>
      <c r="AE1004">
        <v>5400</v>
      </c>
      <c r="AF1004">
        <v>200000</v>
      </c>
      <c r="AG1004">
        <v>16666.666666666668</v>
      </c>
      <c r="AH1004">
        <v>1</v>
      </c>
      <c r="AI1004">
        <v>1</v>
      </c>
      <c r="AJ1004" t="s">
        <v>162</v>
      </c>
      <c r="AK1004" t="s">
        <v>176</v>
      </c>
      <c r="AL1004">
        <v>0</v>
      </c>
      <c r="AM1004" t="s">
        <v>176</v>
      </c>
      <c r="AN1004">
        <v>0</v>
      </c>
    </row>
    <row r="1005" spans="1:40" x14ac:dyDescent="0.15">
      <c r="A1005" s="4" t="str">
        <f>HYPERLINK("https://ibp.a2mac1.com/costing(costing:projects/details/9760/process/12086189)","MANUFACTURING  PROCESS")</f>
        <v>MANUFACTURING  PROCESS</v>
      </c>
      <c r="B1005" t="s">
        <v>4962</v>
      </c>
      <c r="C1005">
        <v>12086189</v>
      </c>
      <c r="D1005">
        <v>8416856</v>
      </c>
      <c r="E1005">
        <v>1.3986544000000001</v>
      </c>
      <c r="F1005">
        <v>0</v>
      </c>
      <c r="G1005">
        <v>0</v>
      </c>
      <c r="H1005">
        <v>3.0739657142857144E-5</v>
      </c>
      <c r="I1005" t="s">
        <v>176</v>
      </c>
      <c r="J1005">
        <v>5.3794399999999999E-2</v>
      </c>
      <c r="K1005">
        <v>1.4524795396571428</v>
      </c>
      <c r="L1005">
        <v>1.3850815167047692E-2</v>
      </c>
      <c r="M1005">
        <v>8.3104891002286158E-2</v>
      </c>
      <c r="N1005">
        <v>1.5355844306594291</v>
      </c>
      <c r="O1005" t="s">
        <v>177</v>
      </c>
      <c r="P1005">
        <v>8.7148772379428571E-2</v>
      </c>
      <c r="Q1005" t="s">
        <v>177</v>
      </c>
      <c r="R1005">
        <v>4.9862934601371698E-3</v>
      </c>
      <c r="S1005" t="s">
        <v>178</v>
      </c>
      <c r="T1005">
        <v>0.18427013167913148</v>
      </c>
      <c r="U1005">
        <v>1.8119896281781263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2.42414</v>
      </c>
      <c r="AB1005">
        <v>1</v>
      </c>
      <c r="AC1005">
        <v>0</v>
      </c>
      <c r="AD1005">
        <v>1.9999600007999841E-3</v>
      </c>
      <c r="AE1005">
        <v>5400</v>
      </c>
      <c r="AF1005">
        <v>200000</v>
      </c>
      <c r="AG1005">
        <v>16666.666666666668</v>
      </c>
      <c r="AH1005">
        <v>1</v>
      </c>
      <c r="AI1005">
        <v>1</v>
      </c>
      <c r="AJ1005" t="s">
        <v>162</v>
      </c>
      <c r="AK1005" t="s">
        <v>176</v>
      </c>
      <c r="AL1005">
        <v>0</v>
      </c>
      <c r="AM1005" t="s">
        <v>176</v>
      </c>
      <c r="AN1005">
        <v>0</v>
      </c>
    </row>
    <row r="1006" spans="1:40" x14ac:dyDescent="0.15">
      <c r="A1006" s="4" t="str">
        <f>HYPERLINK("https://ibp.a2mac1.com/costing(costing:projects/details/9760/process/12086190)","MANUFACTURING  PROCESS")</f>
        <v>MANUFACTURING  PROCESS</v>
      </c>
      <c r="B1006" t="s">
        <v>4962</v>
      </c>
      <c r="C1006">
        <v>12086190</v>
      </c>
      <c r="D1006">
        <v>8416857</v>
      </c>
      <c r="E1006">
        <v>5.3152535000000001E-2</v>
      </c>
      <c r="F1006">
        <v>0</v>
      </c>
      <c r="G1006">
        <v>0</v>
      </c>
      <c r="H1006">
        <v>1.130905E-6</v>
      </c>
      <c r="I1006" t="s">
        <v>176</v>
      </c>
      <c r="J1006">
        <v>1.97908375E-3</v>
      </c>
      <c r="K1006">
        <v>5.5132749655E-2</v>
      </c>
      <c r="L1006">
        <v>4.3658469829901307E-3</v>
      </c>
      <c r="M1006">
        <v>2.6195081897940786E-2</v>
      </c>
      <c r="N1006">
        <v>8.132783155294078E-2</v>
      </c>
      <c r="O1006" t="s">
        <v>177</v>
      </c>
      <c r="P1006">
        <v>3.3079649793000001E-3</v>
      </c>
      <c r="Q1006" t="s">
        <v>177</v>
      </c>
      <c r="R1006">
        <v>1.5717049138764471E-3</v>
      </c>
      <c r="S1006" t="s">
        <v>178</v>
      </c>
      <c r="T1006">
        <v>9.7593397863528948E-3</v>
      </c>
      <c r="U1006">
        <v>9.5966841232470124E-2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1.04277</v>
      </c>
      <c r="AB1006">
        <v>2</v>
      </c>
      <c r="AC1006">
        <v>0</v>
      </c>
      <c r="AD1006">
        <v>1.9999600007999841E-3</v>
      </c>
      <c r="AE1006">
        <v>5400</v>
      </c>
      <c r="AF1006">
        <v>200000</v>
      </c>
      <c r="AG1006">
        <v>16666.666666666668</v>
      </c>
      <c r="AH1006">
        <v>1</v>
      </c>
      <c r="AI1006">
        <v>1</v>
      </c>
      <c r="AJ1006" t="s">
        <v>162</v>
      </c>
      <c r="AK1006" t="s">
        <v>176</v>
      </c>
      <c r="AL1006">
        <v>0</v>
      </c>
      <c r="AM1006" t="s">
        <v>176</v>
      </c>
      <c r="AN1006">
        <v>0</v>
      </c>
    </row>
    <row r="1007" spans="1:40" x14ac:dyDescent="0.15">
      <c r="A1007" s="4" t="str">
        <f>HYPERLINK("https://ibp.a2mac1.com/costing(costing:projects/details/9760/process/12086191)","MANUFACTURING  PROCESS")</f>
        <v>MANUFACTURING  PROCESS</v>
      </c>
      <c r="B1007" t="s">
        <v>4962</v>
      </c>
      <c r="C1007">
        <v>12086191</v>
      </c>
      <c r="D1007">
        <v>8416858</v>
      </c>
      <c r="E1007">
        <v>0.82386429250000004</v>
      </c>
      <c r="F1007">
        <v>0</v>
      </c>
      <c r="G1007">
        <v>0</v>
      </c>
      <c r="H1007">
        <v>1.75290275E-5</v>
      </c>
      <c r="I1007" t="s">
        <v>176</v>
      </c>
      <c r="J1007">
        <v>3.0675798125000001E-2</v>
      </c>
      <c r="K1007">
        <v>0.85455761965249999</v>
      </c>
      <c r="L1007">
        <v>1.3850815167047692E-2</v>
      </c>
      <c r="M1007">
        <v>8.3104891002286158E-2</v>
      </c>
      <c r="N1007">
        <v>0.93766251065478612</v>
      </c>
      <c r="O1007" t="s">
        <v>177</v>
      </c>
      <c r="P1007">
        <v>5.1273457179150002E-2</v>
      </c>
      <c r="Q1007" t="s">
        <v>177</v>
      </c>
      <c r="R1007">
        <v>4.9862934601371698E-3</v>
      </c>
      <c r="S1007" t="s">
        <v>178</v>
      </c>
      <c r="T1007">
        <v>0.11251950127857434</v>
      </c>
      <c r="U1007">
        <v>1.1064417625726477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2.42414</v>
      </c>
      <c r="AB1007">
        <v>1</v>
      </c>
      <c r="AC1007">
        <v>0</v>
      </c>
      <c r="AD1007">
        <v>1.9999600007999841E-3</v>
      </c>
      <c r="AE1007">
        <v>5400</v>
      </c>
      <c r="AF1007">
        <v>200000</v>
      </c>
      <c r="AG1007">
        <v>16666.666666666668</v>
      </c>
      <c r="AH1007">
        <v>1</v>
      </c>
      <c r="AI1007">
        <v>1</v>
      </c>
      <c r="AJ1007" t="s">
        <v>162</v>
      </c>
      <c r="AK1007" t="s">
        <v>176</v>
      </c>
      <c r="AL1007">
        <v>0</v>
      </c>
      <c r="AM1007" t="s">
        <v>176</v>
      </c>
      <c r="AN1007">
        <v>0</v>
      </c>
    </row>
    <row r="1008" spans="1:40" x14ac:dyDescent="0.15">
      <c r="A1008" s="4" t="str">
        <f>HYPERLINK("https://ibp.a2mac1.com/costing(costing:projects/details/9760/process/12086192)","MANUFACTURING  PROCESS")</f>
        <v>MANUFACTURING  PROCESS</v>
      </c>
      <c r="B1008" t="s">
        <v>4962</v>
      </c>
      <c r="C1008">
        <v>12086192</v>
      </c>
      <c r="D1008">
        <v>8416859</v>
      </c>
      <c r="E1008">
        <v>0.27518688333333335</v>
      </c>
      <c r="F1008">
        <v>0</v>
      </c>
      <c r="G1008">
        <v>0</v>
      </c>
      <c r="H1008">
        <v>5.9499866666666669E-6</v>
      </c>
      <c r="I1008" t="s">
        <v>176</v>
      </c>
      <c r="J1008">
        <v>1.0412476666666667E-2</v>
      </c>
      <c r="K1008">
        <v>0.28560530998666667</v>
      </c>
      <c r="L1008">
        <v>1.433145541358854E-2</v>
      </c>
      <c r="M1008">
        <v>8.5988732481531244E-2</v>
      </c>
      <c r="N1008">
        <v>0.37159404246819788</v>
      </c>
      <c r="O1008" t="s">
        <v>177</v>
      </c>
      <c r="P1008">
        <v>1.71363185992E-2</v>
      </c>
      <c r="Q1008" t="s">
        <v>177</v>
      </c>
      <c r="R1008">
        <v>5.1593239488918743E-3</v>
      </c>
      <c r="S1008" t="s">
        <v>178</v>
      </c>
      <c r="T1008">
        <v>4.459128509618375E-2</v>
      </c>
      <c r="U1008">
        <v>0.43848097011247356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2.5205600000000001</v>
      </c>
      <c r="AB1008">
        <v>1</v>
      </c>
      <c r="AC1008">
        <v>0</v>
      </c>
      <c r="AD1008">
        <v>1.9999600007999841E-3</v>
      </c>
      <c r="AE1008">
        <v>5400</v>
      </c>
      <c r="AF1008">
        <v>200000</v>
      </c>
      <c r="AG1008">
        <v>16666.666666666668</v>
      </c>
      <c r="AH1008">
        <v>1</v>
      </c>
      <c r="AI1008">
        <v>1</v>
      </c>
      <c r="AJ1008" t="s">
        <v>162</v>
      </c>
      <c r="AK1008" t="s">
        <v>176</v>
      </c>
      <c r="AL1008">
        <v>0</v>
      </c>
      <c r="AM1008" t="s">
        <v>176</v>
      </c>
      <c r="AN1008">
        <v>0</v>
      </c>
    </row>
    <row r="1009" spans="1:40" x14ac:dyDescent="0.15">
      <c r="A1009" s="4" t="str">
        <f>HYPERLINK("https://ibp.a2mac1.com/costing(costing:projects/details/9760/process/12085996)","MANUFACTURING  PROCESS")</f>
        <v>MANUFACTURING  PROCESS</v>
      </c>
      <c r="B1009" t="s">
        <v>4962</v>
      </c>
      <c r="C1009">
        <v>12085996</v>
      </c>
      <c r="D1009">
        <v>8416576</v>
      </c>
      <c r="E1009">
        <v>3.0591438725</v>
      </c>
      <c r="F1009">
        <v>0</v>
      </c>
      <c r="G1009">
        <v>0</v>
      </c>
      <c r="H1009">
        <v>6.5088167500000006E-5</v>
      </c>
      <c r="I1009" t="s">
        <v>176</v>
      </c>
      <c r="J1009">
        <v>0.113904293125</v>
      </c>
      <c r="K1009">
        <v>3.1731132537925002</v>
      </c>
      <c r="L1009">
        <v>0.24982862648184256</v>
      </c>
      <c r="M1009">
        <v>1.4989717588910554</v>
      </c>
      <c r="N1009">
        <v>4.6720850126835556</v>
      </c>
      <c r="O1009" t="s">
        <v>90</v>
      </c>
      <c r="P1009">
        <v>0</v>
      </c>
      <c r="Q1009" t="s">
        <v>90</v>
      </c>
      <c r="R1009">
        <v>0</v>
      </c>
      <c r="S1009" t="s">
        <v>90</v>
      </c>
      <c r="T1009">
        <v>0</v>
      </c>
      <c r="U1009">
        <v>4.6720850126835556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49.763039999999997</v>
      </c>
      <c r="AB1009">
        <v>1</v>
      </c>
      <c r="AC1009">
        <v>0</v>
      </c>
      <c r="AD1009">
        <v>1.9999600007999841E-3</v>
      </c>
      <c r="AE1009">
        <v>5400</v>
      </c>
      <c r="AF1009">
        <v>200000</v>
      </c>
      <c r="AG1009">
        <v>16666.666666666668</v>
      </c>
      <c r="AH1009">
        <v>1</v>
      </c>
      <c r="AI1009">
        <v>1</v>
      </c>
      <c r="AJ1009" t="s">
        <v>162</v>
      </c>
      <c r="AK1009" t="s">
        <v>176</v>
      </c>
      <c r="AL1009">
        <v>0</v>
      </c>
      <c r="AM1009" t="s">
        <v>176</v>
      </c>
      <c r="AN1009">
        <v>0</v>
      </c>
    </row>
    <row r="1010" spans="1:40" x14ac:dyDescent="0.15">
      <c r="A1010" s="4" t="str">
        <f>HYPERLINK("https://ibp.a2mac1.com/costing(costing:projects/details/9760/process/12085109)","Assembly")</f>
        <v>Assembly</v>
      </c>
      <c r="C1010">
        <v>12085109</v>
      </c>
      <c r="D1010">
        <v>8415677</v>
      </c>
      <c r="E1010">
        <v>0</v>
      </c>
      <c r="F1010">
        <v>0</v>
      </c>
      <c r="G1010">
        <v>0</v>
      </c>
      <c r="H1010">
        <v>0</v>
      </c>
      <c r="I1010" t="s">
        <v>90</v>
      </c>
      <c r="J1010">
        <v>0</v>
      </c>
      <c r="K1010">
        <v>0</v>
      </c>
      <c r="L1010">
        <v>0</v>
      </c>
      <c r="M1010">
        <v>0.6579133898279117</v>
      </c>
      <c r="N1010">
        <v>0.6579133898279117</v>
      </c>
      <c r="O1010" t="s">
        <v>90</v>
      </c>
      <c r="P1010">
        <v>0</v>
      </c>
      <c r="Q1010" t="s">
        <v>90</v>
      </c>
      <c r="R1010">
        <v>0</v>
      </c>
      <c r="S1010" t="s">
        <v>90</v>
      </c>
      <c r="T1010">
        <v>0</v>
      </c>
      <c r="U1010">
        <v>0.6579133898279117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450</v>
      </c>
      <c r="AB1010">
        <v>1</v>
      </c>
      <c r="AC1010">
        <v>0.1</v>
      </c>
      <c r="AD1010">
        <v>0.10987913295375087</v>
      </c>
      <c r="AE1010">
        <v>600</v>
      </c>
      <c r="AF1010">
        <v>200000</v>
      </c>
      <c r="AG1010">
        <v>10000</v>
      </c>
      <c r="AH1010">
        <v>1</v>
      </c>
      <c r="AI1010">
        <v>1</v>
      </c>
      <c r="AJ1010" t="s">
        <v>76</v>
      </c>
      <c r="AK1010" t="s">
        <v>90</v>
      </c>
      <c r="AL1010">
        <v>0</v>
      </c>
      <c r="AM1010" t="s">
        <v>90</v>
      </c>
      <c r="AN1010">
        <v>0</v>
      </c>
    </row>
    <row r="1011" spans="1:40" x14ac:dyDescent="0.15">
      <c r="A1011" s="4" t="str">
        <f>HYPERLINK("https://ibp.a2mac1.com/costing(costing:projects/details/9760/process/12085670)","Automated Process")</f>
        <v>Automated Process</v>
      </c>
      <c r="B1011" t="s">
        <v>5077</v>
      </c>
      <c r="C1011">
        <v>12085670</v>
      </c>
      <c r="D1011">
        <v>8416340</v>
      </c>
      <c r="E1011">
        <v>0.27207868800000001</v>
      </c>
      <c r="F1011">
        <v>0</v>
      </c>
      <c r="G1011">
        <v>0</v>
      </c>
      <c r="H1011">
        <v>1.380168582736842E-3</v>
      </c>
      <c r="I1011" t="s">
        <v>176</v>
      </c>
      <c r="J1011">
        <v>9.5466206315789476E-3</v>
      </c>
      <c r="K1011">
        <v>0.28300547721431579</v>
      </c>
      <c r="L1011">
        <v>8.183207415110251E-2</v>
      </c>
      <c r="M1011">
        <v>0.49099244490661503</v>
      </c>
      <c r="N1011">
        <v>0.77399792212093088</v>
      </c>
      <c r="O1011" t="s">
        <v>90</v>
      </c>
      <c r="P1011">
        <v>0</v>
      </c>
      <c r="Q1011" t="s">
        <v>90</v>
      </c>
      <c r="R1011">
        <v>0</v>
      </c>
      <c r="S1011" t="s">
        <v>90</v>
      </c>
      <c r="T1011">
        <v>0</v>
      </c>
      <c r="U1011">
        <v>0.77399792212093088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45</v>
      </c>
      <c r="AB1011">
        <v>1</v>
      </c>
      <c r="AC1011">
        <v>0.5</v>
      </c>
      <c r="AD1011">
        <v>0.50345253019720215</v>
      </c>
      <c r="AE1011">
        <v>10800</v>
      </c>
      <c r="AF1011">
        <v>200000</v>
      </c>
      <c r="AG1011">
        <v>16666.666666666668</v>
      </c>
      <c r="AH1011">
        <v>1</v>
      </c>
      <c r="AI1011">
        <v>1</v>
      </c>
      <c r="AJ1011" t="s">
        <v>162</v>
      </c>
      <c r="AK1011" t="s">
        <v>176</v>
      </c>
      <c r="AL1011">
        <v>0</v>
      </c>
      <c r="AM1011" t="s">
        <v>176</v>
      </c>
      <c r="AN1011">
        <v>0</v>
      </c>
    </row>
    <row r="1012" spans="1:40" x14ac:dyDescent="0.15">
      <c r="A1012" s="4" t="str">
        <f>HYPERLINK("https://ibp.a2mac1.com/costing(costing:projects/details/9760/process/12085671)","Automated Process")</f>
        <v>Automated Process</v>
      </c>
      <c r="B1012" t="s">
        <v>4254</v>
      </c>
      <c r="C1012">
        <v>12085671</v>
      </c>
      <c r="D1012">
        <v>8416341</v>
      </c>
      <c r="E1012">
        <v>0.75925066757446813</v>
      </c>
      <c r="F1012">
        <v>0</v>
      </c>
      <c r="G1012">
        <v>0</v>
      </c>
      <c r="H1012">
        <v>3.8473962286047032E-3</v>
      </c>
      <c r="I1012" t="s">
        <v>176</v>
      </c>
      <c r="J1012">
        <v>2.6612424506159013E-2</v>
      </c>
      <c r="K1012">
        <v>0.78971048830923185</v>
      </c>
      <c r="L1012">
        <v>0.10832333012558466</v>
      </c>
      <c r="M1012">
        <v>0.64993998075350801</v>
      </c>
      <c r="N1012">
        <v>1.4396504690627399</v>
      </c>
      <c r="O1012" t="s">
        <v>90</v>
      </c>
      <c r="P1012">
        <v>0</v>
      </c>
      <c r="Q1012" t="s">
        <v>90</v>
      </c>
      <c r="R1012">
        <v>0</v>
      </c>
      <c r="S1012" t="s">
        <v>90</v>
      </c>
      <c r="T1012">
        <v>0</v>
      </c>
      <c r="U1012">
        <v>1.4396504690627399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60</v>
      </c>
      <c r="AB1012">
        <v>1</v>
      </c>
      <c r="AC1012">
        <v>0.5</v>
      </c>
      <c r="AD1012">
        <v>0.50345253019720215</v>
      </c>
      <c r="AE1012">
        <v>10800</v>
      </c>
      <c r="AF1012">
        <v>200000</v>
      </c>
      <c r="AG1012">
        <v>16666.666666666668</v>
      </c>
      <c r="AH1012">
        <v>1</v>
      </c>
      <c r="AI1012">
        <v>1</v>
      </c>
      <c r="AJ1012" t="s">
        <v>162</v>
      </c>
      <c r="AK1012" t="s">
        <v>176</v>
      </c>
      <c r="AL1012">
        <v>0</v>
      </c>
      <c r="AM1012" t="s">
        <v>176</v>
      </c>
      <c r="AN1012">
        <v>0</v>
      </c>
    </row>
    <row r="1013" spans="1:40" x14ac:dyDescent="0.15">
      <c r="A1013" s="4" t="str">
        <f>HYPERLINK("https://ibp.a2mac1.com/costing(costing:projects/details/9760/process/12085672)","Automated Process")</f>
        <v>Automated Process</v>
      </c>
      <c r="B1013" t="s">
        <v>4235</v>
      </c>
      <c r="C1013">
        <v>12085672</v>
      </c>
      <c r="D1013">
        <v>8416342</v>
      </c>
      <c r="E1013">
        <v>7.2619511999999997E-2</v>
      </c>
      <c r="F1013">
        <v>0</v>
      </c>
      <c r="G1013">
        <v>0</v>
      </c>
      <c r="H1013">
        <v>3.6837566989473685E-4</v>
      </c>
      <c r="I1013" t="s">
        <v>176</v>
      </c>
      <c r="J1013">
        <v>2.548053052631579E-3</v>
      </c>
      <c r="K1013">
        <v>7.5535940722526312E-2</v>
      </c>
      <c r="L1013">
        <v>7.6565574225524614E-3</v>
      </c>
      <c r="M1013">
        <v>4.5939344535314765E-2</v>
      </c>
      <c r="N1013">
        <v>0.12147528525784108</v>
      </c>
      <c r="O1013" t="s">
        <v>177</v>
      </c>
      <c r="P1013">
        <v>4.5321564433515793E-3</v>
      </c>
      <c r="Q1013" t="s">
        <v>177</v>
      </c>
      <c r="R1013">
        <v>2.756360672118886E-3</v>
      </c>
      <c r="S1013" t="s">
        <v>178</v>
      </c>
      <c r="T1013">
        <v>1.457703423094093E-2</v>
      </c>
      <c r="U1013">
        <v>0.14334083660425248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</v>
      </c>
      <c r="AC1013">
        <v>0.5</v>
      </c>
      <c r="AD1013">
        <v>0.50345253019720215</v>
      </c>
      <c r="AE1013">
        <v>10800</v>
      </c>
      <c r="AF1013">
        <v>200000</v>
      </c>
      <c r="AG1013">
        <v>16666.666666666668</v>
      </c>
      <c r="AH1013">
        <v>1</v>
      </c>
      <c r="AI1013">
        <v>1</v>
      </c>
      <c r="AJ1013" t="s">
        <v>162</v>
      </c>
      <c r="AK1013" t="s">
        <v>176</v>
      </c>
      <c r="AL1013">
        <v>0</v>
      </c>
      <c r="AM1013" t="s">
        <v>176</v>
      </c>
      <c r="AN1013">
        <v>0</v>
      </c>
    </row>
    <row r="1014" spans="1:40" x14ac:dyDescent="0.15">
      <c r="A1014" s="4" t="str">
        <f>HYPERLINK("https://ibp.a2mac1.com/costing(costing:projects/details/9760/process/12085673)","Automated Process")</f>
        <v>Automated Process</v>
      </c>
      <c r="B1014" t="s">
        <v>4235</v>
      </c>
      <c r="C1014">
        <v>12085673</v>
      </c>
      <c r="D1014">
        <v>8416343</v>
      </c>
      <c r="E1014">
        <v>0.17474076899999999</v>
      </c>
      <c r="F1014">
        <v>0</v>
      </c>
      <c r="G1014">
        <v>0</v>
      </c>
      <c r="H1014">
        <v>8.8640430189473689E-4</v>
      </c>
      <c r="I1014" t="s">
        <v>176</v>
      </c>
      <c r="J1014">
        <v>6.1312550526315792E-3</v>
      </c>
      <c r="K1014">
        <v>0.18175842835452632</v>
      </c>
      <c r="L1014">
        <v>1.6486976080713183E-2</v>
      </c>
      <c r="M1014">
        <v>9.8921856484279092E-2</v>
      </c>
      <c r="N1014">
        <v>0.28068028483880542</v>
      </c>
      <c r="O1014" t="s">
        <v>177</v>
      </c>
      <c r="P1014">
        <v>1.0905505701271578E-2</v>
      </c>
      <c r="Q1014" t="s">
        <v>177</v>
      </c>
      <c r="R1014">
        <v>5.9353113890567456E-3</v>
      </c>
      <c r="S1014" t="s">
        <v>178</v>
      </c>
      <c r="T1014">
        <v>3.3681634180656651E-2</v>
      </c>
      <c r="U1014">
        <v>0.3312027361097904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8</v>
      </c>
      <c r="AB1014">
        <v>1</v>
      </c>
      <c r="AC1014">
        <v>0.5</v>
      </c>
      <c r="AD1014">
        <v>0.50345253019720215</v>
      </c>
      <c r="AE1014">
        <v>10800</v>
      </c>
      <c r="AF1014">
        <v>200000</v>
      </c>
      <c r="AG1014">
        <v>16666.666666666668</v>
      </c>
      <c r="AH1014">
        <v>1</v>
      </c>
      <c r="AI1014">
        <v>1</v>
      </c>
      <c r="AJ1014" t="s">
        <v>162</v>
      </c>
      <c r="AK1014" t="s">
        <v>176</v>
      </c>
      <c r="AL1014">
        <v>0</v>
      </c>
      <c r="AM1014" t="s">
        <v>176</v>
      </c>
      <c r="AN1014">
        <v>0</v>
      </c>
    </row>
    <row r="1015" spans="1:40" x14ac:dyDescent="0.15">
      <c r="A1015" s="4" t="str">
        <f>HYPERLINK("https://ibp.a2mac1.com/costing(costing:projects/details/9760/process/12085674)","Automated Process")</f>
        <v>Automated Process</v>
      </c>
      <c r="B1015" t="s">
        <v>4235</v>
      </c>
      <c r="C1015">
        <v>12085674</v>
      </c>
      <c r="D1015">
        <v>8416344</v>
      </c>
      <c r="E1015">
        <v>3.9292112999999997E-2</v>
      </c>
      <c r="F1015">
        <v>0</v>
      </c>
      <c r="G1015">
        <v>0</v>
      </c>
      <c r="H1015">
        <v>1.9931638273684211E-4</v>
      </c>
      <c r="I1015" t="s">
        <v>176</v>
      </c>
      <c r="J1015">
        <v>1.3786706315789474E-3</v>
      </c>
      <c r="K1015">
        <v>4.0870100014315791E-2</v>
      </c>
      <c r="L1015">
        <v>7.6565574225524614E-3</v>
      </c>
      <c r="M1015">
        <v>4.5939344535314765E-2</v>
      </c>
      <c r="N1015">
        <v>8.6809444549630563E-2</v>
      </c>
      <c r="O1015" t="s">
        <v>177</v>
      </c>
      <c r="P1015">
        <v>2.4522060008589472E-3</v>
      </c>
      <c r="Q1015" t="s">
        <v>177</v>
      </c>
      <c r="R1015">
        <v>2.756360672118886E-3</v>
      </c>
      <c r="S1015" t="s">
        <v>178</v>
      </c>
      <c r="T1015">
        <v>1.0417133345955667E-2</v>
      </c>
      <c r="U1015">
        <v>0.10243514456856406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</v>
      </c>
      <c r="AC1015">
        <v>0.5</v>
      </c>
      <c r="AD1015">
        <v>0.50345253019720215</v>
      </c>
      <c r="AE1015">
        <v>10800</v>
      </c>
      <c r="AF1015">
        <v>200000</v>
      </c>
      <c r="AG1015">
        <v>16666.666666666668</v>
      </c>
      <c r="AH1015">
        <v>1</v>
      </c>
      <c r="AI1015">
        <v>1</v>
      </c>
      <c r="AJ1015" t="s">
        <v>162</v>
      </c>
      <c r="AK1015" t="s">
        <v>176</v>
      </c>
      <c r="AL1015">
        <v>0</v>
      </c>
      <c r="AM1015" t="s">
        <v>176</v>
      </c>
      <c r="AN1015">
        <v>0</v>
      </c>
    </row>
    <row r="1016" spans="1:40" x14ac:dyDescent="0.15">
      <c r="A1016" s="4" t="str">
        <f>HYPERLINK("https://ibp.a2mac1.com/costing(costing:projects/details/9760/process/12085675)","Automated Process")</f>
        <v>Automated Process</v>
      </c>
      <c r="B1016" t="s">
        <v>5106</v>
      </c>
      <c r="C1016">
        <v>12085675</v>
      </c>
      <c r="D1016">
        <v>8416345</v>
      </c>
      <c r="E1016">
        <v>1.3382168999999999E-2</v>
      </c>
      <c r="F1016">
        <v>0</v>
      </c>
      <c r="G1016">
        <v>0</v>
      </c>
      <c r="H1016">
        <v>7.2035931000000004E-5</v>
      </c>
      <c r="I1016" t="s">
        <v>176</v>
      </c>
      <c r="J1016">
        <v>4.9827224999999999E-4</v>
      </c>
      <c r="K1016">
        <v>1.3952477180999999E-2</v>
      </c>
      <c r="L1016">
        <v>4.1243899592881732E-3</v>
      </c>
      <c r="M1016">
        <v>2.4746339755729041E-2</v>
      </c>
      <c r="N1016">
        <v>3.8698816936729039E-2</v>
      </c>
      <c r="O1016" t="s">
        <v>177</v>
      </c>
      <c r="P1016">
        <v>8.3714863086E-4</v>
      </c>
      <c r="Q1016" t="s">
        <v>177</v>
      </c>
      <c r="R1016">
        <v>1.4847803853437424E-3</v>
      </c>
      <c r="S1016" t="s">
        <v>178</v>
      </c>
      <c r="T1016">
        <v>4.6438580324074845E-3</v>
      </c>
      <c r="U1016">
        <v>4.5664603985340266E-2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1</v>
      </c>
      <c r="AC1016">
        <v>0.5</v>
      </c>
      <c r="AD1016">
        <v>0.50345253019720215</v>
      </c>
      <c r="AE1016">
        <v>10800</v>
      </c>
      <c r="AF1016">
        <v>200000</v>
      </c>
      <c r="AG1016">
        <v>16666.666666666668</v>
      </c>
      <c r="AH1016">
        <v>1</v>
      </c>
      <c r="AI1016">
        <v>1</v>
      </c>
      <c r="AJ1016" t="s">
        <v>162</v>
      </c>
      <c r="AK1016" t="s">
        <v>176</v>
      </c>
      <c r="AL1016">
        <v>0</v>
      </c>
      <c r="AM1016" t="s">
        <v>176</v>
      </c>
      <c r="AN1016">
        <v>0</v>
      </c>
    </row>
    <row r="1017" spans="1:40" x14ac:dyDescent="0.15">
      <c r="A1017" s="4" t="str">
        <f>HYPERLINK("https://ibp.a2mac1.com/costing(costing:projects/details/9760/process/12085676)","Automated Process")</f>
        <v>Automated Process</v>
      </c>
      <c r="B1017" t="s">
        <v>5111</v>
      </c>
      <c r="C1017">
        <v>12085676</v>
      </c>
      <c r="D1017">
        <v>8416346</v>
      </c>
      <c r="E1017">
        <v>9.3675182999999995E-2</v>
      </c>
      <c r="F1017">
        <v>0</v>
      </c>
      <c r="G1017">
        <v>0</v>
      </c>
      <c r="H1017">
        <v>5.0425151700000004E-4</v>
      </c>
      <c r="I1017" t="s">
        <v>176</v>
      </c>
      <c r="J1017">
        <v>3.48790575E-3</v>
      </c>
      <c r="K1017">
        <v>9.7667340266999997E-2</v>
      </c>
      <c r="L1017">
        <v>0.10832333012558466</v>
      </c>
      <c r="M1017">
        <v>0.64993998075350801</v>
      </c>
      <c r="N1017">
        <v>0.74760732102050798</v>
      </c>
      <c r="O1017" t="s">
        <v>177</v>
      </c>
      <c r="P1017">
        <v>5.8600404160200001E-3</v>
      </c>
      <c r="Q1017" t="s">
        <v>177</v>
      </c>
      <c r="R1017">
        <v>3.899639884521048E-2</v>
      </c>
      <c r="S1017" t="s">
        <v>178</v>
      </c>
      <c r="T1017">
        <v>8.9712878522460959E-2</v>
      </c>
      <c r="U1017">
        <v>0.8821766388041995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60</v>
      </c>
      <c r="AB1017">
        <v>1</v>
      </c>
      <c r="AC1017">
        <v>0.5</v>
      </c>
      <c r="AD1017">
        <v>0.50345253019720215</v>
      </c>
      <c r="AE1017">
        <v>10800</v>
      </c>
      <c r="AF1017">
        <v>200000</v>
      </c>
      <c r="AG1017">
        <v>16666.666666666668</v>
      </c>
      <c r="AH1017">
        <v>1</v>
      </c>
      <c r="AI1017">
        <v>1</v>
      </c>
      <c r="AJ1017" t="s">
        <v>162</v>
      </c>
      <c r="AK1017" t="s">
        <v>176</v>
      </c>
      <c r="AL1017">
        <v>0</v>
      </c>
      <c r="AM1017" t="s">
        <v>176</v>
      </c>
      <c r="AN1017">
        <v>0</v>
      </c>
    </row>
    <row r="1018" spans="1:40" x14ac:dyDescent="0.15">
      <c r="A1018" s="4" t="str">
        <f>HYPERLINK("https://ibp.a2mac1.com/costing(costing:projects/details/9760/process/12085677)","Automated Process")</f>
        <v>Automated Process</v>
      </c>
      <c r="B1018" t="s">
        <v>4235</v>
      </c>
      <c r="C1018">
        <v>12085677</v>
      </c>
      <c r="D1018">
        <v>8416347</v>
      </c>
      <c r="E1018">
        <v>0.113165472</v>
      </c>
      <c r="F1018">
        <v>0</v>
      </c>
      <c r="G1018">
        <v>0</v>
      </c>
      <c r="H1018">
        <v>5.7405241936842109E-4</v>
      </c>
      <c r="I1018" t="s">
        <v>176</v>
      </c>
      <c r="J1018">
        <v>3.9707183157894734E-3</v>
      </c>
      <c r="K1018">
        <v>0.1177102427351579</v>
      </c>
      <c r="L1018">
        <v>3.0647397203088871E-3</v>
      </c>
      <c r="M1018">
        <v>1.8388438321853322E-2</v>
      </c>
      <c r="N1018">
        <v>0.13609868105701123</v>
      </c>
      <c r="O1018" t="s">
        <v>177</v>
      </c>
      <c r="P1018">
        <v>7.0626145641094736E-3</v>
      </c>
      <c r="Q1018" t="s">
        <v>177</v>
      </c>
      <c r="R1018">
        <v>1.1033062993111994E-3</v>
      </c>
      <c r="S1018" t="s">
        <v>178</v>
      </c>
      <c r="T1018">
        <v>1.6331841726841347E-2</v>
      </c>
      <c r="U1018">
        <v>0.16059644364727324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0.4</v>
      </c>
      <c r="AB1018">
        <v>1</v>
      </c>
      <c r="AC1018">
        <v>0.5</v>
      </c>
      <c r="AD1018">
        <v>0.50345253019720215</v>
      </c>
      <c r="AE1018">
        <v>10800</v>
      </c>
      <c r="AF1018">
        <v>200000</v>
      </c>
      <c r="AG1018">
        <v>16666.666666666668</v>
      </c>
      <c r="AH1018">
        <v>1</v>
      </c>
      <c r="AI1018">
        <v>1</v>
      </c>
      <c r="AJ1018" t="s">
        <v>162</v>
      </c>
      <c r="AK1018" t="s">
        <v>176</v>
      </c>
      <c r="AL1018">
        <v>0</v>
      </c>
      <c r="AM1018" t="s">
        <v>176</v>
      </c>
      <c r="AN1018">
        <v>0</v>
      </c>
    </row>
    <row r="1019" spans="1:40" x14ac:dyDescent="0.15">
      <c r="A1019" s="4" t="str">
        <f>HYPERLINK("https://ibp.a2mac1.com/costing(costing:projects/details/9760/process/12085317)","Automated Process")</f>
        <v>Automated Process</v>
      </c>
      <c r="B1019" t="s">
        <v>5123</v>
      </c>
      <c r="C1019">
        <v>12085317</v>
      </c>
      <c r="D1019">
        <v>8415997</v>
      </c>
      <c r="E1019">
        <v>2.7131792520000002</v>
      </c>
      <c r="F1019">
        <v>0</v>
      </c>
      <c r="G1019">
        <v>0</v>
      </c>
      <c r="H1019">
        <v>1.3763094752E-2</v>
      </c>
      <c r="I1019" t="s">
        <v>176</v>
      </c>
      <c r="J1019">
        <v>9.5199272000000001E-2</v>
      </c>
      <c r="K1019">
        <v>2.8221416187520001</v>
      </c>
      <c r="L1019">
        <v>0.21252227029188117</v>
      </c>
      <c r="M1019">
        <v>1.275133621751287</v>
      </c>
      <c r="N1019">
        <v>4.0972752405032873</v>
      </c>
      <c r="O1019" t="s">
        <v>90</v>
      </c>
      <c r="P1019">
        <v>0</v>
      </c>
      <c r="Q1019" t="s">
        <v>90</v>
      </c>
      <c r="R1019">
        <v>0</v>
      </c>
      <c r="S1019" t="s">
        <v>90</v>
      </c>
      <c r="T1019">
        <v>0</v>
      </c>
      <c r="U1019">
        <v>4.0972752405032873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119</v>
      </c>
      <c r="AB1019">
        <v>1</v>
      </c>
      <c r="AC1019">
        <v>0.5</v>
      </c>
      <c r="AD1019">
        <v>0.50345253019720215</v>
      </c>
      <c r="AE1019">
        <v>10800</v>
      </c>
      <c r="AF1019">
        <v>200000</v>
      </c>
      <c r="AG1019">
        <v>16666.666666666668</v>
      </c>
      <c r="AH1019">
        <v>1</v>
      </c>
      <c r="AI1019">
        <v>1</v>
      </c>
      <c r="AJ1019" t="s">
        <v>162</v>
      </c>
      <c r="AK1019" t="s">
        <v>176</v>
      </c>
      <c r="AL1019">
        <v>0</v>
      </c>
      <c r="AM1019" t="s">
        <v>176</v>
      </c>
      <c r="AN1019">
        <v>0</v>
      </c>
    </row>
    <row r="1020" spans="1:40" x14ac:dyDescent="0.15">
      <c r="A1020" s="4" t="str">
        <f>HYPERLINK("https://ibp.a2mac1.com/costing(costing:projects/details/9760/process/12085318)","Automated Process")</f>
        <v>Automated Process</v>
      </c>
      <c r="B1020" t="s">
        <v>4254</v>
      </c>
      <c r="C1020">
        <v>12085318</v>
      </c>
      <c r="D1020">
        <v>8415998</v>
      </c>
      <c r="E1020">
        <v>1.1193436224680851</v>
      </c>
      <c r="F1020">
        <v>0</v>
      </c>
      <c r="G1020">
        <v>0</v>
      </c>
      <c r="H1020">
        <v>5.6706879684927216E-3</v>
      </c>
      <c r="I1020" t="s">
        <v>176</v>
      </c>
      <c r="J1020">
        <v>3.9224126264277716E-2</v>
      </c>
      <c r="K1020">
        <v>1.1642384367008556</v>
      </c>
      <c r="L1020">
        <v>0.13304850236843468</v>
      </c>
      <c r="M1020">
        <v>0.79829101421060811</v>
      </c>
      <c r="N1020">
        <v>1.9625294509114637</v>
      </c>
      <c r="O1020" t="s">
        <v>90</v>
      </c>
      <c r="P1020">
        <v>0</v>
      </c>
      <c r="Q1020" t="s">
        <v>90</v>
      </c>
      <c r="R1020">
        <v>0</v>
      </c>
      <c r="S1020" t="s">
        <v>90</v>
      </c>
      <c r="T1020">
        <v>0</v>
      </c>
      <c r="U1020">
        <v>1.9625294509114637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74</v>
      </c>
      <c r="AB1020">
        <v>1</v>
      </c>
      <c r="AC1020">
        <v>0.5</v>
      </c>
      <c r="AD1020">
        <v>0.50345253019720215</v>
      </c>
      <c r="AE1020">
        <v>10800</v>
      </c>
      <c r="AF1020">
        <v>200000</v>
      </c>
      <c r="AG1020">
        <v>16666.666666666668</v>
      </c>
      <c r="AH1020">
        <v>1</v>
      </c>
      <c r="AI1020">
        <v>1</v>
      </c>
      <c r="AJ1020" t="s">
        <v>162</v>
      </c>
      <c r="AK1020" t="s">
        <v>176</v>
      </c>
      <c r="AL1020">
        <v>0</v>
      </c>
      <c r="AM1020" t="s">
        <v>176</v>
      </c>
      <c r="AN1020">
        <v>0</v>
      </c>
    </row>
    <row r="1021" spans="1:40" x14ac:dyDescent="0.15">
      <c r="A1021" s="4" t="str">
        <f>HYPERLINK("https://ibp.a2mac1.com/costing(costing:projects/details/9760/process/12085319)","Automated Process")</f>
        <v>Automated Process</v>
      </c>
      <c r="B1021" t="s">
        <v>4254</v>
      </c>
      <c r="C1021">
        <v>12085319</v>
      </c>
      <c r="D1021">
        <v>8415999</v>
      </c>
      <c r="E1021">
        <v>2.9817817247659573</v>
      </c>
      <c r="F1021">
        <v>0</v>
      </c>
      <c r="G1021">
        <v>0</v>
      </c>
      <c r="H1021">
        <v>1.5103637367543114E-2</v>
      </c>
      <c r="I1021" t="s">
        <v>176</v>
      </c>
      <c r="J1021">
        <v>0.10447179997312429</v>
      </c>
      <c r="K1021">
        <v>3.1013571621066247</v>
      </c>
      <c r="L1021">
        <v>0.38913064345509557</v>
      </c>
      <c r="M1021">
        <v>2.3347838607305733</v>
      </c>
      <c r="N1021">
        <v>5.436141022837198</v>
      </c>
      <c r="O1021" t="s">
        <v>90</v>
      </c>
      <c r="P1021">
        <v>0</v>
      </c>
      <c r="Q1021" t="s">
        <v>90</v>
      </c>
      <c r="R1021">
        <v>0</v>
      </c>
      <c r="S1021" t="s">
        <v>90</v>
      </c>
      <c r="T1021">
        <v>0</v>
      </c>
      <c r="U1021">
        <v>5.436141022837198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219</v>
      </c>
      <c r="AB1021">
        <v>1</v>
      </c>
      <c r="AC1021">
        <v>0.5</v>
      </c>
      <c r="AD1021">
        <v>0.50345253019720215</v>
      </c>
      <c r="AE1021">
        <v>10800</v>
      </c>
      <c r="AF1021">
        <v>200000</v>
      </c>
      <c r="AG1021">
        <v>16666.666666666668</v>
      </c>
      <c r="AH1021">
        <v>1</v>
      </c>
      <c r="AI1021">
        <v>1</v>
      </c>
      <c r="AJ1021" t="s">
        <v>162</v>
      </c>
      <c r="AK1021" t="s">
        <v>176</v>
      </c>
      <c r="AL1021">
        <v>0</v>
      </c>
      <c r="AM1021" t="s">
        <v>176</v>
      </c>
      <c r="AN1021">
        <v>0</v>
      </c>
    </row>
    <row r="1022" spans="1:40" x14ac:dyDescent="0.15">
      <c r="A1022" s="4" t="str">
        <f>HYPERLINK("https://ibp.a2mac1.com/costing(costing:projects/details/9760/process/12085320)","Automated Process")</f>
        <v>Automated Process</v>
      </c>
      <c r="B1022" t="s">
        <v>4235</v>
      </c>
      <c r="C1022">
        <v>12085320</v>
      </c>
      <c r="D1022">
        <v>8416000</v>
      </c>
      <c r="E1022">
        <v>0.25040870399999998</v>
      </c>
      <c r="F1022">
        <v>0</v>
      </c>
      <c r="G1022">
        <v>0</v>
      </c>
      <c r="H1022">
        <v>1.2702436513684211E-3</v>
      </c>
      <c r="I1022" t="s">
        <v>176</v>
      </c>
      <c r="J1022">
        <v>8.7862703157894732E-3</v>
      </c>
      <c r="K1022">
        <v>0.26046521796715788</v>
      </c>
      <c r="L1022">
        <v>7.4767739224573929E-2</v>
      </c>
      <c r="M1022">
        <v>0.4486064353474436</v>
      </c>
      <c r="N1022">
        <v>0.70907165331460154</v>
      </c>
      <c r="O1022" t="s">
        <v>90</v>
      </c>
      <c r="P1022">
        <v>0</v>
      </c>
      <c r="Q1022" t="s">
        <v>90</v>
      </c>
      <c r="R1022">
        <v>0</v>
      </c>
      <c r="S1022" t="s">
        <v>90</v>
      </c>
      <c r="T1022">
        <v>0</v>
      </c>
      <c r="U1022">
        <v>0.70907165331460154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41</v>
      </c>
      <c r="AB1022">
        <v>1</v>
      </c>
      <c r="AC1022">
        <v>0.5</v>
      </c>
      <c r="AD1022">
        <v>0.50345253019720215</v>
      </c>
      <c r="AE1022">
        <v>10800</v>
      </c>
      <c r="AF1022">
        <v>200000</v>
      </c>
      <c r="AG1022">
        <v>16666.666666666668</v>
      </c>
      <c r="AH1022">
        <v>1</v>
      </c>
      <c r="AI1022">
        <v>1</v>
      </c>
      <c r="AJ1022" t="s">
        <v>162</v>
      </c>
      <c r="AK1022" t="s">
        <v>176</v>
      </c>
      <c r="AL1022">
        <v>0</v>
      </c>
      <c r="AM1022" t="s">
        <v>176</v>
      </c>
      <c r="AN1022">
        <v>0</v>
      </c>
    </row>
    <row r="1023" spans="1:40" x14ac:dyDescent="0.15">
      <c r="A1023" s="4" t="str">
        <f>HYPERLINK("https://ibp.a2mac1.com/costing(costing:projects/details/9760/process/12085321)","Automated Process")</f>
        <v>Automated Process</v>
      </c>
      <c r="B1023" t="s">
        <v>4254</v>
      </c>
      <c r="C1023">
        <v>12085321</v>
      </c>
      <c r="D1023">
        <v>8416001</v>
      </c>
      <c r="E1023">
        <v>1.2663591059999999</v>
      </c>
      <c r="F1023">
        <v>0</v>
      </c>
      <c r="G1023">
        <v>0</v>
      </c>
      <c r="H1023">
        <v>6.4144965928421048E-3</v>
      </c>
      <c r="I1023" t="s">
        <v>176</v>
      </c>
      <c r="J1023">
        <v>4.4369047578947371E-2</v>
      </c>
      <c r="K1023">
        <v>1.3171426501717896</v>
      </c>
      <c r="L1023">
        <v>0.16660409326944542</v>
      </c>
      <c r="M1023">
        <v>0.99962455961667251</v>
      </c>
      <c r="N1023">
        <v>2.3167672097884622</v>
      </c>
      <c r="O1023" t="s">
        <v>90</v>
      </c>
      <c r="P1023">
        <v>0</v>
      </c>
      <c r="Q1023" t="s">
        <v>90</v>
      </c>
      <c r="R1023">
        <v>0</v>
      </c>
      <c r="S1023" t="s">
        <v>90</v>
      </c>
      <c r="T1023">
        <v>0</v>
      </c>
      <c r="U1023">
        <v>2.3167672097884622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93</v>
      </c>
      <c r="AB1023">
        <v>1</v>
      </c>
      <c r="AC1023">
        <v>0.5</v>
      </c>
      <c r="AD1023">
        <v>0.50345253019720215</v>
      </c>
      <c r="AE1023">
        <v>10800</v>
      </c>
      <c r="AF1023">
        <v>200000</v>
      </c>
      <c r="AG1023">
        <v>16666.666666666668</v>
      </c>
      <c r="AH1023">
        <v>1</v>
      </c>
      <c r="AI1023">
        <v>1</v>
      </c>
      <c r="AJ1023" t="s">
        <v>162</v>
      </c>
      <c r="AK1023" t="s">
        <v>176</v>
      </c>
      <c r="AL1023">
        <v>0</v>
      </c>
      <c r="AM1023" t="s">
        <v>176</v>
      </c>
      <c r="AN1023">
        <v>0</v>
      </c>
    </row>
    <row r="1024" spans="1:40" x14ac:dyDescent="0.15">
      <c r="A1024" s="4" t="str">
        <f>HYPERLINK("https://ibp.a2mac1.com/costing(costing:projects/details/9760/process/12085322)","Automated Process")</f>
        <v>Automated Process</v>
      </c>
      <c r="B1024" t="s">
        <v>4235</v>
      </c>
      <c r="C1024">
        <v>12085322</v>
      </c>
      <c r="D1024">
        <v>8416002</v>
      </c>
      <c r="E1024">
        <v>0.80230439099999995</v>
      </c>
      <c r="F1024">
        <v>0</v>
      </c>
      <c r="G1024">
        <v>0</v>
      </c>
      <c r="H1024">
        <v>4.0698348054736839E-3</v>
      </c>
      <c r="I1024" t="s">
        <v>176</v>
      </c>
      <c r="J1024">
        <v>2.8151031263157895E-2</v>
      </c>
      <c r="K1024">
        <v>0.83452525706863157</v>
      </c>
      <c r="L1024">
        <v>6.417123683478107E-2</v>
      </c>
      <c r="M1024">
        <v>0.38502742100868642</v>
      </c>
      <c r="N1024">
        <v>1.219552678077318</v>
      </c>
      <c r="O1024" t="s">
        <v>177</v>
      </c>
      <c r="P1024">
        <v>5.0071515424117898E-2</v>
      </c>
      <c r="Q1024" t="s">
        <v>177</v>
      </c>
      <c r="R1024">
        <v>2.3101645260521185E-2</v>
      </c>
      <c r="S1024" t="s">
        <v>178</v>
      </c>
      <c r="T1024">
        <v>0.14634632136927817</v>
      </c>
      <c r="U1024">
        <v>1.4390721601312353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35</v>
      </c>
      <c r="AB1024">
        <v>1</v>
      </c>
      <c r="AC1024">
        <v>0.5</v>
      </c>
      <c r="AD1024">
        <v>0.50345253019720215</v>
      </c>
      <c r="AE1024">
        <v>10800</v>
      </c>
      <c r="AF1024">
        <v>200000</v>
      </c>
      <c r="AG1024">
        <v>16666.666666666668</v>
      </c>
      <c r="AH1024">
        <v>1</v>
      </c>
      <c r="AI1024">
        <v>1</v>
      </c>
      <c r="AJ1024" t="s">
        <v>162</v>
      </c>
      <c r="AK1024" t="s">
        <v>176</v>
      </c>
      <c r="AL1024">
        <v>0</v>
      </c>
      <c r="AM1024" t="s">
        <v>176</v>
      </c>
      <c r="AN1024">
        <v>0</v>
      </c>
    </row>
    <row r="1025" spans="1:40" x14ac:dyDescent="0.15">
      <c r="A1025" s="4" t="str">
        <f>HYPERLINK("https://ibp.a2mac1.com/costing(costing:projects/details/9760/process/12085323)","Automated Process")</f>
        <v>Automated Process</v>
      </c>
      <c r="B1025" t="s">
        <v>5157</v>
      </c>
      <c r="C1025">
        <v>12085323</v>
      </c>
      <c r="D1025">
        <v>8416003</v>
      </c>
      <c r="E1025">
        <v>3.5821052631578949</v>
      </c>
      <c r="F1025">
        <v>0</v>
      </c>
      <c r="G1025">
        <v>0</v>
      </c>
      <c r="H1025">
        <v>1.8125452631578949E-2</v>
      </c>
      <c r="I1025" t="s">
        <v>176</v>
      </c>
      <c r="J1025">
        <v>0.1253736842105263</v>
      </c>
      <c r="K1025">
        <v>3.7256043999999999</v>
      </c>
      <c r="L1025">
        <v>2.7083478470506045E-2</v>
      </c>
      <c r="M1025">
        <v>0.16250087082303627</v>
      </c>
      <c r="N1025">
        <v>3.8881052708230364</v>
      </c>
      <c r="O1025" t="s">
        <v>177</v>
      </c>
      <c r="P1025">
        <v>0.22353626400000001</v>
      </c>
      <c r="Q1025" t="s">
        <v>177</v>
      </c>
      <c r="R1025">
        <v>9.7500522493821767E-3</v>
      </c>
      <c r="S1025" t="s">
        <v>178</v>
      </c>
      <c r="T1025">
        <v>0.46657263249876435</v>
      </c>
      <c r="U1025">
        <v>4.5879642195711829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14</v>
      </c>
      <c r="AB1025">
        <v>1</v>
      </c>
      <c r="AC1025">
        <v>0.5</v>
      </c>
      <c r="AD1025">
        <v>0.50345253019720215</v>
      </c>
      <c r="AE1025">
        <v>10800</v>
      </c>
      <c r="AF1025">
        <v>200000</v>
      </c>
      <c r="AG1025">
        <v>16666.666666666668</v>
      </c>
      <c r="AH1025">
        <v>1</v>
      </c>
      <c r="AI1025">
        <v>1</v>
      </c>
      <c r="AJ1025" t="s">
        <v>162</v>
      </c>
      <c r="AK1025" t="s">
        <v>176</v>
      </c>
      <c r="AL1025">
        <v>0</v>
      </c>
      <c r="AM1025" t="s">
        <v>176</v>
      </c>
      <c r="AN1025">
        <v>0</v>
      </c>
    </row>
    <row r="1026" spans="1:40" x14ac:dyDescent="0.15">
      <c r="A1026" s="4" t="str">
        <f>HYPERLINK("https://ibp.a2mac1.com/costing(costing:projects/details/9760/process/12085324)","Automated Process")</f>
        <v>Automated Process</v>
      </c>
      <c r="B1026" t="s">
        <v>4235</v>
      </c>
      <c r="C1026">
        <v>12085324</v>
      </c>
      <c r="D1026">
        <v>8416004</v>
      </c>
      <c r="E1026">
        <v>0.18413543399999999</v>
      </c>
      <c r="F1026">
        <v>0</v>
      </c>
      <c r="G1026">
        <v>0</v>
      </c>
      <c r="H1026">
        <v>9.3406044715789471E-4</v>
      </c>
      <c r="I1026" t="s">
        <v>176</v>
      </c>
      <c r="J1026">
        <v>6.4608924210526313E-3</v>
      </c>
      <c r="K1026">
        <v>0.19153038686821053</v>
      </c>
      <c r="L1026">
        <v>1.6486976080713183E-2</v>
      </c>
      <c r="M1026">
        <v>9.8921856484279092E-2</v>
      </c>
      <c r="N1026">
        <v>0.29045224335248959</v>
      </c>
      <c r="O1026" t="s">
        <v>90</v>
      </c>
      <c r="P1026">
        <v>0</v>
      </c>
      <c r="Q1026" t="s">
        <v>90</v>
      </c>
      <c r="R1026">
        <v>0</v>
      </c>
      <c r="S1026" t="s">
        <v>90</v>
      </c>
      <c r="T1026">
        <v>0</v>
      </c>
      <c r="U1026">
        <v>0.29045224335248959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8</v>
      </c>
      <c r="AB1026">
        <v>1</v>
      </c>
      <c r="AC1026">
        <v>0.5</v>
      </c>
      <c r="AD1026">
        <v>0.50345253019720215</v>
      </c>
      <c r="AE1026">
        <v>10800</v>
      </c>
      <c r="AF1026">
        <v>200000</v>
      </c>
      <c r="AG1026">
        <v>16666.666666666668</v>
      </c>
      <c r="AH1026">
        <v>1</v>
      </c>
      <c r="AI1026">
        <v>1</v>
      </c>
      <c r="AJ1026" t="s">
        <v>162</v>
      </c>
      <c r="AK1026" t="s">
        <v>176</v>
      </c>
      <c r="AL1026">
        <v>0</v>
      </c>
      <c r="AM1026" t="s">
        <v>176</v>
      </c>
      <c r="AN1026">
        <v>0</v>
      </c>
    </row>
    <row r="1027" spans="1:40" x14ac:dyDescent="0.15">
      <c r="A1027" s="4" t="str">
        <f>HYPERLINK("https://ibp.a2mac1.com/costing(costing:projects/details/9760/process/12085325)","Automated Process")</f>
        <v>Automated Process</v>
      </c>
      <c r="B1027" t="s">
        <v>4235</v>
      </c>
      <c r="C1027">
        <v>12085325</v>
      </c>
      <c r="D1027">
        <v>8416005</v>
      </c>
      <c r="E1027">
        <v>0.120283338</v>
      </c>
      <c r="F1027">
        <v>0</v>
      </c>
      <c r="G1027">
        <v>0</v>
      </c>
      <c r="H1027">
        <v>6.1015908799999996E-4</v>
      </c>
      <c r="I1027" t="s">
        <v>176</v>
      </c>
      <c r="J1027">
        <v>4.2204679999999998E-3</v>
      </c>
      <c r="K1027">
        <v>0.12511396508799999</v>
      </c>
      <c r="L1027">
        <v>1.2954808617448894E-2</v>
      </c>
      <c r="M1027">
        <v>7.7728851704693361E-2</v>
      </c>
      <c r="N1027">
        <v>0.20284281679269336</v>
      </c>
      <c r="O1027" t="s">
        <v>90</v>
      </c>
      <c r="P1027">
        <v>0</v>
      </c>
      <c r="Q1027" t="s">
        <v>90</v>
      </c>
      <c r="R1027">
        <v>0</v>
      </c>
      <c r="S1027" t="s">
        <v>90</v>
      </c>
      <c r="T1027">
        <v>0</v>
      </c>
      <c r="U1027">
        <v>0.20284281679269336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</v>
      </c>
      <c r="AB1027">
        <v>1</v>
      </c>
      <c r="AC1027">
        <v>0.5</v>
      </c>
      <c r="AD1027">
        <v>0.50345253019720215</v>
      </c>
      <c r="AE1027">
        <v>10800</v>
      </c>
      <c r="AF1027">
        <v>200000</v>
      </c>
      <c r="AG1027">
        <v>16666.666666666668</v>
      </c>
      <c r="AH1027">
        <v>1</v>
      </c>
      <c r="AI1027">
        <v>1</v>
      </c>
      <c r="AJ1027" t="s">
        <v>162</v>
      </c>
      <c r="AK1027" t="s">
        <v>176</v>
      </c>
      <c r="AL1027">
        <v>0</v>
      </c>
      <c r="AM1027" t="s">
        <v>176</v>
      </c>
      <c r="AN1027">
        <v>0</v>
      </c>
    </row>
    <row r="1028" spans="1:40" x14ac:dyDescent="0.15">
      <c r="A1028" s="4" t="str">
        <f>HYPERLINK("https://ibp.a2mac1.com/costing(costing:projects/details/9760/process/12085326)","Automated Process")</f>
        <v>Automated Process</v>
      </c>
      <c r="B1028" t="s">
        <v>5171</v>
      </c>
      <c r="C1028">
        <v>12085326</v>
      </c>
      <c r="D1028">
        <v>8416006</v>
      </c>
      <c r="E1028">
        <v>7.4641055999999997E-2</v>
      </c>
      <c r="F1028">
        <v>0</v>
      </c>
      <c r="G1028">
        <v>0</v>
      </c>
      <c r="H1028">
        <v>3.7863031915789475E-4</v>
      </c>
      <c r="I1028" t="s">
        <v>176</v>
      </c>
      <c r="J1028">
        <v>2.6189844210526315E-3</v>
      </c>
      <c r="K1028">
        <v>7.7638670740210525E-2</v>
      </c>
      <c r="L1028">
        <v>3.5913897128666765E-2</v>
      </c>
      <c r="M1028">
        <v>0.2154833827720006</v>
      </c>
      <c r="N1028">
        <v>0.2931220535122111</v>
      </c>
      <c r="O1028" t="s">
        <v>90</v>
      </c>
      <c r="P1028">
        <v>0</v>
      </c>
      <c r="Q1028" t="s">
        <v>90</v>
      </c>
      <c r="R1028">
        <v>0</v>
      </c>
      <c r="S1028" t="s">
        <v>90</v>
      </c>
      <c r="T1028">
        <v>0</v>
      </c>
      <c r="U1028">
        <v>0.2931220535122111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19</v>
      </c>
      <c r="AB1028">
        <v>1</v>
      </c>
      <c r="AC1028">
        <v>0.5</v>
      </c>
      <c r="AD1028">
        <v>0.50345253019720215</v>
      </c>
      <c r="AE1028">
        <v>10800</v>
      </c>
      <c r="AF1028">
        <v>200000</v>
      </c>
      <c r="AG1028">
        <v>16666.666666666668</v>
      </c>
      <c r="AH1028">
        <v>1</v>
      </c>
      <c r="AI1028">
        <v>1</v>
      </c>
      <c r="AJ1028" t="s">
        <v>162</v>
      </c>
      <c r="AK1028" t="s">
        <v>176</v>
      </c>
      <c r="AL1028">
        <v>0</v>
      </c>
      <c r="AM1028" t="s">
        <v>176</v>
      </c>
      <c r="AN1028">
        <v>0</v>
      </c>
    </row>
    <row r="1029" spans="1:40" x14ac:dyDescent="0.15">
      <c r="A1029" s="4" t="str">
        <f>HYPERLINK("https://ibp.a2mac1.com/costing(costing:projects/details/9760/process/12085327)","Automated Process")</f>
        <v>Automated Process</v>
      </c>
      <c r="B1029" t="s">
        <v>4235</v>
      </c>
      <c r="C1029">
        <v>12085327</v>
      </c>
      <c r="D1029">
        <v>8416007</v>
      </c>
      <c r="E1029">
        <v>2.3531781000000002E-2</v>
      </c>
      <c r="F1029">
        <v>0</v>
      </c>
      <c r="G1029">
        <v>0</v>
      </c>
      <c r="H1029">
        <v>1.1936923494736842E-4</v>
      </c>
      <c r="I1029" t="s">
        <v>176</v>
      </c>
      <c r="J1029">
        <v>8.2567652631578947E-4</v>
      </c>
      <c r="K1029">
        <v>2.4476826761263157E-2</v>
      </c>
      <c r="L1029">
        <v>4.1243899592881732E-3</v>
      </c>
      <c r="M1029">
        <v>2.4746339755729041E-2</v>
      </c>
      <c r="N1029">
        <v>4.9223166516992198E-2</v>
      </c>
      <c r="O1029" t="s">
        <v>90</v>
      </c>
      <c r="P1029">
        <v>0</v>
      </c>
      <c r="Q1029" t="s">
        <v>90</v>
      </c>
      <c r="R1029">
        <v>0</v>
      </c>
      <c r="S1029" t="s">
        <v>90</v>
      </c>
      <c r="T1029">
        <v>0</v>
      </c>
      <c r="U1029">
        <v>4.9223166516992198E-2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0.5</v>
      </c>
      <c r="AD1029">
        <v>0.50345253019720215</v>
      </c>
      <c r="AE1029">
        <v>10800</v>
      </c>
      <c r="AF1029">
        <v>200000</v>
      </c>
      <c r="AG1029">
        <v>16666.666666666668</v>
      </c>
      <c r="AH1029">
        <v>1</v>
      </c>
      <c r="AI1029">
        <v>1</v>
      </c>
      <c r="AJ1029" t="s">
        <v>162</v>
      </c>
      <c r="AK1029" t="s">
        <v>176</v>
      </c>
      <c r="AL1029">
        <v>0</v>
      </c>
      <c r="AM1029" t="s">
        <v>176</v>
      </c>
      <c r="AN1029">
        <v>0</v>
      </c>
    </row>
    <row r="1030" spans="1:40" x14ac:dyDescent="0.15">
      <c r="A1030" s="4" t="str">
        <f>HYPERLINK("https://ibp.a2mac1.com/costing(costing:projects/details/9760/process/12085328)","Automated Process")</f>
        <v>Automated Process</v>
      </c>
      <c r="B1030" t="s">
        <v>4235</v>
      </c>
      <c r="C1030">
        <v>12085328</v>
      </c>
      <c r="D1030">
        <v>8416008</v>
      </c>
      <c r="E1030">
        <v>3.6116639999999998E-2</v>
      </c>
      <c r="F1030">
        <v>0</v>
      </c>
      <c r="G1030">
        <v>0</v>
      </c>
      <c r="H1030">
        <v>1.8320821894736843E-4</v>
      </c>
      <c r="I1030" t="s">
        <v>176</v>
      </c>
      <c r="J1030">
        <v>1.2672505263157895E-3</v>
      </c>
      <c r="K1030">
        <v>3.7567098745263157E-2</v>
      </c>
      <c r="L1030">
        <v>5.8904736909203177E-3</v>
      </c>
      <c r="M1030">
        <v>3.5342842145521906E-2</v>
      </c>
      <c r="N1030">
        <v>7.2909940890785063E-2</v>
      </c>
      <c r="O1030" t="s">
        <v>90</v>
      </c>
      <c r="P1030">
        <v>0</v>
      </c>
      <c r="Q1030" t="s">
        <v>90</v>
      </c>
      <c r="R1030">
        <v>0</v>
      </c>
      <c r="S1030" t="s">
        <v>90</v>
      </c>
      <c r="T1030">
        <v>0</v>
      </c>
      <c r="U1030">
        <v>7.2909940890785063E-2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2</v>
      </c>
      <c r="AB1030">
        <v>1</v>
      </c>
      <c r="AC1030">
        <v>0.5</v>
      </c>
      <c r="AD1030">
        <v>0.50345253019720215</v>
      </c>
      <c r="AE1030">
        <v>10800</v>
      </c>
      <c r="AF1030">
        <v>200000</v>
      </c>
      <c r="AG1030">
        <v>16666.666666666668</v>
      </c>
      <c r="AH1030">
        <v>1</v>
      </c>
      <c r="AI1030">
        <v>1</v>
      </c>
      <c r="AJ1030" t="s">
        <v>162</v>
      </c>
      <c r="AK1030" t="s">
        <v>176</v>
      </c>
      <c r="AL1030">
        <v>0</v>
      </c>
      <c r="AM1030" t="s">
        <v>176</v>
      </c>
      <c r="AN1030">
        <v>0</v>
      </c>
    </row>
    <row r="1031" spans="1:40" x14ac:dyDescent="0.15">
      <c r="A1031" s="4" t="str">
        <f>HYPERLINK("https://ibp.a2mac1.com/costing(costing:projects/details/9760/process/12085329)","Injection molding")</f>
        <v>Injection molding</v>
      </c>
      <c r="B1031" t="s">
        <v>6673</v>
      </c>
      <c r="C1031">
        <v>12085329</v>
      </c>
      <c r="D1031">
        <v>8416011</v>
      </c>
      <c r="E1031">
        <v>0.15206823479695752</v>
      </c>
      <c r="F1031">
        <v>0</v>
      </c>
      <c r="G1031">
        <v>0</v>
      </c>
      <c r="H1031">
        <v>3.1158676550672344E-3</v>
      </c>
      <c r="I1031" t="s">
        <v>176</v>
      </c>
      <c r="J1031">
        <v>5.340615471466856E-3</v>
      </c>
      <c r="K1031">
        <v>0.16052471792349163</v>
      </c>
      <c r="L1031">
        <v>6.8578819678326922E-3</v>
      </c>
      <c r="M1031">
        <v>4.1147291806996153E-2</v>
      </c>
      <c r="N1031">
        <v>0.20167200973048777</v>
      </c>
      <c r="O1031" t="s">
        <v>177</v>
      </c>
      <c r="P1031">
        <v>9.6314830754094961E-3</v>
      </c>
      <c r="Q1031" t="s">
        <v>177</v>
      </c>
      <c r="R1031">
        <v>2.4688375084197692E-3</v>
      </c>
      <c r="S1031" t="s">
        <v>178</v>
      </c>
      <c r="T1031">
        <v>2.4200641167658531E-2</v>
      </c>
      <c r="U1031">
        <v>0.23797297148197558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16.657409999999999</v>
      </c>
      <c r="AB1031">
        <v>1</v>
      </c>
      <c r="AC1031">
        <v>2</v>
      </c>
      <c r="AD1031">
        <v>2.001136786813273</v>
      </c>
      <c r="AE1031">
        <v>7200</v>
      </c>
      <c r="AF1031">
        <v>200000</v>
      </c>
      <c r="AG1031">
        <v>16666.666666666668</v>
      </c>
      <c r="AH1031">
        <v>1</v>
      </c>
      <c r="AI1031">
        <v>1</v>
      </c>
      <c r="AJ1031" t="s">
        <v>162</v>
      </c>
      <c r="AK1031" t="s">
        <v>176</v>
      </c>
      <c r="AL1031">
        <v>0</v>
      </c>
      <c r="AM1031" t="s">
        <v>176</v>
      </c>
      <c r="AN1031">
        <v>0</v>
      </c>
    </row>
    <row r="1032" spans="1:40" x14ac:dyDescent="0.15">
      <c r="A1032" s="4" t="str">
        <f>HYPERLINK("https://ibp.a2mac1.com/costing(costing:projects/details/9760/process/12085330)","Injection molding")</f>
        <v>Injection molding</v>
      </c>
      <c r="B1032" t="s">
        <v>6679</v>
      </c>
      <c r="C1032">
        <v>12085330</v>
      </c>
      <c r="D1032">
        <v>8416012</v>
      </c>
      <c r="E1032">
        <v>4.7272311841521863E-2</v>
      </c>
      <c r="F1032">
        <v>0</v>
      </c>
      <c r="G1032">
        <v>0</v>
      </c>
      <c r="H1032">
        <v>9.7057632098302793E-4</v>
      </c>
      <c r="I1032" t="s">
        <v>176</v>
      </c>
      <c r="J1032">
        <v>1.6635735178455425E-3</v>
      </c>
      <c r="K1032">
        <v>4.9906461680350435E-2</v>
      </c>
      <c r="L1032">
        <v>5.1517489311712125E-3</v>
      </c>
      <c r="M1032">
        <v>3.0910493587027275E-2</v>
      </c>
      <c r="N1032">
        <v>8.0816955267377713E-2</v>
      </c>
      <c r="O1032" t="s">
        <v>177</v>
      </c>
      <c r="P1032">
        <v>2.994387700821026E-3</v>
      </c>
      <c r="Q1032" t="s">
        <v>177</v>
      </c>
      <c r="R1032">
        <v>1.8546296152216364E-3</v>
      </c>
      <c r="S1032" t="s">
        <v>178</v>
      </c>
      <c r="T1032">
        <v>9.6980346320853245E-3</v>
      </c>
      <c r="U1032">
        <v>9.5364007215505697E-2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14.307410000000001</v>
      </c>
      <c r="AB1032">
        <v>1</v>
      </c>
      <c r="AC1032">
        <v>2</v>
      </c>
      <c r="AD1032">
        <v>2.001136786813273</v>
      </c>
      <c r="AE1032">
        <v>7200</v>
      </c>
      <c r="AF1032">
        <v>200000</v>
      </c>
      <c r="AG1032">
        <v>16666.666666666668</v>
      </c>
      <c r="AH1032">
        <v>1</v>
      </c>
      <c r="AI1032">
        <v>1</v>
      </c>
      <c r="AJ1032" t="s">
        <v>162</v>
      </c>
      <c r="AK1032" t="s">
        <v>176</v>
      </c>
      <c r="AL1032">
        <v>0</v>
      </c>
      <c r="AM1032" t="s">
        <v>176</v>
      </c>
      <c r="AN1032">
        <v>0</v>
      </c>
    </row>
    <row r="1033" spans="1:40" x14ac:dyDescent="0.15">
      <c r="A1033" s="4" t="str">
        <f>HYPERLINK("https://ibp.a2mac1.com/costing(costing:projects/details/9760/process/12085678)","Injection molding")</f>
        <v>Injection molding</v>
      </c>
      <c r="C1033">
        <v>12085678</v>
      </c>
      <c r="D1033">
        <v>8416348</v>
      </c>
      <c r="E1033">
        <v>3.1301087999999998E-2</v>
      </c>
      <c r="F1033">
        <v>0</v>
      </c>
      <c r="G1033">
        <v>0</v>
      </c>
      <c r="H1033">
        <v>1.5878045642105264E-4</v>
      </c>
      <c r="I1033" t="s">
        <v>176</v>
      </c>
      <c r="J1033">
        <v>1.0982837894736842E-3</v>
      </c>
      <c r="K1033">
        <v>3.2558152245894735E-2</v>
      </c>
      <c r="L1033">
        <v>3.0171767124431421E-4</v>
      </c>
      <c r="M1033">
        <v>1.8103060274658853E-3</v>
      </c>
      <c r="N1033">
        <v>3.4368458273360623E-2</v>
      </c>
      <c r="O1033" t="s">
        <v>177</v>
      </c>
      <c r="P1033">
        <v>1.953489134753684E-3</v>
      </c>
      <c r="Q1033" t="s">
        <v>177</v>
      </c>
      <c r="R1033">
        <v>1.0861836164795312E-4</v>
      </c>
      <c r="S1033" t="s">
        <v>178</v>
      </c>
      <c r="T1033">
        <v>4.1242149928032747E-3</v>
      </c>
      <c r="U1033">
        <v>4.0554780762565537E-2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60</v>
      </c>
      <c r="AB1033">
        <v>1</v>
      </c>
      <c r="AC1033">
        <v>0.5</v>
      </c>
      <c r="AD1033">
        <v>0.50345253019720215</v>
      </c>
      <c r="AE1033">
        <v>17.55</v>
      </c>
      <c r="AF1033">
        <v>200000</v>
      </c>
      <c r="AG1033">
        <v>16666.666666666668</v>
      </c>
      <c r="AH1033">
        <v>1</v>
      </c>
      <c r="AI1033">
        <v>1</v>
      </c>
      <c r="AJ1033" t="s">
        <v>162</v>
      </c>
      <c r="AK1033" t="s">
        <v>176</v>
      </c>
      <c r="AL1033">
        <v>0</v>
      </c>
      <c r="AM1033" t="s">
        <v>176</v>
      </c>
      <c r="AN1033">
        <v>0</v>
      </c>
    </row>
    <row r="1034" spans="1:40" x14ac:dyDescent="0.15">
      <c r="A1034" s="4" t="str">
        <f>HYPERLINK("https://ibp.a2mac1.com/costing(costing:projects/details/9760/process/12085679)","Injection molding")</f>
        <v>Injection molding</v>
      </c>
      <c r="B1034" t="s">
        <v>5439</v>
      </c>
      <c r="C1034">
        <v>12085679</v>
      </c>
      <c r="D1034">
        <v>8416349</v>
      </c>
      <c r="E1034">
        <v>0.14999578173195877</v>
      </c>
      <c r="F1034">
        <v>0</v>
      </c>
      <c r="G1034">
        <v>0</v>
      </c>
      <c r="H1034">
        <v>1.5622995793814433E-4</v>
      </c>
      <c r="I1034" t="s">
        <v>176</v>
      </c>
      <c r="J1034">
        <v>5.257738969072165E-3</v>
      </c>
      <c r="K1034">
        <v>0.15540975065896906</v>
      </c>
      <c r="L1034">
        <v>5.5561688591553356E-3</v>
      </c>
      <c r="M1034">
        <v>3.333701315493201E-2</v>
      </c>
      <c r="N1034">
        <v>0.1887467638139011</v>
      </c>
      <c r="O1034" t="s">
        <v>177</v>
      </c>
      <c r="P1034">
        <v>9.3245850395381451E-3</v>
      </c>
      <c r="Q1034" t="s">
        <v>177</v>
      </c>
      <c r="R1034">
        <v>2.0002207892959208E-3</v>
      </c>
      <c r="S1034" t="s">
        <v>178</v>
      </c>
      <c r="T1034">
        <v>2.2649611657668132E-2</v>
      </c>
      <c r="U1034">
        <v>0.22272118130040328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15.961650000000001</v>
      </c>
      <c r="AB1034">
        <v>1</v>
      </c>
      <c r="AC1034">
        <v>0.1</v>
      </c>
      <c r="AD1034">
        <v>0.10389195236953569</v>
      </c>
      <c r="AE1034">
        <v>7200</v>
      </c>
      <c r="AF1034">
        <v>200000</v>
      </c>
      <c r="AG1034">
        <v>16666.666666666668</v>
      </c>
      <c r="AH1034">
        <v>1</v>
      </c>
      <c r="AI1034">
        <v>1</v>
      </c>
      <c r="AJ1034" t="s">
        <v>162</v>
      </c>
      <c r="AK1034" t="s">
        <v>176</v>
      </c>
      <c r="AL1034">
        <v>0</v>
      </c>
      <c r="AM1034" t="s">
        <v>176</v>
      </c>
      <c r="AN1034">
        <v>0</v>
      </c>
    </row>
    <row r="1035" spans="1:40" x14ac:dyDescent="0.15">
      <c r="A1035" s="4" t="str">
        <f>HYPERLINK("https://ibp.a2mac1.com/costing(costing:projects/details/9760/process/12085681)","Coiling + End forming")</f>
        <v>Coiling + End forming</v>
      </c>
      <c r="C1035">
        <v>12085681</v>
      </c>
      <c r="D1035">
        <v>8416351</v>
      </c>
      <c r="E1035">
        <v>1.2225999999999999E-3</v>
      </c>
      <c r="F1035">
        <v>0</v>
      </c>
      <c r="G1035">
        <v>0</v>
      </c>
      <c r="H1035">
        <v>2.518556E-6</v>
      </c>
      <c r="I1035" t="s">
        <v>176</v>
      </c>
      <c r="J1035">
        <v>4.2790999999999997E-5</v>
      </c>
      <c r="K1035">
        <v>1.267909556E-3</v>
      </c>
      <c r="L1035">
        <v>2.1977139272874653E-2</v>
      </c>
      <c r="M1035">
        <v>0.1318628356372479</v>
      </c>
      <c r="N1035">
        <v>0.13313074519324791</v>
      </c>
      <c r="O1035" t="s">
        <v>177</v>
      </c>
      <c r="P1035">
        <v>7.6074573359999998E-5</v>
      </c>
      <c r="Q1035" t="s">
        <v>177</v>
      </c>
      <c r="R1035">
        <v>7.9117701382348752E-3</v>
      </c>
      <c r="S1035" t="s">
        <v>178</v>
      </c>
      <c r="T1035">
        <v>1.5975689423189748E-2</v>
      </c>
      <c r="U1035">
        <v>0.15709427932803252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30</v>
      </c>
      <c r="AB1035">
        <v>1</v>
      </c>
      <c r="AC1035">
        <v>0.1</v>
      </c>
      <c r="AD1035">
        <v>0.20557651238448796</v>
      </c>
      <c r="AE1035">
        <v>900</v>
      </c>
      <c r="AF1035">
        <v>200000</v>
      </c>
      <c r="AG1035">
        <v>16666.666666666668</v>
      </c>
      <c r="AH1035">
        <v>1</v>
      </c>
      <c r="AI1035">
        <v>1</v>
      </c>
      <c r="AJ1035" t="s">
        <v>162</v>
      </c>
      <c r="AK1035" t="s">
        <v>176</v>
      </c>
      <c r="AL1035">
        <v>0</v>
      </c>
      <c r="AM1035" t="s">
        <v>176</v>
      </c>
      <c r="AN1035">
        <v>0</v>
      </c>
    </row>
    <row r="1036" spans="1:40" x14ac:dyDescent="0.15">
      <c r="A1036" s="4" t="str">
        <f>HYPERLINK("https://ibp.a2mac1.com/costing(costing:projects/details/9760/process/12085680)","Heat treatment")</f>
        <v>Heat treatment</v>
      </c>
      <c r="C1036">
        <v>12085680</v>
      </c>
      <c r="D1036">
        <v>8416351</v>
      </c>
      <c r="E1036">
        <v>0</v>
      </c>
      <c r="F1036">
        <v>0</v>
      </c>
      <c r="G1036">
        <v>0</v>
      </c>
      <c r="H1036">
        <v>0</v>
      </c>
      <c r="I1036" t="s">
        <v>176</v>
      </c>
      <c r="J1036">
        <v>0</v>
      </c>
      <c r="K1036">
        <v>0</v>
      </c>
      <c r="L1036">
        <v>1.9147638098182394E-2</v>
      </c>
      <c r="M1036">
        <v>0.11488582858909437</v>
      </c>
      <c r="N1036">
        <v>0.11488582858909437</v>
      </c>
      <c r="O1036" t="s">
        <v>177</v>
      </c>
      <c r="P1036">
        <v>0</v>
      </c>
      <c r="Q1036" t="s">
        <v>177</v>
      </c>
      <c r="R1036">
        <v>6.8931497153456624E-3</v>
      </c>
      <c r="S1036" t="s">
        <v>178</v>
      </c>
      <c r="T1036">
        <v>1.3786299430691325E-2</v>
      </c>
      <c r="U1036">
        <v>0.13556527773513136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3600</v>
      </c>
      <c r="AB1036">
        <v>200</v>
      </c>
      <c r="AC1036">
        <v>0.1</v>
      </c>
      <c r="AD1036">
        <v>0.10389195236953569</v>
      </c>
      <c r="AE1036">
        <v>1800</v>
      </c>
      <c r="AF1036">
        <v>200000</v>
      </c>
      <c r="AG1036">
        <v>16666.666666666668</v>
      </c>
      <c r="AH1036">
        <v>1</v>
      </c>
      <c r="AI1036">
        <v>1</v>
      </c>
      <c r="AJ1036" t="s">
        <v>162</v>
      </c>
      <c r="AK1036" t="s">
        <v>176</v>
      </c>
      <c r="AL1036">
        <v>0</v>
      </c>
      <c r="AM1036" t="s">
        <v>176</v>
      </c>
      <c r="AN1036">
        <v>0</v>
      </c>
    </row>
    <row r="1037" spans="1:40" x14ac:dyDescent="0.15">
      <c r="A1037" s="4" t="str">
        <f>HYPERLINK("https://ibp.a2mac1.com/costing(costing:projects/details/9760/process/12085682)","Injection molding")</f>
        <v>Injection molding</v>
      </c>
      <c r="B1037" t="s">
        <v>5456</v>
      </c>
      <c r="C1037">
        <v>12085682</v>
      </c>
      <c r="D1037">
        <v>8416353</v>
      </c>
      <c r="E1037">
        <v>0.14999578173195877</v>
      </c>
      <c r="F1037">
        <v>0</v>
      </c>
      <c r="G1037">
        <v>0</v>
      </c>
      <c r="H1037">
        <v>1.5622995793814433E-4</v>
      </c>
      <c r="I1037" t="s">
        <v>176</v>
      </c>
      <c r="J1037">
        <v>5.257738969072165E-3</v>
      </c>
      <c r="K1037">
        <v>0.15540975065896906</v>
      </c>
      <c r="L1037">
        <v>4.4634349952700726E-3</v>
      </c>
      <c r="M1037">
        <v>2.6780609971620437E-2</v>
      </c>
      <c r="N1037">
        <v>0.18219036063058952</v>
      </c>
      <c r="O1037" t="s">
        <v>177</v>
      </c>
      <c r="P1037">
        <v>9.3245850395381451E-3</v>
      </c>
      <c r="Q1037" t="s">
        <v>177</v>
      </c>
      <c r="R1037">
        <v>1.6068365982972262E-3</v>
      </c>
      <c r="S1037" t="s">
        <v>178</v>
      </c>
      <c r="T1037">
        <v>2.186284327567074E-2</v>
      </c>
      <c r="U1037">
        <v>0.21498462554409561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12.36265</v>
      </c>
      <c r="AB1037">
        <v>1</v>
      </c>
      <c r="AC1037">
        <v>0.1</v>
      </c>
      <c r="AD1037">
        <v>0.10389195236953569</v>
      </c>
      <c r="AE1037">
        <v>7200</v>
      </c>
      <c r="AF1037">
        <v>200000</v>
      </c>
      <c r="AG1037">
        <v>16666.666666666668</v>
      </c>
      <c r="AH1037">
        <v>1</v>
      </c>
      <c r="AI1037">
        <v>1</v>
      </c>
      <c r="AJ1037" t="s">
        <v>162</v>
      </c>
      <c r="AK1037" t="s">
        <v>176</v>
      </c>
      <c r="AL1037">
        <v>0</v>
      </c>
      <c r="AM1037" t="s">
        <v>176</v>
      </c>
      <c r="AN1037">
        <v>0</v>
      </c>
    </row>
    <row r="1038" spans="1:40" x14ac:dyDescent="0.15">
      <c r="A1038" s="4" t="str">
        <f>HYPERLINK("https://ibp.a2mac1.com/costing(costing:projects/details/9760/process/12085683)","Injection molding")</f>
        <v>Injection molding</v>
      </c>
      <c r="B1038" t="s">
        <v>5463</v>
      </c>
      <c r="C1038">
        <v>12085683</v>
      </c>
      <c r="D1038">
        <v>8416354</v>
      </c>
      <c r="E1038">
        <v>0.61762968948453612</v>
      </c>
      <c r="F1038">
        <v>0</v>
      </c>
      <c r="G1038">
        <v>0</v>
      </c>
      <c r="H1038">
        <v>6.4329982680412371E-4</v>
      </c>
      <c r="I1038" t="s">
        <v>176</v>
      </c>
      <c r="J1038">
        <v>2.1649513402061855E-2</v>
      </c>
      <c r="K1038">
        <v>0.63992250271340201</v>
      </c>
      <c r="L1038">
        <v>2.9674841040629066E-2</v>
      </c>
      <c r="M1038">
        <v>0.17804904624377441</v>
      </c>
      <c r="N1038">
        <v>0.8179715489571765</v>
      </c>
      <c r="O1038" t="s">
        <v>177</v>
      </c>
      <c r="P1038">
        <v>3.8395350162804126E-2</v>
      </c>
      <c r="Q1038" t="s">
        <v>177</v>
      </c>
      <c r="R1038">
        <v>1.0682942774626464E-2</v>
      </c>
      <c r="S1038" t="s">
        <v>178</v>
      </c>
      <c r="T1038">
        <v>9.8156585874861174E-2</v>
      </c>
      <c r="U1038">
        <v>0.96520642776946819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48.01887</v>
      </c>
      <c r="AB1038">
        <v>1</v>
      </c>
      <c r="AC1038">
        <v>0.1</v>
      </c>
      <c r="AD1038">
        <v>0.10389195236953569</v>
      </c>
      <c r="AE1038">
        <v>7200</v>
      </c>
      <c r="AF1038">
        <v>200000</v>
      </c>
      <c r="AG1038">
        <v>16666.666666666668</v>
      </c>
      <c r="AH1038">
        <v>1</v>
      </c>
      <c r="AI1038">
        <v>1</v>
      </c>
      <c r="AJ1038" t="s">
        <v>162</v>
      </c>
      <c r="AK1038" t="s">
        <v>176</v>
      </c>
      <c r="AL1038">
        <v>0</v>
      </c>
      <c r="AM1038" t="s">
        <v>176</v>
      </c>
      <c r="AN1038">
        <v>0</v>
      </c>
    </row>
    <row r="1039" spans="1:40" x14ac:dyDescent="0.15">
      <c r="A1039" s="4" t="str">
        <f>HYPERLINK("https://ibp.a2mac1.com/costing(costing:projects/details/9760/process/12085684)","Injection molding")</f>
        <v>Injection molding</v>
      </c>
      <c r="B1039" t="s">
        <v>5468</v>
      </c>
      <c r="C1039">
        <v>12085684</v>
      </c>
      <c r="D1039">
        <v>8416355</v>
      </c>
      <c r="E1039">
        <v>6.7411359922680408E-2</v>
      </c>
      <c r="F1039">
        <v>0</v>
      </c>
      <c r="G1039">
        <v>0</v>
      </c>
      <c r="H1039">
        <v>7.5479119072164951E-4</v>
      </c>
      <c r="I1039" t="s">
        <v>176</v>
      </c>
      <c r="J1039">
        <v>2.3629420103092784E-3</v>
      </c>
      <c r="K1039">
        <v>7.0529093123711334E-2</v>
      </c>
      <c r="L1039">
        <v>8.2371225031320286E-3</v>
      </c>
      <c r="M1039">
        <v>4.9422735018792172E-2</v>
      </c>
      <c r="N1039">
        <v>0.11995182814250352</v>
      </c>
      <c r="O1039" t="s">
        <v>177</v>
      </c>
      <c r="P1039">
        <v>4.2317455874226802E-3</v>
      </c>
      <c r="Q1039" t="s">
        <v>177</v>
      </c>
      <c r="R1039">
        <v>2.9653641011275302E-3</v>
      </c>
      <c r="S1039" t="s">
        <v>178</v>
      </c>
      <c r="T1039">
        <v>1.4394219377100422E-2</v>
      </c>
      <c r="U1039">
        <v>0.14154315720815414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20.623080000000002</v>
      </c>
      <c r="AB1039">
        <v>1</v>
      </c>
      <c r="AC1039">
        <v>0.1</v>
      </c>
      <c r="AD1039">
        <v>1.1056389564667022</v>
      </c>
      <c r="AE1039">
        <v>7200</v>
      </c>
      <c r="AF1039">
        <v>200000</v>
      </c>
      <c r="AG1039">
        <v>16666.666666666668</v>
      </c>
      <c r="AH1039">
        <v>1</v>
      </c>
      <c r="AI1039">
        <v>1</v>
      </c>
      <c r="AJ1039" t="s">
        <v>162</v>
      </c>
      <c r="AK1039" t="s">
        <v>176</v>
      </c>
      <c r="AL1039">
        <v>0</v>
      </c>
      <c r="AM1039" t="s">
        <v>176</v>
      </c>
      <c r="AN1039">
        <v>0</v>
      </c>
    </row>
    <row r="1040" spans="1:40" x14ac:dyDescent="0.15">
      <c r="A1040" s="4" t="str">
        <f>HYPERLINK("https://ibp.a2mac1.com/costing(costing:projects/details/9760/process/12085685)","Painting")</f>
        <v>Painting</v>
      </c>
      <c r="C1040">
        <v>12085685</v>
      </c>
      <c r="D1040">
        <v>8416355</v>
      </c>
      <c r="E1040">
        <v>0.1404061245972073</v>
      </c>
      <c r="F1040">
        <v>0</v>
      </c>
      <c r="G1040">
        <v>0</v>
      </c>
      <c r="H1040">
        <v>1.4265262259076262E-3</v>
      </c>
      <c r="I1040" t="s">
        <v>176</v>
      </c>
      <c r="J1040">
        <v>4.9142143609022552E-3</v>
      </c>
      <c r="K1040">
        <v>0.14674686518401719</v>
      </c>
      <c r="L1040">
        <v>9.9798658116649411E-2</v>
      </c>
      <c r="M1040">
        <v>0.59879194869989649</v>
      </c>
      <c r="N1040">
        <v>0.74553881388391363</v>
      </c>
      <c r="O1040" t="s">
        <v>177</v>
      </c>
      <c r="P1040">
        <v>8.8048119110410317E-3</v>
      </c>
      <c r="Q1040" t="s">
        <v>177</v>
      </c>
      <c r="R1040">
        <v>3.5927516921993786E-2</v>
      </c>
      <c r="S1040" t="s">
        <v>178</v>
      </c>
      <c r="T1040">
        <v>8.9464657666069633E-2</v>
      </c>
      <c r="U1040">
        <v>0.87973580038301813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2.7</v>
      </c>
      <c r="AB1040">
        <v>1</v>
      </c>
      <c r="AC1040">
        <v>1</v>
      </c>
      <c r="AD1040">
        <v>1.0057812623742775</v>
      </c>
      <c r="AE1040">
        <v>0</v>
      </c>
      <c r="AF1040">
        <v>200000</v>
      </c>
      <c r="AG1040">
        <v>16666.666666666668</v>
      </c>
      <c r="AH1040">
        <v>1</v>
      </c>
      <c r="AI1040">
        <v>1</v>
      </c>
      <c r="AJ1040" t="s">
        <v>162</v>
      </c>
      <c r="AK1040" t="s">
        <v>176</v>
      </c>
      <c r="AL1040">
        <v>0</v>
      </c>
      <c r="AM1040" t="s">
        <v>176</v>
      </c>
      <c r="AN1040">
        <v>0</v>
      </c>
    </row>
    <row r="1041" spans="1:40" x14ac:dyDescent="0.15">
      <c r="A1041" s="4" t="str">
        <f>HYPERLINK("https://ibp.a2mac1.com/costing(costing:projects/details/9760/process/12085686)","Injection molding")</f>
        <v>Injection molding</v>
      </c>
      <c r="C1041">
        <v>12085686</v>
      </c>
      <c r="D1041">
        <v>8416356</v>
      </c>
      <c r="E1041">
        <v>0.1237709025</v>
      </c>
      <c r="F1041">
        <v>0</v>
      </c>
      <c r="G1041">
        <v>0</v>
      </c>
      <c r="H1041">
        <v>1.8934776663157894E-3</v>
      </c>
      <c r="I1041" t="s">
        <v>176</v>
      </c>
      <c r="J1041">
        <v>4.3428386842105267E-3</v>
      </c>
      <c r="K1041">
        <v>0.13000721885052632</v>
      </c>
      <c r="L1041">
        <v>2.1102184692820868E-3</v>
      </c>
      <c r="M1041">
        <v>1.2661310815692521E-2</v>
      </c>
      <c r="N1041">
        <v>0.14266852966621885</v>
      </c>
      <c r="O1041" t="s">
        <v>177</v>
      </c>
      <c r="P1041">
        <v>7.8004331310315787E-3</v>
      </c>
      <c r="Q1041" t="s">
        <v>177</v>
      </c>
      <c r="R1041">
        <v>7.5967864894155128E-4</v>
      </c>
      <c r="S1041" t="s">
        <v>178</v>
      </c>
      <c r="T1041">
        <v>1.712022355994626E-2</v>
      </c>
      <c r="U1041">
        <v>0.16834886500613822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60</v>
      </c>
      <c r="AB1041">
        <v>1</v>
      </c>
      <c r="AC1041">
        <v>0.5</v>
      </c>
      <c r="AD1041">
        <v>1.5030632547327778</v>
      </c>
      <c r="AE1041">
        <v>121.5</v>
      </c>
      <c r="AF1041">
        <v>200000</v>
      </c>
      <c r="AG1041">
        <v>16666.666666666668</v>
      </c>
      <c r="AH1041">
        <v>1</v>
      </c>
      <c r="AI1041">
        <v>1</v>
      </c>
      <c r="AJ1041" t="s">
        <v>162</v>
      </c>
      <c r="AK1041" t="s">
        <v>176</v>
      </c>
      <c r="AL1041">
        <v>0</v>
      </c>
      <c r="AM1041" t="s">
        <v>176</v>
      </c>
      <c r="AN1041">
        <v>0</v>
      </c>
    </row>
    <row r="1042" spans="1:40" x14ac:dyDescent="0.15">
      <c r="A1042" s="4" t="str">
        <f>HYPERLINK("https://ibp.a2mac1.com/costing(costing:projects/details/9760/process/12085687)","Painting")</f>
        <v>Painting</v>
      </c>
      <c r="C1042">
        <v>12085687</v>
      </c>
      <c r="D1042">
        <v>8416356</v>
      </c>
      <c r="E1042">
        <v>0.1404061245972073</v>
      </c>
      <c r="F1042">
        <v>0</v>
      </c>
      <c r="G1042">
        <v>0</v>
      </c>
      <c r="H1042">
        <v>1.4265262259076262E-3</v>
      </c>
      <c r="I1042" t="s">
        <v>176</v>
      </c>
      <c r="J1042">
        <v>4.9142143609022552E-3</v>
      </c>
      <c r="K1042">
        <v>0.14674686518401719</v>
      </c>
      <c r="L1042">
        <v>9.9798658116649411E-2</v>
      </c>
      <c r="M1042">
        <v>0.59879194869989649</v>
      </c>
      <c r="N1042">
        <v>0.74553881388391363</v>
      </c>
      <c r="O1042" t="s">
        <v>177</v>
      </c>
      <c r="P1042">
        <v>8.8048119110410317E-3</v>
      </c>
      <c r="Q1042" t="s">
        <v>177</v>
      </c>
      <c r="R1042">
        <v>3.5927516921993786E-2</v>
      </c>
      <c r="S1042" t="s">
        <v>178</v>
      </c>
      <c r="T1042">
        <v>8.9464657666069633E-2</v>
      </c>
      <c r="U1042">
        <v>0.87973580038301813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2.7</v>
      </c>
      <c r="AB1042">
        <v>1</v>
      </c>
      <c r="AC1042">
        <v>1</v>
      </c>
      <c r="AD1042">
        <v>1.0057812623742775</v>
      </c>
      <c r="AE1042">
        <v>0</v>
      </c>
      <c r="AF1042">
        <v>200000</v>
      </c>
      <c r="AG1042">
        <v>16666.666666666668</v>
      </c>
      <c r="AH1042">
        <v>1</v>
      </c>
      <c r="AI1042">
        <v>1</v>
      </c>
      <c r="AJ1042" t="s">
        <v>162</v>
      </c>
      <c r="AK1042" t="s">
        <v>176</v>
      </c>
      <c r="AL1042">
        <v>0</v>
      </c>
      <c r="AM1042" t="s">
        <v>176</v>
      </c>
      <c r="AN1042">
        <v>0</v>
      </c>
    </row>
    <row r="1043" spans="1:40" x14ac:dyDescent="0.15">
      <c r="A1043" s="4" t="str">
        <f>HYPERLINK("https://ibp.a2mac1.com/costing(costing:projects/details/9760/process/12085688)","Injection molding ")</f>
        <v xml:space="preserve">Injection molding </v>
      </c>
      <c r="B1043" t="s">
        <v>5483</v>
      </c>
      <c r="C1043">
        <v>12085688</v>
      </c>
      <c r="D1043">
        <v>8416359</v>
      </c>
      <c r="E1043">
        <v>5.6251825402061854E-2</v>
      </c>
      <c r="F1043">
        <v>0</v>
      </c>
      <c r="G1043">
        <v>0</v>
      </c>
      <c r="H1043">
        <v>5.8589783092783507E-5</v>
      </c>
      <c r="I1043" t="s">
        <v>176</v>
      </c>
      <c r="J1043">
        <v>1.9717715463917528E-3</v>
      </c>
      <c r="K1043">
        <v>5.8282186731546393E-2</v>
      </c>
      <c r="L1043">
        <v>8.4544306208829603E-3</v>
      </c>
      <c r="M1043">
        <v>5.0726583725297758E-2</v>
      </c>
      <c r="N1043">
        <v>0.10900877045684415</v>
      </c>
      <c r="O1043" t="s">
        <v>177</v>
      </c>
      <c r="P1043">
        <v>3.4969312038927833E-3</v>
      </c>
      <c r="Q1043" t="s">
        <v>177</v>
      </c>
      <c r="R1043">
        <v>3.0435950235178652E-3</v>
      </c>
      <c r="S1043" t="s">
        <v>178</v>
      </c>
      <c r="T1043">
        <v>1.3081052454821298E-2</v>
      </c>
      <c r="U1043">
        <v>0.12863034913907609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25.507290000000001</v>
      </c>
      <c r="AB1043">
        <v>1</v>
      </c>
      <c r="AC1043">
        <v>0.1</v>
      </c>
      <c r="AD1043">
        <v>0.10389195236953569</v>
      </c>
      <c r="AE1043">
        <v>7200</v>
      </c>
      <c r="AF1043">
        <v>200000</v>
      </c>
      <c r="AG1043">
        <v>16666.666666666668</v>
      </c>
      <c r="AH1043">
        <v>1</v>
      </c>
      <c r="AI1043">
        <v>1</v>
      </c>
      <c r="AJ1043" t="s">
        <v>162</v>
      </c>
      <c r="AK1043" t="s">
        <v>176</v>
      </c>
      <c r="AL1043">
        <v>0</v>
      </c>
      <c r="AM1043" t="s">
        <v>176</v>
      </c>
      <c r="AN1043">
        <v>0</v>
      </c>
    </row>
    <row r="1044" spans="1:40" x14ac:dyDescent="0.15">
      <c r="A1044" s="4" t="str">
        <f>HYPERLINK("https://ibp.a2mac1.com/costing(costing:projects/details/9760/process/12085332)","Stamping ")</f>
        <v xml:space="preserve">Stamping </v>
      </c>
      <c r="B1044" t="s">
        <v>5493</v>
      </c>
      <c r="C1044">
        <v>12085332</v>
      </c>
      <c r="D1044">
        <v>8416014</v>
      </c>
      <c r="E1044">
        <v>7.4700859999999994E-2</v>
      </c>
      <c r="F1044">
        <v>0</v>
      </c>
      <c r="G1044">
        <v>0</v>
      </c>
      <c r="H1044">
        <v>5.8283088571428566E-4</v>
      </c>
      <c r="I1044" t="s">
        <v>176</v>
      </c>
      <c r="J1044">
        <v>2.8731099999999999E-3</v>
      </c>
      <c r="K1044">
        <v>7.8156800885714292E-2</v>
      </c>
      <c r="L1044">
        <v>1.804864171295764E-4</v>
      </c>
      <c r="M1044">
        <v>1.0829185027774583E-3</v>
      </c>
      <c r="N1044">
        <v>7.9239719388491739E-2</v>
      </c>
      <c r="O1044" t="s">
        <v>177</v>
      </c>
      <c r="P1044">
        <v>4.6894080531428572E-3</v>
      </c>
      <c r="Q1044" t="s">
        <v>177</v>
      </c>
      <c r="R1044">
        <v>6.49751101666475E-5</v>
      </c>
      <c r="S1044" t="s">
        <v>178</v>
      </c>
      <c r="T1044">
        <v>9.5087663266190097E-3</v>
      </c>
      <c r="U1044">
        <v>9.3502868878420256E-2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5</v>
      </c>
      <c r="AB1044">
        <v>2</v>
      </c>
      <c r="AC1044">
        <v>0.5</v>
      </c>
      <c r="AD1044">
        <v>0.70499453877469964</v>
      </c>
      <c r="AE1044">
        <v>1800</v>
      </c>
      <c r="AF1044">
        <v>200000</v>
      </c>
      <c r="AG1044">
        <v>16666.666666666668</v>
      </c>
      <c r="AH1044">
        <v>1</v>
      </c>
      <c r="AI1044">
        <v>1</v>
      </c>
      <c r="AJ1044" t="s">
        <v>162</v>
      </c>
      <c r="AK1044" t="s">
        <v>176</v>
      </c>
      <c r="AL1044">
        <v>0</v>
      </c>
      <c r="AM1044" t="s">
        <v>176</v>
      </c>
      <c r="AN1044">
        <v>0</v>
      </c>
    </row>
    <row r="1045" spans="1:40" x14ac:dyDescent="0.15">
      <c r="A1045" s="4" t="str">
        <f>HYPERLINK("https://ibp.a2mac1.com/costing(costing:projects/details/9760/process/12085331)","Wire Bending")</f>
        <v>Wire Bending</v>
      </c>
      <c r="C1045">
        <v>12085331</v>
      </c>
      <c r="D1045">
        <v>8416014</v>
      </c>
      <c r="E1045">
        <v>0</v>
      </c>
      <c r="F1045">
        <v>0</v>
      </c>
      <c r="G1045">
        <v>0</v>
      </c>
      <c r="H1045">
        <v>0</v>
      </c>
      <c r="I1045" t="s">
        <v>176</v>
      </c>
      <c r="J1045">
        <v>0</v>
      </c>
      <c r="K1045">
        <v>0</v>
      </c>
      <c r="L1045">
        <v>3.6698564783128945E-3</v>
      </c>
      <c r="M1045">
        <v>2.2019138869877369E-2</v>
      </c>
      <c r="N1045">
        <v>2.2019138869877369E-2</v>
      </c>
      <c r="O1045" t="s">
        <v>177</v>
      </c>
      <c r="P1045">
        <v>0</v>
      </c>
      <c r="Q1045" t="s">
        <v>177</v>
      </c>
      <c r="R1045">
        <v>1.321148332192642E-3</v>
      </c>
      <c r="S1045" t="s">
        <v>178</v>
      </c>
      <c r="T1045">
        <v>2.6422966643852839E-3</v>
      </c>
      <c r="U1045">
        <v>2.5982583866455293E-2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5</v>
      </c>
      <c r="AB1045">
        <v>1</v>
      </c>
      <c r="AC1045">
        <v>0.1</v>
      </c>
      <c r="AD1045">
        <v>0.20557651238448796</v>
      </c>
      <c r="AE1045">
        <v>3600</v>
      </c>
      <c r="AF1045">
        <v>200000</v>
      </c>
      <c r="AG1045">
        <v>16666.666666666668</v>
      </c>
      <c r="AH1045">
        <v>1</v>
      </c>
      <c r="AI1045">
        <v>1</v>
      </c>
      <c r="AJ1045" t="s">
        <v>162</v>
      </c>
      <c r="AK1045" t="s">
        <v>176</v>
      </c>
      <c r="AL1045">
        <v>0</v>
      </c>
      <c r="AM1045" t="s">
        <v>176</v>
      </c>
      <c r="AN1045">
        <v>0</v>
      </c>
    </row>
    <row r="1046" spans="1:40" x14ac:dyDescent="0.15">
      <c r="A1046" s="4" t="str">
        <f>HYPERLINK("https://ibp.a2mac1.com/costing(costing:projects/details/9760/process/12085333)","Press fit")</f>
        <v>Press fit</v>
      </c>
      <c r="C1046">
        <v>12085333</v>
      </c>
      <c r="D1046">
        <v>8416014</v>
      </c>
      <c r="E1046">
        <v>0</v>
      </c>
      <c r="F1046">
        <v>0</v>
      </c>
      <c r="G1046">
        <v>0</v>
      </c>
      <c r="H1046">
        <v>0</v>
      </c>
      <c r="I1046" t="s">
        <v>176</v>
      </c>
      <c r="J1046">
        <v>0</v>
      </c>
      <c r="K1046">
        <v>0</v>
      </c>
      <c r="L1046">
        <v>6.1912616210148697E-3</v>
      </c>
      <c r="M1046">
        <v>3.7147569726089222E-2</v>
      </c>
      <c r="N1046">
        <v>3.7147569726089222E-2</v>
      </c>
      <c r="O1046" t="s">
        <v>177</v>
      </c>
      <c r="P1046">
        <v>0</v>
      </c>
      <c r="Q1046" t="s">
        <v>177</v>
      </c>
      <c r="R1046">
        <v>2.2288541835653532E-3</v>
      </c>
      <c r="S1046" t="s">
        <v>178</v>
      </c>
      <c r="T1046">
        <v>4.4577083671307064E-3</v>
      </c>
      <c r="U1046">
        <v>4.383413227678528E-2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15</v>
      </c>
      <c r="AB1046">
        <v>1</v>
      </c>
      <c r="AC1046">
        <v>0.1</v>
      </c>
      <c r="AD1046">
        <v>0.10389195236953569</v>
      </c>
      <c r="AE1046">
        <v>180</v>
      </c>
      <c r="AF1046">
        <v>200000</v>
      </c>
      <c r="AG1046">
        <v>16666.666666666668</v>
      </c>
      <c r="AH1046">
        <v>1</v>
      </c>
      <c r="AI1046">
        <v>1</v>
      </c>
      <c r="AJ1046" t="s">
        <v>162</v>
      </c>
      <c r="AK1046" t="s">
        <v>176</v>
      </c>
      <c r="AL1046">
        <v>0</v>
      </c>
      <c r="AM1046" t="s">
        <v>176</v>
      </c>
      <c r="AN1046">
        <v>0</v>
      </c>
    </row>
    <row r="1047" spans="1:40" x14ac:dyDescent="0.15">
      <c r="A1047" s="4" t="str">
        <f>HYPERLINK("https://ibp.a2mac1.com/costing(costing:projects/details/9760/process/12085334)","Injection molding")</f>
        <v>Injection molding</v>
      </c>
      <c r="C1047">
        <v>12085334</v>
      </c>
      <c r="D1047">
        <v>8416015</v>
      </c>
      <c r="E1047">
        <v>3.7578659999999999E-3</v>
      </c>
      <c r="F1047">
        <v>0</v>
      </c>
      <c r="G1047">
        <v>0</v>
      </c>
      <c r="H1047">
        <v>1.9062458105263157E-5</v>
      </c>
      <c r="I1047" t="s">
        <v>176</v>
      </c>
      <c r="J1047">
        <v>1.3185494736842106E-4</v>
      </c>
      <c r="K1047">
        <v>3.908783405473684E-3</v>
      </c>
      <c r="L1047">
        <v>9.2835151385610077E-5</v>
      </c>
      <c r="M1047">
        <v>5.5701090831366043E-4</v>
      </c>
      <c r="N1047">
        <v>4.4657943137873446E-3</v>
      </c>
      <c r="O1047" t="s">
        <v>90</v>
      </c>
      <c r="P1047">
        <v>0</v>
      </c>
      <c r="Q1047" t="s">
        <v>90</v>
      </c>
      <c r="R1047">
        <v>0</v>
      </c>
      <c r="S1047" t="s">
        <v>90</v>
      </c>
      <c r="T1047">
        <v>0</v>
      </c>
      <c r="U1047">
        <v>4.4657943137873446E-3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60</v>
      </c>
      <c r="AB1047">
        <v>1</v>
      </c>
      <c r="AC1047">
        <v>0.5</v>
      </c>
      <c r="AD1047">
        <v>0.50345253019720215</v>
      </c>
      <c r="AE1047">
        <v>5.4</v>
      </c>
      <c r="AF1047">
        <v>200000</v>
      </c>
      <c r="AG1047">
        <v>16666.666666666668</v>
      </c>
      <c r="AH1047">
        <v>1</v>
      </c>
      <c r="AI1047">
        <v>1</v>
      </c>
      <c r="AJ1047" t="s">
        <v>162</v>
      </c>
      <c r="AK1047" t="s">
        <v>176</v>
      </c>
      <c r="AL1047">
        <v>0</v>
      </c>
      <c r="AM1047" t="s">
        <v>176</v>
      </c>
      <c r="AN1047">
        <v>0</v>
      </c>
    </row>
    <row r="1048" spans="1:40" x14ac:dyDescent="0.15">
      <c r="A1048" s="4" t="str">
        <f>HYPERLINK("https://ibp.a2mac1.com/costing(costing:projects/details/9760/process/12085110)","Assembly")</f>
        <v>Assembly</v>
      </c>
      <c r="C1048">
        <v>12085110</v>
      </c>
      <c r="D1048">
        <v>8415679</v>
      </c>
      <c r="E1048">
        <v>0</v>
      </c>
      <c r="F1048">
        <v>0</v>
      </c>
      <c r="G1048">
        <v>0</v>
      </c>
      <c r="H1048">
        <v>0</v>
      </c>
      <c r="I1048" t="s">
        <v>90</v>
      </c>
      <c r="J1048">
        <v>0</v>
      </c>
      <c r="K1048">
        <v>0</v>
      </c>
      <c r="L1048">
        <v>0</v>
      </c>
      <c r="M1048">
        <v>0.21945668007767058</v>
      </c>
      <c r="N1048">
        <v>0.21945668007767058</v>
      </c>
      <c r="O1048" t="s">
        <v>90</v>
      </c>
      <c r="P1048">
        <v>0</v>
      </c>
      <c r="Q1048" t="s">
        <v>90</v>
      </c>
      <c r="R1048">
        <v>0</v>
      </c>
      <c r="S1048" t="s">
        <v>90</v>
      </c>
      <c r="T1048">
        <v>0</v>
      </c>
      <c r="U1048">
        <v>0.21945668007767058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150</v>
      </c>
      <c r="AB1048">
        <v>1</v>
      </c>
      <c r="AC1048">
        <v>0.1</v>
      </c>
      <c r="AD1048">
        <v>0.10987913295375087</v>
      </c>
      <c r="AE1048">
        <v>600</v>
      </c>
      <c r="AF1048">
        <v>200000</v>
      </c>
      <c r="AG1048">
        <v>10000</v>
      </c>
      <c r="AH1048">
        <v>1</v>
      </c>
      <c r="AI1048">
        <v>1</v>
      </c>
      <c r="AJ1048" t="s">
        <v>76</v>
      </c>
      <c r="AK1048" t="s">
        <v>90</v>
      </c>
      <c r="AL1048">
        <v>0</v>
      </c>
      <c r="AM1048" t="s">
        <v>90</v>
      </c>
      <c r="AN1048">
        <v>0</v>
      </c>
    </row>
    <row r="1049" spans="1:40" x14ac:dyDescent="0.15">
      <c r="A1049" s="4" t="str">
        <f>HYPERLINK("https://ibp.a2mac1.com/costing(costing:projects/details/9760/process/12085335)","Process")</f>
        <v>Process</v>
      </c>
      <c r="C1049">
        <v>12085335</v>
      </c>
      <c r="D1049">
        <v>8416020</v>
      </c>
      <c r="E1049">
        <v>0</v>
      </c>
      <c r="F1049">
        <v>0</v>
      </c>
      <c r="G1049">
        <v>0</v>
      </c>
      <c r="H1049">
        <v>0</v>
      </c>
      <c r="I1049" t="s">
        <v>176</v>
      </c>
      <c r="J1049">
        <v>0</v>
      </c>
      <c r="K1049">
        <v>0</v>
      </c>
      <c r="L1049">
        <v>0.17352694491359211</v>
      </c>
      <c r="M1049">
        <v>0.60734430719757238</v>
      </c>
      <c r="N1049">
        <v>0.60734430719757238</v>
      </c>
      <c r="O1049" t="s">
        <v>90</v>
      </c>
      <c r="P1049">
        <v>0</v>
      </c>
      <c r="Q1049" t="s">
        <v>90</v>
      </c>
      <c r="R1049">
        <v>0</v>
      </c>
      <c r="S1049" t="s">
        <v>90</v>
      </c>
      <c r="T1049">
        <v>0</v>
      </c>
      <c r="U1049">
        <v>0.60734430719757238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80</v>
      </c>
      <c r="AB1049">
        <v>1</v>
      </c>
      <c r="AC1049">
        <v>0</v>
      </c>
      <c r="AD1049">
        <v>0</v>
      </c>
      <c r="AE1049">
        <v>216</v>
      </c>
      <c r="AF1049">
        <v>200000</v>
      </c>
      <c r="AG1049">
        <v>10000</v>
      </c>
      <c r="AH1049">
        <v>1</v>
      </c>
      <c r="AI1049">
        <v>1</v>
      </c>
      <c r="AJ1049" t="s">
        <v>76</v>
      </c>
      <c r="AK1049" t="s">
        <v>176</v>
      </c>
      <c r="AL1049">
        <v>0</v>
      </c>
      <c r="AM1049" t="s">
        <v>176</v>
      </c>
      <c r="AN1049">
        <v>0</v>
      </c>
    </row>
    <row r="1050" spans="1:40" x14ac:dyDescent="0.15">
      <c r="A1050" s="4" t="str">
        <f>HYPERLINK("https://ibp.a2mac1.com/costing(costing:projects/details/9760/process/12085689)","Process")</f>
        <v>Process</v>
      </c>
      <c r="B1050" t="s">
        <v>5424</v>
      </c>
      <c r="C1050">
        <v>12085689</v>
      </c>
      <c r="D1050">
        <v>8416360</v>
      </c>
      <c r="E1050">
        <v>14.153359999999999</v>
      </c>
      <c r="F1050">
        <v>0</v>
      </c>
      <c r="G1050">
        <v>0</v>
      </c>
      <c r="H1050">
        <v>7.1616001600000007E-2</v>
      </c>
      <c r="I1050" t="s">
        <v>176</v>
      </c>
      <c r="J1050">
        <v>0.49536760000000002</v>
      </c>
      <c r="K1050">
        <v>14.7203436016</v>
      </c>
      <c r="L1050">
        <v>1.7189916933741001</v>
      </c>
      <c r="M1050">
        <v>10.3139501602446</v>
      </c>
      <c r="N1050">
        <v>25.034293761844602</v>
      </c>
      <c r="O1050" t="s">
        <v>177</v>
      </c>
      <c r="P1050">
        <v>0.883220616096</v>
      </c>
      <c r="Q1050" t="s">
        <v>177</v>
      </c>
      <c r="R1050">
        <v>0.61883700961467603</v>
      </c>
      <c r="S1050" t="s">
        <v>178</v>
      </c>
      <c r="T1050">
        <v>3.0041152514213518</v>
      </c>
      <c r="U1050">
        <v>29.540466638976628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972</v>
      </c>
      <c r="AB1050">
        <v>1</v>
      </c>
      <c r="AC1050">
        <v>0.5</v>
      </c>
      <c r="AD1050">
        <v>0.50345253019720215</v>
      </c>
      <c r="AE1050">
        <v>10800</v>
      </c>
      <c r="AF1050">
        <v>200000</v>
      </c>
      <c r="AG1050">
        <v>16666.666666666668</v>
      </c>
      <c r="AH1050">
        <v>1</v>
      </c>
      <c r="AI1050">
        <v>1</v>
      </c>
      <c r="AJ1050" t="s">
        <v>162</v>
      </c>
      <c r="AK1050" t="s">
        <v>176</v>
      </c>
      <c r="AL1050">
        <v>0</v>
      </c>
      <c r="AM1050" t="s">
        <v>176</v>
      </c>
      <c r="AN1050">
        <v>0</v>
      </c>
    </row>
    <row r="1051" spans="1:40" x14ac:dyDescent="0.15">
      <c r="A1051" s="4" t="str">
        <f>HYPERLINK("https://ibp.a2mac1.com/costing(costing:projects/details/9760/process/12085691)","Seal Extrusion (Multi Layer)")</f>
        <v>Seal Extrusion (Multi Layer)</v>
      </c>
      <c r="C1051">
        <v>12085691</v>
      </c>
      <c r="D1051">
        <v>8416361</v>
      </c>
      <c r="E1051">
        <v>3.8164060197368421</v>
      </c>
      <c r="F1051">
        <v>0</v>
      </c>
      <c r="G1051">
        <v>0</v>
      </c>
      <c r="H1051">
        <v>7.8856528947368418E-3</v>
      </c>
      <c r="I1051" t="s">
        <v>176</v>
      </c>
      <c r="J1051">
        <v>0.13397953947368421</v>
      </c>
      <c r="K1051">
        <v>3.958271212105263</v>
      </c>
      <c r="L1051">
        <v>0.11042432234335599</v>
      </c>
      <c r="M1051">
        <v>0.66254593406013595</v>
      </c>
      <c r="N1051">
        <v>4.6208171461653995</v>
      </c>
      <c r="O1051" t="s">
        <v>177</v>
      </c>
      <c r="P1051">
        <v>0.23749627272631579</v>
      </c>
      <c r="Q1051" t="s">
        <v>177</v>
      </c>
      <c r="R1051">
        <v>3.9752756043608152E-2</v>
      </c>
      <c r="S1051" t="s">
        <v>178</v>
      </c>
      <c r="T1051">
        <v>0.55449805753984793</v>
      </c>
      <c r="U1051">
        <v>5.4525642324751713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45</v>
      </c>
      <c r="AB1051">
        <v>1</v>
      </c>
      <c r="AC1051">
        <v>0.1</v>
      </c>
      <c r="AD1051">
        <v>0.20557651238448796</v>
      </c>
      <c r="AE1051">
        <v>1800</v>
      </c>
      <c r="AF1051">
        <v>200000</v>
      </c>
      <c r="AG1051">
        <v>16666.666666666668</v>
      </c>
      <c r="AH1051">
        <v>1</v>
      </c>
      <c r="AI1051">
        <v>1</v>
      </c>
      <c r="AJ1051" t="s">
        <v>162</v>
      </c>
      <c r="AK1051" t="s">
        <v>176</v>
      </c>
      <c r="AL1051">
        <v>0</v>
      </c>
      <c r="AM1051" t="s">
        <v>176</v>
      </c>
      <c r="AN1051">
        <v>0</v>
      </c>
    </row>
    <row r="1052" spans="1:40" x14ac:dyDescent="0.15">
      <c r="A1052" s="4" t="str">
        <f>HYPERLINK("https://ibp.a2mac1.com/costing(costing:projects/details/9760/process/12085690)","End Glueing/Vulcanizing; Check and Pack")</f>
        <v>End Glueing/Vulcanizing; Check and Pack</v>
      </c>
      <c r="C1052">
        <v>12085690</v>
      </c>
      <c r="D1052">
        <v>8416361</v>
      </c>
      <c r="E1052">
        <v>0</v>
      </c>
      <c r="F1052">
        <v>0</v>
      </c>
      <c r="G1052">
        <v>0</v>
      </c>
      <c r="H1052">
        <v>0</v>
      </c>
      <c r="I1052" t="s">
        <v>176</v>
      </c>
      <c r="J1052">
        <v>0</v>
      </c>
      <c r="K1052">
        <v>0</v>
      </c>
      <c r="L1052">
        <v>1.5680387065327164E-2</v>
      </c>
      <c r="M1052">
        <v>9.4082322391962986E-2</v>
      </c>
      <c r="N1052">
        <v>9.4082322391962986E-2</v>
      </c>
      <c r="O1052" t="s">
        <v>177</v>
      </c>
      <c r="P1052">
        <v>0</v>
      </c>
      <c r="Q1052" t="s">
        <v>177</v>
      </c>
      <c r="R1052">
        <v>5.6449393435177792E-3</v>
      </c>
      <c r="S1052" t="s">
        <v>178</v>
      </c>
      <c r="T1052">
        <v>1.1289878687035558E-2</v>
      </c>
      <c r="U1052">
        <v>0.11101714042251631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30</v>
      </c>
      <c r="AB1052">
        <v>1</v>
      </c>
      <c r="AC1052">
        <v>0.1</v>
      </c>
      <c r="AD1052">
        <v>0.10389195236953569</v>
      </c>
      <c r="AE1052">
        <v>600</v>
      </c>
      <c r="AF1052">
        <v>200000</v>
      </c>
      <c r="AG1052">
        <v>16666.666666666668</v>
      </c>
      <c r="AH1052">
        <v>1</v>
      </c>
      <c r="AI1052">
        <v>1</v>
      </c>
      <c r="AJ1052" t="s">
        <v>162</v>
      </c>
      <c r="AK1052" t="s">
        <v>176</v>
      </c>
      <c r="AL1052">
        <v>0</v>
      </c>
      <c r="AM1052" t="s">
        <v>176</v>
      </c>
      <c r="AN1052">
        <v>0</v>
      </c>
    </row>
    <row r="1053" spans="1:40" x14ac:dyDescent="0.15">
      <c r="A1053" s="4" t="str">
        <f>HYPERLINK("https://ibp.a2mac1.com/costing(costing:projects/details/9760/process/12085692)","Seal Extrusion (Multi Layer)")</f>
        <v>Seal Extrusion (Multi Layer)</v>
      </c>
      <c r="C1053">
        <v>12085692</v>
      </c>
      <c r="D1053">
        <v>8416362</v>
      </c>
      <c r="E1053">
        <v>0.6876947175</v>
      </c>
      <c r="F1053">
        <v>0</v>
      </c>
      <c r="G1053">
        <v>0</v>
      </c>
      <c r="H1053">
        <v>7.1699499368421053E-4</v>
      </c>
      <c r="I1053" t="s">
        <v>176</v>
      </c>
      <c r="J1053">
        <v>2.4129639210526316E-2</v>
      </c>
      <c r="K1053">
        <v>0.71254135170421051</v>
      </c>
      <c r="L1053">
        <v>0.11031192108116587</v>
      </c>
      <c r="M1053">
        <v>0.66187152648699521</v>
      </c>
      <c r="N1053">
        <v>1.3744128781912057</v>
      </c>
      <c r="O1053" t="s">
        <v>177</v>
      </c>
      <c r="P1053">
        <v>4.2752481102252632E-2</v>
      </c>
      <c r="Q1053" t="s">
        <v>177</v>
      </c>
      <c r="R1053">
        <v>3.9712291589219711E-2</v>
      </c>
      <c r="S1053" t="s">
        <v>178</v>
      </c>
      <c r="T1053">
        <v>0.16492954538294469</v>
      </c>
      <c r="U1053">
        <v>1.6218071962656229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45</v>
      </c>
      <c r="AB1053">
        <v>1</v>
      </c>
      <c r="AC1053">
        <v>0.1</v>
      </c>
      <c r="AD1053">
        <v>0.10389195236953569</v>
      </c>
      <c r="AE1053">
        <v>1800</v>
      </c>
      <c r="AF1053">
        <v>200000</v>
      </c>
      <c r="AG1053">
        <v>16666.666666666668</v>
      </c>
      <c r="AH1053">
        <v>1</v>
      </c>
      <c r="AI1053">
        <v>1</v>
      </c>
      <c r="AJ1053" t="s">
        <v>162</v>
      </c>
      <c r="AK1053" t="s">
        <v>176</v>
      </c>
      <c r="AL1053">
        <v>0</v>
      </c>
      <c r="AM1053" t="s">
        <v>176</v>
      </c>
      <c r="AN1053">
        <v>0</v>
      </c>
    </row>
    <row r="1054" spans="1:40" x14ac:dyDescent="0.15">
      <c r="A1054" s="4" t="str">
        <f>HYPERLINK("https://ibp.a2mac1.com/costing(costing:projects/details/9760/process/12085336)","Seal Extrusion (Multi Layer)")</f>
        <v>Seal Extrusion (Multi Layer)</v>
      </c>
      <c r="C1054">
        <v>12085336</v>
      </c>
      <c r="D1054">
        <v>8416022</v>
      </c>
      <c r="E1054">
        <v>1.5748593197368421</v>
      </c>
      <c r="F1054">
        <v>0</v>
      </c>
      <c r="G1054">
        <v>0</v>
      </c>
      <c r="H1054">
        <v>1.6492440421052631E-3</v>
      </c>
      <c r="I1054" t="s">
        <v>176</v>
      </c>
      <c r="J1054">
        <v>5.5503405263157897E-2</v>
      </c>
      <c r="K1054">
        <v>1.6320119690421053</v>
      </c>
      <c r="L1054">
        <v>4.918855572128588E-2</v>
      </c>
      <c r="M1054">
        <v>0.29513133432771527</v>
      </c>
      <c r="N1054">
        <v>1.9271433033698204</v>
      </c>
      <c r="O1054" t="s">
        <v>177</v>
      </c>
      <c r="P1054">
        <v>9.7920718142526314E-2</v>
      </c>
      <c r="Q1054" t="s">
        <v>177</v>
      </c>
      <c r="R1054">
        <v>1.7707880059662916E-2</v>
      </c>
      <c r="S1054" t="s">
        <v>178</v>
      </c>
      <c r="T1054">
        <v>0.23125719640437847</v>
      </c>
      <c r="U1054">
        <v>2.2740290979763884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20</v>
      </c>
      <c r="AB1054">
        <v>1</v>
      </c>
      <c r="AC1054">
        <v>0.1</v>
      </c>
      <c r="AD1054">
        <v>0.10389195236953569</v>
      </c>
      <c r="AE1054">
        <v>1800</v>
      </c>
      <c r="AF1054">
        <v>200000</v>
      </c>
      <c r="AG1054">
        <v>16666.666666666668</v>
      </c>
      <c r="AH1054">
        <v>1</v>
      </c>
      <c r="AI1054">
        <v>1</v>
      </c>
      <c r="AJ1054" t="s">
        <v>162</v>
      </c>
      <c r="AK1054" t="s">
        <v>176</v>
      </c>
      <c r="AL1054">
        <v>0</v>
      </c>
      <c r="AM1054" t="s">
        <v>176</v>
      </c>
      <c r="AN1054">
        <v>0</v>
      </c>
    </row>
    <row r="1055" spans="1:40" x14ac:dyDescent="0.15">
      <c r="A1055" s="4" t="str">
        <f>HYPERLINK("https://ibp.a2mac1.com/costing(costing:projects/details/9760/process/12085337)","Seal Extrusion (Multi Layer)")</f>
        <v>Seal Extrusion (Multi Layer)</v>
      </c>
      <c r="C1055">
        <v>12085337</v>
      </c>
      <c r="D1055">
        <v>8416023</v>
      </c>
      <c r="E1055">
        <v>0.75683892960526311</v>
      </c>
      <c r="F1055">
        <v>0</v>
      </c>
      <c r="G1055">
        <v>0</v>
      </c>
      <c r="H1055">
        <v>7.9232317894736837E-4</v>
      </c>
      <c r="I1055" t="s">
        <v>176</v>
      </c>
      <c r="J1055">
        <v>2.6664722368421052E-2</v>
      </c>
      <c r="K1055">
        <v>0.78429597515263161</v>
      </c>
      <c r="L1055">
        <v>3.696388264930988E-2</v>
      </c>
      <c r="M1055">
        <v>0.22178329589585927</v>
      </c>
      <c r="N1055">
        <v>1.0060792710484909</v>
      </c>
      <c r="O1055" t="s">
        <v>177</v>
      </c>
      <c r="P1055">
        <v>4.7057758509157895E-2</v>
      </c>
      <c r="Q1055" t="s">
        <v>177</v>
      </c>
      <c r="R1055">
        <v>1.3306997753751557E-2</v>
      </c>
      <c r="S1055" t="s">
        <v>178</v>
      </c>
      <c r="T1055">
        <v>0.1207295125258189</v>
      </c>
      <c r="U1055">
        <v>1.1871735398372192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15</v>
      </c>
      <c r="AB1055">
        <v>1</v>
      </c>
      <c r="AC1055">
        <v>0.1</v>
      </c>
      <c r="AD1055">
        <v>0.10389195236953569</v>
      </c>
      <c r="AE1055">
        <v>1800</v>
      </c>
      <c r="AF1055">
        <v>200000</v>
      </c>
      <c r="AG1055">
        <v>16666.666666666668</v>
      </c>
      <c r="AH1055">
        <v>1</v>
      </c>
      <c r="AI1055">
        <v>1</v>
      </c>
      <c r="AJ1055" t="s">
        <v>162</v>
      </c>
      <c r="AK1055" t="s">
        <v>176</v>
      </c>
      <c r="AL1055">
        <v>0</v>
      </c>
      <c r="AM1055" t="s">
        <v>176</v>
      </c>
      <c r="AN1055">
        <v>0</v>
      </c>
    </row>
    <row r="1056" spans="1:40" x14ac:dyDescent="0.15">
      <c r="A1056" s="4" t="str">
        <f>HYPERLINK("https://ibp.a2mac1.com/costing(costing:projects/details/9760/process/12085338)","Aluminum extrusion")</f>
        <v>Aluminum extrusion</v>
      </c>
      <c r="C1056">
        <v>12085338</v>
      </c>
      <c r="D1056">
        <v>8416024</v>
      </c>
      <c r="E1056">
        <v>0.20244549873449894</v>
      </c>
      <c r="F1056">
        <v>0</v>
      </c>
      <c r="G1056">
        <v>0</v>
      </c>
      <c r="H1056">
        <v>2.1054331868387889E-4</v>
      </c>
      <c r="I1056" t="s">
        <v>176</v>
      </c>
      <c r="J1056">
        <v>7.085592455707463E-3</v>
      </c>
      <c r="K1056">
        <v>0.20974163450889027</v>
      </c>
      <c r="L1056">
        <v>5.0904421087457248E-2</v>
      </c>
      <c r="M1056">
        <v>0.3054265265247435</v>
      </c>
      <c r="N1056">
        <v>0.51516816103363372</v>
      </c>
      <c r="O1056" t="s">
        <v>90</v>
      </c>
      <c r="P1056">
        <v>0</v>
      </c>
      <c r="Q1056" t="s">
        <v>90</v>
      </c>
      <c r="R1056">
        <v>0</v>
      </c>
      <c r="S1056" t="s">
        <v>90</v>
      </c>
      <c r="T1056">
        <v>0</v>
      </c>
      <c r="U1056">
        <v>0.51516816103363372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4.6201100000000004</v>
      </c>
      <c r="AB1056">
        <v>1</v>
      </c>
      <c r="AC1056">
        <v>0.1</v>
      </c>
      <c r="AD1056">
        <v>0.10389195236953569</v>
      </c>
      <c r="AE1056">
        <v>360</v>
      </c>
      <c r="AF1056">
        <v>200000</v>
      </c>
      <c r="AG1056">
        <v>16666.666666666668</v>
      </c>
      <c r="AH1056">
        <v>1</v>
      </c>
      <c r="AI1056">
        <v>1</v>
      </c>
      <c r="AJ1056" t="s">
        <v>162</v>
      </c>
      <c r="AK1056" t="s">
        <v>176</v>
      </c>
      <c r="AL1056">
        <v>0</v>
      </c>
      <c r="AM1056" t="s">
        <v>176</v>
      </c>
      <c r="AN1056">
        <v>0</v>
      </c>
    </row>
    <row r="1057" spans="1:40" x14ac:dyDescent="0.15">
      <c r="A1057" s="4" t="str">
        <f>HYPERLINK("https://ibp.a2mac1.com/costing(costing:projects/details/9760/process/12085693)","MANUFACTURING  PROCESS")</f>
        <v>MANUFACTURING  PROCESS</v>
      </c>
      <c r="B1057" t="s">
        <v>4962</v>
      </c>
      <c r="C1057">
        <v>12085693</v>
      </c>
      <c r="D1057">
        <v>8416363</v>
      </c>
      <c r="E1057">
        <v>0.14652861</v>
      </c>
      <c r="F1057">
        <v>0</v>
      </c>
      <c r="G1057">
        <v>0</v>
      </c>
      <c r="H1057">
        <v>3.11763E-6</v>
      </c>
      <c r="I1057" t="s">
        <v>176</v>
      </c>
      <c r="J1057">
        <v>5.4558525000000004E-3</v>
      </c>
      <c r="K1057">
        <v>0.15198758012999999</v>
      </c>
      <c r="L1057">
        <v>0.18397179041108594</v>
      </c>
      <c r="M1057">
        <v>1.1038307424665155</v>
      </c>
      <c r="N1057">
        <v>1.2558183225965156</v>
      </c>
      <c r="O1057" t="s">
        <v>90</v>
      </c>
      <c r="P1057">
        <v>0</v>
      </c>
      <c r="Q1057" t="s">
        <v>90</v>
      </c>
      <c r="R1057">
        <v>0</v>
      </c>
      <c r="S1057" t="s">
        <v>90</v>
      </c>
      <c r="T1057">
        <v>0</v>
      </c>
      <c r="U1057">
        <v>1.2558183225965156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36.551670000000001</v>
      </c>
      <c r="AB1057">
        <v>1</v>
      </c>
      <c r="AC1057">
        <v>0</v>
      </c>
      <c r="AD1057">
        <v>1.9999600007999841E-3</v>
      </c>
      <c r="AE1057">
        <v>5400</v>
      </c>
      <c r="AF1057">
        <v>200000</v>
      </c>
      <c r="AG1057">
        <v>16666.666666666668</v>
      </c>
      <c r="AH1057">
        <v>1</v>
      </c>
      <c r="AI1057">
        <v>1</v>
      </c>
      <c r="AJ1057" t="s">
        <v>162</v>
      </c>
      <c r="AK1057" t="s">
        <v>176</v>
      </c>
      <c r="AL1057">
        <v>0</v>
      </c>
      <c r="AM1057" t="s">
        <v>176</v>
      </c>
      <c r="AN1057">
        <v>0</v>
      </c>
    </row>
    <row r="1058" spans="1:40" x14ac:dyDescent="0.15">
      <c r="A1058" s="4" t="str">
        <f>HYPERLINK("https://ibp.a2mac1.com/costing(costing:projects/details/9760/process/12085694)","MANUFACTURING  PROCESS")</f>
        <v>MANUFACTURING  PROCESS</v>
      </c>
      <c r="B1058" t="s">
        <v>4962</v>
      </c>
      <c r="C1058">
        <v>12085694</v>
      </c>
      <c r="D1058">
        <v>8416364</v>
      </c>
      <c r="E1058">
        <v>7.0391195000000004E-2</v>
      </c>
      <c r="F1058">
        <v>0</v>
      </c>
      <c r="G1058">
        <v>0</v>
      </c>
      <c r="H1058">
        <v>1.4976850000000001E-6</v>
      </c>
      <c r="I1058" t="s">
        <v>176</v>
      </c>
      <c r="J1058">
        <v>2.6209487500000002E-3</v>
      </c>
      <c r="K1058">
        <v>7.3013641434999998E-2</v>
      </c>
      <c r="L1058">
        <v>0.22608553666765549</v>
      </c>
      <c r="M1058">
        <v>1.3565132200059329</v>
      </c>
      <c r="N1058">
        <v>1.4295268614409329</v>
      </c>
      <c r="O1058" t="s">
        <v>90</v>
      </c>
      <c r="P1058">
        <v>0</v>
      </c>
      <c r="Q1058" t="s">
        <v>90</v>
      </c>
      <c r="R1058">
        <v>0</v>
      </c>
      <c r="S1058" t="s">
        <v>90</v>
      </c>
      <c r="T1058">
        <v>0</v>
      </c>
      <c r="U1058">
        <v>1.4295268614409329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45</v>
      </c>
      <c r="AB1058">
        <v>1</v>
      </c>
      <c r="AC1058">
        <v>0</v>
      </c>
      <c r="AD1058">
        <v>1.9999600007999841E-3</v>
      </c>
      <c r="AE1058">
        <v>5400</v>
      </c>
      <c r="AF1058">
        <v>200000</v>
      </c>
      <c r="AG1058">
        <v>16666.666666666668</v>
      </c>
      <c r="AH1058">
        <v>1</v>
      </c>
      <c r="AI1058">
        <v>1</v>
      </c>
      <c r="AJ1058" t="s">
        <v>162</v>
      </c>
      <c r="AK1058" t="s">
        <v>176</v>
      </c>
      <c r="AL1058">
        <v>0</v>
      </c>
      <c r="AM1058" t="s">
        <v>176</v>
      </c>
      <c r="AN1058">
        <v>0</v>
      </c>
    </row>
    <row r="1059" spans="1:40" x14ac:dyDescent="0.15">
      <c r="A1059" s="4" t="str">
        <f>HYPERLINK("https://ibp.a2mac1.com/costing(costing:projects/details/9760/process/12085695)","MANUFACTURING  PROCESS")</f>
        <v>MANUFACTURING  PROCESS</v>
      </c>
      <c r="B1059" t="s">
        <v>4962</v>
      </c>
      <c r="C1059">
        <v>12085695</v>
      </c>
      <c r="D1059">
        <v>8416365</v>
      </c>
      <c r="E1059">
        <v>0.14652861</v>
      </c>
      <c r="F1059">
        <v>0</v>
      </c>
      <c r="G1059">
        <v>0</v>
      </c>
      <c r="H1059">
        <v>3.11763E-6</v>
      </c>
      <c r="I1059" t="s">
        <v>176</v>
      </c>
      <c r="J1059">
        <v>5.4558525000000004E-3</v>
      </c>
      <c r="K1059">
        <v>0.15198758012999999</v>
      </c>
      <c r="L1059">
        <v>0.22608553666765549</v>
      </c>
      <c r="M1059">
        <v>1.3565132200059329</v>
      </c>
      <c r="N1059">
        <v>1.508500800135933</v>
      </c>
      <c r="O1059" t="s">
        <v>90</v>
      </c>
      <c r="P1059">
        <v>0</v>
      </c>
      <c r="Q1059" t="s">
        <v>90</v>
      </c>
      <c r="R1059">
        <v>0</v>
      </c>
      <c r="S1059" t="s">
        <v>90</v>
      </c>
      <c r="T1059">
        <v>0</v>
      </c>
      <c r="U1059">
        <v>1.508500800135933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45</v>
      </c>
      <c r="AB1059">
        <v>1</v>
      </c>
      <c r="AC1059">
        <v>0</v>
      </c>
      <c r="AD1059">
        <v>1.9999600007999841E-3</v>
      </c>
      <c r="AE1059">
        <v>5400</v>
      </c>
      <c r="AF1059">
        <v>200000</v>
      </c>
      <c r="AG1059">
        <v>16666.666666666668</v>
      </c>
      <c r="AH1059">
        <v>1</v>
      </c>
      <c r="AI1059">
        <v>1</v>
      </c>
      <c r="AJ1059" t="s">
        <v>162</v>
      </c>
      <c r="AK1059" t="s">
        <v>176</v>
      </c>
      <c r="AL1059">
        <v>0</v>
      </c>
      <c r="AM1059" t="s">
        <v>176</v>
      </c>
      <c r="AN1059">
        <v>0</v>
      </c>
    </row>
    <row r="1060" spans="1:40" x14ac:dyDescent="0.15">
      <c r="A1060" s="4" t="str">
        <f>HYPERLINK("https://ibp.a2mac1.com/costing(costing:projects/details/9760/process/12085696)","MANUFACTURING  PROCESS")</f>
        <v>MANUFACTURING  PROCESS</v>
      </c>
      <c r="B1060" t="s">
        <v>4962</v>
      </c>
      <c r="C1060">
        <v>12085696</v>
      </c>
      <c r="D1060">
        <v>8416366</v>
      </c>
      <c r="E1060">
        <v>7.0391195000000004E-2</v>
      </c>
      <c r="F1060">
        <v>0</v>
      </c>
      <c r="G1060">
        <v>0</v>
      </c>
      <c r="H1060">
        <v>1.4976850000000001E-6</v>
      </c>
      <c r="I1060" t="s">
        <v>176</v>
      </c>
      <c r="J1060">
        <v>2.6209487500000002E-3</v>
      </c>
      <c r="K1060">
        <v>7.3013641434999998E-2</v>
      </c>
      <c r="L1060">
        <v>0.22608553666765549</v>
      </c>
      <c r="M1060">
        <v>1.3565132200059329</v>
      </c>
      <c r="N1060">
        <v>1.4295268614409329</v>
      </c>
      <c r="O1060" t="s">
        <v>90</v>
      </c>
      <c r="P1060">
        <v>0</v>
      </c>
      <c r="Q1060" t="s">
        <v>90</v>
      </c>
      <c r="R1060">
        <v>0</v>
      </c>
      <c r="S1060" t="s">
        <v>90</v>
      </c>
      <c r="T1060">
        <v>0</v>
      </c>
      <c r="U1060">
        <v>1.4295268614409329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45</v>
      </c>
      <c r="AB1060">
        <v>1</v>
      </c>
      <c r="AC1060">
        <v>0</v>
      </c>
      <c r="AD1060">
        <v>1.9999600007999841E-3</v>
      </c>
      <c r="AE1060">
        <v>5400</v>
      </c>
      <c r="AF1060">
        <v>200000</v>
      </c>
      <c r="AG1060">
        <v>16666.666666666668</v>
      </c>
      <c r="AH1060">
        <v>1</v>
      </c>
      <c r="AI1060">
        <v>1</v>
      </c>
      <c r="AJ1060" t="s">
        <v>162</v>
      </c>
      <c r="AK1060" t="s">
        <v>176</v>
      </c>
      <c r="AL1060">
        <v>0</v>
      </c>
      <c r="AM1060" t="s">
        <v>176</v>
      </c>
      <c r="AN1060">
        <v>0</v>
      </c>
    </row>
    <row r="1061" spans="1:40" x14ac:dyDescent="0.15">
      <c r="A1061" s="4" t="str">
        <f>HYPERLINK("https://ibp.a2mac1.com/costing(costing:projects/details/9760/process/12085339)","Injection molding")</f>
        <v>Injection molding</v>
      </c>
      <c r="C1061">
        <v>12085339</v>
      </c>
      <c r="D1061">
        <v>8416027</v>
      </c>
      <c r="E1061">
        <v>4.5214049999999999E-2</v>
      </c>
      <c r="F1061">
        <v>0</v>
      </c>
      <c r="G1061">
        <v>0</v>
      </c>
      <c r="H1061">
        <v>2.2935648421052631E-4</v>
      </c>
      <c r="I1061" t="s">
        <v>176</v>
      </c>
      <c r="J1061">
        <v>1.586457894736842E-3</v>
      </c>
      <c r="K1061">
        <v>4.7029864378947371E-2</v>
      </c>
      <c r="L1061">
        <v>1.5783251295997008E-3</v>
      </c>
      <c r="M1061">
        <v>9.4699507775982041E-3</v>
      </c>
      <c r="N1061">
        <v>5.649981515654557E-2</v>
      </c>
      <c r="O1061" t="s">
        <v>177</v>
      </c>
      <c r="P1061">
        <v>2.8217918627368422E-3</v>
      </c>
      <c r="Q1061" t="s">
        <v>177</v>
      </c>
      <c r="R1061">
        <v>5.6819704665589225E-4</v>
      </c>
      <c r="S1061" t="s">
        <v>178</v>
      </c>
      <c r="T1061">
        <v>6.7799778187854686E-3</v>
      </c>
      <c r="U1061">
        <v>6.6669781884723778E-2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60</v>
      </c>
      <c r="AB1061">
        <v>1</v>
      </c>
      <c r="AC1061">
        <v>0.5</v>
      </c>
      <c r="AD1061">
        <v>0.50345253019720215</v>
      </c>
      <c r="AE1061">
        <v>91.8</v>
      </c>
      <c r="AF1061">
        <v>200000</v>
      </c>
      <c r="AG1061">
        <v>16666.666666666668</v>
      </c>
      <c r="AH1061">
        <v>1</v>
      </c>
      <c r="AI1061">
        <v>1</v>
      </c>
      <c r="AJ1061" t="s">
        <v>162</v>
      </c>
      <c r="AK1061" t="s">
        <v>176</v>
      </c>
      <c r="AL1061">
        <v>0</v>
      </c>
      <c r="AM1061" t="s">
        <v>176</v>
      </c>
      <c r="AN1061">
        <v>0</v>
      </c>
    </row>
    <row r="1062" spans="1:40" x14ac:dyDescent="0.15">
      <c r="A1062" s="4" t="str">
        <f>HYPERLINK("https://ibp.a2mac1.com/costing(costing:projects/details/9760/process/12085698)","Injection molding")</f>
        <v>Injection molding</v>
      </c>
      <c r="B1062" t="s">
        <v>5321</v>
      </c>
      <c r="C1062">
        <v>12085698</v>
      </c>
      <c r="D1062">
        <v>8416368</v>
      </c>
      <c r="E1062">
        <v>3.0263814432989689E-2</v>
      </c>
      <c r="F1062">
        <v>0</v>
      </c>
      <c r="G1062">
        <v>0</v>
      </c>
      <c r="H1062">
        <v>6.2437113402061855E-5</v>
      </c>
      <c r="I1062" t="s">
        <v>176</v>
      </c>
      <c r="J1062">
        <v>1.0608247422680412E-3</v>
      </c>
      <c r="K1062">
        <v>3.138707628865979E-2</v>
      </c>
      <c r="L1062">
        <v>1.0292288890212213E-2</v>
      </c>
      <c r="M1062">
        <v>6.1753733341273279E-2</v>
      </c>
      <c r="N1062">
        <v>9.3140809629933069E-2</v>
      </c>
      <c r="O1062" t="s">
        <v>90</v>
      </c>
      <c r="P1062">
        <v>0</v>
      </c>
      <c r="Q1062" t="s">
        <v>90</v>
      </c>
      <c r="R1062">
        <v>0</v>
      </c>
      <c r="S1062" t="s">
        <v>90</v>
      </c>
      <c r="T1062">
        <v>0</v>
      </c>
      <c r="U1062">
        <v>9.3140809629933069E-2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19.215890000000002</v>
      </c>
      <c r="AB1062">
        <v>2</v>
      </c>
      <c r="AC1062">
        <v>0.1</v>
      </c>
      <c r="AD1062">
        <v>0.20557651238448796</v>
      </c>
      <c r="AE1062">
        <v>10800</v>
      </c>
      <c r="AF1062">
        <v>200000</v>
      </c>
      <c r="AG1062">
        <v>16666.666666666668</v>
      </c>
      <c r="AH1062">
        <v>1</v>
      </c>
      <c r="AI1062">
        <v>1</v>
      </c>
      <c r="AJ1062" t="s">
        <v>162</v>
      </c>
      <c r="AK1062" t="s">
        <v>176</v>
      </c>
      <c r="AL1062">
        <v>0</v>
      </c>
      <c r="AM1062" t="s">
        <v>176</v>
      </c>
      <c r="AN1062">
        <v>0</v>
      </c>
    </row>
    <row r="1063" spans="1:40" x14ac:dyDescent="0.15">
      <c r="A1063" s="4" t="str">
        <f>HYPERLINK("https://ibp.a2mac1.com/costing(costing:projects/details/9760/process/12085697)","Handling/Visual Inspection/Packaging")</f>
        <v>Handling/Visual Inspection/Packaging</v>
      </c>
      <c r="C1063">
        <v>12085697</v>
      </c>
      <c r="D1063">
        <v>8416368</v>
      </c>
      <c r="E1063">
        <v>0</v>
      </c>
      <c r="F1063">
        <v>0</v>
      </c>
      <c r="G1063">
        <v>0</v>
      </c>
      <c r="H1063">
        <v>0</v>
      </c>
      <c r="I1063" t="s">
        <v>176</v>
      </c>
      <c r="J1063">
        <v>0</v>
      </c>
      <c r="K1063">
        <v>0</v>
      </c>
      <c r="L1063">
        <v>2.8759505147669608E-3</v>
      </c>
      <c r="M1063">
        <v>1.7255703088601766E-2</v>
      </c>
      <c r="N1063">
        <v>1.7255703088601766E-2</v>
      </c>
      <c r="O1063" t="s">
        <v>90</v>
      </c>
      <c r="P1063">
        <v>0</v>
      </c>
      <c r="Q1063" t="s">
        <v>90</v>
      </c>
      <c r="R1063">
        <v>0</v>
      </c>
      <c r="S1063" t="s">
        <v>90</v>
      </c>
      <c r="T1063">
        <v>0</v>
      </c>
      <c r="U1063">
        <v>1.7255703088601766E-2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10</v>
      </c>
      <c r="AB1063">
        <v>1</v>
      </c>
      <c r="AC1063">
        <v>0.1</v>
      </c>
      <c r="AD1063">
        <v>0.10389195236953569</v>
      </c>
      <c r="AE1063">
        <v>900</v>
      </c>
      <c r="AF1063">
        <v>200000</v>
      </c>
      <c r="AG1063">
        <v>16666.666666666668</v>
      </c>
      <c r="AH1063">
        <v>1</v>
      </c>
      <c r="AI1063">
        <v>1</v>
      </c>
      <c r="AJ1063" t="s">
        <v>162</v>
      </c>
      <c r="AK1063" t="s">
        <v>176</v>
      </c>
      <c r="AL1063">
        <v>0</v>
      </c>
      <c r="AM1063" t="s">
        <v>176</v>
      </c>
      <c r="AN1063">
        <v>0</v>
      </c>
    </row>
    <row r="1064" spans="1:40" x14ac:dyDescent="0.15">
      <c r="A1064" s="4" t="str">
        <f>HYPERLINK("https://ibp.a2mac1.com/costing(costing:projects/details/9760/process/12085700)","Injection molding")</f>
        <v>Injection molding</v>
      </c>
      <c r="B1064" t="s">
        <v>5329</v>
      </c>
      <c r="C1064">
        <v>12085700</v>
      </c>
      <c r="D1064">
        <v>8416369</v>
      </c>
      <c r="E1064">
        <v>3.5574506530927835E-2</v>
      </c>
      <c r="F1064">
        <v>0</v>
      </c>
      <c r="G1064">
        <v>0</v>
      </c>
      <c r="H1064">
        <v>7.3393573814432988E-5</v>
      </c>
      <c r="I1064" t="s">
        <v>176</v>
      </c>
      <c r="J1064">
        <v>1.2469781958762886E-3</v>
      </c>
      <c r="K1064">
        <v>3.6894878300618557E-2</v>
      </c>
      <c r="L1064">
        <v>8.5600226222615049E-3</v>
      </c>
      <c r="M1064">
        <v>5.1360135733569026E-2</v>
      </c>
      <c r="N1064">
        <v>8.825501403418759E-2</v>
      </c>
      <c r="O1064" t="s">
        <v>90</v>
      </c>
      <c r="P1064">
        <v>0</v>
      </c>
      <c r="Q1064" t="s">
        <v>90</v>
      </c>
      <c r="R1064">
        <v>0</v>
      </c>
      <c r="S1064" t="s">
        <v>90</v>
      </c>
      <c r="T1064">
        <v>0</v>
      </c>
      <c r="U1064">
        <v>8.825501403418759E-2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15.44525</v>
      </c>
      <c r="AB1064">
        <v>2</v>
      </c>
      <c r="AC1064">
        <v>0.1</v>
      </c>
      <c r="AD1064">
        <v>0.20557651238448796</v>
      </c>
      <c r="AE1064">
        <v>10800</v>
      </c>
      <c r="AF1064">
        <v>200000</v>
      </c>
      <c r="AG1064">
        <v>16666.666666666668</v>
      </c>
      <c r="AH1064">
        <v>1</v>
      </c>
      <c r="AI1064">
        <v>1</v>
      </c>
      <c r="AJ1064" t="s">
        <v>162</v>
      </c>
      <c r="AK1064" t="s">
        <v>176</v>
      </c>
      <c r="AL1064">
        <v>0</v>
      </c>
      <c r="AM1064" t="s">
        <v>176</v>
      </c>
      <c r="AN1064">
        <v>0</v>
      </c>
    </row>
    <row r="1065" spans="1:40" x14ac:dyDescent="0.15">
      <c r="A1065" s="4" t="str">
        <f>HYPERLINK("https://ibp.a2mac1.com/costing(costing:projects/details/9760/process/12085699)","Handling/Visual Inspection/Packaging")</f>
        <v>Handling/Visual Inspection/Packaging</v>
      </c>
      <c r="C1065">
        <v>12085699</v>
      </c>
      <c r="D1065">
        <v>8416369</v>
      </c>
      <c r="E1065">
        <v>0</v>
      </c>
      <c r="F1065">
        <v>0</v>
      </c>
      <c r="G1065">
        <v>0</v>
      </c>
      <c r="H1065">
        <v>0</v>
      </c>
      <c r="I1065" t="s">
        <v>176</v>
      </c>
      <c r="J1065">
        <v>0</v>
      </c>
      <c r="K1065">
        <v>0</v>
      </c>
      <c r="L1065">
        <v>2.8759505147669608E-3</v>
      </c>
      <c r="M1065">
        <v>1.7255703088601766E-2</v>
      </c>
      <c r="N1065">
        <v>1.7255703088601766E-2</v>
      </c>
      <c r="O1065" t="s">
        <v>90</v>
      </c>
      <c r="P1065">
        <v>0</v>
      </c>
      <c r="Q1065" t="s">
        <v>90</v>
      </c>
      <c r="R1065">
        <v>0</v>
      </c>
      <c r="S1065" t="s">
        <v>90</v>
      </c>
      <c r="T1065">
        <v>0</v>
      </c>
      <c r="U1065">
        <v>1.7255703088601766E-2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10</v>
      </c>
      <c r="AB1065">
        <v>1</v>
      </c>
      <c r="AC1065">
        <v>0.1</v>
      </c>
      <c r="AD1065">
        <v>0.10389195236953569</v>
      </c>
      <c r="AE1065">
        <v>900</v>
      </c>
      <c r="AF1065">
        <v>200000</v>
      </c>
      <c r="AG1065">
        <v>16666.666666666668</v>
      </c>
      <c r="AH1065">
        <v>1</v>
      </c>
      <c r="AI1065">
        <v>1</v>
      </c>
      <c r="AJ1065" t="s">
        <v>162</v>
      </c>
      <c r="AK1065" t="s">
        <v>176</v>
      </c>
      <c r="AL1065">
        <v>0</v>
      </c>
      <c r="AM1065" t="s">
        <v>176</v>
      </c>
      <c r="AN1065">
        <v>0</v>
      </c>
    </row>
    <row r="1066" spans="1:40" x14ac:dyDescent="0.15">
      <c r="A1066" s="4" t="str">
        <f>HYPERLINK("https://ibp.a2mac1.com/costing(costing:projects/details/9760/process/12085340)","Process")</f>
        <v>Process</v>
      </c>
      <c r="C1066">
        <v>12085340</v>
      </c>
      <c r="D1066">
        <v>8416030</v>
      </c>
      <c r="E1066">
        <v>0</v>
      </c>
      <c r="F1066">
        <v>0</v>
      </c>
      <c r="G1066">
        <v>0</v>
      </c>
      <c r="H1066">
        <v>0</v>
      </c>
      <c r="I1066" t="s">
        <v>176</v>
      </c>
      <c r="J1066">
        <v>0</v>
      </c>
      <c r="K1066">
        <v>0</v>
      </c>
      <c r="L1066">
        <v>0.35650171081813409</v>
      </c>
      <c r="M1066">
        <v>1.2477559878634694</v>
      </c>
      <c r="N1066">
        <v>1.2477559878634694</v>
      </c>
      <c r="O1066" t="s">
        <v>177</v>
      </c>
      <c r="P1066">
        <v>0</v>
      </c>
      <c r="Q1066" t="s">
        <v>177</v>
      </c>
      <c r="R1066">
        <v>7.4865359271808166E-2</v>
      </c>
      <c r="S1066" t="s">
        <v>322</v>
      </c>
      <c r="T1066">
        <v>0.12477559878634693</v>
      </c>
      <c r="U1066">
        <v>1.4473969459216245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100</v>
      </c>
      <c r="AB1066">
        <v>1</v>
      </c>
      <c r="AC1066">
        <v>0.1</v>
      </c>
      <c r="AD1066">
        <v>0.10389195236953569</v>
      </c>
      <c r="AE1066">
        <v>10800</v>
      </c>
      <c r="AF1066">
        <v>200000</v>
      </c>
      <c r="AG1066">
        <v>16666.666666666668</v>
      </c>
      <c r="AH1066">
        <v>1</v>
      </c>
      <c r="AI1066">
        <v>1</v>
      </c>
      <c r="AJ1066" t="s">
        <v>162</v>
      </c>
      <c r="AK1066" t="s">
        <v>176</v>
      </c>
      <c r="AL1066">
        <v>0</v>
      </c>
      <c r="AM1066" t="s">
        <v>176</v>
      </c>
      <c r="AN1066">
        <v>0</v>
      </c>
    </row>
    <row r="1067" spans="1:40" x14ac:dyDescent="0.15">
      <c r="A1067" s="4" t="str">
        <f>HYPERLINK("https://ibp.a2mac1.com/costing(costing:projects/details/9760/process/12085342)","Injection molding")</f>
        <v>Injection molding</v>
      </c>
      <c r="B1067" t="s">
        <v>5302</v>
      </c>
      <c r="C1067">
        <v>12085342</v>
      </c>
      <c r="D1067">
        <v>8416034</v>
      </c>
      <c r="E1067">
        <v>6.0246875371134018E-2</v>
      </c>
      <c r="F1067">
        <v>0</v>
      </c>
      <c r="G1067">
        <v>0</v>
      </c>
      <c r="H1067">
        <v>1.2429500577319587E-4</v>
      </c>
      <c r="I1067" t="s">
        <v>176</v>
      </c>
      <c r="J1067">
        <v>2.1118083505154641E-3</v>
      </c>
      <c r="K1067">
        <v>6.2482978727422679E-2</v>
      </c>
      <c r="L1067">
        <v>1.3576184058357352E-2</v>
      </c>
      <c r="M1067">
        <v>8.1457104350144111E-2</v>
      </c>
      <c r="N1067">
        <v>0.14394008307756678</v>
      </c>
      <c r="O1067" t="s">
        <v>177</v>
      </c>
      <c r="P1067">
        <v>3.7489787236453607E-3</v>
      </c>
      <c r="Q1067" t="s">
        <v>177</v>
      </c>
      <c r="R1067">
        <v>4.8874262610086464E-3</v>
      </c>
      <c r="S1067" t="s">
        <v>178</v>
      </c>
      <c r="T1067">
        <v>1.7272809969308016E-2</v>
      </c>
      <c r="U1067">
        <v>0.16984929803152882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42.330649999999999</v>
      </c>
      <c r="AB1067">
        <v>1</v>
      </c>
      <c r="AC1067">
        <v>0.1</v>
      </c>
      <c r="AD1067">
        <v>0.20557651238448796</v>
      </c>
      <c r="AE1067">
        <v>7200</v>
      </c>
      <c r="AF1067">
        <v>200000</v>
      </c>
      <c r="AG1067">
        <v>16666.666666666668</v>
      </c>
      <c r="AH1067">
        <v>1</v>
      </c>
      <c r="AI1067">
        <v>1</v>
      </c>
      <c r="AJ1067" t="s">
        <v>162</v>
      </c>
      <c r="AK1067" t="s">
        <v>176</v>
      </c>
      <c r="AL1067">
        <v>0</v>
      </c>
      <c r="AM1067" t="s">
        <v>176</v>
      </c>
      <c r="AN1067">
        <v>0</v>
      </c>
    </row>
    <row r="1068" spans="1:40" x14ac:dyDescent="0.15">
      <c r="A1068" s="4" t="str">
        <f>HYPERLINK("https://ibp.a2mac1.com/costing(costing:projects/details/9760/process/12085341)","Handling/Visual Inspection/Packaging")</f>
        <v>Handling/Visual Inspection/Packaging</v>
      </c>
      <c r="C1068">
        <v>12085341</v>
      </c>
      <c r="D1068">
        <v>8416034</v>
      </c>
      <c r="E1068">
        <v>0</v>
      </c>
      <c r="F1068">
        <v>0</v>
      </c>
      <c r="G1068">
        <v>0</v>
      </c>
      <c r="H1068">
        <v>0</v>
      </c>
      <c r="I1068" t="s">
        <v>176</v>
      </c>
      <c r="J1068">
        <v>0</v>
      </c>
      <c r="K1068">
        <v>0</v>
      </c>
      <c r="L1068">
        <v>2.8759505147669608E-3</v>
      </c>
      <c r="M1068">
        <v>1.7255703088601766E-2</v>
      </c>
      <c r="N1068">
        <v>1.7255703088601766E-2</v>
      </c>
      <c r="O1068" t="s">
        <v>177</v>
      </c>
      <c r="P1068">
        <v>0</v>
      </c>
      <c r="Q1068" t="s">
        <v>177</v>
      </c>
      <c r="R1068">
        <v>1.0353421853161059E-3</v>
      </c>
      <c r="S1068" t="s">
        <v>178</v>
      </c>
      <c r="T1068">
        <v>2.0706843706322117E-3</v>
      </c>
      <c r="U1068">
        <v>2.0361729644550082E-2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10</v>
      </c>
      <c r="AB1068">
        <v>1</v>
      </c>
      <c r="AC1068">
        <v>0.1</v>
      </c>
      <c r="AD1068">
        <v>0.10389195236953569</v>
      </c>
      <c r="AE1068">
        <v>900</v>
      </c>
      <c r="AF1068">
        <v>200000</v>
      </c>
      <c r="AG1068">
        <v>16666.666666666668</v>
      </c>
      <c r="AH1068">
        <v>1</v>
      </c>
      <c r="AI1068">
        <v>1</v>
      </c>
      <c r="AJ1068" t="s">
        <v>162</v>
      </c>
      <c r="AK1068" t="s">
        <v>176</v>
      </c>
      <c r="AL1068">
        <v>0</v>
      </c>
      <c r="AM1068" t="s">
        <v>176</v>
      </c>
      <c r="AN1068">
        <v>0</v>
      </c>
    </row>
    <row r="1069" spans="1:40" x14ac:dyDescent="0.15">
      <c r="A1069" s="4" t="str">
        <f>HYPERLINK("https://ibp.a2mac1.com/costing(costing:projects/details/9760/process/12085343)","Injection molding")</f>
        <v>Injection molding</v>
      </c>
      <c r="B1069" t="s">
        <v>5310</v>
      </c>
      <c r="C1069">
        <v>12085343</v>
      </c>
      <c r="D1069">
        <v>8416035</v>
      </c>
      <c r="E1069">
        <v>1.551596943298969E-3</v>
      </c>
      <c r="F1069">
        <v>0</v>
      </c>
      <c r="G1069">
        <v>0</v>
      </c>
      <c r="H1069">
        <v>3.2010913402061857E-6</v>
      </c>
      <c r="I1069" t="s">
        <v>176</v>
      </c>
      <c r="J1069">
        <v>5.4387474226804127E-5</v>
      </c>
      <c r="K1069">
        <v>1.6091855088659795E-3</v>
      </c>
      <c r="L1069">
        <v>7.2533910972382336E-3</v>
      </c>
      <c r="M1069">
        <v>4.3520346583429403E-2</v>
      </c>
      <c r="N1069">
        <v>4.5129532092295387E-2</v>
      </c>
      <c r="O1069" t="s">
        <v>90</v>
      </c>
      <c r="P1069">
        <v>0</v>
      </c>
      <c r="Q1069" t="s">
        <v>90</v>
      </c>
      <c r="R1069">
        <v>0</v>
      </c>
      <c r="S1069" t="s">
        <v>90</v>
      </c>
      <c r="T1069">
        <v>0</v>
      </c>
      <c r="U1069">
        <v>4.5129532092295387E-2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21.527259999999998</v>
      </c>
      <c r="AB1069">
        <v>1</v>
      </c>
      <c r="AC1069">
        <v>0.1</v>
      </c>
      <c r="AD1069">
        <v>0.20557651238448796</v>
      </c>
      <c r="AE1069">
        <v>7200</v>
      </c>
      <c r="AF1069">
        <v>200000</v>
      </c>
      <c r="AG1069">
        <v>16666.666666666668</v>
      </c>
      <c r="AH1069">
        <v>1</v>
      </c>
      <c r="AI1069">
        <v>1</v>
      </c>
      <c r="AJ1069" t="s">
        <v>162</v>
      </c>
      <c r="AK1069" t="s">
        <v>176</v>
      </c>
      <c r="AL1069">
        <v>0</v>
      </c>
      <c r="AM1069" t="s">
        <v>176</v>
      </c>
      <c r="AN1069">
        <v>0</v>
      </c>
    </row>
    <row r="1070" spans="1:40" x14ac:dyDescent="0.15">
      <c r="A1070" s="4" t="str">
        <f>HYPERLINK("https://ibp.a2mac1.com/costing(costing:projects/details/9760/process/12085344)","Handling/Visual Inspection/Packaging")</f>
        <v>Handling/Visual Inspection/Packaging</v>
      </c>
      <c r="C1070">
        <v>12085344</v>
      </c>
      <c r="D1070">
        <v>8416035</v>
      </c>
      <c r="E1070">
        <v>0</v>
      </c>
      <c r="F1070">
        <v>0</v>
      </c>
      <c r="G1070">
        <v>0</v>
      </c>
      <c r="H1070">
        <v>0</v>
      </c>
      <c r="I1070" t="s">
        <v>176</v>
      </c>
      <c r="J1070">
        <v>0</v>
      </c>
      <c r="K1070">
        <v>0</v>
      </c>
      <c r="L1070">
        <v>2.8759505147669608E-3</v>
      </c>
      <c r="M1070">
        <v>1.7255703088601766E-2</v>
      </c>
      <c r="N1070">
        <v>1.7255703088601766E-2</v>
      </c>
      <c r="O1070" t="s">
        <v>90</v>
      </c>
      <c r="P1070">
        <v>0</v>
      </c>
      <c r="Q1070" t="s">
        <v>90</v>
      </c>
      <c r="R1070">
        <v>0</v>
      </c>
      <c r="S1070" t="s">
        <v>90</v>
      </c>
      <c r="T1070">
        <v>0</v>
      </c>
      <c r="U1070">
        <v>1.7255703088601766E-2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10</v>
      </c>
      <c r="AB1070">
        <v>1</v>
      </c>
      <c r="AC1070">
        <v>0.1</v>
      </c>
      <c r="AD1070">
        <v>0.10389195236953569</v>
      </c>
      <c r="AE1070">
        <v>900</v>
      </c>
      <c r="AF1070">
        <v>200000</v>
      </c>
      <c r="AG1070">
        <v>16666.666666666668</v>
      </c>
      <c r="AH1070">
        <v>1</v>
      </c>
      <c r="AI1070">
        <v>1</v>
      </c>
      <c r="AJ1070" t="s">
        <v>162</v>
      </c>
      <c r="AK1070" t="s">
        <v>176</v>
      </c>
      <c r="AL1070">
        <v>0</v>
      </c>
      <c r="AM1070" t="s">
        <v>176</v>
      </c>
      <c r="AN1070">
        <v>0</v>
      </c>
    </row>
    <row r="1071" spans="1:40" x14ac:dyDescent="0.15">
      <c r="A1071" s="4" t="str">
        <f>HYPERLINK("https://ibp.a2mac1.com/costing(costing:projects/details/9760/process/12085793)","Process")</f>
        <v>Process</v>
      </c>
      <c r="C1071">
        <v>12085793</v>
      </c>
      <c r="D1071">
        <v>8416382</v>
      </c>
      <c r="E1071">
        <v>0</v>
      </c>
      <c r="F1071">
        <v>0</v>
      </c>
      <c r="G1071">
        <v>0</v>
      </c>
      <c r="H1071">
        <v>0</v>
      </c>
      <c r="I1071" t="s">
        <v>176</v>
      </c>
      <c r="J1071">
        <v>0</v>
      </c>
      <c r="K1071">
        <v>0</v>
      </c>
      <c r="L1071">
        <v>9.543752330730601E-2</v>
      </c>
      <c r="M1071">
        <v>0.57262513984383612</v>
      </c>
      <c r="N1071">
        <v>0.57262513984383612</v>
      </c>
      <c r="O1071" t="s">
        <v>90</v>
      </c>
      <c r="P1071">
        <v>0</v>
      </c>
      <c r="Q1071" t="s">
        <v>90</v>
      </c>
      <c r="R1071">
        <v>0</v>
      </c>
      <c r="S1071" t="s">
        <v>90</v>
      </c>
      <c r="T1071">
        <v>0</v>
      </c>
      <c r="U1071">
        <v>0.57262513984383612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88</v>
      </c>
      <c r="AB1071">
        <v>1</v>
      </c>
      <c r="AC1071">
        <v>0</v>
      </c>
      <c r="AD1071">
        <v>0</v>
      </c>
      <c r="AE1071">
        <v>216</v>
      </c>
      <c r="AF1071">
        <v>200000</v>
      </c>
      <c r="AG1071">
        <v>10000</v>
      </c>
      <c r="AH1071">
        <v>1</v>
      </c>
      <c r="AI1071">
        <v>1</v>
      </c>
      <c r="AJ1071" t="s">
        <v>76</v>
      </c>
      <c r="AK1071" t="s">
        <v>176</v>
      </c>
      <c r="AL1071">
        <v>0</v>
      </c>
      <c r="AM1071" t="s">
        <v>176</v>
      </c>
      <c r="AN1071">
        <v>0</v>
      </c>
    </row>
    <row r="1072" spans="1:40" x14ac:dyDescent="0.15">
      <c r="A1072" s="4" t="str">
        <f>HYPERLINK("https://ibp.a2mac1.com/costing(costing:projects/details/9760/process/12085795)","Process")</f>
        <v>Process</v>
      </c>
      <c r="B1072" t="s">
        <v>360</v>
      </c>
      <c r="C1072">
        <v>12085795</v>
      </c>
      <c r="D1072">
        <v>8416384</v>
      </c>
      <c r="E1072">
        <v>0</v>
      </c>
      <c r="F1072">
        <v>0</v>
      </c>
      <c r="G1072">
        <v>0</v>
      </c>
      <c r="H1072">
        <v>0</v>
      </c>
      <c r="I1072" t="s">
        <v>176</v>
      </c>
      <c r="J1072">
        <v>0</v>
      </c>
      <c r="K1072">
        <v>0</v>
      </c>
      <c r="L1072">
        <v>0.71131809764521003</v>
      </c>
      <c r="M1072">
        <v>2.4896133417582353</v>
      </c>
      <c r="N1072">
        <v>2.4896133417582353</v>
      </c>
      <c r="O1072" t="s">
        <v>90</v>
      </c>
      <c r="P1072">
        <v>0</v>
      </c>
      <c r="Q1072" t="s">
        <v>90</v>
      </c>
      <c r="R1072">
        <v>0</v>
      </c>
      <c r="S1072" t="s">
        <v>90</v>
      </c>
      <c r="T1072">
        <v>0</v>
      </c>
      <c r="U1072">
        <v>2.4896133417582353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328</v>
      </c>
      <c r="AB1072">
        <v>1</v>
      </c>
      <c r="AC1072">
        <v>0</v>
      </c>
      <c r="AD1072">
        <v>0</v>
      </c>
      <c r="AE1072">
        <v>216</v>
      </c>
      <c r="AF1072">
        <v>200000</v>
      </c>
      <c r="AG1072">
        <v>10000</v>
      </c>
      <c r="AH1072">
        <v>1</v>
      </c>
      <c r="AI1072">
        <v>1</v>
      </c>
      <c r="AJ1072" t="s">
        <v>76</v>
      </c>
      <c r="AK1072" t="s">
        <v>176</v>
      </c>
      <c r="AL1072">
        <v>0</v>
      </c>
      <c r="AM1072" t="s">
        <v>176</v>
      </c>
      <c r="AN1072">
        <v>0</v>
      </c>
    </row>
    <row r="1073" spans="1:40" x14ac:dyDescent="0.15">
      <c r="A1073" s="4" t="str">
        <f>HYPERLINK("https://ibp.a2mac1.com/costing(costing:projects/details/9760/process/12085701)","Furnace heating")</f>
        <v>Furnace heating</v>
      </c>
      <c r="C1073">
        <v>12085701</v>
      </c>
      <c r="D1073">
        <v>8416371</v>
      </c>
      <c r="E1073">
        <v>0.84045808736842109</v>
      </c>
      <c r="F1073">
        <v>0</v>
      </c>
      <c r="G1073">
        <v>0</v>
      </c>
      <c r="H1073">
        <v>2.6549855477894738E-3</v>
      </c>
      <c r="I1073" t="s">
        <v>176</v>
      </c>
      <c r="J1073">
        <v>3.0170290315789473E-2</v>
      </c>
      <c r="K1073">
        <v>0.87328336323199995</v>
      </c>
      <c r="L1073">
        <v>4.9500337708346621E-3</v>
      </c>
      <c r="M1073">
        <v>2.9700202625007971E-2</v>
      </c>
      <c r="N1073">
        <v>0.90298356585700801</v>
      </c>
      <c r="O1073" t="s">
        <v>90</v>
      </c>
      <c r="P1073">
        <v>0</v>
      </c>
      <c r="Q1073" t="s">
        <v>90</v>
      </c>
      <c r="R1073">
        <v>0</v>
      </c>
      <c r="S1073" t="s">
        <v>90</v>
      </c>
      <c r="T1073">
        <v>0</v>
      </c>
      <c r="U1073">
        <v>0.90298356585700801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19.377199999999998</v>
      </c>
      <c r="AB1073">
        <v>1</v>
      </c>
      <c r="AC1073">
        <v>0.1</v>
      </c>
      <c r="AD1073">
        <v>0.30705427283965386</v>
      </c>
      <c r="AE1073">
        <v>0</v>
      </c>
      <c r="AF1073">
        <v>200000</v>
      </c>
      <c r="AG1073">
        <v>16666.666666666668</v>
      </c>
      <c r="AH1073">
        <v>1</v>
      </c>
      <c r="AI1073">
        <v>1</v>
      </c>
      <c r="AJ1073" t="s">
        <v>162</v>
      </c>
      <c r="AK1073" t="s">
        <v>176</v>
      </c>
      <c r="AL1073">
        <v>0</v>
      </c>
      <c r="AM1073" t="s">
        <v>176</v>
      </c>
      <c r="AN1073">
        <v>0</v>
      </c>
    </row>
    <row r="1074" spans="1:40" x14ac:dyDescent="0.15">
      <c r="A1074" s="4" t="str">
        <f>HYPERLINK("https://ibp.a2mac1.com/costing(costing:projects/details/9760/process/12085702)","Transport with laddle")</f>
        <v>Transport with laddle</v>
      </c>
      <c r="C1074">
        <v>12085702</v>
      </c>
      <c r="D1074">
        <v>8416371</v>
      </c>
      <c r="E1074">
        <v>0</v>
      </c>
      <c r="F1074">
        <v>0</v>
      </c>
      <c r="G1074">
        <v>0</v>
      </c>
      <c r="H1074">
        <v>0</v>
      </c>
      <c r="I1074" t="s">
        <v>176</v>
      </c>
      <c r="J1074">
        <v>0</v>
      </c>
      <c r="K1074">
        <v>0</v>
      </c>
      <c r="L1074">
        <v>2.037798749605497E-3</v>
      </c>
      <c r="M1074">
        <v>1.222679249763298E-2</v>
      </c>
      <c r="N1074">
        <v>1.222679249763298E-2</v>
      </c>
      <c r="O1074" t="s">
        <v>90</v>
      </c>
      <c r="P1074">
        <v>0</v>
      </c>
      <c r="Q1074" t="s">
        <v>90</v>
      </c>
      <c r="R1074">
        <v>0</v>
      </c>
      <c r="S1074" t="s">
        <v>90</v>
      </c>
      <c r="T1074">
        <v>0</v>
      </c>
      <c r="U1074">
        <v>1.222679249763298E-2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19.377199999999998</v>
      </c>
      <c r="AB1074">
        <v>1</v>
      </c>
      <c r="AC1074">
        <v>0.1</v>
      </c>
      <c r="AD1074">
        <v>0.20557651238448796</v>
      </c>
      <c r="AE1074">
        <v>900</v>
      </c>
      <c r="AF1074">
        <v>200000</v>
      </c>
      <c r="AG1074">
        <v>16666.666666666668</v>
      </c>
      <c r="AH1074">
        <v>1</v>
      </c>
      <c r="AI1074">
        <v>1</v>
      </c>
      <c r="AJ1074" t="s">
        <v>162</v>
      </c>
      <c r="AK1074" t="s">
        <v>176</v>
      </c>
      <c r="AL1074">
        <v>0</v>
      </c>
      <c r="AM1074" t="s">
        <v>176</v>
      </c>
      <c r="AN1074">
        <v>0</v>
      </c>
    </row>
    <row r="1075" spans="1:40" x14ac:dyDescent="0.15">
      <c r="A1075" s="4" t="str">
        <f>HYPERLINK("https://ibp.a2mac1.com/costing(costing:projects/details/9760/process/12085703)","Pressing (Cold Chamber)")</f>
        <v>Pressing (Cold Chamber)</v>
      </c>
      <c r="C1075">
        <v>12085703</v>
      </c>
      <c r="D1075">
        <v>8416371</v>
      </c>
      <c r="E1075">
        <v>0</v>
      </c>
      <c r="F1075">
        <v>0</v>
      </c>
      <c r="G1075">
        <v>0</v>
      </c>
      <c r="H1075">
        <v>0</v>
      </c>
      <c r="I1075" t="s">
        <v>176</v>
      </c>
      <c r="J1075">
        <v>0</v>
      </c>
      <c r="K1075">
        <v>0</v>
      </c>
      <c r="L1075">
        <v>1.9396986049689587E-2</v>
      </c>
      <c r="M1075">
        <v>0.11638191629813752</v>
      </c>
      <c r="N1075">
        <v>0.11638191629813752</v>
      </c>
      <c r="O1075" t="s">
        <v>90</v>
      </c>
      <c r="P1075">
        <v>0</v>
      </c>
      <c r="Q1075" t="s">
        <v>90</v>
      </c>
      <c r="R1075">
        <v>0</v>
      </c>
      <c r="S1075" t="s">
        <v>90</v>
      </c>
      <c r="T1075">
        <v>0</v>
      </c>
      <c r="U1075">
        <v>0.11638191629813752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19.377199999999998</v>
      </c>
      <c r="AB1075">
        <v>1</v>
      </c>
      <c r="AC1075">
        <v>0.1</v>
      </c>
      <c r="AD1075">
        <v>0.10389195236953569</v>
      </c>
      <c r="AE1075">
        <v>7200</v>
      </c>
      <c r="AF1075">
        <v>200000</v>
      </c>
      <c r="AG1075">
        <v>16666.666666666668</v>
      </c>
      <c r="AH1075">
        <v>1</v>
      </c>
      <c r="AI1075">
        <v>1</v>
      </c>
      <c r="AJ1075" t="s">
        <v>162</v>
      </c>
      <c r="AK1075" t="s">
        <v>176</v>
      </c>
      <c r="AL1075">
        <v>0</v>
      </c>
      <c r="AM1075" t="s">
        <v>176</v>
      </c>
      <c r="AN1075">
        <v>0</v>
      </c>
    </row>
    <row r="1076" spans="1:40" x14ac:dyDescent="0.15">
      <c r="A1076" s="4" t="str">
        <f>HYPERLINK("https://ibp.a2mac1.com/costing(costing:projects/details/9760/process/12085784)","Injection molding")</f>
        <v>Injection molding</v>
      </c>
      <c r="B1076" t="s">
        <v>5216</v>
      </c>
      <c r="C1076">
        <v>12085784</v>
      </c>
      <c r="D1076">
        <v>8416373</v>
      </c>
      <c r="E1076">
        <v>0.27352171962886596</v>
      </c>
      <c r="F1076">
        <v>0</v>
      </c>
      <c r="G1076">
        <v>0</v>
      </c>
      <c r="H1076">
        <v>2.8488992329896905E-4</v>
      </c>
      <c r="I1076" t="s">
        <v>176</v>
      </c>
      <c r="J1076">
        <v>9.5876416494845365E-3</v>
      </c>
      <c r="K1076">
        <v>0.28339425120164946</v>
      </c>
      <c r="L1076">
        <v>8.484225793651724E-3</v>
      </c>
      <c r="M1076">
        <v>5.0905354761910347E-2</v>
      </c>
      <c r="N1076">
        <v>0.33429960596355984</v>
      </c>
      <c r="O1076" t="s">
        <v>90</v>
      </c>
      <c r="P1076">
        <v>0</v>
      </c>
      <c r="Q1076" t="s">
        <v>90</v>
      </c>
      <c r="R1076">
        <v>0</v>
      </c>
      <c r="S1076" t="s">
        <v>90</v>
      </c>
      <c r="T1076">
        <v>0</v>
      </c>
      <c r="U1076">
        <v>0.33429960596355984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21.53941</v>
      </c>
      <c r="AB1076">
        <v>1</v>
      </c>
      <c r="AC1076">
        <v>0.1</v>
      </c>
      <c r="AD1076">
        <v>0.10389195236953569</v>
      </c>
      <c r="AE1076">
        <v>7200</v>
      </c>
      <c r="AF1076">
        <v>200000</v>
      </c>
      <c r="AG1076">
        <v>16666.666666666668</v>
      </c>
      <c r="AH1076">
        <v>1</v>
      </c>
      <c r="AI1076">
        <v>1</v>
      </c>
      <c r="AJ1076" t="s">
        <v>162</v>
      </c>
      <c r="AK1076" t="s">
        <v>176</v>
      </c>
      <c r="AL1076">
        <v>0</v>
      </c>
      <c r="AM1076" t="s">
        <v>176</v>
      </c>
      <c r="AN1076">
        <v>0</v>
      </c>
    </row>
    <row r="1077" spans="1:40" x14ac:dyDescent="0.15">
      <c r="A1077" s="4" t="str">
        <f>HYPERLINK("https://ibp.a2mac1.com/costing(costing:projects/details/9760/process/12085785)","Injection molding")</f>
        <v>Injection molding</v>
      </c>
      <c r="C1077">
        <v>12085785</v>
      </c>
      <c r="D1077">
        <v>8416374</v>
      </c>
      <c r="E1077">
        <v>0.21229068000000001</v>
      </c>
      <c r="F1077">
        <v>0</v>
      </c>
      <c r="G1077">
        <v>0</v>
      </c>
      <c r="H1077">
        <v>1.29396224E-3</v>
      </c>
      <c r="I1077" t="s">
        <v>176</v>
      </c>
      <c r="J1077">
        <v>7.4487957894736846E-3</v>
      </c>
      <c r="K1077">
        <v>0.22103343802947367</v>
      </c>
      <c r="L1077">
        <v>3.7179069743362532E-3</v>
      </c>
      <c r="M1077">
        <v>2.2307441846017517E-2</v>
      </c>
      <c r="N1077">
        <v>0.24334087987549119</v>
      </c>
      <c r="O1077" t="s">
        <v>90</v>
      </c>
      <c r="P1077">
        <v>0</v>
      </c>
      <c r="Q1077" t="s">
        <v>90</v>
      </c>
      <c r="R1077">
        <v>0</v>
      </c>
      <c r="S1077" t="s">
        <v>90</v>
      </c>
      <c r="T1077">
        <v>0</v>
      </c>
      <c r="U1077">
        <v>0.24334087987549119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60</v>
      </c>
      <c r="AB1077">
        <v>1</v>
      </c>
      <c r="AC1077">
        <v>0.5</v>
      </c>
      <c r="AD1077">
        <v>0.60432569974554706</v>
      </c>
      <c r="AE1077">
        <v>216</v>
      </c>
      <c r="AF1077">
        <v>200000</v>
      </c>
      <c r="AG1077">
        <v>16666.666666666668</v>
      </c>
      <c r="AH1077">
        <v>1</v>
      </c>
      <c r="AI1077">
        <v>1</v>
      </c>
      <c r="AJ1077" t="s">
        <v>162</v>
      </c>
      <c r="AK1077" t="s">
        <v>176</v>
      </c>
      <c r="AL1077">
        <v>0</v>
      </c>
      <c r="AM1077" t="s">
        <v>176</v>
      </c>
      <c r="AN1077">
        <v>0</v>
      </c>
    </row>
    <row r="1078" spans="1:40" x14ac:dyDescent="0.15">
      <c r="A1078" s="4" t="str">
        <f>HYPERLINK("https://ibp.a2mac1.com/costing(costing:projects/details/9760/process/12085786)","Painting")</f>
        <v>Painting</v>
      </c>
      <c r="B1078" t="s">
        <v>5228</v>
      </c>
      <c r="C1078">
        <v>12085786</v>
      </c>
      <c r="D1078">
        <v>8416374</v>
      </c>
      <c r="E1078">
        <v>0.3</v>
      </c>
      <c r="F1078">
        <v>0</v>
      </c>
      <c r="G1078">
        <v>0</v>
      </c>
      <c r="H1078">
        <v>3.1199999999999999E-4</v>
      </c>
      <c r="I1078" t="s">
        <v>176</v>
      </c>
      <c r="J1078">
        <v>1.0500000000000001E-2</v>
      </c>
      <c r="K1078">
        <v>0.31081199999999998</v>
      </c>
      <c r="L1078">
        <v>9.4837498877817908E-2</v>
      </c>
      <c r="M1078">
        <v>0.56902499326690748</v>
      </c>
      <c r="N1078">
        <v>0.87983699326690745</v>
      </c>
      <c r="O1078" t="s">
        <v>90</v>
      </c>
      <c r="P1078">
        <v>0</v>
      </c>
      <c r="Q1078" t="s">
        <v>90</v>
      </c>
      <c r="R1078">
        <v>0</v>
      </c>
      <c r="S1078" t="s">
        <v>90</v>
      </c>
      <c r="T1078">
        <v>0</v>
      </c>
      <c r="U1078">
        <v>0.87983699326690745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2.8</v>
      </c>
      <c r="AB1078">
        <v>1</v>
      </c>
      <c r="AC1078">
        <v>0.1</v>
      </c>
      <c r="AD1078">
        <v>0.10389195236953569</v>
      </c>
      <c r="AE1078">
        <v>0</v>
      </c>
      <c r="AF1078">
        <v>200000</v>
      </c>
      <c r="AG1078">
        <v>16666.666666666668</v>
      </c>
      <c r="AH1078">
        <v>1</v>
      </c>
      <c r="AI1078">
        <v>1</v>
      </c>
      <c r="AJ1078" t="s">
        <v>162</v>
      </c>
      <c r="AK1078" t="s">
        <v>176</v>
      </c>
      <c r="AL1078">
        <v>0</v>
      </c>
      <c r="AM1078" t="s">
        <v>176</v>
      </c>
      <c r="AN1078">
        <v>0</v>
      </c>
    </row>
    <row r="1079" spans="1:40" x14ac:dyDescent="0.15">
      <c r="A1079" s="4" t="str">
        <f>HYPERLINK("https://ibp.a2mac1.com/costing(costing:projects/details/9760/process/12085787)","Injection molding")</f>
        <v>Injection molding</v>
      </c>
      <c r="C1079">
        <v>12085787</v>
      </c>
      <c r="D1079">
        <v>8416375</v>
      </c>
      <c r="E1079">
        <v>0.13966732500000001</v>
      </c>
      <c r="F1079">
        <v>0</v>
      </c>
      <c r="G1079">
        <v>0</v>
      </c>
      <c r="H1079">
        <v>7.0848788421052635E-4</v>
      </c>
      <c r="I1079" t="s">
        <v>176</v>
      </c>
      <c r="J1079">
        <v>4.9006078947368423E-3</v>
      </c>
      <c r="K1079">
        <v>0.14527642077894737</v>
      </c>
      <c r="L1079">
        <v>2.3211601582674491E-3</v>
      </c>
      <c r="M1079">
        <v>1.3926960949604694E-2</v>
      </c>
      <c r="N1079">
        <v>0.15920338172855206</v>
      </c>
      <c r="O1079" t="s">
        <v>90</v>
      </c>
      <c r="P1079">
        <v>0</v>
      </c>
      <c r="Q1079" t="s">
        <v>90</v>
      </c>
      <c r="R1079">
        <v>0</v>
      </c>
      <c r="S1079" t="s">
        <v>90</v>
      </c>
      <c r="T1079">
        <v>0</v>
      </c>
      <c r="U1079">
        <v>0.15920338172855206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60</v>
      </c>
      <c r="AB1079">
        <v>1</v>
      </c>
      <c r="AC1079">
        <v>0.5</v>
      </c>
      <c r="AD1079">
        <v>0.50345253019720215</v>
      </c>
      <c r="AE1079">
        <v>135</v>
      </c>
      <c r="AF1079">
        <v>200000</v>
      </c>
      <c r="AG1079">
        <v>16666.666666666668</v>
      </c>
      <c r="AH1079">
        <v>1</v>
      </c>
      <c r="AI1079">
        <v>1</v>
      </c>
      <c r="AJ1079" t="s">
        <v>162</v>
      </c>
      <c r="AK1079" t="s">
        <v>176</v>
      </c>
      <c r="AL1079">
        <v>0</v>
      </c>
      <c r="AM1079" t="s">
        <v>176</v>
      </c>
      <c r="AN1079">
        <v>0</v>
      </c>
    </row>
    <row r="1080" spans="1:40" x14ac:dyDescent="0.15">
      <c r="A1080" s="4" t="str">
        <f>HYPERLINK("https://ibp.a2mac1.com/costing(costing:projects/details/9760/process/12085788)","Injection molding")</f>
        <v>Injection molding</v>
      </c>
      <c r="C1080">
        <v>12085788</v>
      </c>
      <c r="D1080">
        <v>8416376</v>
      </c>
      <c r="E1080">
        <v>0.13966732500000001</v>
      </c>
      <c r="F1080">
        <v>0</v>
      </c>
      <c r="G1080">
        <v>0</v>
      </c>
      <c r="H1080">
        <v>7.0848788421052635E-4</v>
      </c>
      <c r="I1080" t="s">
        <v>176</v>
      </c>
      <c r="J1080">
        <v>4.9006078947368423E-3</v>
      </c>
      <c r="K1080">
        <v>0.14527642077894737</v>
      </c>
      <c r="L1080">
        <v>2.3211601582674491E-3</v>
      </c>
      <c r="M1080">
        <v>1.3926960949604694E-2</v>
      </c>
      <c r="N1080">
        <v>0.15920338172855206</v>
      </c>
      <c r="O1080" t="s">
        <v>90</v>
      </c>
      <c r="P1080">
        <v>0</v>
      </c>
      <c r="Q1080" t="s">
        <v>90</v>
      </c>
      <c r="R1080">
        <v>0</v>
      </c>
      <c r="S1080" t="s">
        <v>90</v>
      </c>
      <c r="T1080">
        <v>0</v>
      </c>
      <c r="U1080">
        <v>0.15920338172855206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60</v>
      </c>
      <c r="AB1080">
        <v>1</v>
      </c>
      <c r="AC1080">
        <v>0.5</v>
      </c>
      <c r="AD1080">
        <v>0.50345253019720215</v>
      </c>
      <c r="AE1080">
        <v>135</v>
      </c>
      <c r="AF1080">
        <v>200000</v>
      </c>
      <c r="AG1080">
        <v>16666.666666666668</v>
      </c>
      <c r="AH1080">
        <v>1</v>
      </c>
      <c r="AI1080">
        <v>1</v>
      </c>
      <c r="AJ1080" t="s">
        <v>162</v>
      </c>
      <c r="AK1080" t="s">
        <v>176</v>
      </c>
      <c r="AL1080">
        <v>0</v>
      </c>
      <c r="AM1080" t="s">
        <v>176</v>
      </c>
      <c r="AN1080">
        <v>0</v>
      </c>
    </row>
    <row r="1081" spans="1:40" x14ac:dyDescent="0.15">
      <c r="A1081" s="4" t="str">
        <f>HYPERLINK("https://ibp.a2mac1.com/costing(costing:projects/details/9760/process/12085789)","Injection molding")</f>
        <v>Injection molding</v>
      </c>
      <c r="C1081">
        <v>12085789</v>
      </c>
      <c r="D1081">
        <v>8416377</v>
      </c>
      <c r="E1081">
        <v>1.7132685631578947E-2</v>
      </c>
      <c r="F1081">
        <v>0</v>
      </c>
      <c r="G1081">
        <v>0</v>
      </c>
      <c r="H1081">
        <v>8.8011562736842105E-5</v>
      </c>
      <c r="I1081" t="s">
        <v>176</v>
      </c>
      <c r="J1081">
        <v>6.0877563157894733E-4</v>
      </c>
      <c r="K1081">
        <v>1.7829472825894737E-2</v>
      </c>
      <c r="L1081">
        <v>3.0171767124431421E-4</v>
      </c>
      <c r="M1081">
        <v>1.8103060274658853E-3</v>
      </c>
      <c r="N1081">
        <v>1.9639778853360622E-2</v>
      </c>
      <c r="O1081" t="s">
        <v>90</v>
      </c>
      <c r="P1081">
        <v>0</v>
      </c>
      <c r="Q1081" t="s">
        <v>90</v>
      </c>
      <c r="R1081">
        <v>0</v>
      </c>
      <c r="S1081" t="s">
        <v>90</v>
      </c>
      <c r="T1081">
        <v>0</v>
      </c>
      <c r="U1081">
        <v>1.9639778853360622E-2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60</v>
      </c>
      <c r="AB1081">
        <v>1</v>
      </c>
      <c r="AC1081">
        <v>0.5</v>
      </c>
      <c r="AD1081">
        <v>0.50345253019720215</v>
      </c>
      <c r="AE1081">
        <v>17.55</v>
      </c>
      <c r="AF1081">
        <v>200000</v>
      </c>
      <c r="AG1081">
        <v>16666.666666666668</v>
      </c>
      <c r="AH1081">
        <v>1</v>
      </c>
      <c r="AI1081">
        <v>1</v>
      </c>
      <c r="AJ1081" t="s">
        <v>162</v>
      </c>
      <c r="AK1081" t="s">
        <v>176</v>
      </c>
      <c r="AL1081">
        <v>0</v>
      </c>
      <c r="AM1081" t="s">
        <v>176</v>
      </c>
      <c r="AN1081">
        <v>0</v>
      </c>
    </row>
    <row r="1082" spans="1:40" x14ac:dyDescent="0.15">
      <c r="A1082" s="4" t="str">
        <f>HYPERLINK("https://ibp.a2mac1.com/costing(costing:projects/details/9760/process/12085790)","Injection molding")</f>
        <v>Injection molding</v>
      </c>
      <c r="C1082">
        <v>12085790</v>
      </c>
      <c r="D1082">
        <v>8416378</v>
      </c>
      <c r="E1082">
        <v>7.5157319999999998E-3</v>
      </c>
      <c r="F1082">
        <v>0</v>
      </c>
      <c r="G1082">
        <v>0</v>
      </c>
      <c r="H1082">
        <v>3.8124916210526314E-5</v>
      </c>
      <c r="I1082" t="s">
        <v>176</v>
      </c>
      <c r="J1082">
        <v>2.6370989473684212E-4</v>
      </c>
      <c r="K1082">
        <v>7.817566810947368E-3</v>
      </c>
      <c r="L1082">
        <v>1.8567124068331081E-4</v>
      </c>
      <c r="M1082">
        <v>1.1140274440998648E-3</v>
      </c>
      <c r="N1082">
        <v>8.9315942550472326E-3</v>
      </c>
      <c r="O1082" t="s">
        <v>90</v>
      </c>
      <c r="P1082">
        <v>0</v>
      </c>
      <c r="Q1082" t="s">
        <v>90</v>
      </c>
      <c r="R1082">
        <v>0</v>
      </c>
      <c r="S1082" t="s">
        <v>90</v>
      </c>
      <c r="T1082">
        <v>0</v>
      </c>
      <c r="U1082">
        <v>8.9315942550472326E-3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60</v>
      </c>
      <c r="AB1082">
        <v>1</v>
      </c>
      <c r="AC1082">
        <v>0.5</v>
      </c>
      <c r="AD1082">
        <v>0.50345253019720215</v>
      </c>
      <c r="AE1082">
        <v>10.8</v>
      </c>
      <c r="AF1082">
        <v>200000</v>
      </c>
      <c r="AG1082">
        <v>16666.666666666668</v>
      </c>
      <c r="AH1082">
        <v>1</v>
      </c>
      <c r="AI1082">
        <v>1</v>
      </c>
      <c r="AJ1082" t="s">
        <v>162</v>
      </c>
      <c r="AK1082" t="s">
        <v>176</v>
      </c>
      <c r="AL1082">
        <v>0</v>
      </c>
      <c r="AM1082" t="s">
        <v>176</v>
      </c>
      <c r="AN1082">
        <v>0</v>
      </c>
    </row>
    <row r="1083" spans="1:40" x14ac:dyDescent="0.15">
      <c r="A1083" s="4" t="str">
        <f>HYPERLINK("https://ibp.a2mac1.com/costing(costing:projects/details/9760/process/12085791)","Injection molding")</f>
        <v>Injection molding</v>
      </c>
      <c r="C1083">
        <v>12085791</v>
      </c>
      <c r="D1083">
        <v>8416379</v>
      </c>
      <c r="E1083">
        <v>1.3178988947368421E-2</v>
      </c>
      <c r="F1083">
        <v>0</v>
      </c>
      <c r="G1083">
        <v>0</v>
      </c>
      <c r="H1083">
        <v>6.7701202105263156E-5</v>
      </c>
      <c r="I1083" t="s">
        <v>176</v>
      </c>
      <c r="J1083">
        <v>4.6828894736842104E-4</v>
      </c>
      <c r="K1083">
        <v>1.3714979096842106E-2</v>
      </c>
      <c r="L1083">
        <v>2.3208963704919518E-4</v>
      </c>
      <c r="M1083">
        <v>1.3925378222951711E-3</v>
      </c>
      <c r="N1083">
        <v>1.5107516919137276E-2</v>
      </c>
      <c r="O1083" t="s">
        <v>90</v>
      </c>
      <c r="P1083">
        <v>0</v>
      </c>
      <c r="Q1083" t="s">
        <v>90</v>
      </c>
      <c r="R1083">
        <v>0</v>
      </c>
      <c r="S1083" t="s">
        <v>90</v>
      </c>
      <c r="T1083">
        <v>0</v>
      </c>
      <c r="U1083">
        <v>1.5107516919137276E-2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60</v>
      </c>
      <c r="AB1083">
        <v>1</v>
      </c>
      <c r="AC1083">
        <v>0.5</v>
      </c>
      <c r="AD1083">
        <v>0.50345253019720215</v>
      </c>
      <c r="AE1083">
        <v>13.5</v>
      </c>
      <c r="AF1083">
        <v>200000</v>
      </c>
      <c r="AG1083">
        <v>16666.666666666668</v>
      </c>
      <c r="AH1083">
        <v>1</v>
      </c>
      <c r="AI1083">
        <v>1</v>
      </c>
      <c r="AJ1083" t="s">
        <v>162</v>
      </c>
      <c r="AK1083" t="s">
        <v>176</v>
      </c>
      <c r="AL1083">
        <v>0</v>
      </c>
      <c r="AM1083" t="s">
        <v>176</v>
      </c>
      <c r="AN1083">
        <v>0</v>
      </c>
    </row>
    <row r="1084" spans="1:40" x14ac:dyDescent="0.15">
      <c r="A1084" s="4" t="str">
        <f>HYPERLINK("https://ibp.a2mac1.com/costing(costing:projects/details/9760/process/12085792)","Injection molding")</f>
        <v>Injection molding</v>
      </c>
      <c r="C1084">
        <v>12085792</v>
      </c>
      <c r="D1084">
        <v>8416381</v>
      </c>
      <c r="E1084">
        <v>4.7486890499999997E-2</v>
      </c>
      <c r="F1084">
        <v>0</v>
      </c>
      <c r="G1084">
        <v>0</v>
      </c>
      <c r="H1084">
        <v>2.4088588063157895E-4</v>
      </c>
      <c r="I1084" t="s">
        <v>176</v>
      </c>
      <c r="J1084">
        <v>1.6662066842105263E-3</v>
      </c>
      <c r="K1084">
        <v>4.9393983064842106E-2</v>
      </c>
      <c r="L1084">
        <v>3.9455587084421894E-4</v>
      </c>
      <c r="M1084">
        <v>2.3673352250653135E-3</v>
      </c>
      <c r="N1084">
        <v>5.1761318289907418E-2</v>
      </c>
      <c r="O1084" t="s">
        <v>90</v>
      </c>
      <c r="P1084">
        <v>0</v>
      </c>
      <c r="Q1084" t="s">
        <v>90</v>
      </c>
      <c r="R1084">
        <v>0</v>
      </c>
      <c r="S1084" t="s">
        <v>90</v>
      </c>
      <c r="T1084">
        <v>0</v>
      </c>
      <c r="U1084">
        <v>5.1761318289907418E-2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60</v>
      </c>
      <c r="AB1084">
        <v>1</v>
      </c>
      <c r="AC1084">
        <v>0.5</v>
      </c>
      <c r="AD1084">
        <v>0.50345253019720215</v>
      </c>
      <c r="AE1084">
        <v>22.95</v>
      </c>
      <c r="AF1084">
        <v>200000</v>
      </c>
      <c r="AG1084">
        <v>16666.666666666668</v>
      </c>
      <c r="AH1084">
        <v>1</v>
      </c>
      <c r="AI1084">
        <v>1</v>
      </c>
      <c r="AJ1084" t="s">
        <v>162</v>
      </c>
      <c r="AK1084" t="s">
        <v>176</v>
      </c>
      <c r="AL1084">
        <v>0</v>
      </c>
      <c r="AM1084" t="s">
        <v>176</v>
      </c>
      <c r="AN1084">
        <v>0</v>
      </c>
    </row>
    <row r="1085" spans="1:40" x14ac:dyDescent="0.15">
      <c r="A1085" s="4" t="str">
        <f>HYPERLINK("https://ibp.a2mac1.com/costing(costing:projects/details/9760/process/12085794)","Injection molding")</f>
        <v>Injection molding</v>
      </c>
      <c r="C1085">
        <v>12085794</v>
      </c>
      <c r="D1085">
        <v>8416383</v>
      </c>
      <c r="E1085">
        <v>6.6556066499999997E-2</v>
      </c>
      <c r="F1085">
        <v>0</v>
      </c>
      <c r="G1085">
        <v>0</v>
      </c>
      <c r="H1085">
        <v>3.3761774084210529E-4</v>
      </c>
      <c r="I1085" t="s">
        <v>176</v>
      </c>
      <c r="J1085">
        <v>2.3353005789473686E-3</v>
      </c>
      <c r="K1085">
        <v>6.922898481978948E-2</v>
      </c>
      <c r="L1085">
        <v>1.531899933371159E-3</v>
      </c>
      <c r="M1085">
        <v>9.1913996002269543E-3</v>
      </c>
      <c r="N1085">
        <v>7.8420384420016434E-2</v>
      </c>
      <c r="O1085" t="s">
        <v>90</v>
      </c>
      <c r="P1085">
        <v>0</v>
      </c>
      <c r="Q1085" t="s">
        <v>90</v>
      </c>
      <c r="R1085">
        <v>0</v>
      </c>
      <c r="S1085" t="s">
        <v>90</v>
      </c>
      <c r="T1085">
        <v>0</v>
      </c>
      <c r="U1085">
        <v>7.8420384420016434E-2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60</v>
      </c>
      <c r="AB1085">
        <v>1</v>
      </c>
      <c r="AC1085">
        <v>0.5</v>
      </c>
      <c r="AD1085">
        <v>0.50345253019720215</v>
      </c>
      <c r="AE1085">
        <v>89.1</v>
      </c>
      <c r="AF1085">
        <v>200000</v>
      </c>
      <c r="AG1085">
        <v>16666.666666666668</v>
      </c>
      <c r="AH1085">
        <v>1</v>
      </c>
      <c r="AI1085">
        <v>1</v>
      </c>
      <c r="AJ1085" t="s">
        <v>162</v>
      </c>
      <c r="AK1085" t="s">
        <v>176</v>
      </c>
      <c r="AL1085">
        <v>0</v>
      </c>
      <c r="AM1085" t="s">
        <v>176</v>
      </c>
      <c r="AN1085">
        <v>0</v>
      </c>
    </row>
    <row r="1086" spans="1:40" x14ac:dyDescent="0.15">
      <c r="A1086" s="4" t="str">
        <f>HYPERLINK("https://ibp.a2mac1.com/costing(costing:projects/details/9760/process/12085796)","Injection molding")</f>
        <v>Injection molding</v>
      </c>
      <c r="C1086">
        <v>12085796</v>
      </c>
      <c r="D1086">
        <v>8416385</v>
      </c>
      <c r="E1086">
        <v>1.5133104E-2</v>
      </c>
      <c r="F1086">
        <v>0</v>
      </c>
      <c r="G1086">
        <v>0</v>
      </c>
      <c r="H1086">
        <v>7.6765419789473678E-5</v>
      </c>
      <c r="I1086" t="s">
        <v>176</v>
      </c>
      <c r="J1086">
        <v>5.3098610526315789E-4</v>
      </c>
      <c r="K1086">
        <v>1.5740855525052631E-2</v>
      </c>
      <c r="L1086">
        <v>2.7850826789310219E-4</v>
      </c>
      <c r="M1086">
        <v>1.6710496073586132E-3</v>
      </c>
      <c r="N1086">
        <v>1.7411905132411244E-2</v>
      </c>
      <c r="O1086" t="s">
        <v>177</v>
      </c>
      <c r="P1086">
        <v>9.4445133150315795E-4</v>
      </c>
      <c r="Q1086" t="s">
        <v>177</v>
      </c>
      <c r="R1086">
        <v>1.0026297644151679E-4</v>
      </c>
      <c r="S1086" t="s">
        <v>178</v>
      </c>
      <c r="T1086">
        <v>2.0894286158893494E-3</v>
      </c>
      <c r="U1086">
        <v>2.054604805624527E-2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60</v>
      </c>
      <c r="AB1086">
        <v>1</v>
      </c>
      <c r="AC1086">
        <v>0.5</v>
      </c>
      <c r="AD1086">
        <v>0.50345253019720215</v>
      </c>
      <c r="AE1086">
        <v>16.2</v>
      </c>
      <c r="AF1086">
        <v>200000</v>
      </c>
      <c r="AG1086">
        <v>16666.666666666668</v>
      </c>
      <c r="AH1086">
        <v>1</v>
      </c>
      <c r="AI1086">
        <v>1</v>
      </c>
      <c r="AJ1086" t="s">
        <v>162</v>
      </c>
      <c r="AK1086" t="s">
        <v>176</v>
      </c>
      <c r="AL1086">
        <v>0</v>
      </c>
      <c r="AM1086" t="s">
        <v>176</v>
      </c>
      <c r="AN1086">
        <v>0</v>
      </c>
    </row>
    <row r="1087" spans="1:40" x14ac:dyDescent="0.15">
      <c r="A1087" s="4" t="str">
        <f>HYPERLINK("https://ibp.a2mac1.com/costing(costing:projects/details/9760/process/12085799)","Injection molding")</f>
        <v>Injection molding</v>
      </c>
      <c r="B1087" t="s">
        <v>5275</v>
      </c>
      <c r="C1087">
        <v>12085799</v>
      </c>
      <c r="D1087">
        <v>8416387</v>
      </c>
      <c r="E1087">
        <v>0.2861677324226804</v>
      </c>
      <c r="F1087">
        <v>0</v>
      </c>
      <c r="G1087">
        <v>0</v>
      </c>
      <c r="H1087">
        <v>8.8272069690721654E-4</v>
      </c>
      <c r="I1087" t="s">
        <v>176</v>
      </c>
      <c r="J1087">
        <v>1.0030917010309278E-2</v>
      </c>
      <c r="K1087">
        <v>0.29708137012989688</v>
      </c>
      <c r="L1087">
        <v>1.5144689297013134E-2</v>
      </c>
      <c r="M1087">
        <v>9.0868135782078807E-2</v>
      </c>
      <c r="N1087">
        <v>0.38794950591197569</v>
      </c>
      <c r="O1087" t="s">
        <v>90</v>
      </c>
      <c r="P1087">
        <v>0</v>
      </c>
      <c r="Q1087" t="s">
        <v>90</v>
      </c>
      <c r="R1087">
        <v>0</v>
      </c>
      <c r="S1087" t="s">
        <v>90</v>
      </c>
      <c r="T1087">
        <v>0</v>
      </c>
      <c r="U1087">
        <v>0.38794950591197569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29.568680000000001</v>
      </c>
      <c r="AB1087">
        <v>1</v>
      </c>
      <c r="AC1087">
        <v>0.1</v>
      </c>
      <c r="AD1087">
        <v>0.30705427283965386</v>
      </c>
      <c r="AE1087">
        <v>7200</v>
      </c>
      <c r="AF1087">
        <v>200000</v>
      </c>
      <c r="AG1087">
        <v>16666.666666666668</v>
      </c>
      <c r="AH1087">
        <v>1</v>
      </c>
      <c r="AI1087">
        <v>1</v>
      </c>
      <c r="AJ1087" t="s">
        <v>162</v>
      </c>
      <c r="AK1087" t="s">
        <v>176</v>
      </c>
      <c r="AL1087">
        <v>0</v>
      </c>
      <c r="AM1087" t="s">
        <v>176</v>
      </c>
      <c r="AN1087">
        <v>0</v>
      </c>
    </row>
    <row r="1088" spans="1:40" x14ac:dyDescent="0.15">
      <c r="A1088" s="4" t="str">
        <f>HYPERLINK("https://ibp.a2mac1.com/costing(costing:projects/details/9760/process/12085798)","Painting")</f>
        <v>Painting</v>
      </c>
      <c r="B1088" t="s">
        <v>5228</v>
      </c>
      <c r="C1088">
        <v>12085798</v>
      </c>
      <c r="D1088">
        <v>8416387</v>
      </c>
      <c r="E1088">
        <v>0.3</v>
      </c>
      <c r="F1088">
        <v>0</v>
      </c>
      <c r="G1088">
        <v>0</v>
      </c>
      <c r="H1088">
        <v>6.1799999999999995E-4</v>
      </c>
      <c r="I1088" t="s">
        <v>176</v>
      </c>
      <c r="J1088">
        <v>1.0500000000000001E-2</v>
      </c>
      <c r="K1088">
        <v>0.31111800000000001</v>
      </c>
      <c r="L1088">
        <v>0.12748297809988446</v>
      </c>
      <c r="M1088">
        <v>0.76489786859930675</v>
      </c>
      <c r="N1088">
        <v>1.0760158685993069</v>
      </c>
      <c r="O1088" t="s">
        <v>90</v>
      </c>
      <c r="P1088">
        <v>0</v>
      </c>
      <c r="Q1088" t="s">
        <v>90</v>
      </c>
      <c r="R1088">
        <v>0</v>
      </c>
      <c r="S1088" t="s">
        <v>90</v>
      </c>
      <c r="T1088">
        <v>0</v>
      </c>
      <c r="U1088">
        <v>1.0760158685993069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3.76</v>
      </c>
      <c r="AB1088">
        <v>1</v>
      </c>
      <c r="AC1088">
        <v>0.1</v>
      </c>
      <c r="AD1088">
        <v>0.20557651238448796</v>
      </c>
      <c r="AE1088">
        <v>0</v>
      </c>
      <c r="AF1088">
        <v>200000</v>
      </c>
      <c r="AG1088">
        <v>16666.666666666668</v>
      </c>
      <c r="AH1088">
        <v>1</v>
      </c>
      <c r="AI1088">
        <v>1</v>
      </c>
      <c r="AJ1088" t="s">
        <v>162</v>
      </c>
      <c r="AK1088" t="s">
        <v>176</v>
      </c>
      <c r="AL1088">
        <v>0</v>
      </c>
      <c r="AM1088" t="s">
        <v>176</v>
      </c>
      <c r="AN1088">
        <v>0</v>
      </c>
    </row>
    <row r="1089" spans="1:40" x14ac:dyDescent="0.15">
      <c r="A1089" s="4" t="str">
        <f>HYPERLINK("https://ibp.a2mac1.com/costing(costing:projects/details/9760/process/12085797)","Handling and Packaging")</f>
        <v>Handling and Packaging</v>
      </c>
      <c r="C1089">
        <v>12085797</v>
      </c>
      <c r="D1089">
        <v>8416387</v>
      </c>
      <c r="E1089">
        <v>0</v>
      </c>
      <c r="F1089">
        <v>0</v>
      </c>
      <c r="G1089">
        <v>0</v>
      </c>
      <c r="H1089">
        <v>0</v>
      </c>
      <c r="I1089" t="s">
        <v>176</v>
      </c>
      <c r="J1089">
        <v>0</v>
      </c>
      <c r="K1089">
        <v>0</v>
      </c>
      <c r="L1089">
        <v>1.754507709714289E-2</v>
      </c>
      <c r="M1089">
        <v>0.10527046258285734</v>
      </c>
      <c r="N1089">
        <v>0.10527046258285734</v>
      </c>
      <c r="O1089" t="s">
        <v>90</v>
      </c>
      <c r="P1089">
        <v>0</v>
      </c>
      <c r="Q1089" t="s">
        <v>90</v>
      </c>
      <c r="R1089">
        <v>0</v>
      </c>
      <c r="S1089" t="s">
        <v>90</v>
      </c>
      <c r="T1089">
        <v>0</v>
      </c>
      <c r="U1089">
        <v>0.10527046258285734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60</v>
      </c>
      <c r="AB1089">
        <v>1</v>
      </c>
      <c r="AC1089">
        <v>0.1</v>
      </c>
      <c r="AD1089">
        <v>0.10389195236953569</v>
      </c>
      <c r="AE1089">
        <v>900</v>
      </c>
      <c r="AF1089">
        <v>200000</v>
      </c>
      <c r="AG1089">
        <v>16666.666666666668</v>
      </c>
      <c r="AH1089">
        <v>1</v>
      </c>
      <c r="AI1089">
        <v>1</v>
      </c>
      <c r="AJ1089" t="s">
        <v>162</v>
      </c>
      <c r="AK1089" t="s">
        <v>176</v>
      </c>
      <c r="AL1089">
        <v>0</v>
      </c>
      <c r="AM1089" t="s">
        <v>176</v>
      </c>
      <c r="AN1089">
        <v>0</v>
      </c>
    </row>
    <row r="1090" spans="1:40" x14ac:dyDescent="0.15">
      <c r="A1090" s="4" t="str">
        <f>HYPERLINK("https://ibp.a2mac1.com/costing(costing:projects/details/9760/process/12085348)","Assembly")</f>
        <v>Assembly</v>
      </c>
      <c r="C1090">
        <v>12085348</v>
      </c>
      <c r="D1090">
        <v>8416039</v>
      </c>
      <c r="E1090">
        <v>0</v>
      </c>
      <c r="F1090">
        <v>0</v>
      </c>
      <c r="G1090">
        <v>0</v>
      </c>
      <c r="H1090">
        <v>0</v>
      </c>
      <c r="I1090" t="s">
        <v>176</v>
      </c>
      <c r="J1090">
        <v>0</v>
      </c>
      <c r="K1090">
        <v>0</v>
      </c>
      <c r="L1090">
        <v>4.3891336015534119E-2</v>
      </c>
      <c r="M1090">
        <v>0.26334801609320468</v>
      </c>
      <c r="N1090">
        <v>0.26334801609320468</v>
      </c>
      <c r="O1090" t="s">
        <v>90</v>
      </c>
      <c r="P1090">
        <v>0</v>
      </c>
      <c r="Q1090" t="s">
        <v>90</v>
      </c>
      <c r="R1090">
        <v>0</v>
      </c>
      <c r="S1090" t="s">
        <v>90</v>
      </c>
      <c r="T1090">
        <v>0</v>
      </c>
      <c r="U1090">
        <v>0.26334801609320468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150</v>
      </c>
      <c r="AB1090">
        <v>1</v>
      </c>
      <c r="AC1090">
        <v>0.1</v>
      </c>
      <c r="AD1090">
        <v>0.10987913295375087</v>
      </c>
      <c r="AE1090">
        <v>600</v>
      </c>
      <c r="AF1090">
        <v>200000</v>
      </c>
      <c r="AG1090">
        <v>10000</v>
      </c>
      <c r="AH1090">
        <v>1</v>
      </c>
      <c r="AI1090">
        <v>1</v>
      </c>
      <c r="AJ1090" t="s">
        <v>76</v>
      </c>
      <c r="AK1090" t="s">
        <v>176</v>
      </c>
      <c r="AL1090">
        <v>0</v>
      </c>
      <c r="AM1090" t="s">
        <v>176</v>
      </c>
      <c r="AN1090">
        <v>0</v>
      </c>
    </row>
    <row r="1091" spans="1:40" x14ac:dyDescent="0.15">
      <c r="A1091" s="4" t="str">
        <f>HYPERLINK("https://ibp.a2mac1.com/costing(costing:projects/details/9760/process/12085345)","Injection molding")</f>
        <v>Injection molding</v>
      </c>
      <c r="C1091">
        <v>12085345</v>
      </c>
      <c r="D1091">
        <v>8416036</v>
      </c>
      <c r="E1091">
        <v>2.1273829500000001E-2</v>
      </c>
      <c r="F1091">
        <v>0</v>
      </c>
      <c r="G1091">
        <v>0</v>
      </c>
      <c r="H1091">
        <v>1.0791536568421053E-4</v>
      </c>
      <c r="I1091" t="s">
        <v>176</v>
      </c>
      <c r="J1091">
        <v>7.4645015789473685E-4</v>
      </c>
      <c r="K1091">
        <v>2.2128195023578948E-2</v>
      </c>
      <c r="L1091">
        <v>5.1060493928297736E-4</v>
      </c>
      <c r="M1091">
        <v>3.0636296356978637E-3</v>
      </c>
      <c r="N1091">
        <v>2.5191824659276812E-2</v>
      </c>
      <c r="O1091" t="s">
        <v>90</v>
      </c>
      <c r="P1091">
        <v>0</v>
      </c>
      <c r="Q1091" t="s">
        <v>90</v>
      </c>
      <c r="R1091">
        <v>0</v>
      </c>
      <c r="S1091" t="s">
        <v>90</v>
      </c>
      <c r="T1091">
        <v>0</v>
      </c>
      <c r="U1091">
        <v>2.5191824659276812E-2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60</v>
      </c>
      <c r="AB1091">
        <v>1</v>
      </c>
      <c r="AC1091">
        <v>0.5</v>
      </c>
      <c r="AD1091">
        <v>0.50345253019720215</v>
      </c>
      <c r="AE1091">
        <v>29.7</v>
      </c>
      <c r="AF1091">
        <v>200000</v>
      </c>
      <c r="AG1091">
        <v>16666.666666666668</v>
      </c>
      <c r="AH1091">
        <v>1</v>
      </c>
      <c r="AI1091">
        <v>1</v>
      </c>
      <c r="AJ1091" t="s">
        <v>162</v>
      </c>
      <c r="AK1091" t="s">
        <v>176</v>
      </c>
      <c r="AL1091">
        <v>0</v>
      </c>
      <c r="AM1091" t="s">
        <v>176</v>
      </c>
      <c r="AN1091">
        <v>0</v>
      </c>
    </row>
    <row r="1092" spans="1:40" x14ac:dyDescent="0.15">
      <c r="A1092" s="4" t="str">
        <f>HYPERLINK("https://ibp.a2mac1.com/costing(costing:projects/details/9760/process/12085346)","Press")</f>
        <v>Press</v>
      </c>
      <c r="C1092">
        <v>12085346</v>
      </c>
      <c r="D1092">
        <v>8416037</v>
      </c>
      <c r="E1092">
        <v>2.6737153608247422E-3</v>
      </c>
      <c r="F1092">
        <v>0</v>
      </c>
      <c r="G1092">
        <v>0</v>
      </c>
      <c r="H1092">
        <v>5.4679286597938147E-5</v>
      </c>
      <c r="I1092" t="s">
        <v>176</v>
      </c>
      <c r="J1092">
        <v>9.3720618556701035E-5</v>
      </c>
      <c r="K1092">
        <v>2.8221152659793814E-3</v>
      </c>
      <c r="L1092">
        <v>3.0381864284564599E-2</v>
      </c>
      <c r="M1092">
        <v>0.18229118570738759</v>
      </c>
      <c r="N1092">
        <v>0.18511330097336698</v>
      </c>
      <c r="O1092" t="s">
        <v>90</v>
      </c>
      <c r="P1092">
        <v>0</v>
      </c>
      <c r="Q1092" t="s">
        <v>90</v>
      </c>
      <c r="R1092">
        <v>0</v>
      </c>
      <c r="S1092" t="s">
        <v>90</v>
      </c>
      <c r="T1092">
        <v>0</v>
      </c>
      <c r="U1092">
        <v>0.18511330097336698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120</v>
      </c>
      <c r="AB1092">
        <v>3</v>
      </c>
      <c r="AC1092">
        <v>1</v>
      </c>
      <c r="AD1092">
        <v>2.001136786813273</v>
      </c>
      <c r="AE1092">
        <v>3600</v>
      </c>
      <c r="AF1092">
        <v>200000</v>
      </c>
      <c r="AG1092">
        <v>16666.666666666668</v>
      </c>
      <c r="AH1092">
        <v>1</v>
      </c>
      <c r="AI1092">
        <v>1</v>
      </c>
      <c r="AJ1092" t="s">
        <v>162</v>
      </c>
      <c r="AK1092" t="s">
        <v>176</v>
      </c>
      <c r="AL1092">
        <v>0</v>
      </c>
      <c r="AM1092" t="s">
        <v>176</v>
      </c>
      <c r="AN1092">
        <v>0</v>
      </c>
    </row>
    <row r="1093" spans="1:40" x14ac:dyDescent="0.15">
      <c r="A1093" s="4" t="str">
        <f>HYPERLINK("https://ibp.a2mac1.com/costing(costing:projects/details/9760/process/12085347)","Steam facility")</f>
        <v>Steam facility</v>
      </c>
      <c r="C1093">
        <v>12085347</v>
      </c>
      <c r="D1093">
        <v>8416037</v>
      </c>
      <c r="E1093">
        <v>0</v>
      </c>
      <c r="F1093">
        <v>0</v>
      </c>
      <c r="G1093">
        <v>0</v>
      </c>
      <c r="H1093">
        <v>0</v>
      </c>
      <c r="I1093" t="s">
        <v>176</v>
      </c>
      <c r="J1093">
        <v>0</v>
      </c>
      <c r="K1093">
        <v>0</v>
      </c>
      <c r="L1093">
        <v>7.469096004452671E-4</v>
      </c>
      <c r="M1093">
        <v>4.4814576026716022E-3</v>
      </c>
      <c r="N1093">
        <v>4.4814576026716022E-3</v>
      </c>
      <c r="O1093" t="s">
        <v>90</v>
      </c>
      <c r="P1093">
        <v>0</v>
      </c>
      <c r="Q1093" t="s">
        <v>90</v>
      </c>
      <c r="R1093">
        <v>0</v>
      </c>
      <c r="S1093" t="s">
        <v>90</v>
      </c>
      <c r="T1093">
        <v>0</v>
      </c>
      <c r="U1093">
        <v>4.4814576026716022E-3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20</v>
      </c>
      <c r="AB1093">
        <v>36</v>
      </c>
      <c r="AC1093">
        <v>1</v>
      </c>
      <c r="AD1093">
        <v>1.0057812623742775</v>
      </c>
      <c r="AE1093">
        <v>3600</v>
      </c>
      <c r="AF1093">
        <v>200000</v>
      </c>
      <c r="AG1093">
        <v>16666.666666666668</v>
      </c>
      <c r="AH1093">
        <v>1</v>
      </c>
      <c r="AI1093">
        <v>1</v>
      </c>
      <c r="AJ1093" t="s">
        <v>162</v>
      </c>
      <c r="AK1093" t="s">
        <v>176</v>
      </c>
      <c r="AL1093">
        <v>0</v>
      </c>
      <c r="AM1093" t="s">
        <v>176</v>
      </c>
      <c r="AN1093">
        <v>0</v>
      </c>
    </row>
    <row r="1094" spans="1:40" x14ac:dyDescent="0.15">
      <c r="A1094" s="4" t="str">
        <f>HYPERLINK("https://ibp.a2mac1.com/costing(costing:projects/details/9760/process/12085349)","Injection molding")</f>
        <v>Injection molding</v>
      </c>
      <c r="B1094" t="s">
        <v>6880</v>
      </c>
      <c r="C1094">
        <v>12085349</v>
      </c>
      <c r="D1094">
        <v>8416041</v>
      </c>
      <c r="E1094">
        <v>1.6523466226804125E-2</v>
      </c>
      <c r="F1094">
        <v>0</v>
      </c>
      <c r="G1094">
        <v>0</v>
      </c>
      <c r="H1094">
        <v>1.7210220206185568E-5</v>
      </c>
      <c r="I1094" t="s">
        <v>176</v>
      </c>
      <c r="J1094">
        <v>5.7919010309278349E-4</v>
      </c>
      <c r="K1094">
        <v>1.7119866550103092E-2</v>
      </c>
      <c r="L1094">
        <v>2.1890851026443729E-3</v>
      </c>
      <c r="M1094">
        <v>1.3134510615866238E-2</v>
      </c>
      <c r="N1094">
        <v>3.0254377165969331E-2</v>
      </c>
      <c r="O1094" t="s">
        <v>177</v>
      </c>
      <c r="P1094">
        <v>1.0271919930061855E-3</v>
      </c>
      <c r="Q1094" t="s">
        <v>177</v>
      </c>
      <c r="R1094">
        <v>7.8807063695197422E-4</v>
      </c>
      <c r="S1094" t="s">
        <v>178</v>
      </c>
      <c r="T1094">
        <v>3.6305252599163197E-3</v>
      </c>
      <c r="U1094">
        <v>3.5700165055843808E-2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19.487639999999999</v>
      </c>
      <c r="AB1094">
        <v>4</v>
      </c>
      <c r="AC1094">
        <v>0.1</v>
      </c>
      <c r="AD1094">
        <v>0.10389195236953569</v>
      </c>
      <c r="AE1094">
        <v>7200</v>
      </c>
      <c r="AF1094">
        <v>200000</v>
      </c>
      <c r="AG1094">
        <v>16666.666666666668</v>
      </c>
      <c r="AH1094">
        <v>1</v>
      </c>
      <c r="AI1094">
        <v>1</v>
      </c>
      <c r="AJ1094" t="s">
        <v>162</v>
      </c>
      <c r="AK1094" t="s">
        <v>176</v>
      </c>
      <c r="AL1094">
        <v>0</v>
      </c>
      <c r="AM1094" t="s">
        <v>176</v>
      </c>
      <c r="AN1094">
        <v>0</v>
      </c>
    </row>
    <row r="1095" spans="1:40" x14ac:dyDescent="0.15">
      <c r="A1095" s="4" t="str">
        <f>HYPERLINK("https://ibp.a2mac1.com/costing(costing:projects/details/9760/process/12085111)","Thermocompression")</f>
        <v>Thermocompression</v>
      </c>
      <c r="C1095">
        <v>12085111</v>
      </c>
      <c r="D1095">
        <v>8415688</v>
      </c>
      <c r="E1095">
        <v>0.13214344375000001</v>
      </c>
      <c r="F1095">
        <v>0</v>
      </c>
      <c r="G1095">
        <v>0</v>
      </c>
      <c r="H1095">
        <v>2.772051875E-4</v>
      </c>
      <c r="I1095" t="s">
        <v>176</v>
      </c>
      <c r="J1095">
        <v>4.709796875E-3</v>
      </c>
      <c r="K1095">
        <v>0.1371304458125</v>
      </c>
      <c r="L1095">
        <v>2.5741114367713785E-2</v>
      </c>
      <c r="M1095">
        <v>0.15444668620628271</v>
      </c>
      <c r="N1095">
        <v>0.29157713201878271</v>
      </c>
      <c r="O1095" t="s">
        <v>177</v>
      </c>
      <c r="P1095">
        <v>8.2278267487500001E-3</v>
      </c>
      <c r="Q1095" t="s">
        <v>177</v>
      </c>
      <c r="R1095">
        <v>9.2668011723769615E-3</v>
      </c>
      <c r="S1095" t="s">
        <v>178</v>
      </c>
      <c r="T1095">
        <v>3.4989255842253923E-2</v>
      </c>
      <c r="U1095">
        <v>0.34406101578216358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20</v>
      </c>
      <c r="AB1095">
        <v>1</v>
      </c>
      <c r="AC1095">
        <v>0.1</v>
      </c>
      <c r="AD1095">
        <v>0.20557651238448796</v>
      </c>
      <c r="AE1095">
        <v>1800</v>
      </c>
      <c r="AF1095">
        <v>200000</v>
      </c>
      <c r="AG1095">
        <v>16666.666666666668</v>
      </c>
      <c r="AH1095">
        <v>1</v>
      </c>
      <c r="AI1095">
        <v>1</v>
      </c>
      <c r="AJ1095" t="s">
        <v>162</v>
      </c>
      <c r="AK1095" t="s">
        <v>176</v>
      </c>
      <c r="AL1095">
        <v>0</v>
      </c>
      <c r="AM1095" t="s">
        <v>176</v>
      </c>
      <c r="AN1095">
        <v>0</v>
      </c>
    </row>
    <row r="1096" spans="1:40" x14ac:dyDescent="0.15">
      <c r="A1096" s="4" t="str">
        <f>HYPERLINK("https://ibp.a2mac1.com/costing(costing:projects/details/9760/process/12085112)","Placement sheet")</f>
        <v>Placement sheet</v>
      </c>
      <c r="C1096">
        <v>12085112</v>
      </c>
      <c r="D1096">
        <v>8415688</v>
      </c>
      <c r="E1096">
        <v>0</v>
      </c>
      <c r="F1096">
        <v>0</v>
      </c>
      <c r="G1096">
        <v>0</v>
      </c>
      <c r="H1096">
        <v>0</v>
      </c>
      <c r="I1096" t="s">
        <v>176</v>
      </c>
      <c r="J1096">
        <v>0</v>
      </c>
      <c r="K1096">
        <v>0</v>
      </c>
      <c r="L1096">
        <v>1.1081676585198606E-3</v>
      </c>
      <c r="M1096">
        <v>6.6490059511191638E-3</v>
      </c>
      <c r="N1096">
        <v>6.6490059511191638E-3</v>
      </c>
      <c r="O1096" t="s">
        <v>177</v>
      </c>
      <c r="P1096">
        <v>0</v>
      </c>
      <c r="Q1096" t="s">
        <v>177</v>
      </c>
      <c r="R1096">
        <v>3.989403570671498E-4</v>
      </c>
      <c r="S1096" t="s">
        <v>178</v>
      </c>
      <c r="T1096">
        <v>7.978807141342996E-4</v>
      </c>
      <c r="U1096">
        <v>7.8458270223206138E-3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5</v>
      </c>
      <c r="AB1096">
        <v>1</v>
      </c>
      <c r="AC1096">
        <v>0.1</v>
      </c>
      <c r="AD1096">
        <v>0.10389195236953569</v>
      </c>
      <c r="AE1096">
        <v>3600</v>
      </c>
      <c r="AF1096">
        <v>200000</v>
      </c>
      <c r="AG1096">
        <v>16666.666666666668</v>
      </c>
      <c r="AH1096">
        <v>1</v>
      </c>
      <c r="AI1096">
        <v>1</v>
      </c>
      <c r="AJ1096" t="s">
        <v>162</v>
      </c>
      <c r="AK1096" t="s">
        <v>176</v>
      </c>
      <c r="AL1096">
        <v>0</v>
      </c>
      <c r="AM1096" t="s">
        <v>176</v>
      </c>
      <c r="AN1096">
        <v>0</v>
      </c>
    </row>
    <row r="1097" spans="1:40" x14ac:dyDescent="0.15">
      <c r="A1097" s="4" t="str">
        <f>HYPERLINK("https://ibp.a2mac1.com/costing(costing:projects/details/9760/process/12085066)","Assembly")</f>
        <v>Assembly</v>
      </c>
      <c r="C1097">
        <v>12085066</v>
      </c>
      <c r="D1097">
        <v>8415587</v>
      </c>
      <c r="E1097">
        <v>0</v>
      </c>
      <c r="F1097">
        <v>0</v>
      </c>
      <c r="G1097">
        <v>0</v>
      </c>
      <c r="H1097">
        <v>0</v>
      </c>
      <c r="I1097" t="s">
        <v>90</v>
      </c>
      <c r="J1097">
        <v>0</v>
      </c>
      <c r="K1097">
        <v>0</v>
      </c>
      <c r="L1097">
        <v>0</v>
      </c>
      <c r="M1097">
        <v>0.6579133898279117</v>
      </c>
      <c r="N1097">
        <v>0.6579133898279117</v>
      </c>
      <c r="O1097" t="s">
        <v>90</v>
      </c>
      <c r="P1097">
        <v>0</v>
      </c>
      <c r="Q1097" t="s">
        <v>90</v>
      </c>
      <c r="R1097">
        <v>0</v>
      </c>
      <c r="S1097" t="s">
        <v>90</v>
      </c>
      <c r="T1097">
        <v>0</v>
      </c>
      <c r="U1097">
        <v>0.6579133898279117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450</v>
      </c>
      <c r="AB1097">
        <v>1</v>
      </c>
      <c r="AC1097">
        <v>0.1</v>
      </c>
      <c r="AD1097">
        <v>0.10987913295375087</v>
      </c>
      <c r="AE1097">
        <v>600</v>
      </c>
      <c r="AF1097">
        <v>200000</v>
      </c>
      <c r="AG1097">
        <v>10000</v>
      </c>
      <c r="AH1097">
        <v>1</v>
      </c>
      <c r="AI1097">
        <v>1</v>
      </c>
      <c r="AJ1097" t="s">
        <v>76</v>
      </c>
      <c r="AK1097" t="s">
        <v>90</v>
      </c>
      <c r="AL1097">
        <v>0</v>
      </c>
      <c r="AM1097" t="s">
        <v>90</v>
      </c>
      <c r="AN1097">
        <v>0</v>
      </c>
    </row>
    <row r="1098" spans="1:40" x14ac:dyDescent="0.15">
      <c r="A1098" s="4" t="str">
        <f>HYPERLINK("https://ibp.a2mac1.com/costing(costing:projects/details/9760/process/12085113)","Automated Process")</f>
        <v>Automated Process</v>
      </c>
      <c r="B1098" t="s">
        <v>4235</v>
      </c>
      <c r="C1098">
        <v>12085113</v>
      </c>
      <c r="D1098">
        <v>8415691</v>
      </c>
      <c r="E1098">
        <v>3.135939177</v>
      </c>
      <c r="F1098">
        <v>0</v>
      </c>
      <c r="G1098">
        <v>0</v>
      </c>
      <c r="H1098">
        <v>1.5907621288842107E-2</v>
      </c>
      <c r="I1098" t="s">
        <v>176</v>
      </c>
      <c r="J1098">
        <v>0.11003295357894737</v>
      </c>
      <c r="K1098">
        <v>3.2618797518677893</v>
      </c>
      <c r="L1098">
        <v>0.25314219611942046</v>
      </c>
      <c r="M1098">
        <v>1.518853176716523</v>
      </c>
      <c r="N1098">
        <v>4.7807329285843121</v>
      </c>
      <c r="O1098" t="s">
        <v>177</v>
      </c>
      <c r="P1098">
        <v>0.19571278511206736</v>
      </c>
      <c r="Q1098" t="s">
        <v>177</v>
      </c>
      <c r="R1098">
        <v>9.1131190602991366E-2</v>
      </c>
      <c r="S1098" t="s">
        <v>178</v>
      </c>
      <c r="T1098">
        <v>0.57368795143011753</v>
      </c>
      <c r="U1098">
        <v>5.6412648557294887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142</v>
      </c>
      <c r="AB1098">
        <v>1</v>
      </c>
      <c r="AC1098">
        <v>0.5</v>
      </c>
      <c r="AD1098">
        <v>0.50345253019720215</v>
      </c>
      <c r="AE1098">
        <v>10800</v>
      </c>
      <c r="AF1098">
        <v>200000</v>
      </c>
      <c r="AG1098">
        <v>16666.666666666668</v>
      </c>
      <c r="AH1098">
        <v>1</v>
      </c>
      <c r="AI1098">
        <v>1</v>
      </c>
      <c r="AJ1098" t="s">
        <v>162</v>
      </c>
      <c r="AK1098" t="s">
        <v>176</v>
      </c>
      <c r="AL1098">
        <v>0</v>
      </c>
      <c r="AM1098" t="s">
        <v>176</v>
      </c>
      <c r="AN1098">
        <v>0</v>
      </c>
    </row>
    <row r="1099" spans="1:40" x14ac:dyDescent="0.15">
      <c r="A1099" s="4" t="str">
        <f>HYPERLINK("https://ibp.a2mac1.com/costing(costing:projects/details/9760/process/12085114)","Automated Process")</f>
        <v>Automated Process</v>
      </c>
      <c r="B1099" t="s">
        <v>4235</v>
      </c>
      <c r="C1099">
        <v>12085114</v>
      </c>
      <c r="D1099">
        <v>8415692</v>
      </c>
      <c r="E1099">
        <v>3.634688925E-2</v>
      </c>
      <c r="F1099">
        <v>0</v>
      </c>
      <c r="G1099">
        <v>0</v>
      </c>
      <c r="H1099">
        <v>1.8437620010526315E-4</v>
      </c>
      <c r="I1099" t="s">
        <v>176</v>
      </c>
      <c r="J1099">
        <v>1.2753294473684211E-3</v>
      </c>
      <c r="K1099">
        <v>3.7806594897473685E-2</v>
      </c>
      <c r="L1099">
        <v>5.8904736909203177E-3</v>
      </c>
      <c r="M1099">
        <v>3.5342842145521906E-2</v>
      </c>
      <c r="N1099">
        <v>7.3149437042995591E-2</v>
      </c>
      <c r="O1099" t="s">
        <v>177</v>
      </c>
      <c r="P1099">
        <v>2.2683956938484209E-3</v>
      </c>
      <c r="Q1099" t="s">
        <v>177</v>
      </c>
      <c r="R1099">
        <v>2.1205705287313144E-3</v>
      </c>
      <c r="S1099" t="s">
        <v>178</v>
      </c>
      <c r="T1099">
        <v>8.7779324451594705E-3</v>
      </c>
      <c r="U1099">
        <v>8.6316335710734798E-2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</v>
      </c>
      <c r="AB1099">
        <v>1</v>
      </c>
      <c r="AC1099">
        <v>0.5</v>
      </c>
      <c r="AD1099">
        <v>0.50345253019720215</v>
      </c>
      <c r="AE1099">
        <v>10800</v>
      </c>
      <c r="AF1099">
        <v>200000</v>
      </c>
      <c r="AG1099">
        <v>16666.666666666668</v>
      </c>
      <c r="AH1099">
        <v>1</v>
      </c>
      <c r="AI1099">
        <v>1</v>
      </c>
      <c r="AJ1099" t="s">
        <v>162</v>
      </c>
      <c r="AK1099" t="s">
        <v>176</v>
      </c>
      <c r="AL1099">
        <v>0</v>
      </c>
      <c r="AM1099" t="s">
        <v>176</v>
      </c>
      <c r="AN1099">
        <v>0</v>
      </c>
    </row>
    <row r="1100" spans="1:40" x14ac:dyDescent="0.15">
      <c r="A1100" s="4" t="str">
        <f>HYPERLINK("https://ibp.a2mac1.com/costing(costing:projects/details/9760/process/12085115)","Automated Process")</f>
        <v>Automated Process</v>
      </c>
      <c r="B1100" t="s">
        <v>4235</v>
      </c>
      <c r="C1100">
        <v>12085115</v>
      </c>
      <c r="D1100">
        <v>8415693</v>
      </c>
      <c r="E1100">
        <v>3.634688925E-2</v>
      </c>
      <c r="F1100">
        <v>0</v>
      </c>
      <c r="G1100">
        <v>0</v>
      </c>
      <c r="H1100">
        <v>1.8437620010526315E-4</v>
      </c>
      <c r="I1100" t="s">
        <v>176</v>
      </c>
      <c r="J1100">
        <v>1.2753294473684211E-3</v>
      </c>
      <c r="K1100">
        <v>3.7806594897473685E-2</v>
      </c>
      <c r="L1100">
        <v>5.8904736909203177E-3</v>
      </c>
      <c r="M1100">
        <v>3.5342842145521906E-2</v>
      </c>
      <c r="N1100">
        <v>7.3149437042995591E-2</v>
      </c>
      <c r="O1100" t="s">
        <v>177</v>
      </c>
      <c r="P1100">
        <v>2.2683956938484209E-3</v>
      </c>
      <c r="Q1100" t="s">
        <v>177</v>
      </c>
      <c r="R1100">
        <v>2.1205705287313144E-3</v>
      </c>
      <c r="S1100" t="s">
        <v>178</v>
      </c>
      <c r="T1100">
        <v>8.7779324451594705E-3</v>
      </c>
      <c r="U1100">
        <v>8.6316335710734798E-2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2</v>
      </c>
      <c r="AB1100">
        <v>1</v>
      </c>
      <c r="AC1100">
        <v>0.5</v>
      </c>
      <c r="AD1100">
        <v>0.50345253019720215</v>
      </c>
      <c r="AE1100">
        <v>10800</v>
      </c>
      <c r="AF1100">
        <v>200000</v>
      </c>
      <c r="AG1100">
        <v>16666.666666666668</v>
      </c>
      <c r="AH1100">
        <v>1</v>
      </c>
      <c r="AI1100">
        <v>1</v>
      </c>
      <c r="AJ1100" t="s">
        <v>162</v>
      </c>
      <c r="AK1100" t="s">
        <v>176</v>
      </c>
      <c r="AL1100">
        <v>0</v>
      </c>
      <c r="AM1100" t="s">
        <v>176</v>
      </c>
      <c r="AN1100">
        <v>0</v>
      </c>
    </row>
    <row r="1101" spans="1:40" x14ac:dyDescent="0.15">
      <c r="A1101" s="4" t="str">
        <f>HYPERLINK("https://ibp.a2mac1.com/costing(costing:projects/details/9760/process/12085116)","Automated Process")</f>
        <v>Automated Process</v>
      </c>
      <c r="B1101" t="s">
        <v>4235</v>
      </c>
      <c r="C1101">
        <v>12085116</v>
      </c>
      <c r="D1101">
        <v>8415694</v>
      </c>
      <c r="E1101">
        <v>3.757866E-2</v>
      </c>
      <c r="F1101">
        <v>0</v>
      </c>
      <c r="G1101">
        <v>0</v>
      </c>
      <c r="H1101">
        <v>1.9062458105263157E-4</v>
      </c>
      <c r="I1101" t="s">
        <v>176</v>
      </c>
      <c r="J1101">
        <v>1.3185494736842106E-3</v>
      </c>
      <c r="K1101">
        <v>3.9087834054736842E-2</v>
      </c>
      <c r="L1101">
        <v>5.8904736909203177E-3</v>
      </c>
      <c r="M1101">
        <v>3.5342842145521906E-2</v>
      </c>
      <c r="N1101">
        <v>7.4430676200258741E-2</v>
      </c>
      <c r="O1101" t="s">
        <v>177</v>
      </c>
      <c r="P1101">
        <v>2.3452700432842104E-3</v>
      </c>
      <c r="Q1101" t="s">
        <v>177</v>
      </c>
      <c r="R1101">
        <v>2.1205705287313144E-3</v>
      </c>
      <c r="S1101" t="s">
        <v>178</v>
      </c>
      <c r="T1101">
        <v>8.9316811440310496E-3</v>
      </c>
      <c r="U1101">
        <v>8.782819791630532E-2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2</v>
      </c>
      <c r="AB1101">
        <v>1</v>
      </c>
      <c r="AC1101">
        <v>0.5</v>
      </c>
      <c r="AD1101">
        <v>0.50345253019720215</v>
      </c>
      <c r="AE1101">
        <v>10800</v>
      </c>
      <c r="AF1101">
        <v>200000</v>
      </c>
      <c r="AG1101">
        <v>16666.666666666668</v>
      </c>
      <c r="AH1101">
        <v>1</v>
      </c>
      <c r="AI1101">
        <v>1</v>
      </c>
      <c r="AJ1101" t="s">
        <v>162</v>
      </c>
      <c r="AK1101" t="s">
        <v>176</v>
      </c>
      <c r="AL1101">
        <v>0</v>
      </c>
      <c r="AM1101" t="s">
        <v>176</v>
      </c>
      <c r="AN1101">
        <v>0</v>
      </c>
    </row>
    <row r="1102" spans="1:40" x14ac:dyDescent="0.15">
      <c r="A1102" s="4" t="str">
        <f>HYPERLINK("https://ibp.a2mac1.com/costing(costing:projects/details/9760/process/12085117)","Automated Process")</f>
        <v>Automated Process</v>
      </c>
      <c r="B1102" t="s">
        <v>4235</v>
      </c>
      <c r="C1102">
        <v>12085117</v>
      </c>
      <c r="D1102">
        <v>8415695</v>
      </c>
      <c r="E1102">
        <v>0.27173626725</v>
      </c>
      <c r="F1102">
        <v>0</v>
      </c>
      <c r="G1102">
        <v>0</v>
      </c>
      <c r="H1102">
        <v>1.3784315912631578E-3</v>
      </c>
      <c r="I1102" t="s">
        <v>176</v>
      </c>
      <c r="J1102">
        <v>9.5346058684210519E-3</v>
      </c>
      <c r="K1102">
        <v>0.28264930470968419</v>
      </c>
      <c r="L1102">
        <v>2.5317394738873903E-2</v>
      </c>
      <c r="M1102">
        <v>0.1519043684332434</v>
      </c>
      <c r="N1102">
        <v>0.43455367314292764</v>
      </c>
      <c r="O1102" t="s">
        <v>177</v>
      </c>
      <c r="P1102">
        <v>1.6958958282581052E-2</v>
      </c>
      <c r="Q1102" t="s">
        <v>177</v>
      </c>
      <c r="R1102">
        <v>9.1142621059946052E-3</v>
      </c>
      <c r="S1102" t="s">
        <v>178</v>
      </c>
      <c r="T1102">
        <v>5.2146440777151311E-2</v>
      </c>
      <c r="U1102">
        <v>0.51277333430865457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13</v>
      </c>
      <c r="AB1102">
        <v>1</v>
      </c>
      <c r="AC1102">
        <v>0.5</v>
      </c>
      <c r="AD1102">
        <v>0.50345253019720215</v>
      </c>
      <c r="AE1102">
        <v>10800</v>
      </c>
      <c r="AF1102">
        <v>200000</v>
      </c>
      <c r="AG1102">
        <v>16666.666666666668</v>
      </c>
      <c r="AH1102">
        <v>1</v>
      </c>
      <c r="AI1102">
        <v>1</v>
      </c>
      <c r="AJ1102" t="s">
        <v>162</v>
      </c>
      <c r="AK1102" t="s">
        <v>176</v>
      </c>
      <c r="AL1102">
        <v>0</v>
      </c>
      <c r="AM1102" t="s">
        <v>176</v>
      </c>
      <c r="AN1102">
        <v>0</v>
      </c>
    </row>
    <row r="1103" spans="1:40" x14ac:dyDescent="0.15">
      <c r="A1103" s="4" t="str">
        <f>HYPERLINK("https://ibp.a2mac1.com/costing(costing:projects/details/9760/process/12085118)","Automated Process")</f>
        <v>Automated Process</v>
      </c>
      <c r="B1103" t="s">
        <v>4235</v>
      </c>
      <c r="C1103">
        <v>12085118</v>
      </c>
      <c r="D1103">
        <v>8415696</v>
      </c>
      <c r="E1103">
        <v>0.26827465875000001</v>
      </c>
      <c r="F1103">
        <v>0</v>
      </c>
      <c r="G1103">
        <v>0</v>
      </c>
      <c r="H1103">
        <v>1.3608719531578947E-3</v>
      </c>
      <c r="I1103" t="s">
        <v>176</v>
      </c>
      <c r="J1103">
        <v>9.4131459210526312E-3</v>
      </c>
      <c r="K1103">
        <v>0.27904867662421051</v>
      </c>
      <c r="L1103">
        <v>2.5317394738873903E-2</v>
      </c>
      <c r="M1103">
        <v>0.1519043684332434</v>
      </c>
      <c r="N1103">
        <v>0.43095304505745391</v>
      </c>
      <c r="O1103" t="s">
        <v>177</v>
      </c>
      <c r="P1103">
        <v>1.674292059745263E-2</v>
      </c>
      <c r="Q1103" t="s">
        <v>177</v>
      </c>
      <c r="R1103">
        <v>9.1142621059946052E-3</v>
      </c>
      <c r="S1103" t="s">
        <v>178</v>
      </c>
      <c r="T1103">
        <v>5.1714365406894475E-2</v>
      </c>
      <c r="U1103">
        <v>0.50852459316779564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13</v>
      </c>
      <c r="AB1103">
        <v>1</v>
      </c>
      <c r="AC1103">
        <v>0.5</v>
      </c>
      <c r="AD1103">
        <v>0.50345253019720215</v>
      </c>
      <c r="AE1103">
        <v>10800</v>
      </c>
      <c r="AF1103">
        <v>200000</v>
      </c>
      <c r="AG1103">
        <v>16666.666666666668</v>
      </c>
      <c r="AH1103">
        <v>1</v>
      </c>
      <c r="AI1103">
        <v>1</v>
      </c>
      <c r="AJ1103" t="s">
        <v>162</v>
      </c>
      <c r="AK1103" t="s">
        <v>176</v>
      </c>
      <c r="AL1103">
        <v>0</v>
      </c>
      <c r="AM1103" t="s">
        <v>176</v>
      </c>
      <c r="AN1103">
        <v>0</v>
      </c>
    </row>
    <row r="1104" spans="1:40" x14ac:dyDescent="0.15">
      <c r="A1104" s="4" t="str">
        <f>HYPERLINK("https://ibp.a2mac1.com/costing(costing:projects/details/9760/process/12085350)","Process")</f>
        <v>Process</v>
      </c>
      <c r="B1104" t="s">
        <v>360</v>
      </c>
      <c r="C1104">
        <v>12085350</v>
      </c>
      <c r="D1104">
        <v>8416044</v>
      </c>
      <c r="E1104">
        <v>0</v>
      </c>
      <c r="F1104">
        <v>0</v>
      </c>
      <c r="G1104">
        <v>0</v>
      </c>
      <c r="H1104">
        <v>0</v>
      </c>
      <c r="I1104" t="s">
        <v>176</v>
      </c>
      <c r="J1104">
        <v>0</v>
      </c>
      <c r="K1104">
        <v>0</v>
      </c>
      <c r="L1104">
        <v>0.12798817794841477</v>
      </c>
      <c r="M1104">
        <v>0.4479586228194517</v>
      </c>
      <c r="N1104">
        <v>0.4479586228194517</v>
      </c>
      <c r="O1104" t="s">
        <v>90</v>
      </c>
      <c r="P1104">
        <v>0</v>
      </c>
      <c r="Q1104" t="s">
        <v>90</v>
      </c>
      <c r="R1104">
        <v>0</v>
      </c>
      <c r="S1104" t="s">
        <v>90</v>
      </c>
      <c r="T1104">
        <v>0</v>
      </c>
      <c r="U1104">
        <v>0.4479586228194517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59</v>
      </c>
      <c r="AB1104">
        <v>1</v>
      </c>
      <c r="AC1104">
        <v>0</v>
      </c>
      <c r="AD1104">
        <v>0</v>
      </c>
      <c r="AE1104">
        <v>216</v>
      </c>
      <c r="AF1104">
        <v>200000</v>
      </c>
      <c r="AG1104">
        <v>10000</v>
      </c>
      <c r="AH1104">
        <v>1</v>
      </c>
      <c r="AI1104">
        <v>1</v>
      </c>
      <c r="AJ1104" t="s">
        <v>76</v>
      </c>
      <c r="AK1104" t="s">
        <v>176</v>
      </c>
      <c r="AL1104">
        <v>0</v>
      </c>
      <c r="AM1104" t="s">
        <v>176</v>
      </c>
      <c r="AN1104">
        <v>0</v>
      </c>
    </row>
    <row r="1105" spans="1:40" x14ac:dyDescent="0.15">
      <c r="A1105" s="4" t="str">
        <f>HYPERLINK("https://ibp.a2mac1.com/costing(costing:projects/details/9760/process/12085119)","Process")</f>
        <v>Process</v>
      </c>
      <c r="B1105" t="s">
        <v>360</v>
      </c>
      <c r="C1105">
        <v>12085119</v>
      </c>
      <c r="D1105">
        <v>8415698</v>
      </c>
      <c r="E1105">
        <v>0</v>
      </c>
      <c r="F1105">
        <v>0</v>
      </c>
      <c r="G1105">
        <v>0</v>
      </c>
      <c r="H1105">
        <v>0</v>
      </c>
      <c r="I1105" t="s">
        <v>176</v>
      </c>
      <c r="J1105">
        <v>0</v>
      </c>
      <c r="K1105">
        <v>0</v>
      </c>
      <c r="L1105">
        <v>4.4477474560559956E-2</v>
      </c>
      <c r="M1105">
        <v>0.26686484736335975</v>
      </c>
      <c r="N1105">
        <v>0.26686484736335975</v>
      </c>
      <c r="O1105" t="s">
        <v>90</v>
      </c>
      <c r="P1105">
        <v>0</v>
      </c>
      <c r="Q1105" t="s">
        <v>90</v>
      </c>
      <c r="R1105">
        <v>0</v>
      </c>
      <c r="S1105" t="s">
        <v>90</v>
      </c>
      <c r="T1105">
        <v>0</v>
      </c>
      <c r="U1105">
        <v>0.26686484736335975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41</v>
      </c>
      <c r="AB1105">
        <v>1</v>
      </c>
      <c r="AC1105">
        <v>0</v>
      </c>
      <c r="AD1105">
        <v>0</v>
      </c>
      <c r="AE1105">
        <v>216</v>
      </c>
      <c r="AF1105">
        <v>200000</v>
      </c>
      <c r="AG1105">
        <v>10000</v>
      </c>
      <c r="AH1105">
        <v>1</v>
      </c>
      <c r="AI1105">
        <v>1</v>
      </c>
      <c r="AJ1105" t="s">
        <v>76</v>
      </c>
      <c r="AK1105" t="s">
        <v>176</v>
      </c>
      <c r="AL1105">
        <v>0</v>
      </c>
      <c r="AM1105" t="s">
        <v>176</v>
      </c>
      <c r="AN1105">
        <v>0</v>
      </c>
    </row>
    <row r="1106" spans="1:40" x14ac:dyDescent="0.15">
      <c r="A1106" s="4" t="str">
        <f>HYPERLINK("https://ibp.a2mac1.com/costing(costing:projects/details/9760/process/12085120)","Automated Process")</f>
        <v>Automated Process</v>
      </c>
      <c r="B1106" t="s">
        <v>4526</v>
      </c>
      <c r="C1106">
        <v>12085120</v>
      </c>
      <c r="D1106">
        <v>8415699</v>
      </c>
      <c r="E1106">
        <v>0.82523366099999995</v>
      </c>
      <c r="F1106">
        <v>0</v>
      </c>
      <c r="G1106">
        <v>0</v>
      </c>
      <c r="H1106">
        <v>4.1861476938947371E-3</v>
      </c>
      <c r="I1106" t="s">
        <v>176</v>
      </c>
      <c r="J1106">
        <v>2.8955567052631578E-2</v>
      </c>
      <c r="K1106">
        <v>0.85837537574652634</v>
      </c>
      <c r="L1106">
        <v>4.8276483250091776E-2</v>
      </c>
      <c r="M1106">
        <v>0.28965889950055063</v>
      </c>
      <c r="N1106">
        <v>1.1480342752470769</v>
      </c>
      <c r="O1106" t="s">
        <v>177</v>
      </c>
      <c r="P1106">
        <v>5.1502522544791582E-2</v>
      </c>
      <c r="Q1106" t="s">
        <v>177</v>
      </c>
      <c r="R1106">
        <v>1.7379533970033039E-2</v>
      </c>
      <c r="S1106" t="s">
        <v>178</v>
      </c>
      <c r="T1106">
        <v>0.13776411302964922</v>
      </c>
      <c r="U1106">
        <v>1.3546804447915508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26</v>
      </c>
      <c r="AB1106">
        <v>1</v>
      </c>
      <c r="AC1106">
        <v>0.5</v>
      </c>
      <c r="AD1106">
        <v>0.50345253019720215</v>
      </c>
      <c r="AE1106">
        <v>10800</v>
      </c>
      <c r="AF1106">
        <v>200000</v>
      </c>
      <c r="AG1106">
        <v>16666.666666666668</v>
      </c>
      <c r="AH1106">
        <v>1</v>
      </c>
      <c r="AI1106">
        <v>1</v>
      </c>
      <c r="AJ1106" t="s">
        <v>162</v>
      </c>
      <c r="AK1106" t="s">
        <v>176</v>
      </c>
      <c r="AL1106">
        <v>0</v>
      </c>
      <c r="AM1106" t="s">
        <v>176</v>
      </c>
      <c r="AN1106">
        <v>0</v>
      </c>
    </row>
    <row r="1107" spans="1:40" x14ac:dyDescent="0.15">
      <c r="A1107" s="4" t="str">
        <f>HYPERLINK("https://ibp.a2mac1.com/costing(costing:projects/details/9760/process/12085121)","Automated Process")</f>
        <v>Automated Process</v>
      </c>
      <c r="B1107" t="s">
        <v>4526</v>
      </c>
      <c r="C1107">
        <v>12085121</v>
      </c>
      <c r="D1107">
        <v>8415700</v>
      </c>
      <c r="E1107">
        <v>0.82523366099999995</v>
      </c>
      <c r="F1107">
        <v>0</v>
      </c>
      <c r="G1107">
        <v>0</v>
      </c>
      <c r="H1107">
        <v>4.1861476938947371E-3</v>
      </c>
      <c r="I1107" t="s">
        <v>176</v>
      </c>
      <c r="J1107">
        <v>2.8955567052631578E-2</v>
      </c>
      <c r="K1107">
        <v>0.85837537574652634</v>
      </c>
      <c r="L1107">
        <v>4.8276483250091776E-2</v>
      </c>
      <c r="M1107">
        <v>0.28965889950055063</v>
      </c>
      <c r="N1107">
        <v>1.1480342752470769</v>
      </c>
      <c r="O1107" t="s">
        <v>177</v>
      </c>
      <c r="P1107">
        <v>5.1502522544791582E-2</v>
      </c>
      <c r="Q1107" t="s">
        <v>177</v>
      </c>
      <c r="R1107">
        <v>1.7379533970033039E-2</v>
      </c>
      <c r="S1107" t="s">
        <v>178</v>
      </c>
      <c r="T1107">
        <v>0.13776411302964922</v>
      </c>
      <c r="U1107">
        <v>1.3546804447915508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26</v>
      </c>
      <c r="AB1107">
        <v>1</v>
      </c>
      <c r="AC1107">
        <v>0.5</v>
      </c>
      <c r="AD1107">
        <v>0.50345253019720215</v>
      </c>
      <c r="AE1107">
        <v>10800</v>
      </c>
      <c r="AF1107">
        <v>200000</v>
      </c>
      <c r="AG1107">
        <v>16666.666666666668</v>
      </c>
      <c r="AH1107">
        <v>1</v>
      </c>
      <c r="AI1107">
        <v>1</v>
      </c>
      <c r="AJ1107" t="s">
        <v>162</v>
      </c>
      <c r="AK1107" t="s">
        <v>176</v>
      </c>
      <c r="AL1107">
        <v>0</v>
      </c>
      <c r="AM1107" t="s">
        <v>176</v>
      </c>
      <c r="AN1107">
        <v>0</v>
      </c>
    </row>
    <row r="1108" spans="1:40" x14ac:dyDescent="0.15">
      <c r="A1108" s="4" t="str">
        <f>HYPERLINK("https://ibp.a2mac1.com/costing(costing:projects/details/9760/process/12085122)","Aluminum extrusion")</f>
        <v>Aluminum extrusion</v>
      </c>
      <c r="C1108">
        <v>12085122</v>
      </c>
      <c r="D1108">
        <v>8415701</v>
      </c>
      <c r="E1108">
        <v>1.0279103330643611</v>
      </c>
      <c r="F1108">
        <v>0</v>
      </c>
      <c r="G1108">
        <v>0</v>
      </c>
      <c r="H1108">
        <v>1.0560685717071496E-3</v>
      </c>
      <c r="I1108" t="s">
        <v>176</v>
      </c>
      <c r="J1108">
        <v>3.6596435653218053E-2</v>
      </c>
      <c r="K1108">
        <v>1.0655628372892862</v>
      </c>
      <c r="L1108">
        <v>0.21558933620380666</v>
      </c>
      <c r="M1108">
        <v>1.2935360172228398</v>
      </c>
      <c r="N1108">
        <v>2.3590988545121263</v>
      </c>
      <c r="O1108" t="s">
        <v>177</v>
      </c>
      <c r="P1108">
        <v>6.3933770237357176E-2</v>
      </c>
      <c r="Q1108" t="s">
        <v>177</v>
      </c>
      <c r="R1108">
        <v>7.7612161033370389E-2</v>
      </c>
      <c r="S1108" t="s">
        <v>178</v>
      </c>
      <c r="T1108">
        <v>0.28309186254145513</v>
      </c>
      <c r="U1108">
        <v>2.7837366483243091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19.646599999999999</v>
      </c>
      <c r="AB1108">
        <v>1</v>
      </c>
      <c r="AC1108">
        <v>0.1</v>
      </c>
      <c r="AD1108">
        <v>0.1008980929261446</v>
      </c>
      <c r="AE1108">
        <v>360</v>
      </c>
      <c r="AF1108">
        <v>400000</v>
      </c>
      <c r="AG1108">
        <v>33333.333333333336</v>
      </c>
      <c r="AH1108">
        <v>1</v>
      </c>
      <c r="AI1108">
        <v>1</v>
      </c>
      <c r="AJ1108" t="s">
        <v>162</v>
      </c>
      <c r="AK1108" t="s">
        <v>176</v>
      </c>
      <c r="AL1108">
        <v>0</v>
      </c>
      <c r="AM1108" t="s">
        <v>176</v>
      </c>
      <c r="AN1108">
        <v>0</v>
      </c>
    </row>
    <row r="1109" spans="1:40" x14ac:dyDescent="0.15">
      <c r="A1109" s="4" t="str">
        <f>HYPERLINK("https://ibp.a2mac1.com/costing(costing:projects/details/9760/process/12085123)","Injection molding")</f>
        <v>Injection molding</v>
      </c>
      <c r="B1109" t="s">
        <v>6953</v>
      </c>
      <c r="C1109">
        <v>12085123</v>
      </c>
      <c r="D1109">
        <v>8415702</v>
      </c>
      <c r="E1109">
        <v>2.2889457019329895</v>
      </c>
      <c r="F1109">
        <v>0</v>
      </c>
      <c r="G1109">
        <v>0</v>
      </c>
      <c r="H1109">
        <v>2.3840796494845359E-3</v>
      </c>
      <c r="I1109" t="s">
        <v>176</v>
      </c>
      <c r="J1109">
        <v>8.0233449742268037E-2</v>
      </c>
      <c r="K1109">
        <v>2.3715632313247421</v>
      </c>
      <c r="L1109">
        <v>0.11151541588452793</v>
      </c>
      <c r="M1109">
        <v>0.66909249530716752</v>
      </c>
      <c r="N1109">
        <v>3.0406557266319099</v>
      </c>
      <c r="O1109" t="s">
        <v>177</v>
      </c>
      <c r="P1109">
        <v>0.14229379387948454</v>
      </c>
      <c r="Q1109" t="s">
        <v>177</v>
      </c>
      <c r="R1109">
        <v>4.0145549718430054E-2</v>
      </c>
      <c r="S1109" t="s">
        <v>178</v>
      </c>
      <c r="T1109">
        <v>0.36487868719582917</v>
      </c>
      <c r="U1109">
        <v>3.5879737574256536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45.242939999999997</v>
      </c>
      <c r="AB1109">
        <v>1</v>
      </c>
      <c r="AC1109">
        <v>0.1</v>
      </c>
      <c r="AD1109">
        <v>0.10389195236953569</v>
      </c>
      <c r="AE1109">
        <v>18000</v>
      </c>
      <c r="AF1109">
        <v>200000</v>
      </c>
      <c r="AG1109">
        <v>16666.666666666668</v>
      </c>
      <c r="AH1109">
        <v>1</v>
      </c>
      <c r="AI1109">
        <v>1</v>
      </c>
      <c r="AJ1109" t="s">
        <v>162</v>
      </c>
      <c r="AK1109" t="s">
        <v>176</v>
      </c>
      <c r="AL1109">
        <v>0</v>
      </c>
      <c r="AM1109" t="s">
        <v>176</v>
      </c>
      <c r="AN1109">
        <v>0</v>
      </c>
    </row>
    <row r="1110" spans="1:40" x14ac:dyDescent="0.15">
      <c r="A1110" s="4" t="str">
        <f>HYPERLINK("https://ibp.a2mac1.com/costing(costing:projects/details/9760/process/12085124)","Seal Extrusion ")</f>
        <v xml:space="preserve">Seal Extrusion </v>
      </c>
      <c r="C1110">
        <v>12085124</v>
      </c>
      <c r="D1110">
        <v>8415703</v>
      </c>
      <c r="E1110">
        <v>1.1078728499999999E-2</v>
      </c>
      <c r="F1110">
        <v>0</v>
      </c>
      <c r="G1110">
        <v>0</v>
      </c>
      <c r="H1110">
        <v>1.1550754526315789E-5</v>
      </c>
      <c r="I1110" t="s">
        <v>176</v>
      </c>
      <c r="J1110">
        <v>3.8872731578947368E-4</v>
      </c>
      <c r="K1110">
        <v>1.1479006570315789E-2</v>
      </c>
      <c r="L1110">
        <v>1.251453650535788E-2</v>
      </c>
      <c r="M1110">
        <v>7.5087219032147282E-2</v>
      </c>
      <c r="N1110">
        <v>8.6566225602463076E-2</v>
      </c>
      <c r="O1110" t="s">
        <v>177</v>
      </c>
      <c r="P1110">
        <v>6.8874039421894739E-4</v>
      </c>
      <c r="Q1110" t="s">
        <v>177</v>
      </c>
      <c r="R1110">
        <v>4.5052331419288367E-3</v>
      </c>
      <c r="S1110" t="s">
        <v>178</v>
      </c>
      <c r="T1110">
        <v>1.0387947072295569E-2</v>
      </c>
      <c r="U1110">
        <v>0.10214814621090643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5</v>
      </c>
      <c r="AB1110">
        <v>1</v>
      </c>
      <c r="AC1110">
        <v>0.1</v>
      </c>
      <c r="AD1110">
        <v>0.10389195236953569</v>
      </c>
      <c r="AE1110">
        <v>1800</v>
      </c>
      <c r="AF1110">
        <v>200000</v>
      </c>
      <c r="AG1110">
        <v>16666.666666666668</v>
      </c>
      <c r="AH1110">
        <v>1</v>
      </c>
      <c r="AI1110">
        <v>1</v>
      </c>
      <c r="AJ1110" t="s">
        <v>162</v>
      </c>
      <c r="AK1110" t="s">
        <v>176</v>
      </c>
      <c r="AL1110">
        <v>0</v>
      </c>
      <c r="AM1110" t="s">
        <v>176</v>
      </c>
      <c r="AN1110">
        <v>0</v>
      </c>
    </row>
    <row r="1111" spans="1:40" x14ac:dyDescent="0.15">
      <c r="A1111" s="4" t="str">
        <f>HYPERLINK("https://ibp.a2mac1.com/costing(costing:projects/details/9760/process/12085125)","Seal Extrusion ")</f>
        <v xml:space="preserve">Seal Extrusion </v>
      </c>
      <c r="C1111">
        <v>12085125</v>
      </c>
      <c r="D1111">
        <v>8415704</v>
      </c>
      <c r="E1111">
        <v>1.1078728499999999E-2</v>
      </c>
      <c r="F1111">
        <v>0</v>
      </c>
      <c r="G1111">
        <v>0</v>
      </c>
      <c r="H1111">
        <v>1.1550754526315789E-5</v>
      </c>
      <c r="I1111" t="s">
        <v>176</v>
      </c>
      <c r="J1111">
        <v>3.8872731578947368E-4</v>
      </c>
      <c r="K1111">
        <v>1.1479006570315789E-2</v>
      </c>
      <c r="L1111">
        <v>1.251453650535788E-2</v>
      </c>
      <c r="M1111">
        <v>7.5087219032147282E-2</v>
      </c>
      <c r="N1111">
        <v>8.6566225602463076E-2</v>
      </c>
      <c r="O1111" t="s">
        <v>177</v>
      </c>
      <c r="P1111">
        <v>6.8874039421894739E-4</v>
      </c>
      <c r="Q1111" t="s">
        <v>177</v>
      </c>
      <c r="R1111">
        <v>4.5052331419288367E-3</v>
      </c>
      <c r="S1111" t="s">
        <v>178</v>
      </c>
      <c r="T1111">
        <v>1.0387947072295569E-2</v>
      </c>
      <c r="U1111">
        <v>0.10214814621090643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5</v>
      </c>
      <c r="AB1111">
        <v>1</v>
      </c>
      <c r="AC1111">
        <v>0.1</v>
      </c>
      <c r="AD1111">
        <v>0.10389195236953569</v>
      </c>
      <c r="AE1111">
        <v>1800</v>
      </c>
      <c r="AF1111">
        <v>200000</v>
      </c>
      <c r="AG1111">
        <v>16666.666666666668</v>
      </c>
      <c r="AH1111">
        <v>1</v>
      </c>
      <c r="AI1111">
        <v>1</v>
      </c>
      <c r="AJ1111" t="s">
        <v>162</v>
      </c>
      <c r="AK1111" t="s">
        <v>176</v>
      </c>
      <c r="AL1111">
        <v>0</v>
      </c>
      <c r="AM1111" t="s">
        <v>176</v>
      </c>
      <c r="AN1111">
        <v>0</v>
      </c>
    </row>
    <row r="1112" spans="1:40" x14ac:dyDescent="0.15">
      <c r="A1112" s="4" t="str">
        <f>HYPERLINK("https://ibp.a2mac1.com/costing(costing:projects/details/9760/process/12085126)","Injection molding")</f>
        <v>Injection molding</v>
      </c>
      <c r="B1112" t="s">
        <v>6969</v>
      </c>
      <c r="C1112">
        <v>12085126</v>
      </c>
      <c r="D1112">
        <v>8415707</v>
      </c>
      <c r="E1112">
        <v>8.0329530876288663E-2</v>
      </c>
      <c r="F1112">
        <v>0</v>
      </c>
      <c r="G1112">
        <v>0</v>
      </c>
      <c r="H1112">
        <v>8.3668214432989688E-5</v>
      </c>
      <c r="I1112" t="s">
        <v>176</v>
      </c>
      <c r="J1112">
        <v>2.8157572164948454E-3</v>
      </c>
      <c r="K1112">
        <v>8.3228956307216495E-2</v>
      </c>
      <c r="L1112">
        <v>7.1334272667520696E-3</v>
      </c>
      <c r="M1112">
        <v>4.2800563600512417E-2</v>
      </c>
      <c r="N1112">
        <v>0.12602951990772893</v>
      </c>
      <c r="O1112" t="s">
        <v>177</v>
      </c>
      <c r="P1112">
        <v>4.9937373784329896E-3</v>
      </c>
      <c r="Q1112" t="s">
        <v>177</v>
      </c>
      <c r="R1112">
        <v>2.5680338160307451E-3</v>
      </c>
      <c r="S1112" t="s">
        <v>178</v>
      </c>
      <c r="T1112">
        <v>1.512354238892747E-2</v>
      </c>
      <c r="U1112">
        <v>0.14871483349112011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15.832229999999999</v>
      </c>
      <c r="AB1112">
        <v>1</v>
      </c>
      <c r="AC1112">
        <v>0.1</v>
      </c>
      <c r="AD1112">
        <v>0.10389195236953569</v>
      </c>
      <c r="AE1112">
        <v>7200</v>
      </c>
      <c r="AF1112">
        <v>200000</v>
      </c>
      <c r="AG1112">
        <v>16666.666666666668</v>
      </c>
      <c r="AH1112">
        <v>1</v>
      </c>
      <c r="AI1112">
        <v>1</v>
      </c>
      <c r="AJ1112" t="s">
        <v>162</v>
      </c>
      <c r="AK1112" t="s">
        <v>176</v>
      </c>
      <c r="AL1112">
        <v>0</v>
      </c>
      <c r="AM1112" t="s">
        <v>176</v>
      </c>
      <c r="AN1112">
        <v>0</v>
      </c>
    </row>
    <row r="1113" spans="1:40" x14ac:dyDescent="0.15">
      <c r="A1113" s="4" t="str">
        <f>HYPERLINK("https://ibp.a2mac1.com/costing(costing:projects/details/9760/process/12085127)","Injection molding")</f>
        <v>Injection molding</v>
      </c>
      <c r="B1113" t="s">
        <v>6969</v>
      </c>
      <c r="C1113">
        <v>12085127</v>
      </c>
      <c r="D1113">
        <v>8415708</v>
      </c>
      <c r="E1113">
        <v>8.0329530876288663E-2</v>
      </c>
      <c r="F1113">
        <v>0</v>
      </c>
      <c r="G1113">
        <v>0</v>
      </c>
      <c r="H1113">
        <v>8.3668214432989688E-5</v>
      </c>
      <c r="I1113" t="s">
        <v>176</v>
      </c>
      <c r="J1113">
        <v>2.8157572164948454E-3</v>
      </c>
      <c r="K1113">
        <v>8.3228956307216495E-2</v>
      </c>
      <c r="L1113">
        <v>7.1334272667520696E-3</v>
      </c>
      <c r="M1113">
        <v>4.2800563600512417E-2</v>
      </c>
      <c r="N1113">
        <v>0.12602951990772893</v>
      </c>
      <c r="O1113" t="s">
        <v>177</v>
      </c>
      <c r="P1113">
        <v>4.9937373784329896E-3</v>
      </c>
      <c r="Q1113" t="s">
        <v>177</v>
      </c>
      <c r="R1113">
        <v>2.5680338160307451E-3</v>
      </c>
      <c r="S1113" t="s">
        <v>178</v>
      </c>
      <c r="T1113">
        <v>1.512354238892747E-2</v>
      </c>
      <c r="U1113">
        <v>0.14871483349112011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15.832229999999999</v>
      </c>
      <c r="AB1113">
        <v>1</v>
      </c>
      <c r="AC1113">
        <v>0.1</v>
      </c>
      <c r="AD1113">
        <v>0.10389195236953569</v>
      </c>
      <c r="AE1113">
        <v>7200</v>
      </c>
      <c r="AF1113">
        <v>200000</v>
      </c>
      <c r="AG1113">
        <v>16666.666666666668</v>
      </c>
      <c r="AH1113">
        <v>1</v>
      </c>
      <c r="AI1113">
        <v>1</v>
      </c>
      <c r="AJ1113" t="s">
        <v>162</v>
      </c>
      <c r="AK1113" t="s">
        <v>176</v>
      </c>
      <c r="AL1113">
        <v>0</v>
      </c>
      <c r="AM1113" t="s">
        <v>176</v>
      </c>
      <c r="AN1113">
        <v>0</v>
      </c>
    </row>
    <row r="1114" spans="1:40" x14ac:dyDescent="0.15">
      <c r="A1114" s="4" t="str">
        <f>HYPERLINK("https://ibp.a2mac1.com/costing(costing:projects/details/9760/process/12085355)","Melting")</f>
        <v>Melting</v>
      </c>
      <c r="C1114">
        <v>12085355</v>
      </c>
      <c r="D1114">
        <v>8416048</v>
      </c>
      <c r="E1114">
        <v>11.637777536</v>
      </c>
      <c r="F1114">
        <v>0</v>
      </c>
      <c r="G1114">
        <v>0</v>
      </c>
      <c r="H1114">
        <v>2.11337087808</v>
      </c>
      <c r="I1114" t="s">
        <v>176</v>
      </c>
      <c r="J1114">
        <v>0.43332150400000002</v>
      </c>
      <c r="K1114">
        <v>14.18446991808</v>
      </c>
      <c r="L1114">
        <v>0.36345647041351414</v>
      </c>
      <c r="M1114">
        <v>1.2720976464472995</v>
      </c>
      <c r="N1114">
        <v>15.456567564527299</v>
      </c>
      <c r="O1114" t="s">
        <v>90</v>
      </c>
      <c r="P1114">
        <v>0</v>
      </c>
      <c r="Q1114" t="s">
        <v>90</v>
      </c>
      <c r="R1114">
        <v>0</v>
      </c>
      <c r="S1114" t="s">
        <v>90</v>
      </c>
      <c r="T1114">
        <v>0</v>
      </c>
      <c r="U1114">
        <v>15.456567564527299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28</v>
      </c>
      <c r="AB1114">
        <v>1</v>
      </c>
      <c r="AC1114">
        <v>2</v>
      </c>
      <c r="AD1114">
        <v>14.581019902622362</v>
      </c>
      <c r="AE1114">
        <v>0</v>
      </c>
      <c r="AF1114">
        <v>200000</v>
      </c>
      <c r="AG1114">
        <v>10000</v>
      </c>
      <c r="AH1114">
        <v>1</v>
      </c>
      <c r="AI1114">
        <v>1</v>
      </c>
      <c r="AJ1114" t="s">
        <v>76</v>
      </c>
      <c r="AK1114" t="s">
        <v>176</v>
      </c>
      <c r="AL1114">
        <v>0</v>
      </c>
      <c r="AM1114" t="s">
        <v>176</v>
      </c>
      <c r="AN1114">
        <v>0</v>
      </c>
    </row>
    <row r="1115" spans="1:40" x14ac:dyDescent="0.15">
      <c r="A1115" s="4" t="str">
        <f>HYPERLINK("https://ibp.a2mac1.com/costing(costing:projects/details/9760/process/12085356)","Casting")</f>
        <v>Casting</v>
      </c>
      <c r="C1115">
        <v>12085356</v>
      </c>
      <c r="D1115">
        <v>8416048</v>
      </c>
      <c r="E1115">
        <v>0</v>
      </c>
      <c r="F1115">
        <v>0</v>
      </c>
      <c r="G1115">
        <v>0</v>
      </c>
      <c r="H1115">
        <v>0</v>
      </c>
      <c r="I1115" t="s">
        <v>176</v>
      </c>
      <c r="J1115">
        <v>0</v>
      </c>
      <c r="K1115">
        <v>0</v>
      </c>
      <c r="L1115">
        <v>0.54735778826919224</v>
      </c>
      <c r="M1115">
        <v>1.9157522589421729</v>
      </c>
      <c r="N1115">
        <v>1.9157522589421729</v>
      </c>
      <c r="O1115" t="s">
        <v>90</v>
      </c>
      <c r="P1115">
        <v>0</v>
      </c>
      <c r="Q1115" t="s">
        <v>90</v>
      </c>
      <c r="R1115">
        <v>0</v>
      </c>
      <c r="S1115" t="s">
        <v>90</v>
      </c>
      <c r="T1115">
        <v>0</v>
      </c>
      <c r="U1115">
        <v>1.9157522589421729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90</v>
      </c>
      <c r="AB1115">
        <v>1</v>
      </c>
      <c r="AC1115">
        <v>8</v>
      </c>
      <c r="AD1115">
        <v>12.831241283124129</v>
      </c>
      <c r="AE1115">
        <v>7200</v>
      </c>
      <c r="AF1115">
        <v>200000</v>
      </c>
      <c r="AG1115">
        <v>10000</v>
      </c>
      <c r="AH1115">
        <v>1</v>
      </c>
      <c r="AI1115">
        <v>15</v>
      </c>
      <c r="AJ1115" t="s">
        <v>76</v>
      </c>
      <c r="AK1115" t="s">
        <v>176</v>
      </c>
      <c r="AL1115">
        <v>0</v>
      </c>
      <c r="AM1115" t="s">
        <v>176</v>
      </c>
      <c r="AN1115">
        <v>0</v>
      </c>
    </row>
    <row r="1116" spans="1:40" x14ac:dyDescent="0.15">
      <c r="A1116" s="4" t="str">
        <f>HYPERLINK("https://ibp.a2mac1.com/costing(costing:projects/details/9760/process/12085357)","Trimming")</f>
        <v>Trimming</v>
      </c>
      <c r="C1116">
        <v>12085357</v>
      </c>
      <c r="D1116">
        <v>8416048</v>
      </c>
      <c r="E1116">
        <v>0</v>
      </c>
      <c r="F1116">
        <v>0</v>
      </c>
      <c r="G1116">
        <v>0</v>
      </c>
      <c r="H1116">
        <v>0</v>
      </c>
      <c r="I1116" t="s">
        <v>176</v>
      </c>
      <c r="J1116">
        <v>0</v>
      </c>
      <c r="K1116">
        <v>0</v>
      </c>
      <c r="L1116">
        <v>2.1140019279534912E-2</v>
      </c>
      <c r="M1116">
        <v>7.3990067478372196E-2</v>
      </c>
      <c r="N1116">
        <v>7.3990067478372196E-2</v>
      </c>
      <c r="O1116" t="s">
        <v>90</v>
      </c>
      <c r="P1116">
        <v>0</v>
      </c>
      <c r="Q1116" t="s">
        <v>90</v>
      </c>
      <c r="R1116">
        <v>0</v>
      </c>
      <c r="S1116" t="s">
        <v>90</v>
      </c>
      <c r="T1116">
        <v>0</v>
      </c>
      <c r="U1116">
        <v>7.3990067478372196E-2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20</v>
      </c>
      <c r="AB1116">
        <v>1</v>
      </c>
      <c r="AC1116">
        <v>0.1</v>
      </c>
      <c r="AD1116">
        <v>5.2491946181542541</v>
      </c>
      <c r="AE1116">
        <v>3600</v>
      </c>
      <c r="AF1116">
        <v>200000</v>
      </c>
      <c r="AG1116">
        <v>10000</v>
      </c>
      <c r="AH1116">
        <v>1</v>
      </c>
      <c r="AI1116">
        <v>3</v>
      </c>
      <c r="AJ1116" t="s">
        <v>76</v>
      </c>
      <c r="AK1116" t="s">
        <v>176</v>
      </c>
      <c r="AL1116">
        <v>0</v>
      </c>
      <c r="AM1116" t="s">
        <v>176</v>
      </c>
      <c r="AN1116">
        <v>0</v>
      </c>
    </row>
    <row r="1117" spans="1:40" x14ac:dyDescent="0.15">
      <c r="A1117" s="4" t="str">
        <f>HYPERLINK("https://ibp.a2mac1.com/costing(costing:projects/details/9760/process/12085358)","Shaping")</f>
        <v>Shaping</v>
      </c>
      <c r="C1117">
        <v>12085358</v>
      </c>
      <c r="D1117">
        <v>8416048</v>
      </c>
      <c r="E1117">
        <v>0</v>
      </c>
      <c r="F1117">
        <v>0</v>
      </c>
      <c r="G1117">
        <v>0</v>
      </c>
      <c r="H1117">
        <v>0</v>
      </c>
      <c r="I1117" t="s">
        <v>176</v>
      </c>
      <c r="J1117">
        <v>0</v>
      </c>
      <c r="K1117">
        <v>0</v>
      </c>
      <c r="L1117">
        <v>0.16617658437688368</v>
      </c>
      <c r="M1117">
        <v>0.58161804531909289</v>
      </c>
      <c r="N1117">
        <v>0.58161804531909289</v>
      </c>
      <c r="O1117" t="s">
        <v>90</v>
      </c>
      <c r="P1117">
        <v>0</v>
      </c>
      <c r="Q1117" t="s">
        <v>90</v>
      </c>
      <c r="R1117">
        <v>0</v>
      </c>
      <c r="S1117" t="s">
        <v>90</v>
      </c>
      <c r="T1117">
        <v>0</v>
      </c>
      <c r="U1117">
        <v>0.58161804531909289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300</v>
      </c>
      <c r="AB1117">
        <v>1</v>
      </c>
      <c r="AC1117">
        <v>1</v>
      </c>
      <c r="AD1117">
        <v>5.1503367163046567</v>
      </c>
      <c r="AE1117">
        <v>900</v>
      </c>
      <c r="AF1117">
        <v>200000</v>
      </c>
      <c r="AG1117">
        <v>10000</v>
      </c>
      <c r="AH1117">
        <v>1</v>
      </c>
      <c r="AI1117">
        <v>1</v>
      </c>
      <c r="AJ1117" t="s">
        <v>76</v>
      </c>
      <c r="AK1117" t="s">
        <v>176</v>
      </c>
      <c r="AL1117">
        <v>0</v>
      </c>
      <c r="AM1117" t="s">
        <v>176</v>
      </c>
      <c r="AN1117">
        <v>0</v>
      </c>
    </row>
    <row r="1118" spans="1:40" x14ac:dyDescent="0.15">
      <c r="A1118" s="4" t="str">
        <f>HYPERLINK("https://ibp.a2mac1.com/costing(costing:projects/details/9760/process/12085359)","Heat treatment")</f>
        <v>Heat treatment</v>
      </c>
      <c r="C1118">
        <v>12085359</v>
      </c>
      <c r="D1118">
        <v>8416048</v>
      </c>
      <c r="E1118">
        <v>0</v>
      </c>
      <c r="F1118">
        <v>0</v>
      </c>
      <c r="G1118">
        <v>0</v>
      </c>
      <c r="H1118">
        <v>0</v>
      </c>
      <c r="I1118" t="s">
        <v>176</v>
      </c>
      <c r="J1118">
        <v>0</v>
      </c>
      <c r="K1118">
        <v>0</v>
      </c>
      <c r="L1118">
        <v>0.46238727717237393</v>
      </c>
      <c r="M1118">
        <v>1.6183554701033087</v>
      </c>
      <c r="N1118">
        <v>1.6183554701033087</v>
      </c>
      <c r="O1118" t="s">
        <v>90</v>
      </c>
      <c r="P1118">
        <v>0</v>
      </c>
      <c r="Q1118" t="s">
        <v>90</v>
      </c>
      <c r="R1118">
        <v>0</v>
      </c>
      <c r="S1118" t="s">
        <v>90</v>
      </c>
      <c r="T1118">
        <v>0</v>
      </c>
      <c r="U1118">
        <v>1.6183554701033087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210</v>
      </c>
      <c r="AB1118">
        <v>1</v>
      </c>
      <c r="AC1118">
        <v>0.1</v>
      </c>
      <c r="AD1118">
        <v>4.1870269234454343</v>
      </c>
      <c r="AE1118">
        <v>1800</v>
      </c>
      <c r="AF1118">
        <v>200000</v>
      </c>
      <c r="AG1118">
        <v>10000</v>
      </c>
      <c r="AH1118">
        <v>1</v>
      </c>
      <c r="AI1118">
        <v>1</v>
      </c>
      <c r="AJ1118" t="s">
        <v>76</v>
      </c>
      <c r="AK1118" t="s">
        <v>176</v>
      </c>
      <c r="AL1118">
        <v>0</v>
      </c>
      <c r="AM1118" t="s">
        <v>176</v>
      </c>
      <c r="AN1118">
        <v>0</v>
      </c>
    </row>
    <row r="1119" spans="1:40" x14ac:dyDescent="0.15">
      <c r="A1119" s="4" t="str">
        <f>HYPERLINK("https://ibp.a2mac1.com/costing(costing:projects/details/9760/process/12085360)","Machining")</f>
        <v>Machining</v>
      </c>
      <c r="C1119">
        <v>12085360</v>
      </c>
      <c r="D1119">
        <v>8416048</v>
      </c>
      <c r="E1119">
        <v>0</v>
      </c>
      <c r="F1119">
        <v>0</v>
      </c>
      <c r="G1119">
        <v>0</v>
      </c>
      <c r="H1119">
        <v>0</v>
      </c>
      <c r="I1119" t="s">
        <v>176</v>
      </c>
      <c r="J1119">
        <v>0</v>
      </c>
      <c r="K1119">
        <v>0</v>
      </c>
      <c r="L1119">
        <v>1.8661835688142168</v>
      </c>
      <c r="M1119">
        <v>6.5316424908497588</v>
      </c>
      <c r="N1119">
        <v>6.5316424908497588</v>
      </c>
      <c r="O1119" t="s">
        <v>90</v>
      </c>
      <c r="P1119">
        <v>0</v>
      </c>
      <c r="Q1119" t="s">
        <v>90</v>
      </c>
      <c r="R1119">
        <v>0</v>
      </c>
      <c r="S1119" t="s">
        <v>90</v>
      </c>
      <c r="T1119">
        <v>0</v>
      </c>
      <c r="U1119">
        <v>6.5316424908497588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420</v>
      </c>
      <c r="AB1119">
        <v>1</v>
      </c>
      <c r="AC1119">
        <v>3</v>
      </c>
      <c r="AD1119">
        <v>4.0859389986572028</v>
      </c>
      <c r="AE1119">
        <v>7200</v>
      </c>
      <c r="AF1119">
        <v>200000</v>
      </c>
      <c r="AG1119">
        <v>10000</v>
      </c>
      <c r="AH1119">
        <v>1</v>
      </c>
      <c r="AI1119">
        <v>1</v>
      </c>
      <c r="AJ1119" t="s">
        <v>76</v>
      </c>
      <c r="AK1119" t="s">
        <v>176</v>
      </c>
      <c r="AL1119">
        <v>0</v>
      </c>
      <c r="AM1119" t="s">
        <v>176</v>
      </c>
      <c r="AN1119">
        <v>0</v>
      </c>
    </row>
    <row r="1120" spans="1:40" x14ac:dyDescent="0.15">
      <c r="A1120" s="4" t="str">
        <f>HYPERLINK("https://ibp.a2mac1.com/costing(costing:projects/details/9760/process/12085361)","Deburring")</f>
        <v>Deburring</v>
      </c>
      <c r="C1120">
        <v>12085361</v>
      </c>
      <c r="D1120">
        <v>8416048</v>
      </c>
      <c r="E1120">
        <v>0</v>
      </c>
      <c r="F1120">
        <v>0</v>
      </c>
      <c r="G1120">
        <v>0</v>
      </c>
      <c r="H1120">
        <v>0</v>
      </c>
      <c r="I1120" t="s">
        <v>176</v>
      </c>
      <c r="J1120">
        <v>0</v>
      </c>
      <c r="K1120">
        <v>0</v>
      </c>
      <c r="L1120">
        <v>0.11820534171380398</v>
      </c>
      <c r="M1120">
        <v>0.4137186959983139</v>
      </c>
      <c r="N1120">
        <v>0.4137186959983139</v>
      </c>
      <c r="O1120" t="s">
        <v>90</v>
      </c>
      <c r="P1120">
        <v>0</v>
      </c>
      <c r="Q1120" t="s">
        <v>90</v>
      </c>
      <c r="R1120">
        <v>0</v>
      </c>
      <c r="S1120" t="s">
        <v>90</v>
      </c>
      <c r="T1120">
        <v>0</v>
      </c>
      <c r="U1120">
        <v>0.4137186959983139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200</v>
      </c>
      <c r="AB1120">
        <v>1</v>
      </c>
      <c r="AC1120">
        <v>1</v>
      </c>
      <c r="AD1120">
        <v>1.117373677444873</v>
      </c>
      <c r="AE1120">
        <v>600</v>
      </c>
      <c r="AF1120">
        <v>200000</v>
      </c>
      <c r="AG1120">
        <v>10000</v>
      </c>
      <c r="AH1120">
        <v>1</v>
      </c>
      <c r="AI1120">
        <v>1</v>
      </c>
      <c r="AJ1120" t="s">
        <v>76</v>
      </c>
      <c r="AK1120" t="s">
        <v>176</v>
      </c>
      <c r="AL1120">
        <v>0</v>
      </c>
      <c r="AM1120" t="s">
        <v>176</v>
      </c>
      <c r="AN1120">
        <v>0</v>
      </c>
    </row>
    <row r="1121" spans="1:40" x14ac:dyDescent="0.15">
      <c r="A1121" s="4" t="str">
        <f>HYPERLINK("https://ibp.a2mac1.com/costing(costing:projects/details/9760/process/12085362)","Cleaning")</f>
        <v>Cleaning</v>
      </c>
      <c r="C1121">
        <v>12085362</v>
      </c>
      <c r="D1121">
        <v>8416048</v>
      </c>
      <c r="E1121">
        <v>0</v>
      </c>
      <c r="F1121">
        <v>0</v>
      </c>
      <c r="G1121">
        <v>0</v>
      </c>
      <c r="H1121">
        <v>0</v>
      </c>
      <c r="I1121" t="s">
        <v>176</v>
      </c>
      <c r="J1121">
        <v>0</v>
      </c>
      <c r="K1121">
        <v>0</v>
      </c>
      <c r="L1121">
        <v>2.1900163774358727E-2</v>
      </c>
      <c r="M1121">
        <v>7.6650573210255549E-2</v>
      </c>
      <c r="N1121">
        <v>7.6650573210255549E-2</v>
      </c>
      <c r="O1121" t="s">
        <v>90</v>
      </c>
      <c r="P1121">
        <v>0</v>
      </c>
      <c r="Q1121" t="s">
        <v>90</v>
      </c>
      <c r="R1121">
        <v>0</v>
      </c>
      <c r="S1121" t="s">
        <v>90</v>
      </c>
      <c r="T1121">
        <v>0</v>
      </c>
      <c r="U1121">
        <v>7.6650573210255549E-2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25</v>
      </c>
      <c r="AB1121">
        <v>1</v>
      </c>
      <c r="AC1121">
        <v>0.1</v>
      </c>
      <c r="AD1121">
        <v>0.10987913295375087</v>
      </c>
      <c r="AE1121">
        <v>0</v>
      </c>
      <c r="AF1121">
        <v>200000</v>
      </c>
      <c r="AG1121">
        <v>10000</v>
      </c>
      <c r="AH1121">
        <v>1</v>
      </c>
      <c r="AI1121">
        <v>1</v>
      </c>
      <c r="AJ1121" t="s">
        <v>76</v>
      </c>
      <c r="AK1121" t="s">
        <v>176</v>
      </c>
      <c r="AL1121">
        <v>0</v>
      </c>
      <c r="AM1121" t="s">
        <v>176</v>
      </c>
      <c r="AN1121">
        <v>0</v>
      </c>
    </row>
    <row r="1122" spans="1:40" x14ac:dyDescent="0.15">
      <c r="A1122" s="4" t="str">
        <f>HYPERLINK("https://ibp.a2mac1.com/costing(costing:projects/details/9760/process/12085363)","laser mark")</f>
        <v>laser mark</v>
      </c>
      <c r="C1122">
        <v>12085363</v>
      </c>
      <c r="D1122">
        <v>8416048</v>
      </c>
      <c r="E1122">
        <v>0</v>
      </c>
      <c r="F1122">
        <v>0</v>
      </c>
      <c r="G1122">
        <v>0</v>
      </c>
      <c r="H1122">
        <v>0</v>
      </c>
      <c r="I1122" t="s">
        <v>176</v>
      </c>
      <c r="J1122">
        <v>0</v>
      </c>
      <c r="K1122">
        <v>0</v>
      </c>
      <c r="L1122">
        <v>5.8899834995833423E-3</v>
      </c>
      <c r="M1122">
        <v>2.0614942248541698E-2</v>
      </c>
      <c r="N1122">
        <v>2.0614942248541698E-2</v>
      </c>
      <c r="O1122" t="s">
        <v>90</v>
      </c>
      <c r="P1122">
        <v>0</v>
      </c>
      <c r="Q1122" t="s">
        <v>90</v>
      </c>
      <c r="R1122">
        <v>0</v>
      </c>
      <c r="S1122" t="s">
        <v>90</v>
      </c>
      <c r="T1122">
        <v>0</v>
      </c>
      <c r="U1122">
        <v>2.0614942248541698E-2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10</v>
      </c>
      <c r="AB1122">
        <v>1</v>
      </c>
      <c r="AC1122">
        <v>0</v>
      </c>
      <c r="AD1122">
        <v>0</v>
      </c>
      <c r="AE1122">
        <v>3600</v>
      </c>
      <c r="AF1122">
        <v>200000</v>
      </c>
      <c r="AG1122">
        <v>10000</v>
      </c>
      <c r="AH1122">
        <v>1</v>
      </c>
      <c r="AI1122">
        <v>1</v>
      </c>
      <c r="AJ1122" t="s">
        <v>76</v>
      </c>
      <c r="AK1122" t="s">
        <v>176</v>
      </c>
      <c r="AL1122">
        <v>0</v>
      </c>
      <c r="AM1122" t="s">
        <v>176</v>
      </c>
      <c r="AN1122">
        <v>0</v>
      </c>
    </row>
    <row r="1123" spans="1:40" x14ac:dyDescent="0.15">
      <c r="A1123" s="4" t="str">
        <f>HYPERLINK("https://ibp.a2mac1.com/costing(costing:projects/details/9760/process/12085364)","inspection and packaging")</f>
        <v>inspection and packaging</v>
      </c>
      <c r="C1123">
        <v>12085364</v>
      </c>
      <c r="D1123">
        <v>8416048</v>
      </c>
      <c r="E1123">
        <v>0</v>
      </c>
      <c r="F1123">
        <v>0</v>
      </c>
      <c r="G1123">
        <v>0</v>
      </c>
      <c r="H1123">
        <v>0</v>
      </c>
      <c r="I1123" t="s">
        <v>176</v>
      </c>
      <c r="J1123">
        <v>0</v>
      </c>
      <c r="K1123">
        <v>0</v>
      </c>
      <c r="L1123">
        <v>5.2070498826724765E-2</v>
      </c>
      <c r="M1123">
        <v>0.18224674589353668</v>
      </c>
      <c r="N1123">
        <v>0.18224674589353668</v>
      </c>
      <c r="O1123" t="s">
        <v>90</v>
      </c>
      <c r="P1123">
        <v>0</v>
      </c>
      <c r="Q1123" t="s">
        <v>90</v>
      </c>
      <c r="R1123">
        <v>0</v>
      </c>
      <c r="S1123" t="s">
        <v>90</v>
      </c>
      <c r="T1123">
        <v>0</v>
      </c>
      <c r="U1123">
        <v>0.18224674589353668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90</v>
      </c>
      <c r="AB1123">
        <v>1</v>
      </c>
      <c r="AC1123">
        <v>0</v>
      </c>
      <c r="AD1123">
        <v>0</v>
      </c>
      <c r="AE1123">
        <v>900</v>
      </c>
      <c r="AF1123">
        <v>200000</v>
      </c>
      <c r="AG1123">
        <v>10000</v>
      </c>
      <c r="AH1123">
        <v>1</v>
      </c>
      <c r="AI1123">
        <v>1</v>
      </c>
      <c r="AJ1123" t="s">
        <v>76</v>
      </c>
      <c r="AK1123" t="s">
        <v>176</v>
      </c>
      <c r="AL1123">
        <v>0</v>
      </c>
      <c r="AM1123" t="s">
        <v>176</v>
      </c>
      <c r="AN1123">
        <v>0</v>
      </c>
    </row>
    <row r="1124" spans="1:40" x14ac:dyDescent="0.15">
      <c r="A1124" s="4" t="str">
        <f>HYPERLINK("https://ibp.a2mac1.com/costing(costing:projects/details/9760/process/12085351)","MANUFACTURING  PROCESS")</f>
        <v>MANUFACTURING  PROCESS</v>
      </c>
      <c r="B1124" t="s">
        <v>4962</v>
      </c>
      <c r="C1124">
        <v>12085351</v>
      </c>
      <c r="D1124">
        <v>8416046</v>
      </c>
      <c r="E1124">
        <v>1.2745106382978724</v>
      </c>
      <c r="F1124">
        <v>0</v>
      </c>
      <c r="G1124">
        <v>0</v>
      </c>
      <c r="H1124">
        <v>1.3497872340425532E-3</v>
      </c>
      <c r="I1124" t="s">
        <v>176</v>
      </c>
      <c r="J1124">
        <v>4.5425531914893617E-2</v>
      </c>
      <c r="K1124">
        <v>1.3212859574468085</v>
      </c>
      <c r="L1124">
        <v>0.18664607713944581</v>
      </c>
      <c r="M1124">
        <v>1.1198764628366749</v>
      </c>
      <c r="N1124">
        <v>2.4411624202834834</v>
      </c>
      <c r="O1124" t="s">
        <v>177</v>
      </c>
      <c r="P1124">
        <v>7.9277157446808508E-2</v>
      </c>
      <c r="Q1124" t="s">
        <v>177</v>
      </c>
      <c r="R1124">
        <v>6.7192587770200499E-2</v>
      </c>
      <c r="S1124" t="s">
        <v>178</v>
      </c>
      <c r="T1124">
        <v>0.29293949043401801</v>
      </c>
      <c r="U1124">
        <v>2.8805716559345105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37.049999999999997</v>
      </c>
      <c r="AB1124">
        <v>1</v>
      </c>
      <c r="AC1124">
        <v>0</v>
      </c>
      <c r="AD1124">
        <v>0.10389195236953569</v>
      </c>
      <c r="AE1124">
        <v>5400</v>
      </c>
      <c r="AF1124">
        <v>200000</v>
      </c>
      <c r="AG1124">
        <v>16666.666666666668</v>
      </c>
      <c r="AH1124">
        <v>1</v>
      </c>
      <c r="AI1124">
        <v>1</v>
      </c>
      <c r="AJ1124" t="s">
        <v>162</v>
      </c>
      <c r="AK1124" t="s">
        <v>176</v>
      </c>
      <c r="AL1124">
        <v>0</v>
      </c>
      <c r="AM1124" t="s">
        <v>176</v>
      </c>
      <c r="AN1124">
        <v>0</v>
      </c>
    </row>
    <row r="1125" spans="1:40" x14ac:dyDescent="0.15">
      <c r="A1125" s="4" t="str">
        <f>HYPERLINK("https://ibp.a2mac1.com/costing(costing:projects/details/9760/process/12085352)","Electrophoresis")</f>
        <v>Electrophoresis</v>
      </c>
      <c r="C1125">
        <v>12085352</v>
      </c>
      <c r="D1125">
        <v>8416046</v>
      </c>
      <c r="E1125">
        <v>0</v>
      </c>
      <c r="F1125">
        <v>0</v>
      </c>
      <c r="G1125">
        <v>0</v>
      </c>
      <c r="H1125">
        <v>0</v>
      </c>
      <c r="I1125" t="s">
        <v>176</v>
      </c>
      <c r="J1125">
        <v>0</v>
      </c>
      <c r="K1125">
        <v>0</v>
      </c>
      <c r="L1125">
        <v>0.20899323779151321</v>
      </c>
      <c r="M1125">
        <v>1.2539594267490792</v>
      </c>
      <c r="N1125">
        <v>1.2539594267490792</v>
      </c>
      <c r="O1125" t="s">
        <v>177</v>
      </c>
      <c r="P1125">
        <v>0</v>
      </c>
      <c r="Q1125" t="s">
        <v>177</v>
      </c>
      <c r="R1125">
        <v>7.5237565604944753E-2</v>
      </c>
      <c r="S1125" t="s">
        <v>178</v>
      </c>
      <c r="T1125">
        <v>0.15047513120988951</v>
      </c>
      <c r="U1125">
        <v>1.4796721235639136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10</v>
      </c>
      <c r="AB1125">
        <v>1</v>
      </c>
      <c r="AC1125">
        <v>0.1</v>
      </c>
      <c r="AD1125">
        <v>0.10389195236953569</v>
      </c>
      <c r="AE1125">
        <v>0</v>
      </c>
      <c r="AF1125">
        <v>200000</v>
      </c>
      <c r="AG1125">
        <v>16666.666666666668</v>
      </c>
      <c r="AH1125">
        <v>1</v>
      </c>
      <c r="AI1125">
        <v>1</v>
      </c>
      <c r="AJ1125" t="s">
        <v>162</v>
      </c>
      <c r="AK1125" t="s">
        <v>176</v>
      </c>
      <c r="AL1125">
        <v>0</v>
      </c>
      <c r="AM1125" t="s">
        <v>176</v>
      </c>
      <c r="AN1125">
        <v>0</v>
      </c>
    </row>
    <row r="1126" spans="1:40" x14ac:dyDescent="0.15">
      <c r="A1126" s="4" t="str">
        <f>HYPERLINK("https://ibp.a2mac1.com/costing(costing:projects/details/9760/process/12085353)","MANUFACTURING  PROCESS")</f>
        <v>MANUFACTURING  PROCESS</v>
      </c>
      <c r="B1126" t="s">
        <v>4962</v>
      </c>
      <c r="C1126">
        <v>12085353</v>
      </c>
      <c r="D1126">
        <v>8416047</v>
      </c>
      <c r="E1126">
        <v>1.5670212765957446E-2</v>
      </c>
      <c r="F1126">
        <v>0</v>
      </c>
      <c r="G1126">
        <v>0</v>
      </c>
      <c r="H1126">
        <v>1.6117021276595745E-5</v>
      </c>
      <c r="I1126" t="s">
        <v>176</v>
      </c>
      <c r="J1126">
        <v>5.5851063829787237E-4</v>
      </c>
      <c r="K1126">
        <v>1.6244840425531915E-2</v>
      </c>
      <c r="L1126">
        <v>1.5065347428290952E-3</v>
      </c>
      <c r="M1126">
        <v>9.039208456974571E-3</v>
      </c>
      <c r="N1126">
        <v>2.5284048882506484E-2</v>
      </c>
      <c r="O1126" t="s">
        <v>177</v>
      </c>
      <c r="P1126">
        <v>9.7469042553191489E-4</v>
      </c>
      <c r="Q1126" t="s">
        <v>177</v>
      </c>
      <c r="R1126">
        <v>5.4235250741847428E-4</v>
      </c>
      <c r="S1126" t="s">
        <v>178</v>
      </c>
      <c r="T1126">
        <v>3.0340858659007783E-3</v>
      </c>
      <c r="U1126">
        <v>2.9835177681357655E-2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0.24940999999999999</v>
      </c>
      <c r="AB1126">
        <v>2</v>
      </c>
      <c r="AC1126">
        <v>0</v>
      </c>
      <c r="AD1126">
        <v>0.1008980929261446</v>
      </c>
      <c r="AE1126">
        <v>5400</v>
      </c>
      <c r="AF1126">
        <v>400000</v>
      </c>
      <c r="AG1126">
        <v>33333.333333333336</v>
      </c>
      <c r="AH1126">
        <v>1</v>
      </c>
      <c r="AI1126">
        <v>1</v>
      </c>
      <c r="AJ1126" t="s">
        <v>162</v>
      </c>
      <c r="AK1126" t="s">
        <v>176</v>
      </c>
      <c r="AL1126">
        <v>0</v>
      </c>
      <c r="AM1126" t="s">
        <v>176</v>
      </c>
      <c r="AN1126">
        <v>0</v>
      </c>
    </row>
    <row r="1127" spans="1:40" x14ac:dyDescent="0.15">
      <c r="A1127" s="4" t="str">
        <f>HYPERLINK("https://ibp.a2mac1.com/costing(costing:projects/details/9760/process/12085354)","Electrophoresis")</f>
        <v>Electrophoresis</v>
      </c>
      <c r="C1127">
        <v>12085354</v>
      </c>
      <c r="D1127">
        <v>8416047</v>
      </c>
      <c r="E1127">
        <v>0</v>
      </c>
      <c r="F1127">
        <v>0</v>
      </c>
      <c r="G1127">
        <v>0</v>
      </c>
      <c r="H1127">
        <v>0</v>
      </c>
      <c r="I1127" t="s">
        <v>176</v>
      </c>
      <c r="J1127">
        <v>0</v>
      </c>
      <c r="K1127">
        <v>0</v>
      </c>
      <c r="L1127">
        <v>0.20898697450819412</v>
      </c>
      <c r="M1127">
        <v>1.2539218470491647</v>
      </c>
      <c r="N1127">
        <v>1.2539218470491647</v>
      </c>
      <c r="O1127" t="s">
        <v>177</v>
      </c>
      <c r="P1127">
        <v>0</v>
      </c>
      <c r="Q1127" t="s">
        <v>177</v>
      </c>
      <c r="R1127">
        <v>7.5235310822949888E-2</v>
      </c>
      <c r="S1127" t="s">
        <v>178</v>
      </c>
      <c r="T1127">
        <v>0.15047062164589978</v>
      </c>
      <c r="U1127">
        <v>1.4796277795180144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10</v>
      </c>
      <c r="AB1127">
        <v>1</v>
      </c>
      <c r="AC1127">
        <v>0.1</v>
      </c>
      <c r="AD1127">
        <v>0.1008980929261446</v>
      </c>
      <c r="AE1127">
        <v>0</v>
      </c>
      <c r="AF1127">
        <v>400000</v>
      </c>
      <c r="AG1127">
        <v>33333.333333333336</v>
      </c>
      <c r="AH1127">
        <v>1</v>
      </c>
      <c r="AI1127">
        <v>1</v>
      </c>
      <c r="AJ1127" t="s">
        <v>162</v>
      </c>
      <c r="AK1127" t="s">
        <v>176</v>
      </c>
      <c r="AL1127">
        <v>0</v>
      </c>
      <c r="AM1127" t="s">
        <v>176</v>
      </c>
      <c r="AN1127">
        <v>0</v>
      </c>
    </row>
    <row r="1128" spans="1:40" x14ac:dyDescent="0.15">
      <c r="A1128" s="4" t="str">
        <f>HYPERLINK("https://ibp.a2mac1.com/costing(costing:projects/details/9760/process/12085365)","MANUFACTURING  PROCESS")</f>
        <v>MANUFACTURING  PROCESS</v>
      </c>
      <c r="B1128" t="s">
        <v>4962</v>
      </c>
      <c r="C1128">
        <v>12085365</v>
      </c>
      <c r="D1128">
        <v>8416049</v>
      </c>
      <c r="E1128">
        <v>0.64770212765957447</v>
      </c>
      <c r="F1128">
        <v>0</v>
      </c>
      <c r="G1128">
        <v>0</v>
      </c>
      <c r="H1128">
        <v>6.6617021276595741E-4</v>
      </c>
      <c r="I1128" t="s">
        <v>176</v>
      </c>
      <c r="J1128">
        <v>2.3085106382978723E-2</v>
      </c>
      <c r="K1128">
        <v>0.67145340425531919</v>
      </c>
      <c r="L1128">
        <v>3.9082729547260508E-3</v>
      </c>
      <c r="M1128">
        <v>2.3449637728356305E-2</v>
      </c>
      <c r="N1128">
        <v>0.69490304198367547</v>
      </c>
      <c r="O1128" t="s">
        <v>177</v>
      </c>
      <c r="P1128">
        <v>4.0287204255319148E-2</v>
      </c>
      <c r="Q1128" t="s">
        <v>177</v>
      </c>
      <c r="R1128">
        <v>1.4069782637013784E-3</v>
      </c>
      <c r="S1128" t="s">
        <v>178</v>
      </c>
      <c r="T1128">
        <v>8.3388365038041048E-2</v>
      </c>
      <c r="U1128">
        <v>0.81998558954073708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1.21207</v>
      </c>
      <c r="AB1128">
        <v>2</v>
      </c>
      <c r="AC1128">
        <v>0</v>
      </c>
      <c r="AD1128">
        <v>0.1008980929261446</v>
      </c>
      <c r="AE1128">
        <v>5400</v>
      </c>
      <c r="AF1128">
        <v>400000</v>
      </c>
      <c r="AG1128">
        <v>33333.333333333336</v>
      </c>
      <c r="AH1128">
        <v>1</v>
      </c>
      <c r="AI1128">
        <v>1</v>
      </c>
      <c r="AJ1128" t="s">
        <v>162</v>
      </c>
      <c r="AK1128" t="s">
        <v>176</v>
      </c>
      <c r="AL1128">
        <v>0</v>
      </c>
      <c r="AM1128" t="s">
        <v>176</v>
      </c>
      <c r="AN1128">
        <v>0</v>
      </c>
    </row>
    <row r="1129" spans="1:40" x14ac:dyDescent="0.15">
      <c r="A1129" s="4" t="str">
        <f>HYPERLINK("https://ibp.a2mac1.com/costing(costing:projects/details/9760/process/12085366)","Electrophoresis")</f>
        <v>Electrophoresis</v>
      </c>
      <c r="C1129">
        <v>12085366</v>
      </c>
      <c r="D1129">
        <v>8416049</v>
      </c>
      <c r="E1129">
        <v>0</v>
      </c>
      <c r="F1129">
        <v>0</v>
      </c>
      <c r="G1129">
        <v>0</v>
      </c>
      <c r="H1129">
        <v>0</v>
      </c>
      <c r="I1129" t="s">
        <v>176</v>
      </c>
      <c r="J1129">
        <v>0</v>
      </c>
      <c r="K1129">
        <v>0</v>
      </c>
      <c r="L1129">
        <v>0.20898697450819412</v>
      </c>
      <c r="M1129">
        <v>1.2539218470491647</v>
      </c>
      <c r="N1129">
        <v>1.2539218470491647</v>
      </c>
      <c r="O1129" t="s">
        <v>177</v>
      </c>
      <c r="P1129">
        <v>0</v>
      </c>
      <c r="Q1129" t="s">
        <v>177</v>
      </c>
      <c r="R1129">
        <v>7.5235310822949888E-2</v>
      </c>
      <c r="S1129" t="s">
        <v>178</v>
      </c>
      <c r="T1129">
        <v>0.15047062164589978</v>
      </c>
      <c r="U1129">
        <v>1.4796277795180144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10</v>
      </c>
      <c r="AB1129">
        <v>1</v>
      </c>
      <c r="AC1129">
        <v>0.1</v>
      </c>
      <c r="AD1129">
        <v>0.1008980929261446</v>
      </c>
      <c r="AE1129">
        <v>0</v>
      </c>
      <c r="AF1129">
        <v>400000</v>
      </c>
      <c r="AG1129">
        <v>33333.333333333336</v>
      </c>
      <c r="AH1129">
        <v>1</v>
      </c>
      <c r="AI1129">
        <v>1</v>
      </c>
      <c r="AJ1129" t="s">
        <v>162</v>
      </c>
      <c r="AK1129" t="s">
        <v>176</v>
      </c>
      <c r="AL1129">
        <v>0</v>
      </c>
      <c r="AM1129" t="s">
        <v>176</v>
      </c>
      <c r="AN1129">
        <v>0</v>
      </c>
    </row>
    <row r="1130" spans="1:40" x14ac:dyDescent="0.15">
      <c r="A1130" s="4" t="str">
        <f>HYPERLINK("https://ibp.a2mac1.com/costing(costing:projects/details/9760/process/12085128)","Stamping")</f>
        <v>Stamping</v>
      </c>
      <c r="C1130">
        <v>12085128</v>
      </c>
      <c r="D1130">
        <v>8415717</v>
      </c>
      <c r="E1130">
        <v>0.35632670475</v>
      </c>
      <c r="F1130">
        <v>0</v>
      </c>
      <c r="G1130">
        <v>0</v>
      </c>
      <c r="H1130">
        <v>1.906726941375E-3</v>
      </c>
      <c r="I1130" t="s">
        <v>176</v>
      </c>
      <c r="J1130">
        <v>1.32674836875E-2</v>
      </c>
      <c r="K1130">
        <v>0.37150091537887497</v>
      </c>
      <c r="L1130">
        <v>6.4191881760473435E-4</v>
      </c>
      <c r="M1130">
        <v>3.8515129056284065E-3</v>
      </c>
      <c r="N1130">
        <v>0.37535242828450338</v>
      </c>
      <c r="O1130" t="s">
        <v>177</v>
      </c>
      <c r="P1130">
        <v>2.2290054922732502E-2</v>
      </c>
      <c r="Q1130" t="s">
        <v>177</v>
      </c>
      <c r="R1130">
        <v>2.3109077433770437E-4</v>
      </c>
      <c r="S1130" t="s">
        <v>178</v>
      </c>
      <c r="T1130">
        <v>4.5042291394140406E-2</v>
      </c>
      <c r="U1130">
        <v>0.44291586537571404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60</v>
      </c>
      <c r="AB1130">
        <v>1</v>
      </c>
      <c r="AC1130">
        <v>0.5</v>
      </c>
      <c r="AD1130">
        <v>0.50048257265952256</v>
      </c>
      <c r="AE1130">
        <v>1566</v>
      </c>
      <c r="AF1130">
        <v>400000</v>
      </c>
      <c r="AG1130">
        <v>33333.333333333336</v>
      </c>
      <c r="AH1130">
        <v>1</v>
      </c>
      <c r="AI1130">
        <v>1</v>
      </c>
      <c r="AJ1130" t="s">
        <v>162</v>
      </c>
      <c r="AK1130" t="s">
        <v>176</v>
      </c>
      <c r="AL1130">
        <v>0</v>
      </c>
      <c r="AM1130" t="s">
        <v>176</v>
      </c>
      <c r="AN1130">
        <v>0</v>
      </c>
    </row>
    <row r="1131" spans="1:40" x14ac:dyDescent="0.15">
      <c r="A1131" s="4" t="str">
        <f>HYPERLINK("https://ibp.a2mac1.com/costing(costing:projects/details/9760/process/12085129)","Seal Extrusion ")</f>
        <v xml:space="preserve">Seal Extrusion </v>
      </c>
      <c r="C1131">
        <v>12085129</v>
      </c>
      <c r="D1131">
        <v>8415718</v>
      </c>
      <c r="E1131">
        <v>1.0651952220000001</v>
      </c>
      <c r="F1131">
        <v>0</v>
      </c>
      <c r="G1131">
        <v>0</v>
      </c>
      <c r="H1131">
        <v>1.0785435330526315E-3</v>
      </c>
      <c r="I1131" t="s">
        <v>176</v>
      </c>
      <c r="J1131">
        <v>3.7375270947368422E-2</v>
      </c>
      <c r="K1131">
        <v>1.103649036480421</v>
      </c>
      <c r="L1131">
        <v>7.3490767650040922E-2</v>
      </c>
      <c r="M1131">
        <v>0.44094460590024553</v>
      </c>
      <c r="N1131">
        <v>1.5445936423806665</v>
      </c>
      <c r="O1131" t="s">
        <v>177</v>
      </c>
      <c r="P1131">
        <v>6.6218942188825264E-2</v>
      </c>
      <c r="Q1131" t="s">
        <v>177</v>
      </c>
      <c r="R1131">
        <v>2.6456676354014733E-2</v>
      </c>
      <c r="S1131" t="s">
        <v>178</v>
      </c>
      <c r="T1131">
        <v>0.18535123708567999</v>
      </c>
      <c r="U1131">
        <v>1.8226204980091867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30</v>
      </c>
      <c r="AB1131">
        <v>1</v>
      </c>
      <c r="AC1131">
        <v>0.1</v>
      </c>
      <c r="AD1131">
        <v>0.1008980929261446</v>
      </c>
      <c r="AE1131">
        <v>1800</v>
      </c>
      <c r="AF1131">
        <v>400000</v>
      </c>
      <c r="AG1131">
        <v>33333.333333333336</v>
      </c>
      <c r="AH1131">
        <v>1</v>
      </c>
      <c r="AI1131">
        <v>1</v>
      </c>
      <c r="AJ1131" t="s">
        <v>162</v>
      </c>
      <c r="AK1131" t="s">
        <v>176</v>
      </c>
      <c r="AL1131">
        <v>0</v>
      </c>
      <c r="AM1131" t="s">
        <v>176</v>
      </c>
      <c r="AN1131">
        <v>0</v>
      </c>
    </row>
    <row r="1132" spans="1:40" x14ac:dyDescent="0.15">
      <c r="A1132" s="4" t="str">
        <f>HYPERLINK("https://ibp.a2mac1.com/costing(costing:projects/details/9760/process/12085367)","Injection molding")</f>
        <v>Injection molding</v>
      </c>
      <c r="B1132" t="s">
        <v>7044</v>
      </c>
      <c r="C1132">
        <v>12085367</v>
      </c>
      <c r="D1132">
        <v>8416050</v>
      </c>
      <c r="E1132">
        <v>0.23946479927835052</v>
      </c>
      <c r="F1132">
        <v>0</v>
      </c>
      <c r="G1132">
        <v>0</v>
      </c>
      <c r="H1132">
        <v>2.494175175257732E-4</v>
      </c>
      <c r="I1132" t="s">
        <v>176</v>
      </c>
      <c r="J1132">
        <v>8.3938587628865982E-3</v>
      </c>
      <c r="K1132">
        <v>0.24810807555876288</v>
      </c>
      <c r="L1132">
        <v>1.7521029269728275E-2</v>
      </c>
      <c r="M1132">
        <v>0.10512617561836966</v>
      </c>
      <c r="N1132">
        <v>0.35323425117713253</v>
      </c>
      <c r="O1132" t="s">
        <v>177</v>
      </c>
      <c r="P1132">
        <v>1.4886484533525772E-2</v>
      </c>
      <c r="Q1132" t="s">
        <v>177</v>
      </c>
      <c r="R1132">
        <v>6.3075705371021798E-3</v>
      </c>
      <c r="S1132" t="s">
        <v>178</v>
      </c>
      <c r="T1132">
        <v>4.2388110141255902E-2</v>
      </c>
      <c r="U1132">
        <v>0.4168164163890164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27.780349999999999</v>
      </c>
      <c r="AB1132">
        <v>1</v>
      </c>
      <c r="AC1132">
        <v>0.1</v>
      </c>
      <c r="AD1132">
        <v>0.10389195236953569</v>
      </c>
      <c r="AE1132">
        <v>7200</v>
      </c>
      <c r="AF1132">
        <v>200000</v>
      </c>
      <c r="AG1132">
        <v>16666.666666666668</v>
      </c>
      <c r="AH1132">
        <v>1</v>
      </c>
      <c r="AI1132">
        <v>1</v>
      </c>
      <c r="AJ1132" t="s">
        <v>162</v>
      </c>
      <c r="AK1132" t="s">
        <v>176</v>
      </c>
      <c r="AL1132">
        <v>0</v>
      </c>
      <c r="AM1132" t="s">
        <v>176</v>
      </c>
      <c r="AN1132">
        <v>0</v>
      </c>
    </row>
    <row r="1133" spans="1:40" x14ac:dyDescent="0.15">
      <c r="A1133" s="4" t="str">
        <f>HYPERLINK("https://ibp.a2mac1.com/costing(costing:projects/details/9760/process/12085368)","Stamping")</f>
        <v>Stamping</v>
      </c>
      <c r="C1133">
        <v>12085368</v>
      </c>
      <c r="D1133">
        <v>8416051</v>
      </c>
      <c r="E1133">
        <v>0.20478546249999999</v>
      </c>
      <c r="F1133">
        <v>0</v>
      </c>
      <c r="G1133">
        <v>0</v>
      </c>
      <c r="H1133">
        <v>2.2657115000000001E-4</v>
      </c>
      <c r="I1133" t="s">
        <v>176</v>
      </c>
      <c r="J1133">
        <v>7.6249906250000004E-3</v>
      </c>
      <c r="K1133">
        <v>0.212637024275</v>
      </c>
      <c r="L1133">
        <v>3.840124797950237E-3</v>
      </c>
      <c r="M1133">
        <v>2.3040748787701421E-2</v>
      </c>
      <c r="N1133">
        <v>0.23567777306270143</v>
      </c>
      <c r="O1133" t="s">
        <v>177</v>
      </c>
      <c r="P1133">
        <v>1.2758221456499999E-2</v>
      </c>
      <c r="Q1133" t="s">
        <v>177</v>
      </c>
      <c r="R1133">
        <v>1.3824449272620853E-3</v>
      </c>
      <c r="S1133" t="s">
        <v>178</v>
      </c>
      <c r="T1133">
        <v>2.8281332767524172E-2</v>
      </c>
      <c r="U1133">
        <v>0.27809977221398768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0.85511000000000004</v>
      </c>
      <c r="AB1133">
        <v>1</v>
      </c>
      <c r="AC1133">
        <v>0.1</v>
      </c>
      <c r="AD1133">
        <v>0.10389195236953569</v>
      </c>
      <c r="AE1133">
        <v>1800</v>
      </c>
      <c r="AF1133">
        <v>200000</v>
      </c>
      <c r="AG1133">
        <v>16666.666666666668</v>
      </c>
      <c r="AH1133">
        <v>1</v>
      </c>
      <c r="AI1133">
        <v>1</v>
      </c>
      <c r="AJ1133" t="s">
        <v>162</v>
      </c>
      <c r="AK1133" t="s">
        <v>176</v>
      </c>
      <c r="AL1133">
        <v>0</v>
      </c>
      <c r="AM1133" t="s">
        <v>176</v>
      </c>
      <c r="AN1133">
        <v>0</v>
      </c>
    </row>
    <row r="1134" spans="1:40" x14ac:dyDescent="0.15">
      <c r="A1134" s="4" t="str">
        <f>HYPERLINK("https://ibp.a2mac1.com/costing(costing:projects/details/9760/process/12085131)","Assembly")</f>
        <v>Assembly</v>
      </c>
      <c r="C1134">
        <v>12085131</v>
      </c>
      <c r="D1134">
        <v>8415720</v>
      </c>
      <c r="E1134">
        <v>0</v>
      </c>
      <c r="F1134">
        <v>0</v>
      </c>
      <c r="G1134">
        <v>0</v>
      </c>
      <c r="H1134">
        <v>0</v>
      </c>
      <c r="I1134" t="s">
        <v>176</v>
      </c>
      <c r="J1134">
        <v>0</v>
      </c>
      <c r="K1134">
        <v>0</v>
      </c>
      <c r="L1134">
        <v>4.4302321380124202E-3</v>
      </c>
      <c r="M1134">
        <v>2.6581392828074521E-2</v>
      </c>
      <c r="N1134">
        <v>2.6581392828074521E-2</v>
      </c>
      <c r="O1134" t="s">
        <v>90</v>
      </c>
      <c r="P1134">
        <v>0</v>
      </c>
      <c r="Q1134" t="s">
        <v>90</v>
      </c>
      <c r="R1134">
        <v>0</v>
      </c>
      <c r="S1134" t="s">
        <v>90</v>
      </c>
      <c r="T1134">
        <v>0</v>
      </c>
      <c r="U1134">
        <v>2.6581392828074521E-2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15</v>
      </c>
      <c r="AB1134">
        <v>1</v>
      </c>
      <c r="AC1134">
        <v>0.1</v>
      </c>
      <c r="AD1134">
        <v>0.10987913295375087</v>
      </c>
      <c r="AE1134">
        <v>600</v>
      </c>
      <c r="AF1134">
        <v>200000</v>
      </c>
      <c r="AG1134">
        <v>10000</v>
      </c>
      <c r="AH1134">
        <v>1</v>
      </c>
      <c r="AI1134">
        <v>1</v>
      </c>
      <c r="AJ1134" t="s">
        <v>76</v>
      </c>
      <c r="AK1134" t="s">
        <v>176</v>
      </c>
      <c r="AL1134">
        <v>0</v>
      </c>
      <c r="AM1134" t="s">
        <v>176</v>
      </c>
      <c r="AN1134">
        <v>0</v>
      </c>
    </row>
    <row r="1135" spans="1:40" x14ac:dyDescent="0.15">
      <c r="A1135" s="4" t="str">
        <f>HYPERLINK("https://ibp.a2mac1.com/costing(costing:projects/details/9760/process/12085130)","Injection molding")</f>
        <v>Injection molding</v>
      </c>
      <c r="B1135" t="s">
        <v>7054</v>
      </c>
      <c r="C1135">
        <v>12085130</v>
      </c>
      <c r="D1135">
        <v>8415719</v>
      </c>
      <c r="E1135">
        <v>3.5606573615773196</v>
      </c>
      <c r="F1135">
        <v>0</v>
      </c>
      <c r="G1135">
        <v>0</v>
      </c>
      <c r="H1135">
        <v>3.7086466259793815E-3</v>
      </c>
      <c r="I1135" t="s">
        <v>176</v>
      </c>
      <c r="J1135">
        <v>0.12481022298969072</v>
      </c>
      <c r="K1135">
        <v>3.6891762311929899</v>
      </c>
      <c r="L1135">
        <v>0.15892745108744274</v>
      </c>
      <c r="M1135">
        <v>0.95356470652465652</v>
      </c>
      <c r="N1135">
        <v>4.6427409377176465</v>
      </c>
      <c r="O1135" t="s">
        <v>177</v>
      </c>
      <c r="P1135">
        <v>0.22135057387157939</v>
      </c>
      <c r="Q1135" t="s">
        <v>177</v>
      </c>
      <c r="R1135">
        <v>5.7213882391479391E-2</v>
      </c>
      <c r="S1135" t="s">
        <v>178</v>
      </c>
      <c r="T1135">
        <v>0.55712891252611751</v>
      </c>
      <c r="U1135">
        <v>5.4784343065068226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34.886850000000003</v>
      </c>
      <c r="AB1135">
        <v>1</v>
      </c>
      <c r="AC1135">
        <v>0.1</v>
      </c>
      <c r="AD1135">
        <v>0.10389195236953569</v>
      </c>
      <c r="AE1135">
        <v>21600</v>
      </c>
      <c r="AF1135">
        <v>200000</v>
      </c>
      <c r="AG1135">
        <v>16666.666666666668</v>
      </c>
      <c r="AH1135">
        <v>1</v>
      </c>
      <c r="AI1135">
        <v>1</v>
      </c>
      <c r="AJ1135" t="s">
        <v>162</v>
      </c>
      <c r="AK1135" t="s">
        <v>176</v>
      </c>
      <c r="AL1135">
        <v>0</v>
      </c>
      <c r="AM1135" t="s">
        <v>176</v>
      </c>
      <c r="AN1135">
        <v>0</v>
      </c>
    </row>
    <row r="1136" spans="1:40" x14ac:dyDescent="0.15">
      <c r="A1136" s="4" t="str">
        <f>HYPERLINK("https://ibp.a2mac1.com/costing(costing:projects/details/9760/process/12085132)","Injection molding")</f>
        <v>Injection molding</v>
      </c>
      <c r="C1136">
        <v>12085132</v>
      </c>
      <c r="D1136">
        <v>8415721</v>
      </c>
      <c r="E1136">
        <v>6.3883722000000004E-2</v>
      </c>
      <c r="F1136">
        <v>0</v>
      </c>
      <c r="G1136">
        <v>0</v>
      </c>
      <c r="H1136">
        <v>3.2406178778947368E-4</v>
      </c>
      <c r="I1136" t="s">
        <v>176</v>
      </c>
      <c r="J1136">
        <v>2.2415341052631579E-3</v>
      </c>
      <c r="K1136">
        <v>6.6449317893052626E-2</v>
      </c>
      <c r="L1136">
        <v>7.8912868272557534E-4</v>
      </c>
      <c r="M1136">
        <v>4.7347720963534521E-3</v>
      </c>
      <c r="N1136">
        <v>7.1184089989406077E-2</v>
      </c>
      <c r="O1136" t="s">
        <v>177</v>
      </c>
      <c r="P1136">
        <v>3.9869590735831578E-3</v>
      </c>
      <c r="Q1136" t="s">
        <v>177</v>
      </c>
      <c r="R1136">
        <v>2.8408632578120715E-4</v>
      </c>
      <c r="S1136" t="s">
        <v>178</v>
      </c>
      <c r="T1136">
        <v>8.5420907987287294E-3</v>
      </c>
      <c r="U1136">
        <v>8.3997226187499177E-2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60</v>
      </c>
      <c r="AB1136">
        <v>1</v>
      </c>
      <c r="AC1136">
        <v>0.5</v>
      </c>
      <c r="AD1136">
        <v>0.50345253019720215</v>
      </c>
      <c r="AE1136">
        <v>45.9</v>
      </c>
      <c r="AF1136">
        <v>200000</v>
      </c>
      <c r="AG1136">
        <v>16666.666666666668</v>
      </c>
      <c r="AH1136">
        <v>1</v>
      </c>
      <c r="AI1136">
        <v>1</v>
      </c>
      <c r="AJ1136" t="s">
        <v>162</v>
      </c>
      <c r="AK1136" t="s">
        <v>176</v>
      </c>
      <c r="AL1136">
        <v>0</v>
      </c>
      <c r="AM1136" t="s">
        <v>176</v>
      </c>
      <c r="AN1136">
        <v>0</v>
      </c>
    </row>
    <row r="1137" spans="1:40" x14ac:dyDescent="0.15">
      <c r="A1137" s="4" t="str">
        <f>HYPERLINK("https://ibp.a2mac1.com/costing(costing:projects/details/9760/process/12085133)","Injection molding")</f>
        <v>Injection molding</v>
      </c>
      <c r="B1137" t="s">
        <v>7065</v>
      </c>
      <c r="C1137">
        <v>12085133</v>
      </c>
      <c r="D1137">
        <v>8415722</v>
      </c>
      <c r="E1137">
        <v>0.16946573534536083</v>
      </c>
      <c r="F1137">
        <v>0</v>
      </c>
      <c r="G1137">
        <v>0</v>
      </c>
      <c r="H1137">
        <v>1.7271482613402062E-4</v>
      </c>
      <c r="I1137" t="s">
        <v>176</v>
      </c>
      <c r="J1137">
        <v>5.9851672422680411E-3</v>
      </c>
      <c r="K1137">
        <v>0.17562361741376289</v>
      </c>
      <c r="L1137">
        <v>1.0223128879955195E-2</v>
      </c>
      <c r="M1137">
        <v>6.1338773279731168E-2</v>
      </c>
      <c r="N1137">
        <v>0.23696239069349406</v>
      </c>
      <c r="O1137" t="s">
        <v>177</v>
      </c>
      <c r="P1137">
        <v>1.0537417044825774E-2</v>
      </c>
      <c r="Q1137" t="s">
        <v>177</v>
      </c>
      <c r="R1137">
        <v>3.6803263967838703E-3</v>
      </c>
      <c r="S1137" t="s">
        <v>178</v>
      </c>
      <c r="T1137">
        <v>2.8435486883219285E-2</v>
      </c>
      <c r="U1137">
        <v>0.27961562101832299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32.50264</v>
      </c>
      <c r="AB1137">
        <v>1</v>
      </c>
      <c r="AC1137">
        <v>0.1</v>
      </c>
      <c r="AD1137">
        <v>0.1008980929261446</v>
      </c>
      <c r="AE1137">
        <v>7200</v>
      </c>
      <c r="AF1137">
        <v>400000</v>
      </c>
      <c r="AG1137">
        <v>33333.333333333336</v>
      </c>
      <c r="AH1137">
        <v>1</v>
      </c>
      <c r="AI1137">
        <v>1</v>
      </c>
      <c r="AJ1137" t="s">
        <v>162</v>
      </c>
      <c r="AK1137" t="s">
        <v>176</v>
      </c>
      <c r="AL1137">
        <v>0</v>
      </c>
      <c r="AM1137" t="s">
        <v>176</v>
      </c>
      <c r="AN1137">
        <v>0</v>
      </c>
    </row>
    <row r="1138" spans="1:40" x14ac:dyDescent="0.15">
      <c r="A1138" s="4" t="str">
        <f>HYPERLINK("https://ibp.a2mac1.com/costing(costing:projects/details/9760/process/12085134)","Injection molding")</f>
        <v>Injection molding</v>
      </c>
      <c r="B1138" t="s">
        <v>7065</v>
      </c>
      <c r="C1138">
        <v>12085134</v>
      </c>
      <c r="D1138">
        <v>8415723</v>
      </c>
      <c r="E1138">
        <v>0.16946573534536083</v>
      </c>
      <c r="F1138">
        <v>0</v>
      </c>
      <c r="G1138">
        <v>0</v>
      </c>
      <c r="H1138">
        <v>1.7271482613402062E-4</v>
      </c>
      <c r="I1138" t="s">
        <v>176</v>
      </c>
      <c r="J1138">
        <v>5.9851672422680411E-3</v>
      </c>
      <c r="K1138">
        <v>0.17562361741376289</v>
      </c>
      <c r="L1138">
        <v>1.0223128879955195E-2</v>
      </c>
      <c r="M1138">
        <v>6.1338773279731168E-2</v>
      </c>
      <c r="N1138">
        <v>0.23696239069349406</v>
      </c>
      <c r="O1138" t="s">
        <v>177</v>
      </c>
      <c r="P1138">
        <v>1.0537417044825774E-2</v>
      </c>
      <c r="Q1138" t="s">
        <v>177</v>
      </c>
      <c r="R1138">
        <v>3.6803263967838703E-3</v>
      </c>
      <c r="S1138" t="s">
        <v>178</v>
      </c>
      <c r="T1138">
        <v>2.8435486883219285E-2</v>
      </c>
      <c r="U1138">
        <v>0.27961562101832299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32.50264</v>
      </c>
      <c r="AB1138">
        <v>1</v>
      </c>
      <c r="AC1138">
        <v>0.1</v>
      </c>
      <c r="AD1138">
        <v>0.1008980929261446</v>
      </c>
      <c r="AE1138">
        <v>7200</v>
      </c>
      <c r="AF1138">
        <v>400000</v>
      </c>
      <c r="AG1138">
        <v>33333.333333333336</v>
      </c>
      <c r="AH1138">
        <v>1</v>
      </c>
      <c r="AI1138">
        <v>1</v>
      </c>
      <c r="AJ1138" t="s">
        <v>162</v>
      </c>
      <c r="AK1138" t="s">
        <v>176</v>
      </c>
      <c r="AL1138">
        <v>0</v>
      </c>
      <c r="AM1138" t="s">
        <v>176</v>
      </c>
      <c r="AN1138">
        <v>0</v>
      </c>
    </row>
    <row r="1139" spans="1:40" x14ac:dyDescent="0.15">
      <c r="A1139" s="4" t="str">
        <f>HYPERLINK("https://ibp.a2mac1.com/costing(costing:projects/details/9760/process/12085369)","Automated Process")</f>
        <v>Automated Process</v>
      </c>
      <c r="B1139" t="s">
        <v>4235</v>
      </c>
      <c r="C1139">
        <v>12085369</v>
      </c>
      <c r="D1139">
        <v>8416053</v>
      </c>
      <c r="E1139">
        <v>0.49603831199999998</v>
      </c>
      <c r="F1139">
        <v>0</v>
      </c>
      <c r="G1139">
        <v>0</v>
      </c>
      <c r="H1139">
        <v>2.5162444698947368E-3</v>
      </c>
      <c r="I1139" t="s">
        <v>176</v>
      </c>
      <c r="J1139">
        <v>1.7404853052631578E-2</v>
      </c>
      <c r="K1139">
        <v>0.51595940952252628</v>
      </c>
      <c r="L1139">
        <v>4.297823205519534E-2</v>
      </c>
      <c r="M1139">
        <v>0.25786939233117206</v>
      </c>
      <c r="N1139">
        <v>0.7738288018536984</v>
      </c>
      <c r="O1139" t="s">
        <v>177</v>
      </c>
      <c r="P1139">
        <v>3.0957564571351581E-2</v>
      </c>
      <c r="Q1139" t="s">
        <v>177</v>
      </c>
      <c r="R1139">
        <v>1.5472163539870323E-2</v>
      </c>
      <c r="S1139" t="s">
        <v>178</v>
      </c>
      <c r="T1139">
        <v>9.2859456222443806E-2</v>
      </c>
      <c r="U1139">
        <v>0.91311798618736406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23</v>
      </c>
      <c r="AB1139">
        <v>1</v>
      </c>
      <c r="AC1139">
        <v>0.5</v>
      </c>
      <c r="AD1139">
        <v>0.50345253019720215</v>
      </c>
      <c r="AE1139">
        <v>10800</v>
      </c>
      <c r="AF1139">
        <v>200000</v>
      </c>
      <c r="AG1139">
        <v>16666.666666666668</v>
      </c>
      <c r="AH1139">
        <v>1</v>
      </c>
      <c r="AI1139">
        <v>1</v>
      </c>
      <c r="AJ1139" t="s">
        <v>162</v>
      </c>
      <c r="AK1139" t="s">
        <v>176</v>
      </c>
      <c r="AL1139">
        <v>0</v>
      </c>
      <c r="AM1139" t="s">
        <v>176</v>
      </c>
      <c r="AN1139">
        <v>0</v>
      </c>
    </row>
    <row r="1140" spans="1:40" x14ac:dyDescent="0.15">
      <c r="A1140" s="4" t="str">
        <f>HYPERLINK("https://ibp.a2mac1.com/costing(costing:projects/details/9760/process/12085370)","Automated Process")</f>
        <v>Automated Process</v>
      </c>
      <c r="B1140" t="s">
        <v>4235</v>
      </c>
      <c r="C1140">
        <v>12085370</v>
      </c>
      <c r="D1140">
        <v>8416054</v>
      </c>
      <c r="E1140">
        <v>0.49228044599999998</v>
      </c>
      <c r="F1140">
        <v>0</v>
      </c>
      <c r="G1140">
        <v>0</v>
      </c>
      <c r="H1140">
        <v>2.4971820117894736E-3</v>
      </c>
      <c r="I1140" t="s">
        <v>176</v>
      </c>
      <c r="J1140">
        <v>1.7272998105263157E-2</v>
      </c>
      <c r="K1140">
        <v>0.51205062611705265</v>
      </c>
      <c r="L1140">
        <v>4.1212148323563194E-2</v>
      </c>
      <c r="M1140">
        <v>0.24727288994137919</v>
      </c>
      <c r="N1140">
        <v>0.75932351605843185</v>
      </c>
      <c r="O1140" t="s">
        <v>177</v>
      </c>
      <c r="P1140">
        <v>3.0723037567023159E-2</v>
      </c>
      <c r="Q1140" t="s">
        <v>177</v>
      </c>
      <c r="R1140">
        <v>1.4836373396482751E-2</v>
      </c>
      <c r="S1140" t="s">
        <v>178</v>
      </c>
      <c r="T1140">
        <v>9.1118821927011817E-2</v>
      </c>
      <c r="U1140">
        <v>0.89600174894894957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22</v>
      </c>
      <c r="AB1140">
        <v>1</v>
      </c>
      <c r="AC1140">
        <v>0.5</v>
      </c>
      <c r="AD1140">
        <v>0.50345253019720215</v>
      </c>
      <c r="AE1140">
        <v>10800</v>
      </c>
      <c r="AF1140">
        <v>200000</v>
      </c>
      <c r="AG1140">
        <v>16666.666666666668</v>
      </c>
      <c r="AH1140">
        <v>1</v>
      </c>
      <c r="AI1140">
        <v>1</v>
      </c>
      <c r="AJ1140" t="s">
        <v>162</v>
      </c>
      <c r="AK1140" t="s">
        <v>176</v>
      </c>
      <c r="AL1140">
        <v>0</v>
      </c>
      <c r="AM1140" t="s">
        <v>176</v>
      </c>
      <c r="AN1140">
        <v>0</v>
      </c>
    </row>
    <row r="1141" spans="1:40" x14ac:dyDescent="0.15">
      <c r="A1141" s="4" t="str">
        <f>HYPERLINK("https://ibp.a2mac1.com/costing(costing:projects/details/9760/process/12085371)","Automated Process")</f>
        <v>Automated Process</v>
      </c>
      <c r="B1141" t="s">
        <v>4235</v>
      </c>
      <c r="C1141">
        <v>12085371</v>
      </c>
      <c r="D1141">
        <v>8416055</v>
      </c>
      <c r="E1141">
        <v>0.50543297700000001</v>
      </c>
      <c r="F1141">
        <v>0</v>
      </c>
      <c r="G1141">
        <v>0</v>
      </c>
      <c r="H1141">
        <v>2.5639006151578947E-3</v>
      </c>
      <c r="I1141" t="s">
        <v>176</v>
      </c>
      <c r="J1141">
        <v>1.7734490421052632E-2</v>
      </c>
      <c r="K1141">
        <v>0.52573136803621057</v>
      </c>
      <c r="L1141">
        <v>4.297823205519534E-2</v>
      </c>
      <c r="M1141">
        <v>0.25786939233117206</v>
      </c>
      <c r="N1141">
        <v>0.78360076036738258</v>
      </c>
      <c r="O1141" t="s">
        <v>177</v>
      </c>
      <c r="P1141">
        <v>3.1543882082172632E-2</v>
      </c>
      <c r="Q1141" t="s">
        <v>177</v>
      </c>
      <c r="R1141">
        <v>1.5472163539870323E-2</v>
      </c>
      <c r="S1141" t="s">
        <v>178</v>
      </c>
      <c r="T1141">
        <v>9.4032091244085902E-2</v>
      </c>
      <c r="U1141">
        <v>0.9246488972335114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23</v>
      </c>
      <c r="AB1141">
        <v>1</v>
      </c>
      <c r="AC1141">
        <v>0.5</v>
      </c>
      <c r="AD1141">
        <v>0.50345253019720215</v>
      </c>
      <c r="AE1141">
        <v>10800</v>
      </c>
      <c r="AF1141">
        <v>200000</v>
      </c>
      <c r="AG1141">
        <v>16666.666666666668</v>
      </c>
      <c r="AH1141">
        <v>1</v>
      </c>
      <c r="AI1141">
        <v>1</v>
      </c>
      <c r="AJ1141" t="s">
        <v>162</v>
      </c>
      <c r="AK1141" t="s">
        <v>176</v>
      </c>
      <c r="AL1141">
        <v>0</v>
      </c>
      <c r="AM1141" t="s">
        <v>176</v>
      </c>
      <c r="AN1141">
        <v>0</v>
      </c>
    </row>
    <row r="1142" spans="1:40" x14ac:dyDescent="0.15">
      <c r="A1142" s="4" t="str">
        <f>HYPERLINK("https://ibp.a2mac1.com/costing(costing:projects/details/9760/process/12085372)","Automated Process")</f>
        <v>Automated Process</v>
      </c>
      <c r="B1142" t="s">
        <v>4235</v>
      </c>
      <c r="C1142">
        <v>12085372</v>
      </c>
      <c r="D1142">
        <v>8416056</v>
      </c>
      <c r="E1142">
        <v>0.50543297700000001</v>
      </c>
      <c r="F1142">
        <v>0</v>
      </c>
      <c r="G1142">
        <v>0</v>
      </c>
      <c r="H1142">
        <v>2.5639006151578947E-3</v>
      </c>
      <c r="I1142" t="s">
        <v>176</v>
      </c>
      <c r="J1142">
        <v>1.7734490421052632E-2</v>
      </c>
      <c r="K1142">
        <v>0.52573136803621057</v>
      </c>
      <c r="L1142">
        <v>4.297823205519534E-2</v>
      </c>
      <c r="M1142">
        <v>0.25786939233117206</v>
      </c>
      <c r="N1142">
        <v>0.78360076036738258</v>
      </c>
      <c r="O1142" t="s">
        <v>177</v>
      </c>
      <c r="P1142">
        <v>3.1543882082172632E-2</v>
      </c>
      <c r="Q1142" t="s">
        <v>177</v>
      </c>
      <c r="R1142">
        <v>1.5472163539870323E-2</v>
      </c>
      <c r="S1142" t="s">
        <v>178</v>
      </c>
      <c r="T1142">
        <v>9.4032091244085902E-2</v>
      </c>
      <c r="U1142">
        <v>0.9246488972335114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23</v>
      </c>
      <c r="AB1142">
        <v>1</v>
      </c>
      <c r="AC1142">
        <v>0.5</v>
      </c>
      <c r="AD1142">
        <v>0.50345253019720215</v>
      </c>
      <c r="AE1142">
        <v>10800</v>
      </c>
      <c r="AF1142">
        <v>200000</v>
      </c>
      <c r="AG1142">
        <v>16666.666666666668</v>
      </c>
      <c r="AH1142">
        <v>1</v>
      </c>
      <c r="AI1142">
        <v>1</v>
      </c>
      <c r="AJ1142" t="s">
        <v>162</v>
      </c>
      <c r="AK1142" t="s">
        <v>176</v>
      </c>
      <c r="AL1142">
        <v>0</v>
      </c>
      <c r="AM1142" t="s">
        <v>176</v>
      </c>
      <c r="AN1142">
        <v>0</v>
      </c>
    </row>
    <row r="1143" spans="1:40" x14ac:dyDescent="0.15">
      <c r="A1143" s="4" t="str">
        <f>HYPERLINK("https://ibp.a2mac1.com/costing(costing:projects/details/9760/process/12085135)","Automated Process")</f>
        <v>Automated Process</v>
      </c>
      <c r="B1143" t="s">
        <v>4235</v>
      </c>
      <c r="C1143">
        <v>12085135</v>
      </c>
      <c r="D1143">
        <v>8415724</v>
      </c>
      <c r="E1143">
        <v>3.3369850080000001</v>
      </c>
      <c r="F1143">
        <v>0</v>
      </c>
      <c r="G1143">
        <v>0</v>
      </c>
      <c r="H1143">
        <v>1.6927462797473685E-2</v>
      </c>
      <c r="I1143" t="s">
        <v>176</v>
      </c>
      <c r="J1143">
        <v>0.11708719326315789</v>
      </c>
      <c r="K1143">
        <v>3.4709996640606318</v>
      </c>
      <c r="L1143">
        <v>0.27080303343574191</v>
      </c>
      <c r="M1143">
        <v>1.6248182006144516</v>
      </c>
      <c r="N1143">
        <v>5.0958178646750829</v>
      </c>
      <c r="O1143" t="s">
        <v>177</v>
      </c>
      <c r="P1143">
        <v>0.20825997984363789</v>
      </c>
      <c r="Q1143" t="s">
        <v>177</v>
      </c>
      <c r="R1143">
        <v>9.7489092036867092E-2</v>
      </c>
      <c r="S1143" t="s">
        <v>178</v>
      </c>
      <c r="T1143">
        <v>0.61149814376100997</v>
      </c>
      <c r="U1143">
        <v>6.0130650803165979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152</v>
      </c>
      <c r="AB1143">
        <v>1</v>
      </c>
      <c r="AC1143">
        <v>0.5</v>
      </c>
      <c r="AD1143">
        <v>0.50345253019720215</v>
      </c>
      <c r="AE1143">
        <v>10800</v>
      </c>
      <c r="AF1143">
        <v>200000</v>
      </c>
      <c r="AG1143">
        <v>16666.666666666668</v>
      </c>
      <c r="AH1143">
        <v>1</v>
      </c>
      <c r="AI1143">
        <v>1</v>
      </c>
      <c r="AJ1143" t="s">
        <v>162</v>
      </c>
      <c r="AK1143" t="s">
        <v>176</v>
      </c>
      <c r="AL1143">
        <v>0</v>
      </c>
      <c r="AM1143" t="s">
        <v>176</v>
      </c>
      <c r="AN1143">
        <v>0</v>
      </c>
    </row>
    <row r="1144" spans="1:40" x14ac:dyDescent="0.15">
      <c r="A1144" s="4" t="str">
        <f>HYPERLINK("https://ibp.a2mac1.com/costing(costing:projects/details/9760/process/12085136)","Automated Process")</f>
        <v>Automated Process</v>
      </c>
      <c r="B1144" t="s">
        <v>4235</v>
      </c>
      <c r="C1144">
        <v>12085136</v>
      </c>
      <c r="D1144">
        <v>8415725</v>
      </c>
      <c r="E1144">
        <v>3.2975274149999998</v>
      </c>
      <c r="F1144">
        <v>0</v>
      </c>
      <c r="G1144">
        <v>0</v>
      </c>
      <c r="H1144">
        <v>1.672730698736842E-2</v>
      </c>
      <c r="I1144" t="s">
        <v>176</v>
      </c>
      <c r="J1144">
        <v>0.11570271631578948</v>
      </c>
      <c r="K1144">
        <v>3.4299574383031577</v>
      </c>
      <c r="L1144">
        <v>0.26727086597247762</v>
      </c>
      <c r="M1144">
        <v>1.6036251958348657</v>
      </c>
      <c r="N1144">
        <v>5.0335826341380239</v>
      </c>
      <c r="O1144" t="s">
        <v>177</v>
      </c>
      <c r="P1144">
        <v>0.20579744629818947</v>
      </c>
      <c r="Q1144" t="s">
        <v>177</v>
      </c>
      <c r="R1144">
        <v>9.6217511750091952E-2</v>
      </c>
      <c r="S1144" t="s">
        <v>178</v>
      </c>
      <c r="T1144">
        <v>0.60402991609656287</v>
      </c>
      <c r="U1144">
        <v>5.939627508282868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150</v>
      </c>
      <c r="AB1144">
        <v>1</v>
      </c>
      <c r="AC1144">
        <v>0.5</v>
      </c>
      <c r="AD1144">
        <v>0.50345253019720215</v>
      </c>
      <c r="AE1144">
        <v>10800</v>
      </c>
      <c r="AF1144">
        <v>200000</v>
      </c>
      <c r="AG1144">
        <v>16666.666666666668</v>
      </c>
      <c r="AH1144">
        <v>1</v>
      </c>
      <c r="AI1144">
        <v>1</v>
      </c>
      <c r="AJ1144" t="s">
        <v>162</v>
      </c>
      <c r="AK1144" t="s">
        <v>176</v>
      </c>
      <c r="AL1144">
        <v>0</v>
      </c>
      <c r="AM1144" t="s">
        <v>176</v>
      </c>
      <c r="AN1144">
        <v>0</v>
      </c>
    </row>
    <row r="1145" spans="1:40" x14ac:dyDescent="0.15">
      <c r="A1145" s="4" t="str">
        <f>HYPERLINK("https://ibp.a2mac1.com/costing(costing:projects/details/9760/process/12085373)","Automated Process")</f>
        <v>Automated Process</v>
      </c>
      <c r="B1145" t="s">
        <v>4235</v>
      </c>
      <c r="C1145">
        <v>12085373</v>
      </c>
      <c r="D1145">
        <v>8416057</v>
      </c>
      <c r="E1145">
        <v>6.4076039999999999E-3</v>
      </c>
      <c r="F1145">
        <v>0</v>
      </c>
      <c r="G1145">
        <v>0</v>
      </c>
      <c r="H1145">
        <v>3.2503735578947366E-5</v>
      </c>
      <c r="I1145" t="s">
        <v>176</v>
      </c>
      <c r="J1145">
        <v>2.2482821052631578E-4</v>
      </c>
      <c r="K1145">
        <v>6.664935946105263E-3</v>
      </c>
      <c r="L1145">
        <v>4.1243899592881732E-3</v>
      </c>
      <c r="M1145">
        <v>2.4746339755729041E-2</v>
      </c>
      <c r="N1145">
        <v>3.1411275701834301E-2</v>
      </c>
      <c r="O1145" t="s">
        <v>177</v>
      </c>
      <c r="P1145">
        <v>3.9989615676631581E-4</v>
      </c>
      <c r="Q1145" t="s">
        <v>177</v>
      </c>
      <c r="R1145">
        <v>1.4847803853437424E-3</v>
      </c>
      <c r="S1145" t="s">
        <v>178</v>
      </c>
      <c r="T1145">
        <v>3.7693530842201166E-3</v>
      </c>
      <c r="U1145">
        <v>3.7065305328164475E-2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0.5</v>
      </c>
      <c r="AD1145">
        <v>0.50345253019720215</v>
      </c>
      <c r="AE1145">
        <v>10800</v>
      </c>
      <c r="AF1145">
        <v>200000</v>
      </c>
      <c r="AG1145">
        <v>16666.666666666668</v>
      </c>
      <c r="AH1145">
        <v>1</v>
      </c>
      <c r="AI1145">
        <v>1</v>
      </c>
      <c r="AJ1145" t="s">
        <v>162</v>
      </c>
      <c r="AK1145" t="s">
        <v>176</v>
      </c>
      <c r="AL1145">
        <v>0</v>
      </c>
      <c r="AM1145" t="s">
        <v>176</v>
      </c>
      <c r="AN1145">
        <v>0</v>
      </c>
    </row>
    <row r="1146" spans="1:40" x14ac:dyDescent="0.15">
      <c r="A1146" s="4" t="str">
        <f>HYPERLINK("https://ibp.a2mac1.com/costing(costing:projects/details/9760/process/12085137)","Automated Process")</f>
        <v>Automated Process</v>
      </c>
      <c r="B1146" t="s">
        <v>4235</v>
      </c>
      <c r="C1146">
        <v>12085137</v>
      </c>
      <c r="D1146">
        <v>8415727</v>
      </c>
      <c r="E1146">
        <v>0.118372779</v>
      </c>
      <c r="F1146">
        <v>0</v>
      </c>
      <c r="G1146">
        <v>0</v>
      </c>
      <c r="H1146">
        <v>6.0046743031578944E-4</v>
      </c>
      <c r="I1146" t="s">
        <v>176</v>
      </c>
      <c r="J1146">
        <v>4.1534308421052627E-3</v>
      </c>
      <c r="K1146">
        <v>0.12312667727242105</v>
      </c>
      <c r="L1146">
        <v>1.1188724885816749E-2</v>
      </c>
      <c r="M1146">
        <v>6.7132349314900502E-2</v>
      </c>
      <c r="N1146">
        <v>0.19025902658732155</v>
      </c>
      <c r="O1146" t="s">
        <v>177</v>
      </c>
      <c r="P1146">
        <v>7.3876006363452632E-3</v>
      </c>
      <c r="Q1146" t="s">
        <v>177</v>
      </c>
      <c r="R1146">
        <v>4.02794095889403E-3</v>
      </c>
      <c r="S1146" t="s">
        <v>178</v>
      </c>
      <c r="T1146">
        <v>2.2831083190478586E-2</v>
      </c>
      <c r="U1146">
        <v>0.22450565137303943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5</v>
      </c>
      <c r="AB1146">
        <v>1</v>
      </c>
      <c r="AC1146">
        <v>0.5</v>
      </c>
      <c r="AD1146">
        <v>0.50345253019720215</v>
      </c>
      <c r="AE1146">
        <v>10800</v>
      </c>
      <c r="AF1146">
        <v>200000</v>
      </c>
      <c r="AG1146">
        <v>16666.666666666668</v>
      </c>
      <c r="AH1146">
        <v>1</v>
      </c>
      <c r="AI1146">
        <v>1</v>
      </c>
      <c r="AJ1146" t="s">
        <v>162</v>
      </c>
      <c r="AK1146" t="s">
        <v>176</v>
      </c>
      <c r="AL1146">
        <v>0</v>
      </c>
      <c r="AM1146" t="s">
        <v>176</v>
      </c>
      <c r="AN1146">
        <v>0</v>
      </c>
    </row>
    <row r="1147" spans="1:40" x14ac:dyDescent="0.15">
      <c r="A1147" s="4" t="str">
        <f>HYPERLINK("https://ibp.a2mac1.com/costing(costing:projects/details/9760/process/12085138)","Automated Process")</f>
        <v>Automated Process</v>
      </c>
      <c r="B1147" t="s">
        <v>4235</v>
      </c>
      <c r="C1147">
        <v>12085138</v>
      </c>
      <c r="D1147">
        <v>8415728</v>
      </c>
      <c r="E1147">
        <v>0.114614913</v>
      </c>
      <c r="F1147">
        <v>0</v>
      </c>
      <c r="G1147">
        <v>0</v>
      </c>
      <c r="H1147">
        <v>5.8140497221052627E-4</v>
      </c>
      <c r="I1147" t="s">
        <v>176</v>
      </c>
      <c r="J1147">
        <v>4.0215758947368422E-3</v>
      </c>
      <c r="K1147">
        <v>0.11921789386694737</v>
      </c>
      <c r="L1147">
        <v>1.1188724885816749E-2</v>
      </c>
      <c r="M1147">
        <v>6.7132349314900502E-2</v>
      </c>
      <c r="N1147">
        <v>0.18635024318184787</v>
      </c>
      <c r="O1147" t="s">
        <v>177</v>
      </c>
      <c r="P1147">
        <v>7.1530736320168419E-3</v>
      </c>
      <c r="Q1147" t="s">
        <v>177</v>
      </c>
      <c r="R1147">
        <v>4.02794095889403E-3</v>
      </c>
      <c r="S1147" t="s">
        <v>178</v>
      </c>
      <c r="T1147">
        <v>2.2362029181821744E-2</v>
      </c>
      <c r="U1147">
        <v>0.21989328695458049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5</v>
      </c>
      <c r="AB1147">
        <v>1</v>
      </c>
      <c r="AC1147">
        <v>0.5</v>
      </c>
      <c r="AD1147">
        <v>0.50345253019720215</v>
      </c>
      <c r="AE1147">
        <v>10800</v>
      </c>
      <c r="AF1147">
        <v>200000</v>
      </c>
      <c r="AG1147">
        <v>16666.666666666668</v>
      </c>
      <c r="AH1147">
        <v>1</v>
      </c>
      <c r="AI1147">
        <v>1</v>
      </c>
      <c r="AJ1147" t="s">
        <v>162</v>
      </c>
      <c r="AK1147" t="s">
        <v>176</v>
      </c>
      <c r="AL1147">
        <v>0</v>
      </c>
      <c r="AM1147" t="s">
        <v>176</v>
      </c>
      <c r="AN1147">
        <v>0</v>
      </c>
    </row>
    <row r="1148" spans="1:40" x14ac:dyDescent="0.15">
      <c r="A1148" s="4" t="str">
        <f>HYPERLINK("https://ibp.a2mac1.com/costing(costing:projects/details/9760/process/12085800)","Automated Process")</f>
        <v>Automated Process</v>
      </c>
      <c r="B1148" t="s">
        <v>5424</v>
      </c>
      <c r="C1148">
        <v>12085800</v>
      </c>
      <c r="D1148">
        <v>8416388</v>
      </c>
      <c r="E1148">
        <v>3.2977750000000001</v>
      </c>
      <c r="F1148">
        <v>0</v>
      </c>
      <c r="G1148">
        <v>0</v>
      </c>
      <c r="H1148">
        <v>1.6587808249999999E-2</v>
      </c>
      <c r="I1148" t="s">
        <v>176</v>
      </c>
      <c r="J1148">
        <v>0.115422125</v>
      </c>
      <c r="K1148">
        <v>3.4297849332500001</v>
      </c>
      <c r="L1148">
        <v>0.27138186334421366</v>
      </c>
      <c r="M1148">
        <v>1.628291180065282</v>
      </c>
      <c r="N1148">
        <v>5.0580761133152823</v>
      </c>
      <c r="O1148" t="s">
        <v>177</v>
      </c>
      <c r="P1148">
        <v>0.205787095995</v>
      </c>
      <c r="Q1148" t="s">
        <v>177</v>
      </c>
      <c r="R1148">
        <v>9.7697470803916914E-2</v>
      </c>
      <c r="S1148" t="s">
        <v>178</v>
      </c>
      <c r="T1148">
        <v>0.60696913359783389</v>
      </c>
      <c r="U1148">
        <v>5.9685298137120331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153</v>
      </c>
      <c r="AB1148">
        <v>1</v>
      </c>
      <c r="AC1148">
        <v>0.5</v>
      </c>
      <c r="AD1148">
        <v>0.50048257265952256</v>
      </c>
      <c r="AE1148">
        <v>10800</v>
      </c>
      <c r="AF1148">
        <v>400000</v>
      </c>
      <c r="AG1148">
        <v>33333.333333333336</v>
      </c>
      <c r="AH1148">
        <v>1</v>
      </c>
      <c r="AI1148">
        <v>1</v>
      </c>
      <c r="AJ1148" t="s">
        <v>162</v>
      </c>
      <c r="AK1148" t="s">
        <v>176</v>
      </c>
      <c r="AL1148">
        <v>0</v>
      </c>
      <c r="AM1148" t="s">
        <v>176</v>
      </c>
      <c r="AN1148">
        <v>0</v>
      </c>
    </row>
    <row r="1149" spans="1:40" x14ac:dyDescent="0.15">
      <c r="A1149" s="4" t="str">
        <f>HYPERLINK("https://ibp.a2mac1.com/costing(costing:projects/details/9760/process/12085801)","Automated Process")</f>
        <v>Automated Process</v>
      </c>
      <c r="B1149" t="s">
        <v>7133</v>
      </c>
      <c r="C1149">
        <v>12085801</v>
      </c>
      <c r="D1149">
        <v>8416389</v>
      </c>
      <c r="E1149">
        <v>0.54063362100000001</v>
      </c>
      <c r="F1149">
        <v>0</v>
      </c>
      <c r="G1149">
        <v>0</v>
      </c>
      <c r="H1149">
        <v>2.8929650145000001E-3</v>
      </c>
      <c r="I1149" t="s">
        <v>176</v>
      </c>
      <c r="J1149">
        <v>2.0129975250000001E-2</v>
      </c>
      <c r="K1149">
        <v>0.56365656126450003</v>
      </c>
      <c r="L1149">
        <v>0.15658984731318418</v>
      </c>
      <c r="M1149">
        <v>0.93953908387910512</v>
      </c>
      <c r="N1149">
        <v>1.503195645143605</v>
      </c>
      <c r="O1149" t="s">
        <v>177</v>
      </c>
      <c r="P1149">
        <v>3.3819393675870002E-2</v>
      </c>
      <c r="Q1149" t="s">
        <v>177</v>
      </c>
      <c r="R1149">
        <v>5.6372345032746303E-2</v>
      </c>
      <c r="S1149" t="s">
        <v>178</v>
      </c>
      <c r="T1149">
        <v>0.18038347741723262</v>
      </c>
      <c r="U1149">
        <v>1.773770861269454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88</v>
      </c>
      <c r="AB1149">
        <v>1</v>
      </c>
      <c r="AC1149">
        <v>0.5</v>
      </c>
      <c r="AD1149">
        <v>0.50048257265952256</v>
      </c>
      <c r="AE1149">
        <v>10800</v>
      </c>
      <c r="AF1149">
        <v>400000</v>
      </c>
      <c r="AG1149">
        <v>33333.333333333336</v>
      </c>
      <c r="AH1149">
        <v>1</v>
      </c>
      <c r="AI1149">
        <v>1</v>
      </c>
      <c r="AJ1149" t="s">
        <v>162</v>
      </c>
      <c r="AK1149" t="s">
        <v>176</v>
      </c>
      <c r="AL1149">
        <v>0</v>
      </c>
      <c r="AM1149" t="s">
        <v>176</v>
      </c>
      <c r="AN1149">
        <v>0</v>
      </c>
    </row>
    <row r="1150" spans="1:40" x14ac:dyDescent="0.15">
      <c r="A1150" s="4" t="str">
        <f>HYPERLINK("https://ibp.a2mac1.com/costing(costing:projects/details/9760/process/12085802)","Automated Process")</f>
        <v>Automated Process</v>
      </c>
      <c r="B1150" t="s">
        <v>4526</v>
      </c>
      <c r="C1150">
        <v>12085802</v>
      </c>
      <c r="D1150">
        <v>8416390</v>
      </c>
      <c r="E1150">
        <v>0.30162859474999998</v>
      </c>
      <c r="F1150">
        <v>0</v>
      </c>
      <c r="G1150">
        <v>0</v>
      </c>
      <c r="H1150">
        <v>1.5487662269473685E-3</v>
      </c>
      <c r="I1150" t="s">
        <v>176</v>
      </c>
      <c r="J1150">
        <v>1.0776703368421053E-2</v>
      </c>
      <c r="K1150">
        <v>0.31395406434536843</v>
      </c>
      <c r="L1150">
        <v>2.7669583155258765E-2</v>
      </c>
      <c r="M1150">
        <v>0.1660174989315526</v>
      </c>
      <c r="N1150">
        <v>0.47997156327692103</v>
      </c>
      <c r="O1150" t="s">
        <v>177</v>
      </c>
      <c r="P1150">
        <v>1.8837243860722105E-2</v>
      </c>
      <c r="Q1150" t="s">
        <v>177</v>
      </c>
      <c r="R1150">
        <v>9.961049935893156E-3</v>
      </c>
      <c r="S1150" t="s">
        <v>178</v>
      </c>
      <c r="T1150">
        <v>5.7596587593230525E-2</v>
      </c>
      <c r="U1150">
        <v>0.56636644466676678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15</v>
      </c>
      <c r="AB1150">
        <v>1</v>
      </c>
      <c r="AC1150">
        <v>0.5</v>
      </c>
      <c r="AD1150">
        <v>0.50048257265952256</v>
      </c>
      <c r="AE1150">
        <v>10800</v>
      </c>
      <c r="AF1150">
        <v>400000</v>
      </c>
      <c r="AG1150">
        <v>33333.333333333336</v>
      </c>
      <c r="AH1150">
        <v>1</v>
      </c>
      <c r="AI1150">
        <v>1</v>
      </c>
      <c r="AJ1150" t="s">
        <v>162</v>
      </c>
      <c r="AK1150" t="s">
        <v>176</v>
      </c>
      <c r="AL1150">
        <v>0</v>
      </c>
      <c r="AM1150" t="s">
        <v>176</v>
      </c>
      <c r="AN1150">
        <v>0</v>
      </c>
    </row>
    <row r="1151" spans="1:40" x14ac:dyDescent="0.15">
      <c r="A1151" s="4" t="str">
        <f>HYPERLINK("https://ibp.a2mac1.com/costing(costing:projects/details/9760/process/12085803)","Automated Process")</f>
        <v>Automated Process</v>
      </c>
      <c r="B1151" t="s">
        <v>7149</v>
      </c>
      <c r="C1151">
        <v>12085803</v>
      </c>
      <c r="D1151">
        <v>8416391</v>
      </c>
      <c r="E1151">
        <v>0.21346636986250001</v>
      </c>
      <c r="F1151">
        <v>0</v>
      </c>
      <c r="G1151">
        <v>0</v>
      </c>
      <c r="H1151">
        <v>1.1230959202635526E-3</v>
      </c>
      <c r="I1151" t="s">
        <v>176</v>
      </c>
      <c r="J1151">
        <v>7.7684500413486846E-3</v>
      </c>
      <c r="K1151">
        <v>0.22235791582411224</v>
      </c>
      <c r="L1151">
        <v>1.8253059812345325E-2</v>
      </c>
      <c r="M1151">
        <v>0.10951835887407195</v>
      </c>
      <c r="N1151">
        <v>0.3318762746981842</v>
      </c>
      <c r="O1151" t="s">
        <v>177</v>
      </c>
      <c r="P1151">
        <v>1.3341474949446734E-2</v>
      </c>
      <c r="Q1151" t="s">
        <v>177</v>
      </c>
      <c r="R1151">
        <v>6.5711015324443171E-3</v>
      </c>
      <c r="S1151" t="s">
        <v>178</v>
      </c>
      <c r="T1151">
        <v>3.9825152963782105E-2</v>
      </c>
      <c r="U1151">
        <v>0.39161400414385733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9</v>
      </c>
      <c r="AB1151">
        <v>1</v>
      </c>
      <c r="AC1151">
        <v>0.5</v>
      </c>
      <c r="AD1151">
        <v>0.50345253019720215</v>
      </c>
      <c r="AE1151">
        <v>10800</v>
      </c>
      <c r="AF1151">
        <v>200000</v>
      </c>
      <c r="AG1151">
        <v>16666.666666666668</v>
      </c>
      <c r="AH1151">
        <v>1</v>
      </c>
      <c r="AI1151">
        <v>1</v>
      </c>
      <c r="AJ1151" t="s">
        <v>162</v>
      </c>
      <c r="AK1151" t="s">
        <v>176</v>
      </c>
      <c r="AL1151">
        <v>0</v>
      </c>
      <c r="AM1151" t="s">
        <v>176</v>
      </c>
      <c r="AN1151">
        <v>0</v>
      </c>
    </row>
    <row r="1152" spans="1:40" x14ac:dyDescent="0.15">
      <c r="A1152" s="4" t="str">
        <f>HYPERLINK("https://ibp.a2mac1.com/costing(costing:projects/details/9760/process/12085804)","Automated Process")</f>
        <v>Automated Process</v>
      </c>
      <c r="B1152" t="s">
        <v>4526</v>
      </c>
      <c r="C1152">
        <v>12085804</v>
      </c>
      <c r="D1152">
        <v>8416392</v>
      </c>
      <c r="E1152">
        <v>8.7047152500000002E-2</v>
      </c>
      <c r="F1152">
        <v>0</v>
      </c>
      <c r="G1152">
        <v>0</v>
      </c>
      <c r="H1152">
        <v>4.4156249789473683E-4</v>
      </c>
      <c r="I1152" t="s">
        <v>176</v>
      </c>
      <c r="J1152">
        <v>3.054286052631579E-3</v>
      </c>
      <c r="K1152">
        <v>9.0543001050526317E-2</v>
      </c>
      <c r="L1152">
        <v>1.1188724885816749E-2</v>
      </c>
      <c r="M1152">
        <v>6.7132349314900502E-2</v>
      </c>
      <c r="N1152">
        <v>0.15767535036542682</v>
      </c>
      <c r="O1152" t="s">
        <v>177</v>
      </c>
      <c r="P1152">
        <v>5.4325800630315793E-3</v>
      </c>
      <c r="Q1152" t="s">
        <v>177</v>
      </c>
      <c r="R1152">
        <v>4.02794095889403E-3</v>
      </c>
      <c r="S1152" t="s">
        <v>178</v>
      </c>
      <c r="T1152">
        <v>1.8921042043851217E-2</v>
      </c>
      <c r="U1152">
        <v>0.18605691343120365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5</v>
      </c>
      <c r="AB1152">
        <v>1</v>
      </c>
      <c r="AC1152">
        <v>0.5</v>
      </c>
      <c r="AD1152">
        <v>0.50345253019720215</v>
      </c>
      <c r="AE1152">
        <v>10800</v>
      </c>
      <c r="AF1152">
        <v>200000</v>
      </c>
      <c r="AG1152">
        <v>16666.666666666668</v>
      </c>
      <c r="AH1152">
        <v>1</v>
      </c>
      <c r="AI1152">
        <v>1</v>
      </c>
      <c r="AJ1152" t="s">
        <v>162</v>
      </c>
      <c r="AK1152" t="s">
        <v>176</v>
      </c>
      <c r="AL1152">
        <v>0</v>
      </c>
      <c r="AM1152" t="s">
        <v>176</v>
      </c>
      <c r="AN1152">
        <v>0</v>
      </c>
    </row>
    <row r="1153" spans="1:40" x14ac:dyDescent="0.15">
      <c r="A1153" s="4" t="str">
        <f>HYPERLINK("https://ibp.a2mac1.com/costing(costing:projects/details/9760/process/12085805)","Automated Process")</f>
        <v>Automated Process</v>
      </c>
      <c r="B1153" t="s">
        <v>5424</v>
      </c>
      <c r="C1153">
        <v>12085805</v>
      </c>
      <c r="D1153">
        <v>8416393</v>
      </c>
      <c r="E1153">
        <v>3.5882079999999998</v>
      </c>
      <c r="F1153">
        <v>0</v>
      </c>
      <c r="G1153">
        <v>0</v>
      </c>
      <c r="H1153">
        <v>1.8156332479999999E-2</v>
      </c>
      <c r="I1153" t="s">
        <v>176</v>
      </c>
      <c r="J1153">
        <v>0.12558728</v>
      </c>
      <c r="K1153">
        <v>3.7319516124800001</v>
      </c>
      <c r="L1153">
        <v>1.4240557101915319</v>
      </c>
      <c r="M1153">
        <v>8.5443342611491921</v>
      </c>
      <c r="N1153">
        <v>12.276285873629192</v>
      </c>
      <c r="O1153" t="s">
        <v>177</v>
      </c>
      <c r="P1153">
        <v>0.2239170967488</v>
      </c>
      <c r="Q1153" t="s">
        <v>177</v>
      </c>
      <c r="R1153">
        <v>0.51266005566895145</v>
      </c>
      <c r="S1153" t="s">
        <v>178</v>
      </c>
      <c r="T1153">
        <v>1.4731543048355029</v>
      </c>
      <c r="U1153">
        <v>14.486017330882445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805</v>
      </c>
      <c r="AB1153">
        <v>1</v>
      </c>
      <c r="AC1153">
        <v>0.5</v>
      </c>
      <c r="AD1153">
        <v>0.50345253019720215</v>
      </c>
      <c r="AE1153">
        <v>10800</v>
      </c>
      <c r="AF1153">
        <v>200000</v>
      </c>
      <c r="AG1153">
        <v>16666.666666666668</v>
      </c>
      <c r="AH1153">
        <v>1</v>
      </c>
      <c r="AI1153">
        <v>1</v>
      </c>
      <c r="AJ1153" t="s">
        <v>162</v>
      </c>
      <c r="AK1153" t="s">
        <v>176</v>
      </c>
      <c r="AL1153">
        <v>0</v>
      </c>
      <c r="AM1153" t="s">
        <v>176</v>
      </c>
      <c r="AN1153">
        <v>0</v>
      </c>
    </row>
    <row r="1154" spans="1:40" x14ac:dyDescent="0.15">
      <c r="A1154" s="4" t="str">
        <f>HYPERLINK("https://ibp.a2mac1.com/costing(costing:projects/details/9760/process/12085374)","Automated Process")</f>
        <v>Automated Process</v>
      </c>
      <c r="B1154" t="s">
        <v>7170</v>
      </c>
      <c r="C1154">
        <v>12085374</v>
      </c>
      <c r="D1154">
        <v>8416061</v>
      </c>
      <c r="E1154">
        <v>84.091800000000006</v>
      </c>
      <c r="F1154">
        <v>0</v>
      </c>
      <c r="G1154">
        <v>0</v>
      </c>
      <c r="H1154">
        <v>0.425504508</v>
      </c>
      <c r="I1154" t="s">
        <v>176</v>
      </c>
      <c r="J1154">
        <v>2.9432130000000001</v>
      </c>
      <c r="K1154">
        <v>87.460517507999995</v>
      </c>
      <c r="L1154">
        <v>1.6006640833547463</v>
      </c>
      <c r="M1154">
        <v>9.6039845001284778</v>
      </c>
      <c r="N1154">
        <v>97.064502008128471</v>
      </c>
      <c r="O1154" t="s">
        <v>177</v>
      </c>
      <c r="P1154">
        <v>5.2476310504799999</v>
      </c>
      <c r="Q1154" t="s">
        <v>177</v>
      </c>
      <c r="R1154">
        <v>0.57623907000770869</v>
      </c>
      <c r="S1154" t="s">
        <v>178</v>
      </c>
      <c r="T1154">
        <v>11.647740240975418</v>
      </c>
      <c r="U1154">
        <v>114.53611236959161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905</v>
      </c>
      <c r="AB1154">
        <v>1</v>
      </c>
      <c r="AC1154">
        <v>0.5</v>
      </c>
      <c r="AD1154">
        <v>0.50345253019720215</v>
      </c>
      <c r="AE1154">
        <v>10800</v>
      </c>
      <c r="AF1154">
        <v>200000</v>
      </c>
      <c r="AG1154">
        <v>16666.666666666668</v>
      </c>
      <c r="AH1154">
        <v>1</v>
      </c>
      <c r="AI1154">
        <v>1</v>
      </c>
      <c r="AJ1154" t="s">
        <v>162</v>
      </c>
      <c r="AK1154" t="s">
        <v>176</v>
      </c>
      <c r="AL1154">
        <v>0</v>
      </c>
      <c r="AM1154" t="s">
        <v>176</v>
      </c>
      <c r="AN1154">
        <v>0</v>
      </c>
    </row>
    <row r="1155" spans="1:40" x14ac:dyDescent="0.15">
      <c r="A1155" s="4" t="str">
        <f>HYPERLINK("https://ibp.a2mac1.com/costing(costing:projects/details/9760/process/12085375)","Automated Process")</f>
        <v>Automated Process</v>
      </c>
      <c r="B1155" t="s">
        <v>4526</v>
      </c>
      <c r="C1155">
        <v>12085375</v>
      </c>
      <c r="D1155">
        <v>8416062</v>
      </c>
      <c r="E1155">
        <v>0.16575690600000001</v>
      </c>
      <c r="F1155">
        <v>0</v>
      </c>
      <c r="G1155">
        <v>0</v>
      </c>
      <c r="H1155">
        <v>8.4083202442105265E-4</v>
      </c>
      <c r="I1155" t="s">
        <v>176</v>
      </c>
      <c r="J1155">
        <v>5.8160317894736845E-3</v>
      </c>
      <c r="K1155">
        <v>0.17241376981389472</v>
      </c>
      <c r="L1155">
        <v>1.6486976080713183E-2</v>
      </c>
      <c r="M1155">
        <v>9.8921856484279092E-2</v>
      </c>
      <c r="N1155">
        <v>0.27133562629817382</v>
      </c>
      <c r="O1155" t="s">
        <v>177</v>
      </c>
      <c r="P1155">
        <v>1.0344826188833684E-2</v>
      </c>
      <c r="Q1155" t="s">
        <v>177</v>
      </c>
      <c r="R1155">
        <v>5.9353113890567456E-3</v>
      </c>
      <c r="S1155" t="s">
        <v>178</v>
      </c>
      <c r="T1155">
        <v>3.256027515578086E-2</v>
      </c>
      <c r="U1155">
        <v>0.32017603903184511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8</v>
      </c>
      <c r="AB1155">
        <v>1</v>
      </c>
      <c r="AC1155">
        <v>0.5</v>
      </c>
      <c r="AD1155">
        <v>0.50345253019720215</v>
      </c>
      <c r="AE1155">
        <v>10800</v>
      </c>
      <c r="AF1155">
        <v>200000</v>
      </c>
      <c r="AG1155">
        <v>16666.666666666668</v>
      </c>
      <c r="AH1155">
        <v>1</v>
      </c>
      <c r="AI1155">
        <v>1</v>
      </c>
      <c r="AJ1155" t="s">
        <v>162</v>
      </c>
      <c r="AK1155" t="s">
        <v>176</v>
      </c>
      <c r="AL1155">
        <v>0</v>
      </c>
      <c r="AM1155" t="s">
        <v>176</v>
      </c>
      <c r="AN1155">
        <v>0</v>
      </c>
    </row>
    <row r="1156" spans="1:40" x14ac:dyDescent="0.15">
      <c r="A1156" s="4" t="str">
        <f>HYPERLINK("https://ibp.a2mac1.com/costing(costing:projects/details/9760/process/12085376)","Automated Process")</f>
        <v>Automated Process</v>
      </c>
      <c r="B1156" t="s">
        <v>4526</v>
      </c>
      <c r="C1156">
        <v>12085376</v>
      </c>
      <c r="D1156">
        <v>8416063</v>
      </c>
      <c r="E1156">
        <v>4.1149563E-2</v>
      </c>
      <c r="F1156">
        <v>0</v>
      </c>
      <c r="G1156">
        <v>0</v>
      </c>
      <c r="H1156">
        <v>2.0873863536842105E-4</v>
      </c>
      <c r="I1156" t="s">
        <v>176</v>
      </c>
      <c r="J1156">
        <v>1.4438443157894737E-3</v>
      </c>
      <c r="K1156">
        <v>4.2802145951157895E-2</v>
      </c>
      <c r="L1156">
        <v>5.8904736909203177E-3</v>
      </c>
      <c r="M1156">
        <v>3.5342842145521906E-2</v>
      </c>
      <c r="N1156">
        <v>7.8144988096679802E-2</v>
      </c>
      <c r="O1156" t="s">
        <v>177</v>
      </c>
      <c r="P1156">
        <v>2.5681287570694738E-3</v>
      </c>
      <c r="Q1156" t="s">
        <v>177</v>
      </c>
      <c r="R1156">
        <v>2.1205705287313144E-3</v>
      </c>
      <c r="S1156" t="s">
        <v>178</v>
      </c>
      <c r="T1156">
        <v>9.3773985716015754E-3</v>
      </c>
      <c r="U1156">
        <v>9.2211085954082159E-2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2</v>
      </c>
      <c r="AB1156">
        <v>1</v>
      </c>
      <c r="AC1156">
        <v>0.5</v>
      </c>
      <c r="AD1156">
        <v>0.50345253019720215</v>
      </c>
      <c r="AE1156">
        <v>10800</v>
      </c>
      <c r="AF1156">
        <v>200000</v>
      </c>
      <c r="AG1156">
        <v>16666.666666666668</v>
      </c>
      <c r="AH1156">
        <v>1</v>
      </c>
      <c r="AI1156">
        <v>1</v>
      </c>
      <c r="AJ1156" t="s">
        <v>162</v>
      </c>
      <c r="AK1156" t="s">
        <v>176</v>
      </c>
      <c r="AL1156">
        <v>0</v>
      </c>
      <c r="AM1156" t="s">
        <v>176</v>
      </c>
      <c r="AN1156">
        <v>0</v>
      </c>
    </row>
    <row r="1157" spans="1:40" x14ac:dyDescent="0.15">
      <c r="A1157" s="4" t="str">
        <f>HYPERLINK("https://ibp.a2mac1.com/costing(costing:projects/details/9760/process/12085139)","Automated Process")</f>
        <v>Automated Process</v>
      </c>
      <c r="B1157" t="s">
        <v>5424</v>
      </c>
      <c r="C1157">
        <v>12085139</v>
      </c>
      <c r="D1157">
        <v>8415730</v>
      </c>
      <c r="E1157">
        <v>18.905899999999999</v>
      </c>
      <c r="F1157">
        <v>0</v>
      </c>
      <c r="G1157">
        <v>0</v>
      </c>
      <c r="H1157">
        <v>9.5663854000000006E-2</v>
      </c>
      <c r="I1157" t="s">
        <v>176</v>
      </c>
      <c r="J1157">
        <v>0.66170649999999998</v>
      </c>
      <c r="K1157">
        <v>19.663270354000002</v>
      </c>
      <c r="L1157">
        <v>2.2947349898861789</v>
      </c>
      <c r="M1157">
        <v>13.768409939317074</v>
      </c>
      <c r="N1157">
        <v>33.431680293317072</v>
      </c>
      <c r="O1157" t="s">
        <v>177</v>
      </c>
      <c r="P1157">
        <v>1.1797962212399999</v>
      </c>
      <c r="Q1157" t="s">
        <v>177</v>
      </c>
      <c r="R1157">
        <v>0.82610459635902445</v>
      </c>
      <c r="S1157" t="s">
        <v>178</v>
      </c>
      <c r="T1157">
        <v>4.011801635198049</v>
      </c>
      <c r="U1157">
        <v>39.449382746114146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1298</v>
      </c>
      <c r="AB1157">
        <v>1</v>
      </c>
      <c r="AC1157">
        <v>0.5</v>
      </c>
      <c r="AD1157">
        <v>0.50345253019720215</v>
      </c>
      <c r="AE1157">
        <v>10800</v>
      </c>
      <c r="AF1157">
        <v>200000</v>
      </c>
      <c r="AG1157">
        <v>16666.666666666668</v>
      </c>
      <c r="AH1157">
        <v>1</v>
      </c>
      <c r="AI1157">
        <v>1</v>
      </c>
      <c r="AJ1157" t="s">
        <v>162</v>
      </c>
      <c r="AK1157" t="s">
        <v>176</v>
      </c>
      <c r="AL1157">
        <v>0</v>
      </c>
      <c r="AM1157" t="s">
        <v>176</v>
      </c>
      <c r="AN1157">
        <v>0</v>
      </c>
    </row>
    <row r="1158" spans="1:40" x14ac:dyDescent="0.15">
      <c r="A1158" s="4" t="str">
        <f>HYPERLINK("https://ibp.a2mac1.com/costing(costing:projects/details/9760/process/12085140)","Automated Process")</f>
        <v>Automated Process</v>
      </c>
      <c r="B1158" t="s">
        <v>4526</v>
      </c>
      <c r="C1158">
        <v>12085140</v>
      </c>
      <c r="D1158">
        <v>8415731</v>
      </c>
      <c r="E1158">
        <v>8.0716450499999995E-2</v>
      </c>
      <c r="F1158">
        <v>0</v>
      </c>
      <c r="G1158">
        <v>0</v>
      </c>
      <c r="H1158">
        <v>4.094488616842105E-4</v>
      </c>
      <c r="I1158" t="s">
        <v>176</v>
      </c>
      <c r="J1158">
        <v>2.832156157894737E-3</v>
      </c>
      <c r="K1158">
        <v>8.3958055519578953E-2</v>
      </c>
      <c r="L1158">
        <v>1.1188724885816749E-2</v>
      </c>
      <c r="M1158">
        <v>6.7132349314900502E-2</v>
      </c>
      <c r="N1158">
        <v>0.15109040483447944</v>
      </c>
      <c r="O1158" t="s">
        <v>177</v>
      </c>
      <c r="P1158">
        <v>5.0374833311747367E-3</v>
      </c>
      <c r="Q1158" t="s">
        <v>177</v>
      </c>
      <c r="R1158">
        <v>4.02794095889403E-3</v>
      </c>
      <c r="S1158" t="s">
        <v>178</v>
      </c>
      <c r="T1158">
        <v>1.8130848580137533E-2</v>
      </c>
      <c r="U1158">
        <v>0.17828667770468573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5</v>
      </c>
      <c r="AB1158">
        <v>1</v>
      </c>
      <c r="AC1158">
        <v>0.5</v>
      </c>
      <c r="AD1158">
        <v>0.50345253019720215</v>
      </c>
      <c r="AE1158">
        <v>10800</v>
      </c>
      <c r="AF1158">
        <v>200000</v>
      </c>
      <c r="AG1158">
        <v>16666.666666666668</v>
      </c>
      <c r="AH1158">
        <v>1</v>
      </c>
      <c r="AI1158">
        <v>1</v>
      </c>
      <c r="AJ1158" t="s">
        <v>162</v>
      </c>
      <c r="AK1158" t="s">
        <v>176</v>
      </c>
      <c r="AL1158">
        <v>0</v>
      </c>
      <c r="AM1158" t="s">
        <v>176</v>
      </c>
      <c r="AN1158">
        <v>0</v>
      </c>
    </row>
    <row r="1159" spans="1:40" x14ac:dyDescent="0.15">
      <c r="A1159" s="4" t="str">
        <f>HYPERLINK("https://ibp.a2mac1.com/costing(costing:projects/details/9760/process/12085141)","Automated Process")</f>
        <v>Automated Process</v>
      </c>
      <c r="B1159" t="s">
        <v>4526</v>
      </c>
      <c r="C1159">
        <v>12085141</v>
      </c>
      <c r="D1159">
        <v>8415732</v>
      </c>
      <c r="E1159">
        <v>5.6976317999999998E-2</v>
      </c>
      <c r="F1159">
        <v>0</v>
      </c>
      <c r="G1159">
        <v>0</v>
      </c>
      <c r="H1159">
        <v>2.8902272589473684E-4</v>
      </c>
      <c r="I1159" t="s">
        <v>176</v>
      </c>
      <c r="J1159">
        <v>1.9991690526315791E-3</v>
      </c>
      <c r="K1159">
        <v>5.9264509778526313E-2</v>
      </c>
      <c r="L1159">
        <v>7.6565574225524614E-3</v>
      </c>
      <c r="M1159">
        <v>4.5939344535314765E-2</v>
      </c>
      <c r="N1159">
        <v>0.10520385431384108</v>
      </c>
      <c r="O1159" t="s">
        <v>177</v>
      </c>
      <c r="P1159">
        <v>3.5558705867115791E-3</v>
      </c>
      <c r="Q1159" t="s">
        <v>177</v>
      </c>
      <c r="R1159">
        <v>2.756360672118886E-3</v>
      </c>
      <c r="S1159" t="s">
        <v>178</v>
      </c>
      <c r="T1159">
        <v>1.2624462517660929E-2</v>
      </c>
      <c r="U1159">
        <v>0.12414054809033248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</v>
      </c>
      <c r="AC1159">
        <v>0.5</v>
      </c>
      <c r="AD1159">
        <v>0.50345253019720215</v>
      </c>
      <c r="AE1159">
        <v>10800</v>
      </c>
      <c r="AF1159">
        <v>200000</v>
      </c>
      <c r="AG1159">
        <v>16666.666666666668</v>
      </c>
      <c r="AH1159">
        <v>1</v>
      </c>
      <c r="AI1159">
        <v>1</v>
      </c>
      <c r="AJ1159" t="s">
        <v>162</v>
      </c>
      <c r="AK1159" t="s">
        <v>176</v>
      </c>
      <c r="AL1159">
        <v>0</v>
      </c>
      <c r="AM1159" t="s">
        <v>176</v>
      </c>
      <c r="AN1159">
        <v>0</v>
      </c>
    </row>
    <row r="1160" spans="1:40" x14ac:dyDescent="0.15">
      <c r="A1160" s="4" t="str">
        <f>HYPERLINK("https://ibp.a2mac1.com/costing(costing:projects/details/9760/process/12085377)","Automated Process")</f>
        <v>Automated Process</v>
      </c>
      <c r="B1160" t="s">
        <v>4235</v>
      </c>
      <c r="C1160">
        <v>12085377</v>
      </c>
      <c r="D1160">
        <v>8416064</v>
      </c>
      <c r="E1160">
        <v>2.9490381270000001</v>
      </c>
      <c r="F1160">
        <v>0</v>
      </c>
      <c r="G1160">
        <v>0</v>
      </c>
      <c r="H1160">
        <v>1.4959531752E-2</v>
      </c>
      <c r="I1160" t="s">
        <v>176</v>
      </c>
      <c r="J1160">
        <v>0.103475022</v>
      </c>
      <c r="K1160">
        <v>3.0674726807520001</v>
      </c>
      <c r="L1160">
        <v>0.39796106211325627</v>
      </c>
      <c r="M1160">
        <v>2.3877663726795375</v>
      </c>
      <c r="N1160">
        <v>5.455239053431538</v>
      </c>
      <c r="O1160" t="s">
        <v>177</v>
      </c>
      <c r="P1160">
        <v>0.18404836084512</v>
      </c>
      <c r="Q1160" t="s">
        <v>177</v>
      </c>
      <c r="R1160">
        <v>0.14326598236077226</v>
      </c>
      <c r="S1160" t="s">
        <v>178</v>
      </c>
      <c r="T1160">
        <v>0.65462868641178451</v>
      </c>
      <c r="U1160">
        <v>6.4371820830492146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224</v>
      </c>
      <c r="AB1160">
        <v>1</v>
      </c>
      <c r="AC1160">
        <v>0.5</v>
      </c>
      <c r="AD1160">
        <v>0.50345253019720215</v>
      </c>
      <c r="AE1160">
        <v>10800</v>
      </c>
      <c r="AF1160">
        <v>200000</v>
      </c>
      <c r="AG1160">
        <v>16666.666666666668</v>
      </c>
      <c r="AH1160">
        <v>1</v>
      </c>
      <c r="AI1160">
        <v>1</v>
      </c>
      <c r="AJ1160" t="s">
        <v>162</v>
      </c>
      <c r="AK1160" t="s">
        <v>176</v>
      </c>
      <c r="AL1160">
        <v>0</v>
      </c>
      <c r="AM1160" t="s">
        <v>176</v>
      </c>
      <c r="AN1160">
        <v>0</v>
      </c>
    </row>
    <row r="1161" spans="1:40" x14ac:dyDescent="0.15">
      <c r="A1161" s="4" t="str">
        <f>HYPERLINK("https://ibp.a2mac1.com/costing(costing:projects/details/9760/process/12085142)","Automated Process")</f>
        <v>Automated Process</v>
      </c>
      <c r="B1161" t="s">
        <v>4235</v>
      </c>
      <c r="C1161">
        <v>12085142</v>
      </c>
      <c r="D1161">
        <v>8415736</v>
      </c>
      <c r="E1161">
        <v>1.7459442000000001</v>
      </c>
      <c r="F1161">
        <v>0</v>
      </c>
      <c r="G1161">
        <v>0</v>
      </c>
      <c r="H1161">
        <v>8.8566192000000005E-3</v>
      </c>
      <c r="I1161" t="s">
        <v>176</v>
      </c>
      <c r="J1161">
        <v>6.1261200000000002E-2</v>
      </c>
      <c r="K1161">
        <v>1.8160620192000001</v>
      </c>
      <c r="L1161">
        <v>0.19132926551229543</v>
      </c>
      <c r="M1161">
        <v>1.1479755930737727</v>
      </c>
      <c r="N1161">
        <v>2.9640376122737728</v>
      </c>
      <c r="O1161" t="s">
        <v>177</v>
      </c>
      <c r="P1161">
        <v>0.108963721152</v>
      </c>
      <c r="Q1161" t="s">
        <v>177</v>
      </c>
      <c r="R1161">
        <v>6.8878535584426359E-2</v>
      </c>
      <c r="S1161" t="s">
        <v>178</v>
      </c>
      <c r="T1161">
        <v>0.35568451347285274</v>
      </c>
      <c r="U1161">
        <v>3.4975643824830516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107</v>
      </c>
      <c r="AB1161">
        <v>1</v>
      </c>
      <c r="AC1161">
        <v>0.5</v>
      </c>
      <c r="AD1161">
        <v>0.50345253019720215</v>
      </c>
      <c r="AE1161">
        <v>10800</v>
      </c>
      <c r="AF1161">
        <v>200000</v>
      </c>
      <c r="AG1161">
        <v>16666.666666666668</v>
      </c>
      <c r="AH1161">
        <v>1</v>
      </c>
      <c r="AI1161">
        <v>1</v>
      </c>
      <c r="AJ1161" t="s">
        <v>162</v>
      </c>
      <c r="AK1161" t="s">
        <v>176</v>
      </c>
      <c r="AL1161">
        <v>0</v>
      </c>
      <c r="AM1161" t="s">
        <v>176</v>
      </c>
      <c r="AN1161">
        <v>0</v>
      </c>
    </row>
    <row r="1162" spans="1:40" x14ac:dyDescent="0.15">
      <c r="A1162" s="4" t="str">
        <f>HYPERLINK("https://ibp.a2mac1.com/costing(costing:projects/details/9760/process/12085143)","Automated Process")</f>
        <v>Automated Process</v>
      </c>
      <c r="B1162" t="s">
        <v>4235</v>
      </c>
      <c r="C1162">
        <v>12085143</v>
      </c>
      <c r="D1162">
        <v>8415737</v>
      </c>
      <c r="E1162">
        <v>0.43996679999999999</v>
      </c>
      <c r="F1162">
        <v>0</v>
      </c>
      <c r="G1162">
        <v>0</v>
      </c>
      <c r="H1162">
        <v>2.2318115368421053E-3</v>
      </c>
      <c r="I1162" t="s">
        <v>176</v>
      </c>
      <c r="J1162">
        <v>1.5437431578947369E-2</v>
      </c>
      <c r="K1162">
        <v>0.45763604311578948</v>
      </c>
      <c r="L1162">
        <v>5.0042566981723914E-2</v>
      </c>
      <c r="M1162">
        <v>0.3002554018903435</v>
      </c>
      <c r="N1162">
        <v>0.75789144500613292</v>
      </c>
      <c r="O1162" t="s">
        <v>177</v>
      </c>
      <c r="P1162">
        <v>2.7458162586947367E-2</v>
      </c>
      <c r="Q1162" t="s">
        <v>177</v>
      </c>
      <c r="R1162">
        <v>1.8015324113420609E-2</v>
      </c>
      <c r="S1162" t="s">
        <v>178</v>
      </c>
      <c r="T1162">
        <v>9.0946973400735959E-2</v>
      </c>
      <c r="U1162">
        <v>0.8943119051072369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27</v>
      </c>
      <c r="AB1162">
        <v>1</v>
      </c>
      <c r="AC1162">
        <v>0.5</v>
      </c>
      <c r="AD1162">
        <v>0.50345253019720215</v>
      </c>
      <c r="AE1162">
        <v>10800</v>
      </c>
      <c r="AF1162">
        <v>200000</v>
      </c>
      <c r="AG1162">
        <v>16666.666666666668</v>
      </c>
      <c r="AH1162">
        <v>1</v>
      </c>
      <c r="AI1162">
        <v>1</v>
      </c>
      <c r="AJ1162" t="s">
        <v>162</v>
      </c>
      <c r="AK1162" t="s">
        <v>176</v>
      </c>
      <c r="AL1162">
        <v>0</v>
      </c>
      <c r="AM1162" t="s">
        <v>176</v>
      </c>
      <c r="AN1162">
        <v>0</v>
      </c>
    </row>
    <row r="1163" spans="1:40" x14ac:dyDescent="0.15">
      <c r="A1163" s="4" t="str">
        <f>HYPERLINK("https://ibp.a2mac1.com/costing(costing:projects/details/9760/process/12085144)","Automated Process")</f>
        <v>Automated Process</v>
      </c>
      <c r="B1163" t="s">
        <v>4235</v>
      </c>
      <c r="C1163">
        <v>12085144</v>
      </c>
      <c r="D1163">
        <v>8415738</v>
      </c>
      <c r="E1163">
        <v>0.35225190000000001</v>
      </c>
      <c r="F1163">
        <v>0</v>
      </c>
      <c r="G1163">
        <v>0</v>
      </c>
      <c r="H1163">
        <v>1.7868617684210525E-3</v>
      </c>
      <c r="I1163" t="s">
        <v>176</v>
      </c>
      <c r="J1163">
        <v>1.2359715789473685E-2</v>
      </c>
      <c r="K1163">
        <v>0.36639847755789473</v>
      </c>
      <c r="L1163">
        <v>4.1212148323563194E-2</v>
      </c>
      <c r="M1163">
        <v>0.24727288994137919</v>
      </c>
      <c r="N1163">
        <v>0.61367136749927387</v>
      </c>
      <c r="O1163" t="s">
        <v>177</v>
      </c>
      <c r="P1163">
        <v>2.1983908653473685E-2</v>
      </c>
      <c r="Q1163" t="s">
        <v>177</v>
      </c>
      <c r="R1163">
        <v>1.4836373396482751E-2</v>
      </c>
      <c r="S1163" t="s">
        <v>178</v>
      </c>
      <c r="T1163">
        <v>7.3640564099912875E-2</v>
      </c>
      <c r="U1163">
        <v>0.72413221364914326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22</v>
      </c>
      <c r="AB1163">
        <v>1</v>
      </c>
      <c r="AC1163">
        <v>0.5</v>
      </c>
      <c r="AD1163">
        <v>0.50345253019720215</v>
      </c>
      <c r="AE1163">
        <v>10800</v>
      </c>
      <c r="AF1163">
        <v>200000</v>
      </c>
      <c r="AG1163">
        <v>16666.666666666668</v>
      </c>
      <c r="AH1163">
        <v>1</v>
      </c>
      <c r="AI1163">
        <v>1</v>
      </c>
      <c r="AJ1163" t="s">
        <v>162</v>
      </c>
      <c r="AK1163" t="s">
        <v>176</v>
      </c>
      <c r="AL1163">
        <v>0</v>
      </c>
      <c r="AM1163" t="s">
        <v>176</v>
      </c>
      <c r="AN1163">
        <v>0</v>
      </c>
    </row>
    <row r="1164" spans="1:40" x14ac:dyDescent="0.15">
      <c r="A1164" s="4" t="str">
        <f>HYPERLINK("https://ibp.a2mac1.com/costing(costing:projects/details/9760/process/12085145)","Automated Process")</f>
        <v>Automated Process</v>
      </c>
      <c r="B1164" t="s">
        <v>4235</v>
      </c>
      <c r="C1164">
        <v>12085145</v>
      </c>
      <c r="D1164">
        <v>8415739</v>
      </c>
      <c r="E1164">
        <v>2.5773502229999998</v>
      </c>
      <c r="F1164">
        <v>0</v>
      </c>
      <c r="G1164">
        <v>0</v>
      </c>
      <c r="H1164">
        <v>1.307407732168421E-2</v>
      </c>
      <c r="I1164" t="s">
        <v>176</v>
      </c>
      <c r="J1164">
        <v>9.0433341157894739E-2</v>
      </c>
      <c r="K1164">
        <v>2.6808576414795788</v>
      </c>
      <c r="L1164">
        <v>0.36793763867550983</v>
      </c>
      <c r="M1164">
        <v>2.2076258320530591</v>
      </c>
      <c r="N1164">
        <v>4.8884834735326379</v>
      </c>
      <c r="O1164" t="s">
        <v>177</v>
      </c>
      <c r="P1164">
        <v>0.16085145848877475</v>
      </c>
      <c r="Q1164" t="s">
        <v>177</v>
      </c>
      <c r="R1164">
        <v>0.13245754992318354</v>
      </c>
      <c r="S1164" t="s">
        <v>178</v>
      </c>
      <c r="T1164">
        <v>0.58661801682391657</v>
      </c>
      <c r="U1164">
        <v>5.768410498768513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207</v>
      </c>
      <c r="AB1164">
        <v>1</v>
      </c>
      <c r="AC1164">
        <v>0.5</v>
      </c>
      <c r="AD1164">
        <v>0.50345253019720215</v>
      </c>
      <c r="AE1164">
        <v>10800</v>
      </c>
      <c r="AF1164">
        <v>200000</v>
      </c>
      <c r="AG1164">
        <v>16666.666666666668</v>
      </c>
      <c r="AH1164">
        <v>1</v>
      </c>
      <c r="AI1164">
        <v>1</v>
      </c>
      <c r="AJ1164" t="s">
        <v>162</v>
      </c>
      <c r="AK1164" t="s">
        <v>176</v>
      </c>
      <c r="AL1164">
        <v>0</v>
      </c>
      <c r="AM1164" t="s">
        <v>176</v>
      </c>
      <c r="AN1164">
        <v>0</v>
      </c>
    </row>
    <row r="1165" spans="1:40" x14ac:dyDescent="0.15">
      <c r="A1165" s="4" t="str">
        <f>HYPERLINK("https://ibp.a2mac1.com/costing(costing:projects/details/9760/process/12085146)","Automated Process")</f>
        <v>Automated Process</v>
      </c>
      <c r="B1165" t="s">
        <v>4235</v>
      </c>
      <c r="C1165">
        <v>12085146</v>
      </c>
      <c r="D1165">
        <v>8415740</v>
      </c>
      <c r="E1165">
        <v>1.8212425350000001</v>
      </c>
      <c r="F1165">
        <v>0</v>
      </c>
      <c r="G1165">
        <v>0</v>
      </c>
      <c r="H1165">
        <v>9.2385836863157888E-3</v>
      </c>
      <c r="I1165" t="s">
        <v>176</v>
      </c>
      <c r="J1165">
        <v>6.3903246842105257E-2</v>
      </c>
      <c r="K1165">
        <v>1.8943843655284212</v>
      </c>
      <c r="L1165">
        <v>0.26020653104594904</v>
      </c>
      <c r="M1165">
        <v>1.5612391862756942</v>
      </c>
      <c r="N1165">
        <v>3.4556235518041154</v>
      </c>
      <c r="O1165" t="s">
        <v>177</v>
      </c>
      <c r="P1165">
        <v>0.11366306193170526</v>
      </c>
      <c r="Q1165" t="s">
        <v>177</v>
      </c>
      <c r="R1165">
        <v>9.3674351176541659E-2</v>
      </c>
      <c r="S1165" t="s">
        <v>178</v>
      </c>
      <c r="T1165">
        <v>0.41467482621649382</v>
      </c>
      <c r="U1165">
        <v>4.0776357911288565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146</v>
      </c>
      <c r="AB1165">
        <v>1</v>
      </c>
      <c r="AC1165">
        <v>0.5</v>
      </c>
      <c r="AD1165">
        <v>0.50345253019720215</v>
      </c>
      <c r="AE1165">
        <v>10800</v>
      </c>
      <c r="AF1165">
        <v>200000</v>
      </c>
      <c r="AG1165">
        <v>16666.666666666668</v>
      </c>
      <c r="AH1165">
        <v>1</v>
      </c>
      <c r="AI1165">
        <v>1</v>
      </c>
      <c r="AJ1165" t="s">
        <v>162</v>
      </c>
      <c r="AK1165" t="s">
        <v>176</v>
      </c>
      <c r="AL1165">
        <v>0</v>
      </c>
      <c r="AM1165" t="s">
        <v>176</v>
      </c>
      <c r="AN1165">
        <v>0</v>
      </c>
    </row>
    <row r="1166" spans="1:40" x14ac:dyDescent="0.15">
      <c r="A1166" s="4" t="str">
        <f>HYPERLINK("https://ibp.a2mac1.com/costing(costing:projects/details/9760/process/12085147)","Automated Process")</f>
        <v>Automated Process</v>
      </c>
      <c r="B1166" t="s">
        <v>7133</v>
      </c>
      <c r="C1166">
        <v>12085147</v>
      </c>
      <c r="D1166">
        <v>8415741</v>
      </c>
      <c r="E1166">
        <v>3.0868110000000001E-2</v>
      </c>
      <c r="F1166">
        <v>0</v>
      </c>
      <c r="G1166">
        <v>0</v>
      </c>
      <c r="H1166">
        <v>1.7164025999999999E-4</v>
      </c>
      <c r="I1166" t="s">
        <v>176</v>
      </c>
      <c r="J1166">
        <v>1.187235E-3</v>
      </c>
      <c r="K1166">
        <v>3.222698526E-2</v>
      </c>
      <c r="L1166">
        <v>7.6565574225524614E-3</v>
      </c>
      <c r="M1166">
        <v>4.5939344535314765E-2</v>
      </c>
      <c r="N1166">
        <v>7.8166329795314765E-2</v>
      </c>
      <c r="O1166" t="s">
        <v>177</v>
      </c>
      <c r="P1166">
        <v>1.9336191156E-3</v>
      </c>
      <c r="Q1166" t="s">
        <v>177</v>
      </c>
      <c r="R1166">
        <v>2.756360672118886E-3</v>
      </c>
      <c r="S1166" t="s">
        <v>178</v>
      </c>
      <c r="T1166">
        <v>9.3799595754377723E-3</v>
      </c>
      <c r="U1166">
        <v>9.2236269158471426E-2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</v>
      </c>
      <c r="AC1166">
        <v>0.5</v>
      </c>
      <c r="AD1166">
        <v>0.50345253019720215</v>
      </c>
      <c r="AE1166">
        <v>10800</v>
      </c>
      <c r="AF1166">
        <v>200000</v>
      </c>
      <c r="AG1166">
        <v>16666.666666666668</v>
      </c>
      <c r="AH1166">
        <v>1</v>
      </c>
      <c r="AI1166">
        <v>1</v>
      </c>
      <c r="AJ1166" t="s">
        <v>162</v>
      </c>
      <c r="AK1166" t="s">
        <v>176</v>
      </c>
      <c r="AL1166">
        <v>0</v>
      </c>
      <c r="AM1166" t="s">
        <v>176</v>
      </c>
      <c r="AN1166">
        <v>0</v>
      </c>
    </row>
    <row r="1167" spans="1:40" x14ac:dyDescent="0.15">
      <c r="A1167" s="4" t="str">
        <f>HYPERLINK("https://ibp.a2mac1.com/costing(costing:projects/details/9760/process/12085148)","Automated Process")</f>
        <v>Automated Process</v>
      </c>
      <c r="B1167" t="s">
        <v>7133</v>
      </c>
      <c r="C1167">
        <v>12085148</v>
      </c>
      <c r="D1167">
        <v>8415742</v>
      </c>
      <c r="E1167">
        <v>0.12758818799999999</v>
      </c>
      <c r="F1167">
        <v>0</v>
      </c>
      <c r="G1167">
        <v>0</v>
      </c>
      <c r="H1167">
        <v>7.0944640799999997E-4</v>
      </c>
      <c r="I1167" t="s">
        <v>176</v>
      </c>
      <c r="J1167">
        <v>4.9072380000000004E-3</v>
      </c>
      <c r="K1167">
        <v>0.133204872408</v>
      </c>
      <c r="L1167">
        <v>2.1785227275609612E-2</v>
      </c>
      <c r="M1167">
        <v>0.13071136365365768</v>
      </c>
      <c r="N1167">
        <v>0.26391623606165771</v>
      </c>
      <c r="O1167" t="s">
        <v>177</v>
      </c>
      <c r="P1167">
        <v>7.9922923444799999E-3</v>
      </c>
      <c r="Q1167" t="s">
        <v>177</v>
      </c>
      <c r="R1167">
        <v>7.8426818192194603E-3</v>
      </c>
      <c r="S1167" t="s">
        <v>178</v>
      </c>
      <c r="T1167">
        <v>3.1669948327398924E-2</v>
      </c>
      <c r="U1167">
        <v>0.31142115855275604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11</v>
      </c>
      <c r="AB1167">
        <v>1</v>
      </c>
      <c r="AC1167">
        <v>0.5</v>
      </c>
      <c r="AD1167">
        <v>0.50345253019720215</v>
      </c>
      <c r="AE1167">
        <v>10800</v>
      </c>
      <c r="AF1167">
        <v>200000</v>
      </c>
      <c r="AG1167">
        <v>16666.666666666668</v>
      </c>
      <c r="AH1167">
        <v>1</v>
      </c>
      <c r="AI1167">
        <v>1</v>
      </c>
      <c r="AJ1167" t="s">
        <v>162</v>
      </c>
      <c r="AK1167" t="s">
        <v>176</v>
      </c>
      <c r="AL1167">
        <v>0</v>
      </c>
      <c r="AM1167" t="s">
        <v>176</v>
      </c>
      <c r="AN1167">
        <v>0</v>
      </c>
    </row>
    <row r="1168" spans="1:40" x14ac:dyDescent="0.15">
      <c r="A1168" s="4" t="str">
        <f>HYPERLINK("https://ibp.a2mac1.com/costing(costing:projects/details/9760/process/12085149)","Automated Process")</f>
        <v>Automated Process</v>
      </c>
      <c r="B1168" t="s">
        <v>7133</v>
      </c>
      <c r="C1168">
        <v>12085149</v>
      </c>
      <c r="D1168">
        <v>8415743</v>
      </c>
      <c r="E1168">
        <v>8.0257086000000005E-2</v>
      </c>
      <c r="F1168">
        <v>0</v>
      </c>
      <c r="G1168">
        <v>0</v>
      </c>
      <c r="H1168">
        <v>4.4626467599999999E-4</v>
      </c>
      <c r="I1168" t="s">
        <v>176</v>
      </c>
      <c r="J1168">
        <v>3.0868110000000001E-3</v>
      </c>
      <c r="K1168">
        <v>8.3790161675999994E-2</v>
      </c>
      <c r="L1168">
        <v>1.4720892349081038E-2</v>
      </c>
      <c r="M1168">
        <v>8.8325354094486219E-2</v>
      </c>
      <c r="N1168">
        <v>0.17211551577048623</v>
      </c>
      <c r="O1168" t="s">
        <v>177</v>
      </c>
      <c r="P1168">
        <v>5.0274097005599998E-3</v>
      </c>
      <c r="Q1168" t="s">
        <v>177</v>
      </c>
      <c r="R1168">
        <v>5.2995212456691731E-3</v>
      </c>
      <c r="S1168" t="s">
        <v>178</v>
      </c>
      <c r="T1168">
        <v>2.0653861892458346E-2</v>
      </c>
      <c r="U1168">
        <v>0.20309630860917374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7</v>
      </c>
      <c r="AB1168">
        <v>1</v>
      </c>
      <c r="AC1168">
        <v>0.5</v>
      </c>
      <c r="AD1168">
        <v>0.50345253019720215</v>
      </c>
      <c r="AE1168">
        <v>10800</v>
      </c>
      <c r="AF1168">
        <v>200000</v>
      </c>
      <c r="AG1168">
        <v>16666.666666666668</v>
      </c>
      <c r="AH1168">
        <v>1</v>
      </c>
      <c r="AI1168">
        <v>1</v>
      </c>
      <c r="AJ1168" t="s">
        <v>162</v>
      </c>
      <c r="AK1168" t="s">
        <v>176</v>
      </c>
      <c r="AL1168">
        <v>0</v>
      </c>
      <c r="AM1168" t="s">
        <v>176</v>
      </c>
      <c r="AN1168">
        <v>0</v>
      </c>
    </row>
    <row r="1169" spans="1:40" x14ac:dyDescent="0.15">
      <c r="A1169" s="4" t="str">
        <f>HYPERLINK("https://ibp.a2mac1.com/costing(costing:projects/details/9760/process/12085150)","Automated Process")</f>
        <v>Automated Process</v>
      </c>
      <c r="B1169" t="s">
        <v>7133</v>
      </c>
      <c r="C1169">
        <v>12085150</v>
      </c>
      <c r="D1169">
        <v>8415744</v>
      </c>
      <c r="E1169">
        <v>7.8885170000000004E-2</v>
      </c>
      <c r="F1169">
        <v>0</v>
      </c>
      <c r="G1169">
        <v>0</v>
      </c>
      <c r="H1169">
        <v>4.3863621999999999E-4</v>
      </c>
      <c r="I1169" t="s">
        <v>176</v>
      </c>
      <c r="J1169">
        <v>3.034045E-3</v>
      </c>
      <c r="K1169">
        <v>8.235785122E-2</v>
      </c>
      <c r="L1169">
        <v>1.4720892349081038E-2</v>
      </c>
      <c r="M1169">
        <v>8.8325354094486219E-2</v>
      </c>
      <c r="N1169">
        <v>0.17068320531448622</v>
      </c>
      <c r="O1169" t="s">
        <v>177</v>
      </c>
      <c r="P1169">
        <v>4.9414710732000001E-3</v>
      </c>
      <c r="Q1169" t="s">
        <v>177</v>
      </c>
      <c r="R1169">
        <v>5.2995212456691731E-3</v>
      </c>
      <c r="S1169" t="s">
        <v>178</v>
      </c>
      <c r="T1169">
        <v>2.0481984637738346E-2</v>
      </c>
      <c r="U1169">
        <v>0.20140618227109375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7</v>
      </c>
      <c r="AB1169">
        <v>1</v>
      </c>
      <c r="AC1169">
        <v>0.5</v>
      </c>
      <c r="AD1169">
        <v>0.50345253019720215</v>
      </c>
      <c r="AE1169">
        <v>10800</v>
      </c>
      <c r="AF1169">
        <v>200000</v>
      </c>
      <c r="AG1169">
        <v>16666.666666666668</v>
      </c>
      <c r="AH1169">
        <v>1</v>
      </c>
      <c r="AI1169">
        <v>1</v>
      </c>
      <c r="AJ1169" t="s">
        <v>162</v>
      </c>
      <c r="AK1169" t="s">
        <v>176</v>
      </c>
      <c r="AL1169">
        <v>0</v>
      </c>
      <c r="AM1169" t="s">
        <v>176</v>
      </c>
      <c r="AN1169">
        <v>0</v>
      </c>
    </row>
    <row r="1170" spans="1:40" x14ac:dyDescent="0.15">
      <c r="A1170" s="4" t="str">
        <f>HYPERLINK("https://ibp.a2mac1.com/costing(costing:projects/details/9760/process/12085151)","Automated Process")</f>
        <v>Automated Process</v>
      </c>
      <c r="B1170" t="s">
        <v>7133</v>
      </c>
      <c r="C1170">
        <v>12085151</v>
      </c>
      <c r="D1170">
        <v>8415745</v>
      </c>
      <c r="E1170">
        <v>1.7834908E-2</v>
      </c>
      <c r="F1170">
        <v>0</v>
      </c>
      <c r="G1170">
        <v>0</v>
      </c>
      <c r="H1170">
        <v>9.9169928000000004E-5</v>
      </c>
      <c r="I1170" t="s">
        <v>176</v>
      </c>
      <c r="J1170">
        <v>6.8595799999999997E-4</v>
      </c>
      <c r="K1170">
        <v>1.8620035928E-2</v>
      </c>
      <c r="L1170">
        <v>5.8904736909203177E-3</v>
      </c>
      <c r="M1170">
        <v>3.5342842145521906E-2</v>
      </c>
      <c r="N1170">
        <v>5.3962878073521903E-2</v>
      </c>
      <c r="O1170" t="s">
        <v>177</v>
      </c>
      <c r="P1170">
        <v>1.11720215568E-3</v>
      </c>
      <c r="Q1170" t="s">
        <v>177</v>
      </c>
      <c r="R1170">
        <v>2.1205705287313144E-3</v>
      </c>
      <c r="S1170" t="s">
        <v>178</v>
      </c>
      <c r="T1170">
        <v>6.4755453688226288E-3</v>
      </c>
      <c r="U1170">
        <v>6.3676196126755846E-2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</v>
      </c>
      <c r="AB1170">
        <v>1</v>
      </c>
      <c r="AC1170">
        <v>0.5</v>
      </c>
      <c r="AD1170">
        <v>0.50345253019720215</v>
      </c>
      <c r="AE1170">
        <v>10800</v>
      </c>
      <c r="AF1170">
        <v>200000</v>
      </c>
      <c r="AG1170">
        <v>16666.666666666668</v>
      </c>
      <c r="AH1170">
        <v>1</v>
      </c>
      <c r="AI1170">
        <v>1</v>
      </c>
      <c r="AJ1170" t="s">
        <v>162</v>
      </c>
      <c r="AK1170" t="s">
        <v>176</v>
      </c>
      <c r="AL1170">
        <v>0</v>
      </c>
      <c r="AM1170" t="s">
        <v>176</v>
      </c>
      <c r="AN1170">
        <v>0</v>
      </c>
    </row>
    <row r="1171" spans="1:40" x14ac:dyDescent="0.15">
      <c r="A1171" s="4" t="str">
        <f>HYPERLINK("https://ibp.a2mac1.com/costing(costing:projects/details/9760/process/12085152)","Automated Process")</f>
        <v>Automated Process</v>
      </c>
      <c r="B1171" t="s">
        <v>7133</v>
      </c>
      <c r="C1171">
        <v>12085152</v>
      </c>
      <c r="D1171">
        <v>8415746</v>
      </c>
      <c r="E1171">
        <v>1.7834908E-2</v>
      </c>
      <c r="F1171">
        <v>0</v>
      </c>
      <c r="G1171">
        <v>0</v>
      </c>
      <c r="H1171">
        <v>9.9169928000000004E-5</v>
      </c>
      <c r="I1171" t="s">
        <v>176</v>
      </c>
      <c r="J1171">
        <v>6.8595799999999997E-4</v>
      </c>
      <c r="K1171">
        <v>1.8620035928E-2</v>
      </c>
      <c r="L1171">
        <v>5.8904736909203177E-3</v>
      </c>
      <c r="M1171">
        <v>3.5342842145521906E-2</v>
      </c>
      <c r="N1171">
        <v>5.3962878073521903E-2</v>
      </c>
      <c r="O1171" t="s">
        <v>177</v>
      </c>
      <c r="P1171">
        <v>1.11720215568E-3</v>
      </c>
      <c r="Q1171" t="s">
        <v>177</v>
      </c>
      <c r="R1171">
        <v>2.1205705287313144E-3</v>
      </c>
      <c r="S1171" t="s">
        <v>178</v>
      </c>
      <c r="T1171">
        <v>6.4755453688226288E-3</v>
      </c>
      <c r="U1171">
        <v>6.3676196126755846E-2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2</v>
      </c>
      <c r="AB1171">
        <v>1</v>
      </c>
      <c r="AC1171">
        <v>0.5</v>
      </c>
      <c r="AD1171">
        <v>0.50345253019720215</v>
      </c>
      <c r="AE1171">
        <v>10800</v>
      </c>
      <c r="AF1171">
        <v>200000</v>
      </c>
      <c r="AG1171">
        <v>16666.666666666668</v>
      </c>
      <c r="AH1171">
        <v>1</v>
      </c>
      <c r="AI1171">
        <v>1</v>
      </c>
      <c r="AJ1171" t="s">
        <v>162</v>
      </c>
      <c r="AK1171" t="s">
        <v>176</v>
      </c>
      <c r="AL1171">
        <v>0</v>
      </c>
      <c r="AM1171" t="s">
        <v>176</v>
      </c>
      <c r="AN1171">
        <v>0</v>
      </c>
    </row>
    <row r="1172" spans="1:40" x14ac:dyDescent="0.15">
      <c r="A1172" s="4" t="str">
        <f>HYPERLINK("https://ibp.a2mac1.com/costing(costing:projects/details/9760/process/12085153)","Automated Process")</f>
        <v>Automated Process</v>
      </c>
      <c r="B1172" t="s">
        <v>7133</v>
      </c>
      <c r="C1172">
        <v>12085153</v>
      </c>
      <c r="D1172">
        <v>8415747</v>
      </c>
      <c r="E1172">
        <v>3.9099606000000002E-2</v>
      </c>
      <c r="F1172">
        <v>0</v>
      </c>
      <c r="G1172">
        <v>0</v>
      </c>
      <c r="H1172">
        <v>2.16121998E-4</v>
      </c>
      <c r="I1172" t="s">
        <v>176</v>
      </c>
      <c r="J1172">
        <v>1.503831E-3</v>
      </c>
      <c r="K1172">
        <v>4.0819558998000001E-2</v>
      </c>
      <c r="L1172">
        <v>6.4772109649148613E-3</v>
      </c>
      <c r="M1172">
        <v>3.8863265789489169E-2</v>
      </c>
      <c r="N1172">
        <v>7.968282478748917E-2</v>
      </c>
      <c r="O1172" t="s">
        <v>177</v>
      </c>
      <c r="P1172">
        <v>2.4491735398799999E-3</v>
      </c>
      <c r="Q1172" t="s">
        <v>177</v>
      </c>
      <c r="R1172">
        <v>2.3317959473693503E-3</v>
      </c>
      <c r="S1172" t="s">
        <v>178</v>
      </c>
      <c r="T1172">
        <v>9.5619389744986995E-3</v>
      </c>
      <c r="U1172">
        <v>9.4025733249237214E-2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</v>
      </c>
      <c r="AC1172">
        <v>0.5</v>
      </c>
      <c r="AD1172">
        <v>0.50048257265952256</v>
      </c>
      <c r="AE1172">
        <v>10800</v>
      </c>
      <c r="AF1172">
        <v>400000</v>
      </c>
      <c r="AG1172">
        <v>33333.333333333336</v>
      </c>
      <c r="AH1172">
        <v>1</v>
      </c>
      <c r="AI1172">
        <v>1</v>
      </c>
      <c r="AJ1172" t="s">
        <v>162</v>
      </c>
      <c r="AK1172" t="s">
        <v>176</v>
      </c>
      <c r="AL1172">
        <v>0</v>
      </c>
      <c r="AM1172" t="s">
        <v>176</v>
      </c>
      <c r="AN1172">
        <v>0</v>
      </c>
    </row>
    <row r="1173" spans="1:40" x14ac:dyDescent="0.15">
      <c r="A1173" s="4" t="str">
        <f>HYPERLINK("https://ibp.a2mac1.com/costing(costing:projects/details/9760/process/12085154)","Automated Process")</f>
        <v>Automated Process</v>
      </c>
      <c r="B1173" t="s">
        <v>7133</v>
      </c>
      <c r="C1173">
        <v>12085154</v>
      </c>
      <c r="D1173">
        <v>8415748</v>
      </c>
      <c r="E1173">
        <v>2.1950655999999999E-2</v>
      </c>
      <c r="F1173">
        <v>0</v>
      </c>
      <c r="G1173">
        <v>0</v>
      </c>
      <c r="H1173">
        <v>1.2205529600000001E-4</v>
      </c>
      <c r="I1173" t="s">
        <v>176</v>
      </c>
      <c r="J1173">
        <v>8.4425600000000004E-4</v>
      </c>
      <c r="K1173">
        <v>2.2916967295999999E-2</v>
      </c>
      <c r="L1173">
        <v>5.8904736909203177E-3</v>
      </c>
      <c r="M1173">
        <v>3.5342842145521906E-2</v>
      </c>
      <c r="N1173">
        <v>5.8259809441521905E-2</v>
      </c>
      <c r="O1173" t="s">
        <v>177</v>
      </c>
      <c r="P1173">
        <v>1.37501803776E-3</v>
      </c>
      <c r="Q1173" t="s">
        <v>177</v>
      </c>
      <c r="R1173">
        <v>2.1205705287313144E-3</v>
      </c>
      <c r="S1173" t="s">
        <v>178</v>
      </c>
      <c r="T1173">
        <v>6.9911771329826287E-3</v>
      </c>
      <c r="U1173">
        <v>6.8746575140995844E-2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2</v>
      </c>
      <c r="AB1173">
        <v>1</v>
      </c>
      <c r="AC1173">
        <v>0.5</v>
      </c>
      <c r="AD1173">
        <v>0.50345253019720215</v>
      </c>
      <c r="AE1173">
        <v>10800</v>
      </c>
      <c r="AF1173">
        <v>200000</v>
      </c>
      <c r="AG1173">
        <v>16666.666666666668</v>
      </c>
      <c r="AH1173">
        <v>1</v>
      </c>
      <c r="AI1173">
        <v>1</v>
      </c>
      <c r="AJ1173" t="s">
        <v>162</v>
      </c>
      <c r="AK1173" t="s">
        <v>176</v>
      </c>
      <c r="AL1173">
        <v>0</v>
      </c>
      <c r="AM1173" t="s">
        <v>176</v>
      </c>
      <c r="AN1173">
        <v>0</v>
      </c>
    </row>
    <row r="1174" spans="1:40" x14ac:dyDescent="0.15">
      <c r="A1174" s="4" t="str">
        <f>HYPERLINK("https://ibp.a2mac1.com/costing(costing:projects/details/9760/process/12085156)","Injection molding")</f>
        <v>Injection molding</v>
      </c>
      <c r="B1174" t="s">
        <v>7269</v>
      </c>
      <c r="C1174">
        <v>12085156</v>
      </c>
      <c r="D1174">
        <v>8415751</v>
      </c>
      <c r="E1174">
        <v>1.9975133617021277</v>
      </c>
      <c r="F1174">
        <v>0</v>
      </c>
      <c r="G1174">
        <v>0</v>
      </c>
      <c r="H1174">
        <v>4.1903029787234043E-3</v>
      </c>
      <c r="I1174" t="s">
        <v>176</v>
      </c>
      <c r="J1174">
        <v>7.1194468085106377E-2</v>
      </c>
      <c r="K1174">
        <v>2.0728981327659572</v>
      </c>
      <c r="L1174">
        <v>5.4707225236971309E-2</v>
      </c>
      <c r="M1174">
        <v>0.32824335142182787</v>
      </c>
      <c r="N1174">
        <v>2.4011414841877854</v>
      </c>
      <c r="O1174" t="s">
        <v>177</v>
      </c>
      <c r="P1174">
        <v>0.12437388796595744</v>
      </c>
      <c r="Q1174" t="s">
        <v>177</v>
      </c>
      <c r="R1174">
        <v>1.9694601085309672E-2</v>
      </c>
      <c r="S1174" t="s">
        <v>178</v>
      </c>
      <c r="T1174">
        <v>0.28813697810253425</v>
      </c>
      <c r="U1174">
        <v>2.8333469513415865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30.980350000000001</v>
      </c>
      <c r="AB1174">
        <v>1</v>
      </c>
      <c r="AC1174">
        <v>0.1</v>
      </c>
      <c r="AD1174">
        <v>0.20557651238448796</v>
      </c>
      <c r="AE1174">
        <v>14400</v>
      </c>
      <c r="AF1174">
        <v>200000</v>
      </c>
      <c r="AG1174">
        <v>16666.666666666668</v>
      </c>
      <c r="AH1174">
        <v>1</v>
      </c>
      <c r="AI1174">
        <v>1</v>
      </c>
      <c r="AJ1174" t="s">
        <v>162</v>
      </c>
      <c r="AK1174" t="s">
        <v>176</v>
      </c>
      <c r="AL1174">
        <v>0</v>
      </c>
      <c r="AM1174" t="s">
        <v>176</v>
      </c>
      <c r="AN1174">
        <v>0</v>
      </c>
    </row>
    <row r="1175" spans="1:40" x14ac:dyDescent="0.15">
      <c r="A1175" s="4" t="str">
        <f>HYPERLINK("https://ibp.a2mac1.com/costing(costing:projects/details/9760/process/12085155)","Handling/Visual Inspection/Packaging")</f>
        <v>Handling/Visual Inspection/Packaging</v>
      </c>
      <c r="C1175">
        <v>12085155</v>
      </c>
      <c r="D1175">
        <v>8415751</v>
      </c>
      <c r="E1175">
        <v>0</v>
      </c>
      <c r="F1175">
        <v>0</v>
      </c>
      <c r="G1175">
        <v>0</v>
      </c>
      <c r="H1175">
        <v>0</v>
      </c>
      <c r="I1175" t="s">
        <v>176</v>
      </c>
      <c r="J1175">
        <v>0</v>
      </c>
      <c r="K1175">
        <v>0</v>
      </c>
      <c r="L1175">
        <v>4.3123727573992979E-3</v>
      </c>
      <c r="M1175">
        <v>2.5874236544395787E-2</v>
      </c>
      <c r="N1175">
        <v>2.5874236544395787E-2</v>
      </c>
      <c r="O1175" t="s">
        <v>177</v>
      </c>
      <c r="P1175">
        <v>0</v>
      </c>
      <c r="Q1175" t="s">
        <v>177</v>
      </c>
      <c r="R1175">
        <v>1.5524541926637474E-3</v>
      </c>
      <c r="S1175" t="s">
        <v>178</v>
      </c>
      <c r="T1175">
        <v>3.1049083853274947E-3</v>
      </c>
      <c r="U1175">
        <v>3.0531599122387031E-2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15</v>
      </c>
      <c r="AB1175">
        <v>1</v>
      </c>
      <c r="AC1175">
        <v>0.1</v>
      </c>
      <c r="AD1175">
        <v>0.10389195236953569</v>
      </c>
      <c r="AE1175">
        <v>900</v>
      </c>
      <c r="AF1175">
        <v>200000</v>
      </c>
      <c r="AG1175">
        <v>16666.666666666668</v>
      </c>
      <c r="AH1175">
        <v>1</v>
      </c>
      <c r="AI1175">
        <v>1</v>
      </c>
      <c r="AJ1175" t="s">
        <v>162</v>
      </c>
      <c r="AK1175" t="s">
        <v>176</v>
      </c>
      <c r="AL1175">
        <v>0</v>
      </c>
      <c r="AM1175" t="s">
        <v>176</v>
      </c>
      <c r="AN1175">
        <v>0</v>
      </c>
    </row>
    <row r="1176" spans="1:40" x14ac:dyDescent="0.15">
      <c r="A1176" s="4" t="str">
        <f>HYPERLINK("https://ibp.a2mac1.com/costing(costing:projects/details/9760/process/12085157)","Stamping")</f>
        <v>Stamping</v>
      </c>
      <c r="C1176">
        <v>12085157</v>
      </c>
      <c r="D1176">
        <v>8415752</v>
      </c>
      <c r="E1176">
        <v>0.119356692</v>
      </c>
      <c r="F1176">
        <v>0</v>
      </c>
      <c r="G1176">
        <v>0</v>
      </c>
      <c r="H1176">
        <v>6.6367567199999999E-4</v>
      </c>
      <c r="I1176" t="s">
        <v>176</v>
      </c>
      <c r="J1176">
        <v>4.5906419999999998E-3</v>
      </c>
      <c r="K1176">
        <v>0.12461100967200001</v>
      </c>
      <c r="L1176">
        <v>1.4180898590142447E-3</v>
      </c>
      <c r="M1176">
        <v>8.5085391540854673E-3</v>
      </c>
      <c r="N1176">
        <v>0.13311954882608545</v>
      </c>
      <c r="O1176" t="s">
        <v>177</v>
      </c>
      <c r="P1176">
        <v>7.4766605803199999E-3</v>
      </c>
      <c r="Q1176" t="s">
        <v>177</v>
      </c>
      <c r="R1176">
        <v>5.1051234924512812E-4</v>
      </c>
      <c r="S1176" t="s">
        <v>178</v>
      </c>
      <c r="T1176">
        <v>1.5974345859130257E-2</v>
      </c>
      <c r="U1176">
        <v>0.15708106761478086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60</v>
      </c>
      <c r="AB1176">
        <v>1</v>
      </c>
      <c r="AC1176">
        <v>0.5</v>
      </c>
      <c r="AD1176">
        <v>0.50345253019720215</v>
      </c>
      <c r="AE1176">
        <v>3132</v>
      </c>
      <c r="AF1176">
        <v>200000</v>
      </c>
      <c r="AG1176">
        <v>16666.666666666668</v>
      </c>
      <c r="AH1176">
        <v>1</v>
      </c>
      <c r="AI1176">
        <v>1</v>
      </c>
      <c r="AJ1176" t="s">
        <v>162</v>
      </c>
      <c r="AK1176" t="s">
        <v>176</v>
      </c>
      <c r="AL1176">
        <v>0</v>
      </c>
      <c r="AM1176" t="s">
        <v>176</v>
      </c>
      <c r="AN1176">
        <v>0</v>
      </c>
    </row>
    <row r="1177" spans="1:40" x14ac:dyDescent="0.15">
      <c r="A1177" s="4" t="str">
        <f>HYPERLINK("https://ibp.a2mac1.com/costing(costing:projects/details/9760/process/12085158)","Stamping")</f>
        <v>Stamping</v>
      </c>
      <c r="C1177">
        <v>12085158</v>
      </c>
      <c r="D1177">
        <v>8415753</v>
      </c>
      <c r="E1177">
        <v>9.3976245999999999E-2</v>
      </c>
      <c r="F1177">
        <v>0</v>
      </c>
      <c r="G1177">
        <v>0</v>
      </c>
      <c r="H1177">
        <v>5.2254923600000001E-4</v>
      </c>
      <c r="I1177" t="s">
        <v>176</v>
      </c>
      <c r="J1177">
        <v>3.6144710000000002E-3</v>
      </c>
      <c r="K1177">
        <v>9.8113266236000002E-2</v>
      </c>
      <c r="L1177">
        <v>1.1160014552404564E-3</v>
      </c>
      <c r="M1177">
        <v>6.6960087314427387E-3</v>
      </c>
      <c r="N1177">
        <v>0.10480927496744274</v>
      </c>
      <c r="O1177" t="s">
        <v>177</v>
      </c>
      <c r="P1177">
        <v>5.8867959741600003E-3</v>
      </c>
      <c r="Q1177" t="s">
        <v>177</v>
      </c>
      <c r="R1177">
        <v>4.0176052388656431E-4</v>
      </c>
      <c r="S1177" t="s">
        <v>178</v>
      </c>
      <c r="T1177">
        <v>1.2577112996093128E-2</v>
      </c>
      <c r="U1177">
        <v>0.12367494446158243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60</v>
      </c>
      <c r="AB1177">
        <v>1</v>
      </c>
      <c r="AC1177">
        <v>0.5</v>
      </c>
      <c r="AD1177">
        <v>0.50345253019720215</v>
      </c>
      <c r="AE1177">
        <v>2466</v>
      </c>
      <c r="AF1177">
        <v>200000</v>
      </c>
      <c r="AG1177">
        <v>16666.666666666668</v>
      </c>
      <c r="AH1177">
        <v>1</v>
      </c>
      <c r="AI1177">
        <v>1</v>
      </c>
      <c r="AJ1177" t="s">
        <v>162</v>
      </c>
      <c r="AK1177" t="s">
        <v>176</v>
      </c>
      <c r="AL1177">
        <v>0</v>
      </c>
      <c r="AM1177" t="s">
        <v>176</v>
      </c>
      <c r="AN1177">
        <v>0</v>
      </c>
    </row>
    <row r="1178" spans="1:40" x14ac:dyDescent="0.15">
      <c r="A1178" s="4" t="str">
        <f>HYPERLINK("https://ibp.a2mac1.com/costing(costing:projects/details/9760/process/12085159)","Stamping")</f>
        <v>Stamping</v>
      </c>
      <c r="C1178">
        <v>12085159</v>
      </c>
      <c r="D1178">
        <v>8415754</v>
      </c>
      <c r="E1178">
        <v>9.3976245999999999E-2</v>
      </c>
      <c r="F1178">
        <v>0</v>
      </c>
      <c r="G1178">
        <v>0</v>
      </c>
      <c r="H1178">
        <v>5.2254923600000001E-4</v>
      </c>
      <c r="I1178" t="s">
        <v>176</v>
      </c>
      <c r="J1178">
        <v>3.6144710000000002E-3</v>
      </c>
      <c r="K1178">
        <v>9.8113266236000002E-2</v>
      </c>
      <c r="L1178">
        <v>1.1160014552404564E-3</v>
      </c>
      <c r="M1178">
        <v>6.6960087314427387E-3</v>
      </c>
      <c r="N1178">
        <v>0.10480927496744274</v>
      </c>
      <c r="O1178" t="s">
        <v>177</v>
      </c>
      <c r="P1178">
        <v>5.8867959741600003E-3</v>
      </c>
      <c r="Q1178" t="s">
        <v>177</v>
      </c>
      <c r="R1178">
        <v>4.0176052388656431E-4</v>
      </c>
      <c r="S1178" t="s">
        <v>178</v>
      </c>
      <c r="T1178">
        <v>1.2577112996093128E-2</v>
      </c>
      <c r="U1178">
        <v>0.12367494446158243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60</v>
      </c>
      <c r="AB1178">
        <v>1</v>
      </c>
      <c r="AC1178">
        <v>0.5</v>
      </c>
      <c r="AD1178">
        <v>0.50345253019720215</v>
      </c>
      <c r="AE1178">
        <v>2466</v>
      </c>
      <c r="AF1178">
        <v>200000</v>
      </c>
      <c r="AG1178">
        <v>16666.666666666668</v>
      </c>
      <c r="AH1178">
        <v>1</v>
      </c>
      <c r="AI1178">
        <v>1</v>
      </c>
      <c r="AJ1178" t="s">
        <v>162</v>
      </c>
      <c r="AK1178" t="s">
        <v>176</v>
      </c>
      <c r="AL1178">
        <v>0</v>
      </c>
      <c r="AM1178" t="s">
        <v>176</v>
      </c>
      <c r="AN1178">
        <v>0</v>
      </c>
    </row>
    <row r="1179" spans="1:40" x14ac:dyDescent="0.15">
      <c r="A1179" s="4" t="str">
        <f>HYPERLINK("https://ibp.a2mac1.com/costing(costing:projects/details/9760/process/12085160)","Stamping")</f>
        <v>Stamping</v>
      </c>
      <c r="C1179">
        <v>12085160</v>
      </c>
      <c r="D1179">
        <v>8415755</v>
      </c>
      <c r="E1179">
        <v>0.15296863399999999</v>
      </c>
      <c r="F1179">
        <v>0</v>
      </c>
      <c r="G1179">
        <v>0</v>
      </c>
      <c r="H1179">
        <v>8.5057284399999995E-4</v>
      </c>
      <c r="I1179" t="s">
        <v>176</v>
      </c>
      <c r="J1179">
        <v>5.883409E-3</v>
      </c>
      <c r="K1179">
        <v>0.159702615844</v>
      </c>
      <c r="L1179">
        <v>1.8186022628760244E-3</v>
      </c>
      <c r="M1179">
        <v>1.0911613577256146E-2</v>
      </c>
      <c r="N1179">
        <v>0.17061422942125615</v>
      </c>
      <c r="O1179" t="s">
        <v>177</v>
      </c>
      <c r="P1179">
        <v>9.5821569506400004E-3</v>
      </c>
      <c r="Q1179" t="s">
        <v>177</v>
      </c>
      <c r="R1179">
        <v>6.5469681463536879E-4</v>
      </c>
      <c r="S1179" t="s">
        <v>178</v>
      </c>
      <c r="T1179">
        <v>2.0473707530550736E-2</v>
      </c>
      <c r="U1179">
        <v>0.20132479071708226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60</v>
      </c>
      <c r="AB1179">
        <v>1</v>
      </c>
      <c r="AC1179">
        <v>0.5</v>
      </c>
      <c r="AD1179">
        <v>0.50345253019720215</v>
      </c>
      <c r="AE1179">
        <v>4014</v>
      </c>
      <c r="AF1179">
        <v>200000</v>
      </c>
      <c r="AG1179">
        <v>16666.666666666668</v>
      </c>
      <c r="AH1179">
        <v>1</v>
      </c>
      <c r="AI1179">
        <v>1</v>
      </c>
      <c r="AJ1179" t="s">
        <v>162</v>
      </c>
      <c r="AK1179" t="s">
        <v>176</v>
      </c>
      <c r="AL1179">
        <v>0</v>
      </c>
      <c r="AM1179" t="s">
        <v>176</v>
      </c>
      <c r="AN1179">
        <v>0</v>
      </c>
    </row>
    <row r="1180" spans="1:40" x14ac:dyDescent="0.15">
      <c r="A1180" s="4" t="str">
        <f>HYPERLINK("https://ibp.a2mac1.com/costing(costing:projects/details/9760/process/12085161)","Stamping")</f>
        <v>Stamping</v>
      </c>
      <c r="C1180">
        <v>12085161</v>
      </c>
      <c r="D1180">
        <v>8415756</v>
      </c>
      <c r="E1180">
        <v>0.15365459200000001</v>
      </c>
      <c r="F1180">
        <v>0</v>
      </c>
      <c r="G1180">
        <v>0</v>
      </c>
      <c r="H1180">
        <v>8.54387072E-4</v>
      </c>
      <c r="I1180" t="s">
        <v>176</v>
      </c>
      <c r="J1180">
        <v>5.9097919999999996E-3</v>
      </c>
      <c r="K1180">
        <v>0.160418771072</v>
      </c>
      <c r="L1180">
        <v>1.8267813174238426E-3</v>
      </c>
      <c r="M1180">
        <v>1.0960687904543055E-2</v>
      </c>
      <c r="N1180">
        <v>0.17137945897654305</v>
      </c>
      <c r="O1180" t="s">
        <v>177</v>
      </c>
      <c r="P1180">
        <v>9.6251262643199994E-3</v>
      </c>
      <c r="Q1180" t="s">
        <v>177</v>
      </c>
      <c r="R1180">
        <v>6.5764127427258331E-4</v>
      </c>
      <c r="S1180" t="s">
        <v>178</v>
      </c>
      <c r="T1180">
        <v>2.0565535077185167E-2</v>
      </c>
      <c r="U1180">
        <v>0.20222776159232081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60</v>
      </c>
      <c r="AB1180">
        <v>1</v>
      </c>
      <c r="AC1180">
        <v>0.5</v>
      </c>
      <c r="AD1180">
        <v>0.50345253019720215</v>
      </c>
      <c r="AE1180">
        <v>4032</v>
      </c>
      <c r="AF1180">
        <v>200000</v>
      </c>
      <c r="AG1180">
        <v>16666.666666666668</v>
      </c>
      <c r="AH1180">
        <v>1</v>
      </c>
      <c r="AI1180">
        <v>1</v>
      </c>
      <c r="AJ1180" t="s">
        <v>162</v>
      </c>
      <c r="AK1180" t="s">
        <v>176</v>
      </c>
      <c r="AL1180">
        <v>0</v>
      </c>
      <c r="AM1180" t="s">
        <v>176</v>
      </c>
      <c r="AN1180">
        <v>0</v>
      </c>
    </row>
    <row r="1181" spans="1:40" x14ac:dyDescent="0.15">
      <c r="A1181" s="4" t="str">
        <f>HYPERLINK("https://ibp.a2mac1.com/costing(costing:projects/details/9760/process/12086444)","MANUFACTURING  PROCESS")</f>
        <v>MANUFACTURING  PROCESS</v>
      </c>
      <c r="B1181" t="s">
        <v>4962</v>
      </c>
      <c r="C1181">
        <v>12086444</v>
      </c>
      <c r="D1181">
        <v>8417266</v>
      </c>
      <c r="E1181">
        <v>2.1374308266666668</v>
      </c>
      <c r="F1181">
        <v>0</v>
      </c>
      <c r="G1181">
        <v>0</v>
      </c>
      <c r="H1181">
        <v>3.4004581333333333E-4</v>
      </c>
      <c r="I1181" t="s">
        <v>176</v>
      </c>
      <c r="J1181">
        <v>8.5011453333333334E-2</v>
      </c>
      <c r="K1181">
        <v>2.2227823258133332</v>
      </c>
      <c r="L1181">
        <v>5.1910920237535282E-2</v>
      </c>
      <c r="M1181">
        <v>0.31146552142521172</v>
      </c>
      <c r="N1181">
        <v>2.5342478472385452</v>
      </c>
      <c r="O1181" t="s">
        <v>177</v>
      </c>
      <c r="P1181">
        <v>0.1333669395488</v>
      </c>
      <c r="Q1181" t="s">
        <v>177</v>
      </c>
      <c r="R1181">
        <v>1.8687931285512702E-2</v>
      </c>
      <c r="S1181" t="s">
        <v>178</v>
      </c>
      <c r="T1181">
        <v>0.30410974166862542</v>
      </c>
      <c r="U1181">
        <v>2.9904124597414832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10.05803</v>
      </c>
      <c r="AB1181">
        <v>1</v>
      </c>
      <c r="AC1181">
        <v>0.01</v>
      </c>
      <c r="AD1181">
        <v>1.3998040274361589E-2</v>
      </c>
      <c r="AE1181">
        <v>5400</v>
      </c>
      <c r="AF1181">
        <v>200000</v>
      </c>
      <c r="AG1181">
        <v>16666.666666666668</v>
      </c>
      <c r="AH1181">
        <v>1</v>
      </c>
      <c r="AI1181">
        <v>1</v>
      </c>
      <c r="AJ1181" t="s">
        <v>162</v>
      </c>
      <c r="AK1181" t="s">
        <v>176</v>
      </c>
      <c r="AL1181">
        <v>0</v>
      </c>
      <c r="AM1181" t="s">
        <v>176</v>
      </c>
      <c r="AN1181">
        <v>0</v>
      </c>
    </row>
    <row r="1182" spans="1:40" x14ac:dyDescent="0.15">
      <c r="A1182" s="4" t="str">
        <f>HYPERLINK("https://ibp.a2mac1.com/costing(costing:projects/details/9760/process/12086445)","MANUFACTURING  PROCESS")</f>
        <v>MANUFACTURING  PROCESS</v>
      </c>
      <c r="B1182" t="s">
        <v>4962</v>
      </c>
      <c r="C1182">
        <v>12086445</v>
      </c>
      <c r="D1182">
        <v>8417267</v>
      </c>
      <c r="E1182">
        <v>2.2342607466666666</v>
      </c>
      <c r="F1182">
        <v>0</v>
      </c>
      <c r="G1182">
        <v>0</v>
      </c>
      <c r="H1182">
        <v>3.5545057333333333E-4</v>
      </c>
      <c r="I1182" t="s">
        <v>176</v>
      </c>
      <c r="J1182">
        <v>8.8862643333333338E-2</v>
      </c>
      <c r="K1182">
        <v>2.3234788405733333</v>
      </c>
      <c r="L1182">
        <v>5.1910920237535282E-2</v>
      </c>
      <c r="M1182">
        <v>0.31146552142521172</v>
      </c>
      <c r="N1182">
        <v>2.6349443619985449</v>
      </c>
      <c r="O1182" t="s">
        <v>177</v>
      </c>
      <c r="P1182">
        <v>0.1394087304344</v>
      </c>
      <c r="Q1182" t="s">
        <v>177</v>
      </c>
      <c r="R1182">
        <v>1.8687931285512702E-2</v>
      </c>
      <c r="S1182" t="s">
        <v>178</v>
      </c>
      <c r="T1182">
        <v>0.31619332343982542</v>
      </c>
      <c r="U1182">
        <v>3.1092343471582833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10.05803</v>
      </c>
      <c r="AB1182">
        <v>1</v>
      </c>
      <c r="AC1182">
        <v>0.01</v>
      </c>
      <c r="AD1182">
        <v>1.3998040274361589E-2</v>
      </c>
      <c r="AE1182">
        <v>5400</v>
      </c>
      <c r="AF1182">
        <v>200000</v>
      </c>
      <c r="AG1182">
        <v>16666.666666666668</v>
      </c>
      <c r="AH1182">
        <v>1</v>
      </c>
      <c r="AI1182">
        <v>1</v>
      </c>
      <c r="AJ1182" t="s">
        <v>162</v>
      </c>
      <c r="AK1182" t="s">
        <v>176</v>
      </c>
      <c r="AL1182">
        <v>0</v>
      </c>
      <c r="AM1182" t="s">
        <v>176</v>
      </c>
      <c r="AN1182">
        <v>0</v>
      </c>
    </row>
    <row r="1183" spans="1:40" x14ac:dyDescent="0.15">
      <c r="A1183" s="4" t="str">
        <f>HYPERLINK("https://ibp.a2mac1.com/costing(costing:projects/details/9760/process/12086446)","MANUFACTURING  PROCESS")</f>
        <v>MANUFACTURING  PROCESS</v>
      </c>
      <c r="B1183" t="s">
        <v>4962</v>
      </c>
      <c r="C1183">
        <v>12086446</v>
      </c>
      <c r="D1183">
        <v>8417268</v>
      </c>
      <c r="E1183">
        <v>0.21716197384615385</v>
      </c>
      <c r="F1183">
        <v>0</v>
      </c>
      <c r="G1183">
        <v>0</v>
      </c>
      <c r="H1183">
        <v>2.669029846153846E-5</v>
      </c>
      <c r="I1183" t="s">
        <v>176</v>
      </c>
      <c r="J1183">
        <v>8.4923676923076927E-3</v>
      </c>
      <c r="K1183">
        <v>0.22568103183692309</v>
      </c>
      <c r="L1183">
        <v>8.1787144122335721E-3</v>
      </c>
      <c r="M1183">
        <v>4.9072286473401429E-2</v>
      </c>
      <c r="N1183">
        <v>0.27475331831032451</v>
      </c>
      <c r="O1183" t="s">
        <v>177</v>
      </c>
      <c r="P1183">
        <v>1.3540861910215385E-2</v>
      </c>
      <c r="Q1183" t="s">
        <v>177</v>
      </c>
      <c r="R1183">
        <v>2.9443371884040857E-3</v>
      </c>
      <c r="S1183" t="s">
        <v>178</v>
      </c>
      <c r="T1183">
        <v>3.2970398197238938E-2</v>
      </c>
      <c r="U1183">
        <v>0.32420891560618292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2.9266899999999998</v>
      </c>
      <c r="AB1183">
        <v>2</v>
      </c>
      <c r="AC1183">
        <v>0.01</v>
      </c>
      <c r="AD1183">
        <v>1.099879013308536E-2</v>
      </c>
      <c r="AE1183">
        <v>5400</v>
      </c>
      <c r="AF1183">
        <v>400000</v>
      </c>
      <c r="AG1183">
        <v>33333.333333333336</v>
      </c>
      <c r="AH1183">
        <v>1</v>
      </c>
      <c r="AI1183">
        <v>1</v>
      </c>
      <c r="AJ1183" t="s">
        <v>162</v>
      </c>
      <c r="AK1183" t="s">
        <v>176</v>
      </c>
      <c r="AL1183">
        <v>0</v>
      </c>
      <c r="AM1183" t="s">
        <v>176</v>
      </c>
      <c r="AN1183">
        <v>0</v>
      </c>
    </row>
    <row r="1184" spans="1:40" x14ac:dyDescent="0.15">
      <c r="A1184" s="4" t="str">
        <f>HYPERLINK("https://ibp.a2mac1.com/costing(costing:projects/details/9760/process/12086447)","MANUFACTURING  PROCESS")</f>
        <v>MANUFACTURING  PROCESS</v>
      </c>
      <c r="B1184" t="s">
        <v>4962</v>
      </c>
      <c r="C1184">
        <v>12086447</v>
      </c>
      <c r="D1184">
        <v>8417269</v>
      </c>
      <c r="E1184">
        <v>0.65569448692307697</v>
      </c>
      <c r="F1184">
        <v>0</v>
      </c>
      <c r="G1184">
        <v>0</v>
      </c>
      <c r="H1184">
        <v>8.058814923076923E-5</v>
      </c>
      <c r="I1184" t="s">
        <v>176</v>
      </c>
      <c r="J1184">
        <v>2.5641683846153847E-2</v>
      </c>
      <c r="K1184">
        <v>0.68141675891846154</v>
      </c>
      <c r="L1184">
        <v>8.1787144122335721E-3</v>
      </c>
      <c r="M1184">
        <v>4.9072286473401429E-2</v>
      </c>
      <c r="N1184">
        <v>0.73048904539186299</v>
      </c>
      <c r="O1184" t="s">
        <v>177</v>
      </c>
      <c r="P1184">
        <v>4.0885005535107689E-2</v>
      </c>
      <c r="Q1184" t="s">
        <v>177</v>
      </c>
      <c r="R1184">
        <v>2.9443371884040857E-3</v>
      </c>
      <c r="S1184" t="s">
        <v>178</v>
      </c>
      <c r="T1184">
        <v>8.7658685447023557E-2</v>
      </c>
      <c r="U1184">
        <v>0.86197707356239828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2.9266899999999998</v>
      </c>
      <c r="AB1184">
        <v>2</v>
      </c>
      <c r="AC1184">
        <v>0.01</v>
      </c>
      <c r="AD1184">
        <v>1.099879013308536E-2</v>
      </c>
      <c r="AE1184">
        <v>5400</v>
      </c>
      <c r="AF1184">
        <v>400000</v>
      </c>
      <c r="AG1184">
        <v>33333.333333333336</v>
      </c>
      <c r="AH1184">
        <v>1</v>
      </c>
      <c r="AI1184">
        <v>1</v>
      </c>
      <c r="AJ1184" t="s">
        <v>162</v>
      </c>
      <c r="AK1184" t="s">
        <v>176</v>
      </c>
      <c r="AL1184">
        <v>0</v>
      </c>
      <c r="AM1184" t="s">
        <v>176</v>
      </c>
      <c r="AN1184">
        <v>0</v>
      </c>
    </row>
    <row r="1185" spans="1:40" x14ac:dyDescent="0.15">
      <c r="A1185" s="4" t="str">
        <f>HYPERLINK("https://ibp.a2mac1.com/costing(costing:projects/details/9760/process/12086448)","MANUFACTURING  PROCESS")</f>
        <v>MANUFACTURING  PROCESS</v>
      </c>
      <c r="B1185" t="s">
        <v>4962</v>
      </c>
      <c r="C1185">
        <v>12086448</v>
      </c>
      <c r="D1185">
        <v>8417270</v>
      </c>
      <c r="E1185">
        <v>4.6294219230769228E-2</v>
      </c>
      <c r="F1185">
        <v>0</v>
      </c>
      <c r="G1185">
        <v>0</v>
      </c>
      <c r="H1185">
        <v>5.6897923076923074E-6</v>
      </c>
      <c r="I1185" t="s">
        <v>176</v>
      </c>
      <c r="J1185">
        <v>1.8103884615384615E-3</v>
      </c>
      <c r="K1185">
        <v>4.8110297484615386E-2</v>
      </c>
      <c r="L1185">
        <v>5.2816765115045365E-3</v>
      </c>
      <c r="M1185">
        <v>3.1690059069027221E-2</v>
      </c>
      <c r="N1185">
        <v>7.9800356553642607E-2</v>
      </c>
      <c r="O1185" t="s">
        <v>177</v>
      </c>
      <c r="P1185">
        <v>2.8866178490769231E-3</v>
      </c>
      <c r="Q1185" t="s">
        <v>177</v>
      </c>
      <c r="R1185">
        <v>1.9014035441416333E-3</v>
      </c>
      <c r="S1185" t="s">
        <v>178</v>
      </c>
      <c r="T1185">
        <v>9.5760427864371132E-3</v>
      </c>
      <c r="U1185">
        <v>9.4164420733298268E-2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1.7644599999999999</v>
      </c>
      <c r="AB1185">
        <v>2</v>
      </c>
      <c r="AC1185">
        <v>0.01</v>
      </c>
      <c r="AD1185">
        <v>1.099879013308536E-2</v>
      </c>
      <c r="AE1185">
        <v>5400</v>
      </c>
      <c r="AF1185">
        <v>400000</v>
      </c>
      <c r="AG1185">
        <v>33333.333333333336</v>
      </c>
      <c r="AH1185">
        <v>1</v>
      </c>
      <c r="AI1185">
        <v>1</v>
      </c>
      <c r="AJ1185" t="s">
        <v>162</v>
      </c>
      <c r="AK1185" t="s">
        <v>176</v>
      </c>
      <c r="AL1185">
        <v>0</v>
      </c>
      <c r="AM1185" t="s">
        <v>176</v>
      </c>
      <c r="AN1185">
        <v>0</v>
      </c>
    </row>
    <row r="1186" spans="1:40" x14ac:dyDescent="0.15">
      <c r="A1186" s="4" t="str">
        <f>HYPERLINK("https://ibp.a2mac1.com/costing(costing:projects/details/9760/process/12086449)","MANUFACTURING  PROCESS")</f>
        <v>MANUFACTURING  PROCESS</v>
      </c>
      <c r="B1186" t="s">
        <v>4962</v>
      </c>
      <c r="C1186">
        <v>12086449</v>
      </c>
      <c r="D1186">
        <v>8417271</v>
      </c>
      <c r="E1186">
        <v>0.74036580666666663</v>
      </c>
      <c r="F1186">
        <v>0</v>
      </c>
      <c r="G1186">
        <v>0</v>
      </c>
      <c r="H1186">
        <v>1.1205536533333334E-4</v>
      </c>
      <c r="I1186" t="s">
        <v>176</v>
      </c>
      <c r="J1186">
        <v>2.8013841333333334E-2</v>
      </c>
      <c r="K1186">
        <v>0.76849170336533335</v>
      </c>
      <c r="L1186">
        <v>5.1910920237535282E-2</v>
      </c>
      <c r="M1186">
        <v>0.31146552142521172</v>
      </c>
      <c r="N1186">
        <v>1.0799572247905451</v>
      </c>
      <c r="O1186" t="s">
        <v>177</v>
      </c>
      <c r="P1186">
        <v>4.6109502201919998E-2</v>
      </c>
      <c r="Q1186" t="s">
        <v>177</v>
      </c>
      <c r="R1186">
        <v>1.8687931285512702E-2</v>
      </c>
      <c r="S1186" t="s">
        <v>178</v>
      </c>
      <c r="T1186">
        <v>0.12959486697486541</v>
      </c>
      <c r="U1186">
        <v>1.2743495252528432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10.05803</v>
      </c>
      <c r="AB1186">
        <v>1</v>
      </c>
      <c r="AC1186">
        <v>0.01</v>
      </c>
      <c r="AD1186">
        <v>1.3998040274361589E-2</v>
      </c>
      <c r="AE1186">
        <v>5400</v>
      </c>
      <c r="AF1186">
        <v>200000</v>
      </c>
      <c r="AG1186">
        <v>16666.666666666668</v>
      </c>
      <c r="AH1186">
        <v>1</v>
      </c>
      <c r="AI1186">
        <v>1</v>
      </c>
      <c r="AJ1186" t="s">
        <v>162</v>
      </c>
      <c r="AK1186" t="s">
        <v>176</v>
      </c>
      <c r="AL1186">
        <v>0</v>
      </c>
      <c r="AM1186" t="s">
        <v>176</v>
      </c>
      <c r="AN1186">
        <v>0</v>
      </c>
    </row>
    <row r="1187" spans="1:40" x14ac:dyDescent="0.15">
      <c r="A1187" s="4" t="str">
        <f>HYPERLINK("https://ibp.a2mac1.com/costing(costing:projects/details/9760/process/12086450)","MANUFACTURING  PROCESS")</f>
        <v>MANUFACTURING  PROCESS</v>
      </c>
      <c r="B1187" t="s">
        <v>4962</v>
      </c>
      <c r="C1187">
        <v>12086450</v>
      </c>
      <c r="D1187">
        <v>8417272</v>
      </c>
      <c r="E1187">
        <v>1.0856688000000001</v>
      </c>
      <c r="F1187">
        <v>0</v>
      </c>
      <c r="G1187">
        <v>0</v>
      </c>
      <c r="H1187">
        <v>1.6431744000000001E-4</v>
      </c>
      <c r="I1187" t="s">
        <v>176</v>
      </c>
      <c r="J1187">
        <v>4.1079360000000002E-2</v>
      </c>
      <c r="K1187">
        <v>1.1269124774399999</v>
      </c>
      <c r="L1187">
        <v>5.1910920237535282E-2</v>
      </c>
      <c r="M1187">
        <v>0.31146552142521172</v>
      </c>
      <c r="N1187">
        <v>1.4383779988652117</v>
      </c>
      <c r="O1187" t="s">
        <v>177</v>
      </c>
      <c r="P1187">
        <v>6.7614748646400005E-2</v>
      </c>
      <c r="Q1187" t="s">
        <v>177</v>
      </c>
      <c r="R1187">
        <v>1.8687931285512702E-2</v>
      </c>
      <c r="S1187" t="s">
        <v>178</v>
      </c>
      <c r="T1187">
        <v>0.17260535986382541</v>
      </c>
      <c r="U1187">
        <v>1.6972860386609498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10.05803</v>
      </c>
      <c r="AB1187">
        <v>1</v>
      </c>
      <c r="AC1187">
        <v>0.01</v>
      </c>
      <c r="AD1187">
        <v>1.3998040274361589E-2</v>
      </c>
      <c r="AE1187">
        <v>5400</v>
      </c>
      <c r="AF1187">
        <v>200000</v>
      </c>
      <c r="AG1187">
        <v>16666.666666666668</v>
      </c>
      <c r="AH1187">
        <v>1</v>
      </c>
      <c r="AI1187">
        <v>1</v>
      </c>
      <c r="AJ1187" t="s">
        <v>162</v>
      </c>
      <c r="AK1187" t="s">
        <v>176</v>
      </c>
      <c r="AL1187">
        <v>0</v>
      </c>
      <c r="AM1187" t="s">
        <v>176</v>
      </c>
      <c r="AN1187">
        <v>0</v>
      </c>
    </row>
    <row r="1188" spans="1:40" x14ac:dyDescent="0.15">
      <c r="A1188" s="4" t="str">
        <f>HYPERLINK("https://ibp.a2mac1.com/costing(costing:projects/details/9760/process/12086451)","MANUFACTURING  PROCESS")</f>
        <v>MANUFACTURING  PROCESS</v>
      </c>
      <c r="B1188" t="s">
        <v>4962</v>
      </c>
      <c r="C1188">
        <v>12086451</v>
      </c>
      <c r="D1188">
        <v>8417273</v>
      </c>
      <c r="E1188">
        <v>0.30277689000000002</v>
      </c>
      <c r="F1188">
        <v>0</v>
      </c>
      <c r="G1188">
        <v>0</v>
      </c>
      <c r="H1188">
        <v>3.6599404285714288E-5</v>
      </c>
      <c r="I1188" t="s">
        <v>176</v>
      </c>
      <c r="J1188">
        <v>1.1645265E-2</v>
      </c>
      <c r="K1188">
        <v>0.31445875440428572</v>
      </c>
      <c r="L1188">
        <v>8.1787144122335721E-3</v>
      </c>
      <c r="M1188">
        <v>4.9072286473401429E-2</v>
      </c>
      <c r="N1188">
        <v>0.36353104087768717</v>
      </c>
      <c r="O1188" t="s">
        <v>177</v>
      </c>
      <c r="P1188">
        <v>1.8867525264257144E-2</v>
      </c>
      <c r="Q1188" t="s">
        <v>177</v>
      </c>
      <c r="R1188">
        <v>2.9443371884040857E-3</v>
      </c>
      <c r="S1188" t="s">
        <v>178</v>
      </c>
      <c r="T1188">
        <v>4.3623724905322459E-2</v>
      </c>
      <c r="U1188">
        <v>0.42896662823567083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2.9266899999999998</v>
      </c>
      <c r="AB1188">
        <v>2</v>
      </c>
      <c r="AC1188">
        <v>0.01</v>
      </c>
      <c r="AD1188">
        <v>1.099879013308536E-2</v>
      </c>
      <c r="AE1188">
        <v>5400</v>
      </c>
      <c r="AF1188">
        <v>400000</v>
      </c>
      <c r="AG1188">
        <v>33333.333333333336</v>
      </c>
      <c r="AH1188">
        <v>1</v>
      </c>
      <c r="AI1188">
        <v>1</v>
      </c>
      <c r="AJ1188" t="s">
        <v>162</v>
      </c>
      <c r="AK1188" t="s">
        <v>176</v>
      </c>
      <c r="AL1188">
        <v>0</v>
      </c>
      <c r="AM1188" t="s">
        <v>176</v>
      </c>
      <c r="AN1188">
        <v>0</v>
      </c>
    </row>
    <row r="1189" spans="1:40" x14ac:dyDescent="0.15">
      <c r="A1189" s="4" t="str">
        <f>HYPERLINK("https://ibp.a2mac1.com/costing(costing:projects/details/9760/process/12086193)","MANUFACTURING  PROCESS")</f>
        <v>MANUFACTURING  PROCESS</v>
      </c>
      <c r="B1189" t="s">
        <v>4962</v>
      </c>
      <c r="C1189">
        <v>12086193</v>
      </c>
      <c r="D1189">
        <v>8416873</v>
      </c>
      <c r="E1189">
        <v>1.2103740000000001</v>
      </c>
      <c r="F1189">
        <v>0</v>
      </c>
      <c r="G1189">
        <v>0</v>
      </c>
      <c r="H1189">
        <v>1.9255950000000001E-4</v>
      </c>
      <c r="I1189" t="s">
        <v>176</v>
      </c>
      <c r="J1189">
        <v>4.8139874999999999E-2</v>
      </c>
      <c r="K1189">
        <v>1.2587064345000001</v>
      </c>
      <c r="L1189">
        <v>6.2248268758096685E-2</v>
      </c>
      <c r="M1189">
        <v>0.3734896125485801</v>
      </c>
      <c r="N1189">
        <v>1.6321960470485801</v>
      </c>
      <c r="O1189" t="s">
        <v>177</v>
      </c>
      <c r="P1189">
        <v>7.5522386070000003E-2</v>
      </c>
      <c r="Q1189" t="s">
        <v>177</v>
      </c>
      <c r="R1189">
        <v>2.2409376752914805E-2</v>
      </c>
      <c r="S1189" t="s">
        <v>178</v>
      </c>
      <c r="T1189">
        <v>0.19586352564582962</v>
      </c>
      <c r="U1189">
        <v>1.9259913355173246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12.13153</v>
      </c>
      <c r="AB1189">
        <v>1</v>
      </c>
      <c r="AC1189">
        <v>0.01</v>
      </c>
      <c r="AD1189">
        <v>1.3998040274361589E-2</v>
      </c>
      <c r="AE1189">
        <v>5400</v>
      </c>
      <c r="AF1189">
        <v>200000</v>
      </c>
      <c r="AG1189">
        <v>16666.666666666668</v>
      </c>
      <c r="AH1189">
        <v>1</v>
      </c>
      <c r="AI1189">
        <v>1</v>
      </c>
      <c r="AJ1189" t="s">
        <v>162</v>
      </c>
      <c r="AK1189" t="s">
        <v>176</v>
      </c>
      <c r="AL1189">
        <v>0</v>
      </c>
      <c r="AM1189" t="s">
        <v>176</v>
      </c>
      <c r="AN1189">
        <v>0</v>
      </c>
    </row>
    <row r="1190" spans="1:40" x14ac:dyDescent="0.15">
      <c r="A1190" s="4" t="str">
        <f>HYPERLINK("https://ibp.a2mac1.com/costing(costing:projects/details/9760/process/12086194)","MANUFACTURING  PROCESS")</f>
        <v>MANUFACTURING  PROCESS</v>
      </c>
      <c r="B1190" t="s">
        <v>4962</v>
      </c>
      <c r="C1190">
        <v>12086194</v>
      </c>
      <c r="D1190">
        <v>8416874</v>
      </c>
      <c r="E1190">
        <v>3.9734499999999999E-2</v>
      </c>
      <c r="F1190">
        <v>0</v>
      </c>
      <c r="G1190">
        <v>0</v>
      </c>
      <c r="H1190">
        <v>4.8030714285714287E-6</v>
      </c>
      <c r="I1190" t="s">
        <v>176</v>
      </c>
      <c r="J1190">
        <v>1.5282500000000001E-3</v>
      </c>
      <c r="K1190">
        <v>4.126755307142857E-2</v>
      </c>
      <c r="L1190">
        <v>3.60065520774138E-3</v>
      </c>
      <c r="M1190">
        <v>2.1603931246448278E-2</v>
      </c>
      <c r="N1190">
        <v>6.2871484317876855E-2</v>
      </c>
      <c r="O1190" t="s">
        <v>177</v>
      </c>
      <c r="P1190">
        <v>2.4760531842857145E-3</v>
      </c>
      <c r="Q1190" t="s">
        <v>177</v>
      </c>
      <c r="R1190">
        <v>1.2962358747868967E-3</v>
      </c>
      <c r="S1190" t="s">
        <v>178</v>
      </c>
      <c r="T1190">
        <v>7.5445781181452225E-3</v>
      </c>
      <c r="U1190">
        <v>7.4188351495094687E-2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1.0900700000000001</v>
      </c>
      <c r="AB1190">
        <v>2</v>
      </c>
      <c r="AC1190">
        <v>0.01</v>
      </c>
      <c r="AD1190">
        <v>1.099879013308536E-2</v>
      </c>
      <c r="AE1190">
        <v>5400</v>
      </c>
      <c r="AF1190">
        <v>400000</v>
      </c>
      <c r="AG1190">
        <v>33333.333333333336</v>
      </c>
      <c r="AH1190">
        <v>1</v>
      </c>
      <c r="AI1190">
        <v>1</v>
      </c>
      <c r="AJ1190" t="s">
        <v>162</v>
      </c>
      <c r="AK1190" t="s">
        <v>176</v>
      </c>
      <c r="AL1190">
        <v>0</v>
      </c>
      <c r="AM1190" t="s">
        <v>176</v>
      </c>
      <c r="AN1190">
        <v>0</v>
      </c>
    </row>
    <row r="1191" spans="1:40" x14ac:dyDescent="0.15">
      <c r="A1191" s="4" t="str">
        <f>HYPERLINK("https://ibp.a2mac1.com/costing(costing:projects/details/9760/process/12086195)","MANUFACTURING  PROCESS")</f>
        <v>MANUFACTURING  PROCESS</v>
      </c>
      <c r="B1191" t="s">
        <v>4962</v>
      </c>
      <c r="C1191">
        <v>12086195</v>
      </c>
      <c r="D1191">
        <v>8416875</v>
      </c>
      <c r="E1191">
        <v>0.27973088000000002</v>
      </c>
      <c r="F1191">
        <v>0</v>
      </c>
      <c r="G1191">
        <v>0</v>
      </c>
      <c r="H1191">
        <v>4.303552E-5</v>
      </c>
      <c r="I1191" t="s">
        <v>176</v>
      </c>
      <c r="J1191">
        <v>1.075888E-2</v>
      </c>
      <c r="K1191">
        <v>0.29053279552</v>
      </c>
      <c r="L1191">
        <v>2.2267682204090936E-2</v>
      </c>
      <c r="M1191">
        <v>0.13360609322454561</v>
      </c>
      <c r="N1191">
        <v>0.42413888874454558</v>
      </c>
      <c r="O1191" t="s">
        <v>177</v>
      </c>
      <c r="P1191">
        <v>1.7431967731199999E-2</v>
      </c>
      <c r="Q1191" t="s">
        <v>177</v>
      </c>
      <c r="R1191">
        <v>8.0163655934727355E-3</v>
      </c>
      <c r="S1191" t="s">
        <v>178</v>
      </c>
      <c r="T1191">
        <v>5.0896666649345473E-2</v>
      </c>
      <c r="U1191">
        <v>0.50048388871856386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4.1120900000000002</v>
      </c>
      <c r="AB1191">
        <v>1</v>
      </c>
      <c r="AC1191">
        <v>0.01</v>
      </c>
      <c r="AD1191">
        <v>1.3998040274361589E-2</v>
      </c>
      <c r="AE1191">
        <v>5400</v>
      </c>
      <c r="AF1191">
        <v>200000</v>
      </c>
      <c r="AG1191">
        <v>16666.666666666668</v>
      </c>
      <c r="AH1191">
        <v>1</v>
      </c>
      <c r="AI1191">
        <v>1</v>
      </c>
      <c r="AJ1191" t="s">
        <v>162</v>
      </c>
      <c r="AK1191" t="s">
        <v>176</v>
      </c>
      <c r="AL1191">
        <v>0</v>
      </c>
      <c r="AM1191" t="s">
        <v>176</v>
      </c>
      <c r="AN1191">
        <v>0</v>
      </c>
    </row>
    <row r="1192" spans="1:40" x14ac:dyDescent="0.15">
      <c r="A1192" s="4" t="str">
        <f>HYPERLINK("https://ibp.a2mac1.com/costing(costing:projects/details/9760/process/12086196)","MANUFACTURING  PROCESS")</f>
        <v>MANUFACTURING  PROCESS</v>
      </c>
      <c r="B1192" t="s">
        <v>4962</v>
      </c>
      <c r="C1192">
        <v>12086196</v>
      </c>
      <c r="D1192">
        <v>8416876</v>
      </c>
      <c r="E1192">
        <v>2.3840699999999999E-2</v>
      </c>
      <c r="F1192">
        <v>0</v>
      </c>
      <c r="G1192">
        <v>0</v>
      </c>
      <c r="H1192">
        <v>2.8818428571428572E-6</v>
      </c>
      <c r="I1192" t="s">
        <v>176</v>
      </c>
      <c r="J1192">
        <v>9.1695000000000004E-4</v>
      </c>
      <c r="K1192">
        <v>2.4760531842857144E-2</v>
      </c>
      <c r="L1192">
        <v>3.60065520774138E-3</v>
      </c>
      <c r="M1192">
        <v>2.1603931246448278E-2</v>
      </c>
      <c r="N1192">
        <v>4.6364463089305419E-2</v>
      </c>
      <c r="O1192" t="s">
        <v>177</v>
      </c>
      <c r="P1192">
        <v>1.4856319105714286E-3</v>
      </c>
      <c r="Q1192" t="s">
        <v>177</v>
      </c>
      <c r="R1192">
        <v>1.2962358747868967E-3</v>
      </c>
      <c r="S1192" t="s">
        <v>178</v>
      </c>
      <c r="T1192">
        <v>5.5637355707166504E-3</v>
      </c>
      <c r="U1192">
        <v>5.4710066445380401E-2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1.0900700000000001</v>
      </c>
      <c r="AB1192">
        <v>2</v>
      </c>
      <c r="AC1192">
        <v>0.01</v>
      </c>
      <c r="AD1192">
        <v>1.099879013308536E-2</v>
      </c>
      <c r="AE1192">
        <v>5400</v>
      </c>
      <c r="AF1192">
        <v>400000</v>
      </c>
      <c r="AG1192">
        <v>33333.333333333336</v>
      </c>
      <c r="AH1192">
        <v>1</v>
      </c>
      <c r="AI1192">
        <v>1</v>
      </c>
      <c r="AJ1192" t="s">
        <v>162</v>
      </c>
      <c r="AK1192" t="s">
        <v>176</v>
      </c>
      <c r="AL1192">
        <v>0</v>
      </c>
      <c r="AM1192" t="s">
        <v>176</v>
      </c>
      <c r="AN1192">
        <v>0</v>
      </c>
    </row>
    <row r="1193" spans="1:40" x14ac:dyDescent="0.15">
      <c r="A1193" s="4" t="str">
        <f>HYPERLINK("https://ibp.a2mac1.com/costing(costing:projects/details/9760/process/12086197)","MANUFACTURING  PROCESS")</f>
        <v>MANUFACTURING  PROCESS</v>
      </c>
      <c r="B1193" t="s">
        <v>4962</v>
      </c>
      <c r="C1193">
        <v>12086197</v>
      </c>
      <c r="D1193">
        <v>8416877</v>
      </c>
      <c r="E1193">
        <v>1.430442E-2</v>
      </c>
      <c r="F1193">
        <v>0</v>
      </c>
      <c r="G1193">
        <v>0</v>
      </c>
      <c r="H1193">
        <v>1.7291057142857142E-6</v>
      </c>
      <c r="I1193" t="s">
        <v>176</v>
      </c>
      <c r="J1193">
        <v>5.5017E-4</v>
      </c>
      <c r="K1193">
        <v>1.4856319105714286E-2</v>
      </c>
      <c r="L1193">
        <v>3.60065520774138E-3</v>
      </c>
      <c r="M1193">
        <v>2.1603931246448278E-2</v>
      </c>
      <c r="N1193">
        <v>3.6460250352162563E-2</v>
      </c>
      <c r="O1193" t="s">
        <v>177</v>
      </c>
      <c r="P1193">
        <v>8.9137914634285719E-4</v>
      </c>
      <c r="Q1193" t="s">
        <v>177</v>
      </c>
      <c r="R1193">
        <v>1.2962358747868967E-3</v>
      </c>
      <c r="S1193" t="s">
        <v>178</v>
      </c>
      <c r="T1193">
        <v>4.3752300422595074E-3</v>
      </c>
      <c r="U1193">
        <v>4.3023095415551826E-2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1.0900700000000001</v>
      </c>
      <c r="AB1193">
        <v>2</v>
      </c>
      <c r="AC1193">
        <v>0.01</v>
      </c>
      <c r="AD1193">
        <v>1.099879013308536E-2</v>
      </c>
      <c r="AE1193">
        <v>5400</v>
      </c>
      <c r="AF1193">
        <v>400000</v>
      </c>
      <c r="AG1193">
        <v>33333.333333333336</v>
      </c>
      <c r="AH1193">
        <v>1</v>
      </c>
      <c r="AI1193">
        <v>1</v>
      </c>
      <c r="AJ1193" t="s">
        <v>162</v>
      </c>
      <c r="AK1193" t="s">
        <v>176</v>
      </c>
      <c r="AL1193">
        <v>0</v>
      </c>
      <c r="AM1193" t="s">
        <v>176</v>
      </c>
      <c r="AN1193">
        <v>0</v>
      </c>
    </row>
    <row r="1194" spans="1:40" x14ac:dyDescent="0.15">
      <c r="A1194" s="4" t="str">
        <f>HYPERLINK("https://ibp.a2mac1.com/costing(costing:projects/details/9760/process/12086198)","MANUFACTURING  PROCESS")</f>
        <v>MANUFACTURING  PROCESS</v>
      </c>
      <c r="B1194" t="s">
        <v>4962</v>
      </c>
      <c r="C1194">
        <v>12086198</v>
      </c>
      <c r="D1194">
        <v>8416878</v>
      </c>
      <c r="E1194">
        <v>3.4966360000000002E-2</v>
      </c>
      <c r="F1194">
        <v>0</v>
      </c>
      <c r="G1194">
        <v>0</v>
      </c>
      <c r="H1194">
        <v>4.2267028571428574E-6</v>
      </c>
      <c r="I1194" t="s">
        <v>176</v>
      </c>
      <c r="J1194">
        <v>1.34486E-3</v>
      </c>
      <c r="K1194">
        <v>3.6315446702857142E-2</v>
      </c>
      <c r="L1194">
        <v>3.60065520774138E-3</v>
      </c>
      <c r="M1194">
        <v>2.1603931246448278E-2</v>
      </c>
      <c r="N1194">
        <v>5.791937794930542E-2</v>
      </c>
      <c r="O1194" t="s">
        <v>177</v>
      </c>
      <c r="P1194">
        <v>2.1789268021714285E-3</v>
      </c>
      <c r="Q1194" t="s">
        <v>177</v>
      </c>
      <c r="R1194">
        <v>1.2962358747868967E-3</v>
      </c>
      <c r="S1194" t="s">
        <v>178</v>
      </c>
      <c r="T1194">
        <v>6.9503253539166506E-3</v>
      </c>
      <c r="U1194">
        <v>6.83448659801804E-2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1.0900700000000001</v>
      </c>
      <c r="AB1194">
        <v>2</v>
      </c>
      <c r="AC1194">
        <v>0.01</v>
      </c>
      <c r="AD1194">
        <v>1.099879013308536E-2</v>
      </c>
      <c r="AE1194">
        <v>5400</v>
      </c>
      <c r="AF1194">
        <v>400000</v>
      </c>
      <c r="AG1194">
        <v>33333.333333333336</v>
      </c>
      <c r="AH1194">
        <v>1</v>
      </c>
      <c r="AI1194">
        <v>1</v>
      </c>
      <c r="AJ1194" t="s">
        <v>162</v>
      </c>
      <c r="AK1194" t="s">
        <v>176</v>
      </c>
      <c r="AL1194">
        <v>0</v>
      </c>
      <c r="AM1194" t="s">
        <v>176</v>
      </c>
      <c r="AN1194">
        <v>0</v>
      </c>
    </row>
    <row r="1195" spans="1:40" x14ac:dyDescent="0.15">
      <c r="A1195" s="4" t="str">
        <f>HYPERLINK("https://ibp.a2mac1.com/costing(costing:projects/details/9760/process/12085997)","MANUFACTURING  PROCESS")</f>
        <v>MANUFACTURING  PROCESS</v>
      </c>
      <c r="B1195" t="s">
        <v>4962</v>
      </c>
      <c r="C1195">
        <v>12085997</v>
      </c>
      <c r="D1195">
        <v>8416582</v>
      </c>
      <c r="E1195">
        <v>6.9192457359999997</v>
      </c>
      <c r="F1195">
        <v>0</v>
      </c>
      <c r="G1195">
        <v>0</v>
      </c>
      <c r="H1195">
        <v>1.0644993439999999E-3</v>
      </c>
      <c r="I1195" t="s">
        <v>176</v>
      </c>
      <c r="J1195">
        <v>0.26612483599999998</v>
      </c>
      <c r="K1195">
        <v>7.1864350713440004</v>
      </c>
      <c r="L1195">
        <v>9.6559042747849308E-2</v>
      </c>
      <c r="M1195">
        <v>0.57935425648709582</v>
      </c>
      <c r="N1195">
        <v>7.7657893278310954</v>
      </c>
      <c r="O1195" t="s">
        <v>177</v>
      </c>
      <c r="P1195">
        <v>0.43118610428064003</v>
      </c>
      <c r="Q1195" t="s">
        <v>177</v>
      </c>
      <c r="R1195">
        <v>3.4761255389225747E-2</v>
      </c>
      <c r="S1195" t="s">
        <v>178</v>
      </c>
      <c r="T1195">
        <v>0.93189471933973145</v>
      </c>
      <c r="U1195">
        <v>9.1636314068406932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19.0137</v>
      </c>
      <c r="AB1195">
        <v>1</v>
      </c>
      <c r="AC1195">
        <v>0.01</v>
      </c>
      <c r="AD1195">
        <v>1.3998040274361589E-2</v>
      </c>
      <c r="AE1195">
        <v>5400</v>
      </c>
      <c r="AF1195">
        <v>200000</v>
      </c>
      <c r="AG1195">
        <v>16666.666666666668</v>
      </c>
      <c r="AH1195">
        <v>1</v>
      </c>
      <c r="AI1195">
        <v>1</v>
      </c>
      <c r="AJ1195" t="s">
        <v>162</v>
      </c>
      <c r="AK1195" t="s">
        <v>176</v>
      </c>
      <c r="AL1195">
        <v>0</v>
      </c>
      <c r="AM1195" t="s">
        <v>176</v>
      </c>
      <c r="AN1195">
        <v>0</v>
      </c>
    </row>
    <row r="1196" spans="1:40" x14ac:dyDescent="0.15">
      <c r="A1196" s="4" t="str">
        <f>HYPERLINK("https://ibp.a2mac1.com/costing(costing:projects/details/9760/process/12085998)","MANUFACTURING  PROCESS")</f>
        <v>MANUFACTURING  PROCESS</v>
      </c>
      <c r="B1196" t="s">
        <v>4962</v>
      </c>
      <c r="C1196">
        <v>12085998</v>
      </c>
      <c r="D1196">
        <v>8416583</v>
      </c>
      <c r="E1196">
        <v>0.43095709538461541</v>
      </c>
      <c r="F1196">
        <v>0</v>
      </c>
      <c r="G1196">
        <v>0</v>
      </c>
      <c r="H1196">
        <v>5.2966793846153846E-5</v>
      </c>
      <c r="I1196" t="s">
        <v>176</v>
      </c>
      <c r="J1196">
        <v>1.6853070769230771E-2</v>
      </c>
      <c r="K1196">
        <v>0.44786313294769231</v>
      </c>
      <c r="L1196">
        <v>9.2624458320901947E-3</v>
      </c>
      <c r="M1196">
        <v>5.5574674992541165E-2</v>
      </c>
      <c r="N1196">
        <v>0.50343780794023352</v>
      </c>
      <c r="O1196" t="s">
        <v>177</v>
      </c>
      <c r="P1196">
        <v>2.6871787976861537E-2</v>
      </c>
      <c r="Q1196" t="s">
        <v>177</v>
      </c>
      <c r="R1196">
        <v>3.33448049955247E-3</v>
      </c>
      <c r="S1196" t="s">
        <v>178</v>
      </c>
      <c r="T1196">
        <v>6.0412536952828014E-2</v>
      </c>
      <c r="U1196">
        <v>0.59405661336947546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3.3614600000000001</v>
      </c>
      <c r="AB1196">
        <v>2</v>
      </c>
      <c r="AC1196">
        <v>0.01</v>
      </c>
      <c r="AD1196">
        <v>1.099879013308536E-2</v>
      </c>
      <c r="AE1196">
        <v>5400</v>
      </c>
      <c r="AF1196">
        <v>400000</v>
      </c>
      <c r="AG1196">
        <v>33333.333333333336</v>
      </c>
      <c r="AH1196">
        <v>1</v>
      </c>
      <c r="AI1196">
        <v>1</v>
      </c>
      <c r="AJ1196" t="s">
        <v>162</v>
      </c>
      <c r="AK1196" t="s">
        <v>176</v>
      </c>
      <c r="AL1196">
        <v>0</v>
      </c>
      <c r="AM1196" t="s">
        <v>176</v>
      </c>
      <c r="AN1196">
        <v>0</v>
      </c>
    </row>
    <row r="1197" spans="1:40" x14ac:dyDescent="0.15">
      <c r="A1197" s="4" t="str">
        <f>HYPERLINK("https://ibp.a2mac1.com/costing(costing:projects/details/9760/process/12085999)","MANUFACTURING  PROCESS")</f>
        <v>MANUFACTURING  PROCESS</v>
      </c>
      <c r="B1197" t="s">
        <v>4962</v>
      </c>
      <c r="C1197">
        <v>12085999</v>
      </c>
      <c r="D1197">
        <v>8416584</v>
      </c>
      <c r="E1197">
        <v>0.1199523425</v>
      </c>
      <c r="F1197">
        <v>0</v>
      </c>
      <c r="G1197">
        <v>0</v>
      </c>
      <c r="H1197">
        <v>1.403697625E-5</v>
      </c>
      <c r="I1197" t="s">
        <v>176</v>
      </c>
      <c r="J1197">
        <v>4.4663106249999999E-3</v>
      </c>
      <c r="K1197">
        <v>0.12443269010124999</v>
      </c>
      <c r="L1197">
        <v>4.6551228631498652E-3</v>
      </c>
      <c r="M1197">
        <v>2.7930737178899191E-2</v>
      </c>
      <c r="N1197">
        <v>0.15236342728014918</v>
      </c>
      <c r="O1197" t="s">
        <v>177</v>
      </c>
      <c r="P1197">
        <v>7.4659614060750001E-3</v>
      </c>
      <c r="Q1197" t="s">
        <v>177</v>
      </c>
      <c r="R1197">
        <v>1.6758442307339514E-3</v>
      </c>
      <c r="S1197" t="s">
        <v>178</v>
      </c>
      <c r="T1197">
        <v>1.8283611273617904E-2</v>
      </c>
      <c r="U1197">
        <v>0.17978884419057603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1.5130999999999999</v>
      </c>
      <c r="AB1197">
        <v>2</v>
      </c>
      <c r="AC1197">
        <v>0.01</v>
      </c>
      <c r="AD1197">
        <v>1.099879013308536E-2</v>
      </c>
      <c r="AE1197">
        <v>5400</v>
      </c>
      <c r="AF1197">
        <v>400000</v>
      </c>
      <c r="AG1197">
        <v>33333.333333333336</v>
      </c>
      <c r="AH1197">
        <v>1</v>
      </c>
      <c r="AI1197">
        <v>1</v>
      </c>
      <c r="AJ1197" t="s">
        <v>162</v>
      </c>
      <c r="AK1197" t="s">
        <v>176</v>
      </c>
      <c r="AL1197">
        <v>0</v>
      </c>
      <c r="AM1197" t="s">
        <v>176</v>
      </c>
      <c r="AN1197">
        <v>0</v>
      </c>
    </row>
    <row r="1198" spans="1:40" x14ac:dyDescent="0.15">
      <c r="A1198" s="4" t="str">
        <f>HYPERLINK("https://ibp.a2mac1.com/costing(costing:projects/details/9760/process/12086000)","MANUFACTURING  PROCESS")</f>
        <v>MANUFACTURING  PROCESS</v>
      </c>
      <c r="B1198" t="s">
        <v>4962</v>
      </c>
      <c r="C1198">
        <v>12086000</v>
      </c>
      <c r="D1198">
        <v>8416585</v>
      </c>
      <c r="E1198">
        <v>3.4510236153846151E-2</v>
      </c>
      <c r="F1198">
        <v>0</v>
      </c>
      <c r="G1198">
        <v>0</v>
      </c>
      <c r="H1198">
        <v>4.2414815384615386E-6</v>
      </c>
      <c r="I1198" t="s">
        <v>176</v>
      </c>
      <c r="J1198">
        <v>1.3495623076923077E-3</v>
      </c>
      <c r="K1198">
        <v>3.5864039943076922E-2</v>
      </c>
      <c r="L1198">
        <v>3.60065520774138E-3</v>
      </c>
      <c r="M1198">
        <v>2.1603931246448278E-2</v>
      </c>
      <c r="N1198">
        <v>5.7467971189525201E-2</v>
      </c>
      <c r="O1198" t="s">
        <v>177</v>
      </c>
      <c r="P1198">
        <v>2.1518423965846156E-3</v>
      </c>
      <c r="Q1198" t="s">
        <v>177</v>
      </c>
      <c r="R1198">
        <v>1.2962358747868967E-3</v>
      </c>
      <c r="S1198" t="s">
        <v>178</v>
      </c>
      <c r="T1198">
        <v>6.8961565427430246E-3</v>
      </c>
      <c r="U1198">
        <v>6.7812206003639741E-2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1.0900700000000001</v>
      </c>
      <c r="AB1198">
        <v>2</v>
      </c>
      <c r="AC1198">
        <v>0.01</v>
      </c>
      <c r="AD1198">
        <v>1.099879013308536E-2</v>
      </c>
      <c r="AE1198">
        <v>5400</v>
      </c>
      <c r="AF1198">
        <v>400000</v>
      </c>
      <c r="AG1198">
        <v>33333.333333333336</v>
      </c>
      <c r="AH1198">
        <v>1</v>
      </c>
      <c r="AI1198">
        <v>1</v>
      </c>
      <c r="AJ1198" t="s">
        <v>162</v>
      </c>
      <c r="AK1198" t="s">
        <v>176</v>
      </c>
      <c r="AL1198">
        <v>0</v>
      </c>
      <c r="AM1198" t="s">
        <v>176</v>
      </c>
      <c r="AN1198">
        <v>0</v>
      </c>
    </row>
    <row r="1199" spans="1:40" x14ac:dyDescent="0.15">
      <c r="A1199" s="4" t="str">
        <f>HYPERLINK("https://ibp.a2mac1.com/costing(costing:projects/details/9760/process/12086001)","MANUFACTURING  PROCESS")</f>
        <v>MANUFACTURING  PROCESS</v>
      </c>
      <c r="B1199" t="s">
        <v>4962</v>
      </c>
      <c r="C1199">
        <v>12086001</v>
      </c>
      <c r="D1199">
        <v>8416586</v>
      </c>
      <c r="E1199">
        <v>0.22978767</v>
      </c>
      <c r="F1199">
        <v>0</v>
      </c>
      <c r="G1199">
        <v>0</v>
      </c>
      <c r="H1199">
        <v>2.8242059999999999E-5</v>
      </c>
      <c r="I1199" t="s">
        <v>176</v>
      </c>
      <c r="J1199">
        <v>8.9861100000000003E-3</v>
      </c>
      <c r="K1199">
        <v>0.23880202206000001</v>
      </c>
      <c r="L1199">
        <v>4.6551228631498652E-3</v>
      </c>
      <c r="M1199">
        <v>2.7930737178899191E-2</v>
      </c>
      <c r="N1199">
        <v>0.26673275923889916</v>
      </c>
      <c r="O1199" t="s">
        <v>177</v>
      </c>
      <c r="P1199">
        <v>1.43281213236E-2</v>
      </c>
      <c r="Q1199" t="s">
        <v>177</v>
      </c>
      <c r="R1199">
        <v>1.6758442307339514E-3</v>
      </c>
      <c r="S1199" t="s">
        <v>178</v>
      </c>
      <c r="T1199">
        <v>3.2007931108667904E-2</v>
      </c>
      <c r="U1199">
        <v>0.31474465590190104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1.5130999999999999</v>
      </c>
      <c r="AB1199">
        <v>2</v>
      </c>
      <c r="AC1199">
        <v>0.01</v>
      </c>
      <c r="AD1199">
        <v>1.099879013308536E-2</v>
      </c>
      <c r="AE1199">
        <v>5400</v>
      </c>
      <c r="AF1199">
        <v>400000</v>
      </c>
      <c r="AG1199">
        <v>33333.333333333336</v>
      </c>
      <c r="AH1199">
        <v>1</v>
      </c>
      <c r="AI1199">
        <v>1</v>
      </c>
      <c r="AJ1199" t="s">
        <v>162</v>
      </c>
      <c r="AK1199" t="s">
        <v>176</v>
      </c>
      <c r="AL1199">
        <v>0</v>
      </c>
      <c r="AM1199" t="s">
        <v>176</v>
      </c>
      <c r="AN1199">
        <v>0</v>
      </c>
    </row>
    <row r="1200" spans="1:40" x14ac:dyDescent="0.15">
      <c r="A1200" s="4" t="str">
        <f>HYPERLINK("https://ibp.a2mac1.com/costing(costing:projects/details/9760/process/12086002)","MANUFACTURING  PROCESS")</f>
        <v>MANUFACTURING  PROCESS</v>
      </c>
      <c r="B1200" t="s">
        <v>4962</v>
      </c>
      <c r="C1200">
        <v>12086002</v>
      </c>
      <c r="D1200">
        <v>8416587</v>
      </c>
      <c r="E1200">
        <v>0.79436397333333331</v>
      </c>
      <c r="F1200">
        <v>0</v>
      </c>
      <c r="G1200">
        <v>0</v>
      </c>
      <c r="H1200">
        <v>9.929549666666666E-5</v>
      </c>
      <c r="I1200" t="s">
        <v>176</v>
      </c>
      <c r="J1200">
        <v>3.1594021666666666E-2</v>
      </c>
      <c r="K1200">
        <v>0.82605729049666665</v>
      </c>
      <c r="L1200">
        <v>9.2624458320901947E-3</v>
      </c>
      <c r="M1200">
        <v>5.5574674992541165E-2</v>
      </c>
      <c r="N1200">
        <v>0.88163196548920786</v>
      </c>
      <c r="O1200" t="s">
        <v>177</v>
      </c>
      <c r="P1200">
        <v>4.9563437429800003E-2</v>
      </c>
      <c r="Q1200" t="s">
        <v>177</v>
      </c>
      <c r="R1200">
        <v>3.33448049955247E-3</v>
      </c>
      <c r="S1200" t="s">
        <v>178</v>
      </c>
      <c r="T1200">
        <v>0.10579583585870495</v>
      </c>
      <c r="U1200">
        <v>1.0403257192772652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3.3614600000000001</v>
      </c>
      <c r="AB1200">
        <v>2</v>
      </c>
      <c r="AC1200">
        <v>0.01</v>
      </c>
      <c r="AD1200">
        <v>1.099879013308536E-2</v>
      </c>
      <c r="AE1200">
        <v>5400</v>
      </c>
      <c r="AF1200">
        <v>400000</v>
      </c>
      <c r="AG1200">
        <v>33333.333333333336</v>
      </c>
      <c r="AH1200">
        <v>1</v>
      </c>
      <c r="AI1200">
        <v>1</v>
      </c>
      <c r="AJ1200" t="s">
        <v>162</v>
      </c>
      <c r="AK1200" t="s">
        <v>176</v>
      </c>
      <c r="AL1200">
        <v>0</v>
      </c>
      <c r="AM1200" t="s">
        <v>176</v>
      </c>
      <c r="AN1200">
        <v>0</v>
      </c>
    </row>
    <row r="1201" spans="1:40" x14ac:dyDescent="0.15">
      <c r="A1201" s="4" t="str">
        <f>HYPERLINK("https://ibp.a2mac1.com/costing(costing:projects/details/9760/process/12086199)","MANUFACTURING  PROCESS")</f>
        <v>MANUFACTURING  PROCESS</v>
      </c>
      <c r="B1201" t="s">
        <v>4962</v>
      </c>
      <c r="C1201">
        <v>12086199</v>
      </c>
      <c r="D1201">
        <v>8416879</v>
      </c>
      <c r="E1201">
        <v>2.6551741839999998</v>
      </c>
      <c r="F1201">
        <v>0</v>
      </c>
      <c r="G1201">
        <v>0</v>
      </c>
      <c r="H1201">
        <v>4.08488336E-4</v>
      </c>
      <c r="I1201" t="s">
        <v>176</v>
      </c>
      <c r="J1201">
        <v>0.102122084</v>
      </c>
      <c r="K1201">
        <v>2.757704756336</v>
      </c>
      <c r="L1201">
        <v>6.2248268758096685E-2</v>
      </c>
      <c r="M1201">
        <v>0.3734896125485801</v>
      </c>
      <c r="N1201">
        <v>3.13119436888458</v>
      </c>
      <c r="O1201" t="s">
        <v>177</v>
      </c>
      <c r="P1201">
        <v>0.16546228538016</v>
      </c>
      <c r="Q1201" t="s">
        <v>177</v>
      </c>
      <c r="R1201">
        <v>2.2409376752914805E-2</v>
      </c>
      <c r="S1201" t="s">
        <v>178</v>
      </c>
      <c r="T1201">
        <v>0.37574332426614959</v>
      </c>
      <c r="U1201">
        <v>3.6948093552838044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12.13153</v>
      </c>
      <c r="AB1201">
        <v>1</v>
      </c>
      <c r="AC1201">
        <v>0.01</v>
      </c>
      <c r="AD1201">
        <v>1.3998040274361589E-2</v>
      </c>
      <c r="AE1201">
        <v>5400</v>
      </c>
      <c r="AF1201">
        <v>200000</v>
      </c>
      <c r="AG1201">
        <v>16666.666666666668</v>
      </c>
      <c r="AH1201">
        <v>1</v>
      </c>
      <c r="AI1201">
        <v>1</v>
      </c>
      <c r="AJ1201" t="s">
        <v>162</v>
      </c>
      <c r="AK1201" t="s">
        <v>176</v>
      </c>
      <c r="AL1201">
        <v>0</v>
      </c>
      <c r="AM1201" t="s">
        <v>176</v>
      </c>
      <c r="AN1201">
        <v>0</v>
      </c>
    </row>
    <row r="1202" spans="1:40" x14ac:dyDescent="0.15">
      <c r="A1202" s="4" t="str">
        <f>HYPERLINK("https://ibp.a2mac1.com/costing(costing:projects/details/9760/process/12086200)","MANUFACTURING  PROCESS")</f>
        <v>MANUFACTURING  PROCESS</v>
      </c>
      <c r="B1202" t="s">
        <v>4962</v>
      </c>
      <c r="C1202">
        <v>12086200</v>
      </c>
      <c r="D1202">
        <v>8416880</v>
      </c>
      <c r="E1202">
        <v>7.1522100000000005E-2</v>
      </c>
      <c r="F1202">
        <v>0</v>
      </c>
      <c r="G1202">
        <v>0</v>
      </c>
      <c r="H1202">
        <v>8.6455285714285708E-6</v>
      </c>
      <c r="I1202" t="s">
        <v>176</v>
      </c>
      <c r="J1202">
        <v>2.75085E-3</v>
      </c>
      <c r="K1202">
        <v>7.4281595528571429E-2</v>
      </c>
      <c r="L1202">
        <v>3.60065520774138E-3</v>
      </c>
      <c r="M1202">
        <v>2.1603931246448278E-2</v>
      </c>
      <c r="N1202">
        <v>9.5885526775019714E-2</v>
      </c>
      <c r="O1202" t="s">
        <v>177</v>
      </c>
      <c r="P1202">
        <v>4.4568957317142853E-3</v>
      </c>
      <c r="Q1202" t="s">
        <v>177</v>
      </c>
      <c r="R1202">
        <v>1.2962358747868967E-3</v>
      </c>
      <c r="S1202" t="s">
        <v>178</v>
      </c>
      <c r="T1202">
        <v>1.1506263213002365E-2</v>
      </c>
      <c r="U1202">
        <v>0.11314492159452326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1.0900700000000001</v>
      </c>
      <c r="AB1202">
        <v>2</v>
      </c>
      <c r="AC1202">
        <v>0.01</v>
      </c>
      <c r="AD1202">
        <v>1.099879013308536E-2</v>
      </c>
      <c r="AE1202">
        <v>5400</v>
      </c>
      <c r="AF1202">
        <v>400000</v>
      </c>
      <c r="AG1202">
        <v>33333.333333333336</v>
      </c>
      <c r="AH1202">
        <v>1</v>
      </c>
      <c r="AI1202">
        <v>1</v>
      </c>
      <c r="AJ1202" t="s">
        <v>162</v>
      </c>
      <c r="AK1202" t="s">
        <v>176</v>
      </c>
      <c r="AL1202">
        <v>0</v>
      </c>
      <c r="AM1202" t="s">
        <v>176</v>
      </c>
      <c r="AN1202">
        <v>0</v>
      </c>
    </row>
    <row r="1203" spans="1:40" x14ac:dyDescent="0.15">
      <c r="A1203" s="4" t="str">
        <f>HYPERLINK("https://ibp.a2mac1.com/costing(costing:projects/details/9760/process/12086201)","MANUFACTURING  PROCESS")</f>
        <v>MANUFACTURING  PROCESS</v>
      </c>
      <c r="B1203" t="s">
        <v>4962</v>
      </c>
      <c r="C1203">
        <v>12086201</v>
      </c>
      <c r="D1203">
        <v>8416881</v>
      </c>
      <c r="E1203">
        <v>0.72316789999999997</v>
      </c>
      <c r="F1203">
        <v>0</v>
      </c>
      <c r="G1203">
        <v>0</v>
      </c>
      <c r="H1203">
        <v>1.1125659999999999E-4</v>
      </c>
      <c r="I1203" t="s">
        <v>176</v>
      </c>
      <c r="J1203">
        <v>2.7814149999999999E-2</v>
      </c>
      <c r="K1203">
        <v>0.75109330659999995</v>
      </c>
      <c r="L1203">
        <v>5.1910920237535282E-2</v>
      </c>
      <c r="M1203">
        <v>0.31146552142521172</v>
      </c>
      <c r="N1203">
        <v>1.0625588280252116</v>
      </c>
      <c r="O1203" t="s">
        <v>177</v>
      </c>
      <c r="P1203">
        <v>4.5065598396000002E-2</v>
      </c>
      <c r="Q1203" t="s">
        <v>177</v>
      </c>
      <c r="R1203">
        <v>1.8687931285512702E-2</v>
      </c>
      <c r="S1203" t="s">
        <v>178</v>
      </c>
      <c r="T1203">
        <v>0.12750705936302539</v>
      </c>
      <c r="U1203">
        <v>1.2538194170697499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10.05803</v>
      </c>
      <c r="AB1203">
        <v>1</v>
      </c>
      <c r="AC1203">
        <v>0.01</v>
      </c>
      <c r="AD1203">
        <v>1.3998040274361589E-2</v>
      </c>
      <c r="AE1203">
        <v>5400</v>
      </c>
      <c r="AF1203">
        <v>200000</v>
      </c>
      <c r="AG1203">
        <v>16666.666666666668</v>
      </c>
      <c r="AH1203">
        <v>1</v>
      </c>
      <c r="AI1203">
        <v>1</v>
      </c>
      <c r="AJ1203" t="s">
        <v>162</v>
      </c>
      <c r="AK1203" t="s">
        <v>176</v>
      </c>
      <c r="AL1203">
        <v>0</v>
      </c>
      <c r="AM1203" t="s">
        <v>176</v>
      </c>
      <c r="AN1203">
        <v>0</v>
      </c>
    </row>
    <row r="1204" spans="1:40" x14ac:dyDescent="0.15">
      <c r="A1204" s="4" t="str">
        <f>HYPERLINK("https://ibp.a2mac1.com/costing(costing:projects/details/9760/process/12086027)","MANUFACTURING  PROCESS")</f>
        <v>MANUFACTURING  PROCESS</v>
      </c>
      <c r="B1204" t="s">
        <v>4962</v>
      </c>
      <c r="C1204">
        <v>12086027</v>
      </c>
      <c r="D1204">
        <v>8416591</v>
      </c>
      <c r="E1204">
        <v>0.50182038646153848</v>
      </c>
      <c r="F1204">
        <v>0</v>
      </c>
      <c r="G1204">
        <v>0</v>
      </c>
      <c r="H1204">
        <v>6.167624861538461E-5</v>
      </c>
      <c r="I1204" t="s">
        <v>176</v>
      </c>
      <c r="J1204">
        <v>1.9624260923076921E-2</v>
      </c>
      <c r="K1204">
        <v>0.52150632363323079</v>
      </c>
      <c r="L1204">
        <v>9.2624458320901947E-3</v>
      </c>
      <c r="M1204">
        <v>5.5574674992541165E-2</v>
      </c>
      <c r="N1204">
        <v>0.57708099862577189</v>
      </c>
      <c r="O1204" t="s">
        <v>177</v>
      </c>
      <c r="P1204">
        <v>3.1290379417993848E-2</v>
      </c>
      <c r="Q1204" t="s">
        <v>177</v>
      </c>
      <c r="R1204">
        <v>3.33448049955247E-3</v>
      </c>
      <c r="S1204" t="s">
        <v>178</v>
      </c>
      <c r="T1204">
        <v>6.9249719835092635E-2</v>
      </c>
      <c r="U1204">
        <v>0.68095557837841092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3.3614600000000001</v>
      </c>
      <c r="AB1204">
        <v>2</v>
      </c>
      <c r="AC1204">
        <v>0.01</v>
      </c>
      <c r="AD1204">
        <v>1.099879013308536E-2</v>
      </c>
      <c r="AE1204">
        <v>5400</v>
      </c>
      <c r="AF1204">
        <v>400000</v>
      </c>
      <c r="AG1204">
        <v>33333.333333333336</v>
      </c>
      <c r="AH1204">
        <v>1</v>
      </c>
      <c r="AI1204">
        <v>1</v>
      </c>
      <c r="AJ1204" t="s">
        <v>162</v>
      </c>
      <c r="AK1204" t="s">
        <v>176</v>
      </c>
      <c r="AL1204">
        <v>0</v>
      </c>
      <c r="AM1204" t="s">
        <v>176</v>
      </c>
      <c r="AN1204">
        <v>0</v>
      </c>
    </row>
    <row r="1205" spans="1:40" x14ac:dyDescent="0.15">
      <c r="A1205" s="4" t="str">
        <f>HYPERLINK("https://ibp.a2mac1.com/costing(costing:projects/details/9760/process/12086028)","MANUFACTURING  PROCESS")</f>
        <v>MANUFACTURING  PROCESS</v>
      </c>
      <c r="B1205" t="s">
        <v>4962</v>
      </c>
      <c r="C1205">
        <v>12086028</v>
      </c>
      <c r="D1205">
        <v>8416592</v>
      </c>
      <c r="E1205">
        <v>8.1165357499999993E-2</v>
      </c>
      <c r="F1205">
        <v>0</v>
      </c>
      <c r="G1205">
        <v>0</v>
      </c>
      <c r="H1205">
        <v>9.4980737499999996E-6</v>
      </c>
      <c r="I1205" t="s">
        <v>176</v>
      </c>
      <c r="J1205">
        <v>3.022114375E-3</v>
      </c>
      <c r="K1205">
        <v>8.4196969948750006E-2</v>
      </c>
      <c r="L1205">
        <v>1.2213050879155727E-2</v>
      </c>
      <c r="M1205">
        <v>7.3278305274934355E-2</v>
      </c>
      <c r="N1205">
        <v>0.15747527522368435</v>
      </c>
      <c r="O1205" t="s">
        <v>177</v>
      </c>
      <c r="P1205">
        <v>5.0518181969250002E-3</v>
      </c>
      <c r="Q1205" t="s">
        <v>177</v>
      </c>
      <c r="R1205">
        <v>4.3966983164960612E-3</v>
      </c>
      <c r="S1205" t="s">
        <v>178</v>
      </c>
      <c r="T1205">
        <v>1.8897033026842123E-2</v>
      </c>
      <c r="U1205">
        <v>0.18582082476394754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2.2725900000000001</v>
      </c>
      <c r="AB1205">
        <v>1</v>
      </c>
      <c r="AC1205">
        <v>0.01</v>
      </c>
      <c r="AD1205">
        <v>1.099879013308536E-2</v>
      </c>
      <c r="AE1205">
        <v>5400</v>
      </c>
      <c r="AF1205">
        <v>400000</v>
      </c>
      <c r="AG1205">
        <v>33333.333333333336</v>
      </c>
      <c r="AH1205">
        <v>1</v>
      </c>
      <c r="AI1205">
        <v>1</v>
      </c>
      <c r="AJ1205" t="s">
        <v>162</v>
      </c>
      <c r="AK1205" t="s">
        <v>176</v>
      </c>
      <c r="AL1205">
        <v>0</v>
      </c>
      <c r="AM1205" t="s">
        <v>176</v>
      </c>
      <c r="AN1205">
        <v>0</v>
      </c>
    </row>
    <row r="1206" spans="1:40" x14ac:dyDescent="0.15">
      <c r="A1206" s="4" t="str">
        <f>HYPERLINK("https://ibp.a2mac1.com/costing(costing:projects/details/9760/process/12086029)","MANUFACTURING  PROCESS")</f>
        <v>MANUFACTURING  PROCESS</v>
      </c>
      <c r="B1206" t="s">
        <v>4962</v>
      </c>
      <c r="C1206">
        <v>12086029</v>
      </c>
      <c r="D1206">
        <v>8416593</v>
      </c>
      <c r="E1206">
        <v>3.8786985000000003E-2</v>
      </c>
      <c r="F1206">
        <v>0</v>
      </c>
      <c r="G1206">
        <v>0</v>
      </c>
      <c r="H1206">
        <v>4.5389025E-6</v>
      </c>
      <c r="I1206" t="s">
        <v>176</v>
      </c>
      <c r="J1206">
        <v>1.4441962500000001E-3</v>
      </c>
      <c r="K1206">
        <v>4.0235720152500001E-2</v>
      </c>
      <c r="L1206">
        <v>1.2213050879155727E-2</v>
      </c>
      <c r="M1206">
        <v>7.3278305274934355E-2</v>
      </c>
      <c r="N1206">
        <v>0.11351402542743436</v>
      </c>
      <c r="O1206" t="s">
        <v>177</v>
      </c>
      <c r="P1206">
        <v>2.4141432091499999E-3</v>
      </c>
      <c r="Q1206" t="s">
        <v>177</v>
      </c>
      <c r="R1206">
        <v>4.3966983164960612E-3</v>
      </c>
      <c r="S1206" t="s">
        <v>178</v>
      </c>
      <c r="T1206">
        <v>1.3621683051292122E-2</v>
      </c>
      <c r="U1206">
        <v>0.13394655000437256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2.2725900000000001</v>
      </c>
      <c r="AB1206">
        <v>1</v>
      </c>
      <c r="AC1206">
        <v>0.01</v>
      </c>
      <c r="AD1206">
        <v>1.099879013308536E-2</v>
      </c>
      <c r="AE1206">
        <v>5400</v>
      </c>
      <c r="AF1206">
        <v>400000</v>
      </c>
      <c r="AG1206">
        <v>33333.333333333336</v>
      </c>
      <c r="AH1206">
        <v>1</v>
      </c>
      <c r="AI1206">
        <v>1</v>
      </c>
      <c r="AJ1206" t="s">
        <v>162</v>
      </c>
      <c r="AK1206" t="s">
        <v>176</v>
      </c>
      <c r="AL1206">
        <v>0</v>
      </c>
      <c r="AM1206" t="s">
        <v>176</v>
      </c>
      <c r="AN1206">
        <v>0</v>
      </c>
    </row>
    <row r="1207" spans="1:40" x14ac:dyDescent="0.15">
      <c r="A1207" s="4" t="str">
        <f>HYPERLINK("https://ibp.a2mac1.com/costing(costing:projects/details/9760/process/12086030)","MANUFACTURING  PROCESS")</f>
        <v>MANUFACTURING  PROCESS</v>
      </c>
      <c r="B1207" t="s">
        <v>4962</v>
      </c>
      <c r="C1207">
        <v>12086030</v>
      </c>
      <c r="D1207">
        <v>8416594</v>
      </c>
      <c r="E1207">
        <v>1.0055885000000001E-2</v>
      </c>
      <c r="F1207">
        <v>0</v>
      </c>
      <c r="G1207">
        <v>0</v>
      </c>
      <c r="H1207">
        <v>1.1767525E-6</v>
      </c>
      <c r="I1207" t="s">
        <v>176</v>
      </c>
      <c r="J1207">
        <v>3.7442124999999998E-4</v>
      </c>
      <c r="K1207">
        <v>1.04314830025E-2</v>
      </c>
      <c r="L1207">
        <v>3.60065520774138E-3</v>
      </c>
      <c r="M1207">
        <v>2.1603931246448278E-2</v>
      </c>
      <c r="N1207">
        <v>3.2035414248948277E-2</v>
      </c>
      <c r="O1207" t="s">
        <v>177</v>
      </c>
      <c r="P1207">
        <v>6.2588898015000002E-4</v>
      </c>
      <c r="Q1207" t="s">
        <v>177</v>
      </c>
      <c r="R1207">
        <v>1.2962358747868967E-3</v>
      </c>
      <c r="S1207" t="s">
        <v>178</v>
      </c>
      <c r="T1207">
        <v>3.8442497098737935E-3</v>
      </c>
      <c r="U1207">
        <v>3.7801788813758973E-2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1.0900700000000001</v>
      </c>
      <c r="AB1207">
        <v>2</v>
      </c>
      <c r="AC1207">
        <v>0.01</v>
      </c>
      <c r="AD1207">
        <v>1.099879013308536E-2</v>
      </c>
      <c r="AE1207">
        <v>5400</v>
      </c>
      <c r="AF1207">
        <v>400000</v>
      </c>
      <c r="AG1207">
        <v>33333.333333333336</v>
      </c>
      <c r="AH1207">
        <v>1</v>
      </c>
      <c r="AI1207">
        <v>1</v>
      </c>
      <c r="AJ1207" t="s">
        <v>162</v>
      </c>
      <c r="AK1207" t="s">
        <v>176</v>
      </c>
      <c r="AL1207">
        <v>0</v>
      </c>
      <c r="AM1207" t="s">
        <v>176</v>
      </c>
      <c r="AN1207">
        <v>0</v>
      </c>
    </row>
    <row r="1208" spans="1:40" x14ac:dyDescent="0.15">
      <c r="A1208" s="4" t="str">
        <f>HYPERLINK("https://ibp.a2mac1.com/costing(costing:projects/details/9760/process/12086031)","MANUFACTURING  PROCESS")</f>
        <v>MANUFACTURING  PROCESS</v>
      </c>
      <c r="B1208" t="s">
        <v>4962</v>
      </c>
      <c r="C1208">
        <v>12086031</v>
      </c>
      <c r="D1208">
        <v>8416595</v>
      </c>
      <c r="E1208">
        <v>2.1818927133333332</v>
      </c>
      <c r="F1208">
        <v>0</v>
      </c>
      <c r="G1208">
        <v>0</v>
      </c>
      <c r="H1208">
        <v>3.3023241066666665E-4</v>
      </c>
      <c r="I1208" t="s">
        <v>176</v>
      </c>
      <c r="J1208">
        <v>8.2558102666666661E-2</v>
      </c>
      <c r="K1208">
        <v>2.2647810484106667</v>
      </c>
      <c r="L1208">
        <v>5.1910920237535282E-2</v>
      </c>
      <c r="M1208">
        <v>0.31146552142521172</v>
      </c>
      <c r="N1208">
        <v>2.5762465698358783</v>
      </c>
      <c r="O1208" t="s">
        <v>177</v>
      </c>
      <c r="P1208">
        <v>0.13588686290464</v>
      </c>
      <c r="Q1208" t="s">
        <v>177</v>
      </c>
      <c r="R1208">
        <v>1.8687931285512702E-2</v>
      </c>
      <c r="S1208" t="s">
        <v>178</v>
      </c>
      <c r="T1208">
        <v>0.30914958838030543</v>
      </c>
      <c r="U1208">
        <v>3.0399709524063363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10.05803</v>
      </c>
      <c r="AB1208">
        <v>1</v>
      </c>
      <c r="AC1208">
        <v>0.01</v>
      </c>
      <c r="AD1208">
        <v>1.3998040274361589E-2</v>
      </c>
      <c r="AE1208">
        <v>5400</v>
      </c>
      <c r="AF1208">
        <v>200000</v>
      </c>
      <c r="AG1208">
        <v>16666.666666666668</v>
      </c>
      <c r="AH1208">
        <v>1</v>
      </c>
      <c r="AI1208">
        <v>1</v>
      </c>
      <c r="AJ1208" t="s">
        <v>162</v>
      </c>
      <c r="AK1208" t="s">
        <v>176</v>
      </c>
      <c r="AL1208">
        <v>0</v>
      </c>
      <c r="AM1208" t="s">
        <v>176</v>
      </c>
      <c r="AN1208">
        <v>0</v>
      </c>
    </row>
    <row r="1209" spans="1:40" x14ac:dyDescent="0.15">
      <c r="A1209" s="4" t="str">
        <f>HYPERLINK("https://ibp.a2mac1.com/costing(costing:projects/details/9760/process/12086032)","MANUFACTURING  PROCESS")</f>
        <v>MANUFACTURING  PROCESS</v>
      </c>
      <c r="B1209" t="s">
        <v>4962</v>
      </c>
      <c r="C1209">
        <v>12086032</v>
      </c>
      <c r="D1209">
        <v>8416596</v>
      </c>
      <c r="E1209">
        <v>0.80636112769230772</v>
      </c>
      <c r="F1209">
        <v>0</v>
      </c>
      <c r="G1209">
        <v>0</v>
      </c>
      <c r="H1209">
        <v>1.2613470153846154E-4</v>
      </c>
      <c r="I1209" t="s">
        <v>176</v>
      </c>
      <c r="J1209">
        <v>3.1533675384615385E-2</v>
      </c>
      <c r="K1209">
        <v>0.83802093777846154</v>
      </c>
      <c r="L1209">
        <v>5.1910920237535282E-2</v>
      </c>
      <c r="M1209">
        <v>0.31146552142521172</v>
      </c>
      <c r="N1209">
        <v>1.1494864592036733</v>
      </c>
      <c r="O1209" t="s">
        <v>177</v>
      </c>
      <c r="P1209">
        <v>5.0281256266707694E-2</v>
      </c>
      <c r="Q1209" t="s">
        <v>177</v>
      </c>
      <c r="R1209">
        <v>1.8687931285512702E-2</v>
      </c>
      <c r="S1209" t="s">
        <v>178</v>
      </c>
      <c r="T1209">
        <v>0.13793837510444079</v>
      </c>
      <c r="U1209">
        <v>1.3563940218603343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10.05803</v>
      </c>
      <c r="AB1209">
        <v>1</v>
      </c>
      <c r="AC1209">
        <v>0.01</v>
      </c>
      <c r="AD1209">
        <v>1.3998040274361589E-2</v>
      </c>
      <c r="AE1209">
        <v>5400</v>
      </c>
      <c r="AF1209">
        <v>200000</v>
      </c>
      <c r="AG1209">
        <v>16666.666666666668</v>
      </c>
      <c r="AH1209">
        <v>1</v>
      </c>
      <c r="AI1209">
        <v>1</v>
      </c>
      <c r="AJ1209" t="s">
        <v>162</v>
      </c>
      <c r="AK1209" t="s">
        <v>176</v>
      </c>
      <c r="AL1209">
        <v>0</v>
      </c>
      <c r="AM1209" t="s">
        <v>176</v>
      </c>
      <c r="AN1209">
        <v>0</v>
      </c>
    </row>
    <row r="1210" spans="1:40" x14ac:dyDescent="0.15">
      <c r="A1210" s="4" t="str">
        <f>HYPERLINK("https://ibp.a2mac1.com/costing(costing:projects/details/9760/process/12086033)","MANUFACTURING  PROCESS")</f>
        <v>MANUFACTURING  PROCESS</v>
      </c>
      <c r="B1210" t="s">
        <v>4962</v>
      </c>
      <c r="C1210">
        <v>12086033</v>
      </c>
      <c r="D1210">
        <v>8416597</v>
      </c>
      <c r="E1210">
        <v>0.49745242846153848</v>
      </c>
      <c r="F1210">
        <v>0</v>
      </c>
      <c r="G1210">
        <v>0</v>
      </c>
      <c r="H1210">
        <v>6.1139404615384612E-5</v>
      </c>
      <c r="I1210" t="s">
        <v>176</v>
      </c>
      <c r="J1210">
        <v>1.9453446923076923E-2</v>
      </c>
      <c r="K1210">
        <v>0.51696701478923079</v>
      </c>
      <c r="L1210">
        <v>1.0313049872942069E-2</v>
      </c>
      <c r="M1210">
        <v>6.1878299237652409E-2</v>
      </c>
      <c r="N1210">
        <v>0.57884531402688322</v>
      </c>
      <c r="O1210" t="s">
        <v>177</v>
      </c>
      <c r="P1210">
        <v>3.1018020887353847E-2</v>
      </c>
      <c r="Q1210" t="s">
        <v>177</v>
      </c>
      <c r="R1210">
        <v>3.7126979542591448E-3</v>
      </c>
      <c r="S1210" t="s">
        <v>178</v>
      </c>
      <c r="T1210">
        <v>6.9461437683225977E-2</v>
      </c>
      <c r="U1210">
        <v>0.68303747055172215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3.78294</v>
      </c>
      <c r="AB1210">
        <v>2</v>
      </c>
      <c r="AC1210">
        <v>0.01</v>
      </c>
      <c r="AD1210">
        <v>1.099879013308536E-2</v>
      </c>
      <c r="AE1210">
        <v>5400</v>
      </c>
      <c r="AF1210">
        <v>400000</v>
      </c>
      <c r="AG1210">
        <v>33333.333333333336</v>
      </c>
      <c r="AH1210">
        <v>1</v>
      </c>
      <c r="AI1210">
        <v>1</v>
      </c>
      <c r="AJ1210" t="s">
        <v>162</v>
      </c>
      <c r="AK1210" t="s">
        <v>176</v>
      </c>
      <c r="AL1210">
        <v>0</v>
      </c>
      <c r="AM1210" t="s">
        <v>176</v>
      </c>
      <c r="AN1210">
        <v>0</v>
      </c>
    </row>
    <row r="1211" spans="1:40" x14ac:dyDescent="0.15">
      <c r="A1211" s="4" t="str">
        <f>HYPERLINK("https://ibp.a2mac1.com/costing(costing:projects/details/9760/process/12086034)","MANUFACTURING  PROCESS")</f>
        <v>MANUFACTURING  PROCESS</v>
      </c>
      <c r="B1211" t="s">
        <v>4962</v>
      </c>
      <c r="C1211">
        <v>12086034</v>
      </c>
      <c r="D1211">
        <v>8416598</v>
      </c>
      <c r="E1211">
        <v>0.19390436</v>
      </c>
      <c r="F1211">
        <v>0</v>
      </c>
      <c r="G1211">
        <v>0</v>
      </c>
      <c r="H1211">
        <v>2.983144E-5</v>
      </c>
      <c r="I1211" t="s">
        <v>176</v>
      </c>
      <c r="J1211">
        <v>7.4578600000000002E-3</v>
      </c>
      <c r="K1211">
        <v>0.20139205144</v>
      </c>
      <c r="L1211">
        <v>3.0948761650381341E-2</v>
      </c>
      <c r="M1211">
        <v>0.18569256990228805</v>
      </c>
      <c r="N1211">
        <v>0.38708462134228805</v>
      </c>
      <c r="O1211" t="s">
        <v>177</v>
      </c>
      <c r="P1211">
        <v>1.2083523086400001E-2</v>
      </c>
      <c r="Q1211" t="s">
        <v>177</v>
      </c>
      <c r="R1211">
        <v>1.1141554194137282E-2</v>
      </c>
      <c r="S1211" t="s">
        <v>178</v>
      </c>
      <c r="T1211">
        <v>4.6450154561074562E-2</v>
      </c>
      <c r="U1211">
        <v>0.45675985318389989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5.85337</v>
      </c>
      <c r="AB1211">
        <v>1</v>
      </c>
      <c r="AC1211">
        <v>0.01</v>
      </c>
      <c r="AD1211">
        <v>1.3998040274361589E-2</v>
      </c>
      <c r="AE1211">
        <v>5400</v>
      </c>
      <c r="AF1211">
        <v>200000</v>
      </c>
      <c r="AG1211">
        <v>16666.666666666668</v>
      </c>
      <c r="AH1211">
        <v>1</v>
      </c>
      <c r="AI1211">
        <v>1</v>
      </c>
      <c r="AJ1211" t="s">
        <v>162</v>
      </c>
      <c r="AK1211" t="s">
        <v>176</v>
      </c>
      <c r="AL1211">
        <v>0</v>
      </c>
      <c r="AM1211" t="s">
        <v>176</v>
      </c>
      <c r="AN1211">
        <v>0</v>
      </c>
    </row>
    <row r="1212" spans="1:40" x14ac:dyDescent="0.15">
      <c r="A1212" s="4" t="str">
        <f>HYPERLINK("https://ibp.a2mac1.com/costing(costing:projects/details/9760/process/12086035)","MANUFACTURING  PROCESS")</f>
        <v>MANUFACTURING  PROCESS</v>
      </c>
      <c r="B1212" t="s">
        <v>4962</v>
      </c>
      <c r="C1212">
        <v>12086035</v>
      </c>
      <c r="D1212">
        <v>8416599</v>
      </c>
      <c r="E1212">
        <v>2.0784199999999999E-2</v>
      </c>
      <c r="F1212">
        <v>0</v>
      </c>
      <c r="G1212">
        <v>0</v>
      </c>
      <c r="H1212">
        <v>3.4232800000000002E-6</v>
      </c>
      <c r="I1212" t="s">
        <v>176</v>
      </c>
      <c r="J1212">
        <v>8.5581999999999997E-4</v>
      </c>
      <c r="K1212">
        <v>2.1643443280000001E-2</v>
      </c>
      <c r="L1212">
        <v>1.263607521069166E-2</v>
      </c>
      <c r="M1212">
        <v>7.5816451264149973E-2</v>
      </c>
      <c r="N1212">
        <v>9.7459894544149966E-2</v>
      </c>
      <c r="O1212" t="s">
        <v>177</v>
      </c>
      <c r="P1212">
        <v>1.2986065967999999E-3</v>
      </c>
      <c r="Q1212" t="s">
        <v>177</v>
      </c>
      <c r="R1212">
        <v>4.5489870758489981E-3</v>
      </c>
      <c r="S1212" t="s">
        <v>178</v>
      </c>
      <c r="T1212">
        <v>1.1695187345297996E-2</v>
      </c>
      <c r="U1212">
        <v>0.11500267556209696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2.1801499999999998</v>
      </c>
      <c r="AB1212">
        <v>1</v>
      </c>
      <c r="AC1212">
        <v>0.01</v>
      </c>
      <c r="AD1212">
        <v>1.3998040274361589E-2</v>
      </c>
      <c r="AE1212">
        <v>5400</v>
      </c>
      <c r="AF1212">
        <v>200000</v>
      </c>
      <c r="AG1212">
        <v>16666.666666666668</v>
      </c>
      <c r="AH1212">
        <v>1</v>
      </c>
      <c r="AI1212">
        <v>1</v>
      </c>
      <c r="AJ1212" t="s">
        <v>162</v>
      </c>
      <c r="AK1212" t="s">
        <v>176</v>
      </c>
      <c r="AL1212">
        <v>0</v>
      </c>
      <c r="AM1212" t="s">
        <v>176</v>
      </c>
      <c r="AN1212">
        <v>0</v>
      </c>
    </row>
    <row r="1213" spans="1:40" x14ac:dyDescent="0.15">
      <c r="A1213" s="4" t="str">
        <f>HYPERLINK("https://ibp.a2mac1.com/costing(costing:projects/details/9760/process/12086036)","MANUFACTURING  PROCESS")</f>
        <v>MANUFACTURING  PROCESS</v>
      </c>
      <c r="B1213" t="s">
        <v>4962</v>
      </c>
      <c r="C1213">
        <v>12086036</v>
      </c>
      <c r="D1213">
        <v>8416600</v>
      </c>
      <c r="E1213">
        <v>3.0483493333333334E-2</v>
      </c>
      <c r="F1213">
        <v>0</v>
      </c>
      <c r="G1213">
        <v>0</v>
      </c>
      <c r="H1213">
        <v>3.8104366666666668E-6</v>
      </c>
      <c r="I1213" t="s">
        <v>176</v>
      </c>
      <c r="J1213">
        <v>1.2124116666666666E-3</v>
      </c>
      <c r="K1213">
        <v>3.1699715436666664E-2</v>
      </c>
      <c r="L1213">
        <v>1.5970079527095317E-2</v>
      </c>
      <c r="M1213">
        <v>9.5820477162571902E-2</v>
      </c>
      <c r="N1213">
        <v>0.12752019259923858</v>
      </c>
      <c r="O1213" t="s">
        <v>177</v>
      </c>
      <c r="P1213">
        <v>1.9019829261999999E-3</v>
      </c>
      <c r="Q1213" t="s">
        <v>177</v>
      </c>
      <c r="R1213">
        <v>5.7492286297543141E-3</v>
      </c>
      <c r="S1213" t="s">
        <v>178</v>
      </c>
      <c r="T1213">
        <v>1.5302423111908629E-2</v>
      </c>
      <c r="U1213">
        <v>0.15047382726710151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3.0262099999999998</v>
      </c>
      <c r="AB1213">
        <v>1</v>
      </c>
      <c r="AC1213">
        <v>0.01</v>
      </c>
      <c r="AD1213">
        <v>1.099879013308536E-2</v>
      </c>
      <c r="AE1213">
        <v>5400</v>
      </c>
      <c r="AF1213">
        <v>400000</v>
      </c>
      <c r="AG1213">
        <v>33333.333333333336</v>
      </c>
      <c r="AH1213">
        <v>1</v>
      </c>
      <c r="AI1213">
        <v>1</v>
      </c>
      <c r="AJ1213" t="s">
        <v>162</v>
      </c>
      <c r="AK1213" t="s">
        <v>176</v>
      </c>
      <c r="AL1213">
        <v>0</v>
      </c>
      <c r="AM1213" t="s">
        <v>176</v>
      </c>
      <c r="AN1213">
        <v>0</v>
      </c>
    </row>
    <row r="1214" spans="1:40" x14ac:dyDescent="0.15">
      <c r="A1214" s="4" t="str">
        <f>HYPERLINK("https://ibp.a2mac1.com/costing(costing:projects/details/9760/process/12086202)","MANUFACTURING  PROCESS")</f>
        <v>MANUFACTURING  PROCESS</v>
      </c>
      <c r="B1214" t="s">
        <v>4962</v>
      </c>
      <c r="C1214">
        <v>12086202</v>
      </c>
      <c r="D1214">
        <v>8416882</v>
      </c>
      <c r="E1214">
        <v>13.65638087</v>
      </c>
      <c r="F1214">
        <v>0</v>
      </c>
      <c r="G1214">
        <v>0</v>
      </c>
      <c r="H1214">
        <v>1.8660893114285713E-3</v>
      </c>
      <c r="I1214" t="s">
        <v>176</v>
      </c>
      <c r="J1214">
        <v>0.59375568999999995</v>
      </c>
      <c r="K1214">
        <v>14.252002649311429</v>
      </c>
      <c r="L1214">
        <v>0.71154079581342233</v>
      </c>
      <c r="M1214">
        <v>4.2692447748805344</v>
      </c>
      <c r="N1214">
        <v>18.521247424191962</v>
      </c>
      <c r="O1214" t="s">
        <v>90</v>
      </c>
      <c r="P1214">
        <v>0</v>
      </c>
      <c r="Q1214" t="s">
        <v>90</v>
      </c>
      <c r="R1214">
        <v>0</v>
      </c>
      <c r="S1214" t="s">
        <v>90</v>
      </c>
      <c r="T1214">
        <v>0</v>
      </c>
      <c r="U1214">
        <v>18.521247424191962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142.55029999999999</v>
      </c>
      <c r="AB1214">
        <v>1</v>
      </c>
      <c r="AC1214">
        <v>0.01</v>
      </c>
      <c r="AD1214">
        <v>1.099879013308536E-2</v>
      </c>
      <c r="AE1214">
        <v>5400</v>
      </c>
      <c r="AF1214">
        <v>400000</v>
      </c>
      <c r="AG1214">
        <v>33333.333333333336</v>
      </c>
      <c r="AH1214">
        <v>1</v>
      </c>
      <c r="AI1214">
        <v>1</v>
      </c>
      <c r="AJ1214" t="s">
        <v>162</v>
      </c>
      <c r="AK1214" t="s">
        <v>176</v>
      </c>
      <c r="AL1214">
        <v>0</v>
      </c>
      <c r="AM1214" t="s">
        <v>176</v>
      </c>
      <c r="AN1214">
        <v>0</v>
      </c>
    </row>
    <row r="1215" spans="1:40" x14ac:dyDescent="0.15">
      <c r="A1215" s="4" t="str">
        <f>HYPERLINK("https://ibp.a2mac1.com/costing(costing:projects/details/9760/process/12086203)","MANUFACTURING  PROCESS")</f>
        <v>MANUFACTURING  PROCESS</v>
      </c>
      <c r="B1215" t="s">
        <v>4962</v>
      </c>
      <c r="C1215">
        <v>12086203</v>
      </c>
      <c r="D1215">
        <v>8416883</v>
      </c>
      <c r="E1215">
        <v>0.85942666999999995</v>
      </c>
      <c r="F1215">
        <v>0</v>
      </c>
      <c r="G1215">
        <v>0</v>
      </c>
      <c r="H1215">
        <v>1.11219922E-4</v>
      </c>
      <c r="I1215" t="s">
        <v>176</v>
      </c>
      <c r="J1215">
        <v>3.5388157000000003E-2</v>
      </c>
      <c r="K1215">
        <v>0.89492604692199995</v>
      </c>
      <c r="L1215">
        <v>1.0313049872942069E-2</v>
      </c>
      <c r="M1215">
        <v>6.1878299237652409E-2</v>
      </c>
      <c r="N1215">
        <v>0.95680434615965237</v>
      </c>
      <c r="O1215" t="s">
        <v>177</v>
      </c>
      <c r="P1215">
        <v>5.3695562815320001E-2</v>
      </c>
      <c r="Q1215" t="s">
        <v>177</v>
      </c>
      <c r="R1215">
        <v>3.7126979542591448E-3</v>
      </c>
      <c r="S1215" t="s">
        <v>178</v>
      </c>
      <c r="T1215">
        <v>0.11481652153915829</v>
      </c>
      <c r="U1215">
        <v>1.1290291284683898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3.78294</v>
      </c>
      <c r="AB1215">
        <v>2</v>
      </c>
      <c r="AC1215">
        <v>0.01</v>
      </c>
      <c r="AD1215">
        <v>1.099879013308536E-2</v>
      </c>
      <c r="AE1215">
        <v>5400</v>
      </c>
      <c r="AF1215">
        <v>400000</v>
      </c>
      <c r="AG1215">
        <v>33333.333333333336</v>
      </c>
      <c r="AH1215">
        <v>1</v>
      </c>
      <c r="AI1215">
        <v>1</v>
      </c>
      <c r="AJ1215" t="s">
        <v>162</v>
      </c>
      <c r="AK1215" t="s">
        <v>176</v>
      </c>
      <c r="AL1215">
        <v>0</v>
      </c>
      <c r="AM1215" t="s">
        <v>176</v>
      </c>
      <c r="AN1215">
        <v>0</v>
      </c>
    </row>
    <row r="1216" spans="1:40" x14ac:dyDescent="0.15">
      <c r="A1216" s="4" t="str">
        <f>HYPERLINK("https://ibp.a2mac1.com/costing(costing:projects/details/9760/process/12086204)","MANUFACTURING  PROCESS")</f>
        <v>MANUFACTURING  PROCESS</v>
      </c>
      <c r="B1216" t="s">
        <v>4962</v>
      </c>
      <c r="C1216">
        <v>12086204</v>
      </c>
      <c r="D1216">
        <v>8416884</v>
      </c>
      <c r="E1216">
        <v>0.49897084636363637</v>
      </c>
      <c r="F1216">
        <v>0</v>
      </c>
      <c r="G1216">
        <v>0</v>
      </c>
      <c r="H1216">
        <v>6.345294E-5</v>
      </c>
      <c r="I1216" t="s">
        <v>176</v>
      </c>
      <c r="J1216">
        <v>2.0189571818181817E-2</v>
      </c>
      <c r="K1216">
        <v>0.51922387112181823</v>
      </c>
      <c r="L1216">
        <v>1.0313049872942069E-2</v>
      </c>
      <c r="M1216">
        <v>6.1878299237652409E-2</v>
      </c>
      <c r="N1216">
        <v>0.58110217035947054</v>
      </c>
      <c r="O1216" t="s">
        <v>177</v>
      </c>
      <c r="P1216">
        <v>3.115343226730909E-2</v>
      </c>
      <c r="Q1216" t="s">
        <v>177</v>
      </c>
      <c r="R1216">
        <v>3.7126979542591448E-3</v>
      </c>
      <c r="S1216" t="s">
        <v>178</v>
      </c>
      <c r="T1216">
        <v>6.9732260443136476E-2</v>
      </c>
      <c r="U1216">
        <v>0.68570056102417531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3.78294</v>
      </c>
      <c r="AB1216">
        <v>2</v>
      </c>
      <c r="AC1216">
        <v>0.01</v>
      </c>
      <c r="AD1216">
        <v>1.099879013308536E-2</v>
      </c>
      <c r="AE1216">
        <v>5400</v>
      </c>
      <c r="AF1216">
        <v>400000</v>
      </c>
      <c r="AG1216">
        <v>33333.333333333336</v>
      </c>
      <c r="AH1216">
        <v>1</v>
      </c>
      <c r="AI1216">
        <v>1</v>
      </c>
      <c r="AJ1216" t="s">
        <v>162</v>
      </c>
      <c r="AK1216" t="s">
        <v>176</v>
      </c>
      <c r="AL1216">
        <v>0</v>
      </c>
      <c r="AM1216" t="s">
        <v>176</v>
      </c>
      <c r="AN1216">
        <v>0</v>
      </c>
    </row>
    <row r="1217" spans="1:40" x14ac:dyDescent="0.15">
      <c r="A1217" s="4" t="str">
        <f>HYPERLINK("https://ibp.a2mac1.com/costing(costing:projects/details/9760/process/12086205)","MANUFACTURING  PROCESS")</f>
        <v>MANUFACTURING  PROCESS</v>
      </c>
      <c r="B1217" t="s">
        <v>4962</v>
      </c>
      <c r="C1217">
        <v>12086205</v>
      </c>
      <c r="D1217">
        <v>8416885</v>
      </c>
      <c r="E1217">
        <v>0.29513563999999998</v>
      </c>
      <c r="F1217">
        <v>0</v>
      </c>
      <c r="G1217">
        <v>0</v>
      </c>
      <c r="H1217">
        <v>3.8194024E-5</v>
      </c>
      <c r="I1217" t="s">
        <v>176</v>
      </c>
      <c r="J1217">
        <v>1.2152644000000001E-2</v>
      </c>
      <c r="K1217">
        <v>0.30732647802399998</v>
      </c>
      <c r="L1217">
        <v>8.1787144122335721E-3</v>
      </c>
      <c r="M1217">
        <v>4.9072286473401429E-2</v>
      </c>
      <c r="N1217">
        <v>0.35639876449740143</v>
      </c>
      <c r="O1217" t="s">
        <v>177</v>
      </c>
      <c r="P1217">
        <v>1.8439588681440001E-2</v>
      </c>
      <c r="Q1217" t="s">
        <v>177</v>
      </c>
      <c r="R1217">
        <v>2.9443371884040857E-3</v>
      </c>
      <c r="S1217" t="s">
        <v>178</v>
      </c>
      <c r="T1217">
        <v>4.2767851739688174E-2</v>
      </c>
      <c r="U1217">
        <v>0.42055054210693371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2.9266899999999998</v>
      </c>
      <c r="AB1217">
        <v>2</v>
      </c>
      <c r="AC1217">
        <v>0.01</v>
      </c>
      <c r="AD1217">
        <v>1.099879013308536E-2</v>
      </c>
      <c r="AE1217">
        <v>5400</v>
      </c>
      <c r="AF1217">
        <v>400000</v>
      </c>
      <c r="AG1217">
        <v>33333.333333333336</v>
      </c>
      <c r="AH1217">
        <v>1</v>
      </c>
      <c r="AI1217">
        <v>1</v>
      </c>
      <c r="AJ1217" t="s">
        <v>162</v>
      </c>
      <c r="AK1217" t="s">
        <v>176</v>
      </c>
      <c r="AL1217">
        <v>0</v>
      </c>
      <c r="AM1217" t="s">
        <v>176</v>
      </c>
      <c r="AN1217">
        <v>0</v>
      </c>
    </row>
    <row r="1218" spans="1:40" x14ac:dyDescent="0.15">
      <c r="A1218" s="4" t="str">
        <f>HYPERLINK("https://ibp.a2mac1.com/costing(costing:projects/details/9760/process/12086206)","MANUFACTURING  PROCESS")</f>
        <v>MANUFACTURING  PROCESS</v>
      </c>
      <c r="B1218" t="s">
        <v>4962</v>
      </c>
      <c r="C1218">
        <v>12086206</v>
      </c>
      <c r="D1218">
        <v>8416886</v>
      </c>
      <c r="E1218">
        <v>9.7685739999999993E-2</v>
      </c>
      <c r="F1218">
        <v>0</v>
      </c>
      <c r="G1218">
        <v>0</v>
      </c>
      <c r="H1218">
        <v>1.2641683999999999E-5</v>
      </c>
      <c r="I1218" t="s">
        <v>176</v>
      </c>
      <c r="J1218">
        <v>4.0223539999999997E-3</v>
      </c>
      <c r="K1218">
        <v>0.101720735684</v>
      </c>
      <c r="L1218">
        <v>6.0085096525124091E-3</v>
      </c>
      <c r="M1218">
        <v>3.6051057915074451E-2</v>
      </c>
      <c r="N1218">
        <v>0.13777179359907446</v>
      </c>
      <c r="O1218" t="s">
        <v>177</v>
      </c>
      <c r="P1218">
        <v>6.1032441410399998E-3</v>
      </c>
      <c r="Q1218" t="s">
        <v>177</v>
      </c>
      <c r="R1218">
        <v>2.1630634749044671E-3</v>
      </c>
      <c r="S1218" t="s">
        <v>178</v>
      </c>
      <c r="T1218">
        <v>1.6532615231888936E-2</v>
      </c>
      <c r="U1218">
        <v>0.16257071644690785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2.0560499999999999</v>
      </c>
      <c r="AB1218">
        <v>2</v>
      </c>
      <c r="AC1218">
        <v>0.01</v>
      </c>
      <c r="AD1218">
        <v>1.099879013308536E-2</v>
      </c>
      <c r="AE1218">
        <v>5400</v>
      </c>
      <c r="AF1218">
        <v>400000</v>
      </c>
      <c r="AG1218">
        <v>33333.333333333336</v>
      </c>
      <c r="AH1218">
        <v>1</v>
      </c>
      <c r="AI1218">
        <v>1</v>
      </c>
      <c r="AJ1218" t="s">
        <v>162</v>
      </c>
      <c r="AK1218" t="s">
        <v>176</v>
      </c>
      <c r="AL1218">
        <v>0</v>
      </c>
      <c r="AM1218" t="s">
        <v>176</v>
      </c>
      <c r="AN1218">
        <v>0</v>
      </c>
    </row>
    <row r="1219" spans="1:40" x14ac:dyDescent="0.15">
      <c r="A1219" s="4" t="str">
        <f>HYPERLINK("https://ibp.a2mac1.com/costing(costing:projects/details/9760/process/12086207)","MANUFACTURING  PROCESS")</f>
        <v>MANUFACTURING  PROCESS</v>
      </c>
      <c r="B1219" t="s">
        <v>4962</v>
      </c>
      <c r="C1219">
        <v>12086207</v>
      </c>
      <c r="D1219">
        <v>8416887</v>
      </c>
      <c r="E1219">
        <v>1.668849E-2</v>
      </c>
      <c r="F1219">
        <v>0</v>
      </c>
      <c r="G1219">
        <v>0</v>
      </c>
      <c r="H1219">
        <v>2.0172899999999999E-6</v>
      </c>
      <c r="I1219" t="s">
        <v>176</v>
      </c>
      <c r="J1219">
        <v>6.4186500000000004E-4</v>
      </c>
      <c r="K1219">
        <v>1.7332372289999998E-2</v>
      </c>
      <c r="L1219">
        <v>1.5051802315087317E-3</v>
      </c>
      <c r="M1219">
        <v>9.0310813890523908E-3</v>
      </c>
      <c r="N1219">
        <v>2.6363453679052393E-2</v>
      </c>
      <c r="O1219" t="s">
        <v>177</v>
      </c>
      <c r="P1219">
        <v>1.0399423373999999E-3</v>
      </c>
      <c r="Q1219" t="s">
        <v>177</v>
      </c>
      <c r="R1219">
        <v>5.4186488334314351E-4</v>
      </c>
      <c r="S1219" t="s">
        <v>178</v>
      </c>
      <c r="T1219">
        <v>3.1636144414862871E-3</v>
      </c>
      <c r="U1219">
        <v>3.110887534128182E-2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0.24940999999999999</v>
      </c>
      <c r="AB1219">
        <v>2</v>
      </c>
      <c r="AC1219">
        <v>0.01</v>
      </c>
      <c r="AD1219">
        <v>1.099879013308536E-2</v>
      </c>
      <c r="AE1219">
        <v>5400</v>
      </c>
      <c r="AF1219">
        <v>400000</v>
      </c>
      <c r="AG1219">
        <v>33333.333333333336</v>
      </c>
      <c r="AH1219">
        <v>1</v>
      </c>
      <c r="AI1219">
        <v>1</v>
      </c>
      <c r="AJ1219" t="s">
        <v>162</v>
      </c>
      <c r="AK1219" t="s">
        <v>176</v>
      </c>
      <c r="AL1219">
        <v>0</v>
      </c>
      <c r="AM1219" t="s">
        <v>176</v>
      </c>
      <c r="AN1219">
        <v>0</v>
      </c>
    </row>
    <row r="1220" spans="1:40" x14ac:dyDescent="0.15">
      <c r="A1220" s="4" t="str">
        <f>HYPERLINK("https://ibp.a2mac1.com/costing(costing:projects/details/9760/process/12086208)","MANUFACTURING  PROCESS")</f>
        <v>MANUFACTURING  PROCESS</v>
      </c>
      <c r="B1220" t="s">
        <v>4962</v>
      </c>
      <c r="C1220">
        <v>12086208</v>
      </c>
      <c r="D1220">
        <v>8416888</v>
      </c>
      <c r="E1220">
        <v>1.668849E-2</v>
      </c>
      <c r="F1220">
        <v>0</v>
      </c>
      <c r="G1220">
        <v>0</v>
      </c>
      <c r="H1220">
        <v>2.0172899999999999E-6</v>
      </c>
      <c r="I1220" t="s">
        <v>176</v>
      </c>
      <c r="J1220">
        <v>6.4186500000000004E-4</v>
      </c>
      <c r="K1220">
        <v>1.7332372289999998E-2</v>
      </c>
      <c r="L1220">
        <v>1.5051802315087317E-3</v>
      </c>
      <c r="M1220">
        <v>9.0310813890523908E-3</v>
      </c>
      <c r="N1220">
        <v>2.6363453679052393E-2</v>
      </c>
      <c r="O1220" t="s">
        <v>177</v>
      </c>
      <c r="P1220">
        <v>1.0399423373999999E-3</v>
      </c>
      <c r="Q1220" t="s">
        <v>177</v>
      </c>
      <c r="R1220">
        <v>5.4186488334314351E-4</v>
      </c>
      <c r="S1220" t="s">
        <v>178</v>
      </c>
      <c r="T1220">
        <v>3.1636144414862871E-3</v>
      </c>
      <c r="U1220">
        <v>3.110887534128182E-2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0.24940999999999999</v>
      </c>
      <c r="AB1220">
        <v>2</v>
      </c>
      <c r="AC1220">
        <v>0.01</v>
      </c>
      <c r="AD1220">
        <v>1.099879013308536E-2</v>
      </c>
      <c r="AE1220">
        <v>5400</v>
      </c>
      <c r="AF1220">
        <v>400000</v>
      </c>
      <c r="AG1220">
        <v>33333.333333333336</v>
      </c>
      <c r="AH1220">
        <v>1</v>
      </c>
      <c r="AI1220">
        <v>1</v>
      </c>
      <c r="AJ1220" t="s">
        <v>162</v>
      </c>
      <c r="AK1220" t="s">
        <v>176</v>
      </c>
      <c r="AL1220">
        <v>0</v>
      </c>
      <c r="AM1220" t="s">
        <v>176</v>
      </c>
      <c r="AN1220">
        <v>0</v>
      </c>
    </row>
    <row r="1221" spans="1:40" x14ac:dyDescent="0.15">
      <c r="A1221" s="4" t="str">
        <f>HYPERLINK("https://ibp.a2mac1.com/costing(costing:projects/details/9760/process/12086209)","MANUFACTURING  PROCESS")</f>
        <v>MANUFACTURING  PROCESS</v>
      </c>
      <c r="B1221" t="s">
        <v>4962</v>
      </c>
      <c r="C1221">
        <v>12086209</v>
      </c>
      <c r="D1221">
        <v>8416889</v>
      </c>
      <c r="E1221">
        <v>0.19329305999999999</v>
      </c>
      <c r="F1221">
        <v>0</v>
      </c>
      <c r="G1221">
        <v>0</v>
      </c>
      <c r="H1221">
        <v>2.5014396000000001E-5</v>
      </c>
      <c r="I1221" t="s">
        <v>176</v>
      </c>
      <c r="J1221">
        <v>7.9591260000000004E-3</v>
      </c>
      <c r="K1221">
        <v>0.201277200396</v>
      </c>
      <c r="L1221">
        <v>1.0313049872942069E-2</v>
      </c>
      <c r="M1221">
        <v>6.1878299237652409E-2</v>
      </c>
      <c r="N1221">
        <v>0.26315549963365242</v>
      </c>
      <c r="O1221" t="s">
        <v>177</v>
      </c>
      <c r="P1221">
        <v>1.207663202376E-2</v>
      </c>
      <c r="Q1221" t="s">
        <v>177</v>
      </c>
      <c r="R1221">
        <v>3.7126979542591448E-3</v>
      </c>
      <c r="S1221" t="s">
        <v>178</v>
      </c>
      <c r="T1221">
        <v>3.1578659956038292E-2</v>
      </c>
      <c r="U1221">
        <v>0.31052348956770986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3.78294</v>
      </c>
      <c r="AB1221">
        <v>2</v>
      </c>
      <c r="AC1221">
        <v>0.01</v>
      </c>
      <c r="AD1221">
        <v>1.099879013308536E-2</v>
      </c>
      <c r="AE1221">
        <v>5400</v>
      </c>
      <c r="AF1221">
        <v>400000</v>
      </c>
      <c r="AG1221">
        <v>33333.333333333336</v>
      </c>
      <c r="AH1221">
        <v>1</v>
      </c>
      <c r="AI1221">
        <v>1</v>
      </c>
      <c r="AJ1221" t="s">
        <v>162</v>
      </c>
      <c r="AK1221" t="s">
        <v>176</v>
      </c>
      <c r="AL1221">
        <v>0</v>
      </c>
      <c r="AM1221" t="s">
        <v>176</v>
      </c>
      <c r="AN1221">
        <v>0</v>
      </c>
    </row>
    <row r="1222" spans="1:40" x14ac:dyDescent="0.15">
      <c r="A1222" s="4" t="str">
        <f>HYPERLINK("https://ibp.a2mac1.com/costing(costing:projects/details/9760/process/12086210)","MANUFACTURING  PROCESS")</f>
        <v>MANUFACTURING  PROCESS</v>
      </c>
      <c r="B1222" t="s">
        <v>4962</v>
      </c>
      <c r="C1222">
        <v>12086210</v>
      </c>
      <c r="D1222">
        <v>8416890</v>
      </c>
      <c r="E1222">
        <v>2.5857990000000001E-2</v>
      </c>
      <c r="F1222">
        <v>0</v>
      </c>
      <c r="G1222">
        <v>0</v>
      </c>
      <c r="H1222">
        <v>3.025935E-6</v>
      </c>
      <c r="I1222" t="s">
        <v>176</v>
      </c>
      <c r="J1222">
        <v>9.627975E-4</v>
      </c>
      <c r="K1222">
        <v>2.6823813435E-2</v>
      </c>
      <c r="L1222">
        <v>1.966047131748608E-3</v>
      </c>
      <c r="M1222">
        <v>1.1796282790491648E-2</v>
      </c>
      <c r="N1222">
        <v>3.8620096225491646E-2</v>
      </c>
      <c r="O1222" t="s">
        <v>177</v>
      </c>
      <c r="P1222">
        <v>1.6094288061000001E-3</v>
      </c>
      <c r="Q1222" t="s">
        <v>177</v>
      </c>
      <c r="R1222">
        <v>7.0777696742949884E-4</v>
      </c>
      <c r="S1222" t="s">
        <v>178</v>
      </c>
      <c r="T1222">
        <v>4.6344115470589977E-3</v>
      </c>
      <c r="U1222">
        <v>4.5571713546080146E-2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0.43430000000000002</v>
      </c>
      <c r="AB1222">
        <v>2</v>
      </c>
      <c r="AC1222">
        <v>0.01</v>
      </c>
      <c r="AD1222">
        <v>1.099879013308536E-2</v>
      </c>
      <c r="AE1222">
        <v>5400</v>
      </c>
      <c r="AF1222">
        <v>400000</v>
      </c>
      <c r="AG1222">
        <v>33333.333333333336</v>
      </c>
      <c r="AH1222">
        <v>1</v>
      </c>
      <c r="AI1222">
        <v>1</v>
      </c>
      <c r="AJ1222" t="s">
        <v>162</v>
      </c>
      <c r="AK1222" t="s">
        <v>176</v>
      </c>
      <c r="AL1222">
        <v>0</v>
      </c>
      <c r="AM1222" t="s">
        <v>176</v>
      </c>
      <c r="AN1222">
        <v>0</v>
      </c>
    </row>
    <row r="1223" spans="1:40" x14ac:dyDescent="0.15">
      <c r="A1223" s="4" t="str">
        <f>HYPERLINK("https://ibp.a2mac1.com/costing(costing:projects/details/9760/process/12086211)","MANUFACTURING  PROCESS")</f>
        <v>MANUFACTURING  PROCESS</v>
      </c>
      <c r="B1223" t="s">
        <v>4962</v>
      </c>
      <c r="C1223">
        <v>12086211</v>
      </c>
      <c r="D1223">
        <v>8416891</v>
      </c>
      <c r="E1223">
        <v>12.887084797090909</v>
      </c>
      <c r="F1223">
        <v>0</v>
      </c>
      <c r="G1223">
        <v>0</v>
      </c>
      <c r="H1223">
        <v>1.6388200319999999E-3</v>
      </c>
      <c r="I1223" t="s">
        <v>176</v>
      </c>
      <c r="J1223">
        <v>0.5214427374545455</v>
      </c>
      <c r="K1223">
        <v>13.410166354577454</v>
      </c>
      <c r="L1223">
        <v>5.3390781806786566E-2</v>
      </c>
      <c r="M1223">
        <v>0.32034469084071937</v>
      </c>
      <c r="N1223">
        <v>13.730511045418174</v>
      </c>
      <c r="O1223" t="s">
        <v>177</v>
      </c>
      <c r="P1223">
        <v>0.80460998127464722</v>
      </c>
      <c r="Q1223" t="s">
        <v>177</v>
      </c>
      <c r="R1223">
        <v>1.9220681450443162E-2</v>
      </c>
      <c r="S1223" t="s">
        <v>178</v>
      </c>
      <c r="T1223">
        <v>1.6476613254501808</v>
      </c>
      <c r="U1223">
        <v>16.202003033593446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21.064810000000001</v>
      </c>
      <c r="AB1223">
        <v>2</v>
      </c>
      <c r="AC1223">
        <v>0.01</v>
      </c>
      <c r="AD1223">
        <v>1.099879013308536E-2</v>
      </c>
      <c r="AE1223">
        <v>5400</v>
      </c>
      <c r="AF1223">
        <v>400000</v>
      </c>
      <c r="AG1223">
        <v>33333.333333333336</v>
      </c>
      <c r="AH1223">
        <v>1</v>
      </c>
      <c r="AI1223">
        <v>1</v>
      </c>
      <c r="AJ1223" t="s">
        <v>162</v>
      </c>
      <c r="AK1223" t="s">
        <v>176</v>
      </c>
      <c r="AL1223">
        <v>0</v>
      </c>
      <c r="AM1223" t="s">
        <v>176</v>
      </c>
      <c r="AN1223">
        <v>0</v>
      </c>
    </row>
    <row r="1224" spans="1:40" x14ac:dyDescent="0.15">
      <c r="A1224" s="4" t="str">
        <f>HYPERLINK("https://ibp.a2mac1.com/costing(costing:projects/details/9760/process/12086212)","MANUFACTURING  PROCESS")</f>
        <v>MANUFACTURING  PROCESS</v>
      </c>
      <c r="B1224" t="s">
        <v>4962</v>
      </c>
      <c r="C1224">
        <v>12086212</v>
      </c>
      <c r="D1224">
        <v>8416892</v>
      </c>
      <c r="E1224">
        <v>8.1829840150909092</v>
      </c>
      <c r="F1224">
        <v>0</v>
      </c>
      <c r="G1224">
        <v>0</v>
      </c>
      <c r="H1224">
        <v>1.0406106840000001E-3</v>
      </c>
      <c r="I1224" t="s">
        <v>176</v>
      </c>
      <c r="J1224">
        <v>0.33110339945454548</v>
      </c>
      <c r="K1224">
        <v>8.5151280252294548</v>
      </c>
      <c r="L1224">
        <v>5.3390781806786566E-2</v>
      </c>
      <c r="M1224">
        <v>0.32034469084071937</v>
      </c>
      <c r="N1224">
        <v>8.8354727160701731</v>
      </c>
      <c r="O1224" t="s">
        <v>177</v>
      </c>
      <c r="P1224">
        <v>0.51090768151376731</v>
      </c>
      <c r="Q1224" t="s">
        <v>177</v>
      </c>
      <c r="R1224">
        <v>1.9220681450443162E-2</v>
      </c>
      <c r="S1224" t="s">
        <v>178</v>
      </c>
      <c r="T1224">
        <v>1.0602567259284208</v>
      </c>
      <c r="U1224">
        <v>10.425857804962805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21.064810000000001</v>
      </c>
      <c r="AB1224">
        <v>2</v>
      </c>
      <c r="AC1224">
        <v>0.01</v>
      </c>
      <c r="AD1224">
        <v>1.099879013308536E-2</v>
      </c>
      <c r="AE1224">
        <v>5400</v>
      </c>
      <c r="AF1224">
        <v>400000</v>
      </c>
      <c r="AG1224">
        <v>33333.333333333336</v>
      </c>
      <c r="AH1224">
        <v>1</v>
      </c>
      <c r="AI1224">
        <v>1</v>
      </c>
      <c r="AJ1224" t="s">
        <v>162</v>
      </c>
      <c r="AK1224" t="s">
        <v>176</v>
      </c>
      <c r="AL1224">
        <v>0</v>
      </c>
      <c r="AM1224" t="s">
        <v>176</v>
      </c>
      <c r="AN1224">
        <v>0</v>
      </c>
    </row>
    <row r="1225" spans="1:40" x14ac:dyDescent="0.15">
      <c r="A1225" s="4" t="str">
        <f>HYPERLINK("https://ibp.a2mac1.com/costing(costing:projects/details/9760/process/12086213)","MANUFACTURING  PROCESS")</f>
        <v>MANUFACTURING  PROCESS</v>
      </c>
      <c r="B1225" t="s">
        <v>4962</v>
      </c>
      <c r="C1225">
        <v>12086213</v>
      </c>
      <c r="D1225">
        <v>8416893</v>
      </c>
      <c r="E1225">
        <v>1.7675974615384615E-2</v>
      </c>
      <c r="F1225">
        <v>0</v>
      </c>
      <c r="G1225">
        <v>0</v>
      </c>
      <c r="H1225">
        <v>2.172466153846154E-6</v>
      </c>
      <c r="I1225" t="s">
        <v>176</v>
      </c>
      <c r="J1225">
        <v>6.9123923076923072E-4</v>
      </c>
      <c r="K1225">
        <v>1.8369386312307692E-2</v>
      </c>
      <c r="L1225">
        <v>1.966047131748608E-3</v>
      </c>
      <c r="M1225">
        <v>1.1796282790491648E-2</v>
      </c>
      <c r="N1225">
        <v>3.0165669102799341E-2</v>
      </c>
      <c r="O1225" t="s">
        <v>177</v>
      </c>
      <c r="P1225">
        <v>1.1021631787384615E-3</v>
      </c>
      <c r="Q1225" t="s">
        <v>177</v>
      </c>
      <c r="R1225">
        <v>7.0777696742949884E-4</v>
      </c>
      <c r="S1225" t="s">
        <v>178</v>
      </c>
      <c r="T1225">
        <v>3.6198802923359209E-3</v>
      </c>
      <c r="U1225">
        <v>3.5595489541303219E-2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0.43430000000000002</v>
      </c>
      <c r="AB1225">
        <v>2</v>
      </c>
      <c r="AC1225">
        <v>0.01</v>
      </c>
      <c r="AD1225">
        <v>1.099879013308536E-2</v>
      </c>
      <c r="AE1225">
        <v>5400</v>
      </c>
      <c r="AF1225">
        <v>400000</v>
      </c>
      <c r="AG1225">
        <v>33333.333333333336</v>
      </c>
      <c r="AH1225">
        <v>1</v>
      </c>
      <c r="AI1225">
        <v>1</v>
      </c>
      <c r="AJ1225" t="s">
        <v>162</v>
      </c>
      <c r="AK1225" t="s">
        <v>176</v>
      </c>
      <c r="AL1225">
        <v>0</v>
      </c>
      <c r="AM1225" t="s">
        <v>176</v>
      </c>
      <c r="AN1225">
        <v>0</v>
      </c>
    </row>
    <row r="1226" spans="1:40" x14ac:dyDescent="0.15">
      <c r="A1226" s="4" t="str">
        <f>HYPERLINK("https://ibp.a2mac1.com/costing(costing:projects/details/9760/process/12086214)","MANUFACTURING  PROCESS")</f>
        <v>MANUFACTURING  PROCESS</v>
      </c>
      <c r="B1226" t="s">
        <v>4962</v>
      </c>
      <c r="C1226">
        <v>12086214</v>
      </c>
      <c r="D1226">
        <v>8416894</v>
      </c>
      <c r="E1226">
        <v>6.5537787659999998</v>
      </c>
      <c r="F1226">
        <v>0</v>
      </c>
      <c r="G1226">
        <v>0</v>
      </c>
      <c r="H1226">
        <v>8.4813607559999999E-4</v>
      </c>
      <c r="I1226" t="s">
        <v>176</v>
      </c>
      <c r="J1226">
        <v>0.26986147859999998</v>
      </c>
      <c r="K1226">
        <v>6.8244883806756</v>
      </c>
      <c r="L1226">
        <v>1.4010317127981821E-2</v>
      </c>
      <c r="M1226">
        <v>8.4061902767890925E-2</v>
      </c>
      <c r="N1226">
        <v>6.9085502834434909</v>
      </c>
      <c r="O1226" t="s">
        <v>177</v>
      </c>
      <c r="P1226">
        <v>0.40946930284053601</v>
      </c>
      <c r="Q1226" t="s">
        <v>177</v>
      </c>
      <c r="R1226">
        <v>5.0437141660734557E-3</v>
      </c>
      <c r="S1226" t="s">
        <v>178</v>
      </c>
      <c r="T1226">
        <v>0.82902603401321895</v>
      </c>
      <c r="U1226">
        <v>8.1520893344633194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10.53241</v>
      </c>
      <c r="AB1226">
        <v>4</v>
      </c>
      <c r="AC1226">
        <v>0.01</v>
      </c>
      <c r="AD1226">
        <v>1.099879013308536E-2</v>
      </c>
      <c r="AE1226">
        <v>5400</v>
      </c>
      <c r="AF1226">
        <v>400000</v>
      </c>
      <c r="AG1226">
        <v>33333.333333333336</v>
      </c>
      <c r="AH1226">
        <v>1</v>
      </c>
      <c r="AI1226">
        <v>1</v>
      </c>
      <c r="AJ1226" t="s">
        <v>162</v>
      </c>
      <c r="AK1226" t="s">
        <v>176</v>
      </c>
      <c r="AL1226">
        <v>0</v>
      </c>
      <c r="AM1226" t="s">
        <v>176</v>
      </c>
      <c r="AN1226">
        <v>0</v>
      </c>
    </row>
    <row r="1227" spans="1:40" x14ac:dyDescent="0.15">
      <c r="A1227" s="4" t="str">
        <f>HYPERLINK("https://ibp.a2mac1.com/costing(costing:projects/details/9760/process/12086215)","MANUFACTURING  PROCESS")</f>
        <v>MANUFACTURING  PROCESS</v>
      </c>
      <c r="B1227" t="s">
        <v>4962</v>
      </c>
      <c r="C1227">
        <v>12086215</v>
      </c>
      <c r="D1227">
        <v>8416895</v>
      </c>
      <c r="E1227">
        <v>0.19443572076923077</v>
      </c>
      <c r="F1227">
        <v>0</v>
      </c>
      <c r="G1227">
        <v>0</v>
      </c>
      <c r="H1227">
        <v>2.3897127692307691E-5</v>
      </c>
      <c r="I1227" t="s">
        <v>176</v>
      </c>
      <c r="J1227">
        <v>7.6036315384615388E-3</v>
      </c>
      <c r="K1227">
        <v>0.20206324943538462</v>
      </c>
      <c r="L1227">
        <v>8.1787144122335721E-3</v>
      </c>
      <c r="M1227">
        <v>4.9072286473401429E-2</v>
      </c>
      <c r="N1227">
        <v>0.25113553590878607</v>
      </c>
      <c r="O1227" t="s">
        <v>177</v>
      </c>
      <c r="P1227">
        <v>1.2123794966123078E-2</v>
      </c>
      <c r="Q1227" t="s">
        <v>177</v>
      </c>
      <c r="R1227">
        <v>2.9443371884040857E-3</v>
      </c>
      <c r="S1227" t="s">
        <v>178</v>
      </c>
      <c r="T1227">
        <v>3.0136264309054327E-2</v>
      </c>
      <c r="U1227">
        <v>0.29633993237236755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2.9266899999999998</v>
      </c>
      <c r="AB1227">
        <v>2</v>
      </c>
      <c r="AC1227">
        <v>0.01</v>
      </c>
      <c r="AD1227">
        <v>1.099879013308536E-2</v>
      </c>
      <c r="AE1227">
        <v>5400</v>
      </c>
      <c r="AF1227">
        <v>400000</v>
      </c>
      <c r="AG1227">
        <v>33333.333333333336</v>
      </c>
      <c r="AH1227">
        <v>1</v>
      </c>
      <c r="AI1227">
        <v>1</v>
      </c>
      <c r="AJ1227" t="s">
        <v>162</v>
      </c>
      <c r="AK1227" t="s">
        <v>176</v>
      </c>
      <c r="AL1227">
        <v>0</v>
      </c>
      <c r="AM1227" t="s">
        <v>176</v>
      </c>
      <c r="AN1227">
        <v>0</v>
      </c>
    </row>
    <row r="1228" spans="1:40" x14ac:dyDescent="0.15">
      <c r="A1228" s="4" t="str">
        <f>HYPERLINK("https://ibp.a2mac1.com/costing(costing:projects/details/9760/process/12086216)","MANUFACTURING  PROCESS")</f>
        <v>MANUFACTURING  PROCESS</v>
      </c>
      <c r="B1228" t="s">
        <v>4962</v>
      </c>
      <c r="C1228">
        <v>12086216</v>
      </c>
      <c r="D1228">
        <v>8416896</v>
      </c>
      <c r="E1228">
        <v>0.15319178</v>
      </c>
      <c r="F1228">
        <v>0</v>
      </c>
      <c r="G1228">
        <v>0</v>
      </c>
      <c r="H1228">
        <v>1.8828039999999999E-5</v>
      </c>
      <c r="I1228" t="s">
        <v>176</v>
      </c>
      <c r="J1228">
        <v>5.9907399999999996E-3</v>
      </c>
      <c r="K1228">
        <v>0.15920134804</v>
      </c>
      <c r="L1228">
        <v>8.1787144122335721E-3</v>
      </c>
      <c r="M1228">
        <v>4.9072286473401429E-2</v>
      </c>
      <c r="N1228">
        <v>0.20827363451340142</v>
      </c>
      <c r="O1228" t="s">
        <v>177</v>
      </c>
      <c r="P1228">
        <v>9.5520808823999995E-3</v>
      </c>
      <c r="Q1228" t="s">
        <v>177</v>
      </c>
      <c r="R1228">
        <v>2.9443371884040857E-3</v>
      </c>
      <c r="S1228" t="s">
        <v>178</v>
      </c>
      <c r="T1228">
        <v>2.4992836141608171E-2</v>
      </c>
      <c r="U1228">
        <v>0.2457628887258137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2.9266899999999998</v>
      </c>
      <c r="AB1228">
        <v>2</v>
      </c>
      <c r="AC1228">
        <v>0.01</v>
      </c>
      <c r="AD1228">
        <v>1.099879013308536E-2</v>
      </c>
      <c r="AE1228">
        <v>5400</v>
      </c>
      <c r="AF1228">
        <v>400000</v>
      </c>
      <c r="AG1228">
        <v>33333.333333333336</v>
      </c>
      <c r="AH1228">
        <v>1</v>
      </c>
      <c r="AI1228">
        <v>1</v>
      </c>
      <c r="AJ1228" t="s">
        <v>162</v>
      </c>
      <c r="AK1228" t="s">
        <v>176</v>
      </c>
      <c r="AL1228">
        <v>0</v>
      </c>
      <c r="AM1228" t="s">
        <v>176</v>
      </c>
      <c r="AN1228">
        <v>0</v>
      </c>
    </row>
    <row r="1229" spans="1:40" x14ac:dyDescent="0.15">
      <c r="A1229" s="4" t="str">
        <f>HYPERLINK("https://ibp.a2mac1.com/costing(costing:projects/details/9760/process/12086217)","MANUFACTURING  PROCESS")</f>
        <v>MANUFACTURING  PROCESS</v>
      </c>
      <c r="B1229" t="s">
        <v>4962</v>
      </c>
      <c r="C1229">
        <v>12086217</v>
      </c>
      <c r="D1229">
        <v>8416897</v>
      </c>
      <c r="E1229">
        <v>8.2647760000000001E-2</v>
      </c>
      <c r="F1229">
        <v>0</v>
      </c>
      <c r="G1229">
        <v>0</v>
      </c>
      <c r="H1229">
        <v>9.990388571428571E-6</v>
      </c>
      <c r="I1229" t="s">
        <v>176</v>
      </c>
      <c r="J1229">
        <v>3.1787600000000001E-3</v>
      </c>
      <c r="K1229">
        <v>8.583651038857143E-2</v>
      </c>
      <c r="L1229">
        <v>6.0085096525124091E-3</v>
      </c>
      <c r="M1229">
        <v>3.6051057915074451E-2</v>
      </c>
      <c r="N1229">
        <v>0.12188756830364589</v>
      </c>
      <c r="O1229" t="s">
        <v>177</v>
      </c>
      <c r="P1229">
        <v>5.1501906233142854E-3</v>
      </c>
      <c r="Q1229" t="s">
        <v>177</v>
      </c>
      <c r="R1229">
        <v>2.1630634749044671E-3</v>
      </c>
      <c r="S1229" t="s">
        <v>178</v>
      </c>
      <c r="T1229">
        <v>1.4626508196437507E-2</v>
      </c>
      <c r="U1229">
        <v>0.14382733059830213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2.0560499999999999</v>
      </c>
      <c r="AB1229">
        <v>2</v>
      </c>
      <c r="AC1229">
        <v>0.01</v>
      </c>
      <c r="AD1229">
        <v>1.099879013308536E-2</v>
      </c>
      <c r="AE1229">
        <v>5400</v>
      </c>
      <c r="AF1229">
        <v>400000</v>
      </c>
      <c r="AG1229">
        <v>33333.333333333336</v>
      </c>
      <c r="AH1229">
        <v>1</v>
      </c>
      <c r="AI1229">
        <v>1</v>
      </c>
      <c r="AJ1229" t="s">
        <v>162</v>
      </c>
      <c r="AK1229" t="s">
        <v>176</v>
      </c>
      <c r="AL1229">
        <v>0</v>
      </c>
      <c r="AM1229" t="s">
        <v>176</v>
      </c>
      <c r="AN1229">
        <v>0</v>
      </c>
    </row>
    <row r="1230" spans="1:40" x14ac:dyDescent="0.15">
      <c r="A1230" s="4" t="str">
        <f>HYPERLINK("https://ibp.a2mac1.com/costing(costing:projects/details/9760/process/12086218)","MANUFACTURING  PROCESS")</f>
        <v>MANUFACTURING  PROCESS</v>
      </c>
      <c r="B1230" t="s">
        <v>4962</v>
      </c>
      <c r="C1230">
        <v>12086218</v>
      </c>
      <c r="D1230">
        <v>8416898</v>
      </c>
      <c r="E1230">
        <v>11.510942454</v>
      </c>
      <c r="F1230">
        <v>0</v>
      </c>
      <c r="G1230">
        <v>0</v>
      </c>
      <c r="H1230">
        <v>1.4896513764E-3</v>
      </c>
      <c r="I1230" t="s">
        <v>176</v>
      </c>
      <c r="J1230">
        <v>0.47397998340000003</v>
      </c>
      <c r="K1230">
        <v>11.986412088776399</v>
      </c>
      <c r="L1230">
        <v>0.42094194334375251</v>
      </c>
      <c r="M1230">
        <v>2.5256516600625147</v>
      </c>
      <c r="N1230">
        <v>14.512063748838916</v>
      </c>
      <c r="O1230" t="s">
        <v>177</v>
      </c>
      <c r="P1230">
        <v>0.71918472532658395</v>
      </c>
      <c r="Q1230" t="s">
        <v>177</v>
      </c>
      <c r="R1230">
        <v>0.15153909960375089</v>
      </c>
      <c r="S1230" t="s">
        <v>178</v>
      </c>
      <c r="T1230">
        <v>1.7414476498606697</v>
      </c>
      <c r="U1230">
        <v>17.12423522362992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84.259259999999998</v>
      </c>
      <c r="AB1230">
        <v>1</v>
      </c>
      <c r="AC1230">
        <v>0.01</v>
      </c>
      <c r="AD1230">
        <v>1.099879013308536E-2</v>
      </c>
      <c r="AE1230">
        <v>5400</v>
      </c>
      <c r="AF1230">
        <v>400000</v>
      </c>
      <c r="AG1230">
        <v>33333.333333333336</v>
      </c>
      <c r="AH1230">
        <v>1</v>
      </c>
      <c r="AI1230">
        <v>1</v>
      </c>
      <c r="AJ1230" t="s">
        <v>162</v>
      </c>
      <c r="AK1230" t="s">
        <v>176</v>
      </c>
      <c r="AL1230">
        <v>0</v>
      </c>
      <c r="AM1230" t="s">
        <v>176</v>
      </c>
      <c r="AN1230">
        <v>0</v>
      </c>
    </row>
    <row r="1231" spans="1:40" x14ac:dyDescent="0.15">
      <c r="A1231" s="4" t="str">
        <f>HYPERLINK("https://ibp.a2mac1.com/costing(costing:projects/details/9760/process/12086219)","MANUFACTURING  PROCESS")</f>
        <v>MANUFACTURING  PROCESS</v>
      </c>
      <c r="B1231" t="s">
        <v>4962</v>
      </c>
      <c r="C1231">
        <v>12086219</v>
      </c>
      <c r="D1231">
        <v>8416899</v>
      </c>
      <c r="E1231">
        <v>6.8528227789090908</v>
      </c>
      <c r="F1231">
        <v>0</v>
      </c>
      <c r="G1231">
        <v>0</v>
      </c>
      <c r="H1231">
        <v>8.7145723200000001E-4</v>
      </c>
      <c r="I1231" t="s">
        <v>176</v>
      </c>
      <c r="J1231">
        <v>0.27728184654545457</v>
      </c>
      <c r="K1231">
        <v>7.1309760826865451</v>
      </c>
      <c r="L1231">
        <v>0.42094194334375251</v>
      </c>
      <c r="M1231">
        <v>2.5256516600625147</v>
      </c>
      <c r="N1231">
        <v>9.6566277427490608</v>
      </c>
      <c r="O1231" t="s">
        <v>177</v>
      </c>
      <c r="P1231">
        <v>0.42785856496119273</v>
      </c>
      <c r="Q1231" t="s">
        <v>177</v>
      </c>
      <c r="R1231">
        <v>0.15153909960375089</v>
      </c>
      <c r="S1231" t="s">
        <v>178</v>
      </c>
      <c r="T1231">
        <v>1.1587953291298871</v>
      </c>
      <c r="U1231">
        <v>11.394820736443892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84.259259999999998</v>
      </c>
      <c r="AB1231">
        <v>1</v>
      </c>
      <c r="AC1231">
        <v>0.01</v>
      </c>
      <c r="AD1231">
        <v>1.099879013308536E-2</v>
      </c>
      <c r="AE1231">
        <v>5400</v>
      </c>
      <c r="AF1231">
        <v>400000</v>
      </c>
      <c r="AG1231">
        <v>33333.333333333336</v>
      </c>
      <c r="AH1231">
        <v>1</v>
      </c>
      <c r="AI1231">
        <v>1</v>
      </c>
      <c r="AJ1231" t="s">
        <v>162</v>
      </c>
      <c r="AK1231" t="s">
        <v>176</v>
      </c>
      <c r="AL1231">
        <v>0</v>
      </c>
      <c r="AM1231" t="s">
        <v>176</v>
      </c>
      <c r="AN1231">
        <v>0</v>
      </c>
    </row>
    <row r="1232" spans="1:40" x14ac:dyDescent="0.15">
      <c r="A1232" s="4" t="str">
        <f>HYPERLINK("https://ibp.a2mac1.com/costing(costing:projects/details/9760/process/12086220)","MANUFACTURING  PROCESS")</f>
        <v>MANUFACTURING  PROCESS</v>
      </c>
      <c r="B1232" t="s">
        <v>4962</v>
      </c>
      <c r="C1232">
        <v>12086220</v>
      </c>
      <c r="D1232">
        <v>8416900</v>
      </c>
      <c r="E1232">
        <v>0.16835201999999999</v>
      </c>
      <c r="F1232">
        <v>0</v>
      </c>
      <c r="G1232">
        <v>0</v>
      </c>
      <c r="H1232">
        <v>2.1786732E-5</v>
      </c>
      <c r="I1232" t="s">
        <v>176</v>
      </c>
      <c r="J1232">
        <v>6.9321419999999996E-3</v>
      </c>
      <c r="K1232">
        <v>0.17530594873200001</v>
      </c>
      <c r="L1232">
        <v>6.0085096525124091E-3</v>
      </c>
      <c r="M1232">
        <v>3.6051057915074451E-2</v>
      </c>
      <c r="N1232">
        <v>0.21135700664707446</v>
      </c>
      <c r="O1232" t="s">
        <v>177</v>
      </c>
      <c r="P1232">
        <v>1.0518356923920001E-2</v>
      </c>
      <c r="Q1232" t="s">
        <v>177</v>
      </c>
      <c r="R1232">
        <v>2.1630634749044671E-3</v>
      </c>
      <c r="S1232" t="s">
        <v>178</v>
      </c>
      <c r="T1232">
        <v>2.5362840797648934E-2</v>
      </c>
      <c r="U1232">
        <v>0.24940126784354785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2.0560499999999999</v>
      </c>
      <c r="AB1232">
        <v>2</v>
      </c>
      <c r="AC1232">
        <v>0.01</v>
      </c>
      <c r="AD1232">
        <v>1.099879013308536E-2</v>
      </c>
      <c r="AE1232">
        <v>5400</v>
      </c>
      <c r="AF1232">
        <v>400000</v>
      </c>
      <c r="AG1232">
        <v>33333.333333333336</v>
      </c>
      <c r="AH1232">
        <v>1</v>
      </c>
      <c r="AI1232">
        <v>1</v>
      </c>
      <c r="AJ1232" t="s">
        <v>162</v>
      </c>
      <c r="AK1232" t="s">
        <v>176</v>
      </c>
      <c r="AL1232">
        <v>0</v>
      </c>
      <c r="AM1232" t="s">
        <v>176</v>
      </c>
      <c r="AN1232">
        <v>0</v>
      </c>
    </row>
    <row r="1233" spans="1:40" x14ac:dyDescent="0.15">
      <c r="A1233" s="4" t="str">
        <f>HYPERLINK("https://ibp.a2mac1.com/costing(costing:projects/details/9760/process/12086221)","MANUFACTURING  PROCESS")</f>
        <v>MANUFACTURING  PROCESS</v>
      </c>
      <c r="B1233" t="s">
        <v>4962</v>
      </c>
      <c r="C1233">
        <v>12086221</v>
      </c>
      <c r="D1233">
        <v>8416901</v>
      </c>
      <c r="E1233">
        <v>3.4966360000000002E-2</v>
      </c>
      <c r="F1233">
        <v>0</v>
      </c>
      <c r="G1233">
        <v>0</v>
      </c>
      <c r="H1233">
        <v>4.2267028571428574E-6</v>
      </c>
      <c r="I1233" t="s">
        <v>176</v>
      </c>
      <c r="J1233">
        <v>1.34486E-3</v>
      </c>
      <c r="K1233">
        <v>3.6315446702857142E-2</v>
      </c>
      <c r="L1233">
        <v>5.2816765115045365E-3</v>
      </c>
      <c r="M1233">
        <v>3.1690059069027221E-2</v>
      </c>
      <c r="N1233">
        <v>6.800550577188437E-2</v>
      </c>
      <c r="O1233" t="s">
        <v>177</v>
      </c>
      <c r="P1233">
        <v>2.1789268021714285E-3</v>
      </c>
      <c r="Q1233" t="s">
        <v>177</v>
      </c>
      <c r="R1233">
        <v>1.9014035441416333E-3</v>
      </c>
      <c r="S1233" t="s">
        <v>178</v>
      </c>
      <c r="T1233">
        <v>8.1606606926261233E-3</v>
      </c>
      <c r="U1233">
        <v>8.0246496810823548E-2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1.7644599999999999</v>
      </c>
      <c r="AB1233">
        <v>2</v>
      </c>
      <c r="AC1233">
        <v>0.01</v>
      </c>
      <c r="AD1233">
        <v>1.099879013308536E-2</v>
      </c>
      <c r="AE1233">
        <v>5400</v>
      </c>
      <c r="AF1233">
        <v>400000</v>
      </c>
      <c r="AG1233">
        <v>33333.333333333336</v>
      </c>
      <c r="AH1233">
        <v>1</v>
      </c>
      <c r="AI1233">
        <v>1</v>
      </c>
      <c r="AJ1233" t="s">
        <v>162</v>
      </c>
      <c r="AK1233" t="s">
        <v>176</v>
      </c>
      <c r="AL1233">
        <v>0</v>
      </c>
      <c r="AM1233" t="s">
        <v>176</v>
      </c>
      <c r="AN1233">
        <v>0</v>
      </c>
    </row>
    <row r="1234" spans="1:40" x14ac:dyDescent="0.15">
      <c r="A1234" s="4" t="str">
        <f>HYPERLINK("https://ibp.a2mac1.com/costing(costing:projects/details/9760/process/12086222)","MANUFACTURING  PROCESS")</f>
        <v>MANUFACTURING  PROCESS</v>
      </c>
      <c r="B1234" t="s">
        <v>4962</v>
      </c>
      <c r="C1234">
        <v>12086222</v>
      </c>
      <c r="D1234">
        <v>8416902</v>
      </c>
      <c r="E1234">
        <v>2.8012822499999999E-2</v>
      </c>
      <c r="F1234">
        <v>0</v>
      </c>
      <c r="G1234">
        <v>0</v>
      </c>
      <c r="H1234">
        <v>3.2780962500000002E-6</v>
      </c>
      <c r="I1234" t="s">
        <v>176</v>
      </c>
      <c r="J1234">
        <v>1.043030625E-3</v>
      </c>
      <c r="K1234">
        <v>2.9059131221249999E-2</v>
      </c>
      <c r="L1234">
        <v>1.966047131748608E-3</v>
      </c>
      <c r="M1234">
        <v>1.1796282790491648E-2</v>
      </c>
      <c r="N1234">
        <v>4.0855414011741649E-2</v>
      </c>
      <c r="O1234" t="s">
        <v>177</v>
      </c>
      <c r="P1234">
        <v>1.7435478732750001E-3</v>
      </c>
      <c r="Q1234" t="s">
        <v>177</v>
      </c>
      <c r="R1234">
        <v>7.0777696742949884E-4</v>
      </c>
      <c r="S1234" t="s">
        <v>178</v>
      </c>
      <c r="T1234">
        <v>4.902649681408998E-3</v>
      </c>
      <c r="U1234">
        <v>4.8209388533855146E-2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0.43430000000000002</v>
      </c>
      <c r="AB1234">
        <v>2</v>
      </c>
      <c r="AC1234">
        <v>0.01</v>
      </c>
      <c r="AD1234">
        <v>1.099879013308536E-2</v>
      </c>
      <c r="AE1234">
        <v>5400</v>
      </c>
      <c r="AF1234">
        <v>400000</v>
      </c>
      <c r="AG1234">
        <v>33333.333333333336</v>
      </c>
      <c r="AH1234">
        <v>1</v>
      </c>
      <c r="AI1234">
        <v>1</v>
      </c>
      <c r="AJ1234" t="s">
        <v>162</v>
      </c>
      <c r="AK1234" t="s">
        <v>176</v>
      </c>
      <c r="AL1234">
        <v>0</v>
      </c>
      <c r="AM1234" t="s">
        <v>176</v>
      </c>
      <c r="AN1234">
        <v>0</v>
      </c>
    </row>
    <row r="1235" spans="1:40" x14ac:dyDescent="0.15">
      <c r="A1235" s="4" t="str">
        <f>HYPERLINK("https://ibp.a2mac1.com/costing(costing:projects/details/9760/process/12086223)","MANUFACTURING  PROCESS")</f>
        <v>MANUFACTURING  PROCESS</v>
      </c>
      <c r="B1235" t="s">
        <v>4962</v>
      </c>
      <c r="C1235">
        <v>12086223</v>
      </c>
      <c r="D1235">
        <v>8416903</v>
      </c>
      <c r="E1235">
        <v>2.3901829999999999E-2</v>
      </c>
      <c r="F1235">
        <v>0</v>
      </c>
      <c r="G1235">
        <v>0</v>
      </c>
      <c r="H1235">
        <v>3.0931780000000001E-6</v>
      </c>
      <c r="I1235" t="s">
        <v>176</v>
      </c>
      <c r="J1235">
        <v>9.8419299999999996E-4</v>
      </c>
      <c r="K1235">
        <v>2.4889116177999999E-2</v>
      </c>
      <c r="L1235">
        <v>3.60065520774138E-3</v>
      </c>
      <c r="M1235">
        <v>2.1603931246448278E-2</v>
      </c>
      <c r="N1235">
        <v>4.6493047424448278E-2</v>
      </c>
      <c r="O1235" t="s">
        <v>177</v>
      </c>
      <c r="P1235">
        <v>1.4933469706799999E-3</v>
      </c>
      <c r="Q1235" t="s">
        <v>177</v>
      </c>
      <c r="R1235">
        <v>1.2962358747868967E-3</v>
      </c>
      <c r="S1235" t="s">
        <v>178</v>
      </c>
      <c r="T1235">
        <v>5.5791656909337933E-3</v>
      </c>
      <c r="U1235">
        <v>5.4861795960848968E-2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1.0900700000000001</v>
      </c>
      <c r="AB1235">
        <v>2</v>
      </c>
      <c r="AC1235">
        <v>0.01</v>
      </c>
      <c r="AD1235">
        <v>1.099879013308536E-2</v>
      </c>
      <c r="AE1235">
        <v>5400</v>
      </c>
      <c r="AF1235">
        <v>400000</v>
      </c>
      <c r="AG1235">
        <v>33333.333333333336</v>
      </c>
      <c r="AH1235">
        <v>1</v>
      </c>
      <c r="AI1235">
        <v>1</v>
      </c>
      <c r="AJ1235" t="s">
        <v>162</v>
      </c>
      <c r="AK1235" t="s">
        <v>176</v>
      </c>
      <c r="AL1235">
        <v>0</v>
      </c>
      <c r="AM1235" t="s">
        <v>176</v>
      </c>
      <c r="AN1235">
        <v>0</v>
      </c>
    </row>
    <row r="1236" spans="1:40" x14ac:dyDescent="0.15">
      <c r="A1236" s="4" t="str">
        <f>HYPERLINK("https://ibp.a2mac1.com/costing(costing:projects/details/9760/process/12086224)","MANUFACTURING  PROCESS")</f>
        <v>MANUFACTURING  PROCESS</v>
      </c>
      <c r="B1236" t="s">
        <v>4962</v>
      </c>
      <c r="C1236">
        <v>12086224</v>
      </c>
      <c r="D1236">
        <v>8416904</v>
      </c>
      <c r="E1236">
        <v>2.4262700766666665</v>
      </c>
      <c r="F1236">
        <v>0</v>
      </c>
      <c r="G1236">
        <v>0</v>
      </c>
      <c r="H1236">
        <v>3.1962839333333332E-4</v>
      </c>
      <c r="I1236" t="s">
        <v>176</v>
      </c>
      <c r="J1236">
        <v>0.10169994333333333</v>
      </c>
      <c r="K1236">
        <v>2.5282896483933333</v>
      </c>
      <c r="L1236">
        <v>3.4399371402856635E-2</v>
      </c>
      <c r="M1236">
        <v>0.20639622841713981</v>
      </c>
      <c r="N1236">
        <v>2.7346858768104729</v>
      </c>
      <c r="O1236" t="s">
        <v>177</v>
      </c>
      <c r="P1236">
        <v>0.15169737890359999</v>
      </c>
      <c r="Q1236" t="s">
        <v>177</v>
      </c>
      <c r="R1236">
        <v>1.2383773705028389E-2</v>
      </c>
      <c r="S1236" t="s">
        <v>178</v>
      </c>
      <c r="T1236">
        <v>0.32816230521725676</v>
      </c>
      <c r="U1236">
        <v>3.2269293346363583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6.7229299999999999</v>
      </c>
      <c r="AB1236">
        <v>1</v>
      </c>
      <c r="AC1236">
        <v>0.01</v>
      </c>
      <c r="AD1236">
        <v>1.099879013308536E-2</v>
      </c>
      <c r="AE1236">
        <v>5400</v>
      </c>
      <c r="AF1236">
        <v>400000</v>
      </c>
      <c r="AG1236">
        <v>33333.333333333336</v>
      </c>
      <c r="AH1236">
        <v>1</v>
      </c>
      <c r="AI1236">
        <v>1</v>
      </c>
      <c r="AJ1236" t="s">
        <v>162</v>
      </c>
      <c r="AK1236" t="s">
        <v>176</v>
      </c>
      <c r="AL1236">
        <v>0</v>
      </c>
      <c r="AM1236" t="s">
        <v>176</v>
      </c>
      <c r="AN1236">
        <v>0</v>
      </c>
    </row>
    <row r="1237" spans="1:40" x14ac:dyDescent="0.15">
      <c r="A1237" s="4" t="str">
        <f>HYPERLINK("https://ibp.a2mac1.com/costing(costing:projects/details/9760/process/12086225)","MANUFACTURING  PROCESS")</f>
        <v>MANUFACTURING  PROCESS</v>
      </c>
      <c r="B1237" t="s">
        <v>4962</v>
      </c>
      <c r="C1237">
        <v>12086225</v>
      </c>
      <c r="D1237">
        <v>8416905</v>
      </c>
      <c r="E1237">
        <v>0.22550856999999999</v>
      </c>
      <c r="F1237">
        <v>0</v>
      </c>
      <c r="G1237">
        <v>0</v>
      </c>
      <c r="H1237">
        <v>2.9183461999999999E-5</v>
      </c>
      <c r="I1237" t="s">
        <v>176</v>
      </c>
      <c r="J1237">
        <v>9.2856469999999993E-3</v>
      </c>
      <c r="K1237">
        <v>0.23482340046200001</v>
      </c>
      <c r="L1237">
        <v>8.1787144122335721E-3</v>
      </c>
      <c r="M1237">
        <v>4.9072286473401429E-2</v>
      </c>
      <c r="N1237">
        <v>0.2838956869354014</v>
      </c>
      <c r="O1237" t="s">
        <v>177</v>
      </c>
      <c r="P1237">
        <v>1.408940402772E-2</v>
      </c>
      <c r="Q1237" t="s">
        <v>177</v>
      </c>
      <c r="R1237">
        <v>2.9443371884040857E-3</v>
      </c>
      <c r="S1237" t="s">
        <v>178</v>
      </c>
      <c r="T1237">
        <v>3.4067482432248171E-2</v>
      </c>
      <c r="U1237">
        <v>0.33499691058377368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2.9266899999999998</v>
      </c>
      <c r="AB1237">
        <v>2</v>
      </c>
      <c r="AC1237">
        <v>0.01</v>
      </c>
      <c r="AD1237">
        <v>1.099879013308536E-2</v>
      </c>
      <c r="AE1237">
        <v>5400</v>
      </c>
      <c r="AF1237">
        <v>400000</v>
      </c>
      <c r="AG1237">
        <v>33333.333333333336</v>
      </c>
      <c r="AH1237">
        <v>1</v>
      </c>
      <c r="AI1237">
        <v>1</v>
      </c>
      <c r="AJ1237" t="s">
        <v>162</v>
      </c>
      <c r="AK1237" t="s">
        <v>176</v>
      </c>
      <c r="AL1237">
        <v>0</v>
      </c>
      <c r="AM1237" t="s">
        <v>176</v>
      </c>
      <c r="AN1237">
        <v>0</v>
      </c>
    </row>
    <row r="1238" spans="1:40" x14ac:dyDescent="0.15">
      <c r="A1238" s="4" t="str">
        <f>HYPERLINK("https://ibp.a2mac1.com/costing(costing:projects/details/9760/process/12086226)","MANUFACTURING  PROCESS")</f>
        <v>MANUFACTURING  PROCESS</v>
      </c>
      <c r="B1238" t="s">
        <v>4962</v>
      </c>
      <c r="C1238">
        <v>12086226</v>
      </c>
      <c r="D1238">
        <v>8416906</v>
      </c>
      <c r="E1238">
        <v>0.14145482000000001</v>
      </c>
      <c r="F1238">
        <v>0</v>
      </c>
      <c r="G1238">
        <v>0</v>
      </c>
      <c r="H1238">
        <v>1.7098934285714286E-5</v>
      </c>
      <c r="I1238" t="s">
        <v>176</v>
      </c>
      <c r="J1238">
        <v>5.4405699999999996E-3</v>
      </c>
      <c r="K1238">
        <v>0.14691248893428571</v>
      </c>
      <c r="L1238">
        <v>8.1787144122335721E-3</v>
      </c>
      <c r="M1238">
        <v>4.9072286473401429E-2</v>
      </c>
      <c r="N1238">
        <v>0.19598477540768713</v>
      </c>
      <c r="O1238" t="s">
        <v>177</v>
      </c>
      <c r="P1238">
        <v>8.8147493360571424E-3</v>
      </c>
      <c r="Q1238" t="s">
        <v>177</v>
      </c>
      <c r="R1238">
        <v>2.9443371884040857E-3</v>
      </c>
      <c r="S1238" t="s">
        <v>178</v>
      </c>
      <c r="T1238">
        <v>2.3518173048922456E-2</v>
      </c>
      <c r="U1238">
        <v>0.23126203498107084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2.9266899999999998</v>
      </c>
      <c r="AB1238">
        <v>2</v>
      </c>
      <c r="AC1238">
        <v>0.01</v>
      </c>
      <c r="AD1238">
        <v>1.099879013308536E-2</v>
      </c>
      <c r="AE1238">
        <v>5400</v>
      </c>
      <c r="AF1238">
        <v>400000</v>
      </c>
      <c r="AG1238">
        <v>33333.333333333336</v>
      </c>
      <c r="AH1238">
        <v>1</v>
      </c>
      <c r="AI1238">
        <v>1</v>
      </c>
      <c r="AJ1238" t="s">
        <v>162</v>
      </c>
      <c r="AK1238" t="s">
        <v>176</v>
      </c>
      <c r="AL1238">
        <v>0</v>
      </c>
      <c r="AM1238" t="s">
        <v>176</v>
      </c>
      <c r="AN1238">
        <v>0</v>
      </c>
    </row>
    <row r="1239" spans="1:40" x14ac:dyDescent="0.15">
      <c r="A1239" s="4" t="str">
        <f>HYPERLINK("https://ibp.a2mac1.com/costing(costing:projects/details/9760/process/12086227)","MANUFACTURING  PROCESS")</f>
        <v>MANUFACTURING  PROCESS</v>
      </c>
      <c r="B1239" t="s">
        <v>4962</v>
      </c>
      <c r="C1239">
        <v>12086227</v>
      </c>
      <c r="D1239">
        <v>8416907</v>
      </c>
      <c r="E1239">
        <v>0.83601387999999999</v>
      </c>
      <c r="F1239">
        <v>0</v>
      </c>
      <c r="G1239">
        <v>0</v>
      </c>
      <c r="H1239">
        <v>1.0105662285714286E-4</v>
      </c>
      <c r="I1239" t="s">
        <v>176</v>
      </c>
      <c r="J1239">
        <v>3.2154380000000003E-2</v>
      </c>
      <c r="K1239">
        <v>0.86826931662285711</v>
      </c>
      <c r="L1239">
        <v>1.0313049872942069E-2</v>
      </c>
      <c r="M1239">
        <v>6.1878299237652409E-2</v>
      </c>
      <c r="N1239">
        <v>0.93014761586050954</v>
      </c>
      <c r="O1239" t="s">
        <v>177</v>
      </c>
      <c r="P1239">
        <v>5.2096158997371432E-2</v>
      </c>
      <c r="Q1239" t="s">
        <v>177</v>
      </c>
      <c r="R1239">
        <v>3.7126979542591448E-3</v>
      </c>
      <c r="S1239" t="s">
        <v>178</v>
      </c>
      <c r="T1239">
        <v>0.11161771390326114</v>
      </c>
      <c r="U1239">
        <v>1.0975741867154012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3.78294</v>
      </c>
      <c r="AB1239">
        <v>2</v>
      </c>
      <c r="AC1239">
        <v>0.01</v>
      </c>
      <c r="AD1239">
        <v>1.099879013308536E-2</v>
      </c>
      <c r="AE1239">
        <v>5400</v>
      </c>
      <c r="AF1239">
        <v>400000</v>
      </c>
      <c r="AG1239">
        <v>33333.333333333336</v>
      </c>
      <c r="AH1239">
        <v>1</v>
      </c>
      <c r="AI1239">
        <v>1</v>
      </c>
      <c r="AJ1239" t="s">
        <v>162</v>
      </c>
      <c r="AK1239" t="s">
        <v>176</v>
      </c>
      <c r="AL1239">
        <v>0</v>
      </c>
      <c r="AM1239" t="s">
        <v>176</v>
      </c>
      <c r="AN1239">
        <v>0</v>
      </c>
    </row>
    <row r="1240" spans="1:40" x14ac:dyDescent="0.15">
      <c r="A1240" s="4" t="str">
        <f>HYPERLINK("https://ibp.a2mac1.com/costing(costing:projects/details/9760/process/12086228)","MANUFACTURING  PROCESS")</f>
        <v>MANUFACTURING  PROCESS</v>
      </c>
      <c r="B1240" t="s">
        <v>4962</v>
      </c>
      <c r="C1240">
        <v>12086228</v>
      </c>
      <c r="D1240">
        <v>8416908</v>
      </c>
      <c r="E1240">
        <v>0.49154632999999998</v>
      </c>
      <c r="F1240">
        <v>0</v>
      </c>
      <c r="G1240">
        <v>0</v>
      </c>
      <c r="H1240">
        <v>6.3611878E-5</v>
      </c>
      <c r="I1240" t="s">
        <v>176</v>
      </c>
      <c r="J1240">
        <v>2.0240142999999999E-2</v>
      </c>
      <c r="K1240">
        <v>0.51185008487799999</v>
      </c>
      <c r="L1240">
        <v>3.0064346017248039E-2</v>
      </c>
      <c r="M1240">
        <v>0.18038607610348822</v>
      </c>
      <c r="N1240">
        <v>0.69223616098148821</v>
      </c>
      <c r="O1240" t="s">
        <v>177</v>
      </c>
      <c r="P1240">
        <v>3.0711005092679999E-2</v>
      </c>
      <c r="Q1240" t="s">
        <v>177</v>
      </c>
      <c r="R1240">
        <v>1.0823164566209294E-2</v>
      </c>
      <c r="S1240" t="s">
        <v>178</v>
      </c>
      <c r="T1240">
        <v>8.3068339317778586E-2</v>
      </c>
      <c r="U1240">
        <v>0.81683866995815613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5.85337</v>
      </c>
      <c r="AB1240">
        <v>1</v>
      </c>
      <c r="AC1240">
        <v>0.01</v>
      </c>
      <c r="AD1240">
        <v>1.099879013308536E-2</v>
      </c>
      <c r="AE1240">
        <v>5400</v>
      </c>
      <c r="AF1240">
        <v>400000</v>
      </c>
      <c r="AG1240">
        <v>33333.333333333336</v>
      </c>
      <c r="AH1240">
        <v>1</v>
      </c>
      <c r="AI1240">
        <v>1</v>
      </c>
      <c r="AJ1240" t="s">
        <v>162</v>
      </c>
      <c r="AK1240" t="s">
        <v>176</v>
      </c>
      <c r="AL1240">
        <v>0</v>
      </c>
      <c r="AM1240" t="s">
        <v>176</v>
      </c>
      <c r="AN1240">
        <v>0</v>
      </c>
    </row>
    <row r="1241" spans="1:40" x14ac:dyDescent="0.15">
      <c r="A1241" s="4" t="str">
        <f>HYPERLINK("https://ibp.a2mac1.com/costing(costing:projects/details/9760/process/12086229)","MANUFACTURING  PROCESS")</f>
        <v>MANUFACTURING  PROCESS</v>
      </c>
      <c r="B1241" t="s">
        <v>4962</v>
      </c>
      <c r="C1241">
        <v>12086229</v>
      </c>
      <c r="D1241">
        <v>8416909</v>
      </c>
      <c r="E1241">
        <v>1.4954843200000001</v>
      </c>
      <c r="F1241">
        <v>0</v>
      </c>
      <c r="G1241">
        <v>0</v>
      </c>
      <c r="H1241">
        <v>1.8693554000000001E-4</v>
      </c>
      <c r="I1241" t="s">
        <v>176</v>
      </c>
      <c r="J1241">
        <v>5.9479490000000003E-2</v>
      </c>
      <c r="K1241">
        <v>1.55515074554</v>
      </c>
      <c r="L1241">
        <v>1.0313049872942069E-2</v>
      </c>
      <c r="M1241">
        <v>6.1878299237652409E-2</v>
      </c>
      <c r="N1241">
        <v>1.6170290447776523</v>
      </c>
      <c r="O1241" t="s">
        <v>177</v>
      </c>
      <c r="P1241">
        <v>9.3309044732399996E-2</v>
      </c>
      <c r="Q1241" t="s">
        <v>177</v>
      </c>
      <c r="R1241">
        <v>3.7126979542591448E-3</v>
      </c>
      <c r="S1241" t="s">
        <v>178</v>
      </c>
      <c r="T1241">
        <v>0.19404348537331828</v>
      </c>
      <c r="U1241">
        <v>1.9080942728376298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3.78294</v>
      </c>
      <c r="AB1241">
        <v>2</v>
      </c>
      <c r="AC1241">
        <v>0.01</v>
      </c>
      <c r="AD1241">
        <v>1.099879013308536E-2</v>
      </c>
      <c r="AE1241">
        <v>5400</v>
      </c>
      <c r="AF1241">
        <v>400000</v>
      </c>
      <c r="AG1241">
        <v>33333.333333333336</v>
      </c>
      <c r="AH1241">
        <v>1</v>
      </c>
      <c r="AI1241">
        <v>1</v>
      </c>
      <c r="AJ1241" t="s">
        <v>162</v>
      </c>
      <c r="AK1241" t="s">
        <v>176</v>
      </c>
      <c r="AL1241">
        <v>0</v>
      </c>
      <c r="AM1241" t="s">
        <v>176</v>
      </c>
      <c r="AN1241">
        <v>0</v>
      </c>
    </row>
    <row r="1242" spans="1:40" x14ac:dyDescent="0.15">
      <c r="A1242" s="4" t="str">
        <f>HYPERLINK("https://ibp.a2mac1.com/costing(costing:projects/details/9760/process/12086230)","MANUFACTURING  PROCESS")</f>
        <v>MANUFACTURING  PROCESS</v>
      </c>
      <c r="B1242" t="s">
        <v>4962</v>
      </c>
      <c r="C1242">
        <v>12086230</v>
      </c>
      <c r="D1242">
        <v>8416910</v>
      </c>
      <c r="E1242">
        <v>0.65087333909090905</v>
      </c>
      <c r="F1242">
        <v>0</v>
      </c>
      <c r="G1242">
        <v>0</v>
      </c>
      <c r="H1242">
        <v>8.2770019999999997E-5</v>
      </c>
      <c r="I1242" t="s">
        <v>176</v>
      </c>
      <c r="J1242">
        <v>2.6335915454545455E-2</v>
      </c>
      <c r="K1242">
        <v>0.67729202456545456</v>
      </c>
      <c r="L1242">
        <v>1.0313049872942069E-2</v>
      </c>
      <c r="M1242">
        <v>6.1878299237652409E-2</v>
      </c>
      <c r="N1242">
        <v>0.73917032380310699</v>
      </c>
      <c r="O1242" t="s">
        <v>177</v>
      </c>
      <c r="P1242">
        <v>4.0637521473927275E-2</v>
      </c>
      <c r="Q1242" t="s">
        <v>177</v>
      </c>
      <c r="R1242">
        <v>3.7126979542591448E-3</v>
      </c>
      <c r="S1242" t="s">
        <v>178</v>
      </c>
      <c r="T1242">
        <v>8.870043885637284E-2</v>
      </c>
      <c r="U1242">
        <v>0.87222098208766619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3.78294</v>
      </c>
      <c r="AB1242">
        <v>2</v>
      </c>
      <c r="AC1242">
        <v>0.01</v>
      </c>
      <c r="AD1242">
        <v>1.099879013308536E-2</v>
      </c>
      <c r="AE1242">
        <v>5400</v>
      </c>
      <c r="AF1242">
        <v>400000</v>
      </c>
      <c r="AG1242">
        <v>33333.333333333336</v>
      </c>
      <c r="AH1242">
        <v>1</v>
      </c>
      <c r="AI1242">
        <v>1</v>
      </c>
      <c r="AJ1242" t="s">
        <v>162</v>
      </c>
      <c r="AK1242" t="s">
        <v>176</v>
      </c>
      <c r="AL1242">
        <v>0</v>
      </c>
      <c r="AM1242" t="s">
        <v>176</v>
      </c>
      <c r="AN1242">
        <v>0</v>
      </c>
    </row>
    <row r="1243" spans="1:40" x14ac:dyDescent="0.15">
      <c r="A1243" s="4" t="str">
        <f>HYPERLINK("https://ibp.a2mac1.com/costing(costing:projects/details/9760/process/12086231)","MANUFACTURING  PROCESS")</f>
        <v>MANUFACTURING  PROCESS</v>
      </c>
      <c r="B1243" t="s">
        <v>4962</v>
      </c>
      <c r="C1243">
        <v>12086231</v>
      </c>
      <c r="D1243">
        <v>8416911</v>
      </c>
      <c r="E1243">
        <v>1.0807784</v>
      </c>
      <c r="F1243">
        <v>0</v>
      </c>
      <c r="G1243">
        <v>0</v>
      </c>
      <c r="H1243">
        <v>1.3064354285714287E-4</v>
      </c>
      <c r="I1243" t="s">
        <v>176</v>
      </c>
      <c r="J1243">
        <v>4.1568399999999998E-2</v>
      </c>
      <c r="K1243">
        <v>1.1224774435428571</v>
      </c>
      <c r="L1243">
        <v>1.0313049872942069E-2</v>
      </c>
      <c r="M1243">
        <v>6.1878299237652409E-2</v>
      </c>
      <c r="N1243">
        <v>1.1843557427805096</v>
      </c>
      <c r="O1243" t="s">
        <v>177</v>
      </c>
      <c r="P1243">
        <v>6.7348646612571422E-2</v>
      </c>
      <c r="Q1243" t="s">
        <v>177</v>
      </c>
      <c r="R1243">
        <v>3.7126979542591448E-3</v>
      </c>
      <c r="S1243" t="s">
        <v>178</v>
      </c>
      <c r="T1243">
        <v>0.14212268913366113</v>
      </c>
      <c r="U1243">
        <v>1.3975397764810014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3.78294</v>
      </c>
      <c r="AB1243">
        <v>2</v>
      </c>
      <c r="AC1243">
        <v>0.01</v>
      </c>
      <c r="AD1243">
        <v>1.099879013308536E-2</v>
      </c>
      <c r="AE1243">
        <v>5400</v>
      </c>
      <c r="AF1243">
        <v>400000</v>
      </c>
      <c r="AG1243">
        <v>33333.333333333336</v>
      </c>
      <c r="AH1243">
        <v>1</v>
      </c>
      <c r="AI1243">
        <v>1</v>
      </c>
      <c r="AJ1243" t="s">
        <v>162</v>
      </c>
      <c r="AK1243" t="s">
        <v>176</v>
      </c>
      <c r="AL1243">
        <v>0</v>
      </c>
      <c r="AM1243" t="s">
        <v>176</v>
      </c>
      <c r="AN1243">
        <v>0</v>
      </c>
    </row>
    <row r="1244" spans="1:40" x14ac:dyDescent="0.15">
      <c r="A1244" s="4" t="str">
        <f>HYPERLINK("https://ibp.a2mac1.com/costing(costing:projects/details/9760/process/12086232)","MANUFACTURING  PROCESS")</f>
        <v>MANUFACTURING  PROCESS</v>
      </c>
      <c r="B1244" t="s">
        <v>4962</v>
      </c>
      <c r="C1244">
        <v>12086232</v>
      </c>
      <c r="D1244">
        <v>8416912</v>
      </c>
      <c r="E1244">
        <v>0.45694675000000001</v>
      </c>
      <c r="F1244">
        <v>0</v>
      </c>
      <c r="G1244">
        <v>0</v>
      </c>
      <c r="H1244">
        <v>5.5235321428571431E-5</v>
      </c>
      <c r="I1244" t="s">
        <v>176</v>
      </c>
      <c r="J1244">
        <v>1.7574875E-2</v>
      </c>
      <c r="K1244">
        <v>0.4745768603214286</v>
      </c>
      <c r="L1244">
        <v>1.0313049872942069E-2</v>
      </c>
      <c r="M1244">
        <v>6.1878299237652409E-2</v>
      </c>
      <c r="N1244">
        <v>0.53645515955908096</v>
      </c>
      <c r="O1244" t="s">
        <v>177</v>
      </c>
      <c r="P1244">
        <v>2.8474611619285713E-2</v>
      </c>
      <c r="Q1244" t="s">
        <v>177</v>
      </c>
      <c r="R1244">
        <v>3.7126979542591448E-3</v>
      </c>
      <c r="S1244" t="s">
        <v>178</v>
      </c>
      <c r="T1244">
        <v>6.4374619147089723E-2</v>
      </c>
      <c r="U1244">
        <v>0.63301708827971559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3.78294</v>
      </c>
      <c r="AB1244">
        <v>2</v>
      </c>
      <c r="AC1244">
        <v>0.01</v>
      </c>
      <c r="AD1244">
        <v>1.099879013308536E-2</v>
      </c>
      <c r="AE1244">
        <v>5400</v>
      </c>
      <c r="AF1244">
        <v>400000</v>
      </c>
      <c r="AG1244">
        <v>33333.333333333336</v>
      </c>
      <c r="AH1244">
        <v>1</v>
      </c>
      <c r="AI1244">
        <v>1</v>
      </c>
      <c r="AJ1244" t="s">
        <v>162</v>
      </c>
      <c r="AK1244" t="s">
        <v>176</v>
      </c>
      <c r="AL1244">
        <v>0</v>
      </c>
      <c r="AM1244" t="s">
        <v>176</v>
      </c>
      <c r="AN1244">
        <v>0</v>
      </c>
    </row>
    <row r="1245" spans="1:40" x14ac:dyDescent="0.15">
      <c r="A1245" s="4" t="str">
        <f>HYPERLINK("https://ibp.a2mac1.com/costing(costing:projects/details/9760/process/12086233)","MANUFACTURING  PROCESS")</f>
        <v>MANUFACTURING  PROCESS</v>
      </c>
      <c r="B1245" t="s">
        <v>4962</v>
      </c>
      <c r="C1245">
        <v>12086233</v>
      </c>
      <c r="D1245">
        <v>8416955</v>
      </c>
      <c r="E1245">
        <v>1.1936243799999999</v>
      </c>
      <c r="F1245">
        <v>0</v>
      </c>
      <c r="G1245">
        <v>0</v>
      </c>
      <c r="H1245">
        <v>1.442842657142857E-4</v>
      </c>
      <c r="I1245" t="s">
        <v>176</v>
      </c>
      <c r="J1245">
        <v>4.5908629999999999E-2</v>
      </c>
      <c r="K1245">
        <v>1.2396772942657144</v>
      </c>
      <c r="L1245">
        <v>1.0313049872942069E-2</v>
      </c>
      <c r="M1245">
        <v>6.1878299237652409E-2</v>
      </c>
      <c r="N1245">
        <v>1.3015555935033667</v>
      </c>
      <c r="O1245" t="s">
        <v>177</v>
      </c>
      <c r="P1245">
        <v>7.4380637655942855E-2</v>
      </c>
      <c r="Q1245" t="s">
        <v>177</v>
      </c>
      <c r="R1245">
        <v>3.7126979542591448E-3</v>
      </c>
      <c r="S1245" t="s">
        <v>178</v>
      </c>
      <c r="T1245">
        <v>0.156186671220404</v>
      </c>
      <c r="U1245">
        <v>1.5358356003339726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3.78294</v>
      </c>
      <c r="AB1245">
        <v>2</v>
      </c>
      <c r="AC1245">
        <v>0.01</v>
      </c>
      <c r="AD1245">
        <v>1.099879013308536E-2</v>
      </c>
      <c r="AE1245">
        <v>5400</v>
      </c>
      <c r="AF1245">
        <v>400000</v>
      </c>
      <c r="AG1245">
        <v>33333.333333333336</v>
      </c>
      <c r="AH1245">
        <v>1</v>
      </c>
      <c r="AI1245">
        <v>1</v>
      </c>
      <c r="AJ1245" t="s">
        <v>162</v>
      </c>
      <c r="AK1245" t="s">
        <v>176</v>
      </c>
      <c r="AL1245">
        <v>0</v>
      </c>
      <c r="AM1245" t="s">
        <v>176</v>
      </c>
      <c r="AN1245">
        <v>0</v>
      </c>
    </row>
    <row r="1246" spans="1:40" x14ac:dyDescent="0.15">
      <c r="A1246" s="4" t="str">
        <f>HYPERLINK("https://ibp.a2mac1.com/costing(costing:projects/details/9760/process/12086234)","MANUFACTURING  PROCESS")</f>
        <v>MANUFACTURING  PROCESS</v>
      </c>
      <c r="B1246" t="s">
        <v>4962</v>
      </c>
      <c r="C1246">
        <v>12086234</v>
      </c>
      <c r="D1246">
        <v>8416956</v>
      </c>
      <c r="E1246">
        <v>0.94409171999999997</v>
      </c>
      <c r="F1246">
        <v>0</v>
      </c>
      <c r="G1246">
        <v>0</v>
      </c>
      <c r="H1246">
        <v>1.18011465E-4</v>
      </c>
      <c r="I1246" t="s">
        <v>176</v>
      </c>
      <c r="J1246">
        <v>3.7549102500000001E-2</v>
      </c>
      <c r="K1246">
        <v>0.98175883396499997</v>
      </c>
      <c r="L1246">
        <v>1.0313049872942069E-2</v>
      </c>
      <c r="M1246">
        <v>6.1878299237652409E-2</v>
      </c>
      <c r="N1246">
        <v>1.0436371332026524</v>
      </c>
      <c r="O1246" t="s">
        <v>177</v>
      </c>
      <c r="P1246">
        <v>5.89055300379E-2</v>
      </c>
      <c r="Q1246" t="s">
        <v>177</v>
      </c>
      <c r="R1246">
        <v>3.7126979542591448E-3</v>
      </c>
      <c r="S1246" t="s">
        <v>178</v>
      </c>
      <c r="T1246">
        <v>0.12523645598431829</v>
      </c>
      <c r="U1246">
        <v>1.2314918171791298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3.78294</v>
      </c>
      <c r="AB1246">
        <v>2</v>
      </c>
      <c r="AC1246">
        <v>0.01</v>
      </c>
      <c r="AD1246">
        <v>1.099879013308536E-2</v>
      </c>
      <c r="AE1246">
        <v>5400</v>
      </c>
      <c r="AF1246">
        <v>400000</v>
      </c>
      <c r="AG1246">
        <v>33333.333333333336</v>
      </c>
      <c r="AH1246">
        <v>1</v>
      </c>
      <c r="AI1246">
        <v>1</v>
      </c>
      <c r="AJ1246" t="s">
        <v>162</v>
      </c>
      <c r="AK1246" t="s">
        <v>176</v>
      </c>
      <c r="AL1246">
        <v>0</v>
      </c>
      <c r="AM1246" t="s">
        <v>176</v>
      </c>
      <c r="AN1246">
        <v>0</v>
      </c>
    </row>
    <row r="1247" spans="1:40" x14ac:dyDescent="0.15">
      <c r="A1247" s="4" t="str">
        <f>HYPERLINK("https://ibp.a2mac1.com/costing(costing:projects/details/9760/process/12086235)","MANUFACTURING  PROCESS")</f>
        <v>MANUFACTURING  PROCESS</v>
      </c>
      <c r="B1247" t="s">
        <v>4962</v>
      </c>
      <c r="C1247">
        <v>12086235</v>
      </c>
      <c r="D1247">
        <v>8416957</v>
      </c>
      <c r="E1247">
        <v>0.28365730692307695</v>
      </c>
      <c r="F1247">
        <v>0</v>
      </c>
      <c r="G1247">
        <v>0</v>
      </c>
      <c r="H1247">
        <v>3.4862909230769233E-5</v>
      </c>
      <c r="I1247" t="s">
        <v>176</v>
      </c>
      <c r="J1247">
        <v>1.1092743846153845E-2</v>
      </c>
      <c r="K1247">
        <v>0.29478491367846155</v>
      </c>
      <c r="L1247">
        <v>8.1787144122335721E-3</v>
      </c>
      <c r="M1247">
        <v>4.9072286473401429E-2</v>
      </c>
      <c r="N1247">
        <v>0.343857200151863</v>
      </c>
      <c r="O1247" t="s">
        <v>177</v>
      </c>
      <c r="P1247">
        <v>1.7687094820707693E-2</v>
      </c>
      <c r="Q1247" t="s">
        <v>177</v>
      </c>
      <c r="R1247">
        <v>2.9443371884040857E-3</v>
      </c>
      <c r="S1247" t="s">
        <v>178</v>
      </c>
      <c r="T1247">
        <v>4.1262864018223558E-2</v>
      </c>
      <c r="U1247">
        <v>0.40575149617919831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2.9266899999999998</v>
      </c>
      <c r="AB1247">
        <v>2</v>
      </c>
      <c r="AC1247">
        <v>0.01</v>
      </c>
      <c r="AD1247">
        <v>1.099879013308536E-2</v>
      </c>
      <c r="AE1247">
        <v>5400</v>
      </c>
      <c r="AF1247">
        <v>400000</v>
      </c>
      <c r="AG1247">
        <v>33333.333333333336</v>
      </c>
      <c r="AH1247">
        <v>1</v>
      </c>
      <c r="AI1247">
        <v>1</v>
      </c>
      <c r="AJ1247" t="s">
        <v>162</v>
      </c>
      <c r="AK1247" t="s">
        <v>176</v>
      </c>
      <c r="AL1247">
        <v>0</v>
      </c>
      <c r="AM1247" t="s">
        <v>176</v>
      </c>
      <c r="AN1247">
        <v>0</v>
      </c>
    </row>
    <row r="1248" spans="1:40" x14ac:dyDescent="0.15">
      <c r="A1248" s="4" t="str">
        <f>HYPERLINK("https://ibp.a2mac1.com/costing(costing:projects/details/9760/process/12086236)","MANUFACTURING  PROCESS")</f>
        <v>MANUFACTURING  PROCESS</v>
      </c>
      <c r="B1248" t="s">
        <v>4962</v>
      </c>
      <c r="C1248">
        <v>12086236</v>
      </c>
      <c r="D1248">
        <v>8416958</v>
      </c>
      <c r="E1248">
        <v>3.6533510909090912E-2</v>
      </c>
      <c r="F1248">
        <v>0</v>
      </c>
      <c r="G1248">
        <v>0</v>
      </c>
      <c r="H1248">
        <v>4.6458800000000001E-6</v>
      </c>
      <c r="I1248" t="s">
        <v>176</v>
      </c>
      <c r="J1248">
        <v>1.4782345454545454E-3</v>
      </c>
      <c r="K1248">
        <v>3.8016391334545457E-2</v>
      </c>
      <c r="L1248">
        <v>5.2816765115045365E-3</v>
      </c>
      <c r="M1248">
        <v>3.1690059069027221E-2</v>
      </c>
      <c r="N1248">
        <v>6.9706450403572678E-2</v>
      </c>
      <c r="O1248" t="s">
        <v>177</v>
      </c>
      <c r="P1248">
        <v>2.2809834800727271E-3</v>
      </c>
      <c r="Q1248" t="s">
        <v>177</v>
      </c>
      <c r="R1248">
        <v>1.9014035441416333E-3</v>
      </c>
      <c r="S1248" t="s">
        <v>178</v>
      </c>
      <c r="T1248">
        <v>8.3647740484287213E-3</v>
      </c>
      <c r="U1248">
        <v>8.2253611476215752E-2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1.7644599999999999</v>
      </c>
      <c r="AB1248">
        <v>2</v>
      </c>
      <c r="AC1248">
        <v>0.01</v>
      </c>
      <c r="AD1248">
        <v>1.099879013308536E-2</v>
      </c>
      <c r="AE1248">
        <v>5400</v>
      </c>
      <c r="AF1248">
        <v>400000</v>
      </c>
      <c r="AG1248">
        <v>33333.333333333336</v>
      </c>
      <c r="AH1248">
        <v>1</v>
      </c>
      <c r="AI1248">
        <v>1</v>
      </c>
      <c r="AJ1248" t="s">
        <v>162</v>
      </c>
      <c r="AK1248" t="s">
        <v>176</v>
      </c>
      <c r="AL1248">
        <v>0</v>
      </c>
      <c r="AM1248" t="s">
        <v>176</v>
      </c>
      <c r="AN1248">
        <v>0</v>
      </c>
    </row>
    <row r="1249" spans="1:40" x14ac:dyDescent="0.15">
      <c r="A1249" s="4" t="str">
        <f>HYPERLINK("https://ibp.a2mac1.com/costing(costing:projects/details/9760/process/12086237)","MANUFACTURING  PROCESS")</f>
        <v>MANUFACTURING  PROCESS</v>
      </c>
      <c r="B1249" t="s">
        <v>4962</v>
      </c>
      <c r="C1249">
        <v>12086237</v>
      </c>
      <c r="D1249">
        <v>8416959</v>
      </c>
      <c r="E1249">
        <v>0.20661940000000001</v>
      </c>
      <c r="F1249">
        <v>0</v>
      </c>
      <c r="G1249">
        <v>0</v>
      </c>
      <c r="H1249">
        <v>2.4975971428571427E-5</v>
      </c>
      <c r="I1249" t="s">
        <v>176</v>
      </c>
      <c r="J1249">
        <v>7.9468999999999998E-3</v>
      </c>
      <c r="K1249">
        <v>0.21459127597142857</v>
      </c>
      <c r="L1249">
        <v>8.1787144122335721E-3</v>
      </c>
      <c r="M1249">
        <v>4.9072286473401429E-2</v>
      </c>
      <c r="N1249">
        <v>0.26366356244483002</v>
      </c>
      <c r="O1249" t="s">
        <v>177</v>
      </c>
      <c r="P1249">
        <v>1.2875476558285715E-2</v>
      </c>
      <c r="Q1249" t="s">
        <v>177</v>
      </c>
      <c r="R1249">
        <v>2.9443371884040857E-3</v>
      </c>
      <c r="S1249" t="s">
        <v>178</v>
      </c>
      <c r="T1249">
        <v>3.1639627493379598E-2</v>
      </c>
      <c r="U1249">
        <v>0.31112300368489942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2.9266899999999998</v>
      </c>
      <c r="AB1249">
        <v>2</v>
      </c>
      <c r="AC1249">
        <v>0.01</v>
      </c>
      <c r="AD1249">
        <v>1.099879013308536E-2</v>
      </c>
      <c r="AE1249">
        <v>5400</v>
      </c>
      <c r="AF1249">
        <v>400000</v>
      </c>
      <c r="AG1249">
        <v>33333.333333333336</v>
      </c>
      <c r="AH1249">
        <v>1</v>
      </c>
      <c r="AI1249">
        <v>1</v>
      </c>
      <c r="AJ1249" t="s">
        <v>162</v>
      </c>
      <c r="AK1249" t="s">
        <v>176</v>
      </c>
      <c r="AL1249">
        <v>0</v>
      </c>
      <c r="AM1249" t="s">
        <v>176</v>
      </c>
      <c r="AN1249">
        <v>0</v>
      </c>
    </row>
    <row r="1250" spans="1:40" x14ac:dyDescent="0.15">
      <c r="A1250" s="4" t="str">
        <f>HYPERLINK("https://ibp.a2mac1.com/costing(costing:projects/details/9760/process/12086238)","MANUFACTURING  PROCESS")</f>
        <v>MANUFACTURING  PROCESS</v>
      </c>
      <c r="B1250" t="s">
        <v>4962</v>
      </c>
      <c r="C1250">
        <v>12086238</v>
      </c>
      <c r="D1250">
        <v>8416960</v>
      </c>
      <c r="E1250">
        <v>0.14972774666666666</v>
      </c>
      <c r="F1250">
        <v>0</v>
      </c>
      <c r="G1250">
        <v>0</v>
      </c>
      <c r="H1250">
        <v>1.8715968333333334E-5</v>
      </c>
      <c r="I1250" t="s">
        <v>176</v>
      </c>
      <c r="J1250">
        <v>5.9550808333333335E-3</v>
      </c>
      <c r="K1250">
        <v>0.15570154346833334</v>
      </c>
      <c r="L1250">
        <v>8.1787144122335721E-3</v>
      </c>
      <c r="M1250">
        <v>4.9072286473401429E-2</v>
      </c>
      <c r="N1250">
        <v>0.20477382994173476</v>
      </c>
      <c r="O1250" t="s">
        <v>177</v>
      </c>
      <c r="P1250">
        <v>9.3420926081000007E-3</v>
      </c>
      <c r="Q1250" t="s">
        <v>177</v>
      </c>
      <c r="R1250">
        <v>2.9443371884040857E-3</v>
      </c>
      <c r="S1250" t="s">
        <v>178</v>
      </c>
      <c r="T1250">
        <v>2.4572859593008173E-2</v>
      </c>
      <c r="U1250">
        <v>0.24163311933124701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2.9266899999999998</v>
      </c>
      <c r="AB1250">
        <v>2</v>
      </c>
      <c r="AC1250">
        <v>0.01</v>
      </c>
      <c r="AD1250">
        <v>1.099879013308536E-2</v>
      </c>
      <c r="AE1250">
        <v>5400</v>
      </c>
      <c r="AF1250">
        <v>400000</v>
      </c>
      <c r="AG1250">
        <v>33333.333333333336</v>
      </c>
      <c r="AH1250">
        <v>1</v>
      </c>
      <c r="AI1250">
        <v>1</v>
      </c>
      <c r="AJ1250" t="s">
        <v>162</v>
      </c>
      <c r="AK1250" t="s">
        <v>176</v>
      </c>
      <c r="AL1250">
        <v>0</v>
      </c>
      <c r="AM1250" t="s">
        <v>176</v>
      </c>
      <c r="AN1250">
        <v>0</v>
      </c>
    </row>
    <row r="1251" spans="1:40" x14ac:dyDescent="0.15">
      <c r="A1251" s="4" t="str">
        <f>HYPERLINK("https://ibp.a2mac1.com/costing(costing:projects/details/9760/process/12086239)","MANUFACTURING  PROCESS")</f>
        <v>MANUFACTURING  PROCESS</v>
      </c>
      <c r="B1251" t="s">
        <v>4962</v>
      </c>
      <c r="C1251">
        <v>12086239</v>
      </c>
      <c r="D1251">
        <v>8416961</v>
      </c>
      <c r="E1251">
        <v>0.16879521250000001</v>
      </c>
      <c r="F1251">
        <v>0</v>
      </c>
      <c r="G1251">
        <v>0</v>
      </c>
      <c r="H1251">
        <v>1.9752631249999998E-5</v>
      </c>
      <c r="I1251" t="s">
        <v>176</v>
      </c>
      <c r="J1251">
        <v>6.2849281250000003E-3</v>
      </c>
      <c r="K1251">
        <v>0.17509989325625</v>
      </c>
      <c r="L1251">
        <v>8.1787144122335721E-3</v>
      </c>
      <c r="M1251">
        <v>4.9072286473401429E-2</v>
      </c>
      <c r="N1251">
        <v>0.22417217972965142</v>
      </c>
      <c r="O1251" t="s">
        <v>177</v>
      </c>
      <c r="P1251">
        <v>1.0505993595374999E-2</v>
      </c>
      <c r="Q1251" t="s">
        <v>177</v>
      </c>
      <c r="R1251">
        <v>2.9443371884040857E-3</v>
      </c>
      <c r="S1251" t="s">
        <v>178</v>
      </c>
      <c r="T1251">
        <v>2.6900661567558173E-2</v>
      </c>
      <c r="U1251">
        <v>0.26452317208098869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2.9266899999999998</v>
      </c>
      <c r="AB1251">
        <v>2</v>
      </c>
      <c r="AC1251">
        <v>0.01</v>
      </c>
      <c r="AD1251">
        <v>1.099879013308536E-2</v>
      </c>
      <c r="AE1251">
        <v>5400</v>
      </c>
      <c r="AF1251">
        <v>400000</v>
      </c>
      <c r="AG1251">
        <v>33333.333333333336</v>
      </c>
      <c r="AH1251">
        <v>1</v>
      </c>
      <c r="AI1251">
        <v>1</v>
      </c>
      <c r="AJ1251" t="s">
        <v>162</v>
      </c>
      <c r="AK1251" t="s">
        <v>176</v>
      </c>
      <c r="AL1251">
        <v>0</v>
      </c>
      <c r="AM1251" t="s">
        <v>176</v>
      </c>
      <c r="AN1251">
        <v>0</v>
      </c>
    </row>
    <row r="1252" spans="1:40" x14ac:dyDescent="0.15">
      <c r="A1252" s="4" t="str">
        <f>HYPERLINK("https://ibp.a2mac1.com/costing(costing:projects/details/9760/process/12086240)","MANUFACTURING  PROCESS")</f>
        <v>MANUFACTURING  PROCESS</v>
      </c>
      <c r="B1252" t="s">
        <v>4962</v>
      </c>
      <c r="C1252">
        <v>12086240</v>
      </c>
      <c r="D1252">
        <v>8416962</v>
      </c>
      <c r="E1252">
        <v>3.9958643333333335E-2</v>
      </c>
      <c r="F1252">
        <v>0</v>
      </c>
      <c r="G1252">
        <v>0</v>
      </c>
      <c r="H1252">
        <v>4.7518386666666669E-6</v>
      </c>
      <c r="I1252" t="s">
        <v>176</v>
      </c>
      <c r="J1252">
        <v>1.5119486666666667E-3</v>
      </c>
      <c r="K1252">
        <v>4.1475343838666669E-2</v>
      </c>
      <c r="L1252">
        <v>5.2816765115045365E-3</v>
      </c>
      <c r="M1252">
        <v>3.1690059069027221E-2</v>
      </c>
      <c r="N1252">
        <v>7.3165402907693883E-2</v>
      </c>
      <c r="O1252" t="s">
        <v>177</v>
      </c>
      <c r="P1252">
        <v>2.4885206303199999E-3</v>
      </c>
      <c r="Q1252" t="s">
        <v>177</v>
      </c>
      <c r="R1252">
        <v>1.9014035441416333E-3</v>
      </c>
      <c r="S1252" t="s">
        <v>178</v>
      </c>
      <c r="T1252">
        <v>8.7798483489232668E-3</v>
      </c>
      <c r="U1252">
        <v>8.6335175431078784E-2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1.7644599999999999</v>
      </c>
      <c r="AB1252">
        <v>2</v>
      </c>
      <c r="AC1252">
        <v>0.01</v>
      </c>
      <c r="AD1252">
        <v>1.099879013308536E-2</v>
      </c>
      <c r="AE1252">
        <v>5400</v>
      </c>
      <c r="AF1252">
        <v>400000</v>
      </c>
      <c r="AG1252">
        <v>33333.333333333336</v>
      </c>
      <c r="AH1252">
        <v>1</v>
      </c>
      <c r="AI1252">
        <v>1</v>
      </c>
      <c r="AJ1252" t="s">
        <v>162</v>
      </c>
      <c r="AK1252" t="s">
        <v>176</v>
      </c>
      <c r="AL1252">
        <v>0</v>
      </c>
      <c r="AM1252" t="s">
        <v>176</v>
      </c>
      <c r="AN1252">
        <v>0</v>
      </c>
    </row>
    <row r="1253" spans="1:40" x14ac:dyDescent="0.15">
      <c r="A1253" s="4" t="str">
        <f>HYPERLINK("https://ibp.a2mac1.com/costing(costing:projects/details/9760/process/12086241)","MANUFACTURING  PROCESS")</f>
        <v>MANUFACTURING  PROCESS</v>
      </c>
      <c r="B1253" t="s">
        <v>4962</v>
      </c>
      <c r="C1253">
        <v>12086241</v>
      </c>
      <c r="D1253">
        <v>8416963</v>
      </c>
      <c r="E1253">
        <v>5.3529503333333332E-2</v>
      </c>
      <c r="F1253">
        <v>0</v>
      </c>
      <c r="G1253">
        <v>0</v>
      </c>
      <c r="H1253">
        <v>6.3656706666666666E-6</v>
      </c>
      <c r="I1253" t="s">
        <v>176</v>
      </c>
      <c r="J1253">
        <v>2.0254406666666666E-3</v>
      </c>
      <c r="K1253">
        <v>5.5561309670666664E-2</v>
      </c>
      <c r="L1253">
        <v>5.2816765115045365E-3</v>
      </c>
      <c r="M1253">
        <v>3.1690059069027221E-2</v>
      </c>
      <c r="N1253">
        <v>8.7251368739693885E-2</v>
      </c>
      <c r="O1253" t="s">
        <v>177</v>
      </c>
      <c r="P1253">
        <v>3.3336785802399998E-3</v>
      </c>
      <c r="Q1253" t="s">
        <v>177</v>
      </c>
      <c r="R1253">
        <v>1.9014035441416333E-3</v>
      </c>
      <c r="S1253" t="s">
        <v>178</v>
      </c>
      <c r="T1253">
        <v>1.0470164248763266E-2</v>
      </c>
      <c r="U1253">
        <v>0.10295661511283878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1.7644599999999999</v>
      </c>
      <c r="AB1253">
        <v>2</v>
      </c>
      <c r="AC1253">
        <v>0.01</v>
      </c>
      <c r="AD1253">
        <v>1.099879013308536E-2</v>
      </c>
      <c r="AE1253">
        <v>5400</v>
      </c>
      <c r="AF1253">
        <v>400000</v>
      </c>
      <c r="AG1253">
        <v>33333.333333333336</v>
      </c>
      <c r="AH1253">
        <v>1</v>
      </c>
      <c r="AI1253">
        <v>1</v>
      </c>
      <c r="AJ1253" t="s">
        <v>162</v>
      </c>
      <c r="AK1253" t="s">
        <v>176</v>
      </c>
      <c r="AL1253">
        <v>0</v>
      </c>
      <c r="AM1253" t="s">
        <v>176</v>
      </c>
      <c r="AN1253">
        <v>0</v>
      </c>
    </row>
    <row r="1254" spans="1:40" x14ac:dyDescent="0.15">
      <c r="A1254" s="4" t="str">
        <f>HYPERLINK("https://ibp.a2mac1.com/costing(costing:projects/details/9760/process/12086242)","MANUFACTURING  PROCESS")</f>
        <v>MANUFACTURING  PROCESS</v>
      </c>
      <c r="B1254" t="s">
        <v>4962</v>
      </c>
      <c r="C1254">
        <v>12086242</v>
      </c>
      <c r="D1254">
        <v>8416964</v>
      </c>
      <c r="E1254">
        <v>2.3901829999999999E-2</v>
      </c>
      <c r="F1254">
        <v>0</v>
      </c>
      <c r="G1254">
        <v>0</v>
      </c>
      <c r="H1254">
        <v>3.0931780000000001E-6</v>
      </c>
      <c r="I1254" t="s">
        <v>176</v>
      </c>
      <c r="J1254">
        <v>9.8419299999999996E-4</v>
      </c>
      <c r="K1254">
        <v>2.4889116177999999E-2</v>
      </c>
      <c r="L1254">
        <v>3.60065520774138E-3</v>
      </c>
      <c r="M1254">
        <v>2.1603931246448278E-2</v>
      </c>
      <c r="N1254">
        <v>4.6493047424448278E-2</v>
      </c>
      <c r="O1254" t="s">
        <v>177</v>
      </c>
      <c r="P1254">
        <v>1.4933469706799999E-3</v>
      </c>
      <c r="Q1254" t="s">
        <v>177</v>
      </c>
      <c r="R1254">
        <v>1.2962358747868967E-3</v>
      </c>
      <c r="S1254" t="s">
        <v>178</v>
      </c>
      <c r="T1254">
        <v>5.5791656909337933E-3</v>
      </c>
      <c r="U1254">
        <v>5.4861795960848968E-2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1.0900700000000001</v>
      </c>
      <c r="AB1254">
        <v>2</v>
      </c>
      <c r="AC1254">
        <v>0.01</v>
      </c>
      <c r="AD1254">
        <v>1.099879013308536E-2</v>
      </c>
      <c r="AE1254">
        <v>5400</v>
      </c>
      <c r="AF1254">
        <v>400000</v>
      </c>
      <c r="AG1254">
        <v>33333.333333333336</v>
      </c>
      <c r="AH1254">
        <v>1</v>
      </c>
      <c r="AI1254">
        <v>1</v>
      </c>
      <c r="AJ1254" t="s">
        <v>162</v>
      </c>
      <c r="AK1254" t="s">
        <v>176</v>
      </c>
      <c r="AL1254">
        <v>0</v>
      </c>
      <c r="AM1254" t="s">
        <v>176</v>
      </c>
      <c r="AN1254">
        <v>0</v>
      </c>
    </row>
    <row r="1255" spans="1:40" x14ac:dyDescent="0.15">
      <c r="A1255" s="4" t="str">
        <f>HYPERLINK("https://ibp.a2mac1.com/costing(costing:projects/details/9760/process/12086243)","MANUFACTURING  PROCESS")</f>
        <v>MANUFACTURING  PROCESS</v>
      </c>
      <c r="B1255" t="s">
        <v>4962</v>
      </c>
      <c r="C1255">
        <v>12086243</v>
      </c>
      <c r="D1255">
        <v>8416965</v>
      </c>
      <c r="E1255">
        <v>0.51856579000000003</v>
      </c>
      <c r="F1255">
        <v>0</v>
      </c>
      <c r="G1255">
        <v>0</v>
      </c>
      <c r="H1255">
        <v>6.7108514000000001E-5</v>
      </c>
      <c r="I1255" t="s">
        <v>176</v>
      </c>
      <c r="J1255">
        <v>2.1352709000000001E-2</v>
      </c>
      <c r="K1255">
        <v>0.53998560751400004</v>
      </c>
      <c r="L1255">
        <v>1.0313049872942069E-2</v>
      </c>
      <c r="M1255">
        <v>6.1878299237652409E-2</v>
      </c>
      <c r="N1255">
        <v>0.60186390675165247</v>
      </c>
      <c r="O1255" t="s">
        <v>177</v>
      </c>
      <c r="P1255">
        <v>3.2399136450839999E-2</v>
      </c>
      <c r="Q1255" t="s">
        <v>177</v>
      </c>
      <c r="R1255">
        <v>3.7126979542591448E-3</v>
      </c>
      <c r="S1255" t="s">
        <v>178</v>
      </c>
      <c r="T1255">
        <v>7.2223668810198288E-2</v>
      </c>
      <c r="U1255">
        <v>0.71019940996694986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3.78294</v>
      </c>
      <c r="AB1255">
        <v>2</v>
      </c>
      <c r="AC1255">
        <v>0.01</v>
      </c>
      <c r="AD1255">
        <v>1.099879013308536E-2</v>
      </c>
      <c r="AE1255">
        <v>5400</v>
      </c>
      <c r="AF1255">
        <v>400000</v>
      </c>
      <c r="AG1255">
        <v>33333.333333333336</v>
      </c>
      <c r="AH1255">
        <v>1</v>
      </c>
      <c r="AI1255">
        <v>1</v>
      </c>
      <c r="AJ1255" t="s">
        <v>162</v>
      </c>
      <c r="AK1255" t="s">
        <v>176</v>
      </c>
      <c r="AL1255">
        <v>0</v>
      </c>
      <c r="AM1255" t="s">
        <v>176</v>
      </c>
      <c r="AN1255">
        <v>0</v>
      </c>
    </row>
    <row r="1256" spans="1:40" x14ac:dyDescent="0.15">
      <c r="A1256" s="4" t="str">
        <f>HYPERLINK("https://ibp.a2mac1.com/costing(costing:projects/details/9760/process/12086244)","MANUFACTURING  PROCESS")</f>
        <v>MANUFACTURING  PROCESS</v>
      </c>
      <c r="B1256" t="s">
        <v>4962</v>
      </c>
      <c r="C1256">
        <v>12086244</v>
      </c>
      <c r="D1256">
        <v>8416966</v>
      </c>
      <c r="E1256">
        <v>1.149244E-2</v>
      </c>
      <c r="F1256">
        <v>0</v>
      </c>
      <c r="G1256">
        <v>0</v>
      </c>
      <c r="H1256">
        <v>1.34486E-6</v>
      </c>
      <c r="I1256" t="s">
        <v>176</v>
      </c>
      <c r="J1256">
        <v>4.2790999999999999E-4</v>
      </c>
      <c r="K1256">
        <v>1.192169486E-2</v>
      </c>
      <c r="L1256">
        <v>3.60065520774138E-3</v>
      </c>
      <c r="M1256">
        <v>2.1603931246448278E-2</v>
      </c>
      <c r="N1256">
        <v>3.3525626106448277E-2</v>
      </c>
      <c r="O1256" t="s">
        <v>177</v>
      </c>
      <c r="P1256">
        <v>7.1530169160000003E-4</v>
      </c>
      <c r="Q1256" t="s">
        <v>177</v>
      </c>
      <c r="R1256">
        <v>1.2962358747868967E-3</v>
      </c>
      <c r="S1256" t="s">
        <v>178</v>
      </c>
      <c r="T1256">
        <v>4.0230751327737938E-3</v>
      </c>
      <c r="U1256">
        <v>3.9560238805608973E-2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1.0900700000000001</v>
      </c>
      <c r="AB1256">
        <v>2</v>
      </c>
      <c r="AC1256">
        <v>0.01</v>
      </c>
      <c r="AD1256">
        <v>1.099879013308536E-2</v>
      </c>
      <c r="AE1256">
        <v>5400</v>
      </c>
      <c r="AF1256">
        <v>400000</v>
      </c>
      <c r="AG1256">
        <v>33333.333333333336</v>
      </c>
      <c r="AH1256">
        <v>1</v>
      </c>
      <c r="AI1256">
        <v>1</v>
      </c>
      <c r="AJ1256" t="s">
        <v>162</v>
      </c>
      <c r="AK1256" t="s">
        <v>176</v>
      </c>
      <c r="AL1256">
        <v>0</v>
      </c>
      <c r="AM1256" t="s">
        <v>176</v>
      </c>
      <c r="AN1256">
        <v>0</v>
      </c>
    </row>
    <row r="1257" spans="1:40" x14ac:dyDescent="0.15">
      <c r="A1257" s="4" t="str">
        <f>HYPERLINK("https://ibp.a2mac1.com/costing(costing:projects/details/9760/process/12086245)","MANUFACTURING  PROCESS")</f>
        <v>MANUFACTURING  PROCESS</v>
      </c>
      <c r="B1257" t="s">
        <v>4962</v>
      </c>
      <c r="C1257">
        <v>12086245</v>
      </c>
      <c r="D1257">
        <v>8416967</v>
      </c>
      <c r="E1257">
        <v>0.23272191</v>
      </c>
      <c r="F1257">
        <v>0</v>
      </c>
      <c r="G1257">
        <v>0</v>
      </c>
      <c r="H1257">
        <v>2.7233415E-5</v>
      </c>
      <c r="I1257" t="s">
        <v>176</v>
      </c>
      <c r="J1257">
        <v>8.6651774999999993E-3</v>
      </c>
      <c r="K1257">
        <v>0.24141432091500001</v>
      </c>
      <c r="L1257">
        <v>1.0313049872942069E-2</v>
      </c>
      <c r="M1257">
        <v>6.1878299237652409E-2</v>
      </c>
      <c r="N1257">
        <v>0.3032926201526524</v>
      </c>
      <c r="O1257" t="s">
        <v>177</v>
      </c>
      <c r="P1257">
        <v>1.44848592549E-2</v>
      </c>
      <c r="Q1257" t="s">
        <v>177</v>
      </c>
      <c r="R1257">
        <v>3.7126979542591448E-3</v>
      </c>
      <c r="S1257" t="s">
        <v>178</v>
      </c>
      <c r="T1257">
        <v>3.6395114418318289E-2</v>
      </c>
      <c r="U1257">
        <v>0.35788529178012984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3.78294</v>
      </c>
      <c r="AB1257">
        <v>2</v>
      </c>
      <c r="AC1257">
        <v>0.01</v>
      </c>
      <c r="AD1257">
        <v>1.099879013308536E-2</v>
      </c>
      <c r="AE1257">
        <v>5400</v>
      </c>
      <c r="AF1257">
        <v>400000</v>
      </c>
      <c r="AG1257">
        <v>33333.333333333336</v>
      </c>
      <c r="AH1257">
        <v>1</v>
      </c>
      <c r="AI1257">
        <v>1</v>
      </c>
      <c r="AJ1257" t="s">
        <v>162</v>
      </c>
      <c r="AK1257" t="s">
        <v>176</v>
      </c>
      <c r="AL1257">
        <v>0</v>
      </c>
      <c r="AM1257" t="s">
        <v>176</v>
      </c>
      <c r="AN1257">
        <v>0</v>
      </c>
    </row>
    <row r="1258" spans="1:40" x14ac:dyDescent="0.15">
      <c r="A1258" s="4" t="str">
        <f>HYPERLINK("https://ibp.a2mac1.com/costing(costing:projects/details/9760/process/12086246)","MANUFACTURING  PROCESS")</f>
        <v>MANUFACTURING  PROCESS</v>
      </c>
      <c r="B1258" t="s">
        <v>4962</v>
      </c>
      <c r="C1258">
        <v>12086246</v>
      </c>
      <c r="D1258">
        <v>8416968</v>
      </c>
      <c r="E1258">
        <v>1.436555E-2</v>
      </c>
      <c r="F1258">
        <v>0</v>
      </c>
      <c r="G1258">
        <v>0</v>
      </c>
      <c r="H1258">
        <v>1.681075E-6</v>
      </c>
      <c r="I1258" t="s">
        <v>176</v>
      </c>
      <c r="J1258">
        <v>5.3488750000000001E-4</v>
      </c>
      <c r="K1258">
        <v>1.4902118575E-2</v>
      </c>
      <c r="L1258">
        <v>3.60065520774138E-3</v>
      </c>
      <c r="M1258">
        <v>2.1603931246448278E-2</v>
      </c>
      <c r="N1258">
        <v>3.6506049821448276E-2</v>
      </c>
      <c r="O1258" t="s">
        <v>177</v>
      </c>
      <c r="P1258">
        <v>8.9412711449999996E-4</v>
      </c>
      <c r="Q1258" t="s">
        <v>177</v>
      </c>
      <c r="R1258">
        <v>1.2962358747868967E-3</v>
      </c>
      <c r="S1258" t="s">
        <v>178</v>
      </c>
      <c r="T1258">
        <v>4.3807259785737934E-3</v>
      </c>
      <c r="U1258">
        <v>4.3077138789308966E-2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1.0900700000000001</v>
      </c>
      <c r="AB1258">
        <v>2</v>
      </c>
      <c r="AC1258">
        <v>0.01</v>
      </c>
      <c r="AD1258">
        <v>1.099879013308536E-2</v>
      </c>
      <c r="AE1258">
        <v>5400</v>
      </c>
      <c r="AF1258">
        <v>400000</v>
      </c>
      <c r="AG1258">
        <v>33333.333333333336</v>
      </c>
      <c r="AH1258">
        <v>1</v>
      </c>
      <c r="AI1258">
        <v>1</v>
      </c>
      <c r="AJ1258" t="s">
        <v>162</v>
      </c>
      <c r="AK1258" t="s">
        <v>176</v>
      </c>
      <c r="AL1258">
        <v>0</v>
      </c>
      <c r="AM1258" t="s">
        <v>176</v>
      </c>
      <c r="AN1258">
        <v>0</v>
      </c>
    </row>
    <row r="1259" spans="1:40" x14ac:dyDescent="0.15">
      <c r="A1259" s="4" t="str">
        <f>HYPERLINK("https://ibp.a2mac1.com/costing(costing:projects/details/9760/process/12086247)","MANUFACTURING  PROCESS")</f>
        <v>MANUFACTURING  PROCESS</v>
      </c>
      <c r="B1259" t="s">
        <v>4962</v>
      </c>
      <c r="C1259">
        <v>12086247</v>
      </c>
      <c r="D1259">
        <v>8416969</v>
      </c>
      <c r="E1259">
        <v>9.3376074999999992E-3</v>
      </c>
      <c r="F1259">
        <v>0</v>
      </c>
      <c r="G1259">
        <v>0</v>
      </c>
      <c r="H1259">
        <v>1.0926987500000001E-6</v>
      </c>
      <c r="I1259" t="s">
        <v>176</v>
      </c>
      <c r="J1259">
        <v>3.4767687500000002E-4</v>
      </c>
      <c r="K1259">
        <v>9.6863770737500004E-3</v>
      </c>
      <c r="L1259">
        <v>3.60065520774138E-3</v>
      </c>
      <c r="M1259">
        <v>2.1603931246448278E-2</v>
      </c>
      <c r="N1259">
        <v>3.129030832019828E-2</v>
      </c>
      <c r="O1259" t="s">
        <v>177</v>
      </c>
      <c r="P1259">
        <v>5.8118262442499995E-4</v>
      </c>
      <c r="Q1259" t="s">
        <v>177</v>
      </c>
      <c r="R1259">
        <v>1.2962358747868967E-3</v>
      </c>
      <c r="S1259" t="s">
        <v>178</v>
      </c>
      <c r="T1259">
        <v>3.7548369984237934E-3</v>
      </c>
      <c r="U1259">
        <v>3.6922563817833973E-2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1.0900700000000001</v>
      </c>
      <c r="AB1259">
        <v>2</v>
      </c>
      <c r="AC1259">
        <v>0.01</v>
      </c>
      <c r="AD1259">
        <v>1.099879013308536E-2</v>
      </c>
      <c r="AE1259">
        <v>5400</v>
      </c>
      <c r="AF1259">
        <v>400000</v>
      </c>
      <c r="AG1259">
        <v>33333.333333333336</v>
      </c>
      <c r="AH1259">
        <v>1</v>
      </c>
      <c r="AI1259">
        <v>1</v>
      </c>
      <c r="AJ1259" t="s">
        <v>162</v>
      </c>
      <c r="AK1259" t="s">
        <v>176</v>
      </c>
      <c r="AL1259">
        <v>0</v>
      </c>
      <c r="AM1259" t="s">
        <v>176</v>
      </c>
      <c r="AN1259">
        <v>0</v>
      </c>
    </row>
    <row r="1260" spans="1:40" x14ac:dyDescent="0.15">
      <c r="A1260" s="4" t="str">
        <f>HYPERLINK("https://ibp.a2mac1.com/costing(costing:projects/details/9760/process/12086248)","MANUFACTURING  PROCESS")</f>
        <v>MANUFACTURING  PROCESS</v>
      </c>
      <c r="B1260" t="s">
        <v>4962</v>
      </c>
      <c r="C1260">
        <v>12086248</v>
      </c>
      <c r="D1260">
        <v>8416970</v>
      </c>
      <c r="E1260">
        <v>1.5908377153846154</v>
      </c>
      <c r="F1260">
        <v>0</v>
      </c>
      <c r="G1260">
        <v>0</v>
      </c>
      <c r="H1260">
        <v>1.9552195384615385E-4</v>
      </c>
      <c r="I1260" t="s">
        <v>176</v>
      </c>
      <c r="J1260">
        <v>6.221153076923077E-2</v>
      </c>
      <c r="K1260">
        <v>1.6532447681076923</v>
      </c>
      <c r="L1260">
        <v>3.4399371402856635E-2</v>
      </c>
      <c r="M1260">
        <v>0.20639622841713981</v>
      </c>
      <c r="N1260">
        <v>1.8596409965248322</v>
      </c>
      <c r="O1260" t="s">
        <v>177</v>
      </c>
      <c r="P1260">
        <v>9.9194686086461537E-2</v>
      </c>
      <c r="Q1260" t="s">
        <v>177</v>
      </c>
      <c r="R1260">
        <v>1.2383773705028389E-2</v>
      </c>
      <c r="S1260" t="s">
        <v>178</v>
      </c>
      <c r="T1260">
        <v>0.22315691958297987</v>
      </c>
      <c r="U1260">
        <v>2.194376375899302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6.7229299999999999</v>
      </c>
      <c r="AB1260">
        <v>1</v>
      </c>
      <c r="AC1260">
        <v>0.01</v>
      </c>
      <c r="AD1260">
        <v>1.099879013308536E-2</v>
      </c>
      <c r="AE1260">
        <v>5400</v>
      </c>
      <c r="AF1260">
        <v>400000</v>
      </c>
      <c r="AG1260">
        <v>33333.333333333336</v>
      </c>
      <c r="AH1260">
        <v>1</v>
      </c>
      <c r="AI1260">
        <v>1</v>
      </c>
      <c r="AJ1260" t="s">
        <v>162</v>
      </c>
      <c r="AK1260" t="s">
        <v>176</v>
      </c>
      <c r="AL1260">
        <v>0</v>
      </c>
      <c r="AM1260" t="s">
        <v>176</v>
      </c>
      <c r="AN1260">
        <v>0</v>
      </c>
    </row>
    <row r="1261" spans="1:40" x14ac:dyDescent="0.15">
      <c r="A1261" s="4" t="str">
        <f>HYPERLINK("https://ibp.a2mac1.com/costing(costing:projects/details/9760/process/12086249)","MANUFACTURING  PROCESS")</f>
        <v>MANUFACTURING  PROCESS</v>
      </c>
      <c r="B1261" t="s">
        <v>4962</v>
      </c>
      <c r="C1261">
        <v>12086249</v>
      </c>
      <c r="D1261">
        <v>8416971</v>
      </c>
      <c r="E1261">
        <v>6.228676769230769E-2</v>
      </c>
      <c r="F1261">
        <v>0</v>
      </c>
      <c r="G1261">
        <v>0</v>
      </c>
      <c r="H1261">
        <v>7.6553569230769234E-6</v>
      </c>
      <c r="I1261" t="s">
        <v>176</v>
      </c>
      <c r="J1261">
        <v>2.4357953846153848E-3</v>
      </c>
      <c r="K1261">
        <v>6.4730218433846159E-2</v>
      </c>
      <c r="L1261">
        <v>5.2816765115045365E-3</v>
      </c>
      <c r="M1261">
        <v>3.1690059069027221E-2</v>
      </c>
      <c r="N1261">
        <v>9.6420277502873381E-2</v>
      </c>
      <c r="O1261" t="s">
        <v>177</v>
      </c>
      <c r="P1261">
        <v>3.8838131060307691E-3</v>
      </c>
      <c r="Q1261" t="s">
        <v>177</v>
      </c>
      <c r="R1261">
        <v>1.9014035441416333E-3</v>
      </c>
      <c r="S1261" t="s">
        <v>178</v>
      </c>
      <c r="T1261">
        <v>1.1570433300344804E-2</v>
      </c>
      <c r="U1261">
        <v>0.11377592745339059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1.7644599999999999</v>
      </c>
      <c r="AB1261">
        <v>2</v>
      </c>
      <c r="AC1261">
        <v>0.01</v>
      </c>
      <c r="AD1261">
        <v>1.099879013308536E-2</v>
      </c>
      <c r="AE1261">
        <v>5400</v>
      </c>
      <c r="AF1261">
        <v>400000</v>
      </c>
      <c r="AG1261">
        <v>33333.333333333336</v>
      </c>
      <c r="AH1261">
        <v>1</v>
      </c>
      <c r="AI1261">
        <v>1</v>
      </c>
      <c r="AJ1261" t="s">
        <v>162</v>
      </c>
      <c r="AK1261" t="s">
        <v>176</v>
      </c>
      <c r="AL1261">
        <v>0</v>
      </c>
      <c r="AM1261" t="s">
        <v>176</v>
      </c>
      <c r="AN1261">
        <v>0</v>
      </c>
    </row>
    <row r="1262" spans="1:40" x14ac:dyDescent="0.15">
      <c r="A1262" s="4" t="str">
        <f>HYPERLINK("https://ibp.a2mac1.com/costing(costing:projects/details/9760/process/12086250)","MANUFACTURING  PROCESS")</f>
        <v>MANUFACTURING  PROCESS</v>
      </c>
      <c r="B1262" t="s">
        <v>4962</v>
      </c>
      <c r="C1262">
        <v>12086250</v>
      </c>
      <c r="D1262">
        <v>8416972</v>
      </c>
      <c r="E1262">
        <v>0.26463176999999999</v>
      </c>
      <c r="F1262">
        <v>0</v>
      </c>
      <c r="G1262">
        <v>0</v>
      </c>
      <c r="H1262">
        <v>3.1988455714285717E-5</v>
      </c>
      <c r="I1262" t="s">
        <v>176</v>
      </c>
      <c r="J1262">
        <v>1.0178145E-2</v>
      </c>
      <c r="K1262">
        <v>0.2748419034557143</v>
      </c>
      <c r="L1262">
        <v>1.0313049872942069E-2</v>
      </c>
      <c r="M1262">
        <v>6.1878299237652409E-2</v>
      </c>
      <c r="N1262">
        <v>0.33672020269336672</v>
      </c>
      <c r="O1262" t="s">
        <v>177</v>
      </c>
      <c r="P1262">
        <v>1.6490514207342856E-2</v>
      </c>
      <c r="Q1262" t="s">
        <v>177</v>
      </c>
      <c r="R1262">
        <v>3.7126979542591448E-3</v>
      </c>
      <c r="S1262" t="s">
        <v>178</v>
      </c>
      <c r="T1262">
        <v>4.0406424323204002E-2</v>
      </c>
      <c r="U1262">
        <v>0.39732983917817272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3.78294</v>
      </c>
      <c r="AB1262">
        <v>2</v>
      </c>
      <c r="AC1262">
        <v>0.01</v>
      </c>
      <c r="AD1262">
        <v>1.099879013308536E-2</v>
      </c>
      <c r="AE1262">
        <v>5400</v>
      </c>
      <c r="AF1262">
        <v>400000</v>
      </c>
      <c r="AG1262">
        <v>33333.333333333336</v>
      </c>
      <c r="AH1262">
        <v>1</v>
      </c>
      <c r="AI1262">
        <v>1</v>
      </c>
      <c r="AJ1262" t="s">
        <v>162</v>
      </c>
      <c r="AK1262" t="s">
        <v>176</v>
      </c>
      <c r="AL1262">
        <v>0</v>
      </c>
      <c r="AM1262" t="s">
        <v>176</v>
      </c>
      <c r="AN1262">
        <v>0</v>
      </c>
    </row>
    <row r="1263" spans="1:40" x14ac:dyDescent="0.15">
      <c r="A1263" s="4" t="str">
        <f>HYPERLINK("https://ibp.a2mac1.com/costing(costing:projects/details/9760/process/12086251)","MANUFACTURING  PROCESS")</f>
        <v>MANUFACTURING  PROCESS</v>
      </c>
      <c r="B1263" t="s">
        <v>4962</v>
      </c>
      <c r="C1263">
        <v>12086251</v>
      </c>
      <c r="D1263">
        <v>8416973</v>
      </c>
      <c r="E1263">
        <v>0.13118498000000001</v>
      </c>
      <c r="F1263">
        <v>0</v>
      </c>
      <c r="G1263">
        <v>0</v>
      </c>
      <c r="H1263">
        <v>1.5600376000000002E-5</v>
      </c>
      <c r="I1263" t="s">
        <v>176</v>
      </c>
      <c r="J1263">
        <v>4.9637559999999997E-3</v>
      </c>
      <c r="K1263">
        <v>0.13616433637600001</v>
      </c>
      <c r="L1263">
        <v>8.1787144122335721E-3</v>
      </c>
      <c r="M1263">
        <v>4.9072286473401429E-2</v>
      </c>
      <c r="N1263">
        <v>0.18523662284940143</v>
      </c>
      <c r="O1263" t="s">
        <v>177</v>
      </c>
      <c r="P1263">
        <v>8.1698601825599994E-3</v>
      </c>
      <c r="Q1263" t="s">
        <v>177</v>
      </c>
      <c r="R1263">
        <v>2.9443371884040857E-3</v>
      </c>
      <c r="S1263" t="s">
        <v>178</v>
      </c>
      <c r="T1263">
        <v>2.222839474192817E-2</v>
      </c>
      <c r="U1263">
        <v>0.21857921496229368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2.9266899999999998</v>
      </c>
      <c r="AB1263">
        <v>2</v>
      </c>
      <c r="AC1263">
        <v>0.01</v>
      </c>
      <c r="AD1263">
        <v>1.099879013308536E-2</v>
      </c>
      <c r="AE1263">
        <v>5400</v>
      </c>
      <c r="AF1263">
        <v>400000</v>
      </c>
      <c r="AG1263">
        <v>33333.333333333336</v>
      </c>
      <c r="AH1263">
        <v>1</v>
      </c>
      <c r="AI1263">
        <v>1</v>
      </c>
      <c r="AJ1263" t="s">
        <v>162</v>
      </c>
      <c r="AK1263" t="s">
        <v>176</v>
      </c>
      <c r="AL1263">
        <v>0</v>
      </c>
      <c r="AM1263" t="s">
        <v>176</v>
      </c>
      <c r="AN1263">
        <v>0</v>
      </c>
    </row>
    <row r="1264" spans="1:40" x14ac:dyDescent="0.15">
      <c r="A1264" s="4" t="str">
        <f>HYPERLINK("https://ibp.a2mac1.com/costing(costing:projects/details/9760/process/12086252)","MANUFACTURING  PROCESS")</f>
        <v>MANUFACTURING  PROCESS</v>
      </c>
      <c r="B1264" t="s">
        <v>4962</v>
      </c>
      <c r="C1264">
        <v>12086252</v>
      </c>
      <c r="D1264">
        <v>8416974</v>
      </c>
      <c r="E1264">
        <v>0.24837118999999999</v>
      </c>
      <c r="F1264">
        <v>0</v>
      </c>
      <c r="G1264">
        <v>0</v>
      </c>
      <c r="H1264">
        <v>3.2142153999999999E-5</v>
      </c>
      <c r="I1264" t="s">
        <v>176</v>
      </c>
      <c r="J1264">
        <v>1.0227049E-2</v>
      </c>
      <c r="K1264">
        <v>0.258630381154</v>
      </c>
      <c r="L1264">
        <v>9.2624458320901947E-3</v>
      </c>
      <c r="M1264">
        <v>5.5574674992541165E-2</v>
      </c>
      <c r="N1264">
        <v>0.31420505614654115</v>
      </c>
      <c r="O1264" t="s">
        <v>177</v>
      </c>
      <c r="P1264">
        <v>1.551782286924E-2</v>
      </c>
      <c r="Q1264" t="s">
        <v>177</v>
      </c>
      <c r="R1264">
        <v>3.33448049955247E-3</v>
      </c>
      <c r="S1264" t="s">
        <v>178</v>
      </c>
      <c r="T1264">
        <v>3.7704606737584939E-2</v>
      </c>
      <c r="U1264">
        <v>0.37076196625291857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3.3614600000000001</v>
      </c>
      <c r="AB1264">
        <v>2</v>
      </c>
      <c r="AC1264">
        <v>0.01</v>
      </c>
      <c r="AD1264">
        <v>1.099879013308536E-2</v>
      </c>
      <c r="AE1264">
        <v>5400</v>
      </c>
      <c r="AF1264">
        <v>400000</v>
      </c>
      <c r="AG1264">
        <v>33333.333333333336</v>
      </c>
      <c r="AH1264">
        <v>1</v>
      </c>
      <c r="AI1264">
        <v>1</v>
      </c>
      <c r="AJ1264" t="s">
        <v>162</v>
      </c>
      <c r="AK1264" t="s">
        <v>176</v>
      </c>
      <c r="AL1264">
        <v>0</v>
      </c>
      <c r="AM1264" t="s">
        <v>176</v>
      </c>
      <c r="AN1264">
        <v>0</v>
      </c>
    </row>
    <row r="1265" spans="1:40" x14ac:dyDescent="0.15">
      <c r="A1265" s="4" t="str">
        <f>HYPERLINK("https://ibp.a2mac1.com/costing(costing:projects/details/9760/process/12086253)","MANUFACTURING  PROCESS")</f>
        <v>MANUFACTURING  PROCESS</v>
      </c>
      <c r="B1265" t="s">
        <v>4962</v>
      </c>
      <c r="C1265">
        <v>12086253</v>
      </c>
      <c r="D1265">
        <v>8416975</v>
      </c>
      <c r="E1265">
        <v>5.0065470000000001E-2</v>
      </c>
      <c r="F1265">
        <v>0</v>
      </c>
      <c r="G1265">
        <v>0</v>
      </c>
      <c r="H1265">
        <v>6.05187E-6</v>
      </c>
      <c r="I1265" t="s">
        <v>176</v>
      </c>
      <c r="J1265">
        <v>1.925595E-3</v>
      </c>
      <c r="K1265">
        <v>5.1997116869999999E-2</v>
      </c>
      <c r="L1265">
        <v>5.2816765115045365E-3</v>
      </c>
      <c r="M1265">
        <v>3.1690059069027221E-2</v>
      </c>
      <c r="N1265">
        <v>8.368717593902722E-2</v>
      </c>
      <c r="O1265" t="s">
        <v>177</v>
      </c>
      <c r="P1265">
        <v>3.1198270122000001E-3</v>
      </c>
      <c r="Q1265" t="s">
        <v>177</v>
      </c>
      <c r="R1265">
        <v>1.9014035441416333E-3</v>
      </c>
      <c r="S1265" t="s">
        <v>178</v>
      </c>
      <c r="T1265">
        <v>1.0042461112683266E-2</v>
      </c>
      <c r="U1265">
        <v>9.8750867608052115E-2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1.7644599999999999</v>
      </c>
      <c r="AB1265">
        <v>2</v>
      </c>
      <c r="AC1265">
        <v>0.01</v>
      </c>
      <c r="AD1265">
        <v>1.099879013308536E-2</v>
      </c>
      <c r="AE1265">
        <v>5400</v>
      </c>
      <c r="AF1265">
        <v>400000</v>
      </c>
      <c r="AG1265">
        <v>33333.333333333336</v>
      </c>
      <c r="AH1265">
        <v>1</v>
      </c>
      <c r="AI1265">
        <v>1</v>
      </c>
      <c r="AJ1265" t="s">
        <v>162</v>
      </c>
      <c r="AK1265" t="s">
        <v>176</v>
      </c>
      <c r="AL1265">
        <v>0</v>
      </c>
      <c r="AM1265" t="s">
        <v>176</v>
      </c>
      <c r="AN1265">
        <v>0</v>
      </c>
    </row>
    <row r="1266" spans="1:40" x14ac:dyDescent="0.15">
      <c r="A1266" s="4" t="str">
        <f>HYPERLINK("https://ibp.a2mac1.com/costing(costing:projects/details/9760/process/12086254)","MANUFACTURING  PROCESS")</f>
        <v>MANUFACTURING  PROCESS</v>
      </c>
      <c r="B1266" t="s">
        <v>4962</v>
      </c>
      <c r="C1266">
        <v>12086254</v>
      </c>
      <c r="D1266">
        <v>8416976</v>
      </c>
      <c r="E1266">
        <v>5.2775566666666669E-2</v>
      </c>
      <c r="F1266">
        <v>0</v>
      </c>
      <c r="G1266">
        <v>0</v>
      </c>
      <c r="H1266">
        <v>6.2760133333333334E-6</v>
      </c>
      <c r="I1266" t="s">
        <v>176</v>
      </c>
      <c r="J1266">
        <v>1.9969133333333335E-3</v>
      </c>
      <c r="K1266">
        <v>5.4778756013333332E-2</v>
      </c>
      <c r="L1266">
        <v>3.60065520774138E-3</v>
      </c>
      <c r="M1266">
        <v>2.1603931246448278E-2</v>
      </c>
      <c r="N1266">
        <v>7.6382687259781618E-2</v>
      </c>
      <c r="O1266" t="s">
        <v>177</v>
      </c>
      <c r="P1266">
        <v>3.2867253608E-3</v>
      </c>
      <c r="Q1266" t="s">
        <v>177</v>
      </c>
      <c r="R1266">
        <v>1.2962358747868967E-3</v>
      </c>
      <c r="S1266" t="s">
        <v>178</v>
      </c>
      <c r="T1266">
        <v>9.1659224711737926E-3</v>
      </c>
      <c r="U1266">
        <v>9.0131570966542299E-2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1.0900700000000001</v>
      </c>
      <c r="AB1266">
        <v>2</v>
      </c>
      <c r="AC1266">
        <v>0.01</v>
      </c>
      <c r="AD1266">
        <v>1.099879013308536E-2</v>
      </c>
      <c r="AE1266">
        <v>5400</v>
      </c>
      <c r="AF1266">
        <v>400000</v>
      </c>
      <c r="AG1266">
        <v>33333.333333333336</v>
      </c>
      <c r="AH1266">
        <v>1</v>
      </c>
      <c r="AI1266">
        <v>1</v>
      </c>
      <c r="AJ1266" t="s">
        <v>162</v>
      </c>
      <c r="AK1266" t="s">
        <v>176</v>
      </c>
      <c r="AL1266">
        <v>0</v>
      </c>
      <c r="AM1266" t="s">
        <v>176</v>
      </c>
      <c r="AN1266">
        <v>0</v>
      </c>
    </row>
    <row r="1267" spans="1:40" x14ac:dyDescent="0.15">
      <c r="A1267" s="4" t="str">
        <f>HYPERLINK("https://ibp.a2mac1.com/costing(costing:projects/details/9760/process/12086255)","MANUFACTURING  PROCESS")</f>
        <v>MANUFACTURING  PROCESS</v>
      </c>
      <c r="B1267" t="s">
        <v>4962</v>
      </c>
      <c r="C1267">
        <v>12086255</v>
      </c>
      <c r="D1267">
        <v>8416977</v>
      </c>
      <c r="E1267">
        <v>3.3668523076923078E-2</v>
      </c>
      <c r="F1267">
        <v>0</v>
      </c>
      <c r="G1267">
        <v>0</v>
      </c>
      <c r="H1267">
        <v>4.1380307692307692E-6</v>
      </c>
      <c r="I1267" t="s">
        <v>176</v>
      </c>
      <c r="J1267">
        <v>1.3166461538461538E-3</v>
      </c>
      <c r="K1267">
        <v>3.4989307261538462E-2</v>
      </c>
      <c r="L1267">
        <v>3.60065520774138E-3</v>
      </c>
      <c r="M1267">
        <v>2.1603931246448278E-2</v>
      </c>
      <c r="N1267">
        <v>5.659323850798674E-2</v>
      </c>
      <c r="O1267" t="s">
        <v>177</v>
      </c>
      <c r="P1267">
        <v>2.0993584356923077E-3</v>
      </c>
      <c r="Q1267" t="s">
        <v>177</v>
      </c>
      <c r="R1267">
        <v>1.2962358747868967E-3</v>
      </c>
      <c r="S1267" t="s">
        <v>178</v>
      </c>
      <c r="T1267">
        <v>6.7911886209584089E-3</v>
      </c>
      <c r="U1267">
        <v>6.6780021439424353E-2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1.0900700000000001</v>
      </c>
      <c r="AB1267">
        <v>2</v>
      </c>
      <c r="AC1267">
        <v>0.01</v>
      </c>
      <c r="AD1267">
        <v>1.099879013308536E-2</v>
      </c>
      <c r="AE1267">
        <v>5400</v>
      </c>
      <c r="AF1267">
        <v>400000</v>
      </c>
      <c r="AG1267">
        <v>33333.333333333336</v>
      </c>
      <c r="AH1267">
        <v>1</v>
      </c>
      <c r="AI1267">
        <v>1</v>
      </c>
      <c r="AJ1267" t="s">
        <v>162</v>
      </c>
      <c r="AK1267" t="s">
        <v>176</v>
      </c>
      <c r="AL1267">
        <v>0</v>
      </c>
      <c r="AM1267" t="s">
        <v>176</v>
      </c>
      <c r="AN1267">
        <v>0</v>
      </c>
    </row>
    <row r="1268" spans="1:40" x14ac:dyDescent="0.15">
      <c r="A1268" s="4" t="str">
        <f>HYPERLINK("https://ibp.a2mac1.com/costing(costing:projects/details/9760/process/12086256)","MANUFACTURING  PROCESS")</f>
        <v>MANUFACTURING  PROCESS</v>
      </c>
      <c r="B1268" t="s">
        <v>4962</v>
      </c>
      <c r="C1268">
        <v>12086256</v>
      </c>
      <c r="D1268">
        <v>8416978</v>
      </c>
      <c r="E1268">
        <v>3.1787599999999999E-2</v>
      </c>
      <c r="F1268">
        <v>0</v>
      </c>
      <c r="G1268">
        <v>0</v>
      </c>
      <c r="H1268">
        <v>3.8424571428571429E-6</v>
      </c>
      <c r="I1268" t="s">
        <v>176</v>
      </c>
      <c r="J1268">
        <v>1.2225999999999999E-3</v>
      </c>
      <c r="K1268">
        <v>3.3014042457142859E-2</v>
      </c>
      <c r="L1268">
        <v>3.60065520774138E-3</v>
      </c>
      <c r="M1268">
        <v>2.1603931246448278E-2</v>
      </c>
      <c r="N1268">
        <v>5.4617973703591137E-2</v>
      </c>
      <c r="O1268" t="s">
        <v>177</v>
      </c>
      <c r="P1268">
        <v>1.9808425474285712E-3</v>
      </c>
      <c r="Q1268" t="s">
        <v>177</v>
      </c>
      <c r="R1268">
        <v>1.2962358747868967E-3</v>
      </c>
      <c r="S1268" t="s">
        <v>178</v>
      </c>
      <c r="T1268">
        <v>6.554156844430936E-3</v>
      </c>
      <c r="U1268">
        <v>6.4449208970237537E-2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1.0900700000000001</v>
      </c>
      <c r="AB1268">
        <v>2</v>
      </c>
      <c r="AC1268">
        <v>0.01</v>
      </c>
      <c r="AD1268">
        <v>1.099879013308536E-2</v>
      </c>
      <c r="AE1268">
        <v>5400</v>
      </c>
      <c r="AF1268">
        <v>400000</v>
      </c>
      <c r="AG1268">
        <v>33333.333333333336</v>
      </c>
      <c r="AH1268">
        <v>1</v>
      </c>
      <c r="AI1268">
        <v>1</v>
      </c>
      <c r="AJ1268" t="s">
        <v>162</v>
      </c>
      <c r="AK1268" t="s">
        <v>176</v>
      </c>
      <c r="AL1268">
        <v>0</v>
      </c>
      <c r="AM1268" t="s">
        <v>176</v>
      </c>
      <c r="AN1268">
        <v>0</v>
      </c>
    </row>
    <row r="1269" spans="1:40" x14ac:dyDescent="0.15">
      <c r="A1269" s="4" t="str">
        <f>HYPERLINK("https://ibp.a2mac1.com/costing(costing:projects/details/9760/process/12086452)","MANUFACTURING  PROCESS")</f>
        <v>MANUFACTURING  PROCESS</v>
      </c>
      <c r="B1269" t="s">
        <v>4962</v>
      </c>
      <c r="C1269">
        <v>12086452</v>
      </c>
      <c r="D1269">
        <v>8417274</v>
      </c>
      <c r="E1269">
        <v>1.3394805599999999</v>
      </c>
      <c r="F1269">
        <v>0</v>
      </c>
      <c r="G1269">
        <v>0</v>
      </c>
      <c r="H1269">
        <v>1.6743507E-4</v>
      </c>
      <c r="I1269" t="s">
        <v>176</v>
      </c>
      <c r="J1269">
        <v>5.3274795E-2</v>
      </c>
      <c r="K1269">
        <v>1.3929227900700001</v>
      </c>
      <c r="L1269">
        <v>3.4399371402856635E-2</v>
      </c>
      <c r="M1269">
        <v>0.20639622841713981</v>
      </c>
      <c r="N1269">
        <v>1.5993190184871398</v>
      </c>
      <c r="O1269" t="s">
        <v>177</v>
      </c>
      <c r="P1269">
        <v>8.3575367404200004E-2</v>
      </c>
      <c r="Q1269" t="s">
        <v>177</v>
      </c>
      <c r="R1269">
        <v>1.2383773705028389E-2</v>
      </c>
      <c r="S1269" t="s">
        <v>178</v>
      </c>
      <c r="T1269">
        <v>0.19191828221845678</v>
      </c>
      <c r="U1269">
        <v>1.887196441814825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6.7229299999999999</v>
      </c>
      <c r="AB1269">
        <v>1</v>
      </c>
      <c r="AC1269">
        <v>0.01</v>
      </c>
      <c r="AD1269">
        <v>1.099879013308536E-2</v>
      </c>
      <c r="AE1269">
        <v>5400</v>
      </c>
      <c r="AF1269">
        <v>400000</v>
      </c>
      <c r="AG1269">
        <v>33333.333333333336</v>
      </c>
      <c r="AH1269">
        <v>1</v>
      </c>
      <c r="AI1269">
        <v>1</v>
      </c>
      <c r="AJ1269" t="s">
        <v>162</v>
      </c>
      <c r="AK1269" t="s">
        <v>176</v>
      </c>
      <c r="AL1269">
        <v>0</v>
      </c>
      <c r="AM1269" t="s">
        <v>176</v>
      </c>
      <c r="AN1269">
        <v>0</v>
      </c>
    </row>
    <row r="1270" spans="1:40" x14ac:dyDescent="0.15">
      <c r="A1270" s="4" t="str">
        <f>HYPERLINK("https://ibp.a2mac1.com/costing(costing:projects/details/9760/process/12086453)","MANUFACTURING  PROCESS")</f>
        <v>MANUFACTURING  PROCESS</v>
      </c>
      <c r="B1270" t="s">
        <v>4962</v>
      </c>
      <c r="C1270">
        <v>12086453</v>
      </c>
      <c r="D1270">
        <v>8417275</v>
      </c>
      <c r="E1270">
        <v>0.16160891076923076</v>
      </c>
      <c r="F1270">
        <v>0</v>
      </c>
      <c r="G1270">
        <v>0</v>
      </c>
      <c r="H1270">
        <v>1.9862547692307692E-5</v>
      </c>
      <c r="I1270" t="s">
        <v>176</v>
      </c>
      <c r="J1270">
        <v>6.3199015384615385E-3</v>
      </c>
      <c r="K1270">
        <v>0.16794867485538462</v>
      </c>
      <c r="L1270">
        <v>6.0085096525124091E-3</v>
      </c>
      <c r="M1270">
        <v>3.6051057915074451E-2</v>
      </c>
      <c r="N1270">
        <v>0.20399973277045907</v>
      </c>
      <c r="O1270" t="s">
        <v>177</v>
      </c>
      <c r="P1270">
        <v>1.0076920491323077E-2</v>
      </c>
      <c r="Q1270" t="s">
        <v>177</v>
      </c>
      <c r="R1270">
        <v>2.1630634749044671E-3</v>
      </c>
      <c r="S1270" t="s">
        <v>178</v>
      </c>
      <c r="T1270">
        <v>2.4479967932455087E-2</v>
      </c>
      <c r="U1270">
        <v>0.2407196846691417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2.0560499999999999</v>
      </c>
      <c r="AB1270">
        <v>2</v>
      </c>
      <c r="AC1270">
        <v>0.01</v>
      </c>
      <c r="AD1270">
        <v>1.099879013308536E-2</v>
      </c>
      <c r="AE1270">
        <v>5400</v>
      </c>
      <c r="AF1270">
        <v>400000</v>
      </c>
      <c r="AG1270">
        <v>33333.333333333336</v>
      </c>
      <c r="AH1270">
        <v>1</v>
      </c>
      <c r="AI1270">
        <v>1</v>
      </c>
      <c r="AJ1270" t="s">
        <v>162</v>
      </c>
      <c r="AK1270" t="s">
        <v>176</v>
      </c>
      <c r="AL1270">
        <v>0</v>
      </c>
      <c r="AM1270" t="s">
        <v>176</v>
      </c>
      <c r="AN1270">
        <v>0</v>
      </c>
    </row>
    <row r="1271" spans="1:40" x14ac:dyDescent="0.15">
      <c r="A1271" s="4" t="str">
        <f>HYPERLINK("https://ibp.a2mac1.com/costing(costing:projects/details/9760/process/12086454)","MANUFACTURING  PROCESS")</f>
        <v>MANUFACTURING  PROCESS</v>
      </c>
      <c r="B1271" t="s">
        <v>4962</v>
      </c>
      <c r="C1271">
        <v>12086454</v>
      </c>
      <c r="D1271">
        <v>8417276</v>
      </c>
      <c r="E1271">
        <v>19.613799030999999</v>
      </c>
      <c r="F1271">
        <v>0</v>
      </c>
      <c r="G1271">
        <v>0</v>
      </c>
      <c r="H1271">
        <v>2.2952318015000001E-3</v>
      </c>
      <c r="I1271" t="s">
        <v>176</v>
      </c>
      <c r="J1271">
        <v>0.73030102775000005</v>
      </c>
      <c r="K1271">
        <v>20.346395290551499</v>
      </c>
      <c r="L1271">
        <v>2.2441396264527262</v>
      </c>
      <c r="M1271">
        <v>13.464837758716358</v>
      </c>
      <c r="N1271">
        <v>33.811233049267855</v>
      </c>
      <c r="O1271" t="s">
        <v>177</v>
      </c>
      <c r="P1271">
        <v>1.22078371743309</v>
      </c>
      <c r="Q1271" t="s">
        <v>177</v>
      </c>
      <c r="R1271">
        <v>0.80789026552298149</v>
      </c>
      <c r="S1271" t="s">
        <v>178</v>
      </c>
      <c r="T1271">
        <v>4.0573479659121432</v>
      </c>
      <c r="U1271">
        <v>39.89725499813607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449.97332999999998</v>
      </c>
      <c r="AB1271">
        <v>1</v>
      </c>
      <c r="AC1271">
        <v>0.01</v>
      </c>
      <c r="AD1271">
        <v>1.099879013308536E-2</v>
      </c>
      <c r="AE1271">
        <v>5400</v>
      </c>
      <c r="AF1271">
        <v>400000</v>
      </c>
      <c r="AG1271">
        <v>33333.333333333336</v>
      </c>
      <c r="AH1271">
        <v>1</v>
      </c>
      <c r="AI1271">
        <v>1</v>
      </c>
      <c r="AJ1271" t="s">
        <v>162</v>
      </c>
      <c r="AK1271" t="s">
        <v>176</v>
      </c>
      <c r="AL1271">
        <v>0</v>
      </c>
      <c r="AM1271" t="s">
        <v>176</v>
      </c>
      <c r="AN1271">
        <v>0</v>
      </c>
    </row>
    <row r="1272" spans="1:40" x14ac:dyDescent="0.15">
      <c r="A1272" s="4" t="str">
        <f>HYPERLINK("https://ibp.a2mac1.com/costing(costing:projects/details/9760/process/12086257)","MANUFACTURING  PROCESS")</f>
        <v>MANUFACTURING  PROCESS</v>
      </c>
      <c r="B1272" t="s">
        <v>4962</v>
      </c>
      <c r="C1272">
        <v>12086257</v>
      </c>
      <c r="D1272">
        <v>8416981</v>
      </c>
      <c r="E1272">
        <v>6.0316384259999998</v>
      </c>
      <c r="F1272">
        <v>0</v>
      </c>
      <c r="G1272">
        <v>0</v>
      </c>
      <c r="H1272">
        <v>7.6702916400000001E-4</v>
      </c>
      <c r="I1272" t="s">
        <v>176</v>
      </c>
      <c r="J1272">
        <v>0.244054734</v>
      </c>
      <c r="K1272">
        <v>6.2764601891640002</v>
      </c>
      <c r="L1272">
        <v>5.3390781806786566E-2</v>
      </c>
      <c r="M1272">
        <v>0.32034469084071937</v>
      </c>
      <c r="N1272">
        <v>6.5968048800047194</v>
      </c>
      <c r="O1272" t="s">
        <v>177</v>
      </c>
      <c r="P1272">
        <v>0.37658761134983998</v>
      </c>
      <c r="Q1272" t="s">
        <v>177</v>
      </c>
      <c r="R1272">
        <v>1.9220681450443162E-2</v>
      </c>
      <c r="S1272" t="s">
        <v>178</v>
      </c>
      <c r="T1272">
        <v>0.79161658560056636</v>
      </c>
      <c r="U1272">
        <v>7.7842297584055693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21.064810000000001</v>
      </c>
      <c r="AB1272">
        <v>2</v>
      </c>
      <c r="AC1272">
        <v>0.01</v>
      </c>
      <c r="AD1272">
        <v>1.099879013308536E-2</v>
      </c>
      <c r="AE1272">
        <v>5400</v>
      </c>
      <c r="AF1272">
        <v>400000</v>
      </c>
      <c r="AG1272">
        <v>33333.333333333336</v>
      </c>
      <c r="AH1272">
        <v>1</v>
      </c>
      <c r="AI1272">
        <v>1</v>
      </c>
      <c r="AJ1272" t="s">
        <v>162</v>
      </c>
      <c r="AK1272" t="s">
        <v>176</v>
      </c>
      <c r="AL1272">
        <v>0</v>
      </c>
      <c r="AM1272" t="s">
        <v>176</v>
      </c>
      <c r="AN1272">
        <v>0</v>
      </c>
    </row>
    <row r="1273" spans="1:40" x14ac:dyDescent="0.15">
      <c r="A1273" s="4" t="str">
        <f>HYPERLINK("https://ibp.a2mac1.com/costing(costing:projects/details/9760/process/12086258)","MANUFACTURING  PROCESS")</f>
        <v>MANUFACTURING  PROCESS</v>
      </c>
      <c r="B1273" t="s">
        <v>4962</v>
      </c>
      <c r="C1273">
        <v>12086258</v>
      </c>
      <c r="D1273">
        <v>8416982</v>
      </c>
      <c r="E1273">
        <v>2.4628524630769233</v>
      </c>
      <c r="F1273">
        <v>0</v>
      </c>
      <c r="G1273">
        <v>0</v>
      </c>
      <c r="H1273">
        <v>3.0269695076923079E-4</v>
      </c>
      <c r="I1273" t="s">
        <v>176</v>
      </c>
      <c r="J1273">
        <v>9.6312666153846149E-2</v>
      </c>
      <c r="K1273">
        <v>2.5594678261815385</v>
      </c>
      <c r="L1273">
        <v>6.136291422980665E-2</v>
      </c>
      <c r="M1273">
        <v>0.36817748537883993</v>
      </c>
      <c r="N1273">
        <v>2.9276453115603784</v>
      </c>
      <c r="O1273" t="s">
        <v>177</v>
      </c>
      <c r="P1273">
        <v>0.15356806957089231</v>
      </c>
      <c r="Q1273" t="s">
        <v>177</v>
      </c>
      <c r="R1273">
        <v>2.2090649122730396E-2</v>
      </c>
      <c r="S1273" t="s">
        <v>178</v>
      </c>
      <c r="T1273">
        <v>0.35131743738724541</v>
      </c>
      <c r="U1273">
        <v>3.4546214676412466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12.13153</v>
      </c>
      <c r="AB1273">
        <v>1</v>
      </c>
      <c r="AC1273">
        <v>0.01</v>
      </c>
      <c r="AD1273">
        <v>1.099879013308536E-2</v>
      </c>
      <c r="AE1273">
        <v>5400</v>
      </c>
      <c r="AF1273">
        <v>400000</v>
      </c>
      <c r="AG1273">
        <v>33333.333333333336</v>
      </c>
      <c r="AH1273">
        <v>1</v>
      </c>
      <c r="AI1273">
        <v>1</v>
      </c>
      <c r="AJ1273" t="s">
        <v>162</v>
      </c>
      <c r="AK1273" t="s">
        <v>176</v>
      </c>
      <c r="AL1273">
        <v>0</v>
      </c>
      <c r="AM1273" t="s">
        <v>176</v>
      </c>
      <c r="AN1273">
        <v>0</v>
      </c>
    </row>
    <row r="1274" spans="1:40" x14ac:dyDescent="0.15">
      <c r="A1274" s="4" t="str">
        <f>HYPERLINK("https://ibp.a2mac1.com/costing(costing:projects/details/9760/process/12086259)","MANUFACTURING  PROCESS")</f>
        <v>MANUFACTURING  PROCESS</v>
      </c>
      <c r="B1274" t="s">
        <v>4962</v>
      </c>
      <c r="C1274">
        <v>12086259</v>
      </c>
      <c r="D1274">
        <v>8416983</v>
      </c>
      <c r="E1274">
        <v>1.3097055476923076</v>
      </c>
      <c r="F1274">
        <v>0</v>
      </c>
      <c r="G1274">
        <v>0</v>
      </c>
      <c r="H1274">
        <v>1.6096939692307694E-4</v>
      </c>
      <c r="I1274" t="s">
        <v>176</v>
      </c>
      <c r="J1274">
        <v>5.1217535384615383E-2</v>
      </c>
      <c r="K1274">
        <v>1.3610840524738461</v>
      </c>
      <c r="L1274">
        <v>3.860173771317308E-2</v>
      </c>
      <c r="M1274">
        <v>0.23161042627903847</v>
      </c>
      <c r="N1274">
        <v>1.5926944787528847</v>
      </c>
      <c r="O1274" t="s">
        <v>177</v>
      </c>
      <c r="P1274">
        <v>8.1665043148430774E-2</v>
      </c>
      <c r="Q1274" t="s">
        <v>177</v>
      </c>
      <c r="R1274">
        <v>1.3896625576742308E-2</v>
      </c>
      <c r="S1274" t="s">
        <v>178</v>
      </c>
      <c r="T1274">
        <v>0.19112333745034615</v>
      </c>
      <c r="U1274">
        <v>1.8793794849284038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7.5658799999999999</v>
      </c>
      <c r="AB1274">
        <v>1</v>
      </c>
      <c r="AC1274">
        <v>0.01</v>
      </c>
      <c r="AD1274">
        <v>1.099879013308536E-2</v>
      </c>
      <c r="AE1274">
        <v>5400</v>
      </c>
      <c r="AF1274">
        <v>400000</v>
      </c>
      <c r="AG1274">
        <v>33333.333333333336</v>
      </c>
      <c r="AH1274">
        <v>1</v>
      </c>
      <c r="AI1274">
        <v>1</v>
      </c>
      <c r="AJ1274" t="s">
        <v>162</v>
      </c>
      <c r="AK1274" t="s">
        <v>176</v>
      </c>
      <c r="AL1274">
        <v>0</v>
      </c>
      <c r="AM1274" t="s">
        <v>176</v>
      </c>
      <c r="AN1274">
        <v>0</v>
      </c>
    </row>
    <row r="1275" spans="1:40" x14ac:dyDescent="0.15">
      <c r="A1275" s="4" t="str">
        <f>HYPERLINK("https://ibp.a2mac1.com/costing(costing:projects/details/9760/process/12086260)","MANUFACTURING  PROCESS")</f>
        <v>MANUFACTURING  PROCESS</v>
      </c>
      <c r="B1275" t="s">
        <v>4962</v>
      </c>
      <c r="C1275">
        <v>12086260</v>
      </c>
      <c r="D1275">
        <v>8416984</v>
      </c>
      <c r="E1275">
        <v>0.940943525</v>
      </c>
      <c r="F1275">
        <v>0</v>
      </c>
      <c r="G1275">
        <v>0</v>
      </c>
      <c r="H1275">
        <v>1.4014052500000001E-4</v>
      </c>
      <c r="I1275" t="s">
        <v>176</v>
      </c>
      <c r="J1275">
        <v>3.5035131249999997E-2</v>
      </c>
      <c r="K1275">
        <v>0.97611879677500002</v>
      </c>
      <c r="L1275">
        <v>3.9486409451175458E-2</v>
      </c>
      <c r="M1275">
        <v>0.23691845670705275</v>
      </c>
      <c r="N1275">
        <v>1.2130372534820528</v>
      </c>
      <c r="O1275" t="s">
        <v>177</v>
      </c>
      <c r="P1275">
        <v>5.8567127806500002E-2</v>
      </c>
      <c r="Q1275" t="s">
        <v>177</v>
      </c>
      <c r="R1275">
        <v>1.4215107402423165E-2</v>
      </c>
      <c r="S1275" t="s">
        <v>178</v>
      </c>
      <c r="T1275">
        <v>0.14556447041784634</v>
      </c>
      <c r="U1275">
        <v>1.4313839591088222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7.5658799999999999</v>
      </c>
      <c r="AB1275">
        <v>1</v>
      </c>
      <c r="AC1275">
        <v>0.01</v>
      </c>
      <c r="AD1275">
        <v>1.3998040274361589E-2</v>
      </c>
      <c r="AE1275">
        <v>5400</v>
      </c>
      <c r="AF1275">
        <v>200000</v>
      </c>
      <c r="AG1275">
        <v>16666.666666666668</v>
      </c>
      <c r="AH1275">
        <v>1</v>
      </c>
      <c r="AI1275">
        <v>1</v>
      </c>
      <c r="AJ1275" t="s">
        <v>162</v>
      </c>
      <c r="AK1275" t="s">
        <v>176</v>
      </c>
      <c r="AL1275">
        <v>0</v>
      </c>
      <c r="AM1275" t="s">
        <v>176</v>
      </c>
      <c r="AN1275">
        <v>0</v>
      </c>
    </row>
    <row r="1276" spans="1:40" x14ac:dyDescent="0.15">
      <c r="A1276" s="4" t="str">
        <f>HYPERLINK("https://ibp.a2mac1.com/costing(costing:projects/details/9760/process/12086261)","MANUFACTURING  PROCESS")</f>
        <v>MANUFACTURING  PROCESS</v>
      </c>
      <c r="B1276" t="s">
        <v>4962</v>
      </c>
      <c r="C1276">
        <v>12086261</v>
      </c>
      <c r="D1276">
        <v>8416985</v>
      </c>
      <c r="E1276">
        <v>4.0321022720000004</v>
      </c>
      <c r="F1276">
        <v>0</v>
      </c>
      <c r="G1276">
        <v>0</v>
      </c>
      <c r="H1276">
        <v>5.0401278399999998E-4</v>
      </c>
      <c r="I1276" t="s">
        <v>176</v>
      </c>
      <c r="J1276">
        <v>0.160367704</v>
      </c>
      <c r="K1276">
        <v>4.1929739887839999</v>
      </c>
      <c r="L1276">
        <v>5.3390781806786566E-2</v>
      </c>
      <c r="M1276">
        <v>0.32034469084071937</v>
      </c>
      <c r="N1276">
        <v>4.5133186796247191</v>
      </c>
      <c r="O1276" t="s">
        <v>177</v>
      </c>
      <c r="P1276">
        <v>0.25157843932703999</v>
      </c>
      <c r="Q1276" t="s">
        <v>177</v>
      </c>
      <c r="R1276">
        <v>1.9220681450443162E-2</v>
      </c>
      <c r="S1276" t="s">
        <v>178</v>
      </c>
      <c r="T1276">
        <v>0.54159824155496628</v>
      </c>
      <c r="U1276">
        <v>5.3257160419571692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21.064810000000001</v>
      </c>
      <c r="AB1276">
        <v>2</v>
      </c>
      <c r="AC1276">
        <v>0.01</v>
      </c>
      <c r="AD1276">
        <v>1.099879013308536E-2</v>
      </c>
      <c r="AE1276">
        <v>5400</v>
      </c>
      <c r="AF1276">
        <v>400000</v>
      </c>
      <c r="AG1276">
        <v>33333.333333333336</v>
      </c>
      <c r="AH1276">
        <v>1</v>
      </c>
      <c r="AI1276">
        <v>1</v>
      </c>
      <c r="AJ1276" t="s">
        <v>162</v>
      </c>
      <c r="AK1276" t="s">
        <v>176</v>
      </c>
      <c r="AL1276">
        <v>0</v>
      </c>
      <c r="AM1276" t="s">
        <v>176</v>
      </c>
      <c r="AN1276">
        <v>0</v>
      </c>
    </row>
    <row r="1277" spans="1:40" x14ac:dyDescent="0.15">
      <c r="A1277" s="4" t="str">
        <f>HYPERLINK("https://ibp.a2mac1.com/costing(costing:projects/details/9760/process/12086262)","MANUFACTURING  PROCESS")</f>
        <v>MANUFACTURING  PROCESS</v>
      </c>
      <c r="B1277" t="s">
        <v>4962</v>
      </c>
      <c r="C1277">
        <v>12086262</v>
      </c>
      <c r="D1277">
        <v>8416986</v>
      </c>
      <c r="E1277">
        <v>5.0860160000000001E-2</v>
      </c>
      <c r="F1277">
        <v>0</v>
      </c>
      <c r="G1277">
        <v>0</v>
      </c>
      <c r="H1277">
        <v>6.1479314285714289E-6</v>
      </c>
      <c r="I1277" t="s">
        <v>176</v>
      </c>
      <c r="J1277">
        <v>1.9561600000000002E-3</v>
      </c>
      <c r="K1277">
        <v>5.2822467931428571E-2</v>
      </c>
      <c r="L1277">
        <v>5.2816765115045365E-3</v>
      </c>
      <c r="M1277">
        <v>3.1690059069027221E-2</v>
      </c>
      <c r="N1277">
        <v>8.4512527000455792E-2</v>
      </c>
      <c r="O1277" t="s">
        <v>177</v>
      </c>
      <c r="P1277">
        <v>3.1693480758857142E-3</v>
      </c>
      <c r="Q1277" t="s">
        <v>177</v>
      </c>
      <c r="R1277">
        <v>1.9014035441416333E-3</v>
      </c>
      <c r="S1277" t="s">
        <v>178</v>
      </c>
      <c r="T1277">
        <v>1.0141503240054695E-2</v>
      </c>
      <c r="U1277">
        <v>9.9724781860537834E-2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1.7644599999999999</v>
      </c>
      <c r="AB1277">
        <v>2</v>
      </c>
      <c r="AC1277">
        <v>0.01</v>
      </c>
      <c r="AD1277">
        <v>1.099879013308536E-2</v>
      </c>
      <c r="AE1277">
        <v>5400</v>
      </c>
      <c r="AF1277">
        <v>400000</v>
      </c>
      <c r="AG1277">
        <v>33333.333333333336</v>
      </c>
      <c r="AH1277">
        <v>1</v>
      </c>
      <c r="AI1277">
        <v>1</v>
      </c>
      <c r="AJ1277" t="s">
        <v>162</v>
      </c>
      <c r="AK1277" t="s">
        <v>176</v>
      </c>
      <c r="AL1277">
        <v>0</v>
      </c>
      <c r="AM1277" t="s">
        <v>176</v>
      </c>
      <c r="AN1277">
        <v>0</v>
      </c>
    </row>
    <row r="1278" spans="1:40" x14ac:dyDescent="0.15">
      <c r="A1278" s="4" t="str">
        <f>HYPERLINK("https://ibp.a2mac1.com/costing(costing:projects/details/9760/process/12086263)","MANUFACTURING  PROCESS")</f>
        <v>MANUFACTURING  PROCESS</v>
      </c>
      <c r="B1278" t="s">
        <v>4962</v>
      </c>
      <c r="C1278">
        <v>12086263</v>
      </c>
      <c r="D1278">
        <v>8416987</v>
      </c>
      <c r="E1278">
        <v>5.3244229999999997E-2</v>
      </c>
      <c r="F1278">
        <v>0</v>
      </c>
      <c r="G1278">
        <v>0</v>
      </c>
      <c r="H1278">
        <v>6.4361157142857145E-6</v>
      </c>
      <c r="I1278" t="s">
        <v>176</v>
      </c>
      <c r="J1278">
        <v>2.0478549999999999E-3</v>
      </c>
      <c r="K1278">
        <v>5.5298521115714289E-2</v>
      </c>
      <c r="L1278">
        <v>5.2816765115045365E-3</v>
      </c>
      <c r="M1278">
        <v>3.1690059069027221E-2</v>
      </c>
      <c r="N1278">
        <v>8.698858018474151E-2</v>
      </c>
      <c r="O1278" t="s">
        <v>177</v>
      </c>
      <c r="P1278">
        <v>3.3179112669428574E-3</v>
      </c>
      <c r="Q1278" t="s">
        <v>177</v>
      </c>
      <c r="R1278">
        <v>1.9014035441416333E-3</v>
      </c>
      <c r="S1278" t="s">
        <v>178</v>
      </c>
      <c r="T1278">
        <v>1.0438629622168981E-2</v>
      </c>
      <c r="U1278">
        <v>0.10264652461799498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1.7644599999999999</v>
      </c>
      <c r="AB1278">
        <v>2</v>
      </c>
      <c r="AC1278">
        <v>0.01</v>
      </c>
      <c r="AD1278">
        <v>1.099879013308536E-2</v>
      </c>
      <c r="AE1278">
        <v>5400</v>
      </c>
      <c r="AF1278">
        <v>400000</v>
      </c>
      <c r="AG1278">
        <v>33333.333333333336</v>
      </c>
      <c r="AH1278">
        <v>1</v>
      </c>
      <c r="AI1278">
        <v>1</v>
      </c>
      <c r="AJ1278" t="s">
        <v>162</v>
      </c>
      <c r="AK1278" t="s">
        <v>176</v>
      </c>
      <c r="AL1278">
        <v>0</v>
      </c>
      <c r="AM1278" t="s">
        <v>176</v>
      </c>
      <c r="AN1278">
        <v>0</v>
      </c>
    </row>
    <row r="1279" spans="1:40" x14ac:dyDescent="0.15">
      <c r="A1279" s="4" t="str">
        <f>HYPERLINK("https://ibp.a2mac1.com/costing(costing:projects/details/9760/process/12086264)","MANUFACTURING  PROCESS")</f>
        <v>MANUFACTURING  PROCESS</v>
      </c>
      <c r="B1279" t="s">
        <v>4962</v>
      </c>
      <c r="C1279">
        <v>12086264</v>
      </c>
      <c r="D1279">
        <v>8416988</v>
      </c>
      <c r="E1279">
        <v>0.26312389666666669</v>
      </c>
      <c r="F1279">
        <v>0</v>
      </c>
      <c r="G1279">
        <v>0</v>
      </c>
      <c r="H1279">
        <v>3.1290409333333336E-5</v>
      </c>
      <c r="I1279" t="s">
        <v>176</v>
      </c>
      <c r="J1279">
        <v>9.956039333333333E-3</v>
      </c>
      <c r="K1279">
        <v>0.27311122640933333</v>
      </c>
      <c r="L1279">
        <v>8.1787144122335721E-3</v>
      </c>
      <c r="M1279">
        <v>4.9072286473401429E-2</v>
      </c>
      <c r="N1279">
        <v>0.32218351288273478</v>
      </c>
      <c r="O1279" t="s">
        <v>177</v>
      </c>
      <c r="P1279">
        <v>1.6386673584559999E-2</v>
      </c>
      <c r="Q1279" t="s">
        <v>177</v>
      </c>
      <c r="R1279">
        <v>2.9443371884040857E-3</v>
      </c>
      <c r="S1279" t="s">
        <v>178</v>
      </c>
      <c r="T1279">
        <v>3.8662021545928169E-2</v>
      </c>
      <c r="U1279">
        <v>0.38017654520162703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2.9266899999999998</v>
      </c>
      <c r="AB1279">
        <v>2</v>
      </c>
      <c r="AC1279">
        <v>0.01</v>
      </c>
      <c r="AD1279">
        <v>1.099879013308536E-2</v>
      </c>
      <c r="AE1279">
        <v>5400</v>
      </c>
      <c r="AF1279">
        <v>400000</v>
      </c>
      <c r="AG1279">
        <v>33333.333333333336</v>
      </c>
      <c r="AH1279">
        <v>1</v>
      </c>
      <c r="AI1279">
        <v>1</v>
      </c>
      <c r="AJ1279" t="s">
        <v>162</v>
      </c>
      <c r="AK1279" t="s">
        <v>176</v>
      </c>
      <c r="AL1279">
        <v>0</v>
      </c>
      <c r="AM1279" t="s">
        <v>176</v>
      </c>
      <c r="AN1279">
        <v>0</v>
      </c>
    </row>
    <row r="1280" spans="1:40" x14ac:dyDescent="0.15">
      <c r="A1280" s="4" t="str">
        <f>HYPERLINK("https://ibp.a2mac1.com/costing(costing:projects/details/9760/process/12086265)","MANUFACTURING  PROCESS")</f>
        <v>MANUFACTURING  PROCESS</v>
      </c>
      <c r="B1280" t="s">
        <v>4962</v>
      </c>
      <c r="C1280">
        <v>12086265</v>
      </c>
      <c r="D1280">
        <v>8416989</v>
      </c>
      <c r="E1280">
        <v>0.2045362776923077</v>
      </c>
      <c r="F1280">
        <v>0</v>
      </c>
      <c r="G1280">
        <v>0</v>
      </c>
      <c r="H1280">
        <v>2.5138536923076924E-5</v>
      </c>
      <c r="I1280" t="s">
        <v>176</v>
      </c>
      <c r="J1280">
        <v>7.9986253846153852E-3</v>
      </c>
      <c r="K1280">
        <v>0.21256004161384615</v>
      </c>
      <c r="L1280">
        <v>8.1787144122335721E-3</v>
      </c>
      <c r="M1280">
        <v>4.9072286473401429E-2</v>
      </c>
      <c r="N1280">
        <v>0.26163232808724757</v>
      </c>
      <c r="O1280" t="s">
        <v>177</v>
      </c>
      <c r="P1280">
        <v>1.2753602496830769E-2</v>
      </c>
      <c r="Q1280" t="s">
        <v>177</v>
      </c>
      <c r="R1280">
        <v>2.9443371884040857E-3</v>
      </c>
      <c r="S1280" t="s">
        <v>178</v>
      </c>
      <c r="T1280">
        <v>3.1395879370469712E-2</v>
      </c>
      <c r="U1280">
        <v>0.30872614714295216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2.9266899999999998</v>
      </c>
      <c r="AB1280">
        <v>2</v>
      </c>
      <c r="AC1280">
        <v>0.01</v>
      </c>
      <c r="AD1280">
        <v>1.099879013308536E-2</v>
      </c>
      <c r="AE1280">
        <v>5400</v>
      </c>
      <c r="AF1280">
        <v>400000</v>
      </c>
      <c r="AG1280">
        <v>33333.333333333336</v>
      </c>
      <c r="AH1280">
        <v>1</v>
      </c>
      <c r="AI1280">
        <v>1</v>
      </c>
      <c r="AJ1280" t="s">
        <v>162</v>
      </c>
      <c r="AK1280" t="s">
        <v>176</v>
      </c>
      <c r="AL1280">
        <v>0</v>
      </c>
      <c r="AM1280" t="s">
        <v>176</v>
      </c>
      <c r="AN1280">
        <v>0</v>
      </c>
    </row>
    <row r="1281" spans="1:40" x14ac:dyDescent="0.15">
      <c r="A1281" s="4" t="str">
        <f>HYPERLINK("https://ibp.a2mac1.com/costing(costing:projects/details/9760/process/12086266)","MANUFACTURING  PROCESS")</f>
        <v>MANUFACTURING  PROCESS</v>
      </c>
      <c r="B1281" t="s">
        <v>4962</v>
      </c>
      <c r="C1281">
        <v>12086266</v>
      </c>
      <c r="D1281">
        <v>8416990</v>
      </c>
      <c r="E1281">
        <v>4.674407333333333E-2</v>
      </c>
      <c r="F1281">
        <v>0</v>
      </c>
      <c r="G1281">
        <v>0</v>
      </c>
      <c r="H1281">
        <v>5.5587546666666663E-6</v>
      </c>
      <c r="I1281" t="s">
        <v>176</v>
      </c>
      <c r="J1281">
        <v>1.7686946666666667E-3</v>
      </c>
      <c r="K1281">
        <v>4.851832675466667E-2</v>
      </c>
      <c r="L1281">
        <v>5.2816765115045365E-3</v>
      </c>
      <c r="M1281">
        <v>3.1690059069027221E-2</v>
      </c>
      <c r="N1281">
        <v>8.0208385823693884E-2</v>
      </c>
      <c r="O1281" t="s">
        <v>177</v>
      </c>
      <c r="P1281">
        <v>2.9110996052800001E-3</v>
      </c>
      <c r="Q1281" t="s">
        <v>177</v>
      </c>
      <c r="R1281">
        <v>1.9014035441416333E-3</v>
      </c>
      <c r="S1281" t="s">
        <v>178</v>
      </c>
      <c r="T1281">
        <v>9.6250062988432663E-3</v>
      </c>
      <c r="U1281">
        <v>9.4645895271958783E-2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1.7644599999999999</v>
      </c>
      <c r="AB1281">
        <v>2</v>
      </c>
      <c r="AC1281">
        <v>0.01</v>
      </c>
      <c r="AD1281">
        <v>1.099879013308536E-2</v>
      </c>
      <c r="AE1281">
        <v>5400</v>
      </c>
      <c r="AF1281">
        <v>400000</v>
      </c>
      <c r="AG1281">
        <v>33333.333333333336</v>
      </c>
      <c r="AH1281">
        <v>1</v>
      </c>
      <c r="AI1281">
        <v>1</v>
      </c>
      <c r="AJ1281" t="s">
        <v>162</v>
      </c>
      <c r="AK1281" t="s">
        <v>176</v>
      </c>
      <c r="AL1281">
        <v>0</v>
      </c>
      <c r="AM1281" t="s">
        <v>176</v>
      </c>
      <c r="AN1281">
        <v>0</v>
      </c>
    </row>
    <row r="1282" spans="1:40" x14ac:dyDescent="0.15">
      <c r="A1282" s="4" t="str">
        <f>HYPERLINK("https://ibp.a2mac1.com/costing(costing:projects/details/9760/process/12086267)","MANUFACTURING  PROCESS")</f>
        <v>MANUFACTURING  PROCESS</v>
      </c>
      <c r="B1282" t="s">
        <v>4962</v>
      </c>
      <c r="C1282">
        <v>12086267</v>
      </c>
      <c r="D1282">
        <v>8416991</v>
      </c>
      <c r="E1282">
        <v>0.51283994666666666</v>
      </c>
      <c r="F1282">
        <v>0</v>
      </c>
      <c r="G1282">
        <v>0</v>
      </c>
      <c r="H1282">
        <v>6.4104993333333334E-5</v>
      </c>
      <c r="I1282" t="s">
        <v>176</v>
      </c>
      <c r="J1282">
        <v>2.0397043333333333E-2</v>
      </c>
      <c r="K1282">
        <v>0.53330109499333334</v>
      </c>
      <c r="L1282">
        <v>1.0313049872942069E-2</v>
      </c>
      <c r="M1282">
        <v>6.1878299237652409E-2</v>
      </c>
      <c r="N1282">
        <v>0.59517939423098576</v>
      </c>
      <c r="O1282" t="s">
        <v>177</v>
      </c>
      <c r="P1282">
        <v>3.1998065699600002E-2</v>
      </c>
      <c r="Q1282" t="s">
        <v>177</v>
      </c>
      <c r="R1282">
        <v>3.7126979542591448E-3</v>
      </c>
      <c r="S1282" t="s">
        <v>178</v>
      </c>
      <c r="T1282">
        <v>7.1421527307718294E-2</v>
      </c>
      <c r="U1282">
        <v>0.70231168519256315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3.78294</v>
      </c>
      <c r="AB1282">
        <v>2</v>
      </c>
      <c r="AC1282">
        <v>0.01</v>
      </c>
      <c r="AD1282">
        <v>1.099879013308536E-2</v>
      </c>
      <c r="AE1282">
        <v>5400</v>
      </c>
      <c r="AF1282">
        <v>400000</v>
      </c>
      <c r="AG1282">
        <v>33333.333333333336</v>
      </c>
      <c r="AH1282">
        <v>1</v>
      </c>
      <c r="AI1282">
        <v>1</v>
      </c>
      <c r="AJ1282" t="s">
        <v>162</v>
      </c>
      <c r="AK1282" t="s">
        <v>176</v>
      </c>
      <c r="AL1282">
        <v>0</v>
      </c>
      <c r="AM1282" t="s">
        <v>176</v>
      </c>
      <c r="AN1282">
        <v>0</v>
      </c>
    </row>
    <row r="1283" spans="1:40" x14ac:dyDescent="0.15">
      <c r="A1283" s="4" t="str">
        <f>HYPERLINK("https://ibp.a2mac1.com/costing(costing:projects/details/9760/process/12086268)","MANUFACTURING  PROCESS")</f>
        <v>MANUFACTURING  PROCESS</v>
      </c>
      <c r="B1283" t="s">
        <v>4962</v>
      </c>
      <c r="C1283">
        <v>12086268</v>
      </c>
      <c r="D1283">
        <v>8416992</v>
      </c>
      <c r="E1283">
        <v>0.5605809092307692</v>
      </c>
      <c r="F1283">
        <v>0</v>
      </c>
      <c r="G1283">
        <v>0</v>
      </c>
      <c r="H1283">
        <v>6.8898212307692304E-5</v>
      </c>
      <c r="I1283" t="s">
        <v>176</v>
      </c>
      <c r="J1283">
        <v>2.1922158461538461E-2</v>
      </c>
      <c r="K1283">
        <v>0.58257196590461535</v>
      </c>
      <c r="L1283">
        <v>1.0313049872942069E-2</v>
      </c>
      <c r="M1283">
        <v>6.1878299237652409E-2</v>
      </c>
      <c r="N1283">
        <v>0.64445026514226778</v>
      </c>
      <c r="O1283" t="s">
        <v>177</v>
      </c>
      <c r="P1283">
        <v>3.495431795427692E-2</v>
      </c>
      <c r="Q1283" t="s">
        <v>177</v>
      </c>
      <c r="R1283">
        <v>3.7126979542591448E-3</v>
      </c>
      <c r="S1283" t="s">
        <v>178</v>
      </c>
      <c r="T1283">
        <v>7.733403181707213E-2</v>
      </c>
      <c r="U1283">
        <v>0.76045131286787604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3.78294</v>
      </c>
      <c r="AB1283">
        <v>2</v>
      </c>
      <c r="AC1283">
        <v>0.01</v>
      </c>
      <c r="AD1283">
        <v>1.099879013308536E-2</v>
      </c>
      <c r="AE1283">
        <v>5400</v>
      </c>
      <c r="AF1283">
        <v>400000</v>
      </c>
      <c r="AG1283">
        <v>33333.333333333336</v>
      </c>
      <c r="AH1283">
        <v>1</v>
      </c>
      <c r="AI1283">
        <v>1</v>
      </c>
      <c r="AJ1283" t="s">
        <v>162</v>
      </c>
      <c r="AK1283" t="s">
        <v>176</v>
      </c>
      <c r="AL1283">
        <v>0</v>
      </c>
      <c r="AM1283" t="s">
        <v>176</v>
      </c>
      <c r="AN1283">
        <v>0</v>
      </c>
    </row>
    <row r="1284" spans="1:40" x14ac:dyDescent="0.15">
      <c r="A1284" s="4" t="str">
        <f>HYPERLINK("https://ibp.a2mac1.com/costing(costing:projects/details/9760/process/12086269)","MANUFACTURING  PROCESS")</f>
        <v>MANUFACTURING  PROCESS</v>
      </c>
      <c r="B1284" t="s">
        <v>4962</v>
      </c>
      <c r="C1284">
        <v>12086269</v>
      </c>
      <c r="D1284">
        <v>8416993</v>
      </c>
      <c r="E1284">
        <v>0.14345173333333333</v>
      </c>
      <c r="F1284">
        <v>0</v>
      </c>
      <c r="G1284">
        <v>0</v>
      </c>
      <c r="H1284">
        <v>1.7931466666666666E-5</v>
      </c>
      <c r="I1284" t="s">
        <v>176</v>
      </c>
      <c r="J1284">
        <v>5.7054666666666665E-3</v>
      </c>
      <c r="K1284">
        <v>0.14917513146666667</v>
      </c>
      <c r="L1284">
        <v>8.1787144122335721E-3</v>
      </c>
      <c r="M1284">
        <v>4.9072286473401429E-2</v>
      </c>
      <c r="N1284">
        <v>0.19824741794006809</v>
      </c>
      <c r="O1284" t="s">
        <v>177</v>
      </c>
      <c r="P1284">
        <v>8.9505078879999998E-3</v>
      </c>
      <c r="Q1284" t="s">
        <v>177</v>
      </c>
      <c r="R1284">
        <v>2.9443371884040857E-3</v>
      </c>
      <c r="S1284" t="s">
        <v>178</v>
      </c>
      <c r="T1284">
        <v>2.3789690152808171E-2</v>
      </c>
      <c r="U1284">
        <v>0.23393195316928037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2.9266899999999998</v>
      </c>
      <c r="AB1284">
        <v>2</v>
      </c>
      <c r="AC1284">
        <v>0.01</v>
      </c>
      <c r="AD1284">
        <v>1.099879013308536E-2</v>
      </c>
      <c r="AE1284">
        <v>5400</v>
      </c>
      <c r="AF1284">
        <v>400000</v>
      </c>
      <c r="AG1284">
        <v>33333.333333333336</v>
      </c>
      <c r="AH1284">
        <v>1</v>
      </c>
      <c r="AI1284">
        <v>1</v>
      </c>
      <c r="AJ1284" t="s">
        <v>162</v>
      </c>
      <c r="AK1284" t="s">
        <v>176</v>
      </c>
      <c r="AL1284">
        <v>0</v>
      </c>
      <c r="AM1284" t="s">
        <v>176</v>
      </c>
      <c r="AN1284">
        <v>0</v>
      </c>
    </row>
    <row r="1285" spans="1:40" x14ac:dyDescent="0.15">
      <c r="A1285" s="4" t="str">
        <f>HYPERLINK("https://ibp.a2mac1.com/costing(costing:projects/details/9760/process/12086270)","MANUFACTURING  PROCESS")</f>
        <v>MANUFACTURING  PROCESS</v>
      </c>
      <c r="B1285" t="s">
        <v>4962</v>
      </c>
      <c r="C1285">
        <v>12086270</v>
      </c>
      <c r="D1285">
        <v>8416994</v>
      </c>
      <c r="E1285">
        <v>6.333068E-2</v>
      </c>
      <c r="F1285">
        <v>0</v>
      </c>
      <c r="G1285">
        <v>0</v>
      </c>
      <c r="H1285">
        <v>7.5312159999999996E-6</v>
      </c>
      <c r="I1285" t="s">
        <v>176</v>
      </c>
      <c r="J1285">
        <v>2.396296E-3</v>
      </c>
      <c r="K1285">
        <v>6.5734507215999993E-2</v>
      </c>
      <c r="L1285">
        <v>5.2816765115045365E-3</v>
      </c>
      <c r="M1285">
        <v>3.1690059069027221E-2</v>
      </c>
      <c r="N1285">
        <v>9.7424566285027214E-2</v>
      </c>
      <c r="O1285" t="s">
        <v>177</v>
      </c>
      <c r="P1285">
        <v>3.9440704329600004E-3</v>
      </c>
      <c r="Q1285" t="s">
        <v>177</v>
      </c>
      <c r="R1285">
        <v>1.9014035441416333E-3</v>
      </c>
      <c r="S1285" t="s">
        <v>178</v>
      </c>
      <c r="T1285">
        <v>1.1690947954203267E-2</v>
      </c>
      <c r="U1285">
        <v>0.11496098821633212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1.7644599999999999</v>
      </c>
      <c r="AB1285">
        <v>2</v>
      </c>
      <c r="AC1285">
        <v>0.01</v>
      </c>
      <c r="AD1285">
        <v>1.099879013308536E-2</v>
      </c>
      <c r="AE1285">
        <v>5400</v>
      </c>
      <c r="AF1285">
        <v>400000</v>
      </c>
      <c r="AG1285">
        <v>33333.333333333336</v>
      </c>
      <c r="AH1285">
        <v>1</v>
      </c>
      <c r="AI1285">
        <v>1</v>
      </c>
      <c r="AJ1285" t="s">
        <v>162</v>
      </c>
      <c r="AK1285" t="s">
        <v>176</v>
      </c>
      <c r="AL1285">
        <v>0</v>
      </c>
      <c r="AM1285" t="s">
        <v>176</v>
      </c>
      <c r="AN1285">
        <v>0</v>
      </c>
    </row>
    <row r="1286" spans="1:40" x14ac:dyDescent="0.15">
      <c r="A1286" s="4" t="str">
        <f>HYPERLINK("https://ibp.a2mac1.com/costing(costing:projects/details/9760/process/12086271)","MANUFACTURING  PROCESS")</f>
        <v>MANUFACTURING  PROCESS</v>
      </c>
      <c r="B1286" t="s">
        <v>4962</v>
      </c>
      <c r="C1286">
        <v>12086271</v>
      </c>
      <c r="D1286">
        <v>8416995</v>
      </c>
      <c r="E1286">
        <v>8.5826520000000003E-2</v>
      </c>
      <c r="F1286">
        <v>0</v>
      </c>
      <c r="G1286">
        <v>0</v>
      </c>
      <c r="H1286">
        <v>1.0374634285714286E-5</v>
      </c>
      <c r="I1286" t="s">
        <v>176</v>
      </c>
      <c r="J1286">
        <v>3.30102E-3</v>
      </c>
      <c r="K1286">
        <v>8.913791463428572E-2</v>
      </c>
      <c r="L1286">
        <v>6.0085096525124091E-3</v>
      </c>
      <c r="M1286">
        <v>3.6051057915074451E-2</v>
      </c>
      <c r="N1286">
        <v>0.12518897254936018</v>
      </c>
      <c r="O1286" t="s">
        <v>177</v>
      </c>
      <c r="P1286">
        <v>5.3482748780571427E-3</v>
      </c>
      <c r="Q1286" t="s">
        <v>177</v>
      </c>
      <c r="R1286">
        <v>2.1630634749044671E-3</v>
      </c>
      <c r="S1286" t="s">
        <v>178</v>
      </c>
      <c r="T1286">
        <v>1.502267670592322E-2</v>
      </c>
      <c r="U1286">
        <v>0.14772298760824501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2.0560499999999999</v>
      </c>
      <c r="AB1286">
        <v>2</v>
      </c>
      <c r="AC1286">
        <v>0.01</v>
      </c>
      <c r="AD1286">
        <v>1.099879013308536E-2</v>
      </c>
      <c r="AE1286">
        <v>5400</v>
      </c>
      <c r="AF1286">
        <v>400000</v>
      </c>
      <c r="AG1286">
        <v>33333.333333333336</v>
      </c>
      <c r="AH1286">
        <v>1</v>
      </c>
      <c r="AI1286">
        <v>1</v>
      </c>
      <c r="AJ1286" t="s">
        <v>162</v>
      </c>
      <c r="AK1286" t="s">
        <v>176</v>
      </c>
      <c r="AL1286">
        <v>0</v>
      </c>
      <c r="AM1286" t="s">
        <v>176</v>
      </c>
      <c r="AN1286">
        <v>0</v>
      </c>
    </row>
    <row r="1287" spans="1:40" x14ac:dyDescent="0.15">
      <c r="A1287" s="4" t="str">
        <f>HYPERLINK("https://ibp.a2mac1.com/costing(costing:projects/details/9760/process/12086272)","MANUFACTURING  PROCESS")</f>
        <v>MANUFACTURING  PROCESS</v>
      </c>
      <c r="B1287" t="s">
        <v>4962</v>
      </c>
      <c r="C1287">
        <v>12086272</v>
      </c>
      <c r="D1287">
        <v>8416996</v>
      </c>
      <c r="E1287">
        <v>9.9336250000000001E-2</v>
      </c>
      <c r="F1287">
        <v>0</v>
      </c>
      <c r="G1287">
        <v>0</v>
      </c>
      <c r="H1287">
        <v>1.2007678571428572E-5</v>
      </c>
      <c r="I1287" t="s">
        <v>176</v>
      </c>
      <c r="J1287">
        <v>3.8206249999999998E-3</v>
      </c>
      <c r="K1287">
        <v>0.10316888267857142</v>
      </c>
      <c r="L1287">
        <v>6.0085096525124091E-3</v>
      </c>
      <c r="M1287">
        <v>3.6051057915074451E-2</v>
      </c>
      <c r="N1287">
        <v>0.13921994059364587</v>
      </c>
      <c r="O1287" t="s">
        <v>177</v>
      </c>
      <c r="P1287">
        <v>6.190132960714286E-3</v>
      </c>
      <c r="Q1287" t="s">
        <v>177</v>
      </c>
      <c r="R1287">
        <v>2.1630634749044671E-3</v>
      </c>
      <c r="S1287" t="s">
        <v>178</v>
      </c>
      <c r="T1287">
        <v>1.6706392871237506E-2</v>
      </c>
      <c r="U1287">
        <v>0.16427952990050215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2.0560499999999999</v>
      </c>
      <c r="AB1287">
        <v>2</v>
      </c>
      <c r="AC1287">
        <v>0.01</v>
      </c>
      <c r="AD1287">
        <v>1.099879013308536E-2</v>
      </c>
      <c r="AE1287">
        <v>5400</v>
      </c>
      <c r="AF1287">
        <v>400000</v>
      </c>
      <c r="AG1287">
        <v>33333.333333333336</v>
      </c>
      <c r="AH1287">
        <v>1</v>
      </c>
      <c r="AI1287">
        <v>1</v>
      </c>
      <c r="AJ1287" t="s">
        <v>162</v>
      </c>
      <c r="AK1287" t="s">
        <v>176</v>
      </c>
      <c r="AL1287">
        <v>0</v>
      </c>
      <c r="AM1287" t="s">
        <v>176</v>
      </c>
      <c r="AN1287">
        <v>0</v>
      </c>
    </row>
    <row r="1288" spans="1:40" x14ac:dyDescent="0.15">
      <c r="A1288" s="4" t="str">
        <f>HYPERLINK("https://ibp.a2mac1.com/costing(costing:projects/details/9760/process/12086273)","MANUFACTURING  PROCESS")</f>
        <v>MANUFACTURING  PROCESS</v>
      </c>
      <c r="B1288" t="s">
        <v>4962</v>
      </c>
      <c r="C1288">
        <v>12086273</v>
      </c>
      <c r="D1288">
        <v>8417039</v>
      </c>
      <c r="E1288">
        <v>0.24745423999999999</v>
      </c>
      <c r="F1288">
        <v>0</v>
      </c>
      <c r="G1288">
        <v>0</v>
      </c>
      <c r="H1288">
        <v>3.0931779999999999E-5</v>
      </c>
      <c r="I1288" t="s">
        <v>176</v>
      </c>
      <c r="J1288">
        <v>9.8419300000000005E-3</v>
      </c>
      <c r="K1288">
        <v>0.25732710178000001</v>
      </c>
      <c r="L1288">
        <v>8.1784900733238332E-3</v>
      </c>
      <c r="M1288">
        <v>4.9070940439942999E-2</v>
      </c>
      <c r="N1288">
        <v>0.30639804221994299</v>
      </c>
      <c r="O1288" t="s">
        <v>177</v>
      </c>
      <c r="P1288">
        <v>1.5439626106800001E-2</v>
      </c>
      <c r="Q1288" t="s">
        <v>177</v>
      </c>
      <c r="R1288">
        <v>2.9442564263965801E-3</v>
      </c>
      <c r="S1288" t="s">
        <v>178</v>
      </c>
      <c r="T1288">
        <v>3.6767765066393163E-2</v>
      </c>
      <c r="U1288">
        <v>0.36154968981953273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2.9266000000000001</v>
      </c>
      <c r="AB1288">
        <v>2</v>
      </c>
      <c r="AC1288">
        <v>0.01</v>
      </c>
      <c r="AD1288">
        <v>1.099879013308536E-2</v>
      </c>
      <c r="AE1288">
        <v>5400</v>
      </c>
      <c r="AF1288">
        <v>400000</v>
      </c>
      <c r="AG1288">
        <v>33333.333333333336</v>
      </c>
      <c r="AH1288">
        <v>1</v>
      </c>
      <c r="AI1288">
        <v>1</v>
      </c>
      <c r="AJ1288" t="s">
        <v>162</v>
      </c>
      <c r="AK1288" t="s">
        <v>176</v>
      </c>
      <c r="AL1288">
        <v>0</v>
      </c>
      <c r="AM1288" t="s">
        <v>176</v>
      </c>
      <c r="AN1288">
        <v>0</v>
      </c>
    </row>
    <row r="1289" spans="1:40" x14ac:dyDescent="0.15">
      <c r="A1289" s="4" t="str">
        <f>HYPERLINK("https://ibp.a2mac1.com/costing(costing:projects/details/9760/process/12086274)","MANUFACTURING  PROCESS")</f>
        <v>MANUFACTURING  PROCESS</v>
      </c>
      <c r="B1289" t="s">
        <v>4962</v>
      </c>
      <c r="C1289">
        <v>12086274</v>
      </c>
      <c r="D1289">
        <v>8417040</v>
      </c>
      <c r="E1289">
        <v>0.29562467999999997</v>
      </c>
      <c r="F1289">
        <v>0</v>
      </c>
      <c r="G1289">
        <v>0</v>
      </c>
      <c r="H1289">
        <v>3.5734851428571426E-5</v>
      </c>
      <c r="I1289" t="s">
        <v>176</v>
      </c>
      <c r="J1289">
        <v>1.1370180000000001E-2</v>
      </c>
      <c r="K1289">
        <v>0.30703059485142858</v>
      </c>
      <c r="L1289">
        <v>8.1787144122335721E-3</v>
      </c>
      <c r="M1289">
        <v>4.9072286473401429E-2</v>
      </c>
      <c r="N1289">
        <v>0.35610288132482998</v>
      </c>
      <c r="O1289" t="s">
        <v>177</v>
      </c>
      <c r="P1289">
        <v>1.8421835691085714E-2</v>
      </c>
      <c r="Q1289" t="s">
        <v>177</v>
      </c>
      <c r="R1289">
        <v>2.9443371884040857E-3</v>
      </c>
      <c r="S1289" t="s">
        <v>178</v>
      </c>
      <c r="T1289">
        <v>4.2732345758979599E-2</v>
      </c>
      <c r="U1289">
        <v>0.42020139996329942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2.9266899999999998</v>
      </c>
      <c r="AB1289">
        <v>2</v>
      </c>
      <c r="AC1289">
        <v>0.01</v>
      </c>
      <c r="AD1289">
        <v>1.099879013308536E-2</v>
      </c>
      <c r="AE1289">
        <v>5400</v>
      </c>
      <c r="AF1289">
        <v>400000</v>
      </c>
      <c r="AG1289">
        <v>33333.333333333336</v>
      </c>
      <c r="AH1289">
        <v>1</v>
      </c>
      <c r="AI1289">
        <v>1</v>
      </c>
      <c r="AJ1289" t="s">
        <v>162</v>
      </c>
      <c r="AK1289" t="s">
        <v>176</v>
      </c>
      <c r="AL1289">
        <v>0</v>
      </c>
      <c r="AM1289" t="s">
        <v>176</v>
      </c>
      <c r="AN1289">
        <v>0</v>
      </c>
    </row>
    <row r="1290" spans="1:40" x14ac:dyDescent="0.15">
      <c r="A1290" s="4" t="str">
        <f>HYPERLINK("https://ibp.a2mac1.com/costing(costing:projects/details/9760/process/12086275)","MANUFACTURING  PROCESS")</f>
        <v>MANUFACTURING  PROCESS</v>
      </c>
      <c r="B1290" t="s">
        <v>4962</v>
      </c>
      <c r="C1290">
        <v>12086275</v>
      </c>
      <c r="D1290">
        <v>8417041</v>
      </c>
      <c r="E1290">
        <v>2.0356289999999999E-2</v>
      </c>
      <c r="F1290">
        <v>0</v>
      </c>
      <c r="G1290">
        <v>0</v>
      </c>
      <c r="H1290">
        <v>2.420748E-6</v>
      </c>
      <c r="I1290" t="s">
        <v>176</v>
      </c>
      <c r="J1290">
        <v>7.7023800000000002E-4</v>
      </c>
      <c r="K1290">
        <v>2.1128948748E-2</v>
      </c>
      <c r="L1290">
        <v>5.2816765115045365E-3</v>
      </c>
      <c r="M1290">
        <v>3.1690059069027221E-2</v>
      </c>
      <c r="N1290">
        <v>5.2819007817027218E-2</v>
      </c>
      <c r="O1290" t="s">
        <v>177</v>
      </c>
      <c r="P1290">
        <v>1.2677369248800001E-3</v>
      </c>
      <c r="Q1290" t="s">
        <v>177</v>
      </c>
      <c r="R1290">
        <v>1.9014035441416333E-3</v>
      </c>
      <c r="S1290" t="s">
        <v>178</v>
      </c>
      <c r="T1290">
        <v>6.3382809380432663E-3</v>
      </c>
      <c r="U1290">
        <v>6.2326429224092122E-2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1.7644599999999999</v>
      </c>
      <c r="AB1290">
        <v>2</v>
      </c>
      <c r="AC1290">
        <v>0.01</v>
      </c>
      <c r="AD1290">
        <v>1.099879013308536E-2</v>
      </c>
      <c r="AE1290">
        <v>5400</v>
      </c>
      <c r="AF1290">
        <v>400000</v>
      </c>
      <c r="AG1290">
        <v>33333.333333333336</v>
      </c>
      <c r="AH1290">
        <v>1</v>
      </c>
      <c r="AI1290">
        <v>1</v>
      </c>
      <c r="AJ1290" t="s">
        <v>162</v>
      </c>
      <c r="AK1290" t="s">
        <v>176</v>
      </c>
      <c r="AL1290">
        <v>0</v>
      </c>
      <c r="AM1290" t="s">
        <v>176</v>
      </c>
      <c r="AN1290">
        <v>0</v>
      </c>
    </row>
    <row r="1291" spans="1:40" x14ac:dyDescent="0.15">
      <c r="A1291" s="4" t="str">
        <f>HYPERLINK("https://ibp.a2mac1.com/costing(costing:projects/details/9760/process/12086276)","MANUFACTURING  PROCESS")</f>
        <v>MANUFACTURING  PROCESS</v>
      </c>
      <c r="B1291" t="s">
        <v>4962</v>
      </c>
      <c r="C1291">
        <v>12086276</v>
      </c>
      <c r="D1291">
        <v>8417042</v>
      </c>
      <c r="E1291">
        <v>2.3703157499999999E-2</v>
      </c>
      <c r="F1291">
        <v>0</v>
      </c>
      <c r="G1291">
        <v>0</v>
      </c>
      <c r="H1291">
        <v>2.7737737499999999E-6</v>
      </c>
      <c r="I1291" t="s">
        <v>176</v>
      </c>
      <c r="J1291">
        <v>8.8256437499999998E-4</v>
      </c>
      <c r="K1291">
        <v>2.458849564875E-2</v>
      </c>
      <c r="L1291">
        <v>5.2816765115045365E-3</v>
      </c>
      <c r="M1291">
        <v>3.1690059069027221E-2</v>
      </c>
      <c r="N1291">
        <v>5.6278554717777221E-2</v>
      </c>
      <c r="O1291" t="s">
        <v>177</v>
      </c>
      <c r="P1291">
        <v>1.4753097389249999E-3</v>
      </c>
      <c r="Q1291" t="s">
        <v>177</v>
      </c>
      <c r="R1291">
        <v>1.9014035441416333E-3</v>
      </c>
      <c r="S1291" t="s">
        <v>178</v>
      </c>
      <c r="T1291">
        <v>6.7534265661332669E-3</v>
      </c>
      <c r="U1291">
        <v>6.6408694566977122E-2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1.7644599999999999</v>
      </c>
      <c r="AB1291">
        <v>2</v>
      </c>
      <c r="AC1291">
        <v>0.01</v>
      </c>
      <c r="AD1291">
        <v>1.099879013308536E-2</v>
      </c>
      <c r="AE1291">
        <v>5400</v>
      </c>
      <c r="AF1291">
        <v>400000</v>
      </c>
      <c r="AG1291">
        <v>33333.333333333336</v>
      </c>
      <c r="AH1291">
        <v>1</v>
      </c>
      <c r="AI1291">
        <v>1</v>
      </c>
      <c r="AJ1291" t="s">
        <v>162</v>
      </c>
      <c r="AK1291" t="s">
        <v>176</v>
      </c>
      <c r="AL1291">
        <v>0</v>
      </c>
      <c r="AM1291" t="s">
        <v>176</v>
      </c>
      <c r="AN1291">
        <v>0</v>
      </c>
    </row>
    <row r="1292" spans="1:40" x14ac:dyDescent="0.15">
      <c r="A1292" s="4" t="str">
        <f>HYPERLINK("https://ibp.a2mac1.com/costing(costing:projects/details/9760/process/12086277)","MANUFACTURING  PROCESS")</f>
        <v>MANUFACTURING  PROCESS</v>
      </c>
      <c r="B1292" t="s">
        <v>4962</v>
      </c>
      <c r="C1292">
        <v>12086277</v>
      </c>
      <c r="D1292">
        <v>8417043</v>
      </c>
      <c r="E1292">
        <v>0.55312965199999997</v>
      </c>
      <c r="F1292">
        <v>0</v>
      </c>
      <c r="G1292">
        <v>0</v>
      </c>
      <c r="H1292">
        <v>6.4727937999999998E-5</v>
      </c>
      <c r="I1292" t="s">
        <v>176</v>
      </c>
      <c r="J1292">
        <v>2.0595253000000001E-2</v>
      </c>
      <c r="K1292">
        <v>0.573789632938</v>
      </c>
      <c r="L1292">
        <v>5.213676895308183E-3</v>
      </c>
      <c r="M1292">
        <v>3.12820613718491E-2</v>
      </c>
      <c r="N1292">
        <v>0.60507169430984908</v>
      </c>
      <c r="O1292" t="s">
        <v>177</v>
      </c>
      <c r="P1292">
        <v>3.4427377976280003E-2</v>
      </c>
      <c r="Q1292" t="s">
        <v>177</v>
      </c>
      <c r="R1292">
        <v>1.876923682310946E-3</v>
      </c>
      <c r="S1292" t="s">
        <v>178</v>
      </c>
      <c r="T1292">
        <v>7.2608603317181886E-2</v>
      </c>
      <c r="U1292">
        <v>0.71398459928562197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0.86858999999999997</v>
      </c>
      <c r="AB1292">
        <v>1</v>
      </c>
      <c r="AC1292">
        <v>0.01</v>
      </c>
      <c r="AD1292">
        <v>1.099879013308536E-2</v>
      </c>
      <c r="AE1292">
        <v>5400</v>
      </c>
      <c r="AF1292">
        <v>400000</v>
      </c>
      <c r="AG1292">
        <v>33333.333333333336</v>
      </c>
      <c r="AH1292">
        <v>1</v>
      </c>
      <c r="AI1292">
        <v>1</v>
      </c>
      <c r="AJ1292" t="s">
        <v>162</v>
      </c>
      <c r="AK1292" t="s">
        <v>176</v>
      </c>
      <c r="AL1292">
        <v>0</v>
      </c>
      <c r="AM1292" t="s">
        <v>176</v>
      </c>
      <c r="AN1292">
        <v>0</v>
      </c>
    </row>
    <row r="1293" spans="1:40" x14ac:dyDescent="0.15">
      <c r="A1293" s="4" t="str">
        <f>HYPERLINK("https://ibp.a2mac1.com/costing(costing:projects/details/9760/process/12086278)","MANUFACTURING  PROCESS")</f>
        <v>MANUFACTURING  PROCESS</v>
      </c>
      <c r="B1293" t="s">
        <v>4962</v>
      </c>
      <c r="C1293">
        <v>12086278</v>
      </c>
      <c r="D1293">
        <v>8417044</v>
      </c>
      <c r="E1293">
        <v>0.15496455000000001</v>
      </c>
      <c r="F1293">
        <v>0</v>
      </c>
      <c r="G1293">
        <v>0</v>
      </c>
      <c r="H1293">
        <v>1.8731978571428571E-5</v>
      </c>
      <c r="I1293" t="s">
        <v>176</v>
      </c>
      <c r="J1293">
        <v>5.9601749999999998E-3</v>
      </c>
      <c r="K1293">
        <v>0.16094345697857143</v>
      </c>
      <c r="L1293">
        <v>6.0085096525124091E-3</v>
      </c>
      <c r="M1293">
        <v>3.6051057915074451E-2</v>
      </c>
      <c r="N1293">
        <v>0.19699451489364589</v>
      </c>
      <c r="O1293" t="s">
        <v>177</v>
      </c>
      <c r="P1293">
        <v>9.6566074187142865E-3</v>
      </c>
      <c r="Q1293" t="s">
        <v>177</v>
      </c>
      <c r="R1293">
        <v>2.1630634749044671E-3</v>
      </c>
      <c r="S1293" t="s">
        <v>178</v>
      </c>
      <c r="T1293">
        <v>2.3639341787237506E-2</v>
      </c>
      <c r="U1293">
        <v>0.23245352757450213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2.0560499999999999</v>
      </c>
      <c r="AB1293">
        <v>2</v>
      </c>
      <c r="AC1293">
        <v>0.01</v>
      </c>
      <c r="AD1293">
        <v>1.099879013308536E-2</v>
      </c>
      <c r="AE1293">
        <v>5400</v>
      </c>
      <c r="AF1293">
        <v>400000</v>
      </c>
      <c r="AG1293">
        <v>33333.333333333336</v>
      </c>
      <c r="AH1293">
        <v>1</v>
      </c>
      <c r="AI1293">
        <v>1</v>
      </c>
      <c r="AJ1293" t="s">
        <v>162</v>
      </c>
      <c r="AK1293" t="s">
        <v>176</v>
      </c>
      <c r="AL1293">
        <v>0</v>
      </c>
      <c r="AM1293" t="s">
        <v>176</v>
      </c>
      <c r="AN1293">
        <v>0</v>
      </c>
    </row>
    <row r="1294" spans="1:40" x14ac:dyDescent="0.15">
      <c r="A1294" s="4" t="str">
        <f>HYPERLINK("https://ibp.a2mac1.com/costing(costing:projects/details/9760/process/12086279)","MANUFACTURING  PROCESS")</f>
        <v>MANUFACTURING  PROCESS</v>
      </c>
      <c r="B1294" t="s">
        <v>4962</v>
      </c>
      <c r="C1294">
        <v>12086279</v>
      </c>
      <c r="D1294">
        <v>8417045</v>
      </c>
      <c r="E1294">
        <v>4.7406314999999997E-2</v>
      </c>
      <c r="F1294">
        <v>0</v>
      </c>
      <c r="G1294">
        <v>0</v>
      </c>
      <c r="H1294">
        <v>5.5475474999999998E-6</v>
      </c>
      <c r="I1294" t="s">
        <v>176</v>
      </c>
      <c r="J1294">
        <v>1.76512875E-3</v>
      </c>
      <c r="K1294">
        <v>4.91769912975E-2</v>
      </c>
      <c r="L1294">
        <v>5.2816765115045365E-3</v>
      </c>
      <c r="M1294">
        <v>3.1690059069027221E-2</v>
      </c>
      <c r="N1294">
        <v>8.0867050366527221E-2</v>
      </c>
      <c r="O1294" t="s">
        <v>177</v>
      </c>
      <c r="P1294">
        <v>2.9506194778499998E-3</v>
      </c>
      <c r="Q1294" t="s">
        <v>177</v>
      </c>
      <c r="R1294">
        <v>1.9014035441416333E-3</v>
      </c>
      <c r="S1294" t="s">
        <v>178</v>
      </c>
      <c r="T1294">
        <v>9.7040460439832658E-3</v>
      </c>
      <c r="U1294">
        <v>9.5423119432502118E-2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1.7644599999999999</v>
      </c>
      <c r="AB1294">
        <v>2</v>
      </c>
      <c r="AC1294">
        <v>0.01</v>
      </c>
      <c r="AD1294">
        <v>1.099879013308536E-2</v>
      </c>
      <c r="AE1294">
        <v>5400</v>
      </c>
      <c r="AF1294">
        <v>400000</v>
      </c>
      <c r="AG1294">
        <v>33333.333333333336</v>
      </c>
      <c r="AH1294">
        <v>1</v>
      </c>
      <c r="AI1294">
        <v>1</v>
      </c>
      <c r="AJ1294" t="s">
        <v>162</v>
      </c>
      <c r="AK1294" t="s">
        <v>176</v>
      </c>
      <c r="AL1294">
        <v>0</v>
      </c>
      <c r="AM1294" t="s">
        <v>176</v>
      </c>
      <c r="AN1294">
        <v>0</v>
      </c>
    </row>
    <row r="1295" spans="1:40" x14ac:dyDescent="0.15">
      <c r="A1295" s="4" t="str">
        <f>HYPERLINK("https://ibp.a2mac1.com/costing(costing:projects/details/9760/process/12086280)","MANUFACTURING  PROCESS")</f>
        <v>MANUFACTURING  PROCESS</v>
      </c>
      <c r="B1295" t="s">
        <v>4962</v>
      </c>
      <c r="C1295">
        <v>12086280</v>
      </c>
      <c r="D1295">
        <v>8417046</v>
      </c>
      <c r="E1295">
        <v>3.1076046800000001</v>
      </c>
      <c r="F1295">
        <v>0</v>
      </c>
      <c r="G1295">
        <v>0</v>
      </c>
      <c r="H1295">
        <v>4.8610576000000002E-4</v>
      </c>
      <c r="I1295" t="s">
        <v>176</v>
      </c>
      <c r="J1295">
        <v>0.12152644</v>
      </c>
      <c r="K1295">
        <v>3.2296172257600002</v>
      </c>
      <c r="L1295">
        <v>9.6559042747849308E-2</v>
      </c>
      <c r="M1295">
        <v>0.57935425648709582</v>
      </c>
      <c r="N1295">
        <v>3.8089714822470957</v>
      </c>
      <c r="O1295" t="s">
        <v>177</v>
      </c>
      <c r="P1295">
        <v>0.1937770335456</v>
      </c>
      <c r="Q1295" t="s">
        <v>177</v>
      </c>
      <c r="R1295">
        <v>3.4761255389225747E-2</v>
      </c>
      <c r="S1295" t="s">
        <v>178</v>
      </c>
      <c r="T1295">
        <v>0.4570765778696515</v>
      </c>
      <c r="U1295">
        <v>4.4945863490515734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19.0137</v>
      </c>
      <c r="AB1295">
        <v>1</v>
      </c>
      <c r="AC1295">
        <v>0.01</v>
      </c>
      <c r="AD1295">
        <v>1.3998040274361589E-2</v>
      </c>
      <c r="AE1295">
        <v>5400</v>
      </c>
      <c r="AF1295">
        <v>200000</v>
      </c>
      <c r="AG1295">
        <v>16666.666666666668</v>
      </c>
      <c r="AH1295">
        <v>1</v>
      </c>
      <c r="AI1295">
        <v>1</v>
      </c>
      <c r="AJ1295" t="s">
        <v>162</v>
      </c>
      <c r="AK1295" t="s">
        <v>176</v>
      </c>
      <c r="AL1295">
        <v>0</v>
      </c>
      <c r="AM1295" t="s">
        <v>176</v>
      </c>
      <c r="AN1295">
        <v>0</v>
      </c>
    </row>
    <row r="1296" spans="1:40" x14ac:dyDescent="0.15">
      <c r="A1296" s="4" t="str">
        <f>HYPERLINK("https://ibp.a2mac1.com/costing(costing:projects/details/9760/process/12086281)","MANUFACTURING  PROCESS")</f>
        <v>MANUFACTURING  PROCESS</v>
      </c>
      <c r="B1296" t="s">
        <v>4962</v>
      </c>
      <c r="C1296">
        <v>12086281</v>
      </c>
      <c r="D1296">
        <v>8417047</v>
      </c>
      <c r="E1296">
        <v>2.92103592</v>
      </c>
      <c r="F1296">
        <v>0</v>
      </c>
      <c r="G1296">
        <v>0</v>
      </c>
      <c r="H1296">
        <v>4.6471026000000001E-4</v>
      </c>
      <c r="I1296" t="s">
        <v>176</v>
      </c>
      <c r="J1296">
        <v>0.116177565</v>
      </c>
      <c r="K1296">
        <v>3.0376781952599998</v>
      </c>
      <c r="L1296">
        <v>9.6559042747849308E-2</v>
      </c>
      <c r="M1296">
        <v>0.57935425648709582</v>
      </c>
      <c r="N1296">
        <v>3.6170324517470958</v>
      </c>
      <c r="O1296" t="s">
        <v>177</v>
      </c>
      <c r="P1296">
        <v>0.1822606917156</v>
      </c>
      <c r="Q1296" t="s">
        <v>177</v>
      </c>
      <c r="R1296">
        <v>3.4761255389225747E-2</v>
      </c>
      <c r="S1296" t="s">
        <v>178</v>
      </c>
      <c r="T1296">
        <v>0.4340438942096515</v>
      </c>
      <c r="U1296">
        <v>4.2680982930615734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19.0137</v>
      </c>
      <c r="AB1296">
        <v>1</v>
      </c>
      <c r="AC1296">
        <v>0.01</v>
      </c>
      <c r="AD1296">
        <v>1.3998040274361589E-2</v>
      </c>
      <c r="AE1296">
        <v>5400</v>
      </c>
      <c r="AF1296">
        <v>200000</v>
      </c>
      <c r="AG1296">
        <v>16666.666666666668</v>
      </c>
      <c r="AH1296">
        <v>1</v>
      </c>
      <c r="AI1296">
        <v>1</v>
      </c>
      <c r="AJ1296" t="s">
        <v>162</v>
      </c>
      <c r="AK1296" t="s">
        <v>176</v>
      </c>
      <c r="AL1296">
        <v>0</v>
      </c>
      <c r="AM1296" t="s">
        <v>176</v>
      </c>
      <c r="AN1296">
        <v>0</v>
      </c>
    </row>
    <row r="1297" spans="1:40" x14ac:dyDescent="0.15">
      <c r="A1297" s="4" t="str">
        <f>HYPERLINK("https://ibp.a2mac1.com/costing(costing:projects/details/9760/process/12086282)","MANUFACTURING  PROCESS")</f>
        <v>MANUFACTURING  PROCESS</v>
      </c>
      <c r="B1297" t="s">
        <v>4962</v>
      </c>
      <c r="C1297">
        <v>12086282</v>
      </c>
      <c r="D1297">
        <v>8417048</v>
      </c>
      <c r="E1297">
        <v>3.7752025520000001</v>
      </c>
      <c r="F1297">
        <v>0</v>
      </c>
      <c r="G1297">
        <v>0</v>
      </c>
      <c r="H1297">
        <v>4.71900319E-4</v>
      </c>
      <c r="I1297" t="s">
        <v>176</v>
      </c>
      <c r="J1297">
        <v>0.15015010149999999</v>
      </c>
      <c r="K1297">
        <v>3.925824553819</v>
      </c>
      <c r="L1297">
        <v>1.4010317127981821E-2</v>
      </c>
      <c r="M1297">
        <v>8.4061902767890925E-2</v>
      </c>
      <c r="N1297">
        <v>4.0098864565868908</v>
      </c>
      <c r="O1297" t="s">
        <v>177</v>
      </c>
      <c r="P1297">
        <v>0.23554947322913999</v>
      </c>
      <c r="Q1297" t="s">
        <v>177</v>
      </c>
      <c r="R1297">
        <v>5.0437141660734557E-3</v>
      </c>
      <c r="S1297" t="s">
        <v>178</v>
      </c>
      <c r="T1297">
        <v>0.48118637479042692</v>
      </c>
      <c r="U1297">
        <v>4.7316660187725317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10.53241</v>
      </c>
      <c r="AB1297">
        <v>4</v>
      </c>
      <c r="AC1297">
        <v>0.01</v>
      </c>
      <c r="AD1297">
        <v>1.099879013308536E-2</v>
      </c>
      <c r="AE1297">
        <v>5400</v>
      </c>
      <c r="AF1297">
        <v>400000</v>
      </c>
      <c r="AG1297">
        <v>33333.333333333336</v>
      </c>
      <c r="AH1297">
        <v>1</v>
      </c>
      <c r="AI1297">
        <v>1</v>
      </c>
      <c r="AJ1297" t="s">
        <v>162</v>
      </c>
      <c r="AK1297" t="s">
        <v>176</v>
      </c>
      <c r="AL1297">
        <v>0</v>
      </c>
      <c r="AM1297" t="s">
        <v>176</v>
      </c>
      <c r="AN1297">
        <v>0</v>
      </c>
    </row>
    <row r="1298" spans="1:40" x14ac:dyDescent="0.15">
      <c r="A1298" s="4" t="str">
        <f>HYPERLINK("https://ibp.a2mac1.com/costing(costing:projects/details/9760/process/12086292)","MANUFACTURING  PROCESS")</f>
        <v>MANUFACTURING  PROCESS</v>
      </c>
      <c r="B1298" t="s">
        <v>4962</v>
      </c>
      <c r="C1298">
        <v>12086292</v>
      </c>
      <c r="D1298">
        <v>8417049</v>
      </c>
      <c r="E1298">
        <v>0.6144505461538462</v>
      </c>
      <c r="F1298">
        <v>0</v>
      </c>
      <c r="G1298">
        <v>0</v>
      </c>
      <c r="H1298">
        <v>7.5519061538461535E-5</v>
      </c>
      <c r="I1298" t="s">
        <v>176</v>
      </c>
      <c r="J1298">
        <v>2.4028792307692309E-2</v>
      </c>
      <c r="K1298">
        <v>0.63855485752307695</v>
      </c>
      <c r="L1298">
        <v>3.4399371402856635E-2</v>
      </c>
      <c r="M1298">
        <v>0.20639622841713981</v>
      </c>
      <c r="N1298">
        <v>0.84495108594021673</v>
      </c>
      <c r="O1298" t="s">
        <v>177</v>
      </c>
      <c r="P1298">
        <v>3.8313291451384617E-2</v>
      </c>
      <c r="Q1298" t="s">
        <v>177</v>
      </c>
      <c r="R1298">
        <v>1.2383773705028389E-2</v>
      </c>
      <c r="S1298" t="s">
        <v>178</v>
      </c>
      <c r="T1298">
        <v>0.10139413031282601</v>
      </c>
      <c r="U1298">
        <v>0.99704228140945572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6.7229299999999999</v>
      </c>
      <c r="AB1298">
        <v>1</v>
      </c>
      <c r="AC1298">
        <v>0.01</v>
      </c>
      <c r="AD1298">
        <v>1.099879013308536E-2</v>
      </c>
      <c r="AE1298">
        <v>5400</v>
      </c>
      <c r="AF1298">
        <v>400000</v>
      </c>
      <c r="AG1298">
        <v>33333.333333333336</v>
      </c>
      <c r="AH1298">
        <v>1</v>
      </c>
      <c r="AI1298">
        <v>1</v>
      </c>
      <c r="AJ1298" t="s">
        <v>162</v>
      </c>
      <c r="AK1298" t="s">
        <v>176</v>
      </c>
      <c r="AL1298">
        <v>0</v>
      </c>
      <c r="AM1298" t="s">
        <v>176</v>
      </c>
      <c r="AN1298">
        <v>0</v>
      </c>
    </row>
    <row r="1299" spans="1:40" x14ac:dyDescent="0.15">
      <c r="A1299" s="4" t="str">
        <f>HYPERLINK("https://ibp.a2mac1.com/costing(costing:projects/details/9760/process/12086455)","MANUFACTURING  PROCESS")</f>
        <v>MANUFACTURING  PROCESS</v>
      </c>
      <c r="B1299" t="s">
        <v>4962</v>
      </c>
      <c r="C1299">
        <v>12086455</v>
      </c>
      <c r="D1299">
        <v>8417277</v>
      </c>
      <c r="E1299">
        <v>9.1097256655384609</v>
      </c>
      <c r="F1299">
        <v>0</v>
      </c>
      <c r="G1299">
        <v>0</v>
      </c>
      <c r="H1299">
        <v>1.4249850203076923E-3</v>
      </c>
      <c r="I1299" t="s">
        <v>176</v>
      </c>
      <c r="J1299">
        <v>0.35624625507692309</v>
      </c>
      <c r="K1299">
        <v>9.4673969056356917</v>
      </c>
      <c r="L1299">
        <v>5.4275897186867962E-2</v>
      </c>
      <c r="M1299">
        <v>0.32565538312120779</v>
      </c>
      <c r="N1299">
        <v>9.7930522887569005</v>
      </c>
      <c r="O1299" t="s">
        <v>177</v>
      </c>
      <c r="P1299">
        <v>0.56804381433814155</v>
      </c>
      <c r="Q1299" t="s">
        <v>177</v>
      </c>
      <c r="R1299">
        <v>1.9539322987272466E-2</v>
      </c>
      <c r="S1299" t="s">
        <v>178</v>
      </c>
      <c r="T1299">
        <v>1.175166274650828</v>
      </c>
      <c r="U1299">
        <v>11.555801700733142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21.064810000000001</v>
      </c>
      <c r="AB1299">
        <v>2</v>
      </c>
      <c r="AC1299">
        <v>0.01</v>
      </c>
      <c r="AD1299">
        <v>1.3998040274361589E-2</v>
      </c>
      <c r="AE1299">
        <v>5400</v>
      </c>
      <c r="AF1299">
        <v>200000</v>
      </c>
      <c r="AG1299">
        <v>16666.666666666668</v>
      </c>
      <c r="AH1299">
        <v>1</v>
      </c>
      <c r="AI1299">
        <v>1</v>
      </c>
      <c r="AJ1299" t="s">
        <v>162</v>
      </c>
      <c r="AK1299" t="s">
        <v>176</v>
      </c>
      <c r="AL1299">
        <v>0</v>
      </c>
      <c r="AM1299" t="s">
        <v>176</v>
      </c>
      <c r="AN1299">
        <v>0</v>
      </c>
    </row>
    <row r="1300" spans="1:40" x14ac:dyDescent="0.15">
      <c r="A1300" s="4" t="str">
        <f>HYPERLINK("https://ibp.a2mac1.com/costing(costing:projects/details/9760/process/12086293)","MANUFACTURING  PROCESS")</f>
        <v>MANUFACTURING  PROCESS</v>
      </c>
      <c r="B1300" t="s">
        <v>4962</v>
      </c>
      <c r="C1300">
        <v>12086293</v>
      </c>
      <c r="D1300">
        <v>8417051</v>
      </c>
      <c r="E1300">
        <v>2.0087111439999998</v>
      </c>
      <c r="F1300">
        <v>0</v>
      </c>
      <c r="G1300">
        <v>0</v>
      </c>
      <c r="H1300">
        <v>2.5108889300000002E-4</v>
      </c>
      <c r="I1300" t="s">
        <v>176</v>
      </c>
      <c r="J1300">
        <v>7.9891920500000005E-2</v>
      </c>
      <c r="K1300">
        <v>2.0888541533930001</v>
      </c>
      <c r="L1300">
        <v>0.2109127153016421</v>
      </c>
      <c r="M1300">
        <v>1.2654762918098528</v>
      </c>
      <c r="N1300">
        <v>3.3543304452028528</v>
      </c>
      <c r="O1300" t="s">
        <v>177</v>
      </c>
      <c r="P1300">
        <v>0.12533124920357999</v>
      </c>
      <c r="Q1300" t="s">
        <v>177</v>
      </c>
      <c r="R1300">
        <v>7.5928577508591166E-2</v>
      </c>
      <c r="S1300" t="s">
        <v>178</v>
      </c>
      <c r="T1300">
        <v>0.40251965342434232</v>
      </c>
      <c r="U1300">
        <v>3.9581099253393663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42.129629999999999</v>
      </c>
      <c r="AB1300">
        <v>1</v>
      </c>
      <c r="AC1300">
        <v>0.01</v>
      </c>
      <c r="AD1300">
        <v>1.099879013308536E-2</v>
      </c>
      <c r="AE1300">
        <v>5400</v>
      </c>
      <c r="AF1300">
        <v>400000</v>
      </c>
      <c r="AG1300">
        <v>33333.333333333336</v>
      </c>
      <c r="AH1300">
        <v>1</v>
      </c>
      <c r="AI1300">
        <v>1</v>
      </c>
      <c r="AJ1300" t="s">
        <v>162</v>
      </c>
      <c r="AK1300" t="s">
        <v>176</v>
      </c>
      <c r="AL1300">
        <v>0</v>
      </c>
      <c r="AM1300" t="s">
        <v>176</v>
      </c>
      <c r="AN1300">
        <v>0</v>
      </c>
    </row>
    <row r="1301" spans="1:40" x14ac:dyDescent="0.15">
      <c r="A1301" s="4" t="str">
        <f>HYPERLINK("https://ibp.a2mac1.com/costing(costing:projects/details/9760/process/12086294)","MANUFACTURING  PROCESS")</f>
        <v>MANUFACTURING  PROCESS</v>
      </c>
      <c r="B1301" t="s">
        <v>4962</v>
      </c>
      <c r="C1301">
        <v>12086294</v>
      </c>
      <c r="D1301">
        <v>8417052</v>
      </c>
      <c r="E1301">
        <v>9.9519640000000006E-2</v>
      </c>
      <c r="F1301">
        <v>0</v>
      </c>
      <c r="G1301">
        <v>0</v>
      </c>
      <c r="H1301">
        <v>1.1834768E-5</v>
      </c>
      <c r="I1301" t="s">
        <v>176</v>
      </c>
      <c r="J1301">
        <v>3.7656080000000001E-3</v>
      </c>
      <c r="K1301">
        <v>0.103297082768</v>
      </c>
      <c r="L1301">
        <v>8.1787144122335721E-3</v>
      </c>
      <c r="M1301">
        <v>4.9072286473401429E-2</v>
      </c>
      <c r="N1301">
        <v>0.15236936924140143</v>
      </c>
      <c r="O1301" t="s">
        <v>177</v>
      </c>
      <c r="P1301">
        <v>6.1978249660800001E-3</v>
      </c>
      <c r="Q1301" t="s">
        <v>177</v>
      </c>
      <c r="R1301">
        <v>2.9443371884040857E-3</v>
      </c>
      <c r="S1301" t="s">
        <v>178</v>
      </c>
      <c r="T1301">
        <v>1.8284324308968172E-2</v>
      </c>
      <c r="U1301">
        <v>0.17979585570485368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2.9266899999999998</v>
      </c>
      <c r="AB1301">
        <v>2</v>
      </c>
      <c r="AC1301">
        <v>0.01</v>
      </c>
      <c r="AD1301">
        <v>1.099879013308536E-2</v>
      </c>
      <c r="AE1301">
        <v>5400</v>
      </c>
      <c r="AF1301">
        <v>400000</v>
      </c>
      <c r="AG1301">
        <v>33333.333333333336</v>
      </c>
      <c r="AH1301">
        <v>1</v>
      </c>
      <c r="AI1301">
        <v>1</v>
      </c>
      <c r="AJ1301" t="s">
        <v>162</v>
      </c>
      <c r="AK1301" t="s">
        <v>176</v>
      </c>
      <c r="AL1301">
        <v>0</v>
      </c>
      <c r="AM1301" t="s">
        <v>176</v>
      </c>
      <c r="AN1301">
        <v>0</v>
      </c>
    </row>
    <row r="1302" spans="1:40" x14ac:dyDescent="0.15">
      <c r="A1302" s="4" t="str">
        <f>HYPERLINK("https://ibp.a2mac1.com/costing(costing:projects/details/9760/process/12086295)","MANUFACTURING  PROCESS")</f>
        <v>MANUFACTURING  PROCESS</v>
      </c>
      <c r="B1302" t="s">
        <v>4962</v>
      </c>
      <c r="C1302">
        <v>12086295</v>
      </c>
      <c r="D1302">
        <v>8417053</v>
      </c>
      <c r="E1302">
        <v>7.6290239999999995E-2</v>
      </c>
      <c r="F1302">
        <v>0</v>
      </c>
      <c r="G1302">
        <v>0</v>
      </c>
      <c r="H1302">
        <v>9.221897142857142E-6</v>
      </c>
      <c r="I1302" t="s">
        <v>176</v>
      </c>
      <c r="J1302">
        <v>2.9342399999999999E-3</v>
      </c>
      <c r="K1302">
        <v>7.9233701897142864E-2</v>
      </c>
      <c r="L1302">
        <v>8.1787144122335721E-3</v>
      </c>
      <c r="M1302">
        <v>4.9072286473401429E-2</v>
      </c>
      <c r="N1302">
        <v>0.1283059883705443</v>
      </c>
      <c r="O1302" t="s">
        <v>177</v>
      </c>
      <c r="P1302">
        <v>4.7540221138285717E-3</v>
      </c>
      <c r="Q1302" t="s">
        <v>177</v>
      </c>
      <c r="R1302">
        <v>2.9443371884040857E-3</v>
      </c>
      <c r="S1302" t="s">
        <v>178</v>
      </c>
      <c r="T1302">
        <v>1.5396718604465315E-2</v>
      </c>
      <c r="U1302">
        <v>0.15140106627724226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2.9266899999999998</v>
      </c>
      <c r="AB1302">
        <v>2</v>
      </c>
      <c r="AC1302">
        <v>0.01</v>
      </c>
      <c r="AD1302">
        <v>1.099879013308536E-2</v>
      </c>
      <c r="AE1302">
        <v>5400</v>
      </c>
      <c r="AF1302">
        <v>400000</v>
      </c>
      <c r="AG1302">
        <v>33333.333333333336</v>
      </c>
      <c r="AH1302">
        <v>1</v>
      </c>
      <c r="AI1302">
        <v>1</v>
      </c>
      <c r="AJ1302" t="s">
        <v>162</v>
      </c>
      <c r="AK1302" t="s">
        <v>176</v>
      </c>
      <c r="AL1302">
        <v>0</v>
      </c>
      <c r="AM1302" t="s">
        <v>176</v>
      </c>
      <c r="AN1302">
        <v>0</v>
      </c>
    </row>
    <row r="1303" spans="1:40" x14ac:dyDescent="0.15">
      <c r="A1303" s="4" t="str">
        <f>HYPERLINK("https://ibp.a2mac1.com/costing(costing:projects/details/9760/process/12086296)","MANUFACTURING  PROCESS")</f>
        <v>MANUFACTURING  PROCESS</v>
      </c>
      <c r="B1303" t="s">
        <v>4962</v>
      </c>
      <c r="C1303">
        <v>12086296</v>
      </c>
      <c r="D1303">
        <v>8417054</v>
      </c>
      <c r="E1303">
        <v>6.4273863279999999</v>
      </c>
      <c r="F1303">
        <v>0</v>
      </c>
      <c r="G1303">
        <v>0</v>
      </c>
      <c r="H1303">
        <v>8.0342329099999997E-4</v>
      </c>
      <c r="I1303" t="s">
        <v>176</v>
      </c>
      <c r="J1303">
        <v>0.25563468350000002</v>
      </c>
      <c r="K1303">
        <v>6.6838244347910001</v>
      </c>
      <c r="L1303">
        <v>1.4010317127981821E-2</v>
      </c>
      <c r="M1303">
        <v>8.4061902767890925E-2</v>
      </c>
      <c r="N1303">
        <v>6.7678863375588909</v>
      </c>
      <c r="O1303" t="s">
        <v>177</v>
      </c>
      <c r="P1303">
        <v>0.40102946608745998</v>
      </c>
      <c r="Q1303" t="s">
        <v>177</v>
      </c>
      <c r="R1303">
        <v>5.0437141660734557E-3</v>
      </c>
      <c r="S1303" t="s">
        <v>178</v>
      </c>
      <c r="T1303">
        <v>0.8121463605070669</v>
      </c>
      <c r="U1303">
        <v>7.9861058783194911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10.53241</v>
      </c>
      <c r="AB1303">
        <v>4</v>
      </c>
      <c r="AC1303">
        <v>0.01</v>
      </c>
      <c r="AD1303">
        <v>1.099879013308536E-2</v>
      </c>
      <c r="AE1303">
        <v>5400</v>
      </c>
      <c r="AF1303">
        <v>400000</v>
      </c>
      <c r="AG1303">
        <v>33333.333333333336</v>
      </c>
      <c r="AH1303">
        <v>1</v>
      </c>
      <c r="AI1303">
        <v>1</v>
      </c>
      <c r="AJ1303" t="s">
        <v>162</v>
      </c>
      <c r="AK1303" t="s">
        <v>176</v>
      </c>
      <c r="AL1303">
        <v>0</v>
      </c>
      <c r="AM1303" t="s">
        <v>176</v>
      </c>
      <c r="AN1303">
        <v>0</v>
      </c>
    </row>
    <row r="1304" spans="1:40" x14ac:dyDescent="0.15">
      <c r="A1304" s="4" t="str">
        <f>HYPERLINK("https://ibp.a2mac1.com/costing(costing:projects/details/9760/process/12086297)","MANUFACTURING  PROCESS")</f>
        <v>MANUFACTURING  PROCESS</v>
      </c>
      <c r="B1304" t="s">
        <v>4962</v>
      </c>
      <c r="C1304">
        <v>12086297</v>
      </c>
      <c r="D1304">
        <v>8417055</v>
      </c>
      <c r="E1304">
        <v>0.21138754000000001</v>
      </c>
      <c r="F1304">
        <v>0</v>
      </c>
      <c r="G1304">
        <v>0</v>
      </c>
      <c r="H1304">
        <v>2.5552339999999999E-5</v>
      </c>
      <c r="I1304" t="s">
        <v>176</v>
      </c>
      <c r="J1304">
        <v>8.1302900000000001E-3</v>
      </c>
      <c r="K1304">
        <v>0.21954338234000001</v>
      </c>
      <c r="L1304">
        <v>8.1787144122335721E-3</v>
      </c>
      <c r="M1304">
        <v>4.9072286473401429E-2</v>
      </c>
      <c r="N1304">
        <v>0.26861566881340143</v>
      </c>
      <c r="O1304" t="s">
        <v>177</v>
      </c>
      <c r="P1304">
        <v>1.3172602940399999E-2</v>
      </c>
      <c r="Q1304" t="s">
        <v>177</v>
      </c>
      <c r="R1304">
        <v>2.9443371884040857E-3</v>
      </c>
      <c r="S1304" t="s">
        <v>178</v>
      </c>
      <c r="T1304">
        <v>3.223388025760817E-2</v>
      </c>
      <c r="U1304">
        <v>0.31696648919981368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2.9266899999999998</v>
      </c>
      <c r="AB1304">
        <v>2</v>
      </c>
      <c r="AC1304">
        <v>0.01</v>
      </c>
      <c r="AD1304">
        <v>1.099879013308536E-2</v>
      </c>
      <c r="AE1304">
        <v>5400</v>
      </c>
      <c r="AF1304">
        <v>400000</v>
      </c>
      <c r="AG1304">
        <v>33333.333333333336</v>
      </c>
      <c r="AH1304">
        <v>1</v>
      </c>
      <c r="AI1304">
        <v>1</v>
      </c>
      <c r="AJ1304" t="s">
        <v>162</v>
      </c>
      <c r="AK1304" t="s">
        <v>176</v>
      </c>
      <c r="AL1304">
        <v>0</v>
      </c>
      <c r="AM1304" t="s">
        <v>176</v>
      </c>
      <c r="AN1304">
        <v>0</v>
      </c>
    </row>
    <row r="1305" spans="1:40" x14ac:dyDescent="0.15">
      <c r="A1305" s="4" t="str">
        <f>HYPERLINK("https://ibp.a2mac1.com/costing(costing:projects/details/9760/process/12086298)","MANUFACTURING  PROCESS")</f>
        <v>MANUFACTURING  PROCESS</v>
      </c>
      <c r="B1305" t="s">
        <v>4962</v>
      </c>
      <c r="C1305">
        <v>12086298</v>
      </c>
      <c r="D1305">
        <v>8417056</v>
      </c>
      <c r="E1305">
        <v>0.19191058153846155</v>
      </c>
      <c r="F1305">
        <v>0</v>
      </c>
      <c r="G1305">
        <v>0</v>
      </c>
      <c r="H1305">
        <v>2.3586775384615385E-5</v>
      </c>
      <c r="I1305" t="s">
        <v>176</v>
      </c>
      <c r="J1305">
        <v>7.5048830769230768E-3</v>
      </c>
      <c r="K1305">
        <v>0.19943905139076923</v>
      </c>
      <c r="L1305">
        <v>9.2624458320901947E-3</v>
      </c>
      <c r="M1305">
        <v>5.5574674992541165E-2</v>
      </c>
      <c r="N1305">
        <v>0.25501372638331038</v>
      </c>
      <c r="O1305" t="s">
        <v>177</v>
      </c>
      <c r="P1305">
        <v>1.1966343083446154E-2</v>
      </c>
      <c r="Q1305" t="s">
        <v>177</v>
      </c>
      <c r="R1305">
        <v>3.33448049955247E-3</v>
      </c>
      <c r="S1305" t="s">
        <v>178</v>
      </c>
      <c r="T1305">
        <v>3.0601647165997246E-2</v>
      </c>
      <c r="U1305">
        <v>0.30091619713230627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3.3614600000000001</v>
      </c>
      <c r="AB1305">
        <v>2</v>
      </c>
      <c r="AC1305">
        <v>0.01</v>
      </c>
      <c r="AD1305">
        <v>1.099879013308536E-2</v>
      </c>
      <c r="AE1305">
        <v>5400</v>
      </c>
      <c r="AF1305">
        <v>400000</v>
      </c>
      <c r="AG1305">
        <v>33333.333333333336</v>
      </c>
      <c r="AH1305">
        <v>1</v>
      </c>
      <c r="AI1305">
        <v>1</v>
      </c>
      <c r="AJ1305" t="s">
        <v>162</v>
      </c>
      <c r="AK1305" t="s">
        <v>176</v>
      </c>
      <c r="AL1305">
        <v>0</v>
      </c>
      <c r="AM1305" t="s">
        <v>176</v>
      </c>
      <c r="AN1305">
        <v>0</v>
      </c>
    </row>
    <row r="1306" spans="1:40" x14ac:dyDescent="0.15">
      <c r="A1306" s="4" t="str">
        <f>HYPERLINK("https://ibp.a2mac1.com/costing(costing:projects/details/9760/process/12086299)","MANUFACTURING  PROCESS")</f>
        <v>MANUFACTURING  PROCESS</v>
      </c>
      <c r="B1306" t="s">
        <v>4962</v>
      </c>
      <c r="C1306">
        <v>12086299</v>
      </c>
      <c r="D1306">
        <v>8417057</v>
      </c>
      <c r="E1306">
        <v>0.29880814230769231</v>
      </c>
      <c r="F1306">
        <v>0</v>
      </c>
      <c r="G1306">
        <v>0</v>
      </c>
      <c r="H1306">
        <v>3.6725023076923075E-5</v>
      </c>
      <c r="I1306" t="s">
        <v>176</v>
      </c>
      <c r="J1306">
        <v>1.1685234615384616E-2</v>
      </c>
      <c r="K1306">
        <v>0.31053010194615382</v>
      </c>
      <c r="L1306">
        <v>9.2624458320901947E-3</v>
      </c>
      <c r="M1306">
        <v>5.5574674992541165E-2</v>
      </c>
      <c r="N1306">
        <v>0.36610477693869503</v>
      </c>
      <c r="O1306" t="s">
        <v>177</v>
      </c>
      <c r="P1306">
        <v>1.863180611676923E-2</v>
      </c>
      <c r="Q1306" t="s">
        <v>177</v>
      </c>
      <c r="R1306">
        <v>3.33448049955247E-3</v>
      </c>
      <c r="S1306" t="s">
        <v>178</v>
      </c>
      <c r="T1306">
        <v>4.39325732326434E-2</v>
      </c>
      <c r="U1306">
        <v>0.43200363678766013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3.3614600000000001</v>
      </c>
      <c r="AB1306">
        <v>2</v>
      </c>
      <c r="AC1306">
        <v>0.01</v>
      </c>
      <c r="AD1306">
        <v>1.099879013308536E-2</v>
      </c>
      <c r="AE1306">
        <v>5400</v>
      </c>
      <c r="AF1306">
        <v>400000</v>
      </c>
      <c r="AG1306">
        <v>33333.333333333336</v>
      </c>
      <c r="AH1306">
        <v>1</v>
      </c>
      <c r="AI1306">
        <v>1</v>
      </c>
      <c r="AJ1306" t="s">
        <v>162</v>
      </c>
      <c r="AK1306" t="s">
        <v>176</v>
      </c>
      <c r="AL1306">
        <v>0</v>
      </c>
      <c r="AM1306" t="s">
        <v>176</v>
      </c>
      <c r="AN1306">
        <v>0</v>
      </c>
    </row>
    <row r="1307" spans="1:40" x14ac:dyDescent="0.15">
      <c r="A1307" s="4" t="str">
        <f>HYPERLINK("https://ibp.a2mac1.com/costing(costing:projects/details/9760/process/12086300)","MANUFACTURING  PROCESS")</f>
        <v>MANUFACTURING  PROCESS</v>
      </c>
      <c r="B1307" t="s">
        <v>4962</v>
      </c>
      <c r="C1307">
        <v>12086300</v>
      </c>
      <c r="D1307">
        <v>8417058</v>
      </c>
      <c r="E1307">
        <v>0.11046191</v>
      </c>
      <c r="F1307">
        <v>0</v>
      </c>
      <c r="G1307">
        <v>0</v>
      </c>
      <c r="H1307">
        <v>1.3352538571428571E-5</v>
      </c>
      <c r="I1307" t="s">
        <v>176</v>
      </c>
      <c r="J1307">
        <v>4.2485350000000003E-3</v>
      </c>
      <c r="K1307">
        <v>0.11472379753857143</v>
      </c>
      <c r="L1307">
        <v>9.2624458320901947E-3</v>
      </c>
      <c r="M1307">
        <v>5.5574674992541165E-2</v>
      </c>
      <c r="N1307">
        <v>0.1702984725311126</v>
      </c>
      <c r="O1307" t="s">
        <v>177</v>
      </c>
      <c r="P1307">
        <v>6.8834278523142861E-3</v>
      </c>
      <c r="Q1307" t="s">
        <v>177</v>
      </c>
      <c r="R1307">
        <v>3.33448049955247E-3</v>
      </c>
      <c r="S1307" t="s">
        <v>178</v>
      </c>
      <c r="T1307">
        <v>2.0435816703733511E-2</v>
      </c>
      <c r="U1307">
        <v>0.20095219758671287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3.3614600000000001</v>
      </c>
      <c r="AB1307">
        <v>2</v>
      </c>
      <c r="AC1307">
        <v>0.01</v>
      </c>
      <c r="AD1307">
        <v>1.099879013308536E-2</v>
      </c>
      <c r="AE1307">
        <v>5400</v>
      </c>
      <c r="AF1307">
        <v>400000</v>
      </c>
      <c r="AG1307">
        <v>33333.333333333336</v>
      </c>
      <c r="AH1307">
        <v>1</v>
      </c>
      <c r="AI1307">
        <v>1</v>
      </c>
      <c r="AJ1307" t="s">
        <v>162</v>
      </c>
      <c r="AK1307" t="s">
        <v>176</v>
      </c>
      <c r="AL1307">
        <v>0</v>
      </c>
      <c r="AM1307" t="s">
        <v>176</v>
      </c>
      <c r="AN1307">
        <v>0</v>
      </c>
    </row>
    <row r="1308" spans="1:40" x14ac:dyDescent="0.15">
      <c r="A1308" s="4" t="str">
        <f>HYPERLINK("https://ibp.a2mac1.com/costing(costing:projects/details/9760/process/12086301)","MANUFACTURING  PROCESS")</f>
        <v>MANUFACTURING  PROCESS</v>
      </c>
      <c r="B1308" t="s">
        <v>4962</v>
      </c>
      <c r="C1308">
        <v>12086301</v>
      </c>
      <c r="D1308">
        <v>8417059</v>
      </c>
      <c r="E1308">
        <v>0.50208106666666663</v>
      </c>
      <c r="F1308">
        <v>0</v>
      </c>
      <c r="G1308">
        <v>0</v>
      </c>
      <c r="H1308">
        <v>6.2760133333333336E-5</v>
      </c>
      <c r="I1308" t="s">
        <v>176</v>
      </c>
      <c r="J1308">
        <v>1.9969133333333333E-2</v>
      </c>
      <c r="K1308">
        <v>0.5221129601333333</v>
      </c>
      <c r="L1308">
        <v>9.2624458320901947E-3</v>
      </c>
      <c r="M1308">
        <v>5.5574674992541165E-2</v>
      </c>
      <c r="N1308">
        <v>0.57768763512587451</v>
      </c>
      <c r="O1308" t="s">
        <v>177</v>
      </c>
      <c r="P1308">
        <v>3.1326777607999998E-2</v>
      </c>
      <c r="Q1308" t="s">
        <v>177</v>
      </c>
      <c r="R1308">
        <v>3.33448049955247E-3</v>
      </c>
      <c r="S1308" t="s">
        <v>178</v>
      </c>
      <c r="T1308">
        <v>6.9322516215104935E-2</v>
      </c>
      <c r="U1308">
        <v>0.68167140944853188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3.3614600000000001</v>
      </c>
      <c r="AB1308">
        <v>2</v>
      </c>
      <c r="AC1308">
        <v>0.01</v>
      </c>
      <c r="AD1308">
        <v>1.099879013308536E-2</v>
      </c>
      <c r="AE1308">
        <v>5400</v>
      </c>
      <c r="AF1308">
        <v>400000</v>
      </c>
      <c r="AG1308">
        <v>33333.333333333336</v>
      </c>
      <c r="AH1308">
        <v>1</v>
      </c>
      <c r="AI1308">
        <v>1</v>
      </c>
      <c r="AJ1308" t="s">
        <v>162</v>
      </c>
      <c r="AK1308" t="s">
        <v>176</v>
      </c>
      <c r="AL1308">
        <v>0</v>
      </c>
      <c r="AM1308" t="s">
        <v>176</v>
      </c>
      <c r="AN1308">
        <v>0</v>
      </c>
    </row>
    <row r="1309" spans="1:40" x14ac:dyDescent="0.15">
      <c r="A1309" s="4" t="str">
        <f>HYPERLINK("https://ibp.a2mac1.com/costing(costing:projects/details/9760/process/12086456)","MANUFACTURING  PROCESS")</f>
        <v>MANUFACTURING  PROCESS</v>
      </c>
      <c r="B1309" t="s">
        <v>4962</v>
      </c>
      <c r="C1309">
        <v>12086456</v>
      </c>
      <c r="D1309">
        <v>8417278</v>
      </c>
      <c r="E1309">
        <v>0.73519013333333338</v>
      </c>
      <c r="F1309">
        <v>0</v>
      </c>
      <c r="G1309">
        <v>0</v>
      </c>
      <c r="H1309">
        <v>9.1898766666666668E-5</v>
      </c>
      <c r="I1309" t="s">
        <v>176</v>
      </c>
      <c r="J1309">
        <v>2.9240516666666667E-2</v>
      </c>
      <c r="K1309">
        <v>0.7645225487666667</v>
      </c>
      <c r="L1309">
        <v>1.0313049872942069E-2</v>
      </c>
      <c r="M1309">
        <v>6.1878299237652409E-2</v>
      </c>
      <c r="N1309">
        <v>0.82640084800431912</v>
      </c>
      <c r="O1309" t="s">
        <v>177</v>
      </c>
      <c r="P1309">
        <v>4.5871352926000003E-2</v>
      </c>
      <c r="Q1309" t="s">
        <v>177</v>
      </c>
      <c r="R1309">
        <v>3.7126979542591448E-3</v>
      </c>
      <c r="S1309" t="s">
        <v>178</v>
      </c>
      <c r="T1309">
        <v>9.9168101760518296E-2</v>
      </c>
      <c r="U1309">
        <v>0.97515300064509647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3.78294</v>
      </c>
      <c r="AB1309">
        <v>2</v>
      </c>
      <c r="AC1309">
        <v>0.01</v>
      </c>
      <c r="AD1309">
        <v>1.099879013308536E-2</v>
      </c>
      <c r="AE1309">
        <v>5400</v>
      </c>
      <c r="AF1309">
        <v>400000</v>
      </c>
      <c r="AG1309">
        <v>33333.333333333336</v>
      </c>
      <c r="AH1309">
        <v>1</v>
      </c>
      <c r="AI1309">
        <v>1</v>
      </c>
      <c r="AJ1309" t="s">
        <v>162</v>
      </c>
      <c r="AK1309" t="s">
        <v>176</v>
      </c>
      <c r="AL1309">
        <v>0</v>
      </c>
      <c r="AM1309" t="s">
        <v>176</v>
      </c>
      <c r="AN1309">
        <v>0</v>
      </c>
    </row>
    <row r="1310" spans="1:40" x14ac:dyDescent="0.15">
      <c r="A1310" s="4" t="str">
        <f>HYPERLINK("https://ibp.a2mac1.com/costing(costing:projects/details/9760/process/12086457)","MANUFACTURING  PROCESS")</f>
        <v>MANUFACTURING  PROCESS</v>
      </c>
      <c r="B1310" t="s">
        <v>4962</v>
      </c>
      <c r="C1310">
        <v>12086457</v>
      </c>
      <c r="D1310">
        <v>8417279</v>
      </c>
      <c r="E1310">
        <v>0.31151847999999999</v>
      </c>
      <c r="F1310">
        <v>0</v>
      </c>
      <c r="G1310">
        <v>0</v>
      </c>
      <c r="H1310">
        <v>3.7656079999999999E-5</v>
      </c>
      <c r="I1310" t="s">
        <v>176</v>
      </c>
      <c r="J1310">
        <v>1.1981479999999999E-2</v>
      </c>
      <c r="K1310">
        <v>0.32353761607999998</v>
      </c>
      <c r="L1310">
        <v>9.2624458320901947E-3</v>
      </c>
      <c r="M1310">
        <v>5.5574674992541165E-2</v>
      </c>
      <c r="N1310">
        <v>0.37911229107254119</v>
      </c>
      <c r="O1310" t="s">
        <v>177</v>
      </c>
      <c r="P1310">
        <v>1.94122569648E-2</v>
      </c>
      <c r="Q1310" t="s">
        <v>177</v>
      </c>
      <c r="R1310">
        <v>3.33448049955247E-3</v>
      </c>
      <c r="S1310" t="s">
        <v>178</v>
      </c>
      <c r="T1310">
        <v>4.5493474928704938E-2</v>
      </c>
      <c r="U1310">
        <v>0.44735250346559857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3.3614600000000001</v>
      </c>
      <c r="AB1310">
        <v>2</v>
      </c>
      <c r="AC1310">
        <v>0.01</v>
      </c>
      <c r="AD1310">
        <v>1.099879013308536E-2</v>
      </c>
      <c r="AE1310">
        <v>5400</v>
      </c>
      <c r="AF1310">
        <v>400000</v>
      </c>
      <c r="AG1310">
        <v>33333.333333333336</v>
      </c>
      <c r="AH1310">
        <v>1</v>
      </c>
      <c r="AI1310">
        <v>1</v>
      </c>
      <c r="AJ1310" t="s">
        <v>162</v>
      </c>
      <c r="AK1310" t="s">
        <v>176</v>
      </c>
      <c r="AL1310">
        <v>0</v>
      </c>
      <c r="AM1310" t="s">
        <v>176</v>
      </c>
      <c r="AN1310">
        <v>0</v>
      </c>
    </row>
    <row r="1311" spans="1:40" x14ac:dyDescent="0.15">
      <c r="A1311" s="4" t="str">
        <f>HYPERLINK("https://ibp.a2mac1.com/costing(costing:projects/details/9760/process/12086458)","MANUFACTURING  PROCESS")</f>
        <v>MANUFACTURING  PROCESS</v>
      </c>
      <c r="B1311" t="s">
        <v>4962</v>
      </c>
      <c r="C1311">
        <v>12086458</v>
      </c>
      <c r="D1311">
        <v>8417280</v>
      </c>
      <c r="E1311">
        <v>0.12204839615384615</v>
      </c>
      <c r="F1311">
        <v>0</v>
      </c>
      <c r="G1311">
        <v>0</v>
      </c>
      <c r="H1311">
        <v>1.5000361538461538E-5</v>
      </c>
      <c r="I1311" t="s">
        <v>176</v>
      </c>
      <c r="J1311">
        <v>4.7728423076923076E-3</v>
      </c>
      <c r="K1311">
        <v>0.12683623882307693</v>
      </c>
      <c r="L1311">
        <v>9.2624458320901947E-3</v>
      </c>
      <c r="M1311">
        <v>5.5574674992541165E-2</v>
      </c>
      <c r="N1311">
        <v>0.18241091381561808</v>
      </c>
      <c r="O1311" t="s">
        <v>177</v>
      </c>
      <c r="P1311">
        <v>7.610174329384615E-3</v>
      </c>
      <c r="Q1311" t="s">
        <v>177</v>
      </c>
      <c r="R1311">
        <v>3.33448049955247E-3</v>
      </c>
      <c r="S1311" t="s">
        <v>178</v>
      </c>
      <c r="T1311">
        <v>2.1889309657874171E-2</v>
      </c>
      <c r="U1311">
        <v>0.21524487830242933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3.3614600000000001</v>
      </c>
      <c r="AB1311">
        <v>2</v>
      </c>
      <c r="AC1311">
        <v>0.01</v>
      </c>
      <c r="AD1311">
        <v>1.099879013308536E-2</v>
      </c>
      <c r="AE1311">
        <v>5400</v>
      </c>
      <c r="AF1311">
        <v>400000</v>
      </c>
      <c r="AG1311">
        <v>33333.333333333336</v>
      </c>
      <c r="AH1311">
        <v>1</v>
      </c>
      <c r="AI1311">
        <v>1</v>
      </c>
      <c r="AJ1311" t="s">
        <v>162</v>
      </c>
      <c r="AK1311" t="s">
        <v>176</v>
      </c>
      <c r="AL1311">
        <v>0</v>
      </c>
      <c r="AM1311" t="s">
        <v>176</v>
      </c>
      <c r="AN1311">
        <v>0</v>
      </c>
    </row>
    <row r="1312" spans="1:40" x14ac:dyDescent="0.15">
      <c r="A1312" s="4" t="str">
        <f>HYPERLINK("https://ibp.a2mac1.com/costing(costing:projects/details/9760/process/12086459)","MANUFACTURING  PROCESS")</f>
        <v>MANUFACTURING  PROCESS</v>
      </c>
      <c r="B1312" t="s">
        <v>4962</v>
      </c>
      <c r="C1312">
        <v>12086459</v>
      </c>
      <c r="D1312">
        <v>8417281</v>
      </c>
      <c r="E1312">
        <v>0.15304914333333333</v>
      </c>
      <c r="F1312">
        <v>0</v>
      </c>
      <c r="G1312">
        <v>0</v>
      </c>
      <c r="H1312">
        <v>1.8200438666666666E-5</v>
      </c>
      <c r="I1312" t="s">
        <v>176</v>
      </c>
      <c r="J1312">
        <v>5.7910486666666663E-3</v>
      </c>
      <c r="K1312">
        <v>0.15885839243866667</v>
      </c>
      <c r="L1312">
        <v>9.2624458320901947E-3</v>
      </c>
      <c r="M1312">
        <v>5.5574674992541165E-2</v>
      </c>
      <c r="N1312">
        <v>0.21443306743120782</v>
      </c>
      <c r="O1312" t="s">
        <v>177</v>
      </c>
      <c r="P1312">
        <v>9.5315035463199999E-3</v>
      </c>
      <c r="Q1312" t="s">
        <v>177</v>
      </c>
      <c r="R1312">
        <v>3.33448049955247E-3</v>
      </c>
      <c r="S1312" t="s">
        <v>178</v>
      </c>
      <c r="T1312">
        <v>2.5731968091744939E-2</v>
      </c>
      <c r="U1312">
        <v>0.25303101956882523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3.3614600000000001</v>
      </c>
      <c r="AB1312">
        <v>2</v>
      </c>
      <c r="AC1312">
        <v>0.01</v>
      </c>
      <c r="AD1312">
        <v>1.099879013308536E-2</v>
      </c>
      <c r="AE1312">
        <v>5400</v>
      </c>
      <c r="AF1312">
        <v>400000</v>
      </c>
      <c r="AG1312">
        <v>33333.333333333336</v>
      </c>
      <c r="AH1312">
        <v>1</v>
      </c>
      <c r="AI1312">
        <v>1</v>
      </c>
      <c r="AJ1312" t="s">
        <v>162</v>
      </c>
      <c r="AK1312" t="s">
        <v>176</v>
      </c>
      <c r="AL1312">
        <v>0</v>
      </c>
      <c r="AM1312" t="s">
        <v>176</v>
      </c>
      <c r="AN1312">
        <v>0</v>
      </c>
    </row>
    <row r="1313" spans="1:40" x14ac:dyDescent="0.15">
      <c r="A1313" s="4" t="str">
        <f>HYPERLINK("https://ibp.a2mac1.com/costing(costing:projects/details/9760/process/12086460)","MANUFACTURING  PROCESS")</f>
        <v>MANUFACTURING  PROCESS</v>
      </c>
      <c r="B1313" t="s">
        <v>4962</v>
      </c>
      <c r="C1313">
        <v>12086460</v>
      </c>
      <c r="D1313">
        <v>8417282</v>
      </c>
      <c r="E1313">
        <v>1.149244E-2</v>
      </c>
      <c r="F1313">
        <v>0</v>
      </c>
      <c r="G1313">
        <v>0</v>
      </c>
      <c r="H1313">
        <v>1.34486E-6</v>
      </c>
      <c r="I1313" t="s">
        <v>176</v>
      </c>
      <c r="J1313">
        <v>4.2790999999999999E-4</v>
      </c>
      <c r="K1313">
        <v>1.192169486E-2</v>
      </c>
      <c r="L1313">
        <v>3.60065520774138E-3</v>
      </c>
      <c r="M1313">
        <v>2.1603931246448278E-2</v>
      </c>
      <c r="N1313">
        <v>3.3525626106448277E-2</v>
      </c>
      <c r="O1313" t="s">
        <v>177</v>
      </c>
      <c r="P1313">
        <v>7.1530169160000003E-4</v>
      </c>
      <c r="Q1313" t="s">
        <v>177</v>
      </c>
      <c r="R1313">
        <v>1.2962358747868967E-3</v>
      </c>
      <c r="S1313" t="s">
        <v>178</v>
      </c>
      <c r="T1313">
        <v>4.0230751327737938E-3</v>
      </c>
      <c r="U1313">
        <v>3.9560238805608973E-2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1.0900700000000001</v>
      </c>
      <c r="AB1313">
        <v>2</v>
      </c>
      <c r="AC1313">
        <v>0.01</v>
      </c>
      <c r="AD1313">
        <v>1.099879013308536E-2</v>
      </c>
      <c r="AE1313">
        <v>5400</v>
      </c>
      <c r="AF1313">
        <v>400000</v>
      </c>
      <c r="AG1313">
        <v>33333.333333333336</v>
      </c>
      <c r="AH1313">
        <v>1</v>
      </c>
      <c r="AI1313">
        <v>1</v>
      </c>
      <c r="AJ1313" t="s">
        <v>162</v>
      </c>
      <c r="AK1313" t="s">
        <v>176</v>
      </c>
      <c r="AL1313">
        <v>0</v>
      </c>
      <c r="AM1313" t="s">
        <v>176</v>
      </c>
      <c r="AN1313">
        <v>0</v>
      </c>
    </row>
    <row r="1314" spans="1:40" x14ac:dyDescent="0.15">
      <c r="A1314" s="4" t="str">
        <f>HYPERLINK("https://ibp.a2mac1.com/costing(costing:projects/details/9760/process/12086461)","MANUFACTURING  PROCESS")</f>
        <v>MANUFACTURING  PROCESS</v>
      </c>
      <c r="B1314" t="s">
        <v>4962</v>
      </c>
      <c r="C1314">
        <v>12086461</v>
      </c>
      <c r="D1314">
        <v>8417283</v>
      </c>
      <c r="E1314">
        <v>8.5475022499999997E-2</v>
      </c>
      <c r="F1314">
        <v>0</v>
      </c>
      <c r="G1314">
        <v>0</v>
      </c>
      <c r="H1314">
        <v>1.0002396250000001E-5</v>
      </c>
      <c r="I1314" t="s">
        <v>176</v>
      </c>
      <c r="J1314">
        <v>3.1825806250000001E-3</v>
      </c>
      <c r="K1314">
        <v>8.8667605521249998E-2</v>
      </c>
      <c r="L1314">
        <v>0.11105881848676158</v>
      </c>
      <c r="M1314">
        <v>0.66635291092056947</v>
      </c>
      <c r="N1314">
        <v>0.75502051644181944</v>
      </c>
      <c r="O1314" t="s">
        <v>177</v>
      </c>
      <c r="P1314">
        <v>5.3200563312749997E-3</v>
      </c>
      <c r="Q1314" t="s">
        <v>177</v>
      </c>
      <c r="R1314">
        <v>3.9981174655234167E-2</v>
      </c>
      <c r="S1314" t="s">
        <v>178</v>
      </c>
      <c r="T1314">
        <v>9.0602461973018342E-2</v>
      </c>
      <c r="U1314">
        <v>0.89092420940134698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22.1</v>
      </c>
      <c r="AB1314">
        <v>1</v>
      </c>
      <c r="AC1314">
        <v>0.01</v>
      </c>
      <c r="AD1314">
        <v>1.099879013308536E-2</v>
      </c>
      <c r="AE1314">
        <v>5400</v>
      </c>
      <c r="AF1314">
        <v>400000</v>
      </c>
      <c r="AG1314">
        <v>33333.333333333336</v>
      </c>
      <c r="AH1314">
        <v>1</v>
      </c>
      <c r="AI1314">
        <v>1</v>
      </c>
      <c r="AJ1314" t="s">
        <v>162</v>
      </c>
      <c r="AK1314" t="s">
        <v>176</v>
      </c>
      <c r="AL1314">
        <v>0</v>
      </c>
      <c r="AM1314" t="s">
        <v>176</v>
      </c>
      <c r="AN1314">
        <v>0</v>
      </c>
    </row>
    <row r="1315" spans="1:40" x14ac:dyDescent="0.15">
      <c r="A1315" s="4" t="str">
        <f>HYPERLINK("https://ibp.a2mac1.com/costing(costing:projects/details/9760/process/12086302)","MANUFACTURING  PROCESS")</f>
        <v>MANUFACTURING  PROCESS</v>
      </c>
      <c r="B1315" t="s">
        <v>4962</v>
      </c>
      <c r="C1315">
        <v>12086302</v>
      </c>
      <c r="D1315">
        <v>8417063</v>
      </c>
      <c r="E1315">
        <v>70.755988225999999</v>
      </c>
      <c r="F1315">
        <v>0</v>
      </c>
      <c r="G1315">
        <v>0</v>
      </c>
      <c r="H1315">
        <v>8.2799560689999999E-3</v>
      </c>
      <c r="I1315" t="s">
        <v>176</v>
      </c>
      <c r="J1315">
        <v>2.6345314764999999</v>
      </c>
      <c r="K1315">
        <v>73.398799658569004</v>
      </c>
      <c r="L1315">
        <v>1.241376107368086</v>
      </c>
      <c r="M1315">
        <v>7.4482566442085156</v>
      </c>
      <c r="N1315">
        <v>80.847056302777517</v>
      </c>
      <c r="O1315" t="s">
        <v>177</v>
      </c>
      <c r="P1315">
        <v>4.4039279795141404</v>
      </c>
      <c r="Q1315" t="s">
        <v>177</v>
      </c>
      <c r="R1315">
        <v>0.44689539865251093</v>
      </c>
      <c r="S1315" t="s">
        <v>178</v>
      </c>
      <c r="T1315">
        <v>9.701646756333302</v>
      </c>
      <c r="U1315">
        <v>95.399526437277473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248.82963000000001</v>
      </c>
      <c r="AB1315">
        <v>1</v>
      </c>
      <c r="AC1315">
        <v>0.01</v>
      </c>
      <c r="AD1315">
        <v>1.099879013308536E-2</v>
      </c>
      <c r="AE1315">
        <v>5400</v>
      </c>
      <c r="AF1315">
        <v>400000</v>
      </c>
      <c r="AG1315">
        <v>33333.333333333336</v>
      </c>
      <c r="AH1315">
        <v>1</v>
      </c>
      <c r="AI1315">
        <v>1</v>
      </c>
      <c r="AJ1315" t="s">
        <v>162</v>
      </c>
      <c r="AK1315" t="s">
        <v>176</v>
      </c>
      <c r="AL1315">
        <v>0</v>
      </c>
      <c r="AM1315" t="s">
        <v>176</v>
      </c>
      <c r="AN1315">
        <v>0</v>
      </c>
    </row>
    <row r="1316" spans="1:40" x14ac:dyDescent="0.15">
      <c r="A1316" s="4" t="str">
        <f>HYPERLINK("https://ibp.a2mac1.com/costing(costing:projects/details/9760/process/12086303)","MANUFACTURING  PROCESS")</f>
        <v>MANUFACTURING  PROCESS</v>
      </c>
      <c r="B1316" t="s">
        <v>4962</v>
      </c>
      <c r="C1316">
        <v>12086303</v>
      </c>
      <c r="D1316">
        <v>8417064</v>
      </c>
      <c r="E1316">
        <v>0.74557204499999996</v>
      </c>
      <c r="F1316">
        <v>0</v>
      </c>
      <c r="G1316">
        <v>0</v>
      </c>
      <c r="H1316">
        <v>8.7247792500000005E-5</v>
      </c>
      <c r="I1316" t="s">
        <v>176</v>
      </c>
      <c r="J1316">
        <v>2.7760661249999999E-2</v>
      </c>
      <c r="K1316">
        <v>0.77341995404249997</v>
      </c>
      <c r="L1316">
        <v>3.860173771317308E-2</v>
      </c>
      <c r="M1316">
        <v>0.23161042627903847</v>
      </c>
      <c r="N1316">
        <v>1.0050303803215386</v>
      </c>
      <c r="O1316" t="s">
        <v>177</v>
      </c>
      <c r="P1316">
        <v>4.6405197242550003E-2</v>
      </c>
      <c r="Q1316" t="s">
        <v>177</v>
      </c>
      <c r="R1316">
        <v>1.3896625576742308E-2</v>
      </c>
      <c r="S1316" t="s">
        <v>178</v>
      </c>
      <c r="T1316">
        <v>0.12060364563858461</v>
      </c>
      <c r="U1316">
        <v>1.1859358487794154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7.5658799999999999</v>
      </c>
      <c r="AB1316">
        <v>1</v>
      </c>
      <c r="AC1316">
        <v>0.01</v>
      </c>
      <c r="AD1316">
        <v>1.099879013308536E-2</v>
      </c>
      <c r="AE1316">
        <v>5400</v>
      </c>
      <c r="AF1316">
        <v>400000</v>
      </c>
      <c r="AG1316">
        <v>33333.333333333336</v>
      </c>
      <c r="AH1316">
        <v>1</v>
      </c>
      <c r="AI1316">
        <v>1</v>
      </c>
      <c r="AJ1316" t="s">
        <v>162</v>
      </c>
      <c r="AK1316" t="s">
        <v>176</v>
      </c>
      <c r="AL1316">
        <v>0</v>
      </c>
      <c r="AM1316" t="s">
        <v>176</v>
      </c>
      <c r="AN1316">
        <v>0</v>
      </c>
    </row>
    <row r="1317" spans="1:40" x14ac:dyDescent="0.15">
      <c r="A1317" s="4" t="str">
        <f>HYPERLINK("https://ibp.a2mac1.com/costing(costing:projects/details/9760/process/12086304)","MANUFACTURING  PROCESS")</f>
        <v>MANUFACTURING  PROCESS</v>
      </c>
      <c r="B1317" t="s">
        <v>4962</v>
      </c>
      <c r="C1317">
        <v>12086304</v>
      </c>
      <c r="D1317">
        <v>8417065</v>
      </c>
      <c r="E1317">
        <v>6.3575199999999998E-2</v>
      </c>
      <c r="F1317">
        <v>0</v>
      </c>
      <c r="G1317">
        <v>0</v>
      </c>
      <c r="H1317">
        <v>7.6849142857142859E-6</v>
      </c>
      <c r="I1317" t="s">
        <v>176</v>
      </c>
      <c r="J1317">
        <v>2.4451999999999998E-3</v>
      </c>
      <c r="K1317">
        <v>6.6028084914285717E-2</v>
      </c>
      <c r="L1317">
        <v>3.60065520774138E-3</v>
      </c>
      <c r="M1317">
        <v>2.1603931246448278E-2</v>
      </c>
      <c r="N1317">
        <v>8.7632016160733989E-2</v>
      </c>
      <c r="O1317" t="s">
        <v>177</v>
      </c>
      <c r="P1317">
        <v>3.9616850948571425E-3</v>
      </c>
      <c r="Q1317" t="s">
        <v>177</v>
      </c>
      <c r="R1317">
        <v>1.2962358747868967E-3</v>
      </c>
      <c r="S1317" t="s">
        <v>178</v>
      </c>
      <c r="T1317">
        <v>1.0515841939288079E-2</v>
      </c>
      <c r="U1317">
        <v>0.10340577906966611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1.0900700000000001</v>
      </c>
      <c r="AB1317">
        <v>2</v>
      </c>
      <c r="AC1317">
        <v>0.01</v>
      </c>
      <c r="AD1317">
        <v>1.099879013308536E-2</v>
      </c>
      <c r="AE1317">
        <v>5400</v>
      </c>
      <c r="AF1317">
        <v>400000</v>
      </c>
      <c r="AG1317">
        <v>33333.333333333336</v>
      </c>
      <c r="AH1317">
        <v>1</v>
      </c>
      <c r="AI1317">
        <v>1</v>
      </c>
      <c r="AJ1317" t="s">
        <v>162</v>
      </c>
      <c r="AK1317" t="s">
        <v>176</v>
      </c>
      <c r="AL1317">
        <v>0</v>
      </c>
      <c r="AM1317" t="s">
        <v>176</v>
      </c>
      <c r="AN1317">
        <v>0</v>
      </c>
    </row>
    <row r="1318" spans="1:40" x14ac:dyDescent="0.15">
      <c r="A1318" s="4" t="str">
        <f>HYPERLINK("https://ibp.a2mac1.com/costing(costing:projects/details/9760/process/12086305)","MANUFACTURING  PROCESS")</f>
        <v>MANUFACTURING  PROCESS</v>
      </c>
      <c r="B1318" t="s">
        <v>4962</v>
      </c>
      <c r="C1318">
        <v>12086305</v>
      </c>
      <c r="D1318">
        <v>8417066</v>
      </c>
      <c r="E1318">
        <v>6.6799807500000002E-2</v>
      </c>
      <c r="F1318">
        <v>0</v>
      </c>
      <c r="G1318">
        <v>0</v>
      </c>
      <c r="H1318">
        <v>7.8169987499999998E-6</v>
      </c>
      <c r="I1318" t="s">
        <v>176</v>
      </c>
      <c r="J1318">
        <v>2.4872268749999999E-3</v>
      </c>
      <c r="K1318">
        <v>6.9294851373749994E-2</v>
      </c>
      <c r="L1318">
        <v>3.60065520774138E-3</v>
      </c>
      <c r="M1318">
        <v>2.1603931246448278E-2</v>
      </c>
      <c r="N1318">
        <v>9.0898782620198279E-2</v>
      </c>
      <c r="O1318" t="s">
        <v>177</v>
      </c>
      <c r="P1318">
        <v>4.1576910824249998E-3</v>
      </c>
      <c r="Q1318" t="s">
        <v>177</v>
      </c>
      <c r="R1318">
        <v>1.2962358747868967E-3</v>
      </c>
      <c r="S1318" t="s">
        <v>178</v>
      </c>
      <c r="T1318">
        <v>1.0907853914423794E-2</v>
      </c>
      <c r="U1318">
        <v>0.10726056349183397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1.0900700000000001</v>
      </c>
      <c r="AB1318">
        <v>2</v>
      </c>
      <c r="AC1318">
        <v>0.01</v>
      </c>
      <c r="AD1318">
        <v>1.099879013308536E-2</v>
      </c>
      <c r="AE1318">
        <v>5400</v>
      </c>
      <c r="AF1318">
        <v>400000</v>
      </c>
      <c r="AG1318">
        <v>33333.333333333336</v>
      </c>
      <c r="AH1318">
        <v>1</v>
      </c>
      <c r="AI1318">
        <v>1</v>
      </c>
      <c r="AJ1318" t="s">
        <v>162</v>
      </c>
      <c r="AK1318" t="s">
        <v>176</v>
      </c>
      <c r="AL1318">
        <v>0</v>
      </c>
      <c r="AM1318" t="s">
        <v>176</v>
      </c>
      <c r="AN1318">
        <v>0</v>
      </c>
    </row>
    <row r="1319" spans="1:40" x14ac:dyDescent="0.15">
      <c r="A1319" s="4" t="str">
        <f>HYPERLINK("https://ibp.a2mac1.com/costing(costing:projects/details/9760/process/12086306)","MANUFACTURING  PROCESS")</f>
        <v>MANUFACTURING  PROCESS</v>
      </c>
      <c r="B1319" t="s">
        <v>4962</v>
      </c>
      <c r="C1319">
        <v>12086306</v>
      </c>
      <c r="D1319">
        <v>8417067</v>
      </c>
      <c r="E1319">
        <v>1.0418182133333334</v>
      </c>
      <c r="F1319">
        <v>0</v>
      </c>
      <c r="G1319">
        <v>0</v>
      </c>
      <c r="H1319">
        <v>1.3022727666666667E-4</v>
      </c>
      <c r="I1319" t="s">
        <v>176</v>
      </c>
      <c r="J1319">
        <v>4.1435951666666665E-2</v>
      </c>
      <c r="K1319">
        <v>1.0833843922766666</v>
      </c>
      <c r="L1319">
        <v>5.102587579995773E-2</v>
      </c>
      <c r="M1319">
        <v>0.30615525479974642</v>
      </c>
      <c r="N1319">
        <v>1.389539647076413</v>
      </c>
      <c r="O1319" t="s">
        <v>177</v>
      </c>
      <c r="P1319">
        <v>6.50030635366E-2</v>
      </c>
      <c r="Q1319" t="s">
        <v>177</v>
      </c>
      <c r="R1319">
        <v>1.8369315287984782E-2</v>
      </c>
      <c r="S1319" t="s">
        <v>178</v>
      </c>
      <c r="T1319">
        <v>0.16674475764916957</v>
      </c>
      <c r="U1319">
        <v>1.6396567835501674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10.05803</v>
      </c>
      <c r="AB1319">
        <v>1</v>
      </c>
      <c r="AC1319">
        <v>0.01</v>
      </c>
      <c r="AD1319">
        <v>1.099879013308536E-2</v>
      </c>
      <c r="AE1319">
        <v>5400</v>
      </c>
      <c r="AF1319">
        <v>400000</v>
      </c>
      <c r="AG1319">
        <v>33333.333333333336</v>
      </c>
      <c r="AH1319">
        <v>1</v>
      </c>
      <c r="AI1319">
        <v>1</v>
      </c>
      <c r="AJ1319" t="s">
        <v>162</v>
      </c>
      <c r="AK1319" t="s">
        <v>176</v>
      </c>
      <c r="AL1319">
        <v>0</v>
      </c>
      <c r="AM1319" t="s">
        <v>176</v>
      </c>
      <c r="AN1319">
        <v>0</v>
      </c>
    </row>
    <row r="1320" spans="1:40" x14ac:dyDescent="0.15">
      <c r="A1320" s="4" t="str">
        <f>HYPERLINK("https://ibp.a2mac1.com/costing(costing:projects/details/9760/process/12086307)","MANUFACTURING  PROCESS")</f>
        <v>MANUFACTURING  PROCESS</v>
      </c>
      <c r="B1320" t="s">
        <v>4962</v>
      </c>
      <c r="C1320">
        <v>12086307</v>
      </c>
      <c r="D1320">
        <v>8417068</v>
      </c>
      <c r="E1320">
        <v>0.14517263545454545</v>
      </c>
      <c r="F1320">
        <v>0</v>
      </c>
      <c r="G1320">
        <v>0</v>
      </c>
      <c r="H1320">
        <v>1.8461259999999999E-5</v>
      </c>
      <c r="I1320" t="s">
        <v>176</v>
      </c>
      <c r="J1320">
        <v>5.8740372727272725E-3</v>
      </c>
      <c r="K1320">
        <v>0.15106513398727273</v>
      </c>
      <c r="L1320">
        <v>6.0085096525124091E-3</v>
      </c>
      <c r="M1320">
        <v>3.6051057915074451E-2</v>
      </c>
      <c r="N1320">
        <v>0.18711619190234718</v>
      </c>
      <c r="O1320" t="s">
        <v>177</v>
      </c>
      <c r="P1320">
        <v>9.0639080392363632E-3</v>
      </c>
      <c r="Q1320" t="s">
        <v>177</v>
      </c>
      <c r="R1320">
        <v>2.1630634749044671E-3</v>
      </c>
      <c r="S1320" t="s">
        <v>178</v>
      </c>
      <c r="T1320">
        <v>2.2453943028281662E-2</v>
      </c>
      <c r="U1320">
        <v>0.22079710644476969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2.0560499999999999</v>
      </c>
      <c r="AB1320">
        <v>2</v>
      </c>
      <c r="AC1320">
        <v>0.01</v>
      </c>
      <c r="AD1320">
        <v>1.099879013308536E-2</v>
      </c>
      <c r="AE1320">
        <v>5400</v>
      </c>
      <c r="AF1320">
        <v>400000</v>
      </c>
      <c r="AG1320">
        <v>33333.333333333336</v>
      </c>
      <c r="AH1320">
        <v>1</v>
      </c>
      <c r="AI1320">
        <v>1</v>
      </c>
      <c r="AJ1320" t="s">
        <v>162</v>
      </c>
      <c r="AK1320" t="s">
        <v>176</v>
      </c>
      <c r="AL1320">
        <v>0</v>
      </c>
      <c r="AM1320" t="s">
        <v>176</v>
      </c>
      <c r="AN1320">
        <v>0</v>
      </c>
    </row>
    <row r="1321" spans="1:40" x14ac:dyDescent="0.15">
      <c r="A1321" s="4" t="str">
        <f>HYPERLINK("https://ibp.a2mac1.com/costing(costing:projects/details/9760/process/12086308)","MANUFACTURING  PROCESS")</f>
        <v>MANUFACTURING  PROCESS</v>
      </c>
      <c r="B1321" t="s">
        <v>4962</v>
      </c>
      <c r="C1321">
        <v>12086308</v>
      </c>
      <c r="D1321">
        <v>8417069</v>
      </c>
      <c r="E1321">
        <v>0.17882192181818182</v>
      </c>
      <c r="F1321">
        <v>0</v>
      </c>
      <c r="G1321">
        <v>0</v>
      </c>
      <c r="H1321">
        <v>2.2740360000000001E-5</v>
      </c>
      <c r="I1321" t="s">
        <v>176</v>
      </c>
      <c r="J1321">
        <v>7.2355690909090909E-3</v>
      </c>
      <c r="K1321">
        <v>0.1860802312690909</v>
      </c>
      <c r="L1321">
        <v>6.0085096525124091E-3</v>
      </c>
      <c r="M1321">
        <v>3.6051057915074451E-2</v>
      </c>
      <c r="N1321">
        <v>0.22213128918416536</v>
      </c>
      <c r="O1321" t="s">
        <v>177</v>
      </c>
      <c r="P1321">
        <v>1.1164813876145454E-2</v>
      </c>
      <c r="Q1321" t="s">
        <v>177</v>
      </c>
      <c r="R1321">
        <v>2.1630634749044671E-3</v>
      </c>
      <c r="S1321" t="s">
        <v>178</v>
      </c>
      <c r="T1321">
        <v>2.6655754702099844E-2</v>
      </c>
      <c r="U1321">
        <v>0.26211492123731511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2.0560499999999999</v>
      </c>
      <c r="AB1321">
        <v>2</v>
      </c>
      <c r="AC1321">
        <v>0.01</v>
      </c>
      <c r="AD1321">
        <v>1.099879013308536E-2</v>
      </c>
      <c r="AE1321">
        <v>5400</v>
      </c>
      <c r="AF1321">
        <v>400000</v>
      </c>
      <c r="AG1321">
        <v>33333.333333333336</v>
      </c>
      <c r="AH1321">
        <v>1</v>
      </c>
      <c r="AI1321">
        <v>1</v>
      </c>
      <c r="AJ1321" t="s">
        <v>162</v>
      </c>
      <c r="AK1321" t="s">
        <v>176</v>
      </c>
      <c r="AL1321">
        <v>0</v>
      </c>
      <c r="AM1321" t="s">
        <v>176</v>
      </c>
      <c r="AN1321">
        <v>0</v>
      </c>
    </row>
    <row r="1322" spans="1:40" x14ac:dyDescent="0.15">
      <c r="A1322" s="4" t="str">
        <f>HYPERLINK("https://ibp.a2mac1.com/costing(costing:projects/details/9760/process/12086309)","MANUFACTURING  PROCESS")</f>
        <v>MANUFACTURING  PROCESS</v>
      </c>
      <c r="B1322" t="s">
        <v>4962</v>
      </c>
      <c r="C1322">
        <v>12086309</v>
      </c>
      <c r="D1322">
        <v>8417070</v>
      </c>
      <c r="E1322">
        <v>1.6326246179999999</v>
      </c>
      <c r="F1322">
        <v>0</v>
      </c>
      <c r="G1322">
        <v>0</v>
      </c>
      <c r="H1322">
        <v>1.9105181700000001E-4</v>
      </c>
      <c r="I1322" t="s">
        <v>176</v>
      </c>
      <c r="J1322">
        <v>6.0789214500000001E-2</v>
      </c>
      <c r="K1322">
        <v>1.693604884317</v>
      </c>
      <c r="L1322">
        <v>4.1377109145187156E-2</v>
      </c>
      <c r="M1322">
        <v>0.24826265487112295</v>
      </c>
      <c r="N1322">
        <v>1.941867539188123</v>
      </c>
      <c r="O1322" t="s">
        <v>177</v>
      </c>
      <c r="P1322">
        <v>0.10161629305901999</v>
      </c>
      <c r="Q1322" t="s">
        <v>177</v>
      </c>
      <c r="R1322">
        <v>1.4895759292267377E-2</v>
      </c>
      <c r="S1322" t="s">
        <v>178</v>
      </c>
      <c r="T1322">
        <v>0.23302410470257476</v>
      </c>
      <c r="U1322">
        <v>2.2914036962419853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8.1225900000000006</v>
      </c>
      <c r="AB1322">
        <v>1</v>
      </c>
      <c r="AC1322">
        <v>0.01</v>
      </c>
      <c r="AD1322">
        <v>1.099879013308536E-2</v>
      </c>
      <c r="AE1322">
        <v>5400</v>
      </c>
      <c r="AF1322">
        <v>400000</v>
      </c>
      <c r="AG1322">
        <v>33333.333333333336</v>
      </c>
      <c r="AH1322">
        <v>1</v>
      </c>
      <c r="AI1322">
        <v>1</v>
      </c>
      <c r="AJ1322" t="s">
        <v>162</v>
      </c>
      <c r="AK1322" t="s">
        <v>176</v>
      </c>
      <c r="AL1322">
        <v>0</v>
      </c>
      <c r="AM1322" t="s">
        <v>176</v>
      </c>
      <c r="AN1322">
        <v>0</v>
      </c>
    </row>
    <row r="1323" spans="1:40" x14ac:dyDescent="0.15">
      <c r="A1323" s="4" t="str">
        <f>HYPERLINK("https://ibp.a2mac1.com/costing(costing:projects/details/9760/process/12086310)","MANUFACTURING  PROCESS")</f>
        <v>MANUFACTURING  PROCESS</v>
      </c>
      <c r="B1323" t="s">
        <v>4962</v>
      </c>
      <c r="C1323">
        <v>12086310</v>
      </c>
      <c r="D1323">
        <v>8417071</v>
      </c>
      <c r="E1323">
        <v>1.8517687692307692E-2</v>
      </c>
      <c r="F1323">
        <v>0</v>
      </c>
      <c r="G1323">
        <v>0</v>
      </c>
      <c r="H1323">
        <v>2.2759169230769231E-6</v>
      </c>
      <c r="I1323" t="s">
        <v>176</v>
      </c>
      <c r="J1323">
        <v>7.2415538461538466E-4</v>
      </c>
      <c r="K1323">
        <v>1.9244118993846152E-2</v>
      </c>
      <c r="L1323">
        <v>1.5051802315087317E-3</v>
      </c>
      <c r="M1323">
        <v>9.0310813890523908E-3</v>
      </c>
      <c r="N1323">
        <v>2.8275200382898547E-2</v>
      </c>
      <c r="O1323" t="s">
        <v>177</v>
      </c>
      <c r="P1323">
        <v>1.1546471396307692E-3</v>
      </c>
      <c r="Q1323" t="s">
        <v>177</v>
      </c>
      <c r="R1323">
        <v>5.4186488334314351E-4</v>
      </c>
      <c r="S1323" t="s">
        <v>178</v>
      </c>
      <c r="T1323">
        <v>3.3930240459478255E-3</v>
      </c>
      <c r="U1323">
        <v>3.3364736451820282E-2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0.24940999999999999</v>
      </c>
      <c r="AB1323">
        <v>2</v>
      </c>
      <c r="AC1323">
        <v>0.01</v>
      </c>
      <c r="AD1323">
        <v>1.099879013308536E-2</v>
      </c>
      <c r="AE1323">
        <v>5400</v>
      </c>
      <c r="AF1323">
        <v>400000</v>
      </c>
      <c r="AG1323">
        <v>33333.333333333336</v>
      </c>
      <c r="AH1323">
        <v>1</v>
      </c>
      <c r="AI1323">
        <v>1</v>
      </c>
      <c r="AJ1323" t="s">
        <v>162</v>
      </c>
      <c r="AK1323" t="s">
        <v>176</v>
      </c>
      <c r="AL1323">
        <v>0</v>
      </c>
      <c r="AM1323" t="s">
        <v>176</v>
      </c>
      <c r="AN1323">
        <v>0</v>
      </c>
    </row>
    <row r="1324" spans="1:40" x14ac:dyDescent="0.15">
      <c r="A1324" s="4" t="str">
        <f>HYPERLINK("https://ibp.a2mac1.com/costing(costing:projects/details/9760/process/12086311)","MANUFACTURING  PROCESS")</f>
        <v>MANUFACTURING  PROCESS</v>
      </c>
      <c r="B1324" t="s">
        <v>4962</v>
      </c>
      <c r="C1324">
        <v>12086311</v>
      </c>
      <c r="D1324">
        <v>8417072</v>
      </c>
      <c r="E1324">
        <v>0.14720385899999999</v>
      </c>
      <c r="F1324">
        <v>0</v>
      </c>
      <c r="G1324">
        <v>0</v>
      </c>
      <c r="H1324">
        <v>1.7225983499999999E-5</v>
      </c>
      <c r="I1324" t="s">
        <v>176</v>
      </c>
      <c r="J1324">
        <v>5.4809947499999999E-3</v>
      </c>
      <c r="K1324">
        <v>0.1527020797335</v>
      </c>
      <c r="L1324">
        <v>4.1377109145187156E-2</v>
      </c>
      <c r="M1324">
        <v>0.24826265487112295</v>
      </c>
      <c r="N1324">
        <v>0.40096473460462295</v>
      </c>
      <c r="O1324" t="s">
        <v>177</v>
      </c>
      <c r="P1324">
        <v>9.1621247840099999E-3</v>
      </c>
      <c r="Q1324" t="s">
        <v>177</v>
      </c>
      <c r="R1324">
        <v>1.4895759292267377E-2</v>
      </c>
      <c r="S1324" t="s">
        <v>178</v>
      </c>
      <c r="T1324">
        <v>4.811576815255475E-2</v>
      </c>
      <c r="U1324">
        <v>0.47313838683345505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8.1225900000000006</v>
      </c>
      <c r="AB1324">
        <v>1</v>
      </c>
      <c r="AC1324">
        <v>0.01</v>
      </c>
      <c r="AD1324">
        <v>1.099879013308536E-2</v>
      </c>
      <c r="AE1324">
        <v>5400</v>
      </c>
      <c r="AF1324">
        <v>400000</v>
      </c>
      <c r="AG1324">
        <v>33333.333333333336</v>
      </c>
      <c r="AH1324">
        <v>1</v>
      </c>
      <c r="AI1324">
        <v>1</v>
      </c>
      <c r="AJ1324" t="s">
        <v>162</v>
      </c>
      <c r="AK1324" t="s">
        <v>176</v>
      </c>
      <c r="AL1324">
        <v>0</v>
      </c>
      <c r="AM1324" t="s">
        <v>176</v>
      </c>
      <c r="AN1324">
        <v>0</v>
      </c>
    </row>
    <row r="1325" spans="1:40" x14ac:dyDescent="0.15">
      <c r="A1325" s="4" t="str">
        <f>HYPERLINK("https://ibp.a2mac1.com/costing(costing:projects/details/9760/process/12086312)","MANUFACTURING  PROCESS")</f>
        <v>MANUFACTURING  PROCESS</v>
      </c>
      <c r="B1325" t="s">
        <v>4962</v>
      </c>
      <c r="C1325">
        <v>12086312</v>
      </c>
      <c r="D1325">
        <v>8417073</v>
      </c>
      <c r="E1325">
        <v>1.8517687692307692E-2</v>
      </c>
      <c r="F1325">
        <v>0</v>
      </c>
      <c r="G1325">
        <v>0</v>
      </c>
      <c r="H1325">
        <v>2.2759169230769231E-6</v>
      </c>
      <c r="I1325" t="s">
        <v>176</v>
      </c>
      <c r="J1325">
        <v>7.2415538461538466E-4</v>
      </c>
      <c r="K1325">
        <v>1.9244118993846152E-2</v>
      </c>
      <c r="L1325">
        <v>1.5051802315087317E-3</v>
      </c>
      <c r="M1325">
        <v>9.0310813890523908E-3</v>
      </c>
      <c r="N1325">
        <v>2.8275200382898547E-2</v>
      </c>
      <c r="O1325" t="s">
        <v>177</v>
      </c>
      <c r="P1325">
        <v>1.1546471396307692E-3</v>
      </c>
      <c r="Q1325" t="s">
        <v>177</v>
      </c>
      <c r="R1325">
        <v>5.4186488334314351E-4</v>
      </c>
      <c r="S1325" t="s">
        <v>178</v>
      </c>
      <c r="T1325">
        <v>3.3930240459478255E-3</v>
      </c>
      <c r="U1325">
        <v>3.3364736451820282E-2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0.24940999999999999</v>
      </c>
      <c r="AB1325">
        <v>2</v>
      </c>
      <c r="AC1325">
        <v>0.01</v>
      </c>
      <c r="AD1325">
        <v>1.099879013308536E-2</v>
      </c>
      <c r="AE1325">
        <v>5400</v>
      </c>
      <c r="AF1325">
        <v>400000</v>
      </c>
      <c r="AG1325">
        <v>33333.333333333336</v>
      </c>
      <c r="AH1325">
        <v>1</v>
      </c>
      <c r="AI1325">
        <v>1</v>
      </c>
      <c r="AJ1325" t="s">
        <v>162</v>
      </c>
      <c r="AK1325" t="s">
        <v>176</v>
      </c>
      <c r="AL1325">
        <v>0</v>
      </c>
      <c r="AM1325" t="s">
        <v>176</v>
      </c>
      <c r="AN1325">
        <v>0</v>
      </c>
    </row>
    <row r="1326" spans="1:40" x14ac:dyDescent="0.15">
      <c r="A1326" s="4" t="str">
        <f>HYPERLINK("https://ibp.a2mac1.com/costing(costing:projects/details/9760/process/12086313)","MANUFACTURING  PROCESS")</f>
        <v>MANUFACTURING  PROCESS</v>
      </c>
      <c r="B1326" t="s">
        <v>4962</v>
      </c>
      <c r="C1326">
        <v>12086313</v>
      </c>
      <c r="D1326">
        <v>8417074</v>
      </c>
      <c r="E1326">
        <v>1.8517687692307692E-2</v>
      </c>
      <c r="F1326">
        <v>0</v>
      </c>
      <c r="G1326">
        <v>0</v>
      </c>
      <c r="H1326">
        <v>2.2759169230769231E-6</v>
      </c>
      <c r="I1326" t="s">
        <v>176</v>
      </c>
      <c r="J1326">
        <v>7.2415538461538466E-4</v>
      </c>
      <c r="K1326">
        <v>1.9244118993846152E-2</v>
      </c>
      <c r="L1326">
        <v>1.5051802315087317E-3</v>
      </c>
      <c r="M1326">
        <v>9.0310813890523908E-3</v>
      </c>
      <c r="N1326">
        <v>2.8275200382898547E-2</v>
      </c>
      <c r="O1326" t="s">
        <v>177</v>
      </c>
      <c r="P1326">
        <v>1.1546471396307692E-3</v>
      </c>
      <c r="Q1326" t="s">
        <v>177</v>
      </c>
      <c r="R1326">
        <v>5.4186488334314351E-4</v>
      </c>
      <c r="S1326" t="s">
        <v>178</v>
      </c>
      <c r="T1326">
        <v>3.3930240459478255E-3</v>
      </c>
      <c r="U1326">
        <v>3.3364736451820282E-2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0.24940999999999999</v>
      </c>
      <c r="AB1326">
        <v>2</v>
      </c>
      <c r="AC1326">
        <v>0.01</v>
      </c>
      <c r="AD1326">
        <v>1.099879013308536E-2</v>
      </c>
      <c r="AE1326">
        <v>5400</v>
      </c>
      <c r="AF1326">
        <v>400000</v>
      </c>
      <c r="AG1326">
        <v>33333.333333333336</v>
      </c>
      <c r="AH1326">
        <v>1</v>
      </c>
      <c r="AI1326">
        <v>1</v>
      </c>
      <c r="AJ1326" t="s">
        <v>162</v>
      </c>
      <c r="AK1326" t="s">
        <v>176</v>
      </c>
      <c r="AL1326">
        <v>0</v>
      </c>
      <c r="AM1326" t="s">
        <v>176</v>
      </c>
      <c r="AN1326">
        <v>0</v>
      </c>
    </row>
    <row r="1327" spans="1:40" x14ac:dyDescent="0.15">
      <c r="A1327" s="4" t="str">
        <f>HYPERLINK("https://ibp.a2mac1.com/costing(costing:projects/details/9760/process/12086314)","MANUFACTURING  PROCESS")</f>
        <v>MANUFACTURING  PROCESS</v>
      </c>
      <c r="B1327" t="s">
        <v>4962</v>
      </c>
      <c r="C1327">
        <v>12086314</v>
      </c>
      <c r="D1327">
        <v>8417075</v>
      </c>
      <c r="E1327">
        <v>1.8517687692307692E-2</v>
      </c>
      <c r="F1327">
        <v>0</v>
      </c>
      <c r="G1327">
        <v>0</v>
      </c>
      <c r="H1327">
        <v>2.2759169230769231E-6</v>
      </c>
      <c r="I1327" t="s">
        <v>176</v>
      </c>
      <c r="J1327">
        <v>7.2415538461538466E-4</v>
      </c>
      <c r="K1327">
        <v>1.9244118993846152E-2</v>
      </c>
      <c r="L1327">
        <v>1.5051802315087317E-3</v>
      </c>
      <c r="M1327">
        <v>9.0310813890523908E-3</v>
      </c>
      <c r="N1327">
        <v>2.8275200382898547E-2</v>
      </c>
      <c r="O1327" t="s">
        <v>177</v>
      </c>
      <c r="P1327">
        <v>1.1546471396307692E-3</v>
      </c>
      <c r="Q1327" t="s">
        <v>177</v>
      </c>
      <c r="R1327">
        <v>5.4186488334314351E-4</v>
      </c>
      <c r="S1327" t="s">
        <v>178</v>
      </c>
      <c r="T1327">
        <v>3.3930240459478255E-3</v>
      </c>
      <c r="U1327">
        <v>3.3364736451820282E-2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0.24940999999999999</v>
      </c>
      <c r="AB1327">
        <v>2</v>
      </c>
      <c r="AC1327">
        <v>0.01</v>
      </c>
      <c r="AD1327">
        <v>1.099879013308536E-2</v>
      </c>
      <c r="AE1327">
        <v>5400</v>
      </c>
      <c r="AF1327">
        <v>400000</v>
      </c>
      <c r="AG1327">
        <v>33333.333333333336</v>
      </c>
      <c r="AH1327">
        <v>1</v>
      </c>
      <c r="AI1327">
        <v>1</v>
      </c>
      <c r="AJ1327" t="s">
        <v>162</v>
      </c>
      <c r="AK1327" t="s">
        <v>176</v>
      </c>
      <c r="AL1327">
        <v>0</v>
      </c>
      <c r="AM1327" t="s">
        <v>176</v>
      </c>
      <c r="AN1327">
        <v>0</v>
      </c>
    </row>
    <row r="1328" spans="1:40" x14ac:dyDescent="0.15">
      <c r="A1328" s="4" t="str">
        <f>HYPERLINK("https://ibp.a2mac1.com/costing(costing:projects/details/9760/process/12086315)","MANUFACTURING  PROCESS")</f>
        <v>MANUFACTURING  PROCESS</v>
      </c>
      <c r="B1328" t="s">
        <v>4962</v>
      </c>
      <c r="C1328">
        <v>12086315</v>
      </c>
      <c r="D1328">
        <v>8417076</v>
      </c>
      <c r="E1328">
        <v>9.5933346666666669E-2</v>
      </c>
      <c r="F1328">
        <v>0</v>
      </c>
      <c r="G1328">
        <v>0</v>
      </c>
      <c r="H1328">
        <v>1.1991668333333333E-5</v>
      </c>
      <c r="I1328" t="s">
        <v>176</v>
      </c>
      <c r="J1328">
        <v>3.8155308333333335E-3</v>
      </c>
      <c r="K1328">
        <v>9.9760869168333335E-2</v>
      </c>
      <c r="L1328">
        <v>1.966047131748608E-3</v>
      </c>
      <c r="M1328">
        <v>1.1796282790491648E-2</v>
      </c>
      <c r="N1328">
        <v>0.11155715195882498</v>
      </c>
      <c r="O1328" t="s">
        <v>177</v>
      </c>
      <c r="P1328">
        <v>5.9856521501000003E-3</v>
      </c>
      <c r="Q1328" t="s">
        <v>177</v>
      </c>
      <c r="R1328">
        <v>7.0777696742949884E-4</v>
      </c>
      <c r="S1328" t="s">
        <v>178</v>
      </c>
      <c r="T1328">
        <v>1.3386858235058998E-2</v>
      </c>
      <c r="U1328">
        <v>0.13163743931141347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0.43430000000000002</v>
      </c>
      <c r="AB1328">
        <v>2</v>
      </c>
      <c r="AC1328">
        <v>0.01</v>
      </c>
      <c r="AD1328">
        <v>1.099879013308536E-2</v>
      </c>
      <c r="AE1328">
        <v>5400</v>
      </c>
      <c r="AF1328">
        <v>400000</v>
      </c>
      <c r="AG1328">
        <v>33333.333333333336</v>
      </c>
      <c r="AH1328">
        <v>1</v>
      </c>
      <c r="AI1328">
        <v>1</v>
      </c>
      <c r="AJ1328" t="s">
        <v>162</v>
      </c>
      <c r="AK1328" t="s">
        <v>176</v>
      </c>
      <c r="AL1328">
        <v>0</v>
      </c>
      <c r="AM1328" t="s">
        <v>176</v>
      </c>
      <c r="AN1328">
        <v>0</v>
      </c>
    </row>
    <row r="1329" spans="1:42" x14ac:dyDescent="0.15">
      <c r="A1329" s="4" t="str">
        <f>HYPERLINK("https://ibp.a2mac1.com/costing(costing:projects/details/9760/process/12086316)","MANUFACTURING  PROCESS")</f>
        <v>MANUFACTURING  PROCESS</v>
      </c>
      <c r="B1329" t="s">
        <v>4962</v>
      </c>
      <c r="C1329">
        <v>12086316</v>
      </c>
      <c r="D1329">
        <v>8417077</v>
      </c>
      <c r="E1329">
        <v>9.5933346666666669E-2</v>
      </c>
      <c r="F1329">
        <v>0</v>
      </c>
      <c r="G1329">
        <v>0</v>
      </c>
      <c r="H1329">
        <v>1.1991668333333333E-5</v>
      </c>
      <c r="I1329" t="s">
        <v>176</v>
      </c>
      <c r="J1329">
        <v>3.8155308333333335E-3</v>
      </c>
      <c r="K1329">
        <v>9.9760869168333335E-2</v>
      </c>
      <c r="L1329">
        <v>1.966047131748608E-3</v>
      </c>
      <c r="M1329">
        <v>1.1796282790491648E-2</v>
      </c>
      <c r="N1329">
        <v>0.11155715195882498</v>
      </c>
      <c r="O1329" t="s">
        <v>177</v>
      </c>
      <c r="P1329">
        <v>5.9856521501000003E-3</v>
      </c>
      <c r="Q1329" t="s">
        <v>177</v>
      </c>
      <c r="R1329">
        <v>7.0777696742949884E-4</v>
      </c>
      <c r="S1329" t="s">
        <v>178</v>
      </c>
      <c r="T1329">
        <v>1.3386858235058998E-2</v>
      </c>
      <c r="U1329">
        <v>0.13163743931141347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0.43430000000000002</v>
      </c>
      <c r="AB1329">
        <v>2</v>
      </c>
      <c r="AC1329">
        <v>0.01</v>
      </c>
      <c r="AD1329">
        <v>1.099879013308536E-2</v>
      </c>
      <c r="AE1329">
        <v>5400</v>
      </c>
      <c r="AF1329">
        <v>400000</v>
      </c>
      <c r="AG1329">
        <v>33333.333333333336</v>
      </c>
      <c r="AH1329">
        <v>1</v>
      </c>
      <c r="AI1329">
        <v>1</v>
      </c>
      <c r="AJ1329" t="s">
        <v>162</v>
      </c>
      <c r="AK1329" t="s">
        <v>176</v>
      </c>
      <c r="AL1329">
        <v>0</v>
      </c>
      <c r="AM1329" t="s">
        <v>176</v>
      </c>
      <c r="AN1329">
        <v>0</v>
      </c>
    </row>
    <row r="1330" spans="1:42" x14ac:dyDescent="0.15">
      <c r="A1330" s="4" t="str">
        <f>HYPERLINK("https://ibp.a2mac1.com/costing(costing:projects/details/9760/process/12086317)","MANUFACTURING  PROCESS")</f>
        <v>MANUFACTURING  PROCESS</v>
      </c>
      <c r="B1330" t="s">
        <v>4962</v>
      </c>
      <c r="C1330">
        <v>12086317</v>
      </c>
      <c r="D1330">
        <v>8417078</v>
      </c>
      <c r="E1330">
        <v>7.0666279999999998E-2</v>
      </c>
      <c r="F1330">
        <v>0</v>
      </c>
      <c r="G1330">
        <v>0</v>
      </c>
      <c r="H1330">
        <v>9.1450479999999993E-6</v>
      </c>
      <c r="I1330" t="s">
        <v>176</v>
      </c>
      <c r="J1330">
        <v>2.909788E-3</v>
      </c>
      <c r="K1330">
        <v>7.3585213048000003E-2</v>
      </c>
      <c r="L1330">
        <v>3.0064346017248039E-2</v>
      </c>
      <c r="M1330">
        <v>0.18038607610348822</v>
      </c>
      <c r="N1330">
        <v>0.25397128915148826</v>
      </c>
      <c r="O1330" t="s">
        <v>177</v>
      </c>
      <c r="P1330">
        <v>4.4151127828800001E-3</v>
      </c>
      <c r="Q1330" t="s">
        <v>177</v>
      </c>
      <c r="R1330">
        <v>1.0823164566209294E-2</v>
      </c>
      <c r="S1330" t="s">
        <v>178</v>
      </c>
      <c r="T1330">
        <v>3.0476554698178587E-2</v>
      </c>
      <c r="U1330">
        <v>0.29968612119875609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5.85337</v>
      </c>
      <c r="AB1330">
        <v>1</v>
      </c>
      <c r="AC1330">
        <v>0.01</v>
      </c>
      <c r="AD1330">
        <v>1.099879013308536E-2</v>
      </c>
      <c r="AE1330">
        <v>5400</v>
      </c>
      <c r="AF1330">
        <v>400000</v>
      </c>
      <c r="AG1330">
        <v>33333.333333333336</v>
      </c>
      <c r="AH1330">
        <v>1</v>
      </c>
      <c r="AI1330">
        <v>1</v>
      </c>
      <c r="AJ1330" t="s">
        <v>162</v>
      </c>
      <c r="AK1330" t="s">
        <v>176</v>
      </c>
      <c r="AL1330">
        <v>0</v>
      </c>
      <c r="AM1330" t="s">
        <v>176</v>
      </c>
      <c r="AN1330">
        <v>0</v>
      </c>
    </row>
    <row r="1331" spans="1:42" x14ac:dyDescent="0.15">
      <c r="A1331" s="4" t="str">
        <f>HYPERLINK("https://ibp.a2mac1.com/costing(costing:projects/details/9760/process/12086318)","MANUFACTURING  PROCESS")</f>
        <v>MANUFACTURING  PROCESS</v>
      </c>
      <c r="B1331" t="s">
        <v>4962</v>
      </c>
      <c r="C1331">
        <v>12086318</v>
      </c>
      <c r="D1331">
        <v>8417079</v>
      </c>
      <c r="E1331">
        <v>0.12678362000000001</v>
      </c>
      <c r="F1331">
        <v>0</v>
      </c>
      <c r="G1331">
        <v>0</v>
      </c>
      <c r="H1331">
        <v>1.6407291999999999E-5</v>
      </c>
      <c r="I1331" t="s">
        <v>176</v>
      </c>
      <c r="J1331">
        <v>5.2205020000000001E-3</v>
      </c>
      <c r="K1331">
        <v>0.13202052929200001</v>
      </c>
      <c r="L1331">
        <v>3.0064346017248039E-2</v>
      </c>
      <c r="M1331">
        <v>0.18038607610348822</v>
      </c>
      <c r="N1331">
        <v>0.31240660539548826</v>
      </c>
      <c r="O1331" t="s">
        <v>177</v>
      </c>
      <c r="P1331">
        <v>7.9212317575200007E-3</v>
      </c>
      <c r="Q1331" t="s">
        <v>177</v>
      </c>
      <c r="R1331">
        <v>1.0823164566209294E-2</v>
      </c>
      <c r="S1331" t="s">
        <v>178</v>
      </c>
      <c r="T1331">
        <v>3.7488792647458587E-2</v>
      </c>
      <c r="U1331">
        <v>0.3686397943666761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5.85337</v>
      </c>
      <c r="AB1331">
        <v>1</v>
      </c>
      <c r="AC1331">
        <v>0.01</v>
      </c>
      <c r="AD1331">
        <v>1.099879013308536E-2</v>
      </c>
      <c r="AE1331">
        <v>5400</v>
      </c>
      <c r="AF1331">
        <v>400000</v>
      </c>
      <c r="AG1331">
        <v>33333.333333333336</v>
      </c>
      <c r="AH1331">
        <v>1</v>
      </c>
      <c r="AI1331">
        <v>1</v>
      </c>
      <c r="AJ1331" t="s">
        <v>162</v>
      </c>
      <c r="AK1331" t="s">
        <v>176</v>
      </c>
      <c r="AL1331">
        <v>0</v>
      </c>
      <c r="AM1331" t="s">
        <v>176</v>
      </c>
      <c r="AN1331">
        <v>0</v>
      </c>
    </row>
    <row r="1332" spans="1:42" x14ac:dyDescent="0.15">
      <c r="A1332" s="4" t="str">
        <f>HYPERLINK("https://ibp.a2mac1.com/costing(costing:projects/details/9760/process/12086462)","MANUFACTURING  PROCESS")</f>
        <v>MANUFACTURING  PROCESS</v>
      </c>
      <c r="B1332" t="s">
        <v>4962</v>
      </c>
      <c r="C1332">
        <v>12086462</v>
      </c>
      <c r="D1332">
        <v>8417284</v>
      </c>
      <c r="E1332">
        <v>0.31245071250000001</v>
      </c>
      <c r="F1332">
        <v>0</v>
      </c>
      <c r="G1332">
        <v>0</v>
      </c>
      <c r="H1332">
        <v>3.6563381250000003E-5</v>
      </c>
      <c r="I1332" t="s">
        <v>176</v>
      </c>
      <c r="J1332">
        <v>1.1633803125E-2</v>
      </c>
      <c r="K1332">
        <v>0.32412107900624998</v>
      </c>
      <c r="L1332">
        <v>8.1787144122335721E-3</v>
      </c>
      <c r="M1332">
        <v>4.9072286473401429E-2</v>
      </c>
      <c r="N1332">
        <v>0.37319336547965143</v>
      </c>
      <c r="O1332" t="s">
        <v>177</v>
      </c>
      <c r="P1332">
        <v>1.9447264740375E-2</v>
      </c>
      <c r="Q1332" t="s">
        <v>177</v>
      </c>
      <c r="R1332">
        <v>2.9443371884040857E-3</v>
      </c>
      <c r="S1332" t="s">
        <v>178</v>
      </c>
      <c r="T1332">
        <v>4.4783203857558171E-2</v>
      </c>
      <c r="U1332">
        <v>0.44036817126598871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2.9266899999999998</v>
      </c>
      <c r="AB1332">
        <v>2</v>
      </c>
      <c r="AC1332">
        <v>0.01</v>
      </c>
      <c r="AD1332">
        <v>1.099879013308536E-2</v>
      </c>
      <c r="AE1332">
        <v>5400</v>
      </c>
      <c r="AF1332">
        <v>400000</v>
      </c>
      <c r="AG1332">
        <v>33333.333333333336</v>
      </c>
      <c r="AH1332">
        <v>1</v>
      </c>
      <c r="AI1332">
        <v>1</v>
      </c>
      <c r="AJ1332" t="s">
        <v>162</v>
      </c>
      <c r="AK1332" t="s">
        <v>176</v>
      </c>
      <c r="AL1332">
        <v>0</v>
      </c>
      <c r="AM1332" t="s">
        <v>176</v>
      </c>
      <c r="AN1332">
        <v>0</v>
      </c>
    </row>
    <row r="1333" spans="1:42" x14ac:dyDescent="0.15">
      <c r="A1333" s="4" t="str">
        <f>HYPERLINK("https://ibp.a2mac1.com/costing(costing:projects/details/9760/process/12086463)","MANUFACTURING  PROCESS")</f>
        <v>MANUFACTURING  PROCESS</v>
      </c>
      <c r="B1333" t="s">
        <v>4962</v>
      </c>
      <c r="C1333">
        <v>12086463</v>
      </c>
      <c r="D1333">
        <v>8417285</v>
      </c>
      <c r="E1333">
        <v>1.436555E-2</v>
      </c>
      <c r="F1333">
        <v>0</v>
      </c>
      <c r="G1333">
        <v>0</v>
      </c>
      <c r="H1333">
        <v>1.681075E-6</v>
      </c>
      <c r="I1333" t="s">
        <v>176</v>
      </c>
      <c r="J1333">
        <v>5.3488750000000001E-4</v>
      </c>
      <c r="K1333">
        <v>1.4902118575E-2</v>
      </c>
      <c r="L1333">
        <v>1.5051802315087317E-3</v>
      </c>
      <c r="M1333">
        <v>9.0310813890523908E-3</v>
      </c>
      <c r="N1333">
        <v>2.3933199964052392E-2</v>
      </c>
      <c r="O1333" t="s">
        <v>177</v>
      </c>
      <c r="P1333">
        <v>8.9412711449999996E-4</v>
      </c>
      <c r="Q1333" t="s">
        <v>177</v>
      </c>
      <c r="R1333">
        <v>5.4186488334314351E-4</v>
      </c>
      <c r="S1333" t="s">
        <v>178</v>
      </c>
      <c r="T1333">
        <v>2.8719839956862867E-3</v>
      </c>
      <c r="U1333">
        <v>2.824117595758182E-2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0.24940999999999999</v>
      </c>
      <c r="AB1333">
        <v>2</v>
      </c>
      <c r="AC1333">
        <v>0.01</v>
      </c>
      <c r="AD1333">
        <v>1.099879013308536E-2</v>
      </c>
      <c r="AE1333">
        <v>5400</v>
      </c>
      <c r="AF1333">
        <v>400000</v>
      </c>
      <c r="AG1333">
        <v>33333.333333333336</v>
      </c>
      <c r="AH1333">
        <v>1</v>
      </c>
      <c r="AI1333">
        <v>1</v>
      </c>
      <c r="AJ1333" t="s">
        <v>162</v>
      </c>
      <c r="AK1333" t="s">
        <v>176</v>
      </c>
      <c r="AL1333">
        <v>0</v>
      </c>
      <c r="AM1333" t="s">
        <v>176</v>
      </c>
      <c r="AN1333">
        <v>0</v>
      </c>
    </row>
    <row r="1334" spans="1:42" x14ac:dyDescent="0.15">
      <c r="A1334" s="4" t="str">
        <f>HYPERLINK("https://ibp.a2mac1.com/costing(costing:projects/details/9760/process/12086319)","MANUFACTURING  PROCESS")</f>
        <v>MANUFACTURING  PROCESS</v>
      </c>
      <c r="B1334" t="s">
        <v>4962</v>
      </c>
      <c r="C1334">
        <v>12086319</v>
      </c>
      <c r="D1334">
        <v>8417123</v>
      </c>
      <c r="E1334">
        <v>247.74855542</v>
      </c>
      <c r="F1334">
        <v>0</v>
      </c>
      <c r="G1334">
        <v>0</v>
      </c>
      <c r="H1334">
        <v>3.6898721019999997E-2</v>
      </c>
      <c r="I1334" t="s">
        <v>176</v>
      </c>
      <c r="J1334">
        <v>9.2246802550000009</v>
      </c>
      <c r="K1334">
        <v>257.01013439602002</v>
      </c>
      <c r="L1334">
        <v>6.5116681619663455</v>
      </c>
      <c r="M1334">
        <v>39.070008971798075</v>
      </c>
      <c r="N1334">
        <v>296.0801433678181</v>
      </c>
      <c r="O1334" t="s">
        <v>90</v>
      </c>
      <c r="P1334">
        <v>0</v>
      </c>
      <c r="Q1334" t="s">
        <v>90</v>
      </c>
      <c r="R1334">
        <v>0</v>
      </c>
      <c r="S1334" t="s">
        <v>90</v>
      </c>
      <c r="T1334">
        <v>0</v>
      </c>
      <c r="U1334">
        <v>296.0801433678181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1305.7777799999999</v>
      </c>
      <c r="AB1334">
        <v>1</v>
      </c>
      <c r="AC1334">
        <v>0.01</v>
      </c>
      <c r="AD1334">
        <v>1.3998040274361589E-2</v>
      </c>
      <c r="AE1334">
        <v>5400</v>
      </c>
      <c r="AF1334">
        <v>200000</v>
      </c>
      <c r="AG1334">
        <v>16666.666666666668</v>
      </c>
      <c r="AH1334">
        <v>1</v>
      </c>
      <c r="AI1334">
        <v>1</v>
      </c>
      <c r="AJ1334" t="s">
        <v>162</v>
      </c>
      <c r="AK1334" t="s">
        <v>176</v>
      </c>
      <c r="AL1334">
        <v>0</v>
      </c>
      <c r="AM1334" t="s">
        <v>176</v>
      </c>
      <c r="AN1334">
        <v>0</v>
      </c>
    </row>
    <row r="1335" spans="1:42" x14ac:dyDescent="0.15">
      <c r="A1335" s="4" t="str">
        <f>HYPERLINK("https://ibp.a2mac1.com/costing(costing:projects/details/9760/process/12086320)","MANUFACTURING  PROCESS")</f>
        <v>MANUFACTURING  PROCESS</v>
      </c>
      <c r="B1335" t="s">
        <v>4962</v>
      </c>
      <c r="C1335">
        <v>12086320</v>
      </c>
      <c r="D1335">
        <v>8417124</v>
      </c>
      <c r="E1335">
        <v>5.1878208490000004</v>
      </c>
      <c r="F1335">
        <v>0</v>
      </c>
      <c r="G1335">
        <v>0</v>
      </c>
      <c r="H1335">
        <v>6.070854185E-4</v>
      </c>
      <c r="I1335" t="s">
        <v>176</v>
      </c>
      <c r="J1335">
        <v>0.19316354224999999</v>
      </c>
      <c r="K1335">
        <v>5.3815914766684996</v>
      </c>
      <c r="L1335">
        <v>0.21211287861565312</v>
      </c>
      <c r="M1335">
        <v>1.2726772716939188</v>
      </c>
      <c r="N1335">
        <v>6.6542687483624183</v>
      </c>
      <c r="O1335" t="s">
        <v>177</v>
      </c>
      <c r="P1335">
        <v>0.32289548860011003</v>
      </c>
      <c r="Q1335" t="s">
        <v>177</v>
      </c>
      <c r="R1335">
        <v>7.6360636301635129E-2</v>
      </c>
      <c r="S1335" t="s">
        <v>178</v>
      </c>
      <c r="T1335">
        <v>0.79851224980349023</v>
      </c>
      <c r="U1335">
        <v>7.852037123067654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42.370370000000001</v>
      </c>
      <c r="AB1335">
        <v>1</v>
      </c>
      <c r="AC1335">
        <v>0.01</v>
      </c>
      <c r="AD1335">
        <v>1.099879013308536E-2</v>
      </c>
      <c r="AE1335">
        <v>5400</v>
      </c>
      <c r="AF1335">
        <v>400000</v>
      </c>
      <c r="AG1335">
        <v>33333.333333333336</v>
      </c>
      <c r="AH1335">
        <v>1</v>
      </c>
      <c r="AI1335">
        <v>1</v>
      </c>
      <c r="AJ1335" t="s">
        <v>162</v>
      </c>
      <c r="AK1335" t="s">
        <v>176</v>
      </c>
      <c r="AL1335">
        <v>0</v>
      </c>
      <c r="AM1335" t="s">
        <v>176</v>
      </c>
      <c r="AN1335">
        <v>0</v>
      </c>
    </row>
    <row r="1336" spans="1:42" x14ac:dyDescent="0.15">
      <c r="A1336" s="4" t="str">
        <f>HYPERLINK("https://ibp.a2mac1.com/costing(costing:projects/details/9760/process/12086321)","MANUFACTURING  PROCESS")</f>
        <v>MANUFACTURING  PROCESS</v>
      </c>
      <c r="B1336" t="s">
        <v>4962</v>
      </c>
      <c r="C1336">
        <v>12086321</v>
      </c>
      <c r="D1336">
        <v>8417125</v>
      </c>
      <c r="E1336">
        <v>1.703806368</v>
      </c>
      <c r="F1336">
        <v>0</v>
      </c>
      <c r="G1336">
        <v>0</v>
      </c>
      <c r="H1336">
        <v>2.204925888E-4</v>
      </c>
      <c r="I1336" t="s">
        <v>176</v>
      </c>
      <c r="J1336">
        <v>7.0156732799999996E-2</v>
      </c>
      <c r="K1336">
        <v>1.7741835933887999</v>
      </c>
      <c r="L1336">
        <v>8.3560003021175014E-2</v>
      </c>
      <c r="M1336">
        <v>0.50136001812705011</v>
      </c>
      <c r="N1336">
        <v>2.2755436115158503</v>
      </c>
      <c r="O1336" t="s">
        <v>177</v>
      </c>
      <c r="P1336">
        <v>0.10645101560332799</v>
      </c>
      <c r="Q1336" t="s">
        <v>177</v>
      </c>
      <c r="R1336">
        <v>3.0081601087623006E-2</v>
      </c>
      <c r="S1336" t="s">
        <v>178</v>
      </c>
      <c r="T1336">
        <v>0.27306523338190203</v>
      </c>
      <c r="U1336">
        <v>2.685141461588703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16.584029999999998</v>
      </c>
      <c r="AB1336">
        <v>1</v>
      </c>
      <c r="AC1336">
        <v>0.01</v>
      </c>
      <c r="AD1336">
        <v>1.099879013308536E-2</v>
      </c>
      <c r="AE1336">
        <v>5400</v>
      </c>
      <c r="AF1336">
        <v>400000</v>
      </c>
      <c r="AG1336">
        <v>33333.333333333336</v>
      </c>
      <c r="AH1336">
        <v>1</v>
      </c>
      <c r="AI1336">
        <v>1</v>
      </c>
      <c r="AJ1336" t="s">
        <v>162</v>
      </c>
      <c r="AK1336" t="s">
        <v>176</v>
      </c>
      <c r="AL1336">
        <v>0</v>
      </c>
      <c r="AM1336" t="s">
        <v>176</v>
      </c>
      <c r="AN1336">
        <v>0</v>
      </c>
    </row>
    <row r="1337" spans="1:42" x14ac:dyDescent="0.15">
      <c r="A1337" s="4" t="str">
        <f>HYPERLINK("https://ibp.a2mac1.com/costing(costing:projects/details/9760/process/12085081)","Assembly")</f>
        <v>Assembly</v>
      </c>
      <c r="C1337">
        <v>12085081</v>
      </c>
      <c r="D1337">
        <v>8415606</v>
      </c>
      <c r="E1337">
        <v>0</v>
      </c>
      <c r="F1337">
        <v>0</v>
      </c>
      <c r="G1337">
        <v>63.469740000000002</v>
      </c>
      <c r="H1337">
        <v>0</v>
      </c>
      <c r="I1337" t="s">
        <v>176</v>
      </c>
      <c r="J1337">
        <v>0</v>
      </c>
      <c r="K1337">
        <v>65.691180900000006</v>
      </c>
      <c r="L1337">
        <v>23.432329025236537</v>
      </c>
      <c r="M1337">
        <v>140.59397415141922</v>
      </c>
      <c r="N1337">
        <v>206.28515505141922</v>
      </c>
      <c r="O1337" t="s">
        <v>90</v>
      </c>
      <c r="P1337">
        <v>0</v>
      </c>
      <c r="Q1337" t="s">
        <v>90</v>
      </c>
      <c r="R1337">
        <v>0</v>
      </c>
      <c r="S1337" t="s">
        <v>90</v>
      </c>
      <c r="T1337">
        <v>0</v>
      </c>
      <c r="U1337">
        <v>206.28515505141922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47</v>
      </c>
      <c r="AB1337">
        <v>1</v>
      </c>
      <c r="AC1337">
        <v>0</v>
      </c>
      <c r="AD1337">
        <v>0.10987913295375087</v>
      </c>
      <c r="AE1337">
        <v>600</v>
      </c>
      <c r="AF1337">
        <v>200000</v>
      </c>
      <c r="AG1337">
        <v>10000</v>
      </c>
      <c r="AH1337">
        <v>1</v>
      </c>
      <c r="AI1337">
        <v>1</v>
      </c>
      <c r="AJ1337" t="s">
        <v>76</v>
      </c>
      <c r="AK1337" t="s">
        <v>176</v>
      </c>
      <c r="AL1337">
        <v>0</v>
      </c>
      <c r="AM1337" t="s">
        <v>176</v>
      </c>
      <c r="AN1337">
        <v>2.2214409000000002</v>
      </c>
    </row>
    <row r="1338" spans="1:42" x14ac:dyDescent="0.15">
      <c r="A1338" s="4" t="str">
        <f>HYPERLINK("https://ibp.a2mac1.com/costing(costing:projects/details/9760/process/12085082)","Partial Cost for BIW Painting ")</f>
        <v xml:space="preserve">Partial Cost for BIW Painting </v>
      </c>
      <c r="B1338" t="s">
        <v>8222</v>
      </c>
      <c r="C1338">
        <v>12085082</v>
      </c>
      <c r="D1338">
        <v>8415606</v>
      </c>
      <c r="E1338">
        <v>153.9</v>
      </c>
      <c r="F1338">
        <v>0</v>
      </c>
      <c r="G1338">
        <v>0</v>
      </c>
      <c r="H1338">
        <v>0</v>
      </c>
      <c r="I1338" t="s">
        <v>71</v>
      </c>
      <c r="J1338">
        <v>0</v>
      </c>
      <c r="K1338">
        <v>153.9</v>
      </c>
      <c r="L1338">
        <v>0</v>
      </c>
      <c r="M1338">
        <v>0</v>
      </c>
      <c r="N1338">
        <v>153.9</v>
      </c>
      <c r="O1338" t="s">
        <v>71</v>
      </c>
      <c r="P1338">
        <v>0</v>
      </c>
      <c r="Q1338" t="s">
        <v>71</v>
      </c>
      <c r="R1338">
        <v>0</v>
      </c>
      <c r="S1338" t="s">
        <v>71</v>
      </c>
      <c r="T1338">
        <v>0</v>
      </c>
      <c r="U1338">
        <v>153.9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0.1</v>
      </c>
      <c r="AD1338">
        <v>0</v>
      </c>
      <c r="AE1338">
        <v>0</v>
      </c>
      <c r="AF1338">
        <v>200000</v>
      </c>
      <c r="AG1338">
        <v>10000</v>
      </c>
      <c r="AH1338">
        <v>1</v>
      </c>
      <c r="AI1338">
        <v>1</v>
      </c>
      <c r="AJ1338" t="s">
        <v>76</v>
      </c>
      <c r="AK1338" t="s">
        <v>71</v>
      </c>
      <c r="AL1338">
        <v>0</v>
      </c>
      <c r="AM1338" t="s">
        <v>71</v>
      </c>
      <c r="AN1338">
        <v>0</v>
      </c>
      <c r="AO1338">
        <v>153.9</v>
      </c>
      <c r="AP1338">
        <v>0</v>
      </c>
    </row>
    <row r="1339" spans="1:42" x14ac:dyDescent="0.15">
      <c r="A1339" s="4" t="str">
        <f>HYPERLINK("https://ibp.a2mac1.com/costing(costing:projects/details/9760/process/12085067)","Oven")</f>
        <v>Oven</v>
      </c>
      <c r="C1339">
        <v>12085067</v>
      </c>
      <c r="D1339">
        <v>8415588</v>
      </c>
      <c r="E1339">
        <v>0.26887119177724039</v>
      </c>
      <c r="F1339">
        <v>0</v>
      </c>
      <c r="G1339">
        <v>0</v>
      </c>
      <c r="H1339">
        <v>1.9624986218750688E-3</v>
      </c>
      <c r="I1339" t="s">
        <v>176</v>
      </c>
      <c r="J1339">
        <v>9.5932195203390237E-3</v>
      </c>
      <c r="K1339">
        <v>0.28042690991945451</v>
      </c>
      <c r="L1339">
        <v>1.3980398337398963E-2</v>
      </c>
      <c r="M1339">
        <v>8.388239002439378E-2</v>
      </c>
      <c r="N1339">
        <v>0.36430929994384831</v>
      </c>
      <c r="O1339" t="s">
        <v>177</v>
      </c>
      <c r="P1339">
        <v>1.6825614595167269E-2</v>
      </c>
      <c r="Q1339" t="s">
        <v>177</v>
      </c>
      <c r="R1339">
        <v>5.0329434014636269E-3</v>
      </c>
      <c r="S1339" t="s">
        <v>178</v>
      </c>
      <c r="T1339">
        <v>4.3717115993261793E-2</v>
      </c>
      <c r="U1339">
        <v>0.42988497393374098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5.4575699999999996</v>
      </c>
      <c r="AB1339">
        <v>1</v>
      </c>
      <c r="AC1339">
        <v>0.1</v>
      </c>
      <c r="AD1339">
        <v>0.71090988522181187</v>
      </c>
      <c r="AE1339">
        <v>7200</v>
      </c>
      <c r="AF1339">
        <v>200000</v>
      </c>
      <c r="AG1339">
        <v>16666.666666666668</v>
      </c>
      <c r="AH1339">
        <v>1</v>
      </c>
      <c r="AI1339">
        <v>1</v>
      </c>
      <c r="AJ1339" t="s">
        <v>162</v>
      </c>
      <c r="AK1339" t="s">
        <v>176</v>
      </c>
      <c r="AL1339">
        <v>0</v>
      </c>
      <c r="AM1339" t="s">
        <v>176</v>
      </c>
      <c r="AN1339">
        <v>0</v>
      </c>
    </row>
    <row r="1340" spans="1:42" x14ac:dyDescent="0.15">
      <c r="A1340" s="4" t="str">
        <f>HYPERLINK("https://ibp.a2mac1.com/costing(costing:projects/details/9760/process/12085068)","Casting")</f>
        <v>Casting</v>
      </c>
      <c r="C1340">
        <v>12085068</v>
      </c>
      <c r="D1340">
        <v>8415588</v>
      </c>
      <c r="E1340">
        <v>0</v>
      </c>
      <c r="F1340">
        <v>0</v>
      </c>
      <c r="G1340">
        <v>0</v>
      </c>
      <c r="H1340">
        <v>0</v>
      </c>
      <c r="I1340" t="s">
        <v>176</v>
      </c>
      <c r="J1340">
        <v>0</v>
      </c>
      <c r="K1340">
        <v>0</v>
      </c>
      <c r="L1340">
        <v>5.1420407312657117E-2</v>
      </c>
      <c r="M1340">
        <v>0.30852244387594274</v>
      </c>
      <c r="N1340">
        <v>0.30852244387594274</v>
      </c>
      <c r="O1340" t="s">
        <v>177</v>
      </c>
      <c r="P1340">
        <v>0</v>
      </c>
      <c r="Q1340" t="s">
        <v>177</v>
      </c>
      <c r="R1340">
        <v>1.8511346632556564E-2</v>
      </c>
      <c r="S1340" t="s">
        <v>178</v>
      </c>
      <c r="T1340">
        <v>3.7022693265113128E-2</v>
      </c>
      <c r="U1340">
        <v>0.36405648377361244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12</v>
      </c>
      <c r="AB1340">
        <v>1</v>
      </c>
      <c r="AC1340">
        <v>0.1</v>
      </c>
      <c r="AD1340">
        <v>0.61025304629574417</v>
      </c>
      <c r="AE1340">
        <v>7200</v>
      </c>
      <c r="AF1340">
        <v>200000</v>
      </c>
      <c r="AG1340">
        <v>16666.666666666668</v>
      </c>
      <c r="AH1340">
        <v>1</v>
      </c>
      <c r="AI1340">
        <v>1</v>
      </c>
      <c r="AJ1340" t="s">
        <v>162</v>
      </c>
      <c r="AK1340" t="s">
        <v>176</v>
      </c>
      <c r="AL1340">
        <v>0</v>
      </c>
      <c r="AM1340" t="s">
        <v>176</v>
      </c>
      <c r="AN1340">
        <v>0</v>
      </c>
    </row>
    <row r="1341" spans="1:42" x14ac:dyDescent="0.15">
      <c r="A1341" s="4" t="str">
        <f>HYPERLINK("https://ibp.a2mac1.com/costing(costing:projects/details/9760/process/12085069)","SprueRemoval")</f>
        <v>SprueRemoval</v>
      </c>
      <c r="C1341">
        <v>12085069</v>
      </c>
      <c r="D1341">
        <v>8415588</v>
      </c>
      <c r="E1341">
        <v>0</v>
      </c>
      <c r="F1341">
        <v>0</v>
      </c>
      <c r="G1341">
        <v>0</v>
      </c>
      <c r="H1341">
        <v>0</v>
      </c>
      <c r="I1341" t="s">
        <v>176</v>
      </c>
      <c r="J1341">
        <v>0</v>
      </c>
      <c r="K1341">
        <v>0</v>
      </c>
      <c r="L1341">
        <v>9.5031333452264243E-3</v>
      </c>
      <c r="M1341">
        <v>5.7018800071358546E-2</v>
      </c>
      <c r="N1341">
        <v>5.7018800071358546E-2</v>
      </c>
      <c r="O1341" t="s">
        <v>177</v>
      </c>
      <c r="P1341">
        <v>0</v>
      </c>
      <c r="Q1341" t="s">
        <v>177</v>
      </c>
      <c r="R1341">
        <v>3.4211280042815129E-3</v>
      </c>
      <c r="S1341" t="s">
        <v>178</v>
      </c>
      <c r="T1341">
        <v>6.8422560085630258E-3</v>
      </c>
      <c r="U1341">
        <v>6.7282184084203084E-2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12.727919999999999</v>
      </c>
      <c r="AB1341">
        <v>1</v>
      </c>
      <c r="AC1341">
        <v>0.1</v>
      </c>
      <c r="AD1341">
        <v>0.50939191340337475</v>
      </c>
      <c r="AE1341">
        <v>900</v>
      </c>
      <c r="AF1341">
        <v>200000</v>
      </c>
      <c r="AG1341">
        <v>16666.666666666668</v>
      </c>
      <c r="AH1341">
        <v>1</v>
      </c>
      <c r="AI1341">
        <v>1</v>
      </c>
      <c r="AJ1341" t="s">
        <v>162</v>
      </c>
      <c r="AK1341" t="s">
        <v>176</v>
      </c>
      <c r="AL1341">
        <v>0</v>
      </c>
      <c r="AM1341" t="s">
        <v>176</v>
      </c>
      <c r="AN1341">
        <v>0</v>
      </c>
    </row>
    <row r="1342" spans="1:42" x14ac:dyDescent="0.15">
      <c r="A1342" s="4" t="str">
        <f>HYPERLINK("https://ibp.a2mac1.com/costing(costing:projects/details/9760/process/12085070)","Trimming")</f>
        <v>Trimming</v>
      </c>
      <c r="C1342">
        <v>12085070</v>
      </c>
      <c r="D1342">
        <v>8415588</v>
      </c>
      <c r="E1342">
        <v>0</v>
      </c>
      <c r="F1342">
        <v>0</v>
      </c>
      <c r="G1342">
        <v>0</v>
      </c>
      <c r="H1342">
        <v>0</v>
      </c>
      <c r="I1342" t="s">
        <v>176</v>
      </c>
      <c r="J1342">
        <v>0</v>
      </c>
      <c r="K1342">
        <v>0</v>
      </c>
      <c r="L1342">
        <v>1.5480578340878036E-2</v>
      </c>
      <c r="M1342">
        <v>9.2883470045268215E-2</v>
      </c>
      <c r="N1342">
        <v>9.2883470045268215E-2</v>
      </c>
      <c r="O1342" t="s">
        <v>177</v>
      </c>
      <c r="P1342">
        <v>0</v>
      </c>
      <c r="Q1342" t="s">
        <v>177</v>
      </c>
      <c r="R1342">
        <v>5.573008202716093E-3</v>
      </c>
      <c r="S1342" t="s">
        <v>178</v>
      </c>
      <c r="T1342">
        <v>1.1146016405432186E-2</v>
      </c>
      <c r="U1342">
        <v>0.1096024946534165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21.213200000000001</v>
      </c>
      <c r="AB1342">
        <v>1</v>
      </c>
      <c r="AC1342">
        <v>0.1</v>
      </c>
      <c r="AD1342">
        <v>0.40832586395777315</v>
      </c>
      <c r="AE1342">
        <v>0</v>
      </c>
      <c r="AF1342">
        <v>200000</v>
      </c>
      <c r="AG1342">
        <v>16666.666666666668</v>
      </c>
      <c r="AH1342">
        <v>1</v>
      </c>
      <c r="AI1342">
        <v>1</v>
      </c>
      <c r="AJ1342" t="s">
        <v>162</v>
      </c>
      <c r="AK1342" t="s">
        <v>176</v>
      </c>
      <c r="AL1342">
        <v>0</v>
      </c>
      <c r="AM1342" t="s">
        <v>176</v>
      </c>
      <c r="AN1342">
        <v>0</v>
      </c>
    </row>
    <row r="1343" spans="1:42" x14ac:dyDescent="0.15">
      <c r="A1343" s="4" t="str">
        <f>HYPERLINK("https://ibp.a2mac1.com/costing(costing:projects/details/9760/process/12085071)","DimChecking")</f>
        <v>DimChecking</v>
      </c>
      <c r="C1343">
        <v>12085071</v>
      </c>
      <c r="D1343">
        <v>8415588</v>
      </c>
      <c r="E1343">
        <v>0</v>
      </c>
      <c r="F1343">
        <v>0</v>
      </c>
      <c r="G1343">
        <v>0</v>
      </c>
      <c r="H1343">
        <v>0</v>
      </c>
      <c r="I1343" t="s">
        <v>176</v>
      </c>
      <c r="J1343">
        <v>0</v>
      </c>
      <c r="K1343">
        <v>0</v>
      </c>
      <c r="L1343">
        <v>2.2678158416208606E-2</v>
      </c>
      <c r="M1343">
        <v>0.13606895049725165</v>
      </c>
      <c r="N1343">
        <v>0.13606895049725165</v>
      </c>
      <c r="O1343" t="s">
        <v>177</v>
      </c>
      <c r="P1343">
        <v>0</v>
      </c>
      <c r="Q1343" t="s">
        <v>177</v>
      </c>
      <c r="R1343">
        <v>8.1641370298350981E-3</v>
      </c>
      <c r="S1343" t="s">
        <v>178</v>
      </c>
      <c r="T1343">
        <v>1.6328274059670196E-2</v>
      </c>
      <c r="U1343">
        <v>0.16056136158675693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29.69848</v>
      </c>
      <c r="AB1343">
        <v>1</v>
      </c>
      <c r="AC1343">
        <v>0.1</v>
      </c>
      <c r="AD1343">
        <v>0.30705427283965386</v>
      </c>
      <c r="AE1343">
        <v>0</v>
      </c>
      <c r="AF1343">
        <v>200000</v>
      </c>
      <c r="AG1343">
        <v>16666.666666666668</v>
      </c>
      <c r="AH1343">
        <v>1</v>
      </c>
      <c r="AI1343">
        <v>1</v>
      </c>
      <c r="AJ1343" t="s">
        <v>162</v>
      </c>
      <c r="AK1343" t="s">
        <v>176</v>
      </c>
      <c r="AL1343">
        <v>0</v>
      </c>
      <c r="AM1343" t="s">
        <v>176</v>
      </c>
      <c r="AN1343">
        <v>0</v>
      </c>
    </row>
    <row r="1344" spans="1:42" x14ac:dyDescent="0.15">
      <c r="A1344" s="4" t="str">
        <f>HYPERLINK("https://ibp.a2mac1.com/costing(costing:projects/details/9760/process/12085072)","Checking")</f>
        <v>Checking</v>
      </c>
      <c r="C1344">
        <v>12085072</v>
      </c>
      <c r="D1344">
        <v>8415588</v>
      </c>
      <c r="E1344">
        <v>0</v>
      </c>
      <c r="F1344">
        <v>0</v>
      </c>
      <c r="G1344">
        <v>0</v>
      </c>
      <c r="H1344">
        <v>0</v>
      </c>
      <c r="I1344" t="s">
        <v>176</v>
      </c>
      <c r="J1344">
        <v>0</v>
      </c>
      <c r="K1344">
        <v>0</v>
      </c>
      <c r="L1344">
        <v>1.4032996561198342E-3</v>
      </c>
      <c r="M1344">
        <v>8.4197979367190059E-3</v>
      </c>
      <c r="N1344">
        <v>8.4197979367190059E-3</v>
      </c>
      <c r="O1344" t="s">
        <v>177</v>
      </c>
      <c r="P1344">
        <v>0</v>
      </c>
      <c r="Q1344" t="s">
        <v>177</v>
      </c>
      <c r="R1344">
        <v>5.0518787620314036E-4</v>
      </c>
      <c r="S1344" t="s">
        <v>178</v>
      </c>
      <c r="T1344">
        <v>1.0103757524062807E-3</v>
      </c>
      <c r="U1344">
        <v>9.9353615653284266E-3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0.87712999999999997</v>
      </c>
      <c r="AB1344">
        <v>1</v>
      </c>
      <c r="AC1344">
        <v>0.1</v>
      </c>
      <c r="AD1344">
        <v>0.20557651238448796</v>
      </c>
      <c r="AE1344">
        <v>0</v>
      </c>
      <c r="AF1344">
        <v>200000</v>
      </c>
      <c r="AG1344">
        <v>16666.666666666668</v>
      </c>
      <c r="AH1344">
        <v>1</v>
      </c>
      <c r="AI1344">
        <v>1</v>
      </c>
      <c r="AJ1344" t="s">
        <v>162</v>
      </c>
      <c r="AK1344" t="s">
        <v>176</v>
      </c>
      <c r="AL1344">
        <v>0</v>
      </c>
      <c r="AM1344" t="s">
        <v>176</v>
      </c>
      <c r="AN1344">
        <v>0</v>
      </c>
    </row>
    <row r="1345" spans="1:40" x14ac:dyDescent="0.15">
      <c r="A1345" s="4" t="str">
        <f>HYPERLINK("https://ibp.a2mac1.com/costing(costing:projects/details/9760/process/12085073)","CoreMolding3")</f>
        <v>CoreMolding3</v>
      </c>
      <c r="C1345">
        <v>12085073</v>
      </c>
      <c r="D1345">
        <v>8415588</v>
      </c>
      <c r="E1345">
        <v>0</v>
      </c>
      <c r="F1345">
        <v>0</v>
      </c>
      <c r="G1345">
        <v>0</v>
      </c>
      <c r="H1345">
        <v>0</v>
      </c>
      <c r="I1345" t="s">
        <v>176</v>
      </c>
      <c r="J1345">
        <v>0</v>
      </c>
      <c r="K1345">
        <v>0</v>
      </c>
      <c r="L1345">
        <v>4.0162840843976116E-2</v>
      </c>
      <c r="M1345">
        <v>0.2409770450638567</v>
      </c>
      <c r="N1345">
        <v>0.2409770450638567</v>
      </c>
      <c r="O1345" t="s">
        <v>177</v>
      </c>
      <c r="P1345">
        <v>0</v>
      </c>
      <c r="Q1345" t="s">
        <v>177</v>
      </c>
      <c r="R1345">
        <v>1.4458622703831402E-2</v>
      </c>
      <c r="S1345" t="s">
        <v>178</v>
      </c>
      <c r="T1345">
        <v>2.8917245407662804E-2</v>
      </c>
      <c r="U1345">
        <v>0.28435291317535089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47.437669999999997</v>
      </c>
      <c r="AB1345">
        <v>1</v>
      </c>
      <c r="AC1345">
        <v>0.1</v>
      </c>
      <c r="AD1345">
        <v>0.10389195236953569</v>
      </c>
      <c r="AE1345">
        <v>3600</v>
      </c>
      <c r="AF1345">
        <v>200000</v>
      </c>
      <c r="AG1345">
        <v>16666.666666666668</v>
      </c>
      <c r="AH1345">
        <v>1</v>
      </c>
      <c r="AI1345">
        <v>1</v>
      </c>
      <c r="AJ1345" t="s">
        <v>162</v>
      </c>
      <c r="AK1345" t="s">
        <v>176</v>
      </c>
      <c r="AL1345">
        <v>0</v>
      </c>
      <c r="AM1345" t="s">
        <v>176</v>
      </c>
      <c r="AN1345">
        <v>0</v>
      </c>
    </row>
    <row r="1346" spans="1:40" x14ac:dyDescent="0.15">
      <c r="A1346" s="4" t="str">
        <f>HYPERLINK("https://ibp.a2mac1.com/costing(costing:projects/details/9760/process/12085074)","Oven")</f>
        <v>Oven</v>
      </c>
      <c r="C1346">
        <v>12085074</v>
      </c>
      <c r="D1346">
        <v>8415589</v>
      </c>
      <c r="E1346">
        <v>0.26887119177724039</v>
      </c>
      <c r="F1346">
        <v>0</v>
      </c>
      <c r="G1346">
        <v>0</v>
      </c>
      <c r="H1346">
        <v>1.9624986218750688E-3</v>
      </c>
      <c r="I1346" t="s">
        <v>176</v>
      </c>
      <c r="J1346">
        <v>9.5932195203390237E-3</v>
      </c>
      <c r="K1346">
        <v>0.28042690991945451</v>
      </c>
      <c r="L1346">
        <v>1.3980398337398963E-2</v>
      </c>
      <c r="M1346">
        <v>8.388239002439378E-2</v>
      </c>
      <c r="N1346">
        <v>0.36430929994384831</v>
      </c>
      <c r="O1346" t="s">
        <v>177</v>
      </c>
      <c r="P1346">
        <v>1.6825614595167269E-2</v>
      </c>
      <c r="Q1346" t="s">
        <v>177</v>
      </c>
      <c r="R1346">
        <v>5.0329434014636269E-3</v>
      </c>
      <c r="S1346" t="s">
        <v>178</v>
      </c>
      <c r="T1346">
        <v>4.3717115993261793E-2</v>
      </c>
      <c r="U1346">
        <v>0.42988497393374098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5.4575699999999996</v>
      </c>
      <c r="AB1346">
        <v>1</v>
      </c>
      <c r="AC1346">
        <v>0.1</v>
      </c>
      <c r="AD1346">
        <v>0.71090988522181187</v>
      </c>
      <c r="AE1346">
        <v>7200</v>
      </c>
      <c r="AF1346">
        <v>200000</v>
      </c>
      <c r="AG1346">
        <v>16666.666666666668</v>
      </c>
      <c r="AH1346">
        <v>1</v>
      </c>
      <c r="AI1346">
        <v>1</v>
      </c>
      <c r="AJ1346" t="s">
        <v>162</v>
      </c>
      <c r="AK1346" t="s">
        <v>176</v>
      </c>
      <c r="AL1346">
        <v>0</v>
      </c>
      <c r="AM1346" t="s">
        <v>176</v>
      </c>
      <c r="AN1346">
        <v>0</v>
      </c>
    </row>
    <row r="1347" spans="1:40" x14ac:dyDescent="0.15">
      <c r="A1347" s="4" t="str">
        <f>HYPERLINK("https://ibp.a2mac1.com/costing(costing:projects/details/9760/process/12085075)","Casting")</f>
        <v>Casting</v>
      </c>
      <c r="C1347">
        <v>12085075</v>
      </c>
      <c r="D1347">
        <v>8415589</v>
      </c>
      <c r="E1347">
        <v>0</v>
      </c>
      <c r="F1347">
        <v>0</v>
      </c>
      <c r="G1347">
        <v>0</v>
      </c>
      <c r="H1347">
        <v>0</v>
      </c>
      <c r="I1347" t="s">
        <v>176</v>
      </c>
      <c r="J1347">
        <v>0</v>
      </c>
      <c r="K1347">
        <v>0</v>
      </c>
      <c r="L1347">
        <v>5.1420407312657117E-2</v>
      </c>
      <c r="M1347">
        <v>0.30852244387594274</v>
      </c>
      <c r="N1347">
        <v>0.30852244387594274</v>
      </c>
      <c r="O1347" t="s">
        <v>177</v>
      </c>
      <c r="P1347">
        <v>0</v>
      </c>
      <c r="Q1347" t="s">
        <v>177</v>
      </c>
      <c r="R1347">
        <v>1.8511346632556564E-2</v>
      </c>
      <c r="S1347" t="s">
        <v>178</v>
      </c>
      <c r="T1347">
        <v>3.7022693265113128E-2</v>
      </c>
      <c r="U1347">
        <v>0.36405648377361244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12</v>
      </c>
      <c r="AB1347">
        <v>1</v>
      </c>
      <c r="AC1347">
        <v>0.1</v>
      </c>
      <c r="AD1347">
        <v>0.61025304629574417</v>
      </c>
      <c r="AE1347">
        <v>7200</v>
      </c>
      <c r="AF1347">
        <v>200000</v>
      </c>
      <c r="AG1347">
        <v>16666.666666666668</v>
      </c>
      <c r="AH1347">
        <v>1</v>
      </c>
      <c r="AI1347">
        <v>1</v>
      </c>
      <c r="AJ1347" t="s">
        <v>162</v>
      </c>
      <c r="AK1347" t="s">
        <v>176</v>
      </c>
      <c r="AL1347">
        <v>0</v>
      </c>
      <c r="AM1347" t="s">
        <v>176</v>
      </c>
      <c r="AN1347">
        <v>0</v>
      </c>
    </row>
    <row r="1348" spans="1:40" x14ac:dyDescent="0.15">
      <c r="A1348" s="4" t="str">
        <f>HYPERLINK("https://ibp.a2mac1.com/costing(costing:projects/details/9760/process/12085076)","SprueRemoval")</f>
        <v>SprueRemoval</v>
      </c>
      <c r="C1348">
        <v>12085076</v>
      </c>
      <c r="D1348">
        <v>8415589</v>
      </c>
      <c r="E1348">
        <v>0</v>
      </c>
      <c r="F1348">
        <v>0</v>
      </c>
      <c r="G1348">
        <v>0</v>
      </c>
      <c r="H1348">
        <v>0</v>
      </c>
      <c r="I1348" t="s">
        <v>176</v>
      </c>
      <c r="J1348">
        <v>0</v>
      </c>
      <c r="K1348">
        <v>0</v>
      </c>
      <c r="L1348">
        <v>9.5031333452264243E-3</v>
      </c>
      <c r="M1348">
        <v>5.7018800071358546E-2</v>
      </c>
      <c r="N1348">
        <v>5.7018800071358546E-2</v>
      </c>
      <c r="O1348" t="s">
        <v>177</v>
      </c>
      <c r="P1348">
        <v>0</v>
      </c>
      <c r="Q1348" t="s">
        <v>177</v>
      </c>
      <c r="R1348">
        <v>3.4211280042815129E-3</v>
      </c>
      <c r="S1348" t="s">
        <v>178</v>
      </c>
      <c r="T1348">
        <v>6.8422560085630258E-3</v>
      </c>
      <c r="U1348">
        <v>6.7282184084203084E-2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12.727919999999999</v>
      </c>
      <c r="AB1348">
        <v>1</v>
      </c>
      <c r="AC1348">
        <v>0.1</v>
      </c>
      <c r="AD1348">
        <v>0.50939191340337475</v>
      </c>
      <c r="AE1348">
        <v>900</v>
      </c>
      <c r="AF1348">
        <v>200000</v>
      </c>
      <c r="AG1348">
        <v>16666.666666666668</v>
      </c>
      <c r="AH1348">
        <v>1</v>
      </c>
      <c r="AI1348">
        <v>1</v>
      </c>
      <c r="AJ1348" t="s">
        <v>162</v>
      </c>
      <c r="AK1348" t="s">
        <v>176</v>
      </c>
      <c r="AL1348">
        <v>0</v>
      </c>
      <c r="AM1348" t="s">
        <v>176</v>
      </c>
      <c r="AN1348">
        <v>0</v>
      </c>
    </row>
    <row r="1349" spans="1:40" x14ac:dyDescent="0.15">
      <c r="A1349" s="4" t="str">
        <f>HYPERLINK("https://ibp.a2mac1.com/costing(costing:projects/details/9760/process/12085077)","Trimming")</f>
        <v>Trimming</v>
      </c>
      <c r="C1349">
        <v>12085077</v>
      </c>
      <c r="D1349">
        <v>8415589</v>
      </c>
      <c r="E1349">
        <v>0</v>
      </c>
      <c r="F1349">
        <v>0</v>
      </c>
      <c r="G1349">
        <v>0</v>
      </c>
      <c r="H1349">
        <v>0</v>
      </c>
      <c r="I1349" t="s">
        <v>176</v>
      </c>
      <c r="J1349">
        <v>0</v>
      </c>
      <c r="K1349">
        <v>0</v>
      </c>
      <c r="L1349">
        <v>1.5480578340878036E-2</v>
      </c>
      <c r="M1349">
        <v>9.2883470045268215E-2</v>
      </c>
      <c r="N1349">
        <v>9.2883470045268215E-2</v>
      </c>
      <c r="O1349" t="s">
        <v>177</v>
      </c>
      <c r="P1349">
        <v>0</v>
      </c>
      <c r="Q1349" t="s">
        <v>177</v>
      </c>
      <c r="R1349">
        <v>5.573008202716093E-3</v>
      </c>
      <c r="S1349" t="s">
        <v>178</v>
      </c>
      <c r="T1349">
        <v>1.1146016405432186E-2</v>
      </c>
      <c r="U1349">
        <v>0.1096024946534165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21.213200000000001</v>
      </c>
      <c r="AB1349">
        <v>1</v>
      </c>
      <c r="AC1349">
        <v>0.1</v>
      </c>
      <c r="AD1349">
        <v>0.40832586395777315</v>
      </c>
      <c r="AE1349">
        <v>0</v>
      </c>
      <c r="AF1349">
        <v>200000</v>
      </c>
      <c r="AG1349">
        <v>16666.666666666668</v>
      </c>
      <c r="AH1349">
        <v>1</v>
      </c>
      <c r="AI1349">
        <v>1</v>
      </c>
      <c r="AJ1349" t="s">
        <v>162</v>
      </c>
      <c r="AK1349" t="s">
        <v>176</v>
      </c>
      <c r="AL1349">
        <v>0</v>
      </c>
      <c r="AM1349" t="s">
        <v>176</v>
      </c>
      <c r="AN1349">
        <v>0</v>
      </c>
    </row>
    <row r="1350" spans="1:40" x14ac:dyDescent="0.15">
      <c r="A1350" s="4" t="str">
        <f>HYPERLINK("https://ibp.a2mac1.com/costing(costing:projects/details/9760/process/12085078)","DimChecking")</f>
        <v>DimChecking</v>
      </c>
      <c r="C1350">
        <v>12085078</v>
      </c>
      <c r="D1350">
        <v>8415589</v>
      </c>
      <c r="E1350">
        <v>0</v>
      </c>
      <c r="F1350">
        <v>0</v>
      </c>
      <c r="G1350">
        <v>0</v>
      </c>
      <c r="H1350">
        <v>0</v>
      </c>
      <c r="I1350" t="s">
        <v>176</v>
      </c>
      <c r="J1350">
        <v>0</v>
      </c>
      <c r="K1350">
        <v>0</v>
      </c>
      <c r="L1350">
        <v>2.2678158416208606E-2</v>
      </c>
      <c r="M1350">
        <v>0.13606895049725165</v>
      </c>
      <c r="N1350">
        <v>0.13606895049725165</v>
      </c>
      <c r="O1350" t="s">
        <v>177</v>
      </c>
      <c r="P1350">
        <v>0</v>
      </c>
      <c r="Q1350" t="s">
        <v>177</v>
      </c>
      <c r="R1350">
        <v>8.1641370298350981E-3</v>
      </c>
      <c r="S1350" t="s">
        <v>178</v>
      </c>
      <c r="T1350">
        <v>1.6328274059670196E-2</v>
      </c>
      <c r="U1350">
        <v>0.16056136158675693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29.69848</v>
      </c>
      <c r="AB1350">
        <v>1</v>
      </c>
      <c r="AC1350">
        <v>0.1</v>
      </c>
      <c r="AD1350">
        <v>0.30705427283965386</v>
      </c>
      <c r="AE1350">
        <v>0</v>
      </c>
      <c r="AF1350">
        <v>200000</v>
      </c>
      <c r="AG1350">
        <v>16666.666666666668</v>
      </c>
      <c r="AH1350">
        <v>1</v>
      </c>
      <c r="AI1350">
        <v>1</v>
      </c>
      <c r="AJ1350" t="s">
        <v>162</v>
      </c>
      <c r="AK1350" t="s">
        <v>176</v>
      </c>
      <c r="AL1350">
        <v>0</v>
      </c>
      <c r="AM1350" t="s">
        <v>176</v>
      </c>
      <c r="AN1350">
        <v>0</v>
      </c>
    </row>
    <row r="1351" spans="1:40" x14ac:dyDescent="0.15">
      <c r="A1351" s="4" t="str">
        <f>HYPERLINK("https://ibp.a2mac1.com/costing(costing:projects/details/9760/process/12085079)","Checking")</f>
        <v>Checking</v>
      </c>
      <c r="C1351">
        <v>12085079</v>
      </c>
      <c r="D1351">
        <v>8415589</v>
      </c>
      <c r="E1351">
        <v>0</v>
      </c>
      <c r="F1351">
        <v>0</v>
      </c>
      <c r="G1351">
        <v>0</v>
      </c>
      <c r="H1351">
        <v>0</v>
      </c>
      <c r="I1351" t="s">
        <v>176</v>
      </c>
      <c r="J1351">
        <v>0</v>
      </c>
      <c r="K1351">
        <v>0</v>
      </c>
      <c r="L1351">
        <v>1.4032996561198342E-3</v>
      </c>
      <c r="M1351">
        <v>8.4197979367190059E-3</v>
      </c>
      <c r="N1351">
        <v>8.4197979367190059E-3</v>
      </c>
      <c r="O1351" t="s">
        <v>177</v>
      </c>
      <c r="P1351">
        <v>0</v>
      </c>
      <c r="Q1351" t="s">
        <v>177</v>
      </c>
      <c r="R1351">
        <v>5.0518787620314036E-4</v>
      </c>
      <c r="S1351" t="s">
        <v>178</v>
      </c>
      <c r="T1351">
        <v>1.0103757524062807E-3</v>
      </c>
      <c r="U1351">
        <v>9.9353615653284266E-3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0.87712999999999997</v>
      </c>
      <c r="AB1351">
        <v>1</v>
      </c>
      <c r="AC1351">
        <v>0.1</v>
      </c>
      <c r="AD1351">
        <v>0.20557651238448796</v>
      </c>
      <c r="AE1351">
        <v>0</v>
      </c>
      <c r="AF1351">
        <v>200000</v>
      </c>
      <c r="AG1351">
        <v>16666.666666666668</v>
      </c>
      <c r="AH1351">
        <v>1</v>
      </c>
      <c r="AI1351">
        <v>1</v>
      </c>
      <c r="AJ1351" t="s">
        <v>162</v>
      </c>
      <c r="AK1351" t="s">
        <v>176</v>
      </c>
      <c r="AL1351">
        <v>0</v>
      </c>
      <c r="AM1351" t="s">
        <v>176</v>
      </c>
      <c r="AN1351">
        <v>0</v>
      </c>
    </row>
    <row r="1352" spans="1:40" x14ac:dyDescent="0.15">
      <c r="A1352" s="4" t="str">
        <f>HYPERLINK("https://ibp.a2mac1.com/costing(costing:projects/details/9760/process/12085080)","CoreMolding3")</f>
        <v>CoreMolding3</v>
      </c>
      <c r="C1352">
        <v>12085080</v>
      </c>
      <c r="D1352">
        <v>8415589</v>
      </c>
      <c r="E1352">
        <v>0</v>
      </c>
      <c r="F1352">
        <v>0</v>
      </c>
      <c r="G1352">
        <v>0</v>
      </c>
      <c r="H1352">
        <v>0</v>
      </c>
      <c r="I1352" t="s">
        <v>176</v>
      </c>
      <c r="J1352">
        <v>0</v>
      </c>
      <c r="K1352">
        <v>0</v>
      </c>
      <c r="L1352">
        <v>4.0162840843976116E-2</v>
      </c>
      <c r="M1352">
        <v>0.2409770450638567</v>
      </c>
      <c r="N1352">
        <v>0.2409770450638567</v>
      </c>
      <c r="O1352" t="s">
        <v>177</v>
      </c>
      <c r="P1352">
        <v>0</v>
      </c>
      <c r="Q1352" t="s">
        <v>177</v>
      </c>
      <c r="R1352">
        <v>1.4458622703831402E-2</v>
      </c>
      <c r="S1352" t="s">
        <v>178</v>
      </c>
      <c r="T1352">
        <v>2.8917245407662804E-2</v>
      </c>
      <c r="U1352">
        <v>0.28435291317535089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47.437669999999997</v>
      </c>
      <c r="AB1352">
        <v>1</v>
      </c>
      <c r="AC1352">
        <v>0.1</v>
      </c>
      <c r="AD1352">
        <v>0.10389195236953569</v>
      </c>
      <c r="AE1352">
        <v>3600</v>
      </c>
      <c r="AF1352">
        <v>200000</v>
      </c>
      <c r="AG1352">
        <v>16666.666666666668</v>
      </c>
      <c r="AH1352">
        <v>1</v>
      </c>
      <c r="AI1352">
        <v>1</v>
      </c>
      <c r="AJ1352" t="s">
        <v>162</v>
      </c>
      <c r="AK1352" t="s">
        <v>176</v>
      </c>
      <c r="AL1352">
        <v>0</v>
      </c>
      <c r="AM1352" t="s">
        <v>176</v>
      </c>
      <c r="AN1352">
        <v>0</v>
      </c>
    </row>
    <row r="1353" spans="1:40" x14ac:dyDescent="0.15">
      <c r="A1353" s="4" t="str">
        <f>HYPERLINK("https://ibp.a2mac1.com/costing(costing:projects/details/9760/process/12085378)","MANUFACTURING  PROCESS")</f>
        <v>MANUFACTURING  PROCESS</v>
      </c>
      <c r="B1353" t="s">
        <v>4962</v>
      </c>
      <c r="C1353">
        <v>12085378</v>
      </c>
      <c r="D1353">
        <v>8416074</v>
      </c>
      <c r="E1353">
        <v>0.64932285999999995</v>
      </c>
      <c r="F1353">
        <v>0</v>
      </c>
      <c r="G1353">
        <v>0</v>
      </c>
      <c r="H1353">
        <v>1.381538E-5</v>
      </c>
      <c r="I1353" t="s">
        <v>176</v>
      </c>
      <c r="J1353">
        <v>2.4176915E-2</v>
      </c>
      <c r="K1353">
        <v>0.67351359038000003</v>
      </c>
      <c r="L1353">
        <v>5.9677817437074794E-3</v>
      </c>
      <c r="M1353">
        <v>3.5806690462244876E-2</v>
      </c>
      <c r="N1353">
        <v>0.70932028084224485</v>
      </c>
      <c r="O1353" t="s">
        <v>90</v>
      </c>
      <c r="P1353">
        <v>0</v>
      </c>
      <c r="Q1353" t="s">
        <v>90</v>
      </c>
      <c r="R1353">
        <v>0</v>
      </c>
      <c r="S1353" t="s">
        <v>90</v>
      </c>
      <c r="T1353">
        <v>0</v>
      </c>
      <c r="U1353">
        <v>0.70932028084224485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1.6854899999999999</v>
      </c>
      <c r="AB1353">
        <v>2</v>
      </c>
      <c r="AC1353">
        <v>0</v>
      </c>
      <c r="AD1353">
        <v>1.9999600007999841E-3</v>
      </c>
      <c r="AE1353">
        <v>5400</v>
      </c>
      <c r="AF1353">
        <v>200000</v>
      </c>
      <c r="AG1353">
        <v>16666.666666666668</v>
      </c>
      <c r="AH1353">
        <v>1</v>
      </c>
      <c r="AI1353">
        <v>1</v>
      </c>
      <c r="AJ1353" t="s">
        <v>162</v>
      </c>
      <c r="AK1353" t="s">
        <v>176</v>
      </c>
      <c r="AL1353">
        <v>0</v>
      </c>
      <c r="AM1353" t="s">
        <v>176</v>
      </c>
      <c r="AN1353">
        <v>0</v>
      </c>
    </row>
    <row r="1354" spans="1:40" x14ac:dyDescent="0.15">
      <c r="A1354" s="4" t="str">
        <f>HYPERLINK("https://ibp.a2mac1.com/costing(costing:projects/details/9760/process/12085379)","MANUFACTURING  PROCESS")</f>
        <v>MANUFACTURING  PROCESS</v>
      </c>
      <c r="B1354" t="s">
        <v>4962</v>
      </c>
      <c r="C1354">
        <v>12085379</v>
      </c>
      <c r="D1354">
        <v>8416075</v>
      </c>
      <c r="E1354">
        <v>0.20111770000000001</v>
      </c>
      <c r="F1354">
        <v>0</v>
      </c>
      <c r="G1354">
        <v>0</v>
      </c>
      <c r="H1354">
        <v>4.2791000000000002E-6</v>
      </c>
      <c r="I1354" t="s">
        <v>176</v>
      </c>
      <c r="J1354">
        <v>7.4884249999999999E-3</v>
      </c>
      <c r="K1354">
        <v>0.20861040410000001</v>
      </c>
      <c r="L1354">
        <v>4.787815421796216E-3</v>
      </c>
      <c r="M1354">
        <v>2.8726892530777298E-2</v>
      </c>
      <c r="N1354">
        <v>0.23733729663077729</v>
      </c>
      <c r="O1354" t="s">
        <v>90</v>
      </c>
      <c r="P1354">
        <v>0</v>
      </c>
      <c r="Q1354" t="s">
        <v>90</v>
      </c>
      <c r="R1354">
        <v>0</v>
      </c>
      <c r="S1354" t="s">
        <v>90</v>
      </c>
      <c r="T1354">
        <v>0</v>
      </c>
      <c r="U1354">
        <v>0.23733729663077729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1.21207</v>
      </c>
      <c r="AB1354">
        <v>2</v>
      </c>
      <c r="AC1354">
        <v>0</v>
      </c>
      <c r="AD1354">
        <v>1.9999600007999841E-3</v>
      </c>
      <c r="AE1354">
        <v>5400</v>
      </c>
      <c r="AF1354">
        <v>200000</v>
      </c>
      <c r="AG1354">
        <v>16666.666666666668</v>
      </c>
      <c r="AH1354">
        <v>1</v>
      </c>
      <c r="AI1354">
        <v>1</v>
      </c>
      <c r="AJ1354" t="s">
        <v>162</v>
      </c>
      <c r="AK1354" t="s">
        <v>176</v>
      </c>
      <c r="AL1354">
        <v>0</v>
      </c>
      <c r="AM1354" t="s">
        <v>176</v>
      </c>
      <c r="AN1354">
        <v>0</v>
      </c>
    </row>
    <row r="1355" spans="1:40" x14ac:dyDescent="0.15">
      <c r="A1355" s="4" t="str">
        <f>HYPERLINK("https://ibp.a2mac1.com/costing(costing:projects/details/9760/process/12085380)","MANUFACTURING  PROCESS")</f>
        <v>MANUFACTURING  PROCESS</v>
      </c>
      <c r="B1355" t="s">
        <v>4962</v>
      </c>
      <c r="C1355">
        <v>12085380</v>
      </c>
      <c r="D1355">
        <v>8416076</v>
      </c>
      <c r="E1355">
        <v>9.3376075000000003E-2</v>
      </c>
      <c r="F1355">
        <v>0</v>
      </c>
      <c r="G1355">
        <v>0</v>
      </c>
      <c r="H1355">
        <v>1.986725E-6</v>
      </c>
      <c r="I1355" t="s">
        <v>176</v>
      </c>
      <c r="J1355">
        <v>3.4767687499999999E-3</v>
      </c>
      <c r="K1355">
        <v>9.6854830475000001E-2</v>
      </c>
      <c r="L1355">
        <v>4.9079754834314279E-3</v>
      </c>
      <c r="M1355">
        <v>2.9447852900588566E-2</v>
      </c>
      <c r="N1355">
        <v>0.12630268337558856</v>
      </c>
      <c r="O1355" t="s">
        <v>90</v>
      </c>
      <c r="P1355">
        <v>0</v>
      </c>
      <c r="Q1355" t="s">
        <v>90</v>
      </c>
      <c r="R1355">
        <v>0</v>
      </c>
      <c r="S1355" t="s">
        <v>90</v>
      </c>
      <c r="T1355">
        <v>0</v>
      </c>
      <c r="U1355">
        <v>0.12630268337558856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1.2602800000000001</v>
      </c>
      <c r="AB1355">
        <v>2</v>
      </c>
      <c r="AC1355">
        <v>0</v>
      </c>
      <c r="AD1355">
        <v>1.9999600007999841E-3</v>
      </c>
      <c r="AE1355">
        <v>5400</v>
      </c>
      <c r="AF1355">
        <v>200000</v>
      </c>
      <c r="AG1355">
        <v>16666.666666666668</v>
      </c>
      <c r="AH1355">
        <v>1</v>
      </c>
      <c r="AI1355">
        <v>1</v>
      </c>
      <c r="AJ1355" t="s">
        <v>162</v>
      </c>
      <c r="AK1355" t="s">
        <v>176</v>
      </c>
      <c r="AL1355">
        <v>0</v>
      </c>
      <c r="AM1355" t="s">
        <v>176</v>
      </c>
      <c r="AN1355">
        <v>0</v>
      </c>
    </row>
    <row r="1356" spans="1:40" x14ac:dyDescent="0.15">
      <c r="A1356" s="4" t="str">
        <f>HYPERLINK("https://ibp.a2mac1.com/costing(costing:projects/details/9760/process/12085381)","MANUFACTURING  PROCESS")</f>
        <v>MANUFACTURING  PROCESS</v>
      </c>
      <c r="B1356" t="s">
        <v>4962</v>
      </c>
      <c r="C1356">
        <v>12085381</v>
      </c>
      <c r="D1356">
        <v>8416077</v>
      </c>
      <c r="E1356">
        <v>1.8675214999999998E-2</v>
      </c>
      <c r="F1356">
        <v>0</v>
      </c>
      <c r="G1356">
        <v>0</v>
      </c>
      <c r="H1356">
        <v>3.9734500000000002E-7</v>
      </c>
      <c r="I1356" t="s">
        <v>176</v>
      </c>
      <c r="J1356">
        <v>6.9535375000000005E-4</v>
      </c>
      <c r="K1356">
        <v>1.9370966095000001E-2</v>
      </c>
      <c r="L1356">
        <v>2.8492779578256971E-3</v>
      </c>
      <c r="M1356">
        <v>1.7095667746954181E-2</v>
      </c>
      <c r="N1356">
        <v>3.6466633841954178E-2</v>
      </c>
      <c r="O1356" t="s">
        <v>90</v>
      </c>
      <c r="P1356">
        <v>0</v>
      </c>
      <c r="Q1356" t="s">
        <v>90</v>
      </c>
      <c r="R1356">
        <v>0</v>
      </c>
      <c r="S1356" t="s">
        <v>90</v>
      </c>
      <c r="T1356">
        <v>0</v>
      </c>
      <c r="U1356">
        <v>3.6466633841954178E-2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0.43430000000000002</v>
      </c>
      <c r="AB1356">
        <v>2</v>
      </c>
      <c r="AC1356">
        <v>0</v>
      </c>
      <c r="AD1356">
        <v>1.9999600007999841E-3</v>
      </c>
      <c r="AE1356">
        <v>5400</v>
      </c>
      <c r="AF1356">
        <v>200000</v>
      </c>
      <c r="AG1356">
        <v>16666.666666666668</v>
      </c>
      <c r="AH1356">
        <v>1</v>
      </c>
      <c r="AI1356">
        <v>1</v>
      </c>
      <c r="AJ1356" t="s">
        <v>162</v>
      </c>
      <c r="AK1356" t="s">
        <v>176</v>
      </c>
      <c r="AL1356">
        <v>0</v>
      </c>
      <c r="AM1356" t="s">
        <v>176</v>
      </c>
      <c r="AN1356">
        <v>0</v>
      </c>
    </row>
    <row r="1357" spans="1:40" x14ac:dyDescent="0.15">
      <c r="A1357" s="4" t="str">
        <f>HYPERLINK("https://ibp.a2mac1.com/costing(costing:projects/details/9760/process/12085382)","MANUFACTURING  PROCESS")</f>
        <v>MANUFACTURING  PROCESS</v>
      </c>
      <c r="B1357" t="s">
        <v>4962</v>
      </c>
      <c r="C1357">
        <v>12085382</v>
      </c>
      <c r="D1357">
        <v>8416078</v>
      </c>
      <c r="E1357">
        <v>0.1098964575</v>
      </c>
      <c r="F1357">
        <v>0</v>
      </c>
      <c r="G1357">
        <v>0</v>
      </c>
      <c r="H1357">
        <v>2.3382225000000002E-6</v>
      </c>
      <c r="I1357" t="s">
        <v>176</v>
      </c>
      <c r="J1357">
        <v>4.0918893750000003E-3</v>
      </c>
      <c r="K1357">
        <v>0.1139906850975</v>
      </c>
      <c r="L1357">
        <v>4.3658469829901307E-3</v>
      </c>
      <c r="M1357">
        <v>2.6195081897940786E-2</v>
      </c>
      <c r="N1357">
        <v>0.14018576699544077</v>
      </c>
      <c r="O1357" t="s">
        <v>90</v>
      </c>
      <c r="P1357">
        <v>0</v>
      </c>
      <c r="Q1357" t="s">
        <v>90</v>
      </c>
      <c r="R1357">
        <v>0</v>
      </c>
      <c r="S1357" t="s">
        <v>90</v>
      </c>
      <c r="T1357">
        <v>0</v>
      </c>
      <c r="U1357">
        <v>0.14018576699544077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1.04277</v>
      </c>
      <c r="AB1357">
        <v>2</v>
      </c>
      <c r="AC1357">
        <v>0</v>
      </c>
      <c r="AD1357">
        <v>1.9999600007999841E-3</v>
      </c>
      <c r="AE1357">
        <v>5400</v>
      </c>
      <c r="AF1357">
        <v>200000</v>
      </c>
      <c r="AG1357">
        <v>16666.666666666668</v>
      </c>
      <c r="AH1357">
        <v>1</v>
      </c>
      <c r="AI1357">
        <v>1</v>
      </c>
      <c r="AJ1357" t="s">
        <v>162</v>
      </c>
      <c r="AK1357" t="s">
        <v>176</v>
      </c>
      <c r="AL1357">
        <v>0</v>
      </c>
      <c r="AM1357" t="s">
        <v>176</v>
      </c>
      <c r="AN1357">
        <v>0</v>
      </c>
    </row>
    <row r="1358" spans="1:40" x14ac:dyDescent="0.15">
      <c r="A1358" s="4" t="str">
        <f>HYPERLINK("https://ibp.a2mac1.com/costing(costing:projects/details/9760/process/12085383)","MANUFACTURING  PROCESS")</f>
        <v>MANUFACTURING  PROCESS</v>
      </c>
      <c r="B1358" t="s">
        <v>4962</v>
      </c>
      <c r="C1358">
        <v>12085383</v>
      </c>
      <c r="D1358">
        <v>8416079</v>
      </c>
      <c r="E1358">
        <v>3.1604210000000001E-2</v>
      </c>
      <c r="F1358">
        <v>0</v>
      </c>
      <c r="G1358">
        <v>0</v>
      </c>
      <c r="H1358">
        <v>6.7242999999999999E-7</v>
      </c>
      <c r="I1358" t="s">
        <v>176</v>
      </c>
      <c r="J1358">
        <v>1.1767525E-3</v>
      </c>
      <c r="K1358">
        <v>3.2781634929999998E-2</v>
      </c>
      <c r="L1358">
        <v>2.8492779578256971E-3</v>
      </c>
      <c r="M1358">
        <v>1.7095667746954181E-2</v>
      </c>
      <c r="N1358">
        <v>4.9877302676954179E-2</v>
      </c>
      <c r="O1358" t="s">
        <v>90</v>
      </c>
      <c r="P1358">
        <v>0</v>
      </c>
      <c r="Q1358" t="s">
        <v>90</v>
      </c>
      <c r="R1358">
        <v>0</v>
      </c>
      <c r="S1358" t="s">
        <v>90</v>
      </c>
      <c r="T1358">
        <v>0</v>
      </c>
      <c r="U1358">
        <v>4.9877302676954179E-2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0.43430000000000002</v>
      </c>
      <c r="AB1358">
        <v>2</v>
      </c>
      <c r="AC1358">
        <v>0</v>
      </c>
      <c r="AD1358">
        <v>1.9999600007999841E-3</v>
      </c>
      <c r="AE1358">
        <v>5400</v>
      </c>
      <c r="AF1358">
        <v>200000</v>
      </c>
      <c r="AG1358">
        <v>16666.666666666668</v>
      </c>
      <c r="AH1358">
        <v>1</v>
      </c>
      <c r="AI1358">
        <v>1</v>
      </c>
      <c r="AJ1358" t="s">
        <v>162</v>
      </c>
      <c r="AK1358" t="s">
        <v>176</v>
      </c>
      <c r="AL1358">
        <v>0</v>
      </c>
      <c r="AM1358" t="s">
        <v>176</v>
      </c>
      <c r="AN1358">
        <v>0</v>
      </c>
    </row>
    <row r="1359" spans="1:40" x14ac:dyDescent="0.15">
      <c r="A1359" s="4" t="str">
        <f>HYPERLINK("https://ibp.a2mac1.com/costing(costing:projects/details/9760/process/12085384)","MANUFACTURING  PROCESS")</f>
        <v>MANUFACTURING  PROCESS</v>
      </c>
      <c r="B1359" t="s">
        <v>4962</v>
      </c>
      <c r="C1359">
        <v>12085384</v>
      </c>
      <c r="D1359">
        <v>8416080</v>
      </c>
      <c r="E1359">
        <v>1.4516388275000001</v>
      </c>
      <c r="F1359">
        <v>0</v>
      </c>
      <c r="G1359">
        <v>0</v>
      </c>
      <c r="H1359">
        <v>3.0885932500000001E-5</v>
      </c>
      <c r="I1359" t="s">
        <v>176</v>
      </c>
      <c r="J1359">
        <v>5.4050381874999998E-2</v>
      </c>
      <c r="K1359">
        <v>1.5057200953075001</v>
      </c>
      <c r="L1359">
        <v>6.65449612208818E-3</v>
      </c>
      <c r="M1359">
        <v>3.9926976732529075E-2</v>
      </c>
      <c r="N1359">
        <v>1.545647072040029</v>
      </c>
      <c r="O1359" t="s">
        <v>90</v>
      </c>
      <c r="P1359">
        <v>0</v>
      </c>
      <c r="Q1359" t="s">
        <v>90</v>
      </c>
      <c r="R1359">
        <v>0</v>
      </c>
      <c r="S1359" t="s">
        <v>90</v>
      </c>
      <c r="T1359">
        <v>0</v>
      </c>
      <c r="U1359">
        <v>1.545647072040029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1.9610099999999999</v>
      </c>
      <c r="AB1359">
        <v>2</v>
      </c>
      <c r="AC1359">
        <v>0</v>
      </c>
      <c r="AD1359">
        <v>1.9999600007999841E-3</v>
      </c>
      <c r="AE1359">
        <v>5400</v>
      </c>
      <c r="AF1359">
        <v>200000</v>
      </c>
      <c r="AG1359">
        <v>16666.666666666668</v>
      </c>
      <c r="AH1359">
        <v>1</v>
      </c>
      <c r="AI1359">
        <v>1</v>
      </c>
      <c r="AJ1359" t="s">
        <v>162</v>
      </c>
      <c r="AK1359" t="s">
        <v>176</v>
      </c>
      <c r="AL1359">
        <v>0</v>
      </c>
      <c r="AM1359" t="s">
        <v>176</v>
      </c>
      <c r="AN1359">
        <v>0</v>
      </c>
    </row>
    <row r="1360" spans="1:40" x14ac:dyDescent="0.15">
      <c r="A1360" s="4" t="str">
        <f>HYPERLINK("https://ibp.a2mac1.com/costing(costing:projects/details/9760/process/12085163)","Painting")</f>
        <v>Painting</v>
      </c>
      <c r="C1360">
        <v>12085163</v>
      </c>
      <c r="D1360">
        <v>8415760</v>
      </c>
      <c r="E1360">
        <v>0.42121821589688507</v>
      </c>
      <c r="F1360">
        <v>0</v>
      </c>
      <c r="G1360">
        <v>0</v>
      </c>
      <c r="H1360">
        <v>4.7597658396348009E-3</v>
      </c>
      <c r="I1360" t="s">
        <v>176</v>
      </c>
      <c r="J1360">
        <v>1.4742637556390978E-2</v>
      </c>
      <c r="K1360">
        <v>0.44072061929291084</v>
      </c>
      <c r="L1360">
        <v>7.1048024394509704E-2</v>
      </c>
      <c r="M1360">
        <v>0.42628814636705825</v>
      </c>
      <c r="N1360">
        <v>0.86700876565996909</v>
      </c>
      <c r="O1360" t="s">
        <v>90</v>
      </c>
      <c r="P1360">
        <v>0</v>
      </c>
      <c r="Q1360" t="s">
        <v>90</v>
      </c>
      <c r="R1360">
        <v>0</v>
      </c>
      <c r="S1360" t="s">
        <v>90</v>
      </c>
      <c r="T1360">
        <v>0</v>
      </c>
      <c r="U1360">
        <v>0.86700876565996909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1.92</v>
      </c>
      <c r="AB1360">
        <v>1</v>
      </c>
      <c r="AC1360">
        <v>1</v>
      </c>
      <c r="AD1360">
        <v>1.117373677444873</v>
      </c>
      <c r="AE1360">
        <v>0</v>
      </c>
      <c r="AF1360">
        <v>200000</v>
      </c>
      <c r="AG1360">
        <v>10000</v>
      </c>
      <c r="AH1360">
        <v>1</v>
      </c>
      <c r="AI1360">
        <v>1</v>
      </c>
      <c r="AJ1360" t="s">
        <v>76</v>
      </c>
      <c r="AK1360" t="s">
        <v>176</v>
      </c>
      <c r="AL1360">
        <v>0</v>
      </c>
      <c r="AM1360" t="s">
        <v>176</v>
      </c>
      <c r="AN1360">
        <v>0</v>
      </c>
    </row>
    <row r="1361" spans="1:40" x14ac:dyDescent="0.15">
      <c r="A1361" s="4" t="str">
        <f>HYPERLINK("https://ibp.a2mac1.com/costing(costing:projects/details/9760/process/12085162)","Assembly")</f>
        <v>Assembly</v>
      </c>
      <c r="C1361">
        <v>12085162</v>
      </c>
      <c r="D1361">
        <v>8415760</v>
      </c>
      <c r="E1361">
        <v>0</v>
      </c>
      <c r="F1361">
        <v>0</v>
      </c>
      <c r="G1361">
        <v>0</v>
      </c>
      <c r="H1361">
        <v>0</v>
      </c>
      <c r="I1361" t="s">
        <v>176</v>
      </c>
      <c r="J1361">
        <v>0</v>
      </c>
      <c r="K1361">
        <v>0</v>
      </c>
      <c r="L1361">
        <v>5.2660470210538941E-2</v>
      </c>
      <c r="M1361">
        <v>0.31596282126323366</v>
      </c>
      <c r="N1361">
        <v>0.31596282126323366</v>
      </c>
      <c r="O1361" t="s">
        <v>90</v>
      </c>
      <c r="P1361">
        <v>0</v>
      </c>
      <c r="Q1361" t="s">
        <v>90</v>
      </c>
      <c r="R1361">
        <v>0</v>
      </c>
      <c r="S1361" t="s">
        <v>90</v>
      </c>
      <c r="T1361">
        <v>0</v>
      </c>
      <c r="U1361">
        <v>0.31596282126323366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180</v>
      </c>
      <c r="AB1361">
        <v>1</v>
      </c>
      <c r="AC1361">
        <v>0.1</v>
      </c>
      <c r="AD1361">
        <v>0.10987913295375087</v>
      </c>
      <c r="AE1361">
        <v>600</v>
      </c>
      <c r="AF1361">
        <v>200000</v>
      </c>
      <c r="AG1361">
        <v>10000</v>
      </c>
      <c r="AH1361">
        <v>1</v>
      </c>
      <c r="AI1361">
        <v>1</v>
      </c>
      <c r="AJ1361" t="s">
        <v>76</v>
      </c>
      <c r="AK1361" t="s">
        <v>176</v>
      </c>
      <c r="AL1361">
        <v>0</v>
      </c>
      <c r="AM1361" t="s">
        <v>176</v>
      </c>
      <c r="AN1361">
        <v>0</v>
      </c>
    </row>
    <row r="1362" spans="1:40" x14ac:dyDescent="0.15">
      <c r="A1362" s="4" t="str">
        <f>HYPERLINK("https://ibp.a2mac1.com/costing(costing:projects/details/9760/process/12085385)","MANUFACTURING  PROCESS")</f>
        <v>MANUFACTURING  PROCESS</v>
      </c>
      <c r="B1362" t="s">
        <v>4962</v>
      </c>
      <c r="C1362">
        <v>12085385</v>
      </c>
      <c r="D1362">
        <v>8416081</v>
      </c>
      <c r="E1362">
        <v>0.64932285999999995</v>
      </c>
      <c r="F1362">
        <v>0</v>
      </c>
      <c r="G1362">
        <v>0</v>
      </c>
      <c r="H1362">
        <v>1.381538E-5</v>
      </c>
      <c r="I1362" t="s">
        <v>176</v>
      </c>
      <c r="J1362">
        <v>2.4176915E-2</v>
      </c>
      <c r="K1362">
        <v>0.67351359038000003</v>
      </c>
      <c r="L1362">
        <v>5.9677817437074794E-3</v>
      </c>
      <c r="M1362">
        <v>3.5806690462244876E-2</v>
      </c>
      <c r="N1362">
        <v>0.70932028084224485</v>
      </c>
      <c r="O1362" t="s">
        <v>90</v>
      </c>
      <c r="P1362">
        <v>0</v>
      </c>
      <c r="Q1362" t="s">
        <v>90</v>
      </c>
      <c r="R1362">
        <v>0</v>
      </c>
      <c r="S1362" t="s">
        <v>90</v>
      </c>
      <c r="T1362">
        <v>0</v>
      </c>
      <c r="U1362">
        <v>0.70932028084224485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1.6854899999999999</v>
      </c>
      <c r="AB1362">
        <v>2</v>
      </c>
      <c r="AC1362">
        <v>0</v>
      </c>
      <c r="AD1362">
        <v>1.9999600007999841E-3</v>
      </c>
      <c r="AE1362">
        <v>5400</v>
      </c>
      <c r="AF1362">
        <v>200000</v>
      </c>
      <c r="AG1362">
        <v>16666.666666666668</v>
      </c>
      <c r="AH1362">
        <v>1</v>
      </c>
      <c r="AI1362">
        <v>1</v>
      </c>
      <c r="AJ1362" t="s">
        <v>162</v>
      </c>
      <c r="AK1362" t="s">
        <v>176</v>
      </c>
      <c r="AL1362">
        <v>0</v>
      </c>
      <c r="AM1362" t="s">
        <v>176</v>
      </c>
      <c r="AN1362">
        <v>0</v>
      </c>
    </row>
    <row r="1363" spans="1:40" x14ac:dyDescent="0.15">
      <c r="A1363" s="4" t="str">
        <f>HYPERLINK("https://ibp.a2mac1.com/costing(costing:projects/details/9760/process/12085386)","MANUFACTURING  PROCESS")</f>
        <v>MANUFACTURING  PROCESS</v>
      </c>
      <c r="B1363" t="s">
        <v>4962</v>
      </c>
      <c r="C1363">
        <v>12085386</v>
      </c>
      <c r="D1363">
        <v>8416082</v>
      </c>
      <c r="E1363">
        <v>0.20111770000000001</v>
      </c>
      <c r="F1363">
        <v>0</v>
      </c>
      <c r="G1363">
        <v>0</v>
      </c>
      <c r="H1363">
        <v>4.2791000000000002E-6</v>
      </c>
      <c r="I1363" t="s">
        <v>176</v>
      </c>
      <c r="J1363">
        <v>7.4884249999999999E-3</v>
      </c>
      <c r="K1363">
        <v>0.20861040410000001</v>
      </c>
      <c r="L1363">
        <v>4.787815421796216E-3</v>
      </c>
      <c r="M1363">
        <v>2.8726892530777298E-2</v>
      </c>
      <c r="N1363">
        <v>0.23733729663077729</v>
      </c>
      <c r="O1363" t="s">
        <v>90</v>
      </c>
      <c r="P1363">
        <v>0</v>
      </c>
      <c r="Q1363" t="s">
        <v>90</v>
      </c>
      <c r="R1363">
        <v>0</v>
      </c>
      <c r="S1363" t="s">
        <v>90</v>
      </c>
      <c r="T1363">
        <v>0</v>
      </c>
      <c r="U1363">
        <v>0.23733729663077729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1.21207</v>
      </c>
      <c r="AB1363">
        <v>2</v>
      </c>
      <c r="AC1363">
        <v>0</v>
      </c>
      <c r="AD1363">
        <v>1.9999600007999841E-3</v>
      </c>
      <c r="AE1363">
        <v>5400</v>
      </c>
      <c r="AF1363">
        <v>200000</v>
      </c>
      <c r="AG1363">
        <v>16666.666666666668</v>
      </c>
      <c r="AH1363">
        <v>1</v>
      </c>
      <c r="AI1363">
        <v>1</v>
      </c>
      <c r="AJ1363" t="s">
        <v>162</v>
      </c>
      <c r="AK1363" t="s">
        <v>176</v>
      </c>
      <c r="AL1363">
        <v>0</v>
      </c>
      <c r="AM1363" t="s">
        <v>176</v>
      </c>
      <c r="AN1363">
        <v>0</v>
      </c>
    </row>
    <row r="1364" spans="1:40" x14ac:dyDescent="0.15">
      <c r="A1364" s="4" t="str">
        <f>HYPERLINK("https://ibp.a2mac1.com/costing(costing:projects/details/9760/process/12085387)","MANUFACTURING  PROCESS")</f>
        <v>MANUFACTURING  PROCESS</v>
      </c>
      <c r="B1364" t="s">
        <v>4962</v>
      </c>
      <c r="C1364">
        <v>12085387</v>
      </c>
      <c r="D1364">
        <v>8416083</v>
      </c>
      <c r="E1364">
        <v>9.3376075000000003E-2</v>
      </c>
      <c r="F1364">
        <v>0</v>
      </c>
      <c r="G1364">
        <v>0</v>
      </c>
      <c r="H1364">
        <v>1.986725E-6</v>
      </c>
      <c r="I1364" t="s">
        <v>176</v>
      </c>
      <c r="J1364">
        <v>3.4767687499999999E-3</v>
      </c>
      <c r="K1364">
        <v>9.6854830475000001E-2</v>
      </c>
      <c r="L1364">
        <v>4.9079754834314279E-3</v>
      </c>
      <c r="M1364">
        <v>2.9447852900588566E-2</v>
      </c>
      <c r="N1364">
        <v>0.12630268337558856</v>
      </c>
      <c r="O1364" t="s">
        <v>90</v>
      </c>
      <c r="P1364">
        <v>0</v>
      </c>
      <c r="Q1364" t="s">
        <v>90</v>
      </c>
      <c r="R1364">
        <v>0</v>
      </c>
      <c r="S1364" t="s">
        <v>90</v>
      </c>
      <c r="T1364">
        <v>0</v>
      </c>
      <c r="U1364">
        <v>0.12630268337558856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1.2602800000000001</v>
      </c>
      <c r="AB1364">
        <v>2</v>
      </c>
      <c r="AC1364">
        <v>0</v>
      </c>
      <c r="AD1364">
        <v>1.9999600007999841E-3</v>
      </c>
      <c r="AE1364">
        <v>5400</v>
      </c>
      <c r="AF1364">
        <v>200000</v>
      </c>
      <c r="AG1364">
        <v>16666.666666666668</v>
      </c>
      <c r="AH1364">
        <v>1</v>
      </c>
      <c r="AI1364">
        <v>1</v>
      </c>
      <c r="AJ1364" t="s">
        <v>162</v>
      </c>
      <c r="AK1364" t="s">
        <v>176</v>
      </c>
      <c r="AL1364">
        <v>0</v>
      </c>
      <c r="AM1364" t="s">
        <v>176</v>
      </c>
      <c r="AN1364">
        <v>0</v>
      </c>
    </row>
    <row r="1365" spans="1:40" x14ac:dyDescent="0.15">
      <c r="A1365" s="4" t="str">
        <f>HYPERLINK("https://ibp.a2mac1.com/costing(costing:projects/details/9760/process/12085388)","MANUFACTURING  PROCESS")</f>
        <v>MANUFACTURING  PROCESS</v>
      </c>
      <c r="B1365" t="s">
        <v>4962</v>
      </c>
      <c r="C1365">
        <v>12085388</v>
      </c>
      <c r="D1365">
        <v>8416084</v>
      </c>
      <c r="E1365">
        <v>1.8675214999999998E-2</v>
      </c>
      <c r="F1365">
        <v>0</v>
      </c>
      <c r="G1365">
        <v>0</v>
      </c>
      <c r="H1365">
        <v>3.9734500000000002E-7</v>
      </c>
      <c r="I1365" t="s">
        <v>176</v>
      </c>
      <c r="J1365">
        <v>6.9535375000000005E-4</v>
      </c>
      <c r="K1365">
        <v>1.9370966095000001E-2</v>
      </c>
      <c r="L1365">
        <v>2.8492779578256971E-3</v>
      </c>
      <c r="M1365">
        <v>1.7095667746954181E-2</v>
      </c>
      <c r="N1365">
        <v>3.6466633841954178E-2</v>
      </c>
      <c r="O1365" t="s">
        <v>90</v>
      </c>
      <c r="P1365">
        <v>0</v>
      </c>
      <c r="Q1365" t="s">
        <v>90</v>
      </c>
      <c r="R1365">
        <v>0</v>
      </c>
      <c r="S1365" t="s">
        <v>90</v>
      </c>
      <c r="T1365">
        <v>0</v>
      </c>
      <c r="U1365">
        <v>3.6466633841954178E-2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0.43430000000000002</v>
      </c>
      <c r="AB1365">
        <v>2</v>
      </c>
      <c r="AC1365">
        <v>0</v>
      </c>
      <c r="AD1365">
        <v>1.9999600007999841E-3</v>
      </c>
      <c r="AE1365">
        <v>5400</v>
      </c>
      <c r="AF1365">
        <v>200000</v>
      </c>
      <c r="AG1365">
        <v>16666.666666666668</v>
      </c>
      <c r="AH1365">
        <v>1</v>
      </c>
      <c r="AI1365">
        <v>1</v>
      </c>
      <c r="AJ1365" t="s">
        <v>162</v>
      </c>
      <c r="AK1365" t="s">
        <v>176</v>
      </c>
      <c r="AL1365">
        <v>0</v>
      </c>
      <c r="AM1365" t="s">
        <v>176</v>
      </c>
      <c r="AN1365">
        <v>0</v>
      </c>
    </row>
    <row r="1366" spans="1:40" x14ac:dyDescent="0.15">
      <c r="A1366" s="4" t="str">
        <f>HYPERLINK("https://ibp.a2mac1.com/costing(costing:projects/details/9760/process/12085389)","MANUFACTURING  PROCESS")</f>
        <v>MANUFACTURING  PROCESS</v>
      </c>
      <c r="B1366" t="s">
        <v>4962</v>
      </c>
      <c r="C1366">
        <v>12085389</v>
      </c>
      <c r="D1366">
        <v>8416085</v>
      </c>
      <c r="E1366">
        <v>0.1098964575</v>
      </c>
      <c r="F1366">
        <v>0</v>
      </c>
      <c r="G1366">
        <v>0</v>
      </c>
      <c r="H1366">
        <v>2.3382225000000002E-6</v>
      </c>
      <c r="I1366" t="s">
        <v>176</v>
      </c>
      <c r="J1366">
        <v>4.0918893750000003E-3</v>
      </c>
      <c r="K1366">
        <v>0.1139906850975</v>
      </c>
      <c r="L1366">
        <v>4.3658469829901307E-3</v>
      </c>
      <c r="M1366">
        <v>2.6195081897940786E-2</v>
      </c>
      <c r="N1366">
        <v>0.14018576699544077</v>
      </c>
      <c r="O1366" t="s">
        <v>90</v>
      </c>
      <c r="P1366">
        <v>0</v>
      </c>
      <c r="Q1366" t="s">
        <v>90</v>
      </c>
      <c r="R1366">
        <v>0</v>
      </c>
      <c r="S1366" t="s">
        <v>90</v>
      </c>
      <c r="T1366">
        <v>0</v>
      </c>
      <c r="U1366">
        <v>0.14018576699544077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1.04277</v>
      </c>
      <c r="AB1366">
        <v>2</v>
      </c>
      <c r="AC1366">
        <v>0</v>
      </c>
      <c r="AD1366">
        <v>1.9999600007999841E-3</v>
      </c>
      <c r="AE1366">
        <v>5400</v>
      </c>
      <c r="AF1366">
        <v>200000</v>
      </c>
      <c r="AG1366">
        <v>16666.666666666668</v>
      </c>
      <c r="AH1366">
        <v>1</v>
      </c>
      <c r="AI1366">
        <v>1</v>
      </c>
      <c r="AJ1366" t="s">
        <v>162</v>
      </c>
      <c r="AK1366" t="s">
        <v>176</v>
      </c>
      <c r="AL1366">
        <v>0</v>
      </c>
      <c r="AM1366" t="s">
        <v>176</v>
      </c>
      <c r="AN1366">
        <v>0</v>
      </c>
    </row>
    <row r="1367" spans="1:40" x14ac:dyDescent="0.15">
      <c r="A1367" s="4" t="str">
        <f>HYPERLINK("https://ibp.a2mac1.com/costing(costing:projects/details/9760/process/12085390)","MANUFACTURING  PROCESS")</f>
        <v>MANUFACTURING  PROCESS</v>
      </c>
      <c r="B1367" t="s">
        <v>4962</v>
      </c>
      <c r="C1367">
        <v>12085390</v>
      </c>
      <c r="D1367">
        <v>8416086</v>
      </c>
      <c r="E1367">
        <v>3.1604210000000001E-2</v>
      </c>
      <c r="F1367">
        <v>0</v>
      </c>
      <c r="G1367">
        <v>0</v>
      </c>
      <c r="H1367">
        <v>6.7242999999999999E-7</v>
      </c>
      <c r="I1367" t="s">
        <v>176</v>
      </c>
      <c r="J1367">
        <v>1.1767525E-3</v>
      </c>
      <c r="K1367">
        <v>3.2781634929999998E-2</v>
      </c>
      <c r="L1367">
        <v>2.8492779578256971E-3</v>
      </c>
      <c r="M1367">
        <v>1.7095667746954181E-2</v>
      </c>
      <c r="N1367">
        <v>4.9877302676954179E-2</v>
      </c>
      <c r="O1367" t="s">
        <v>90</v>
      </c>
      <c r="P1367">
        <v>0</v>
      </c>
      <c r="Q1367" t="s">
        <v>90</v>
      </c>
      <c r="R1367">
        <v>0</v>
      </c>
      <c r="S1367" t="s">
        <v>90</v>
      </c>
      <c r="T1367">
        <v>0</v>
      </c>
      <c r="U1367">
        <v>4.9877302676954179E-2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0.43430000000000002</v>
      </c>
      <c r="AB1367">
        <v>2</v>
      </c>
      <c r="AC1367">
        <v>0</v>
      </c>
      <c r="AD1367">
        <v>1.9999600007999841E-3</v>
      </c>
      <c r="AE1367">
        <v>5400</v>
      </c>
      <c r="AF1367">
        <v>200000</v>
      </c>
      <c r="AG1367">
        <v>16666.666666666668</v>
      </c>
      <c r="AH1367">
        <v>1</v>
      </c>
      <c r="AI1367">
        <v>1</v>
      </c>
      <c r="AJ1367" t="s">
        <v>162</v>
      </c>
      <c r="AK1367" t="s">
        <v>176</v>
      </c>
      <c r="AL1367">
        <v>0</v>
      </c>
      <c r="AM1367" t="s">
        <v>176</v>
      </c>
      <c r="AN1367">
        <v>0</v>
      </c>
    </row>
    <row r="1368" spans="1:40" x14ac:dyDescent="0.15">
      <c r="A1368" s="4" t="str">
        <f>HYPERLINK("https://ibp.a2mac1.com/costing(costing:projects/details/9760/process/12085391)","MANUFACTURING  PROCESS")</f>
        <v>MANUFACTURING  PROCESS</v>
      </c>
      <c r="B1368" t="s">
        <v>4962</v>
      </c>
      <c r="C1368">
        <v>12085391</v>
      </c>
      <c r="D1368">
        <v>8416087</v>
      </c>
      <c r="E1368">
        <v>1.4516388275000001</v>
      </c>
      <c r="F1368">
        <v>0</v>
      </c>
      <c r="G1368">
        <v>0</v>
      </c>
      <c r="H1368">
        <v>3.0885932500000001E-5</v>
      </c>
      <c r="I1368" t="s">
        <v>176</v>
      </c>
      <c r="J1368">
        <v>5.4050381874999998E-2</v>
      </c>
      <c r="K1368">
        <v>1.5057200953075001</v>
      </c>
      <c r="L1368">
        <v>6.65449612208818E-3</v>
      </c>
      <c r="M1368">
        <v>3.9926976732529075E-2</v>
      </c>
      <c r="N1368">
        <v>1.545647072040029</v>
      </c>
      <c r="O1368" t="s">
        <v>90</v>
      </c>
      <c r="P1368">
        <v>0</v>
      </c>
      <c r="Q1368" t="s">
        <v>90</v>
      </c>
      <c r="R1368">
        <v>0</v>
      </c>
      <c r="S1368" t="s">
        <v>90</v>
      </c>
      <c r="T1368">
        <v>0</v>
      </c>
      <c r="U1368">
        <v>1.545647072040029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1.9610099999999999</v>
      </c>
      <c r="AB1368">
        <v>2</v>
      </c>
      <c r="AC1368">
        <v>0</v>
      </c>
      <c r="AD1368">
        <v>1.9999600007999841E-3</v>
      </c>
      <c r="AE1368">
        <v>5400</v>
      </c>
      <c r="AF1368">
        <v>200000</v>
      </c>
      <c r="AG1368">
        <v>16666.666666666668</v>
      </c>
      <c r="AH1368">
        <v>1</v>
      </c>
      <c r="AI1368">
        <v>1</v>
      </c>
      <c r="AJ1368" t="s">
        <v>162</v>
      </c>
      <c r="AK1368" t="s">
        <v>176</v>
      </c>
      <c r="AL1368">
        <v>0</v>
      </c>
      <c r="AM1368" t="s">
        <v>176</v>
      </c>
      <c r="AN1368">
        <v>0</v>
      </c>
    </row>
    <row r="1369" spans="1:40" x14ac:dyDescent="0.15">
      <c r="A1369" s="4" t="str">
        <f>HYPERLINK("https://ibp.a2mac1.com/costing(costing:projects/details/9760/process/12085164)","Painting")</f>
        <v>Painting</v>
      </c>
      <c r="C1369">
        <v>12085164</v>
      </c>
      <c r="D1369">
        <v>8415761</v>
      </c>
      <c r="E1369">
        <v>0.42121821589688507</v>
      </c>
      <c r="F1369">
        <v>0</v>
      </c>
      <c r="G1369">
        <v>0</v>
      </c>
      <c r="H1369">
        <v>4.7597658396348009E-3</v>
      </c>
      <c r="I1369" t="s">
        <v>176</v>
      </c>
      <c r="J1369">
        <v>1.4742637556390978E-2</v>
      </c>
      <c r="K1369">
        <v>0.44072061929291084</v>
      </c>
      <c r="L1369">
        <v>7.1048024394509704E-2</v>
      </c>
      <c r="M1369">
        <v>0.42628814636705825</v>
      </c>
      <c r="N1369">
        <v>0.86700876565996909</v>
      </c>
      <c r="O1369" t="s">
        <v>90</v>
      </c>
      <c r="P1369">
        <v>0</v>
      </c>
      <c r="Q1369" t="s">
        <v>90</v>
      </c>
      <c r="R1369">
        <v>0</v>
      </c>
      <c r="S1369" t="s">
        <v>90</v>
      </c>
      <c r="T1369">
        <v>0</v>
      </c>
      <c r="U1369">
        <v>0.86700876565996909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1.92</v>
      </c>
      <c r="AB1369">
        <v>1</v>
      </c>
      <c r="AC1369">
        <v>1</v>
      </c>
      <c r="AD1369">
        <v>1.117373677444873</v>
      </c>
      <c r="AE1369">
        <v>0</v>
      </c>
      <c r="AF1369">
        <v>200000</v>
      </c>
      <c r="AG1369">
        <v>10000</v>
      </c>
      <c r="AH1369">
        <v>1</v>
      </c>
      <c r="AI1369">
        <v>1</v>
      </c>
      <c r="AJ1369" t="s">
        <v>76</v>
      </c>
      <c r="AK1369" t="s">
        <v>176</v>
      </c>
      <c r="AL1369">
        <v>0</v>
      </c>
      <c r="AM1369" t="s">
        <v>176</v>
      </c>
      <c r="AN1369">
        <v>0</v>
      </c>
    </row>
    <row r="1370" spans="1:40" x14ac:dyDescent="0.15">
      <c r="A1370" s="4" t="str">
        <f>HYPERLINK("https://ibp.a2mac1.com/costing(costing:projects/details/9760/process/12085165)","Assembly")</f>
        <v>Assembly</v>
      </c>
      <c r="C1370">
        <v>12085165</v>
      </c>
      <c r="D1370">
        <v>8415761</v>
      </c>
      <c r="E1370">
        <v>0</v>
      </c>
      <c r="F1370">
        <v>0</v>
      </c>
      <c r="G1370">
        <v>0</v>
      </c>
      <c r="H1370">
        <v>0</v>
      </c>
      <c r="I1370" t="s">
        <v>176</v>
      </c>
      <c r="J1370">
        <v>0</v>
      </c>
      <c r="K1370">
        <v>0</v>
      </c>
      <c r="L1370">
        <v>5.2660470210538941E-2</v>
      </c>
      <c r="M1370">
        <v>0.31596282126323366</v>
      </c>
      <c r="N1370">
        <v>0.31596282126323366</v>
      </c>
      <c r="O1370" t="s">
        <v>90</v>
      </c>
      <c r="P1370">
        <v>0</v>
      </c>
      <c r="Q1370" t="s">
        <v>90</v>
      </c>
      <c r="R1370">
        <v>0</v>
      </c>
      <c r="S1370" t="s">
        <v>90</v>
      </c>
      <c r="T1370">
        <v>0</v>
      </c>
      <c r="U1370">
        <v>0.31596282126323366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180</v>
      </c>
      <c r="AB1370">
        <v>1</v>
      </c>
      <c r="AC1370">
        <v>0.1</v>
      </c>
      <c r="AD1370">
        <v>0.10987913295375087</v>
      </c>
      <c r="AE1370">
        <v>600</v>
      </c>
      <c r="AF1370">
        <v>200000</v>
      </c>
      <c r="AG1370">
        <v>10000</v>
      </c>
      <c r="AH1370">
        <v>1</v>
      </c>
      <c r="AI1370">
        <v>1</v>
      </c>
      <c r="AJ1370" t="s">
        <v>76</v>
      </c>
      <c r="AK1370" t="s">
        <v>176</v>
      </c>
      <c r="AL1370">
        <v>0</v>
      </c>
      <c r="AM1370" t="s">
        <v>176</v>
      </c>
      <c r="AN1370">
        <v>0</v>
      </c>
    </row>
    <row r="1371" spans="1:40" x14ac:dyDescent="0.15">
      <c r="A1371" s="4" t="str">
        <f>HYPERLINK("https://ibp.a2mac1.com/costing(costing:projects/details/9760/process/12085392)","Stamping")</f>
        <v>Stamping</v>
      </c>
      <c r="B1371" t="s">
        <v>4962</v>
      </c>
      <c r="C1371">
        <v>12085392</v>
      </c>
      <c r="D1371">
        <v>8416088</v>
      </c>
      <c r="E1371">
        <v>0.13503617000000001</v>
      </c>
      <c r="F1371">
        <v>0</v>
      </c>
      <c r="G1371">
        <v>0</v>
      </c>
      <c r="H1371">
        <v>2.8731099999999999E-6</v>
      </c>
      <c r="I1371" t="s">
        <v>176</v>
      </c>
      <c r="J1371">
        <v>5.0279425000000003E-3</v>
      </c>
      <c r="K1371">
        <v>0.14006698561</v>
      </c>
      <c r="L1371">
        <v>4.9079754834314279E-3</v>
      </c>
      <c r="M1371">
        <v>2.9447852900588566E-2</v>
      </c>
      <c r="N1371">
        <v>0.16951483851058857</v>
      </c>
      <c r="O1371" t="s">
        <v>90</v>
      </c>
      <c r="P1371">
        <v>0</v>
      </c>
      <c r="Q1371" t="s">
        <v>90</v>
      </c>
      <c r="R1371">
        <v>0</v>
      </c>
      <c r="S1371" t="s">
        <v>90</v>
      </c>
      <c r="T1371">
        <v>0</v>
      </c>
      <c r="U1371">
        <v>0.16951483851058857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1.2602800000000001</v>
      </c>
      <c r="AB1371">
        <v>2</v>
      </c>
      <c r="AC1371">
        <v>0</v>
      </c>
      <c r="AD1371">
        <v>1.9999600007999841E-3</v>
      </c>
      <c r="AE1371">
        <v>5400</v>
      </c>
      <c r="AF1371">
        <v>200000</v>
      </c>
      <c r="AG1371">
        <v>16666.666666666668</v>
      </c>
      <c r="AH1371">
        <v>1</v>
      </c>
      <c r="AI1371">
        <v>1</v>
      </c>
      <c r="AJ1371" t="s">
        <v>162</v>
      </c>
      <c r="AK1371" t="s">
        <v>176</v>
      </c>
      <c r="AL1371">
        <v>0</v>
      </c>
      <c r="AM1371" t="s">
        <v>176</v>
      </c>
      <c r="AN1371">
        <v>0</v>
      </c>
    </row>
    <row r="1372" spans="1:40" x14ac:dyDescent="0.15">
      <c r="A1372" s="4" t="str">
        <f>HYPERLINK("https://ibp.a2mac1.com/costing(costing:projects/details/9760/process/12085393)","Stamping")</f>
        <v>Stamping</v>
      </c>
      <c r="B1372" t="s">
        <v>4962</v>
      </c>
      <c r="C1372">
        <v>12085393</v>
      </c>
      <c r="D1372">
        <v>8416089</v>
      </c>
      <c r="E1372">
        <v>1.436555E-2</v>
      </c>
      <c r="F1372">
        <v>0</v>
      </c>
      <c r="G1372">
        <v>0</v>
      </c>
      <c r="H1372">
        <v>3.0564999999999999E-7</v>
      </c>
      <c r="I1372" t="s">
        <v>176</v>
      </c>
      <c r="J1372">
        <v>5.3488750000000001E-4</v>
      </c>
      <c r="K1372">
        <v>1.490074315E-2</v>
      </c>
      <c r="L1372">
        <v>2.8492779578256971E-3</v>
      </c>
      <c r="M1372">
        <v>1.7095667746954181E-2</v>
      </c>
      <c r="N1372">
        <v>3.1996410896954181E-2</v>
      </c>
      <c r="O1372" t="s">
        <v>90</v>
      </c>
      <c r="P1372">
        <v>0</v>
      </c>
      <c r="Q1372" t="s">
        <v>90</v>
      </c>
      <c r="R1372">
        <v>0</v>
      </c>
      <c r="S1372" t="s">
        <v>90</v>
      </c>
      <c r="T1372">
        <v>0</v>
      </c>
      <c r="U1372">
        <v>3.1996410896954181E-2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0.43430000000000002</v>
      </c>
      <c r="AB1372">
        <v>2</v>
      </c>
      <c r="AC1372">
        <v>0</v>
      </c>
      <c r="AD1372">
        <v>1.9999600007999841E-3</v>
      </c>
      <c r="AE1372">
        <v>5400</v>
      </c>
      <c r="AF1372">
        <v>200000</v>
      </c>
      <c r="AG1372">
        <v>16666.666666666668</v>
      </c>
      <c r="AH1372">
        <v>1</v>
      </c>
      <c r="AI1372">
        <v>1</v>
      </c>
      <c r="AJ1372" t="s">
        <v>162</v>
      </c>
      <c r="AK1372" t="s">
        <v>176</v>
      </c>
      <c r="AL1372">
        <v>0</v>
      </c>
      <c r="AM1372" t="s">
        <v>176</v>
      </c>
      <c r="AN1372">
        <v>0</v>
      </c>
    </row>
    <row r="1373" spans="1:40" x14ac:dyDescent="0.15">
      <c r="A1373" s="4" t="str">
        <f>HYPERLINK("https://ibp.a2mac1.com/costing(costing:projects/details/9760/process/12085394)","Stamping")</f>
        <v>Stamping</v>
      </c>
      <c r="B1373" t="s">
        <v>4962</v>
      </c>
      <c r="C1373">
        <v>12085394</v>
      </c>
      <c r="D1373">
        <v>8416090</v>
      </c>
      <c r="E1373">
        <v>0.13503617000000001</v>
      </c>
      <c r="F1373">
        <v>0</v>
      </c>
      <c r="G1373">
        <v>0</v>
      </c>
      <c r="H1373">
        <v>2.8731099999999999E-6</v>
      </c>
      <c r="I1373" t="s">
        <v>176</v>
      </c>
      <c r="J1373">
        <v>5.0279425000000003E-3</v>
      </c>
      <c r="K1373">
        <v>0.14006698561</v>
      </c>
      <c r="L1373">
        <v>4.9079754834314279E-3</v>
      </c>
      <c r="M1373">
        <v>2.9447852900588566E-2</v>
      </c>
      <c r="N1373">
        <v>0.16951483851058857</v>
      </c>
      <c r="O1373" t="s">
        <v>90</v>
      </c>
      <c r="P1373">
        <v>0</v>
      </c>
      <c r="Q1373" t="s">
        <v>90</v>
      </c>
      <c r="R1373">
        <v>0</v>
      </c>
      <c r="S1373" t="s">
        <v>90</v>
      </c>
      <c r="T1373">
        <v>0</v>
      </c>
      <c r="U1373">
        <v>0.16951483851058857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1.2602800000000001</v>
      </c>
      <c r="AB1373">
        <v>2</v>
      </c>
      <c r="AC1373">
        <v>0</v>
      </c>
      <c r="AD1373">
        <v>1.9999600007999841E-3</v>
      </c>
      <c r="AE1373">
        <v>5400</v>
      </c>
      <c r="AF1373">
        <v>200000</v>
      </c>
      <c r="AG1373">
        <v>16666.666666666668</v>
      </c>
      <c r="AH1373">
        <v>1</v>
      </c>
      <c r="AI1373">
        <v>1</v>
      </c>
      <c r="AJ1373" t="s">
        <v>162</v>
      </c>
      <c r="AK1373" t="s">
        <v>176</v>
      </c>
      <c r="AL1373">
        <v>0</v>
      </c>
      <c r="AM1373" t="s">
        <v>176</v>
      </c>
      <c r="AN1373">
        <v>0</v>
      </c>
    </row>
    <row r="1374" spans="1:40" x14ac:dyDescent="0.15">
      <c r="A1374" s="4" t="str">
        <f>HYPERLINK("https://ibp.a2mac1.com/costing(costing:projects/details/9760/process/12085395)","Stamping")</f>
        <v>Stamping</v>
      </c>
      <c r="B1374" t="s">
        <v>4962</v>
      </c>
      <c r="C1374">
        <v>12085395</v>
      </c>
      <c r="D1374">
        <v>8416091</v>
      </c>
      <c r="E1374">
        <v>1.436555E-2</v>
      </c>
      <c r="F1374">
        <v>0</v>
      </c>
      <c r="G1374">
        <v>0</v>
      </c>
      <c r="H1374">
        <v>3.0564999999999999E-7</v>
      </c>
      <c r="I1374" t="s">
        <v>176</v>
      </c>
      <c r="J1374">
        <v>5.3488750000000001E-4</v>
      </c>
      <c r="K1374">
        <v>1.490074315E-2</v>
      </c>
      <c r="L1374">
        <v>2.8492779578256971E-3</v>
      </c>
      <c r="M1374">
        <v>1.7095667746954181E-2</v>
      </c>
      <c r="N1374">
        <v>3.1996410896954181E-2</v>
      </c>
      <c r="O1374" t="s">
        <v>90</v>
      </c>
      <c r="P1374">
        <v>0</v>
      </c>
      <c r="Q1374" t="s">
        <v>90</v>
      </c>
      <c r="R1374">
        <v>0</v>
      </c>
      <c r="S1374" t="s">
        <v>90</v>
      </c>
      <c r="T1374">
        <v>0</v>
      </c>
      <c r="U1374">
        <v>3.1996410896954181E-2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0.43430000000000002</v>
      </c>
      <c r="AB1374">
        <v>2</v>
      </c>
      <c r="AC1374">
        <v>0</v>
      </c>
      <c r="AD1374">
        <v>1.9999600007999841E-3</v>
      </c>
      <c r="AE1374">
        <v>5400</v>
      </c>
      <c r="AF1374">
        <v>200000</v>
      </c>
      <c r="AG1374">
        <v>16666.666666666668</v>
      </c>
      <c r="AH1374">
        <v>1</v>
      </c>
      <c r="AI1374">
        <v>1</v>
      </c>
      <c r="AJ1374" t="s">
        <v>162</v>
      </c>
      <c r="AK1374" t="s">
        <v>176</v>
      </c>
      <c r="AL1374">
        <v>0</v>
      </c>
      <c r="AM1374" t="s">
        <v>176</v>
      </c>
      <c r="AN1374">
        <v>0</v>
      </c>
    </row>
    <row r="1375" spans="1:40" x14ac:dyDescent="0.15">
      <c r="A1375" s="4" t="str">
        <f>HYPERLINK("https://ibp.a2mac1.com/costing(costing:projects/details/9760/process/12085167)","Injection molding")</f>
        <v>Injection molding</v>
      </c>
      <c r="B1375" t="s">
        <v>8313</v>
      </c>
      <c r="C1375">
        <v>12085167</v>
      </c>
      <c r="D1375">
        <v>8415764</v>
      </c>
      <c r="E1375">
        <v>0.1623651173814433</v>
      </c>
      <c r="F1375">
        <v>0</v>
      </c>
      <c r="G1375">
        <v>0</v>
      </c>
      <c r="H1375">
        <v>3.3009633278350517E-4</v>
      </c>
      <c r="I1375" t="s">
        <v>176</v>
      </c>
      <c r="J1375">
        <v>5.6913160824742272E-3</v>
      </c>
      <c r="K1375">
        <v>0.16838652979670102</v>
      </c>
      <c r="L1375">
        <v>1.4199636895915288E-2</v>
      </c>
      <c r="M1375">
        <v>8.5197821375491728E-2</v>
      </c>
      <c r="N1375">
        <v>0.25358435117219275</v>
      </c>
      <c r="O1375" t="s">
        <v>177</v>
      </c>
      <c r="P1375">
        <v>1.0103191787802062E-2</v>
      </c>
      <c r="Q1375" t="s">
        <v>177</v>
      </c>
      <c r="R1375">
        <v>5.1118692825295039E-3</v>
      </c>
      <c r="S1375" t="s">
        <v>178</v>
      </c>
      <c r="T1375">
        <v>3.0430122140663131E-2</v>
      </c>
      <c r="U1375">
        <v>0.29922953438318745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31.36645</v>
      </c>
      <c r="AB1375">
        <v>1</v>
      </c>
      <c r="AC1375">
        <v>0.1</v>
      </c>
      <c r="AD1375">
        <v>0.20258874484795864</v>
      </c>
      <c r="AE1375">
        <v>7200</v>
      </c>
      <c r="AF1375">
        <v>400000</v>
      </c>
      <c r="AG1375">
        <v>33333.333333333336</v>
      </c>
      <c r="AH1375">
        <v>1</v>
      </c>
      <c r="AI1375">
        <v>1</v>
      </c>
      <c r="AJ1375" t="s">
        <v>162</v>
      </c>
      <c r="AK1375" t="s">
        <v>176</v>
      </c>
      <c r="AL1375">
        <v>0</v>
      </c>
      <c r="AM1375" t="s">
        <v>176</v>
      </c>
      <c r="AN1375">
        <v>0</v>
      </c>
    </row>
    <row r="1376" spans="1:40" x14ac:dyDescent="0.15">
      <c r="A1376" s="4" t="str">
        <f>HYPERLINK("https://ibp.a2mac1.com/costing(costing:projects/details/9760/process/12085166)","Handling/Visual Inspection/Packaging")</f>
        <v>Handling/Visual Inspection/Packaging</v>
      </c>
      <c r="C1376">
        <v>12085166</v>
      </c>
      <c r="D1376">
        <v>8415764</v>
      </c>
      <c r="E1376">
        <v>0</v>
      </c>
      <c r="F1376">
        <v>0</v>
      </c>
      <c r="G1376">
        <v>0</v>
      </c>
      <c r="H1376">
        <v>0</v>
      </c>
      <c r="I1376" t="s">
        <v>176</v>
      </c>
      <c r="J1376">
        <v>0</v>
      </c>
      <c r="K1376">
        <v>0</v>
      </c>
      <c r="L1376">
        <v>1.292896571883159E-2</v>
      </c>
      <c r="M1376">
        <v>7.7573794312989539E-2</v>
      </c>
      <c r="N1376">
        <v>7.7573794312989539E-2</v>
      </c>
      <c r="O1376" t="s">
        <v>177</v>
      </c>
      <c r="P1376">
        <v>0</v>
      </c>
      <c r="Q1376" t="s">
        <v>177</v>
      </c>
      <c r="R1376">
        <v>4.6544276587793722E-3</v>
      </c>
      <c r="S1376" t="s">
        <v>178</v>
      </c>
      <c r="T1376">
        <v>9.3088553175587445E-3</v>
      </c>
      <c r="U1376">
        <v>9.1537077289327654E-2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45</v>
      </c>
      <c r="AB1376">
        <v>1</v>
      </c>
      <c r="AC1376">
        <v>0.1</v>
      </c>
      <c r="AD1376">
        <v>0.1008980929261446</v>
      </c>
      <c r="AE1376">
        <v>900</v>
      </c>
      <c r="AF1376">
        <v>400000</v>
      </c>
      <c r="AG1376">
        <v>33333.333333333336</v>
      </c>
      <c r="AH1376">
        <v>1</v>
      </c>
      <c r="AI1376">
        <v>1</v>
      </c>
      <c r="AJ1376" t="s">
        <v>162</v>
      </c>
      <c r="AK1376" t="s">
        <v>176</v>
      </c>
      <c r="AL1376">
        <v>0</v>
      </c>
      <c r="AM1376" t="s">
        <v>176</v>
      </c>
      <c r="AN1376">
        <v>0</v>
      </c>
    </row>
    <row r="1377" spans="1:40" x14ac:dyDescent="0.15">
      <c r="A1377" s="4" t="str">
        <f>HYPERLINK("https://ibp.a2mac1.com/costing(costing:projects/details/9760/process/12085168)","Injection molding")</f>
        <v>Injection molding</v>
      </c>
      <c r="B1377" t="s">
        <v>8321</v>
      </c>
      <c r="C1377">
        <v>12085168</v>
      </c>
      <c r="D1377">
        <v>8415765</v>
      </c>
      <c r="E1377">
        <v>0.19516772614948455</v>
      </c>
      <c r="F1377">
        <v>0</v>
      </c>
      <c r="G1377">
        <v>0</v>
      </c>
      <c r="H1377">
        <v>3.9678566257731959E-4</v>
      </c>
      <c r="I1377" t="s">
        <v>176</v>
      </c>
      <c r="J1377">
        <v>6.8411321134020618E-3</v>
      </c>
      <c r="K1377">
        <v>0.20240564392546392</v>
      </c>
      <c r="L1377">
        <v>1.4525556620863477E-2</v>
      </c>
      <c r="M1377">
        <v>8.7153339725180856E-2</v>
      </c>
      <c r="N1377">
        <v>0.28955898365064475</v>
      </c>
      <c r="O1377" t="s">
        <v>177</v>
      </c>
      <c r="P1377">
        <v>1.2144338635527835E-2</v>
      </c>
      <c r="Q1377" t="s">
        <v>177</v>
      </c>
      <c r="R1377">
        <v>5.2292003835108514E-3</v>
      </c>
      <c r="S1377" t="s">
        <v>178</v>
      </c>
      <c r="T1377">
        <v>3.4747078038077375E-2</v>
      </c>
      <c r="U1377">
        <v>0.34167960070776082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17.260899999999999</v>
      </c>
      <c r="AB1377">
        <v>1</v>
      </c>
      <c r="AC1377">
        <v>0.1</v>
      </c>
      <c r="AD1377">
        <v>0.20258874484795864</v>
      </c>
      <c r="AE1377">
        <v>10800</v>
      </c>
      <c r="AF1377">
        <v>400000</v>
      </c>
      <c r="AG1377">
        <v>33333.333333333336</v>
      </c>
      <c r="AH1377">
        <v>1</v>
      </c>
      <c r="AI1377">
        <v>1</v>
      </c>
      <c r="AJ1377" t="s">
        <v>162</v>
      </c>
      <c r="AK1377" t="s">
        <v>176</v>
      </c>
      <c r="AL1377">
        <v>0</v>
      </c>
      <c r="AM1377" t="s">
        <v>176</v>
      </c>
      <c r="AN1377">
        <v>0</v>
      </c>
    </row>
    <row r="1378" spans="1:40" x14ac:dyDescent="0.15">
      <c r="A1378" s="4" t="str">
        <f>HYPERLINK("https://ibp.a2mac1.com/costing(costing:projects/details/9760/process/12085169)","Handling/Visual Inspection/Packaging")</f>
        <v>Handling/Visual Inspection/Packaging</v>
      </c>
      <c r="C1378">
        <v>12085169</v>
      </c>
      <c r="D1378">
        <v>8415765</v>
      </c>
      <c r="E1378">
        <v>0</v>
      </c>
      <c r="F1378">
        <v>0</v>
      </c>
      <c r="G1378">
        <v>0</v>
      </c>
      <c r="H1378">
        <v>0</v>
      </c>
      <c r="I1378" t="s">
        <v>176</v>
      </c>
      <c r="J1378">
        <v>0</v>
      </c>
      <c r="K1378">
        <v>0</v>
      </c>
      <c r="L1378">
        <v>8.6198281353737343E-3</v>
      </c>
      <c r="M1378">
        <v>5.1718968812242409E-2</v>
      </c>
      <c r="N1378">
        <v>5.1718968812242409E-2</v>
      </c>
      <c r="O1378" t="s">
        <v>177</v>
      </c>
      <c r="P1378">
        <v>0</v>
      </c>
      <c r="Q1378" t="s">
        <v>177</v>
      </c>
      <c r="R1378">
        <v>3.1031381287345444E-3</v>
      </c>
      <c r="S1378" t="s">
        <v>178</v>
      </c>
      <c r="T1378">
        <v>6.2062762574690887E-3</v>
      </c>
      <c r="U1378">
        <v>6.1028383198446043E-2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30</v>
      </c>
      <c r="AB1378">
        <v>1</v>
      </c>
      <c r="AC1378">
        <v>0.1</v>
      </c>
      <c r="AD1378">
        <v>0.1008980929261446</v>
      </c>
      <c r="AE1378">
        <v>900</v>
      </c>
      <c r="AF1378">
        <v>400000</v>
      </c>
      <c r="AG1378">
        <v>33333.333333333336</v>
      </c>
      <c r="AH1378">
        <v>1</v>
      </c>
      <c r="AI1378">
        <v>1</v>
      </c>
      <c r="AJ1378" t="s">
        <v>162</v>
      </c>
      <c r="AK1378" t="s">
        <v>176</v>
      </c>
      <c r="AL1378">
        <v>0</v>
      </c>
      <c r="AM1378" t="s">
        <v>176</v>
      </c>
      <c r="AN1378">
        <v>0</v>
      </c>
    </row>
    <row r="1379" spans="1:40" x14ac:dyDescent="0.15">
      <c r="A1379" s="4" t="str">
        <f>HYPERLINK("https://ibp.a2mac1.com/costing(costing:projects/details/9760/process/12085172)","Injection molding")</f>
        <v>Injection molding</v>
      </c>
      <c r="B1379" t="s">
        <v>8328</v>
      </c>
      <c r="C1379">
        <v>12085172</v>
      </c>
      <c r="D1379">
        <v>8415766</v>
      </c>
      <c r="E1379">
        <v>0.66996111565979377</v>
      </c>
      <c r="F1379">
        <v>0</v>
      </c>
      <c r="G1379">
        <v>0</v>
      </c>
      <c r="H1379">
        <v>8.1656752905154631E-3</v>
      </c>
      <c r="I1379" t="s">
        <v>176</v>
      </c>
      <c r="J1379">
        <v>2.3483864845360823E-2</v>
      </c>
      <c r="K1379">
        <v>0.70161065579567006</v>
      </c>
      <c r="L1379">
        <v>2.7283339896980896E-2</v>
      </c>
      <c r="M1379">
        <v>0.16370003938188538</v>
      </c>
      <c r="N1379">
        <v>0.86531069517755543</v>
      </c>
      <c r="O1379" t="s">
        <v>177</v>
      </c>
      <c r="P1379">
        <v>4.2096639347740203E-2</v>
      </c>
      <c r="Q1379" t="s">
        <v>177</v>
      </c>
      <c r="R1379">
        <v>9.822002362913123E-3</v>
      </c>
      <c r="S1379" t="s">
        <v>178</v>
      </c>
      <c r="T1379">
        <v>0.10383728342130666</v>
      </c>
      <c r="U1379">
        <v>1.0210666203095156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32.840800000000002</v>
      </c>
      <c r="AB1379">
        <v>1</v>
      </c>
      <c r="AC1379">
        <v>0.1</v>
      </c>
      <c r="AD1379">
        <v>1.2023671912820968</v>
      </c>
      <c r="AE1379">
        <v>10800</v>
      </c>
      <c r="AF1379">
        <v>400000</v>
      </c>
      <c r="AG1379">
        <v>33333.333333333336</v>
      </c>
      <c r="AH1379">
        <v>1</v>
      </c>
      <c r="AI1379">
        <v>1</v>
      </c>
      <c r="AJ1379" t="s">
        <v>162</v>
      </c>
      <c r="AK1379" t="s">
        <v>176</v>
      </c>
      <c r="AL1379">
        <v>0</v>
      </c>
      <c r="AM1379" t="s">
        <v>176</v>
      </c>
      <c r="AN1379">
        <v>0</v>
      </c>
    </row>
    <row r="1380" spans="1:40" x14ac:dyDescent="0.15">
      <c r="A1380" s="4" t="str">
        <f>HYPERLINK("https://ibp.a2mac1.com/costing(costing:projects/details/9760/process/12085171)","Handling/Visual Inspection/Packaging")</f>
        <v>Handling/Visual Inspection/Packaging</v>
      </c>
      <c r="C1380">
        <v>12085171</v>
      </c>
      <c r="D1380">
        <v>8415766</v>
      </c>
      <c r="E1380">
        <v>0</v>
      </c>
      <c r="F1380">
        <v>0</v>
      </c>
      <c r="G1380">
        <v>0</v>
      </c>
      <c r="H1380">
        <v>0</v>
      </c>
      <c r="I1380" t="s">
        <v>176</v>
      </c>
      <c r="J1380">
        <v>0</v>
      </c>
      <c r="K1380">
        <v>0</v>
      </c>
      <c r="L1380">
        <v>1.3059933154110911E-2</v>
      </c>
      <c r="M1380">
        <v>7.8359598924665458E-2</v>
      </c>
      <c r="N1380">
        <v>7.8359598924665458E-2</v>
      </c>
      <c r="O1380" t="s">
        <v>177</v>
      </c>
      <c r="P1380">
        <v>0</v>
      </c>
      <c r="Q1380" t="s">
        <v>177</v>
      </c>
      <c r="R1380">
        <v>4.7015759354799274E-3</v>
      </c>
      <c r="S1380" t="s">
        <v>178</v>
      </c>
      <c r="T1380">
        <v>9.4031518709598548E-3</v>
      </c>
      <c r="U1380">
        <v>9.2464326731105245E-2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45</v>
      </c>
      <c r="AB1380">
        <v>1</v>
      </c>
      <c r="AC1380">
        <v>0.1</v>
      </c>
      <c r="AD1380">
        <v>1.1027048410225981</v>
      </c>
      <c r="AE1380">
        <v>900</v>
      </c>
      <c r="AF1380">
        <v>400000</v>
      </c>
      <c r="AG1380">
        <v>33333.333333333336</v>
      </c>
      <c r="AH1380">
        <v>1</v>
      </c>
      <c r="AI1380">
        <v>1</v>
      </c>
      <c r="AJ1380" t="s">
        <v>162</v>
      </c>
      <c r="AK1380" t="s">
        <v>176</v>
      </c>
      <c r="AL1380">
        <v>0</v>
      </c>
      <c r="AM1380" t="s">
        <v>176</v>
      </c>
      <c r="AN1380">
        <v>0</v>
      </c>
    </row>
    <row r="1381" spans="1:40" x14ac:dyDescent="0.15">
      <c r="A1381" s="4" t="str">
        <f>HYPERLINK("https://ibp.a2mac1.com/costing(costing:projects/details/9760/process/12085170)","Painting")</f>
        <v>Painting</v>
      </c>
      <c r="C1381">
        <v>12085170</v>
      </c>
      <c r="D1381">
        <v>8415766</v>
      </c>
      <c r="E1381">
        <v>0.42121821589688507</v>
      </c>
      <c r="F1381">
        <v>0</v>
      </c>
      <c r="G1381">
        <v>0</v>
      </c>
      <c r="H1381">
        <v>4.266940527035446E-3</v>
      </c>
      <c r="I1381" t="s">
        <v>176</v>
      </c>
      <c r="J1381">
        <v>1.4742637556390978E-2</v>
      </c>
      <c r="K1381">
        <v>0.44022779398031148</v>
      </c>
      <c r="L1381">
        <v>7.0965827036117951E-2</v>
      </c>
      <c r="M1381">
        <v>0.42579496221670776</v>
      </c>
      <c r="N1381">
        <v>0.86602275619701918</v>
      </c>
      <c r="O1381" t="s">
        <v>177</v>
      </c>
      <c r="P1381">
        <v>2.6413667638818691E-2</v>
      </c>
      <c r="Q1381" t="s">
        <v>177</v>
      </c>
      <c r="R1381">
        <v>2.5547697733002465E-2</v>
      </c>
      <c r="S1381" t="s">
        <v>178</v>
      </c>
      <c r="T1381">
        <v>0.10392273074364231</v>
      </c>
      <c r="U1381">
        <v>1.0219068523124828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1.92</v>
      </c>
      <c r="AB1381">
        <v>1</v>
      </c>
      <c r="AC1381">
        <v>1</v>
      </c>
      <c r="AD1381">
        <v>1.0028412184570303</v>
      </c>
      <c r="AE1381">
        <v>0</v>
      </c>
      <c r="AF1381">
        <v>400000</v>
      </c>
      <c r="AG1381">
        <v>33333.333333333336</v>
      </c>
      <c r="AH1381">
        <v>1</v>
      </c>
      <c r="AI1381">
        <v>1</v>
      </c>
      <c r="AJ1381" t="s">
        <v>162</v>
      </c>
      <c r="AK1381" t="s">
        <v>176</v>
      </c>
      <c r="AL1381">
        <v>0</v>
      </c>
      <c r="AM1381" t="s">
        <v>176</v>
      </c>
      <c r="AN1381">
        <v>0</v>
      </c>
    </row>
    <row r="1382" spans="1:40" x14ac:dyDescent="0.15">
      <c r="A1382" s="4" t="str">
        <f>HYPERLINK("https://ibp.a2mac1.com/costing(costing:projects/details/9760/process/12085173)","Injection molding")</f>
        <v>Injection molding</v>
      </c>
      <c r="B1382" t="s">
        <v>8336</v>
      </c>
      <c r="C1382">
        <v>12085173</v>
      </c>
      <c r="D1382">
        <v>8415767</v>
      </c>
      <c r="E1382">
        <v>0.19198883087628865</v>
      </c>
      <c r="F1382">
        <v>0</v>
      </c>
      <c r="G1382">
        <v>0</v>
      </c>
      <c r="H1382">
        <v>3.9327681804123709E-4</v>
      </c>
      <c r="I1382" t="s">
        <v>176</v>
      </c>
      <c r="J1382">
        <v>6.7806347938144333E-3</v>
      </c>
      <c r="K1382">
        <v>0.19916274248814433</v>
      </c>
      <c r="L1382">
        <v>1.3634872158181327E-2</v>
      </c>
      <c r="M1382">
        <v>8.1809232949087957E-2</v>
      </c>
      <c r="N1382">
        <v>0.28097197543723229</v>
      </c>
      <c r="O1382" t="s">
        <v>177</v>
      </c>
      <c r="P1382">
        <v>1.194976454928866E-2</v>
      </c>
      <c r="Q1382" t="s">
        <v>177</v>
      </c>
      <c r="R1382">
        <v>4.9085539769452777E-3</v>
      </c>
      <c r="S1382" t="s">
        <v>178</v>
      </c>
      <c r="T1382">
        <v>3.3716637052467878E-2</v>
      </c>
      <c r="U1382">
        <v>0.33154693101593408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21.98452</v>
      </c>
      <c r="AB1382">
        <v>1</v>
      </c>
      <c r="AC1382">
        <v>0.1</v>
      </c>
      <c r="AD1382">
        <v>0.20258874484795864</v>
      </c>
      <c r="AE1382">
        <v>7200</v>
      </c>
      <c r="AF1382">
        <v>400000</v>
      </c>
      <c r="AG1382">
        <v>33333.333333333336</v>
      </c>
      <c r="AH1382">
        <v>1</v>
      </c>
      <c r="AI1382">
        <v>1</v>
      </c>
      <c r="AJ1382" t="s">
        <v>162</v>
      </c>
      <c r="AK1382" t="s">
        <v>176</v>
      </c>
      <c r="AL1382">
        <v>0</v>
      </c>
      <c r="AM1382" t="s">
        <v>176</v>
      </c>
      <c r="AN1382">
        <v>0</v>
      </c>
    </row>
    <row r="1383" spans="1:40" x14ac:dyDescent="0.15">
      <c r="A1383" s="4" t="str">
        <f>HYPERLINK("https://ibp.a2mac1.com/costing(costing:projects/details/9760/process/12085174)","Handling/Visual Inspection/Packaging")</f>
        <v>Handling/Visual Inspection/Packaging</v>
      </c>
      <c r="C1383">
        <v>12085174</v>
      </c>
      <c r="D1383">
        <v>8415767</v>
      </c>
      <c r="E1383">
        <v>0</v>
      </c>
      <c r="F1383">
        <v>0</v>
      </c>
      <c r="G1383">
        <v>0</v>
      </c>
      <c r="H1383">
        <v>0</v>
      </c>
      <c r="I1383" t="s">
        <v>176</v>
      </c>
      <c r="J1383">
        <v>0</v>
      </c>
      <c r="K1383">
        <v>0</v>
      </c>
      <c r="L1383">
        <v>8.6198281353737343E-3</v>
      </c>
      <c r="M1383">
        <v>5.1718968812242409E-2</v>
      </c>
      <c r="N1383">
        <v>5.1718968812242409E-2</v>
      </c>
      <c r="O1383" t="s">
        <v>177</v>
      </c>
      <c r="P1383">
        <v>0</v>
      </c>
      <c r="Q1383" t="s">
        <v>177</v>
      </c>
      <c r="R1383">
        <v>3.1031381287345444E-3</v>
      </c>
      <c r="S1383" t="s">
        <v>178</v>
      </c>
      <c r="T1383">
        <v>6.2062762574690887E-3</v>
      </c>
      <c r="U1383">
        <v>6.1028383198446043E-2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30</v>
      </c>
      <c r="AB1383">
        <v>1</v>
      </c>
      <c r="AC1383">
        <v>0.1</v>
      </c>
      <c r="AD1383">
        <v>0.1008980929261446</v>
      </c>
      <c r="AE1383">
        <v>900</v>
      </c>
      <c r="AF1383">
        <v>400000</v>
      </c>
      <c r="AG1383">
        <v>33333.333333333336</v>
      </c>
      <c r="AH1383">
        <v>1</v>
      </c>
      <c r="AI1383">
        <v>1</v>
      </c>
      <c r="AJ1383" t="s">
        <v>162</v>
      </c>
      <c r="AK1383" t="s">
        <v>176</v>
      </c>
      <c r="AL1383">
        <v>0</v>
      </c>
      <c r="AM1383" t="s">
        <v>176</v>
      </c>
      <c r="AN1383">
        <v>0</v>
      </c>
    </row>
    <row r="1384" spans="1:40" x14ac:dyDescent="0.15">
      <c r="A1384" s="4" t="str">
        <f>HYPERLINK("https://ibp.a2mac1.com/costing(costing:projects/details/9760/process/12085083)","Assembly")</f>
        <v>Assembly</v>
      </c>
      <c r="C1384">
        <v>12085083</v>
      </c>
      <c r="D1384">
        <v>8415607</v>
      </c>
      <c r="E1384">
        <v>0</v>
      </c>
      <c r="F1384">
        <v>0</v>
      </c>
      <c r="G1384">
        <v>0</v>
      </c>
      <c r="H1384">
        <v>0</v>
      </c>
      <c r="I1384" t="s">
        <v>176</v>
      </c>
      <c r="J1384">
        <v>0</v>
      </c>
      <c r="K1384">
        <v>0</v>
      </c>
      <c r="L1384">
        <v>4.3891336015534119E-2</v>
      </c>
      <c r="M1384">
        <v>0.26334801609320468</v>
      </c>
      <c r="N1384">
        <v>0.26334801609320468</v>
      </c>
      <c r="O1384" t="s">
        <v>90</v>
      </c>
      <c r="P1384">
        <v>0</v>
      </c>
      <c r="Q1384" t="s">
        <v>90</v>
      </c>
      <c r="R1384">
        <v>0</v>
      </c>
      <c r="S1384" t="s">
        <v>90</v>
      </c>
      <c r="T1384">
        <v>0</v>
      </c>
      <c r="U1384">
        <v>0.26334801609320468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150</v>
      </c>
      <c r="AB1384">
        <v>1</v>
      </c>
      <c r="AC1384">
        <v>0.1</v>
      </c>
      <c r="AD1384">
        <v>0.10987913295375087</v>
      </c>
      <c r="AE1384">
        <v>600</v>
      </c>
      <c r="AF1384">
        <v>200000</v>
      </c>
      <c r="AG1384">
        <v>10000</v>
      </c>
      <c r="AH1384">
        <v>1</v>
      </c>
      <c r="AI1384">
        <v>1</v>
      </c>
      <c r="AJ1384" t="s">
        <v>76</v>
      </c>
      <c r="AK1384" t="s">
        <v>176</v>
      </c>
      <c r="AL1384">
        <v>0</v>
      </c>
      <c r="AM1384" t="s">
        <v>176</v>
      </c>
      <c r="AN1384">
        <v>0</v>
      </c>
    </row>
    <row r="1385" spans="1:40" x14ac:dyDescent="0.15">
      <c r="A1385" s="4" t="str">
        <f>HYPERLINK("https://ibp.a2mac1.com/costing(costing:projects/details/9760/process/12085806)","Automated Process")</f>
        <v>Automated Process</v>
      </c>
      <c r="B1385" t="s">
        <v>4235</v>
      </c>
      <c r="C1385">
        <v>12085806</v>
      </c>
      <c r="D1385">
        <v>8416434</v>
      </c>
      <c r="E1385">
        <v>1.4182826385</v>
      </c>
      <c r="F1385">
        <v>0</v>
      </c>
      <c r="G1385">
        <v>0</v>
      </c>
      <c r="H1385">
        <v>7.194496391789474E-3</v>
      </c>
      <c r="I1385" t="s">
        <v>176</v>
      </c>
      <c r="J1385">
        <v>4.9764303105263155E-2</v>
      </c>
      <c r="K1385">
        <v>1.4752414379970527</v>
      </c>
      <c r="L1385">
        <v>0.19309534924392757</v>
      </c>
      <c r="M1385">
        <v>1.1585720954635654</v>
      </c>
      <c r="N1385">
        <v>2.6338135334606183</v>
      </c>
      <c r="O1385" t="s">
        <v>90</v>
      </c>
      <c r="P1385">
        <v>0</v>
      </c>
      <c r="Q1385" t="s">
        <v>90</v>
      </c>
      <c r="R1385">
        <v>0</v>
      </c>
      <c r="S1385" t="s">
        <v>90</v>
      </c>
      <c r="T1385">
        <v>0</v>
      </c>
      <c r="U1385">
        <v>2.6338135334606183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108</v>
      </c>
      <c r="AB1385">
        <v>1</v>
      </c>
      <c r="AC1385">
        <v>0.5</v>
      </c>
      <c r="AD1385">
        <v>0.50345253019720215</v>
      </c>
      <c r="AE1385">
        <v>10800</v>
      </c>
      <c r="AF1385">
        <v>200000</v>
      </c>
      <c r="AG1385">
        <v>16666.666666666668</v>
      </c>
      <c r="AH1385">
        <v>1</v>
      </c>
      <c r="AI1385">
        <v>1</v>
      </c>
      <c r="AJ1385" t="s">
        <v>162</v>
      </c>
      <c r="AK1385" t="s">
        <v>176</v>
      </c>
      <c r="AL1385">
        <v>0</v>
      </c>
      <c r="AM1385" t="s">
        <v>176</v>
      </c>
      <c r="AN1385">
        <v>0</v>
      </c>
    </row>
    <row r="1386" spans="1:40" x14ac:dyDescent="0.15">
      <c r="A1386" s="4" t="str">
        <f>HYPERLINK("https://ibp.a2mac1.com/costing(costing:projects/details/9760/process/12085807)","Automated Process")</f>
        <v>Automated Process</v>
      </c>
      <c r="B1386" t="s">
        <v>4235</v>
      </c>
      <c r="C1386">
        <v>12085807</v>
      </c>
      <c r="D1386">
        <v>8416435</v>
      </c>
      <c r="E1386">
        <v>0.20391429450000001</v>
      </c>
      <c r="F1386">
        <v>0</v>
      </c>
      <c r="G1386">
        <v>0</v>
      </c>
      <c r="H1386">
        <v>1.0343923109473684E-3</v>
      </c>
      <c r="I1386" t="s">
        <v>176</v>
      </c>
      <c r="J1386">
        <v>7.1548875263157891E-3</v>
      </c>
      <c r="K1386">
        <v>0.21210357433726315</v>
      </c>
      <c r="L1386">
        <v>1.2954808617448894E-2</v>
      </c>
      <c r="M1386">
        <v>7.7728851704693361E-2</v>
      </c>
      <c r="N1386">
        <v>0.28983242604195653</v>
      </c>
      <c r="O1386" t="s">
        <v>90</v>
      </c>
      <c r="P1386">
        <v>0</v>
      </c>
      <c r="Q1386" t="s">
        <v>90</v>
      </c>
      <c r="R1386">
        <v>0</v>
      </c>
      <c r="S1386" t="s">
        <v>90</v>
      </c>
      <c r="T1386">
        <v>0</v>
      </c>
      <c r="U1386">
        <v>0.28983242604195653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6</v>
      </c>
      <c r="AB1386">
        <v>1</v>
      </c>
      <c r="AC1386">
        <v>0.5</v>
      </c>
      <c r="AD1386">
        <v>0.50345253019720215</v>
      </c>
      <c r="AE1386">
        <v>10800</v>
      </c>
      <c r="AF1386">
        <v>200000</v>
      </c>
      <c r="AG1386">
        <v>16666.666666666668</v>
      </c>
      <c r="AH1386">
        <v>1</v>
      </c>
      <c r="AI1386">
        <v>1</v>
      </c>
      <c r="AJ1386" t="s">
        <v>162</v>
      </c>
      <c r="AK1386" t="s">
        <v>176</v>
      </c>
      <c r="AL1386">
        <v>0</v>
      </c>
      <c r="AM1386" t="s">
        <v>176</v>
      </c>
      <c r="AN1386">
        <v>0</v>
      </c>
    </row>
    <row r="1387" spans="1:40" x14ac:dyDescent="0.15">
      <c r="A1387" s="4" t="str">
        <f>HYPERLINK("https://ibp.a2mac1.com/costing(costing:projects/details/9760/process/12085808)","Automated Process")</f>
        <v>Automated Process</v>
      </c>
      <c r="B1387" t="s">
        <v>4235</v>
      </c>
      <c r="C1387">
        <v>12085808</v>
      </c>
      <c r="D1387">
        <v>8416436</v>
      </c>
      <c r="E1387">
        <v>0.20391429450000001</v>
      </c>
      <c r="F1387">
        <v>0</v>
      </c>
      <c r="G1387">
        <v>0</v>
      </c>
      <c r="H1387">
        <v>1.0343923109473684E-3</v>
      </c>
      <c r="I1387" t="s">
        <v>176</v>
      </c>
      <c r="J1387">
        <v>7.1548875263157891E-3</v>
      </c>
      <c r="K1387">
        <v>0.21210357433726315</v>
      </c>
      <c r="L1387">
        <v>1.2954808617448894E-2</v>
      </c>
      <c r="M1387">
        <v>7.7728851704693361E-2</v>
      </c>
      <c r="N1387">
        <v>0.28983242604195653</v>
      </c>
      <c r="O1387" t="s">
        <v>90</v>
      </c>
      <c r="P1387">
        <v>0</v>
      </c>
      <c r="Q1387" t="s">
        <v>90</v>
      </c>
      <c r="R1387">
        <v>0</v>
      </c>
      <c r="S1387" t="s">
        <v>90</v>
      </c>
      <c r="T1387">
        <v>0</v>
      </c>
      <c r="U1387">
        <v>0.28983242604195653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6</v>
      </c>
      <c r="AB1387">
        <v>1</v>
      </c>
      <c r="AC1387">
        <v>0.5</v>
      </c>
      <c r="AD1387">
        <v>0.50345253019720215</v>
      </c>
      <c r="AE1387">
        <v>10800</v>
      </c>
      <c r="AF1387">
        <v>200000</v>
      </c>
      <c r="AG1387">
        <v>16666.666666666668</v>
      </c>
      <c r="AH1387">
        <v>1</v>
      </c>
      <c r="AI1387">
        <v>1</v>
      </c>
      <c r="AJ1387" t="s">
        <v>162</v>
      </c>
      <c r="AK1387" t="s">
        <v>176</v>
      </c>
      <c r="AL1387">
        <v>0</v>
      </c>
      <c r="AM1387" t="s">
        <v>176</v>
      </c>
      <c r="AN1387">
        <v>0</v>
      </c>
    </row>
    <row r="1388" spans="1:40" x14ac:dyDescent="0.15">
      <c r="A1388" s="4" t="str">
        <f>HYPERLINK("https://ibp.a2mac1.com/costing(costing:projects/details/9760/process/12085809)","Automated Process")</f>
        <v>Automated Process</v>
      </c>
      <c r="B1388" t="s">
        <v>8364</v>
      </c>
      <c r="C1388">
        <v>12085809</v>
      </c>
      <c r="D1388">
        <v>8416437</v>
      </c>
      <c r="E1388">
        <v>9.7851379500000002E-2</v>
      </c>
      <c r="F1388">
        <v>0</v>
      </c>
      <c r="G1388">
        <v>0</v>
      </c>
      <c r="H1388">
        <v>4.963689025263158E-4</v>
      </c>
      <c r="I1388" t="s">
        <v>176</v>
      </c>
      <c r="J1388">
        <v>3.4333817368421052E-3</v>
      </c>
      <c r="K1388">
        <v>0.10178113013936842</v>
      </c>
      <c r="L1388">
        <v>5.3574734444988205E-2</v>
      </c>
      <c r="M1388">
        <v>0.32144840666992924</v>
      </c>
      <c r="N1388">
        <v>0.42322953680929765</v>
      </c>
      <c r="O1388" t="s">
        <v>90</v>
      </c>
      <c r="P1388">
        <v>0</v>
      </c>
      <c r="Q1388" t="s">
        <v>90</v>
      </c>
      <c r="R1388">
        <v>0</v>
      </c>
      <c r="S1388" t="s">
        <v>90</v>
      </c>
      <c r="T1388">
        <v>0</v>
      </c>
      <c r="U1388">
        <v>0.42322953680929765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29</v>
      </c>
      <c r="AB1388">
        <v>1</v>
      </c>
      <c r="AC1388">
        <v>0.5</v>
      </c>
      <c r="AD1388">
        <v>0.50345253019720215</v>
      </c>
      <c r="AE1388">
        <v>10800</v>
      </c>
      <c r="AF1388">
        <v>200000</v>
      </c>
      <c r="AG1388">
        <v>16666.666666666668</v>
      </c>
      <c r="AH1388">
        <v>1</v>
      </c>
      <c r="AI1388">
        <v>1</v>
      </c>
      <c r="AJ1388" t="s">
        <v>162</v>
      </c>
      <c r="AK1388" t="s">
        <v>176</v>
      </c>
      <c r="AL1388">
        <v>0</v>
      </c>
      <c r="AM1388" t="s">
        <v>176</v>
      </c>
      <c r="AN1388">
        <v>0</v>
      </c>
    </row>
    <row r="1389" spans="1:40" x14ac:dyDescent="0.15">
      <c r="A1389" s="4" t="str">
        <f>HYPERLINK("https://ibp.a2mac1.com/costing(costing:projects/details/9760/process/12085810)","Automated Process")</f>
        <v>Automated Process</v>
      </c>
      <c r="B1389" t="s">
        <v>5077</v>
      </c>
      <c r="C1389">
        <v>12085810</v>
      </c>
      <c r="D1389">
        <v>8416438</v>
      </c>
      <c r="E1389">
        <v>9.6726650999999997E-2</v>
      </c>
      <c r="F1389">
        <v>0</v>
      </c>
      <c r="G1389">
        <v>0</v>
      </c>
      <c r="H1389">
        <v>4.9066351284210528E-4</v>
      </c>
      <c r="I1389" t="s">
        <v>176</v>
      </c>
      <c r="J1389">
        <v>3.3939175789473685E-3</v>
      </c>
      <c r="K1389">
        <v>0.10061123209178947</v>
      </c>
      <c r="L1389">
        <v>5.1808650713356059E-2</v>
      </c>
      <c r="M1389">
        <v>0.31085190428013637</v>
      </c>
      <c r="N1389">
        <v>0.41146313637192583</v>
      </c>
      <c r="O1389" t="s">
        <v>90</v>
      </c>
      <c r="P1389">
        <v>0</v>
      </c>
      <c r="Q1389" t="s">
        <v>90</v>
      </c>
      <c r="R1389">
        <v>0</v>
      </c>
      <c r="S1389" t="s">
        <v>90</v>
      </c>
      <c r="T1389">
        <v>0</v>
      </c>
      <c r="U1389">
        <v>0.41146313637192583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28</v>
      </c>
      <c r="AB1389">
        <v>1</v>
      </c>
      <c r="AC1389">
        <v>0.5</v>
      </c>
      <c r="AD1389">
        <v>0.50345253019720215</v>
      </c>
      <c r="AE1389">
        <v>10800</v>
      </c>
      <c r="AF1389">
        <v>200000</v>
      </c>
      <c r="AG1389">
        <v>16666.666666666668</v>
      </c>
      <c r="AH1389">
        <v>1</v>
      </c>
      <c r="AI1389">
        <v>1</v>
      </c>
      <c r="AJ1389" t="s">
        <v>162</v>
      </c>
      <c r="AK1389" t="s">
        <v>176</v>
      </c>
      <c r="AL1389">
        <v>0</v>
      </c>
      <c r="AM1389" t="s">
        <v>176</v>
      </c>
      <c r="AN1389">
        <v>0</v>
      </c>
    </row>
    <row r="1390" spans="1:40" x14ac:dyDescent="0.15">
      <c r="A1390" s="4" t="str">
        <f>HYPERLINK("https://ibp.a2mac1.com/costing(costing:projects/details/9760/process/12085811)","Automated Process")</f>
        <v>Automated Process</v>
      </c>
      <c r="B1390" t="s">
        <v>4235</v>
      </c>
      <c r="C1390">
        <v>12085811</v>
      </c>
      <c r="D1390">
        <v>8416439</v>
      </c>
      <c r="E1390">
        <v>5.5221348000000003E-2</v>
      </c>
      <c r="F1390">
        <v>0</v>
      </c>
      <c r="G1390">
        <v>0</v>
      </c>
      <c r="H1390">
        <v>2.8012032168421054E-4</v>
      </c>
      <c r="I1390" t="s">
        <v>176</v>
      </c>
      <c r="J1390">
        <v>1.9375911578947368E-3</v>
      </c>
      <c r="K1390">
        <v>5.7439059479578947E-2</v>
      </c>
      <c r="L1390">
        <v>9.422641154184605E-3</v>
      </c>
      <c r="M1390">
        <v>5.653584692510763E-2</v>
      </c>
      <c r="N1390">
        <v>0.11397490640468658</v>
      </c>
      <c r="O1390" t="s">
        <v>90</v>
      </c>
      <c r="P1390">
        <v>0</v>
      </c>
      <c r="Q1390" t="s">
        <v>90</v>
      </c>
      <c r="R1390">
        <v>0</v>
      </c>
      <c r="S1390" t="s">
        <v>90</v>
      </c>
      <c r="T1390">
        <v>0</v>
      </c>
      <c r="U1390">
        <v>0.11397490640468658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4</v>
      </c>
      <c r="AB1390">
        <v>1</v>
      </c>
      <c r="AC1390">
        <v>0.5</v>
      </c>
      <c r="AD1390">
        <v>0.50345253019720215</v>
      </c>
      <c r="AE1390">
        <v>10800</v>
      </c>
      <c r="AF1390">
        <v>200000</v>
      </c>
      <c r="AG1390">
        <v>16666.666666666668</v>
      </c>
      <c r="AH1390">
        <v>1</v>
      </c>
      <c r="AI1390">
        <v>1</v>
      </c>
      <c r="AJ1390" t="s">
        <v>162</v>
      </c>
      <c r="AK1390" t="s">
        <v>176</v>
      </c>
      <c r="AL1390">
        <v>0</v>
      </c>
      <c r="AM1390" t="s">
        <v>176</v>
      </c>
      <c r="AN1390">
        <v>0</v>
      </c>
    </row>
    <row r="1391" spans="1:40" x14ac:dyDescent="0.15">
      <c r="A1391" s="4" t="str">
        <f>HYPERLINK("https://ibp.a2mac1.com/costing(costing:projects/details/9760/process/12085812)","Automated Process")</f>
        <v>Automated Process</v>
      </c>
      <c r="B1391" t="s">
        <v>4235</v>
      </c>
      <c r="C1391">
        <v>12085812</v>
      </c>
      <c r="D1391">
        <v>8416440</v>
      </c>
      <c r="E1391">
        <v>5.5221348000000003E-2</v>
      </c>
      <c r="F1391">
        <v>0</v>
      </c>
      <c r="G1391">
        <v>0</v>
      </c>
      <c r="H1391">
        <v>2.8012032168421054E-4</v>
      </c>
      <c r="I1391" t="s">
        <v>176</v>
      </c>
      <c r="J1391">
        <v>1.9375911578947368E-3</v>
      </c>
      <c r="K1391">
        <v>5.7439059479578947E-2</v>
      </c>
      <c r="L1391">
        <v>9.422641154184605E-3</v>
      </c>
      <c r="M1391">
        <v>5.653584692510763E-2</v>
      </c>
      <c r="N1391">
        <v>0.11397490640468658</v>
      </c>
      <c r="O1391" t="s">
        <v>90</v>
      </c>
      <c r="P1391">
        <v>0</v>
      </c>
      <c r="Q1391" t="s">
        <v>90</v>
      </c>
      <c r="R1391">
        <v>0</v>
      </c>
      <c r="S1391" t="s">
        <v>90</v>
      </c>
      <c r="T1391">
        <v>0</v>
      </c>
      <c r="U1391">
        <v>0.11397490640468658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4</v>
      </c>
      <c r="AB1391">
        <v>1</v>
      </c>
      <c r="AC1391">
        <v>0.5</v>
      </c>
      <c r="AD1391">
        <v>0.50345253019720215</v>
      </c>
      <c r="AE1391">
        <v>10800</v>
      </c>
      <c r="AF1391">
        <v>200000</v>
      </c>
      <c r="AG1391">
        <v>16666.666666666668</v>
      </c>
      <c r="AH1391">
        <v>1</v>
      </c>
      <c r="AI1391">
        <v>1</v>
      </c>
      <c r="AJ1391" t="s">
        <v>162</v>
      </c>
      <c r="AK1391" t="s">
        <v>176</v>
      </c>
      <c r="AL1391">
        <v>0</v>
      </c>
      <c r="AM1391" t="s">
        <v>176</v>
      </c>
      <c r="AN1391">
        <v>0</v>
      </c>
    </row>
    <row r="1392" spans="1:40" x14ac:dyDescent="0.15">
      <c r="A1392" s="4" t="str">
        <f>HYPERLINK("https://ibp.a2mac1.com/costing(costing:projects/details/9760/process/12085813)","Automated Process")</f>
        <v>Automated Process</v>
      </c>
      <c r="B1392" t="s">
        <v>4235</v>
      </c>
      <c r="C1392">
        <v>12085813</v>
      </c>
      <c r="D1392">
        <v>8416441</v>
      </c>
      <c r="E1392">
        <v>2.58687555E-2</v>
      </c>
      <c r="F1392">
        <v>0</v>
      </c>
      <c r="G1392">
        <v>0</v>
      </c>
      <c r="H1392">
        <v>1.312239627368421E-4</v>
      </c>
      <c r="I1392" t="s">
        <v>176</v>
      </c>
      <c r="J1392">
        <v>9.0767563157894738E-4</v>
      </c>
      <c r="K1392">
        <v>2.690765509431579E-2</v>
      </c>
      <c r="L1392">
        <v>5.8904736909203177E-3</v>
      </c>
      <c r="M1392">
        <v>3.5342842145521906E-2</v>
      </c>
      <c r="N1392">
        <v>6.2250497239837693E-2</v>
      </c>
      <c r="O1392" t="s">
        <v>90</v>
      </c>
      <c r="P1392">
        <v>0</v>
      </c>
      <c r="Q1392" t="s">
        <v>90</v>
      </c>
      <c r="R1392">
        <v>0</v>
      </c>
      <c r="S1392" t="s">
        <v>90</v>
      </c>
      <c r="T1392">
        <v>0</v>
      </c>
      <c r="U1392">
        <v>6.2250497239837693E-2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</v>
      </c>
      <c r="AB1392">
        <v>1</v>
      </c>
      <c r="AC1392">
        <v>0.5</v>
      </c>
      <c r="AD1392">
        <v>0.50345253019720215</v>
      </c>
      <c r="AE1392">
        <v>10800</v>
      </c>
      <c r="AF1392">
        <v>200000</v>
      </c>
      <c r="AG1392">
        <v>16666.666666666668</v>
      </c>
      <c r="AH1392">
        <v>1</v>
      </c>
      <c r="AI1392">
        <v>1</v>
      </c>
      <c r="AJ1392" t="s">
        <v>162</v>
      </c>
      <c r="AK1392" t="s">
        <v>176</v>
      </c>
      <c r="AL1392">
        <v>0</v>
      </c>
      <c r="AM1392" t="s">
        <v>176</v>
      </c>
      <c r="AN1392">
        <v>0</v>
      </c>
    </row>
    <row r="1393" spans="1:40" x14ac:dyDescent="0.15">
      <c r="A1393" s="4" t="str">
        <f>HYPERLINK("https://ibp.a2mac1.com/costing(costing:projects/details/9760/process/12085814)","Automated Process")</f>
        <v>Automated Process</v>
      </c>
      <c r="B1393" t="s">
        <v>4235</v>
      </c>
      <c r="C1393">
        <v>12085814</v>
      </c>
      <c r="D1393">
        <v>8416442</v>
      </c>
      <c r="E1393">
        <v>2.58687555E-2</v>
      </c>
      <c r="F1393">
        <v>0</v>
      </c>
      <c r="G1393">
        <v>0</v>
      </c>
      <c r="H1393">
        <v>1.312239627368421E-4</v>
      </c>
      <c r="I1393" t="s">
        <v>176</v>
      </c>
      <c r="J1393">
        <v>9.0767563157894738E-4</v>
      </c>
      <c r="K1393">
        <v>2.690765509431579E-2</v>
      </c>
      <c r="L1393">
        <v>5.8904736909203177E-3</v>
      </c>
      <c r="M1393">
        <v>3.5342842145521906E-2</v>
      </c>
      <c r="N1393">
        <v>6.2250497239837693E-2</v>
      </c>
      <c r="O1393" t="s">
        <v>90</v>
      </c>
      <c r="P1393">
        <v>0</v>
      </c>
      <c r="Q1393" t="s">
        <v>90</v>
      </c>
      <c r="R1393">
        <v>0</v>
      </c>
      <c r="S1393" t="s">
        <v>90</v>
      </c>
      <c r="T1393">
        <v>0</v>
      </c>
      <c r="U1393">
        <v>6.2250497239837693E-2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2</v>
      </c>
      <c r="AB1393">
        <v>1</v>
      </c>
      <c r="AC1393">
        <v>0.5</v>
      </c>
      <c r="AD1393">
        <v>0.50345253019720215</v>
      </c>
      <c r="AE1393">
        <v>10800</v>
      </c>
      <c r="AF1393">
        <v>200000</v>
      </c>
      <c r="AG1393">
        <v>16666.666666666668</v>
      </c>
      <c r="AH1393">
        <v>1</v>
      </c>
      <c r="AI1393">
        <v>1</v>
      </c>
      <c r="AJ1393" t="s">
        <v>162</v>
      </c>
      <c r="AK1393" t="s">
        <v>176</v>
      </c>
      <c r="AL1393">
        <v>0</v>
      </c>
      <c r="AM1393" t="s">
        <v>176</v>
      </c>
      <c r="AN1393">
        <v>0</v>
      </c>
    </row>
    <row r="1394" spans="1:40" x14ac:dyDescent="0.15">
      <c r="A1394" s="4" t="str">
        <f>HYPERLINK("https://ibp.a2mac1.com/costing(costing:projects/details/9760/process/12085815)","Automated Process")</f>
        <v>Automated Process</v>
      </c>
      <c r="B1394" t="s">
        <v>4235</v>
      </c>
      <c r="C1394">
        <v>12085815</v>
      </c>
      <c r="D1394">
        <v>8416443</v>
      </c>
      <c r="E1394">
        <v>0.28885012799999998</v>
      </c>
      <c r="F1394">
        <v>0</v>
      </c>
      <c r="G1394">
        <v>0</v>
      </c>
      <c r="H1394">
        <v>1.4652447595789474E-3</v>
      </c>
      <c r="I1394" t="s">
        <v>176</v>
      </c>
      <c r="J1394">
        <v>1.0135092210526315E-2</v>
      </c>
      <c r="K1394">
        <v>0.30045046497010525</v>
      </c>
      <c r="L1394">
        <v>4.1212148323563194E-2</v>
      </c>
      <c r="M1394">
        <v>0.24727288994137919</v>
      </c>
      <c r="N1394">
        <v>0.54772335491148449</v>
      </c>
      <c r="O1394" t="s">
        <v>90</v>
      </c>
      <c r="P1394">
        <v>0</v>
      </c>
      <c r="Q1394" t="s">
        <v>90</v>
      </c>
      <c r="R1394">
        <v>0</v>
      </c>
      <c r="S1394" t="s">
        <v>90</v>
      </c>
      <c r="T1394">
        <v>0</v>
      </c>
      <c r="U1394">
        <v>0.54772335491148449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22</v>
      </c>
      <c r="AB1394">
        <v>1</v>
      </c>
      <c r="AC1394">
        <v>0.5</v>
      </c>
      <c r="AD1394">
        <v>0.50345253019720215</v>
      </c>
      <c r="AE1394">
        <v>10800</v>
      </c>
      <c r="AF1394">
        <v>200000</v>
      </c>
      <c r="AG1394">
        <v>16666.666666666668</v>
      </c>
      <c r="AH1394">
        <v>1</v>
      </c>
      <c r="AI1394">
        <v>1</v>
      </c>
      <c r="AJ1394" t="s">
        <v>162</v>
      </c>
      <c r="AK1394" t="s">
        <v>176</v>
      </c>
      <c r="AL1394">
        <v>0</v>
      </c>
      <c r="AM1394" t="s">
        <v>176</v>
      </c>
      <c r="AN1394">
        <v>0</v>
      </c>
    </row>
    <row r="1395" spans="1:40" x14ac:dyDescent="0.15">
      <c r="A1395" s="4" t="str">
        <f>HYPERLINK("https://ibp.a2mac1.com/costing(costing:projects/details/9760/process/12085816)","Automated Process")</f>
        <v>Automated Process</v>
      </c>
      <c r="B1395" t="s">
        <v>4235</v>
      </c>
      <c r="C1395">
        <v>12085816</v>
      </c>
      <c r="D1395">
        <v>8416444</v>
      </c>
      <c r="E1395">
        <v>0.20245113000000001</v>
      </c>
      <c r="F1395">
        <v>0</v>
      </c>
      <c r="G1395">
        <v>0</v>
      </c>
      <c r="H1395">
        <v>1.0269701431578947E-3</v>
      </c>
      <c r="I1395" t="s">
        <v>176</v>
      </c>
      <c r="J1395">
        <v>7.1035484210526315E-3</v>
      </c>
      <c r="K1395">
        <v>0.21058164856421052</v>
      </c>
      <c r="L1395">
        <v>2.884956220213819E-2</v>
      </c>
      <c r="M1395">
        <v>0.17309737321282914</v>
      </c>
      <c r="N1395">
        <v>0.38367902177703966</v>
      </c>
      <c r="O1395" t="s">
        <v>90</v>
      </c>
      <c r="P1395">
        <v>0</v>
      </c>
      <c r="Q1395" t="s">
        <v>90</v>
      </c>
      <c r="R1395">
        <v>0</v>
      </c>
      <c r="S1395" t="s">
        <v>90</v>
      </c>
      <c r="T1395">
        <v>0</v>
      </c>
      <c r="U1395">
        <v>0.38367902177703966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15</v>
      </c>
      <c r="AB1395">
        <v>1</v>
      </c>
      <c r="AC1395">
        <v>0.5</v>
      </c>
      <c r="AD1395">
        <v>0.50345253019720215</v>
      </c>
      <c r="AE1395">
        <v>10800</v>
      </c>
      <c r="AF1395">
        <v>200000</v>
      </c>
      <c r="AG1395">
        <v>16666.666666666668</v>
      </c>
      <c r="AH1395">
        <v>1</v>
      </c>
      <c r="AI1395">
        <v>1</v>
      </c>
      <c r="AJ1395" t="s">
        <v>162</v>
      </c>
      <c r="AK1395" t="s">
        <v>176</v>
      </c>
      <c r="AL1395">
        <v>0</v>
      </c>
      <c r="AM1395" t="s">
        <v>176</v>
      </c>
      <c r="AN1395">
        <v>0</v>
      </c>
    </row>
    <row r="1396" spans="1:40" x14ac:dyDescent="0.15">
      <c r="A1396" s="4" t="str">
        <f>HYPERLINK("https://ibp.a2mac1.com/costing(costing:projects/details/9760/process/12085817)","Automated Process")</f>
        <v>Automated Process</v>
      </c>
      <c r="B1396" t="s">
        <v>4235</v>
      </c>
      <c r="C1396">
        <v>12085817</v>
      </c>
      <c r="D1396">
        <v>8416445</v>
      </c>
      <c r="E1396">
        <v>0.28778817899999998</v>
      </c>
      <c r="F1396">
        <v>0</v>
      </c>
      <c r="G1396">
        <v>0</v>
      </c>
      <c r="H1396">
        <v>1.4598578303157894E-3</v>
      </c>
      <c r="I1396" t="s">
        <v>176</v>
      </c>
      <c r="J1396">
        <v>1.0097830842105263E-2</v>
      </c>
      <c r="K1396">
        <v>0.29934586767242105</v>
      </c>
      <c r="L1396">
        <v>4.1212148323563194E-2</v>
      </c>
      <c r="M1396">
        <v>0.24727288994137919</v>
      </c>
      <c r="N1396">
        <v>0.54661875761380019</v>
      </c>
      <c r="O1396" t="s">
        <v>90</v>
      </c>
      <c r="P1396">
        <v>0</v>
      </c>
      <c r="Q1396" t="s">
        <v>90</v>
      </c>
      <c r="R1396">
        <v>0</v>
      </c>
      <c r="S1396" t="s">
        <v>90</v>
      </c>
      <c r="T1396">
        <v>0</v>
      </c>
      <c r="U1396">
        <v>0.54661875761380019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22</v>
      </c>
      <c r="AB1396">
        <v>1</v>
      </c>
      <c r="AC1396">
        <v>0.5</v>
      </c>
      <c r="AD1396">
        <v>0.50345253019720215</v>
      </c>
      <c r="AE1396">
        <v>10800</v>
      </c>
      <c r="AF1396">
        <v>200000</v>
      </c>
      <c r="AG1396">
        <v>16666.666666666668</v>
      </c>
      <c r="AH1396">
        <v>1</v>
      </c>
      <c r="AI1396">
        <v>1</v>
      </c>
      <c r="AJ1396" t="s">
        <v>162</v>
      </c>
      <c r="AK1396" t="s">
        <v>176</v>
      </c>
      <c r="AL1396">
        <v>0</v>
      </c>
      <c r="AM1396" t="s">
        <v>176</v>
      </c>
      <c r="AN1396">
        <v>0</v>
      </c>
    </row>
    <row r="1397" spans="1:40" x14ac:dyDescent="0.15">
      <c r="A1397" s="4" t="str">
        <f>HYPERLINK("https://ibp.a2mac1.com/costing(costing:projects/details/9760/process/12085818)","Automated Process")</f>
        <v>Automated Process</v>
      </c>
      <c r="B1397" t="s">
        <v>4235</v>
      </c>
      <c r="C1397">
        <v>12085818</v>
      </c>
      <c r="D1397">
        <v>8416446</v>
      </c>
      <c r="E1397">
        <v>0.20245113000000001</v>
      </c>
      <c r="F1397">
        <v>0</v>
      </c>
      <c r="G1397">
        <v>0</v>
      </c>
      <c r="H1397">
        <v>1.0269701431578947E-3</v>
      </c>
      <c r="I1397" t="s">
        <v>176</v>
      </c>
      <c r="J1397">
        <v>7.1035484210526315E-3</v>
      </c>
      <c r="K1397">
        <v>0.21058164856421052</v>
      </c>
      <c r="L1397">
        <v>2.884956220213819E-2</v>
      </c>
      <c r="M1397">
        <v>0.17309737321282914</v>
      </c>
      <c r="N1397">
        <v>0.38367902177703966</v>
      </c>
      <c r="O1397" t="s">
        <v>90</v>
      </c>
      <c r="P1397">
        <v>0</v>
      </c>
      <c r="Q1397" t="s">
        <v>90</v>
      </c>
      <c r="R1397">
        <v>0</v>
      </c>
      <c r="S1397" t="s">
        <v>90</v>
      </c>
      <c r="T1397">
        <v>0</v>
      </c>
      <c r="U1397">
        <v>0.38367902177703966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15</v>
      </c>
      <c r="AB1397">
        <v>1</v>
      </c>
      <c r="AC1397">
        <v>0.5</v>
      </c>
      <c r="AD1397">
        <v>0.50345253019720215</v>
      </c>
      <c r="AE1397">
        <v>10800</v>
      </c>
      <c r="AF1397">
        <v>200000</v>
      </c>
      <c r="AG1397">
        <v>16666.666666666668</v>
      </c>
      <c r="AH1397">
        <v>1</v>
      </c>
      <c r="AI1397">
        <v>1</v>
      </c>
      <c r="AJ1397" t="s">
        <v>162</v>
      </c>
      <c r="AK1397" t="s">
        <v>176</v>
      </c>
      <c r="AL1397">
        <v>0</v>
      </c>
      <c r="AM1397" t="s">
        <v>176</v>
      </c>
      <c r="AN1397">
        <v>0</v>
      </c>
    </row>
    <row r="1398" spans="1:40" x14ac:dyDescent="0.15">
      <c r="A1398" s="4" t="str">
        <f>HYPERLINK("https://ibp.a2mac1.com/costing(costing:projects/details/9760/process/12085396)","Automated Process")</f>
        <v>Automated Process</v>
      </c>
      <c r="B1398" t="s">
        <v>5077</v>
      </c>
      <c r="C1398">
        <v>12085396</v>
      </c>
      <c r="D1398">
        <v>8416092</v>
      </c>
      <c r="E1398">
        <v>3.3258221744999998</v>
      </c>
      <c r="F1398">
        <v>0</v>
      </c>
      <c r="G1398">
        <v>0</v>
      </c>
      <c r="H1398">
        <v>1.6870837296210528E-2</v>
      </c>
      <c r="I1398" t="s">
        <v>176</v>
      </c>
      <c r="J1398">
        <v>0.11669551489473684</v>
      </c>
      <c r="K1398">
        <v>3.4593885266909474</v>
      </c>
      <c r="L1398">
        <v>3.8065026641632942</v>
      </c>
      <c r="M1398">
        <v>22.839015984979767</v>
      </c>
      <c r="N1398">
        <v>26.298404511670714</v>
      </c>
      <c r="O1398" t="s">
        <v>90</v>
      </c>
      <c r="P1398">
        <v>0</v>
      </c>
      <c r="Q1398" t="s">
        <v>90</v>
      </c>
      <c r="R1398">
        <v>0</v>
      </c>
      <c r="S1398" t="s">
        <v>90</v>
      </c>
      <c r="T1398">
        <v>0</v>
      </c>
      <c r="U1398">
        <v>26.298404511670714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2154</v>
      </c>
      <c r="AB1398">
        <v>1</v>
      </c>
      <c r="AC1398">
        <v>0.5</v>
      </c>
      <c r="AD1398">
        <v>0.50345253019720215</v>
      </c>
      <c r="AE1398">
        <v>10800</v>
      </c>
      <c r="AF1398">
        <v>200000</v>
      </c>
      <c r="AG1398">
        <v>16666.666666666668</v>
      </c>
      <c r="AH1398">
        <v>1</v>
      </c>
      <c r="AI1398">
        <v>1</v>
      </c>
      <c r="AJ1398" t="s">
        <v>162</v>
      </c>
      <c r="AK1398" t="s">
        <v>176</v>
      </c>
      <c r="AL1398">
        <v>0</v>
      </c>
      <c r="AM1398" t="s">
        <v>176</v>
      </c>
      <c r="AN1398">
        <v>0</v>
      </c>
    </row>
    <row r="1399" spans="1:40" x14ac:dyDescent="0.15">
      <c r="A1399" s="4" t="str">
        <f>HYPERLINK("https://ibp.a2mac1.com/costing(costing:projects/details/9760/process/12085397)","Automated Process")</f>
        <v>Automated Process</v>
      </c>
      <c r="B1399" t="s">
        <v>4235</v>
      </c>
      <c r="C1399">
        <v>12085397</v>
      </c>
      <c r="D1399">
        <v>8416093</v>
      </c>
      <c r="E1399">
        <v>1.5892413704999999</v>
      </c>
      <c r="F1399">
        <v>0</v>
      </c>
      <c r="G1399">
        <v>0</v>
      </c>
      <c r="H1399">
        <v>8.0617156237894737E-3</v>
      </c>
      <c r="I1399" t="s">
        <v>176</v>
      </c>
      <c r="J1399">
        <v>5.5762855105263159E-2</v>
      </c>
      <c r="K1399">
        <v>1.6530659412290527</v>
      </c>
      <c r="L1399">
        <v>0.21605443775514546</v>
      </c>
      <c r="M1399">
        <v>1.2963266265308728</v>
      </c>
      <c r="N1399">
        <v>2.9493925677599253</v>
      </c>
      <c r="O1399" t="s">
        <v>177</v>
      </c>
      <c r="P1399">
        <v>9.9183956473743159E-2</v>
      </c>
      <c r="Q1399" t="s">
        <v>177</v>
      </c>
      <c r="R1399">
        <v>7.7779597591852365E-2</v>
      </c>
      <c r="S1399" t="s">
        <v>178</v>
      </c>
      <c r="T1399">
        <v>0.35392710813119105</v>
      </c>
      <c r="U1399">
        <v>3.4802832299567119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121</v>
      </c>
      <c r="AB1399">
        <v>1</v>
      </c>
      <c r="AC1399">
        <v>0.5</v>
      </c>
      <c r="AD1399">
        <v>0.50345253019720215</v>
      </c>
      <c r="AE1399">
        <v>10800</v>
      </c>
      <c r="AF1399">
        <v>200000</v>
      </c>
      <c r="AG1399">
        <v>16666.666666666668</v>
      </c>
      <c r="AH1399">
        <v>1</v>
      </c>
      <c r="AI1399">
        <v>1</v>
      </c>
      <c r="AJ1399" t="s">
        <v>162</v>
      </c>
      <c r="AK1399" t="s">
        <v>176</v>
      </c>
      <c r="AL1399">
        <v>0</v>
      </c>
      <c r="AM1399" t="s">
        <v>176</v>
      </c>
      <c r="AN1399">
        <v>0</v>
      </c>
    </row>
    <row r="1400" spans="1:40" x14ac:dyDescent="0.15">
      <c r="A1400" s="4" t="str">
        <f>HYPERLINK("https://ibp.a2mac1.com/costing(costing:projects/details/9760/process/12085398)","Automated Process")</f>
        <v>Automated Process</v>
      </c>
      <c r="B1400" t="s">
        <v>4235</v>
      </c>
      <c r="C1400">
        <v>12085398</v>
      </c>
      <c r="D1400">
        <v>8416094</v>
      </c>
      <c r="E1400">
        <v>0.24181662749999999</v>
      </c>
      <c r="F1400">
        <v>0</v>
      </c>
      <c r="G1400">
        <v>0</v>
      </c>
      <c r="H1400">
        <v>1.2266587821052632E-3</v>
      </c>
      <c r="I1400" t="s">
        <v>176</v>
      </c>
      <c r="J1400">
        <v>8.4847939473684207E-3</v>
      </c>
      <c r="K1400">
        <v>0.25152808022947371</v>
      </c>
      <c r="L1400">
        <v>3.414781339703462E-2</v>
      </c>
      <c r="M1400">
        <v>0.20488688038220773</v>
      </c>
      <c r="N1400">
        <v>0.45641496061168141</v>
      </c>
      <c r="O1400" t="s">
        <v>177</v>
      </c>
      <c r="P1400">
        <v>1.5091684813768422E-2</v>
      </c>
      <c r="Q1400" t="s">
        <v>177</v>
      </c>
      <c r="R1400">
        <v>1.2293212822932463E-2</v>
      </c>
      <c r="S1400" t="s">
        <v>178</v>
      </c>
      <c r="T1400">
        <v>5.476979527340177E-2</v>
      </c>
      <c r="U1400">
        <v>0.5385696535217841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18</v>
      </c>
      <c r="AB1400">
        <v>1</v>
      </c>
      <c r="AC1400">
        <v>0.5</v>
      </c>
      <c r="AD1400">
        <v>0.50345253019720215</v>
      </c>
      <c r="AE1400">
        <v>10800</v>
      </c>
      <c r="AF1400">
        <v>200000</v>
      </c>
      <c r="AG1400">
        <v>16666.666666666668</v>
      </c>
      <c r="AH1400">
        <v>1</v>
      </c>
      <c r="AI1400">
        <v>1</v>
      </c>
      <c r="AJ1400" t="s">
        <v>162</v>
      </c>
      <c r="AK1400" t="s">
        <v>176</v>
      </c>
      <c r="AL1400">
        <v>0</v>
      </c>
      <c r="AM1400" t="s">
        <v>176</v>
      </c>
      <c r="AN1400">
        <v>0</v>
      </c>
    </row>
    <row r="1401" spans="1:40" x14ac:dyDescent="0.15">
      <c r="A1401" s="4" t="str">
        <f>HYPERLINK("https://ibp.a2mac1.com/costing(costing:projects/details/9760/process/12085399)","Automated Process")</f>
        <v>Automated Process</v>
      </c>
      <c r="B1401" t="s">
        <v>4235</v>
      </c>
      <c r="C1401">
        <v>12085399</v>
      </c>
      <c r="D1401">
        <v>8416095</v>
      </c>
      <c r="E1401">
        <v>1.0619490000000001E-2</v>
      </c>
      <c r="F1401">
        <v>0</v>
      </c>
      <c r="G1401">
        <v>0</v>
      </c>
      <c r="H1401">
        <v>5.3869292631578951E-5</v>
      </c>
      <c r="I1401" t="s">
        <v>176</v>
      </c>
      <c r="J1401">
        <v>3.7261368421052634E-4</v>
      </c>
      <c r="K1401">
        <v>1.1045972976842105E-2</v>
      </c>
      <c r="L1401">
        <v>4.1243899592881732E-3</v>
      </c>
      <c r="M1401">
        <v>2.4746339755729041E-2</v>
      </c>
      <c r="N1401">
        <v>3.5792312732571142E-2</v>
      </c>
      <c r="O1401" t="s">
        <v>90</v>
      </c>
      <c r="P1401">
        <v>0</v>
      </c>
      <c r="Q1401" t="s">
        <v>90</v>
      </c>
      <c r="R1401">
        <v>0</v>
      </c>
      <c r="S1401" t="s">
        <v>90</v>
      </c>
      <c r="T1401">
        <v>0</v>
      </c>
      <c r="U1401">
        <v>3.5792312732571142E-2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1</v>
      </c>
      <c r="AC1401">
        <v>0.5</v>
      </c>
      <c r="AD1401">
        <v>0.50345253019720215</v>
      </c>
      <c r="AE1401">
        <v>10800</v>
      </c>
      <c r="AF1401">
        <v>200000</v>
      </c>
      <c r="AG1401">
        <v>16666.666666666668</v>
      </c>
      <c r="AH1401">
        <v>1</v>
      </c>
      <c r="AI1401">
        <v>1</v>
      </c>
      <c r="AJ1401" t="s">
        <v>162</v>
      </c>
      <c r="AK1401" t="s">
        <v>176</v>
      </c>
      <c r="AL1401">
        <v>0</v>
      </c>
      <c r="AM1401" t="s">
        <v>176</v>
      </c>
      <c r="AN1401">
        <v>0</v>
      </c>
    </row>
    <row r="1402" spans="1:40" x14ac:dyDescent="0.15">
      <c r="A1402" s="4" t="str">
        <f>HYPERLINK("https://ibp.a2mac1.com/costing(costing:projects/details/9760/process/12085400)","Process")</f>
        <v>Process</v>
      </c>
      <c r="B1402" t="s">
        <v>318</v>
      </c>
      <c r="C1402">
        <v>12085400</v>
      </c>
      <c r="D1402">
        <v>8416096</v>
      </c>
      <c r="E1402">
        <v>0</v>
      </c>
      <c r="F1402">
        <v>0</v>
      </c>
      <c r="G1402">
        <v>0</v>
      </c>
      <c r="H1402">
        <v>0</v>
      </c>
      <c r="I1402" t="s">
        <v>176</v>
      </c>
      <c r="J1402">
        <v>0</v>
      </c>
      <c r="K1402">
        <v>0</v>
      </c>
      <c r="L1402">
        <v>0.10956947391676893</v>
      </c>
      <c r="M1402">
        <v>0.38349315870869127</v>
      </c>
      <c r="N1402">
        <v>0.38349315870869127</v>
      </c>
      <c r="O1402" t="s">
        <v>177</v>
      </c>
      <c r="P1402">
        <v>0</v>
      </c>
      <c r="Q1402" t="s">
        <v>177</v>
      </c>
      <c r="R1402">
        <v>2.3009589522521474E-2</v>
      </c>
      <c r="S1402" t="s">
        <v>322</v>
      </c>
      <c r="T1402">
        <v>3.8349315870869122E-2</v>
      </c>
      <c r="U1402">
        <v>0.44485206410208183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48</v>
      </c>
      <c r="AB1402">
        <v>1</v>
      </c>
      <c r="AC1402">
        <v>10</v>
      </c>
      <c r="AD1402">
        <v>10.002339939161581</v>
      </c>
      <c r="AE1402">
        <v>126</v>
      </c>
      <c r="AF1402">
        <v>200000</v>
      </c>
      <c r="AG1402">
        <v>16666.666666666668</v>
      </c>
      <c r="AH1402">
        <v>1</v>
      </c>
      <c r="AI1402">
        <v>1</v>
      </c>
      <c r="AJ1402" t="s">
        <v>316</v>
      </c>
      <c r="AK1402" t="s">
        <v>176</v>
      </c>
      <c r="AL1402">
        <v>0</v>
      </c>
      <c r="AM1402" t="s">
        <v>176</v>
      </c>
      <c r="AN1402">
        <v>0</v>
      </c>
    </row>
    <row r="1403" spans="1:40" x14ac:dyDescent="0.15">
      <c r="A1403" s="4" t="str">
        <f>HYPERLINK("https://ibp.a2mac1.com/costing(costing:projects/details/9760/process/12085819)","Automated Process")</f>
        <v>Automated Process</v>
      </c>
      <c r="B1403" t="s">
        <v>8436</v>
      </c>
      <c r="C1403">
        <v>12085819</v>
      </c>
      <c r="D1403">
        <v>8416447</v>
      </c>
      <c r="E1403">
        <v>2.1293160525000001</v>
      </c>
      <c r="F1403">
        <v>0</v>
      </c>
      <c r="G1403">
        <v>0</v>
      </c>
      <c r="H1403">
        <v>1.0801342582105264E-2</v>
      </c>
      <c r="I1403" t="s">
        <v>176</v>
      </c>
      <c r="J1403">
        <v>7.4712843947368421E-2</v>
      </c>
      <c r="K1403">
        <v>2.2148302390294736</v>
      </c>
      <c r="L1403">
        <v>0.55337643049688501</v>
      </c>
      <c r="M1403">
        <v>3.3202585829813098</v>
      </c>
      <c r="N1403">
        <v>5.535088822010783</v>
      </c>
      <c r="O1403" t="s">
        <v>177</v>
      </c>
      <c r="P1403">
        <v>0.13288981434176841</v>
      </c>
      <c r="Q1403" t="s">
        <v>177</v>
      </c>
      <c r="R1403">
        <v>0.19921551497887857</v>
      </c>
      <c r="S1403" t="s">
        <v>178</v>
      </c>
      <c r="T1403">
        <v>0.66421065864129403</v>
      </c>
      <c r="U1403">
        <v>6.5314048099727247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312</v>
      </c>
      <c r="AB1403">
        <v>1</v>
      </c>
      <c r="AC1403">
        <v>0.5</v>
      </c>
      <c r="AD1403">
        <v>0.50345253019720215</v>
      </c>
      <c r="AE1403">
        <v>10800</v>
      </c>
      <c r="AF1403">
        <v>200000</v>
      </c>
      <c r="AG1403">
        <v>16666.666666666668</v>
      </c>
      <c r="AH1403">
        <v>1</v>
      </c>
      <c r="AI1403">
        <v>1</v>
      </c>
      <c r="AJ1403" t="s">
        <v>162</v>
      </c>
      <c r="AK1403" t="s">
        <v>176</v>
      </c>
      <c r="AL1403">
        <v>0</v>
      </c>
      <c r="AM1403" t="s">
        <v>176</v>
      </c>
      <c r="AN1403">
        <v>0</v>
      </c>
    </row>
    <row r="1404" spans="1:40" x14ac:dyDescent="0.15">
      <c r="A1404" s="4" t="str">
        <f>HYPERLINK("https://ibp.a2mac1.com/costing(costing:projects/details/9760/process/12085820)","Automated Process")</f>
        <v>Automated Process</v>
      </c>
      <c r="B1404" t="s">
        <v>8436</v>
      </c>
      <c r="C1404">
        <v>12085820</v>
      </c>
      <c r="D1404">
        <v>8416448</v>
      </c>
      <c r="E1404">
        <v>1.98817983</v>
      </c>
      <c r="F1404">
        <v>0</v>
      </c>
      <c r="G1404">
        <v>0</v>
      </c>
      <c r="H1404">
        <v>1.0085403448421053E-2</v>
      </c>
      <c r="I1404" t="s">
        <v>176</v>
      </c>
      <c r="J1404">
        <v>6.9760695789473678E-2</v>
      </c>
      <c r="K1404">
        <v>2.0680259292378946</v>
      </c>
      <c r="L1404">
        <v>0.55337643049688501</v>
      </c>
      <c r="M1404">
        <v>3.3202585829813098</v>
      </c>
      <c r="N1404">
        <v>5.3882845122192045</v>
      </c>
      <c r="O1404" t="s">
        <v>177</v>
      </c>
      <c r="P1404">
        <v>0.12408155575427368</v>
      </c>
      <c r="Q1404" t="s">
        <v>177</v>
      </c>
      <c r="R1404">
        <v>0.19921551497887857</v>
      </c>
      <c r="S1404" t="s">
        <v>178</v>
      </c>
      <c r="T1404">
        <v>0.64659414146630456</v>
      </c>
      <c r="U1404">
        <v>6.3581757244186612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312</v>
      </c>
      <c r="AB1404">
        <v>1</v>
      </c>
      <c r="AC1404">
        <v>0.5</v>
      </c>
      <c r="AD1404">
        <v>0.50345253019720215</v>
      </c>
      <c r="AE1404">
        <v>10800</v>
      </c>
      <c r="AF1404">
        <v>200000</v>
      </c>
      <c r="AG1404">
        <v>16666.666666666668</v>
      </c>
      <c r="AH1404">
        <v>1</v>
      </c>
      <c r="AI1404">
        <v>1</v>
      </c>
      <c r="AJ1404" t="s">
        <v>162</v>
      </c>
      <c r="AK1404" t="s">
        <v>176</v>
      </c>
      <c r="AL1404">
        <v>0</v>
      </c>
      <c r="AM1404" t="s">
        <v>176</v>
      </c>
      <c r="AN1404">
        <v>0</v>
      </c>
    </row>
    <row r="1405" spans="1:40" x14ac:dyDescent="0.15">
      <c r="A1405" s="4" t="str">
        <f>HYPERLINK("https://ibp.a2mac1.com/costing(costing:projects/details/9760/process/12085401)","Automated Process")</f>
        <v>Automated Process</v>
      </c>
      <c r="B1405" t="s">
        <v>4235</v>
      </c>
      <c r="C1405">
        <v>12085401</v>
      </c>
      <c r="D1405">
        <v>8416102</v>
      </c>
      <c r="E1405">
        <v>0.13834160549999999</v>
      </c>
      <c r="F1405">
        <v>0</v>
      </c>
      <c r="G1405">
        <v>0</v>
      </c>
      <c r="H1405">
        <v>7.0176293115789469E-4</v>
      </c>
      <c r="I1405" t="s">
        <v>176</v>
      </c>
      <c r="J1405">
        <v>4.8540914210526316E-3</v>
      </c>
      <c r="K1405">
        <v>0.14389745985221053</v>
      </c>
      <c r="L1405">
        <v>2.001914354397747E-2</v>
      </c>
      <c r="M1405">
        <v>0.12011486126386482</v>
      </c>
      <c r="N1405">
        <v>0.26401232111607537</v>
      </c>
      <c r="O1405" t="s">
        <v>90</v>
      </c>
      <c r="P1405">
        <v>0</v>
      </c>
      <c r="Q1405" t="s">
        <v>90</v>
      </c>
      <c r="R1405">
        <v>0</v>
      </c>
      <c r="S1405" t="s">
        <v>90</v>
      </c>
      <c r="T1405">
        <v>0</v>
      </c>
      <c r="U1405">
        <v>0.26401232111607537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10</v>
      </c>
      <c r="AB1405">
        <v>1</v>
      </c>
      <c r="AC1405">
        <v>0.5</v>
      </c>
      <c r="AD1405">
        <v>0.50345253019720215</v>
      </c>
      <c r="AE1405">
        <v>10800</v>
      </c>
      <c r="AF1405">
        <v>200000</v>
      </c>
      <c r="AG1405">
        <v>16666.666666666668</v>
      </c>
      <c r="AH1405">
        <v>1</v>
      </c>
      <c r="AI1405">
        <v>1</v>
      </c>
      <c r="AJ1405" t="s">
        <v>162</v>
      </c>
      <c r="AK1405" t="s">
        <v>176</v>
      </c>
      <c r="AL1405">
        <v>0</v>
      </c>
      <c r="AM1405" t="s">
        <v>176</v>
      </c>
      <c r="AN1405">
        <v>0</v>
      </c>
    </row>
    <row r="1406" spans="1:40" x14ac:dyDescent="0.15">
      <c r="A1406" s="4" t="str">
        <f>HYPERLINK("https://ibp.a2mac1.com/costing(costing:projects/details/9760/process/12085402)","Automated Process")</f>
        <v>Automated Process</v>
      </c>
      <c r="B1406" t="s">
        <v>4235</v>
      </c>
      <c r="C1406">
        <v>12085402</v>
      </c>
      <c r="D1406">
        <v>8416103</v>
      </c>
      <c r="E1406">
        <v>0.1405910625</v>
      </c>
      <c r="F1406">
        <v>0</v>
      </c>
      <c r="G1406">
        <v>0</v>
      </c>
      <c r="H1406">
        <v>7.1317371052631584E-4</v>
      </c>
      <c r="I1406" t="s">
        <v>176</v>
      </c>
      <c r="J1406">
        <v>4.933019736842105E-3</v>
      </c>
      <c r="K1406">
        <v>0.14623725594736842</v>
      </c>
      <c r="L1406">
        <v>2.001914354397747E-2</v>
      </c>
      <c r="M1406">
        <v>0.12011486126386482</v>
      </c>
      <c r="N1406">
        <v>0.26635211721123325</v>
      </c>
      <c r="O1406" t="s">
        <v>90</v>
      </c>
      <c r="P1406">
        <v>0</v>
      </c>
      <c r="Q1406" t="s">
        <v>90</v>
      </c>
      <c r="R1406">
        <v>0</v>
      </c>
      <c r="S1406" t="s">
        <v>90</v>
      </c>
      <c r="T1406">
        <v>0</v>
      </c>
      <c r="U1406">
        <v>0.26635211721123325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10</v>
      </c>
      <c r="AB1406">
        <v>1</v>
      </c>
      <c r="AC1406">
        <v>0.5</v>
      </c>
      <c r="AD1406">
        <v>0.50345253019720215</v>
      </c>
      <c r="AE1406">
        <v>10800</v>
      </c>
      <c r="AF1406">
        <v>200000</v>
      </c>
      <c r="AG1406">
        <v>16666.666666666668</v>
      </c>
      <c r="AH1406">
        <v>1</v>
      </c>
      <c r="AI1406">
        <v>1</v>
      </c>
      <c r="AJ1406" t="s">
        <v>162</v>
      </c>
      <c r="AK1406" t="s">
        <v>176</v>
      </c>
      <c r="AL1406">
        <v>0</v>
      </c>
      <c r="AM1406" t="s">
        <v>176</v>
      </c>
      <c r="AN1406">
        <v>0</v>
      </c>
    </row>
    <row r="1407" spans="1:40" x14ac:dyDescent="0.15">
      <c r="A1407" s="4" t="str">
        <f>HYPERLINK("https://ibp.a2mac1.com/costing(costing:projects/details/9760/process/12085404)","Press")</f>
        <v>Press</v>
      </c>
      <c r="C1407">
        <v>12085404</v>
      </c>
      <c r="D1407">
        <v>8416106</v>
      </c>
      <c r="E1407">
        <v>0.60693338690721654</v>
      </c>
      <c r="F1407">
        <v>0</v>
      </c>
      <c r="G1407">
        <v>0</v>
      </c>
      <c r="H1407">
        <v>1.2412198057731959E-2</v>
      </c>
      <c r="I1407" t="s">
        <v>176</v>
      </c>
      <c r="J1407">
        <v>2.1274580412371135E-2</v>
      </c>
      <c r="K1407">
        <v>0.64062016537731958</v>
      </c>
      <c r="L1407">
        <v>5.8566791362683258E-2</v>
      </c>
      <c r="M1407">
        <v>0.35140074817609956</v>
      </c>
      <c r="N1407">
        <v>0.99202091355341915</v>
      </c>
      <c r="O1407" t="s">
        <v>177</v>
      </c>
      <c r="P1407">
        <v>3.8437209922639173E-2</v>
      </c>
      <c r="Q1407" t="s">
        <v>177</v>
      </c>
      <c r="R1407">
        <v>2.1084044890565971E-2</v>
      </c>
      <c r="S1407" t="s">
        <v>178</v>
      </c>
      <c r="T1407">
        <v>0.11904250962641029</v>
      </c>
      <c r="U1407">
        <v>1.1705846779930347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120</v>
      </c>
      <c r="AB1407">
        <v>2</v>
      </c>
      <c r="AC1407">
        <v>1</v>
      </c>
      <c r="AD1407">
        <v>2.001136786813273</v>
      </c>
      <c r="AE1407">
        <v>3600</v>
      </c>
      <c r="AF1407">
        <v>200000</v>
      </c>
      <c r="AG1407">
        <v>16666.666666666668</v>
      </c>
      <c r="AH1407">
        <v>1</v>
      </c>
      <c r="AI1407">
        <v>1</v>
      </c>
      <c r="AJ1407" t="s">
        <v>162</v>
      </c>
      <c r="AK1407" t="s">
        <v>176</v>
      </c>
      <c r="AL1407">
        <v>0</v>
      </c>
      <c r="AM1407" t="s">
        <v>176</v>
      </c>
      <c r="AN1407">
        <v>0</v>
      </c>
    </row>
    <row r="1408" spans="1:40" x14ac:dyDescent="0.15">
      <c r="A1408" s="4" t="str">
        <f>HYPERLINK("https://ibp.a2mac1.com/costing(costing:projects/details/9760/process/12085403)","Steam facility")</f>
        <v>Steam facility</v>
      </c>
      <c r="C1408">
        <v>12085403</v>
      </c>
      <c r="D1408">
        <v>8416106</v>
      </c>
      <c r="E1408">
        <v>0</v>
      </c>
      <c r="F1408">
        <v>0</v>
      </c>
      <c r="G1408">
        <v>0</v>
      </c>
      <c r="H1408">
        <v>0</v>
      </c>
      <c r="I1408" t="s">
        <v>176</v>
      </c>
      <c r="J1408">
        <v>0</v>
      </c>
      <c r="K1408">
        <v>0</v>
      </c>
      <c r="L1408">
        <v>8.0493963050953723E-4</v>
      </c>
      <c r="M1408">
        <v>4.8296377830572236E-3</v>
      </c>
      <c r="N1408">
        <v>4.8296377830572236E-3</v>
      </c>
      <c r="O1408" t="s">
        <v>177</v>
      </c>
      <c r="P1408">
        <v>0</v>
      </c>
      <c r="Q1408" t="s">
        <v>177</v>
      </c>
      <c r="R1408">
        <v>2.8977826698343344E-4</v>
      </c>
      <c r="S1408" t="s">
        <v>178</v>
      </c>
      <c r="T1408">
        <v>5.7955653396686688E-4</v>
      </c>
      <c r="U1408">
        <v>5.6989725840075238E-3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15</v>
      </c>
      <c r="AB1408">
        <v>24</v>
      </c>
      <c r="AC1408">
        <v>1</v>
      </c>
      <c r="AD1408">
        <v>1.0057812623742775</v>
      </c>
      <c r="AE1408">
        <v>3600</v>
      </c>
      <c r="AF1408">
        <v>200000</v>
      </c>
      <c r="AG1408">
        <v>16666.666666666668</v>
      </c>
      <c r="AH1408">
        <v>1</v>
      </c>
      <c r="AI1408">
        <v>1</v>
      </c>
      <c r="AJ1408" t="s">
        <v>162</v>
      </c>
      <c r="AK1408" t="s">
        <v>176</v>
      </c>
      <c r="AL1408">
        <v>0</v>
      </c>
      <c r="AM1408" t="s">
        <v>176</v>
      </c>
      <c r="AN1408">
        <v>0</v>
      </c>
    </row>
    <row r="1409" spans="1:40" x14ac:dyDescent="0.15">
      <c r="A1409" s="4" t="str">
        <f>HYPERLINK("https://ibp.a2mac1.com/costing(costing:projects/details/9760/process/12085406)","Aluminum extrusion")</f>
        <v>Aluminum extrusion</v>
      </c>
      <c r="C1409">
        <v>12085406</v>
      </c>
      <c r="D1409">
        <v>8416107</v>
      </c>
      <c r="E1409">
        <v>12.366450579369197</v>
      </c>
      <c r="F1409">
        <v>0</v>
      </c>
      <c r="G1409">
        <v>0</v>
      </c>
      <c r="H1409">
        <v>2.5898641770143633E-2</v>
      </c>
      <c r="I1409" t="s">
        <v>176</v>
      </c>
      <c r="J1409">
        <v>0.44002546696845979</v>
      </c>
      <c r="K1409">
        <v>12.8323746881078</v>
      </c>
      <c r="L1409">
        <v>8.0546513478161316E-2</v>
      </c>
      <c r="M1409">
        <v>0.48327908086896787</v>
      </c>
      <c r="N1409">
        <v>13.315653768976768</v>
      </c>
      <c r="O1409" t="s">
        <v>177</v>
      </c>
      <c r="P1409">
        <v>0.76994248128646792</v>
      </c>
      <c r="Q1409" t="s">
        <v>177</v>
      </c>
      <c r="R1409">
        <v>2.899674485213807E-2</v>
      </c>
      <c r="S1409" t="s">
        <v>178</v>
      </c>
      <c r="T1409">
        <v>1.597878452277212</v>
      </c>
      <c r="U1409">
        <v>15.712471447392586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5.5601500000000001</v>
      </c>
      <c r="AB1409">
        <v>1</v>
      </c>
      <c r="AC1409">
        <v>0.1</v>
      </c>
      <c r="AD1409">
        <v>0.20557651238448796</v>
      </c>
      <c r="AE1409">
        <v>360</v>
      </c>
      <c r="AF1409">
        <v>200000</v>
      </c>
      <c r="AG1409">
        <v>16666.666666666668</v>
      </c>
      <c r="AH1409">
        <v>1</v>
      </c>
      <c r="AI1409">
        <v>1</v>
      </c>
      <c r="AJ1409" t="s">
        <v>162</v>
      </c>
      <c r="AK1409" t="s">
        <v>176</v>
      </c>
      <c r="AL1409">
        <v>0</v>
      </c>
      <c r="AM1409" t="s">
        <v>176</v>
      </c>
      <c r="AN1409">
        <v>0</v>
      </c>
    </row>
    <row r="1410" spans="1:40" x14ac:dyDescent="0.15">
      <c r="A1410" s="4" t="str">
        <f>HYPERLINK("https://ibp.a2mac1.com/costing(costing:projects/details/9760/process/12085405)","Reinforcement - Aluminum extrusion")</f>
        <v>Reinforcement - Aluminum extrusion</v>
      </c>
      <c r="C1410">
        <v>12085405</v>
      </c>
      <c r="D1410">
        <v>8416107</v>
      </c>
      <c r="E1410">
        <v>0.36330938573196803</v>
      </c>
      <c r="F1410">
        <v>0</v>
      </c>
      <c r="G1410">
        <v>0</v>
      </c>
      <c r="H1410">
        <v>3.7299598055612527E-4</v>
      </c>
      <c r="I1410" t="s">
        <v>176</v>
      </c>
      <c r="J1410">
        <v>1.29256032865984E-2</v>
      </c>
      <c r="K1410">
        <v>0.37660798499912251</v>
      </c>
      <c r="L1410">
        <v>1.3197311554582479E-2</v>
      </c>
      <c r="M1410">
        <v>7.9183869327494882E-2</v>
      </c>
      <c r="N1410">
        <v>0.4557918543266174</v>
      </c>
      <c r="O1410" t="s">
        <v>177</v>
      </c>
      <c r="P1410">
        <v>2.2596479099947352E-2</v>
      </c>
      <c r="Q1410" t="s">
        <v>177</v>
      </c>
      <c r="R1410">
        <v>4.7510321596496924E-3</v>
      </c>
      <c r="S1410" t="s">
        <v>178</v>
      </c>
      <c r="T1410">
        <v>5.4695022519194086E-2</v>
      </c>
      <c r="U1410">
        <v>0.53783438810540851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0.29554000000000002</v>
      </c>
      <c r="AB1410">
        <v>1</v>
      </c>
      <c r="AC1410">
        <v>0.1</v>
      </c>
      <c r="AD1410">
        <v>0.1008980929261446</v>
      </c>
      <c r="AE1410">
        <v>360</v>
      </c>
      <c r="AF1410">
        <v>800000</v>
      </c>
      <c r="AG1410">
        <v>66666.666666666672</v>
      </c>
      <c r="AH1410">
        <v>4</v>
      </c>
      <c r="AI1410">
        <v>1</v>
      </c>
      <c r="AJ1410" t="s">
        <v>162</v>
      </c>
      <c r="AK1410" t="s">
        <v>176</v>
      </c>
      <c r="AL1410">
        <v>0</v>
      </c>
      <c r="AM1410" t="s">
        <v>176</v>
      </c>
      <c r="AN1410">
        <v>0</v>
      </c>
    </row>
    <row r="1411" spans="1:40" x14ac:dyDescent="0.15">
      <c r="A1411" s="4" t="str">
        <f>HYPERLINK("https://ibp.a2mac1.com/costing(costing:projects/details/9760/process/12085409)","Crash Box - Aluminum extrusion")</f>
        <v>Crash Box - Aluminum extrusion</v>
      </c>
      <c r="C1411">
        <v>12085409</v>
      </c>
      <c r="D1411">
        <v>8416108</v>
      </c>
      <c r="E1411">
        <v>3.7336420761973894</v>
      </c>
      <c r="F1411">
        <v>0</v>
      </c>
      <c r="G1411">
        <v>0</v>
      </c>
      <c r="H1411">
        <v>1.1689203619268514E-2</v>
      </c>
      <c r="I1411" t="s">
        <v>176</v>
      </c>
      <c r="J1411">
        <v>0.13283185930986946</v>
      </c>
      <c r="K1411">
        <v>3.8781631391265274</v>
      </c>
      <c r="L1411">
        <v>0.54727051801982995</v>
      </c>
      <c r="M1411">
        <v>3.2836231081189795</v>
      </c>
      <c r="N1411">
        <v>7.1617862472455069</v>
      </c>
      <c r="O1411" t="s">
        <v>177</v>
      </c>
      <c r="P1411">
        <v>0.23268978834759166</v>
      </c>
      <c r="Q1411" t="s">
        <v>177</v>
      </c>
      <c r="R1411">
        <v>0.19701738648713879</v>
      </c>
      <c r="S1411" t="s">
        <v>178</v>
      </c>
      <c r="T1411">
        <v>0.85941434966946084</v>
      </c>
      <c r="U1411">
        <v>8.4509077717496979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27.954820000000002</v>
      </c>
      <c r="AB1411">
        <v>1</v>
      </c>
      <c r="AC1411">
        <v>0.1</v>
      </c>
      <c r="AD1411">
        <v>0.30705427283965386</v>
      </c>
      <c r="AE1411">
        <v>360</v>
      </c>
      <c r="AF1411">
        <v>200000</v>
      </c>
      <c r="AG1411">
        <v>16666.666666666668</v>
      </c>
      <c r="AH1411">
        <v>1</v>
      </c>
      <c r="AI1411">
        <v>1</v>
      </c>
      <c r="AJ1411" t="s">
        <v>162</v>
      </c>
      <c r="AK1411" t="s">
        <v>176</v>
      </c>
      <c r="AL1411">
        <v>0</v>
      </c>
      <c r="AM1411" t="s">
        <v>176</v>
      </c>
      <c r="AN1411">
        <v>0</v>
      </c>
    </row>
    <row r="1412" spans="1:40" x14ac:dyDescent="0.15">
      <c r="A1412" s="4" t="str">
        <f>HYPERLINK("https://ibp.a2mac1.com/costing(costing:projects/details/9760/process/12085408)","Rear Plate - Aluminum extrusion")</f>
        <v>Rear Plate - Aluminum extrusion</v>
      </c>
      <c r="C1412">
        <v>12085408</v>
      </c>
      <c r="D1412">
        <v>8416108</v>
      </c>
      <c r="E1412">
        <v>1.9664623898884523</v>
      </c>
      <c r="F1412">
        <v>0</v>
      </c>
      <c r="G1412">
        <v>0</v>
      </c>
      <c r="H1412">
        <v>4.1178879111003026E-3</v>
      </c>
      <c r="I1412" t="s">
        <v>176</v>
      </c>
      <c r="J1412">
        <v>6.9964114994422621E-2</v>
      </c>
      <c r="K1412">
        <v>2.0405443927939753</v>
      </c>
      <c r="L1412">
        <v>0.12777022887675141</v>
      </c>
      <c r="M1412">
        <v>0.7666213732605085</v>
      </c>
      <c r="N1412">
        <v>2.8071657660544838</v>
      </c>
      <c r="O1412" t="s">
        <v>177</v>
      </c>
      <c r="P1412">
        <v>0.12243266356763852</v>
      </c>
      <c r="Q1412" t="s">
        <v>177</v>
      </c>
      <c r="R1412">
        <v>4.5997282395630508E-2</v>
      </c>
      <c r="S1412" t="s">
        <v>178</v>
      </c>
      <c r="T1412">
        <v>0.33685989192653804</v>
      </c>
      <c r="U1412">
        <v>3.3124556039442909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8.5569100000000002</v>
      </c>
      <c r="AB1412">
        <v>1</v>
      </c>
      <c r="AC1412">
        <v>0.1</v>
      </c>
      <c r="AD1412">
        <v>0.20557651238448796</v>
      </c>
      <c r="AE1412">
        <v>360</v>
      </c>
      <c r="AF1412">
        <v>200000</v>
      </c>
      <c r="AG1412">
        <v>16666.666666666668</v>
      </c>
      <c r="AH1412">
        <v>1</v>
      </c>
      <c r="AI1412">
        <v>1</v>
      </c>
      <c r="AJ1412" t="s">
        <v>162</v>
      </c>
      <c r="AK1412" t="s">
        <v>176</v>
      </c>
      <c r="AL1412">
        <v>0</v>
      </c>
      <c r="AM1412" t="s">
        <v>176</v>
      </c>
      <c r="AN1412">
        <v>0</v>
      </c>
    </row>
    <row r="1413" spans="1:40" x14ac:dyDescent="0.15">
      <c r="A1413" s="4" t="str">
        <f>HYPERLINK("https://ibp.a2mac1.com/costing(costing:projects/details/9760/process/12085407)","Reinforcement - Stamping")</f>
        <v>Reinforcement - Stamping</v>
      </c>
      <c r="C1413">
        <v>12085407</v>
      </c>
      <c r="D1413">
        <v>8416108</v>
      </c>
      <c r="E1413">
        <v>0.34403957699999999</v>
      </c>
      <c r="F1413">
        <v>0</v>
      </c>
      <c r="G1413">
        <v>0</v>
      </c>
      <c r="H1413">
        <v>3.6965954549999998E-4</v>
      </c>
      <c r="I1413" t="s">
        <v>176</v>
      </c>
      <c r="J1413">
        <v>1.280998425E-2</v>
      </c>
      <c r="K1413">
        <v>0.3572192207955</v>
      </c>
      <c r="L1413">
        <v>2.058542150312721E-2</v>
      </c>
      <c r="M1413">
        <v>0.12351252901876325</v>
      </c>
      <c r="N1413">
        <v>0.48073174981426325</v>
      </c>
      <c r="O1413" t="s">
        <v>177</v>
      </c>
      <c r="P1413">
        <v>2.143315324773E-2</v>
      </c>
      <c r="Q1413" t="s">
        <v>177</v>
      </c>
      <c r="R1413">
        <v>7.4107517411257946E-3</v>
      </c>
      <c r="S1413" t="s">
        <v>178</v>
      </c>
      <c r="T1413">
        <v>5.7687809977711592E-2</v>
      </c>
      <c r="U1413">
        <v>0.56726346478083067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1.1208</v>
      </c>
      <c r="AB1413">
        <v>1</v>
      </c>
      <c r="AC1413">
        <v>0.1</v>
      </c>
      <c r="AD1413">
        <v>0.1008980929261446</v>
      </c>
      <c r="AE1413">
        <v>1800</v>
      </c>
      <c r="AF1413">
        <v>400000</v>
      </c>
      <c r="AG1413">
        <v>33333.333333333336</v>
      </c>
      <c r="AH1413">
        <v>2</v>
      </c>
      <c r="AI1413">
        <v>1</v>
      </c>
      <c r="AJ1413" t="s">
        <v>162</v>
      </c>
      <c r="AK1413" t="s">
        <v>176</v>
      </c>
      <c r="AL1413">
        <v>0</v>
      </c>
      <c r="AM1413" t="s">
        <v>176</v>
      </c>
      <c r="AN1413">
        <v>0</v>
      </c>
    </row>
    <row r="1414" spans="1:40" x14ac:dyDescent="0.15">
      <c r="A1414" s="4" t="str">
        <f>HYPERLINK("https://ibp.a2mac1.com/costing(costing:projects/details/9760/process/12085410)","Crash Box - Aluminum extrusion")</f>
        <v>Crash Box - Aluminum extrusion</v>
      </c>
      <c r="C1414">
        <v>12085410</v>
      </c>
      <c r="D1414">
        <v>8416109</v>
      </c>
      <c r="E1414">
        <v>3.7336420761973894</v>
      </c>
      <c r="F1414">
        <v>0</v>
      </c>
      <c r="G1414">
        <v>0</v>
      </c>
      <c r="H1414">
        <v>1.1689203619268514E-2</v>
      </c>
      <c r="I1414" t="s">
        <v>176</v>
      </c>
      <c r="J1414">
        <v>0.13283185930986946</v>
      </c>
      <c r="K1414">
        <v>3.8781631391265274</v>
      </c>
      <c r="L1414">
        <v>0.54727051801982995</v>
      </c>
      <c r="M1414">
        <v>3.2836231081189795</v>
      </c>
      <c r="N1414">
        <v>7.1617862472455069</v>
      </c>
      <c r="O1414" t="s">
        <v>177</v>
      </c>
      <c r="P1414">
        <v>0.23268978834759166</v>
      </c>
      <c r="Q1414" t="s">
        <v>177</v>
      </c>
      <c r="R1414">
        <v>0.19701738648713879</v>
      </c>
      <c r="S1414" t="s">
        <v>178</v>
      </c>
      <c r="T1414">
        <v>0.85941434966946084</v>
      </c>
      <c r="U1414">
        <v>8.4509077717496979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27.954820000000002</v>
      </c>
      <c r="AB1414">
        <v>1</v>
      </c>
      <c r="AC1414">
        <v>0.1</v>
      </c>
      <c r="AD1414">
        <v>0.30705427283965386</v>
      </c>
      <c r="AE1414">
        <v>360</v>
      </c>
      <c r="AF1414">
        <v>200000</v>
      </c>
      <c r="AG1414">
        <v>16666.666666666668</v>
      </c>
      <c r="AH1414">
        <v>1</v>
      </c>
      <c r="AI1414">
        <v>1</v>
      </c>
      <c r="AJ1414" t="s">
        <v>162</v>
      </c>
      <c r="AK1414" t="s">
        <v>176</v>
      </c>
      <c r="AL1414">
        <v>0</v>
      </c>
      <c r="AM1414" t="s">
        <v>176</v>
      </c>
      <c r="AN1414">
        <v>0</v>
      </c>
    </row>
    <row r="1415" spans="1:40" x14ac:dyDescent="0.15">
      <c r="A1415" s="4" t="str">
        <f>HYPERLINK("https://ibp.a2mac1.com/costing(costing:projects/details/9760/process/12085411)","Rear Plate - Aluminum extrusion")</f>
        <v>Rear Plate - Aluminum extrusion</v>
      </c>
      <c r="C1415">
        <v>12085411</v>
      </c>
      <c r="D1415">
        <v>8416109</v>
      </c>
      <c r="E1415">
        <v>1.9664623898884523</v>
      </c>
      <c r="F1415">
        <v>0</v>
      </c>
      <c r="G1415">
        <v>0</v>
      </c>
      <c r="H1415">
        <v>4.1178879111003026E-3</v>
      </c>
      <c r="I1415" t="s">
        <v>176</v>
      </c>
      <c r="J1415">
        <v>6.9964114994422621E-2</v>
      </c>
      <c r="K1415">
        <v>2.0405443927939753</v>
      </c>
      <c r="L1415">
        <v>0.12777022887675141</v>
      </c>
      <c r="M1415">
        <v>0.7666213732605085</v>
      </c>
      <c r="N1415">
        <v>2.8071657660544838</v>
      </c>
      <c r="O1415" t="s">
        <v>177</v>
      </c>
      <c r="P1415">
        <v>0.12243266356763852</v>
      </c>
      <c r="Q1415" t="s">
        <v>177</v>
      </c>
      <c r="R1415">
        <v>4.5997282395630508E-2</v>
      </c>
      <c r="S1415" t="s">
        <v>178</v>
      </c>
      <c r="T1415">
        <v>0.33685989192653804</v>
      </c>
      <c r="U1415">
        <v>3.3124556039442909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8.5569100000000002</v>
      </c>
      <c r="AB1415">
        <v>1</v>
      </c>
      <c r="AC1415">
        <v>0.1</v>
      </c>
      <c r="AD1415">
        <v>0.20557651238448796</v>
      </c>
      <c r="AE1415">
        <v>360</v>
      </c>
      <c r="AF1415">
        <v>200000</v>
      </c>
      <c r="AG1415">
        <v>16666.666666666668</v>
      </c>
      <c r="AH1415">
        <v>1</v>
      </c>
      <c r="AI1415">
        <v>1</v>
      </c>
      <c r="AJ1415" t="s">
        <v>162</v>
      </c>
      <c r="AK1415" t="s">
        <v>176</v>
      </c>
      <c r="AL1415">
        <v>0</v>
      </c>
      <c r="AM1415" t="s">
        <v>176</v>
      </c>
      <c r="AN1415">
        <v>0</v>
      </c>
    </row>
    <row r="1416" spans="1:40" x14ac:dyDescent="0.15">
      <c r="A1416" s="4" t="str">
        <f>HYPERLINK("https://ibp.a2mac1.com/costing(costing:projects/details/9760/process/12085412)","Reinforcement - Stamping")</f>
        <v>Reinforcement - Stamping</v>
      </c>
      <c r="C1416">
        <v>12085412</v>
      </c>
      <c r="D1416">
        <v>8416109</v>
      </c>
      <c r="E1416">
        <v>0.34403957699999999</v>
      </c>
      <c r="F1416">
        <v>0</v>
      </c>
      <c r="G1416">
        <v>0</v>
      </c>
      <c r="H1416">
        <v>3.6965954549999998E-4</v>
      </c>
      <c r="I1416" t="s">
        <v>176</v>
      </c>
      <c r="J1416">
        <v>1.280998425E-2</v>
      </c>
      <c r="K1416">
        <v>0.3572192207955</v>
      </c>
      <c r="L1416">
        <v>2.058542150312721E-2</v>
      </c>
      <c r="M1416">
        <v>0.12351252901876325</v>
      </c>
      <c r="N1416">
        <v>0.48073174981426325</v>
      </c>
      <c r="O1416" t="s">
        <v>177</v>
      </c>
      <c r="P1416">
        <v>2.143315324773E-2</v>
      </c>
      <c r="Q1416" t="s">
        <v>177</v>
      </c>
      <c r="R1416">
        <v>7.4107517411257946E-3</v>
      </c>
      <c r="S1416" t="s">
        <v>178</v>
      </c>
      <c r="T1416">
        <v>5.7687809977711592E-2</v>
      </c>
      <c r="U1416">
        <v>0.56726346478083067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1.1208</v>
      </c>
      <c r="AB1416">
        <v>1</v>
      </c>
      <c r="AC1416">
        <v>0.1</v>
      </c>
      <c r="AD1416">
        <v>0.1008980929261446</v>
      </c>
      <c r="AE1416">
        <v>1800</v>
      </c>
      <c r="AF1416">
        <v>400000</v>
      </c>
      <c r="AG1416">
        <v>33333.333333333336</v>
      </c>
      <c r="AH1416">
        <v>2</v>
      </c>
      <c r="AI1416">
        <v>1</v>
      </c>
      <c r="AJ1416" t="s">
        <v>162</v>
      </c>
      <c r="AK1416" t="s">
        <v>176</v>
      </c>
      <c r="AL1416">
        <v>0</v>
      </c>
      <c r="AM1416" t="s">
        <v>176</v>
      </c>
      <c r="AN1416">
        <v>0</v>
      </c>
    </row>
    <row r="1417" spans="1:40" x14ac:dyDescent="0.15">
      <c r="A1417" s="4" t="str">
        <f>HYPERLINK("https://ibp.a2mac1.com/costing(costing:projects/details/9760/process/12085413)","Automated Process")</f>
        <v>Automated Process</v>
      </c>
      <c r="B1417" t="s">
        <v>4235</v>
      </c>
      <c r="C1417">
        <v>12085413</v>
      </c>
      <c r="D1417">
        <v>8416110</v>
      </c>
      <c r="E1417">
        <v>0.278693625</v>
      </c>
      <c r="F1417">
        <v>0</v>
      </c>
      <c r="G1417">
        <v>0</v>
      </c>
      <c r="H1417">
        <v>1.4053422894736841E-3</v>
      </c>
      <c r="I1417" t="s">
        <v>176</v>
      </c>
      <c r="J1417">
        <v>9.7787236842105264E-3</v>
      </c>
      <c r="K1417">
        <v>0.28987769097368421</v>
      </c>
      <c r="L1417">
        <v>1.8839428075948805E-2</v>
      </c>
      <c r="M1417">
        <v>0.11303656845569283</v>
      </c>
      <c r="N1417">
        <v>0.40291425942937703</v>
      </c>
      <c r="O1417" t="s">
        <v>177</v>
      </c>
      <c r="P1417">
        <v>1.7392661458421051E-2</v>
      </c>
      <c r="Q1417" t="s">
        <v>177</v>
      </c>
      <c r="R1417">
        <v>6.7821941073415697E-3</v>
      </c>
      <c r="S1417" t="s">
        <v>178</v>
      </c>
      <c r="T1417">
        <v>4.8349711131525246E-2</v>
      </c>
      <c r="U1417">
        <v>0.47543882612666494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10</v>
      </c>
      <c r="AB1417">
        <v>1</v>
      </c>
      <c r="AC1417">
        <v>0.5</v>
      </c>
      <c r="AD1417">
        <v>0.50048257265952256</v>
      </c>
      <c r="AE1417">
        <v>10800</v>
      </c>
      <c r="AF1417">
        <v>400000</v>
      </c>
      <c r="AG1417">
        <v>33333.333333333336</v>
      </c>
      <c r="AH1417">
        <v>1</v>
      </c>
      <c r="AI1417">
        <v>1</v>
      </c>
      <c r="AJ1417" t="s">
        <v>162</v>
      </c>
      <c r="AK1417" t="s">
        <v>176</v>
      </c>
      <c r="AL1417">
        <v>0</v>
      </c>
      <c r="AM1417" t="s">
        <v>176</v>
      </c>
      <c r="AN1417">
        <v>0</v>
      </c>
    </row>
    <row r="1418" spans="1:40" x14ac:dyDescent="0.15">
      <c r="A1418" s="4" t="str">
        <f>HYPERLINK("https://ibp.a2mac1.com/costing(costing:projects/details/9760/process/12085414)","Automated Process")</f>
        <v>Automated Process</v>
      </c>
      <c r="B1418" t="s">
        <v>4235</v>
      </c>
      <c r="C1418">
        <v>12085414</v>
      </c>
      <c r="D1418">
        <v>8416111</v>
      </c>
      <c r="E1418">
        <v>0.49593018300000002</v>
      </c>
      <c r="F1418">
        <v>0</v>
      </c>
      <c r="G1418">
        <v>0</v>
      </c>
      <c r="H1418">
        <v>2.5156959658947367E-3</v>
      </c>
      <c r="I1418" t="s">
        <v>176</v>
      </c>
      <c r="J1418">
        <v>1.740105905263158E-2</v>
      </c>
      <c r="K1418">
        <v>0.51584693801852632</v>
      </c>
      <c r="L1418">
        <v>7.6565574225524614E-3</v>
      </c>
      <c r="M1418">
        <v>4.5939344535314765E-2</v>
      </c>
      <c r="N1418">
        <v>0.56178628255384111</v>
      </c>
      <c r="O1418" t="s">
        <v>177</v>
      </c>
      <c r="P1418">
        <v>3.0950816281111578E-2</v>
      </c>
      <c r="Q1418" t="s">
        <v>177</v>
      </c>
      <c r="R1418">
        <v>2.756360672118886E-3</v>
      </c>
      <c r="S1418" t="s">
        <v>178</v>
      </c>
      <c r="T1418">
        <v>6.741435390646093E-2</v>
      </c>
      <c r="U1418">
        <v>0.66290781341353244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</v>
      </c>
      <c r="AC1418">
        <v>0.5</v>
      </c>
      <c r="AD1418">
        <v>0.50345253019720215</v>
      </c>
      <c r="AE1418">
        <v>10800</v>
      </c>
      <c r="AF1418">
        <v>200000</v>
      </c>
      <c r="AG1418">
        <v>16666.666666666668</v>
      </c>
      <c r="AH1418">
        <v>1</v>
      </c>
      <c r="AI1418">
        <v>1</v>
      </c>
      <c r="AJ1418" t="s">
        <v>162</v>
      </c>
      <c r="AK1418" t="s">
        <v>176</v>
      </c>
      <c r="AL1418">
        <v>0</v>
      </c>
      <c r="AM1418" t="s">
        <v>176</v>
      </c>
      <c r="AN1418">
        <v>0</v>
      </c>
    </row>
    <row r="1419" spans="1:40" x14ac:dyDescent="0.15">
      <c r="A1419" s="4" t="str">
        <f>HYPERLINK("https://ibp.a2mac1.com/costing(costing:projects/details/9760/process/12085415)","Automated Process")</f>
        <v>Automated Process</v>
      </c>
      <c r="B1419" t="s">
        <v>4235</v>
      </c>
      <c r="C1419">
        <v>12085415</v>
      </c>
      <c r="D1419">
        <v>8416112</v>
      </c>
      <c r="E1419">
        <v>7.3575116999999995E-2</v>
      </c>
      <c r="F1419">
        <v>0</v>
      </c>
      <c r="G1419">
        <v>0</v>
      </c>
      <c r="H1419">
        <v>3.7101036442105265E-4</v>
      </c>
      <c r="I1419" t="s">
        <v>176</v>
      </c>
      <c r="J1419">
        <v>2.5815830526315789E-3</v>
      </c>
      <c r="K1419">
        <v>7.6527710417052627E-2</v>
      </c>
      <c r="L1419">
        <v>7.1820358551808572E-2</v>
      </c>
      <c r="M1419">
        <v>0.43092215131085138</v>
      </c>
      <c r="N1419">
        <v>0.50744986172790407</v>
      </c>
      <c r="O1419" t="s">
        <v>90</v>
      </c>
      <c r="P1419">
        <v>0</v>
      </c>
      <c r="Q1419" t="s">
        <v>90</v>
      </c>
      <c r="R1419">
        <v>0</v>
      </c>
      <c r="S1419" t="s">
        <v>90</v>
      </c>
      <c r="T1419">
        <v>0</v>
      </c>
      <c r="U1419">
        <v>0.50744986172790407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40</v>
      </c>
      <c r="AB1419">
        <v>1</v>
      </c>
      <c r="AC1419">
        <v>0.5</v>
      </c>
      <c r="AD1419">
        <v>0.50048257265952256</v>
      </c>
      <c r="AE1419">
        <v>10800</v>
      </c>
      <c r="AF1419">
        <v>400000</v>
      </c>
      <c r="AG1419">
        <v>33333.333333333336</v>
      </c>
      <c r="AH1419">
        <v>1</v>
      </c>
      <c r="AI1419">
        <v>1</v>
      </c>
      <c r="AJ1419" t="s">
        <v>162</v>
      </c>
      <c r="AK1419" t="s">
        <v>176</v>
      </c>
      <c r="AL1419">
        <v>0</v>
      </c>
      <c r="AM1419" t="s">
        <v>176</v>
      </c>
      <c r="AN1419">
        <v>0</v>
      </c>
    </row>
    <row r="1420" spans="1:40" x14ac:dyDescent="0.15">
      <c r="A1420" s="4" t="str">
        <f>HYPERLINK("https://ibp.a2mac1.com/costing(costing:projects/details/9760/process/12085416)","Aluminum extrusion")</f>
        <v>Aluminum extrusion</v>
      </c>
      <c r="C1420">
        <v>12085416</v>
      </c>
      <c r="D1420">
        <v>8416113</v>
      </c>
      <c r="E1420">
        <v>3.8673833264500161</v>
      </c>
      <c r="F1420">
        <v>0</v>
      </c>
      <c r="G1420">
        <v>0</v>
      </c>
      <c r="H1420">
        <v>4.0899480758685956E-3</v>
      </c>
      <c r="I1420" t="s">
        <v>176</v>
      </c>
      <c r="J1420">
        <v>0.13764248332250081</v>
      </c>
      <c r="K1420">
        <v>4.0091157578483854</v>
      </c>
      <c r="L1420">
        <v>0.47988933059465005</v>
      </c>
      <c r="M1420">
        <v>2.8793359835679002</v>
      </c>
      <c r="N1420">
        <v>6.8884517414162856</v>
      </c>
      <c r="O1420" t="s">
        <v>177</v>
      </c>
      <c r="P1420">
        <v>0.24054694547090313</v>
      </c>
      <c r="Q1420" t="s">
        <v>177</v>
      </c>
      <c r="R1420">
        <v>0.17276015901407402</v>
      </c>
      <c r="S1420" t="s">
        <v>178</v>
      </c>
      <c r="T1420">
        <v>0.8266142089699543</v>
      </c>
      <c r="U1420">
        <v>8.1283730548712168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3.93174</v>
      </c>
      <c r="AB1420">
        <v>1</v>
      </c>
      <c r="AC1420">
        <v>0.1</v>
      </c>
      <c r="AD1420">
        <v>0.10389195236953569</v>
      </c>
      <c r="AE1420">
        <v>720</v>
      </c>
      <c r="AF1420">
        <v>200000</v>
      </c>
      <c r="AG1420">
        <v>16666.666666666668</v>
      </c>
      <c r="AH1420">
        <v>1</v>
      </c>
      <c r="AI1420">
        <v>1</v>
      </c>
      <c r="AJ1420" t="s">
        <v>162</v>
      </c>
      <c r="AK1420" t="s">
        <v>176</v>
      </c>
      <c r="AL1420">
        <v>0</v>
      </c>
      <c r="AM1420" t="s">
        <v>176</v>
      </c>
      <c r="AN1420">
        <v>0</v>
      </c>
    </row>
    <row r="1421" spans="1:40" x14ac:dyDescent="0.15">
      <c r="A1421" s="4" t="str">
        <f>HYPERLINK("https://ibp.a2mac1.com/costing(costing:projects/details/9760/process/12085417)","Aluminum extrusion")</f>
        <v>Aluminum extrusion</v>
      </c>
      <c r="C1421">
        <v>12085417</v>
      </c>
      <c r="D1421">
        <v>8416114</v>
      </c>
      <c r="E1421">
        <v>0.65786278925173314</v>
      </c>
      <c r="F1421">
        <v>0</v>
      </c>
      <c r="G1421">
        <v>0</v>
      </c>
      <c r="H1421">
        <v>6.7539373706321498E-4</v>
      </c>
      <c r="I1421" t="s">
        <v>176</v>
      </c>
      <c r="J1421">
        <v>2.340473346258666E-2</v>
      </c>
      <c r="K1421">
        <v>0.68194291645138305</v>
      </c>
      <c r="L1421">
        <v>0.10758387815357894</v>
      </c>
      <c r="M1421">
        <v>0.64550326892147358</v>
      </c>
      <c r="N1421">
        <v>1.3274461853728567</v>
      </c>
      <c r="O1421" t="s">
        <v>177</v>
      </c>
      <c r="P1421">
        <v>4.0916574987082982E-2</v>
      </c>
      <c r="Q1421" t="s">
        <v>177</v>
      </c>
      <c r="R1421">
        <v>3.8730196135288414E-2</v>
      </c>
      <c r="S1421" t="s">
        <v>178</v>
      </c>
      <c r="T1421">
        <v>0.15929354224474279</v>
      </c>
      <c r="U1421">
        <v>1.5663864987399709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7.2198599999999997</v>
      </c>
      <c r="AB1421">
        <v>1</v>
      </c>
      <c r="AC1421">
        <v>0.1</v>
      </c>
      <c r="AD1421">
        <v>0.1008980929261446</v>
      </c>
      <c r="AE1421">
        <v>360</v>
      </c>
      <c r="AF1421">
        <v>400000</v>
      </c>
      <c r="AG1421">
        <v>33333.333333333336</v>
      </c>
      <c r="AH1421">
        <v>1</v>
      </c>
      <c r="AI1421">
        <v>1</v>
      </c>
      <c r="AJ1421" t="s">
        <v>162</v>
      </c>
      <c r="AK1421" t="s">
        <v>176</v>
      </c>
      <c r="AL1421">
        <v>0</v>
      </c>
      <c r="AM1421" t="s">
        <v>176</v>
      </c>
      <c r="AN1421">
        <v>0</v>
      </c>
    </row>
    <row r="1422" spans="1:40" x14ac:dyDescent="0.15">
      <c r="A1422" s="4" t="str">
        <f>HYPERLINK("https://ibp.a2mac1.com/costing(costing:projects/details/9760/process/12085418)","Stamping")</f>
        <v>Stamping</v>
      </c>
      <c r="C1422">
        <v>12085418</v>
      </c>
      <c r="D1422">
        <v>8416115</v>
      </c>
      <c r="E1422">
        <v>0.45462372675000001</v>
      </c>
      <c r="F1422">
        <v>0</v>
      </c>
      <c r="G1422">
        <v>0</v>
      </c>
      <c r="H1422">
        <v>4.8847868512500001E-4</v>
      </c>
      <c r="I1422" t="s">
        <v>176</v>
      </c>
      <c r="J1422">
        <v>1.69274791875E-2</v>
      </c>
      <c r="K1422">
        <v>0.47203968462262502</v>
      </c>
      <c r="L1422">
        <v>3.6022332250010046E-3</v>
      </c>
      <c r="M1422">
        <v>2.1613399350006026E-2</v>
      </c>
      <c r="N1422">
        <v>0.49365308397263102</v>
      </c>
      <c r="O1422" t="s">
        <v>177</v>
      </c>
      <c r="P1422">
        <v>2.83223810773575E-2</v>
      </c>
      <c r="Q1422" t="s">
        <v>177</v>
      </c>
      <c r="R1422">
        <v>1.2968039610003616E-3</v>
      </c>
      <c r="S1422" t="s">
        <v>178</v>
      </c>
      <c r="T1422">
        <v>5.9238370076715723E-2</v>
      </c>
      <c r="U1422">
        <v>0.58251063908770462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0.85511000000000004</v>
      </c>
      <c r="AB1422">
        <v>1</v>
      </c>
      <c r="AC1422">
        <v>0.1</v>
      </c>
      <c r="AD1422">
        <v>0.1008980929261446</v>
      </c>
      <c r="AE1422">
        <v>1800</v>
      </c>
      <c r="AF1422">
        <v>400000</v>
      </c>
      <c r="AG1422">
        <v>33333.333333333336</v>
      </c>
      <c r="AH1422">
        <v>1</v>
      </c>
      <c r="AI1422">
        <v>1</v>
      </c>
      <c r="AJ1422" t="s">
        <v>162</v>
      </c>
      <c r="AK1422" t="s">
        <v>176</v>
      </c>
      <c r="AL1422">
        <v>0</v>
      </c>
      <c r="AM1422" t="s">
        <v>176</v>
      </c>
      <c r="AN1422">
        <v>0</v>
      </c>
    </row>
    <row r="1423" spans="1:40" x14ac:dyDescent="0.15">
      <c r="A1423" s="4" t="str">
        <f>HYPERLINK("https://ibp.a2mac1.com/costing(costing:projects/details/9760/process/12085175)","Arc welding")</f>
        <v>Arc welding</v>
      </c>
      <c r="C1423">
        <v>12085175</v>
      </c>
      <c r="D1423">
        <v>8415773</v>
      </c>
      <c r="E1423">
        <v>5.7642288199999996</v>
      </c>
      <c r="F1423">
        <v>0</v>
      </c>
      <c r="G1423">
        <v>0</v>
      </c>
      <c r="H1423">
        <v>1.9021955106000001E-2</v>
      </c>
      <c r="I1423" t="s">
        <v>176</v>
      </c>
      <c r="J1423">
        <v>0.20174800870000001</v>
      </c>
      <c r="K1423">
        <v>5.9849987838059997</v>
      </c>
      <c r="L1423">
        <v>6.1593322002035461E-2</v>
      </c>
      <c r="M1423">
        <v>0.36955993201221277</v>
      </c>
      <c r="N1423">
        <v>6.3545587158182126</v>
      </c>
      <c r="O1423" t="s">
        <v>90</v>
      </c>
      <c r="P1423">
        <v>0</v>
      </c>
      <c r="Q1423" t="s">
        <v>90</v>
      </c>
      <c r="R1423">
        <v>0</v>
      </c>
      <c r="S1423" t="s">
        <v>90</v>
      </c>
      <c r="T1423">
        <v>0</v>
      </c>
      <c r="U1423">
        <v>6.3545587158182126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57</v>
      </c>
      <c r="AB1423">
        <v>1</v>
      </c>
      <c r="AC1423">
        <v>0.1</v>
      </c>
      <c r="AD1423">
        <v>0.32891458187979666</v>
      </c>
      <c r="AE1423">
        <v>1800</v>
      </c>
      <c r="AF1423">
        <v>200000</v>
      </c>
      <c r="AG1423">
        <v>10000</v>
      </c>
      <c r="AH1423">
        <v>1</v>
      </c>
      <c r="AI1423">
        <v>1</v>
      </c>
      <c r="AJ1423" t="s">
        <v>76</v>
      </c>
      <c r="AK1423" t="s">
        <v>176</v>
      </c>
      <c r="AL1423">
        <v>0</v>
      </c>
      <c r="AM1423" t="s">
        <v>176</v>
      </c>
      <c r="AN1423">
        <v>0</v>
      </c>
    </row>
    <row r="1424" spans="1:40" x14ac:dyDescent="0.15">
      <c r="A1424" s="4" t="str">
        <f>HYPERLINK("https://ibp.a2mac1.com/costing(costing:projects/details/9760/process/12085176)","Cleaning")</f>
        <v>Cleaning</v>
      </c>
      <c r="C1424">
        <v>12085176</v>
      </c>
      <c r="D1424">
        <v>8415773</v>
      </c>
      <c r="E1424">
        <v>0</v>
      </c>
      <c r="F1424">
        <v>0</v>
      </c>
      <c r="G1424">
        <v>0</v>
      </c>
      <c r="H1424">
        <v>0</v>
      </c>
      <c r="I1424" t="s">
        <v>176</v>
      </c>
      <c r="J1424">
        <v>0</v>
      </c>
      <c r="K1424">
        <v>0</v>
      </c>
      <c r="L1424">
        <v>1.3101676580783671E-2</v>
      </c>
      <c r="M1424">
        <v>7.8610059484702025E-2</v>
      </c>
      <c r="N1424">
        <v>7.8610059484702025E-2</v>
      </c>
      <c r="O1424" t="s">
        <v>90</v>
      </c>
      <c r="P1424">
        <v>0</v>
      </c>
      <c r="Q1424" t="s">
        <v>90</v>
      </c>
      <c r="R1424">
        <v>0</v>
      </c>
      <c r="S1424" t="s">
        <v>90</v>
      </c>
      <c r="T1424">
        <v>0</v>
      </c>
      <c r="U1424">
        <v>7.8610059484702025E-2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15</v>
      </c>
      <c r="AB1424">
        <v>1</v>
      </c>
      <c r="AC1424">
        <v>0.1</v>
      </c>
      <c r="AD1424">
        <v>0.21951706246258232</v>
      </c>
      <c r="AE1424">
        <v>0</v>
      </c>
      <c r="AF1424">
        <v>200000</v>
      </c>
      <c r="AG1424">
        <v>10000</v>
      </c>
      <c r="AH1424">
        <v>1</v>
      </c>
      <c r="AI1424">
        <v>1</v>
      </c>
      <c r="AJ1424" t="s">
        <v>76</v>
      </c>
      <c r="AK1424" t="s">
        <v>176</v>
      </c>
      <c r="AL1424">
        <v>0</v>
      </c>
      <c r="AM1424" t="s">
        <v>176</v>
      </c>
      <c r="AN1424">
        <v>0</v>
      </c>
    </row>
    <row r="1425" spans="1:40" x14ac:dyDescent="0.15">
      <c r="A1425" s="4" t="str">
        <f>HYPERLINK("https://ibp.a2mac1.com/costing(costing:projects/details/9760/process/12085177)","Visual/Inspection/Packaging")</f>
        <v>Visual/Inspection/Packaging</v>
      </c>
      <c r="C1425">
        <v>12085177</v>
      </c>
      <c r="D1425">
        <v>8415773</v>
      </c>
      <c r="E1425">
        <v>0</v>
      </c>
      <c r="F1425">
        <v>0</v>
      </c>
      <c r="G1425">
        <v>0</v>
      </c>
      <c r="H1425">
        <v>0</v>
      </c>
      <c r="I1425" t="s">
        <v>176</v>
      </c>
      <c r="J1425">
        <v>0</v>
      </c>
      <c r="K1425">
        <v>0</v>
      </c>
      <c r="L1425">
        <v>4.4008029152917258E-3</v>
      </c>
      <c r="M1425">
        <v>2.6404817491750356E-2</v>
      </c>
      <c r="N1425">
        <v>2.6404817491750356E-2</v>
      </c>
      <c r="O1425" t="s">
        <v>90</v>
      </c>
      <c r="P1425">
        <v>0</v>
      </c>
      <c r="Q1425" t="s">
        <v>90</v>
      </c>
      <c r="R1425">
        <v>0</v>
      </c>
      <c r="S1425" t="s">
        <v>90</v>
      </c>
      <c r="T1425">
        <v>0</v>
      </c>
      <c r="U1425">
        <v>2.6404817491750356E-2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15</v>
      </c>
      <c r="AB1425">
        <v>1</v>
      </c>
      <c r="AC1425">
        <v>0.1</v>
      </c>
      <c r="AD1425">
        <v>0.10987913295375087</v>
      </c>
      <c r="AE1425">
        <v>900</v>
      </c>
      <c r="AF1425">
        <v>200000</v>
      </c>
      <c r="AG1425">
        <v>10000</v>
      </c>
      <c r="AH1425">
        <v>1</v>
      </c>
      <c r="AI1425">
        <v>1</v>
      </c>
      <c r="AJ1425" t="s">
        <v>76</v>
      </c>
      <c r="AK1425" t="s">
        <v>176</v>
      </c>
      <c r="AL1425">
        <v>0</v>
      </c>
      <c r="AM1425" t="s">
        <v>176</v>
      </c>
      <c r="AN1425">
        <v>0</v>
      </c>
    </row>
    <row r="1426" spans="1:40" x14ac:dyDescent="0.15">
      <c r="A1426" s="4" t="str">
        <f>HYPERLINK("https://ibp.a2mac1.com/costing(costing:projects/details/9760/process/12085821)","Automated Process")</f>
        <v>Automated Process</v>
      </c>
      <c r="B1426" t="s">
        <v>4235</v>
      </c>
      <c r="C1426">
        <v>12085821</v>
      </c>
      <c r="D1426">
        <v>8416449</v>
      </c>
      <c r="E1426">
        <v>0.12776744400000001</v>
      </c>
      <c r="F1426">
        <v>0</v>
      </c>
      <c r="G1426">
        <v>0</v>
      </c>
      <c r="H1426">
        <v>6.4812357557894737E-4</v>
      </c>
      <c r="I1426" t="s">
        <v>176</v>
      </c>
      <c r="J1426">
        <v>4.4830682105263158E-3</v>
      </c>
      <c r="K1426">
        <v>0.13289863578610525</v>
      </c>
      <c r="L1426">
        <v>1.2954808617448894E-2</v>
      </c>
      <c r="M1426">
        <v>7.7728851704693361E-2</v>
      </c>
      <c r="N1426">
        <v>0.21062748749079863</v>
      </c>
      <c r="O1426" t="s">
        <v>90</v>
      </c>
      <c r="P1426">
        <v>0</v>
      </c>
      <c r="Q1426" t="s">
        <v>90</v>
      </c>
      <c r="R1426">
        <v>0</v>
      </c>
      <c r="S1426" t="s">
        <v>90</v>
      </c>
      <c r="T1426">
        <v>0</v>
      </c>
      <c r="U1426">
        <v>0.21062748749079863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6</v>
      </c>
      <c r="AB1426">
        <v>1</v>
      </c>
      <c r="AC1426">
        <v>0.5</v>
      </c>
      <c r="AD1426">
        <v>0.50345253019720215</v>
      </c>
      <c r="AE1426">
        <v>10800</v>
      </c>
      <c r="AF1426">
        <v>200000</v>
      </c>
      <c r="AG1426">
        <v>16666.666666666668</v>
      </c>
      <c r="AH1426">
        <v>1</v>
      </c>
      <c r="AI1426">
        <v>1</v>
      </c>
      <c r="AJ1426" t="s">
        <v>162</v>
      </c>
      <c r="AK1426" t="s">
        <v>176</v>
      </c>
      <c r="AL1426">
        <v>0</v>
      </c>
      <c r="AM1426" t="s">
        <v>176</v>
      </c>
      <c r="AN1426">
        <v>0</v>
      </c>
    </row>
    <row r="1427" spans="1:40" x14ac:dyDescent="0.15">
      <c r="A1427" s="4" t="str">
        <f>HYPERLINK("https://ibp.a2mac1.com/costing(costing:projects/details/9760/process/12085822)","Automated Process")</f>
        <v>Automated Process</v>
      </c>
      <c r="B1427" t="s">
        <v>4235</v>
      </c>
      <c r="C1427">
        <v>12085822</v>
      </c>
      <c r="D1427">
        <v>8416450</v>
      </c>
      <c r="E1427">
        <v>0.12588851100000001</v>
      </c>
      <c r="F1427">
        <v>0</v>
      </c>
      <c r="G1427">
        <v>0</v>
      </c>
      <c r="H1427">
        <v>6.3859234652631578E-4</v>
      </c>
      <c r="I1427" t="s">
        <v>176</v>
      </c>
      <c r="J1427">
        <v>4.4171407368421055E-3</v>
      </c>
      <c r="K1427">
        <v>0.13094424408336841</v>
      </c>
      <c r="L1427">
        <v>1.2954808617448894E-2</v>
      </c>
      <c r="M1427">
        <v>7.7728851704693361E-2</v>
      </c>
      <c r="N1427">
        <v>0.20867309578806179</v>
      </c>
      <c r="O1427" t="s">
        <v>90</v>
      </c>
      <c r="P1427">
        <v>0</v>
      </c>
      <c r="Q1427" t="s">
        <v>90</v>
      </c>
      <c r="R1427">
        <v>0</v>
      </c>
      <c r="S1427" t="s">
        <v>90</v>
      </c>
      <c r="T1427">
        <v>0</v>
      </c>
      <c r="U1427">
        <v>0.20867309578806179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6</v>
      </c>
      <c r="AB1427">
        <v>1</v>
      </c>
      <c r="AC1427">
        <v>0.5</v>
      </c>
      <c r="AD1427">
        <v>0.50345253019720215</v>
      </c>
      <c r="AE1427">
        <v>10800</v>
      </c>
      <c r="AF1427">
        <v>200000</v>
      </c>
      <c r="AG1427">
        <v>16666.666666666668</v>
      </c>
      <c r="AH1427">
        <v>1</v>
      </c>
      <c r="AI1427">
        <v>1</v>
      </c>
      <c r="AJ1427" t="s">
        <v>162</v>
      </c>
      <c r="AK1427" t="s">
        <v>176</v>
      </c>
      <c r="AL1427">
        <v>0</v>
      </c>
      <c r="AM1427" t="s">
        <v>176</v>
      </c>
      <c r="AN1427">
        <v>0</v>
      </c>
    </row>
    <row r="1428" spans="1:40" x14ac:dyDescent="0.15">
      <c r="A1428" s="4" t="str">
        <f>HYPERLINK("https://ibp.a2mac1.com/costing(costing:projects/details/9760/process/12085823)","Automated Process")</f>
        <v>Automated Process</v>
      </c>
      <c r="B1428" t="s">
        <v>5077</v>
      </c>
      <c r="C1428">
        <v>12085823</v>
      </c>
      <c r="D1428">
        <v>8416451</v>
      </c>
      <c r="E1428">
        <v>0.40397059499999999</v>
      </c>
      <c r="F1428">
        <v>0</v>
      </c>
      <c r="G1428">
        <v>0</v>
      </c>
      <c r="H1428">
        <v>2.0492142463157895E-3</v>
      </c>
      <c r="I1428" t="s">
        <v>176</v>
      </c>
      <c r="J1428">
        <v>1.4174406842105263E-2</v>
      </c>
      <c r="K1428">
        <v>0.42019421608842106</v>
      </c>
      <c r="L1428">
        <v>0.12775025117353825</v>
      </c>
      <c r="M1428">
        <v>0.76650150704122955</v>
      </c>
      <c r="N1428">
        <v>1.1866957231296507</v>
      </c>
      <c r="O1428" t="s">
        <v>90</v>
      </c>
      <c r="P1428">
        <v>0</v>
      </c>
      <c r="Q1428" t="s">
        <v>90</v>
      </c>
      <c r="R1428">
        <v>0</v>
      </c>
      <c r="S1428" t="s">
        <v>90</v>
      </c>
      <c r="T1428">
        <v>0</v>
      </c>
      <c r="U1428">
        <v>1.1866957231296507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71</v>
      </c>
      <c r="AB1428">
        <v>1</v>
      </c>
      <c r="AC1428">
        <v>0.5</v>
      </c>
      <c r="AD1428">
        <v>0.50345253019720215</v>
      </c>
      <c r="AE1428">
        <v>10800</v>
      </c>
      <c r="AF1428">
        <v>200000</v>
      </c>
      <c r="AG1428">
        <v>16666.666666666668</v>
      </c>
      <c r="AH1428">
        <v>1</v>
      </c>
      <c r="AI1428">
        <v>1</v>
      </c>
      <c r="AJ1428" t="s">
        <v>162</v>
      </c>
      <c r="AK1428" t="s">
        <v>176</v>
      </c>
      <c r="AL1428">
        <v>0</v>
      </c>
      <c r="AM1428" t="s">
        <v>176</v>
      </c>
      <c r="AN1428">
        <v>0</v>
      </c>
    </row>
    <row r="1429" spans="1:40" x14ac:dyDescent="0.15">
      <c r="A1429" s="4" t="str">
        <f>HYPERLINK("https://ibp.a2mac1.com/costing(costing:projects/details/9760/process/12085824)","Automated Process")</f>
        <v>Automated Process</v>
      </c>
      <c r="B1429" t="s">
        <v>5077</v>
      </c>
      <c r="C1429">
        <v>12085824</v>
      </c>
      <c r="D1429">
        <v>8416452</v>
      </c>
      <c r="E1429">
        <v>0.40397059499999999</v>
      </c>
      <c r="F1429">
        <v>0</v>
      </c>
      <c r="G1429">
        <v>0</v>
      </c>
      <c r="H1429">
        <v>2.0492142463157895E-3</v>
      </c>
      <c r="I1429" t="s">
        <v>176</v>
      </c>
      <c r="J1429">
        <v>1.4174406842105263E-2</v>
      </c>
      <c r="K1429">
        <v>0.42019421608842106</v>
      </c>
      <c r="L1429">
        <v>0.12775025117353825</v>
      </c>
      <c r="M1429">
        <v>0.76650150704122955</v>
      </c>
      <c r="N1429">
        <v>1.1866957231296507</v>
      </c>
      <c r="O1429" t="s">
        <v>90</v>
      </c>
      <c r="P1429">
        <v>0</v>
      </c>
      <c r="Q1429" t="s">
        <v>90</v>
      </c>
      <c r="R1429">
        <v>0</v>
      </c>
      <c r="S1429" t="s">
        <v>90</v>
      </c>
      <c r="T1429">
        <v>0</v>
      </c>
      <c r="U1429">
        <v>1.1866957231296507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71</v>
      </c>
      <c r="AB1429">
        <v>1</v>
      </c>
      <c r="AC1429">
        <v>0.5</v>
      </c>
      <c r="AD1429">
        <v>0.50345253019720215</v>
      </c>
      <c r="AE1429">
        <v>10800</v>
      </c>
      <c r="AF1429">
        <v>200000</v>
      </c>
      <c r="AG1429">
        <v>16666.666666666668</v>
      </c>
      <c r="AH1429">
        <v>1</v>
      </c>
      <c r="AI1429">
        <v>1</v>
      </c>
      <c r="AJ1429" t="s">
        <v>162</v>
      </c>
      <c r="AK1429" t="s">
        <v>176</v>
      </c>
      <c r="AL1429">
        <v>0</v>
      </c>
      <c r="AM1429" t="s">
        <v>176</v>
      </c>
      <c r="AN1429">
        <v>0</v>
      </c>
    </row>
    <row r="1430" spans="1:40" x14ac:dyDescent="0.15">
      <c r="A1430" s="4" t="str">
        <f>HYPERLINK("https://ibp.a2mac1.com/costing(costing:projects/details/9760/process/12085825)","Automated Process")</f>
        <v>Automated Process</v>
      </c>
      <c r="B1430" t="s">
        <v>4235</v>
      </c>
      <c r="C1430">
        <v>12085825</v>
      </c>
      <c r="D1430">
        <v>8416453</v>
      </c>
      <c r="E1430">
        <v>1.2419747130000001</v>
      </c>
      <c r="F1430">
        <v>0</v>
      </c>
      <c r="G1430">
        <v>0</v>
      </c>
      <c r="H1430">
        <v>6.300142403789474E-3</v>
      </c>
      <c r="I1430" t="s">
        <v>176</v>
      </c>
      <c r="J1430">
        <v>4.3578060105263161E-2</v>
      </c>
      <c r="K1430">
        <v>1.2918529155090526</v>
      </c>
      <c r="L1430">
        <v>0.1012589951990561</v>
      </c>
      <c r="M1430">
        <v>0.60755397119433652</v>
      </c>
      <c r="N1430">
        <v>1.8994068867033891</v>
      </c>
      <c r="O1430" t="s">
        <v>90</v>
      </c>
      <c r="P1430">
        <v>0</v>
      </c>
      <c r="Q1430" t="s">
        <v>90</v>
      </c>
      <c r="R1430">
        <v>0</v>
      </c>
      <c r="S1430" t="s">
        <v>90</v>
      </c>
      <c r="T1430">
        <v>0</v>
      </c>
      <c r="U1430">
        <v>1.8994068867033891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56</v>
      </c>
      <c r="AB1430">
        <v>1</v>
      </c>
      <c r="AC1430">
        <v>0.5</v>
      </c>
      <c r="AD1430">
        <v>0.50345253019720215</v>
      </c>
      <c r="AE1430">
        <v>10800</v>
      </c>
      <c r="AF1430">
        <v>200000</v>
      </c>
      <c r="AG1430">
        <v>16666.666666666668</v>
      </c>
      <c r="AH1430">
        <v>1</v>
      </c>
      <c r="AI1430">
        <v>1</v>
      </c>
      <c r="AJ1430" t="s">
        <v>162</v>
      </c>
      <c r="AK1430" t="s">
        <v>176</v>
      </c>
      <c r="AL1430">
        <v>0</v>
      </c>
      <c r="AM1430" t="s">
        <v>176</v>
      </c>
      <c r="AN1430">
        <v>0</v>
      </c>
    </row>
    <row r="1431" spans="1:40" x14ac:dyDescent="0.15">
      <c r="A1431" s="4" t="str">
        <f>HYPERLINK("https://ibp.a2mac1.com/costing(costing:projects/details/9760/process/12085826)","Automated Process")</f>
        <v>Automated Process</v>
      </c>
      <c r="B1431" t="s">
        <v>4235</v>
      </c>
      <c r="C1431">
        <v>12085826</v>
      </c>
      <c r="D1431">
        <v>8416454</v>
      </c>
      <c r="E1431">
        <v>4.958504187</v>
      </c>
      <c r="F1431">
        <v>0</v>
      </c>
      <c r="G1431">
        <v>0</v>
      </c>
      <c r="H1431">
        <v>2.5152913469894737E-2</v>
      </c>
      <c r="I1431" t="s">
        <v>176</v>
      </c>
      <c r="J1431">
        <v>0.17398260305263158</v>
      </c>
      <c r="K1431">
        <v>5.1576397035225261</v>
      </c>
      <c r="L1431">
        <v>0.39972714584488844</v>
      </c>
      <c r="M1431">
        <v>2.3983628750693304</v>
      </c>
      <c r="N1431">
        <v>7.5560025785918565</v>
      </c>
      <c r="O1431" t="s">
        <v>90</v>
      </c>
      <c r="P1431">
        <v>0</v>
      </c>
      <c r="Q1431" t="s">
        <v>90</v>
      </c>
      <c r="R1431">
        <v>0</v>
      </c>
      <c r="S1431" t="s">
        <v>90</v>
      </c>
      <c r="T1431">
        <v>0</v>
      </c>
      <c r="U1431">
        <v>7.5560025785918565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225</v>
      </c>
      <c r="AB1431">
        <v>1</v>
      </c>
      <c r="AC1431">
        <v>0.5</v>
      </c>
      <c r="AD1431">
        <v>0.50345253019720215</v>
      </c>
      <c r="AE1431">
        <v>10800</v>
      </c>
      <c r="AF1431">
        <v>200000</v>
      </c>
      <c r="AG1431">
        <v>16666.666666666668</v>
      </c>
      <c r="AH1431">
        <v>1</v>
      </c>
      <c r="AI1431">
        <v>1</v>
      </c>
      <c r="AJ1431" t="s">
        <v>162</v>
      </c>
      <c r="AK1431" t="s">
        <v>176</v>
      </c>
      <c r="AL1431">
        <v>0</v>
      </c>
      <c r="AM1431" t="s">
        <v>176</v>
      </c>
      <c r="AN1431">
        <v>0</v>
      </c>
    </row>
    <row r="1432" spans="1:40" x14ac:dyDescent="0.15">
      <c r="A1432" s="4" t="str">
        <f>HYPERLINK("https://ibp.a2mac1.com/costing(costing:projects/details/9760/process/12085419)","Automated Process")</f>
        <v>Automated Process</v>
      </c>
      <c r="B1432" t="s">
        <v>5077</v>
      </c>
      <c r="C1432">
        <v>12085419</v>
      </c>
      <c r="D1432">
        <v>8416116</v>
      </c>
      <c r="E1432">
        <v>2.9355413850000001</v>
      </c>
      <c r="F1432">
        <v>0</v>
      </c>
      <c r="G1432">
        <v>0</v>
      </c>
      <c r="H1432">
        <v>1.4891067075789475E-2</v>
      </c>
      <c r="I1432" t="s">
        <v>176</v>
      </c>
      <c r="J1432">
        <v>0.10300145210526315</v>
      </c>
      <c r="K1432">
        <v>3.0534339041810528</v>
      </c>
      <c r="L1432">
        <v>3.2254611164563189</v>
      </c>
      <c r="M1432">
        <v>19.352766698737913</v>
      </c>
      <c r="N1432">
        <v>22.406200602918965</v>
      </c>
      <c r="O1432" t="s">
        <v>90</v>
      </c>
      <c r="P1432">
        <v>0</v>
      </c>
      <c r="Q1432" t="s">
        <v>90</v>
      </c>
      <c r="R1432">
        <v>0</v>
      </c>
      <c r="S1432" t="s">
        <v>90</v>
      </c>
      <c r="T1432">
        <v>0</v>
      </c>
      <c r="U1432">
        <v>22.406200602918965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1825</v>
      </c>
      <c r="AB1432">
        <v>1</v>
      </c>
      <c r="AC1432">
        <v>0.5</v>
      </c>
      <c r="AD1432">
        <v>0.50345253019720215</v>
      </c>
      <c r="AE1432">
        <v>10800</v>
      </c>
      <c r="AF1432">
        <v>200000</v>
      </c>
      <c r="AG1432">
        <v>16666.666666666668</v>
      </c>
      <c r="AH1432">
        <v>1</v>
      </c>
      <c r="AI1432">
        <v>1</v>
      </c>
      <c r="AJ1432" t="s">
        <v>162</v>
      </c>
      <c r="AK1432" t="s">
        <v>176</v>
      </c>
      <c r="AL1432">
        <v>0</v>
      </c>
      <c r="AM1432" t="s">
        <v>176</v>
      </c>
      <c r="AN1432">
        <v>0</v>
      </c>
    </row>
    <row r="1433" spans="1:40" x14ac:dyDescent="0.15">
      <c r="A1433" s="4" t="str">
        <f>HYPERLINK("https://ibp.a2mac1.com/costing(costing:projects/details/9760/process/12085420)","Process")</f>
        <v>Process</v>
      </c>
      <c r="B1433" t="s">
        <v>318</v>
      </c>
      <c r="C1433">
        <v>12085420</v>
      </c>
      <c r="D1433">
        <v>8416117</v>
      </c>
      <c r="E1433">
        <v>0</v>
      </c>
      <c r="F1433">
        <v>0</v>
      </c>
      <c r="G1433">
        <v>0</v>
      </c>
      <c r="H1433">
        <v>0</v>
      </c>
      <c r="I1433" t="s">
        <v>176</v>
      </c>
      <c r="J1433">
        <v>0</v>
      </c>
      <c r="K1433">
        <v>0</v>
      </c>
      <c r="L1433">
        <v>0.1460859741098498</v>
      </c>
      <c r="M1433">
        <v>0.51130090938447437</v>
      </c>
      <c r="N1433">
        <v>0.51130090938447437</v>
      </c>
      <c r="O1433" t="s">
        <v>177</v>
      </c>
      <c r="P1433">
        <v>0</v>
      </c>
      <c r="Q1433" t="s">
        <v>177</v>
      </c>
      <c r="R1433">
        <v>3.067805456306846E-2</v>
      </c>
      <c r="S1433" t="s">
        <v>322</v>
      </c>
      <c r="T1433">
        <v>5.1130090938447434E-2</v>
      </c>
      <c r="U1433">
        <v>0.59310905488599019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64</v>
      </c>
      <c r="AB1433">
        <v>1</v>
      </c>
      <c r="AC1433">
        <v>10</v>
      </c>
      <c r="AD1433">
        <v>10.002339939161581</v>
      </c>
      <c r="AE1433">
        <v>126</v>
      </c>
      <c r="AF1433">
        <v>200000</v>
      </c>
      <c r="AG1433">
        <v>16666.666666666668</v>
      </c>
      <c r="AH1433">
        <v>1</v>
      </c>
      <c r="AI1433">
        <v>1</v>
      </c>
      <c r="AJ1433" t="s">
        <v>316</v>
      </c>
      <c r="AK1433" t="s">
        <v>176</v>
      </c>
      <c r="AL1433">
        <v>0</v>
      </c>
      <c r="AM1433" t="s">
        <v>176</v>
      </c>
      <c r="AN1433">
        <v>0</v>
      </c>
    </row>
    <row r="1434" spans="1:40" x14ac:dyDescent="0.15">
      <c r="A1434" s="4" t="str">
        <f>HYPERLINK("https://ibp.a2mac1.com/costing(costing:projects/details/9760/process/12085421)","Automated Process")</f>
        <v>Automated Process</v>
      </c>
      <c r="B1434" t="s">
        <v>4235</v>
      </c>
      <c r="C1434">
        <v>12085421</v>
      </c>
      <c r="D1434">
        <v>8416118</v>
      </c>
      <c r="E1434">
        <v>0.223593027</v>
      </c>
      <c r="F1434">
        <v>0</v>
      </c>
      <c r="G1434">
        <v>0</v>
      </c>
      <c r="H1434">
        <v>1.134216257263158E-3</v>
      </c>
      <c r="I1434" t="s">
        <v>176</v>
      </c>
      <c r="J1434">
        <v>7.845369368421052E-3</v>
      </c>
      <c r="K1434">
        <v>0.23257261262568421</v>
      </c>
      <c r="L1434">
        <v>2.1785227275609612E-2</v>
      </c>
      <c r="M1434">
        <v>0.13071136365365768</v>
      </c>
      <c r="N1434">
        <v>0.36328397627934189</v>
      </c>
      <c r="O1434" t="s">
        <v>90</v>
      </c>
      <c r="P1434">
        <v>0</v>
      </c>
      <c r="Q1434" t="s">
        <v>90</v>
      </c>
      <c r="R1434">
        <v>0</v>
      </c>
      <c r="S1434" t="s">
        <v>90</v>
      </c>
      <c r="T1434">
        <v>0</v>
      </c>
      <c r="U1434">
        <v>0.36328397627934189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11</v>
      </c>
      <c r="AB1434">
        <v>1</v>
      </c>
      <c r="AC1434">
        <v>0.5</v>
      </c>
      <c r="AD1434">
        <v>0.50345253019720215</v>
      </c>
      <c r="AE1434">
        <v>10800</v>
      </c>
      <c r="AF1434">
        <v>200000</v>
      </c>
      <c r="AG1434">
        <v>16666.666666666668</v>
      </c>
      <c r="AH1434">
        <v>1</v>
      </c>
      <c r="AI1434">
        <v>1</v>
      </c>
      <c r="AJ1434" t="s">
        <v>162</v>
      </c>
      <c r="AK1434" t="s">
        <v>176</v>
      </c>
      <c r="AL1434">
        <v>0</v>
      </c>
      <c r="AM1434" t="s">
        <v>176</v>
      </c>
      <c r="AN1434">
        <v>0</v>
      </c>
    </row>
    <row r="1435" spans="1:40" x14ac:dyDescent="0.15">
      <c r="A1435" s="4" t="str">
        <f>HYPERLINK("https://ibp.a2mac1.com/costing(costing:projects/details/9760/process/12085422)","Automated Process")</f>
        <v>Automated Process</v>
      </c>
      <c r="B1435" t="s">
        <v>4235</v>
      </c>
      <c r="C1435">
        <v>12085422</v>
      </c>
      <c r="D1435">
        <v>8416119</v>
      </c>
      <c r="E1435">
        <v>0.231108759</v>
      </c>
      <c r="F1435">
        <v>0</v>
      </c>
      <c r="G1435">
        <v>0</v>
      </c>
      <c r="H1435">
        <v>1.1723411734736841E-3</v>
      </c>
      <c r="I1435" t="s">
        <v>176</v>
      </c>
      <c r="J1435">
        <v>8.1090792631578947E-3</v>
      </c>
      <c r="K1435">
        <v>0.24039017943663157</v>
      </c>
      <c r="L1435">
        <v>2.001914354397747E-2</v>
      </c>
      <c r="M1435">
        <v>0.12011486126386482</v>
      </c>
      <c r="N1435">
        <v>0.36050504070049638</v>
      </c>
      <c r="O1435" t="s">
        <v>90</v>
      </c>
      <c r="P1435">
        <v>0</v>
      </c>
      <c r="Q1435" t="s">
        <v>90</v>
      </c>
      <c r="R1435">
        <v>0</v>
      </c>
      <c r="S1435" t="s">
        <v>90</v>
      </c>
      <c r="T1435">
        <v>0</v>
      </c>
      <c r="U1435">
        <v>0.36050504070049638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10</v>
      </c>
      <c r="AB1435">
        <v>1</v>
      </c>
      <c r="AC1435">
        <v>0.5</v>
      </c>
      <c r="AD1435">
        <v>0.50345253019720215</v>
      </c>
      <c r="AE1435">
        <v>10800</v>
      </c>
      <c r="AF1435">
        <v>200000</v>
      </c>
      <c r="AG1435">
        <v>16666.666666666668</v>
      </c>
      <c r="AH1435">
        <v>1</v>
      </c>
      <c r="AI1435">
        <v>1</v>
      </c>
      <c r="AJ1435" t="s">
        <v>162</v>
      </c>
      <c r="AK1435" t="s">
        <v>176</v>
      </c>
      <c r="AL1435">
        <v>0</v>
      </c>
      <c r="AM1435" t="s">
        <v>176</v>
      </c>
      <c r="AN1435">
        <v>0</v>
      </c>
    </row>
    <row r="1436" spans="1:40" x14ac:dyDescent="0.15">
      <c r="A1436" s="4" t="str">
        <f>HYPERLINK("https://ibp.a2mac1.com/costing(costing:projects/details/9760/process/12085423)","Automated Process")</f>
        <v>Automated Process</v>
      </c>
      <c r="B1436" t="s">
        <v>4235</v>
      </c>
      <c r="C1436">
        <v>12085423</v>
      </c>
      <c r="D1436">
        <v>8416122</v>
      </c>
      <c r="E1436">
        <v>0.17628353399999999</v>
      </c>
      <c r="F1436">
        <v>0</v>
      </c>
      <c r="G1436">
        <v>0</v>
      </c>
      <c r="H1436">
        <v>8.9423025768421054E-4</v>
      </c>
      <c r="I1436" t="s">
        <v>176</v>
      </c>
      <c r="J1436">
        <v>6.1853871578947369E-3</v>
      </c>
      <c r="K1436">
        <v>0.18336315141557893</v>
      </c>
      <c r="L1436">
        <v>0.10832333012558466</v>
      </c>
      <c r="M1436">
        <v>0.64993998075350801</v>
      </c>
      <c r="N1436">
        <v>0.83330313216908691</v>
      </c>
      <c r="O1436" t="s">
        <v>177</v>
      </c>
      <c r="P1436">
        <v>1.1001789084934736E-2</v>
      </c>
      <c r="Q1436" t="s">
        <v>177</v>
      </c>
      <c r="R1436">
        <v>3.899639884521048E-2</v>
      </c>
      <c r="S1436" t="s">
        <v>178</v>
      </c>
      <c r="T1436">
        <v>9.9996375860290435E-2</v>
      </c>
      <c r="U1436">
        <v>0.98329769595952266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60</v>
      </c>
      <c r="AB1436">
        <v>1</v>
      </c>
      <c r="AC1436">
        <v>0.5</v>
      </c>
      <c r="AD1436">
        <v>0.50345253019720215</v>
      </c>
      <c r="AE1436">
        <v>10800</v>
      </c>
      <c r="AF1436">
        <v>200000</v>
      </c>
      <c r="AG1436">
        <v>16666.666666666668</v>
      </c>
      <c r="AH1436">
        <v>1</v>
      </c>
      <c r="AI1436">
        <v>1</v>
      </c>
      <c r="AJ1436" t="s">
        <v>162</v>
      </c>
      <c r="AK1436" t="s">
        <v>176</v>
      </c>
      <c r="AL1436">
        <v>0</v>
      </c>
      <c r="AM1436" t="s">
        <v>176</v>
      </c>
      <c r="AN1436">
        <v>0</v>
      </c>
    </row>
    <row r="1437" spans="1:40" x14ac:dyDescent="0.15">
      <c r="A1437" s="4" t="str">
        <f>HYPERLINK("https://ibp.a2mac1.com/costing(costing:projects/details/9760/process/12085424)","Automated Process")</f>
        <v>Automated Process</v>
      </c>
      <c r="B1437" t="s">
        <v>4235</v>
      </c>
      <c r="C1437">
        <v>12085424</v>
      </c>
      <c r="D1437">
        <v>8416123</v>
      </c>
      <c r="E1437">
        <v>0.17415963600000001</v>
      </c>
      <c r="F1437">
        <v>0</v>
      </c>
      <c r="G1437">
        <v>0</v>
      </c>
      <c r="H1437">
        <v>8.8345639915789469E-4</v>
      </c>
      <c r="I1437" t="s">
        <v>176</v>
      </c>
      <c r="J1437">
        <v>6.1108644210526317E-3</v>
      </c>
      <c r="K1437">
        <v>0.18115395682021052</v>
      </c>
      <c r="L1437">
        <v>2.7083478470506045E-2</v>
      </c>
      <c r="M1437">
        <v>0.16250087082303627</v>
      </c>
      <c r="N1437">
        <v>0.34365482764324679</v>
      </c>
      <c r="O1437" t="s">
        <v>177</v>
      </c>
      <c r="P1437">
        <v>1.0869237409212631E-2</v>
      </c>
      <c r="Q1437" t="s">
        <v>177</v>
      </c>
      <c r="R1437">
        <v>9.7500522493821767E-3</v>
      </c>
      <c r="S1437" t="s">
        <v>178</v>
      </c>
      <c r="T1437">
        <v>4.1238579317189619E-2</v>
      </c>
      <c r="U1437">
        <v>0.40551269661903122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14</v>
      </c>
      <c r="AB1437">
        <v>1</v>
      </c>
      <c r="AC1437">
        <v>0.5</v>
      </c>
      <c r="AD1437">
        <v>0.50345253019720215</v>
      </c>
      <c r="AE1437">
        <v>10800</v>
      </c>
      <c r="AF1437">
        <v>200000</v>
      </c>
      <c r="AG1437">
        <v>16666.666666666668</v>
      </c>
      <c r="AH1437">
        <v>1</v>
      </c>
      <c r="AI1437">
        <v>1</v>
      </c>
      <c r="AJ1437" t="s">
        <v>162</v>
      </c>
      <c r="AK1437" t="s">
        <v>176</v>
      </c>
      <c r="AL1437">
        <v>0</v>
      </c>
      <c r="AM1437" t="s">
        <v>176</v>
      </c>
      <c r="AN1437">
        <v>0</v>
      </c>
    </row>
    <row r="1438" spans="1:40" x14ac:dyDescent="0.15">
      <c r="A1438" s="4" t="str">
        <f>HYPERLINK("https://ibp.a2mac1.com/costing(costing:projects/details/9760/process/12085425)","Automated Process")</f>
        <v>Automated Process</v>
      </c>
      <c r="B1438" t="s">
        <v>4235</v>
      </c>
      <c r="C1438">
        <v>12085425</v>
      </c>
      <c r="D1438">
        <v>8416124</v>
      </c>
      <c r="E1438">
        <v>0.21769954499999999</v>
      </c>
      <c r="F1438">
        <v>0</v>
      </c>
      <c r="G1438">
        <v>0</v>
      </c>
      <c r="H1438">
        <v>1.1043204989473684E-3</v>
      </c>
      <c r="I1438" t="s">
        <v>176</v>
      </c>
      <c r="J1438">
        <v>7.6385805263157894E-3</v>
      </c>
      <c r="K1438">
        <v>0.22644244602526314</v>
      </c>
      <c r="L1438">
        <v>3.2381729665402474E-2</v>
      </c>
      <c r="M1438">
        <v>0.19429037799241486</v>
      </c>
      <c r="N1438">
        <v>0.42073282401767803</v>
      </c>
      <c r="O1438" t="s">
        <v>177</v>
      </c>
      <c r="P1438">
        <v>1.3586546761515789E-2</v>
      </c>
      <c r="Q1438" t="s">
        <v>177</v>
      </c>
      <c r="R1438">
        <v>1.1657422679544891E-2</v>
      </c>
      <c r="S1438" t="s">
        <v>178</v>
      </c>
      <c r="T1438">
        <v>5.0487938882121365E-2</v>
      </c>
      <c r="U1438">
        <v>0.49646473234086008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17</v>
      </c>
      <c r="AB1438">
        <v>1</v>
      </c>
      <c r="AC1438">
        <v>0.5</v>
      </c>
      <c r="AD1438">
        <v>0.50345253019720215</v>
      </c>
      <c r="AE1438">
        <v>10800</v>
      </c>
      <c r="AF1438">
        <v>200000</v>
      </c>
      <c r="AG1438">
        <v>16666.666666666668</v>
      </c>
      <c r="AH1438">
        <v>1</v>
      </c>
      <c r="AI1438">
        <v>1</v>
      </c>
      <c r="AJ1438" t="s">
        <v>162</v>
      </c>
      <c r="AK1438" t="s">
        <v>176</v>
      </c>
      <c r="AL1438">
        <v>0</v>
      </c>
      <c r="AM1438" t="s">
        <v>176</v>
      </c>
      <c r="AN1438">
        <v>0</v>
      </c>
    </row>
    <row r="1439" spans="1:40" x14ac:dyDescent="0.15">
      <c r="A1439" s="4" t="str">
        <f>HYPERLINK("https://ibp.a2mac1.com/costing(costing:projects/details/9760/process/12085426)","Automated Process")</f>
        <v>Automated Process</v>
      </c>
      <c r="B1439" t="s">
        <v>4235</v>
      </c>
      <c r="C1439">
        <v>12085426</v>
      </c>
      <c r="D1439">
        <v>8416125</v>
      </c>
      <c r="E1439">
        <v>0.33982368000000002</v>
      </c>
      <c r="F1439">
        <v>0</v>
      </c>
      <c r="G1439">
        <v>0</v>
      </c>
      <c r="H1439">
        <v>1.7238173642105264E-3</v>
      </c>
      <c r="I1439" t="s">
        <v>176</v>
      </c>
      <c r="J1439">
        <v>1.1923637894736843E-2</v>
      </c>
      <c r="K1439">
        <v>0.35347113525894736</v>
      </c>
      <c r="L1439">
        <v>4.8276483250091776E-2</v>
      </c>
      <c r="M1439">
        <v>0.28965889950055063</v>
      </c>
      <c r="N1439">
        <v>0.64313003475949804</v>
      </c>
      <c r="O1439" t="s">
        <v>177</v>
      </c>
      <c r="P1439">
        <v>2.1208268115536843E-2</v>
      </c>
      <c r="Q1439" t="s">
        <v>177</v>
      </c>
      <c r="R1439">
        <v>1.7379533970033039E-2</v>
      </c>
      <c r="S1439" t="s">
        <v>178</v>
      </c>
      <c r="T1439">
        <v>7.7175604171139764E-2</v>
      </c>
      <c r="U1439">
        <v>0.7588934410162077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26</v>
      </c>
      <c r="AB1439">
        <v>1</v>
      </c>
      <c r="AC1439">
        <v>0.5</v>
      </c>
      <c r="AD1439">
        <v>0.50345253019720215</v>
      </c>
      <c r="AE1439">
        <v>10800</v>
      </c>
      <c r="AF1439">
        <v>200000</v>
      </c>
      <c r="AG1439">
        <v>16666.666666666668</v>
      </c>
      <c r="AH1439">
        <v>1</v>
      </c>
      <c r="AI1439">
        <v>1</v>
      </c>
      <c r="AJ1439" t="s">
        <v>162</v>
      </c>
      <c r="AK1439" t="s">
        <v>176</v>
      </c>
      <c r="AL1439">
        <v>0</v>
      </c>
      <c r="AM1439" t="s">
        <v>176</v>
      </c>
      <c r="AN1439">
        <v>0</v>
      </c>
    </row>
    <row r="1440" spans="1:40" x14ac:dyDescent="0.15">
      <c r="A1440" s="4" t="str">
        <f>HYPERLINK("https://ibp.a2mac1.com/costing(costing:projects/details/9760/process/12085427)","Automated Process")</f>
        <v>Automated Process</v>
      </c>
      <c r="B1440" t="s">
        <v>4235</v>
      </c>
      <c r="C1440">
        <v>12085427</v>
      </c>
      <c r="D1440">
        <v>8416126</v>
      </c>
      <c r="E1440">
        <v>0.34194757799999997</v>
      </c>
      <c r="F1440">
        <v>0</v>
      </c>
      <c r="G1440">
        <v>0</v>
      </c>
      <c r="H1440">
        <v>1.7345912227368422E-3</v>
      </c>
      <c r="I1440" t="s">
        <v>176</v>
      </c>
      <c r="J1440">
        <v>1.1998160631578948E-2</v>
      </c>
      <c r="K1440">
        <v>0.3556803298543158</v>
      </c>
      <c r="L1440">
        <v>5.0042566981723914E-2</v>
      </c>
      <c r="M1440">
        <v>0.3002554018903435</v>
      </c>
      <c r="N1440">
        <v>0.65593573174465925</v>
      </c>
      <c r="O1440" t="s">
        <v>90</v>
      </c>
      <c r="P1440">
        <v>0</v>
      </c>
      <c r="Q1440" t="s">
        <v>90</v>
      </c>
      <c r="R1440">
        <v>0</v>
      </c>
      <c r="S1440" t="s">
        <v>90</v>
      </c>
      <c r="T1440">
        <v>0</v>
      </c>
      <c r="U1440">
        <v>0.65593573174465925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27</v>
      </c>
      <c r="AB1440">
        <v>1</v>
      </c>
      <c r="AC1440">
        <v>0.5</v>
      </c>
      <c r="AD1440">
        <v>0.50345253019720215</v>
      </c>
      <c r="AE1440">
        <v>10800</v>
      </c>
      <c r="AF1440">
        <v>200000</v>
      </c>
      <c r="AG1440">
        <v>16666.666666666668</v>
      </c>
      <c r="AH1440">
        <v>1</v>
      </c>
      <c r="AI1440">
        <v>1</v>
      </c>
      <c r="AJ1440" t="s">
        <v>162</v>
      </c>
      <c r="AK1440" t="s">
        <v>176</v>
      </c>
      <c r="AL1440">
        <v>0</v>
      </c>
      <c r="AM1440" t="s">
        <v>176</v>
      </c>
      <c r="AN1440">
        <v>0</v>
      </c>
    </row>
    <row r="1441" spans="1:40" x14ac:dyDescent="0.15">
      <c r="A1441" s="4" t="str">
        <f>HYPERLINK("https://ibp.a2mac1.com/costing(costing:projects/details/9760/process/12085827)","Automated Process")</f>
        <v>Automated Process</v>
      </c>
      <c r="B1441" t="s">
        <v>8436</v>
      </c>
      <c r="C1441">
        <v>12085827</v>
      </c>
      <c r="D1441">
        <v>8416455</v>
      </c>
      <c r="E1441">
        <v>1.8143163675</v>
      </c>
      <c r="F1441">
        <v>0</v>
      </c>
      <c r="G1441">
        <v>0</v>
      </c>
      <c r="H1441">
        <v>9.2034494431578948E-3</v>
      </c>
      <c r="I1441" t="s">
        <v>176</v>
      </c>
      <c r="J1441">
        <v>6.3660223421052625E-2</v>
      </c>
      <c r="K1441">
        <v>1.8871800403642105</v>
      </c>
      <c r="L1441">
        <v>0.64521278454175646</v>
      </c>
      <c r="M1441">
        <v>3.8712767072505385</v>
      </c>
      <c r="N1441">
        <v>5.7584567476147495</v>
      </c>
      <c r="O1441" t="s">
        <v>177</v>
      </c>
      <c r="P1441">
        <v>0.11323080242185263</v>
      </c>
      <c r="Q1441" t="s">
        <v>177</v>
      </c>
      <c r="R1441">
        <v>0.23227660243503231</v>
      </c>
      <c r="S1441" t="s">
        <v>178</v>
      </c>
      <c r="T1441">
        <v>0.69101480971376994</v>
      </c>
      <c r="U1441">
        <v>6.7949789621854038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364</v>
      </c>
      <c r="AB1441">
        <v>1</v>
      </c>
      <c r="AC1441">
        <v>0.5</v>
      </c>
      <c r="AD1441">
        <v>0.50345253019720215</v>
      </c>
      <c r="AE1441">
        <v>10800</v>
      </c>
      <c r="AF1441">
        <v>200000</v>
      </c>
      <c r="AG1441">
        <v>16666.666666666668</v>
      </c>
      <c r="AH1441">
        <v>1</v>
      </c>
      <c r="AI1441">
        <v>1</v>
      </c>
      <c r="AJ1441" t="s">
        <v>162</v>
      </c>
      <c r="AK1441" t="s">
        <v>176</v>
      </c>
      <c r="AL1441">
        <v>0</v>
      </c>
      <c r="AM1441" t="s">
        <v>176</v>
      </c>
      <c r="AN1441">
        <v>0</v>
      </c>
    </row>
    <row r="1442" spans="1:40" x14ac:dyDescent="0.15">
      <c r="A1442" s="4" t="str">
        <f>HYPERLINK("https://ibp.a2mac1.com/costing(costing:projects/details/9760/process/12085828)","Automated Process")</f>
        <v>Automated Process</v>
      </c>
      <c r="B1442" t="s">
        <v>8436</v>
      </c>
      <c r="C1442">
        <v>12085828</v>
      </c>
      <c r="D1442">
        <v>8416456</v>
      </c>
      <c r="E1442">
        <v>1.7999982000000001</v>
      </c>
      <c r="F1442">
        <v>0</v>
      </c>
      <c r="G1442">
        <v>0</v>
      </c>
      <c r="H1442">
        <v>9.130817936842105E-3</v>
      </c>
      <c r="I1442" t="s">
        <v>176</v>
      </c>
      <c r="J1442">
        <v>6.3157831578947374E-2</v>
      </c>
      <c r="K1442">
        <v>1.8722868495157894</v>
      </c>
      <c r="L1442">
        <v>0.64521278454175646</v>
      </c>
      <c r="M1442">
        <v>3.8712767072505385</v>
      </c>
      <c r="N1442">
        <v>5.7435635567663281</v>
      </c>
      <c r="O1442" t="s">
        <v>177</v>
      </c>
      <c r="P1442">
        <v>0.11233721097094737</v>
      </c>
      <c r="Q1442" t="s">
        <v>177</v>
      </c>
      <c r="R1442">
        <v>0.23227660243503231</v>
      </c>
      <c r="S1442" t="s">
        <v>178</v>
      </c>
      <c r="T1442">
        <v>0.68922762681195937</v>
      </c>
      <c r="U1442">
        <v>6.7774049969842673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364</v>
      </c>
      <c r="AB1442">
        <v>1</v>
      </c>
      <c r="AC1442">
        <v>0.5</v>
      </c>
      <c r="AD1442">
        <v>0.50345253019720215</v>
      </c>
      <c r="AE1442">
        <v>10800</v>
      </c>
      <c r="AF1442">
        <v>200000</v>
      </c>
      <c r="AG1442">
        <v>16666.666666666668</v>
      </c>
      <c r="AH1442">
        <v>1</v>
      </c>
      <c r="AI1442">
        <v>1</v>
      </c>
      <c r="AJ1442" t="s">
        <v>162</v>
      </c>
      <c r="AK1442" t="s">
        <v>176</v>
      </c>
      <c r="AL1442">
        <v>0</v>
      </c>
      <c r="AM1442" t="s">
        <v>176</v>
      </c>
      <c r="AN1442">
        <v>0</v>
      </c>
    </row>
    <row r="1443" spans="1:40" x14ac:dyDescent="0.15">
      <c r="A1443" s="4" t="str">
        <f>HYPERLINK("https://ibp.a2mac1.com/costing(costing:projects/details/9760/process/12085428)","Automated Process")</f>
        <v>Automated Process</v>
      </c>
      <c r="B1443" t="s">
        <v>4235</v>
      </c>
      <c r="C1443">
        <v>12085428</v>
      </c>
      <c r="D1443">
        <v>8416127</v>
      </c>
      <c r="E1443">
        <v>0.25039491749999998</v>
      </c>
      <c r="F1443">
        <v>0</v>
      </c>
      <c r="G1443">
        <v>0</v>
      </c>
      <c r="H1443">
        <v>1.2701737168421053E-3</v>
      </c>
      <c r="I1443" t="s">
        <v>176</v>
      </c>
      <c r="J1443">
        <v>8.7857865789473678E-3</v>
      </c>
      <c r="K1443">
        <v>0.26045087779578946</v>
      </c>
      <c r="L1443">
        <v>2.1785227275609612E-2</v>
      </c>
      <c r="M1443">
        <v>0.13071136365365768</v>
      </c>
      <c r="N1443">
        <v>0.39116224144944717</v>
      </c>
      <c r="O1443" t="s">
        <v>177</v>
      </c>
      <c r="P1443">
        <v>1.5627052667747367E-2</v>
      </c>
      <c r="Q1443" t="s">
        <v>177</v>
      </c>
      <c r="R1443">
        <v>7.8426818192194603E-3</v>
      </c>
      <c r="S1443" t="s">
        <v>178</v>
      </c>
      <c r="T1443">
        <v>4.6939468973933661E-2</v>
      </c>
      <c r="U1443">
        <v>0.46157144491034763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11</v>
      </c>
      <c r="AB1443">
        <v>1</v>
      </c>
      <c r="AC1443">
        <v>0.5</v>
      </c>
      <c r="AD1443">
        <v>0.50345253019720215</v>
      </c>
      <c r="AE1443">
        <v>10800</v>
      </c>
      <c r="AF1443">
        <v>200000</v>
      </c>
      <c r="AG1443">
        <v>16666.666666666668</v>
      </c>
      <c r="AH1443">
        <v>1</v>
      </c>
      <c r="AI1443">
        <v>1</v>
      </c>
      <c r="AJ1443" t="s">
        <v>162</v>
      </c>
      <c r="AK1443" t="s">
        <v>176</v>
      </c>
      <c r="AL1443">
        <v>0</v>
      </c>
      <c r="AM1443" t="s">
        <v>176</v>
      </c>
      <c r="AN1443">
        <v>0</v>
      </c>
    </row>
    <row r="1444" spans="1:40" x14ac:dyDescent="0.15">
      <c r="A1444" s="4" t="str">
        <f>HYPERLINK("https://ibp.a2mac1.com/costing(costing:projects/details/9760/process/12085429)","Automated Process")</f>
        <v>Automated Process</v>
      </c>
      <c r="B1444" t="s">
        <v>4235</v>
      </c>
      <c r="C1444">
        <v>12085429</v>
      </c>
      <c r="D1444">
        <v>8416128</v>
      </c>
      <c r="E1444">
        <v>0.24654268800000001</v>
      </c>
      <c r="F1444">
        <v>0</v>
      </c>
      <c r="G1444">
        <v>0</v>
      </c>
      <c r="H1444">
        <v>1.2506325827368421E-3</v>
      </c>
      <c r="I1444" t="s">
        <v>176</v>
      </c>
      <c r="J1444">
        <v>8.6506206315789466E-3</v>
      </c>
      <c r="K1444">
        <v>0.2564439412143158</v>
      </c>
      <c r="L1444">
        <v>2.1785227275609612E-2</v>
      </c>
      <c r="M1444">
        <v>0.13071136365365768</v>
      </c>
      <c r="N1444">
        <v>0.38715530486797345</v>
      </c>
      <c r="O1444" t="s">
        <v>90</v>
      </c>
      <c r="P1444">
        <v>0</v>
      </c>
      <c r="Q1444" t="s">
        <v>90</v>
      </c>
      <c r="R1444">
        <v>0</v>
      </c>
      <c r="S1444" t="s">
        <v>90</v>
      </c>
      <c r="T1444">
        <v>0</v>
      </c>
      <c r="U1444">
        <v>0.38715530486797345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11</v>
      </c>
      <c r="AB1444">
        <v>1</v>
      </c>
      <c r="AC1444">
        <v>0.5</v>
      </c>
      <c r="AD1444">
        <v>0.50345253019720215</v>
      </c>
      <c r="AE1444">
        <v>10800</v>
      </c>
      <c r="AF1444">
        <v>200000</v>
      </c>
      <c r="AG1444">
        <v>16666.666666666668</v>
      </c>
      <c r="AH1444">
        <v>1</v>
      </c>
      <c r="AI1444">
        <v>1</v>
      </c>
      <c r="AJ1444" t="s">
        <v>162</v>
      </c>
      <c r="AK1444" t="s">
        <v>176</v>
      </c>
      <c r="AL1444">
        <v>0</v>
      </c>
      <c r="AM1444" t="s">
        <v>176</v>
      </c>
      <c r="AN1444">
        <v>0</v>
      </c>
    </row>
    <row r="1445" spans="1:40" x14ac:dyDescent="0.15">
      <c r="A1445" s="4" t="str">
        <f>HYPERLINK("https://ibp.a2mac1.com/costing(costing:projects/details/9760/process/12085430)","Process")</f>
        <v>Process</v>
      </c>
      <c r="C1445">
        <v>12085430</v>
      </c>
      <c r="D1445">
        <v>8416131</v>
      </c>
      <c r="E1445">
        <v>0</v>
      </c>
      <c r="F1445">
        <v>0</v>
      </c>
      <c r="G1445">
        <v>0</v>
      </c>
      <c r="H1445">
        <v>0</v>
      </c>
      <c r="I1445" t="s">
        <v>176</v>
      </c>
      <c r="J1445">
        <v>0</v>
      </c>
      <c r="K1445">
        <v>0</v>
      </c>
      <c r="L1445">
        <v>1.636904829859581</v>
      </c>
      <c r="M1445">
        <v>5.7291669045085332</v>
      </c>
      <c r="N1445">
        <v>5.7291669045085332</v>
      </c>
      <c r="O1445" t="s">
        <v>90</v>
      </c>
      <c r="P1445">
        <v>0</v>
      </c>
      <c r="Q1445" t="s">
        <v>90</v>
      </c>
      <c r="R1445">
        <v>0</v>
      </c>
      <c r="S1445" t="s">
        <v>90</v>
      </c>
      <c r="T1445">
        <v>0</v>
      </c>
      <c r="U1445">
        <v>5.7291669045085332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751</v>
      </c>
      <c r="AB1445">
        <v>1</v>
      </c>
      <c r="AC1445">
        <v>0.5</v>
      </c>
      <c r="AD1445">
        <v>0.50741219779126456</v>
      </c>
      <c r="AE1445">
        <v>216</v>
      </c>
      <c r="AF1445">
        <v>200000</v>
      </c>
      <c r="AG1445">
        <v>10000</v>
      </c>
      <c r="AH1445">
        <v>1</v>
      </c>
      <c r="AI1445">
        <v>1</v>
      </c>
      <c r="AJ1445" t="s">
        <v>76</v>
      </c>
      <c r="AK1445" t="s">
        <v>176</v>
      </c>
      <c r="AL1445">
        <v>0</v>
      </c>
      <c r="AM1445" t="s">
        <v>176</v>
      </c>
      <c r="AN1445">
        <v>0</v>
      </c>
    </row>
    <row r="1446" spans="1:40" x14ac:dyDescent="0.15">
      <c r="A1446" s="4" t="str">
        <f>HYPERLINK("https://ibp.a2mac1.com/costing(costing:projects/details/9760/process/12085431)","Process")</f>
        <v>Process</v>
      </c>
      <c r="C1446">
        <v>12085431</v>
      </c>
      <c r="D1446">
        <v>8416132</v>
      </c>
      <c r="E1446">
        <v>0</v>
      </c>
      <c r="F1446">
        <v>0</v>
      </c>
      <c r="G1446">
        <v>0</v>
      </c>
      <c r="H1446">
        <v>0</v>
      </c>
      <c r="I1446" t="s">
        <v>176</v>
      </c>
      <c r="J1446">
        <v>0</v>
      </c>
      <c r="K1446">
        <v>0</v>
      </c>
      <c r="L1446">
        <v>1.636904829859581</v>
      </c>
      <c r="M1446">
        <v>5.7291669045085332</v>
      </c>
      <c r="N1446">
        <v>5.7291669045085332</v>
      </c>
      <c r="O1446" t="s">
        <v>90</v>
      </c>
      <c r="P1446">
        <v>0</v>
      </c>
      <c r="Q1446" t="s">
        <v>90</v>
      </c>
      <c r="R1446">
        <v>0</v>
      </c>
      <c r="S1446" t="s">
        <v>90</v>
      </c>
      <c r="T1446">
        <v>0</v>
      </c>
      <c r="U1446">
        <v>5.7291669045085332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751</v>
      </c>
      <c r="AB1446">
        <v>1</v>
      </c>
      <c r="AC1446">
        <v>0.5</v>
      </c>
      <c r="AD1446">
        <v>0.50741219779126456</v>
      </c>
      <c r="AE1446">
        <v>216</v>
      </c>
      <c r="AF1446">
        <v>200000</v>
      </c>
      <c r="AG1446">
        <v>10000</v>
      </c>
      <c r="AH1446">
        <v>1</v>
      </c>
      <c r="AI1446">
        <v>1</v>
      </c>
      <c r="AJ1446" t="s">
        <v>76</v>
      </c>
      <c r="AK1446" t="s">
        <v>176</v>
      </c>
      <c r="AL1446">
        <v>0</v>
      </c>
      <c r="AM1446" t="s">
        <v>176</v>
      </c>
      <c r="AN1446">
        <v>0</v>
      </c>
    </row>
    <row r="1447" spans="1:40" x14ac:dyDescent="0.15">
      <c r="A1447" s="4" t="str">
        <f>HYPERLINK("https://ibp.a2mac1.com/costing(costing:projects/details/9760/process/12085432)","Process")</f>
        <v>Process</v>
      </c>
      <c r="C1447">
        <v>12085432</v>
      </c>
      <c r="D1447">
        <v>8416133</v>
      </c>
      <c r="E1447">
        <v>0</v>
      </c>
      <c r="F1447">
        <v>0</v>
      </c>
      <c r="G1447">
        <v>0</v>
      </c>
      <c r="H1447">
        <v>0</v>
      </c>
      <c r="I1447" t="s">
        <v>176</v>
      </c>
      <c r="J1447">
        <v>0</v>
      </c>
      <c r="K1447">
        <v>0</v>
      </c>
      <c r="L1447">
        <v>0.26155872413880371</v>
      </c>
      <c r="M1447">
        <v>0.91545553448581307</v>
      </c>
      <c r="N1447">
        <v>0.91545553448581307</v>
      </c>
      <c r="O1447" t="s">
        <v>90</v>
      </c>
      <c r="P1447">
        <v>0</v>
      </c>
      <c r="Q1447" t="s">
        <v>90</v>
      </c>
      <c r="R1447">
        <v>0</v>
      </c>
      <c r="S1447" t="s">
        <v>90</v>
      </c>
      <c r="T1447">
        <v>0</v>
      </c>
      <c r="U1447">
        <v>0.91545553448581307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120</v>
      </c>
      <c r="AB1447">
        <v>1</v>
      </c>
      <c r="AC1447">
        <v>0.5</v>
      </c>
      <c r="AD1447">
        <v>0.50246256405153977</v>
      </c>
      <c r="AE1447">
        <v>216</v>
      </c>
      <c r="AF1447">
        <v>400000</v>
      </c>
      <c r="AG1447">
        <v>20000</v>
      </c>
      <c r="AH1447">
        <v>1</v>
      </c>
      <c r="AI1447">
        <v>1</v>
      </c>
      <c r="AJ1447" t="s">
        <v>76</v>
      </c>
      <c r="AK1447" t="s">
        <v>176</v>
      </c>
      <c r="AL1447">
        <v>0</v>
      </c>
      <c r="AM1447" t="s">
        <v>176</v>
      </c>
      <c r="AN1447">
        <v>0</v>
      </c>
    </row>
    <row r="1448" spans="1:40" x14ac:dyDescent="0.15">
      <c r="A1448" s="4" t="str">
        <f>HYPERLINK("https://ibp.a2mac1.com/costing(costing:projects/details/9760/process/12085178)","Process")</f>
        <v>Process</v>
      </c>
      <c r="C1448">
        <v>12085178</v>
      </c>
      <c r="D1448">
        <v>8415780</v>
      </c>
      <c r="E1448">
        <v>0</v>
      </c>
      <c r="F1448">
        <v>0</v>
      </c>
      <c r="G1448">
        <v>0</v>
      </c>
      <c r="H1448">
        <v>0</v>
      </c>
      <c r="I1448" t="s">
        <v>176</v>
      </c>
      <c r="J1448">
        <v>0</v>
      </c>
      <c r="K1448">
        <v>0</v>
      </c>
      <c r="L1448">
        <v>1.8505028983508465</v>
      </c>
      <c r="M1448">
        <v>6.4767601442279625</v>
      </c>
      <c r="N1448">
        <v>6.4767601442279625</v>
      </c>
      <c r="O1448" t="s">
        <v>90</v>
      </c>
      <c r="P1448">
        <v>0</v>
      </c>
      <c r="Q1448" t="s">
        <v>90</v>
      </c>
      <c r="R1448">
        <v>0</v>
      </c>
      <c r="S1448" t="s">
        <v>90</v>
      </c>
      <c r="T1448">
        <v>0</v>
      </c>
      <c r="U1448">
        <v>6.4767601442279625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849</v>
      </c>
      <c r="AB1448">
        <v>1</v>
      </c>
      <c r="AC1448">
        <v>0.5</v>
      </c>
      <c r="AD1448">
        <v>0.50741219779126456</v>
      </c>
      <c r="AE1448">
        <v>216</v>
      </c>
      <c r="AF1448">
        <v>200000</v>
      </c>
      <c r="AG1448">
        <v>10000</v>
      </c>
      <c r="AH1448">
        <v>1</v>
      </c>
      <c r="AI1448">
        <v>1</v>
      </c>
      <c r="AJ1448" t="s">
        <v>76</v>
      </c>
      <c r="AK1448" t="s">
        <v>176</v>
      </c>
      <c r="AL1448">
        <v>0</v>
      </c>
      <c r="AM1448" t="s">
        <v>176</v>
      </c>
      <c r="AN1448">
        <v>0</v>
      </c>
    </row>
    <row r="1449" spans="1:40" x14ac:dyDescent="0.15">
      <c r="A1449" s="4" t="str">
        <f>HYPERLINK("https://ibp.a2mac1.com/costing(costing:projects/details/9760/process/12085433)","Process")</f>
        <v>Process</v>
      </c>
      <c r="C1449">
        <v>12085433</v>
      </c>
      <c r="D1449">
        <v>8416134</v>
      </c>
      <c r="E1449">
        <v>0</v>
      </c>
      <c r="F1449">
        <v>0</v>
      </c>
      <c r="G1449">
        <v>0</v>
      </c>
      <c r="H1449">
        <v>0</v>
      </c>
      <c r="I1449" t="s">
        <v>176</v>
      </c>
      <c r="J1449">
        <v>0</v>
      </c>
      <c r="K1449">
        <v>0</v>
      </c>
      <c r="L1449">
        <v>0.56455534314833011</v>
      </c>
      <c r="M1449">
        <v>1.9759437010191554</v>
      </c>
      <c r="N1449">
        <v>1.9759437010191554</v>
      </c>
      <c r="O1449" t="s">
        <v>90</v>
      </c>
      <c r="P1449">
        <v>0</v>
      </c>
      <c r="Q1449" t="s">
        <v>90</v>
      </c>
      <c r="R1449">
        <v>0</v>
      </c>
      <c r="S1449" t="s">
        <v>90</v>
      </c>
      <c r="T1449">
        <v>0</v>
      </c>
      <c r="U1449">
        <v>1.9759437010191554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259</v>
      </c>
      <c r="AB1449">
        <v>1</v>
      </c>
      <c r="AC1449">
        <v>0.5</v>
      </c>
      <c r="AD1449">
        <v>0.50741219779126456</v>
      </c>
      <c r="AE1449">
        <v>216</v>
      </c>
      <c r="AF1449">
        <v>200000</v>
      </c>
      <c r="AG1449">
        <v>10000</v>
      </c>
      <c r="AH1449">
        <v>1</v>
      </c>
      <c r="AI1449">
        <v>1</v>
      </c>
      <c r="AJ1449" t="s">
        <v>76</v>
      </c>
      <c r="AK1449" t="s">
        <v>176</v>
      </c>
      <c r="AL1449">
        <v>0</v>
      </c>
      <c r="AM1449" t="s">
        <v>176</v>
      </c>
      <c r="AN1449">
        <v>0</v>
      </c>
    </row>
    <row r="1450" spans="1:40" x14ac:dyDescent="0.15">
      <c r="A1450" s="4" t="str">
        <f>HYPERLINK("https://ibp.a2mac1.com/costing(costing:projects/details/9760/process/12085434)","Process")</f>
        <v>Process</v>
      </c>
      <c r="C1450">
        <v>12085434</v>
      </c>
      <c r="D1450">
        <v>8416135</v>
      </c>
      <c r="E1450">
        <v>0</v>
      </c>
      <c r="F1450">
        <v>0</v>
      </c>
      <c r="G1450">
        <v>0</v>
      </c>
      <c r="H1450">
        <v>0</v>
      </c>
      <c r="I1450" t="s">
        <v>176</v>
      </c>
      <c r="J1450">
        <v>0</v>
      </c>
      <c r="K1450">
        <v>0</v>
      </c>
      <c r="L1450">
        <v>0.56455534314833011</v>
      </c>
      <c r="M1450">
        <v>1.9759437010191554</v>
      </c>
      <c r="N1450">
        <v>1.9759437010191554</v>
      </c>
      <c r="O1450" t="s">
        <v>90</v>
      </c>
      <c r="P1450">
        <v>0</v>
      </c>
      <c r="Q1450" t="s">
        <v>90</v>
      </c>
      <c r="R1450">
        <v>0</v>
      </c>
      <c r="S1450" t="s">
        <v>90</v>
      </c>
      <c r="T1450">
        <v>0</v>
      </c>
      <c r="U1450">
        <v>1.9759437010191554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259</v>
      </c>
      <c r="AB1450">
        <v>1</v>
      </c>
      <c r="AC1450">
        <v>0.5</v>
      </c>
      <c r="AD1450">
        <v>0.50741219779126456</v>
      </c>
      <c r="AE1450">
        <v>216</v>
      </c>
      <c r="AF1450">
        <v>200000</v>
      </c>
      <c r="AG1450">
        <v>10000</v>
      </c>
      <c r="AH1450">
        <v>1</v>
      </c>
      <c r="AI1450">
        <v>1</v>
      </c>
      <c r="AJ1450" t="s">
        <v>76</v>
      </c>
      <c r="AK1450" t="s">
        <v>176</v>
      </c>
      <c r="AL1450">
        <v>0</v>
      </c>
      <c r="AM1450" t="s">
        <v>176</v>
      </c>
      <c r="AN1450">
        <v>0</v>
      </c>
    </row>
    <row r="1451" spans="1:40" x14ac:dyDescent="0.15">
      <c r="A1451" s="4" t="str">
        <f>HYPERLINK("https://ibp.a2mac1.com/costing(costing:projects/details/9760/process/12085179)","Process")</f>
        <v>Process</v>
      </c>
      <c r="C1451">
        <v>12085179</v>
      </c>
      <c r="D1451">
        <v>8415786</v>
      </c>
      <c r="E1451">
        <v>0</v>
      </c>
      <c r="F1451">
        <v>0</v>
      </c>
      <c r="G1451">
        <v>0</v>
      </c>
      <c r="H1451">
        <v>0</v>
      </c>
      <c r="I1451" t="s">
        <v>176</v>
      </c>
      <c r="J1451">
        <v>0</v>
      </c>
      <c r="K1451">
        <v>0</v>
      </c>
      <c r="L1451">
        <v>0.17005278807772764</v>
      </c>
      <c r="M1451">
        <v>0.59518475827204675</v>
      </c>
      <c r="N1451">
        <v>0.59518475827204675</v>
      </c>
      <c r="O1451" t="s">
        <v>90</v>
      </c>
      <c r="P1451">
        <v>0</v>
      </c>
      <c r="Q1451" t="s">
        <v>90</v>
      </c>
      <c r="R1451">
        <v>0</v>
      </c>
      <c r="S1451" t="s">
        <v>90</v>
      </c>
      <c r="T1451">
        <v>0</v>
      </c>
      <c r="U1451">
        <v>0.59518475827204675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78</v>
      </c>
      <c r="AB1451">
        <v>1</v>
      </c>
      <c r="AC1451">
        <v>0.5</v>
      </c>
      <c r="AD1451">
        <v>0.50741219779126456</v>
      </c>
      <c r="AE1451">
        <v>216</v>
      </c>
      <c r="AF1451">
        <v>200000</v>
      </c>
      <c r="AG1451">
        <v>10000</v>
      </c>
      <c r="AH1451">
        <v>1</v>
      </c>
      <c r="AI1451">
        <v>1</v>
      </c>
      <c r="AJ1451" t="s">
        <v>76</v>
      </c>
      <c r="AK1451" t="s">
        <v>176</v>
      </c>
      <c r="AL1451">
        <v>0</v>
      </c>
      <c r="AM1451" t="s">
        <v>176</v>
      </c>
      <c r="AN1451">
        <v>0</v>
      </c>
    </row>
    <row r="1452" spans="1:40" x14ac:dyDescent="0.15">
      <c r="A1452" s="4" t="str">
        <f>HYPERLINK("https://ibp.a2mac1.com/costing(costing:projects/details/9760/process/12085435)","Process")</f>
        <v>Process</v>
      </c>
      <c r="C1452">
        <v>12085435</v>
      </c>
      <c r="D1452">
        <v>8416145</v>
      </c>
      <c r="E1452">
        <v>0</v>
      </c>
      <c r="F1452">
        <v>0</v>
      </c>
      <c r="G1452">
        <v>0</v>
      </c>
      <c r="H1452">
        <v>0</v>
      </c>
      <c r="I1452" t="s">
        <v>176</v>
      </c>
      <c r="J1452">
        <v>0</v>
      </c>
      <c r="K1452">
        <v>0</v>
      </c>
      <c r="L1452">
        <v>0.10902476850879465</v>
      </c>
      <c r="M1452">
        <v>0.38158668978078131</v>
      </c>
      <c r="N1452">
        <v>0.38158668978078131</v>
      </c>
      <c r="O1452" t="s">
        <v>90</v>
      </c>
      <c r="P1452">
        <v>0</v>
      </c>
      <c r="Q1452" t="s">
        <v>90</v>
      </c>
      <c r="R1452">
        <v>0</v>
      </c>
      <c r="S1452" t="s">
        <v>90</v>
      </c>
      <c r="T1452">
        <v>0</v>
      </c>
      <c r="U1452">
        <v>0.38158668978078131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50</v>
      </c>
      <c r="AB1452">
        <v>1</v>
      </c>
      <c r="AC1452">
        <v>0.5</v>
      </c>
      <c r="AD1452">
        <v>0.50741219779126456</v>
      </c>
      <c r="AE1452">
        <v>216</v>
      </c>
      <c r="AF1452">
        <v>200000</v>
      </c>
      <c r="AG1452">
        <v>10000</v>
      </c>
      <c r="AH1452">
        <v>1</v>
      </c>
      <c r="AI1452">
        <v>1</v>
      </c>
      <c r="AJ1452" t="s">
        <v>76</v>
      </c>
      <c r="AK1452" t="s">
        <v>176</v>
      </c>
      <c r="AL1452">
        <v>0</v>
      </c>
      <c r="AM1452" t="s">
        <v>176</v>
      </c>
      <c r="AN1452">
        <v>0</v>
      </c>
    </row>
    <row r="1453" spans="1:40" x14ac:dyDescent="0.15">
      <c r="A1453" s="4" t="str">
        <f>HYPERLINK("https://ibp.a2mac1.com/costing(costing:projects/details/9760/process/12085436)","Process")</f>
        <v>Process</v>
      </c>
      <c r="C1453">
        <v>12085436</v>
      </c>
      <c r="D1453">
        <v>8416146</v>
      </c>
      <c r="E1453">
        <v>0</v>
      </c>
      <c r="F1453">
        <v>0</v>
      </c>
      <c r="G1453">
        <v>0</v>
      </c>
      <c r="H1453">
        <v>0</v>
      </c>
      <c r="I1453" t="s">
        <v>176</v>
      </c>
      <c r="J1453">
        <v>0</v>
      </c>
      <c r="K1453">
        <v>0</v>
      </c>
      <c r="L1453">
        <v>0.10902476850879465</v>
      </c>
      <c r="M1453">
        <v>0.38158668978078131</v>
      </c>
      <c r="N1453">
        <v>0.38158668978078131</v>
      </c>
      <c r="O1453" t="s">
        <v>90</v>
      </c>
      <c r="P1453">
        <v>0</v>
      </c>
      <c r="Q1453" t="s">
        <v>90</v>
      </c>
      <c r="R1453">
        <v>0</v>
      </c>
      <c r="S1453" t="s">
        <v>90</v>
      </c>
      <c r="T1453">
        <v>0</v>
      </c>
      <c r="U1453">
        <v>0.38158668978078131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50</v>
      </c>
      <c r="AB1453">
        <v>1</v>
      </c>
      <c r="AC1453">
        <v>0.5</v>
      </c>
      <c r="AD1453">
        <v>0.50741219779126456</v>
      </c>
      <c r="AE1453">
        <v>216</v>
      </c>
      <c r="AF1453">
        <v>200000</v>
      </c>
      <c r="AG1453">
        <v>10000</v>
      </c>
      <c r="AH1453">
        <v>1</v>
      </c>
      <c r="AI1453">
        <v>1</v>
      </c>
      <c r="AJ1453" t="s">
        <v>76</v>
      </c>
      <c r="AK1453" t="s">
        <v>176</v>
      </c>
      <c r="AL1453">
        <v>0</v>
      </c>
      <c r="AM1453" t="s">
        <v>176</v>
      </c>
      <c r="AN1453">
        <v>0</v>
      </c>
    </row>
    <row r="1454" spans="1:40" x14ac:dyDescent="0.15">
      <c r="A1454" s="4" t="str">
        <f>HYPERLINK("https://ibp.a2mac1.com/costing(costing:projects/details/9760/process/12085180)","Process")</f>
        <v>Process</v>
      </c>
      <c r="C1454">
        <v>12085180</v>
      </c>
      <c r="D1454">
        <v>8415792</v>
      </c>
      <c r="E1454">
        <v>0</v>
      </c>
      <c r="F1454">
        <v>0</v>
      </c>
      <c r="G1454">
        <v>0</v>
      </c>
      <c r="H1454">
        <v>0</v>
      </c>
      <c r="I1454" t="s">
        <v>176</v>
      </c>
      <c r="J1454">
        <v>0</v>
      </c>
      <c r="K1454">
        <v>0</v>
      </c>
      <c r="L1454">
        <v>0.15665591600935022</v>
      </c>
      <c r="M1454">
        <v>0.5482957060327257</v>
      </c>
      <c r="N1454">
        <v>0.5482957060327257</v>
      </c>
      <c r="O1454" t="s">
        <v>90</v>
      </c>
      <c r="P1454">
        <v>0</v>
      </c>
      <c r="Q1454" t="s">
        <v>90</v>
      </c>
      <c r="R1454">
        <v>0</v>
      </c>
      <c r="S1454" t="s">
        <v>90</v>
      </c>
      <c r="T1454">
        <v>0</v>
      </c>
      <c r="U1454">
        <v>0.5482957060327257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72.22</v>
      </c>
      <c r="AB1454">
        <v>1</v>
      </c>
      <c r="AC1454">
        <v>0</v>
      </c>
      <c r="AD1454">
        <v>0</v>
      </c>
      <c r="AE1454">
        <v>216</v>
      </c>
      <c r="AF1454">
        <v>200000</v>
      </c>
      <c r="AG1454">
        <v>10000</v>
      </c>
      <c r="AH1454">
        <v>1</v>
      </c>
      <c r="AI1454">
        <v>1</v>
      </c>
      <c r="AJ1454" t="s">
        <v>76</v>
      </c>
      <c r="AK1454" t="s">
        <v>176</v>
      </c>
      <c r="AL1454">
        <v>0</v>
      </c>
      <c r="AM1454" t="s">
        <v>176</v>
      </c>
      <c r="AN1454">
        <v>0</v>
      </c>
    </row>
    <row r="1455" spans="1:40" x14ac:dyDescent="0.15">
      <c r="A1455" s="4" t="str">
        <f>HYPERLINK("https://ibp.a2mac1.com/costing(costing:projects/details/9760/process/12085439)","Furnace heating")</f>
        <v>Furnace heating</v>
      </c>
      <c r="C1455">
        <v>12085439</v>
      </c>
      <c r="D1455">
        <v>8416147</v>
      </c>
      <c r="E1455">
        <v>1.4468964078947368</v>
      </c>
      <c r="F1455">
        <v>0</v>
      </c>
      <c r="G1455">
        <v>0</v>
      </c>
      <c r="H1455">
        <v>4.5707086526315787E-3</v>
      </c>
      <c r="I1455" t="s">
        <v>176</v>
      </c>
      <c r="J1455">
        <v>5.1939871052631578E-2</v>
      </c>
      <c r="K1455">
        <v>1.5034069876</v>
      </c>
      <c r="L1455">
        <v>8.9986991211008591E-3</v>
      </c>
      <c r="M1455">
        <v>5.3992194726605151E-2</v>
      </c>
      <c r="N1455">
        <v>1.5573991823266051</v>
      </c>
      <c r="O1455" t="s">
        <v>177</v>
      </c>
      <c r="P1455">
        <v>9.0204419256000007E-2</v>
      </c>
      <c r="Q1455" t="s">
        <v>177</v>
      </c>
      <c r="R1455">
        <v>3.2395316835963093E-3</v>
      </c>
      <c r="S1455" t="s">
        <v>178</v>
      </c>
      <c r="T1455">
        <v>0.18688790187919263</v>
      </c>
      <c r="U1455">
        <v>1.8377310351453942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35.225940000000001</v>
      </c>
      <c r="AB1455">
        <v>1</v>
      </c>
      <c r="AC1455">
        <v>0.1</v>
      </c>
      <c r="AD1455">
        <v>0.30705427283965386</v>
      </c>
      <c r="AE1455">
        <v>0</v>
      </c>
      <c r="AF1455">
        <v>200000</v>
      </c>
      <c r="AG1455">
        <v>16666.666666666668</v>
      </c>
      <c r="AH1455">
        <v>1</v>
      </c>
      <c r="AI1455">
        <v>1</v>
      </c>
      <c r="AJ1455" t="s">
        <v>162</v>
      </c>
      <c r="AK1455" t="s">
        <v>176</v>
      </c>
      <c r="AL1455">
        <v>0</v>
      </c>
      <c r="AM1455" t="s">
        <v>176</v>
      </c>
      <c r="AN1455">
        <v>0</v>
      </c>
    </row>
    <row r="1456" spans="1:40" x14ac:dyDescent="0.15">
      <c r="A1456" s="4" t="str">
        <f>HYPERLINK("https://ibp.a2mac1.com/costing(costing:projects/details/9760/process/12085437)","Transport with laddle")</f>
        <v>Transport with laddle</v>
      </c>
      <c r="C1456">
        <v>12085437</v>
      </c>
      <c r="D1456">
        <v>8416147</v>
      </c>
      <c r="E1456">
        <v>0</v>
      </c>
      <c r="F1456">
        <v>0</v>
      </c>
      <c r="G1456">
        <v>0</v>
      </c>
      <c r="H1456">
        <v>0</v>
      </c>
      <c r="I1456" t="s">
        <v>176</v>
      </c>
      <c r="J1456">
        <v>0</v>
      </c>
      <c r="K1456">
        <v>0</v>
      </c>
      <c r="L1456">
        <v>3.6998959208981923E-3</v>
      </c>
      <c r="M1456">
        <v>2.2199375525389153E-2</v>
      </c>
      <c r="N1456">
        <v>2.2199375525389153E-2</v>
      </c>
      <c r="O1456" t="s">
        <v>177</v>
      </c>
      <c r="P1456">
        <v>0</v>
      </c>
      <c r="Q1456" t="s">
        <v>177</v>
      </c>
      <c r="R1456">
        <v>1.3319625315233491E-3</v>
      </c>
      <c r="S1456" t="s">
        <v>178</v>
      </c>
      <c r="T1456">
        <v>2.6639250630466982E-3</v>
      </c>
      <c r="U1456">
        <v>2.6195263119959199E-2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35.225940000000001</v>
      </c>
      <c r="AB1456">
        <v>1</v>
      </c>
      <c r="AC1456">
        <v>0.1</v>
      </c>
      <c r="AD1456">
        <v>0.20557651238448796</v>
      </c>
      <c r="AE1456">
        <v>900</v>
      </c>
      <c r="AF1456">
        <v>200000</v>
      </c>
      <c r="AG1456">
        <v>16666.666666666668</v>
      </c>
      <c r="AH1456">
        <v>1</v>
      </c>
      <c r="AI1456">
        <v>1</v>
      </c>
      <c r="AJ1456" t="s">
        <v>162</v>
      </c>
      <c r="AK1456" t="s">
        <v>176</v>
      </c>
      <c r="AL1456">
        <v>0</v>
      </c>
      <c r="AM1456" t="s">
        <v>176</v>
      </c>
      <c r="AN1456">
        <v>0</v>
      </c>
    </row>
    <row r="1457" spans="1:40" x14ac:dyDescent="0.15">
      <c r="A1457" s="4" t="str">
        <f>HYPERLINK("https://ibp.a2mac1.com/costing(costing:projects/details/9760/process/12085438)","Pressing (Cold Chamber)")</f>
        <v>Pressing (Cold Chamber)</v>
      </c>
      <c r="C1457">
        <v>12085438</v>
      </c>
      <c r="D1457">
        <v>8416147</v>
      </c>
      <c r="E1457">
        <v>0</v>
      </c>
      <c r="F1457">
        <v>0</v>
      </c>
      <c r="G1457">
        <v>0</v>
      </c>
      <c r="H1457">
        <v>0</v>
      </c>
      <c r="I1457" t="s">
        <v>176</v>
      </c>
      <c r="J1457">
        <v>0</v>
      </c>
      <c r="K1457">
        <v>0</v>
      </c>
      <c r="L1457">
        <v>7.4999235166682041E-2</v>
      </c>
      <c r="M1457">
        <v>0.44999541100009227</v>
      </c>
      <c r="N1457">
        <v>0.44999541100009227</v>
      </c>
      <c r="O1457" t="s">
        <v>177</v>
      </c>
      <c r="P1457">
        <v>0</v>
      </c>
      <c r="Q1457" t="s">
        <v>177</v>
      </c>
      <c r="R1457">
        <v>2.6999724660005536E-2</v>
      </c>
      <c r="S1457" t="s">
        <v>178</v>
      </c>
      <c r="T1457">
        <v>5.3999449320011071E-2</v>
      </c>
      <c r="U1457">
        <v>0.53099458498010887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35.225940000000001</v>
      </c>
      <c r="AB1457">
        <v>1</v>
      </c>
      <c r="AC1457">
        <v>0.1</v>
      </c>
      <c r="AD1457">
        <v>0.10389195236953569</v>
      </c>
      <c r="AE1457">
        <v>7200</v>
      </c>
      <c r="AF1457">
        <v>200000</v>
      </c>
      <c r="AG1457">
        <v>16666.666666666668</v>
      </c>
      <c r="AH1457">
        <v>1</v>
      </c>
      <c r="AI1457">
        <v>1</v>
      </c>
      <c r="AJ1457" t="s">
        <v>162</v>
      </c>
      <c r="AK1457" t="s">
        <v>176</v>
      </c>
      <c r="AL1457">
        <v>0</v>
      </c>
      <c r="AM1457" t="s">
        <v>176</v>
      </c>
      <c r="AN1457">
        <v>0</v>
      </c>
    </row>
    <row r="1458" spans="1:40" x14ac:dyDescent="0.15">
      <c r="A1458" s="4" t="str">
        <f>HYPERLINK("https://ibp.a2mac1.com/costing(costing:projects/details/9760/process/12085442)","Stamping")</f>
        <v>Stamping</v>
      </c>
      <c r="C1458">
        <v>12085442</v>
      </c>
      <c r="D1458">
        <v>8416148</v>
      </c>
      <c r="E1458">
        <v>0.1240001</v>
      </c>
      <c r="F1458">
        <v>0</v>
      </c>
      <c r="G1458">
        <v>0</v>
      </c>
      <c r="H1458">
        <v>4.0629819999999999E-4</v>
      </c>
      <c r="I1458" t="s">
        <v>176</v>
      </c>
      <c r="J1458">
        <v>4.6170250000000003E-3</v>
      </c>
      <c r="K1458">
        <v>0.12902342319999999</v>
      </c>
      <c r="L1458">
        <v>5.9223238858813953E-3</v>
      </c>
      <c r="M1458">
        <v>3.553394331528837E-2</v>
      </c>
      <c r="N1458">
        <v>0.16455736651528838</v>
      </c>
      <c r="O1458" t="s">
        <v>177</v>
      </c>
      <c r="P1458">
        <v>7.741405392E-3</v>
      </c>
      <c r="Q1458" t="s">
        <v>177</v>
      </c>
      <c r="R1458">
        <v>2.1320365989173024E-3</v>
      </c>
      <c r="S1458" t="s">
        <v>178</v>
      </c>
      <c r="T1458">
        <v>1.9746883981834603E-2</v>
      </c>
      <c r="U1458">
        <v>0.19417769248804029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0.98846999999999996</v>
      </c>
      <c r="AB1458">
        <v>1</v>
      </c>
      <c r="AC1458">
        <v>0.1</v>
      </c>
      <c r="AD1458">
        <v>0.30705427283965386</v>
      </c>
      <c r="AE1458">
        <v>1800</v>
      </c>
      <c r="AF1458">
        <v>200000</v>
      </c>
      <c r="AG1458">
        <v>16666.666666666668</v>
      </c>
      <c r="AH1458">
        <v>1</v>
      </c>
      <c r="AI1458">
        <v>1</v>
      </c>
      <c r="AJ1458" t="s">
        <v>162</v>
      </c>
      <c r="AK1458" t="s">
        <v>176</v>
      </c>
      <c r="AL1458">
        <v>0</v>
      </c>
      <c r="AM1458" t="s">
        <v>176</v>
      </c>
      <c r="AN1458">
        <v>0</v>
      </c>
    </row>
    <row r="1459" spans="1:40" x14ac:dyDescent="0.15">
      <c r="A1459" s="4" t="str">
        <f>HYPERLINK("https://ibp.a2mac1.com/costing(costing:projects/details/9760/process/12085441)","Cleaning")</f>
        <v>Cleaning</v>
      </c>
      <c r="C1459">
        <v>12085441</v>
      </c>
      <c r="D1459">
        <v>8416148</v>
      </c>
      <c r="E1459">
        <v>0</v>
      </c>
      <c r="F1459">
        <v>0</v>
      </c>
      <c r="G1459">
        <v>0</v>
      </c>
      <c r="H1459">
        <v>0</v>
      </c>
      <c r="I1459" t="s">
        <v>176</v>
      </c>
      <c r="J1459">
        <v>0</v>
      </c>
      <c r="K1459">
        <v>0</v>
      </c>
      <c r="L1459">
        <v>1.3387064771013693E-2</v>
      </c>
      <c r="M1459">
        <v>8.0322388626082167E-2</v>
      </c>
      <c r="N1459">
        <v>8.0322388626082167E-2</v>
      </c>
      <c r="O1459" t="s">
        <v>177</v>
      </c>
      <c r="P1459">
        <v>0</v>
      </c>
      <c r="Q1459" t="s">
        <v>177</v>
      </c>
      <c r="R1459">
        <v>4.8193433175649295E-3</v>
      </c>
      <c r="S1459" t="s">
        <v>178</v>
      </c>
      <c r="T1459">
        <v>9.6386866351298589E-3</v>
      </c>
      <c r="U1459">
        <v>9.4780418578776948E-2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10</v>
      </c>
      <c r="AB1459">
        <v>1</v>
      </c>
      <c r="AC1459">
        <v>0.1</v>
      </c>
      <c r="AD1459">
        <v>0.20557651238448796</v>
      </c>
      <c r="AE1459">
        <v>0</v>
      </c>
      <c r="AF1459">
        <v>200000</v>
      </c>
      <c r="AG1459">
        <v>16666.666666666668</v>
      </c>
      <c r="AH1459">
        <v>1</v>
      </c>
      <c r="AI1459">
        <v>1</v>
      </c>
      <c r="AJ1459" t="s">
        <v>162</v>
      </c>
      <c r="AK1459" t="s">
        <v>176</v>
      </c>
      <c r="AL1459">
        <v>0</v>
      </c>
      <c r="AM1459" t="s">
        <v>176</v>
      </c>
      <c r="AN1459">
        <v>0</v>
      </c>
    </row>
    <row r="1460" spans="1:40" x14ac:dyDescent="0.15">
      <c r="A1460" s="4" t="str">
        <f>HYPERLINK("https://ibp.a2mac1.com/costing(costing:projects/details/9760/process/12085440)","Packaging")</f>
        <v>Packaging</v>
      </c>
      <c r="C1460">
        <v>12085440</v>
      </c>
      <c r="D1460">
        <v>8416148</v>
      </c>
      <c r="E1460">
        <v>0</v>
      </c>
      <c r="F1460">
        <v>0</v>
      </c>
      <c r="G1460">
        <v>0</v>
      </c>
      <c r="H1460">
        <v>0</v>
      </c>
      <c r="I1460" t="s">
        <v>176</v>
      </c>
      <c r="J1460">
        <v>0</v>
      </c>
      <c r="K1460">
        <v>0</v>
      </c>
      <c r="L1460">
        <v>6.0707770319905078E-3</v>
      </c>
      <c r="M1460">
        <v>3.6424662191943048E-2</v>
      </c>
      <c r="N1460">
        <v>3.6424662191943048E-2</v>
      </c>
      <c r="O1460" t="s">
        <v>177</v>
      </c>
      <c r="P1460">
        <v>0</v>
      </c>
      <c r="Q1460" t="s">
        <v>177</v>
      </c>
      <c r="R1460">
        <v>2.1854797315165827E-3</v>
      </c>
      <c r="S1460" t="s">
        <v>178</v>
      </c>
      <c r="T1460">
        <v>4.3709594630331654E-3</v>
      </c>
      <c r="U1460">
        <v>4.2981101386492797E-2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8</v>
      </c>
      <c r="AB1460">
        <v>1</v>
      </c>
      <c r="AC1460">
        <v>0.1</v>
      </c>
      <c r="AD1460">
        <v>0.10389195236953569</v>
      </c>
      <c r="AE1460">
        <v>900</v>
      </c>
      <c r="AF1460">
        <v>200000</v>
      </c>
      <c r="AG1460">
        <v>16666.666666666668</v>
      </c>
      <c r="AH1460">
        <v>1</v>
      </c>
      <c r="AI1460">
        <v>1</v>
      </c>
      <c r="AJ1460" t="s">
        <v>162</v>
      </c>
      <c r="AK1460" t="s">
        <v>176</v>
      </c>
      <c r="AL1460">
        <v>0</v>
      </c>
      <c r="AM1460" t="s">
        <v>176</v>
      </c>
      <c r="AN1460">
        <v>0</v>
      </c>
    </row>
    <row r="1461" spans="1:40" x14ac:dyDescent="0.15">
      <c r="A1461" s="4" t="str">
        <f>HYPERLINK("https://ibp.a2mac1.com/costing(costing:projects/details/9760/process/12085443)","Stamping")</f>
        <v>Stamping</v>
      </c>
      <c r="C1461">
        <v>12085443</v>
      </c>
      <c r="D1461">
        <v>8416149</v>
      </c>
      <c r="E1461">
        <v>9.3000075000000001E-2</v>
      </c>
      <c r="F1461">
        <v>0</v>
      </c>
      <c r="G1461">
        <v>0</v>
      </c>
      <c r="H1461">
        <v>3.0472365000000002E-4</v>
      </c>
      <c r="I1461" t="s">
        <v>176</v>
      </c>
      <c r="J1461">
        <v>3.4627687499999998E-3</v>
      </c>
      <c r="K1461">
        <v>9.6767567400000004E-2</v>
      </c>
      <c r="L1461">
        <v>3.8479505137935782E-3</v>
      </c>
      <c r="M1461">
        <v>2.3087703082761469E-2</v>
      </c>
      <c r="N1461">
        <v>0.11985527048276147</v>
      </c>
      <c r="O1461" t="s">
        <v>177</v>
      </c>
      <c r="P1461">
        <v>5.8060540440000004E-3</v>
      </c>
      <c r="Q1461" t="s">
        <v>177</v>
      </c>
      <c r="R1461">
        <v>1.3852621849656881E-3</v>
      </c>
      <c r="S1461" t="s">
        <v>178</v>
      </c>
      <c r="T1461">
        <v>1.4382632457931376E-2</v>
      </c>
      <c r="U1461">
        <v>0.14142921916965853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0.85511000000000004</v>
      </c>
      <c r="AB1461">
        <v>1</v>
      </c>
      <c r="AC1461">
        <v>0.1</v>
      </c>
      <c r="AD1461">
        <v>0.30705427283965386</v>
      </c>
      <c r="AE1461">
        <v>1800</v>
      </c>
      <c r="AF1461">
        <v>200000</v>
      </c>
      <c r="AG1461">
        <v>16666.666666666668</v>
      </c>
      <c r="AH1461">
        <v>1</v>
      </c>
      <c r="AI1461">
        <v>1</v>
      </c>
      <c r="AJ1461" t="s">
        <v>162</v>
      </c>
      <c r="AK1461" t="s">
        <v>176</v>
      </c>
      <c r="AL1461">
        <v>0</v>
      </c>
      <c r="AM1461" t="s">
        <v>176</v>
      </c>
      <c r="AN1461">
        <v>0</v>
      </c>
    </row>
    <row r="1462" spans="1:40" x14ac:dyDescent="0.15">
      <c r="A1462" s="4" t="str">
        <f>HYPERLINK("https://ibp.a2mac1.com/costing(costing:projects/details/9760/process/12085445)","Cleaning")</f>
        <v>Cleaning</v>
      </c>
      <c r="C1462">
        <v>12085445</v>
      </c>
      <c r="D1462">
        <v>8416149</v>
      </c>
      <c r="E1462">
        <v>0</v>
      </c>
      <c r="F1462">
        <v>0</v>
      </c>
      <c r="G1462">
        <v>0</v>
      </c>
      <c r="H1462">
        <v>0</v>
      </c>
      <c r="I1462" t="s">
        <v>176</v>
      </c>
      <c r="J1462">
        <v>0</v>
      </c>
      <c r="K1462">
        <v>0</v>
      </c>
      <c r="L1462">
        <v>1.3387064771013693E-2</v>
      </c>
      <c r="M1462">
        <v>8.0322388626082167E-2</v>
      </c>
      <c r="N1462">
        <v>8.0322388626082167E-2</v>
      </c>
      <c r="O1462" t="s">
        <v>177</v>
      </c>
      <c r="P1462">
        <v>0</v>
      </c>
      <c r="Q1462" t="s">
        <v>177</v>
      </c>
      <c r="R1462">
        <v>4.8193433175649295E-3</v>
      </c>
      <c r="S1462" t="s">
        <v>178</v>
      </c>
      <c r="T1462">
        <v>9.6386866351298589E-3</v>
      </c>
      <c r="U1462">
        <v>9.4780418578776948E-2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10</v>
      </c>
      <c r="AB1462">
        <v>1</v>
      </c>
      <c r="AC1462">
        <v>0.1</v>
      </c>
      <c r="AD1462">
        <v>0.20557651238448796</v>
      </c>
      <c r="AE1462">
        <v>0</v>
      </c>
      <c r="AF1462">
        <v>200000</v>
      </c>
      <c r="AG1462">
        <v>16666.666666666668</v>
      </c>
      <c r="AH1462">
        <v>1</v>
      </c>
      <c r="AI1462">
        <v>1</v>
      </c>
      <c r="AJ1462" t="s">
        <v>162</v>
      </c>
      <c r="AK1462" t="s">
        <v>176</v>
      </c>
      <c r="AL1462">
        <v>0</v>
      </c>
      <c r="AM1462" t="s">
        <v>176</v>
      </c>
      <c r="AN1462">
        <v>0</v>
      </c>
    </row>
    <row r="1463" spans="1:40" x14ac:dyDescent="0.15">
      <c r="A1463" s="4" t="str">
        <f>HYPERLINK("https://ibp.a2mac1.com/costing(costing:projects/details/9760/process/12085444)","Packaging")</f>
        <v>Packaging</v>
      </c>
      <c r="C1463">
        <v>12085444</v>
      </c>
      <c r="D1463">
        <v>8416149</v>
      </c>
      <c r="E1463">
        <v>0</v>
      </c>
      <c r="F1463">
        <v>0</v>
      </c>
      <c r="G1463">
        <v>0</v>
      </c>
      <c r="H1463">
        <v>0</v>
      </c>
      <c r="I1463" t="s">
        <v>176</v>
      </c>
      <c r="J1463">
        <v>0</v>
      </c>
      <c r="K1463">
        <v>0</v>
      </c>
      <c r="L1463">
        <v>6.0707770319905078E-3</v>
      </c>
      <c r="M1463">
        <v>3.6424662191943048E-2</v>
      </c>
      <c r="N1463">
        <v>3.6424662191943048E-2</v>
      </c>
      <c r="O1463" t="s">
        <v>177</v>
      </c>
      <c r="P1463">
        <v>0</v>
      </c>
      <c r="Q1463" t="s">
        <v>177</v>
      </c>
      <c r="R1463">
        <v>2.1854797315165827E-3</v>
      </c>
      <c r="S1463" t="s">
        <v>178</v>
      </c>
      <c r="T1463">
        <v>4.3709594630331654E-3</v>
      </c>
      <c r="U1463">
        <v>4.2981101386492797E-2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8</v>
      </c>
      <c r="AB1463">
        <v>1</v>
      </c>
      <c r="AC1463">
        <v>0.1</v>
      </c>
      <c r="AD1463">
        <v>0.10389195236953569</v>
      </c>
      <c r="AE1463">
        <v>900</v>
      </c>
      <c r="AF1463">
        <v>200000</v>
      </c>
      <c r="AG1463">
        <v>16666.666666666668</v>
      </c>
      <c r="AH1463">
        <v>1</v>
      </c>
      <c r="AI1463">
        <v>1</v>
      </c>
      <c r="AJ1463" t="s">
        <v>162</v>
      </c>
      <c r="AK1463" t="s">
        <v>176</v>
      </c>
      <c r="AL1463">
        <v>0</v>
      </c>
      <c r="AM1463" t="s">
        <v>176</v>
      </c>
      <c r="AN1463">
        <v>0</v>
      </c>
    </row>
    <row r="1464" spans="1:40" x14ac:dyDescent="0.15">
      <c r="A1464" s="4" t="str">
        <f>HYPERLINK("https://ibp.a2mac1.com/costing(costing:projects/details/9760/process/12085446)","Stamping")</f>
        <v>Stamping</v>
      </c>
      <c r="C1464">
        <v>12085446</v>
      </c>
      <c r="D1464">
        <v>8416150</v>
      </c>
      <c r="E1464">
        <v>3.1000025E-2</v>
      </c>
      <c r="F1464">
        <v>0</v>
      </c>
      <c r="G1464">
        <v>0</v>
      </c>
      <c r="H1464">
        <v>1.0157455E-4</v>
      </c>
      <c r="I1464" t="s">
        <v>176</v>
      </c>
      <c r="J1464">
        <v>1.1542562500000001E-3</v>
      </c>
      <c r="K1464">
        <v>3.2255855799999997E-2</v>
      </c>
      <c r="L1464">
        <v>5.9223238858813953E-3</v>
      </c>
      <c r="M1464">
        <v>3.553394331528837E-2</v>
      </c>
      <c r="N1464">
        <v>6.7789799115288374E-2</v>
      </c>
      <c r="O1464" t="s">
        <v>177</v>
      </c>
      <c r="P1464">
        <v>1.935351348E-3</v>
      </c>
      <c r="Q1464" t="s">
        <v>177</v>
      </c>
      <c r="R1464">
        <v>2.1320365989173024E-3</v>
      </c>
      <c r="S1464" t="s">
        <v>178</v>
      </c>
      <c r="T1464">
        <v>8.1347758938346039E-3</v>
      </c>
      <c r="U1464">
        <v>7.9991962956040275E-2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0.98846999999999996</v>
      </c>
      <c r="AB1464">
        <v>1</v>
      </c>
      <c r="AC1464">
        <v>0.1</v>
      </c>
      <c r="AD1464">
        <v>0.30705427283965386</v>
      </c>
      <c r="AE1464">
        <v>1800</v>
      </c>
      <c r="AF1464">
        <v>200000</v>
      </c>
      <c r="AG1464">
        <v>16666.666666666668</v>
      </c>
      <c r="AH1464">
        <v>1</v>
      </c>
      <c r="AI1464">
        <v>1</v>
      </c>
      <c r="AJ1464" t="s">
        <v>162</v>
      </c>
      <c r="AK1464" t="s">
        <v>176</v>
      </c>
      <c r="AL1464">
        <v>0</v>
      </c>
      <c r="AM1464" t="s">
        <v>176</v>
      </c>
      <c r="AN1464">
        <v>0</v>
      </c>
    </row>
    <row r="1465" spans="1:40" x14ac:dyDescent="0.15">
      <c r="A1465" s="4" t="str">
        <f>HYPERLINK("https://ibp.a2mac1.com/costing(costing:projects/details/9760/process/12085447)","Cleaning")</f>
        <v>Cleaning</v>
      </c>
      <c r="C1465">
        <v>12085447</v>
      </c>
      <c r="D1465">
        <v>8416150</v>
      </c>
      <c r="E1465">
        <v>0</v>
      </c>
      <c r="F1465">
        <v>0</v>
      </c>
      <c r="G1465">
        <v>0</v>
      </c>
      <c r="H1465">
        <v>0</v>
      </c>
      <c r="I1465" t="s">
        <v>176</v>
      </c>
      <c r="J1465">
        <v>0</v>
      </c>
      <c r="K1465">
        <v>0</v>
      </c>
      <c r="L1465">
        <v>1.3387064771013693E-2</v>
      </c>
      <c r="M1465">
        <v>8.0322388626082167E-2</v>
      </c>
      <c r="N1465">
        <v>8.0322388626082167E-2</v>
      </c>
      <c r="O1465" t="s">
        <v>177</v>
      </c>
      <c r="P1465">
        <v>0</v>
      </c>
      <c r="Q1465" t="s">
        <v>177</v>
      </c>
      <c r="R1465">
        <v>4.8193433175649295E-3</v>
      </c>
      <c r="S1465" t="s">
        <v>178</v>
      </c>
      <c r="T1465">
        <v>9.6386866351298589E-3</v>
      </c>
      <c r="U1465">
        <v>9.4780418578776948E-2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10</v>
      </c>
      <c r="AB1465">
        <v>1</v>
      </c>
      <c r="AC1465">
        <v>0.1</v>
      </c>
      <c r="AD1465">
        <v>0.20557651238448796</v>
      </c>
      <c r="AE1465">
        <v>0</v>
      </c>
      <c r="AF1465">
        <v>200000</v>
      </c>
      <c r="AG1465">
        <v>16666.666666666668</v>
      </c>
      <c r="AH1465">
        <v>1</v>
      </c>
      <c r="AI1465">
        <v>1</v>
      </c>
      <c r="AJ1465" t="s">
        <v>162</v>
      </c>
      <c r="AK1465" t="s">
        <v>176</v>
      </c>
      <c r="AL1465">
        <v>0</v>
      </c>
      <c r="AM1465" t="s">
        <v>176</v>
      </c>
      <c r="AN1465">
        <v>0</v>
      </c>
    </row>
    <row r="1466" spans="1:40" x14ac:dyDescent="0.15">
      <c r="A1466" s="4" t="str">
        <f>HYPERLINK("https://ibp.a2mac1.com/costing(costing:projects/details/9760/process/12085448)","Packaging")</f>
        <v>Packaging</v>
      </c>
      <c r="C1466">
        <v>12085448</v>
      </c>
      <c r="D1466">
        <v>8416150</v>
      </c>
      <c r="E1466">
        <v>0</v>
      </c>
      <c r="F1466">
        <v>0</v>
      </c>
      <c r="G1466">
        <v>0</v>
      </c>
      <c r="H1466">
        <v>0</v>
      </c>
      <c r="I1466" t="s">
        <v>176</v>
      </c>
      <c r="J1466">
        <v>0</v>
      </c>
      <c r="K1466">
        <v>0</v>
      </c>
      <c r="L1466">
        <v>6.0707770319905078E-3</v>
      </c>
      <c r="M1466">
        <v>3.6424662191943048E-2</v>
      </c>
      <c r="N1466">
        <v>3.6424662191943048E-2</v>
      </c>
      <c r="O1466" t="s">
        <v>177</v>
      </c>
      <c r="P1466">
        <v>0</v>
      </c>
      <c r="Q1466" t="s">
        <v>177</v>
      </c>
      <c r="R1466">
        <v>2.1854797315165827E-3</v>
      </c>
      <c r="S1466" t="s">
        <v>178</v>
      </c>
      <c r="T1466">
        <v>4.3709594630331654E-3</v>
      </c>
      <c r="U1466">
        <v>4.2981101386492797E-2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8</v>
      </c>
      <c r="AB1466">
        <v>1</v>
      </c>
      <c r="AC1466">
        <v>0.1</v>
      </c>
      <c r="AD1466">
        <v>0.10389195236953569</v>
      </c>
      <c r="AE1466">
        <v>900</v>
      </c>
      <c r="AF1466">
        <v>200000</v>
      </c>
      <c r="AG1466">
        <v>16666.666666666668</v>
      </c>
      <c r="AH1466">
        <v>1</v>
      </c>
      <c r="AI1466">
        <v>1</v>
      </c>
      <c r="AJ1466" t="s">
        <v>162</v>
      </c>
      <c r="AK1466" t="s">
        <v>176</v>
      </c>
      <c r="AL1466">
        <v>0</v>
      </c>
      <c r="AM1466" t="s">
        <v>176</v>
      </c>
      <c r="AN1466">
        <v>0</v>
      </c>
    </row>
    <row r="1467" spans="1:40" x14ac:dyDescent="0.15">
      <c r="A1467" s="4" t="str">
        <f>HYPERLINK("https://ibp.a2mac1.com/costing(costing:projects/details/9760/process/12085449)","Stamping")</f>
        <v>Stamping</v>
      </c>
      <c r="C1467">
        <v>12085449</v>
      </c>
      <c r="D1467">
        <v>8416151</v>
      </c>
      <c r="E1467">
        <v>3.1000025E-2</v>
      </c>
      <c r="F1467">
        <v>0</v>
      </c>
      <c r="G1467">
        <v>0</v>
      </c>
      <c r="H1467">
        <v>1.0157455E-4</v>
      </c>
      <c r="I1467" t="s">
        <v>176</v>
      </c>
      <c r="J1467">
        <v>1.1542562500000001E-3</v>
      </c>
      <c r="K1467">
        <v>3.2255855799999997E-2</v>
      </c>
      <c r="L1467">
        <v>5.9223238858813953E-3</v>
      </c>
      <c r="M1467">
        <v>3.553394331528837E-2</v>
      </c>
      <c r="N1467">
        <v>6.7789799115288374E-2</v>
      </c>
      <c r="O1467" t="s">
        <v>177</v>
      </c>
      <c r="P1467">
        <v>1.935351348E-3</v>
      </c>
      <c r="Q1467" t="s">
        <v>177</v>
      </c>
      <c r="R1467">
        <v>2.1320365989173024E-3</v>
      </c>
      <c r="S1467" t="s">
        <v>178</v>
      </c>
      <c r="T1467">
        <v>8.1347758938346039E-3</v>
      </c>
      <c r="U1467">
        <v>7.9991962956040275E-2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0.98846999999999996</v>
      </c>
      <c r="AB1467">
        <v>1</v>
      </c>
      <c r="AC1467">
        <v>0.1</v>
      </c>
      <c r="AD1467">
        <v>0.30705427283965386</v>
      </c>
      <c r="AE1467">
        <v>1800</v>
      </c>
      <c r="AF1467">
        <v>200000</v>
      </c>
      <c r="AG1467">
        <v>16666.666666666668</v>
      </c>
      <c r="AH1467">
        <v>1</v>
      </c>
      <c r="AI1467">
        <v>1</v>
      </c>
      <c r="AJ1467" t="s">
        <v>162</v>
      </c>
      <c r="AK1467" t="s">
        <v>176</v>
      </c>
      <c r="AL1467">
        <v>0</v>
      </c>
      <c r="AM1467" t="s">
        <v>176</v>
      </c>
      <c r="AN1467">
        <v>0</v>
      </c>
    </row>
    <row r="1468" spans="1:40" x14ac:dyDescent="0.15">
      <c r="A1468" s="4" t="str">
        <f>HYPERLINK("https://ibp.a2mac1.com/costing(costing:projects/details/9760/process/12085450)","Cleaning")</f>
        <v>Cleaning</v>
      </c>
      <c r="C1468">
        <v>12085450</v>
      </c>
      <c r="D1468">
        <v>8416151</v>
      </c>
      <c r="E1468">
        <v>0</v>
      </c>
      <c r="F1468">
        <v>0</v>
      </c>
      <c r="G1468">
        <v>0</v>
      </c>
      <c r="H1468">
        <v>0</v>
      </c>
      <c r="I1468" t="s">
        <v>176</v>
      </c>
      <c r="J1468">
        <v>0</v>
      </c>
      <c r="K1468">
        <v>0</v>
      </c>
      <c r="L1468">
        <v>1.3387064771013693E-2</v>
      </c>
      <c r="M1468">
        <v>8.0322388626082167E-2</v>
      </c>
      <c r="N1468">
        <v>8.0322388626082167E-2</v>
      </c>
      <c r="O1468" t="s">
        <v>177</v>
      </c>
      <c r="P1468">
        <v>0</v>
      </c>
      <c r="Q1468" t="s">
        <v>177</v>
      </c>
      <c r="R1468">
        <v>4.8193433175649295E-3</v>
      </c>
      <c r="S1468" t="s">
        <v>178</v>
      </c>
      <c r="T1468">
        <v>9.6386866351298589E-3</v>
      </c>
      <c r="U1468">
        <v>9.4780418578776948E-2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10</v>
      </c>
      <c r="AB1468">
        <v>1</v>
      </c>
      <c r="AC1468">
        <v>0.1</v>
      </c>
      <c r="AD1468">
        <v>0.20557651238448796</v>
      </c>
      <c r="AE1468">
        <v>0</v>
      </c>
      <c r="AF1468">
        <v>200000</v>
      </c>
      <c r="AG1468">
        <v>16666.666666666668</v>
      </c>
      <c r="AH1468">
        <v>1</v>
      </c>
      <c r="AI1468">
        <v>1</v>
      </c>
      <c r="AJ1468" t="s">
        <v>162</v>
      </c>
      <c r="AK1468" t="s">
        <v>176</v>
      </c>
      <c r="AL1468">
        <v>0</v>
      </c>
      <c r="AM1468" t="s">
        <v>176</v>
      </c>
      <c r="AN1468">
        <v>0</v>
      </c>
    </row>
    <row r="1469" spans="1:40" x14ac:dyDescent="0.15">
      <c r="A1469" s="4" t="str">
        <f>HYPERLINK("https://ibp.a2mac1.com/costing(costing:projects/details/9760/process/12085451)","Packaging")</f>
        <v>Packaging</v>
      </c>
      <c r="C1469">
        <v>12085451</v>
      </c>
      <c r="D1469">
        <v>8416151</v>
      </c>
      <c r="E1469">
        <v>0</v>
      </c>
      <c r="F1469">
        <v>0</v>
      </c>
      <c r="G1469">
        <v>0</v>
      </c>
      <c r="H1469">
        <v>0</v>
      </c>
      <c r="I1469" t="s">
        <v>176</v>
      </c>
      <c r="J1469">
        <v>0</v>
      </c>
      <c r="K1469">
        <v>0</v>
      </c>
      <c r="L1469">
        <v>6.0707770319905078E-3</v>
      </c>
      <c r="M1469">
        <v>3.6424662191943048E-2</v>
      </c>
      <c r="N1469">
        <v>3.6424662191943048E-2</v>
      </c>
      <c r="O1469" t="s">
        <v>177</v>
      </c>
      <c r="P1469">
        <v>0</v>
      </c>
      <c r="Q1469" t="s">
        <v>177</v>
      </c>
      <c r="R1469">
        <v>2.1854797315165827E-3</v>
      </c>
      <c r="S1469" t="s">
        <v>178</v>
      </c>
      <c r="T1469">
        <v>4.3709594630331654E-3</v>
      </c>
      <c r="U1469">
        <v>4.2981101386492797E-2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8</v>
      </c>
      <c r="AB1469">
        <v>1</v>
      </c>
      <c r="AC1469">
        <v>0.1</v>
      </c>
      <c r="AD1469">
        <v>0.10389195236953569</v>
      </c>
      <c r="AE1469">
        <v>900</v>
      </c>
      <c r="AF1469">
        <v>200000</v>
      </c>
      <c r="AG1469">
        <v>16666.666666666668</v>
      </c>
      <c r="AH1469">
        <v>1</v>
      </c>
      <c r="AI1469">
        <v>1</v>
      </c>
      <c r="AJ1469" t="s">
        <v>162</v>
      </c>
      <c r="AK1469" t="s">
        <v>176</v>
      </c>
      <c r="AL1469">
        <v>0</v>
      </c>
      <c r="AM1469" t="s">
        <v>176</v>
      </c>
      <c r="AN1469">
        <v>0</v>
      </c>
    </row>
    <row r="1470" spans="1:40" x14ac:dyDescent="0.15">
      <c r="A1470" s="4" t="str">
        <f>HYPERLINK("https://ibp.a2mac1.com/costing(costing:projects/details/9760/process/12085452)","Stamping")</f>
        <v>Stamping</v>
      </c>
      <c r="C1470">
        <v>12085452</v>
      </c>
      <c r="D1470">
        <v>8416153</v>
      </c>
      <c r="E1470">
        <v>1.55000125E-2</v>
      </c>
      <c r="F1470">
        <v>0</v>
      </c>
      <c r="G1470">
        <v>0</v>
      </c>
      <c r="H1470">
        <v>5.0787274999999999E-5</v>
      </c>
      <c r="I1470" t="s">
        <v>176</v>
      </c>
      <c r="J1470">
        <v>5.7712812500000004E-4</v>
      </c>
      <c r="K1470">
        <v>1.6127927899999998E-2</v>
      </c>
      <c r="L1470">
        <v>3.8479505137935782E-3</v>
      </c>
      <c r="M1470">
        <v>2.3087703082761469E-2</v>
      </c>
      <c r="N1470">
        <v>3.9215630982761471E-2</v>
      </c>
      <c r="O1470" t="s">
        <v>177</v>
      </c>
      <c r="P1470">
        <v>9.67675674E-4</v>
      </c>
      <c r="Q1470" t="s">
        <v>177</v>
      </c>
      <c r="R1470">
        <v>1.3852621849656881E-3</v>
      </c>
      <c r="S1470" t="s">
        <v>178</v>
      </c>
      <c r="T1470">
        <v>4.7058757179313767E-3</v>
      </c>
      <c r="U1470">
        <v>4.6274444559658533E-2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0.85511000000000004</v>
      </c>
      <c r="AB1470">
        <v>1</v>
      </c>
      <c r="AC1470">
        <v>0.1</v>
      </c>
      <c r="AD1470">
        <v>0.30705427283965386</v>
      </c>
      <c r="AE1470">
        <v>1800</v>
      </c>
      <c r="AF1470">
        <v>200000</v>
      </c>
      <c r="AG1470">
        <v>16666.666666666668</v>
      </c>
      <c r="AH1470">
        <v>1</v>
      </c>
      <c r="AI1470">
        <v>1</v>
      </c>
      <c r="AJ1470" t="s">
        <v>162</v>
      </c>
      <c r="AK1470" t="s">
        <v>176</v>
      </c>
      <c r="AL1470">
        <v>0</v>
      </c>
      <c r="AM1470" t="s">
        <v>176</v>
      </c>
      <c r="AN1470">
        <v>0</v>
      </c>
    </row>
    <row r="1471" spans="1:40" x14ac:dyDescent="0.15">
      <c r="A1471" s="4" t="str">
        <f>HYPERLINK("https://ibp.a2mac1.com/costing(costing:projects/details/9760/process/12085453)","Cleaning")</f>
        <v>Cleaning</v>
      </c>
      <c r="C1471">
        <v>12085453</v>
      </c>
      <c r="D1471">
        <v>8416153</v>
      </c>
      <c r="E1471">
        <v>0</v>
      </c>
      <c r="F1471">
        <v>0</v>
      </c>
      <c r="G1471">
        <v>0</v>
      </c>
      <c r="H1471">
        <v>0</v>
      </c>
      <c r="I1471" t="s">
        <v>176</v>
      </c>
      <c r="J1471">
        <v>0</v>
      </c>
      <c r="K1471">
        <v>0</v>
      </c>
      <c r="L1471">
        <v>1.3387064771013693E-2</v>
      </c>
      <c r="M1471">
        <v>8.0322388626082167E-2</v>
      </c>
      <c r="N1471">
        <v>8.0322388626082167E-2</v>
      </c>
      <c r="O1471" t="s">
        <v>177</v>
      </c>
      <c r="P1471">
        <v>0</v>
      </c>
      <c r="Q1471" t="s">
        <v>177</v>
      </c>
      <c r="R1471">
        <v>4.8193433175649295E-3</v>
      </c>
      <c r="S1471" t="s">
        <v>178</v>
      </c>
      <c r="T1471">
        <v>9.6386866351298589E-3</v>
      </c>
      <c r="U1471">
        <v>9.4780418578776948E-2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10</v>
      </c>
      <c r="AB1471">
        <v>1</v>
      </c>
      <c r="AC1471">
        <v>0.1</v>
      </c>
      <c r="AD1471">
        <v>0.20557651238448796</v>
      </c>
      <c r="AE1471">
        <v>0</v>
      </c>
      <c r="AF1471">
        <v>200000</v>
      </c>
      <c r="AG1471">
        <v>16666.666666666668</v>
      </c>
      <c r="AH1471">
        <v>1</v>
      </c>
      <c r="AI1471">
        <v>1</v>
      </c>
      <c r="AJ1471" t="s">
        <v>162</v>
      </c>
      <c r="AK1471" t="s">
        <v>176</v>
      </c>
      <c r="AL1471">
        <v>0</v>
      </c>
      <c r="AM1471" t="s">
        <v>176</v>
      </c>
      <c r="AN1471">
        <v>0</v>
      </c>
    </row>
    <row r="1472" spans="1:40" x14ac:dyDescent="0.15">
      <c r="A1472" s="4" t="str">
        <f>HYPERLINK("https://ibp.a2mac1.com/costing(costing:projects/details/9760/process/12085454)","Packaging")</f>
        <v>Packaging</v>
      </c>
      <c r="C1472">
        <v>12085454</v>
      </c>
      <c r="D1472">
        <v>8416153</v>
      </c>
      <c r="E1472">
        <v>0</v>
      </c>
      <c r="F1472">
        <v>0</v>
      </c>
      <c r="G1472">
        <v>0</v>
      </c>
      <c r="H1472">
        <v>0</v>
      </c>
      <c r="I1472" t="s">
        <v>176</v>
      </c>
      <c r="J1472">
        <v>0</v>
      </c>
      <c r="K1472">
        <v>0</v>
      </c>
      <c r="L1472">
        <v>6.0707770319905078E-3</v>
      </c>
      <c r="M1472">
        <v>3.6424662191943048E-2</v>
      </c>
      <c r="N1472">
        <v>3.6424662191943048E-2</v>
      </c>
      <c r="O1472" t="s">
        <v>177</v>
      </c>
      <c r="P1472">
        <v>0</v>
      </c>
      <c r="Q1472" t="s">
        <v>177</v>
      </c>
      <c r="R1472">
        <v>2.1854797315165827E-3</v>
      </c>
      <c r="S1472" t="s">
        <v>178</v>
      </c>
      <c r="T1472">
        <v>4.3709594630331654E-3</v>
      </c>
      <c r="U1472">
        <v>4.2981101386492797E-2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8</v>
      </c>
      <c r="AB1472">
        <v>1</v>
      </c>
      <c r="AC1472">
        <v>0.1</v>
      </c>
      <c r="AD1472">
        <v>0.10389195236953569</v>
      </c>
      <c r="AE1472">
        <v>900</v>
      </c>
      <c r="AF1472">
        <v>200000</v>
      </c>
      <c r="AG1472">
        <v>16666.666666666668</v>
      </c>
      <c r="AH1472">
        <v>1</v>
      </c>
      <c r="AI1472">
        <v>1</v>
      </c>
      <c r="AJ1472" t="s">
        <v>162</v>
      </c>
      <c r="AK1472" t="s">
        <v>176</v>
      </c>
      <c r="AL1472">
        <v>0</v>
      </c>
      <c r="AM1472" t="s">
        <v>176</v>
      </c>
      <c r="AN1472">
        <v>0</v>
      </c>
    </row>
    <row r="1473" spans="1:40" x14ac:dyDescent="0.15">
      <c r="A1473" s="4" t="str">
        <f>HYPERLINK("https://ibp.a2mac1.com/costing(costing:projects/details/9760/process/12085181)","Assembly")</f>
        <v>Assembly</v>
      </c>
      <c r="C1473">
        <v>12085181</v>
      </c>
      <c r="D1473">
        <v>8415794</v>
      </c>
      <c r="E1473">
        <v>0</v>
      </c>
      <c r="F1473">
        <v>0</v>
      </c>
      <c r="G1473">
        <v>0</v>
      </c>
      <c r="H1473">
        <v>0</v>
      </c>
      <c r="I1473" t="s">
        <v>176</v>
      </c>
      <c r="J1473">
        <v>0</v>
      </c>
      <c r="K1473">
        <v>0</v>
      </c>
      <c r="L1473">
        <v>5.2660470210538941E-2</v>
      </c>
      <c r="M1473">
        <v>0.31596282126323366</v>
      </c>
      <c r="N1473">
        <v>0.31596282126323366</v>
      </c>
      <c r="O1473" t="s">
        <v>90</v>
      </c>
      <c r="P1473">
        <v>0</v>
      </c>
      <c r="Q1473" t="s">
        <v>90</v>
      </c>
      <c r="R1473">
        <v>0</v>
      </c>
      <c r="S1473" t="s">
        <v>90</v>
      </c>
      <c r="T1473">
        <v>0</v>
      </c>
      <c r="U1473">
        <v>0.31596282126323366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180</v>
      </c>
      <c r="AB1473">
        <v>1</v>
      </c>
      <c r="AC1473">
        <v>0.1</v>
      </c>
      <c r="AD1473">
        <v>0.10987913295375087</v>
      </c>
      <c r="AE1473">
        <v>600</v>
      </c>
      <c r="AF1473">
        <v>200000</v>
      </c>
      <c r="AG1473">
        <v>10000</v>
      </c>
      <c r="AH1473">
        <v>1</v>
      </c>
      <c r="AI1473">
        <v>1</v>
      </c>
      <c r="AJ1473" t="s">
        <v>76</v>
      </c>
      <c r="AK1473" t="s">
        <v>176</v>
      </c>
      <c r="AL1473">
        <v>0</v>
      </c>
      <c r="AM1473" t="s">
        <v>176</v>
      </c>
      <c r="AN1473">
        <v>0</v>
      </c>
    </row>
    <row r="1474" spans="1:40" x14ac:dyDescent="0.15">
      <c r="A1474" s="4" t="str">
        <f>HYPERLINK("https://ibp.a2mac1.com/costing(costing:projects/details/9760/process/12085084)","Assembly")</f>
        <v>Assembly</v>
      </c>
      <c r="C1474">
        <v>12085084</v>
      </c>
      <c r="D1474">
        <v>8415616</v>
      </c>
      <c r="E1474">
        <v>0</v>
      </c>
      <c r="F1474">
        <v>0</v>
      </c>
      <c r="G1474">
        <v>0</v>
      </c>
      <c r="H1474">
        <v>0</v>
      </c>
      <c r="I1474" t="s">
        <v>90</v>
      </c>
      <c r="J1474">
        <v>0</v>
      </c>
      <c r="K1474">
        <v>0</v>
      </c>
      <c r="L1474">
        <v>0</v>
      </c>
      <c r="M1474">
        <v>0.43868503495279115</v>
      </c>
      <c r="N1474">
        <v>0.43868503495279115</v>
      </c>
      <c r="O1474" t="s">
        <v>90</v>
      </c>
      <c r="P1474">
        <v>0</v>
      </c>
      <c r="Q1474" t="s">
        <v>90</v>
      </c>
      <c r="R1474">
        <v>0</v>
      </c>
      <c r="S1474" t="s">
        <v>90</v>
      </c>
      <c r="T1474">
        <v>0</v>
      </c>
      <c r="U1474">
        <v>0.43868503495279115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300</v>
      </c>
      <c r="AB1474">
        <v>1</v>
      </c>
      <c r="AC1474">
        <v>0.1</v>
      </c>
      <c r="AD1474">
        <v>0.10987913295375087</v>
      </c>
      <c r="AE1474">
        <v>600</v>
      </c>
      <c r="AF1474">
        <v>200000</v>
      </c>
      <c r="AG1474">
        <v>10000</v>
      </c>
      <c r="AH1474">
        <v>1</v>
      </c>
      <c r="AI1474">
        <v>1</v>
      </c>
      <c r="AJ1474" t="s">
        <v>76</v>
      </c>
      <c r="AK1474" t="s">
        <v>90</v>
      </c>
      <c r="AL1474">
        <v>0</v>
      </c>
      <c r="AM1474" t="s">
        <v>90</v>
      </c>
      <c r="AN1474">
        <v>0</v>
      </c>
    </row>
    <row r="1475" spans="1:40" x14ac:dyDescent="0.15">
      <c r="A1475" s="4" t="str">
        <f>HYPERLINK("https://ibp.a2mac1.com/costing(costing:projects/details/9760/process/12085182)","Automated Process")</f>
        <v>Automated Process</v>
      </c>
      <c r="B1475" t="s">
        <v>4235</v>
      </c>
      <c r="C1475">
        <v>12085182</v>
      </c>
      <c r="D1475">
        <v>8415797</v>
      </c>
      <c r="E1475">
        <v>0.527788653</v>
      </c>
      <c r="F1475">
        <v>0</v>
      </c>
      <c r="G1475">
        <v>0</v>
      </c>
      <c r="H1475">
        <v>2.6773038437894739E-3</v>
      </c>
      <c r="I1475" t="s">
        <v>176</v>
      </c>
      <c r="J1475">
        <v>1.8518900105263157E-2</v>
      </c>
      <c r="K1475">
        <v>0.54898485694905264</v>
      </c>
      <c r="L1475">
        <v>7.4767739224573929E-2</v>
      </c>
      <c r="M1475">
        <v>0.4486064353474436</v>
      </c>
      <c r="N1475">
        <v>0.99759129229649623</v>
      </c>
      <c r="O1475" t="s">
        <v>177</v>
      </c>
      <c r="P1475">
        <v>3.2939091416943157E-2</v>
      </c>
      <c r="Q1475" t="s">
        <v>177</v>
      </c>
      <c r="R1475">
        <v>2.6916386120846614E-2</v>
      </c>
      <c r="S1475" t="s">
        <v>178</v>
      </c>
      <c r="T1475">
        <v>0.11971095507557955</v>
      </c>
      <c r="U1475">
        <v>1.1771577249098655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41</v>
      </c>
      <c r="AB1475">
        <v>1</v>
      </c>
      <c r="AC1475">
        <v>0.5</v>
      </c>
      <c r="AD1475">
        <v>0.50345253019720215</v>
      </c>
      <c r="AE1475">
        <v>10800</v>
      </c>
      <c r="AF1475">
        <v>200000</v>
      </c>
      <c r="AG1475">
        <v>16666.666666666668</v>
      </c>
      <c r="AH1475">
        <v>1</v>
      </c>
      <c r="AI1475">
        <v>1</v>
      </c>
      <c r="AJ1475" t="s">
        <v>162</v>
      </c>
      <c r="AK1475" t="s">
        <v>176</v>
      </c>
      <c r="AL1475">
        <v>0</v>
      </c>
      <c r="AM1475" t="s">
        <v>176</v>
      </c>
      <c r="AN1475">
        <v>0</v>
      </c>
    </row>
    <row r="1476" spans="1:40" x14ac:dyDescent="0.15">
      <c r="A1476" s="4" t="str">
        <f>HYPERLINK("https://ibp.a2mac1.com/costing(costing:projects/details/9760/process/12085183)","Automated Process")</f>
        <v>Automated Process</v>
      </c>
      <c r="B1476" t="s">
        <v>4235</v>
      </c>
      <c r="C1476">
        <v>12085183</v>
      </c>
      <c r="D1476">
        <v>8415798</v>
      </c>
      <c r="E1476">
        <v>4.1224574999999999E-2</v>
      </c>
      <c r="F1476">
        <v>0</v>
      </c>
      <c r="G1476">
        <v>0</v>
      </c>
      <c r="H1476">
        <v>2.0911914736842106E-4</v>
      </c>
      <c r="I1476" t="s">
        <v>176</v>
      </c>
      <c r="J1476">
        <v>1.4464763157894737E-3</v>
      </c>
      <c r="K1476">
        <v>4.2880170463157896E-2</v>
      </c>
      <c r="L1476">
        <v>7.6565574225524614E-3</v>
      </c>
      <c r="M1476">
        <v>4.5939344535314765E-2</v>
      </c>
      <c r="N1476">
        <v>8.8819514998472668E-2</v>
      </c>
      <c r="O1476" t="s">
        <v>177</v>
      </c>
      <c r="P1476">
        <v>2.5728102277894735E-3</v>
      </c>
      <c r="Q1476" t="s">
        <v>177</v>
      </c>
      <c r="R1476">
        <v>2.756360672118886E-3</v>
      </c>
      <c r="S1476" t="s">
        <v>178</v>
      </c>
      <c r="T1476">
        <v>1.065834179981672E-2</v>
      </c>
      <c r="U1476">
        <v>0.10480702769819775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</v>
      </c>
      <c r="AC1476">
        <v>0.5</v>
      </c>
      <c r="AD1476">
        <v>0.50345253019720215</v>
      </c>
      <c r="AE1476">
        <v>10800</v>
      </c>
      <c r="AF1476">
        <v>200000</v>
      </c>
      <c r="AG1476">
        <v>16666.666666666668</v>
      </c>
      <c r="AH1476">
        <v>1</v>
      </c>
      <c r="AI1476">
        <v>1</v>
      </c>
      <c r="AJ1476" t="s">
        <v>162</v>
      </c>
      <c r="AK1476" t="s">
        <v>176</v>
      </c>
      <c r="AL1476">
        <v>0</v>
      </c>
      <c r="AM1476" t="s">
        <v>176</v>
      </c>
      <c r="AN1476">
        <v>0</v>
      </c>
    </row>
    <row r="1477" spans="1:40" x14ac:dyDescent="0.15">
      <c r="A1477" s="4" t="str">
        <f>HYPERLINK("https://ibp.a2mac1.com/costing(costing:projects/details/9760/process/12085184)","Automated Process")</f>
        <v>Automated Process</v>
      </c>
      <c r="B1477" t="s">
        <v>4235</v>
      </c>
      <c r="C1477">
        <v>12085184</v>
      </c>
      <c r="D1477">
        <v>8415799</v>
      </c>
      <c r="E1477">
        <v>4.2477960000000002E-2</v>
      </c>
      <c r="F1477">
        <v>0</v>
      </c>
      <c r="G1477">
        <v>0</v>
      </c>
      <c r="H1477">
        <v>2.154771705263158E-4</v>
      </c>
      <c r="I1477" t="s">
        <v>176</v>
      </c>
      <c r="J1477">
        <v>1.4904547368421053E-3</v>
      </c>
      <c r="K1477">
        <v>4.4183891907368419E-2</v>
      </c>
      <c r="L1477">
        <v>7.6565574225524614E-3</v>
      </c>
      <c r="M1477">
        <v>4.5939344535314765E-2</v>
      </c>
      <c r="N1477">
        <v>9.0123236442683191E-2</v>
      </c>
      <c r="O1477" t="s">
        <v>177</v>
      </c>
      <c r="P1477">
        <v>2.6510335144421054E-3</v>
      </c>
      <c r="Q1477" t="s">
        <v>177</v>
      </c>
      <c r="R1477">
        <v>2.756360672118886E-3</v>
      </c>
      <c r="S1477" t="s">
        <v>178</v>
      </c>
      <c r="T1477">
        <v>1.0814788373121983E-2</v>
      </c>
      <c r="U1477">
        <v>0.10634541900236616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</v>
      </c>
      <c r="AC1477">
        <v>0.5</v>
      </c>
      <c r="AD1477">
        <v>0.50345253019720215</v>
      </c>
      <c r="AE1477">
        <v>10800</v>
      </c>
      <c r="AF1477">
        <v>200000</v>
      </c>
      <c r="AG1477">
        <v>16666.666666666668</v>
      </c>
      <c r="AH1477">
        <v>1</v>
      </c>
      <c r="AI1477">
        <v>1</v>
      </c>
      <c r="AJ1477" t="s">
        <v>162</v>
      </c>
      <c r="AK1477" t="s">
        <v>176</v>
      </c>
      <c r="AL1477">
        <v>0</v>
      </c>
      <c r="AM1477" t="s">
        <v>176</v>
      </c>
      <c r="AN1477">
        <v>0</v>
      </c>
    </row>
    <row r="1478" spans="1:40" x14ac:dyDescent="0.15">
      <c r="A1478" s="4" t="str">
        <f>HYPERLINK("https://ibp.a2mac1.com/costing(costing:projects/details/9760/process/12085185)","Automated Process")</f>
        <v>Automated Process</v>
      </c>
      <c r="B1478" t="s">
        <v>4235</v>
      </c>
      <c r="C1478">
        <v>12085185</v>
      </c>
      <c r="D1478">
        <v>8415801</v>
      </c>
      <c r="E1478">
        <v>1.7836392E-2</v>
      </c>
      <c r="F1478">
        <v>0</v>
      </c>
      <c r="G1478">
        <v>0</v>
      </c>
      <c r="H1478">
        <v>8.994190652631579E-5</v>
      </c>
      <c r="I1478" t="s">
        <v>176</v>
      </c>
      <c r="J1478">
        <v>6.2583831578947365E-4</v>
      </c>
      <c r="K1478">
        <v>1.8552172222315789E-2</v>
      </c>
      <c r="L1478">
        <v>2.9451489331908773E-3</v>
      </c>
      <c r="M1478">
        <v>1.7670893599145265E-2</v>
      </c>
      <c r="N1478">
        <v>3.6223065821461051E-2</v>
      </c>
      <c r="O1478" t="s">
        <v>177</v>
      </c>
      <c r="P1478">
        <v>1.1131303333389473E-3</v>
      </c>
      <c r="Q1478" t="s">
        <v>177</v>
      </c>
      <c r="R1478">
        <v>1.0602536159487158E-3</v>
      </c>
      <c r="S1478" t="s">
        <v>178</v>
      </c>
      <c r="T1478">
        <v>4.3467678985753266E-3</v>
      </c>
      <c r="U1478">
        <v>4.2743217669324041E-2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1</v>
      </c>
      <c r="AC1478">
        <v>0.5</v>
      </c>
      <c r="AD1478">
        <v>0.50048257265952256</v>
      </c>
      <c r="AE1478">
        <v>10800</v>
      </c>
      <c r="AF1478">
        <v>400000</v>
      </c>
      <c r="AG1478">
        <v>33333.333333333336</v>
      </c>
      <c r="AH1478">
        <v>1</v>
      </c>
      <c r="AI1478">
        <v>1</v>
      </c>
      <c r="AJ1478" t="s">
        <v>162</v>
      </c>
      <c r="AK1478" t="s">
        <v>176</v>
      </c>
      <c r="AL1478">
        <v>0</v>
      </c>
      <c r="AM1478" t="s">
        <v>176</v>
      </c>
      <c r="AN1478">
        <v>0</v>
      </c>
    </row>
    <row r="1479" spans="1:40" x14ac:dyDescent="0.15">
      <c r="A1479" s="4" t="str">
        <f>HYPERLINK("https://ibp.a2mac1.com/costing(costing:projects/details/9760/process/12085186)","Automated Process")</f>
        <v>Automated Process</v>
      </c>
      <c r="B1479" t="s">
        <v>4235</v>
      </c>
      <c r="C1479">
        <v>12085186</v>
      </c>
      <c r="D1479">
        <v>8415802</v>
      </c>
      <c r="E1479">
        <v>6.1453570499999999E-2</v>
      </c>
      <c r="F1479">
        <v>0</v>
      </c>
      <c r="G1479">
        <v>0</v>
      </c>
      <c r="H1479">
        <v>3.1173440273684212E-4</v>
      </c>
      <c r="I1479" t="s">
        <v>176</v>
      </c>
      <c r="J1479">
        <v>2.1562656315789472E-3</v>
      </c>
      <c r="K1479">
        <v>6.3921570534315783E-2</v>
      </c>
      <c r="L1479">
        <v>5.8904736909203177E-3</v>
      </c>
      <c r="M1479">
        <v>3.5342842145521906E-2</v>
      </c>
      <c r="N1479">
        <v>9.9264412679837696E-2</v>
      </c>
      <c r="O1479" t="s">
        <v>177</v>
      </c>
      <c r="P1479">
        <v>3.8352942320589475E-3</v>
      </c>
      <c r="Q1479" t="s">
        <v>177</v>
      </c>
      <c r="R1479">
        <v>2.1205705287313144E-3</v>
      </c>
      <c r="S1479" t="s">
        <v>178</v>
      </c>
      <c r="T1479">
        <v>1.1911729521580523E-2</v>
      </c>
      <c r="U1479">
        <v>0.11713200696220848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2</v>
      </c>
      <c r="AB1479">
        <v>1</v>
      </c>
      <c r="AC1479">
        <v>0.5</v>
      </c>
      <c r="AD1479">
        <v>0.50345253019720215</v>
      </c>
      <c r="AE1479">
        <v>10800</v>
      </c>
      <c r="AF1479">
        <v>200000</v>
      </c>
      <c r="AG1479">
        <v>16666.666666666668</v>
      </c>
      <c r="AH1479">
        <v>1</v>
      </c>
      <c r="AI1479">
        <v>1</v>
      </c>
      <c r="AJ1479" t="s">
        <v>162</v>
      </c>
      <c r="AK1479" t="s">
        <v>176</v>
      </c>
      <c r="AL1479">
        <v>0</v>
      </c>
      <c r="AM1479" t="s">
        <v>176</v>
      </c>
      <c r="AN1479">
        <v>0</v>
      </c>
    </row>
    <row r="1480" spans="1:40" x14ac:dyDescent="0.15">
      <c r="A1480" s="4" t="str">
        <f>HYPERLINK("https://ibp.a2mac1.com/costing(costing:projects/details/9760/process/12085187)","Automated Process")</f>
        <v>Automated Process</v>
      </c>
      <c r="B1480" t="s">
        <v>4235</v>
      </c>
      <c r="C1480">
        <v>12085187</v>
      </c>
      <c r="D1480">
        <v>8415803</v>
      </c>
      <c r="E1480">
        <v>7.3159012499999995E-2</v>
      </c>
      <c r="F1480">
        <v>0</v>
      </c>
      <c r="G1480">
        <v>0</v>
      </c>
      <c r="H1480">
        <v>3.7111238421052629E-4</v>
      </c>
      <c r="I1480" t="s">
        <v>176</v>
      </c>
      <c r="J1480">
        <v>2.5669828947368421E-3</v>
      </c>
      <c r="K1480">
        <v>7.6097107778947362E-2</v>
      </c>
      <c r="L1480">
        <v>5.8904736909203177E-3</v>
      </c>
      <c r="M1480">
        <v>3.5342842145521906E-2</v>
      </c>
      <c r="N1480">
        <v>0.11143994992446928</v>
      </c>
      <c r="O1480" t="s">
        <v>177</v>
      </c>
      <c r="P1480">
        <v>4.5658264667368421E-3</v>
      </c>
      <c r="Q1480" t="s">
        <v>177</v>
      </c>
      <c r="R1480">
        <v>2.1205705287313144E-3</v>
      </c>
      <c r="S1480" t="s">
        <v>178</v>
      </c>
      <c r="T1480">
        <v>1.3372793990936313E-2</v>
      </c>
      <c r="U1480">
        <v>0.13149914091087375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2</v>
      </c>
      <c r="AB1480">
        <v>1</v>
      </c>
      <c r="AC1480">
        <v>0.5</v>
      </c>
      <c r="AD1480">
        <v>0.50345253019720215</v>
      </c>
      <c r="AE1480">
        <v>10800</v>
      </c>
      <c r="AF1480">
        <v>200000</v>
      </c>
      <c r="AG1480">
        <v>16666.666666666668</v>
      </c>
      <c r="AH1480">
        <v>1</v>
      </c>
      <c r="AI1480">
        <v>1</v>
      </c>
      <c r="AJ1480" t="s">
        <v>162</v>
      </c>
      <c r="AK1480" t="s">
        <v>176</v>
      </c>
      <c r="AL1480">
        <v>0</v>
      </c>
      <c r="AM1480" t="s">
        <v>176</v>
      </c>
      <c r="AN1480">
        <v>0</v>
      </c>
    </row>
    <row r="1481" spans="1:40" x14ac:dyDescent="0.15">
      <c r="A1481" s="4" t="str">
        <f>HYPERLINK("https://ibp.a2mac1.com/costing(costing:projects/details/9760/process/12085188)","Automated Process")</f>
        <v>Automated Process</v>
      </c>
      <c r="B1481" t="s">
        <v>4235</v>
      </c>
      <c r="C1481">
        <v>12085188</v>
      </c>
      <c r="D1481">
        <v>8415804</v>
      </c>
      <c r="E1481">
        <v>0.152170746</v>
      </c>
      <c r="F1481">
        <v>0</v>
      </c>
      <c r="G1481">
        <v>0</v>
      </c>
      <c r="H1481">
        <v>7.7191375915789469E-4</v>
      </c>
      <c r="I1481" t="s">
        <v>176</v>
      </c>
      <c r="J1481">
        <v>5.3393244210526315E-3</v>
      </c>
      <c r="K1481">
        <v>0.15828198418021053</v>
      </c>
      <c r="L1481">
        <v>9.422641154184605E-3</v>
      </c>
      <c r="M1481">
        <v>5.653584692510763E-2</v>
      </c>
      <c r="N1481">
        <v>0.21481783110531816</v>
      </c>
      <c r="O1481" t="s">
        <v>177</v>
      </c>
      <c r="P1481">
        <v>9.4969190508126314E-3</v>
      </c>
      <c r="Q1481" t="s">
        <v>177</v>
      </c>
      <c r="R1481">
        <v>3.392150815506458E-3</v>
      </c>
      <c r="S1481" t="s">
        <v>178</v>
      </c>
      <c r="T1481">
        <v>2.5778139732638178E-2</v>
      </c>
      <c r="U1481">
        <v>0.25348504070427541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4</v>
      </c>
      <c r="AB1481">
        <v>1</v>
      </c>
      <c r="AC1481">
        <v>0.5</v>
      </c>
      <c r="AD1481">
        <v>0.50345253019720215</v>
      </c>
      <c r="AE1481">
        <v>10800</v>
      </c>
      <c r="AF1481">
        <v>200000</v>
      </c>
      <c r="AG1481">
        <v>16666.666666666668</v>
      </c>
      <c r="AH1481">
        <v>1</v>
      </c>
      <c r="AI1481">
        <v>1</v>
      </c>
      <c r="AJ1481" t="s">
        <v>162</v>
      </c>
      <c r="AK1481" t="s">
        <v>176</v>
      </c>
      <c r="AL1481">
        <v>0</v>
      </c>
      <c r="AM1481" t="s">
        <v>176</v>
      </c>
      <c r="AN1481">
        <v>0</v>
      </c>
    </row>
    <row r="1482" spans="1:40" x14ac:dyDescent="0.15">
      <c r="A1482" s="4" t="str">
        <f>HYPERLINK("https://ibp.a2mac1.com/costing(costing:projects/details/9760/process/12085189)","Automated Process")</f>
        <v>Automated Process</v>
      </c>
      <c r="B1482" t="s">
        <v>4235</v>
      </c>
      <c r="C1482">
        <v>12085189</v>
      </c>
      <c r="D1482">
        <v>8415805</v>
      </c>
      <c r="E1482">
        <v>7.4336430000000002E-3</v>
      </c>
      <c r="F1482">
        <v>0</v>
      </c>
      <c r="G1482">
        <v>0</v>
      </c>
      <c r="H1482">
        <v>3.7708504842105266E-5</v>
      </c>
      <c r="I1482" t="s">
        <v>176</v>
      </c>
      <c r="J1482">
        <v>2.6082957894736842E-4</v>
      </c>
      <c r="K1482">
        <v>7.7321810837894739E-3</v>
      </c>
      <c r="L1482">
        <v>4.1243899592881732E-3</v>
      </c>
      <c r="M1482">
        <v>2.4746339755729041E-2</v>
      </c>
      <c r="N1482">
        <v>3.2478520839518514E-2</v>
      </c>
      <c r="O1482" t="s">
        <v>177</v>
      </c>
      <c r="P1482">
        <v>4.639308650273684E-4</v>
      </c>
      <c r="Q1482" t="s">
        <v>177</v>
      </c>
      <c r="R1482">
        <v>1.4847803853437424E-3</v>
      </c>
      <c r="S1482" t="s">
        <v>178</v>
      </c>
      <c r="T1482">
        <v>3.8974225007422218E-3</v>
      </c>
      <c r="U1482">
        <v>3.8324654590631849E-2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0.5</v>
      </c>
      <c r="AD1482">
        <v>0.50345253019720215</v>
      </c>
      <c r="AE1482">
        <v>10800</v>
      </c>
      <c r="AF1482">
        <v>200000</v>
      </c>
      <c r="AG1482">
        <v>16666.666666666668</v>
      </c>
      <c r="AH1482">
        <v>1</v>
      </c>
      <c r="AI1482">
        <v>1</v>
      </c>
      <c r="AJ1482" t="s">
        <v>162</v>
      </c>
      <c r="AK1482" t="s">
        <v>176</v>
      </c>
      <c r="AL1482">
        <v>0</v>
      </c>
      <c r="AM1482" t="s">
        <v>176</v>
      </c>
      <c r="AN1482">
        <v>0</v>
      </c>
    </row>
  </sheetData>
  <mergeCells count="15">
    <mergeCell ref="A1:D2"/>
    <mergeCell ref="E1:U1"/>
    <mergeCell ref="I3:J3"/>
    <mergeCell ref="E2:K2"/>
    <mergeCell ref="L2:M2"/>
    <mergeCell ref="O3:P3"/>
    <mergeCell ref="Q3:R3"/>
    <mergeCell ref="S3:T3"/>
    <mergeCell ref="O2:T2"/>
    <mergeCell ref="V1:Z1"/>
    <mergeCell ref="V2:X2"/>
    <mergeCell ref="AA1:AJ2"/>
    <mergeCell ref="AK1:AP2"/>
    <mergeCell ref="AK3:AL3"/>
    <mergeCell ref="AM3:AN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8BE9-D229-409E-A46F-EE3E3BC5558B}">
  <dimension ref="A1:AS1282"/>
  <sheetViews>
    <sheetView workbookViewId="0"/>
  </sheetViews>
  <sheetFormatPr baseColWidth="10" defaultColWidth="8.83203125" defaultRowHeight="13" x14ac:dyDescent="0.15"/>
  <cols>
    <col min="1" max="1" width="6.5" customWidth="1"/>
    <col min="2" max="2" width="3.1640625" customWidth="1"/>
    <col min="3" max="3" width="17.1640625" customWidth="1"/>
    <col min="4" max="4" width="11.5" customWidth="1"/>
    <col min="5" max="5" width="7.5" customWidth="1"/>
    <col min="6" max="6" width="17.5" customWidth="1"/>
    <col min="7" max="7" width="9" customWidth="1"/>
    <col min="8" max="8" width="19.5" customWidth="1"/>
    <col min="9" max="9" width="20.83203125" customWidth="1"/>
    <col min="10" max="10" width="14.83203125" customWidth="1"/>
    <col min="11" max="11" width="13.5" customWidth="1"/>
    <col min="12" max="12" width="15.5" customWidth="1"/>
    <col min="13" max="13" width="29.5" customWidth="1"/>
    <col min="14" max="14" width="6.83203125" customWidth="1"/>
    <col min="15" max="15" width="31.83203125" customWidth="1"/>
    <col min="16" max="16" width="8.33203125" customWidth="1"/>
    <col min="17" max="17" width="6.83203125" customWidth="1"/>
    <col min="18" max="18" width="12" customWidth="1"/>
    <col min="19" max="19" width="15.6640625" customWidth="1"/>
    <col min="20" max="20" width="16.83203125" customWidth="1"/>
    <col min="21" max="22" width="10.5" customWidth="1"/>
    <col min="23" max="23" width="20.83203125" customWidth="1"/>
    <col min="24" max="25" width="9.33203125" customWidth="1"/>
    <col min="26" max="26" width="20.83203125" customWidth="1"/>
    <col min="27" max="28" width="10.5" customWidth="1"/>
    <col min="29" max="29" width="13" customWidth="1"/>
    <col min="30" max="30" width="29.83203125" customWidth="1"/>
    <col min="31" max="31" width="37.5" customWidth="1"/>
    <col min="32" max="32" width="39" customWidth="1"/>
    <col min="33" max="33" width="33.6640625" customWidth="1"/>
    <col min="34" max="34" width="26.6640625" customWidth="1"/>
    <col min="35" max="35" width="23.33203125" customWidth="1"/>
    <col min="36" max="36" width="24.83203125" customWidth="1"/>
    <col min="37" max="37" width="24.5" customWidth="1"/>
    <col min="38" max="38" width="15.83203125" customWidth="1"/>
    <col min="39" max="39" width="7.6640625" customWidth="1"/>
    <col min="40" max="40" width="13.33203125" customWidth="1"/>
    <col min="41" max="41" width="6.5" customWidth="1"/>
    <col min="42" max="42" width="6.33203125" customWidth="1"/>
    <col min="43" max="43" width="13.5" customWidth="1"/>
    <col min="44" max="44" width="9.1640625" customWidth="1"/>
    <col min="45" max="45" width="21.5" customWidth="1"/>
  </cols>
  <sheetData>
    <row r="1" spans="1:45" ht="17" x14ac:dyDescent="0.15">
      <c r="A1" s="6" t="s">
        <v>240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 t="s">
        <v>15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242</v>
      </c>
      <c r="AE1" s="6"/>
      <c r="AF1" s="6"/>
      <c r="AG1" s="6"/>
      <c r="AH1" s="6"/>
      <c r="AI1" s="6" t="s">
        <v>248</v>
      </c>
      <c r="AJ1" s="6"/>
      <c r="AK1" s="6"/>
      <c r="AL1" s="6" t="s">
        <v>252</v>
      </c>
      <c r="AM1" s="6"/>
      <c r="AN1" s="6"/>
      <c r="AO1" s="6"/>
      <c r="AP1" s="6"/>
      <c r="AQ1" s="6" t="s">
        <v>64</v>
      </c>
      <c r="AR1" s="6"/>
      <c r="AS1" s="6"/>
    </row>
    <row r="2" spans="1:45" ht="16" x14ac:dyDescent="0.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 t="s">
        <v>22</v>
      </c>
      <c r="T2" s="7"/>
      <c r="U2" s="7"/>
      <c r="V2" s="7"/>
      <c r="W2" s="7"/>
      <c r="X2" s="7" t="s">
        <v>33</v>
      </c>
      <c r="Y2" s="7"/>
      <c r="Z2" s="7"/>
      <c r="AA2" s="7"/>
      <c r="AB2" s="7"/>
      <c r="AC2" s="2" t="s">
        <v>34</v>
      </c>
      <c r="AD2" s="7" t="s">
        <v>22</v>
      </c>
      <c r="AE2" s="7"/>
      <c r="AF2" s="7"/>
      <c r="AG2" s="7"/>
      <c r="AH2" s="2" t="s">
        <v>34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x14ac:dyDescent="0.15">
      <c r="A3" s="1" t="s">
        <v>4</v>
      </c>
      <c r="B3" s="1" t="s">
        <v>12</v>
      </c>
      <c r="C3" s="1" t="s">
        <v>115</v>
      </c>
      <c r="D3" s="1" t="s">
        <v>14</v>
      </c>
      <c r="E3" s="1" t="s">
        <v>229</v>
      </c>
      <c r="F3" s="1" t="s">
        <v>230</v>
      </c>
      <c r="G3" s="1" t="s">
        <v>231</v>
      </c>
      <c r="H3" s="1" t="s">
        <v>232</v>
      </c>
      <c r="I3" s="1" t="s">
        <v>233</v>
      </c>
      <c r="J3" s="1" t="s">
        <v>170</v>
      </c>
      <c r="K3" s="1" t="s">
        <v>234</v>
      </c>
      <c r="L3" s="1" t="s">
        <v>235</v>
      </c>
      <c r="M3" s="1" t="s">
        <v>236</v>
      </c>
      <c r="N3" s="1" t="s">
        <v>237</v>
      </c>
      <c r="O3" s="1" t="s">
        <v>52</v>
      </c>
      <c r="P3" s="1" t="s">
        <v>238</v>
      </c>
      <c r="Q3" s="1" t="s">
        <v>239</v>
      </c>
      <c r="R3" s="1" t="s">
        <v>63</v>
      </c>
      <c r="S3" s="1" t="s">
        <v>241</v>
      </c>
      <c r="T3" s="1" t="s">
        <v>19</v>
      </c>
      <c r="U3" s="8" t="s">
        <v>20</v>
      </c>
      <c r="V3" s="8"/>
      <c r="W3" s="1" t="s">
        <v>21</v>
      </c>
      <c r="X3" s="8" t="s">
        <v>28</v>
      </c>
      <c r="Y3" s="8"/>
      <c r="Z3" s="1" t="s">
        <v>29</v>
      </c>
      <c r="AA3" s="8" t="s">
        <v>30</v>
      </c>
      <c r="AB3" s="8"/>
      <c r="AC3" s="1" t="s">
        <v>35</v>
      </c>
      <c r="AD3" s="1" t="s">
        <v>243</v>
      </c>
      <c r="AE3" s="1" t="s">
        <v>244</v>
      </c>
      <c r="AF3" s="1" t="s">
        <v>245</v>
      </c>
      <c r="AG3" s="1" t="s">
        <v>246</v>
      </c>
      <c r="AH3" s="1" t="s">
        <v>247</v>
      </c>
      <c r="AI3" s="1" t="s">
        <v>249</v>
      </c>
      <c r="AJ3" s="1" t="s">
        <v>250</v>
      </c>
      <c r="AK3" s="1" t="s">
        <v>251</v>
      </c>
      <c r="AL3" s="1" t="s">
        <v>253</v>
      </c>
      <c r="AM3" s="1" t="s">
        <v>254</v>
      </c>
      <c r="AN3" s="1" t="s">
        <v>255</v>
      </c>
      <c r="AO3" s="1" t="s">
        <v>75</v>
      </c>
      <c r="AP3" s="1" t="s">
        <v>256</v>
      </c>
      <c r="AQ3" s="1" t="s">
        <v>257</v>
      </c>
      <c r="AR3" s="1" t="s">
        <v>258</v>
      </c>
      <c r="AS3" s="1" t="s">
        <v>259</v>
      </c>
    </row>
    <row r="4" spans="1:45" x14ac:dyDescent="0.15">
      <c r="A4" s="4" t="str">
        <f>HYPERLINK("https://ibp.a2mac1.com/costing(costing:projects/details/9760/material/8751576)","Aluminum for casting (default, e.g. A380/ADC10/EN-AC46500)")</f>
        <v>Aluminum for casting (default, e.g. A380/ADC10/EN-AC46500)</v>
      </c>
      <c r="B4">
        <v>8751576</v>
      </c>
      <c r="C4">
        <v>12082468</v>
      </c>
      <c r="E4">
        <v>2.4518200000000001</v>
      </c>
      <c r="F4" t="s">
        <v>260</v>
      </c>
      <c r="G4">
        <v>80</v>
      </c>
      <c r="H4" t="s">
        <v>261</v>
      </c>
      <c r="I4">
        <v>50</v>
      </c>
      <c r="J4">
        <v>40.000479996160031</v>
      </c>
      <c r="K4">
        <v>0</v>
      </c>
      <c r="L4">
        <v>0</v>
      </c>
      <c r="M4">
        <v>0</v>
      </c>
      <c r="O4">
        <v>200000</v>
      </c>
      <c r="R4" t="s">
        <v>162</v>
      </c>
      <c r="S4">
        <v>0.83239289000000005</v>
      </c>
      <c r="T4">
        <v>5.5493969190519996</v>
      </c>
      <c r="U4" t="s">
        <v>176</v>
      </c>
      <c r="V4">
        <v>0.29133751149999998</v>
      </c>
      <c r="W4">
        <v>13.332270440552</v>
      </c>
      <c r="X4" t="s">
        <v>177</v>
      </c>
      <c r="Y4">
        <v>0.79993622643312001</v>
      </c>
      <c r="Z4">
        <v>0</v>
      </c>
      <c r="AA4" t="s">
        <v>178</v>
      </c>
      <c r="AB4">
        <v>1.59987245286624</v>
      </c>
      <c r="AC4">
        <v>15.73207911985136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Q4" t="s">
        <v>262</v>
      </c>
      <c r="AR4" t="s">
        <v>263</v>
      </c>
      <c r="AS4">
        <v>8.3239289000000003</v>
      </c>
    </row>
    <row r="5" spans="1:45" x14ac:dyDescent="0.15">
      <c r="A5" s="4" t="str">
        <f>HYPERLINK("https://ibp.a2mac1.com/costing(costing:projects/details/9760/material/8751924)","Material")</f>
        <v>Material</v>
      </c>
      <c r="B5">
        <v>8751924</v>
      </c>
      <c r="C5">
        <v>12083017</v>
      </c>
      <c r="E5">
        <v>47.047499999999999</v>
      </c>
      <c r="F5" t="s">
        <v>478</v>
      </c>
      <c r="G5">
        <v>100</v>
      </c>
      <c r="H5" t="s">
        <v>479</v>
      </c>
      <c r="I5">
        <v>0</v>
      </c>
      <c r="J5">
        <v>1.9999600007999841E-3</v>
      </c>
      <c r="K5">
        <v>0</v>
      </c>
      <c r="M5">
        <v>0</v>
      </c>
      <c r="O5">
        <v>400000</v>
      </c>
      <c r="R5" t="s">
        <v>162</v>
      </c>
      <c r="S5">
        <v>0</v>
      </c>
      <c r="T5">
        <v>9.4094999999999997E-4</v>
      </c>
      <c r="U5" t="s">
        <v>176</v>
      </c>
      <c r="V5">
        <v>1.6466624999999999</v>
      </c>
      <c r="W5">
        <v>48.695103449999998</v>
      </c>
      <c r="X5" t="s">
        <v>90</v>
      </c>
      <c r="Y5">
        <v>0</v>
      </c>
      <c r="Z5">
        <v>0</v>
      </c>
      <c r="AA5" t="s">
        <v>90</v>
      </c>
      <c r="AB5">
        <v>0</v>
      </c>
      <c r="AC5">
        <v>48.695103449999998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Q5" t="s">
        <v>9</v>
      </c>
      <c r="AR5" t="s">
        <v>263</v>
      </c>
      <c r="AS5">
        <v>47.047499999999999</v>
      </c>
    </row>
    <row r="6" spans="1:45" x14ac:dyDescent="0.15">
      <c r="A6" s="4" t="str">
        <f>HYPERLINK("https://ibp.a2mac1.com/costing(costing:projects/details/9760/material/8751925)","Material")</f>
        <v>Material</v>
      </c>
      <c r="B6">
        <v>8751925</v>
      </c>
      <c r="C6">
        <v>12083018</v>
      </c>
      <c r="E6">
        <v>9.99</v>
      </c>
      <c r="F6" t="s">
        <v>478</v>
      </c>
      <c r="G6">
        <v>100</v>
      </c>
      <c r="H6" t="s">
        <v>479</v>
      </c>
      <c r="I6">
        <v>0</v>
      </c>
      <c r="J6">
        <v>1.9999600007999841E-3</v>
      </c>
      <c r="K6">
        <v>0</v>
      </c>
      <c r="L6">
        <v>0</v>
      </c>
      <c r="M6">
        <v>0</v>
      </c>
      <c r="O6">
        <v>400000</v>
      </c>
      <c r="R6" t="s">
        <v>162</v>
      </c>
      <c r="S6">
        <v>0</v>
      </c>
      <c r="T6">
        <v>1.998E-4</v>
      </c>
      <c r="U6" t="s">
        <v>176</v>
      </c>
      <c r="V6">
        <v>0.34965000000000002</v>
      </c>
      <c r="W6">
        <v>10.3398498</v>
      </c>
      <c r="X6" t="s">
        <v>177</v>
      </c>
      <c r="Y6">
        <v>0.62039098800000003</v>
      </c>
      <c r="Z6">
        <v>0</v>
      </c>
      <c r="AA6" t="s">
        <v>178</v>
      </c>
      <c r="AB6">
        <v>1.2407819760000001</v>
      </c>
      <c r="AC6">
        <v>12.201022763999999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Q6" t="s">
        <v>9</v>
      </c>
      <c r="AR6" t="s">
        <v>263</v>
      </c>
      <c r="AS6">
        <v>9.99</v>
      </c>
    </row>
    <row r="7" spans="1:45" x14ac:dyDescent="0.15">
      <c r="A7" s="4" t="str">
        <f>HYPERLINK("https://ibp.a2mac1.com/costing(costing:projects/details/9760/material/8751900)","Material")</f>
        <v>Material</v>
      </c>
      <c r="B7">
        <v>8751900</v>
      </c>
      <c r="C7">
        <v>12083006</v>
      </c>
      <c r="E7">
        <v>35.25</v>
      </c>
      <c r="F7" t="s">
        <v>478</v>
      </c>
      <c r="G7">
        <v>100</v>
      </c>
      <c r="H7" t="s">
        <v>479</v>
      </c>
      <c r="I7">
        <v>0</v>
      </c>
      <c r="J7">
        <v>1.9999600007999841E-3</v>
      </c>
      <c r="K7">
        <v>0</v>
      </c>
      <c r="L7">
        <v>0</v>
      </c>
      <c r="M7">
        <v>0</v>
      </c>
      <c r="O7">
        <v>400000</v>
      </c>
      <c r="R7" t="s">
        <v>162</v>
      </c>
      <c r="S7">
        <v>0</v>
      </c>
      <c r="T7">
        <v>7.0500000000000001E-4</v>
      </c>
      <c r="U7" t="s">
        <v>176</v>
      </c>
      <c r="V7">
        <v>1.2337499999999999</v>
      </c>
      <c r="W7">
        <v>36.484454999999997</v>
      </c>
      <c r="X7" t="s">
        <v>177</v>
      </c>
      <c r="Y7">
        <v>2.1890673</v>
      </c>
      <c r="Z7">
        <v>0</v>
      </c>
      <c r="AA7" t="s">
        <v>178</v>
      </c>
      <c r="AB7">
        <v>4.3781346000000001</v>
      </c>
      <c r="AC7">
        <v>43.051656899999998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Q7" t="s">
        <v>9</v>
      </c>
      <c r="AR7" t="s">
        <v>263</v>
      </c>
      <c r="AS7">
        <v>35.25</v>
      </c>
    </row>
    <row r="8" spans="1:45" x14ac:dyDescent="0.15">
      <c r="A8" s="4" t="str">
        <f>HYPERLINK("https://ibp.a2mac1.com/costing(costing:projects/details/9760/material/8751901)","Material")</f>
        <v>Material</v>
      </c>
      <c r="B8">
        <v>8751901</v>
      </c>
      <c r="C8">
        <v>12083008</v>
      </c>
      <c r="E8">
        <v>15.53</v>
      </c>
      <c r="F8" t="s">
        <v>478</v>
      </c>
      <c r="G8">
        <v>100</v>
      </c>
      <c r="H8" t="s">
        <v>479</v>
      </c>
      <c r="I8">
        <v>0</v>
      </c>
      <c r="J8">
        <v>1.9999600007999841E-3</v>
      </c>
      <c r="K8">
        <v>0</v>
      </c>
      <c r="M8">
        <v>0</v>
      </c>
      <c r="O8">
        <v>200000</v>
      </c>
      <c r="R8" t="s">
        <v>162</v>
      </c>
      <c r="S8">
        <v>0</v>
      </c>
      <c r="T8">
        <v>3.1060000000000001E-4</v>
      </c>
      <c r="U8" t="s">
        <v>176</v>
      </c>
      <c r="V8">
        <v>0.54354999999999998</v>
      </c>
      <c r="W8">
        <v>16.0738606</v>
      </c>
      <c r="X8" t="s">
        <v>177</v>
      </c>
      <c r="Y8">
        <v>0.96443163600000004</v>
      </c>
      <c r="Z8">
        <v>0</v>
      </c>
      <c r="AA8" t="s">
        <v>178</v>
      </c>
      <c r="AB8">
        <v>1.9288632720000001</v>
      </c>
      <c r="AC8">
        <v>18.967155508000001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Q8" t="s">
        <v>9</v>
      </c>
      <c r="AR8" t="s">
        <v>263</v>
      </c>
      <c r="AS8">
        <v>15.53</v>
      </c>
    </row>
    <row r="9" spans="1:45" x14ac:dyDescent="0.15">
      <c r="A9" s="4" t="str">
        <f>HYPERLINK("https://ibp.a2mac1.com/costing(costing:projects/details/9760/material/8751940)","Material")</f>
        <v>Material</v>
      </c>
      <c r="B9">
        <v>8751940</v>
      </c>
      <c r="C9">
        <v>12083044</v>
      </c>
      <c r="E9">
        <v>8.1</v>
      </c>
      <c r="F9" t="s">
        <v>478</v>
      </c>
      <c r="G9">
        <v>100</v>
      </c>
      <c r="H9" t="s">
        <v>479</v>
      </c>
      <c r="I9">
        <v>0</v>
      </c>
      <c r="J9">
        <v>1.9999600007999841E-3</v>
      </c>
      <c r="K9">
        <v>0</v>
      </c>
      <c r="L9">
        <v>0</v>
      </c>
      <c r="M9">
        <v>0</v>
      </c>
      <c r="O9">
        <v>200000</v>
      </c>
      <c r="R9" t="s">
        <v>162</v>
      </c>
      <c r="S9">
        <v>0</v>
      </c>
      <c r="T9">
        <v>1.6200000000000001E-4</v>
      </c>
      <c r="U9" t="s">
        <v>176</v>
      </c>
      <c r="V9">
        <v>0.28349999999999997</v>
      </c>
      <c r="W9">
        <v>8.3836619999999993</v>
      </c>
      <c r="X9" t="s">
        <v>177</v>
      </c>
      <c r="Y9">
        <v>0.50301971999999995</v>
      </c>
      <c r="Z9">
        <v>0</v>
      </c>
      <c r="AA9" t="s">
        <v>178</v>
      </c>
      <c r="AB9">
        <v>1.0060394399999999</v>
      </c>
      <c r="AC9">
        <v>9.8927211600000007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Q9" t="s">
        <v>9</v>
      </c>
      <c r="AR9" t="s">
        <v>263</v>
      </c>
      <c r="AS9">
        <v>8.1</v>
      </c>
    </row>
    <row r="10" spans="1:45" x14ac:dyDescent="0.15">
      <c r="A10" s="4" t="str">
        <f>HYPERLINK("https://ibp.a2mac1.com/costing(costing:projects/details/9760/material/8751941)","Material")</f>
        <v>Material</v>
      </c>
      <c r="B10">
        <v>8751941</v>
      </c>
      <c r="C10">
        <v>12083045</v>
      </c>
      <c r="E10">
        <v>8.1</v>
      </c>
      <c r="F10" t="s">
        <v>478</v>
      </c>
      <c r="G10">
        <v>100</v>
      </c>
      <c r="H10" t="s">
        <v>479</v>
      </c>
      <c r="I10">
        <v>0</v>
      </c>
      <c r="J10">
        <v>1.9999600007999841E-3</v>
      </c>
      <c r="K10">
        <v>0</v>
      </c>
      <c r="L10">
        <v>0</v>
      </c>
      <c r="M10">
        <v>0</v>
      </c>
      <c r="O10">
        <v>200000</v>
      </c>
      <c r="R10" t="s">
        <v>162</v>
      </c>
      <c r="S10">
        <v>0</v>
      </c>
      <c r="T10">
        <v>1.6200000000000001E-4</v>
      </c>
      <c r="U10" t="s">
        <v>176</v>
      </c>
      <c r="V10">
        <v>0.28349999999999997</v>
      </c>
      <c r="W10">
        <v>8.3836619999999993</v>
      </c>
      <c r="X10" t="s">
        <v>177</v>
      </c>
      <c r="Y10">
        <v>0.50301971999999995</v>
      </c>
      <c r="Z10">
        <v>0</v>
      </c>
      <c r="AA10" t="s">
        <v>178</v>
      </c>
      <c r="AB10">
        <v>1.0060394399999999</v>
      </c>
      <c r="AC10">
        <v>9.8927211600000007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Q10" t="s">
        <v>9</v>
      </c>
      <c r="AR10" t="s">
        <v>263</v>
      </c>
      <c r="AS10">
        <v>8.1</v>
      </c>
    </row>
    <row r="11" spans="1:45" x14ac:dyDescent="0.15">
      <c r="A11" s="4" t="str">
        <f>HYPERLINK("https://ibp.a2mac1.com/costing(costing:projects/details/9760/material/8751926)","Material")</f>
        <v>Material</v>
      </c>
      <c r="B11">
        <v>8751926</v>
      </c>
      <c r="C11">
        <v>12083019</v>
      </c>
      <c r="E11">
        <v>11.97</v>
      </c>
      <c r="F11" t="s">
        <v>478</v>
      </c>
      <c r="G11">
        <v>100</v>
      </c>
      <c r="H11" t="s">
        <v>479</v>
      </c>
      <c r="I11">
        <v>0</v>
      </c>
      <c r="J11">
        <v>1.9999600007999841E-3</v>
      </c>
      <c r="K11">
        <v>0</v>
      </c>
      <c r="M11">
        <v>0</v>
      </c>
      <c r="O11">
        <v>200000</v>
      </c>
      <c r="R11" t="s">
        <v>162</v>
      </c>
      <c r="S11">
        <v>0</v>
      </c>
      <c r="T11">
        <v>2.3939999999999999E-4</v>
      </c>
      <c r="U11" t="s">
        <v>176</v>
      </c>
      <c r="V11">
        <v>0.41894999999999999</v>
      </c>
      <c r="W11">
        <v>12.389189399999999</v>
      </c>
      <c r="X11" t="s">
        <v>177</v>
      </c>
      <c r="Y11">
        <v>0.74335136400000001</v>
      </c>
      <c r="Z11">
        <v>0</v>
      </c>
      <c r="AA11" t="s">
        <v>178</v>
      </c>
      <c r="AB11">
        <v>1.486702728</v>
      </c>
      <c r="AC11">
        <v>14.619243492000001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Q11" t="s">
        <v>9</v>
      </c>
      <c r="AR11" t="s">
        <v>263</v>
      </c>
      <c r="AS11">
        <v>11.97</v>
      </c>
    </row>
    <row r="12" spans="1:45" x14ac:dyDescent="0.15">
      <c r="A12" s="4" t="str">
        <f>HYPERLINK("https://ibp.a2mac1.com/costing(costing:projects/details/9760/material/8751927)","Material")</f>
        <v>Material</v>
      </c>
      <c r="B12">
        <v>8751927</v>
      </c>
      <c r="C12">
        <v>12083020</v>
      </c>
      <c r="E12">
        <v>11.97</v>
      </c>
      <c r="F12" t="s">
        <v>478</v>
      </c>
      <c r="G12">
        <v>100</v>
      </c>
      <c r="H12" t="s">
        <v>479</v>
      </c>
      <c r="I12">
        <v>0</v>
      </c>
      <c r="J12">
        <v>1.9999600007999841E-3</v>
      </c>
      <c r="K12">
        <v>0</v>
      </c>
      <c r="M12">
        <v>0</v>
      </c>
      <c r="O12">
        <v>200000</v>
      </c>
      <c r="R12" t="s">
        <v>162</v>
      </c>
      <c r="S12">
        <v>0</v>
      </c>
      <c r="T12">
        <v>2.3939999999999999E-4</v>
      </c>
      <c r="U12" t="s">
        <v>176</v>
      </c>
      <c r="V12">
        <v>0.41894999999999999</v>
      </c>
      <c r="W12">
        <v>12.389189399999999</v>
      </c>
      <c r="X12" t="s">
        <v>177</v>
      </c>
      <c r="Y12">
        <v>0.74335136400000001</v>
      </c>
      <c r="Z12">
        <v>0</v>
      </c>
      <c r="AA12" t="s">
        <v>178</v>
      </c>
      <c r="AB12">
        <v>1.486702728</v>
      </c>
      <c r="AC12">
        <v>14.619243492000001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Q12" t="s">
        <v>9</v>
      </c>
      <c r="AR12" t="s">
        <v>263</v>
      </c>
      <c r="AS12">
        <v>11.97</v>
      </c>
    </row>
    <row r="13" spans="1:45" x14ac:dyDescent="0.15">
      <c r="A13" s="4" t="str">
        <f>HYPERLINK("https://ibp.a2mac1.com/costing(costing:projects/details/9760/material/8751928)","Material")</f>
        <v>Material</v>
      </c>
      <c r="B13">
        <v>8751928</v>
      </c>
      <c r="C13">
        <v>12083021</v>
      </c>
      <c r="E13">
        <v>11.19</v>
      </c>
      <c r="F13" t="s">
        <v>478</v>
      </c>
      <c r="G13">
        <v>100</v>
      </c>
      <c r="H13" t="s">
        <v>479</v>
      </c>
      <c r="I13">
        <v>0</v>
      </c>
      <c r="J13">
        <v>1.9999600007999841E-3</v>
      </c>
      <c r="K13">
        <v>0</v>
      </c>
      <c r="M13">
        <v>0</v>
      </c>
      <c r="O13">
        <v>200000</v>
      </c>
      <c r="R13" t="s">
        <v>162</v>
      </c>
      <c r="S13">
        <v>0</v>
      </c>
      <c r="T13">
        <v>2.2379999999999999E-4</v>
      </c>
      <c r="U13" t="s">
        <v>176</v>
      </c>
      <c r="V13">
        <v>0.39165</v>
      </c>
      <c r="W13">
        <v>11.5818738</v>
      </c>
      <c r="X13" t="s">
        <v>177</v>
      </c>
      <c r="Y13">
        <v>0.69491242799999997</v>
      </c>
      <c r="Z13">
        <v>0</v>
      </c>
      <c r="AA13" t="s">
        <v>178</v>
      </c>
      <c r="AB13">
        <v>1.3898248559999999</v>
      </c>
      <c r="AC13">
        <v>13.666611083999999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Q13" t="s">
        <v>9</v>
      </c>
      <c r="AR13" t="s">
        <v>263</v>
      </c>
      <c r="AS13">
        <v>11.19</v>
      </c>
    </row>
    <row r="14" spans="1:45" x14ac:dyDescent="0.15">
      <c r="A14" s="4" t="str">
        <f>HYPERLINK("https://ibp.a2mac1.com/costing(costing:projects/details/9760/material/8751929)","Material")</f>
        <v>Material</v>
      </c>
      <c r="B14">
        <v>8751929</v>
      </c>
      <c r="C14">
        <v>12083022</v>
      </c>
      <c r="E14">
        <v>11.19</v>
      </c>
      <c r="F14" t="s">
        <v>478</v>
      </c>
      <c r="G14">
        <v>100</v>
      </c>
      <c r="H14" t="s">
        <v>479</v>
      </c>
      <c r="I14">
        <v>0</v>
      </c>
      <c r="J14">
        <v>1.9999600007999841E-3</v>
      </c>
      <c r="K14">
        <v>0</v>
      </c>
      <c r="M14">
        <v>0</v>
      </c>
      <c r="O14">
        <v>200000</v>
      </c>
      <c r="R14" t="s">
        <v>162</v>
      </c>
      <c r="S14">
        <v>0</v>
      </c>
      <c r="T14">
        <v>2.2379999999999999E-4</v>
      </c>
      <c r="U14" t="s">
        <v>176</v>
      </c>
      <c r="V14">
        <v>0.39165</v>
      </c>
      <c r="W14">
        <v>11.5818738</v>
      </c>
      <c r="X14" t="s">
        <v>177</v>
      </c>
      <c r="Y14">
        <v>0.69491242799999997</v>
      </c>
      <c r="Z14">
        <v>0</v>
      </c>
      <c r="AA14" t="s">
        <v>178</v>
      </c>
      <c r="AB14">
        <v>1.3898248559999999</v>
      </c>
      <c r="AC14">
        <v>13.666611083999999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Q14" t="s">
        <v>9</v>
      </c>
      <c r="AR14" t="s">
        <v>263</v>
      </c>
      <c r="AS14">
        <v>11.19</v>
      </c>
    </row>
    <row r="15" spans="1:45" x14ac:dyDescent="0.15">
      <c r="A15" s="4" t="str">
        <f>HYPERLINK("https://ibp.a2mac1.com/costing(costing:projects/details/9760/material/8751930)","Material")</f>
        <v>Material</v>
      </c>
      <c r="B15">
        <v>8751930</v>
      </c>
      <c r="C15">
        <v>12083023</v>
      </c>
      <c r="D15" t="s">
        <v>599</v>
      </c>
      <c r="E15">
        <v>16</v>
      </c>
      <c r="F15" t="s">
        <v>478</v>
      </c>
      <c r="G15">
        <v>100</v>
      </c>
      <c r="H15" t="s">
        <v>479</v>
      </c>
      <c r="I15">
        <v>0</v>
      </c>
      <c r="J15">
        <v>1.9999600007999841E-3</v>
      </c>
      <c r="K15">
        <v>0</v>
      </c>
      <c r="L15">
        <v>0</v>
      </c>
      <c r="M15">
        <v>0</v>
      </c>
      <c r="O15">
        <v>200000</v>
      </c>
      <c r="R15" t="s">
        <v>162</v>
      </c>
      <c r="S15">
        <v>0</v>
      </c>
      <c r="T15">
        <v>3.2000000000000003E-4</v>
      </c>
      <c r="U15" t="s">
        <v>176</v>
      </c>
      <c r="V15">
        <v>0.56000000000000005</v>
      </c>
      <c r="W15">
        <v>16.560320000000001</v>
      </c>
      <c r="X15" t="s">
        <v>177</v>
      </c>
      <c r="Y15">
        <v>0.99361920000000004</v>
      </c>
      <c r="Z15">
        <v>0</v>
      </c>
      <c r="AA15" t="s">
        <v>178</v>
      </c>
      <c r="AB15">
        <v>1.9872384000000001</v>
      </c>
      <c r="AC15">
        <v>19.541177600000001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Q15" t="s">
        <v>9</v>
      </c>
      <c r="AR15" t="s">
        <v>263</v>
      </c>
      <c r="AS15">
        <v>16</v>
      </c>
    </row>
    <row r="16" spans="1:45" x14ac:dyDescent="0.15">
      <c r="A16" s="4" t="str">
        <f>HYPERLINK("https://ibp.a2mac1.com/costing(costing:projects/details/9760/material/8751942)","Material")</f>
        <v>Material</v>
      </c>
      <c r="B16">
        <v>8751942</v>
      </c>
      <c r="C16">
        <v>12083046</v>
      </c>
      <c r="E16">
        <v>15.54</v>
      </c>
      <c r="F16" t="s">
        <v>478</v>
      </c>
      <c r="G16">
        <v>100</v>
      </c>
      <c r="H16" t="s">
        <v>479</v>
      </c>
      <c r="I16">
        <v>0</v>
      </c>
      <c r="J16">
        <v>1.9999600007999841E-3</v>
      </c>
      <c r="K16">
        <v>0</v>
      </c>
      <c r="L16">
        <v>0</v>
      </c>
      <c r="M16">
        <v>0</v>
      </c>
      <c r="O16">
        <v>200000</v>
      </c>
      <c r="R16" t="s">
        <v>162</v>
      </c>
      <c r="S16">
        <v>0</v>
      </c>
      <c r="T16">
        <v>3.1080000000000002E-4</v>
      </c>
      <c r="U16" t="s">
        <v>176</v>
      </c>
      <c r="V16">
        <v>0.54390000000000005</v>
      </c>
      <c r="W16">
        <v>16.084210800000001</v>
      </c>
      <c r="X16" t="s">
        <v>177</v>
      </c>
      <c r="Y16">
        <v>0.96505264800000001</v>
      </c>
      <c r="Z16">
        <v>0</v>
      </c>
      <c r="AA16" t="s">
        <v>178</v>
      </c>
      <c r="AB16">
        <v>1.930105296</v>
      </c>
      <c r="AC16">
        <v>18.979368743999999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Q16" t="s">
        <v>9</v>
      </c>
      <c r="AR16" t="s">
        <v>263</v>
      </c>
      <c r="AS16">
        <v>15.54</v>
      </c>
    </row>
    <row r="17" spans="1:45" x14ac:dyDescent="0.15">
      <c r="A17" s="4" t="str">
        <f>HYPERLINK("https://ibp.a2mac1.com/costing(costing:projects/details/9760/material/8751943)","Material")</f>
        <v>Material</v>
      </c>
      <c r="B17">
        <v>8751943</v>
      </c>
      <c r="C17">
        <v>12083047</v>
      </c>
      <c r="E17">
        <v>15.54</v>
      </c>
      <c r="F17" t="s">
        <v>478</v>
      </c>
      <c r="G17">
        <v>100</v>
      </c>
      <c r="H17" t="s">
        <v>479</v>
      </c>
      <c r="I17">
        <v>0</v>
      </c>
      <c r="J17">
        <v>1.9999600007999841E-3</v>
      </c>
      <c r="K17">
        <v>0</v>
      </c>
      <c r="L17">
        <v>0</v>
      </c>
      <c r="M17">
        <v>0</v>
      </c>
      <c r="O17">
        <v>200000</v>
      </c>
      <c r="R17" t="s">
        <v>162</v>
      </c>
      <c r="S17">
        <v>0</v>
      </c>
      <c r="T17">
        <v>3.1080000000000002E-4</v>
      </c>
      <c r="U17" t="s">
        <v>176</v>
      </c>
      <c r="V17">
        <v>0.54390000000000005</v>
      </c>
      <c r="W17">
        <v>16.084210800000001</v>
      </c>
      <c r="X17" t="s">
        <v>177</v>
      </c>
      <c r="Y17">
        <v>0.96505264800000001</v>
      </c>
      <c r="Z17">
        <v>0</v>
      </c>
      <c r="AA17" t="s">
        <v>178</v>
      </c>
      <c r="AB17">
        <v>1.930105296</v>
      </c>
      <c r="AC17">
        <v>18.979368743999999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Q17" t="s">
        <v>9</v>
      </c>
      <c r="AR17" t="s">
        <v>263</v>
      </c>
      <c r="AS17">
        <v>15.54</v>
      </c>
    </row>
    <row r="18" spans="1:45" x14ac:dyDescent="0.15">
      <c r="A18" s="4" t="str">
        <f>HYPERLINK("https://ibp.a2mac1.com/costing(costing:projects/details/9760/material/8751931)","Material")</f>
        <v>Material</v>
      </c>
      <c r="B18">
        <v>8751931</v>
      </c>
      <c r="C18">
        <v>12083024</v>
      </c>
      <c r="E18">
        <v>6.77</v>
      </c>
      <c r="F18" t="s">
        <v>478</v>
      </c>
      <c r="G18">
        <v>100</v>
      </c>
      <c r="H18" t="s">
        <v>479</v>
      </c>
      <c r="I18">
        <v>0</v>
      </c>
      <c r="J18">
        <v>1.9999600007999841E-3</v>
      </c>
      <c r="K18">
        <v>0</v>
      </c>
      <c r="L18">
        <v>0</v>
      </c>
      <c r="M18">
        <v>0</v>
      </c>
      <c r="O18">
        <v>400000</v>
      </c>
      <c r="R18" t="s">
        <v>162</v>
      </c>
      <c r="S18">
        <v>0</v>
      </c>
      <c r="T18">
        <v>1.3540000000000001E-4</v>
      </c>
      <c r="U18" t="s">
        <v>176</v>
      </c>
      <c r="V18">
        <v>0.23694999999999999</v>
      </c>
      <c r="W18">
        <v>7.0070854000000002</v>
      </c>
      <c r="X18" t="s">
        <v>177</v>
      </c>
      <c r="Y18">
        <v>0.42042512399999998</v>
      </c>
      <c r="Z18">
        <v>0</v>
      </c>
      <c r="AA18" t="s">
        <v>178</v>
      </c>
      <c r="AB18">
        <v>0.84085024799999997</v>
      </c>
      <c r="AC18">
        <v>8.2683607719999994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Q18" t="s">
        <v>9</v>
      </c>
      <c r="AR18" t="s">
        <v>263</v>
      </c>
      <c r="AS18">
        <v>6.77</v>
      </c>
    </row>
    <row r="19" spans="1:45" x14ac:dyDescent="0.15">
      <c r="A19" s="4" t="str">
        <f>HYPERLINK("https://ibp.a2mac1.com/costing(costing:projects/details/9760/material/8751932)","Material")</f>
        <v>Material</v>
      </c>
      <c r="B19">
        <v>8751932</v>
      </c>
      <c r="C19">
        <v>12083025</v>
      </c>
      <c r="E19">
        <v>63.72</v>
      </c>
      <c r="F19" t="s">
        <v>478</v>
      </c>
      <c r="G19">
        <v>100</v>
      </c>
      <c r="H19" t="s">
        <v>479</v>
      </c>
      <c r="I19">
        <v>0</v>
      </c>
      <c r="J19">
        <v>1.9999600007999841E-3</v>
      </c>
      <c r="K19">
        <v>0</v>
      </c>
      <c r="M19">
        <v>0</v>
      </c>
      <c r="O19">
        <v>200000</v>
      </c>
      <c r="R19" t="s">
        <v>162</v>
      </c>
      <c r="S19">
        <v>0</v>
      </c>
      <c r="T19">
        <v>1.2744E-3</v>
      </c>
      <c r="U19" t="s">
        <v>176</v>
      </c>
      <c r="V19">
        <v>2.2302</v>
      </c>
      <c r="W19">
        <v>65.951474399999995</v>
      </c>
      <c r="X19" t="s">
        <v>90</v>
      </c>
      <c r="Y19">
        <v>0</v>
      </c>
      <c r="Z19">
        <v>0</v>
      </c>
      <c r="AA19" t="s">
        <v>90</v>
      </c>
      <c r="AB19">
        <v>0</v>
      </c>
      <c r="AC19">
        <v>65.951474399999995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Q19" t="s">
        <v>9</v>
      </c>
      <c r="AR19" t="s">
        <v>263</v>
      </c>
      <c r="AS19">
        <v>63.72</v>
      </c>
    </row>
    <row r="20" spans="1:45" x14ac:dyDescent="0.15">
      <c r="A20" s="4" t="str">
        <f>HYPERLINK("https://ibp.a2mac1.com/costing(costing:projects/details/9760/material/8751944)","Material")</f>
        <v>Material</v>
      </c>
      <c r="B20">
        <v>8751944</v>
      </c>
      <c r="C20">
        <v>12083048</v>
      </c>
      <c r="E20">
        <v>9.84</v>
      </c>
      <c r="F20" t="s">
        <v>478</v>
      </c>
      <c r="G20">
        <v>100</v>
      </c>
      <c r="H20" t="s">
        <v>479</v>
      </c>
      <c r="I20">
        <v>0</v>
      </c>
      <c r="J20">
        <v>1.9999600007999841E-3</v>
      </c>
      <c r="K20">
        <v>0</v>
      </c>
      <c r="M20">
        <v>0</v>
      </c>
      <c r="O20">
        <v>200000</v>
      </c>
      <c r="R20" t="s">
        <v>162</v>
      </c>
      <c r="S20">
        <v>0</v>
      </c>
      <c r="T20">
        <v>1.9680000000000001E-4</v>
      </c>
      <c r="U20" t="s">
        <v>176</v>
      </c>
      <c r="V20">
        <v>0.34439999999999998</v>
      </c>
      <c r="W20">
        <v>10.1845968</v>
      </c>
      <c r="X20" t="s">
        <v>177</v>
      </c>
      <c r="Y20">
        <v>0.61107580800000005</v>
      </c>
      <c r="Z20">
        <v>0</v>
      </c>
      <c r="AA20" t="s">
        <v>178</v>
      </c>
      <c r="AB20">
        <v>1.2221516160000001</v>
      </c>
      <c r="AC20">
        <v>12.017824224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Q20" t="s">
        <v>9</v>
      </c>
      <c r="AR20" t="s">
        <v>263</v>
      </c>
      <c r="AS20">
        <v>9.84</v>
      </c>
    </row>
    <row r="21" spans="1:45" x14ac:dyDescent="0.15">
      <c r="A21" s="4" t="str">
        <f>HYPERLINK("https://ibp.a2mac1.com/costing(costing:projects/details/9760/material/8751945)","Material")</f>
        <v>Material</v>
      </c>
      <c r="B21">
        <v>8751945</v>
      </c>
      <c r="C21">
        <v>12083049</v>
      </c>
      <c r="E21">
        <v>9.84</v>
      </c>
      <c r="F21" t="s">
        <v>478</v>
      </c>
      <c r="G21">
        <v>100</v>
      </c>
      <c r="H21" t="s">
        <v>479</v>
      </c>
      <c r="I21">
        <v>0</v>
      </c>
      <c r="J21">
        <v>1.9999600007999841E-3</v>
      </c>
      <c r="K21">
        <v>0</v>
      </c>
      <c r="M21">
        <v>0</v>
      </c>
      <c r="O21">
        <v>200000</v>
      </c>
      <c r="R21" t="s">
        <v>162</v>
      </c>
      <c r="S21">
        <v>0</v>
      </c>
      <c r="T21">
        <v>1.9680000000000001E-4</v>
      </c>
      <c r="U21" t="s">
        <v>176</v>
      </c>
      <c r="V21">
        <v>0.34439999999999998</v>
      </c>
      <c r="W21">
        <v>10.1845968</v>
      </c>
      <c r="X21" t="s">
        <v>177</v>
      </c>
      <c r="Y21">
        <v>0.61107580800000005</v>
      </c>
      <c r="Z21">
        <v>0</v>
      </c>
      <c r="AA21" t="s">
        <v>178</v>
      </c>
      <c r="AB21">
        <v>1.2221516160000001</v>
      </c>
      <c r="AC21">
        <v>12.017824224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Q21" t="s">
        <v>9</v>
      </c>
      <c r="AR21" t="s">
        <v>263</v>
      </c>
      <c r="AS21">
        <v>9.84</v>
      </c>
    </row>
    <row r="22" spans="1:45" x14ac:dyDescent="0.15">
      <c r="A22" s="4" t="str">
        <f>HYPERLINK("https://ibp.a2mac1.com/costing(costing:projects/details/9760/material/8751936)","Material")</f>
        <v>Material</v>
      </c>
      <c r="B22">
        <v>8751936</v>
      </c>
      <c r="C22">
        <v>12083026</v>
      </c>
      <c r="D22" t="s">
        <v>672</v>
      </c>
      <c r="E22">
        <v>8.08</v>
      </c>
      <c r="F22" t="s">
        <v>478</v>
      </c>
      <c r="G22">
        <v>100</v>
      </c>
      <c r="H22" t="s">
        <v>479</v>
      </c>
      <c r="I22">
        <v>0</v>
      </c>
      <c r="J22">
        <v>1.9999600007999841E-3</v>
      </c>
      <c r="K22">
        <v>0</v>
      </c>
      <c r="L22">
        <v>0</v>
      </c>
      <c r="M22">
        <v>0</v>
      </c>
      <c r="O22">
        <v>200000</v>
      </c>
      <c r="R22" t="s">
        <v>162</v>
      </c>
      <c r="S22">
        <v>0</v>
      </c>
      <c r="T22">
        <v>1.616E-4</v>
      </c>
      <c r="U22" t="s">
        <v>176</v>
      </c>
      <c r="V22">
        <v>0.2828</v>
      </c>
      <c r="W22">
        <v>8.3629616000000002</v>
      </c>
      <c r="X22" t="s">
        <v>177</v>
      </c>
      <c r="Y22">
        <v>0.501777696</v>
      </c>
      <c r="Z22">
        <v>0</v>
      </c>
      <c r="AA22" t="s">
        <v>178</v>
      </c>
      <c r="AB22">
        <v>1.003555392</v>
      </c>
      <c r="AC22">
        <v>9.8682946880000006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Q22" t="s">
        <v>9</v>
      </c>
      <c r="AR22" t="s">
        <v>263</v>
      </c>
      <c r="AS22">
        <v>8.08</v>
      </c>
    </row>
    <row r="23" spans="1:45" x14ac:dyDescent="0.15">
      <c r="A23" s="4" t="str">
        <f>HYPERLINK("https://ibp.a2mac1.com/costing(costing:projects/details/9760/material/8751937)","Material")</f>
        <v>Material</v>
      </c>
      <c r="B23">
        <v>8751937</v>
      </c>
      <c r="C23">
        <v>12083027</v>
      </c>
      <c r="E23">
        <v>77.06</v>
      </c>
      <c r="F23" t="s">
        <v>478</v>
      </c>
      <c r="G23">
        <v>100</v>
      </c>
      <c r="H23" t="s">
        <v>479</v>
      </c>
      <c r="I23">
        <v>0</v>
      </c>
      <c r="J23">
        <v>1.9999600007999841E-3</v>
      </c>
      <c r="K23">
        <v>0</v>
      </c>
      <c r="M23">
        <v>0</v>
      </c>
      <c r="O23">
        <v>200000</v>
      </c>
      <c r="R23" t="s">
        <v>162</v>
      </c>
      <c r="S23">
        <v>0</v>
      </c>
      <c r="T23">
        <v>1.5411999999999999E-3</v>
      </c>
      <c r="U23" t="s">
        <v>176</v>
      </c>
      <c r="V23">
        <v>2.6970999999999998</v>
      </c>
      <c r="W23">
        <v>79.7586412</v>
      </c>
      <c r="X23" t="s">
        <v>90</v>
      </c>
      <c r="Y23">
        <v>0</v>
      </c>
      <c r="Z23">
        <v>0</v>
      </c>
      <c r="AA23" t="s">
        <v>90</v>
      </c>
      <c r="AB23">
        <v>0</v>
      </c>
      <c r="AC23">
        <v>79.7586412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Q23" t="s">
        <v>9</v>
      </c>
      <c r="AR23" t="s">
        <v>263</v>
      </c>
      <c r="AS23">
        <v>77.06</v>
      </c>
    </row>
    <row r="24" spans="1:45" x14ac:dyDescent="0.15">
      <c r="A24" s="4" t="str">
        <f>HYPERLINK("https://ibp.a2mac1.com/costing(costing:projects/details/9760/material/8751902)","Material")</f>
        <v>Material</v>
      </c>
      <c r="B24">
        <v>8751902</v>
      </c>
      <c r="C24">
        <v>12083010</v>
      </c>
      <c r="E24">
        <v>6.77</v>
      </c>
      <c r="F24" t="s">
        <v>478</v>
      </c>
      <c r="G24">
        <v>100</v>
      </c>
      <c r="H24" t="s">
        <v>479</v>
      </c>
      <c r="I24">
        <v>0</v>
      </c>
      <c r="J24">
        <v>1.9999600007999841E-3</v>
      </c>
      <c r="K24">
        <v>0</v>
      </c>
      <c r="L24">
        <v>0</v>
      </c>
      <c r="M24">
        <v>0</v>
      </c>
      <c r="O24">
        <v>400000</v>
      </c>
      <c r="R24" t="s">
        <v>162</v>
      </c>
      <c r="S24">
        <v>0</v>
      </c>
      <c r="T24">
        <v>1.3540000000000001E-4</v>
      </c>
      <c r="U24" t="s">
        <v>176</v>
      </c>
      <c r="V24">
        <v>0.23694999999999999</v>
      </c>
      <c r="W24">
        <v>7.0070854000000002</v>
      </c>
      <c r="X24" t="s">
        <v>177</v>
      </c>
      <c r="Y24">
        <v>0.42042512399999998</v>
      </c>
      <c r="Z24">
        <v>0</v>
      </c>
      <c r="AA24" t="s">
        <v>178</v>
      </c>
      <c r="AB24">
        <v>0.84085024799999997</v>
      </c>
      <c r="AC24">
        <v>8.2683607719999994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Q24" t="s">
        <v>9</v>
      </c>
      <c r="AR24" t="s">
        <v>263</v>
      </c>
      <c r="AS24">
        <v>6.77</v>
      </c>
    </row>
    <row r="25" spans="1:45" x14ac:dyDescent="0.15">
      <c r="A25" s="4" t="str">
        <f>HYPERLINK("https://ibp.a2mac1.com/costing(costing:projects/details/9760/material/8751903)","Material")</f>
        <v>Material</v>
      </c>
      <c r="B25">
        <v>8751903</v>
      </c>
      <c r="C25">
        <v>12083011</v>
      </c>
      <c r="E25">
        <v>15.2</v>
      </c>
      <c r="F25" t="s">
        <v>478</v>
      </c>
      <c r="G25">
        <v>100</v>
      </c>
      <c r="H25" t="s">
        <v>479</v>
      </c>
      <c r="I25">
        <v>0</v>
      </c>
      <c r="J25">
        <v>1.9999600007999841E-3</v>
      </c>
      <c r="K25">
        <v>0</v>
      </c>
      <c r="L25">
        <v>0</v>
      </c>
      <c r="M25">
        <v>0</v>
      </c>
      <c r="O25">
        <v>200000</v>
      </c>
      <c r="R25" t="s">
        <v>162</v>
      </c>
      <c r="S25">
        <v>0</v>
      </c>
      <c r="T25">
        <v>3.0400000000000002E-4</v>
      </c>
      <c r="U25" t="s">
        <v>176</v>
      </c>
      <c r="V25">
        <v>0.53200000000000003</v>
      </c>
      <c r="W25">
        <v>15.732303999999999</v>
      </c>
      <c r="X25" t="s">
        <v>177</v>
      </c>
      <c r="Y25">
        <v>0.94393824000000004</v>
      </c>
      <c r="Z25">
        <v>0</v>
      </c>
      <c r="AA25" t="s">
        <v>178</v>
      </c>
      <c r="AB25">
        <v>1.8878764800000001</v>
      </c>
      <c r="AC25">
        <v>18.56411872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Q25" t="s">
        <v>9</v>
      </c>
      <c r="AR25" t="s">
        <v>263</v>
      </c>
      <c r="AS25">
        <v>15.2</v>
      </c>
    </row>
    <row r="26" spans="1:45" x14ac:dyDescent="0.15">
      <c r="A26" s="4" t="str">
        <f>HYPERLINK("https://ibp.a2mac1.com/costing(costing:projects/details/9760/material/8751904)","Material")</f>
        <v>Material</v>
      </c>
      <c r="B26">
        <v>8751904</v>
      </c>
      <c r="C26">
        <v>12083012</v>
      </c>
      <c r="E26">
        <v>15.2</v>
      </c>
      <c r="F26" t="s">
        <v>478</v>
      </c>
      <c r="G26">
        <v>100</v>
      </c>
      <c r="H26" t="s">
        <v>479</v>
      </c>
      <c r="I26">
        <v>0</v>
      </c>
      <c r="J26">
        <v>1.9999600007999841E-3</v>
      </c>
      <c r="K26">
        <v>0</v>
      </c>
      <c r="L26">
        <v>0</v>
      </c>
      <c r="M26">
        <v>0</v>
      </c>
      <c r="O26">
        <v>200000</v>
      </c>
      <c r="R26" t="s">
        <v>162</v>
      </c>
      <c r="S26">
        <v>0</v>
      </c>
      <c r="T26">
        <v>3.0400000000000002E-4</v>
      </c>
      <c r="U26" t="s">
        <v>176</v>
      </c>
      <c r="V26">
        <v>0.53200000000000003</v>
      </c>
      <c r="W26">
        <v>15.732303999999999</v>
      </c>
      <c r="X26" t="s">
        <v>177</v>
      </c>
      <c r="Y26">
        <v>0.94393824000000004</v>
      </c>
      <c r="Z26">
        <v>0</v>
      </c>
      <c r="AA26" t="s">
        <v>178</v>
      </c>
      <c r="AB26">
        <v>1.8878764800000001</v>
      </c>
      <c r="AC26">
        <v>18.56411872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Q26" t="s">
        <v>9</v>
      </c>
      <c r="AR26" t="s">
        <v>263</v>
      </c>
      <c r="AS26">
        <v>15.2</v>
      </c>
    </row>
    <row r="27" spans="1:45" x14ac:dyDescent="0.15">
      <c r="A27" s="4" t="str">
        <f>HYPERLINK("https://ibp.a2mac1.com/costing(costing:projects/details/9760/material/8751905)","Material")</f>
        <v>Material</v>
      </c>
      <c r="B27">
        <v>8751905</v>
      </c>
      <c r="C27">
        <v>12083014</v>
      </c>
      <c r="E27">
        <v>41.64</v>
      </c>
      <c r="F27" t="s">
        <v>478</v>
      </c>
      <c r="G27">
        <v>100</v>
      </c>
      <c r="H27" t="s">
        <v>479</v>
      </c>
      <c r="I27">
        <v>0</v>
      </c>
      <c r="J27">
        <v>1.9999600007999841E-3</v>
      </c>
      <c r="K27">
        <v>0</v>
      </c>
      <c r="M27">
        <v>0</v>
      </c>
      <c r="O27">
        <v>400000</v>
      </c>
      <c r="R27" t="s">
        <v>162</v>
      </c>
      <c r="S27">
        <v>0</v>
      </c>
      <c r="T27">
        <v>8.3279999999999997E-4</v>
      </c>
      <c r="U27" t="s">
        <v>176</v>
      </c>
      <c r="V27">
        <v>1.4574</v>
      </c>
      <c r="W27">
        <v>43.098232799999998</v>
      </c>
      <c r="X27" t="s">
        <v>177</v>
      </c>
      <c r="Y27">
        <v>2.5858939680000002</v>
      </c>
      <c r="Z27">
        <v>0</v>
      </c>
      <c r="AA27" t="s">
        <v>178</v>
      </c>
      <c r="AB27">
        <v>5.1717879360000003</v>
      </c>
      <c r="AC27">
        <v>50.855914704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Q27" t="s">
        <v>9</v>
      </c>
      <c r="AR27" t="s">
        <v>263</v>
      </c>
      <c r="AS27">
        <v>41.64</v>
      </c>
    </row>
    <row r="28" spans="1:45" x14ac:dyDescent="0.15">
      <c r="A28" s="4" t="str">
        <f>HYPERLINK("https://ibp.a2mac1.com/costing(costing:projects/details/9760/material/8751906)","Material")</f>
        <v>Material</v>
      </c>
      <c r="B28">
        <v>8751906</v>
      </c>
      <c r="C28">
        <v>12083015</v>
      </c>
      <c r="E28">
        <v>42.92</v>
      </c>
      <c r="F28" t="s">
        <v>478</v>
      </c>
      <c r="G28">
        <v>100</v>
      </c>
      <c r="H28" t="s">
        <v>479</v>
      </c>
      <c r="I28">
        <v>0</v>
      </c>
      <c r="J28">
        <v>1.9999600007999841E-3</v>
      </c>
      <c r="K28">
        <v>0</v>
      </c>
      <c r="M28">
        <v>0</v>
      </c>
      <c r="O28">
        <v>400000</v>
      </c>
      <c r="R28" t="s">
        <v>162</v>
      </c>
      <c r="S28">
        <v>0</v>
      </c>
      <c r="T28">
        <v>8.5840000000000005E-4</v>
      </c>
      <c r="U28" t="s">
        <v>176</v>
      </c>
      <c r="V28">
        <v>1.5022</v>
      </c>
      <c r="W28">
        <v>44.423058400000002</v>
      </c>
      <c r="X28" t="s">
        <v>177</v>
      </c>
      <c r="Y28">
        <v>2.6653835039999998</v>
      </c>
      <c r="Z28">
        <v>0</v>
      </c>
      <c r="AA28" t="s">
        <v>178</v>
      </c>
      <c r="AB28">
        <v>5.3307670079999996</v>
      </c>
      <c r="AC28">
        <v>52.419208912000002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Q28" t="s">
        <v>9</v>
      </c>
      <c r="AR28" t="s">
        <v>263</v>
      </c>
      <c r="AS28">
        <v>42.92</v>
      </c>
    </row>
    <row r="29" spans="1:45" x14ac:dyDescent="0.15">
      <c r="A29" s="4" t="str">
        <f>HYPERLINK("https://ibp.a2mac1.com/costing(costing:projects/details/9760/material/8751956)","PC-ABS + Paint")</f>
        <v>PC-ABS + Paint</v>
      </c>
      <c r="B29">
        <v>8751956</v>
      </c>
      <c r="C29">
        <v>12083056</v>
      </c>
      <c r="E29">
        <v>0.08</v>
      </c>
      <c r="F29" t="s">
        <v>478</v>
      </c>
      <c r="G29">
        <v>100</v>
      </c>
      <c r="H29" t="s">
        <v>479</v>
      </c>
      <c r="I29">
        <v>0</v>
      </c>
      <c r="J29">
        <v>0.50345253019720215</v>
      </c>
      <c r="K29">
        <v>0</v>
      </c>
      <c r="L29">
        <v>0</v>
      </c>
      <c r="M29">
        <v>0</v>
      </c>
      <c r="O29">
        <v>200000</v>
      </c>
      <c r="R29" t="s">
        <v>162</v>
      </c>
      <c r="S29">
        <v>0</v>
      </c>
      <c r="T29">
        <v>4.0479999999999997E-4</v>
      </c>
      <c r="U29" t="s">
        <v>176</v>
      </c>
      <c r="V29">
        <v>2.8E-3</v>
      </c>
      <c r="W29">
        <v>8.3204799999999995E-2</v>
      </c>
      <c r="X29" t="s">
        <v>177</v>
      </c>
      <c r="Y29">
        <v>4.9922880000000001E-3</v>
      </c>
      <c r="Z29">
        <v>0</v>
      </c>
      <c r="AA29" t="s">
        <v>178</v>
      </c>
      <c r="AB29">
        <v>9.9845760000000002E-3</v>
      </c>
      <c r="AC29">
        <v>9.8181664000000002E-2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Q29" t="s">
        <v>9</v>
      </c>
      <c r="AR29" t="s">
        <v>263</v>
      </c>
      <c r="AS29">
        <v>0.08</v>
      </c>
    </row>
    <row r="30" spans="1:45" x14ac:dyDescent="0.15">
      <c r="A30" s="4" t="str">
        <f>HYPERLINK("https://ibp.a2mac1.com/costing(costing:projects/details/9760/material/8751957)","PA66 VMQ (airbag) adjusted (part)")</f>
        <v>PA66 VMQ (airbag) adjusted (part)</v>
      </c>
      <c r="B30">
        <v>8751957</v>
      </c>
      <c r="C30">
        <v>12083057</v>
      </c>
      <c r="E30">
        <v>20</v>
      </c>
      <c r="F30" t="s">
        <v>478</v>
      </c>
      <c r="G30">
        <v>100</v>
      </c>
      <c r="H30" t="s">
        <v>479</v>
      </c>
      <c r="I30">
        <v>0</v>
      </c>
      <c r="J30">
        <v>0.50345253019720215</v>
      </c>
      <c r="K30">
        <v>0</v>
      </c>
      <c r="L30">
        <v>0</v>
      </c>
      <c r="M30">
        <v>0</v>
      </c>
      <c r="O30">
        <v>200000</v>
      </c>
      <c r="R30" t="s">
        <v>162</v>
      </c>
      <c r="S30">
        <v>0</v>
      </c>
      <c r="T30">
        <v>0.1012</v>
      </c>
      <c r="U30" t="s">
        <v>176</v>
      </c>
      <c r="V30">
        <v>0.7</v>
      </c>
      <c r="W30">
        <v>20.801200000000001</v>
      </c>
      <c r="X30" t="s">
        <v>90</v>
      </c>
      <c r="Y30">
        <v>0</v>
      </c>
      <c r="Z30">
        <v>0</v>
      </c>
      <c r="AA30" t="s">
        <v>90</v>
      </c>
      <c r="AB30">
        <v>0</v>
      </c>
      <c r="AC30">
        <v>20.801200000000001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Q30" t="s">
        <v>262</v>
      </c>
      <c r="AR30" t="s">
        <v>263</v>
      </c>
      <c r="AS30">
        <v>20</v>
      </c>
    </row>
    <row r="31" spans="1:45" x14ac:dyDescent="0.15">
      <c r="A31" s="4" t="str">
        <f>HYPERLINK("https://ibp.a2mac1.com/costing(costing:projects/details/9760/material/8751958)","PET VMQ (airbag) adjusted (part)")</f>
        <v>PET VMQ (airbag) adjusted (part)</v>
      </c>
      <c r="B31">
        <v>8751958</v>
      </c>
      <c r="C31">
        <v>12083058</v>
      </c>
      <c r="E31">
        <v>17</v>
      </c>
      <c r="F31" t="s">
        <v>478</v>
      </c>
      <c r="G31">
        <v>100</v>
      </c>
      <c r="H31" t="s">
        <v>479</v>
      </c>
      <c r="I31">
        <v>0</v>
      </c>
      <c r="J31">
        <v>0.50345253019720215</v>
      </c>
      <c r="K31">
        <v>0</v>
      </c>
      <c r="L31">
        <v>0</v>
      </c>
      <c r="M31">
        <v>0</v>
      </c>
      <c r="O31">
        <v>200000</v>
      </c>
      <c r="R31" t="s">
        <v>162</v>
      </c>
      <c r="S31">
        <v>0</v>
      </c>
      <c r="T31">
        <v>8.6019999999999999E-2</v>
      </c>
      <c r="U31" t="s">
        <v>176</v>
      </c>
      <c r="V31">
        <v>0.59499999999999997</v>
      </c>
      <c r="W31">
        <v>17.68102</v>
      </c>
      <c r="X31" t="s">
        <v>90</v>
      </c>
      <c r="Y31">
        <v>0</v>
      </c>
      <c r="Z31">
        <v>0</v>
      </c>
      <c r="AA31" t="s">
        <v>90</v>
      </c>
      <c r="AB31">
        <v>0</v>
      </c>
      <c r="AC31">
        <v>17.68102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Q31" t="s">
        <v>262</v>
      </c>
      <c r="AR31" t="s">
        <v>263</v>
      </c>
      <c r="AS31">
        <v>17</v>
      </c>
    </row>
    <row r="32" spans="1:45" x14ac:dyDescent="0.15">
      <c r="A32" s="4" t="str">
        <f>HYPERLINK("https://ibp.a2mac1.com/costing(costing:projects/details/9760/material/8751959)","Steel+Studs")</f>
        <v>Steel+Studs</v>
      </c>
      <c r="B32">
        <v>8751959</v>
      </c>
      <c r="C32">
        <v>12083059</v>
      </c>
      <c r="E32">
        <v>0.2</v>
      </c>
      <c r="F32" t="s">
        <v>478</v>
      </c>
      <c r="G32">
        <v>100</v>
      </c>
      <c r="H32" t="s">
        <v>479</v>
      </c>
      <c r="I32">
        <v>0</v>
      </c>
      <c r="J32">
        <v>0.50345253019720215</v>
      </c>
      <c r="K32">
        <v>0</v>
      </c>
      <c r="L32">
        <v>0</v>
      </c>
      <c r="M32">
        <v>0</v>
      </c>
      <c r="O32">
        <v>200000</v>
      </c>
      <c r="R32" t="s">
        <v>162</v>
      </c>
      <c r="S32">
        <v>0</v>
      </c>
      <c r="T32">
        <v>1.0120000000000001E-3</v>
      </c>
      <c r="U32" t="s">
        <v>176</v>
      </c>
      <c r="V32">
        <v>7.0000000000000001E-3</v>
      </c>
      <c r="W32">
        <v>0.208012</v>
      </c>
      <c r="X32" t="s">
        <v>177</v>
      </c>
      <c r="Y32">
        <v>1.2480720000000001E-2</v>
      </c>
      <c r="Z32">
        <v>0</v>
      </c>
      <c r="AA32" t="s">
        <v>178</v>
      </c>
      <c r="AB32">
        <v>2.4961440000000001E-2</v>
      </c>
      <c r="AC32">
        <v>0.24545416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Q32" t="s">
        <v>9</v>
      </c>
      <c r="AR32" t="s">
        <v>263</v>
      </c>
      <c r="AS32">
        <v>0.2</v>
      </c>
    </row>
    <row r="33" spans="1:45" x14ac:dyDescent="0.15">
      <c r="A33" s="4" t="str">
        <f>HYPERLINK("https://ibp.a2mac1.com/costing(costing:projects/details/9760/material/8751960)","PC-ABS + Paint")</f>
        <v>PC-ABS + Paint</v>
      </c>
      <c r="B33">
        <v>8751960</v>
      </c>
      <c r="C33">
        <v>12083060</v>
      </c>
      <c r="E33">
        <v>0.46</v>
      </c>
      <c r="F33" t="s">
        <v>478</v>
      </c>
      <c r="G33">
        <v>100</v>
      </c>
      <c r="H33" t="s">
        <v>479</v>
      </c>
      <c r="I33">
        <v>0</v>
      </c>
      <c r="J33">
        <v>0.50345253019720215</v>
      </c>
      <c r="K33">
        <v>0</v>
      </c>
      <c r="L33">
        <v>0</v>
      </c>
      <c r="M33">
        <v>0</v>
      </c>
      <c r="O33">
        <v>200000</v>
      </c>
      <c r="R33" t="s">
        <v>162</v>
      </c>
      <c r="S33">
        <v>0</v>
      </c>
      <c r="T33">
        <v>2.3276E-3</v>
      </c>
      <c r="U33" t="s">
        <v>176</v>
      </c>
      <c r="V33">
        <v>1.61E-2</v>
      </c>
      <c r="W33">
        <v>0.47842760000000001</v>
      </c>
      <c r="X33" t="s">
        <v>177</v>
      </c>
      <c r="Y33">
        <v>2.8705656E-2</v>
      </c>
      <c r="Z33">
        <v>0</v>
      </c>
      <c r="AA33" t="s">
        <v>178</v>
      </c>
      <c r="AB33">
        <v>5.7411311999999999E-2</v>
      </c>
      <c r="AC33">
        <v>0.56454456799999997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Q33" t="s">
        <v>9</v>
      </c>
      <c r="AR33" t="s">
        <v>263</v>
      </c>
      <c r="AS33">
        <v>0.46</v>
      </c>
    </row>
    <row r="34" spans="1:45" x14ac:dyDescent="0.15">
      <c r="A34" s="4" t="str">
        <f>HYPERLINK("https://ibp.a2mac1.com/costing(costing:projects/details/9760/material/8751961)","PC-ABS + Paint")</f>
        <v>PC-ABS + Paint</v>
      </c>
      <c r="B34">
        <v>8751961</v>
      </c>
      <c r="C34">
        <v>12083061</v>
      </c>
      <c r="E34">
        <v>0.02</v>
      </c>
      <c r="F34" t="s">
        <v>478</v>
      </c>
      <c r="G34">
        <v>100</v>
      </c>
      <c r="H34" t="s">
        <v>479</v>
      </c>
      <c r="I34">
        <v>0</v>
      </c>
      <c r="J34">
        <v>0.50048257265952256</v>
      </c>
      <c r="K34">
        <v>0</v>
      </c>
      <c r="L34">
        <v>0</v>
      </c>
      <c r="M34">
        <v>0</v>
      </c>
      <c r="O34">
        <v>1200000</v>
      </c>
      <c r="R34" t="s">
        <v>162</v>
      </c>
      <c r="S34">
        <v>0</v>
      </c>
      <c r="T34">
        <v>1.0060000000000001E-4</v>
      </c>
      <c r="U34" t="s">
        <v>176</v>
      </c>
      <c r="V34">
        <v>6.9999999999999999E-4</v>
      </c>
      <c r="W34">
        <v>2.0800599999999999E-2</v>
      </c>
      <c r="X34" t="s">
        <v>177</v>
      </c>
      <c r="Y34">
        <v>1.2480359999999999E-3</v>
      </c>
      <c r="Z34">
        <v>0</v>
      </c>
      <c r="AA34" t="s">
        <v>178</v>
      </c>
      <c r="AB34">
        <v>2.4960719999999998E-3</v>
      </c>
      <c r="AC34">
        <v>2.4544707999999998E-2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Q34" t="s">
        <v>9</v>
      </c>
      <c r="AR34" t="s">
        <v>263</v>
      </c>
      <c r="AS34">
        <v>0.02</v>
      </c>
    </row>
    <row r="35" spans="1:45" x14ac:dyDescent="0.15">
      <c r="A35" s="4" t="str">
        <f>HYPERLINK("https://ibp.a2mac1.com/costing(costing:projects/details/9760/material/8751962)","PA66 VMQ (airbag) adjusted (part)")</f>
        <v>PA66 VMQ (airbag) adjusted (part)</v>
      </c>
      <c r="B35">
        <v>8751962</v>
      </c>
      <c r="C35">
        <v>12083062</v>
      </c>
      <c r="E35">
        <v>20</v>
      </c>
      <c r="F35" t="s">
        <v>478</v>
      </c>
      <c r="G35">
        <v>100</v>
      </c>
      <c r="H35" t="s">
        <v>479</v>
      </c>
      <c r="I35">
        <v>0</v>
      </c>
      <c r="J35">
        <v>0.50345253019720215</v>
      </c>
      <c r="K35">
        <v>0</v>
      </c>
      <c r="L35">
        <v>0</v>
      </c>
      <c r="M35">
        <v>0</v>
      </c>
      <c r="O35">
        <v>200000</v>
      </c>
      <c r="R35" t="s">
        <v>162</v>
      </c>
      <c r="S35">
        <v>0</v>
      </c>
      <c r="T35">
        <v>0.1012</v>
      </c>
      <c r="U35" t="s">
        <v>176</v>
      </c>
      <c r="V35">
        <v>0.7</v>
      </c>
      <c r="W35">
        <v>20.801200000000001</v>
      </c>
      <c r="X35" t="s">
        <v>90</v>
      </c>
      <c r="Y35">
        <v>0</v>
      </c>
      <c r="Z35">
        <v>0</v>
      </c>
      <c r="AA35" t="s">
        <v>90</v>
      </c>
      <c r="AB35">
        <v>0</v>
      </c>
      <c r="AC35">
        <v>20.801200000000001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Q35" t="s">
        <v>262</v>
      </c>
      <c r="AR35" t="s">
        <v>263</v>
      </c>
      <c r="AS35">
        <v>20</v>
      </c>
    </row>
    <row r="36" spans="1:45" x14ac:dyDescent="0.15">
      <c r="A36" s="4" t="str">
        <f>HYPERLINK("https://ibp.a2mac1.com/costing(costing:projects/details/9760/material/8751963)","Steel+Studs")</f>
        <v>Steel+Studs</v>
      </c>
      <c r="B36">
        <v>8751963</v>
      </c>
      <c r="C36">
        <v>12083063</v>
      </c>
      <c r="E36">
        <v>0.26</v>
      </c>
      <c r="F36" t="s">
        <v>478</v>
      </c>
      <c r="G36">
        <v>100</v>
      </c>
      <c r="H36" t="s">
        <v>479</v>
      </c>
      <c r="I36">
        <v>0</v>
      </c>
      <c r="J36">
        <v>0.50345253019720215</v>
      </c>
      <c r="K36">
        <v>0</v>
      </c>
      <c r="L36">
        <v>0</v>
      </c>
      <c r="M36">
        <v>0</v>
      </c>
      <c r="O36">
        <v>200000</v>
      </c>
      <c r="R36" t="s">
        <v>162</v>
      </c>
      <c r="S36">
        <v>0</v>
      </c>
      <c r="T36">
        <v>1.3156000000000001E-3</v>
      </c>
      <c r="U36" t="s">
        <v>176</v>
      </c>
      <c r="V36">
        <v>9.1000000000000004E-3</v>
      </c>
      <c r="W36">
        <v>0.27041559999999998</v>
      </c>
      <c r="X36" t="s">
        <v>177</v>
      </c>
      <c r="Y36">
        <v>1.6224935999999999E-2</v>
      </c>
      <c r="Z36">
        <v>0</v>
      </c>
      <c r="AA36" t="s">
        <v>178</v>
      </c>
      <c r="AB36">
        <v>3.2449871999999998E-2</v>
      </c>
      <c r="AC36">
        <v>0.31909040799999999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Q36" t="s">
        <v>9</v>
      </c>
      <c r="AR36" t="s">
        <v>263</v>
      </c>
      <c r="AS36">
        <v>0.26</v>
      </c>
    </row>
    <row r="37" spans="1:45" x14ac:dyDescent="0.15">
      <c r="A37" s="4" t="str">
        <f>HYPERLINK("https://ibp.a2mac1.com/costing(costing:projects/details/9760/material/8751964)","Steel sheet (default)")</f>
        <v>Steel sheet (default)</v>
      </c>
      <c r="B37">
        <v>8751964</v>
      </c>
      <c r="C37">
        <v>12083064</v>
      </c>
      <c r="E37">
        <v>0.52766000000000002</v>
      </c>
      <c r="F37" t="s">
        <v>784</v>
      </c>
      <c r="G37">
        <v>70</v>
      </c>
      <c r="H37" t="s">
        <v>785</v>
      </c>
      <c r="I37">
        <v>30</v>
      </c>
      <c r="J37">
        <v>0.50345253019720215</v>
      </c>
      <c r="K37">
        <v>0</v>
      </c>
      <c r="L37">
        <v>0</v>
      </c>
      <c r="M37">
        <v>0</v>
      </c>
      <c r="O37">
        <v>200000</v>
      </c>
      <c r="R37" t="s">
        <v>162</v>
      </c>
      <c r="S37">
        <v>4.1383619999999996E-3</v>
      </c>
      <c r="T37">
        <v>2.3266790799999999E-4</v>
      </c>
      <c r="U37" t="s">
        <v>176</v>
      </c>
      <c r="V37">
        <v>1.6093629999999999E-3</v>
      </c>
      <c r="W37">
        <v>4.3685468908E-2</v>
      </c>
      <c r="X37" t="s">
        <v>177</v>
      </c>
      <c r="Y37">
        <v>2.62112813448E-3</v>
      </c>
      <c r="Z37">
        <v>0</v>
      </c>
      <c r="AA37" t="s">
        <v>178</v>
      </c>
      <c r="AB37">
        <v>5.2422562689599999E-3</v>
      </c>
      <c r="AC37">
        <v>5.1548853311439997E-2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Q37" t="s">
        <v>262</v>
      </c>
      <c r="AR37" t="s">
        <v>263</v>
      </c>
      <c r="AS37">
        <v>4.5981800000000003E-2</v>
      </c>
    </row>
    <row r="38" spans="1:45" x14ac:dyDescent="0.15">
      <c r="A38" s="4" t="str">
        <f>HYPERLINK("https://ibp.a2mac1.com/costing(costing:projects/details/9760/material/8751965)","PP")</f>
        <v>PP</v>
      </c>
      <c r="B38">
        <v>8751965</v>
      </c>
      <c r="C38">
        <v>12083065</v>
      </c>
      <c r="E38">
        <v>1.0113799999999999</v>
      </c>
      <c r="F38" t="s">
        <v>791</v>
      </c>
      <c r="G38">
        <v>95</v>
      </c>
      <c r="H38" t="s">
        <v>792</v>
      </c>
      <c r="I38">
        <v>5</v>
      </c>
      <c r="J38">
        <v>0.50345253019720215</v>
      </c>
      <c r="K38">
        <v>0</v>
      </c>
      <c r="M38">
        <v>0</v>
      </c>
      <c r="O38">
        <v>200000</v>
      </c>
      <c r="R38" t="s">
        <v>162</v>
      </c>
      <c r="S38">
        <v>9.741186315789474E-4</v>
      </c>
      <c r="T38">
        <v>1.9716161103157893E-3</v>
      </c>
      <c r="U38" t="s">
        <v>176</v>
      </c>
      <c r="V38">
        <v>1.3637660842105263E-2</v>
      </c>
      <c r="W38">
        <v>0.40428261095242107</v>
      </c>
      <c r="X38" t="s">
        <v>177</v>
      </c>
      <c r="Y38">
        <v>2.4256956657145261E-2</v>
      </c>
      <c r="Z38">
        <v>0</v>
      </c>
      <c r="AA38" t="s">
        <v>178</v>
      </c>
      <c r="AB38">
        <v>4.8513913314290523E-2</v>
      </c>
      <c r="AC38">
        <v>0.47705348092385685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Q38" t="s">
        <v>262</v>
      </c>
      <c r="AR38" t="s">
        <v>263</v>
      </c>
      <c r="AS38">
        <v>0.38964745263157896</v>
      </c>
    </row>
    <row r="39" spans="1:45" x14ac:dyDescent="0.15">
      <c r="A39" s="4" t="str">
        <f>HYPERLINK("https://ibp.a2mac1.com/costing(costing:projects/details/9760/material/8751966)","PET VMQ (airbag) adjusted (part)")</f>
        <v>PET VMQ (airbag) adjusted (part)</v>
      </c>
      <c r="B39">
        <v>8751966</v>
      </c>
      <c r="C39">
        <v>12083067</v>
      </c>
      <c r="E39">
        <v>17</v>
      </c>
      <c r="F39" t="s">
        <v>478</v>
      </c>
      <c r="G39">
        <v>100</v>
      </c>
      <c r="H39" t="s">
        <v>479</v>
      </c>
      <c r="I39">
        <v>0</v>
      </c>
      <c r="J39">
        <v>0.50345253019720215</v>
      </c>
      <c r="K39">
        <v>0</v>
      </c>
      <c r="L39">
        <v>0</v>
      </c>
      <c r="M39">
        <v>0</v>
      </c>
      <c r="O39">
        <v>200000</v>
      </c>
      <c r="R39" t="s">
        <v>162</v>
      </c>
      <c r="S39">
        <v>0</v>
      </c>
      <c r="T39">
        <v>8.6019999999999999E-2</v>
      </c>
      <c r="U39" t="s">
        <v>176</v>
      </c>
      <c r="V39">
        <v>0.59499999999999997</v>
      </c>
      <c r="W39">
        <v>17.68102</v>
      </c>
      <c r="X39" t="s">
        <v>90</v>
      </c>
      <c r="Y39">
        <v>0</v>
      </c>
      <c r="Z39">
        <v>0</v>
      </c>
      <c r="AA39" t="s">
        <v>90</v>
      </c>
      <c r="AB39">
        <v>0</v>
      </c>
      <c r="AC39">
        <v>17.68102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Q39" t="s">
        <v>262</v>
      </c>
      <c r="AR39" t="s">
        <v>263</v>
      </c>
      <c r="AS39">
        <v>17</v>
      </c>
    </row>
    <row r="40" spans="1:45" x14ac:dyDescent="0.15">
      <c r="A40" s="4" t="str">
        <f>HYPERLINK("https://ibp.a2mac1.com/costing(costing:projects/details/9760/material/8751967)","Steel sheet (default) adjusted (part)")</f>
        <v>Steel sheet (default) adjusted (part)</v>
      </c>
      <c r="B40">
        <v>8751967</v>
      </c>
      <c r="C40">
        <v>12083068</v>
      </c>
      <c r="E40">
        <v>0.2</v>
      </c>
      <c r="F40" t="s">
        <v>478</v>
      </c>
      <c r="G40">
        <v>100</v>
      </c>
      <c r="H40" t="s">
        <v>479</v>
      </c>
      <c r="I40">
        <v>30</v>
      </c>
      <c r="J40">
        <v>0.50345253019720215</v>
      </c>
      <c r="K40">
        <v>0</v>
      </c>
      <c r="L40">
        <v>0</v>
      </c>
      <c r="M40">
        <v>0</v>
      </c>
      <c r="O40">
        <v>200000</v>
      </c>
      <c r="R40" t="s">
        <v>162</v>
      </c>
      <c r="S40">
        <v>0</v>
      </c>
      <c r="T40">
        <v>1.0120000000000001E-3</v>
      </c>
      <c r="U40" t="s">
        <v>176</v>
      </c>
      <c r="V40">
        <v>7.0000000000000001E-3</v>
      </c>
      <c r="W40">
        <v>0.208012</v>
      </c>
      <c r="X40" t="s">
        <v>177</v>
      </c>
      <c r="Y40">
        <v>1.2480720000000001E-2</v>
      </c>
      <c r="Z40">
        <v>0</v>
      </c>
      <c r="AA40" t="s">
        <v>178</v>
      </c>
      <c r="AB40">
        <v>2.4961440000000001E-2</v>
      </c>
      <c r="AC40">
        <v>0.24545416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Q40" t="s">
        <v>262</v>
      </c>
      <c r="AR40" t="s">
        <v>263</v>
      </c>
      <c r="AS40">
        <v>0.2</v>
      </c>
    </row>
    <row r="41" spans="1:45" x14ac:dyDescent="0.15">
      <c r="A41" s="4" t="str">
        <f>HYPERLINK("https://ibp.a2mac1.com/costing(costing:projects/details/9760/material/8751968)","PET VMQ (airbag) adjusted (part)")</f>
        <v>PET VMQ (airbag) adjusted (part)</v>
      </c>
      <c r="B41">
        <v>8751968</v>
      </c>
      <c r="C41">
        <v>12083070</v>
      </c>
      <c r="E41">
        <v>13.63</v>
      </c>
      <c r="F41" t="s">
        <v>478</v>
      </c>
      <c r="G41">
        <v>100</v>
      </c>
      <c r="H41" t="s">
        <v>479</v>
      </c>
      <c r="I41">
        <v>0</v>
      </c>
      <c r="J41">
        <v>0.50345253019720215</v>
      </c>
      <c r="K41">
        <v>0</v>
      </c>
      <c r="L41">
        <v>0</v>
      </c>
      <c r="M41">
        <v>0</v>
      </c>
      <c r="O41">
        <v>200000</v>
      </c>
      <c r="R41" t="s">
        <v>162</v>
      </c>
      <c r="S41">
        <v>0</v>
      </c>
      <c r="T41">
        <v>6.8967799999999996E-2</v>
      </c>
      <c r="U41" t="s">
        <v>176</v>
      </c>
      <c r="V41">
        <v>0.47704999999999997</v>
      </c>
      <c r="W41">
        <v>14.1760178</v>
      </c>
      <c r="X41" t="s">
        <v>90</v>
      </c>
      <c r="Y41">
        <v>0</v>
      </c>
      <c r="Z41">
        <v>0</v>
      </c>
      <c r="AA41" t="s">
        <v>90</v>
      </c>
      <c r="AB41">
        <v>0</v>
      </c>
      <c r="AC41">
        <v>14.1760178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Q41" t="s">
        <v>262</v>
      </c>
      <c r="AR41" t="s">
        <v>263</v>
      </c>
      <c r="AS41">
        <v>13.63</v>
      </c>
    </row>
    <row r="42" spans="1:45" x14ac:dyDescent="0.15">
      <c r="A42" s="4" t="str">
        <f>HYPERLINK("https://ibp.a2mac1.com/costing(costing:projects/details/9760/material/8751969)","Steel sheet (default) adjusted (part)")</f>
        <v>Steel sheet (default) adjusted (part)</v>
      </c>
      <c r="B42">
        <v>8751969</v>
      </c>
      <c r="C42">
        <v>12083071</v>
      </c>
      <c r="E42">
        <v>0.2</v>
      </c>
      <c r="F42" t="s">
        <v>478</v>
      </c>
      <c r="G42">
        <v>100</v>
      </c>
      <c r="H42" t="s">
        <v>479</v>
      </c>
      <c r="I42">
        <v>30</v>
      </c>
      <c r="J42">
        <v>0.50345253019720215</v>
      </c>
      <c r="K42">
        <v>0</v>
      </c>
      <c r="L42">
        <v>0</v>
      </c>
      <c r="M42">
        <v>0</v>
      </c>
      <c r="O42">
        <v>200000</v>
      </c>
      <c r="R42" t="s">
        <v>162</v>
      </c>
      <c r="S42">
        <v>0</v>
      </c>
      <c r="T42">
        <v>1.0120000000000001E-3</v>
      </c>
      <c r="U42" t="s">
        <v>176</v>
      </c>
      <c r="V42">
        <v>7.0000000000000001E-3</v>
      </c>
      <c r="W42">
        <v>0.208012</v>
      </c>
      <c r="X42" t="s">
        <v>177</v>
      </c>
      <c r="Y42">
        <v>1.2480720000000001E-2</v>
      </c>
      <c r="Z42">
        <v>0</v>
      </c>
      <c r="AA42" t="s">
        <v>178</v>
      </c>
      <c r="AB42">
        <v>2.4961440000000001E-2</v>
      </c>
      <c r="AC42">
        <v>0.24545416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Q42" t="s">
        <v>262</v>
      </c>
      <c r="AR42" t="s">
        <v>263</v>
      </c>
      <c r="AS42">
        <v>0.2</v>
      </c>
    </row>
    <row r="43" spans="1:45" x14ac:dyDescent="0.15">
      <c r="A43" s="4" t="str">
        <f>HYPERLINK("https://ibp.a2mac1.com/costing(costing:projects/details/9760/material/8751970)","PA66")</f>
        <v>PA66</v>
      </c>
      <c r="B43">
        <v>8751970</v>
      </c>
      <c r="C43">
        <v>12083072</v>
      </c>
      <c r="E43">
        <v>2.03416</v>
      </c>
      <c r="F43" t="s">
        <v>843</v>
      </c>
      <c r="G43">
        <v>95</v>
      </c>
      <c r="H43" t="s">
        <v>844</v>
      </c>
      <c r="I43">
        <v>5</v>
      </c>
      <c r="J43">
        <v>0.50345253019720215</v>
      </c>
      <c r="K43">
        <v>0</v>
      </c>
      <c r="M43">
        <v>0</v>
      </c>
      <c r="O43">
        <v>200000</v>
      </c>
      <c r="R43" t="s">
        <v>162</v>
      </c>
      <c r="S43">
        <v>1.4988547368421053E-4</v>
      </c>
      <c r="T43">
        <v>3.0336819873684213E-4</v>
      </c>
      <c r="U43" t="s">
        <v>176</v>
      </c>
      <c r="V43">
        <v>2.0983966315789473E-3</v>
      </c>
      <c r="W43">
        <v>6.2206068830315792E-2</v>
      </c>
      <c r="X43" t="s">
        <v>177</v>
      </c>
      <c r="Y43">
        <v>3.7323641298189474E-3</v>
      </c>
      <c r="Z43">
        <v>0</v>
      </c>
      <c r="AA43" t="s">
        <v>178</v>
      </c>
      <c r="AB43">
        <v>7.4647282596378949E-3</v>
      </c>
      <c r="AC43">
        <v>7.3403161219772625E-2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Q43" t="s">
        <v>262</v>
      </c>
      <c r="AR43" t="s">
        <v>263</v>
      </c>
      <c r="AS43">
        <v>5.9954189473684208E-2</v>
      </c>
    </row>
    <row r="44" spans="1:45" x14ac:dyDescent="0.15">
      <c r="A44" s="4" t="str">
        <f>HYPERLINK("https://ibp.a2mac1.com/costing(costing:projects/details/9760/material/8751948)","Material")</f>
        <v>Material</v>
      </c>
      <c r="B44">
        <v>8751948</v>
      </c>
      <c r="C44">
        <v>12083036</v>
      </c>
      <c r="E44">
        <v>13.99</v>
      </c>
      <c r="F44" t="s">
        <v>478</v>
      </c>
      <c r="G44">
        <v>100</v>
      </c>
      <c r="H44" t="s">
        <v>479</v>
      </c>
      <c r="I44">
        <v>0</v>
      </c>
      <c r="J44">
        <v>0.50345253019720215</v>
      </c>
      <c r="K44">
        <v>0</v>
      </c>
      <c r="L44">
        <v>0</v>
      </c>
      <c r="M44">
        <v>0</v>
      </c>
      <c r="O44">
        <v>200000</v>
      </c>
      <c r="R44" t="s">
        <v>162</v>
      </c>
      <c r="S44">
        <v>0</v>
      </c>
      <c r="T44">
        <v>7.0789400000000002E-2</v>
      </c>
      <c r="U44" t="s">
        <v>176</v>
      </c>
      <c r="V44">
        <v>0.48964999999999997</v>
      </c>
      <c r="W44">
        <v>14.5504394</v>
      </c>
      <c r="X44" t="s">
        <v>177</v>
      </c>
      <c r="Y44">
        <v>0.873026364</v>
      </c>
      <c r="Z44">
        <v>0</v>
      </c>
      <c r="AA44" t="s">
        <v>178</v>
      </c>
      <c r="AB44">
        <v>1.746052728</v>
      </c>
      <c r="AC44">
        <v>17.169518492000002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Q44" t="s">
        <v>9</v>
      </c>
      <c r="AR44" t="s">
        <v>263</v>
      </c>
      <c r="AS44">
        <v>13.99</v>
      </c>
    </row>
    <row r="45" spans="1:45" x14ac:dyDescent="0.15">
      <c r="A45" s="4" t="str">
        <f>HYPERLINK("https://ibp.a2mac1.com/costing(costing:projects/details/9760/material/8751949)","Material")</f>
        <v>Material</v>
      </c>
      <c r="B45">
        <v>8751949</v>
      </c>
      <c r="C45">
        <v>12083037</v>
      </c>
      <c r="E45">
        <v>3.14</v>
      </c>
      <c r="F45" t="s">
        <v>478</v>
      </c>
      <c r="G45">
        <v>100</v>
      </c>
      <c r="H45" t="s">
        <v>479</v>
      </c>
      <c r="I45">
        <v>0</v>
      </c>
      <c r="J45">
        <v>0.50345253019720215</v>
      </c>
      <c r="K45">
        <v>0</v>
      </c>
      <c r="L45">
        <v>0</v>
      </c>
      <c r="M45">
        <v>0</v>
      </c>
      <c r="O45">
        <v>200000</v>
      </c>
      <c r="R45" t="s">
        <v>162</v>
      </c>
      <c r="S45">
        <v>0</v>
      </c>
      <c r="T45">
        <v>1.58884E-2</v>
      </c>
      <c r="U45" t="s">
        <v>176</v>
      </c>
      <c r="V45">
        <v>0.1099</v>
      </c>
      <c r="W45">
        <v>3.2657883999999999</v>
      </c>
      <c r="X45" t="s">
        <v>177</v>
      </c>
      <c r="Y45">
        <v>0.19594730399999999</v>
      </c>
      <c r="Z45">
        <v>0</v>
      </c>
      <c r="AA45" t="s">
        <v>178</v>
      </c>
      <c r="AB45">
        <v>0.39189460799999998</v>
      </c>
      <c r="AC45">
        <v>3.8536303119999999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Q45" t="s">
        <v>9</v>
      </c>
      <c r="AR45" t="s">
        <v>263</v>
      </c>
      <c r="AS45">
        <v>3.14</v>
      </c>
    </row>
    <row r="46" spans="1:45" x14ac:dyDescent="0.15">
      <c r="A46" s="4" t="str">
        <f>HYPERLINK("https://ibp.a2mac1.com/costing(costing:projects/details/9760/material/8751971)","PA66")</f>
        <v>PA66</v>
      </c>
      <c r="B46">
        <v>8751971</v>
      </c>
      <c r="C46">
        <v>12083073</v>
      </c>
      <c r="E46">
        <v>2.03416</v>
      </c>
      <c r="F46" t="s">
        <v>843</v>
      </c>
      <c r="G46">
        <v>95</v>
      </c>
      <c r="H46" t="s">
        <v>844</v>
      </c>
      <c r="I46">
        <v>5</v>
      </c>
      <c r="J46">
        <v>0.50345253019720215</v>
      </c>
      <c r="K46">
        <v>0</v>
      </c>
      <c r="M46">
        <v>0</v>
      </c>
      <c r="O46">
        <v>200000</v>
      </c>
      <c r="R46" t="s">
        <v>162</v>
      </c>
      <c r="S46">
        <v>1.4988547368421053E-4</v>
      </c>
      <c r="T46">
        <v>3.0336819873684213E-4</v>
      </c>
      <c r="U46" t="s">
        <v>176</v>
      </c>
      <c r="V46">
        <v>2.0983966315789473E-3</v>
      </c>
      <c r="W46">
        <v>6.2206068830315792E-2</v>
      </c>
      <c r="X46" t="s">
        <v>177</v>
      </c>
      <c r="Y46">
        <v>3.7323641298189474E-3</v>
      </c>
      <c r="Z46">
        <v>0</v>
      </c>
      <c r="AA46" t="s">
        <v>178</v>
      </c>
      <c r="AB46">
        <v>7.4647282596378949E-3</v>
      </c>
      <c r="AC46">
        <v>7.3403161219772625E-2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Q46" t="s">
        <v>262</v>
      </c>
      <c r="AR46" t="s">
        <v>263</v>
      </c>
      <c r="AS46">
        <v>5.9954189473684208E-2</v>
      </c>
    </row>
    <row r="47" spans="1:45" x14ac:dyDescent="0.15">
      <c r="A47" s="4" t="str">
        <f>HYPERLINK("https://ibp.a2mac1.com/costing(costing:projects/details/9760/material/8751972)","Steel sheet (default)")</f>
        <v>Steel sheet (default)</v>
      </c>
      <c r="B47">
        <v>8751972</v>
      </c>
      <c r="C47">
        <v>12083074</v>
      </c>
      <c r="E47">
        <v>0.52766000000000002</v>
      </c>
      <c r="F47" t="s">
        <v>865</v>
      </c>
      <c r="G47">
        <v>50</v>
      </c>
      <c r="H47" t="s">
        <v>866</v>
      </c>
      <c r="I47">
        <v>30</v>
      </c>
      <c r="J47">
        <v>0.50345253019720215</v>
      </c>
      <c r="K47">
        <v>0</v>
      </c>
      <c r="L47">
        <v>0</v>
      </c>
      <c r="M47">
        <v>0</v>
      </c>
      <c r="O47">
        <v>200000</v>
      </c>
      <c r="R47" t="s">
        <v>162</v>
      </c>
      <c r="S47">
        <v>6.0153239999999998E-3</v>
      </c>
      <c r="T47">
        <v>2.0291692960000001E-4</v>
      </c>
      <c r="U47" t="s">
        <v>176</v>
      </c>
      <c r="V47">
        <v>1.4035756E-3</v>
      </c>
      <c r="W47">
        <v>3.5693328529599999E-2</v>
      </c>
      <c r="X47" t="s">
        <v>177</v>
      </c>
      <c r="Y47">
        <v>2.1415997117759998E-3</v>
      </c>
      <c r="Z47">
        <v>0</v>
      </c>
      <c r="AA47" t="s">
        <v>178</v>
      </c>
      <c r="AB47">
        <v>4.2831994235519996E-3</v>
      </c>
      <c r="AC47">
        <v>4.2118127664928E-2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Q47" t="s">
        <v>262</v>
      </c>
      <c r="AR47" t="s">
        <v>263</v>
      </c>
      <c r="AS47">
        <v>4.0102159999999998E-2</v>
      </c>
    </row>
    <row r="48" spans="1:45" x14ac:dyDescent="0.15">
      <c r="A48" s="4" t="str">
        <f>HYPERLINK("https://ibp.a2mac1.com/costing(costing:projects/details/9760/material/8751950)","Material")</f>
        <v>Material</v>
      </c>
      <c r="B48">
        <v>8751950</v>
      </c>
      <c r="C48">
        <v>12083038</v>
      </c>
      <c r="E48">
        <v>3.14</v>
      </c>
      <c r="F48" t="s">
        <v>478</v>
      </c>
      <c r="G48">
        <v>100</v>
      </c>
      <c r="H48" t="s">
        <v>479</v>
      </c>
      <c r="I48">
        <v>0</v>
      </c>
      <c r="J48">
        <v>0.50345253019720215</v>
      </c>
      <c r="K48">
        <v>0</v>
      </c>
      <c r="L48">
        <v>0</v>
      </c>
      <c r="M48">
        <v>0</v>
      </c>
      <c r="O48">
        <v>200000</v>
      </c>
      <c r="R48" t="s">
        <v>162</v>
      </c>
      <c r="S48">
        <v>0</v>
      </c>
      <c r="T48">
        <v>1.58884E-2</v>
      </c>
      <c r="U48" t="s">
        <v>176</v>
      </c>
      <c r="V48">
        <v>0.1099</v>
      </c>
      <c r="W48">
        <v>3.2657883999999999</v>
      </c>
      <c r="X48" t="s">
        <v>177</v>
      </c>
      <c r="Y48">
        <v>0.19594730399999999</v>
      </c>
      <c r="Z48">
        <v>0</v>
      </c>
      <c r="AA48" t="s">
        <v>178</v>
      </c>
      <c r="AB48">
        <v>0.39189460799999998</v>
      </c>
      <c r="AC48">
        <v>3.8536303119999999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Q48" t="s">
        <v>9</v>
      </c>
      <c r="AR48" t="s">
        <v>263</v>
      </c>
      <c r="AS48">
        <v>3.14</v>
      </c>
    </row>
    <row r="49" spans="1:45" x14ac:dyDescent="0.15">
      <c r="A49" s="4" t="str">
        <f>HYPERLINK("https://ibp.a2mac1.com/costing(costing:projects/details/9760/material/8751973)","PA66")</f>
        <v>PA66</v>
      </c>
      <c r="B49">
        <v>8751973</v>
      </c>
      <c r="C49">
        <v>12083075</v>
      </c>
      <c r="E49">
        <v>2.03416</v>
      </c>
      <c r="F49" t="s">
        <v>843</v>
      </c>
      <c r="G49">
        <v>95</v>
      </c>
      <c r="H49" t="s">
        <v>844</v>
      </c>
      <c r="I49">
        <v>5</v>
      </c>
      <c r="J49">
        <v>0.50345253019720215</v>
      </c>
      <c r="K49">
        <v>0</v>
      </c>
      <c r="M49">
        <v>0</v>
      </c>
      <c r="O49">
        <v>200000</v>
      </c>
      <c r="R49" t="s">
        <v>162</v>
      </c>
      <c r="S49">
        <v>1.4988547368421053E-4</v>
      </c>
      <c r="T49">
        <v>3.0336819873684213E-4</v>
      </c>
      <c r="U49" t="s">
        <v>176</v>
      </c>
      <c r="V49">
        <v>2.0983966315789473E-3</v>
      </c>
      <c r="W49">
        <v>6.2206068830315792E-2</v>
      </c>
      <c r="X49" t="s">
        <v>177</v>
      </c>
      <c r="Y49">
        <v>3.7323641298189474E-3</v>
      </c>
      <c r="Z49">
        <v>0</v>
      </c>
      <c r="AA49" t="s">
        <v>178</v>
      </c>
      <c r="AB49">
        <v>7.4647282596378949E-3</v>
      </c>
      <c r="AC49">
        <v>7.3403161219772625E-2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Q49" t="s">
        <v>262</v>
      </c>
      <c r="AR49" t="s">
        <v>263</v>
      </c>
      <c r="AS49">
        <v>5.9954189473684208E-2</v>
      </c>
    </row>
    <row r="50" spans="1:45" x14ac:dyDescent="0.15">
      <c r="A50" s="4" t="str">
        <f>HYPERLINK("https://ibp.a2mac1.com/costing(costing:projects/details/9760/material/8751951)","Material")</f>
        <v>Material</v>
      </c>
      <c r="B50">
        <v>8751951</v>
      </c>
      <c r="C50">
        <v>12083039</v>
      </c>
      <c r="E50">
        <v>12.6</v>
      </c>
      <c r="F50" t="s">
        <v>478</v>
      </c>
      <c r="G50">
        <v>100</v>
      </c>
      <c r="H50" t="s">
        <v>479</v>
      </c>
      <c r="I50">
        <v>0</v>
      </c>
      <c r="J50">
        <v>0.50345253019720215</v>
      </c>
      <c r="K50">
        <v>0</v>
      </c>
      <c r="L50">
        <v>0</v>
      </c>
      <c r="M50">
        <v>0</v>
      </c>
      <c r="O50">
        <v>200000</v>
      </c>
      <c r="R50" t="s">
        <v>162</v>
      </c>
      <c r="S50">
        <v>0</v>
      </c>
      <c r="T50">
        <v>6.3755999999999993E-2</v>
      </c>
      <c r="U50" t="s">
        <v>176</v>
      </c>
      <c r="V50">
        <v>0.441</v>
      </c>
      <c r="W50">
        <v>13.104756</v>
      </c>
      <c r="X50" t="s">
        <v>177</v>
      </c>
      <c r="Y50">
        <v>0.78628536000000004</v>
      </c>
      <c r="Z50">
        <v>0</v>
      </c>
      <c r="AA50" t="s">
        <v>178</v>
      </c>
      <c r="AB50">
        <v>1.5725707200000001</v>
      </c>
      <c r="AC50">
        <v>15.463612080000001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Q50" t="s">
        <v>9</v>
      </c>
      <c r="AR50" t="s">
        <v>263</v>
      </c>
      <c r="AS50">
        <v>12.6</v>
      </c>
    </row>
    <row r="51" spans="1:45" x14ac:dyDescent="0.15">
      <c r="A51" s="4" t="str">
        <f>HYPERLINK("https://ibp.a2mac1.com/costing(costing:projects/details/9760/material/8751952)","Material")</f>
        <v>Material</v>
      </c>
      <c r="B51">
        <v>8751952</v>
      </c>
      <c r="C51">
        <v>12083040</v>
      </c>
      <c r="E51">
        <v>3.67</v>
      </c>
      <c r="F51" t="s">
        <v>478</v>
      </c>
      <c r="G51">
        <v>100</v>
      </c>
      <c r="H51" t="s">
        <v>479</v>
      </c>
      <c r="I51">
        <v>0</v>
      </c>
      <c r="J51">
        <v>0.50345253019720215</v>
      </c>
      <c r="K51">
        <v>0</v>
      </c>
      <c r="L51">
        <v>0</v>
      </c>
      <c r="M51">
        <v>0</v>
      </c>
      <c r="O51">
        <v>200000</v>
      </c>
      <c r="R51" t="s">
        <v>162</v>
      </c>
      <c r="S51">
        <v>0</v>
      </c>
      <c r="T51">
        <v>1.8570199999999999E-2</v>
      </c>
      <c r="U51" t="s">
        <v>176</v>
      </c>
      <c r="V51">
        <v>0.12845000000000001</v>
      </c>
      <c r="W51">
        <v>3.8170202</v>
      </c>
      <c r="X51" t="s">
        <v>177</v>
      </c>
      <c r="Y51">
        <v>0.229021212</v>
      </c>
      <c r="Z51">
        <v>0</v>
      </c>
      <c r="AA51" t="s">
        <v>178</v>
      </c>
      <c r="AB51">
        <v>0.458042424</v>
      </c>
      <c r="AC51">
        <v>4.5040838360000004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Q51" t="s">
        <v>9</v>
      </c>
      <c r="AR51" t="s">
        <v>263</v>
      </c>
      <c r="AS51">
        <v>3.67</v>
      </c>
    </row>
    <row r="52" spans="1:45" x14ac:dyDescent="0.15">
      <c r="A52" s="4" t="str">
        <f>HYPERLINK("https://ibp.a2mac1.com/costing(costing:projects/details/9760/material/8751953)","Material")</f>
        <v>Material</v>
      </c>
      <c r="B52">
        <v>8751953</v>
      </c>
      <c r="C52">
        <v>12083041</v>
      </c>
      <c r="E52">
        <v>8.64</v>
      </c>
      <c r="F52" t="s">
        <v>478</v>
      </c>
      <c r="G52">
        <v>100</v>
      </c>
      <c r="H52" t="s">
        <v>479</v>
      </c>
      <c r="I52">
        <v>0</v>
      </c>
      <c r="J52">
        <v>0.50345253019720215</v>
      </c>
      <c r="K52">
        <v>0</v>
      </c>
      <c r="L52">
        <v>0</v>
      </c>
      <c r="M52">
        <v>0</v>
      </c>
      <c r="O52">
        <v>200000</v>
      </c>
      <c r="R52" t="s">
        <v>162</v>
      </c>
      <c r="S52">
        <v>0</v>
      </c>
      <c r="T52">
        <v>4.3718399999999998E-2</v>
      </c>
      <c r="U52" t="s">
        <v>176</v>
      </c>
      <c r="V52">
        <v>0.3024</v>
      </c>
      <c r="W52">
        <v>8.9861184000000005</v>
      </c>
      <c r="X52" t="s">
        <v>177</v>
      </c>
      <c r="Y52">
        <v>0.53916710400000001</v>
      </c>
      <c r="Z52">
        <v>0</v>
      </c>
      <c r="AA52" t="s">
        <v>178</v>
      </c>
      <c r="AB52">
        <v>1.078334208</v>
      </c>
      <c r="AC52">
        <v>10.603619712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Q52" t="s">
        <v>9</v>
      </c>
      <c r="AR52" t="s">
        <v>263</v>
      </c>
      <c r="AS52">
        <v>8.64</v>
      </c>
    </row>
    <row r="53" spans="1:45" x14ac:dyDescent="0.15">
      <c r="A53" s="4" t="str">
        <f>HYPERLINK("https://ibp.a2mac1.com/costing(costing:projects/details/9760/material/8751954)","Material")</f>
        <v>Material</v>
      </c>
      <c r="B53">
        <v>8751954</v>
      </c>
      <c r="C53">
        <v>12083042</v>
      </c>
      <c r="E53">
        <v>3.67</v>
      </c>
      <c r="F53" t="s">
        <v>478</v>
      </c>
      <c r="G53">
        <v>100</v>
      </c>
      <c r="H53" t="s">
        <v>479</v>
      </c>
      <c r="I53">
        <v>0</v>
      </c>
      <c r="J53">
        <v>0.50345253019720215</v>
      </c>
      <c r="K53">
        <v>0</v>
      </c>
      <c r="L53">
        <v>0</v>
      </c>
      <c r="M53">
        <v>0</v>
      </c>
      <c r="O53">
        <v>200000</v>
      </c>
      <c r="R53" t="s">
        <v>162</v>
      </c>
      <c r="S53">
        <v>0</v>
      </c>
      <c r="T53">
        <v>1.8570199999999999E-2</v>
      </c>
      <c r="U53" t="s">
        <v>176</v>
      </c>
      <c r="V53">
        <v>0.12845000000000001</v>
      </c>
      <c r="W53">
        <v>3.8170202</v>
      </c>
      <c r="X53" t="s">
        <v>177</v>
      </c>
      <c r="Y53">
        <v>0.229021212</v>
      </c>
      <c r="Z53">
        <v>0</v>
      </c>
      <c r="AA53" t="s">
        <v>178</v>
      </c>
      <c r="AB53">
        <v>0.458042424</v>
      </c>
      <c r="AC53">
        <v>4.5040838360000004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Q53" t="s">
        <v>9</v>
      </c>
      <c r="AR53" t="s">
        <v>263</v>
      </c>
      <c r="AS53">
        <v>3.67</v>
      </c>
    </row>
    <row r="54" spans="1:45" x14ac:dyDescent="0.15">
      <c r="A54" s="4" t="str">
        <f>HYPERLINK("https://ibp.a2mac1.com/costing(costing:projects/details/9760/material/8751974)","PA66")</f>
        <v>PA66</v>
      </c>
      <c r="B54">
        <v>8751974</v>
      </c>
      <c r="C54">
        <v>12083076</v>
      </c>
      <c r="E54">
        <v>2.03416</v>
      </c>
      <c r="F54" t="s">
        <v>843</v>
      </c>
      <c r="G54">
        <v>95</v>
      </c>
      <c r="H54" t="s">
        <v>844</v>
      </c>
      <c r="I54">
        <v>5</v>
      </c>
      <c r="J54">
        <v>0.50345253019720215</v>
      </c>
      <c r="K54">
        <v>0</v>
      </c>
      <c r="M54">
        <v>0</v>
      </c>
      <c r="O54">
        <v>200000</v>
      </c>
      <c r="R54" t="s">
        <v>162</v>
      </c>
      <c r="S54">
        <v>1.4988547368421053E-4</v>
      </c>
      <c r="T54">
        <v>3.0336819873684213E-4</v>
      </c>
      <c r="U54" t="s">
        <v>176</v>
      </c>
      <c r="V54">
        <v>2.0983966315789473E-3</v>
      </c>
      <c r="W54">
        <v>6.2206068830315792E-2</v>
      </c>
      <c r="X54" t="s">
        <v>177</v>
      </c>
      <c r="Y54">
        <v>3.7323641298189474E-3</v>
      </c>
      <c r="Z54">
        <v>0</v>
      </c>
      <c r="AA54" t="s">
        <v>178</v>
      </c>
      <c r="AB54">
        <v>7.4647282596378949E-3</v>
      </c>
      <c r="AC54">
        <v>7.3403161219772625E-2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Q54" t="s">
        <v>262</v>
      </c>
      <c r="AR54" t="s">
        <v>263</v>
      </c>
      <c r="AS54">
        <v>5.9954189473684208E-2</v>
      </c>
    </row>
    <row r="55" spans="1:45" x14ac:dyDescent="0.15">
      <c r="A55" s="4" t="str">
        <f>HYPERLINK("https://ibp.a2mac1.com/costing(costing:projects/details/9760/material/8751955)","Material")</f>
        <v>Material</v>
      </c>
      <c r="B55">
        <v>8751955</v>
      </c>
      <c r="C55">
        <v>12083043</v>
      </c>
      <c r="E55">
        <v>3.67</v>
      </c>
      <c r="F55" t="s">
        <v>478</v>
      </c>
      <c r="G55">
        <v>100</v>
      </c>
      <c r="H55" t="s">
        <v>479</v>
      </c>
      <c r="I55">
        <v>0</v>
      </c>
      <c r="J55">
        <v>0.50345253019720215</v>
      </c>
      <c r="K55">
        <v>0</v>
      </c>
      <c r="L55">
        <v>0</v>
      </c>
      <c r="M55">
        <v>0</v>
      </c>
      <c r="O55">
        <v>200000</v>
      </c>
      <c r="R55" t="s">
        <v>162</v>
      </c>
      <c r="S55">
        <v>0</v>
      </c>
      <c r="T55">
        <v>1.8570199999999999E-2</v>
      </c>
      <c r="U55" t="s">
        <v>176</v>
      </c>
      <c r="V55">
        <v>0.12845000000000001</v>
      </c>
      <c r="W55">
        <v>3.8170202</v>
      </c>
      <c r="X55" t="s">
        <v>177</v>
      </c>
      <c r="Y55">
        <v>0.229021212</v>
      </c>
      <c r="Z55">
        <v>0</v>
      </c>
      <c r="AA55" t="s">
        <v>178</v>
      </c>
      <c r="AB55">
        <v>0.458042424</v>
      </c>
      <c r="AC55">
        <v>4.5040838360000004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Q55" t="s">
        <v>9</v>
      </c>
      <c r="AR55" t="s">
        <v>263</v>
      </c>
      <c r="AS55">
        <v>3.67</v>
      </c>
    </row>
    <row r="56" spans="1:45" x14ac:dyDescent="0.15">
      <c r="A56" s="4" t="str">
        <f>HYPERLINK("https://ibp.a2mac1.com/costing(costing:projects/details/9760/material/8751923)","PP-EPDM")</f>
        <v>PP-EPDM</v>
      </c>
      <c r="B56">
        <v>8751923</v>
      </c>
      <c r="C56">
        <v>12083016</v>
      </c>
      <c r="E56">
        <v>1.7894600000000001</v>
      </c>
      <c r="F56" t="s">
        <v>947</v>
      </c>
      <c r="G56">
        <v>95</v>
      </c>
      <c r="H56" t="s">
        <v>948</v>
      </c>
      <c r="I56">
        <v>5</v>
      </c>
      <c r="J56">
        <v>0.50048257265952256</v>
      </c>
      <c r="K56">
        <v>0</v>
      </c>
      <c r="L56">
        <v>0</v>
      </c>
      <c r="M56">
        <v>0</v>
      </c>
      <c r="O56">
        <v>400000</v>
      </c>
      <c r="R56" t="s">
        <v>162</v>
      </c>
      <c r="S56">
        <v>1.5069136842105264E-4</v>
      </c>
      <c r="T56">
        <v>3.0319103326315787E-4</v>
      </c>
      <c r="U56" t="s">
        <v>176</v>
      </c>
      <c r="V56">
        <v>2.1096791578947369E-3</v>
      </c>
      <c r="W56">
        <v>6.2538726191157898E-2</v>
      </c>
      <c r="X56" t="s">
        <v>177</v>
      </c>
      <c r="Y56">
        <v>3.7523235714694739E-3</v>
      </c>
      <c r="Z56">
        <v>0</v>
      </c>
      <c r="AA56" t="s">
        <v>178</v>
      </c>
      <c r="AB56">
        <v>7.5046471429389477E-3</v>
      </c>
      <c r="AC56">
        <v>7.379569690556631E-2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Q56" t="s">
        <v>262</v>
      </c>
      <c r="AR56" t="s">
        <v>263</v>
      </c>
      <c r="AS56">
        <v>6.027654736842105E-2</v>
      </c>
    </row>
    <row r="57" spans="1:45" x14ac:dyDescent="0.15">
      <c r="A57" s="4" t="str">
        <f>HYPERLINK("https://ibp.a2mac1.com/costing(costing:projects/details/9760/material/8751933)","Material")</f>
        <v>Material</v>
      </c>
      <c r="B57">
        <v>8751933</v>
      </c>
      <c r="C57">
        <v>12083028</v>
      </c>
      <c r="E57">
        <v>9.59</v>
      </c>
      <c r="F57" t="s">
        <v>478</v>
      </c>
      <c r="G57">
        <v>100</v>
      </c>
      <c r="H57" t="s">
        <v>479</v>
      </c>
      <c r="I57">
        <v>0</v>
      </c>
      <c r="J57">
        <v>1.9999600007999841E-3</v>
      </c>
      <c r="K57">
        <v>0</v>
      </c>
      <c r="M57">
        <v>0</v>
      </c>
      <c r="O57">
        <v>200000</v>
      </c>
      <c r="R57" t="s">
        <v>162</v>
      </c>
      <c r="S57">
        <v>0</v>
      </c>
      <c r="T57">
        <v>1.918E-4</v>
      </c>
      <c r="U57" t="s">
        <v>176</v>
      </c>
      <c r="V57">
        <v>0.33565</v>
      </c>
      <c r="W57">
        <v>9.9258418000000006</v>
      </c>
      <c r="X57" t="s">
        <v>177</v>
      </c>
      <c r="Y57">
        <v>0.59555050799999998</v>
      </c>
      <c r="Z57">
        <v>0</v>
      </c>
      <c r="AA57" t="s">
        <v>178</v>
      </c>
      <c r="AB57">
        <v>1.191101016</v>
      </c>
      <c r="AC57">
        <v>11.712493324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Q57" t="s">
        <v>9</v>
      </c>
      <c r="AR57" t="s">
        <v>263</v>
      </c>
      <c r="AS57">
        <v>9.59</v>
      </c>
    </row>
    <row r="58" spans="1:45" x14ac:dyDescent="0.15">
      <c r="A58" s="4" t="str">
        <f>HYPERLINK("https://ibp.a2mac1.com/costing(costing:projects/details/9760/material/8751934)","Material")</f>
        <v>Material</v>
      </c>
      <c r="B58">
        <v>8751934</v>
      </c>
      <c r="C58">
        <v>12083029</v>
      </c>
      <c r="E58">
        <v>9.59</v>
      </c>
      <c r="F58" t="s">
        <v>478</v>
      </c>
      <c r="G58">
        <v>100</v>
      </c>
      <c r="H58" t="s">
        <v>479</v>
      </c>
      <c r="I58">
        <v>0</v>
      </c>
      <c r="J58">
        <v>1.9999600007999841E-3</v>
      </c>
      <c r="K58">
        <v>0</v>
      </c>
      <c r="M58">
        <v>0</v>
      </c>
      <c r="O58">
        <v>200000</v>
      </c>
      <c r="R58" t="s">
        <v>162</v>
      </c>
      <c r="S58">
        <v>0</v>
      </c>
      <c r="T58">
        <v>1.918E-4</v>
      </c>
      <c r="U58" t="s">
        <v>176</v>
      </c>
      <c r="V58">
        <v>0.33565</v>
      </c>
      <c r="W58">
        <v>9.9258418000000006</v>
      </c>
      <c r="X58" t="s">
        <v>177</v>
      </c>
      <c r="Y58">
        <v>0.59555050799999998</v>
      </c>
      <c r="Z58">
        <v>0</v>
      </c>
      <c r="AA58" t="s">
        <v>178</v>
      </c>
      <c r="AB58">
        <v>1.191101016</v>
      </c>
      <c r="AC58">
        <v>11.712493324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Q58" t="s">
        <v>9</v>
      </c>
      <c r="AR58" t="s">
        <v>263</v>
      </c>
      <c r="AS58">
        <v>9.59</v>
      </c>
    </row>
    <row r="59" spans="1:45" x14ac:dyDescent="0.15">
      <c r="A59" s="4" t="str">
        <f>HYPERLINK("https://ibp.a2mac1.com/costing(costing:projects/details/9760/material/8751938)","Material")</f>
        <v>Material</v>
      </c>
      <c r="B59">
        <v>8751938</v>
      </c>
      <c r="C59">
        <v>12083050</v>
      </c>
      <c r="E59">
        <v>27.25</v>
      </c>
      <c r="F59" t="s">
        <v>478</v>
      </c>
      <c r="G59">
        <v>100</v>
      </c>
      <c r="H59" t="s">
        <v>479</v>
      </c>
      <c r="I59">
        <v>0</v>
      </c>
      <c r="J59">
        <v>1.9999600007999841E-3</v>
      </c>
      <c r="K59">
        <v>0</v>
      </c>
      <c r="L59">
        <v>0</v>
      </c>
      <c r="M59">
        <v>0</v>
      </c>
      <c r="O59">
        <v>200000</v>
      </c>
      <c r="R59" t="s">
        <v>162</v>
      </c>
      <c r="S59">
        <v>0</v>
      </c>
      <c r="T59">
        <v>5.4500000000000002E-4</v>
      </c>
      <c r="U59" t="s">
        <v>176</v>
      </c>
      <c r="V59">
        <v>0.95374999999999999</v>
      </c>
      <c r="W59">
        <v>28.204294999999998</v>
      </c>
      <c r="X59" t="s">
        <v>90</v>
      </c>
      <c r="Y59">
        <v>0</v>
      </c>
      <c r="Z59">
        <v>0</v>
      </c>
      <c r="AA59" t="s">
        <v>90</v>
      </c>
      <c r="AB59">
        <v>0</v>
      </c>
      <c r="AC59">
        <v>28.204294999999998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Q59" t="s">
        <v>9</v>
      </c>
      <c r="AR59" t="s">
        <v>263</v>
      </c>
      <c r="AS59">
        <v>27.25</v>
      </c>
    </row>
    <row r="60" spans="1:45" x14ac:dyDescent="0.15">
      <c r="A60" s="4" t="str">
        <f>HYPERLINK("https://ibp.a2mac1.com/costing(costing:projects/details/9760/material/8751939)","Material")</f>
        <v>Material</v>
      </c>
      <c r="B60">
        <v>8751939</v>
      </c>
      <c r="C60">
        <v>12083051</v>
      </c>
      <c r="E60">
        <v>27.25</v>
      </c>
      <c r="F60" t="s">
        <v>478</v>
      </c>
      <c r="G60">
        <v>100</v>
      </c>
      <c r="H60" t="s">
        <v>479</v>
      </c>
      <c r="I60">
        <v>0</v>
      </c>
      <c r="J60">
        <v>1.9999600007999841E-3</v>
      </c>
      <c r="K60">
        <v>0</v>
      </c>
      <c r="L60">
        <v>0</v>
      </c>
      <c r="M60">
        <v>0</v>
      </c>
      <c r="O60">
        <v>200000</v>
      </c>
      <c r="R60" t="s">
        <v>162</v>
      </c>
      <c r="S60">
        <v>0</v>
      </c>
      <c r="T60">
        <v>5.4500000000000002E-4</v>
      </c>
      <c r="U60" t="s">
        <v>176</v>
      </c>
      <c r="V60">
        <v>0.95374999999999999</v>
      </c>
      <c r="W60">
        <v>28.204294999999998</v>
      </c>
      <c r="X60" t="s">
        <v>90</v>
      </c>
      <c r="Y60">
        <v>0</v>
      </c>
      <c r="Z60">
        <v>0</v>
      </c>
      <c r="AA60" t="s">
        <v>90</v>
      </c>
      <c r="AB60">
        <v>0</v>
      </c>
      <c r="AC60">
        <v>28.204294999999998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Q60" t="s">
        <v>9</v>
      </c>
      <c r="AR60" t="s">
        <v>263</v>
      </c>
      <c r="AS60">
        <v>27.25</v>
      </c>
    </row>
    <row r="61" spans="1:45" x14ac:dyDescent="0.15">
      <c r="A61" s="4" t="str">
        <f>HYPERLINK("https://ibp.a2mac1.com/costing(costing:projects/details/9760/material/8751946)","Material")</f>
        <v>Material</v>
      </c>
      <c r="B61">
        <v>8751946</v>
      </c>
      <c r="C61">
        <v>12083054</v>
      </c>
      <c r="E61">
        <v>11.35</v>
      </c>
      <c r="F61" t="s">
        <v>478</v>
      </c>
      <c r="G61">
        <v>100</v>
      </c>
      <c r="H61" t="s">
        <v>479</v>
      </c>
      <c r="I61">
        <v>0</v>
      </c>
      <c r="J61">
        <v>1.9999600007999841E-3</v>
      </c>
      <c r="K61">
        <v>0</v>
      </c>
      <c r="M61">
        <v>0</v>
      </c>
      <c r="O61">
        <v>200000</v>
      </c>
      <c r="R61" t="s">
        <v>162</v>
      </c>
      <c r="S61">
        <v>0</v>
      </c>
      <c r="T61">
        <v>2.2699999999999999E-4</v>
      </c>
      <c r="U61" t="s">
        <v>176</v>
      </c>
      <c r="V61">
        <v>0.39724999999999999</v>
      </c>
      <c r="W61">
        <v>11.747477</v>
      </c>
      <c r="X61" t="s">
        <v>90</v>
      </c>
      <c r="Y61">
        <v>0</v>
      </c>
      <c r="Z61">
        <v>0</v>
      </c>
      <c r="AA61" t="s">
        <v>90</v>
      </c>
      <c r="AB61">
        <v>0</v>
      </c>
      <c r="AC61">
        <v>11.747477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Q61" t="s">
        <v>9</v>
      </c>
      <c r="AR61" t="s">
        <v>263</v>
      </c>
      <c r="AS61">
        <v>11.35</v>
      </c>
    </row>
    <row r="62" spans="1:45" x14ac:dyDescent="0.15">
      <c r="A62" s="4" t="str">
        <f>HYPERLINK("https://ibp.a2mac1.com/costing(costing:projects/details/9760/material/8751947)","Material")</f>
        <v>Material</v>
      </c>
      <c r="B62">
        <v>8751947</v>
      </c>
      <c r="C62">
        <v>12083055</v>
      </c>
      <c r="E62">
        <v>11.35</v>
      </c>
      <c r="F62" t="s">
        <v>478</v>
      </c>
      <c r="G62">
        <v>100</v>
      </c>
      <c r="H62" t="s">
        <v>479</v>
      </c>
      <c r="I62">
        <v>0</v>
      </c>
      <c r="J62">
        <v>1.9999600007999841E-3</v>
      </c>
      <c r="K62">
        <v>0</v>
      </c>
      <c r="M62">
        <v>0</v>
      </c>
      <c r="O62">
        <v>200000</v>
      </c>
      <c r="R62" t="s">
        <v>162</v>
      </c>
      <c r="S62">
        <v>0</v>
      </c>
      <c r="T62">
        <v>2.2699999999999999E-4</v>
      </c>
      <c r="U62" t="s">
        <v>176</v>
      </c>
      <c r="V62">
        <v>0.39724999999999999</v>
      </c>
      <c r="W62">
        <v>11.747477</v>
      </c>
      <c r="X62" t="s">
        <v>90</v>
      </c>
      <c r="Y62">
        <v>0</v>
      </c>
      <c r="Z62">
        <v>0</v>
      </c>
      <c r="AA62" t="s">
        <v>90</v>
      </c>
      <c r="AB62">
        <v>0</v>
      </c>
      <c r="AC62">
        <v>11.747477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Q62" t="s">
        <v>9</v>
      </c>
      <c r="AR62" t="s">
        <v>263</v>
      </c>
      <c r="AS62">
        <v>11.35</v>
      </c>
    </row>
    <row r="63" spans="1:45" x14ac:dyDescent="0.15">
      <c r="A63" s="4" t="str">
        <f>HYPERLINK("https://ibp.a2mac1.com/costing(costing:projects/details/9760/material/8751935)","Material")</f>
        <v>Material</v>
      </c>
      <c r="B63">
        <v>8751935</v>
      </c>
      <c r="C63">
        <v>12083032</v>
      </c>
      <c r="E63">
        <v>7.2549999999999999</v>
      </c>
      <c r="F63" t="s">
        <v>478</v>
      </c>
      <c r="G63">
        <v>100</v>
      </c>
      <c r="H63" t="s">
        <v>479</v>
      </c>
      <c r="I63">
        <v>0</v>
      </c>
      <c r="J63">
        <v>1.9999600007999841E-3</v>
      </c>
      <c r="K63">
        <v>0</v>
      </c>
      <c r="M63">
        <v>0</v>
      </c>
      <c r="O63">
        <v>400000</v>
      </c>
      <c r="R63" t="s">
        <v>162</v>
      </c>
      <c r="S63">
        <v>0</v>
      </c>
      <c r="T63">
        <v>1.451E-4</v>
      </c>
      <c r="U63" t="s">
        <v>176</v>
      </c>
      <c r="V63">
        <v>0.25392500000000001</v>
      </c>
      <c r="W63">
        <v>7.5090700999999997</v>
      </c>
      <c r="X63" t="s">
        <v>177</v>
      </c>
      <c r="Y63">
        <v>0.450544206</v>
      </c>
      <c r="Z63">
        <v>0</v>
      </c>
      <c r="AA63" t="s">
        <v>178</v>
      </c>
      <c r="AB63">
        <v>0.90108841200000001</v>
      </c>
      <c r="AC63">
        <v>8.8607027180000006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Q63" t="s">
        <v>9</v>
      </c>
      <c r="AR63" t="s">
        <v>263</v>
      </c>
      <c r="AS63">
        <v>7.2549999999999999</v>
      </c>
    </row>
    <row r="64" spans="1:45" x14ac:dyDescent="0.15">
      <c r="A64" s="4" t="str">
        <f>HYPERLINK("https://ibp.a2mac1.com/costing(costing:projects/details/9760/material/8752251)","ABS")</f>
        <v>ABS</v>
      </c>
      <c r="B64">
        <v>8752251</v>
      </c>
      <c r="C64">
        <v>12083209</v>
      </c>
      <c r="E64">
        <v>2.5272700000000001</v>
      </c>
      <c r="F64" t="s">
        <v>1460</v>
      </c>
      <c r="G64">
        <v>95</v>
      </c>
      <c r="H64" t="s">
        <v>1461</v>
      </c>
      <c r="I64">
        <v>5</v>
      </c>
      <c r="J64">
        <v>0.50345253019720215</v>
      </c>
      <c r="K64">
        <v>0</v>
      </c>
      <c r="L64">
        <v>0</v>
      </c>
      <c r="M64">
        <v>0</v>
      </c>
      <c r="O64">
        <v>200000</v>
      </c>
      <c r="R64" t="s">
        <v>162</v>
      </c>
      <c r="S64">
        <v>4.6554973684210525E-5</v>
      </c>
      <c r="T64">
        <v>9.4227266736842104E-5</v>
      </c>
      <c r="U64" t="s">
        <v>176</v>
      </c>
      <c r="V64">
        <v>6.5176963157894741E-4</v>
      </c>
      <c r="W64">
        <v>1.932143139831579E-2</v>
      </c>
      <c r="X64" t="s">
        <v>90</v>
      </c>
      <c r="Y64">
        <v>0</v>
      </c>
      <c r="Z64">
        <v>0</v>
      </c>
      <c r="AA64" t="s">
        <v>90</v>
      </c>
      <c r="AB64">
        <v>0</v>
      </c>
      <c r="AC64">
        <v>1.932143139831579E-2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Q64" t="s">
        <v>262</v>
      </c>
      <c r="AR64" t="s">
        <v>263</v>
      </c>
      <c r="AS64">
        <v>1.8621989473684212E-2</v>
      </c>
    </row>
    <row r="65" spans="1:45" x14ac:dyDescent="0.15">
      <c r="A65" s="4" t="str">
        <f>HYPERLINK("https://ibp.a2mac1.com/costing(costing:projects/details/9760/material/8752252)","ABS")</f>
        <v>ABS</v>
      </c>
      <c r="B65">
        <v>8752252</v>
      </c>
      <c r="C65">
        <v>12083210</v>
      </c>
      <c r="E65">
        <v>2.5272700000000001</v>
      </c>
      <c r="F65" t="s">
        <v>1468</v>
      </c>
      <c r="G65">
        <v>95</v>
      </c>
      <c r="H65" t="s">
        <v>1469</v>
      </c>
      <c r="I65">
        <v>5</v>
      </c>
      <c r="J65">
        <v>0.50345253019720215</v>
      </c>
      <c r="K65">
        <v>0</v>
      </c>
      <c r="L65">
        <v>0</v>
      </c>
      <c r="M65">
        <v>0</v>
      </c>
      <c r="O65">
        <v>200000</v>
      </c>
      <c r="R65" t="s">
        <v>162</v>
      </c>
      <c r="S65">
        <v>3.3253552631578948E-5</v>
      </c>
      <c r="T65">
        <v>6.7305190526315787E-5</v>
      </c>
      <c r="U65" t="s">
        <v>176</v>
      </c>
      <c r="V65">
        <v>4.6554973684210529E-4</v>
      </c>
      <c r="W65">
        <v>1.3801022427368421E-2</v>
      </c>
      <c r="X65" t="s">
        <v>177</v>
      </c>
      <c r="Y65">
        <v>8.2806134564210527E-4</v>
      </c>
      <c r="Z65">
        <v>0</v>
      </c>
      <c r="AA65" t="s">
        <v>178</v>
      </c>
      <c r="AB65">
        <v>1.6561226912842105E-3</v>
      </c>
      <c r="AC65">
        <v>1.6285206464294738E-2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Q65" t="s">
        <v>262</v>
      </c>
      <c r="AR65" t="s">
        <v>263</v>
      </c>
      <c r="AS65">
        <v>1.3301421052631579E-2</v>
      </c>
    </row>
    <row r="66" spans="1:45" x14ac:dyDescent="0.15">
      <c r="A66" s="4" t="str">
        <f>HYPERLINK("https://ibp.a2mac1.com/costing(costing:projects/details/9760/material/8752253)","EN-MC21220 / EN MC-MgAl5Mn / AM50A (Ingot)")</f>
        <v>EN-MC21220 / EN MC-MgAl5Mn / AM50A (Ingot)</v>
      </c>
      <c r="B66">
        <v>8752253</v>
      </c>
      <c r="C66">
        <v>12083228</v>
      </c>
      <c r="E66">
        <v>1.89253</v>
      </c>
      <c r="F66" t="s">
        <v>1593</v>
      </c>
      <c r="G66">
        <v>90</v>
      </c>
      <c r="H66" t="s">
        <v>1594</v>
      </c>
      <c r="I66">
        <v>50</v>
      </c>
      <c r="J66">
        <v>1.9999600007999841E-3</v>
      </c>
      <c r="K66">
        <v>0</v>
      </c>
      <c r="L66">
        <v>0</v>
      </c>
      <c r="M66">
        <v>0</v>
      </c>
      <c r="O66">
        <v>200000</v>
      </c>
      <c r="R66" t="s">
        <v>162</v>
      </c>
      <c r="S66">
        <v>6.4840180611111117E-2</v>
      </c>
      <c r="T66">
        <v>2.5936072244444446E-5</v>
      </c>
      <c r="U66" t="s">
        <v>176</v>
      </c>
      <c r="V66">
        <v>4.5388126427777779E-2</v>
      </c>
      <c r="W66">
        <v>1.2773774941111333</v>
      </c>
      <c r="X66" t="s">
        <v>90</v>
      </c>
      <c r="Y66">
        <v>0</v>
      </c>
      <c r="Z66">
        <v>0</v>
      </c>
      <c r="AA66" t="s">
        <v>90</v>
      </c>
      <c r="AB66">
        <v>0</v>
      </c>
      <c r="AC66">
        <v>1.2773774941111333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Q66" t="s">
        <v>262</v>
      </c>
      <c r="AR66" t="s">
        <v>263</v>
      </c>
      <c r="AS66">
        <v>1.2968036122222222</v>
      </c>
    </row>
    <row r="67" spans="1:45" x14ac:dyDescent="0.15">
      <c r="A67" s="4" t="str">
        <f>HYPERLINK("https://ibp.a2mac1.com/costing(costing:projects/details/9760/material/8752254)","PUR")</f>
        <v>PUR</v>
      </c>
      <c r="B67">
        <v>8752254</v>
      </c>
      <c r="C67">
        <v>12083235</v>
      </c>
      <c r="E67">
        <v>3.37662</v>
      </c>
      <c r="F67" t="s">
        <v>1604</v>
      </c>
      <c r="G67">
        <v>70</v>
      </c>
      <c r="H67" t="s">
        <v>1605</v>
      </c>
      <c r="I67">
        <v>5</v>
      </c>
      <c r="J67">
        <v>1.9999600007999841E-3</v>
      </c>
      <c r="K67">
        <v>0</v>
      </c>
      <c r="L67">
        <v>0</v>
      </c>
      <c r="M67">
        <v>0</v>
      </c>
      <c r="O67">
        <v>200000</v>
      </c>
      <c r="R67" t="s">
        <v>162</v>
      </c>
      <c r="S67">
        <v>1.9123728557142856E-2</v>
      </c>
      <c r="T67">
        <v>2.5498304742857141E-5</v>
      </c>
      <c r="U67" t="s">
        <v>176</v>
      </c>
      <c r="V67">
        <v>4.4622033300000002E-2</v>
      </c>
      <c r="W67">
        <v>1.3004390401904571</v>
      </c>
      <c r="X67" t="s">
        <v>90</v>
      </c>
      <c r="Y67">
        <v>0</v>
      </c>
      <c r="Z67">
        <v>0</v>
      </c>
      <c r="AA67" t="s">
        <v>90</v>
      </c>
      <c r="AB67">
        <v>0</v>
      </c>
      <c r="AC67">
        <v>1.3004390401904571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Q67" t="s">
        <v>262</v>
      </c>
      <c r="AR67" t="s">
        <v>263</v>
      </c>
      <c r="AS67">
        <v>1.2749152371428571</v>
      </c>
    </row>
    <row r="68" spans="1:45" x14ac:dyDescent="0.15">
      <c r="A68" s="4" t="str">
        <f>HYPERLINK("https://ibp.a2mac1.com/costing(costing:projects/details/9760/material/8752255)","Heat Mat")</f>
        <v>Heat Mat</v>
      </c>
      <c r="B68">
        <v>8752255</v>
      </c>
      <c r="C68">
        <v>12083235</v>
      </c>
      <c r="E68">
        <v>10</v>
      </c>
      <c r="F68" t="s">
        <v>478</v>
      </c>
      <c r="G68">
        <v>100</v>
      </c>
      <c r="H68" t="s">
        <v>479</v>
      </c>
      <c r="I68">
        <v>0</v>
      </c>
      <c r="J68">
        <v>1.9999600007999841E-3</v>
      </c>
      <c r="K68">
        <v>0</v>
      </c>
      <c r="L68">
        <v>0</v>
      </c>
      <c r="M68">
        <v>0</v>
      </c>
      <c r="O68">
        <v>200000</v>
      </c>
      <c r="R68" t="s">
        <v>162</v>
      </c>
      <c r="S68">
        <v>0</v>
      </c>
      <c r="T68">
        <v>2.0000000000000001E-4</v>
      </c>
      <c r="U68" t="s">
        <v>176</v>
      </c>
      <c r="V68">
        <v>0.35</v>
      </c>
      <c r="W68">
        <v>10.350199999999999</v>
      </c>
      <c r="X68" t="s">
        <v>90</v>
      </c>
      <c r="Y68">
        <v>0</v>
      </c>
      <c r="Z68">
        <v>0</v>
      </c>
      <c r="AA68" t="s">
        <v>90</v>
      </c>
      <c r="AB68">
        <v>0</v>
      </c>
      <c r="AC68">
        <v>10.350199999999999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1596</v>
      </c>
      <c r="AN68" t="s">
        <v>1596</v>
      </c>
      <c r="AQ68" t="s">
        <v>9</v>
      </c>
      <c r="AR68" t="s">
        <v>263</v>
      </c>
      <c r="AS68">
        <v>10</v>
      </c>
    </row>
    <row r="69" spans="1:45" x14ac:dyDescent="0.15">
      <c r="A69" s="4" t="str">
        <f>HYPERLINK("https://ibp.a2mac1.com/costing(costing:projects/details/9760/material/8752260)","Covering skin: Artifical Leather")</f>
        <v>Covering skin: Artifical Leather</v>
      </c>
      <c r="B69">
        <v>8752260</v>
      </c>
      <c r="C69">
        <v>12083236</v>
      </c>
      <c r="E69">
        <v>14.2837</v>
      </c>
      <c r="F69" t="s">
        <v>1608</v>
      </c>
      <c r="G69">
        <v>60</v>
      </c>
      <c r="H69" t="s">
        <v>1609</v>
      </c>
      <c r="I69">
        <v>0</v>
      </c>
      <c r="J69">
        <v>1.9999600007999841E-3</v>
      </c>
      <c r="K69">
        <v>0</v>
      </c>
      <c r="L69">
        <v>0</v>
      </c>
      <c r="M69">
        <v>0</v>
      </c>
      <c r="O69">
        <v>200000</v>
      </c>
      <c r="R69" t="s">
        <v>162</v>
      </c>
      <c r="S69">
        <v>0</v>
      </c>
      <c r="T69">
        <v>6.8609372333333334E-5</v>
      </c>
      <c r="U69" t="s">
        <v>176</v>
      </c>
      <c r="V69">
        <v>0.12006640158333333</v>
      </c>
      <c r="W69">
        <v>3.5506036276223334</v>
      </c>
      <c r="X69" t="s">
        <v>90</v>
      </c>
      <c r="Y69">
        <v>0</v>
      </c>
      <c r="Z69">
        <v>0</v>
      </c>
      <c r="AA69" t="s">
        <v>90</v>
      </c>
      <c r="AB69">
        <v>0</v>
      </c>
      <c r="AC69">
        <v>3.5506036276223334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Q69" t="s">
        <v>9</v>
      </c>
      <c r="AR69" t="s">
        <v>263</v>
      </c>
      <c r="AS69">
        <v>3.4304686166666665</v>
      </c>
    </row>
    <row r="70" spans="1:45" x14ac:dyDescent="0.15">
      <c r="A70" s="4" t="str">
        <f>HYPERLINK("https://ibp.a2mac1.com/costing(costing:projects/details/9760/material/8752261)","Paint - Primer")</f>
        <v>Paint - Primer</v>
      </c>
      <c r="B70">
        <v>8752261</v>
      </c>
      <c r="C70">
        <v>12083238</v>
      </c>
      <c r="E70">
        <v>6.96</v>
      </c>
      <c r="F70" t="s">
        <v>1617</v>
      </c>
      <c r="G70">
        <v>98</v>
      </c>
      <c r="H70" t="s">
        <v>1618</v>
      </c>
      <c r="I70">
        <v>0</v>
      </c>
      <c r="J70">
        <v>2.1047479197258934</v>
      </c>
      <c r="K70">
        <v>0</v>
      </c>
      <c r="L70">
        <v>0</v>
      </c>
      <c r="M70">
        <v>0</v>
      </c>
      <c r="O70">
        <v>200000</v>
      </c>
      <c r="R70" t="s">
        <v>162</v>
      </c>
      <c r="S70">
        <v>0</v>
      </c>
      <c r="T70">
        <v>4.7335102040816328E-5</v>
      </c>
      <c r="U70" t="s">
        <v>176</v>
      </c>
      <c r="V70">
        <v>7.7057142857142854E-5</v>
      </c>
      <c r="W70">
        <v>2.3260248979591835E-3</v>
      </c>
      <c r="X70" t="s">
        <v>177</v>
      </c>
      <c r="Y70">
        <v>1.3956149387755101E-4</v>
      </c>
      <c r="Z70">
        <v>0</v>
      </c>
      <c r="AA70" t="s">
        <v>178</v>
      </c>
      <c r="AB70">
        <v>2.7912298775510202E-4</v>
      </c>
      <c r="AC70">
        <v>2.7447093795918368E-3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Q70" t="s">
        <v>9</v>
      </c>
      <c r="AR70" t="s">
        <v>263</v>
      </c>
      <c r="AS70">
        <v>2.2016326530612247E-3</v>
      </c>
    </row>
    <row r="71" spans="1:45" x14ac:dyDescent="0.15">
      <c r="A71" s="4" t="str">
        <f>HYPERLINK("https://ibp.a2mac1.com/costing(costing:projects/details/9760/material/8752262)","Paint - Base")</f>
        <v>Paint - Base</v>
      </c>
      <c r="B71">
        <v>8752262</v>
      </c>
      <c r="C71">
        <v>12083238</v>
      </c>
      <c r="E71">
        <v>11.27</v>
      </c>
      <c r="F71" t="s">
        <v>1620</v>
      </c>
      <c r="G71">
        <v>98</v>
      </c>
      <c r="H71" t="s">
        <v>1621</v>
      </c>
      <c r="I71">
        <v>0</v>
      </c>
      <c r="J71">
        <v>2.1047479197258934</v>
      </c>
      <c r="K71">
        <v>0</v>
      </c>
      <c r="L71">
        <v>0</v>
      </c>
      <c r="M71">
        <v>0</v>
      </c>
      <c r="O71">
        <v>200000</v>
      </c>
      <c r="R71" t="s">
        <v>162</v>
      </c>
      <c r="S71">
        <v>0</v>
      </c>
      <c r="T71">
        <v>1.6071250000000001E-4</v>
      </c>
      <c r="U71" t="s">
        <v>176</v>
      </c>
      <c r="V71">
        <v>2.6162499999999998E-4</v>
      </c>
      <c r="W71">
        <v>7.8973375000000005E-3</v>
      </c>
      <c r="X71" t="s">
        <v>177</v>
      </c>
      <c r="Y71">
        <v>4.7384024999999998E-4</v>
      </c>
      <c r="Z71">
        <v>0</v>
      </c>
      <c r="AA71" t="s">
        <v>178</v>
      </c>
      <c r="AB71">
        <v>9.4768049999999996E-4</v>
      </c>
      <c r="AC71">
        <v>9.3188582499999992E-3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Q71" t="s">
        <v>9</v>
      </c>
      <c r="AR71" t="s">
        <v>263</v>
      </c>
      <c r="AS71">
        <v>7.4749999999999999E-3</v>
      </c>
    </row>
    <row r="72" spans="1:45" x14ac:dyDescent="0.15">
      <c r="A72" s="4" t="str">
        <f>HYPERLINK("https://ibp.a2mac1.com/costing(costing:projects/details/9760/material/8752263)","Paint - Clear Coat")</f>
        <v>Paint - Clear Coat</v>
      </c>
      <c r="B72">
        <v>8752263</v>
      </c>
      <c r="C72">
        <v>12083238</v>
      </c>
      <c r="E72">
        <v>9.07</v>
      </c>
      <c r="F72" t="s">
        <v>1622</v>
      </c>
      <c r="G72">
        <v>98</v>
      </c>
      <c r="H72" t="s">
        <v>1623</v>
      </c>
      <c r="I72">
        <v>0</v>
      </c>
      <c r="J72">
        <v>2.1047479197258934</v>
      </c>
      <c r="K72">
        <v>0</v>
      </c>
      <c r="L72">
        <v>0</v>
      </c>
      <c r="M72">
        <v>0</v>
      </c>
      <c r="O72">
        <v>200000</v>
      </c>
      <c r="R72" t="s">
        <v>162</v>
      </c>
      <c r="S72">
        <v>0</v>
      </c>
      <c r="T72">
        <v>1.2138066326530613E-4</v>
      </c>
      <c r="U72" t="s">
        <v>176</v>
      </c>
      <c r="V72">
        <v>1.9759642857142856E-4</v>
      </c>
      <c r="W72">
        <v>5.9645893367346941E-3</v>
      </c>
      <c r="X72" t="s">
        <v>177</v>
      </c>
      <c r="Y72">
        <v>3.5787536020408163E-4</v>
      </c>
      <c r="Z72">
        <v>0</v>
      </c>
      <c r="AA72" t="s">
        <v>178</v>
      </c>
      <c r="AB72">
        <v>7.1575072040816327E-4</v>
      </c>
      <c r="AC72">
        <v>7.0382154173469387E-3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Q72" t="s">
        <v>9</v>
      </c>
      <c r="AR72" t="s">
        <v>263</v>
      </c>
      <c r="AS72">
        <v>5.6456122448979591E-3</v>
      </c>
    </row>
    <row r="73" spans="1:45" x14ac:dyDescent="0.15">
      <c r="A73" s="4" t="str">
        <f>HYPERLINK("https://ibp.a2mac1.com/costing(costing:projects/details/9760/material/8752264)","ABS-PC")</f>
        <v>ABS-PC</v>
      </c>
      <c r="B73">
        <v>8752264</v>
      </c>
      <c r="C73">
        <v>12083240</v>
      </c>
      <c r="E73">
        <v>2.29312</v>
      </c>
      <c r="F73" t="s">
        <v>1627</v>
      </c>
      <c r="G73">
        <v>71.064599999999999</v>
      </c>
      <c r="H73" t="s">
        <v>1628</v>
      </c>
      <c r="I73">
        <v>5</v>
      </c>
      <c r="J73">
        <v>1.9999600007999841E-3</v>
      </c>
      <c r="K73">
        <v>0</v>
      </c>
      <c r="M73">
        <v>0</v>
      </c>
      <c r="O73">
        <v>200000</v>
      </c>
      <c r="R73" t="s">
        <v>162</v>
      </c>
      <c r="S73">
        <v>1.4005358036490743E-4</v>
      </c>
      <c r="T73">
        <v>1.9360863214596298E-7</v>
      </c>
      <c r="U73" t="s">
        <v>176</v>
      </c>
      <c r="V73">
        <v>3.3881510625543518E-4</v>
      </c>
      <c r="W73">
        <v>9.8793867418208222E-3</v>
      </c>
      <c r="X73" t="s">
        <v>177</v>
      </c>
      <c r="Y73">
        <v>5.9276320450924933E-4</v>
      </c>
      <c r="Z73">
        <v>0</v>
      </c>
      <c r="AA73" t="s">
        <v>178</v>
      </c>
      <c r="AB73">
        <v>1.1855264090184987E-3</v>
      </c>
      <c r="AC73">
        <v>1.1657676355348571E-2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Q73" t="s">
        <v>262</v>
      </c>
      <c r="AR73" t="s">
        <v>263</v>
      </c>
      <c r="AS73">
        <v>9.680431607298149E-3</v>
      </c>
    </row>
    <row r="74" spans="1:45" x14ac:dyDescent="0.15">
      <c r="A74" s="4" t="str">
        <f>HYPERLINK("https://ibp.a2mac1.com/costing(costing:projects/details/9760/material/8752265)","PP")</f>
        <v>PP</v>
      </c>
      <c r="B74">
        <v>8752265</v>
      </c>
      <c r="C74">
        <v>12083242</v>
      </c>
      <c r="E74">
        <v>1.0113799999999999</v>
      </c>
      <c r="F74" t="s">
        <v>1637</v>
      </c>
      <c r="G74">
        <v>93.370699999999999</v>
      </c>
      <c r="H74" t="s">
        <v>1638</v>
      </c>
      <c r="I74">
        <v>5</v>
      </c>
      <c r="J74">
        <v>1.9999600007999841E-3</v>
      </c>
      <c r="K74">
        <v>0</v>
      </c>
      <c r="M74">
        <v>0</v>
      </c>
      <c r="O74">
        <v>200000</v>
      </c>
      <c r="R74" t="s">
        <v>162</v>
      </c>
      <c r="S74">
        <v>4.6316009464746435E-4</v>
      </c>
      <c r="T74">
        <v>2.7946244378589858E-6</v>
      </c>
      <c r="U74" t="s">
        <v>176</v>
      </c>
      <c r="V74">
        <v>4.890592766253225E-3</v>
      </c>
      <c r="W74">
        <v>0.1441614491889929</v>
      </c>
      <c r="X74" t="s">
        <v>177</v>
      </c>
      <c r="Y74">
        <v>8.649686951339575E-3</v>
      </c>
      <c r="Z74">
        <v>0</v>
      </c>
      <c r="AA74" t="s">
        <v>178</v>
      </c>
      <c r="AB74">
        <v>1.729937390267915E-2</v>
      </c>
      <c r="AC74">
        <v>0.17011051004301164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Q74" t="s">
        <v>262</v>
      </c>
      <c r="AR74" t="s">
        <v>263</v>
      </c>
      <c r="AS74">
        <v>0.13973122189294929</v>
      </c>
    </row>
    <row r="75" spans="1:45" x14ac:dyDescent="0.15">
      <c r="A75" s="4" t="str">
        <f>HYPERLINK("https://ibp.a2mac1.com/costing(costing:projects/details/9760/material/8752266)","Paint - Primer")</f>
        <v>Paint - Primer</v>
      </c>
      <c r="B75">
        <v>8752266</v>
      </c>
      <c r="C75">
        <v>12083243</v>
      </c>
      <c r="E75">
        <v>6.96</v>
      </c>
      <c r="F75" t="s">
        <v>1644</v>
      </c>
      <c r="G75">
        <v>98</v>
      </c>
      <c r="H75" t="s">
        <v>1645</v>
      </c>
      <c r="I75">
        <v>0</v>
      </c>
      <c r="J75">
        <v>2.1047479197258934</v>
      </c>
      <c r="K75">
        <v>0</v>
      </c>
      <c r="L75">
        <v>0</v>
      </c>
      <c r="M75">
        <v>0</v>
      </c>
      <c r="O75">
        <v>200000</v>
      </c>
      <c r="R75" t="s">
        <v>162</v>
      </c>
      <c r="S75">
        <v>0</v>
      </c>
      <c r="T75">
        <v>1.0932881632653062E-3</v>
      </c>
      <c r="U75" t="s">
        <v>176</v>
      </c>
      <c r="V75">
        <v>1.7797714285714287E-3</v>
      </c>
      <c r="W75">
        <v>5.3723671836734696E-2</v>
      </c>
      <c r="X75" t="s">
        <v>177</v>
      </c>
      <c r="Y75">
        <v>3.2234203102040815E-3</v>
      </c>
      <c r="Z75">
        <v>0</v>
      </c>
      <c r="AA75" t="s">
        <v>178</v>
      </c>
      <c r="AB75">
        <v>6.4468406204081629E-3</v>
      </c>
      <c r="AC75">
        <v>6.3393932767346936E-2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Q75" t="s">
        <v>9</v>
      </c>
      <c r="AR75" t="s">
        <v>263</v>
      </c>
      <c r="AS75">
        <v>5.0850612244897959E-2</v>
      </c>
    </row>
    <row r="76" spans="1:45" x14ac:dyDescent="0.15">
      <c r="A76" s="4" t="str">
        <f>HYPERLINK("https://ibp.a2mac1.com/costing(costing:projects/details/9760/material/8752267)","Paint - Base")</f>
        <v>Paint - Base</v>
      </c>
      <c r="B76">
        <v>8752267</v>
      </c>
      <c r="C76">
        <v>12083243</v>
      </c>
      <c r="E76">
        <v>11.27</v>
      </c>
      <c r="F76" t="s">
        <v>1647</v>
      </c>
      <c r="G76">
        <v>98</v>
      </c>
      <c r="H76" t="s">
        <v>1648</v>
      </c>
      <c r="I76">
        <v>0</v>
      </c>
      <c r="J76">
        <v>2.1047479197258934</v>
      </c>
      <c r="K76">
        <v>0</v>
      </c>
      <c r="L76">
        <v>0</v>
      </c>
      <c r="M76">
        <v>0</v>
      </c>
      <c r="O76">
        <v>200000</v>
      </c>
      <c r="R76" t="s">
        <v>162</v>
      </c>
      <c r="S76">
        <v>0</v>
      </c>
      <c r="T76">
        <v>3.733475E-3</v>
      </c>
      <c r="U76" t="s">
        <v>176</v>
      </c>
      <c r="V76">
        <v>6.0777499999999998E-3</v>
      </c>
      <c r="W76">
        <v>0.18346122500000001</v>
      </c>
      <c r="X76" t="s">
        <v>177</v>
      </c>
      <c r="Y76">
        <v>1.1007673500000001E-2</v>
      </c>
      <c r="Z76">
        <v>0</v>
      </c>
      <c r="AA76" t="s">
        <v>178</v>
      </c>
      <c r="AB76">
        <v>2.2015347000000001E-2</v>
      </c>
      <c r="AC76">
        <v>0.21648424550000001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Q76" t="s">
        <v>9</v>
      </c>
      <c r="AR76" t="s">
        <v>263</v>
      </c>
      <c r="AS76">
        <v>0.17365</v>
      </c>
    </row>
    <row r="77" spans="1:45" x14ac:dyDescent="0.15">
      <c r="A77" s="4" t="str">
        <f>HYPERLINK("https://ibp.a2mac1.com/costing(costing:projects/details/9760/material/8752268)","Paint - Clear Coat")</f>
        <v>Paint - Clear Coat</v>
      </c>
      <c r="B77">
        <v>8752268</v>
      </c>
      <c r="C77">
        <v>12083243</v>
      </c>
      <c r="E77">
        <v>9.07</v>
      </c>
      <c r="F77" t="s">
        <v>1649</v>
      </c>
      <c r="G77">
        <v>98</v>
      </c>
      <c r="H77" t="s">
        <v>1650</v>
      </c>
      <c r="I77">
        <v>0</v>
      </c>
      <c r="J77">
        <v>2.1047479197258934</v>
      </c>
      <c r="K77">
        <v>0</v>
      </c>
      <c r="L77">
        <v>0</v>
      </c>
      <c r="M77">
        <v>0</v>
      </c>
      <c r="O77">
        <v>200000</v>
      </c>
      <c r="R77" t="s">
        <v>162</v>
      </c>
      <c r="S77">
        <v>0</v>
      </c>
      <c r="T77">
        <v>2.8036943367346938E-3</v>
      </c>
      <c r="U77" t="s">
        <v>176</v>
      </c>
      <c r="V77">
        <v>4.5641535714285716E-3</v>
      </c>
      <c r="W77">
        <v>0.1377722356632653</v>
      </c>
      <c r="X77" t="s">
        <v>177</v>
      </c>
      <c r="Y77">
        <v>8.2663341397959181E-3</v>
      </c>
      <c r="Z77">
        <v>0</v>
      </c>
      <c r="AA77" t="s">
        <v>178</v>
      </c>
      <c r="AB77">
        <v>1.6532668279591836E-2</v>
      </c>
      <c r="AC77">
        <v>0.16257123808265306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Q77" t="s">
        <v>9</v>
      </c>
      <c r="AR77" t="s">
        <v>263</v>
      </c>
      <c r="AS77">
        <v>0.13040438775510205</v>
      </c>
    </row>
    <row r="78" spans="1:45" x14ac:dyDescent="0.15">
      <c r="A78" s="4" t="str">
        <f>HYPERLINK("https://ibp.a2mac1.com/costing(costing:projects/details/9760/material/8752269)","ABS-PC")</f>
        <v>ABS-PC</v>
      </c>
      <c r="B78">
        <v>8752269</v>
      </c>
      <c r="C78">
        <v>12083245</v>
      </c>
      <c r="E78">
        <v>2.29312</v>
      </c>
      <c r="F78" t="s">
        <v>1652</v>
      </c>
      <c r="G78">
        <v>91.938400000000001</v>
      </c>
      <c r="H78" t="s">
        <v>1653</v>
      </c>
      <c r="I78">
        <v>5</v>
      </c>
      <c r="J78">
        <v>1.9999600007999841E-3</v>
      </c>
      <c r="K78">
        <v>0</v>
      </c>
      <c r="M78">
        <v>0</v>
      </c>
      <c r="O78">
        <v>200000</v>
      </c>
      <c r="R78" t="s">
        <v>162</v>
      </c>
      <c r="S78">
        <v>4.3230429083821343E-4</v>
      </c>
      <c r="T78">
        <v>2.1450049163352855E-6</v>
      </c>
      <c r="U78" t="s">
        <v>176</v>
      </c>
      <c r="V78">
        <v>3.7537586035867494E-3</v>
      </c>
      <c r="W78">
        <v>0.11057384513442914</v>
      </c>
      <c r="X78" t="s">
        <v>177</v>
      </c>
      <c r="Y78">
        <v>6.6344307080657486E-3</v>
      </c>
      <c r="Z78">
        <v>0</v>
      </c>
      <c r="AA78" t="s">
        <v>178</v>
      </c>
      <c r="AB78">
        <v>1.3268861416131497E-2</v>
      </c>
      <c r="AC78">
        <v>0.13047713725862639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Q78" t="s">
        <v>262</v>
      </c>
      <c r="AR78" t="s">
        <v>263</v>
      </c>
      <c r="AS78">
        <v>0.10725024581676426</v>
      </c>
    </row>
    <row r="79" spans="1:45" x14ac:dyDescent="0.15">
      <c r="A79" s="4" t="str">
        <f>HYPERLINK("https://ibp.a2mac1.com/costing(costing:projects/details/9760/material/8752270)","Paint - Primer")</f>
        <v>Paint - Primer</v>
      </c>
      <c r="B79">
        <v>8752270</v>
      </c>
      <c r="C79">
        <v>12083246</v>
      </c>
      <c r="E79">
        <v>6.96</v>
      </c>
      <c r="F79" t="s">
        <v>1659</v>
      </c>
      <c r="G79">
        <v>98</v>
      </c>
      <c r="H79" t="s">
        <v>1660</v>
      </c>
      <c r="I79">
        <v>0</v>
      </c>
      <c r="J79">
        <v>2.1047479197258934</v>
      </c>
      <c r="K79">
        <v>0</v>
      </c>
      <c r="L79">
        <v>0</v>
      </c>
      <c r="M79">
        <v>0</v>
      </c>
      <c r="O79">
        <v>200000</v>
      </c>
      <c r="R79" t="s">
        <v>162</v>
      </c>
      <c r="S79">
        <v>0</v>
      </c>
      <c r="T79">
        <v>3.038608163265306E-4</v>
      </c>
      <c r="U79" t="s">
        <v>176</v>
      </c>
      <c r="V79">
        <v>4.9465714285714291E-4</v>
      </c>
      <c r="W79">
        <v>1.4931579183673469E-2</v>
      </c>
      <c r="X79" t="s">
        <v>177</v>
      </c>
      <c r="Y79">
        <v>8.9589475102040813E-4</v>
      </c>
      <c r="Z79">
        <v>0</v>
      </c>
      <c r="AA79" t="s">
        <v>178</v>
      </c>
      <c r="AB79">
        <v>1.7917895020408163E-3</v>
      </c>
      <c r="AC79">
        <v>1.7619263436734693E-2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Q79" t="s">
        <v>9</v>
      </c>
      <c r="AR79" t="s">
        <v>263</v>
      </c>
      <c r="AS79">
        <v>1.4133061224489795E-2</v>
      </c>
    </row>
    <row r="80" spans="1:45" x14ac:dyDescent="0.15">
      <c r="A80" s="4" t="str">
        <f>HYPERLINK("https://ibp.a2mac1.com/costing(costing:projects/details/9760/material/8752271)","Paint - Base")</f>
        <v>Paint - Base</v>
      </c>
      <c r="B80">
        <v>8752271</v>
      </c>
      <c r="C80">
        <v>12083246</v>
      </c>
      <c r="E80">
        <v>11.27</v>
      </c>
      <c r="F80" t="s">
        <v>1662</v>
      </c>
      <c r="G80">
        <v>98</v>
      </c>
      <c r="H80" t="s">
        <v>1663</v>
      </c>
      <c r="I80">
        <v>0</v>
      </c>
      <c r="J80">
        <v>2.1047479197258934</v>
      </c>
      <c r="K80">
        <v>0</v>
      </c>
      <c r="L80">
        <v>0</v>
      </c>
      <c r="M80">
        <v>0</v>
      </c>
      <c r="O80">
        <v>200000</v>
      </c>
      <c r="R80" t="s">
        <v>162</v>
      </c>
      <c r="S80">
        <v>0</v>
      </c>
      <c r="T80">
        <v>1.03845E-3</v>
      </c>
      <c r="U80" t="s">
        <v>176</v>
      </c>
      <c r="V80">
        <v>1.6904999999999999E-3</v>
      </c>
      <c r="W80">
        <v>5.1028949999999997E-2</v>
      </c>
      <c r="X80" t="s">
        <v>177</v>
      </c>
      <c r="Y80">
        <v>3.0617370000000001E-3</v>
      </c>
      <c r="Z80">
        <v>0</v>
      </c>
      <c r="AA80" t="s">
        <v>178</v>
      </c>
      <c r="AB80">
        <v>6.1234740000000003E-3</v>
      </c>
      <c r="AC80">
        <v>6.0214161000000002E-2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Q80" t="s">
        <v>9</v>
      </c>
      <c r="AR80" t="s">
        <v>263</v>
      </c>
      <c r="AS80">
        <v>4.8300000000000003E-2</v>
      </c>
    </row>
    <row r="81" spans="1:45" x14ac:dyDescent="0.15">
      <c r="A81" s="4" t="str">
        <f>HYPERLINK("https://ibp.a2mac1.com/costing(costing:projects/details/9760/material/8752272)","Paint - Clear Coat")</f>
        <v>Paint - Clear Coat</v>
      </c>
      <c r="B81">
        <v>8752272</v>
      </c>
      <c r="C81">
        <v>12083246</v>
      </c>
      <c r="E81">
        <v>9.07</v>
      </c>
      <c r="F81" t="s">
        <v>1664</v>
      </c>
      <c r="G81">
        <v>98</v>
      </c>
      <c r="H81" t="s">
        <v>1665</v>
      </c>
      <c r="I81">
        <v>0</v>
      </c>
      <c r="J81">
        <v>2.1047479197258934</v>
      </c>
      <c r="K81">
        <v>0</v>
      </c>
      <c r="L81">
        <v>0</v>
      </c>
      <c r="M81">
        <v>0</v>
      </c>
      <c r="O81">
        <v>200000</v>
      </c>
      <c r="R81" t="s">
        <v>162</v>
      </c>
      <c r="S81">
        <v>0</v>
      </c>
      <c r="T81">
        <v>7.8001999999999998E-4</v>
      </c>
      <c r="U81" t="s">
        <v>176</v>
      </c>
      <c r="V81">
        <v>1.2698E-3</v>
      </c>
      <c r="W81">
        <v>3.8329820000000001E-2</v>
      </c>
      <c r="X81" t="s">
        <v>177</v>
      </c>
      <c r="Y81">
        <v>2.2997892000000001E-3</v>
      </c>
      <c r="Z81">
        <v>0</v>
      </c>
      <c r="AA81" t="s">
        <v>178</v>
      </c>
      <c r="AB81">
        <v>4.5995784000000001E-3</v>
      </c>
      <c r="AC81">
        <v>4.5229187599999998E-2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Q81" t="s">
        <v>9</v>
      </c>
      <c r="AR81" t="s">
        <v>263</v>
      </c>
      <c r="AS81">
        <v>3.628E-2</v>
      </c>
    </row>
    <row r="82" spans="1:45" x14ac:dyDescent="0.15">
      <c r="A82" s="4" t="str">
        <f>HYPERLINK("https://ibp.a2mac1.com/costing(costing:projects/details/9760/material/8752273)","ABS-PC")</f>
        <v>ABS-PC</v>
      </c>
      <c r="B82">
        <v>8752273</v>
      </c>
      <c r="C82">
        <v>12083248</v>
      </c>
      <c r="E82">
        <v>2.29312</v>
      </c>
      <c r="F82" t="s">
        <v>1667</v>
      </c>
      <c r="G82">
        <v>87.006799999999998</v>
      </c>
      <c r="H82" t="s">
        <v>1668</v>
      </c>
      <c r="I82">
        <v>5</v>
      </c>
      <c r="J82">
        <v>1.9999600007999841E-3</v>
      </c>
      <c r="K82">
        <v>0</v>
      </c>
      <c r="M82">
        <v>0</v>
      </c>
      <c r="O82">
        <v>200000</v>
      </c>
      <c r="R82" t="s">
        <v>162</v>
      </c>
      <c r="S82">
        <v>2.7395529346212021E-4</v>
      </c>
      <c r="T82">
        <v>8.4338051738484804E-7</v>
      </c>
      <c r="U82" t="s">
        <v>176</v>
      </c>
      <c r="V82">
        <v>1.4759159054234842E-3</v>
      </c>
      <c r="W82">
        <v>4.3371829861721153E-2</v>
      </c>
      <c r="X82" t="s">
        <v>177</v>
      </c>
      <c r="Y82">
        <v>2.602309791703269E-3</v>
      </c>
      <c r="Z82">
        <v>0</v>
      </c>
      <c r="AA82" t="s">
        <v>178</v>
      </c>
      <c r="AB82">
        <v>5.2046195834065381E-3</v>
      </c>
      <c r="AC82">
        <v>5.1178759236830962E-2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Q82" t="s">
        <v>262</v>
      </c>
      <c r="AR82" t="s">
        <v>263</v>
      </c>
      <c r="AS82">
        <v>4.2169025869242406E-2</v>
      </c>
    </row>
    <row r="83" spans="1:45" x14ac:dyDescent="0.15">
      <c r="A83" s="4" t="str">
        <f>HYPERLINK("https://ibp.a2mac1.com/costing(costing:projects/details/9760/material/8752274)","Material")</f>
        <v>Material</v>
      </c>
      <c r="B83">
        <v>8752274</v>
      </c>
      <c r="C83">
        <v>12083249</v>
      </c>
      <c r="D83" t="s">
        <v>1692</v>
      </c>
      <c r="E83">
        <v>9.9499999999999993</v>
      </c>
      <c r="F83" t="s">
        <v>478</v>
      </c>
      <c r="G83">
        <v>100</v>
      </c>
      <c r="H83" t="s">
        <v>479</v>
      </c>
      <c r="I83">
        <v>0</v>
      </c>
      <c r="J83">
        <v>1.9999600007999841E-3</v>
      </c>
      <c r="K83">
        <v>0</v>
      </c>
      <c r="L83">
        <v>0</v>
      </c>
      <c r="M83">
        <v>0</v>
      </c>
      <c r="O83">
        <v>200000</v>
      </c>
      <c r="R83" t="s">
        <v>162</v>
      </c>
      <c r="S83">
        <v>0</v>
      </c>
      <c r="T83">
        <v>1.9900000000000001E-4</v>
      </c>
      <c r="U83" t="s">
        <v>176</v>
      </c>
      <c r="V83">
        <v>0.34825</v>
      </c>
      <c r="W83">
        <v>10.298449</v>
      </c>
      <c r="X83" t="s">
        <v>90</v>
      </c>
      <c r="Y83">
        <v>0</v>
      </c>
      <c r="Z83">
        <v>0</v>
      </c>
      <c r="AA83" t="s">
        <v>90</v>
      </c>
      <c r="AB83">
        <v>0</v>
      </c>
      <c r="AC83">
        <v>10.298449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Q83" t="s">
        <v>9</v>
      </c>
      <c r="AR83" t="s">
        <v>263</v>
      </c>
      <c r="AS83">
        <v>9.9499999999999993</v>
      </c>
    </row>
    <row r="84" spans="1:45" x14ac:dyDescent="0.15">
      <c r="A84" s="4" t="str">
        <f>HYPERLINK("https://ibp.a2mac1.com/costing(costing:projects/details/9760/material/8752275)","Material")</f>
        <v>Material</v>
      </c>
      <c r="B84">
        <v>8752275</v>
      </c>
      <c r="C84">
        <v>12083250</v>
      </c>
      <c r="D84" t="s">
        <v>1701</v>
      </c>
      <c r="E84">
        <v>11.925000000000001</v>
      </c>
      <c r="F84" t="s">
        <v>478</v>
      </c>
      <c r="G84">
        <v>100</v>
      </c>
      <c r="H84" t="s">
        <v>479</v>
      </c>
      <c r="I84">
        <v>0</v>
      </c>
      <c r="J84">
        <v>1.9999600007999841E-3</v>
      </c>
      <c r="K84">
        <v>0</v>
      </c>
      <c r="L84">
        <v>0</v>
      </c>
      <c r="M84">
        <v>0</v>
      </c>
      <c r="O84">
        <v>200000</v>
      </c>
      <c r="R84" t="s">
        <v>162</v>
      </c>
      <c r="S84">
        <v>0</v>
      </c>
      <c r="T84">
        <v>2.385E-4</v>
      </c>
      <c r="U84" t="s">
        <v>176</v>
      </c>
      <c r="V84">
        <v>0.417375</v>
      </c>
      <c r="W84">
        <v>12.342613500000001</v>
      </c>
      <c r="X84" t="s">
        <v>90</v>
      </c>
      <c r="Y84">
        <v>0</v>
      </c>
      <c r="Z84">
        <v>0</v>
      </c>
      <c r="AA84" t="s">
        <v>90</v>
      </c>
      <c r="AB84">
        <v>0</v>
      </c>
      <c r="AC84">
        <v>12.342613500000001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Q84" t="s">
        <v>9</v>
      </c>
      <c r="AR84" t="s">
        <v>263</v>
      </c>
      <c r="AS84">
        <v>11.925000000000001</v>
      </c>
    </row>
    <row r="85" spans="1:45" x14ac:dyDescent="0.15">
      <c r="A85" s="4" t="str">
        <f>HYPERLINK("https://ibp.a2mac1.com/costing(costing:projects/details/9760/material/8752277)","PP-EPDM-TD10 adjusted (part)")</f>
        <v>PP-EPDM-TD10 adjusted (part)</v>
      </c>
      <c r="B85">
        <v>8752277</v>
      </c>
      <c r="C85">
        <v>12083258</v>
      </c>
      <c r="E85">
        <v>0.24</v>
      </c>
      <c r="F85" t="s">
        <v>478</v>
      </c>
      <c r="G85">
        <v>100</v>
      </c>
      <c r="H85" t="s">
        <v>479</v>
      </c>
      <c r="I85">
        <v>5</v>
      </c>
      <c r="J85">
        <v>0.50345253019720215</v>
      </c>
      <c r="K85">
        <v>0</v>
      </c>
      <c r="L85">
        <v>0</v>
      </c>
      <c r="M85">
        <v>0</v>
      </c>
      <c r="O85">
        <v>200000</v>
      </c>
      <c r="R85" t="s">
        <v>162</v>
      </c>
      <c r="S85">
        <v>0</v>
      </c>
      <c r="T85">
        <v>1.2144E-3</v>
      </c>
      <c r="U85" t="s">
        <v>176</v>
      </c>
      <c r="V85">
        <v>8.3999999999999995E-3</v>
      </c>
      <c r="W85">
        <v>0.24961439999999999</v>
      </c>
      <c r="X85" t="s">
        <v>177</v>
      </c>
      <c r="Y85">
        <v>1.4976863999999999E-2</v>
      </c>
      <c r="Z85">
        <v>0</v>
      </c>
      <c r="AA85" t="s">
        <v>178</v>
      </c>
      <c r="AB85">
        <v>2.9953727999999999E-2</v>
      </c>
      <c r="AC85">
        <v>0.29454499200000001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Q85" t="s">
        <v>262</v>
      </c>
      <c r="AR85" t="s">
        <v>263</v>
      </c>
      <c r="AS85">
        <v>0.24</v>
      </c>
    </row>
    <row r="86" spans="1:45" x14ac:dyDescent="0.15">
      <c r="A86" s="4" t="str">
        <f>HYPERLINK("https://ibp.a2mac1.com/costing(costing:projects/details/9760/material/8752276)","PP-EPDM-TD10 adjusted (part)")</f>
        <v>PP-EPDM-TD10 adjusted (part)</v>
      </c>
      <c r="B86">
        <v>8752276</v>
      </c>
      <c r="C86">
        <v>12083255</v>
      </c>
      <c r="E86">
        <v>0.11</v>
      </c>
      <c r="F86" t="s">
        <v>478</v>
      </c>
      <c r="G86">
        <v>100</v>
      </c>
      <c r="H86" t="s">
        <v>479</v>
      </c>
      <c r="I86">
        <v>5</v>
      </c>
      <c r="J86">
        <v>0.50345253019720215</v>
      </c>
      <c r="K86">
        <v>0</v>
      </c>
      <c r="L86">
        <v>0</v>
      </c>
      <c r="M86">
        <v>0</v>
      </c>
      <c r="O86">
        <v>200000</v>
      </c>
      <c r="R86" t="s">
        <v>162</v>
      </c>
      <c r="S86">
        <v>0</v>
      </c>
      <c r="T86">
        <v>5.5659999999999998E-4</v>
      </c>
      <c r="U86" t="s">
        <v>176</v>
      </c>
      <c r="V86">
        <v>3.8500000000000001E-3</v>
      </c>
      <c r="W86">
        <v>0.1144066</v>
      </c>
      <c r="X86" t="s">
        <v>177</v>
      </c>
      <c r="Y86">
        <v>6.864396E-3</v>
      </c>
      <c r="Z86">
        <v>0</v>
      </c>
      <c r="AA86" t="s">
        <v>178</v>
      </c>
      <c r="AB86">
        <v>1.3728792E-2</v>
      </c>
      <c r="AC86">
        <v>0.13499978800000001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Q86" t="s">
        <v>262</v>
      </c>
      <c r="AR86" t="s">
        <v>263</v>
      </c>
      <c r="AS86">
        <v>0.11</v>
      </c>
    </row>
    <row r="87" spans="1:45" x14ac:dyDescent="0.15">
      <c r="A87" s="4" t="str">
        <f>HYPERLINK("https://ibp.a2mac1.com/costing(costing:projects/details/9760/material/8752244)","ABS;Leather")</f>
        <v>ABS;Leather</v>
      </c>
      <c r="B87">
        <v>8752244</v>
      </c>
      <c r="C87">
        <v>12083225</v>
      </c>
      <c r="E87">
        <v>1.63</v>
      </c>
      <c r="F87" t="s">
        <v>478</v>
      </c>
      <c r="G87">
        <v>100</v>
      </c>
      <c r="H87" t="s">
        <v>479</v>
      </c>
      <c r="I87">
        <v>0</v>
      </c>
      <c r="J87">
        <v>0.50345253019720215</v>
      </c>
      <c r="K87">
        <v>0</v>
      </c>
      <c r="L87">
        <v>0</v>
      </c>
      <c r="M87">
        <v>0</v>
      </c>
      <c r="O87">
        <v>200000</v>
      </c>
      <c r="R87" t="s">
        <v>162</v>
      </c>
      <c r="S87">
        <v>0</v>
      </c>
      <c r="T87">
        <v>8.2477999999999996E-3</v>
      </c>
      <c r="U87" t="s">
        <v>176</v>
      </c>
      <c r="V87">
        <v>5.7049999999999997E-2</v>
      </c>
      <c r="W87">
        <v>1.6952978000000001</v>
      </c>
      <c r="X87" t="s">
        <v>177</v>
      </c>
      <c r="Y87">
        <v>0.101717868</v>
      </c>
      <c r="Z87">
        <v>0</v>
      </c>
      <c r="AA87" t="s">
        <v>178</v>
      </c>
      <c r="AB87">
        <v>0.20343573600000001</v>
      </c>
      <c r="AC87">
        <v>2.0004514040000001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Q87" t="s">
        <v>9</v>
      </c>
      <c r="AR87" t="s">
        <v>263</v>
      </c>
      <c r="AS87">
        <v>1.63</v>
      </c>
    </row>
    <row r="88" spans="1:45" x14ac:dyDescent="0.15">
      <c r="A88" s="4" t="str">
        <f>HYPERLINK("https://ibp.a2mac1.com/costing(costing:projects/details/9760/material/8752245)","ABS adjusted (part)")</f>
        <v>ABS adjusted (part)</v>
      </c>
      <c r="B88">
        <v>8752245</v>
      </c>
      <c r="C88">
        <v>12083226</v>
      </c>
      <c r="E88">
        <v>0.12</v>
      </c>
      <c r="F88" t="s">
        <v>478</v>
      </c>
      <c r="G88">
        <v>100</v>
      </c>
      <c r="H88" t="s">
        <v>479</v>
      </c>
      <c r="I88">
        <v>5</v>
      </c>
      <c r="J88">
        <v>0.50345253019720215</v>
      </c>
      <c r="K88">
        <v>0</v>
      </c>
      <c r="L88">
        <v>0</v>
      </c>
      <c r="M88">
        <v>0</v>
      </c>
      <c r="O88">
        <v>200000</v>
      </c>
      <c r="R88" t="s">
        <v>162</v>
      </c>
      <c r="S88">
        <v>0</v>
      </c>
      <c r="T88">
        <v>6.0720000000000001E-4</v>
      </c>
      <c r="U88" t="s">
        <v>176</v>
      </c>
      <c r="V88">
        <v>4.1999999999999997E-3</v>
      </c>
      <c r="W88">
        <v>0.12480719999999999</v>
      </c>
      <c r="X88" t="s">
        <v>177</v>
      </c>
      <c r="Y88">
        <v>7.4884319999999997E-3</v>
      </c>
      <c r="Z88">
        <v>0</v>
      </c>
      <c r="AA88" t="s">
        <v>178</v>
      </c>
      <c r="AB88">
        <v>1.4976863999999999E-2</v>
      </c>
      <c r="AC88">
        <v>0.147272496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Q88" t="s">
        <v>262</v>
      </c>
      <c r="AR88" t="s">
        <v>263</v>
      </c>
      <c r="AS88">
        <v>0.12</v>
      </c>
    </row>
    <row r="89" spans="1:45" x14ac:dyDescent="0.15">
      <c r="A89" s="4" t="str">
        <f>HYPERLINK("https://ibp.a2mac1.com/costing(costing:projects/details/9760/material/8752246)","Material")</f>
        <v>Material</v>
      </c>
      <c r="B89">
        <v>8752246</v>
      </c>
      <c r="C89">
        <v>12083227</v>
      </c>
      <c r="D89" t="s">
        <v>1744</v>
      </c>
      <c r="E89">
        <v>51.24</v>
      </c>
      <c r="F89" t="s">
        <v>478</v>
      </c>
      <c r="G89">
        <v>100</v>
      </c>
      <c r="H89" t="s">
        <v>479</v>
      </c>
      <c r="I89">
        <v>0</v>
      </c>
      <c r="J89">
        <v>1.9999600007999841E-3</v>
      </c>
      <c r="K89">
        <v>0</v>
      </c>
      <c r="L89">
        <v>0</v>
      </c>
      <c r="M89">
        <v>0</v>
      </c>
      <c r="O89">
        <v>200000</v>
      </c>
      <c r="R89" t="s">
        <v>162</v>
      </c>
      <c r="S89">
        <v>0</v>
      </c>
      <c r="T89">
        <v>1.0248E-3</v>
      </c>
      <c r="U89" t="s">
        <v>90</v>
      </c>
      <c r="V89">
        <v>0</v>
      </c>
      <c r="W89">
        <v>51.241024799999998</v>
      </c>
      <c r="X89" t="s">
        <v>90</v>
      </c>
      <c r="Y89">
        <v>0</v>
      </c>
      <c r="Z89">
        <v>0</v>
      </c>
      <c r="AA89" t="s">
        <v>90</v>
      </c>
      <c r="AB89">
        <v>0</v>
      </c>
      <c r="AC89">
        <v>51.241024799999998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Q89" t="s">
        <v>9</v>
      </c>
      <c r="AR89" t="s">
        <v>263</v>
      </c>
      <c r="AS89">
        <v>51.24</v>
      </c>
    </row>
    <row r="90" spans="1:45" x14ac:dyDescent="0.15">
      <c r="A90" s="4" t="str">
        <f>HYPERLINK("https://ibp.a2mac1.com/costing(costing:projects/details/9760/material/8752336)","20MnCr5-3 / 1.8701 (Billet)")</f>
        <v>20MnCr5-3 / 1.8701 (Billet)</v>
      </c>
      <c r="B90">
        <v>8752336</v>
      </c>
      <c r="C90">
        <v>12083316</v>
      </c>
      <c r="E90">
        <v>0.60338000000000003</v>
      </c>
      <c r="F90" t="s">
        <v>1772</v>
      </c>
      <c r="G90">
        <v>75</v>
      </c>
      <c r="H90" t="s">
        <v>1773</v>
      </c>
      <c r="I90">
        <v>30</v>
      </c>
      <c r="J90">
        <v>1.9999600007999841E-3</v>
      </c>
      <c r="K90">
        <v>0</v>
      </c>
      <c r="L90">
        <v>0</v>
      </c>
      <c r="M90">
        <v>0</v>
      </c>
      <c r="O90">
        <v>200000</v>
      </c>
      <c r="R90" t="s">
        <v>162</v>
      </c>
      <c r="S90">
        <v>0.219992348</v>
      </c>
      <c r="T90">
        <v>5.8664626133333332E-5</v>
      </c>
      <c r="U90" t="s">
        <v>176</v>
      </c>
      <c r="V90">
        <v>0.10266309573333333</v>
      </c>
      <c r="W90">
        <v>2.8159607190261333</v>
      </c>
      <c r="X90" t="s">
        <v>177</v>
      </c>
      <c r="Y90">
        <v>0.168957643141568</v>
      </c>
      <c r="Z90">
        <v>0</v>
      </c>
      <c r="AA90" t="s">
        <v>178</v>
      </c>
      <c r="AB90">
        <v>0.337915286283136</v>
      </c>
      <c r="AC90">
        <v>3.3228336484508372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1774</v>
      </c>
      <c r="AN90" t="s">
        <v>1775</v>
      </c>
      <c r="AQ90" t="s">
        <v>262</v>
      </c>
      <c r="AR90" t="s">
        <v>263</v>
      </c>
      <c r="AS90">
        <v>2.9332313066666669</v>
      </c>
    </row>
    <row r="91" spans="1:45" x14ac:dyDescent="0.15">
      <c r="A91" s="4" t="str">
        <f>HYPERLINK("https://ibp.a2mac1.com/costing(costing:projects/details/9760/material/8752337)","20MnCr5-3 / 1.8701 (Billet)")</f>
        <v>20MnCr5-3 / 1.8701 (Billet)</v>
      </c>
      <c r="B91">
        <v>8752337</v>
      </c>
      <c r="C91">
        <v>12083317</v>
      </c>
      <c r="E91">
        <v>0.60338000000000003</v>
      </c>
      <c r="F91" t="s">
        <v>1806</v>
      </c>
      <c r="G91">
        <v>75</v>
      </c>
      <c r="H91" t="s">
        <v>1807</v>
      </c>
      <c r="I91">
        <v>30</v>
      </c>
      <c r="J91">
        <v>1.9999600007999841E-3</v>
      </c>
      <c r="K91">
        <v>0</v>
      </c>
      <c r="L91">
        <v>0</v>
      </c>
      <c r="M91">
        <v>0</v>
      </c>
      <c r="O91">
        <v>200000</v>
      </c>
      <c r="R91" t="s">
        <v>162</v>
      </c>
      <c r="S91">
        <v>0.14782809999999999</v>
      </c>
      <c r="T91">
        <v>3.9420826666666664E-5</v>
      </c>
      <c r="U91" t="s">
        <v>176</v>
      </c>
      <c r="V91">
        <v>6.8986446666666673E-2</v>
      </c>
      <c r="W91">
        <v>1.8922391008266666</v>
      </c>
      <c r="X91" t="s">
        <v>177</v>
      </c>
      <c r="Y91">
        <v>0.1135343460496</v>
      </c>
      <c r="Z91">
        <v>0</v>
      </c>
      <c r="AA91" t="s">
        <v>178</v>
      </c>
      <c r="AB91">
        <v>0.2270686920992</v>
      </c>
      <c r="AC91">
        <v>2.2328421389754665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1774</v>
      </c>
      <c r="AN91" t="s">
        <v>1775</v>
      </c>
      <c r="AQ91" t="s">
        <v>262</v>
      </c>
      <c r="AR91" t="s">
        <v>263</v>
      </c>
      <c r="AS91">
        <v>1.9710413333333334</v>
      </c>
    </row>
    <row r="92" spans="1:45" x14ac:dyDescent="0.15">
      <c r="A92" s="4" t="str">
        <f>HYPERLINK("https://ibp.a2mac1.com/costing(costing:projects/details/9760/material/8752338)","EN AC-46100 / EN AC-AlSi11Cu2(Fe) / AA46100 / ADC12 (Ingot)")</f>
        <v>EN AC-46100 / EN AC-AlSi11Cu2(Fe) / AA46100 / ADC12 (Ingot)</v>
      </c>
      <c r="B92">
        <v>8752338</v>
      </c>
      <c r="C92">
        <v>12083318</v>
      </c>
      <c r="E92">
        <v>2.4480499999999998</v>
      </c>
      <c r="F92" t="s">
        <v>1842</v>
      </c>
      <c r="G92">
        <v>91.1</v>
      </c>
      <c r="H92" t="s">
        <v>1843</v>
      </c>
      <c r="I92">
        <v>30</v>
      </c>
      <c r="J92">
        <v>1.9999600007999841E-3</v>
      </c>
      <c r="K92">
        <v>0</v>
      </c>
      <c r="L92">
        <v>0</v>
      </c>
      <c r="M92">
        <v>0</v>
      </c>
      <c r="O92">
        <v>200000</v>
      </c>
      <c r="R92" t="s">
        <v>162</v>
      </c>
      <c r="S92">
        <v>0.30859054164105376</v>
      </c>
      <c r="T92">
        <v>2.3115396377607026E-4</v>
      </c>
      <c r="U92" t="s">
        <v>176</v>
      </c>
      <c r="V92">
        <v>0.40451943660812295</v>
      </c>
      <c r="W92">
        <v>11.653858237734358</v>
      </c>
      <c r="X92" t="s">
        <v>177</v>
      </c>
      <c r="Y92">
        <v>0.6992314942640615</v>
      </c>
      <c r="Z92">
        <v>0</v>
      </c>
      <c r="AA92" t="s">
        <v>178</v>
      </c>
      <c r="AB92">
        <v>1.398462988528123</v>
      </c>
      <c r="AC92">
        <v>13.751552720526542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Q92" t="s">
        <v>262</v>
      </c>
      <c r="AR92" t="s">
        <v>263</v>
      </c>
      <c r="AS92">
        <v>11.557698188803512</v>
      </c>
    </row>
    <row r="93" spans="1:45" x14ac:dyDescent="0.15">
      <c r="A93" s="4" t="str">
        <f>HYPERLINK("https://ibp.a2mac1.com/costing(costing:projects/details/9760/material/8752339)","20MnCr5-3 / 1.8701 (Billet)")</f>
        <v>20MnCr5-3 / 1.8701 (Billet)</v>
      </c>
      <c r="B93">
        <v>8752339</v>
      </c>
      <c r="C93">
        <v>12083319</v>
      </c>
      <c r="E93">
        <v>0.60338000000000003</v>
      </c>
      <c r="F93" t="s">
        <v>1879</v>
      </c>
      <c r="G93">
        <v>75</v>
      </c>
      <c r="H93" t="s">
        <v>1880</v>
      </c>
      <c r="I93">
        <v>30</v>
      </c>
      <c r="J93">
        <v>1.9999600007999841E-3</v>
      </c>
      <c r="K93">
        <v>0</v>
      </c>
      <c r="L93">
        <v>0</v>
      </c>
      <c r="M93">
        <v>0</v>
      </c>
      <c r="O93">
        <v>200000</v>
      </c>
      <c r="R93" t="s">
        <v>162</v>
      </c>
      <c r="S93">
        <v>0.25643650000000001</v>
      </c>
      <c r="T93">
        <v>6.8383066666666666E-5</v>
      </c>
      <c r="U93" t="s">
        <v>176</v>
      </c>
      <c r="V93">
        <v>0.11967036666666667</v>
      </c>
      <c r="W93">
        <v>3.2824555830666666</v>
      </c>
      <c r="X93" t="s">
        <v>177</v>
      </c>
      <c r="Y93">
        <v>0.19694733498399999</v>
      </c>
      <c r="Z93">
        <v>0</v>
      </c>
      <c r="AA93" t="s">
        <v>178</v>
      </c>
      <c r="AB93">
        <v>0.39389466996799999</v>
      </c>
      <c r="AC93">
        <v>3.8732975880186666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1774</v>
      </c>
      <c r="AN93" t="s">
        <v>1775</v>
      </c>
      <c r="AQ93" t="s">
        <v>262</v>
      </c>
      <c r="AR93" t="s">
        <v>263</v>
      </c>
      <c r="AS93">
        <v>3.4191533333333335</v>
      </c>
    </row>
    <row r="94" spans="1:45" x14ac:dyDescent="0.15">
      <c r="A94" s="4" t="str">
        <f>HYPERLINK("https://ibp.a2mac1.com/costing(costing:projects/details/9760/material/8752340)","20MnCr5-3 / 1.8701 (Billet)")</f>
        <v>20MnCr5-3 / 1.8701 (Billet)</v>
      </c>
      <c r="B94">
        <v>8752340</v>
      </c>
      <c r="C94">
        <v>12083320</v>
      </c>
      <c r="E94">
        <v>0.60338000000000003</v>
      </c>
      <c r="F94" t="s">
        <v>1902</v>
      </c>
      <c r="G94">
        <v>75</v>
      </c>
      <c r="H94" t="s">
        <v>1903</v>
      </c>
      <c r="I94">
        <v>30</v>
      </c>
      <c r="J94">
        <v>1.9999600007999841E-3</v>
      </c>
      <c r="K94">
        <v>0</v>
      </c>
      <c r="L94">
        <v>0</v>
      </c>
      <c r="M94">
        <v>0</v>
      </c>
      <c r="O94">
        <v>200000</v>
      </c>
      <c r="R94" t="s">
        <v>162</v>
      </c>
      <c r="S94">
        <v>0.15597373</v>
      </c>
      <c r="T94">
        <v>4.159299466666667E-5</v>
      </c>
      <c r="U94" t="s">
        <v>176</v>
      </c>
      <c r="V94">
        <v>7.278774066666667E-2</v>
      </c>
      <c r="W94">
        <v>1.9965053369946666</v>
      </c>
      <c r="X94" t="s">
        <v>177</v>
      </c>
      <c r="Y94">
        <v>0.11979032021968</v>
      </c>
      <c r="Z94">
        <v>0</v>
      </c>
      <c r="AA94" t="s">
        <v>178</v>
      </c>
      <c r="AB94">
        <v>0.23958064043936</v>
      </c>
      <c r="AC94">
        <v>2.3558762976537069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1774</v>
      </c>
      <c r="AN94" t="s">
        <v>1775</v>
      </c>
      <c r="AQ94" t="s">
        <v>262</v>
      </c>
      <c r="AR94" t="s">
        <v>263</v>
      </c>
      <c r="AS94">
        <v>2.0796497333333335</v>
      </c>
    </row>
    <row r="95" spans="1:45" x14ac:dyDescent="0.15">
      <c r="A95" s="4" t="str">
        <f>HYPERLINK("https://ibp.a2mac1.com/costing(costing:projects/details/9760/material/8752341)","EN AC-46100 / EN AC-AlSi11Cu2(Fe) / AA46100 / ADC12 (Ingot)")</f>
        <v>EN AC-46100 / EN AC-AlSi11Cu2(Fe) / AA46100 / ADC12 (Ingot)</v>
      </c>
      <c r="B95">
        <v>8752341</v>
      </c>
      <c r="C95">
        <v>12083321</v>
      </c>
      <c r="E95">
        <v>2.4480499999999998</v>
      </c>
      <c r="F95" t="s">
        <v>1930</v>
      </c>
      <c r="G95">
        <v>91.1</v>
      </c>
      <c r="H95" t="s">
        <v>1931</v>
      </c>
      <c r="I95">
        <v>30</v>
      </c>
      <c r="J95">
        <v>1.9999600007999841E-3</v>
      </c>
      <c r="K95">
        <v>0</v>
      </c>
      <c r="L95">
        <v>0</v>
      </c>
      <c r="M95">
        <v>0</v>
      </c>
      <c r="O95">
        <v>200000</v>
      </c>
      <c r="R95" t="s">
        <v>162</v>
      </c>
      <c r="S95">
        <v>0.32817789757409438</v>
      </c>
      <c r="T95">
        <v>2.4582614050493965E-4</v>
      </c>
      <c r="U95" t="s">
        <v>176</v>
      </c>
      <c r="V95">
        <v>0.43019574588364434</v>
      </c>
      <c r="W95">
        <v>12.393570699697037</v>
      </c>
      <c r="X95" t="s">
        <v>177</v>
      </c>
      <c r="Y95">
        <v>0.74361424198182213</v>
      </c>
      <c r="Z95">
        <v>0</v>
      </c>
      <c r="AA95" t="s">
        <v>178</v>
      </c>
      <c r="AB95">
        <v>1.4872284839636443</v>
      </c>
      <c r="AC95">
        <v>14.624413425642503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Q95" t="s">
        <v>262</v>
      </c>
      <c r="AR95" t="s">
        <v>263</v>
      </c>
      <c r="AS95">
        <v>12.291307025246981</v>
      </c>
    </row>
    <row r="96" spans="1:45" x14ac:dyDescent="0.15">
      <c r="A96" s="4" t="str">
        <f>HYPERLINK("https://ibp.a2mac1.com/costing(costing:projects/details/9760/material/8752703)","Leather")</f>
        <v>Leather</v>
      </c>
      <c r="B96">
        <v>8752703</v>
      </c>
      <c r="C96">
        <v>12083818</v>
      </c>
      <c r="E96">
        <v>3.6</v>
      </c>
      <c r="F96" t="s">
        <v>478</v>
      </c>
      <c r="G96">
        <v>100</v>
      </c>
      <c r="H96" t="s">
        <v>479</v>
      </c>
      <c r="I96">
        <v>0</v>
      </c>
      <c r="J96">
        <v>0.50345253019720215</v>
      </c>
      <c r="K96">
        <v>0</v>
      </c>
      <c r="L96">
        <v>0</v>
      </c>
      <c r="M96">
        <v>0</v>
      </c>
      <c r="O96">
        <v>200000</v>
      </c>
      <c r="R96" t="s">
        <v>162</v>
      </c>
      <c r="S96">
        <v>0</v>
      </c>
      <c r="T96">
        <v>1.8216E-2</v>
      </c>
      <c r="U96" t="s">
        <v>176</v>
      </c>
      <c r="V96">
        <v>0.126</v>
      </c>
      <c r="W96">
        <v>3.7442160000000002</v>
      </c>
      <c r="X96" t="s">
        <v>90</v>
      </c>
      <c r="Y96">
        <v>0</v>
      </c>
      <c r="Z96">
        <v>0</v>
      </c>
      <c r="AA96" t="s">
        <v>90</v>
      </c>
      <c r="AB96">
        <v>0</v>
      </c>
      <c r="AC96">
        <v>3.7442160000000002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Q96" t="s">
        <v>9</v>
      </c>
      <c r="AR96" t="s">
        <v>263</v>
      </c>
      <c r="AS96">
        <v>3.6</v>
      </c>
    </row>
    <row r="97" spans="1:45" x14ac:dyDescent="0.15">
      <c r="A97" s="4" t="str">
        <f>HYPERLINK("https://ibp.a2mac1.com/costing(costing:projects/details/9760/material/8752704)","PUR adjusted (part)")</f>
        <v>PUR adjusted (part)</v>
      </c>
      <c r="B97">
        <v>8752704</v>
      </c>
      <c r="C97">
        <v>12083819</v>
      </c>
      <c r="E97">
        <v>0.18</v>
      </c>
      <c r="F97" t="s">
        <v>478</v>
      </c>
      <c r="G97">
        <v>100</v>
      </c>
      <c r="H97" t="s">
        <v>479</v>
      </c>
      <c r="I97">
        <v>5</v>
      </c>
      <c r="J97">
        <v>0.50345253019720215</v>
      </c>
      <c r="K97">
        <v>0</v>
      </c>
      <c r="L97">
        <v>0</v>
      </c>
      <c r="M97">
        <v>0</v>
      </c>
      <c r="O97">
        <v>200000</v>
      </c>
      <c r="R97" t="s">
        <v>162</v>
      </c>
      <c r="S97">
        <v>0</v>
      </c>
      <c r="T97">
        <v>9.1080000000000002E-4</v>
      </c>
      <c r="U97" t="s">
        <v>176</v>
      </c>
      <c r="V97">
        <v>6.3E-3</v>
      </c>
      <c r="W97">
        <v>0.18721080000000001</v>
      </c>
      <c r="X97" t="s">
        <v>90</v>
      </c>
      <c r="Y97">
        <v>0</v>
      </c>
      <c r="Z97">
        <v>0</v>
      </c>
      <c r="AA97" t="s">
        <v>90</v>
      </c>
      <c r="AB97">
        <v>0</v>
      </c>
      <c r="AC97">
        <v>0.18721080000000001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Q97" t="s">
        <v>262</v>
      </c>
      <c r="AR97" t="s">
        <v>263</v>
      </c>
      <c r="AS97">
        <v>0.18</v>
      </c>
    </row>
    <row r="98" spans="1:45" x14ac:dyDescent="0.15">
      <c r="A98" s="4" t="str">
        <f>HYPERLINK("https://ibp.a2mac1.com/costing(costing:projects/details/9760/material/8752705)","Steel sheet (default) adjusted (part)")</f>
        <v>Steel sheet (default) adjusted (part)</v>
      </c>
      <c r="B98">
        <v>8752705</v>
      </c>
      <c r="C98">
        <v>12083820</v>
      </c>
      <c r="E98">
        <v>0.4</v>
      </c>
      <c r="F98" t="s">
        <v>478</v>
      </c>
      <c r="G98">
        <v>100</v>
      </c>
      <c r="H98" t="s">
        <v>479</v>
      </c>
      <c r="I98">
        <v>30</v>
      </c>
      <c r="J98">
        <v>0.50345253019720215</v>
      </c>
      <c r="K98">
        <v>0</v>
      </c>
      <c r="L98">
        <v>0</v>
      </c>
      <c r="M98">
        <v>0</v>
      </c>
      <c r="O98">
        <v>200000</v>
      </c>
      <c r="R98" t="s">
        <v>162</v>
      </c>
      <c r="S98">
        <v>0</v>
      </c>
      <c r="T98">
        <v>2.0240000000000002E-3</v>
      </c>
      <c r="U98" t="s">
        <v>176</v>
      </c>
      <c r="V98">
        <v>1.4E-2</v>
      </c>
      <c r="W98">
        <v>0.416024</v>
      </c>
      <c r="X98" t="s">
        <v>90</v>
      </c>
      <c r="Y98">
        <v>0</v>
      </c>
      <c r="Z98">
        <v>0</v>
      </c>
      <c r="AA98" t="s">
        <v>90</v>
      </c>
      <c r="AB98">
        <v>0</v>
      </c>
      <c r="AC98">
        <v>0.416024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Q98" t="s">
        <v>262</v>
      </c>
      <c r="AR98" t="s">
        <v>263</v>
      </c>
      <c r="AS98">
        <v>0.4</v>
      </c>
    </row>
    <row r="99" spans="1:45" x14ac:dyDescent="0.15">
      <c r="A99" s="4" t="str">
        <f>HYPERLINK("https://ibp.a2mac1.com/costing(costing:projects/details/9760/material/8752706)","PLASTIC UNKNOWN")</f>
        <v>PLASTIC UNKNOWN</v>
      </c>
      <c r="B99">
        <v>8752706</v>
      </c>
      <c r="C99">
        <v>12083821</v>
      </c>
      <c r="E99">
        <v>0.29128999999999999</v>
      </c>
      <c r="F99" t="s">
        <v>478</v>
      </c>
      <c r="G99">
        <v>100</v>
      </c>
      <c r="H99" t="s">
        <v>479</v>
      </c>
      <c r="I99">
        <v>0</v>
      </c>
      <c r="J99">
        <v>0.50345253019720215</v>
      </c>
      <c r="K99">
        <v>0</v>
      </c>
      <c r="L99">
        <v>0</v>
      </c>
      <c r="M99">
        <v>0</v>
      </c>
      <c r="O99">
        <v>200000</v>
      </c>
      <c r="R99" t="s">
        <v>162</v>
      </c>
      <c r="S99">
        <v>0</v>
      </c>
      <c r="T99">
        <v>1.4739274E-3</v>
      </c>
      <c r="U99" t="s">
        <v>176</v>
      </c>
      <c r="V99">
        <v>1.019515E-2</v>
      </c>
      <c r="W99">
        <v>0.3029590774</v>
      </c>
      <c r="X99" t="s">
        <v>177</v>
      </c>
      <c r="Y99">
        <v>1.8177544644E-2</v>
      </c>
      <c r="Z99">
        <v>0</v>
      </c>
      <c r="AA99" t="s">
        <v>178</v>
      </c>
      <c r="AB99">
        <v>3.6355089287999999E-2</v>
      </c>
      <c r="AC99">
        <v>0.35749171133199997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Q99" t="s">
        <v>9</v>
      </c>
      <c r="AR99" t="s">
        <v>263</v>
      </c>
      <c r="AS99">
        <v>0.29128999999999999</v>
      </c>
    </row>
    <row r="100" spans="1:45" x14ac:dyDescent="0.15">
      <c r="A100" s="4" t="str">
        <f>HYPERLINK("https://ibp.a2mac1.com/costing(costing:projects/details/9760/material/8752707)","PC-ABS adjusted (part)")</f>
        <v>PC-ABS adjusted (part)</v>
      </c>
      <c r="B100">
        <v>8752707</v>
      </c>
      <c r="C100">
        <v>12083822</v>
      </c>
      <c r="E100">
        <v>0.52</v>
      </c>
      <c r="F100" t="s">
        <v>478</v>
      </c>
      <c r="G100">
        <v>100</v>
      </c>
      <c r="H100" t="s">
        <v>479</v>
      </c>
      <c r="I100">
        <v>5</v>
      </c>
      <c r="J100">
        <v>0.50345253019720215</v>
      </c>
      <c r="K100">
        <v>0</v>
      </c>
      <c r="L100">
        <v>0</v>
      </c>
      <c r="M100">
        <v>0</v>
      </c>
      <c r="O100">
        <v>200000</v>
      </c>
      <c r="R100" t="s">
        <v>162</v>
      </c>
      <c r="S100">
        <v>0</v>
      </c>
      <c r="T100">
        <v>2.6312000000000002E-3</v>
      </c>
      <c r="U100" t="s">
        <v>176</v>
      </c>
      <c r="V100">
        <v>1.8200000000000001E-2</v>
      </c>
      <c r="W100">
        <v>0.54083119999999996</v>
      </c>
      <c r="X100" t="s">
        <v>90</v>
      </c>
      <c r="Y100">
        <v>0</v>
      </c>
      <c r="Z100">
        <v>0</v>
      </c>
      <c r="AA100" t="s">
        <v>90</v>
      </c>
      <c r="AB100">
        <v>0</v>
      </c>
      <c r="AC100">
        <v>0.54083119999999996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Q100" t="s">
        <v>262</v>
      </c>
      <c r="AR100" t="s">
        <v>263</v>
      </c>
      <c r="AS100">
        <v>0.52</v>
      </c>
    </row>
    <row r="101" spans="1:45" x14ac:dyDescent="0.15">
      <c r="A101" s="4" t="str">
        <f>HYPERLINK("https://ibp.a2mac1.com/costing(costing:projects/details/9760/material/8752708)","PLASTIC UNKNOWN")</f>
        <v>PLASTIC UNKNOWN</v>
      </c>
      <c r="B101">
        <v>8752708</v>
      </c>
      <c r="C101">
        <v>12083823</v>
      </c>
      <c r="E101">
        <v>0.34342</v>
      </c>
      <c r="F101" t="s">
        <v>478</v>
      </c>
      <c r="G101">
        <v>100</v>
      </c>
      <c r="H101" t="s">
        <v>479</v>
      </c>
      <c r="I101">
        <v>0</v>
      </c>
      <c r="J101">
        <v>0.50345253019720215</v>
      </c>
      <c r="K101">
        <v>0</v>
      </c>
      <c r="L101">
        <v>0</v>
      </c>
      <c r="M101">
        <v>0</v>
      </c>
      <c r="O101">
        <v>200000</v>
      </c>
      <c r="R101" t="s">
        <v>162</v>
      </c>
      <c r="S101">
        <v>0</v>
      </c>
      <c r="T101">
        <v>1.7377052E-3</v>
      </c>
      <c r="U101" t="s">
        <v>176</v>
      </c>
      <c r="V101">
        <v>1.2019699999999999E-2</v>
      </c>
      <c r="W101">
        <v>0.35717740520000002</v>
      </c>
      <c r="X101" t="s">
        <v>90</v>
      </c>
      <c r="Y101">
        <v>0</v>
      </c>
      <c r="Z101">
        <v>0</v>
      </c>
      <c r="AA101" t="s">
        <v>90</v>
      </c>
      <c r="AB101">
        <v>0</v>
      </c>
      <c r="AC101">
        <v>0.35717740520000002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Q101" t="s">
        <v>9</v>
      </c>
      <c r="AR101" t="s">
        <v>263</v>
      </c>
      <c r="AS101">
        <v>0.34342</v>
      </c>
    </row>
    <row r="102" spans="1:45" x14ac:dyDescent="0.15">
      <c r="A102" s="4" t="str">
        <f>HYPERLINK("https://ibp.a2mac1.com/costing(costing:projects/details/9760/material/8752809)","PA6-PA66")</f>
        <v>PA6-PA66</v>
      </c>
      <c r="B102">
        <v>8752809</v>
      </c>
      <c r="C102">
        <v>12083942</v>
      </c>
      <c r="E102">
        <v>0.1</v>
      </c>
      <c r="F102" t="s">
        <v>478</v>
      </c>
      <c r="G102">
        <v>100</v>
      </c>
      <c r="H102" t="s">
        <v>479</v>
      </c>
      <c r="I102">
        <v>0</v>
      </c>
      <c r="J102">
        <v>0.50048257265952256</v>
      </c>
      <c r="K102">
        <v>0</v>
      </c>
      <c r="L102">
        <v>0</v>
      </c>
      <c r="M102">
        <v>0</v>
      </c>
      <c r="O102">
        <v>400000</v>
      </c>
      <c r="R102" t="s">
        <v>162</v>
      </c>
      <c r="S102">
        <v>0</v>
      </c>
      <c r="T102">
        <v>5.0299999999999997E-4</v>
      </c>
      <c r="U102" t="s">
        <v>176</v>
      </c>
      <c r="V102">
        <v>3.5000000000000001E-3</v>
      </c>
      <c r="W102">
        <v>0.104003</v>
      </c>
      <c r="X102" t="s">
        <v>90</v>
      </c>
      <c r="Y102">
        <v>0</v>
      </c>
      <c r="Z102">
        <v>0</v>
      </c>
      <c r="AA102" t="s">
        <v>90</v>
      </c>
      <c r="AB102">
        <v>0</v>
      </c>
      <c r="AC102">
        <v>0.104003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Q102" t="s">
        <v>9</v>
      </c>
      <c r="AR102" t="s">
        <v>263</v>
      </c>
      <c r="AS102">
        <v>0.1</v>
      </c>
    </row>
    <row r="103" spans="1:45" x14ac:dyDescent="0.15">
      <c r="A103" s="4" t="str">
        <f>HYPERLINK("https://ibp.a2mac1.com/costing(costing:projects/details/9760/material/8752810)","PP-EPDM-T20 &amp; Leather")</f>
        <v>PP-EPDM-T20 &amp; Leather</v>
      </c>
      <c r="B103">
        <v>8752810</v>
      </c>
      <c r="C103">
        <v>12083943</v>
      </c>
      <c r="E103">
        <v>14.81</v>
      </c>
      <c r="F103" t="s">
        <v>478</v>
      </c>
      <c r="G103">
        <v>100</v>
      </c>
      <c r="H103" t="s">
        <v>479</v>
      </c>
      <c r="I103">
        <v>0</v>
      </c>
      <c r="J103">
        <v>0.50345253019720215</v>
      </c>
      <c r="K103">
        <v>0</v>
      </c>
      <c r="L103">
        <v>0</v>
      </c>
      <c r="M103">
        <v>0</v>
      </c>
      <c r="O103">
        <v>200000</v>
      </c>
      <c r="R103" t="s">
        <v>162</v>
      </c>
      <c r="S103">
        <v>0</v>
      </c>
      <c r="T103">
        <v>7.4938599999999994E-2</v>
      </c>
      <c r="U103" t="s">
        <v>176</v>
      </c>
      <c r="V103">
        <v>0.51834999999999998</v>
      </c>
      <c r="W103">
        <v>15.4032886</v>
      </c>
      <c r="X103" t="s">
        <v>90</v>
      </c>
      <c r="Y103">
        <v>0</v>
      </c>
      <c r="Z103">
        <v>0</v>
      </c>
      <c r="AA103" t="s">
        <v>90</v>
      </c>
      <c r="AB103">
        <v>0</v>
      </c>
      <c r="AC103">
        <v>15.4032886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Q103" t="s">
        <v>9</v>
      </c>
      <c r="AR103" t="s">
        <v>263</v>
      </c>
      <c r="AS103">
        <v>14.81</v>
      </c>
    </row>
    <row r="104" spans="1:45" x14ac:dyDescent="0.15">
      <c r="A104" s="4" t="str">
        <f>HYPERLINK("https://ibp.a2mac1.com/costing(costing:projects/details/9760/material/8752811)","PC-ABS adjusted (part)")</f>
        <v>PC-ABS adjusted (part)</v>
      </c>
      <c r="B104">
        <v>8752811</v>
      </c>
      <c r="C104">
        <v>12083944</v>
      </c>
      <c r="E104">
        <v>0.89</v>
      </c>
      <c r="F104" t="s">
        <v>478</v>
      </c>
      <c r="G104">
        <v>100</v>
      </c>
      <c r="H104" t="s">
        <v>479</v>
      </c>
      <c r="I104">
        <v>5</v>
      </c>
      <c r="J104">
        <v>0.50345253019720215</v>
      </c>
      <c r="K104">
        <v>0</v>
      </c>
      <c r="L104">
        <v>0</v>
      </c>
      <c r="M104">
        <v>0</v>
      </c>
      <c r="O104">
        <v>200000</v>
      </c>
      <c r="R104" t="s">
        <v>162</v>
      </c>
      <c r="S104">
        <v>0</v>
      </c>
      <c r="T104">
        <v>4.5034000000000003E-3</v>
      </c>
      <c r="U104" t="s">
        <v>176</v>
      </c>
      <c r="V104">
        <v>3.1150000000000001E-2</v>
      </c>
      <c r="W104">
        <v>0.92565339999999996</v>
      </c>
      <c r="X104" t="s">
        <v>90</v>
      </c>
      <c r="Y104">
        <v>0</v>
      </c>
      <c r="Z104">
        <v>0</v>
      </c>
      <c r="AA104" t="s">
        <v>90</v>
      </c>
      <c r="AB104">
        <v>0</v>
      </c>
      <c r="AC104">
        <v>0.92565339999999996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Q104" t="s">
        <v>262</v>
      </c>
      <c r="AR104" t="s">
        <v>263</v>
      </c>
      <c r="AS104">
        <v>0.89</v>
      </c>
    </row>
    <row r="105" spans="1:45" x14ac:dyDescent="0.15">
      <c r="A105" s="4" t="str">
        <f>HYPERLINK("https://ibp.a2mac1.com/costing(costing:projects/details/9760/material/8752812)","PET + PE")</f>
        <v>PET + PE</v>
      </c>
      <c r="B105">
        <v>8752812</v>
      </c>
      <c r="C105">
        <v>12083945</v>
      </c>
      <c r="E105">
        <v>0.51</v>
      </c>
      <c r="F105" t="s">
        <v>478</v>
      </c>
      <c r="G105">
        <v>100</v>
      </c>
      <c r="H105" t="s">
        <v>479</v>
      </c>
      <c r="I105">
        <v>0</v>
      </c>
      <c r="J105">
        <v>0.50345253019720215</v>
      </c>
      <c r="K105">
        <v>0</v>
      </c>
      <c r="L105">
        <v>0</v>
      </c>
      <c r="M105">
        <v>0</v>
      </c>
      <c r="O105">
        <v>200000</v>
      </c>
      <c r="R105" t="s">
        <v>162</v>
      </c>
      <c r="S105">
        <v>0</v>
      </c>
      <c r="T105">
        <v>2.5806000000000002E-3</v>
      </c>
      <c r="U105" t="s">
        <v>176</v>
      </c>
      <c r="V105">
        <v>1.7850000000000001E-2</v>
      </c>
      <c r="W105">
        <v>0.53043059999999997</v>
      </c>
      <c r="X105" t="s">
        <v>90</v>
      </c>
      <c r="Y105">
        <v>0</v>
      </c>
      <c r="Z105">
        <v>0</v>
      </c>
      <c r="AA105" t="s">
        <v>90</v>
      </c>
      <c r="AB105">
        <v>0</v>
      </c>
      <c r="AC105">
        <v>0.53043059999999997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Q105" t="s">
        <v>9</v>
      </c>
      <c r="AR105" t="s">
        <v>263</v>
      </c>
      <c r="AS105">
        <v>0.51</v>
      </c>
    </row>
    <row r="106" spans="1:45" x14ac:dyDescent="0.15">
      <c r="A106" s="4" t="str">
        <f>HYPERLINK("https://ibp.a2mac1.com/costing(costing:projects/details/9760/material/8752813)","PC-ABS adjusted (part)")</f>
        <v>PC-ABS adjusted (part)</v>
      </c>
      <c r="B106">
        <v>8752813</v>
      </c>
      <c r="C106">
        <v>12083946</v>
      </c>
      <c r="E106">
        <v>0.1</v>
      </c>
      <c r="F106" t="s">
        <v>478</v>
      </c>
      <c r="G106">
        <v>100</v>
      </c>
      <c r="H106" t="s">
        <v>479</v>
      </c>
      <c r="I106">
        <v>5</v>
      </c>
      <c r="J106">
        <v>0.50345253019720215</v>
      </c>
      <c r="K106">
        <v>0</v>
      </c>
      <c r="L106">
        <v>0</v>
      </c>
      <c r="M106">
        <v>0</v>
      </c>
      <c r="O106">
        <v>200000</v>
      </c>
      <c r="R106" t="s">
        <v>162</v>
      </c>
      <c r="S106">
        <v>0</v>
      </c>
      <c r="T106">
        <v>5.0600000000000005E-4</v>
      </c>
      <c r="U106" t="s">
        <v>176</v>
      </c>
      <c r="V106">
        <v>3.5000000000000001E-3</v>
      </c>
      <c r="W106">
        <v>0.104006</v>
      </c>
      <c r="X106" t="s">
        <v>90</v>
      </c>
      <c r="Y106">
        <v>0</v>
      </c>
      <c r="Z106">
        <v>0</v>
      </c>
      <c r="AA106" t="s">
        <v>90</v>
      </c>
      <c r="AB106">
        <v>0</v>
      </c>
      <c r="AC106">
        <v>0.104006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Q106" t="s">
        <v>262</v>
      </c>
      <c r="AR106" t="s">
        <v>263</v>
      </c>
      <c r="AS106">
        <v>0.1</v>
      </c>
    </row>
    <row r="107" spans="1:45" x14ac:dyDescent="0.15">
      <c r="A107" s="4" t="str">
        <f>HYPERLINK("https://ibp.a2mac1.com/costing(costing:projects/details/9760/material/8752814)","PP-TD20 adjusted (part)")</f>
        <v>PP-TD20 adjusted (part)</v>
      </c>
      <c r="B107">
        <v>8752814</v>
      </c>
      <c r="C107">
        <v>12083947</v>
      </c>
      <c r="E107">
        <v>0.04</v>
      </c>
      <c r="F107" t="s">
        <v>478</v>
      </c>
      <c r="G107">
        <v>100</v>
      </c>
      <c r="H107" t="s">
        <v>479</v>
      </c>
      <c r="I107">
        <v>5</v>
      </c>
      <c r="J107">
        <v>0.50345253019720215</v>
      </c>
      <c r="K107">
        <v>0</v>
      </c>
      <c r="L107">
        <v>0</v>
      </c>
      <c r="M107">
        <v>0</v>
      </c>
      <c r="O107">
        <v>200000</v>
      </c>
      <c r="R107" t="s">
        <v>162</v>
      </c>
      <c r="S107">
        <v>0</v>
      </c>
      <c r="T107">
        <v>2.0239999999999999E-4</v>
      </c>
      <c r="U107" t="s">
        <v>176</v>
      </c>
      <c r="V107">
        <v>1.4E-3</v>
      </c>
      <c r="W107">
        <v>4.1602399999999998E-2</v>
      </c>
      <c r="X107" t="s">
        <v>90</v>
      </c>
      <c r="Y107">
        <v>0</v>
      </c>
      <c r="Z107">
        <v>0</v>
      </c>
      <c r="AA107" t="s">
        <v>90</v>
      </c>
      <c r="AB107">
        <v>0</v>
      </c>
      <c r="AC107">
        <v>4.1602399999999998E-2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Q107" t="s">
        <v>262</v>
      </c>
      <c r="AR107" t="s">
        <v>263</v>
      </c>
      <c r="AS107">
        <v>0.04</v>
      </c>
    </row>
    <row r="108" spans="1:45" x14ac:dyDescent="0.15">
      <c r="A108" s="4" t="str">
        <f>HYPERLINK("https://ibp.a2mac1.com/costing(costing:projects/details/9760/material/8752815)","Steel sheet (default) adjusted (part)")</f>
        <v>Steel sheet (default) adjusted (part)</v>
      </c>
      <c r="B108">
        <v>8752815</v>
      </c>
      <c r="C108">
        <v>12083948</v>
      </c>
      <c r="E108">
        <v>7.0000000000000007E-2</v>
      </c>
      <c r="F108" t="s">
        <v>478</v>
      </c>
      <c r="G108">
        <v>100</v>
      </c>
      <c r="H108" t="s">
        <v>479</v>
      </c>
      <c r="I108">
        <v>30</v>
      </c>
      <c r="J108">
        <v>0.50345253019720215</v>
      </c>
      <c r="K108">
        <v>0</v>
      </c>
      <c r="L108">
        <v>0</v>
      </c>
      <c r="M108">
        <v>0</v>
      </c>
      <c r="O108">
        <v>200000</v>
      </c>
      <c r="R108" t="s">
        <v>162</v>
      </c>
      <c r="S108">
        <v>0</v>
      </c>
      <c r="T108">
        <v>3.5419999999999999E-4</v>
      </c>
      <c r="U108" t="s">
        <v>176</v>
      </c>
      <c r="V108">
        <v>2.4499999999999999E-3</v>
      </c>
      <c r="W108">
        <v>7.2804199999999999E-2</v>
      </c>
      <c r="X108" t="s">
        <v>90</v>
      </c>
      <c r="Y108">
        <v>0</v>
      </c>
      <c r="Z108">
        <v>0</v>
      </c>
      <c r="AA108" t="s">
        <v>90</v>
      </c>
      <c r="AB108">
        <v>0</v>
      </c>
      <c r="AC108">
        <v>7.2804199999999999E-2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Q108" t="s">
        <v>262</v>
      </c>
      <c r="AR108" t="s">
        <v>263</v>
      </c>
      <c r="AS108">
        <v>7.0000000000000007E-2</v>
      </c>
    </row>
    <row r="109" spans="1:45" x14ac:dyDescent="0.15">
      <c r="A109" s="4" t="str">
        <f>HYPERLINK("https://ibp.a2mac1.com/costing(costing:projects/details/9760/material/8752709)","Leather")</f>
        <v>Leather</v>
      </c>
      <c r="B109">
        <v>8752709</v>
      </c>
      <c r="C109">
        <v>12083824</v>
      </c>
      <c r="E109">
        <v>22.05</v>
      </c>
      <c r="F109" t="s">
        <v>478</v>
      </c>
      <c r="G109">
        <v>100</v>
      </c>
      <c r="H109" t="s">
        <v>479</v>
      </c>
      <c r="I109">
        <v>0</v>
      </c>
      <c r="J109">
        <v>0.50345253019720215</v>
      </c>
      <c r="K109">
        <v>0</v>
      </c>
      <c r="L109">
        <v>0</v>
      </c>
      <c r="M109">
        <v>0</v>
      </c>
      <c r="O109">
        <v>200000</v>
      </c>
      <c r="R109" t="s">
        <v>162</v>
      </c>
      <c r="S109">
        <v>0</v>
      </c>
      <c r="T109">
        <v>0.11157300000000001</v>
      </c>
      <c r="U109" t="s">
        <v>176</v>
      </c>
      <c r="V109">
        <v>0.77175000000000005</v>
      </c>
      <c r="W109">
        <v>22.933323000000001</v>
      </c>
      <c r="X109" t="s">
        <v>90</v>
      </c>
      <c r="Y109">
        <v>0</v>
      </c>
      <c r="Z109">
        <v>0</v>
      </c>
      <c r="AA109" t="s">
        <v>90</v>
      </c>
      <c r="AB109">
        <v>0</v>
      </c>
      <c r="AC109">
        <v>22.933323000000001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Q109" t="s">
        <v>9</v>
      </c>
      <c r="AR109" t="s">
        <v>263</v>
      </c>
      <c r="AS109">
        <v>22.05</v>
      </c>
    </row>
    <row r="110" spans="1:45" x14ac:dyDescent="0.15">
      <c r="A110" s="4" t="str">
        <f>HYPERLINK("https://ibp.a2mac1.com/costing(costing:projects/details/9760/material/8752710)","PUR adjusted (part)")</f>
        <v>PUR adjusted (part)</v>
      </c>
      <c r="B110">
        <v>8752710</v>
      </c>
      <c r="C110">
        <v>12083825</v>
      </c>
      <c r="E110">
        <v>2.57</v>
      </c>
      <c r="F110" t="s">
        <v>478</v>
      </c>
      <c r="G110">
        <v>100</v>
      </c>
      <c r="H110" t="s">
        <v>479</v>
      </c>
      <c r="I110">
        <v>5</v>
      </c>
      <c r="J110">
        <v>0.50345253019720215</v>
      </c>
      <c r="K110">
        <v>0</v>
      </c>
      <c r="L110">
        <v>0</v>
      </c>
      <c r="M110">
        <v>0</v>
      </c>
      <c r="O110">
        <v>200000</v>
      </c>
      <c r="R110" t="s">
        <v>162</v>
      </c>
      <c r="S110">
        <v>0</v>
      </c>
      <c r="T110">
        <v>1.30042E-2</v>
      </c>
      <c r="U110" t="s">
        <v>176</v>
      </c>
      <c r="V110">
        <v>8.9950000000000002E-2</v>
      </c>
      <c r="W110">
        <v>2.6729541999999999</v>
      </c>
      <c r="X110" t="s">
        <v>90</v>
      </c>
      <c r="Y110">
        <v>0</v>
      </c>
      <c r="Z110">
        <v>0</v>
      </c>
      <c r="AA110" t="s">
        <v>90</v>
      </c>
      <c r="AB110">
        <v>0</v>
      </c>
      <c r="AC110">
        <v>2.6729541999999999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Q110" t="s">
        <v>262</v>
      </c>
      <c r="AR110" t="s">
        <v>263</v>
      </c>
      <c r="AS110">
        <v>2.57</v>
      </c>
    </row>
    <row r="111" spans="1:45" x14ac:dyDescent="0.15">
      <c r="A111" s="4" t="str">
        <f>HYPERLINK("https://ibp.a2mac1.com/costing(costing:projects/details/9760/material/8752711)","PUR adjusted (part)")</f>
        <v>PUR adjusted (part)</v>
      </c>
      <c r="B111">
        <v>8752711</v>
      </c>
      <c r="C111">
        <v>12083826</v>
      </c>
      <c r="E111">
        <v>0.21</v>
      </c>
      <c r="F111" t="s">
        <v>478</v>
      </c>
      <c r="G111">
        <v>100</v>
      </c>
      <c r="H111" t="s">
        <v>479</v>
      </c>
      <c r="I111">
        <v>5</v>
      </c>
      <c r="J111">
        <v>0.50345253019720215</v>
      </c>
      <c r="K111">
        <v>0</v>
      </c>
      <c r="L111">
        <v>0</v>
      </c>
      <c r="M111">
        <v>0</v>
      </c>
      <c r="O111">
        <v>200000</v>
      </c>
      <c r="R111" t="s">
        <v>162</v>
      </c>
      <c r="S111">
        <v>0</v>
      </c>
      <c r="T111">
        <v>1.0625999999999999E-3</v>
      </c>
      <c r="U111" t="s">
        <v>176</v>
      </c>
      <c r="V111">
        <v>7.3499999999999998E-3</v>
      </c>
      <c r="W111">
        <v>0.21841260000000001</v>
      </c>
      <c r="X111" t="s">
        <v>90</v>
      </c>
      <c r="Y111">
        <v>0</v>
      </c>
      <c r="Z111">
        <v>0</v>
      </c>
      <c r="AA111" t="s">
        <v>90</v>
      </c>
      <c r="AB111">
        <v>0</v>
      </c>
      <c r="AC111">
        <v>0.21841260000000001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Q111" t="s">
        <v>262</v>
      </c>
      <c r="AR111" t="s">
        <v>263</v>
      </c>
      <c r="AS111">
        <v>0.21</v>
      </c>
    </row>
    <row r="112" spans="1:45" x14ac:dyDescent="0.15">
      <c r="A112" s="4" t="str">
        <f>HYPERLINK("https://ibp.a2mac1.com/costing(costing:projects/details/9760/material/8752712)","Steel sheet (default) adjusted (part)")</f>
        <v>Steel sheet (default) adjusted (part)</v>
      </c>
      <c r="B112">
        <v>8752712</v>
      </c>
      <c r="C112">
        <v>12083827</v>
      </c>
      <c r="E112">
        <v>3.05</v>
      </c>
      <c r="F112" t="s">
        <v>478</v>
      </c>
      <c r="G112">
        <v>100</v>
      </c>
      <c r="H112" t="s">
        <v>479</v>
      </c>
      <c r="I112">
        <v>30</v>
      </c>
      <c r="J112">
        <v>0.50345253019720215</v>
      </c>
      <c r="K112">
        <v>0</v>
      </c>
      <c r="L112">
        <v>0</v>
      </c>
      <c r="M112">
        <v>0</v>
      </c>
      <c r="O112">
        <v>200000</v>
      </c>
      <c r="R112" t="s">
        <v>162</v>
      </c>
      <c r="S112">
        <v>0</v>
      </c>
      <c r="T112">
        <v>1.5433000000000001E-2</v>
      </c>
      <c r="U112" t="s">
        <v>176</v>
      </c>
      <c r="V112">
        <v>0.10675</v>
      </c>
      <c r="W112">
        <v>3.172183</v>
      </c>
      <c r="X112" t="s">
        <v>90</v>
      </c>
      <c r="Y112">
        <v>0</v>
      </c>
      <c r="Z112">
        <v>0</v>
      </c>
      <c r="AA112" t="s">
        <v>90</v>
      </c>
      <c r="AB112">
        <v>0</v>
      </c>
      <c r="AC112">
        <v>3.172183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Q112" t="s">
        <v>262</v>
      </c>
      <c r="AR112" t="s">
        <v>263</v>
      </c>
      <c r="AS112">
        <v>3.05</v>
      </c>
    </row>
    <row r="113" spans="1:45" x14ac:dyDescent="0.15">
      <c r="A113" s="4" t="str">
        <f>HYPERLINK("https://ibp.a2mac1.com/costing(costing:projects/details/9760/material/8752713)","PP-EPDM-TD20 adjusted (part)")</f>
        <v>PP-EPDM-TD20 adjusted (part)</v>
      </c>
      <c r="B113">
        <v>8752713</v>
      </c>
      <c r="C113">
        <v>12083828</v>
      </c>
      <c r="E113">
        <v>0.4</v>
      </c>
      <c r="F113" t="s">
        <v>478</v>
      </c>
      <c r="G113">
        <v>100</v>
      </c>
      <c r="H113" t="s">
        <v>479</v>
      </c>
      <c r="I113">
        <v>5</v>
      </c>
      <c r="J113">
        <v>0.50345253019720215</v>
      </c>
      <c r="K113">
        <v>0</v>
      </c>
      <c r="L113">
        <v>0</v>
      </c>
      <c r="M113">
        <v>0</v>
      </c>
      <c r="O113">
        <v>200000</v>
      </c>
      <c r="R113" t="s">
        <v>162</v>
      </c>
      <c r="S113">
        <v>0</v>
      </c>
      <c r="T113">
        <v>2.0240000000000002E-3</v>
      </c>
      <c r="U113" t="s">
        <v>176</v>
      </c>
      <c r="V113">
        <v>1.4E-2</v>
      </c>
      <c r="W113">
        <v>0.416024</v>
      </c>
      <c r="X113" t="s">
        <v>90</v>
      </c>
      <c r="Y113">
        <v>0</v>
      </c>
      <c r="Z113">
        <v>0</v>
      </c>
      <c r="AA113" t="s">
        <v>90</v>
      </c>
      <c r="AB113">
        <v>0</v>
      </c>
      <c r="AC113">
        <v>0.416024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Q113" t="s">
        <v>262</v>
      </c>
      <c r="AR113" t="s">
        <v>263</v>
      </c>
      <c r="AS113">
        <v>0.4</v>
      </c>
    </row>
    <row r="114" spans="1:45" x14ac:dyDescent="0.15">
      <c r="A114" s="4" t="str">
        <f>HYPERLINK("https://ibp.a2mac1.com/costing(costing:projects/details/9760/material/8752714)","PP-EPDM-TD20 adjusted (part)")</f>
        <v>PP-EPDM-TD20 adjusted (part)</v>
      </c>
      <c r="B114">
        <v>8752714</v>
      </c>
      <c r="C114">
        <v>12083829</v>
      </c>
      <c r="E114">
        <v>0.4</v>
      </c>
      <c r="F114" t="s">
        <v>478</v>
      </c>
      <c r="G114">
        <v>100</v>
      </c>
      <c r="H114" t="s">
        <v>479</v>
      </c>
      <c r="I114">
        <v>5</v>
      </c>
      <c r="J114">
        <v>0.50345253019720215</v>
      </c>
      <c r="K114">
        <v>0</v>
      </c>
      <c r="L114">
        <v>0</v>
      </c>
      <c r="M114">
        <v>0</v>
      </c>
      <c r="O114">
        <v>200000</v>
      </c>
      <c r="R114" t="s">
        <v>162</v>
      </c>
      <c r="S114">
        <v>0</v>
      </c>
      <c r="T114">
        <v>2.0240000000000002E-3</v>
      </c>
      <c r="U114" t="s">
        <v>176</v>
      </c>
      <c r="V114">
        <v>1.4E-2</v>
      </c>
      <c r="W114">
        <v>0.416024</v>
      </c>
      <c r="X114" t="s">
        <v>90</v>
      </c>
      <c r="Y114">
        <v>0</v>
      </c>
      <c r="Z114">
        <v>0</v>
      </c>
      <c r="AA114" t="s">
        <v>90</v>
      </c>
      <c r="AB114">
        <v>0</v>
      </c>
      <c r="AC114">
        <v>0.416024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Q114" t="s">
        <v>262</v>
      </c>
      <c r="AR114" t="s">
        <v>263</v>
      </c>
      <c r="AS114">
        <v>0.4</v>
      </c>
    </row>
    <row r="115" spans="1:45" x14ac:dyDescent="0.15">
      <c r="A115" s="4" t="str">
        <f>HYPERLINK("https://ibp.a2mac1.com/costing(costing:projects/details/9760/material/8752715)","Steel sheet (default) adjusted (part)")</f>
        <v>Steel sheet (default) adjusted (part)</v>
      </c>
      <c r="B115">
        <v>8752715</v>
      </c>
      <c r="C115">
        <v>12083830</v>
      </c>
      <c r="E115">
        <v>0.05</v>
      </c>
      <c r="F115" t="s">
        <v>478</v>
      </c>
      <c r="G115">
        <v>100</v>
      </c>
      <c r="H115" t="s">
        <v>479</v>
      </c>
      <c r="I115">
        <v>30</v>
      </c>
      <c r="J115">
        <v>0.50345253019720215</v>
      </c>
      <c r="K115">
        <v>0</v>
      </c>
      <c r="L115">
        <v>0</v>
      </c>
      <c r="M115">
        <v>0</v>
      </c>
      <c r="O115">
        <v>200000</v>
      </c>
      <c r="R115" t="s">
        <v>162</v>
      </c>
      <c r="S115">
        <v>0</v>
      </c>
      <c r="T115">
        <v>2.5300000000000002E-4</v>
      </c>
      <c r="U115" t="s">
        <v>176</v>
      </c>
      <c r="V115">
        <v>1.75E-3</v>
      </c>
      <c r="W115">
        <v>5.2003000000000001E-2</v>
      </c>
      <c r="X115" t="s">
        <v>90</v>
      </c>
      <c r="Y115">
        <v>0</v>
      </c>
      <c r="Z115">
        <v>0</v>
      </c>
      <c r="AA115" t="s">
        <v>90</v>
      </c>
      <c r="AB115">
        <v>0</v>
      </c>
      <c r="AC115">
        <v>5.2003000000000001E-2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Q115" t="s">
        <v>262</v>
      </c>
      <c r="AR115" t="s">
        <v>263</v>
      </c>
      <c r="AS115">
        <v>0.05</v>
      </c>
    </row>
    <row r="116" spans="1:45" x14ac:dyDescent="0.15">
      <c r="A116" s="4" t="str">
        <f>HYPERLINK("https://ibp.a2mac1.com/costing(costing:projects/details/9760/material/8752716)","Steel sheet (default) adjusted (part)")</f>
        <v>Steel sheet (default) adjusted (part)</v>
      </c>
      <c r="B116">
        <v>8752716</v>
      </c>
      <c r="C116">
        <v>12083831</v>
      </c>
      <c r="E116">
        <v>0.04</v>
      </c>
      <c r="F116" t="s">
        <v>478</v>
      </c>
      <c r="G116">
        <v>100</v>
      </c>
      <c r="H116" t="s">
        <v>479</v>
      </c>
      <c r="I116">
        <v>30</v>
      </c>
      <c r="J116">
        <v>0.50345253019720215</v>
      </c>
      <c r="K116">
        <v>0</v>
      </c>
      <c r="L116">
        <v>0</v>
      </c>
      <c r="M116">
        <v>0</v>
      </c>
      <c r="O116">
        <v>200000</v>
      </c>
      <c r="R116" t="s">
        <v>162</v>
      </c>
      <c r="S116">
        <v>0</v>
      </c>
      <c r="T116">
        <v>2.0239999999999999E-4</v>
      </c>
      <c r="U116" t="s">
        <v>176</v>
      </c>
      <c r="V116">
        <v>1.4E-3</v>
      </c>
      <c r="W116">
        <v>4.1602399999999998E-2</v>
      </c>
      <c r="X116" t="s">
        <v>90</v>
      </c>
      <c r="Y116">
        <v>0</v>
      </c>
      <c r="Z116">
        <v>0</v>
      </c>
      <c r="AA116" t="s">
        <v>90</v>
      </c>
      <c r="AB116">
        <v>0</v>
      </c>
      <c r="AC116">
        <v>4.1602399999999998E-2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Q116" t="s">
        <v>262</v>
      </c>
      <c r="AR116" t="s">
        <v>263</v>
      </c>
      <c r="AS116">
        <v>0.04</v>
      </c>
    </row>
    <row r="117" spans="1:45" x14ac:dyDescent="0.15">
      <c r="A117" s="4" t="str">
        <f>HYPERLINK("https://ibp.a2mac1.com/costing(costing:projects/details/9760/material/8752717)","PP-GF15 adjusted (part)")</f>
        <v>PP-GF15 adjusted (part)</v>
      </c>
      <c r="B117">
        <v>8752717</v>
      </c>
      <c r="C117">
        <v>12083832</v>
      </c>
      <c r="E117">
        <v>0.24</v>
      </c>
      <c r="F117" t="s">
        <v>478</v>
      </c>
      <c r="G117">
        <v>100</v>
      </c>
      <c r="H117" t="s">
        <v>479</v>
      </c>
      <c r="I117">
        <v>30</v>
      </c>
      <c r="J117">
        <v>0.50345253019720215</v>
      </c>
      <c r="K117">
        <v>0</v>
      </c>
      <c r="L117">
        <v>0</v>
      </c>
      <c r="M117">
        <v>0</v>
      </c>
      <c r="O117">
        <v>200000</v>
      </c>
      <c r="R117" t="s">
        <v>162</v>
      </c>
      <c r="S117">
        <v>0</v>
      </c>
      <c r="T117">
        <v>1.2144E-3</v>
      </c>
      <c r="U117" t="s">
        <v>176</v>
      </c>
      <c r="V117">
        <v>8.3999999999999995E-3</v>
      </c>
      <c r="W117">
        <v>0.24961439999999999</v>
      </c>
      <c r="X117" t="s">
        <v>90</v>
      </c>
      <c r="Y117">
        <v>0</v>
      </c>
      <c r="Z117">
        <v>0</v>
      </c>
      <c r="AA117" t="s">
        <v>90</v>
      </c>
      <c r="AB117">
        <v>0</v>
      </c>
      <c r="AC117">
        <v>0.24961439999999999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Q117" t="s">
        <v>262</v>
      </c>
      <c r="AR117" t="s">
        <v>263</v>
      </c>
      <c r="AS117">
        <v>0.24</v>
      </c>
    </row>
    <row r="118" spans="1:45" x14ac:dyDescent="0.15">
      <c r="A118" s="4" t="str">
        <f>HYPERLINK("https://ibp.a2mac1.com/costing(costing:projects/details/9760/material/8752816)","PP-EPDM-TD20 adjusted (part)")</f>
        <v>PP-EPDM-TD20 adjusted (part)</v>
      </c>
      <c r="B118">
        <v>8752816</v>
      </c>
      <c r="C118">
        <v>12083949</v>
      </c>
      <c r="E118">
        <v>0.47</v>
      </c>
      <c r="F118" t="s">
        <v>478</v>
      </c>
      <c r="G118">
        <v>100</v>
      </c>
      <c r="H118" t="s">
        <v>479</v>
      </c>
      <c r="I118">
        <v>5</v>
      </c>
      <c r="J118">
        <v>0.50345253019720215</v>
      </c>
      <c r="K118">
        <v>0</v>
      </c>
      <c r="L118">
        <v>0</v>
      </c>
      <c r="M118">
        <v>0</v>
      </c>
      <c r="O118">
        <v>200000</v>
      </c>
      <c r="R118" t="s">
        <v>162</v>
      </c>
      <c r="S118">
        <v>0</v>
      </c>
      <c r="T118">
        <v>2.3782E-3</v>
      </c>
      <c r="U118" t="s">
        <v>176</v>
      </c>
      <c r="V118">
        <v>1.6449999999999999E-2</v>
      </c>
      <c r="W118">
        <v>0.48882819999999999</v>
      </c>
      <c r="X118" t="s">
        <v>90</v>
      </c>
      <c r="Y118">
        <v>0</v>
      </c>
      <c r="Z118">
        <v>0</v>
      </c>
      <c r="AA118" t="s">
        <v>90</v>
      </c>
      <c r="AB118">
        <v>0</v>
      </c>
      <c r="AC118">
        <v>0.48882819999999999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Q118" t="s">
        <v>262</v>
      </c>
      <c r="AR118" t="s">
        <v>263</v>
      </c>
      <c r="AS118">
        <v>0.47</v>
      </c>
    </row>
    <row r="119" spans="1:45" x14ac:dyDescent="0.15">
      <c r="A119" s="4" t="str">
        <f>HYPERLINK("https://ibp.a2mac1.com/costing(costing:projects/details/9760/material/8752817)","PP-EPDM-TD20 adjusted (part)")</f>
        <v>PP-EPDM-TD20 adjusted (part)</v>
      </c>
      <c r="B119">
        <v>8752817</v>
      </c>
      <c r="C119">
        <v>12083950</v>
      </c>
      <c r="E119">
        <v>0.23</v>
      </c>
      <c r="F119" t="s">
        <v>478</v>
      </c>
      <c r="G119">
        <v>100</v>
      </c>
      <c r="H119" t="s">
        <v>479</v>
      </c>
      <c r="I119">
        <v>5</v>
      </c>
      <c r="J119">
        <v>0.50345253019720215</v>
      </c>
      <c r="K119">
        <v>0</v>
      </c>
      <c r="L119">
        <v>0</v>
      </c>
      <c r="M119">
        <v>0</v>
      </c>
      <c r="O119">
        <v>200000</v>
      </c>
      <c r="R119" t="s">
        <v>162</v>
      </c>
      <c r="S119">
        <v>0</v>
      </c>
      <c r="T119">
        <v>1.1638E-3</v>
      </c>
      <c r="U119" t="s">
        <v>176</v>
      </c>
      <c r="V119">
        <v>8.0499999999999999E-3</v>
      </c>
      <c r="W119">
        <v>0.2392138</v>
      </c>
      <c r="X119" t="s">
        <v>90</v>
      </c>
      <c r="Y119">
        <v>0</v>
      </c>
      <c r="Z119">
        <v>0</v>
      </c>
      <c r="AA119" t="s">
        <v>90</v>
      </c>
      <c r="AB119">
        <v>0</v>
      </c>
      <c r="AC119">
        <v>0.2392138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Q119" t="s">
        <v>262</v>
      </c>
      <c r="AR119" t="s">
        <v>263</v>
      </c>
      <c r="AS119">
        <v>0.23</v>
      </c>
    </row>
    <row r="120" spans="1:45" x14ac:dyDescent="0.15">
      <c r="A120" s="4" t="str">
        <f>HYPERLINK("https://ibp.a2mac1.com/costing(costing:projects/details/9760/material/8752818)","PP-EPDM-TD20 adjusted (part)")</f>
        <v>PP-EPDM-TD20 adjusted (part)</v>
      </c>
      <c r="B120">
        <v>8752818</v>
      </c>
      <c r="C120">
        <v>12083951</v>
      </c>
      <c r="E120">
        <v>0.08</v>
      </c>
      <c r="F120" t="s">
        <v>478</v>
      </c>
      <c r="G120">
        <v>100</v>
      </c>
      <c r="H120" t="s">
        <v>479</v>
      </c>
      <c r="I120">
        <v>5</v>
      </c>
      <c r="J120">
        <v>0.50345253019720215</v>
      </c>
      <c r="K120">
        <v>0</v>
      </c>
      <c r="L120">
        <v>0</v>
      </c>
      <c r="M120">
        <v>0</v>
      </c>
      <c r="O120">
        <v>200000</v>
      </c>
      <c r="R120" t="s">
        <v>162</v>
      </c>
      <c r="S120">
        <v>0</v>
      </c>
      <c r="T120">
        <v>4.0479999999999997E-4</v>
      </c>
      <c r="U120" t="s">
        <v>176</v>
      </c>
      <c r="V120">
        <v>2.8E-3</v>
      </c>
      <c r="W120">
        <v>8.3204799999999995E-2</v>
      </c>
      <c r="X120" t="s">
        <v>90</v>
      </c>
      <c r="Y120">
        <v>0</v>
      </c>
      <c r="Z120">
        <v>0</v>
      </c>
      <c r="AA120" t="s">
        <v>90</v>
      </c>
      <c r="AB120">
        <v>0</v>
      </c>
      <c r="AC120">
        <v>8.3204799999999995E-2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Q120" t="s">
        <v>262</v>
      </c>
      <c r="AR120" t="s">
        <v>263</v>
      </c>
      <c r="AS120">
        <v>0.08</v>
      </c>
    </row>
    <row r="121" spans="1:45" x14ac:dyDescent="0.15">
      <c r="A121" s="4" t="str">
        <f>HYPERLINK("https://ibp.a2mac1.com/costing(costing:projects/details/9760/material/8752819)","Steel sheet (default) adjusted (part)")</f>
        <v>Steel sheet (default) adjusted (part)</v>
      </c>
      <c r="B121">
        <v>8752819</v>
      </c>
      <c r="C121">
        <v>12083952</v>
      </c>
      <c r="E121">
        <v>0.17</v>
      </c>
      <c r="F121" t="s">
        <v>478</v>
      </c>
      <c r="G121">
        <v>100</v>
      </c>
      <c r="H121" t="s">
        <v>479</v>
      </c>
      <c r="I121">
        <v>30</v>
      </c>
      <c r="J121">
        <v>0.50345253019720215</v>
      </c>
      <c r="K121">
        <v>0</v>
      </c>
      <c r="L121">
        <v>0</v>
      </c>
      <c r="M121">
        <v>0</v>
      </c>
      <c r="O121">
        <v>200000</v>
      </c>
      <c r="R121" t="s">
        <v>162</v>
      </c>
      <c r="S121">
        <v>0</v>
      </c>
      <c r="T121">
        <v>8.6019999999999998E-4</v>
      </c>
      <c r="U121" t="s">
        <v>176</v>
      </c>
      <c r="V121">
        <v>5.9500000000000004E-3</v>
      </c>
      <c r="W121">
        <v>0.1768102</v>
      </c>
      <c r="X121" t="s">
        <v>90</v>
      </c>
      <c r="Y121">
        <v>0</v>
      </c>
      <c r="Z121">
        <v>0</v>
      </c>
      <c r="AA121" t="s">
        <v>90</v>
      </c>
      <c r="AB121">
        <v>0</v>
      </c>
      <c r="AC121">
        <v>0.1768102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Q121" t="s">
        <v>262</v>
      </c>
      <c r="AR121" t="s">
        <v>263</v>
      </c>
      <c r="AS121">
        <v>0.17</v>
      </c>
    </row>
    <row r="122" spans="1:45" x14ac:dyDescent="0.15">
      <c r="A122" s="4" t="str">
        <f>HYPERLINK("https://ibp.a2mac1.com/costing(costing:projects/details/9760/material/8752820)","PP-EPDM-TD20 adjusted (part)")</f>
        <v>PP-EPDM-TD20 adjusted (part)</v>
      </c>
      <c r="B122">
        <v>8752820</v>
      </c>
      <c r="C122">
        <v>12083953</v>
      </c>
      <c r="E122">
        <v>0.21</v>
      </c>
      <c r="F122" t="s">
        <v>478</v>
      </c>
      <c r="G122">
        <v>100</v>
      </c>
      <c r="H122" t="s">
        <v>479</v>
      </c>
      <c r="I122">
        <v>5</v>
      </c>
      <c r="J122">
        <v>0.50345253019720215</v>
      </c>
      <c r="K122">
        <v>0</v>
      </c>
      <c r="L122">
        <v>0</v>
      </c>
      <c r="M122">
        <v>0</v>
      </c>
      <c r="O122">
        <v>200000</v>
      </c>
      <c r="R122" t="s">
        <v>162</v>
      </c>
      <c r="S122">
        <v>0</v>
      </c>
      <c r="T122">
        <v>1.0625999999999999E-3</v>
      </c>
      <c r="U122" t="s">
        <v>176</v>
      </c>
      <c r="V122">
        <v>7.3499999999999998E-3</v>
      </c>
      <c r="W122">
        <v>0.21841260000000001</v>
      </c>
      <c r="X122" t="s">
        <v>90</v>
      </c>
      <c r="Y122">
        <v>0</v>
      </c>
      <c r="Z122">
        <v>0</v>
      </c>
      <c r="AA122" t="s">
        <v>90</v>
      </c>
      <c r="AB122">
        <v>0</v>
      </c>
      <c r="AC122">
        <v>0.21841260000000001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Q122" t="s">
        <v>262</v>
      </c>
      <c r="AR122" t="s">
        <v>263</v>
      </c>
      <c r="AS122">
        <v>0.21</v>
      </c>
    </row>
    <row r="123" spans="1:45" x14ac:dyDescent="0.15">
      <c r="A123" s="4" t="str">
        <f>HYPERLINK("https://ibp.a2mac1.com/costing(costing:projects/details/9760/material/8752821)","PP-EPDM-TD20 adjusted (part)")</f>
        <v>PP-EPDM-TD20 adjusted (part)</v>
      </c>
      <c r="B123">
        <v>8752821</v>
      </c>
      <c r="C123">
        <v>12083954</v>
      </c>
      <c r="E123">
        <v>0.08</v>
      </c>
      <c r="F123" t="s">
        <v>478</v>
      </c>
      <c r="G123">
        <v>100</v>
      </c>
      <c r="H123" t="s">
        <v>479</v>
      </c>
      <c r="I123">
        <v>5</v>
      </c>
      <c r="J123">
        <v>0.50345253019720215</v>
      </c>
      <c r="K123">
        <v>0</v>
      </c>
      <c r="L123">
        <v>0</v>
      </c>
      <c r="M123">
        <v>0</v>
      </c>
      <c r="O123">
        <v>200000</v>
      </c>
      <c r="R123" t="s">
        <v>162</v>
      </c>
      <c r="S123">
        <v>0</v>
      </c>
      <c r="T123">
        <v>4.0479999999999997E-4</v>
      </c>
      <c r="U123" t="s">
        <v>176</v>
      </c>
      <c r="V123">
        <v>2.8E-3</v>
      </c>
      <c r="W123">
        <v>8.3204799999999995E-2</v>
      </c>
      <c r="X123" t="s">
        <v>90</v>
      </c>
      <c r="Y123">
        <v>0</v>
      </c>
      <c r="Z123">
        <v>0</v>
      </c>
      <c r="AA123" t="s">
        <v>90</v>
      </c>
      <c r="AB123">
        <v>0</v>
      </c>
      <c r="AC123">
        <v>8.3204799999999995E-2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Q123" t="s">
        <v>262</v>
      </c>
      <c r="AR123" t="s">
        <v>263</v>
      </c>
      <c r="AS123">
        <v>0.08</v>
      </c>
    </row>
    <row r="124" spans="1:45" x14ac:dyDescent="0.15">
      <c r="A124" s="4" t="str">
        <f>HYPERLINK("https://ibp.a2mac1.com/costing(costing:projects/details/9760/material/8752718)","Leather ")</f>
        <v xml:space="preserve">Leather </v>
      </c>
      <c r="B124">
        <v>8752718</v>
      </c>
      <c r="C124">
        <v>12083833</v>
      </c>
      <c r="E124">
        <v>14.76</v>
      </c>
      <c r="F124" t="s">
        <v>478</v>
      </c>
      <c r="G124">
        <v>100</v>
      </c>
      <c r="H124" t="s">
        <v>479</v>
      </c>
      <c r="I124">
        <v>0</v>
      </c>
      <c r="J124">
        <v>0.50345253019720215</v>
      </c>
      <c r="K124">
        <v>0</v>
      </c>
      <c r="L124">
        <v>0</v>
      </c>
      <c r="M124">
        <v>0</v>
      </c>
      <c r="O124">
        <v>200000</v>
      </c>
      <c r="R124" t="s">
        <v>162</v>
      </c>
      <c r="S124">
        <v>0</v>
      </c>
      <c r="T124">
        <v>7.4685600000000005E-2</v>
      </c>
      <c r="U124" t="s">
        <v>176</v>
      </c>
      <c r="V124">
        <v>0.51659999999999995</v>
      </c>
      <c r="W124">
        <v>15.351285600000001</v>
      </c>
      <c r="X124" t="s">
        <v>90</v>
      </c>
      <c r="Y124">
        <v>0</v>
      </c>
      <c r="Z124">
        <v>0</v>
      </c>
      <c r="AA124" t="s">
        <v>90</v>
      </c>
      <c r="AB124">
        <v>0</v>
      </c>
      <c r="AC124">
        <v>15.351285600000001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Q124" t="s">
        <v>9</v>
      </c>
      <c r="AR124" t="s">
        <v>263</v>
      </c>
      <c r="AS124">
        <v>14.76</v>
      </c>
    </row>
    <row r="125" spans="1:45" x14ac:dyDescent="0.15">
      <c r="A125" s="4" t="str">
        <f>HYPERLINK("https://ibp.a2mac1.com/costing(costing:projects/details/9760/material/8752719)","PUR adjusted (part)")</f>
        <v>PUR adjusted (part)</v>
      </c>
      <c r="B125">
        <v>8752719</v>
      </c>
      <c r="C125">
        <v>12083834</v>
      </c>
      <c r="E125">
        <v>2.85</v>
      </c>
      <c r="F125" t="s">
        <v>478</v>
      </c>
      <c r="G125">
        <v>100</v>
      </c>
      <c r="H125" t="s">
        <v>479</v>
      </c>
      <c r="I125">
        <v>5</v>
      </c>
      <c r="J125">
        <v>0.50345253019720215</v>
      </c>
      <c r="K125">
        <v>0</v>
      </c>
      <c r="L125">
        <v>0</v>
      </c>
      <c r="M125">
        <v>0</v>
      </c>
      <c r="O125">
        <v>200000</v>
      </c>
      <c r="R125" t="s">
        <v>162</v>
      </c>
      <c r="S125">
        <v>0</v>
      </c>
      <c r="T125">
        <v>1.4421E-2</v>
      </c>
      <c r="U125" t="s">
        <v>176</v>
      </c>
      <c r="V125">
        <v>9.9750000000000005E-2</v>
      </c>
      <c r="W125">
        <v>2.9641709999999999</v>
      </c>
      <c r="X125" t="s">
        <v>90</v>
      </c>
      <c r="Y125">
        <v>0</v>
      </c>
      <c r="Z125">
        <v>0</v>
      </c>
      <c r="AA125" t="s">
        <v>90</v>
      </c>
      <c r="AB125">
        <v>0</v>
      </c>
      <c r="AC125">
        <v>2.9641709999999999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Q125" t="s">
        <v>262</v>
      </c>
      <c r="AR125" t="s">
        <v>263</v>
      </c>
      <c r="AS125">
        <v>2.85</v>
      </c>
    </row>
    <row r="126" spans="1:45" x14ac:dyDescent="0.15">
      <c r="A126" s="4" t="str">
        <f>HYPERLINK("https://ibp.a2mac1.com/costing(costing:projects/details/9760/material/8752720)","PUR adjusted (part)")</f>
        <v>PUR adjusted (part)</v>
      </c>
      <c r="B126">
        <v>8752720</v>
      </c>
      <c r="C126">
        <v>12083835</v>
      </c>
      <c r="E126">
        <v>0.21</v>
      </c>
      <c r="F126" t="s">
        <v>478</v>
      </c>
      <c r="G126">
        <v>100</v>
      </c>
      <c r="H126" t="s">
        <v>479</v>
      </c>
      <c r="I126">
        <v>5</v>
      </c>
      <c r="J126">
        <v>0.50345253019720215</v>
      </c>
      <c r="K126">
        <v>0</v>
      </c>
      <c r="L126">
        <v>0</v>
      </c>
      <c r="M126">
        <v>0</v>
      </c>
      <c r="O126">
        <v>200000</v>
      </c>
      <c r="R126" t="s">
        <v>162</v>
      </c>
      <c r="S126">
        <v>0</v>
      </c>
      <c r="T126">
        <v>1.0625999999999999E-3</v>
      </c>
      <c r="U126" t="s">
        <v>176</v>
      </c>
      <c r="V126">
        <v>7.3499999999999998E-3</v>
      </c>
      <c r="W126">
        <v>0.21841260000000001</v>
      </c>
      <c r="X126" t="s">
        <v>90</v>
      </c>
      <c r="Y126">
        <v>0</v>
      </c>
      <c r="Z126">
        <v>0</v>
      </c>
      <c r="AA126" t="s">
        <v>90</v>
      </c>
      <c r="AB126">
        <v>0</v>
      </c>
      <c r="AC126">
        <v>0.21841260000000001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Q126" t="s">
        <v>262</v>
      </c>
      <c r="AR126" t="s">
        <v>263</v>
      </c>
      <c r="AS126">
        <v>0.21</v>
      </c>
    </row>
    <row r="127" spans="1:45" x14ac:dyDescent="0.15">
      <c r="A127" s="4" t="str">
        <f>HYPERLINK("https://ibp.a2mac1.com/costing(costing:projects/details/9760/material/8752721)","Steel sheet (default) adjusted (part)")</f>
        <v>Steel sheet (default) adjusted (part)</v>
      </c>
      <c r="B127">
        <v>8752721</v>
      </c>
      <c r="C127">
        <v>12083836</v>
      </c>
      <c r="E127">
        <v>4.41</v>
      </c>
      <c r="F127" t="s">
        <v>478</v>
      </c>
      <c r="G127">
        <v>100</v>
      </c>
      <c r="H127" t="s">
        <v>479</v>
      </c>
      <c r="I127">
        <v>30</v>
      </c>
      <c r="J127">
        <v>0.50345253019720215</v>
      </c>
      <c r="K127">
        <v>0</v>
      </c>
      <c r="L127">
        <v>0</v>
      </c>
      <c r="M127">
        <v>0</v>
      </c>
      <c r="O127">
        <v>200000</v>
      </c>
      <c r="R127" t="s">
        <v>162</v>
      </c>
      <c r="S127">
        <v>0</v>
      </c>
      <c r="T127">
        <v>2.23146E-2</v>
      </c>
      <c r="U127" t="s">
        <v>176</v>
      </c>
      <c r="V127">
        <v>0.15434999999999999</v>
      </c>
      <c r="W127">
        <v>4.5866645999999998</v>
      </c>
      <c r="X127" t="s">
        <v>90</v>
      </c>
      <c r="Y127">
        <v>0</v>
      </c>
      <c r="Z127">
        <v>0</v>
      </c>
      <c r="AA127" t="s">
        <v>90</v>
      </c>
      <c r="AB127">
        <v>0</v>
      </c>
      <c r="AC127">
        <v>4.5866645999999998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Q127" t="s">
        <v>262</v>
      </c>
      <c r="AR127" t="s">
        <v>263</v>
      </c>
      <c r="AS127">
        <v>4.41</v>
      </c>
    </row>
    <row r="128" spans="1:45" x14ac:dyDescent="0.15">
      <c r="A128" s="4" t="str">
        <f>HYPERLINK("https://ibp.a2mac1.com/costing(costing:projects/details/9760/material/8752722)","Steel sheet (default) adjusted (part)")</f>
        <v>Steel sheet (default) adjusted (part)</v>
      </c>
      <c r="B128">
        <v>8752722</v>
      </c>
      <c r="C128">
        <v>12083837</v>
      </c>
      <c r="E128">
        <v>1.28</v>
      </c>
      <c r="F128" t="s">
        <v>478</v>
      </c>
      <c r="G128">
        <v>100</v>
      </c>
      <c r="H128" t="s">
        <v>479</v>
      </c>
      <c r="I128">
        <v>30</v>
      </c>
      <c r="J128">
        <v>0.50345253019720215</v>
      </c>
      <c r="K128">
        <v>0</v>
      </c>
      <c r="L128">
        <v>0</v>
      </c>
      <c r="M128">
        <v>0</v>
      </c>
      <c r="O128">
        <v>200000</v>
      </c>
      <c r="R128" t="s">
        <v>162</v>
      </c>
      <c r="S128">
        <v>0</v>
      </c>
      <c r="T128">
        <v>6.4767999999999996E-3</v>
      </c>
      <c r="U128" t="s">
        <v>176</v>
      </c>
      <c r="V128">
        <v>4.48E-2</v>
      </c>
      <c r="W128">
        <v>1.3312767999999999</v>
      </c>
      <c r="X128" t="s">
        <v>90</v>
      </c>
      <c r="Y128">
        <v>0</v>
      </c>
      <c r="Z128">
        <v>0</v>
      </c>
      <c r="AA128" t="s">
        <v>90</v>
      </c>
      <c r="AB128">
        <v>0</v>
      </c>
      <c r="AC128">
        <v>1.3312767999999999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Q128" t="s">
        <v>262</v>
      </c>
      <c r="AR128" t="s">
        <v>263</v>
      </c>
      <c r="AS128">
        <v>1.28</v>
      </c>
    </row>
    <row r="129" spans="1:45" x14ac:dyDescent="0.15">
      <c r="A129" s="4" t="str">
        <f>HYPERLINK("https://ibp.a2mac1.com/costing(costing:projects/details/9760/material/8752723)","POM adjusted (part)")</f>
        <v>POM adjusted (part)</v>
      </c>
      <c r="B129">
        <v>8752723</v>
      </c>
      <c r="C129">
        <v>12083838</v>
      </c>
      <c r="E129">
        <v>0.08</v>
      </c>
      <c r="F129" t="s">
        <v>478</v>
      </c>
      <c r="G129">
        <v>100</v>
      </c>
      <c r="H129" t="s">
        <v>479</v>
      </c>
      <c r="I129">
        <v>5</v>
      </c>
      <c r="J129">
        <v>0.50048257265952256</v>
      </c>
      <c r="K129">
        <v>0</v>
      </c>
      <c r="L129">
        <v>0</v>
      </c>
      <c r="M129">
        <v>0</v>
      </c>
      <c r="O129">
        <v>400000</v>
      </c>
      <c r="R129" t="s">
        <v>162</v>
      </c>
      <c r="S129">
        <v>0</v>
      </c>
      <c r="T129">
        <v>4.0240000000000002E-4</v>
      </c>
      <c r="U129" t="s">
        <v>176</v>
      </c>
      <c r="V129">
        <v>2.8E-3</v>
      </c>
      <c r="W129">
        <v>8.3202399999999996E-2</v>
      </c>
      <c r="X129" t="s">
        <v>90</v>
      </c>
      <c r="Y129">
        <v>0</v>
      </c>
      <c r="Z129">
        <v>0</v>
      </c>
      <c r="AA129" t="s">
        <v>90</v>
      </c>
      <c r="AB129">
        <v>0</v>
      </c>
      <c r="AC129">
        <v>8.3202399999999996E-2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Q129" t="s">
        <v>262</v>
      </c>
      <c r="AR129" t="s">
        <v>263</v>
      </c>
      <c r="AS129">
        <v>0.08</v>
      </c>
    </row>
    <row r="130" spans="1:45" x14ac:dyDescent="0.15">
      <c r="A130" s="4" t="str">
        <f>HYPERLINK("https://ibp.a2mac1.com/costing(costing:projects/details/9760/material/8752822)","PA66 VMQ (airbag) adjusted (part)")</f>
        <v>PA66 VMQ (airbag) adjusted (part)</v>
      </c>
      <c r="B130">
        <v>8752822</v>
      </c>
      <c r="C130">
        <v>12083955</v>
      </c>
      <c r="E130">
        <v>20</v>
      </c>
      <c r="F130" t="s">
        <v>478</v>
      </c>
      <c r="G130">
        <v>100</v>
      </c>
      <c r="H130" t="s">
        <v>479</v>
      </c>
      <c r="I130">
        <v>0</v>
      </c>
      <c r="J130">
        <v>0.50345253019720215</v>
      </c>
      <c r="K130">
        <v>0</v>
      </c>
      <c r="L130">
        <v>0</v>
      </c>
      <c r="M130">
        <v>0</v>
      </c>
      <c r="O130">
        <v>200000</v>
      </c>
      <c r="R130" t="s">
        <v>162</v>
      </c>
      <c r="S130">
        <v>0</v>
      </c>
      <c r="T130">
        <v>0.1012</v>
      </c>
      <c r="U130" t="s">
        <v>176</v>
      </c>
      <c r="V130">
        <v>0.7</v>
      </c>
      <c r="W130">
        <v>20.801200000000001</v>
      </c>
      <c r="X130" t="s">
        <v>90</v>
      </c>
      <c r="Y130">
        <v>0</v>
      </c>
      <c r="Z130">
        <v>0</v>
      </c>
      <c r="AA130" t="s">
        <v>90</v>
      </c>
      <c r="AB130">
        <v>0</v>
      </c>
      <c r="AC130">
        <v>20.801200000000001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Q130" t="s">
        <v>262</v>
      </c>
      <c r="AR130" t="s">
        <v>263</v>
      </c>
      <c r="AS130">
        <v>20</v>
      </c>
    </row>
    <row r="131" spans="1:45" x14ac:dyDescent="0.15">
      <c r="A131" s="4" t="str">
        <f>HYPERLINK("https://ibp.a2mac1.com/costing(costing:projects/details/9760/material/8752823)","PA66 VMQ (airbag) adjusted (part)")</f>
        <v>PA66 VMQ (airbag) adjusted (part)</v>
      </c>
      <c r="B131">
        <v>8752823</v>
      </c>
      <c r="C131">
        <v>12083956</v>
      </c>
      <c r="E131">
        <v>20</v>
      </c>
      <c r="F131" t="s">
        <v>478</v>
      </c>
      <c r="G131">
        <v>100</v>
      </c>
      <c r="H131" t="s">
        <v>479</v>
      </c>
      <c r="I131">
        <v>0</v>
      </c>
      <c r="J131">
        <v>0.50345253019720215</v>
      </c>
      <c r="K131">
        <v>0</v>
      </c>
      <c r="L131">
        <v>0</v>
      </c>
      <c r="M131">
        <v>0</v>
      </c>
      <c r="O131">
        <v>200000</v>
      </c>
      <c r="R131" t="s">
        <v>162</v>
      </c>
      <c r="S131">
        <v>0</v>
      </c>
      <c r="T131">
        <v>0.1012</v>
      </c>
      <c r="U131" t="s">
        <v>176</v>
      </c>
      <c r="V131">
        <v>0.7</v>
      </c>
      <c r="W131">
        <v>20.801200000000001</v>
      </c>
      <c r="X131" t="s">
        <v>90</v>
      </c>
      <c r="Y131">
        <v>0</v>
      </c>
      <c r="Z131">
        <v>0</v>
      </c>
      <c r="AA131" t="s">
        <v>90</v>
      </c>
      <c r="AB131">
        <v>0</v>
      </c>
      <c r="AC131">
        <v>20.801200000000001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Q131" t="s">
        <v>262</v>
      </c>
      <c r="AR131" t="s">
        <v>263</v>
      </c>
      <c r="AS131">
        <v>20</v>
      </c>
    </row>
    <row r="132" spans="1:45" x14ac:dyDescent="0.15">
      <c r="A132" s="4" t="str">
        <f>HYPERLINK("https://ibp.a2mac1.com/costing(costing:projects/details/9760/material/8752890)","Steel sheet (default) adjusted (part)")</f>
        <v>Steel sheet (default) adjusted (part)</v>
      </c>
      <c r="B132">
        <v>8752890</v>
      </c>
      <c r="C132">
        <v>12084008</v>
      </c>
      <c r="E132">
        <v>2.2999999999999998</v>
      </c>
      <c r="F132" t="s">
        <v>478</v>
      </c>
      <c r="G132">
        <v>100</v>
      </c>
      <c r="H132" t="s">
        <v>479</v>
      </c>
      <c r="I132">
        <v>30</v>
      </c>
      <c r="J132">
        <v>0.50345253019720215</v>
      </c>
      <c r="K132">
        <v>0</v>
      </c>
      <c r="L132">
        <v>0</v>
      </c>
      <c r="M132">
        <v>0</v>
      </c>
      <c r="O132">
        <v>200000</v>
      </c>
      <c r="R132" t="s">
        <v>162</v>
      </c>
      <c r="S132">
        <v>0</v>
      </c>
      <c r="T132">
        <v>1.1638000000000001E-2</v>
      </c>
      <c r="U132" t="s">
        <v>176</v>
      </c>
      <c r="V132">
        <v>8.0500000000000002E-2</v>
      </c>
      <c r="W132">
        <v>2.3921380000000001</v>
      </c>
      <c r="X132" t="s">
        <v>90</v>
      </c>
      <c r="Y132">
        <v>0</v>
      </c>
      <c r="Z132">
        <v>0</v>
      </c>
      <c r="AA132" t="s">
        <v>90</v>
      </c>
      <c r="AB132">
        <v>0</v>
      </c>
      <c r="AC132">
        <v>2.3921380000000001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Q132" t="s">
        <v>262</v>
      </c>
      <c r="AR132" t="s">
        <v>263</v>
      </c>
      <c r="AS132">
        <v>2.2999999999999998</v>
      </c>
    </row>
    <row r="133" spans="1:45" x14ac:dyDescent="0.15">
      <c r="A133" s="4" t="str">
        <f>HYPERLINK("https://ibp.a2mac1.com/costing(costing:projects/details/9760/material/8752891)","Steel sheet (default) adjusted (part)")</f>
        <v>Steel sheet (default) adjusted (part)</v>
      </c>
      <c r="B133">
        <v>8752891</v>
      </c>
      <c r="C133">
        <v>12084009</v>
      </c>
      <c r="E133">
        <v>2.2999999999999998</v>
      </c>
      <c r="F133" t="s">
        <v>478</v>
      </c>
      <c r="G133">
        <v>100</v>
      </c>
      <c r="H133" t="s">
        <v>479</v>
      </c>
      <c r="I133">
        <v>30</v>
      </c>
      <c r="J133">
        <v>0.50345253019720215</v>
      </c>
      <c r="K133">
        <v>0</v>
      </c>
      <c r="L133">
        <v>0</v>
      </c>
      <c r="M133">
        <v>0</v>
      </c>
      <c r="O133">
        <v>200000</v>
      </c>
      <c r="R133" t="s">
        <v>162</v>
      </c>
      <c r="S133">
        <v>0</v>
      </c>
      <c r="T133">
        <v>1.1638000000000001E-2</v>
      </c>
      <c r="U133" t="s">
        <v>176</v>
      </c>
      <c r="V133">
        <v>8.0500000000000002E-2</v>
      </c>
      <c r="W133">
        <v>2.3921380000000001</v>
      </c>
      <c r="X133" t="s">
        <v>90</v>
      </c>
      <c r="Y133">
        <v>0</v>
      </c>
      <c r="Z133">
        <v>0</v>
      </c>
      <c r="AA133" t="s">
        <v>90</v>
      </c>
      <c r="AB133">
        <v>0</v>
      </c>
      <c r="AC133">
        <v>2.3921380000000001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Q133" t="s">
        <v>262</v>
      </c>
      <c r="AR133" t="s">
        <v>263</v>
      </c>
      <c r="AS133">
        <v>2.2999999999999998</v>
      </c>
    </row>
    <row r="134" spans="1:45" x14ac:dyDescent="0.15">
      <c r="A134" s="4" t="str">
        <f>HYPERLINK("https://ibp.a2mac1.com/costing(costing:projects/details/9760/material/8752824)","PP-GF30 adjusted (part)")</f>
        <v>PP-GF30 adjusted (part)</v>
      </c>
      <c r="B134">
        <v>8752824</v>
      </c>
      <c r="C134">
        <v>12083957</v>
      </c>
      <c r="E134">
        <v>0.25</v>
      </c>
      <c r="F134" t="s">
        <v>478</v>
      </c>
      <c r="G134">
        <v>100</v>
      </c>
      <c r="H134" t="s">
        <v>479</v>
      </c>
      <c r="I134">
        <v>30</v>
      </c>
      <c r="J134">
        <v>0.50345253019720215</v>
      </c>
      <c r="K134">
        <v>0</v>
      </c>
      <c r="L134">
        <v>0</v>
      </c>
      <c r="M134">
        <v>0</v>
      </c>
      <c r="O134">
        <v>200000</v>
      </c>
      <c r="R134" t="s">
        <v>162</v>
      </c>
      <c r="S134">
        <v>0</v>
      </c>
      <c r="T134">
        <v>1.2650000000000001E-3</v>
      </c>
      <c r="U134" t="s">
        <v>176</v>
      </c>
      <c r="V134">
        <v>8.7500000000000008E-3</v>
      </c>
      <c r="W134">
        <v>0.260015</v>
      </c>
      <c r="X134" t="s">
        <v>90</v>
      </c>
      <c r="Y134">
        <v>0</v>
      </c>
      <c r="Z134">
        <v>0</v>
      </c>
      <c r="AA134" t="s">
        <v>90</v>
      </c>
      <c r="AB134">
        <v>0</v>
      </c>
      <c r="AC134">
        <v>0.260015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Q134" t="s">
        <v>262</v>
      </c>
      <c r="AR134" t="s">
        <v>263</v>
      </c>
      <c r="AS134">
        <v>0.25</v>
      </c>
    </row>
    <row r="135" spans="1:45" x14ac:dyDescent="0.15">
      <c r="A135" s="4" t="str">
        <f>HYPERLINK("https://ibp.a2mac1.com/costing(costing:projects/details/9760/material/8752825)","PC-ABS adjusted (part)")</f>
        <v>PC-ABS adjusted (part)</v>
      </c>
      <c r="B135">
        <v>8752825</v>
      </c>
      <c r="C135">
        <v>12083958</v>
      </c>
      <c r="E135">
        <v>0.02</v>
      </c>
      <c r="F135" t="s">
        <v>478</v>
      </c>
      <c r="G135">
        <v>100</v>
      </c>
      <c r="H135" t="s">
        <v>479</v>
      </c>
      <c r="I135">
        <v>5</v>
      </c>
      <c r="J135">
        <v>0.50345253019720215</v>
      </c>
      <c r="K135">
        <v>0</v>
      </c>
      <c r="L135">
        <v>0</v>
      </c>
      <c r="M135">
        <v>0</v>
      </c>
      <c r="O135">
        <v>200000</v>
      </c>
      <c r="R135" t="s">
        <v>162</v>
      </c>
      <c r="S135">
        <v>0</v>
      </c>
      <c r="T135">
        <v>1.0119999999999999E-4</v>
      </c>
      <c r="U135" t="s">
        <v>176</v>
      </c>
      <c r="V135">
        <v>6.9999999999999999E-4</v>
      </c>
      <c r="W135">
        <v>2.0801199999999999E-2</v>
      </c>
      <c r="X135" t="s">
        <v>90</v>
      </c>
      <c r="Y135">
        <v>0</v>
      </c>
      <c r="Z135">
        <v>0</v>
      </c>
      <c r="AA135" t="s">
        <v>90</v>
      </c>
      <c r="AB135">
        <v>0</v>
      </c>
      <c r="AC135">
        <v>2.0801199999999999E-2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Q135" t="s">
        <v>262</v>
      </c>
      <c r="AR135" t="s">
        <v>263</v>
      </c>
      <c r="AS135">
        <v>0.02</v>
      </c>
    </row>
    <row r="136" spans="1:45" x14ac:dyDescent="0.15">
      <c r="A136" s="4" t="str">
        <f>HYPERLINK("https://ibp.a2mac1.com/costing(costing:projects/details/9760/material/8752892)","Steel sheet (default) adjusted (part)")</f>
        <v>Steel sheet (default) adjusted (part)</v>
      </c>
      <c r="B136">
        <v>8752892</v>
      </c>
      <c r="C136">
        <v>12084010</v>
      </c>
      <c r="E136">
        <v>0.1235</v>
      </c>
      <c r="F136" t="s">
        <v>478</v>
      </c>
      <c r="G136">
        <v>100</v>
      </c>
      <c r="H136" t="s">
        <v>479</v>
      </c>
      <c r="I136">
        <v>30</v>
      </c>
      <c r="J136">
        <v>0.50345253019720215</v>
      </c>
      <c r="K136">
        <v>0</v>
      </c>
      <c r="L136">
        <v>0</v>
      </c>
      <c r="M136">
        <v>0</v>
      </c>
      <c r="O136">
        <v>200000</v>
      </c>
      <c r="R136" t="s">
        <v>162</v>
      </c>
      <c r="S136">
        <v>0</v>
      </c>
      <c r="T136">
        <v>6.2491000000000001E-4</v>
      </c>
      <c r="U136" t="s">
        <v>176</v>
      </c>
      <c r="V136">
        <v>4.3225E-3</v>
      </c>
      <c r="W136">
        <v>0.12844741000000001</v>
      </c>
      <c r="X136" t="s">
        <v>90</v>
      </c>
      <c r="Y136">
        <v>0</v>
      </c>
      <c r="Z136">
        <v>0</v>
      </c>
      <c r="AA136" t="s">
        <v>90</v>
      </c>
      <c r="AB136">
        <v>0</v>
      </c>
      <c r="AC136">
        <v>0.12844741000000001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Q136" t="s">
        <v>262</v>
      </c>
      <c r="AR136" t="s">
        <v>263</v>
      </c>
      <c r="AS136">
        <v>0.1235</v>
      </c>
    </row>
    <row r="137" spans="1:45" x14ac:dyDescent="0.15">
      <c r="A137" s="4" t="str">
        <f>HYPERLINK("https://ibp.a2mac1.com/costing(costing:projects/details/9760/material/8752893)","Steel sheet (default) adjusted (part)")</f>
        <v>Steel sheet (default) adjusted (part)</v>
      </c>
      <c r="B137">
        <v>8752893</v>
      </c>
      <c r="C137">
        <v>12084011</v>
      </c>
      <c r="E137">
        <v>0.53337000000000001</v>
      </c>
      <c r="F137" t="s">
        <v>478</v>
      </c>
      <c r="G137">
        <v>100</v>
      </c>
      <c r="H137" t="s">
        <v>479</v>
      </c>
      <c r="I137">
        <v>30</v>
      </c>
      <c r="J137">
        <v>0.50345253019720215</v>
      </c>
      <c r="K137">
        <v>0</v>
      </c>
      <c r="L137">
        <v>0</v>
      </c>
      <c r="M137">
        <v>0</v>
      </c>
      <c r="O137">
        <v>200000</v>
      </c>
      <c r="R137" t="s">
        <v>162</v>
      </c>
      <c r="S137">
        <v>0</v>
      </c>
      <c r="T137">
        <v>2.6988521999999999E-3</v>
      </c>
      <c r="U137" t="s">
        <v>176</v>
      </c>
      <c r="V137">
        <v>1.8667949999999999E-2</v>
      </c>
      <c r="W137">
        <v>0.55473680219999999</v>
      </c>
      <c r="X137" t="s">
        <v>90</v>
      </c>
      <c r="Y137">
        <v>0</v>
      </c>
      <c r="Z137">
        <v>0</v>
      </c>
      <c r="AA137" t="s">
        <v>90</v>
      </c>
      <c r="AB137">
        <v>0</v>
      </c>
      <c r="AC137">
        <v>0.55473680219999999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Q137" t="s">
        <v>262</v>
      </c>
      <c r="AR137" t="s">
        <v>263</v>
      </c>
      <c r="AS137">
        <v>0.53337000000000001</v>
      </c>
    </row>
    <row r="138" spans="1:45" x14ac:dyDescent="0.15">
      <c r="A138" s="4" t="str">
        <f>HYPERLINK("https://ibp.a2mac1.com/costing(costing:projects/details/9760/material/8752842)","PC-ABS adjusted (part)")</f>
        <v>PC-ABS adjusted (part)</v>
      </c>
      <c r="B138">
        <v>8752842</v>
      </c>
      <c r="C138">
        <v>12083959</v>
      </c>
      <c r="E138">
        <v>0.02</v>
      </c>
      <c r="F138" t="s">
        <v>478</v>
      </c>
      <c r="G138">
        <v>100</v>
      </c>
      <c r="H138" t="s">
        <v>479</v>
      </c>
      <c r="I138">
        <v>5</v>
      </c>
      <c r="J138">
        <v>0.50345253019720215</v>
      </c>
      <c r="K138">
        <v>0</v>
      </c>
      <c r="L138">
        <v>0</v>
      </c>
      <c r="M138">
        <v>0</v>
      </c>
      <c r="O138">
        <v>200000</v>
      </c>
      <c r="R138" t="s">
        <v>162</v>
      </c>
      <c r="S138">
        <v>0</v>
      </c>
      <c r="T138">
        <v>1.0119999999999999E-4</v>
      </c>
      <c r="U138" t="s">
        <v>176</v>
      </c>
      <c r="V138">
        <v>6.9999999999999999E-4</v>
      </c>
      <c r="W138">
        <v>2.0801199999999999E-2</v>
      </c>
      <c r="X138" t="s">
        <v>90</v>
      </c>
      <c r="Y138">
        <v>0</v>
      </c>
      <c r="Z138">
        <v>0</v>
      </c>
      <c r="AA138" t="s">
        <v>90</v>
      </c>
      <c r="AB138">
        <v>0</v>
      </c>
      <c r="AC138">
        <v>2.0801199999999999E-2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Q138" t="s">
        <v>262</v>
      </c>
      <c r="AR138" t="s">
        <v>263</v>
      </c>
      <c r="AS138">
        <v>0.02</v>
      </c>
    </row>
    <row r="139" spans="1:45" x14ac:dyDescent="0.15">
      <c r="A139" s="4" t="str">
        <f>HYPERLINK("https://ibp.a2mac1.com/costing(costing:projects/details/9760/material/8752894)","PLASTIC UNKNOWN")</f>
        <v>PLASTIC UNKNOWN</v>
      </c>
      <c r="B139">
        <v>8752894</v>
      </c>
      <c r="C139">
        <v>12084012</v>
      </c>
      <c r="E139">
        <v>0.09</v>
      </c>
      <c r="F139" t="s">
        <v>478</v>
      </c>
      <c r="G139">
        <v>100</v>
      </c>
      <c r="H139" t="s">
        <v>479</v>
      </c>
      <c r="I139">
        <v>0</v>
      </c>
      <c r="J139">
        <v>0.50345253019720215</v>
      </c>
      <c r="K139">
        <v>0</v>
      </c>
      <c r="L139">
        <v>0</v>
      </c>
      <c r="M139">
        <v>0</v>
      </c>
      <c r="O139">
        <v>200000</v>
      </c>
      <c r="R139" t="s">
        <v>162</v>
      </c>
      <c r="S139">
        <v>0</v>
      </c>
      <c r="T139">
        <v>4.5540000000000001E-4</v>
      </c>
      <c r="U139" t="s">
        <v>176</v>
      </c>
      <c r="V139">
        <v>3.15E-3</v>
      </c>
      <c r="W139">
        <v>9.3605400000000005E-2</v>
      </c>
      <c r="X139" t="s">
        <v>90</v>
      </c>
      <c r="Y139">
        <v>0</v>
      </c>
      <c r="Z139">
        <v>0</v>
      </c>
      <c r="AA139" t="s">
        <v>90</v>
      </c>
      <c r="AB139">
        <v>0</v>
      </c>
      <c r="AC139">
        <v>9.3605400000000005E-2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Q139" t="s">
        <v>9</v>
      </c>
      <c r="AR139" t="s">
        <v>263</v>
      </c>
      <c r="AS139">
        <v>0.09</v>
      </c>
    </row>
    <row r="140" spans="1:45" x14ac:dyDescent="0.15">
      <c r="A140" s="4" t="str">
        <f>HYPERLINK("https://ibp.a2mac1.com/costing(costing:projects/details/9760/material/8752895)","PUR + PET")</f>
        <v>PUR + PET</v>
      </c>
      <c r="B140">
        <v>8752895</v>
      </c>
      <c r="C140">
        <v>12084013</v>
      </c>
      <c r="E140">
        <v>7.0000000000000007E-2</v>
      </c>
      <c r="F140" t="s">
        <v>478</v>
      </c>
      <c r="G140">
        <v>100</v>
      </c>
      <c r="H140" t="s">
        <v>479</v>
      </c>
      <c r="I140">
        <v>0</v>
      </c>
      <c r="J140">
        <v>0.50345253019720215</v>
      </c>
      <c r="K140">
        <v>0</v>
      </c>
      <c r="L140">
        <v>0</v>
      </c>
      <c r="M140">
        <v>0</v>
      </c>
      <c r="O140">
        <v>200000</v>
      </c>
      <c r="R140" t="s">
        <v>162</v>
      </c>
      <c r="S140">
        <v>0</v>
      </c>
      <c r="T140">
        <v>3.5419999999999999E-4</v>
      </c>
      <c r="U140" t="s">
        <v>176</v>
      </c>
      <c r="V140">
        <v>2.4499999999999999E-3</v>
      </c>
      <c r="W140">
        <v>7.2804199999999999E-2</v>
      </c>
      <c r="X140" t="s">
        <v>90</v>
      </c>
      <c r="Y140">
        <v>0</v>
      </c>
      <c r="Z140">
        <v>0</v>
      </c>
      <c r="AA140" t="s">
        <v>90</v>
      </c>
      <c r="AB140">
        <v>0</v>
      </c>
      <c r="AC140">
        <v>7.2804199999999999E-2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Q140" t="s">
        <v>9</v>
      </c>
      <c r="AR140" t="s">
        <v>263</v>
      </c>
      <c r="AS140">
        <v>7.0000000000000007E-2</v>
      </c>
    </row>
    <row r="141" spans="1:45" x14ac:dyDescent="0.15">
      <c r="A141" s="4" t="str">
        <f>HYPERLINK("https://ibp.a2mac1.com/costing(costing:projects/details/9760/material/8752843)","PET adjusted (part)")</f>
        <v>PET adjusted (part)</v>
      </c>
      <c r="B141">
        <v>8752843</v>
      </c>
      <c r="C141">
        <v>12083961</v>
      </c>
      <c r="E141">
        <v>0.04</v>
      </c>
      <c r="F141" t="s">
        <v>478</v>
      </c>
      <c r="G141">
        <v>100</v>
      </c>
      <c r="H141" t="s">
        <v>479</v>
      </c>
      <c r="I141">
        <v>5</v>
      </c>
      <c r="J141">
        <v>0.50345253019720215</v>
      </c>
      <c r="K141">
        <v>0</v>
      </c>
      <c r="L141">
        <v>0</v>
      </c>
      <c r="M141">
        <v>0</v>
      </c>
      <c r="O141">
        <v>200000</v>
      </c>
      <c r="R141" t="s">
        <v>162</v>
      </c>
      <c r="S141">
        <v>0</v>
      </c>
      <c r="T141">
        <v>2.0239999999999999E-4</v>
      </c>
      <c r="U141" t="s">
        <v>176</v>
      </c>
      <c r="V141">
        <v>1.4E-3</v>
      </c>
      <c r="W141">
        <v>4.1602399999999998E-2</v>
      </c>
      <c r="X141" t="s">
        <v>90</v>
      </c>
      <c r="Y141">
        <v>0</v>
      </c>
      <c r="Z141">
        <v>0</v>
      </c>
      <c r="AA141" t="s">
        <v>90</v>
      </c>
      <c r="AB141">
        <v>0</v>
      </c>
      <c r="AC141">
        <v>4.1602399999999998E-2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Q141" t="s">
        <v>262</v>
      </c>
      <c r="AR141" t="s">
        <v>263</v>
      </c>
      <c r="AS141">
        <v>0.04</v>
      </c>
    </row>
    <row r="142" spans="1:45" x14ac:dyDescent="0.15">
      <c r="A142" s="4" t="str">
        <f>HYPERLINK("https://ibp.a2mac1.com/costing(costing:projects/details/9760/material/8752844)","PA66 adjusted (part)")</f>
        <v>PA66 adjusted (part)</v>
      </c>
      <c r="B142">
        <v>8752844</v>
      </c>
      <c r="C142">
        <v>12083962</v>
      </c>
      <c r="E142">
        <v>0.57999999999999996</v>
      </c>
      <c r="F142" t="s">
        <v>478</v>
      </c>
      <c r="G142">
        <v>100</v>
      </c>
      <c r="H142" t="s">
        <v>479</v>
      </c>
      <c r="I142">
        <v>5</v>
      </c>
      <c r="J142">
        <v>0.50048257265952256</v>
      </c>
      <c r="K142">
        <v>0</v>
      </c>
      <c r="L142">
        <v>0</v>
      </c>
      <c r="M142">
        <v>0</v>
      </c>
      <c r="O142">
        <v>400000</v>
      </c>
      <c r="R142" t="s">
        <v>162</v>
      </c>
      <c r="S142">
        <v>0</v>
      </c>
      <c r="T142">
        <v>2.9174000000000001E-3</v>
      </c>
      <c r="U142" t="s">
        <v>176</v>
      </c>
      <c r="V142">
        <v>2.0299999999999999E-2</v>
      </c>
      <c r="W142">
        <v>0.60321740000000001</v>
      </c>
      <c r="X142" t="s">
        <v>90</v>
      </c>
      <c r="Y142">
        <v>0</v>
      </c>
      <c r="Z142">
        <v>0</v>
      </c>
      <c r="AA142" t="s">
        <v>90</v>
      </c>
      <c r="AB142">
        <v>0</v>
      </c>
      <c r="AC142">
        <v>0.60321740000000001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Q142" t="s">
        <v>262</v>
      </c>
      <c r="AR142" t="s">
        <v>263</v>
      </c>
      <c r="AS142">
        <v>0.57999999999999996</v>
      </c>
    </row>
    <row r="143" spans="1:45" x14ac:dyDescent="0.15">
      <c r="A143" s="4" t="str">
        <f>HYPERLINK("https://ibp.a2mac1.com/costing(costing:projects/details/9760/material/8752845)","PET adjusted (part)")</f>
        <v>PET adjusted (part)</v>
      </c>
      <c r="B143">
        <v>8752845</v>
      </c>
      <c r="C143">
        <v>12083963</v>
      </c>
      <c r="E143">
        <v>0.05</v>
      </c>
      <c r="F143" t="s">
        <v>478</v>
      </c>
      <c r="G143">
        <v>100</v>
      </c>
      <c r="H143" t="s">
        <v>479</v>
      </c>
      <c r="I143">
        <v>5</v>
      </c>
      <c r="J143">
        <v>0.50048257265952256</v>
      </c>
      <c r="K143">
        <v>0</v>
      </c>
      <c r="L143">
        <v>0</v>
      </c>
      <c r="M143">
        <v>0</v>
      </c>
      <c r="O143">
        <v>400000</v>
      </c>
      <c r="R143" t="s">
        <v>162</v>
      </c>
      <c r="S143">
        <v>0</v>
      </c>
      <c r="T143">
        <v>2.5149999999999999E-4</v>
      </c>
      <c r="U143" t="s">
        <v>176</v>
      </c>
      <c r="V143">
        <v>1.75E-3</v>
      </c>
      <c r="W143">
        <v>5.2001499999999999E-2</v>
      </c>
      <c r="X143" t="s">
        <v>90</v>
      </c>
      <c r="Y143">
        <v>0</v>
      </c>
      <c r="Z143">
        <v>0</v>
      </c>
      <c r="AA143" t="s">
        <v>90</v>
      </c>
      <c r="AB143">
        <v>0</v>
      </c>
      <c r="AC143">
        <v>5.2001499999999999E-2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Q143" t="s">
        <v>262</v>
      </c>
      <c r="AR143" t="s">
        <v>263</v>
      </c>
      <c r="AS143">
        <v>0.05</v>
      </c>
    </row>
    <row r="144" spans="1:45" x14ac:dyDescent="0.15">
      <c r="A144" s="4" t="str">
        <f>HYPERLINK("https://ibp.a2mac1.com/costing(costing:projects/details/9760/material/8752724)","PP-EPDM-TD20 adjusted (part)")</f>
        <v>PP-EPDM-TD20 adjusted (part)</v>
      </c>
      <c r="B144">
        <v>8752724</v>
      </c>
      <c r="C144">
        <v>12083841</v>
      </c>
      <c r="E144">
        <v>0.08</v>
      </c>
      <c r="F144" t="s">
        <v>478</v>
      </c>
      <c r="G144">
        <v>100</v>
      </c>
      <c r="H144" t="s">
        <v>479</v>
      </c>
      <c r="I144">
        <v>5</v>
      </c>
      <c r="J144">
        <v>0.50345253019720215</v>
      </c>
      <c r="K144">
        <v>0</v>
      </c>
      <c r="L144">
        <v>0</v>
      </c>
      <c r="M144">
        <v>0</v>
      </c>
      <c r="O144">
        <v>200000</v>
      </c>
      <c r="R144" t="s">
        <v>162</v>
      </c>
      <c r="S144">
        <v>0</v>
      </c>
      <c r="T144">
        <v>4.0479999999999997E-4</v>
      </c>
      <c r="U144" t="s">
        <v>176</v>
      </c>
      <c r="V144">
        <v>2.8E-3</v>
      </c>
      <c r="W144">
        <v>8.3204799999999995E-2</v>
      </c>
      <c r="X144" t="s">
        <v>90</v>
      </c>
      <c r="Y144">
        <v>0</v>
      </c>
      <c r="Z144">
        <v>0</v>
      </c>
      <c r="AA144" t="s">
        <v>90</v>
      </c>
      <c r="AB144">
        <v>0</v>
      </c>
      <c r="AC144">
        <v>8.3204799999999995E-2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Q144" t="s">
        <v>262</v>
      </c>
      <c r="AR144" t="s">
        <v>263</v>
      </c>
      <c r="AS144">
        <v>0.08</v>
      </c>
    </row>
    <row r="145" spans="1:45" x14ac:dyDescent="0.15">
      <c r="A145" s="4" t="str">
        <f>HYPERLINK("https://ibp.a2mac1.com/costing(costing:projects/details/9760/material/8752727)","ABS adjusted (part)")</f>
        <v>ABS adjusted (part)</v>
      </c>
      <c r="B145">
        <v>8752727</v>
      </c>
      <c r="C145">
        <v>12083842</v>
      </c>
      <c r="E145">
        <v>0.06</v>
      </c>
      <c r="F145" t="s">
        <v>478</v>
      </c>
      <c r="G145">
        <v>100</v>
      </c>
      <c r="H145" t="s">
        <v>479</v>
      </c>
      <c r="I145">
        <v>5</v>
      </c>
      <c r="J145">
        <v>0.50345253019720215</v>
      </c>
      <c r="K145">
        <v>0</v>
      </c>
      <c r="L145">
        <v>0</v>
      </c>
      <c r="M145">
        <v>0</v>
      </c>
      <c r="O145">
        <v>200000</v>
      </c>
      <c r="R145" t="s">
        <v>162</v>
      </c>
      <c r="S145">
        <v>0</v>
      </c>
      <c r="T145">
        <v>3.0360000000000001E-4</v>
      </c>
      <c r="U145" t="s">
        <v>176</v>
      </c>
      <c r="V145">
        <v>2.0999999999999999E-3</v>
      </c>
      <c r="W145">
        <v>6.2403599999999997E-2</v>
      </c>
      <c r="X145" t="s">
        <v>90</v>
      </c>
      <c r="Y145">
        <v>0</v>
      </c>
      <c r="Z145">
        <v>0</v>
      </c>
      <c r="AA145" t="s">
        <v>90</v>
      </c>
      <c r="AB145">
        <v>0</v>
      </c>
      <c r="AC145">
        <v>6.2403599999999997E-2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Q145" t="s">
        <v>262</v>
      </c>
      <c r="AR145" t="s">
        <v>263</v>
      </c>
      <c r="AS145">
        <v>0.06</v>
      </c>
    </row>
    <row r="146" spans="1:45" x14ac:dyDescent="0.15">
      <c r="A146" s="4" t="str">
        <f>HYPERLINK("https://ibp.a2mac1.com/costing(costing:projects/details/9760/material/8752728)","ABS adjusted (part)")</f>
        <v>ABS adjusted (part)</v>
      </c>
      <c r="B146">
        <v>8752728</v>
      </c>
      <c r="C146">
        <v>12083843</v>
      </c>
      <c r="E146">
        <v>0.06</v>
      </c>
      <c r="F146" t="s">
        <v>478</v>
      </c>
      <c r="G146">
        <v>100</v>
      </c>
      <c r="H146" t="s">
        <v>479</v>
      </c>
      <c r="I146">
        <v>5</v>
      </c>
      <c r="J146">
        <v>0.50345253019720215</v>
      </c>
      <c r="K146">
        <v>0</v>
      </c>
      <c r="L146">
        <v>0</v>
      </c>
      <c r="M146">
        <v>0</v>
      </c>
      <c r="O146">
        <v>200000</v>
      </c>
      <c r="R146" t="s">
        <v>162</v>
      </c>
      <c r="S146">
        <v>0</v>
      </c>
      <c r="T146">
        <v>3.0360000000000001E-4</v>
      </c>
      <c r="U146" t="s">
        <v>176</v>
      </c>
      <c r="V146">
        <v>2.0999999999999999E-3</v>
      </c>
      <c r="W146">
        <v>6.2403599999999997E-2</v>
      </c>
      <c r="X146" t="s">
        <v>90</v>
      </c>
      <c r="Y146">
        <v>0</v>
      </c>
      <c r="Z146">
        <v>0</v>
      </c>
      <c r="AA146" t="s">
        <v>90</v>
      </c>
      <c r="AB146">
        <v>0</v>
      </c>
      <c r="AC146">
        <v>6.2403599999999997E-2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Q146" t="s">
        <v>262</v>
      </c>
      <c r="AR146" t="s">
        <v>263</v>
      </c>
      <c r="AS146">
        <v>0.06</v>
      </c>
    </row>
    <row r="147" spans="1:45" x14ac:dyDescent="0.15">
      <c r="A147" s="4" t="str">
        <f>HYPERLINK("https://ibp.a2mac1.com/costing(costing:projects/details/9760/material/8752729)","ABS adjusted (part)")</f>
        <v>ABS adjusted (part)</v>
      </c>
      <c r="B147">
        <v>8752729</v>
      </c>
      <c r="C147">
        <v>12083844</v>
      </c>
      <c r="E147">
        <v>0.06</v>
      </c>
      <c r="F147" t="s">
        <v>478</v>
      </c>
      <c r="G147">
        <v>100</v>
      </c>
      <c r="H147" t="s">
        <v>479</v>
      </c>
      <c r="I147">
        <v>5</v>
      </c>
      <c r="J147">
        <v>0.50345253019720215</v>
      </c>
      <c r="K147">
        <v>0</v>
      </c>
      <c r="L147">
        <v>0</v>
      </c>
      <c r="M147">
        <v>0</v>
      </c>
      <c r="O147">
        <v>200000</v>
      </c>
      <c r="R147" t="s">
        <v>162</v>
      </c>
      <c r="S147">
        <v>0</v>
      </c>
      <c r="T147">
        <v>3.0360000000000001E-4</v>
      </c>
      <c r="U147" t="s">
        <v>176</v>
      </c>
      <c r="V147">
        <v>2.0999999999999999E-3</v>
      </c>
      <c r="W147">
        <v>6.2403599999999997E-2</v>
      </c>
      <c r="X147" t="s">
        <v>90</v>
      </c>
      <c r="Y147">
        <v>0</v>
      </c>
      <c r="Z147">
        <v>0</v>
      </c>
      <c r="AA147" t="s">
        <v>90</v>
      </c>
      <c r="AB147">
        <v>0</v>
      </c>
      <c r="AC147">
        <v>6.2403599999999997E-2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Q147" t="s">
        <v>262</v>
      </c>
      <c r="AR147" t="s">
        <v>263</v>
      </c>
      <c r="AS147">
        <v>0.06</v>
      </c>
    </row>
    <row r="148" spans="1:45" x14ac:dyDescent="0.15">
      <c r="A148" s="4" t="str">
        <f>HYPERLINK("https://ibp.a2mac1.com/costing(costing:projects/details/9760/material/8752730)","ABS adjusted (part)")</f>
        <v>ABS adjusted (part)</v>
      </c>
      <c r="B148">
        <v>8752730</v>
      </c>
      <c r="C148">
        <v>12083845</v>
      </c>
      <c r="E148">
        <v>0.06</v>
      </c>
      <c r="F148" t="s">
        <v>478</v>
      </c>
      <c r="G148">
        <v>100</v>
      </c>
      <c r="H148" t="s">
        <v>479</v>
      </c>
      <c r="I148">
        <v>5</v>
      </c>
      <c r="J148">
        <v>0.50345253019720215</v>
      </c>
      <c r="K148">
        <v>0</v>
      </c>
      <c r="L148">
        <v>0</v>
      </c>
      <c r="M148">
        <v>0</v>
      </c>
      <c r="O148">
        <v>200000</v>
      </c>
      <c r="R148" t="s">
        <v>162</v>
      </c>
      <c r="S148">
        <v>0</v>
      </c>
      <c r="T148">
        <v>3.0360000000000001E-4</v>
      </c>
      <c r="U148" t="s">
        <v>176</v>
      </c>
      <c r="V148">
        <v>2.0999999999999999E-3</v>
      </c>
      <c r="W148">
        <v>6.2403599999999997E-2</v>
      </c>
      <c r="X148" t="s">
        <v>90</v>
      </c>
      <c r="Y148">
        <v>0</v>
      </c>
      <c r="Z148">
        <v>0</v>
      </c>
      <c r="AA148" t="s">
        <v>90</v>
      </c>
      <c r="AB148">
        <v>0</v>
      </c>
      <c r="AC148">
        <v>6.2403599999999997E-2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Q148" t="s">
        <v>262</v>
      </c>
      <c r="AR148" t="s">
        <v>263</v>
      </c>
      <c r="AS148">
        <v>0.06</v>
      </c>
    </row>
    <row r="149" spans="1:45" x14ac:dyDescent="0.15">
      <c r="A149" s="4" t="str">
        <f>HYPERLINK("https://ibp.a2mac1.com/costing(costing:projects/details/9760/material/8752731)","Steel sheet (default) adjusted (part)")</f>
        <v>Steel sheet (default) adjusted (part)</v>
      </c>
      <c r="B149">
        <v>8752731</v>
      </c>
      <c r="C149">
        <v>12083846</v>
      </c>
      <c r="E149">
        <v>9.3299999999999994E-2</v>
      </c>
      <c r="F149" t="s">
        <v>478</v>
      </c>
      <c r="G149">
        <v>100</v>
      </c>
      <c r="H149" t="s">
        <v>479</v>
      </c>
      <c r="I149">
        <v>30</v>
      </c>
      <c r="J149">
        <v>0.50345253019720215</v>
      </c>
      <c r="K149">
        <v>0</v>
      </c>
      <c r="L149">
        <v>0</v>
      </c>
      <c r="M149">
        <v>0</v>
      </c>
      <c r="O149">
        <v>200000</v>
      </c>
      <c r="R149" t="s">
        <v>162</v>
      </c>
      <c r="S149">
        <v>0</v>
      </c>
      <c r="T149">
        <v>4.7209800000000001E-4</v>
      </c>
      <c r="U149" t="s">
        <v>176</v>
      </c>
      <c r="V149">
        <v>3.2655000000000002E-3</v>
      </c>
      <c r="W149">
        <v>9.7037598000000003E-2</v>
      </c>
      <c r="X149" t="s">
        <v>177</v>
      </c>
      <c r="Y149">
        <v>5.8222558800000001E-3</v>
      </c>
      <c r="Z149">
        <v>0</v>
      </c>
      <c r="AA149" t="s">
        <v>178</v>
      </c>
      <c r="AB149">
        <v>1.164451176E-2</v>
      </c>
      <c r="AC149">
        <v>0.11450436563999999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Q149" t="s">
        <v>262</v>
      </c>
      <c r="AR149" t="s">
        <v>263</v>
      </c>
      <c r="AS149">
        <v>9.3299999999999994E-2</v>
      </c>
    </row>
    <row r="150" spans="1:45" x14ac:dyDescent="0.15">
      <c r="A150" s="4" t="str">
        <f>HYPERLINK("https://ibp.a2mac1.com/costing(costing:projects/details/9760/material/8752732)","TPE adjusted (part)")</f>
        <v>TPE adjusted (part)</v>
      </c>
      <c r="B150">
        <v>8752732</v>
      </c>
      <c r="C150">
        <v>12083847</v>
      </c>
      <c r="E150">
        <v>0.86</v>
      </c>
      <c r="F150" t="s">
        <v>478</v>
      </c>
      <c r="G150">
        <v>100</v>
      </c>
      <c r="H150" t="s">
        <v>479</v>
      </c>
      <c r="I150">
        <v>5</v>
      </c>
      <c r="J150">
        <v>0.50345253019720215</v>
      </c>
      <c r="K150">
        <v>0</v>
      </c>
      <c r="L150">
        <v>0</v>
      </c>
      <c r="M150">
        <v>0</v>
      </c>
      <c r="O150">
        <v>200000</v>
      </c>
      <c r="R150" t="s">
        <v>162</v>
      </c>
      <c r="S150">
        <v>0</v>
      </c>
      <c r="T150">
        <v>4.3515999999999997E-3</v>
      </c>
      <c r="U150" t="s">
        <v>176</v>
      </c>
      <c r="V150">
        <v>3.0099999999999998E-2</v>
      </c>
      <c r="W150">
        <v>0.89445160000000001</v>
      </c>
      <c r="X150" t="s">
        <v>177</v>
      </c>
      <c r="Y150">
        <v>5.3667095999999997E-2</v>
      </c>
      <c r="Z150">
        <v>0</v>
      </c>
      <c r="AA150" t="s">
        <v>178</v>
      </c>
      <c r="AB150">
        <v>0.10733419199999999</v>
      </c>
      <c r="AC150">
        <v>1.055452888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Q150" t="s">
        <v>262</v>
      </c>
      <c r="AR150" t="s">
        <v>263</v>
      </c>
      <c r="AS150">
        <v>0.86</v>
      </c>
    </row>
    <row r="151" spans="1:45" x14ac:dyDescent="0.15">
      <c r="A151" s="4" t="str">
        <f>HYPERLINK("https://ibp.a2mac1.com/costing(costing:projects/details/9760/material/8752733)","TPE adjusted (part)")</f>
        <v>TPE adjusted (part)</v>
      </c>
      <c r="B151">
        <v>8752733</v>
      </c>
      <c r="C151">
        <v>12083848</v>
      </c>
      <c r="E151">
        <v>0.66</v>
      </c>
      <c r="F151" t="s">
        <v>478</v>
      </c>
      <c r="G151">
        <v>100</v>
      </c>
      <c r="H151" t="s">
        <v>479</v>
      </c>
      <c r="I151">
        <v>5</v>
      </c>
      <c r="J151">
        <v>0.50345253019720215</v>
      </c>
      <c r="K151">
        <v>0</v>
      </c>
      <c r="L151">
        <v>0</v>
      </c>
      <c r="M151">
        <v>0</v>
      </c>
      <c r="O151">
        <v>200000</v>
      </c>
      <c r="R151" t="s">
        <v>162</v>
      </c>
      <c r="S151">
        <v>0</v>
      </c>
      <c r="T151">
        <v>3.3395999999999999E-3</v>
      </c>
      <c r="U151" t="s">
        <v>176</v>
      </c>
      <c r="V151">
        <v>2.3099999999999999E-2</v>
      </c>
      <c r="W151">
        <v>0.68643960000000004</v>
      </c>
      <c r="X151" t="s">
        <v>177</v>
      </c>
      <c r="Y151">
        <v>4.1186375999999997E-2</v>
      </c>
      <c r="Z151">
        <v>0</v>
      </c>
      <c r="AA151" t="s">
        <v>178</v>
      </c>
      <c r="AB151">
        <v>8.2372751999999994E-2</v>
      </c>
      <c r="AC151">
        <v>0.80999872799999995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Q151" t="s">
        <v>262</v>
      </c>
      <c r="AR151" t="s">
        <v>263</v>
      </c>
      <c r="AS151">
        <v>0.66</v>
      </c>
    </row>
    <row r="152" spans="1:45" x14ac:dyDescent="0.15">
      <c r="A152" s="4" t="str">
        <f>HYPERLINK("https://ibp.a2mac1.com/costing(costing:projects/details/9760/material/8752623)","Steel sheet (default) adjusted (part)")</f>
        <v>Steel sheet (default) adjusted (part)</v>
      </c>
      <c r="B152">
        <v>8752623</v>
      </c>
      <c r="C152">
        <v>12083813</v>
      </c>
      <c r="E152">
        <v>0.28000000000000003</v>
      </c>
      <c r="F152" t="s">
        <v>478</v>
      </c>
      <c r="G152">
        <v>100</v>
      </c>
      <c r="H152" t="s">
        <v>479</v>
      </c>
      <c r="I152">
        <v>30</v>
      </c>
      <c r="J152">
        <v>0.50345253019720215</v>
      </c>
      <c r="K152">
        <v>0</v>
      </c>
      <c r="L152">
        <v>0</v>
      </c>
      <c r="M152">
        <v>0</v>
      </c>
      <c r="O152">
        <v>200000</v>
      </c>
      <c r="R152" t="s">
        <v>162</v>
      </c>
      <c r="S152">
        <v>0</v>
      </c>
      <c r="T152">
        <v>1.4168E-3</v>
      </c>
      <c r="U152" t="s">
        <v>176</v>
      </c>
      <c r="V152">
        <v>9.7999999999999997E-3</v>
      </c>
      <c r="W152">
        <v>0.2912168</v>
      </c>
      <c r="X152" t="s">
        <v>90</v>
      </c>
      <c r="Y152">
        <v>0</v>
      </c>
      <c r="Z152">
        <v>0</v>
      </c>
      <c r="AA152" t="s">
        <v>90</v>
      </c>
      <c r="AB152">
        <v>0</v>
      </c>
      <c r="AC152">
        <v>0.2912168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Q152" t="s">
        <v>262</v>
      </c>
      <c r="AR152" t="s">
        <v>263</v>
      </c>
      <c r="AS152">
        <v>0.28000000000000003</v>
      </c>
    </row>
    <row r="153" spans="1:45" x14ac:dyDescent="0.15">
      <c r="A153" s="4" t="str">
        <f>HYPERLINK("https://ibp.a2mac1.com/costing(costing:projects/details/9760/material/8752734)","Leather")</f>
        <v>Leather</v>
      </c>
      <c r="B153">
        <v>8752734</v>
      </c>
      <c r="C153">
        <v>12083849</v>
      </c>
      <c r="E153">
        <v>3.6</v>
      </c>
      <c r="F153" t="s">
        <v>478</v>
      </c>
      <c r="G153">
        <v>100</v>
      </c>
      <c r="H153" t="s">
        <v>479</v>
      </c>
      <c r="I153">
        <v>0</v>
      </c>
      <c r="J153">
        <v>0.50345253019720215</v>
      </c>
      <c r="K153">
        <v>0</v>
      </c>
      <c r="L153">
        <v>0</v>
      </c>
      <c r="M153">
        <v>0</v>
      </c>
      <c r="O153">
        <v>200000</v>
      </c>
      <c r="R153" t="s">
        <v>162</v>
      </c>
      <c r="S153">
        <v>0</v>
      </c>
      <c r="T153">
        <v>1.8216E-2</v>
      </c>
      <c r="U153" t="s">
        <v>176</v>
      </c>
      <c r="V153">
        <v>0.126</v>
      </c>
      <c r="W153">
        <v>3.7442160000000002</v>
      </c>
      <c r="X153" t="s">
        <v>90</v>
      </c>
      <c r="Y153">
        <v>0</v>
      </c>
      <c r="Z153">
        <v>0</v>
      </c>
      <c r="AA153" t="s">
        <v>90</v>
      </c>
      <c r="AB153">
        <v>0</v>
      </c>
      <c r="AC153">
        <v>3.7442160000000002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Q153" t="s">
        <v>9</v>
      </c>
      <c r="AR153" t="s">
        <v>263</v>
      </c>
      <c r="AS153">
        <v>3.6</v>
      </c>
    </row>
    <row r="154" spans="1:45" x14ac:dyDescent="0.15">
      <c r="A154" s="4" t="str">
        <f>HYPERLINK("https://ibp.a2mac1.com/costing(costing:projects/details/9760/material/8752735)","PUR adjusted (part)")</f>
        <v>PUR adjusted (part)</v>
      </c>
      <c r="B154">
        <v>8752735</v>
      </c>
      <c r="C154">
        <v>12083850</v>
      </c>
      <c r="E154">
        <v>0.19</v>
      </c>
      <c r="F154" t="s">
        <v>478</v>
      </c>
      <c r="G154">
        <v>100</v>
      </c>
      <c r="H154" t="s">
        <v>479</v>
      </c>
      <c r="I154">
        <v>5</v>
      </c>
      <c r="J154">
        <v>0.50345253019720215</v>
      </c>
      <c r="K154">
        <v>0</v>
      </c>
      <c r="L154">
        <v>0</v>
      </c>
      <c r="M154">
        <v>0</v>
      </c>
      <c r="O154">
        <v>200000</v>
      </c>
      <c r="R154" t="s">
        <v>162</v>
      </c>
      <c r="S154">
        <v>0</v>
      </c>
      <c r="T154">
        <v>9.6139999999999995E-4</v>
      </c>
      <c r="U154" t="s">
        <v>176</v>
      </c>
      <c r="V154">
        <v>6.6499999999999997E-3</v>
      </c>
      <c r="W154">
        <v>0.19761139999999999</v>
      </c>
      <c r="X154" t="s">
        <v>90</v>
      </c>
      <c r="Y154">
        <v>0</v>
      </c>
      <c r="Z154">
        <v>0</v>
      </c>
      <c r="AA154" t="s">
        <v>90</v>
      </c>
      <c r="AB154">
        <v>0</v>
      </c>
      <c r="AC154">
        <v>0.19761139999999999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Q154" t="s">
        <v>262</v>
      </c>
      <c r="AR154" t="s">
        <v>263</v>
      </c>
      <c r="AS154">
        <v>0.19</v>
      </c>
    </row>
    <row r="155" spans="1:45" x14ac:dyDescent="0.15">
      <c r="A155" s="4" t="str">
        <f>HYPERLINK("https://ibp.a2mac1.com/costing(costing:projects/details/9760/material/8752736)","Steel sheet (default) adjusted (part)")</f>
        <v>Steel sheet (default) adjusted (part)</v>
      </c>
      <c r="B155">
        <v>8752736</v>
      </c>
      <c r="C155">
        <v>12083851</v>
      </c>
      <c r="E155">
        <v>0.36</v>
      </c>
      <c r="F155" t="s">
        <v>478</v>
      </c>
      <c r="G155">
        <v>100</v>
      </c>
      <c r="H155" t="s">
        <v>479</v>
      </c>
      <c r="I155">
        <v>30</v>
      </c>
      <c r="J155">
        <v>0.50345253019720215</v>
      </c>
      <c r="K155">
        <v>0</v>
      </c>
      <c r="L155">
        <v>0</v>
      </c>
      <c r="M155">
        <v>0</v>
      </c>
      <c r="O155">
        <v>200000</v>
      </c>
      <c r="R155" t="s">
        <v>162</v>
      </c>
      <c r="S155">
        <v>0</v>
      </c>
      <c r="T155">
        <v>1.8216E-3</v>
      </c>
      <c r="U155" t="s">
        <v>176</v>
      </c>
      <c r="V155">
        <v>1.26E-2</v>
      </c>
      <c r="W155">
        <v>0.37442160000000002</v>
      </c>
      <c r="X155" t="s">
        <v>90</v>
      </c>
      <c r="Y155">
        <v>0</v>
      </c>
      <c r="Z155">
        <v>0</v>
      </c>
      <c r="AA155" t="s">
        <v>90</v>
      </c>
      <c r="AB155">
        <v>0</v>
      </c>
      <c r="AC155">
        <v>0.37442160000000002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Q155" t="s">
        <v>262</v>
      </c>
      <c r="AR155" t="s">
        <v>263</v>
      </c>
      <c r="AS155">
        <v>0.36</v>
      </c>
    </row>
    <row r="156" spans="1:45" x14ac:dyDescent="0.15">
      <c r="A156" s="4" t="str">
        <f>HYPERLINK("https://ibp.a2mac1.com/costing(costing:projects/details/9760/material/8752737)","PP-GF30 adjusted (part)")</f>
        <v>PP-GF30 adjusted (part)</v>
      </c>
      <c r="B156">
        <v>8752737</v>
      </c>
      <c r="C156">
        <v>12083852</v>
      </c>
      <c r="E156">
        <v>0.29128999999999999</v>
      </c>
      <c r="F156" t="s">
        <v>478</v>
      </c>
      <c r="G156">
        <v>100</v>
      </c>
      <c r="H156" t="s">
        <v>479</v>
      </c>
      <c r="I156">
        <v>30</v>
      </c>
      <c r="J156">
        <v>0.50345253019720215</v>
      </c>
      <c r="K156">
        <v>0</v>
      </c>
      <c r="L156">
        <v>0</v>
      </c>
      <c r="M156">
        <v>0</v>
      </c>
      <c r="O156">
        <v>200000</v>
      </c>
      <c r="R156" t="s">
        <v>162</v>
      </c>
      <c r="S156">
        <v>0</v>
      </c>
      <c r="T156">
        <v>1.4739274E-3</v>
      </c>
      <c r="U156" t="s">
        <v>176</v>
      </c>
      <c r="V156">
        <v>1.019515E-2</v>
      </c>
      <c r="W156">
        <v>0.3029590774</v>
      </c>
      <c r="X156" t="s">
        <v>90</v>
      </c>
      <c r="Y156">
        <v>0</v>
      </c>
      <c r="Z156">
        <v>0</v>
      </c>
      <c r="AA156" t="s">
        <v>90</v>
      </c>
      <c r="AB156">
        <v>0</v>
      </c>
      <c r="AC156">
        <v>0.3029590774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Q156" t="s">
        <v>262</v>
      </c>
      <c r="AR156" t="s">
        <v>263</v>
      </c>
      <c r="AS156">
        <v>0.29128999999999999</v>
      </c>
    </row>
    <row r="157" spans="1:45" x14ac:dyDescent="0.15">
      <c r="A157" s="4" t="str">
        <f>HYPERLINK("https://ibp.a2mac1.com/costing(costing:projects/details/9760/material/8752738)","PC-ABS adjusted (part)")</f>
        <v>PC-ABS adjusted (part)</v>
      </c>
      <c r="B157">
        <v>8752738</v>
      </c>
      <c r="C157">
        <v>12083853</v>
      </c>
      <c r="E157">
        <v>0.52</v>
      </c>
      <c r="F157" t="s">
        <v>478</v>
      </c>
      <c r="G157">
        <v>100</v>
      </c>
      <c r="H157" t="s">
        <v>479</v>
      </c>
      <c r="I157">
        <v>5</v>
      </c>
      <c r="J157">
        <v>0.50345253019720215</v>
      </c>
      <c r="K157">
        <v>0</v>
      </c>
      <c r="L157">
        <v>0</v>
      </c>
      <c r="M157">
        <v>0</v>
      </c>
      <c r="O157">
        <v>200000</v>
      </c>
      <c r="R157" t="s">
        <v>162</v>
      </c>
      <c r="S157">
        <v>0</v>
      </c>
      <c r="T157">
        <v>2.6312000000000002E-3</v>
      </c>
      <c r="U157" t="s">
        <v>176</v>
      </c>
      <c r="V157">
        <v>1.8200000000000001E-2</v>
      </c>
      <c r="W157">
        <v>0.54083119999999996</v>
      </c>
      <c r="X157" t="s">
        <v>90</v>
      </c>
      <c r="Y157">
        <v>0</v>
      </c>
      <c r="Z157">
        <v>0</v>
      </c>
      <c r="AA157" t="s">
        <v>90</v>
      </c>
      <c r="AB157">
        <v>0</v>
      </c>
      <c r="AC157">
        <v>0.54083119999999996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Q157" t="s">
        <v>262</v>
      </c>
      <c r="AR157" t="s">
        <v>263</v>
      </c>
      <c r="AS157">
        <v>0.52</v>
      </c>
    </row>
    <row r="158" spans="1:45" x14ac:dyDescent="0.15">
      <c r="A158" s="4" t="str">
        <f>HYPERLINK("https://ibp.a2mac1.com/costing(costing:projects/details/9760/material/8752739)","PE adjusted (part)")</f>
        <v>PE adjusted (part)</v>
      </c>
      <c r="B158">
        <v>8752739</v>
      </c>
      <c r="C158">
        <v>12083854</v>
      </c>
      <c r="E158">
        <v>0.34342</v>
      </c>
      <c r="F158" t="s">
        <v>478</v>
      </c>
      <c r="G158">
        <v>100</v>
      </c>
      <c r="H158" t="s">
        <v>479</v>
      </c>
      <c r="I158">
        <v>5</v>
      </c>
      <c r="J158">
        <v>0.50345253019720215</v>
      </c>
      <c r="K158">
        <v>0</v>
      </c>
      <c r="L158">
        <v>0</v>
      </c>
      <c r="M158">
        <v>0</v>
      </c>
      <c r="O158">
        <v>200000</v>
      </c>
      <c r="R158" t="s">
        <v>162</v>
      </c>
      <c r="S158">
        <v>0</v>
      </c>
      <c r="T158">
        <v>1.7377052E-3</v>
      </c>
      <c r="U158" t="s">
        <v>176</v>
      </c>
      <c r="V158">
        <v>1.2019699999999999E-2</v>
      </c>
      <c r="W158">
        <v>0.35717740520000002</v>
      </c>
      <c r="X158" t="s">
        <v>90</v>
      </c>
      <c r="Y158">
        <v>0</v>
      </c>
      <c r="Z158">
        <v>0</v>
      </c>
      <c r="AA158" t="s">
        <v>90</v>
      </c>
      <c r="AB158">
        <v>0</v>
      </c>
      <c r="AC158">
        <v>0.35717740520000002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Q158" t="s">
        <v>262</v>
      </c>
      <c r="AR158" t="s">
        <v>263</v>
      </c>
      <c r="AS158">
        <v>0.34342</v>
      </c>
    </row>
    <row r="159" spans="1:45" x14ac:dyDescent="0.15">
      <c r="A159" s="4" t="str">
        <f>HYPERLINK("https://ibp.a2mac1.com/costing(costing:projects/details/9760/material/8752846)","PP-EPDM-T20 &amp; Leather")</f>
        <v>PP-EPDM-T20 &amp; Leather</v>
      </c>
      <c r="B159">
        <v>8752846</v>
      </c>
      <c r="C159">
        <v>12083964</v>
      </c>
      <c r="E159">
        <v>14.81</v>
      </c>
      <c r="F159" t="s">
        <v>478</v>
      </c>
      <c r="G159">
        <v>100</v>
      </c>
      <c r="H159" t="s">
        <v>479</v>
      </c>
      <c r="I159">
        <v>0</v>
      </c>
      <c r="J159">
        <v>0.50345253019720215</v>
      </c>
      <c r="K159">
        <v>0</v>
      </c>
      <c r="L159">
        <v>0</v>
      </c>
      <c r="M159">
        <v>0</v>
      </c>
      <c r="O159">
        <v>200000</v>
      </c>
      <c r="R159" t="s">
        <v>162</v>
      </c>
      <c r="S159">
        <v>0</v>
      </c>
      <c r="T159">
        <v>7.4938599999999994E-2</v>
      </c>
      <c r="U159" t="s">
        <v>176</v>
      </c>
      <c r="V159">
        <v>0.51834999999999998</v>
      </c>
      <c r="W159">
        <v>15.4032886</v>
      </c>
      <c r="X159" t="s">
        <v>90</v>
      </c>
      <c r="Y159">
        <v>0</v>
      </c>
      <c r="Z159">
        <v>0</v>
      </c>
      <c r="AA159" t="s">
        <v>90</v>
      </c>
      <c r="AB159">
        <v>0</v>
      </c>
      <c r="AC159">
        <v>15.4032886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Q159" t="s">
        <v>9</v>
      </c>
      <c r="AR159" t="s">
        <v>263</v>
      </c>
      <c r="AS159">
        <v>14.81</v>
      </c>
    </row>
    <row r="160" spans="1:45" x14ac:dyDescent="0.15">
      <c r="A160" s="4" t="str">
        <f>HYPERLINK("https://ibp.a2mac1.com/costing(costing:projects/details/9760/material/8752847)","PC-ABS adjusted (part)")</f>
        <v>PC-ABS adjusted (part)</v>
      </c>
      <c r="B160">
        <v>8752847</v>
      </c>
      <c r="C160">
        <v>12083965</v>
      </c>
      <c r="E160">
        <v>0.89</v>
      </c>
      <c r="F160" t="s">
        <v>478</v>
      </c>
      <c r="G160">
        <v>100</v>
      </c>
      <c r="H160" t="s">
        <v>479</v>
      </c>
      <c r="I160">
        <v>5</v>
      </c>
      <c r="J160">
        <v>0.50345253019720215</v>
      </c>
      <c r="K160">
        <v>0</v>
      </c>
      <c r="L160">
        <v>0</v>
      </c>
      <c r="M160">
        <v>0</v>
      </c>
      <c r="O160">
        <v>200000</v>
      </c>
      <c r="R160" t="s">
        <v>162</v>
      </c>
      <c r="S160">
        <v>0</v>
      </c>
      <c r="T160">
        <v>4.5034000000000003E-3</v>
      </c>
      <c r="U160" t="s">
        <v>176</v>
      </c>
      <c r="V160">
        <v>3.1150000000000001E-2</v>
      </c>
      <c r="W160">
        <v>0.92565339999999996</v>
      </c>
      <c r="X160" t="s">
        <v>90</v>
      </c>
      <c r="Y160">
        <v>0</v>
      </c>
      <c r="Z160">
        <v>0</v>
      </c>
      <c r="AA160" t="s">
        <v>90</v>
      </c>
      <c r="AB160">
        <v>0</v>
      </c>
      <c r="AC160">
        <v>0.92565339999999996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Q160" t="s">
        <v>262</v>
      </c>
      <c r="AR160" t="s">
        <v>263</v>
      </c>
      <c r="AS160">
        <v>0.89</v>
      </c>
    </row>
    <row r="161" spans="1:45" x14ac:dyDescent="0.15">
      <c r="A161" s="4" t="str">
        <f>HYPERLINK("https://ibp.a2mac1.com/costing(costing:projects/details/9760/material/8752848)","PET + PE")</f>
        <v>PET + PE</v>
      </c>
      <c r="B161">
        <v>8752848</v>
      </c>
      <c r="C161">
        <v>12083966</v>
      </c>
      <c r="E161">
        <v>0.51</v>
      </c>
      <c r="F161" t="s">
        <v>478</v>
      </c>
      <c r="G161">
        <v>100</v>
      </c>
      <c r="H161" t="s">
        <v>479</v>
      </c>
      <c r="I161">
        <v>0</v>
      </c>
      <c r="J161">
        <v>0.50345253019720215</v>
      </c>
      <c r="K161">
        <v>0</v>
      </c>
      <c r="L161">
        <v>0</v>
      </c>
      <c r="M161">
        <v>0</v>
      </c>
      <c r="O161">
        <v>200000</v>
      </c>
      <c r="R161" t="s">
        <v>162</v>
      </c>
      <c r="S161">
        <v>0</v>
      </c>
      <c r="T161">
        <v>2.5806000000000002E-3</v>
      </c>
      <c r="U161" t="s">
        <v>176</v>
      </c>
      <c r="V161">
        <v>1.7850000000000001E-2</v>
      </c>
      <c r="W161">
        <v>0.53043059999999997</v>
      </c>
      <c r="X161" t="s">
        <v>90</v>
      </c>
      <c r="Y161">
        <v>0</v>
      </c>
      <c r="Z161">
        <v>0</v>
      </c>
      <c r="AA161" t="s">
        <v>90</v>
      </c>
      <c r="AB161">
        <v>0</v>
      </c>
      <c r="AC161">
        <v>0.53043059999999997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Q161" t="s">
        <v>9</v>
      </c>
      <c r="AR161" t="s">
        <v>263</v>
      </c>
      <c r="AS161">
        <v>0.51</v>
      </c>
    </row>
    <row r="162" spans="1:45" x14ac:dyDescent="0.15">
      <c r="A162" s="4" t="str">
        <f>HYPERLINK("https://ibp.a2mac1.com/costing(costing:projects/details/9760/material/8752849)","PC-ABS adjusted (part)")</f>
        <v>PC-ABS adjusted (part)</v>
      </c>
      <c r="B162">
        <v>8752849</v>
      </c>
      <c r="C162">
        <v>12083967</v>
      </c>
      <c r="E162">
        <v>0.1</v>
      </c>
      <c r="F162" t="s">
        <v>478</v>
      </c>
      <c r="G162">
        <v>100</v>
      </c>
      <c r="H162" t="s">
        <v>479</v>
      </c>
      <c r="I162">
        <v>5</v>
      </c>
      <c r="J162">
        <v>0.50345253019720215</v>
      </c>
      <c r="K162">
        <v>0</v>
      </c>
      <c r="L162">
        <v>0</v>
      </c>
      <c r="M162">
        <v>0</v>
      </c>
      <c r="O162">
        <v>200000</v>
      </c>
      <c r="R162" t="s">
        <v>162</v>
      </c>
      <c r="S162">
        <v>0</v>
      </c>
      <c r="T162">
        <v>5.0600000000000005E-4</v>
      </c>
      <c r="U162" t="s">
        <v>176</v>
      </c>
      <c r="V162">
        <v>3.5000000000000001E-3</v>
      </c>
      <c r="W162">
        <v>0.104006</v>
      </c>
      <c r="X162" t="s">
        <v>90</v>
      </c>
      <c r="Y162">
        <v>0</v>
      </c>
      <c r="Z162">
        <v>0</v>
      </c>
      <c r="AA162" t="s">
        <v>90</v>
      </c>
      <c r="AB162">
        <v>0</v>
      </c>
      <c r="AC162">
        <v>0.104006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Q162" t="s">
        <v>262</v>
      </c>
      <c r="AR162" t="s">
        <v>263</v>
      </c>
      <c r="AS162">
        <v>0.1</v>
      </c>
    </row>
    <row r="163" spans="1:45" x14ac:dyDescent="0.15">
      <c r="A163" s="4" t="str">
        <f>HYPERLINK("https://ibp.a2mac1.com/costing(costing:projects/details/9760/material/8752850)","Steel sheet (default) adjusted (part)")</f>
        <v>Steel sheet (default) adjusted (part)</v>
      </c>
      <c r="B163">
        <v>8752850</v>
      </c>
      <c r="C163">
        <v>12083968</v>
      </c>
      <c r="E163">
        <v>7.0000000000000007E-2</v>
      </c>
      <c r="F163" t="s">
        <v>478</v>
      </c>
      <c r="G163">
        <v>100</v>
      </c>
      <c r="H163" t="s">
        <v>479</v>
      </c>
      <c r="I163">
        <v>30</v>
      </c>
      <c r="J163">
        <v>0.50345253019720215</v>
      </c>
      <c r="K163">
        <v>0</v>
      </c>
      <c r="L163">
        <v>0</v>
      </c>
      <c r="M163">
        <v>0</v>
      </c>
      <c r="O163">
        <v>200000</v>
      </c>
      <c r="R163" t="s">
        <v>162</v>
      </c>
      <c r="S163">
        <v>0</v>
      </c>
      <c r="T163">
        <v>3.5419999999999999E-4</v>
      </c>
      <c r="U163" t="s">
        <v>176</v>
      </c>
      <c r="V163">
        <v>2.4499999999999999E-3</v>
      </c>
      <c r="W163">
        <v>7.2804199999999999E-2</v>
      </c>
      <c r="X163" t="s">
        <v>90</v>
      </c>
      <c r="Y163">
        <v>0</v>
      </c>
      <c r="Z163">
        <v>0</v>
      </c>
      <c r="AA163" t="s">
        <v>90</v>
      </c>
      <c r="AB163">
        <v>0</v>
      </c>
      <c r="AC163">
        <v>7.2804199999999999E-2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Q163" t="s">
        <v>262</v>
      </c>
      <c r="AR163" t="s">
        <v>263</v>
      </c>
      <c r="AS163">
        <v>7.0000000000000007E-2</v>
      </c>
    </row>
    <row r="164" spans="1:45" x14ac:dyDescent="0.15">
      <c r="A164" s="4" t="str">
        <f>HYPERLINK("https://ibp.a2mac1.com/costing(costing:projects/details/9760/material/8752851)","PP-TD20 adjusted (part)")</f>
        <v>PP-TD20 adjusted (part)</v>
      </c>
      <c r="B164">
        <v>8752851</v>
      </c>
      <c r="C164">
        <v>12083969</v>
      </c>
      <c r="E164">
        <v>0.04</v>
      </c>
      <c r="F164" t="s">
        <v>478</v>
      </c>
      <c r="G164">
        <v>100</v>
      </c>
      <c r="H164" t="s">
        <v>479</v>
      </c>
      <c r="I164">
        <v>5</v>
      </c>
      <c r="J164">
        <v>0.50345253019720215</v>
      </c>
      <c r="K164">
        <v>0</v>
      </c>
      <c r="L164">
        <v>0</v>
      </c>
      <c r="M164">
        <v>0</v>
      </c>
      <c r="O164">
        <v>200000</v>
      </c>
      <c r="R164" t="s">
        <v>162</v>
      </c>
      <c r="S164">
        <v>0</v>
      </c>
      <c r="T164">
        <v>2.0239999999999999E-4</v>
      </c>
      <c r="U164" t="s">
        <v>176</v>
      </c>
      <c r="V164">
        <v>1.4E-3</v>
      </c>
      <c r="W164">
        <v>4.1602399999999998E-2</v>
      </c>
      <c r="X164" t="s">
        <v>90</v>
      </c>
      <c r="Y164">
        <v>0</v>
      </c>
      <c r="Z164">
        <v>0</v>
      </c>
      <c r="AA164" t="s">
        <v>90</v>
      </c>
      <c r="AB164">
        <v>0</v>
      </c>
      <c r="AC164">
        <v>4.1602399999999998E-2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Q164" t="s">
        <v>262</v>
      </c>
      <c r="AR164" t="s">
        <v>263</v>
      </c>
      <c r="AS164">
        <v>0.04</v>
      </c>
    </row>
    <row r="165" spans="1:45" x14ac:dyDescent="0.15">
      <c r="A165" s="4" t="str">
        <f>HYPERLINK("https://ibp.a2mac1.com/costing(costing:projects/details/9760/material/8752852)","PA6-PA66")</f>
        <v>PA6-PA66</v>
      </c>
      <c r="B165">
        <v>8752852</v>
      </c>
      <c r="C165">
        <v>12083970</v>
      </c>
      <c r="E165">
        <v>0.1</v>
      </c>
      <c r="F165" t="s">
        <v>478</v>
      </c>
      <c r="G165">
        <v>100</v>
      </c>
      <c r="H165" t="s">
        <v>479</v>
      </c>
      <c r="I165">
        <v>0</v>
      </c>
      <c r="J165">
        <v>0.50048257265952256</v>
      </c>
      <c r="K165">
        <v>0</v>
      </c>
      <c r="L165">
        <v>0</v>
      </c>
      <c r="M165">
        <v>0</v>
      </c>
      <c r="O165">
        <v>400000</v>
      </c>
      <c r="R165" t="s">
        <v>162</v>
      </c>
      <c r="S165">
        <v>0</v>
      </c>
      <c r="T165">
        <v>5.0299999999999997E-4</v>
      </c>
      <c r="U165" t="s">
        <v>176</v>
      </c>
      <c r="V165">
        <v>3.5000000000000001E-3</v>
      </c>
      <c r="W165">
        <v>0.104003</v>
      </c>
      <c r="X165" t="s">
        <v>90</v>
      </c>
      <c r="Y165">
        <v>0</v>
      </c>
      <c r="Z165">
        <v>0</v>
      </c>
      <c r="AA165" t="s">
        <v>90</v>
      </c>
      <c r="AB165">
        <v>0</v>
      </c>
      <c r="AC165">
        <v>0.104003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Q165" t="s">
        <v>9</v>
      </c>
      <c r="AR165" t="s">
        <v>263</v>
      </c>
      <c r="AS165">
        <v>0.1</v>
      </c>
    </row>
    <row r="166" spans="1:45" x14ac:dyDescent="0.15">
      <c r="A166" s="4" t="str">
        <f>HYPERLINK("https://ibp.a2mac1.com/costing(costing:projects/details/9760/material/8752740)","PP-EPDM-TD20 adjusted (part)")</f>
        <v>PP-EPDM-TD20 adjusted (part)</v>
      </c>
      <c r="B166">
        <v>8752740</v>
      </c>
      <c r="C166">
        <v>12083855</v>
      </c>
      <c r="E166">
        <v>0.4</v>
      </c>
      <c r="F166" t="s">
        <v>478</v>
      </c>
      <c r="G166">
        <v>100</v>
      </c>
      <c r="H166" t="s">
        <v>479</v>
      </c>
      <c r="I166">
        <v>5</v>
      </c>
      <c r="J166">
        <v>0.50345253019720215</v>
      </c>
      <c r="K166">
        <v>0</v>
      </c>
      <c r="L166">
        <v>0</v>
      </c>
      <c r="M166">
        <v>0</v>
      </c>
      <c r="O166">
        <v>200000</v>
      </c>
      <c r="R166" t="s">
        <v>162</v>
      </c>
      <c r="S166">
        <v>0</v>
      </c>
      <c r="T166">
        <v>2.0240000000000002E-3</v>
      </c>
      <c r="U166" t="s">
        <v>176</v>
      </c>
      <c r="V166">
        <v>1.4E-2</v>
      </c>
      <c r="W166">
        <v>0.416024</v>
      </c>
      <c r="X166" t="s">
        <v>90</v>
      </c>
      <c r="Y166">
        <v>0</v>
      </c>
      <c r="Z166">
        <v>0</v>
      </c>
      <c r="AA166" t="s">
        <v>90</v>
      </c>
      <c r="AB166">
        <v>0</v>
      </c>
      <c r="AC166">
        <v>0.416024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Q166" t="s">
        <v>262</v>
      </c>
      <c r="AR166" t="s">
        <v>263</v>
      </c>
      <c r="AS166">
        <v>0.4</v>
      </c>
    </row>
    <row r="167" spans="1:45" x14ac:dyDescent="0.15">
      <c r="A167" s="4" t="str">
        <f>HYPERLINK("https://ibp.a2mac1.com/costing(costing:projects/details/9760/material/8752741)","PP-EPDM-TD20 adjusted (part)")</f>
        <v>PP-EPDM-TD20 adjusted (part)</v>
      </c>
      <c r="B167">
        <v>8752741</v>
      </c>
      <c r="C167">
        <v>12083856</v>
      </c>
      <c r="E167">
        <v>0.4</v>
      </c>
      <c r="F167" t="s">
        <v>478</v>
      </c>
      <c r="G167">
        <v>100</v>
      </c>
      <c r="H167" t="s">
        <v>479</v>
      </c>
      <c r="I167">
        <v>5</v>
      </c>
      <c r="J167">
        <v>0.50345253019720215</v>
      </c>
      <c r="K167">
        <v>0</v>
      </c>
      <c r="L167">
        <v>0</v>
      </c>
      <c r="M167">
        <v>0</v>
      </c>
      <c r="O167">
        <v>200000</v>
      </c>
      <c r="R167" t="s">
        <v>162</v>
      </c>
      <c r="S167">
        <v>0</v>
      </c>
      <c r="T167">
        <v>2.0240000000000002E-3</v>
      </c>
      <c r="U167" t="s">
        <v>176</v>
      </c>
      <c r="V167">
        <v>1.4E-2</v>
      </c>
      <c r="W167">
        <v>0.416024</v>
      </c>
      <c r="X167" t="s">
        <v>90</v>
      </c>
      <c r="Y167">
        <v>0</v>
      </c>
      <c r="Z167">
        <v>0</v>
      </c>
      <c r="AA167" t="s">
        <v>90</v>
      </c>
      <c r="AB167">
        <v>0</v>
      </c>
      <c r="AC167">
        <v>0.416024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Q167" t="s">
        <v>262</v>
      </c>
      <c r="AR167" t="s">
        <v>263</v>
      </c>
      <c r="AS167">
        <v>0.4</v>
      </c>
    </row>
    <row r="168" spans="1:45" x14ac:dyDescent="0.15">
      <c r="A168" s="4" t="str">
        <f>HYPERLINK("https://ibp.a2mac1.com/costing(costing:projects/details/9760/material/8752742)","PP-GF15 adjusted (part)")</f>
        <v>PP-GF15 adjusted (part)</v>
      </c>
      <c r="B168">
        <v>8752742</v>
      </c>
      <c r="C168">
        <v>12083857</v>
      </c>
      <c r="E168">
        <v>0.24</v>
      </c>
      <c r="F168" t="s">
        <v>478</v>
      </c>
      <c r="G168">
        <v>100</v>
      </c>
      <c r="H168" t="s">
        <v>479</v>
      </c>
      <c r="I168">
        <v>30</v>
      </c>
      <c r="J168">
        <v>0.50345253019720215</v>
      </c>
      <c r="K168">
        <v>0</v>
      </c>
      <c r="L168">
        <v>0</v>
      </c>
      <c r="M168">
        <v>0</v>
      </c>
      <c r="O168">
        <v>200000</v>
      </c>
      <c r="R168" t="s">
        <v>162</v>
      </c>
      <c r="S168">
        <v>0</v>
      </c>
      <c r="T168">
        <v>1.2144E-3</v>
      </c>
      <c r="U168" t="s">
        <v>176</v>
      </c>
      <c r="V168">
        <v>8.3999999999999995E-3</v>
      </c>
      <c r="W168">
        <v>0.24961439999999999</v>
      </c>
      <c r="X168" t="s">
        <v>90</v>
      </c>
      <c r="Y168">
        <v>0</v>
      </c>
      <c r="Z168">
        <v>0</v>
      </c>
      <c r="AA168" t="s">
        <v>90</v>
      </c>
      <c r="AB168">
        <v>0</v>
      </c>
      <c r="AC168">
        <v>0.24961439999999999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Q168" t="s">
        <v>262</v>
      </c>
      <c r="AR168" t="s">
        <v>263</v>
      </c>
      <c r="AS168">
        <v>0.24</v>
      </c>
    </row>
    <row r="169" spans="1:45" x14ac:dyDescent="0.15">
      <c r="A169" s="4" t="str">
        <f>HYPERLINK("https://ibp.a2mac1.com/costing(costing:projects/details/9760/material/8752743)","Steel sheet (default) adjusted (part)")</f>
        <v>Steel sheet (default) adjusted (part)</v>
      </c>
      <c r="B169">
        <v>8752743</v>
      </c>
      <c r="C169">
        <v>12083858</v>
      </c>
      <c r="E169">
        <v>3.05</v>
      </c>
      <c r="F169" t="s">
        <v>478</v>
      </c>
      <c r="G169">
        <v>100</v>
      </c>
      <c r="H169" t="s">
        <v>479</v>
      </c>
      <c r="I169">
        <v>30</v>
      </c>
      <c r="J169">
        <v>0.50345253019720215</v>
      </c>
      <c r="K169">
        <v>0</v>
      </c>
      <c r="L169">
        <v>0</v>
      </c>
      <c r="M169">
        <v>0</v>
      </c>
      <c r="O169">
        <v>200000</v>
      </c>
      <c r="R169" t="s">
        <v>162</v>
      </c>
      <c r="S169">
        <v>0</v>
      </c>
      <c r="T169">
        <v>1.5433000000000001E-2</v>
      </c>
      <c r="U169" t="s">
        <v>176</v>
      </c>
      <c r="V169">
        <v>0.10675</v>
      </c>
      <c r="W169">
        <v>3.172183</v>
      </c>
      <c r="X169" t="s">
        <v>90</v>
      </c>
      <c r="Y169">
        <v>0</v>
      </c>
      <c r="Z169">
        <v>0</v>
      </c>
      <c r="AA169" t="s">
        <v>90</v>
      </c>
      <c r="AB169">
        <v>0</v>
      </c>
      <c r="AC169">
        <v>3.172183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Q169" t="s">
        <v>262</v>
      </c>
      <c r="AR169" t="s">
        <v>263</v>
      </c>
      <c r="AS169">
        <v>3.05</v>
      </c>
    </row>
    <row r="170" spans="1:45" x14ac:dyDescent="0.15">
      <c r="A170" s="4" t="str">
        <f>HYPERLINK("https://ibp.a2mac1.com/costing(costing:projects/details/9760/material/8752744)","PUR adjusted (part)")</f>
        <v>PUR adjusted (part)</v>
      </c>
      <c r="B170">
        <v>8752744</v>
      </c>
      <c r="C170">
        <v>12083859</v>
      </c>
      <c r="E170">
        <v>0.21</v>
      </c>
      <c r="F170" t="s">
        <v>478</v>
      </c>
      <c r="G170">
        <v>100</v>
      </c>
      <c r="H170" t="s">
        <v>479</v>
      </c>
      <c r="I170">
        <v>5</v>
      </c>
      <c r="J170">
        <v>0.50345253019720215</v>
      </c>
      <c r="K170">
        <v>0</v>
      </c>
      <c r="L170">
        <v>0</v>
      </c>
      <c r="M170">
        <v>0</v>
      </c>
      <c r="O170">
        <v>200000</v>
      </c>
      <c r="R170" t="s">
        <v>162</v>
      </c>
      <c r="S170">
        <v>0</v>
      </c>
      <c r="T170">
        <v>1.0625999999999999E-3</v>
      </c>
      <c r="U170" t="s">
        <v>176</v>
      </c>
      <c r="V170">
        <v>7.3499999999999998E-3</v>
      </c>
      <c r="W170">
        <v>0.21841260000000001</v>
      </c>
      <c r="X170" t="s">
        <v>90</v>
      </c>
      <c r="Y170">
        <v>0</v>
      </c>
      <c r="Z170">
        <v>0</v>
      </c>
      <c r="AA170" t="s">
        <v>90</v>
      </c>
      <c r="AB170">
        <v>0</v>
      </c>
      <c r="AC170">
        <v>0.21841260000000001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Q170" t="s">
        <v>262</v>
      </c>
      <c r="AR170" t="s">
        <v>263</v>
      </c>
      <c r="AS170">
        <v>0.21</v>
      </c>
    </row>
    <row r="171" spans="1:45" x14ac:dyDescent="0.15">
      <c r="A171" s="4" t="str">
        <f>HYPERLINK("https://ibp.a2mac1.com/costing(costing:projects/details/9760/material/8752745)","PUR adjusted (part)")</f>
        <v>PUR adjusted (part)</v>
      </c>
      <c r="B171">
        <v>8752745</v>
      </c>
      <c r="C171">
        <v>12083860</v>
      </c>
      <c r="E171">
        <v>2.82</v>
      </c>
      <c r="F171" t="s">
        <v>478</v>
      </c>
      <c r="G171">
        <v>100</v>
      </c>
      <c r="H171" t="s">
        <v>479</v>
      </c>
      <c r="I171">
        <v>5</v>
      </c>
      <c r="J171">
        <v>0.50345253019720215</v>
      </c>
      <c r="K171">
        <v>0</v>
      </c>
      <c r="L171">
        <v>0</v>
      </c>
      <c r="M171">
        <v>0</v>
      </c>
      <c r="O171">
        <v>200000</v>
      </c>
      <c r="R171" t="s">
        <v>162</v>
      </c>
      <c r="S171">
        <v>0</v>
      </c>
      <c r="T171">
        <v>1.4269199999999999E-2</v>
      </c>
      <c r="U171" t="s">
        <v>176</v>
      </c>
      <c r="V171">
        <v>9.8699999999999996E-2</v>
      </c>
      <c r="W171">
        <v>2.9329692000000001</v>
      </c>
      <c r="X171" t="s">
        <v>90</v>
      </c>
      <c r="Y171">
        <v>0</v>
      </c>
      <c r="Z171">
        <v>0</v>
      </c>
      <c r="AA171" t="s">
        <v>90</v>
      </c>
      <c r="AB171">
        <v>0</v>
      </c>
      <c r="AC171">
        <v>2.9329692000000001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Q171" t="s">
        <v>262</v>
      </c>
      <c r="AR171" t="s">
        <v>263</v>
      </c>
      <c r="AS171">
        <v>2.82</v>
      </c>
    </row>
    <row r="172" spans="1:45" x14ac:dyDescent="0.15">
      <c r="A172" s="4" t="str">
        <f>HYPERLINK("https://ibp.a2mac1.com/costing(costing:projects/details/9760/material/8752746)","Leather")</f>
        <v>Leather</v>
      </c>
      <c r="B172">
        <v>8752746</v>
      </c>
      <c r="C172">
        <v>12083861</v>
      </c>
      <c r="E172">
        <v>22.05</v>
      </c>
      <c r="F172" t="s">
        <v>478</v>
      </c>
      <c r="G172">
        <v>100</v>
      </c>
      <c r="H172" t="s">
        <v>479</v>
      </c>
      <c r="I172">
        <v>0</v>
      </c>
      <c r="J172">
        <v>0.50345253019720215</v>
      </c>
      <c r="K172">
        <v>0</v>
      </c>
      <c r="L172">
        <v>0</v>
      </c>
      <c r="M172">
        <v>0</v>
      </c>
      <c r="O172">
        <v>200000</v>
      </c>
      <c r="R172" t="s">
        <v>162</v>
      </c>
      <c r="S172">
        <v>0</v>
      </c>
      <c r="T172">
        <v>0.11157300000000001</v>
      </c>
      <c r="U172" t="s">
        <v>176</v>
      </c>
      <c r="V172">
        <v>0.77175000000000005</v>
      </c>
      <c r="W172">
        <v>22.933323000000001</v>
      </c>
      <c r="X172" t="s">
        <v>90</v>
      </c>
      <c r="Y172">
        <v>0</v>
      </c>
      <c r="Z172">
        <v>0</v>
      </c>
      <c r="AA172" t="s">
        <v>90</v>
      </c>
      <c r="AB172">
        <v>0</v>
      </c>
      <c r="AC172">
        <v>22.933323000000001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Q172" t="s">
        <v>9</v>
      </c>
      <c r="AR172" t="s">
        <v>263</v>
      </c>
      <c r="AS172">
        <v>22.05</v>
      </c>
    </row>
    <row r="173" spans="1:45" x14ac:dyDescent="0.15">
      <c r="A173" s="4" t="str">
        <f>HYPERLINK("https://ibp.a2mac1.com/costing(costing:projects/details/9760/material/8752853)","PP-EPDM-TD20 adjusted (part)")</f>
        <v>PP-EPDM-TD20 adjusted (part)</v>
      </c>
      <c r="B173">
        <v>8752853</v>
      </c>
      <c r="C173">
        <v>12083971</v>
      </c>
      <c r="E173">
        <v>0.47</v>
      </c>
      <c r="F173" t="s">
        <v>478</v>
      </c>
      <c r="G173">
        <v>100</v>
      </c>
      <c r="H173" t="s">
        <v>479</v>
      </c>
      <c r="I173">
        <v>5</v>
      </c>
      <c r="J173">
        <v>0.50345253019720215</v>
      </c>
      <c r="K173">
        <v>0</v>
      </c>
      <c r="L173">
        <v>0</v>
      </c>
      <c r="M173">
        <v>0</v>
      </c>
      <c r="O173">
        <v>200000</v>
      </c>
      <c r="R173" t="s">
        <v>162</v>
      </c>
      <c r="S173">
        <v>0</v>
      </c>
      <c r="T173">
        <v>2.3782E-3</v>
      </c>
      <c r="U173" t="s">
        <v>176</v>
      </c>
      <c r="V173">
        <v>1.6449999999999999E-2</v>
      </c>
      <c r="W173">
        <v>0.48882819999999999</v>
      </c>
      <c r="X173" t="s">
        <v>90</v>
      </c>
      <c r="Y173">
        <v>0</v>
      </c>
      <c r="Z173">
        <v>0</v>
      </c>
      <c r="AA173" t="s">
        <v>90</v>
      </c>
      <c r="AB173">
        <v>0</v>
      </c>
      <c r="AC173">
        <v>0.48882819999999999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Q173" t="s">
        <v>262</v>
      </c>
      <c r="AR173" t="s">
        <v>263</v>
      </c>
      <c r="AS173">
        <v>0.47</v>
      </c>
    </row>
    <row r="174" spans="1:45" x14ac:dyDescent="0.15">
      <c r="A174" s="4" t="str">
        <f>HYPERLINK("https://ibp.a2mac1.com/costing(costing:projects/details/9760/material/8752854)","PP-EPDM-TD20 adjusted (part)")</f>
        <v>PP-EPDM-TD20 adjusted (part)</v>
      </c>
      <c r="B174">
        <v>8752854</v>
      </c>
      <c r="C174">
        <v>12083972</v>
      </c>
      <c r="E174">
        <v>0.21</v>
      </c>
      <c r="F174" t="s">
        <v>478</v>
      </c>
      <c r="G174">
        <v>100</v>
      </c>
      <c r="H174" t="s">
        <v>479</v>
      </c>
      <c r="I174">
        <v>5</v>
      </c>
      <c r="J174">
        <v>0.50345253019720215</v>
      </c>
      <c r="K174">
        <v>0</v>
      </c>
      <c r="L174">
        <v>0</v>
      </c>
      <c r="M174">
        <v>0</v>
      </c>
      <c r="O174">
        <v>200000</v>
      </c>
      <c r="R174" t="s">
        <v>162</v>
      </c>
      <c r="S174">
        <v>0</v>
      </c>
      <c r="T174">
        <v>1.0625999999999999E-3</v>
      </c>
      <c r="U174" t="s">
        <v>176</v>
      </c>
      <c r="V174">
        <v>7.3499999999999998E-3</v>
      </c>
      <c r="W174">
        <v>0.21841260000000001</v>
      </c>
      <c r="X174" t="s">
        <v>90</v>
      </c>
      <c r="Y174">
        <v>0</v>
      </c>
      <c r="Z174">
        <v>0</v>
      </c>
      <c r="AA174" t="s">
        <v>90</v>
      </c>
      <c r="AB174">
        <v>0</v>
      </c>
      <c r="AC174">
        <v>0.21841260000000001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Q174" t="s">
        <v>262</v>
      </c>
      <c r="AR174" t="s">
        <v>263</v>
      </c>
      <c r="AS174">
        <v>0.21</v>
      </c>
    </row>
    <row r="175" spans="1:45" x14ac:dyDescent="0.15">
      <c r="A175" s="4" t="str">
        <f>HYPERLINK("https://ibp.a2mac1.com/costing(costing:projects/details/9760/material/8752855)","PP-EPDM-TD20 adjusted (part)")</f>
        <v>PP-EPDM-TD20 adjusted (part)</v>
      </c>
      <c r="B175">
        <v>8752855</v>
      </c>
      <c r="C175">
        <v>12083973</v>
      </c>
      <c r="E175">
        <v>0.23</v>
      </c>
      <c r="F175" t="s">
        <v>478</v>
      </c>
      <c r="G175">
        <v>100</v>
      </c>
      <c r="H175" t="s">
        <v>479</v>
      </c>
      <c r="I175">
        <v>5</v>
      </c>
      <c r="J175">
        <v>0.50345253019720215</v>
      </c>
      <c r="K175">
        <v>0</v>
      </c>
      <c r="L175">
        <v>0</v>
      </c>
      <c r="M175">
        <v>0</v>
      </c>
      <c r="O175">
        <v>200000</v>
      </c>
      <c r="R175" t="s">
        <v>162</v>
      </c>
      <c r="S175">
        <v>0</v>
      </c>
      <c r="T175">
        <v>1.1638E-3</v>
      </c>
      <c r="U175" t="s">
        <v>176</v>
      </c>
      <c r="V175">
        <v>8.0499999999999999E-3</v>
      </c>
      <c r="W175">
        <v>0.2392138</v>
      </c>
      <c r="X175" t="s">
        <v>90</v>
      </c>
      <c r="Y175">
        <v>0</v>
      </c>
      <c r="Z175">
        <v>0</v>
      </c>
      <c r="AA175" t="s">
        <v>90</v>
      </c>
      <c r="AB175">
        <v>0</v>
      </c>
      <c r="AC175">
        <v>0.2392138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Q175" t="s">
        <v>262</v>
      </c>
      <c r="AR175" t="s">
        <v>263</v>
      </c>
      <c r="AS175">
        <v>0.23</v>
      </c>
    </row>
    <row r="176" spans="1:45" x14ac:dyDescent="0.15">
      <c r="A176" s="4" t="str">
        <f>HYPERLINK("https://ibp.a2mac1.com/costing(costing:projects/details/9760/material/8752856)","Steel sheet (default) adjusted (part)")</f>
        <v>Steel sheet (default) adjusted (part)</v>
      </c>
      <c r="B176">
        <v>8752856</v>
      </c>
      <c r="C176">
        <v>12083974</v>
      </c>
      <c r="E176">
        <v>0.17</v>
      </c>
      <c r="F176" t="s">
        <v>478</v>
      </c>
      <c r="G176">
        <v>100</v>
      </c>
      <c r="H176" t="s">
        <v>479</v>
      </c>
      <c r="I176">
        <v>30</v>
      </c>
      <c r="J176">
        <v>0.50345253019720215</v>
      </c>
      <c r="K176">
        <v>0</v>
      </c>
      <c r="L176">
        <v>0</v>
      </c>
      <c r="M176">
        <v>0</v>
      </c>
      <c r="O176">
        <v>200000</v>
      </c>
      <c r="R176" t="s">
        <v>162</v>
      </c>
      <c r="S176">
        <v>0</v>
      </c>
      <c r="T176">
        <v>8.6019999999999998E-4</v>
      </c>
      <c r="U176" t="s">
        <v>176</v>
      </c>
      <c r="V176">
        <v>5.9500000000000004E-3</v>
      </c>
      <c r="W176">
        <v>0.1768102</v>
      </c>
      <c r="X176" t="s">
        <v>90</v>
      </c>
      <c r="Y176">
        <v>0</v>
      </c>
      <c r="Z176">
        <v>0</v>
      </c>
      <c r="AA176" t="s">
        <v>90</v>
      </c>
      <c r="AB176">
        <v>0</v>
      </c>
      <c r="AC176">
        <v>0.1768102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Q176" t="s">
        <v>262</v>
      </c>
      <c r="AR176" t="s">
        <v>263</v>
      </c>
      <c r="AS176">
        <v>0.17</v>
      </c>
    </row>
    <row r="177" spans="1:45" x14ac:dyDescent="0.15">
      <c r="A177" s="4" t="str">
        <f>HYPERLINK("https://ibp.a2mac1.com/costing(costing:projects/details/9760/material/8752857)","PP-EPDM-TD20 adjusted (part)")</f>
        <v>PP-EPDM-TD20 adjusted (part)</v>
      </c>
      <c r="B177">
        <v>8752857</v>
      </c>
      <c r="C177">
        <v>12083975</v>
      </c>
      <c r="E177">
        <v>0.08</v>
      </c>
      <c r="F177" t="s">
        <v>478</v>
      </c>
      <c r="G177">
        <v>100</v>
      </c>
      <c r="H177" t="s">
        <v>479</v>
      </c>
      <c r="I177">
        <v>5</v>
      </c>
      <c r="J177">
        <v>0.50345253019720215</v>
      </c>
      <c r="K177">
        <v>0</v>
      </c>
      <c r="L177">
        <v>0</v>
      </c>
      <c r="M177">
        <v>0</v>
      </c>
      <c r="O177">
        <v>200000</v>
      </c>
      <c r="R177" t="s">
        <v>162</v>
      </c>
      <c r="S177">
        <v>0</v>
      </c>
      <c r="T177">
        <v>4.0479999999999997E-4</v>
      </c>
      <c r="U177" t="s">
        <v>176</v>
      </c>
      <c r="V177">
        <v>2.8E-3</v>
      </c>
      <c r="W177">
        <v>8.3204799999999995E-2</v>
      </c>
      <c r="X177" t="s">
        <v>90</v>
      </c>
      <c r="Y177">
        <v>0</v>
      </c>
      <c r="Z177">
        <v>0</v>
      </c>
      <c r="AA177" t="s">
        <v>90</v>
      </c>
      <c r="AB177">
        <v>0</v>
      </c>
      <c r="AC177">
        <v>8.3204799999999995E-2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Q177" t="s">
        <v>262</v>
      </c>
      <c r="AR177" t="s">
        <v>263</v>
      </c>
      <c r="AS177">
        <v>0.08</v>
      </c>
    </row>
    <row r="178" spans="1:45" x14ac:dyDescent="0.15">
      <c r="A178" s="4" t="str">
        <f>HYPERLINK("https://ibp.a2mac1.com/costing(costing:projects/details/9760/material/8752858)","PP-EPDM-TD20 adjusted (part)")</f>
        <v>PP-EPDM-TD20 adjusted (part)</v>
      </c>
      <c r="B178">
        <v>8752858</v>
      </c>
      <c r="C178">
        <v>12083976</v>
      </c>
      <c r="E178">
        <v>0.08</v>
      </c>
      <c r="F178" t="s">
        <v>478</v>
      </c>
      <c r="G178">
        <v>100</v>
      </c>
      <c r="H178" t="s">
        <v>479</v>
      </c>
      <c r="I178">
        <v>5</v>
      </c>
      <c r="J178">
        <v>0.50345253019720215</v>
      </c>
      <c r="K178">
        <v>0</v>
      </c>
      <c r="L178">
        <v>0</v>
      </c>
      <c r="M178">
        <v>0</v>
      </c>
      <c r="O178">
        <v>200000</v>
      </c>
      <c r="R178" t="s">
        <v>162</v>
      </c>
      <c r="S178">
        <v>0</v>
      </c>
      <c r="T178">
        <v>4.0479999999999997E-4</v>
      </c>
      <c r="U178" t="s">
        <v>176</v>
      </c>
      <c r="V178">
        <v>2.8E-3</v>
      </c>
      <c r="W178">
        <v>8.3204799999999995E-2</v>
      </c>
      <c r="X178" t="s">
        <v>90</v>
      </c>
      <c r="Y178">
        <v>0</v>
      </c>
      <c r="Z178">
        <v>0</v>
      </c>
      <c r="AA178" t="s">
        <v>90</v>
      </c>
      <c r="AB178">
        <v>0</v>
      </c>
      <c r="AC178">
        <v>8.3204799999999995E-2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Q178" t="s">
        <v>262</v>
      </c>
      <c r="AR178" t="s">
        <v>263</v>
      </c>
      <c r="AS178">
        <v>0.08</v>
      </c>
    </row>
    <row r="179" spans="1:45" x14ac:dyDescent="0.15">
      <c r="A179" s="4" t="str">
        <f>HYPERLINK("https://ibp.a2mac1.com/costing(costing:projects/details/9760/material/8752747)","Leather ")</f>
        <v xml:space="preserve">Leather </v>
      </c>
      <c r="B179">
        <v>8752747</v>
      </c>
      <c r="C179">
        <v>12083862</v>
      </c>
      <c r="E179">
        <v>14.76</v>
      </c>
      <c r="F179" t="s">
        <v>478</v>
      </c>
      <c r="G179">
        <v>100</v>
      </c>
      <c r="H179" t="s">
        <v>479</v>
      </c>
      <c r="I179">
        <v>0</v>
      </c>
      <c r="J179">
        <v>0.50345253019720215</v>
      </c>
      <c r="K179">
        <v>0</v>
      </c>
      <c r="L179">
        <v>0</v>
      </c>
      <c r="M179">
        <v>0</v>
      </c>
      <c r="O179">
        <v>200000</v>
      </c>
      <c r="R179" t="s">
        <v>162</v>
      </c>
      <c r="S179">
        <v>0</v>
      </c>
      <c r="T179">
        <v>7.4685600000000005E-2</v>
      </c>
      <c r="U179" t="s">
        <v>176</v>
      </c>
      <c r="V179">
        <v>0.51659999999999995</v>
      </c>
      <c r="W179">
        <v>15.351285600000001</v>
      </c>
      <c r="X179" t="s">
        <v>90</v>
      </c>
      <c r="Y179">
        <v>0</v>
      </c>
      <c r="Z179">
        <v>0</v>
      </c>
      <c r="AA179" t="s">
        <v>90</v>
      </c>
      <c r="AB179">
        <v>0</v>
      </c>
      <c r="AC179">
        <v>15.351285600000001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Q179" t="s">
        <v>9</v>
      </c>
      <c r="AR179" t="s">
        <v>263</v>
      </c>
      <c r="AS179">
        <v>14.76</v>
      </c>
    </row>
    <row r="180" spans="1:45" x14ac:dyDescent="0.15">
      <c r="A180" s="4" t="str">
        <f>HYPERLINK("https://ibp.a2mac1.com/costing(costing:projects/details/9760/material/8752748)","PUR adjusted (part)")</f>
        <v>PUR adjusted (part)</v>
      </c>
      <c r="B180">
        <v>8752748</v>
      </c>
      <c r="C180">
        <v>12083863</v>
      </c>
      <c r="E180">
        <v>2.85</v>
      </c>
      <c r="F180" t="s">
        <v>478</v>
      </c>
      <c r="G180">
        <v>100</v>
      </c>
      <c r="H180" t="s">
        <v>479</v>
      </c>
      <c r="I180">
        <v>5</v>
      </c>
      <c r="J180">
        <v>0.50345253019720215</v>
      </c>
      <c r="K180">
        <v>0</v>
      </c>
      <c r="L180">
        <v>0</v>
      </c>
      <c r="M180">
        <v>0</v>
      </c>
      <c r="O180">
        <v>200000</v>
      </c>
      <c r="R180" t="s">
        <v>162</v>
      </c>
      <c r="S180">
        <v>0</v>
      </c>
      <c r="T180">
        <v>1.4421E-2</v>
      </c>
      <c r="U180" t="s">
        <v>176</v>
      </c>
      <c r="V180">
        <v>9.9750000000000005E-2</v>
      </c>
      <c r="W180">
        <v>2.9641709999999999</v>
      </c>
      <c r="X180" t="s">
        <v>90</v>
      </c>
      <c r="Y180">
        <v>0</v>
      </c>
      <c r="Z180">
        <v>0</v>
      </c>
      <c r="AA180" t="s">
        <v>90</v>
      </c>
      <c r="AB180">
        <v>0</v>
      </c>
      <c r="AC180">
        <v>2.9641709999999999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Q180" t="s">
        <v>262</v>
      </c>
      <c r="AR180" t="s">
        <v>263</v>
      </c>
      <c r="AS180">
        <v>2.85</v>
      </c>
    </row>
    <row r="181" spans="1:45" x14ac:dyDescent="0.15">
      <c r="A181" s="4" t="str">
        <f>HYPERLINK("https://ibp.a2mac1.com/costing(costing:projects/details/9760/material/8752749)","Steel sheet (default) adjusted (part)")</f>
        <v>Steel sheet (default) adjusted (part)</v>
      </c>
      <c r="B181">
        <v>8752749</v>
      </c>
      <c r="C181">
        <v>12083864</v>
      </c>
      <c r="E181">
        <v>6.47</v>
      </c>
      <c r="F181" t="s">
        <v>478</v>
      </c>
      <c r="G181">
        <v>100</v>
      </c>
      <c r="H181" t="s">
        <v>479</v>
      </c>
      <c r="I181">
        <v>30</v>
      </c>
      <c r="J181">
        <v>0.50345253019720215</v>
      </c>
      <c r="K181">
        <v>0</v>
      </c>
      <c r="L181">
        <v>0</v>
      </c>
      <c r="M181">
        <v>0</v>
      </c>
      <c r="O181">
        <v>200000</v>
      </c>
      <c r="R181" t="s">
        <v>162</v>
      </c>
      <c r="S181">
        <v>0</v>
      </c>
      <c r="T181">
        <v>3.2738200000000002E-2</v>
      </c>
      <c r="U181" t="s">
        <v>176</v>
      </c>
      <c r="V181">
        <v>0.22645000000000001</v>
      </c>
      <c r="W181">
        <v>6.7291882000000003</v>
      </c>
      <c r="X181" t="s">
        <v>90</v>
      </c>
      <c r="Y181">
        <v>0</v>
      </c>
      <c r="Z181">
        <v>0</v>
      </c>
      <c r="AA181" t="s">
        <v>90</v>
      </c>
      <c r="AB181">
        <v>0</v>
      </c>
      <c r="AC181">
        <v>6.7291882000000003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Q181" t="s">
        <v>262</v>
      </c>
      <c r="AR181" t="s">
        <v>263</v>
      </c>
      <c r="AS181">
        <v>6.47</v>
      </c>
    </row>
    <row r="182" spans="1:45" x14ac:dyDescent="0.15">
      <c r="A182" s="4" t="str">
        <f>HYPERLINK("https://ibp.a2mac1.com/costing(costing:projects/details/9760/material/8752750)","PUR adjusted (part)")</f>
        <v>PUR adjusted (part)</v>
      </c>
      <c r="B182">
        <v>8752750</v>
      </c>
      <c r="C182">
        <v>12083865</v>
      </c>
      <c r="E182">
        <v>0.21</v>
      </c>
      <c r="F182" t="s">
        <v>478</v>
      </c>
      <c r="G182">
        <v>100</v>
      </c>
      <c r="H182" t="s">
        <v>479</v>
      </c>
      <c r="I182">
        <v>5</v>
      </c>
      <c r="J182">
        <v>0.50345253019720215</v>
      </c>
      <c r="K182">
        <v>0</v>
      </c>
      <c r="L182">
        <v>0</v>
      </c>
      <c r="M182">
        <v>0</v>
      </c>
      <c r="O182">
        <v>200000</v>
      </c>
      <c r="R182" t="s">
        <v>162</v>
      </c>
      <c r="S182">
        <v>0</v>
      </c>
      <c r="T182">
        <v>1.0625999999999999E-3</v>
      </c>
      <c r="U182" t="s">
        <v>176</v>
      </c>
      <c r="V182">
        <v>7.3499999999999998E-3</v>
      </c>
      <c r="W182">
        <v>0.21841260000000001</v>
      </c>
      <c r="X182" t="s">
        <v>90</v>
      </c>
      <c r="Y182">
        <v>0</v>
      </c>
      <c r="Z182">
        <v>0</v>
      </c>
      <c r="AA182" t="s">
        <v>90</v>
      </c>
      <c r="AB182">
        <v>0</v>
      </c>
      <c r="AC182">
        <v>0.21841260000000001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Q182" t="s">
        <v>262</v>
      </c>
      <c r="AR182" t="s">
        <v>263</v>
      </c>
      <c r="AS182">
        <v>0.21</v>
      </c>
    </row>
    <row r="183" spans="1:45" x14ac:dyDescent="0.15">
      <c r="A183" s="4" t="str">
        <f>HYPERLINK("https://ibp.a2mac1.com/costing(costing:projects/details/9760/material/8752859)","PA66 VMQ (airbag) adjusted (part)")</f>
        <v>PA66 VMQ (airbag) adjusted (part)</v>
      </c>
      <c r="B183">
        <v>8752859</v>
      </c>
      <c r="C183">
        <v>12083977</v>
      </c>
      <c r="E183">
        <v>4.08</v>
      </c>
      <c r="F183" t="s">
        <v>478</v>
      </c>
      <c r="G183">
        <v>100</v>
      </c>
      <c r="H183" t="s">
        <v>479</v>
      </c>
      <c r="I183">
        <v>0</v>
      </c>
      <c r="J183">
        <v>0.50345253019720215</v>
      </c>
      <c r="K183">
        <v>0</v>
      </c>
      <c r="L183">
        <v>0</v>
      </c>
      <c r="M183">
        <v>0</v>
      </c>
      <c r="O183">
        <v>200000</v>
      </c>
      <c r="R183" t="s">
        <v>162</v>
      </c>
      <c r="S183">
        <v>0</v>
      </c>
      <c r="T183">
        <v>2.0644800000000001E-2</v>
      </c>
      <c r="U183" t="s">
        <v>176</v>
      </c>
      <c r="V183">
        <v>0.14280000000000001</v>
      </c>
      <c r="W183">
        <v>4.2434447999999998</v>
      </c>
      <c r="X183" t="s">
        <v>90</v>
      </c>
      <c r="Y183">
        <v>0</v>
      </c>
      <c r="Z183">
        <v>0</v>
      </c>
      <c r="AA183" t="s">
        <v>90</v>
      </c>
      <c r="AB183">
        <v>0</v>
      </c>
      <c r="AC183">
        <v>4.2434447999999998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Q183" t="s">
        <v>262</v>
      </c>
      <c r="AR183" t="s">
        <v>263</v>
      </c>
      <c r="AS183">
        <v>4.08</v>
      </c>
    </row>
    <row r="184" spans="1:45" x14ac:dyDescent="0.15">
      <c r="A184" s="4" t="str">
        <f>HYPERLINK("https://ibp.a2mac1.com/costing(costing:projects/details/9760/material/8752896)","Steel sheet (default) adjusted (part)")</f>
        <v>Steel sheet (default) adjusted (part)</v>
      </c>
      <c r="B184">
        <v>8752896</v>
      </c>
      <c r="C184">
        <v>12084014</v>
      </c>
      <c r="E184">
        <v>2.2999999999999998</v>
      </c>
      <c r="F184" t="s">
        <v>478</v>
      </c>
      <c r="G184">
        <v>100</v>
      </c>
      <c r="H184" t="s">
        <v>479</v>
      </c>
      <c r="I184">
        <v>30</v>
      </c>
      <c r="J184">
        <v>0.50345253019720215</v>
      </c>
      <c r="K184">
        <v>0</v>
      </c>
      <c r="L184">
        <v>0</v>
      </c>
      <c r="M184">
        <v>0</v>
      </c>
      <c r="O184">
        <v>200000</v>
      </c>
      <c r="R184" t="s">
        <v>162</v>
      </c>
      <c r="S184">
        <v>0</v>
      </c>
      <c r="T184">
        <v>1.1638000000000001E-2</v>
      </c>
      <c r="U184" t="s">
        <v>176</v>
      </c>
      <c r="V184">
        <v>8.0500000000000002E-2</v>
      </c>
      <c r="W184">
        <v>2.3921380000000001</v>
      </c>
      <c r="X184" t="s">
        <v>90</v>
      </c>
      <c r="Y184">
        <v>0</v>
      </c>
      <c r="Z184">
        <v>0</v>
      </c>
      <c r="AA184" t="s">
        <v>90</v>
      </c>
      <c r="AB184">
        <v>0</v>
      </c>
      <c r="AC184">
        <v>2.3921380000000001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Q184" t="s">
        <v>262</v>
      </c>
      <c r="AR184" t="s">
        <v>263</v>
      </c>
      <c r="AS184">
        <v>2.2999999999999998</v>
      </c>
    </row>
    <row r="185" spans="1:45" x14ac:dyDescent="0.15">
      <c r="A185" s="4" t="str">
        <f>HYPERLINK("https://ibp.a2mac1.com/costing(costing:projects/details/9760/material/8752897)","Steel sheet (default) adjusted (part)")</f>
        <v>Steel sheet (default) adjusted (part)</v>
      </c>
      <c r="B185">
        <v>8752897</v>
      </c>
      <c r="C185">
        <v>12084015</v>
      </c>
      <c r="E185">
        <v>2.2999999999999998</v>
      </c>
      <c r="F185" t="s">
        <v>478</v>
      </c>
      <c r="G185">
        <v>100</v>
      </c>
      <c r="H185" t="s">
        <v>479</v>
      </c>
      <c r="I185">
        <v>30</v>
      </c>
      <c r="J185">
        <v>0.50345253019720215</v>
      </c>
      <c r="K185">
        <v>0</v>
      </c>
      <c r="L185">
        <v>0</v>
      </c>
      <c r="M185">
        <v>0</v>
      </c>
      <c r="O185">
        <v>200000</v>
      </c>
      <c r="R185" t="s">
        <v>162</v>
      </c>
      <c r="S185">
        <v>0</v>
      </c>
      <c r="T185">
        <v>1.1638000000000001E-2</v>
      </c>
      <c r="U185" t="s">
        <v>176</v>
      </c>
      <c r="V185">
        <v>8.0500000000000002E-2</v>
      </c>
      <c r="W185">
        <v>2.3921380000000001</v>
      </c>
      <c r="X185" t="s">
        <v>90</v>
      </c>
      <c r="Y185">
        <v>0</v>
      </c>
      <c r="Z185">
        <v>0</v>
      </c>
      <c r="AA185" t="s">
        <v>90</v>
      </c>
      <c r="AB185">
        <v>0</v>
      </c>
      <c r="AC185">
        <v>2.3921380000000001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Q185" t="s">
        <v>262</v>
      </c>
      <c r="AR185" t="s">
        <v>263</v>
      </c>
      <c r="AS185">
        <v>2.2999999999999998</v>
      </c>
    </row>
    <row r="186" spans="1:45" x14ac:dyDescent="0.15">
      <c r="A186" s="4" t="str">
        <f>HYPERLINK("https://ibp.a2mac1.com/costing(costing:projects/details/9760/material/8752860)","PP-GF30 adjusted (part)")</f>
        <v>PP-GF30 adjusted (part)</v>
      </c>
      <c r="B186">
        <v>8752860</v>
      </c>
      <c r="C186">
        <v>12083978</v>
      </c>
      <c r="E186">
        <v>0.25</v>
      </c>
      <c r="F186" t="s">
        <v>478</v>
      </c>
      <c r="G186">
        <v>100</v>
      </c>
      <c r="H186" t="s">
        <v>479</v>
      </c>
      <c r="I186">
        <v>30</v>
      </c>
      <c r="J186">
        <v>0.50345253019720215</v>
      </c>
      <c r="K186">
        <v>0</v>
      </c>
      <c r="L186">
        <v>0</v>
      </c>
      <c r="M186">
        <v>0</v>
      </c>
      <c r="O186">
        <v>200000</v>
      </c>
      <c r="R186" t="s">
        <v>162</v>
      </c>
      <c r="S186">
        <v>0</v>
      </c>
      <c r="T186">
        <v>1.2650000000000001E-3</v>
      </c>
      <c r="U186" t="s">
        <v>176</v>
      </c>
      <c r="V186">
        <v>8.7500000000000008E-3</v>
      </c>
      <c r="W186">
        <v>0.260015</v>
      </c>
      <c r="X186" t="s">
        <v>90</v>
      </c>
      <c r="Y186">
        <v>0</v>
      </c>
      <c r="Z186">
        <v>0</v>
      </c>
      <c r="AA186" t="s">
        <v>90</v>
      </c>
      <c r="AB186">
        <v>0</v>
      </c>
      <c r="AC186">
        <v>0.260015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Q186" t="s">
        <v>262</v>
      </c>
      <c r="AR186" t="s">
        <v>263</v>
      </c>
      <c r="AS186">
        <v>0.25</v>
      </c>
    </row>
    <row r="187" spans="1:45" x14ac:dyDescent="0.15">
      <c r="A187" s="4" t="str">
        <f>HYPERLINK("https://ibp.a2mac1.com/costing(costing:projects/details/9760/material/8752861)","PC-ABS adjusted (part)")</f>
        <v>PC-ABS adjusted (part)</v>
      </c>
      <c r="B187">
        <v>8752861</v>
      </c>
      <c r="C187">
        <v>12083979</v>
      </c>
      <c r="E187">
        <v>0.02</v>
      </c>
      <c r="F187" t="s">
        <v>478</v>
      </c>
      <c r="G187">
        <v>100</v>
      </c>
      <c r="H187" t="s">
        <v>479</v>
      </c>
      <c r="I187">
        <v>5</v>
      </c>
      <c r="J187">
        <v>0.50345253019720215</v>
      </c>
      <c r="K187">
        <v>0</v>
      </c>
      <c r="L187">
        <v>0</v>
      </c>
      <c r="M187">
        <v>0</v>
      </c>
      <c r="O187">
        <v>200000</v>
      </c>
      <c r="R187" t="s">
        <v>162</v>
      </c>
      <c r="S187">
        <v>0</v>
      </c>
      <c r="T187">
        <v>1.0119999999999999E-4</v>
      </c>
      <c r="U187" t="s">
        <v>176</v>
      </c>
      <c r="V187">
        <v>6.9999999999999999E-4</v>
      </c>
      <c r="W187">
        <v>2.0801199999999999E-2</v>
      </c>
      <c r="X187" t="s">
        <v>90</v>
      </c>
      <c r="Y187">
        <v>0</v>
      </c>
      <c r="Z187">
        <v>0</v>
      </c>
      <c r="AA187" t="s">
        <v>90</v>
      </c>
      <c r="AB187">
        <v>0</v>
      </c>
      <c r="AC187">
        <v>2.0801199999999999E-2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Q187" t="s">
        <v>262</v>
      </c>
      <c r="AR187" t="s">
        <v>263</v>
      </c>
      <c r="AS187">
        <v>0.02</v>
      </c>
    </row>
    <row r="188" spans="1:45" x14ac:dyDescent="0.15">
      <c r="A188" s="4" t="str">
        <f>HYPERLINK("https://ibp.a2mac1.com/costing(costing:projects/details/9760/material/8752862)","PC-ABS adjusted (part)")</f>
        <v>PC-ABS adjusted (part)</v>
      </c>
      <c r="B188">
        <v>8752862</v>
      </c>
      <c r="C188">
        <v>12083980</v>
      </c>
      <c r="E188">
        <v>0.02</v>
      </c>
      <c r="F188" t="s">
        <v>478</v>
      </c>
      <c r="G188">
        <v>100</v>
      </c>
      <c r="H188" t="s">
        <v>479</v>
      </c>
      <c r="I188">
        <v>5</v>
      </c>
      <c r="J188">
        <v>0.50345253019720215</v>
      </c>
      <c r="K188">
        <v>0</v>
      </c>
      <c r="L188">
        <v>0</v>
      </c>
      <c r="M188">
        <v>0</v>
      </c>
      <c r="O188">
        <v>200000</v>
      </c>
      <c r="R188" t="s">
        <v>162</v>
      </c>
      <c r="S188">
        <v>0</v>
      </c>
      <c r="T188">
        <v>1.0119999999999999E-4</v>
      </c>
      <c r="U188" t="s">
        <v>176</v>
      </c>
      <c r="V188">
        <v>6.9999999999999999E-4</v>
      </c>
      <c r="W188">
        <v>2.0801199999999999E-2</v>
      </c>
      <c r="X188" t="s">
        <v>90</v>
      </c>
      <c r="Y188">
        <v>0</v>
      </c>
      <c r="Z188">
        <v>0</v>
      </c>
      <c r="AA188" t="s">
        <v>90</v>
      </c>
      <c r="AB188">
        <v>0</v>
      </c>
      <c r="AC188">
        <v>2.0801199999999999E-2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Q188" t="s">
        <v>262</v>
      </c>
      <c r="AR188" t="s">
        <v>263</v>
      </c>
      <c r="AS188">
        <v>0.02</v>
      </c>
    </row>
    <row r="189" spans="1:45" x14ac:dyDescent="0.15">
      <c r="A189" s="4" t="str">
        <f>HYPERLINK("https://ibp.a2mac1.com/costing(costing:projects/details/9760/material/8752751)","PP-EPDM-TD20 adjusted (part)")</f>
        <v>PP-EPDM-TD20 adjusted (part)</v>
      </c>
      <c r="B189">
        <v>8752751</v>
      </c>
      <c r="C189">
        <v>12083867</v>
      </c>
      <c r="E189">
        <v>0.08</v>
      </c>
      <c r="F189" t="s">
        <v>478</v>
      </c>
      <c r="G189">
        <v>100</v>
      </c>
      <c r="H189" t="s">
        <v>479</v>
      </c>
      <c r="I189">
        <v>5</v>
      </c>
      <c r="J189">
        <v>0.50345253019720215</v>
      </c>
      <c r="K189">
        <v>0</v>
      </c>
      <c r="L189">
        <v>0</v>
      </c>
      <c r="M189">
        <v>0</v>
      </c>
      <c r="O189">
        <v>200000</v>
      </c>
      <c r="R189" t="s">
        <v>162</v>
      </c>
      <c r="S189">
        <v>0</v>
      </c>
      <c r="T189">
        <v>4.0479999999999997E-4</v>
      </c>
      <c r="U189" t="s">
        <v>176</v>
      </c>
      <c r="V189">
        <v>2.8E-3</v>
      </c>
      <c r="W189">
        <v>8.3204799999999995E-2</v>
      </c>
      <c r="X189" t="s">
        <v>90</v>
      </c>
      <c r="Y189">
        <v>0</v>
      </c>
      <c r="Z189">
        <v>0</v>
      </c>
      <c r="AA189" t="s">
        <v>90</v>
      </c>
      <c r="AB189">
        <v>0</v>
      </c>
      <c r="AC189">
        <v>8.3204799999999995E-2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Q189" t="s">
        <v>262</v>
      </c>
      <c r="AR189" t="s">
        <v>263</v>
      </c>
      <c r="AS189">
        <v>0.08</v>
      </c>
    </row>
    <row r="190" spans="1:45" x14ac:dyDescent="0.15">
      <c r="A190" s="4" t="str">
        <f>HYPERLINK("https://ibp.a2mac1.com/costing(costing:projects/details/9760/material/8752752)","ABS adjusted (part)")</f>
        <v>ABS adjusted (part)</v>
      </c>
      <c r="B190">
        <v>8752752</v>
      </c>
      <c r="C190">
        <v>12083868</v>
      </c>
      <c r="E190">
        <v>0.06</v>
      </c>
      <c r="F190" t="s">
        <v>478</v>
      </c>
      <c r="G190">
        <v>100</v>
      </c>
      <c r="H190" t="s">
        <v>479</v>
      </c>
      <c r="I190">
        <v>5</v>
      </c>
      <c r="J190">
        <v>0.50345253019720215</v>
      </c>
      <c r="K190">
        <v>0</v>
      </c>
      <c r="L190">
        <v>0</v>
      </c>
      <c r="M190">
        <v>0</v>
      </c>
      <c r="O190">
        <v>200000</v>
      </c>
      <c r="R190" t="s">
        <v>162</v>
      </c>
      <c r="S190">
        <v>0</v>
      </c>
      <c r="T190">
        <v>3.0360000000000001E-4</v>
      </c>
      <c r="U190" t="s">
        <v>176</v>
      </c>
      <c r="V190">
        <v>2.0999999999999999E-3</v>
      </c>
      <c r="W190">
        <v>6.2403599999999997E-2</v>
      </c>
      <c r="X190" t="s">
        <v>90</v>
      </c>
      <c r="Y190">
        <v>0</v>
      </c>
      <c r="Z190">
        <v>0</v>
      </c>
      <c r="AA190" t="s">
        <v>90</v>
      </c>
      <c r="AB190">
        <v>0</v>
      </c>
      <c r="AC190">
        <v>6.2403599999999997E-2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Q190" t="s">
        <v>262</v>
      </c>
      <c r="AR190" t="s">
        <v>263</v>
      </c>
      <c r="AS190">
        <v>0.06</v>
      </c>
    </row>
    <row r="191" spans="1:45" x14ac:dyDescent="0.15">
      <c r="A191" s="4" t="str">
        <f>HYPERLINK("https://ibp.a2mac1.com/costing(costing:projects/details/9760/material/8752753)","ABS adjusted (part)")</f>
        <v>ABS adjusted (part)</v>
      </c>
      <c r="B191">
        <v>8752753</v>
      </c>
      <c r="C191">
        <v>12083869</v>
      </c>
      <c r="E191">
        <v>0.06</v>
      </c>
      <c r="F191" t="s">
        <v>478</v>
      </c>
      <c r="G191">
        <v>100</v>
      </c>
      <c r="H191" t="s">
        <v>479</v>
      </c>
      <c r="I191">
        <v>5</v>
      </c>
      <c r="J191">
        <v>0.50345253019720215</v>
      </c>
      <c r="K191">
        <v>0</v>
      </c>
      <c r="L191">
        <v>0</v>
      </c>
      <c r="M191">
        <v>0</v>
      </c>
      <c r="O191">
        <v>200000</v>
      </c>
      <c r="R191" t="s">
        <v>162</v>
      </c>
      <c r="S191">
        <v>0</v>
      </c>
      <c r="T191">
        <v>3.0360000000000001E-4</v>
      </c>
      <c r="U191" t="s">
        <v>176</v>
      </c>
      <c r="V191">
        <v>2.0999999999999999E-3</v>
      </c>
      <c r="W191">
        <v>6.2403599999999997E-2</v>
      </c>
      <c r="X191" t="s">
        <v>90</v>
      </c>
      <c r="Y191">
        <v>0</v>
      </c>
      <c r="Z191">
        <v>0</v>
      </c>
      <c r="AA191" t="s">
        <v>90</v>
      </c>
      <c r="AB191">
        <v>0</v>
      </c>
      <c r="AC191">
        <v>6.2403599999999997E-2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Q191" t="s">
        <v>262</v>
      </c>
      <c r="AR191" t="s">
        <v>263</v>
      </c>
      <c r="AS191">
        <v>0.06</v>
      </c>
    </row>
    <row r="192" spans="1:45" x14ac:dyDescent="0.15">
      <c r="A192" s="4" t="str">
        <f>HYPERLINK("https://ibp.a2mac1.com/costing(costing:projects/details/9760/material/8752754)","ABS adjusted (part)")</f>
        <v>ABS adjusted (part)</v>
      </c>
      <c r="B192">
        <v>8752754</v>
      </c>
      <c r="C192">
        <v>12083870</v>
      </c>
      <c r="E192">
        <v>0.06</v>
      </c>
      <c r="F192" t="s">
        <v>478</v>
      </c>
      <c r="G192">
        <v>100</v>
      </c>
      <c r="H192" t="s">
        <v>479</v>
      </c>
      <c r="I192">
        <v>5</v>
      </c>
      <c r="J192">
        <v>0.50345253019720215</v>
      </c>
      <c r="K192">
        <v>0</v>
      </c>
      <c r="L192">
        <v>0</v>
      </c>
      <c r="M192">
        <v>0</v>
      </c>
      <c r="O192">
        <v>200000</v>
      </c>
      <c r="R192" t="s">
        <v>162</v>
      </c>
      <c r="S192">
        <v>0</v>
      </c>
      <c r="T192">
        <v>3.0360000000000001E-4</v>
      </c>
      <c r="U192" t="s">
        <v>176</v>
      </c>
      <c r="V192">
        <v>2.0999999999999999E-3</v>
      </c>
      <c r="W192">
        <v>6.2403599999999997E-2</v>
      </c>
      <c r="X192" t="s">
        <v>90</v>
      </c>
      <c r="Y192">
        <v>0</v>
      </c>
      <c r="Z192">
        <v>0</v>
      </c>
      <c r="AA192" t="s">
        <v>90</v>
      </c>
      <c r="AB192">
        <v>0</v>
      </c>
      <c r="AC192">
        <v>6.2403599999999997E-2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Q192" t="s">
        <v>262</v>
      </c>
      <c r="AR192" t="s">
        <v>263</v>
      </c>
      <c r="AS192">
        <v>0.06</v>
      </c>
    </row>
    <row r="193" spans="1:45" x14ac:dyDescent="0.15">
      <c r="A193" s="4" t="str">
        <f>HYPERLINK("https://ibp.a2mac1.com/costing(costing:projects/details/9760/material/8752755)","ABS adjusted (part)")</f>
        <v>ABS adjusted (part)</v>
      </c>
      <c r="B193">
        <v>8752755</v>
      </c>
      <c r="C193">
        <v>12083871</v>
      </c>
      <c r="E193">
        <v>0.06</v>
      </c>
      <c r="F193" t="s">
        <v>478</v>
      </c>
      <c r="G193">
        <v>100</v>
      </c>
      <c r="H193" t="s">
        <v>479</v>
      </c>
      <c r="I193">
        <v>5</v>
      </c>
      <c r="J193">
        <v>0.50345253019720215</v>
      </c>
      <c r="K193">
        <v>0</v>
      </c>
      <c r="L193">
        <v>0</v>
      </c>
      <c r="M193">
        <v>0</v>
      </c>
      <c r="O193">
        <v>200000</v>
      </c>
      <c r="R193" t="s">
        <v>162</v>
      </c>
      <c r="S193">
        <v>0</v>
      </c>
      <c r="T193">
        <v>3.0360000000000001E-4</v>
      </c>
      <c r="U193" t="s">
        <v>176</v>
      </c>
      <c r="V193">
        <v>2.0999999999999999E-3</v>
      </c>
      <c r="W193">
        <v>6.2403599999999997E-2</v>
      </c>
      <c r="X193" t="s">
        <v>90</v>
      </c>
      <c r="Y193">
        <v>0</v>
      </c>
      <c r="Z193">
        <v>0</v>
      </c>
      <c r="AA193" t="s">
        <v>90</v>
      </c>
      <c r="AB193">
        <v>0</v>
      </c>
      <c r="AC193">
        <v>6.2403599999999997E-2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Q193" t="s">
        <v>262</v>
      </c>
      <c r="AR193" t="s">
        <v>263</v>
      </c>
      <c r="AS193">
        <v>0.06</v>
      </c>
    </row>
    <row r="194" spans="1:45" x14ac:dyDescent="0.15">
      <c r="A194" s="4" t="str">
        <f>HYPERLINK("https://ibp.a2mac1.com/costing(costing:projects/details/9760/material/8752863)","Steel sheet (default) adjusted (part)")</f>
        <v>Steel sheet (default) adjusted (part)</v>
      </c>
      <c r="B194">
        <v>8752863</v>
      </c>
      <c r="C194">
        <v>12083981</v>
      </c>
      <c r="E194">
        <v>9.3299999999999994E-2</v>
      </c>
      <c r="F194" t="s">
        <v>478</v>
      </c>
      <c r="G194">
        <v>100</v>
      </c>
      <c r="H194" t="s">
        <v>479</v>
      </c>
      <c r="I194">
        <v>30</v>
      </c>
      <c r="J194">
        <v>0.50345253019720215</v>
      </c>
      <c r="K194">
        <v>0</v>
      </c>
      <c r="L194">
        <v>0</v>
      </c>
      <c r="M194">
        <v>0</v>
      </c>
      <c r="O194">
        <v>200000</v>
      </c>
      <c r="R194" t="s">
        <v>162</v>
      </c>
      <c r="S194">
        <v>0</v>
      </c>
      <c r="T194">
        <v>4.7209800000000001E-4</v>
      </c>
      <c r="U194" t="s">
        <v>176</v>
      </c>
      <c r="V194">
        <v>3.2655000000000002E-3</v>
      </c>
      <c r="W194">
        <v>9.7037598000000003E-2</v>
      </c>
      <c r="X194" t="s">
        <v>90</v>
      </c>
      <c r="Y194">
        <v>0</v>
      </c>
      <c r="Z194">
        <v>0</v>
      </c>
      <c r="AA194" t="s">
        <v>90</v>
      </c>
      <c r="AB194">
        <v>0</v>
      </c>
      <c r="AC194">
        <v>9.7037598000000003E-2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Q194" t="s">
        <v>262</v>
      </c>
      <c r="AR194" t="s">
        <v>263</v>
      </c>
      <c r="AS194">
        <v>9.3299999999999994E-2</v>
      </c>
    </row>
    <row r="195" spans="1:45" x14ac:dyDescent="0.15">
      <c r="A195" s="4" t="str">
        <f>HYPERLINK("https://ibp.a2mac1.com/costing(costing:projects/details/9760/material/8752756)","TPE adjusted (part)")</f>
        <v>TPE adjusted (part)</v>
      </c>
      <c r="B195">
        <v>8752756</v>
      </c>
      <c r="C195">
        <v>12083872</v>
      </c>
      <c r="E195">
        <v>0.66</v>
      </c>
      <c r="F195" t="s">
        <v>478</v>
      </c>
      <c r="G195">
        <v>100</v>
      </c>
      <c r="H195" t="s">
        <v>479</v>
      </c>
      <c r="I195">
        <v>5</v>
      </c>
      <c r="J195">
        <v>0.50345253019720215</v>
      </c>
      <c r="K195">
        <v>0</v>
      </c>
      <c r="L195">
        <v>0</v>
      </c>
      <c r="M195">
        <v>0</v>
      </c>
      <c r="O195">
        <v>200000</v>
      </c>
      <c r="R195" t="s">
        <v>162</v>
      </c>
      <c r="S195">
        <v>0</v>
      </c>
      <c r="T195">
        <v>3.3395999999999999E-3</v>
      </c>
      <c r="U195" t="s">
        <v>176</v>
      </c>
      <c r="V195">
        <v>2.3099999999999999E-2</v>
      </c>
      <c r="W195">
        <v>0.68643960000000004</v>
      </c>
      <c r="X195" t="s">
        <v>177</v>
      </c>
      <c r="Y195">
        <v>4.1186375999999997E-2</v>
      </c>
      <c r="Z195">
        <v>0</v>
      </c>
      <c r="AA195" t="s">
        <v>178</v>
      </c>
      <c r="AB195">
        <v>8.2372751999999994E-2</v>
      </c>
      <c r="AC195">
        <v>0.80999872799999995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Q195" t="s">
        <v>262</v>
      </c>
      <c r="AR195" t="s">
        <v>263</v>
      </c>
      <c r="AS195">
        <v>0.66</v>
      </c>
    </row>
    <row r="196" spans="1:45" x14ac:dyDescent="0.15">
      <c r="A196" s="4" t="str">
        <f>HYPERLINK("https://ibp.a2mac1.com/costing(costing:projects/details/9760/material/8752757)","TPE adjusted (part)")</f>
        <v>TPE adjusted (part)</v>
      </c>
      <c r="B196">
        <v>8752757</v>
      </c>
      <c r="C196">
        <v>12083873</v>
      </c>
      <c r="E196">
        <v>0.86</v>
      </c>
      <c r="F196" t="s">
        <v>478</v>
      </c>
      <c r="G196">
        <v>100</v>
      </c>
      <c r="H196" t="s">
        <v>479</v>
      </c>
      <c r="I196">
        <v>5</v>
      </c>
      <c r="J196">
        <v>0.50345253019720215</v>
      </c>
      <c r="K196">
        <v>0</v>
      </c>
      <c r="L196">
        <v>0</v>
      </c>
      <c r="M196">
        <v>0</v>
      </c>
      <c r="O196">
        <v>200000</v>
      </c>
      <c r="R196" t="s">
        <v>162</v>
      </c>
      <c r="S196">
        <v>0</v>
      </c>
      <c r="T196">
        <v>4.3515999999999997E-3</v>
      </c>
      <c r="U196" t="s">
        <v>176</v>
      </c>
      <c r="V196">
        <v>3.0099999999999998E-2</v>
      </c>
      <c r="W196">
        <v>0.89445160000000001</v>
      </c>
      <c r="X196" t="s">
        <v>177</v>
      </c>
      <c r="Y196">
        <v>5.3667095999999997E-2</v>
      </c>
      <c r="Z196">
        <v>0</v>
      </c>
      <c r="AA196" t="s">
        <v>178</v>
      </c>
      <c r="AB196">
        <v>0.10733419199999999</v>
      </c>
      <c r="AC196">
        <v>1.055452888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Q196" t="s">
        <v>262</v>
      </c>
      <c r="AR196" t="s">
        <v>263</v>
      </c>
      <c r="AS196">
        <v>0.86</v>
      </c>
    </row>
    <row r="197" spans="1:45" x14ac:dyDescent="0.15">
      <c r="A197" s="4" t="str">
        <f>HYPERLINK("https://ibp.a2mac1.com/costing(costing:projects/details/9760/material/8752624)","Steel sheet (default) adjusted (part)")</f>
        <v>Steel sheet (default) adjusted (part)</v>
      </c>
      <c r="B197">
        <v>8752624</v>
      </c>
      <c r="C197">
        <v>12083816</v>
      </c>
      <c r="E197">
        <v>0.04</v>
      </c>
      <c r="F197" t="s">
        <v>478</v>
      </c>
      <c r="G197">
        <v>100</v>
      </c>
      <c r="H197" t="s">
        <v>479</v>
      </c>
      <c r="I197">
        <v>30</v>
      </c>
      <c r="J197">
        <v>0.50345253019720215</v>
      </c>
      <c r="K197">
        <v>0</v>
      </c>
      <c r="L197">
        <v>0</v>
      </c>
      <c r="M197">
        <v>0</v>
      </c>
      <c r="O197">
        <v>200000</v>
      </c>
      <c r="R197" t="s">
        <v>162</v>
      </c>
      <c r="S197">
        <v>0</v>
      </c>
      <c r="T197">
        <v>2.0239999999999999E-4</v>
      </c>
      <c r="U197" t="s">
        <v>176</v>
      </c>
      <c r="V197">
        <v>1.4E-3</v>
      </c>
      <c r="W197">
        <v>4.1602399999999998E-2</v>
      </c>
      <c r="X197" t="s">
        <v>90</v>
      </c>
      <c r="Y197">
        <v>0</v>
      </c>
      <c r="Z197">
        <v>0</v>
      </c>
      <c r="AA197" t="s">
        <v>90</v>
      </c>
      <c r="AB197">
        <v>0</v>
      </c>
      <c r="AC197">
        <v>4.1602399999999998E-2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Q197" t="s">
        <v>262</v>
      </c>
      <c r="AR197" t="s">
        <v>263</v>
      </c>
      <c r="AS197">
        <v>0.04</v>
      </c>
    </row>
    <row r="198" spans="1:45" x14ac:dyDescent="0.15">
      <c r="A198" s="4" t="str">
        <f>HYPERLINK("https://ibp.a2mac1.com/costing(costing:projects/details/9760/material/8752625)","Steel sheet (default) adjusted (part)")</f>
        <v>Steel sheet (default) adjusted (part)</v>
      </c>
      <c r="B198">
        <v>8752625</v>
      </c>
      <c r="C198">
        <v>12083817</v>
      </c>
      <c r="E198">
        <v>0.13</v>
      </c>
      <c r="F198" t="s">
        <v>478</v>
      </c>
      <c r="G198">
        <v>100</v>
      </c>
      <c r="H198" t="s">
        <v>479</v>
      </c>
      <c r="I198">
        <v>30</v>
      </c>
      <c r="J198">
        <v>0.50345253019720215</v>
      </c>
      <c r="K198">
        <v>0</v>
      </c>
      <c r="L198">
        <v>0</v>
      </c>
      <c r="M198">
        <v>0</v>
      </c>
      <c r="O198">
        <v>200000</v>
      </c>
      <c r="R198" t="s">
        <v>162</v>
      </c>
      <c r="S198">
        <v>0</v>
      </c>
      <c r="T198">
        <v>6.5780000000000005E-4</v>
      </c>
      <c r="U198" t="s">
        <v>176</v>
      </c>
      <c r="V198">
        <v>4.5500000000000002E-3</v>
      </c>
      <c r="W198">
        <v>0.13520779999999999</v>
      </c>
      <c r="X198" t="s">
        <v>90</v>
      </c>
      <c r="Y198">
        <v>0</v>
      </c>
      <c r="Z198">
        <v>0</v>
      </c>
      <c r="AA198" t="s">
        <v>90</v>
      </c>
      <c r="AB198">
        <v>0</v>
      </c>
      <c r="AC198">
        <v>0.13520779999999999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Q198" t="s">
        <v>262</v>
      </c>
      <c r="AR198" t="s">
        <v>263</v>
      </c>
      <c r="AS198">
        <v>0.13</v>
      </c>
    </row>
    <row r="199" spans="1:45" x14ac:dyDescent="0.15">
      <c r="A199" s="4" t="str">
        <f>HYPERLINK("https://ibp.a2mac1.com/costing(costing:projects/details/9760/material/8752864)","Leather")</f>
        <v>Leather</v>
      </c>
      <c r="B199">
        <v>8752864</v>
      </c>
      <c r="C199">
        <v>12083982</v>
      </c>
      <c r="E199">
        <v>6</v>
      </c>
      <c r="F199" t="s">
        <v>478</v>
      </c>
      <c r="G199">
        <v>100</v>
      </c>
      <c r="H199" t="s">
        <v>479</v>
      </c>
      <c r="I199">
        <v>0</v>
      </c>
      <c r="J199">
        <v>0.50345253019720215</v>
      </c>
      <c r="K199">
        <v>0</v>
      </c>
      <c r="L199">
        <v>0</v>
      </c>
      <c r="M199">
        <v>0</v>
      </c>
      <c r="O199">
        <v>200000</v>
      </c>
      <c r="R199" t="s">
        <v>162</v>
      </c>
      <c r="S199">
        <v>0</v>
      </c>
      <c r="T199">
        <v>3.0360000000000002E-2</v>
      </c>
      <c r="U199" t="s">
        <v>176</v>
      </c>
      <c r="V199">
        <v>0.21</v>
      </c>
      <c r="W199">
        <v>6.2403599999999999</v>
      </c>
      <c r="X199" t="s">
        <v>177</v>
      </c>
      <c r="Y199">
        <v>0.37442160000000002</v>
      </c>
      <c r="Z199">
        <v>0</v>
      </c>
      <c r="AA199" t="s">
        <v>178</v>
      </c>
      <c r="AB199">
        <v>0.74884320000000004</v>
      </c>
      <c r="AC199">
        <v>7.3636248000000002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Q199" t="s">
        <v>9</v>
      </c>
      <c r="AR199" t="s">
        <v>263</v>
      </c>
      <c r="AS199">
        <v>6</v>
      </c>
    </row>
    <row r="200" spans="1:45" x14ac:dyDescent="0.15">
      <c r="A200" s="4" t="str">
        <f>HYPERLINK("https://ibp.a2mac1.com/costing(costing:projects/details/9760/material/8752865)","PUR adjusted (part)")</f>
        <v>PUR adjusted (part)</v>
      </c>
      <c r="B200">
        <v>8752865</v>
      </c>
      <c r="C200">
        <v>12083983</v>
      </c>
      <c r="E200">
        <v>0.27500000000000002</v>
      </c>
      <c r="F200" t="s">
        <v>478</v>
      </c>
      <c r="G200">
        <v>100</v>
      </c>
      <c r="H200" t="s">
        <v>479</v>
      </c>
      <c r="I200">
        <v>5</v>
      </c>
      <c r="J200">
        <v>0.50345253019720215</v>
      </c>
      <c r="K200">
        <v>0</v>
      </c>
      <c r="L200">
        <v>0</v>
      </c>
      <c r="M200">
        <v>0</v>
      </c>
      <c r="O200">
        <v>200000</v>
      </c>
      <c r="R200" t="s">
        <v>162</v>
      </c>
      <c r="S200">
        <v>0</v>
      </c>
      <c r="T200">
        <v>1.3914999999999999E-3</v>
      </c>
      <c r="U200" t="s">
        <v>176</v>
      </c>
      <c r="V200">
        <v>9.6249999999999999E-3</v>
      </c>
      <c r="W200">
        <v>0.28601650000000001</v>
      </c>
      <c r="X200" t="s">
        <v>177</v>
      </c>
      <c r="Y200">
        <v>1.7160990000000001E-2</v>
      </c>
      <c r="Z200">
        <v>0</v>
      </c>
      <c r="AA200" t="s">
        <v>178</v>
      </c>
      <c r="AB200">
        <v>3.4321980000000002E-2</v>
      </c>
      <c r="AC200">
        <v>0.33749947000000002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Q200" t="s">
        <v>262</v>
      </c>
      <c r="AR200" t="s">
        <v>263</v>
      </c>
      <c r="AS200">
        <v>0.27500000000000002</v>
      </c>
    </row>
    <row r="201" spans="1:45" x14ac:dyDescent="0.15">
      <c r="A201" s="4" t="str">
        <f>HYPERLINK("https://ibp.a2mac1.com/costing(costing:projects/details/9760/material/8752866)","Steel Tube (default, chromed) adjusted (part)")</f>
        <v>Steel Tube (default, chromed) adjusted (part)</v>
      </c>
      <c r="B201">
        <v>8752866</v>
      </c>
      <c r="C201">
        <v>12083984</v>
      </c>
      <c r="E201">
        <v>1.927</v>
      </c>
      <c r="F201" t="s">
        <v>478</v>
      </c>
      <c r="G201">
        <v>100</v>
      </c>
      <c r="H201" t="s">
        <v>479</v>
      </c>
      <c r="I201">
        <v>20</v>
      </c>
      <c r="J201">
        <v>0.50345253019720215</v>
      </c>
      <c r="K201">
        <v>0</v>
      </c>
      <c r="L201">
        <v>0</v>
      </c>
      <c r="M201">
        <v>0</v>
      </c>
      <c r="O201">
        <v>200000</v>
      </c>
      <c r="R201" t="s">
        <v>162</v>
      </c>
      <c r="S201">
        <v>0</v>
      </c>
      <c r="T201">
        <v>9.7506199999999998E-3</v>
      </c>
      <c r="U201" t="s">
        <v>176</v>
      </c>
      <c r="V201">
        <v>6.7445000000000005E-2</v>
      </c>
      <c r="W201">
        <v>2.00419562</v>
      </c>
      <c r="X201" t="s">
        <v>177</v>
      </c>
      <c r="Y201">
        <v>0.1202517372</v>
      </c>
      <c r="Z201">
        <v>0</v>
      </c>
      <c r="AA201" t="s">
        <v>178</v>
      </c>
      <c r="AB201">
        <v>0.2405034744</v>
      </c>
      <c r="AC201">
        <v>2.3649508315999999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Q201" t="s">
        <v>262</v>
      </c>
      <c r="AR201" t="s">
        <v>263</v>
      </c>
      <c r="AS201">
        <v>1.927</v>
      </c>
    </row>
    <row r="202" spans="1:45" x14ac:dyDescent="0.15">
      <c r="A202" s="4" t="str">
        <f>HYPERLINK("https://ibp.a2mac1.com/costing(costing:projects/details/9760/material/8752898)","PA6;PA66")</f>
        <v>PA6;PA66</v>
      </c>
      <c r="B202">
        <v>8752898</v>
      </c>
      <c r="C202">
        <v>12084016</v>
      </c>
      <c r="E202">
        <v>0.11600000000000001</v>
      </c>
      <c r="F202" t="s">
        <v>478</v>
      </c>
      <c r="G202">
        <v>100</v>
      </c>
      <c r="H202" t="s">
        <v>479</v>
      </c>
      <c r="I202">
        <v>0</v>
      </c>
      <c r="J202">
        <v>0.50345253019720215</v>
      </c>
      <c r="K202">
        <v>0</v>
      </c>
      <c r="L202">
        <v>0</v>
      </c>
      <c r="M202">
        <v>0</v>
      </c>
      <c r="O202">
        <v>200000</v>
      </c>
      <c r="R202" t="s">
        <v>162</v>
      </c>
      <c r="S202">
        <v>0</v>
      </c>
      <c r="T202">
        <v>5.8695999999999998E-4</v>
      </c>
      <c r="U202" t="s">
        <v>176</v>
      </c>
      <c r="V202">
        <v>4.0600000000000002E-3</v>
      </c>
      <c r="W202">
        <v>0.12064696</v>
      </c>
      <c r="X202" t="s">
        <v>90</v>
      </c>
      <c r="Y202">
        <v>0</v>
      </c>
      <c r="Z202">
        <v>0</v>
      </c>
      <c r="AA202" t="s">
        <v>90</v>
      </c>
      <c r="AB202">
        <v>0</v>
      </c>
      <c r="AC202">
        <v>0.12064696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Q202" t="s">
        <v>9</v>
      </c>
      <c r="AR202" t="s">
        <v>263</v>
      </c>
      <c r="AS202">
        <v>0.11600000000000001</v>
      </c>
    </row>
    <row r="203" spans="1:45" x14ac:dyDescent="0.15">
      <c r="A203" s="4" t="str">
        <f>HYPERLINK("https://ibp.a2mac1.com/costing(costing:projects/details/9760/material/8752899)","PA6;PA66")</f>
        <v>PA6;PA66</v>
      </c>
      <c r="B203">
        <v>8752899</v>
      </c>
      <c r="C203">
        <v>12084017</v>
      </c>
      <c r="E203">
        <v>0.11600000000000001</v>
      </c>
      <c r="F203" t="s">
        <v>478</v>
      </c>
      <c r="G203">
        <v>100</v>
      </c>
      <c r="H203" t="s">
        <v>479</v>
      </c>
      <c r="I203">
        <v>0</v>
      </c>
      <c r="J203">
        <v>0.50345253019720215</v>
      </c>
      <c r="K203">
        <v>0</v>
      </c>
      <c r="L203">
        <v>0</v>
      </c>
      <c r="M203">
        <v>0</v>
      </c>
      <c r="O203">
        <v>200000</v>
      </c>
      <c r="R203" t="s">
        <v>162</v>
      </c>
      <c r="S203">
        <v>0</v>
      </c>
      <c r="T203">
        <v>5.8695999999999998E-4</v>
      </c>
      <c r="U203" t="s">
        <v>176</v>
      </c>
      <c r="V203">
        <v>4.0600000000000002E-3</v>
      </c>
      <c r="W203">
        <v>0.12064696</v>
      </c>
      <c r="X203" t="s">
        <v>90</v>
      </c>
      <c r="Y203">
        <v>0</v>
      </c>
      <c r="Z203">
        <v>0</v>
      </c>
      <c r="AA203" t="s">
        <v>90</v>
      </c>
      <c r="AB203">
        <v>0</v>
      </c>
      <c r="AC203">
        <v>0.12064696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Q203" t="s">
        <v>9</v>
      </c>
      <c r="AR203" t="s">
        <v>263</v>
      </c>
      <c r="AS203">
        <v>0.11600000000000001</v>
      </c>
    </row>
    <row r="204" spans="1:45" x14ac:dyDescent="0.15">
      <c r="A204" s="4" t="str">
        <f>HYPERLINK("https://ibp.a2mac1.com/costing(costing:projects/details/9760/material/8752916)","PC-ABS adjusted (part)")</f>
        <v>PC-ABS adjusted (part)</v>
      </c>
      <c r="B204">
        <v>8752916</v>
      </c>
      <c r="C204">
        <v>12084034</v>
      </c>
      <c r="E204">
        <v>0.115</v>
      </c>
      <c r="F204" t="s">
        <v>478</v>
      </c>
      <c r="G204">
        <v>100</v>
      </c>
      <c r="H204" t="s">
        <v>479</v>
      </c>
      <c r="I204">
        <v>5</v>
      </c>
      <c r="J204">
        <v>0.50345253019720215</v>
      </c>
      <c r="K204">
        <v>0</v>
      </c>
      <c r="L204">
        <v>0</v>
      </c>
      <c r="M204">
        <v>0</v>
      </c>
      <c r="O204">
        <v>200000</v>
      </c>
      <c r="R204" t="s">
        <v>162</v>
      </c>
      <c r="S204">
        <v>0</v>
      </c>
      <c r="T204">
        <v>5.819E-4</v>
      </c>
      <c r="U204" t="s">
        <v>176</v>
      </c>
      <c r="V204">
        <v>4.0249999999999999E-3</v>
      </c>
      <c r="W204">
        <v>0.1196069</v>
      </c>
      <c r="X204" t="s">
        <v>90</v>
      </c>
      <c r="Y204">
        <v>0</v>
      </c>
      <c r="Z204">
        <v>0</v>
      </c>
      <c r="AA204" t="s">
        <v>90</v>
      </c>
      <c r="AB204">
        <v>0</v>
      </c>
      <c r="AC204">
        <v>0.1196069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Q204" t="s">
        <v>262</v>
      </c>
      <c r="AR204" t="s">
        <v>263</v>
      </c>
      <c r="AS204">
        <v>0.115</v>
      </c>
    </row>
    <row r="205" spans="1:45" x14ac:dyDescent="0.15">
      <c r="A205" s="4" t="str">
        <f>HYPERLINK("https://ibp.a2mac1.com/costing(costing:projects/details/9760/material/8752917)","PC-ABS adjusted (part)")</f>
        <v>PC-ABS adjusted (part)</v>
      </c>
      <c r="B205">
        <v>8752917</v>
      </c>
      <c r="C205">
        <v>12084035</v>
      </c>
      <c r="E205">
        <v>0.158</v>
      </c>
      <c r="F205" t="s">
        <v>478</v>
      </c>
      <c r="G205">
        <v>100</v>
      </c>
      <c r="H205" t="s">
        <v>479</v>
      </c>
      <c r="I205">
        <v>5</v>
      </c>
      <c r="J205">
        <v>0.50345253019720215</v>
      </c>
      <c r="K205">
        <v>0</v>
      </c>
      <c r="L205">
        <v>0</v>
      </c>
      <c r="M205">
        <v>0</v>
      </c>
      <c r="O205">
        <v>200000</v>
      </c>
      <c r="R205" t="s">
        <v>162</v>
      </c>
      <c r="S205">
        <v>0</v>
      </c>
      <c r="T205">
        <v>7.9947999999999998E-4</v>
      </c>
      <c r="U205" t="s">
        <v>176</v>
      </c>
      <c r="V205">
        <v>5.5300000000000002E-3</v>
      </c>
      <c r="W205">
        <v>0.16432948</v>
      </c>
      <c r="X205" t="s">
        <v>90</v>
      </c>
      <c r="Y205">
        <v>0</v>
      </c>
      <c r="Z205">
        <v>0</v>
      </c>
      <c r="AA205" t="s">
        <v>90</v>
      </c>
      <c r="AB205">
        <v>0</v>
      </c>
      <c r="AC205">
        <v>0.16432948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Q205" t="s">
        <v>262</v>
      </c>
      <c r="AR205" t="s">
        <v>263</v>
      </c>
      <c r="AS205">
        <v>0.158</v>
      </c>
    </row>
    <row r="206" spans="1:45" x14ac:dyDescent="0.15">
      <c r="A206" s="4" t="str">
        <f>HYPERLINK("https://ibp.a2mac1.com/costing(costing:projects/details/9760/material/8752918)","PP-GF30 adjusted (part)")</f>
        <v>PP-GF30 adjusted (part)</v>
      </c>
      <c r="B206">
        <v>8752918</v>
      </c>
      <c r="C206">
        <v>12084036</v>
      </c>
      <c r="E206">
        <v>0.22700000000000001</v>
      </c>
      <c r="F206" t="s">
        <v>478</v>
      </c>
      <c r="G206">
        <v>100</v>
      </c>
      <c r="H206" t="s">
        <v>479</v>
      </c>
      <c r="I206">
        <v>30</v>
      </c>
      <c r="J206">
        <v>0.50345253019720215</v>
      </c>
      <c r="K206">
        <v>0</v>
      </c>
      <c r="L206">
        <v>0</v>
      </c>
      <c r="M206">
        <v>0</v>
      </c>
      <c r="O206">
        <v>200000</v>
      </c>
      <c r="R206" t="s">
        <v>162</v>
      </c>
      <c r="S206">
        <v>0</v>
      </c>
      <c r="T206">
        <v>1.1486199999999999E-3</v>
      </c>
      <c r="U206" t="s">
        <v>176</v>
      </c>
      <c r="V206">
        <v>7.9450000000000007E-3</v>
      </c>
      <c r="W206">
        <v>0.23609362</v>
      </c>
      <c r="X206" t="s">
        <v>90</v>
      </c>
      <c r="Y206">
        <v>0</v>
      </c>
      <c r="Z206">
        <v>0</v>
      </c>
      <c r="AA206" t="s">
        <v>90</v>
      </c>
      <c r="AB206">
        <v>0</v>
      </c>
      <c r="AC206">
        <v>0.23609362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Q206" t="s">
        <v>262</v>
      </c>
      <c r="AR206" t="s">
        <v>263</v>
      </c>
      <c r="AS206">
        <v>0.22700000000000001</v>
      </c>
    </row>
    <row r="207" spans="1:45" x14ac:dyDescent="0.15">
      <c r="A207" s="4" t="str">
        <f>HYPERLINK("https://ibp.a2mac1.com/costing(costing:projects/details/9760/material/8752867)","Leather")</f>
        <v>Leather</v>
      </c>
      <c r="B207">
        <v>8752867</v>
      </c>
      <c r="C207">
        <v>12083985</v>
      </c>
      <c r="E207">
        <v>23.15</v>
      </c>
      <c r="F207" t="s">
        <v>478</v>
      </c>
      <c r="G207">
        <v>100</v>
      </c>
      <c r="H207" t="s">
        <v>479</v>
      </c>
      <c r="I207">
        <v>0</v>
      </c>
      <c r="J207">
        <v>0.50345253019720215</v>
      </c>
      <c r="K207">
        <v>0</v>
      </c>
      <c r="L207">
        <v>0</v>
      </c>
      <c r="M207">
        <v>0</v>
      </c>
      <c r="O207">
        <v>200000</v>
      </c>
      <c r="R207" t="s">
        <v>162</v>
      </c>
      <c r="S207">
        <v>0</v>
      </c>
      <c r="T207">
        <v>0.11713899999999999</v>
      </c>
      <c r="U207" t="s">
        <v>176</v>
      </c>
      <c r="V207">
        <v>0.81025000000000003</v>
      </c>
      <c r="W207">
        <v>24.077389</v>
      </c>
      <c r="X207" t="s">
        <v>90</v>
      </c>
      <c r="Y207">
        <v>0</v>
      </c>
      <c r="Z207">
        <v>0</v>
      </c>
      <c r="AA207" t="s">
        <v>90</v>
      </c>
      <c r="AB207">
        <v>0</v>
      </c>
      <c r="AC207">
        <v>24.077389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Q207" t="s">
        <v>9</v>
      </c>
      <c r="AR207" t="s">
        <v>263</v>
      </c>
      <c r="AS207">
        <v>23.15</v>
      </c>
    </row>
    <row r="208" spans="1:45" x14ac:dyDescent="0.15">
      <c r="A208" s="4" t="str">
        <f>HYPERLINK("https://ibp.a2mac1.com/costing(costing:projects/details/9760/material/8752868)","PUR adjusted (part)")</f>
        <v>PUR adjusted (part)</v>
      </c>
      <c r="B208">
        <v>8752868</v>
      </c>
      <c r="C208">
        <v>12083986</v>
      </c>
      <c r="E208">
        <v>3.58</v>
      </c>
      <c r="F208" t="s">
        <v>478</v>
      </c>
      <c r="G208">
        <v>100</v>
      </c>
      <c r="H208" t="s">
        <v>479</v>
      </c>
      <c r="I208">
        <v>5</v>
      </c>
      <c r="J208">
        <v>0.50345253019720215</v>
      </c>
      <c r="K208">
        <v>0</v>
      </c>
      <c r="L208">
        <v>0</v>
      </c>
      <c r="M208">
        <v>0</v>
      </c>
      <c r="O208">
        <v>200000</v>
      </c>
      <c r="R208" t="s">
        <v>162</v>
      </c>
      <c r="S208">
        <v>0</v>
      </c>
      <c r="T208">
        <v>1.81148E-2</v>
      </c>
      <c r="U208" t="s">
        <v>176</v>
      </c>
      <c r="V208">
        <v>0.12529999999999999</v>
      </c>
      <c r="W208">
        <v>3.7234148</v>
      </c>
      <c r="X208" t="s">
        <v>90</v>
      </c>
      <c r="Y208">
        <v>0</v>
      </c>
      <c r="Z208">
        <v>0</v>
      </c>
      <c r="AA208" t="s">
        <v>90</v>
      </c>
      <c r="AB208">
        <v>0</v>
      </c>
      <c r="AC208">
        <v>3.7234148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Q208" t="s">
        <v>262</v>
      </c>
      <c r="AR208" t="s">
        <v>263</v>
      </c>
      <c r="AS208">
        <v>3.58</v>
      </c>
    </row>
    <row r="209" spans="1:45" x14ac:dyDescent="0.15">
      <c r="A209" s="4" t="str">
        <f>HYPERLINK("https://ibp.a2mac1.com/costing(costing:projects/details/9760/material/8752869)","Steel sheet (default) adjusted (part)")</f>
        <v>Steel sheet (default) adjusted (part)</v>
      </c>
      <c r="B209">
        <v>8752869</v>
      </c>
      <c r="C209">
        <v>12083987</v>
      </c>
      <c r="E209">
        <v>2.96</v>
      </c>
      <c r="F209" t="s">
        <v>478</v>
      </c>
      <c r="G209">
        <v>100</v>
      </c>
      <c r="H209" t="s">
        <v>479</v>
      </c>
      <c r="I209">
        <v>30</v>
      </c>
      <c r="J209">
        <v>0.50345253019720215</v>
      </c>
      <c r="K209">
        <v>0</v>
      </c>
      <c r="L209">
        <v>0</v>
      </c>
      <c r="M209">
        <v>0</v>
      </c>
      <c r="O209">
        <v>200000</v>
      </c>
      <c r="R209" t="s">
        <v>162</v>
      </c>
      <c r="S209">
        <v>0</v>
      </c>
      <c r="T209">
        <v>1.4977600000000001E-2</v>
      </c>
      <c r="U209" t="s">
        <v>176</v>
      </c>
      <c r="V209">
        <v>0.1036</v>
      </c>
      <c r="W209">
        <v>3.0785776</v>
      </c>
      <c r="X209" t="s">
        <v>90</v>
      </c>
      <c r="Y209">
        <v>0</v>
      </c>
      <c r="Z209">
        <v>0</v>
      </c>
      <c r="AA209" t="s">
        <v>90</v>
      </c>
      <c r="AB209">
        <v>0</v>
      </c>
      <c r="AC209">
        <v>3.0785776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Q209" t="s">
        <v>262</v>
      </c>
      <c r="AR209" t="s">
        <v>263</v>
      </c>
      <c r="AS209">
        <v>2.96</v>
      </c>
    </row>
    <row r="210" spans="1:45" x14ac:dyDescent="0.15">
      <c r="A210" s="4" t="str">
        <f>HYPERLINK("https://ibp.a2mac1.com/costing(costing:projects/details/9760/material/8752870)","PET adjusted (part)")</f>
        <v>PET adjusted (part)</v>
      </c>
      <c r="B210">
        <v>8752870</v>
      </c>
      <c r="C210">
        <v>12083988</v>
      </c>
      <c r="E210">
        <v>0.91800000000000004</v>
      </c>
      <c r="F210" t="s">
        <v>478</v>
      </c>
      <c r="G210">
        <v>100</v>
      </c>
      <c r="H210" t="s">
        <v>479</v>
      </c>
      <c r="I210">
        <v>5</v>
      </c>
      <c r="J210">
        <v>0.50345253019720215</v>
      </c>
      <c r="K210">
        <v>0</v>
      </c>
      <c r="L210">
        <v>0</v>
      </c>
      <c r="M210">
        <v>0</v>
      </c>
      <c r="O210">
        <v>200000</v>
      </c>
      <c r="R210" t="s">
        <v>162</v>
      </c>
      <c r="S210">
        <v>0</v>
      </c>
      <c r="T210">
        <v>4.6450800000000002E-3</v>
      </c>
      <c r="U210" t="s">
        <v>176</v>
      </c>
      <c r="V210">
        <v>3.2129999999999999E-2</v>
      </c>
      <c r="W210">
        <v>0.95477508</v>
      </c>
      <c r="X210" t="s">
        <v>90</v>
      </c>
      <c r="Y210">
        <v>0</v>
      </c>
      <c r="Z210">
        <v>0</v>
      </c>
      <c r="AA210" t="s">
        <v>90</v>
      </c>
      <c r="AB210">
        <v>0</v>
      </c>
      <c r="AC210">
        <v>0.95477508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Q210" t="s">
        <v>262</v>
      </c>
      <c r="AR210" t="s">
        <v>263</v>
      </c>
      <c r="AS210">
        <v>0.91800000000000004</v>
      </c>
    </row>
    <row r="211" spans="1:45" x14ac:dyDescent="0.15">
      <c r="A211" s="4" t="str">
        <f>HYPERLINK("https://ibp.a2mac1.com/costing(costing:projects/details/9760/material/8752871)","PUR adjusted (part)")</f>
        <v>PUR adjusted (part)</v>
      </c>
      <c r="B211">
        <v>8752871</v>
      </c>
      <c r="C211">
        <v>12083989</v>
      </c>
      <c r="E211">
        <v>0.184</v>
      </c>
      <c r="F211" t="s">
        <v>478</v>
      </c>
      <c r="G211">
        <v>100</v>
      </c>
      <c r="H211" t="s">
        <v>479</v>
      </c>
      <c r="I211">
        <v>5</v>
      </c>
      <c r="J211">
        <v>0.50345253019720215</v>
      </c>
      <c r="K211">
        <v>0</v>
      </c>
      <c r="L211">
        <v>0</v>
      </c>
      <c r="M211">
        <v>0</v>
      </c>
      <c r="O211">
        <v>200000</v>
      </c>
      <c r="R211" t="s">
        <v>162</v>
      </c>
      <c r="S211">
        <v>0</v>
      </c>
      <c r="T211">
        <v>9.3103999999999995E-4</v>
      </c>
      <c r="U211" t="s">
        <v>176</v>
      </c>
      <c r="V211">
        <v>6.4400000000000004E-3</v>
      </c>
      <c r="W211">
        <v>0.19137103999999999</v>
      </c>
      <c r="X211" t="s">
        <v>90</v>
      </c>
      <c r="Y211">
        <v>0</v>
      </c>
      <c r="Z211">
        <v>0</v>
      </c>
      <c r="AA211" t="s">
        <v>90</v>
      </c>
      <c r="AB211">
        <v>0</v>
      </c>
      <c r="AC211">
        <v>0.19137103999999999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Q211" t="s">
        <v>262</v>
      </c>
      <c r="AR211" t="s">
        <v>263</v>
      </c>
      <c r="AS211">
        <v>0.184</v>
      </c>
    </row>
    <row r="212" spans="1:45" x14ac:dyDescent="0.15">
      <c r="A212" s="4" t="str">
        <f>HYPERLINK("https://ibp.a2mac1.com/costing(costing:projects/details/9760/material/8752872)","Steel sheet (default) adjusted (part)")</f>
        <v>Steel sheet (default) adjusted (part)</v>
      </c>
      <c r="B212">
        <v>8752872</v>
      </c>
      <c r="C212">
        <v>12083990</v>
      </c>
      <c r="E212">
        <v>0.16300000000000001</v>
      </c>
      <c r="F212" t="s">
        <v>478</v>
      </c>
      <c r="G212">
        <v>100</v>
      </c>
      <c r="H212" t="s">
        <v>479</v>
      </c>
      <c r="I212">
        <v>30</v>
      </c>
      <c r="J212">
        <v>0.50345253019720215</v>
      </c>
      <c r="K212">
        <v>0</v>
      </c>
      <c r="L212">
        <v>0</v>
      </c>
      <c r="M212">
        <v>0</v>
      </c>
      <c r="O212">
        <v>200000</v>
      </c>
      <c r="R212" t="s">
        <v>162</v>
      </c>
      <c r="S212">
        <v>0</v>
      </c>
      <c r="T212">
        <v>8.2478E-4</v>
      </c>
      <c r="U212" t="s">
        <v>176</v>
      </c>
      <c r="V212">
        <v>5.705E-3</v>
      </c>
      <c r="W212">
        <v>0.16952977999999999</v>
      </c>
      <c r="X212" t="s">
        <v>90</v>
      </c>
      <c r="Y212">
        <v>0</v>
      </c>
      <c r="Z212">
        <v>0</v>
      </c>
      <c r="AA212" t="s">
        <v>90</v>
      </c>
      <c r="AB212">
        <v>0</v>
      </c>
      <c r="AC212">
        <v>0.16952977999999999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Q212" t="s">
        <v>262</v>
      </c>
      <c r="AR212" t="s">
        <v>263</v>
      </c>
      <c r="AS212">
        <v>0.16300000000000001</v>
      </c>
    </row>
    <row r="213" spans="1:45" x14ac:dyDescent="0.15">
      <c r="A213" s="4" t="str">
        <f>HYPERLINK("https://ibp.a2mac1.com/costing(costing:projects/details/9760/material/8752900)","Leather")</f>
        <v>Leather</v>
      </c>
      <c r="B213">
        <v>8752900</v>
      </c>
      <c r="C213">
        <v>12084018</v>
      </c>
      <c r="E213">
        <v>3.66</v>
      </c>
      <c r="F213" t="s">
        <v>478</v>
      </c>
      <c r="G213">
        <v>100</v>
      </c>
      <c r="H213" t="s">
        <v>479</v>
      </c>
      <c r="I213">
        <v>0</v>
      </c>
      <c r="J213">
        <v>0.50345253019720215</v>
      </c>
      <c r="K213">
        <v>0</v>
      </c>
      <c r="L213">
        <v>0</v>
      </c>
      <c r="M213">
        <v>0</v>
      </c>
      <c r="O213">
        <v>200000</v>
      </c>
      <c r="R213" t="s">
        <v>162</v>
      </c>
      <c r="S213">
        <v>0</v>
      </c>
      <c r="T213">
        <v>1.8519600000000001E-2</v>
      </c>
      <c r="U213" t="s">
        <v>176</v>
      </c>
      <c r="V213">
        <v>0.12809999999999999</v>
      </c>
      <c r="W213">
        <v>3.8066195999999999</v>
      </c>
      <c r="X213" t="s">
        <v>90</v>
      </c>
      <c r="Y213">
        <v>0</v>
      </c>
      <c r="Z213">
        <v>0</v>
      </c>
      <c r="AA213" t="s">
        <v>90</v>
      </c>
      <c r="AB213">
        <v>0</v>
      </c>
      <c r="AC213">
        <v>3.8066195999999999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Q213" t="s">
        <v>9</v>
      </c>
      <c r="AR213" t="s">
        <v>263</v>
      </c>
      <c r="AS213">
        <v>3.66</v>
      </c>
    </row>
    <row r="214" spans="1:45" x14ac:dyDescent="0.15">
      <c r="A214" s="4" t="str">
        <f>HYPERLINK("https://ibp.a2mac1.com/costing(costing:projects/details/9760/material/8752901)","PUR adjusted (part)")</f>
        <v>PUR adjusted (part)</v>
      </c>
      <c r="B214">
        <v>8752901</v>
      </c>
      <c r="C214">
        <v>12084019</v>
      </c>
      <c r="E214">
        <v>0.151</v>
      </c>
      <c r="F214" t="s">
        <v>478</v>
      </c>
      <c r="G214">
        <v>100</v>
      </c>
      <c r="H214" t="s">
        <v>479</v>
      </c>
      <c r="I214">
        <v>5</v>
      </c>
      <c r="J214">
        <v>0.50345253019720215</v>
      </c>
      <c r="K214">
        <v>0</v>
      </c>
      <c r="L214">
        <v>0</v>
      </c>
      <c r="M214">
        <v>0</v>
      </c>
      <c r="O214">
        <v>200000</v>
      </c>
      <c r="R214" t="s">
        <v>162</v>
      </c>
      <c r="S214">
        <v>0</v>
      </c>
      <c r="T214">
        <v>7.6406E-4</v>
      </c>
      <c r="U214" t="s">
        <v>176</v>
      </c>
      <c r="V214">
        <v>5.2849999999999998E-3</v>
      </c>
      <c r="W214">
        <v>0.15704905999999999</v>
      </c>
      <c r="X214" t="s">
        <v>90</v>
      </c>
      <c r="Y214">
        <v>0</v>
      </c>
      <c r="Z214">
        <v>0</v>
      </c>
      <c r="AA214" t="s">
        <v>90</v>
      </c>
      <c r="AB214">
        <v>0</v>
      </c>
      <c r="AC214">
        <v>0.15704905999999999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Q214" t="s">
        <v>262</v>
      </c>
      <c r="AR214" t="s">
        <v>263</v>
      </c>
      <c r="AS214">
        <v>0.151</v>
      </c>
    </row>
    <row r="215" spans="1:45" x14ac:dyDescent="0.15">
      <c r="A215" s="4" t="str">
        <f>HYPERLINK("https://ibp.a2mac1.com/costing(costing:projects/details/9760/material/8752902)","Steel Tube (default, chromed) adjusted (part)")</f>
        <v>Steel Tube (default, chromed) adjusted (part)</v>
      </c>
      <c r="B215">
        <v>8752902</v>
      </c>
      <c r="C215">
        <v>12084020</v>
      </c>
      <c r="E215">
        <v>1.33</v>
      </c>
      <c r="F215" t="s">
        <v>478</v>
      </c>
      <c r="G215">
        <v>100</v>
      </c>
      <c r="H215" t="s">
        <v>479</v>
      </c>
      <c r="I215">
        <v>20</v>
      </c>
      <c r="J215">
        <v>0.50345253019720215</v>
      </c>
      <c r="K215">
        <v>0</v>
      </c>
      <c r="L215">
        <v>0</v>
      </c>
      <c r="M215">
        <v>0</v>
      </c>
      <c r="O215">
        <v>200000</v>
      </c>
      <c r="R215" t="s">
        <v>162</v>
      </c>
      <c r="S215">
        <v>0</v>
      </c>
      <c r="T215">
        <v>6.7298000000000002E-3</v>
      </c>
      <c r="U215" t="s">
        <v>176</v>
      </c>
      <c r="V215">
        <v>4.6550000000000001E-2</v>
      </c>
      <c r="W215">
        <v>1.3832797999999999</v>
      </c>
      <c r="X215" t="s">
        <v>90</v>
      </c>
      <c r="Y215">
        <v>0</v>
      </c>
      <c r="Z215">
        <v>0</v>
      </c>
      <c r="AA215" t="s">
        <v>90</v>
      </c>
      <c r="AB215">
        <v>0</v>
      </c>
      <c r="AC215">
        <v>1.3832797999999999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Q215" t="s">
        <v>262</v>
      </c>
      <c r="AR215" t="s">
        <v>263</v>
      </c>
      <c r="AS215">
        <v>1.33</v>
      </c>
    </row>
    <row r="216" spans="1:45" x14ac:dyDescent="0.15">
      <c r="A216" s="4" t="str">
        <f>HYPERLINK("https://ibp.a2mac1.com/costing(costing:projects/details/9760/material/8752903)","Leather")</f>
        <v>Leather</v>
      </c>
      <c r="B216">
        <v>8752903</v>
      </c>
      <c r="C216">
        <v>12084021</v>
      </c>
      <c r="E216">
        <v>6</v>
      </c>
      <c r="F216" t="s">
        <v>478</v>
      </c>
      <c r="G216">
        <v>100</v>
      </c>
      <c r="H216" t="s">
        <v>479</v>
      </c>
      <c r="I216">
        <v>0</v>
      </c>
      <c r="J216">
        <v>0.50345253019720215</v>
      </c>
      <c r="K216">
        <v>0</v>
      </c>
      <c r="L216">
        <v>0</v>
      </c>
      <c r="M216">
        <v>0</v>
      </c>
      <c r="O216">
        <v>200000</v>
      </c>
      <c r="R216" t="s">
        <v>162</v>
      </c>
      <c r="S216">
        <v>0</v>
      </c>
      <c r="T216">
        <v>3.0360000000000002E-2</v>
      </c>
      <c r="U216" t="s">
        <v>176</v>
      </c>
      <c r="V216">
        <v>0.21</v>
      </c>
      <c r="W216">
        <v>6.2403599999999999</v>
      </c>
      <c r="X216" t="s">
        <v>90</v>
      </c>
      <c r="Y216">
        <v>0</v>
      </c>
      <c r="Z216">
        <v>0</v>
      </c>
      <c r="AA216" t="s">
        <v>90</v>
      </c>
      <c r="AB216">
        <v>0</v>
      </c>
      <c r="AC216">
        <v>6.2403599999999999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Q216" t="s">
        <v>9</v>
      </c>
      <c r="AR216" t="s">
        <v>263</v>
      </c>
      <c r="AS216">
        <v>6</v>
      </c>
    </row>
    <row r="217" spans="1:45" x14ac:dyDescent="0.15">
      <c r="A217" s="4" t="str">
        <f>HYPERLINK("https://ibp.a2mac1.com/costing(costing:projects/details/9760/material/8752904)","PUR adjusted (part)")</f>
        <v>PUR adjusted (part)</v>
      </c>
      <c r="B217">
        <v>8752904</v>
      </c>
      <c r="C217">
        <v>12084022</v>
      </c>
      <c r="E217">
        <v>0.27500000000000002</v>
      </c>
      <c r="F217" t="s">
        <v>478</v>
      </c>
      <c r="G217">
        <v>100</v>
      </c>
      <c r="H217" t="s">
        <v>479</v>
      </c>
      <c r="I217">
        <v>5</v>
      </c>
      <c r="J217">
        <v>0.50345253019720215</v>
      </c>
      <c r="K217">
        <v>0</v>
      </c>
      <c r="L217">
        <v>0</v>
      </c>
      <c r="M217">
        <v>0</v>
      </c>
      <c r="O217">
        <v>200000</v>
      </c>
      <c r="R217" t="s">
        <v>162</v>
      </c>
      <c r="S217">
        <v>0</v>
      </c>
      <c r="T217">
        <v>1.3914999999999999E-3</v>
      </c>
      <c r="U217" t="s">
        <v>176</v>
      </c>
      <c r="V217">
        <v>9.6249999999999999E-3</v>
      </c>
      <c r="W217">
        <v>0.28601650000000001</v>
      </c>
      <c r="X217" t="s">
        <v>90</v>
      </c>
      <c r="Y217">
        <v>0</v>
      </c>
      <c r="Z217">
        <v>0</v>
      </c>
      <c r="AA217" t="s">
        <v>90</v>
      </c>
      <c r="AB217">
        <v>0</v>
      </c>
      <c r="AC217">
        <v>0.28601650000000001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Q217" t="s">
        <v>262</v>
      </c>
      <c r="AR217" t="s">
        <v>263</v>
      </c>
      <c r="AS217">
        <v>0.27500000000000002</v>
      </c>
    </row>
    <row r="218" spans="1:45" x14ac:dyDescent="0.15">
      <c r="A218" s="4" t="str">
        <f>HYPERLINK("https://ibp.a2mac1.com/costing(costing:projects/details/9760/material/8752905)","Steel Tube (default, chromed) adjusted (part)")</f>
        <v>Steel Tube (default, chromed) adjusted (part)</v>
      </c>
      <c r="B218">
        <v>8752905</v>
      </c>
      <c r="C218">
        <v>12084023</v>
      </c>
      <c r="E218">
        <v>1.927</v>
      </c>
      <c r="F218" t="s">
        <v>478</v>
      </c>
      <c r="G218">
        <v>100</v>
      </c>
      <c r="H218" t="s">
        <v>479</v>
      </c>
      <c r="I218">
        <v>20</v>
      </c>
      <c r="J218">
        <v>0.50345253019720215</v>
      </c>
      <c r="K218">
        <v>0</v>
      </c>
      <c r="L218">
        <v>0</v>
      </c>
      <c r="M218">
        <v>0</v>
      </c>
      <c r="O218">
        <v>200000</v>
      </c>
      <c r="R218" t="s">
        <v>162</v>
      </c>
      <c r="S218">
        <v>0</v>
      </c>
      <c r="T218">
        <v>9.7506199999999998E-3</v>
      </c>
      <c r="U218" t="s">
        <v>176</v>
      </c>
      <c r="V218">
        <v>6.7445000000000005E-2</v>
      </c>
      <c r="W218">
        <v>2.00419562</v>
      </c>
      <c r="X218" t="s">
        <v>90</v>
      </c>
      <c r="Y218">
        <v>0</v>
      </c>
      <c r="Z218">
        <v>0</v>
      </c>
      <c r="AA218" t="s">
        <v>90</v>
      </c>
      <c r="AB218">
        <v>0</v>
      </c>
      <c r="AC218">
        <v>2.00419562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Q218" t="s">
        <v>262</v>
      </c>
      <c r="AR218" t="s">
        <v>263</v>
      </c>
      <c r="AS218">
        <v>1.927</v>
      </c>
    </row>
    <row r="219" spans="1:45" x14ac:dyDescent="0.15">
      <c r="A219" s="4" t="str">
        <f>HYPERLINK("https://ibp.a2mac1.com/costing(costing:projects/details/9760/material/8752906)","PA6;PA66")</f>
        <v>PA6;PA66</v>
      </c>
      <c r="B219">
        <v>8752906</v>
      </c>
      <c r="C219">
        <v>12084024</v>
      </c>
      <c r="E219">
        <v>0.11600000000000001</v>
      </c>
      <c r="F219" t="s">
        <v>478</v>
      </c>
      <c r="G219">
        <v>100</v>
      </c>
      <c r="H219" t="s">
        <v>479</v>
      </c>
      <c r="I219">
        <v>0</v>
      </c>
      <c r="J219">
        <v>0.50345253019720215</v>
      </c>
      <c r="K219">
        <v>0</v>
      </c>
      <c r="L219">
        <v>0</v>
      </c>
      <c r="M219">
        <v>0</v>
      </c>
      <c r="O219">
        <v>200000</v>
      </c>
      <c r="R219" t="s">
        <v>162</v>
      </c>
      <c r="S219">
        <v>0</v>
      </c>
      <c r="T219">
        <v>5.8695999999999998E-4</v>
      </c>
      <c r="U219" t="s">
        <v>176</v>
      </c>
      <c r="V219">
        <v>4.0600000000000002E-3</v>
      </c>
      <c r="W219">
        <v>0.12064696</v>
      </c>
      <c r="X219" t="s">
        <v>90</v>
      </c>
      <c r="Y219">
        <v>0</v>
      </c>
      <c r="Z219">
        <v>0</v>
      </c>
      <c r="AA219" t="s">
        <v>90</v>
      </c>
      <c r="AB219">
        <v>0</v>
      </c>
      <c r="AC219">
        <v>0.12064696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Q219" t="s">
        <v>9</v>
      </c>
      <c r="AR219" t="s">
        <v>263</v>
      </c>
      <c r="AS219">
        <v>0.11600000000000001</v>
      </c>
    </row>
    <row r="220" spans="1:45" x14ac:dyDescent="0.15">
      <c r="A220" s="4" t="str">
        <f>HYPERLINK("https://ibp.a2mac1.com/costing(costing:projects/details/9760/material/8752907)","PA6;PA66")</f>
        <v>PA6;PA66</v>
      </c>
      <c r="B220">
        <v>8752907</v>
      </c>
      <c r="C220">
        <v>12084025</v>
      </c>
      <c r="E220">
        <v>0.11600000000000001</v>
      </c>
      <c r="F220" t="s">
        <v>478</v>
      </c>
      <c r="G220">
        <v>100</v>
      </c>
      <c r="H220" t="s">
        <v>479</v>
      </c>
      <c r="I220">
        <v>0</v>
      </c>
      <c r="J220">
        <v>0.50147257820584257</v>
      </c>
      <c r="K220">
        <v>0</v>
      </c>
      <c r="L220">
        <v>0</v>
      </c>
      <c r="M220">
        <v>0</v>
      </c>
      <c r="O220">
        <v>600000</v>
      </c>
      <c r="R220" t="s">
        <v>162</v>
      </c>
      <c r="S220">
        <v>0</v>
      </c>
      <c r="T220">
        <v>5.8463999999999999E-4</v>
      </c>
      <c r="U220" t="s">
        <v>176</v>
      </c>
      <c r="V220">
        <v>4.0600000000000002E-3</v>
      </c>
      <c r="W220">
        <v>0.12064464</v>
      </c>
      <c r="X220" t="s">
        <v>90</v>
      </c>
      <c r="Y220">
        <v>0</v>
      </c>
      <c r="Z220">
        <v>0</v>
      </c>
      <c r="AA220" t="s">
        <v>90</v>
      </c>
      <c r="AB220">
        <v>0</v>
      </c>
      <c r="AC220">
        <v>0.12064464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Q220" t="s">
        <v>9</v>
      </c>
      <c r="AR220" t="s">
        <v>263</v>
      </c>
      <c r="AS220">
        <v>0.11600000000000001</v>
      </c>
    </row>
    <row r="221" spans="1:45" x14ac:dyDescent="0.15">
      <c r="A221" s="4" t="str">
        <f>HYPERLINK("https://ibp.a2mac1.com/costing(costing:projects/details/9760/material/8752919)","PC-ABS adjusted (part)")</f>
        <v>PC-ABS adjusted (part)</v>
      </c>
      <c r="B221">
        <v>8752919</v>
      </c>
      <c r="C221">
        <v>12084037</v>
      </c>
      <c r="E221">
        <v>0.115</v>
      </c>
      <c r="F221" t="s">
        <v>478</v>
      </c>
      <c r="G221">
        <v>100</v>
      </c>
      <c r="H221" t="s">
        <v>479</v>
      </c>
      <c r="I221">
        <v>5</v>
      </c>
      <c r="J221">
        <v>0.50345253019720215</v>
      </c>
      <c r="K221">
        <v>0</v>
      </c>
      <c r="L221">
        <v>0</v>
      </c>
      <c r="M221">
        <v>0</v>
      </c>
      <c r="O221">
        <v>200000</v>
      </c>
      <c r="R221" t="s">
        <v>162</v>
      </c>
      <c r="S221">
        <v>0</v>
      </c>
      <c r="T221">
        <v>5.819E-4</v>
      </c>
      <c r="U221" t="s">
        <v>176</v>
      </c>
      <c r="V221">
        <v>4.0249999999999999E-3</v>
      </c>
      <c r="W221">
        <v>0.1196069</v>
      </c>
      <c r="X221" t="s">
        <v>90</v>
      </c>
      <c r="Y221">
        <v>0</v>
      </c>
      <c r="Z221">
        <v>0</v>
      </c>
      <c r="AA221" t="s">
        <v>90</v>
      </c>
      <c r="AB221">
        <v>0</v>
      </c>
      <c r="AC221">
        <v>0.1196069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Q221" t="s">
        <v>262</v>
      </c>
      <c r="AR221" t="s">
        <v>263</v>
      </c>
      <c r="AS221">
        <v>0.115</v>
      </c>
    </row>
    <row r="222" spans="1:45" x14ac:dyDescent="0.15">
      <c r="A222" s="4" t="str">
        <f>HYPERLINK("https://ibp.a2mac1.com/costing(costing:projects/details/9760/material/8752920)","PC-ABS adjusted (part)")</f>
        <v>PC-ABS adjusted (part)</v>
      </c>
      <c r="B222">
        <v>8752920</v>
      </c>
      <c r="C222">
        <v>12084038</v>
      </c>
      <c r="E222">
        <v>0.158</v>
      </c>
      <c r="F222" t="s">
        <v>478</v>
      </c>
      <c r="G222">
        <v>100</v>
      </c>
      <c r="H222" t="s">
        <v>479</v>
      </c>
      <c r="I222">
        <v>5</v>
      </c>
      <c r="J222">
        <v>0.50345253019720215</v>
      </c>
      <c r="K222">
        <v>0</v>
      </c>
      <c r="L222">
        <v>0</v>
      </c>
      <c r="M222">
        <v>0</v>
      </c>
      <c r="O222">
        <v>200000</v>
      </c>
      <c r="R222" t="s">
        <v>162</v>
      </c>
      <c r="S222">
        <v>0</v>
      </c>
      <c r="T222">
        <v>7.9947999999999998E-4</v>
      </c>
      <c r="U222" t="s">
        <v>176</v>
      </c>
      <c r="V222">
        <v>5.5300000000000002E-3</v>
      </c>
      <c r="W222">
        <v>0.16432948</v>
      </c>
      <c r="X222" t="s">
        <v>90</v>
      </c>
      <c r="Y222">
        <v>0</v>
      </c>
      <c r="Z222">
        <v>0</v>
      </c>
      <c r="AA222" t="s">
        <v>90</v>
      </c>
      <c r="AB222">
        <v>0</v>
      </c>
      <c r="AC222">
        <v>0.16432948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Q222" t="s">
        <v>262</v>
      </c>
      <c r="AR222" t="s">
        <v>263</v>
      </c>
      <c r="AS222">
        <v>0.158</v>
      </c>
    </row>
    <row r="223" spans="1:45" x14ac:dyDescent="0.15">
      <c r="A223" s="4" t="str">
        <f>HYPERLINK("https://ibp.a2mac1.com/costing(costing:projects/details/9760/material/8752921)","PP-GF30 adjusted (part)")</f>
        <v>PP-GF30 adjusted (part)</v>
      </c>
      <c r="B223">
        <v>8752921</v>
      </c>
      <c r="C223">
        <v>12084039</v>
      </c>
      <c r="E223">
        <v>0.22700000000000001</v>
      </c>
      <c r="F223" t="s">
        <v>478</v>
      </c>
      <c r="G223">
        <v>100</v>
      </c>
      <c r="H223" t="s">
        <v>479</v>
      </c>
      <c r="I223">
        <v>30</v>
      </c>
      <c r="J223">
        <v>0.50345253019720215</v>
      </c>
      <c r="K223">
        <v>0</v>
      </c>
      <c r="L223">
        <v>0</v>
      </c>
      <c r="M223">
        <v>0</v>
      </c>
      <c r="O223">
        <v>200000</v>
      </c>
      <c r="R223" t="s">
        <v>162</v>
      </c>
      <c r="S223">
        <v>0</v>
      </c>
      <c r="T223">
        <v>1.1486199999999999E-3</v>
      </c>
      <c r="U223" t="s">
        <v>176</v>
      </c>
      <c r="V223">
        <v>7.9450000000000007E-3</v>
      </c>
      <c r="W223">
        <v>0.23609362</v>
      </c>
      <c r="X223" t="s">
        <v>90</v>
      </c>
      <c r="Y223">
        <v>0</v>
      </c>
      <c r="Z223">
        <v>0</v>
      </c>
      <c r="AA223" t="s">
        <v>90</v>
      </c>
      <c r="AB223">
        <v>0</v>
      </c>
      <c r="AC223">
        <v>0.23609362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Q223" t="s">
        <v>262</v>
      </c>
      <c r="AR223" t="s">
        <v>263</v>
      </c>
      <c r="AS223">
        <v>0.22700000000000001</v>
      </c>
    </row>
    <row r="224" spans="1:45" x14ac:dyDescent="0.15">
      <c r="A224" s="4" t="str">
        <f>HYPERLINK("https://ibp.a2mac1.com/costing(costing:projects/details/9760/material/8752922)","PC-ABS adjusted (part)")</f>
        <v>PC-ABS adjusted (part)</v>
      </c>
      <c r="B224">
        <v>8752922</v>
      </c>
      <c r="C224">
        <v>12084040</v>
      </c>
      <c r="E224">
        <v>9.2999999999999999E-2</v>
      </c>
      <c r="F224" t="s">
        <v>478</v>
      </c>
      <c r="G224">
        <v>100</v>
      </c>
      <c r="H224" t="s">
        <v>479</v>
      </c>
      <c r="I224">
        <v>5</v>
      </c>
      <c r="J224">
        <v>0.50345253019720215</v>
      </c>
      <c r="K224">
        <v>0</v>
      </c>
      <c r="L224">
        <v>0</v>
      </c>
      <c r="M224">
        <v>0</v>
      </c>
      <c r="O224">
        <v>200000</v>
      </c>
      <c r="R224" t="s">
        <v>162</v>
      </c>
      <c r="S224">
        <v>0</v>
      </c>
      <c r="T224">
        <v>4.7058000000000001E-4</v>
      </c>
      <c r="U224" t="s">
        <v>176</v>
      </c>
      <c r="V224">
        <v>3.2550000000000001E-3</v>
      </c>
      <c r="W224">
        <v>9.6725580000000005E-2</v>
      </c>
      <c r="X224" t="s">
        <v>177</v>
      </c>
      <c r="Y224">
        <v>5.8035348000000002E-3</v>
      </c>
      <c r="Z224">
        <v>0</v>
      </c>
      <c r="AA224" t="s">
        <v>178</v>
      </c>
      <c r="AB224">
        <v>1.16070696E-2</v>
      </c>
      <c r="AC224">
        <v>0.11413618439999999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Q224" t="s">
        <v>262</v>
      </c>
      <c r="AR224" t="s">
        <v>263</v>
      </c>
      <c r="AS224">
        <v>9.2999999999999999E-2</v>
      </c>
    </row>
    <row r="225" spans="1:45" x14ac:dyDescent="0.15">
      <c r="A225" s="4" t="str">
        <f>HYPERLINK("https://ibp.a2mac1.com/costing(costing:projects/details/9760/material/8752923)","POM adjusted (part)")</f>
        <v>POM adjusted (part)</v>
      </c>
      <c r="B225">
        <v>8752923</v>
      </c>
      <c r="C225">
        <v>12084041</v>
      </c>
      <c r="E225">
        <v>4.4999999999999998E-2</v>
      </c>
      <c r="F225" t="s">
        <v>478</v>
      </c>
      <c r="G225">
        <v>100</v>
      </c>
      <c r="H225" t="s">
        <v>479</v>
      </c>
      <c r="I225">
        <v>5</v>
      </c>
      <c r="J225">
        <v>0.50345253019720215</v>
      </c>
      <c r="K225">
        <v>0</v>
      </c>
      <c r="L225">
        <v>0</v>
      </c>
      <c r="M225">
        <v>0</v>
      </c>
      <c r="O225">
        <v>200000</v>
      </c>
      <c r="R225" t="s">
        <v>162</v>
      </c>
      <c r="S225">
        <v>0</v>
      </c>
      <c r="T225">
        <v>2.2770000000000001E-4</v>
      </c>
      <c r="U225" t="s">
        <v>176</v>
      </c>
      <c r="V225">
        <v>1.575E-3</v>
      </c>
      <c r="W225">
        <v>4.6802700000000003E-2</v>
      </c>
      <c r="X225" t="s">
        <v>90</v>
      </c>
      <c r="Y225">
        <v>0</v>
      </c>
      <c r="Z225">
        <v>0</v>
      </c>
      <c r="AA225" t="s">
        <v>90</v>
      </c>
      <c r="AB225">
        <v>0</v>
      </c>
      <c r="AC225">
        <v>4.6802700000000003E-2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Q225" t="s">
        <v>262</v>
      </c>
      <c r="AR225" t="s">
        <v>263</v>
      </c>
      <c r="AS225">
        <v>4.4999999999999998E-2</v>
      </c>
    </row>
    <row r="226" spans="1:45" x14ac:dyDescent="0.15">
      <c r="A226" s="4" t="str">
        <f>HYPERLINK("https://ibp.a2mac1.com/costing(costing:projects/details/9760/material/8752924)","POM adjusted (part)")</f>
        <v>POM adjusted (part)</v>
      </c>
      <c r="B226">
        <v>8752924</v>
      </c>
      <c r="C226">
        <v>12084042</v>
      </c>
      <c r="E226">
        <v>2.5999999999999999E-2</v>
      </c>
      <c r="F226" t="s">
        <v>478</v>
      </c>
      <c r="G226">
        <v>100</v>
      </c>
      <c r="H226" t="s">
        <v>479</v>
      </c>
      <c r="I226">
        <v>5</v>
      </c>
      <c r="J226">
        <v>0.50345253019720215</v>
      </c>
      <c r="K226">
        <v>0</v>
      </c>
      <c r="L226">
        <v>0</v>
      </c>
      <c r="M226">
        <v>0</v>
      </c>
      <c r="O226">
        <v>200000</v>
      </c>
      <c r="R226" t="s">
        <v>162</v>
      </c>
      <c r="S226">
        <v>0</v>
      </c>
      <c r="T226">
        <v>1.3155999999999999E-4</v>
      </c>
      <c r="U226" t="s">
        <v>176</v>
      </c>
      <c r="V226">
        <v>9.1E-4</v>
      </c>
      <c r="W226">
        <v>2.7041559999999999E-2</v>
      </c>
      <c r="X226" t="s">
        <v>90</v>
      </c>
      <c r="Y226">
        <v>0</v>
      </c>
      <c r="Z226">
        <v>0</v>
      </c>
      <c r="AA226" t="s">
        <v>90</v>
      </c>
      <c r="AB226">
        <v>0</v>
      </c>
      <c r="AC226">
        <v>2.7041559999999999E-2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Q226" t="s">
        <v>262</v>
      </c>
      <c r="AR226" t="s">
        <v>263</v>
      </c>
      <c r="AS226">
        <v>2.5999999999999999E-2</v>
      </c>
    </row>
    <row r="227" spans="1:45" x14ac:dyDescent="0.15">
      <c r="A227" s="4" t="str">
        <f>HYPERLINK("https://ibp.a2mac1.com/costing(costing:projects/details/9760/material/8752925)","PP-EPDM-TD20 adjusted (part)")</f>
        <v>PP-EPDM-TD20 adjusted (part)</v>
      </c>
      <c r="B227">
        <v>8752925</v>
      </c>
      <c r="C227">
        <v>12084043</v>
      </c>
      <c r="E227">
        <v>8.4000000000000005E-2</v>
      </c>
      <c r="F227" t="s">
        <v>478</v>
      </c>
      <c r="G227">
        <v>100</v>
      </c>
      <c r="H227" t="s">
        <v>479</v>
      </c>
      <c r="I227">
        <v>5</v>
      </c>
      <c r="J227">
        <v>0.50345253019720215</v>
      </c>
      <c r="K227">
        <v>0</v>
      </c>
      <c r="L227">
        <v>0</v>
      </c>
      <c r="M227">
        <v>0</v>
      </c>
      <c r="O227">
        <v>200000</v>
      </c>
      <c r="R227" t="s">
        <v>162</v>
      </c>
      <c r="S227">
        <v>0</v>
      </c>
      <c r="T227">
        <v>4.2504000000000001E-4</v>
      </c>
      <c r="U227" t="s">
        <v>176</v>
      </c>
      <c r="V227">
        <v>2.9399999999999999E-3</v>
      </c>
      <c r="W227">
        <v>8.7365040000000005E-2</v>
      </c>
      <c r="X227" t="s">
        <v>90</v>
      </c>
      <c r="Y227">
        <v>0</v>
      </c>
      <c r="Z227">
        <v>0</v>
      </c>
      <c r="AA227" t="s">
        <v>90</v>
      </c>
      <c r="AB227">
        <v>0</v>
      </c>
      <c r="AC227">
        <v>8.7365040000000005E-2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Q227" t="s">
        <v>262</v>
      </c>
      <c r="AR227" t="s">
        <v>263</v>
      </c>
      <c r="AS227">
        <v>8.4000000000000005E-2</v>
      </c>
    </row>
    <row r="228" spans="1:45" x14ac:dyDescent="0.15">
      <c r="A228" s="4" t="str">
        <f>HYPERLINK("https://ibp.a2mac1.com/costing(costing:projects/details/9760/material/8752926)","PC-ABS adjusted (part)")</f>
        <v>PC-ABS adjusted (part)</v>
      </c>
      <c r="B228">
        <v>8752926</v>
      </c>
      <c r="C228">
        <v>12084044</v>
      </c>
      <c r="E228">
        <v>0.57399999999999995</v>
      </c>
      <c r="F228" t="s">
        <v>478</v>
      </c>
      <c r="G228">
        <v>100</v>
      </c>
      <c r="H228" t="s">
        <v>479</v>
      </c>
      <c r="I228">
        <v>5</v>
      </c>
      <c r="J228">
        <v>0.50345253019720215</v>
      </c>
      <c r="K228">
        <v>0</v>
      </c>
      <c r="L228">
        <v>0</v>
      </c>
      <c r="M228">
        <v>0</v>
      </c>
      <c r="O228">
        <v>200000</v>
      </c>
      <c r="R228" t="s">
        <v>162</v>
      </c>
      <c r="S228">
        <v>0</v>
      </c>
      <c r="T228">
        <v>2.9044399999999999E-3</v>
      </c>
      <c r="U228" t="s">
        <v>176</v>
      </c>
      <c r="V228">
        <v>2.009E-2</v>
      </c>
      <c r="W228">
        <v>0.59699444000000002</v>
      </c>
      <c r="X228" t="s">
        <v>90</v>
      </c>
      <c r="Y228">
        <v>0</v>
      </c>
      <c r="Z228">
        <v>0</v>
      </c>
      <c r="AA228" t="s">
        <v>90</v>
      </c>
      <c r="AB228">
        <v>0</v>
      </c>
      <c r="AC228">
        <v>0.59699444000000002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Q228" t="s">
        <v>262</v>
      </c>
      <c r="AR228" t="s">
        <v>263</v>
      </c>
      <c r="AS228">
        <v>0.57399999999999995</v>
      </c>
    </row>
    <row r="229" spans="1:45" x14ac:dyDescent="0.15">
      <c r="A229" s="4" t="str">
        <f>HYPERLINK("https://ibp.a2mac1.com/costing(costing:projects/details/9760/material/8752927)","TPE adjusted (part)")</f>
        <v>TPE adjusted (part)</v>
      </c>
      <c r="B229">
        <v>8752927</v>
      </c>
      <c r="C229">
        <v>12084045</v>
      </c>
      <c r="E229">
        <v>0.06</v>
      </c>
      <c r="F229" t="s">
        <v>478</v>
      </c>
      <c r="G229">
        <v>100</v>
      </c>
      <c r="H229" t="s">
        <v>479</v>
      </c>
      <c r="I229">
        <v>5</v>
      </c>
      <c r="J229">
        <v>0.50345253019720215</v>
      </c>
      <c r="K229">
        <v>0</v>
      </c>
      <c r="L229">
        <v>0</v>
      </c>
      <c r="M229">
        <v>0</v>
      </c>
      <c r="O229">
        <v>200000</v>
      </c>
      <c r="R229" t="s">
        <v>162</v>
      </c>
      <c r="S229">
        <v>0</v>
      </c>
      <c r="T229">
        <v>3.0360000000000001E-4</v>
      </c>
      <c r="U229" t="s">
        <v>176</v>
      </c>
      <c r="V229">
        <v>2.0999999999999999E-3</v>
      </c>
      <c r="W229">
        <v>6.2403599999999997E-2</v>
      </c>
      <c r="X229" t="s">
        <v>90</v>
      </c>
      <c r="Y229">
        <v>0</v>
      </c>
      <c r="Z229">
        <v>0</v>
      </c>
      <c r="AA229" t="s">
        <v>90</v>
      </c>
      <c r="AB229">
        <v>0</v>
      </c>
      <c r="AC229">
        <v>6.2403599999999997E-2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Q229" t="s">
        <v>262</v>
      </c>
      <c r="AR229" t="s">
        <v>263</v>
      </c>
      <c r="AS229">
        <v>0.06</v>
      </c>
    </row>
    <row r="230" spans="1:45" x14ac:dyDescent="0.15">
      <c r="A230" s="4" t="str">
        <f>HYPERLINK("https://ibp.a2mac1.com/costing(costing:projects/details/9760/material/8752928)","PC-ABS adjusted (part)")</f>
        <v>PC-ABS adjusted (part)</v>
      </c>
      <c r="B230">
        <v>8752928</v>
      </c>
      <c r="C230">
        <v>12084046</v>
      </c>
      <c r="E230">
        <v>3.9E-2</v>
      </c>
      <c r="F230" t="s">
        <v>478</v>
      </c>
      <c r="G230">
        <v>100</v>
      </c>
      <c r="H230" t="s">
        <v>479</v>
      </c>
      <c r="I230">
        <v>5</v>
      </c>
      <c r="J230">
        <v>0.50345253019720215</v>
      </c>
      <c r="K230">
        <v>0</v>
      </c>
      <c r="L230">
        <v>0</v>
      </c>
      <c r="M230">
        <v>0</v>
      </c>
      <c r="O230">
        <v>200000</v>
      </c>
      <c r="R230" t="s">
        <v>162</v>
      </c>
      <c r="S230">
        <v>0</v>
      </c>
      <c r="T230">
        <v>1.9734E-4</v>
      </c>
      <c r="U230" t="s">
        <v>176</v>
      </c>
      <c r="V230">
        <v>1.3649999999999999E-3</v>
      </c>
      <c r="W230">
        <v>4.0562340000000002E-2</v>
      </c>
      <c r="X230" t="s">
        <v>90</v>
      </c>
      <c r="Y230">
        <v>0</v>
      </c>
      <c r="Z230">
        <v>0</v>
      </c>
      <c r="AA230" t="s">
        <v>90</v>
      </c>
      <c r="AB230">
        <v>0</v>
      </c>
      <c r="AC230">
        <v>4.0562340000000002E-2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Q230" t="s">
        <v>262</v>
      </c>
      <c r="AR230" t="s">
        <v>263</v>
      </c>
      <c r="AS230">
        <v>3.9E-2</v>
      </c>
    </row>
    <row r="231" spans="1:45" x14ac:dyDescent="0.15">
      <c r="A231" s="4" t="str">
        <f>HYPERLINK("https://ibp.a2mac1.com/costing(costing:projects/details/9760/material/8752929)","PLASTIC UNKNOWN")</f>
        <v>PLASTIC UNKNOWN</v>
      </c>
      <c r="B231">
        <v>8752929</v>
      </c>
      <c r="C231">
        <v>12084047</v>
      </c>
      <c r="E231">
        <v>0.13600000000000001</v>
      </c>
      <c r="F231" t="s">
        <v>478</v>
      </c>
      <c r="G231">
        <v>100</v>
      </c>
      <c r="H231" t="s">
        <v>479</v>
      </c>
      <c r="I231">
        <v>0</v>
      </c>
      <c r="J231">
        <v>0.50345253019720215</v>
      </c>
      <c r="K231">
        <v>0</v>
      </c>
      <c r="L231">
        <v>0</v>
      </c>
      <c r="M231">
        <v>0</v>
      </c>
      <c r="O231">
        <v>200000</v>
      </c>
      <c r="R231" t="s">
        <v>162</v>
      </c>
      <c r="S231">
        <v>0</v>
      </c>
      <c r="T231">
        <v>6.8816000000000005E-4</v>
      </c>
      <c r="U231" t="s">
        <v>176</v>
      </c>
      <c r="V231">
        <v>4.7600000000000003E-3</v>
      </c>
      <c r="W231">
        <v>0.14144815999999999</v>
      </c>
      <c r="X231" t="s">
        <v>90</v>
      </c>
      <c r="Y231">
        <v>0</v>
      </c>
      <c r="Z231">
        <v>0</v>
      </c>
      <c r="AA231" t="s">
        <v>90</v>
      </c>
      <c r="AB231">
        <v>0</v>
      </c>
      <c r="AC231">
        <v>0.14144815999999999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Q231" t="s">
        <v>9</v>
      </c>
      <c r="AR231" t="s">
        <v>263</v>
      </c>
      <c r="AS231">
        <v>0.13600000000000001</v>
      </c>
    </row>
    <row r="232" spans="1:45" x14ac:dyDescent="0.15">
      <c r="A232" s="4" t="str">
        <f>HYPERLINK("https://ibp.a2mac1.com/costing(costing:projects/details/9760/material/8752908)","Leather")</f>
        <v>Leather</v>
      </c>
      <c r="B232">
        <v>8752908</v>
      </c>
      <c r="C232">
        <v>12084026</v>
      </c>
      <c r="E232">
        <v>10.59</v>
      </c>
      <c r="F232" t="s">
        <v>478</v>
      </c>
      <c r="G232">
        <v>100</v>
      </c>
      <c r="H232" t="s">
        <v>479</v>
      </c>
      <c r="I232">
        <v>0</v>
      </c>
      <c r="J232">
        <v>0.50345253019720215</v>
      </c>
      <c r="K232">
        <v>0</v>
      </c>
      <c r="L232">
        <v>0</v>
      </c>
      <c r="M232">
        <v>0</v>
      </c>
      <c r="O232">
        <v>200000</v>
      </c>
      <c r="R232" t="s">
        <v>162</v>
      </c>
      <c r="S232">
        <v>0</v>
      </c>
      <c r="T232">
        <v>5.3585399999999998E-2</v>
      </c>
      <c r="U232" t="s">
        <v>176</v>
      </c>
      <c r="V232">
        <v>0.37064999999999998</v>
      </c>
      <c r="W232">
        <v>11.0142354</v>
      </c>
      <c r="X232" t="s">
        <v>90</v>
      </c>
      <c r="Y232">
        <v>0</v>
      </c>
      <c r="Z232">
        <v>0</v>
      </c>
      <c r="AA232" t="s">
        <v>90</v>
      </c>
      <c r="AB232">
        <v>0</v>
      </c>
      <c r="AC232">
        <v>11.0142354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Q232" t="s">
        <v>9</v>
      </c>
      <c r="AR232" t="s">
        <v>263</v>
      </c>
      <c r="AS232">
        <v>10.59</v>
      </c>
    </row>
    <row r="233" spans="1:45" x14ac:dyDescent="0.15">
      <c r="A233" s="4" t="str">
        <f>HYPERLINK("https://ibp.a2mac1.com/costing(costing:projects/details/9760/material/8752909)","PUR adjusted (part)")</f>
        <v>PUR adjusted (part)</v>
      </c>
      <c r="B233">
        <v>8752909</v>
      </c>
      <c r="C233">
        <v>12084027</v>
      </c>
      <c r="E233">
        <v>1.004</v>
      </c>
      <c r="F233" t="s">
        <v>478</v>
      </c>
      <c r="G233">
        <v>100</v>
      </c>
      <c r="H233" t="s">
        <v>479</v>
      </c>
      <c r="I233">
        <v>5</v>
      </c>
      <c r="J233">
        <v>0.50345253019720215</v>
      </c>
      <c r="K233">
        <v>0</v>
      </c>
      <c r="L233">
        <v>0</v>
      </c>
      <c r="M233">
        <v>0</v>
      </c>
      <c r="O233">
        <v>200000</v>
      </c>
      <c r="R233" t="s">
        <v>162</v>
      </c>
      <c r="S233">
        <v>0</v>
      </c>
      <c r="T233">
        <v>5.0802399999999998E-3</v>
      </c>
      <c r="U233" t="s">
        <v>176</v>
      </c>
      <c r="V233">
        <v>3.5139999999999998E-2</v>
      </c>
      <c r="W233">
        <v>1.04422024</v>
      </c>
      <c r="X233" t="s">
        <v>90</v>
      </c>
      <c r="Y233">
        <v>0</v>
      </c>
      <c r="Z233">
        <v>0</v>
      </c>
      <c r="AA233" t="s">
        <v>90</v>
      </c>
      <c r="AB233">
        <v>0</v>
      </c>
      <c r="AC233">
        <v>1.04422024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Q233" t="s">
        <v>262</v>
      </c>
      <c r="AR233" t="s">
        <v>263</v>
      </c>
      <c r="AS233">
        <v>1.004</v>
      </c>
    </row>
    <row r="234" spans="1:45" x14ac:dyDescent="0.15">
      <c r="A234" s="4" t="str">
        <f>HYPERLINK("https://ibp.a2mac1.com/costing(costing:projects/details/9760/material/8752910)","Steel sheet (default) adjusted (part)")</f>
        <v>Steel sheet (default) adjusted (part)</v>
      </c>
      <c r="B234">
        <v>8752910</v>
      </c>
      <c r="C234">
        <v>12084028</v>
      </c>
      <c r="E234">
        <v>1.024</v>
      </c>
      <c r="F234" t="s">
        <v>478</v>
      </c>
      <c r="G234">
        <v>100</v>
      </c>
      <c r="H234" t="s">
        <v>479</v>
      </c>
      <c r="I234">
        <v>30</v>
      </c>
      <c r="J234">
        <v>0.50345253019720215</v>
      </c>
      <c r="K234">
        <v>0</v>
      </c>
      <c r="L234">
        <v>0</v>
      </c>
      <c r="M234">
        <v>0</v>
      </c>
      <c r="O234">
        <v>200000</v>
      </c>
      <c r="R234" t="s">
        <v>162</v>
      </c>
      <c r="S234">
        <v>0</v>
      </c>
      <c r="T234">
        <v>5.1814399999999998E-3</v>
      </c>
      <c r="U234" t="s">
        <v>176</v>
      </c>
      <c r="V234">
        <v>3.5839999999999997E-2</v>
      </c>
      <c r="W234">
        <v>1.06502144</v>
      </c>
      <c r="X234" t="s">
        <v>90</v>
      </c>
      <c r="Y234">
        <v>0</v>
      </c>
      <c r="Z234">
        <v>0</v>
      </c>
      <c r="AA234" t="s">
        <v>90</v>
      </c>
      <c r="AB234">
        <v>0</v>
      </c>
      <c r="AC234">
        <v>1.06502144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Q234" t="s">
        <v>262</v>
      </c>
      <c r="AR234" t="s">
        <v>263</v>
      </c>
      <c r="AS234">
        <v>1.024</v>
      </c>
    </row>
    <row r="235" spans="1:45" x14ac:dyDescent="0.15">
      <c r="A235" s="4" t="str">
        <f>HYPERLINK("https://ibp.a2mac1.com/costing(costing:projects/details/9760/material/8752911)","PP-EPDM-TD20 adjusted (part)")</f>
        <v>PP-EPDM-TD20 adjusted (part)</v>
      </c>
      <c r="B235">
        <v>8752911</v>
      </c>
      <c r="C235">
        <v>12084029</v>
      </c>
      <c r="E235">
        <v>3.6999999999999998E-2</v>
      </c>
      <c r="F235" t="s">
        <v>478</v>
      </c>
      <c r="G235">
        <v>100</v>
      </c>
      <c r="H235" t="s">
        <v>479</v>
      </c>
      <c r="I235">
        <v>5</v>
      </c>
      <c r="J235">
        <v>0.50345253019720215</v>
      </c>
      <c r="K235">
        <v>0</v>
      </c>
      <c r="L235">
        <v>0</v>
      </c>
      <c r="M235">
        <v>0</v>
      </c>
      <c r="O235">
        <v>200000</v>
      </c>
      <c r="R235" t="s">
        <v>162</v>
      </c>
      <c r="S235">
        <v>0</v>
      </c>
      <c r="T235">
        <v>1.8722000000000001E-4</v>
      </c>
      <c r="U235" t="s">
        <v>176</v>
      </c>
      <c r="V235">
        <v>1.2949999999999999E-3</v>
      </c>
      <c r="W235">
        <v>3.8482219999999998E-2</v>
      </c>
      <c r="X235" t="s">
        <v>90</v>
      </c>
      <c r="Y235">
        <v>0</v>
      </c>
      <c r="Z235">
        <v>0</v>
      </c>
      <c r="AA235" t="s">
        <v>90</v>
      </c>
      <c r="AB235">
        <v>0</v>
      </c>
      <c r="AC235">
        <v>3.8482219999999998E-2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Q235" t="s">
        <v>262</v>
      </c>
      <c r="AR235" t="s">
        <v>263</v>
      </c>
      <c r="AS235">
        <v>3.6999999999999998E-2</v>
      </c>
    </row>
    <row r="236" spans="1:45" x14ac:dyDescent="0.15">
      <c r="A236" s="4" t="str">
        <f>HYPERLINK("https://ibp.a2mac1.com/costing(costing:projects/details/9760/material/8752873)","Leather")</f>
        <v>Leather</v>
      </c>
      <c r="B236">
        <v>8752873</v>
      </c>
      <c r="C236">
        <v>12083991</v>
      </c>
      <c r="E236">
        <v>32.92</v>
      </c>
      <c r="F236" t="s">
        <v>478</v>
      </c>
      <c r="G236">
        <v>100</v>
      </c>
      <c r="H236" t="s">
        <v>479</v>
      </c>
      <c r="I236">
        <v>0</v>
      </c>
      <c r="J236">
        <v>0.50345253019720215</v>
      </c>
      <c r="K236">
        <v>0</v>
      </c>
      <c r="L236">
        <v>0</v>
      </c>
      <c r="M236">
        <v>0</v>
      </c>
      <c r="O236">
        <v>200000</v>
      </c>
      <c r="R236" t="s">
        <v>162</v>
      </c>
      <c r="S236">
        <v>0</v>
      </c>
      <c r="T236">
        <v>0.16657520000000001</v>
      </c>
      <c r="U236" t="s">
        <v>176</v>
      </c>
      <c r="V236">
        <v>1.1521999999999999</v>
      </c>
      <c r="W236">
        <v>34.238775199999999</v>
      </c>
      <c r="X236" t="s">
        <v>90</v>
      </c>
      <c r="Y236">
        <v>0</v>
      </c>
      <c r="Z236">
        <v>0</v>
      </c>
      <c r="AA236" t="s">
        <v>90</v>
      </c>
      <c r="AB236">
        <v>0</v>
      </c>
      <c r="AC236">
        <v>34.238775199999999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Q236" t="s">
        <v>9</v>
      </c>
      <c r="AR236" t="s">
        <v>263</v>
      </c>
      <c r="AS236">
        <v>32.92</v>
      </c>
    </row>
    <row r="237" spans="1:45" x14ac:dyDescent="0.15">
      <c r="A237" s="4" t="str">
        <f>HYPERLINK("https://ibp.a2mac1.com/costing(costing:projects/details/9760/material/8752874)","PUR adjusted (part)")</f>
        <v>PUR adjusted (part)</v>
      </c>
      <c r="B237">
        <v>8752874</v>
      </c>
      <c r="C237">
        <v>12083992</v>
      </c>
      <c r="E237">
        <v>4.7350000000000003</v>
      </c>
      <c r="F237" t="s">
        <v>478</v>
      </c>
      <c r="G237">
        <v>100</v>
      </c>
      <c r="H237" t="s">
        <v>479</v>
      </c>
      <c r="I237">
        <v>5</v>
      </c>
      <c r="J237">
        <v>0.50345253019720215</v>
      </c>
      <c r="K237">
        <v>0</v>
      </c>
      <c r="L237">
        <v>0</v>
      </c>
      <c r="M237">
        <v>0</v>
      </c>
      <c r="O237">
        <v>200000</v>
      </c>
      <c r="R237" t="s">
        <v>162</v>
      </c>
      <c r="S237">
        <v>0</v>
      </c>
      <c r="T237">
        <v>2.3959100000000001E-2</v>
      </c>
      <c r="U237" t="s">
        <v>176</v>
      </c>
      <c r="V237">
        <v>0.16572500000000001</v>
      </c>
      <c r="W237">
        <v>4.9246841000000003</v>
      </c>
      <c r="X237" t="s">
        <v>90</v>
      </c>
      <c r="Y237">
        <v>0</v>
      </c>
      <c r="Z237">
        <v>0</v>
      </c>
      <c r="AA237" t="s">
        <v>90</v>
      </c>
      <c r="AB237">
        <v>0</v>
      </c>
      <c r="AC237">
        <v>4.9246841000000003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Q237" t="s">
        <v>262</v>
      </c>
      <c r="AR237" t="s">
        <v>263</v>
      </c>
      <c r="AS237">
        <v>4.7350000000000003</v>
      </c>
    </row>
    <row r="238" spans="1:45" x14ac:dyDescent="0.15">
      <c r="A238" s="4" t="str">
        <f>HYPERLINK("https://ibp.a2mac1.com/costing(costing:projects/details/9760/material/8752875)","Steel sheet (default) adjusted (part)")</f>
        <v>Steel sheet (default) adjusted (part)</v>
      </c>
      <c r="B238">
        <v>8752875</v>
      </c>
      <c r="C238">
        <v>12083993</v>
      </c>
      <c r="E238">
        <v>5.76</v>
      </c>
      <c r="F238" t="s">
        <v>478</v>
      </c>
      <c r="G238">
        <v>100</v>
      </c>
      <c r="H238" t="s">
        <v>479</v>
      </c>
      <c r="I238">
        <v>30</v>
      </c>
      <c r="J238">
        <v>0.50345253019720215</v>
      </c>
      <c r="K238">
        <v>0</v>
      </c>
      <c r="L238">
        <v>0</v>
      </c>
      <c r="M238">
        <v>0</v>
      </c>
      <c r="O238">
        <v>200000</v>
      </c>
      <c r="R238" t="s">
        <v>162</v>
      </c>
      <c r="S238">
        <v>0</v>
      </c>
      <c r="T238">
        <v>2.9145600000000001E-2</v>
      </c>
      <c r="U238" t="s">
        <v>176</v>
      </c>
      <c r="V238">
        <v>0.2016</v>
      </c>
      <c r="W238">
        <v>5.9907456000000003</v>
      </c>
      <c r="X238" t="s">
        <v>90</v>
      </c>
      <c r="Y238">
        <v>0</v>
      </c>
      <c r="Z238">
        <v>0</v>
      </c>
      <c r="AA238" t="s">
        <v>90</v>
      </c>
      <c r="AB238">
        <v>0</v>
      </c>
      <c r="AC238">
        <v>5.9907456000000003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Q238" t="s">
        <v>262</v>
      </c>
      <c r="AR238" t="s">
        <v>263</v>
      </c>
      <c r="AS238">
        <v>5.76</v>
      </c>
    </row>
    <row r="239" spans="1:45" x14ac:dyDescent="0.15">
      <c r="A239" s="4" t="str">
        <f>HYPERLINK("https://ibp.a2mac1.com/costing(costing:projects/details/9760/material/8752876)","PET adjusted (part)")</f>
        <v>PET adjusted (part)</v>
      </c>
      <c r="B239">
        <v>8752876</v>
      </c>
      <c r="C239">
        <v>12083994</v>
      </c>
      <c r="E239">
        <v>1.409</v>
      </c>
      <c r="F239" t="s">
        <v>478</v>
      </c>
      <c r="G239">
        <v>100</v>
      </c>
      <c r="H239" t="s">
        <v>479</v>
      </c>
      <c r="I239">
        <v>5</v>
      </c>
      <c r="J239">
        <v>0.50345253019720215</v>
      </c>
      <c r="K239">
        <v>0</v>
      </c>
      <c r="L239">
        <v>0</v>
      </c>
      <c r="M239">
        <v>0</v>
      </c>
      <c r="O239">
        <v>200000</v>
      </c>
      <c r="R239" t="s">
        <v>162</v>
      </c>
      <c r="S239">
        <v>0</v>
      </c>
      <c r="T239">
        <v>7.1295400000000002E-3</v>
      </c>
      <c r="U239" t="s">
        <v>176</v>
      </c>
      <c r="V239">
        <v>4.9314999999999998E-2</v>
      </c>
      <c r="W239">
        <v>1.46544454</v>
      </c>
      <c r="X239" t="s">
        <v>90</v>
      </c>
      <c r="Y239">
        <v>0</v>
      </c>
      <c r="Z239">
        <v>0</v>
      </c>
      <c r="AA239" t="s">
        <v>90</v>
      </c>
      <c r="AB239">
        <v>0</v>
      </c>
      <c r="AC239">
        <v>1.46544454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Q239" t="s">
        <v>262</v>
      </c>
      <c r="AR239" t="s">
        <v>263</v>
      </c>
      <c r="AS239">
        <v>1.409</v>
      </c>
    </row>
    <row r="240" spans="1:45" x14ac:dyDescent="0.15">
      <c r="A240" s="4" t="str">
        <f>HYPERLINK("https://ibp.a2mac1.com/costing(costing:projects/details/9760/material/8752877)","PUR adjusted (part)")</f>
        <v>PUR adjusted (part)</v>
      </c>
      <c r="B240">
        <v>8752877</v>
      </c>
      <c r="C240">
        <v>12083995</v>
      </c>
      <c r="E240">
        <v>0.219</v>
      </c>
      <c r="F240" t="s">
        <v>478</v>
      </c>
      <c r="G240">
        <v>100</v>
      </c>
      <c r="H240" t="s">
        <v>479</v>
      </c>
      <c r="I240">
        <v>5</v>
      </c>
      <c r="J240">
        <v>0.50345253019720215</v>
      </c>
      <c r="K240">
        <v>0</v>
      </c>
      <c r="L240">
        <v>0</v>
      </c>
      <c r="M240">
        <v>0</v>
      </c>
      <c r="O240">
        <v>200000</v>
      </c>
      <c r="R240" t="s">
        <v>162</v>
      </c>
      <c r="S240">
        <v>0</v>
      </c>
      <c r="T240">
        <v>1.1081400000000001E-3</v>
      </c>
      <c r="U240" t="s">
        <v>176</v>
      </c>
      <c r="V240">
        <v>7.6649999999999999E-3</v>
      </c>
      <c r="W240">
        <v>0.22777314000000001</v>
      </c>
      <c r="X240" t="s">
        <v>90</v>
      </c>
      <c r="Y240">
        <v>0</v>
      </c>
      <c r="Z240">
        <v>0</v>
      </c>
      <c r="AA240" t="s">
        <v>90</v>
      </c>
      <c r="AB240">
        <v>0</v>
      </c>
      <c r="AC240">
        <v>0.22777314000000001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Q240" t="s">
        <v>262</v>
      </c>
      <c r="AR240" t="s">
        <v>263</v>
      </c>
      <c r="AS240">
        <v>0.219</v>
      </c>
    </row>
    <row r="241" spans="1:45" x14ac:dyDescent="0.15">
      <c r="A241" s="4" t="str">
        <f>HYPERLINK("https://ibp.a2mac1.com/costing(costing:projects/details/9760/material/8752878)","Steel sheet (default) adjusted (part)")</f>
        <v>Steel sheet (default) adjusted (part)</v>
      </c>
      <c r="B241">
        <v>8752878</v>
      </c>
      <c r="C241">
        <v>12083996</v>
      </c>
      <c r="E241">
        <v>0.16300000000000001</v>
      </c>
      <c r="F241" t="s">
        <v>478</v>
      </c>
      <c r="G241">
        <v>100</v>
      </c>
      <c r="H241" t="s">
        <v>479</v>
      </c>
      <c r="I241">
        <v>30</v>
      </c>
      <c r="J241">
        <v>0.50345253019720215</v>
      </c>
      <c r="K241">
        <v>0</v>
      </c>
      <c r="L241">
        <v>0</v>
      </c>
      <c r="M241">
        <v>0</v>
      </c>
      <c r="O241">
        <v>200000</v>
      </c>
      <c r="R241" t="s">
        <v>162</v>
      </c>
      <c r="S241">
        <v>0</v>
      </c>
      <c r="T241">
        <v>8.2478E-4</v>
      </c>
      <c r="U241" t="s">
        <v>176</v>
      </c>
      <c r="V241">
        <v>5.705E-3</v>
      </c>
      <c r="W241">
        <v>0.16952977999999999</v>
      </c>
      <c r="X241" t="s">
        <v>90</v>
      </c>
      <c r="Y241">
        <v>0</v>
      </c>
      <c r="Z241">
        <v>0</v>
      </c>
      <c r="AA241" t="s">
        <v>90</v>
      </c>
      <c r="AB241">
        <v>0</v>
      </c>
      <c r="AC241">
        <v>0.16952977999999999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Q241" t="s">
        <v>262</v>
      </c>
      <c r="AR241" t="s">
        <v>263</v>
      </c>
      <c r="AS241">
        <v>0.16300000000000001</v>
      </c>
    </row>
    <row r="242" spans="1:45" x14ac:dyDescent="0.15">
      <c r="A242" s="4" t="str">
        <f>HYPERLINK("https://ibp.a2mac1.com/costing(costing:projects/details/9760/material/8752879)","EPP adjusted (part)")</f>
        <v>EPP adjusted (part)</v>
      </c>
      <c r="B242">
        <v>8752879</v>
      </c>
      <c r="C242">
        <v>12083997</v>
      </c>
      <c r="E242">
        <v>1.1299999999999999</v>
      </c>
      <c r="F242" t="s">
        <v>478</v>
      </c>
      <c r="G242">
        <v>100</v>
      </c>
      <c r="H242" t="s">
        <v>479</v>
      </c>
      <c r="I242">
        <v>5</v>
      </c>
      <c r="J242">
        <v>0.50345253019720215</v>
      </c>
      <c r="K242">
        <v>0</v>
      </c>
      <c r="L242">
        <v>0</v>
      </c>
      <c r="M242">
        <v>0</v>
      </c>
      <c r="O242">
        <v>200000</v>
      </c>
      <c r="R242" t="s">
        <v>162</v>
      </c>
      <c r="S242">
        <v>0</v>
      </c>
      <c r="T242">
        <v>5.7178000000000003E-3</v>
      </c>
      <c r="U242" t="s">
        <v>176</v>
      </c>
      <c r="V242">
        <v>3.9550000000000002E-2</v>
      </c>
      <c r="W242">
        <v>1.1752678000000001</v>
      </c>
      <c r="X242" t="s">
        <v>90</v>
      </c>
      <c r="Y242">
        <v>0</v>
      </c>
      <c r="Z242">
        <v>0</v>
      </c>
      <c r="AA242" t="s">
        <v>90</v>
      </c>
      <c r="AB242">
        <v>0</v>
      </c>
      <c r="AC242">
        <v>1.1752678000000001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Q242" t="s">
        <v>262</v>
      </c>
      <c r="AR242" t="s">
        <v>263</v>
      </c>
      <c r="AS242">
        <v>1.1299999999999999</v>
      </c>
    </row>
    <row r="243" spans="1:45" x14ac:dyDescent="0.15">
      <c r="A243" s="4" t="str">
        <f>HYPERLINK("https://ibp.a2mac1.com/costing(costing:projects/details/9760/material/8752758)","Steel sheet (default) adjusted (part)")</f>
        <v>Steel sheet (default) adjusted (part)</v>
      </c>
      <c r="B243">
        <v>8752758</v>
      </c>
      <c r="C243">
        <v>12083874</v>
      </c>
      <c r="D243" t="s">
        <v>2673</v>
      </c>
      <c r="E243">
        <v>1.51</v>
      </c>
      <c r="F243" t="s">
        <v>478</v>
      </c>
      <c r="G243">
        <v>100</v>
      </c>
      <c r="H243" t="s">
        <v>479</v>
      </c>
      <c r="I243">
        <v>30</v>
      </c>
      <c r="J243">
        <v>0.50345253019720215</v>
      </c>
      <c r="K243">
        <v>0</v>
      </c>
      <c r="L243">
        <v>0</v>
      </c>
      <c r="M243">
        <v>0</v>
      </c>
      <c r="O243">
        <v>200000</v>
      </c>
      <c r="R243" t="s">
        <v>162</v>
      </c>
      <c r="S243">
        <v>0</v>
      </c>
      <c r="T243">
        <v>7.6406E-3</v>
      </c>
      <c r="U243" t="s">
        <v>176</v>
      </c>
      <c r="V243">
        <v>5.2850000000000001E-2</v>
      </c>
      <c r="W243">
        <v>1.5704906000000001</v>
      </c>
      <c r="X243" t="s">
        <v>90</v>
      </c>
      <c r="Y243">
        <v>0</v>
      </c>
      <c r="Z243">
        <v>0</v>
      </c>
      <c r="AA243" t="s">
        <v>90</v>
      </c>
      <c r="AB243">
        <v>0</v>
      </c>
      <c r="AC243">
        <v>1.5704906000000001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Q243" t="s">
        <v>262</v>
      </c>
      <c r="AR243" t="s">
        <v>263</v>
      </c>
      <c r="AS243">
        <v>1.51</v>
      </c>
    </row>
    <row r="244" spans="1:45" x14ac:dyDescent="0.15">
      <c r="A244" s="4" t="str">
        <f>HYPERLINK("https://ibp.a2mac1.com/costing(costing:projects/details/9760/material/8752759)","Leather")</f>
        <v>Leather</v>
      </c>
      <c r="B244">
        <v>8752759</v>
      </c>
      <c r="C244">
        <v>12083875</v>
      </c>
      <c r="E244">
        <v>32.58</v>
      </c>
      <c r="F244" t="s">
        <v>478</v>
      </c>
      <c r="G244">
        <v>100</v>
      </c>
      <c r="H244" t="s">
        <v>479</v>
      </c>
      <c r="I244">
        <v>0</v>
      </c>
      <c r="J244">
        <v>0.50345253019720215</v>
      </c>
      <c r="K244">
        <v>0</v>
      </c>
      <c r="L244">
        <v>0</v>
      </c>
      <c r="M244">
        <v>0</v>
      </c>
      <c r="O244">
        <v>200000</v>
      </c>
      <c r="R244" t="s">
        <v>162</v>
      </c>
      <c r="S244">
        <v>0</v>
      </c>
      <c r="T244">
        <v>0.1648548</v>
      </c>
      <c r="U244" t="s">
        <v>176</v>
      </c>
      <c r="V244">
        <v>1.1403000000000001</v>
      </c>
      <c r="W244">
        <v>33.885154800000002</v>
      </c>
      <c r="X244" t="s">
        <v>90</v>
      </c>
      <c r="Y244">
        <v>0</v>
      </c>
      <c r="Z244">
        <v>0</v>
      </c>
      <c r="AA244" t="s">
        <v>90</v>
      </c>
      <c r="AB244">
        <v>0</v>
      </c>
      <c r="AC244">
        <v>33.885154800000002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Q244" t="s">
        <v>9</v>
      </c>
      <c r="AR244" t="s">
        <v>263</v>
      </c>
      <c r="AS244">
        <v>32.58</v>
      </c>
    </row>
    <row r="245" spans="1:45" x14ac:dyDescent="0.15">
      <c r="A245" s="4" t="str">
        <f>HYPERLINK("https://ibp.a2mac1.com/costing(costing:projects/details/9760/material/8752760)","PUR adjusted (part)")</f>
        <v>PUR adjusted (part)</v>
      </c>
      <c r="B245">
        <v>8752760</v>
      </c>
      <c r="C245">
        <v>12083876</v>
      </c>
      <c r="E245">
        <v>7.3769999999999998</v>
      </c>
      <c r="F245" t="s">
        <v>478</v>
      </c>
      <c r="G245">
        <v>100</v>
      </c>
      <c r="H245" t="s">
        <v>479</v>
      </c>
      <c r="I245">
        <v>5</v>
      </c>
      <c r="J245">
        <v>0.50345253019720215</v>
      </c>
      <c r="K245">
        <v>0</v>
      </c>
      <c r="L245">
        <v>0</v>
      </c>
      <c r="M245">
        <v>0</v>
      </c>
      <c r="O245">
        <v>200000</v>
      </c>
      <c r="R245" t="s">
        <v>162</v>
      </c>
      <c r="S245">
        <v>0</v>
      </c>
      <c r="T245">
        <v>3.7327619999999999E-2</v>
      </c>
      <c r="U245" t="s">
        <v>176</v>
      </c>
      <c r="V245">
        <v>0.25819500000000001</v>
      </c>
      <c r="W245">
        <v>7.6725226199999996</v>
      </c>
      <c r="X245" t="s">
        <v>90</v>
      </c>
      <c r="Y245">
        <v>0</v>
      </c>
      <c r="Z245">
        <v>0</v>
      </c>
      <c r="AA245" t="s">
        <v>90</v>
      </c>
      <c r="AB245">
        <v>0</v>
      </c>
      <c r="AC245">
        <v>7.6725226199999996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Q245" t="s">
        <v>262</v>
      </c>
      <c r="AR245" t="s">
        <v>263</v>
      </c>
      <c r="AS245">
        <v>7.3769999999999998</v>
      </c>
    </row>
    <row r="246" spans="1:45" x14ac:dyDescent="0.15">
      <c r="A246" s="4" t="str">
        <f>HYPERLINK("https://ibp.a2mac1.com/costing(costing:projects/details/9760/material/8752761)","PUR adjusted (part)")</f>
        <v>PUR adjusted (part)</v>
      </c>
      <c r="B246">
        <v>8752761</v>
      </c>
      <c r="C246">
        <v>12083877</v>
      </c>
      <c r="E246">
        <v>0.32200000000000001</v>
      </c>
      <c r="F246" t="s">
        <v>478</v>
      </c>
      <c r="G246">
        <v>100</v>
      </c>
      <c r="H246" t="s">
        <v>479</v>
      </c>
      <c r="I246">
        <v>5</v>
      </c>
      <c r="J246">
        <v>0.50048257265952256</v>
      </c>
      <c r="K246">
        <v>0</v>
      </c>
      <c r="L246">
        <v>0</v>
      </c>
      <c r="M246">
        <v>0</v>
      </c>
      <c r="O246">
        <v>400000</v>
      </c>
      <c r="R246" t="s">
        <v>162</v>
      </c>
      <c r="S246">
        <v>0</v>
      </c>
      <c r="T246">
        <v>1.61966E-3</v>
      </c>
      <c r="U246" t="s">
        <v>176</v>
      </c>
      <c r="V246">
        <v>1.1270000000000001E-2</v>
      </c>
      <c r="W246">
        <v>0.33488965999999998</v>
      </c>
      <c r="X246" t="s">
        <v>90</v>
      </c>
      <c r="Y246">
        <v>0</v>
      </c>
      <c r="Z246">
        <v>0</v>
      </c>
      <c r="AA246" t="s">
        <v>90</v>
      </c>
      <c r="AB246">
        <v>0</v>
      </c>
      <c r="AC246">
        <v>0.33488965999999998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Q246" t="s">
        <v>262</v>
      </c>
      <c r="AR246" t="s">
        <v>263</v>
      </c>
      <c r="AS246">
        <v>0.32200000000000001</v>
      </c>
    </row>
    <row r="247" spans="1:45" x14ac:dyDescent="0.15">
      <c r="A247" s="4" t="str">
        <f>HYPERLINK("https://ibp.a2mac1.com/costing(costing:projects/details/9760/material/8752880)","PP adjusted (part)")</f>
        <v>PP adjusted (part)</v>
      </c>
      <c r="B247">
        <v>8752880</v>
      </c>
      <c r="C247">
        <v>12083998</v>
      </c>
      <c r="E247">
        <v>0.11899999999999999</v>
      </c>
      <c r="F247" t="s">
        <v>478</v>
      </c>
      <c r="G247">
        <v>100</v>
      </c>
      <c r="H247" t="s">
        <v>479</v>
      </c>
      <c r="I247">
        <v>5</v>
      </c>
      <c r="J247">
        <v>0.50345253019720215</v>
      </c>
      <c r="K247">
        <v>0</v>
      </c>
      <c r="L247">
        <v>0</v>
      </c>
      <c r="M247">
        <v>0</v>
      </c>
      <c r="O247">
        <v>200000</v>
      </c>
      <c r="R247" t="s">
        <v>162</v>
      </c>
      <c r="S247">
        <v>0</v>
      </c>
      <c r="T247">
        <v>6.0214000000000003E-4</v>
      </c>
      <c r="U247" t="s">
        <v>176</v>
      </c>
      <c r="V247">
        <v>4.1650000000000003E-3</v>
      </c>
      <c r="W247">
        <v>0.12376714</v>
      </c>
      <c r="X247" t="s">
        <v>90</v>
      </c>
      <c r="Y247">
        <v>0</v>
      </c>
      <c r="Z247">
        <v>0</v>
      </c>
      <c r="AA247" t="s">
        <v>90</v>
      </c>
      <c r="AB247">
        <v>0</v>
      </c>
      <c r="AC247">
        <v>0.12376714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Q247" t="s">
        <v>262</v>
      </c>
      <c r="AR247" t="s">
        <v>263</v>
      </c>
      <c r="AS247">
        <v>0.11899999999999999</v>
      </c>
    </row>
    <row r="248" spans="1:45" x14ac:dyDescent="0.15">
      <c r="A248" s="4" t="str">
        <f>HYPERLINK("https://ibp.a2mac1.com/costing(costing:projects/details/9760/material/8752881)","PP adjusted (part)")</f>
        <v>PP adjusted (part)</v>
      </c>
      <c r="B248">
        <v>8752881</v>
      </c>
      <c r="C248">
        <v>12083999</v>
      </c>
      <c r="E248">
        <v>0.11899999999999999</v>
      </c>
      <c r="F248" t="s">
        <v>478</v>
      </c>
      <c r="G248">
        <v>100</v>
      </c>
      <c r="H248" t="s">
        <v>479</v>
      </c>
      <c r="I248">
        <v>5</v>
      </c>
      <c r="J248">
        <v>0.50345253019720215</v>
      </c>
      <c r="K248">
        <v>0</v>
      </c>
      <c r="L248">
        <v>0</v>
      </c>
      <c r="M248">
        <v>0</v>
      </c>
      <c r="O248">
        <v>200000</v>
      </c>
      <c r="R248" t="s">
        <v>162</v>
      </c>
      <c r="S248">
        <v>0</v>
      </c>
      <c r="T248">
        <v>6.0214000000000003E-4</v>
      </c>
      <c r="U248" t="s">
        <v>176</v>
      </c>
      <c r="V248">
        <v>4.1650000000000003E-3</v>
      </c>
      <c r="W248">
        <v>0.12376714</v>
      </c>
      <c r="X248" t="s">
        <v>90</v>
      </c>
      <c r="Y248">
        <v>0</v>
      </c>
      <c r="Z248">
        <v>0</v>
      </c>
      <c r="AA248" t="s">
        <v>90</v>
      </c>
      <c r="AB248">
        <v>0</v>
      </c>
      <c r="AC248">
        <v>0.12376714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Q248" t="s">
        <v>262</v>
      </c>
      <c r="AR248" t="s">
        <v>263</v>
      </c>
      <c r="AS248">
        <v>0.11899999999999999</v>
      </c>
    </row>
    <row r="249" spans="1:45" x14ac:dyDescent="0.15">
      <c r="A249" s="4" t="str">
        <f>HYPERLINK("https://ibp.a2mac1.com/costing(costing:projects/details/9760/material/8752912)","PC-ABS adjusted (part)")</f>
        <v>PC-ABS adjusted (part)</v>
      </c>
      <c r="B249">
        <v>8752912</v>
      </c>
      <c r="C249">
        <v>12084030</v>
      </c>
      <c r="E249">
        <v>0.90400000000000003</v>
      </c>
      <c r="F249" t="s">
        <v>478</v>
      </c>
      <c r="G249">
        <v>100</v>
      </c>
      <c r="H249" t="s">
        <v>479</v>
      </c>
      <c r="I249">
        <v>5</v>
      </c>
      <c r="J249">
        <v>0.50345253019720215</v>
      </c>
      <c r="K249">
        <v>0</v>
      </c>
      <c r="L249">
        <v>0</v>
      </c>
      <c r="M249">
        <v>0</v>
      </c>
      <c r="O249">
        <v>200000</v>
      </c>
      <c r="R249" t="s">
        <v>162</v>
      </c>
      <c r="S249">
        <v>0</v>
      </c>
      <c r="T249">
        <v>4.5742400000000003E-3</v>
      </c>
      <c r="U249" t="s">
        <v>176</v>
      </c>
      <c r="V249">
        <v>3.1640000000000001E-2</v>
      </c>
      <c r="W249">
        <v>0.94021423999999998</v>
      </c>
      <c r="X249" t="s">
        <v>90</v>
      </c>
      <c r="Y249">
        <v>0</v>
      </c>
      <c r="Z249">
        <v>0</v>
      </c>
      <c r="AA249" t="s">
        <v>90</v>
      </c>
      <c r="AB249">
        <v>0</v>
      </c>
      <c r="AC249">
        <v>0.94021423999999998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Q249" t="s">
        <v>262</v>
      </c>
      <c r="AR249" t="s">
        <v>263</v>
      </c>
      <c r="AS249">
        <v>0.90400000000000003</v>
      </c>
    </row>
    <row r="250" spans="1:45" x14ac:dyDescent="0.15">
      <c r="A250" s="4" t="str">
        <f>HYPERLINK("https://ibp.a2mac1.com/costing(costing:projects/details/9760/material/8752913)","Steel sheet (default) adjusted (part)")</f>
        <v>Steel sheet (default) adjusted (part)</v>
      </c>
      <c r="B250">
        <v>8752913</v>
      </c>
      <c r="C250">
        <v>12084031</v>
      </c>
      <c r="E250">
        <v>1.1890000000000001</v>
      </c>
      <c r="F250" t="s">
        <v>478</v>
      </c>
      <c r="G250">
        <v>100</v>
      </c>
      <c r="H250" t="s">
        <v>479</v>
      </c>
      <c r="I250">
        <v>30</v>
      </c>
      <c r="J250">
        <v>0.50345253019720215</v>
      </c>
      <c r="K250">
        <v>0</v>
      </c>
      <c r="L250">
        <v>0</v>
      </c>
      <c r="M250">
        <v>0</v>
      </c>
      <c r="O250">
        <v>200000</v>
      </c>
      <c r="R250" t="s">
        <v>162</v>
      </c>
      <c r="S250">
        <v>0</v>
      </c>
      <c r="T250">
        <v>6.0163400000000002E-3</v>
      </c>
      <c r="U250" t="s">
        <v>176</v>
      </c>
      <c r="V250">
        <v>4.1614999999999999E-2</v>
      </c>
      <c r="W250">
        <v>1.23663134</v>
      </c>
      <c r="X250" t="s">
        <v>90</v>
      </c>
      <c r="Y250">
        <v>0</v>
      </c>
      <c r="Z250">
        <v>0</v>
      </c>
      <c r="AA250" t="s">
        <v>90</v>
      </c>
      <c r="AB250">
        <v>0</v>
      </c>
      <c r="AC250">
        <v>1.23663134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Q250" t="s">
        <v>262</v>
      </c>
      <c r="AR250" t="s">
        <v>263</v>
      </c>
      <c r="AS250">
        <v>1.1890000000000001</v>
      </c>
    </row>
    <row r="251" spans="1:45" x14ac:dyDescent="0.15">
      <c r="A251" s="4" t="str">
        <f>HYPERLINK("https://ibp.a2mac1.com/costing(costing:projects/details/9760/material/8752914)","PC-ABS adjusted (part)")</f>
        <v>PC-ABS adjusted (part)</v>
      </c>
      <c r="B251">
        <v>8752914</v>
      </c>
      <c r="C251">
        <v>12084032</v>
      </c>
      <c r="E251">
        <v>0.90400000000000003</v>
      </c>
      <c r="F251" t="s">
        <v>478</v>
      </c>
      <c r="G251">
        <v>100</v>
      </c>
      <c r="H251" t="s">
        <v>479</v>
      </c>
      <c r="I251">
        <v>5</v>
      </c>
      <c r="J251">
        <v>0.50345253019720215</v>
      </c>
      <c r="K251">
        <v>0</v>
      </c>
      <c r="L251">
        <v>0</v>
      </c>
      <c r="M251">
        <v>0</v>
      </c>
      <c r="O251">
        <v>200000</v>
      </c>
      <c r="R251" t="s">
        <v>162</v>
      </c>
      <c r="S251">
        <v>0</v>
      </c>
      <c r="T251">
        <v>4.5742400000000003E-3</v>
      </c>
      <c r="U251" t="s">
        <v>176</v>
      </c>
      <c r="V251">
        <v>3.1640000000000001E-2</v>
      </c>
      <c r="W251">
        <v>0.94021423999999998</v>
      </c>
      <c r="X251" t="s">
        <v>90</v>
      </c>
      <c r="Y251">
        <v>0</v>
      </c>
      <c r="Z251">
        <v>0</v>
      </c>
      <c r="AA251" t="s">
        <v>90</v>
      </c>
      <c r="AB251">
        <v>0</v>
      </c>
      <c r="AC251">
        <v>0.94021423999999998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Q251" t="s">
        <v>262</v>
      </c>
      <c r="AR251" t="s">
        <v>263</v>
      </c>
      <c r="AS251">
        <v>0.90400000000000003</v>
      </c>
    </row>
    <row r="252" spans="1:45" x14ac:dyDescent="0.15">
      <c r="A252" s="4" t="str">
        <f>HYPERLINK("https://ibp.a2mac1.com/costing(costing:projects/details/9760/material/8752915)","Steel sheet (default) adjusted (part)")</f>
        <v>Steel sheet (default) adjusted (part)</v>
      </c>
      <c r="B252">
        <v>8752915</v>
      </c>
      <c r="C252">
        <v>12084033</v>
      </c>
      <c r="E252">
        <v>0.13400000000000001</v>
      </c>
      <c r="F252" t="s">
        <v>478</v>
      </c>
      <c r="G252">
        <v>100</v>
      </c>
      <c r="H252" t="s">
        <v>479</v>
      </c>
      <c r="I252">
        <v>30</v>
      </c>
      <c r="J252">
        <v>0.50048257265952256</v>
      </c>
      <c r="K252">
        <v>0</v>
      </c>
      <c r="L252">
        <v>0</v>
      </c>
      <c r="M252">
        <v>0</v>
      </c>
      <c r="O252">
        <v>400000</v>
      </c>
      <c r="R252" t="s">
        <v>162</v>
      </c>
      <c r="S252">
        <v>0</v>
      </c>
      <c r="T252">
        <v>6.7402E-4</v>
      </c>
      <c r="U252" t="s">
        <v>176</v>
      </c>
      <c r="V252">
        <v>4.6899999999999997E-3</v>
      </c>
      <c r="W252">
        <v>0.13936402000000001</v>
      </c>
      <c r="X252" t="s">
        <v>90</v>
      </c>
      <c r="Y252">
        <v>0</v>
      </c>
      <c r="Z252">
        <v>0</v>
      </c>
      <c r="AA252" t="s">
        <v>90</v>
      </c>
      <c r="AB252">
        <v>0</v>
      </c>
      <c r="AC252">
        <v>0.13936402000000001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Q252" t="s">
        <v>262</v>
      </c>
      <c r="AR252" t="s">
        <v>263</v>
      </c>
      <c r="AS252">
        <v>0.13400000000000001</v>
      </c>
    </row>
    <row r="253" spans="1:45" x14ac:dyDescent="0.15">
      <c r="A253" s="4" t="str">
        <f>HYPERLINK("https://ibp.a2mac1.com/costing(costing:projects/details/9760/material/8752762)","PA adjusted (part)")</f>
        <v>PA adjusted (part)</v>
      </c>
      <c r="B253">
        <v>8752762</v>
      </c>
      <c r="C253">
        <v>12083879</v>
      </c>
      <c r="E253">
        <v>1.7000000000000001E-2</v>
      </c>
      <c r="F253" t="s">
        <v>478</v>
      </c>
      <c r="G253">
        <v>100</v>
      </c>
      <c r="H253" t="s">
        <v>479</v>
      </c>
      <c r="I253">
        <v>5</v>
      </c>
      <c r="J253">
        <v>0.50048257265952256</v>
      </c>
      <c r="K253">
        <v>0</v>
      </c>
      <c r="L253">
        <v>0</v>
      </c>
      <c r="M253">
        <v>0</v>
      </c>
      <c r="O253">
        <v>800000</v>
      </c>
      <c r="R253" t="s">
        <v>162</v>
      </c>
      <c r="S253">
        <v>0</v>
      </c>
      <c r="T253">
        <v>8.551E-5</v>
      </c>
      <c r="U253" t="s">
        <v>176</v>
      </c>
      <c r="V253">
        <v>5.9500000000000004E-4</v>
      </c>
      <c r="W253">
        <v>1.768051E-2</v>
      </c>
      <c r="X253" t="s">
        <v>90</v>
      </c>
      <c r="Y253">
        <v>0</v>
      </c>
      <c r="Z253">
        <v>0</v>
      </c>
      <c r="AA253" t="s">
        <v>90</v>
      </c>
      <c r="AB253">
        <v>0</v>
      </c>
      <c r="AC253">
        <v>1.768051E-2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Q253" t="s">
        <v>262</v>
      </c>
      <c r="AR253" t="s">
        <v>263</v>
      </c>
      <c r="AS253">
        <v>1.7000000000000001E-2</v>
      </c>
    </row>
    <row r="254" spans="1:45" x14ac:dyDescent="0.15">
      <c r="A254" s="4" t="str">
        <f>HYPERLINK("https://ibp.a2mac1.com/costing(costing:projects/details/9760/material/8752763)","PA6;PA66")</f>
        <v>PA6;PA66</v>
      </c>
      <c r="B254">
        <v>8752763</v>
      </c>
      <c r="C254">
        <v>12083880</v>
      </c>
      <c r="E254">
        <v>8.4000000000000005E-2</v>
      </c>
      <c r="F254" t="s">
        <v>478</v>
      </c>
      <c r="G254">
        <v>100</v>
      </c>
      <c r="H254" t="s">
        <v>479</v>
      </c>
      <c r="I254">
        <v>0</v>
      </c>
      <c r="J254">
        <v>0.50048257265952256</v>
      </c>
      <c r="K254">
        <v>0</v>
      </c>
      <c r="L254">
        <v>0</v>
      </c>
      <c r="M254">
        <v>0</v>
      </c>
      <c r="O254">
        <v>800000</v>
      </c>
      <c r="R254" t="s">
        <v>162</v>
      </c>
      <c r="S254">
        <v>0</v>
      </c>
      <c r="T254">
        <v>4.2252000000000001E-4</v>
      </c>
      <c r="U254" t="s">
        <v>176</v>
      </c>
      <c r="V254">
        <v>2.9399999999999999E-3</v>
      </c>
      <c r="W254">
        <v>8.7362519999999999E-2</v>
      </c>
      <c r="X254" t="s">
        <v>90</v>
      </c>
      <c r="Y254">
        <v>0</v>
      </c>
      <c r="Z254">
        <v>0</v>
      </c>
      <c r="AA254" t="s">
        <v>90</v>
      </c>
      <c r="AB254">
        <v>0</v>
      </c>
      <c r="AC254">
        <v>8.7362519999999999E-2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Q254" t="s">
        <v>9</v>
      </c>
      <c r="AR254" t="s">
        <v>263</v>
      </c>
      <c r="AS254">
        <v>8.4000000000000005E-2</v>
      </c>
    </row>
    <row r="255" spans="1:45" x14ac:dyDescent="0.15">
      <c r="A255" s="4" t="str">
        <f>HYPERLINK("https://ibp.a2mac1.com/costing(costing:projects/details/9760/material/8753010)","EN AC-46100 / EN AC-AlSi11Cu2(Fe) / AA46100 / ADC12 (Ingot)")</f>
        <v>EN AC-46100 / EN AC-AlSi11Cu2(Fe) / AA46100 / ADC12 (Ingot)</v>
      </c>
      <c r="B255">
        <v>8753010</v>
      </c>
      <c r="C255">
        <v>12084092</v>
      </c>
      <c r="E255">
        <v>2.4480499999999998</v>
      </c>
      <c r="F255" t="s">
        <v>2759</v>
      </c>
      <c r="G255">
        <v>98</v>
      </c>
      <c r="H255" t="s">
        <v>2760</v>
      </c>
      <c r="I255">
        <v>30</v>
      </c>
      <c r="J255">
        <v>4.004914948354644</v>
      </c>
      <c r="K255">
        <v>0</v>
      </c>
      <c r="L255">
        <v>0</v>
      </c>
      <c r="M255">
        <v>0</v>
      </c>
      <c r="O255">
        <v>200000</v>
      </c>
      <c r="R255" t="s">
        <v>162</v>
      </c>
      <c r="S255">
        <v>4.9445613979591838E-2</v>
      </c>
      <c r="T255">
        <v>0.34381183587142855</v>
      </c>
      <c r="U255" t="s">
        <v>176</v>
      </c>
      <c r="V255">
        <v>0.28843274821428572</v>
      </c>
      <c r="W255">
        <v>8.8237346333714282</v>
      </c>
      <c r="X255" t="s">
        <v>177</v>
      </c>
      <c r="Y255">
        <v>0.52942407800228575</v>
      </c>
      <c r="Z255">
        <v>0</v>
      </c>
      <c r="AA255" t="s">
        <v>178</v>
      </c>
      <c r="AB255">
        <v>1.0588481560045715</v>
      </c>
      <c r="AC255">
        <v>10.412006867378286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Q255" t="s">
        <v>262</v>
      </c>
      <c r="AR255" t="s">
        <v>263</v>
      </c>
      <c r="AS255">
        <v>8.2409356632653061</v>
      </c>
    </row>
    <row r="256" spans="1:45" x14ac:dyDescent="0.15">
      <c r="A256" s="4" t="str">
        <f>HYPERLINK("https://ibp.a2mac1.com/costing(costing:projects/details/9760/material/8753023)","Aluminum sheet (default, e.g. EN AW1050A)")</f>
        <v>Aluminum sheet (default, e.g. EN AW1050A)</v>
      </c>
      <c r="B256">
        <v>8753023</v>
      </c>
      <c r="C256">
        <v>12084106</v>
      </c>
      <c r="E256">
        <v>3.4857100000000001</v>
      </c>
      <c r="F256" t="s">
        <v>2820</v>
      </c>
      <c r="G256">
        <v>94.3</v>
      </c>
      <c r="H256" t="s">
        <v>2821</v>
      </c>
      <c r="I256">
        <v>30</v>
      </c>
      <c r="J256">
        <v>0.10389195236953569</v>
      </c>
      <c r="K256">
        <v>0</v>
      </c>
      <c r="L256">
        <v>0</v>
      </c>
      <c r="M256">
        <v>0</v>
      </c>
      <c r="O256">
        <v>200000</v>
      </c>
      <c r="R256" t="s">
        <v>162</v>
      </c>
      <c r="S256">
        <v>0.22312610045599152</v>
      </c>
      <c r="T256">
        <v>1.3570242366914105E-2</v>
      </c>
      <c r="U256" t="s">
        <v>176</v>
      </c>
      <c r="V256">
        <v>0.45669084888653233</v>
      </c>
      <c r="W256">
        <v>13.295444958984094</v>
      </c>
      <c r="X256" t="s">
        <v>177</v>
      </c>
      <c r="Y256">
        <v>0.79772669753904557</v>
      </c>
      <c r="Z256">
        <v>0</v>
      </c>
      <c r="AA256" t="s">
        <v>178</v>
      </c>
      <c r="AB256">
        <v>1.5954533950780911</v>
      </c>
      <c r="AC256">
        <v>15.68862505160123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Q256" t="s">
        <v>262</v>
      </c>
      <c r="AR256" t="s">
        <v>263</v>
      </c>
      <c r="AS256">
        <v>13.048309968186638</v>
      </c>
    </row>
    <row r="257" spans="1:45" x14ac:dyDescent="0.15">
      <c r="A257" s="4" t="str">
        <f>HYPERLINK("https://ibp.a2mac1.com/costing(costing:projects/details/9760/material/8753019)","Aluminum sheet (default, e.g. EN AW1050A)")</f>
        <v>Aluminum sheet (default, e.g. EN AW1050A)</v>
      </c>
      <c r="B257">
        <v>8753019</v>
      </c>
      <c r="C257">
        <v>12084102</v>
      </c>
      <c r="E257">
        <v>3.4857100000000001</v>
      </c>
      <c r="F257" t="s">
        <v>2842</v>
      </c>
      <c r="G257">
        <v>94.3</v>
      </c>
      <c r="H257" t="s">
        <v>2843</v>
      </c>
      <c r="I257">
        <v>30</v>
      </c>
      <c r="J257">
        <v>0.10389195236953569</v>
      </c>
      <c r="K257">
        <v>0</v>
      </c>
      <c r="L257">
        <v>0</v>
      </c>
      <c r="M257">
        <v>0</v>
      </c>
      <c r="O257">
        <v>200000</v>
      </c>
      <c r="R257" t="s">
        <v>162</v>
      </c>
      <c r="S257">
        <v>0.49934736362672322</v>
      </c>
      <c r="T257">
        <v>3.0369664220572641E-2</v>
      </c>
      <c r="U257" t="s">
        <v>176</v>
      </c>
      <c r="V257">
        <v>1.0220560074231178</v>
      </c>
      <c r="W257">
        <v>29.754678520106044</v>
      </c>
      <c r="X257" t="s">
        <v>177</v>
      </c>
      <c r="Y257">
        <v>1.7852807112063627</v>
      </c>
      <c r="Z257">
        <v>0</v>
      </c>
      <c r="AA257" t="s">
        <v>178</v>
      </c>
      <c r="AB257">
        <v>3.5705614224127253</v>
      </c>
      <c r="AC257">
        <v>35.110520653725132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Q257" t="s">
        <v>262</v>
      </c>
      <c r="AR257" t="s">
        <v>263</v>
      </c>
      <c r="AS257">
        <v>29.201600212089076</v>
      </c>
    </row>
    <row r="258" spans="1:45" x14ac:dyDescent="0.15">
      <c r="A258" s="4" t="str">
        <f>HYPERLINK("https://ibp.a2mac1.com/costing(costing:projects/details/9760/material/8753020)","Aluminum sheet (default, e.g. EN AW1050A)")</f>
        <v>Aluminum sheet (default, e.g. EN AW1050A)</v>
      </c>
      <c r="B258">
        <v>8753020</v>
      </c>
      <c r="C258">
        <v>12084103</v>
      </c>
      <c r="E258">
        <v>3.4857100000000001</v>
      </c>
      <c r="F258" t="s">
        <v>2857</v>
      </c>
      <c r="G258">
        <v>94.3</v>
      </c>
      <c r="H258" t="s">
        <v>2858</v>
      </c>
      <c r="I258">
        <v>30</v>
      </c>
      <c r="J258">
        <v>0.10389195236953569</v>
      </c>
      <c r="K258">
        <v>0</v>
      </c>
      <c r="L258">
        <v>0</v>
      </c>
      <c r="M258">
        <v>0</v>
      </c>
      <c r="O258">
        <v>200000</v>
      </c>
      <c r="R258" t="s">
        <v>162</v>
      </c>
      <c r="S258">
        <v>0.69150128583244963</v>
      </c>
      <c r="T258">
        <v>4.2056218553552495E-2</v>
      </c>
      <c r="U258" t="s">
        <v>176</v>
      </c>
      <c r="V258">
        <v>1.4153535090137859</v>
      </c>
      <c r="W258">
        <v>41.204580127843052</v>
      </c>
      <c r="X258" t="s">
        <v>177</v>
      </c>
      <c r="Y258">
        <v>2.4722748076705834</v>
      </c>
      <c r="Z258">
        <v>0</v>
      </c>
      <c r="AA258" t="s">
        <v>178</v>
      </c>
      <c r="AB258">
        <v>4.9445496153411668</v>
      </c>
      <c r="AC258">
        <v>48.621404550854805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Q258" t="s">
        <v>262</v>
      </c>
      <c r="AR258" t="s">
        <v>263</v>
      </c>
      <c r="AS258">
        <v>40.438671686108165</v>
      </c>
    </row>
    <row r="259" spans="1:45" x14ac:dyDescent="0.15">
      <c r="A259" s="4" t="str">
        <f>HYPERLINK("https://ibp.a2mac1.com/costing(costing:projects/details/9760/material/8753021)","Aluminum sheet (default, e.g. EN AW1050A)")</f>
        <v>Aluminum sheet (default, e.g. EN AW1050A)</v>
      </c>
      <c r="B259">
        <v>8753021</v>
      </c>
      <c r="C259">
        <v>12084104</v>
      </c>
      <c r="E259">
        <v>3.4857100000000001</v>
      </c>
      <c r="F259" t="s">
        <v>2864</v>
      </c>
      <c r="G259">
        <v>94.3</v>
      </c>
      <c r="H259" t="s">
        <v>2865</v>
      </c>
      <c r="I259">
        <v>30</v>
      </c>
      <c r="J259">
        <v>0.10389195236953569</v>
      </c>
      <c r="K259">
        <v>0</v>
      </c>
      <c r="L259">
        <v>0</v>
      </c>
      <c r="M259">
        <v>0</v>
      </c>
      <c r="O259">
        <v>200000</v>
      </c>
      <c r="R259" t="s">
        <v>162</v>
      </c>
      <c r="S259">
        <v>0.68707668893955465</v>
      </c>
      <c r="T259">
        <v>4.1787120262990453E-2</v>
      </c>
      <c r="U259" t="s">
        <v>176</v>
      </c>
      <c r="V259">
        <v>1.406297316542948</v>
      </c>
      <c r="W259">
        <v>40.940931077664899</v>
      </c>
      <c r="X259" t="s">
        <v>177</v>
      </c>
      <c r="Y259">
        <v>2.456455864659894</v>
      </c>
      <c r="Z259">
        <v>0</v>
      </c>
      <c r="AA259" t="s">
        <v>178</v>
      </c>
      <c r="AB259">
        <v>4.9129117293197879</v>
      </c>
      <c r="AC259">
        <v>48.310298671644581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Q259" t="s">
        <v>262</v>
      </c>
      <c r="AR259" t="s">
        <v>263</v>
      </c>
      <c r="AS259">
        <v>40.179923329798513</v>
      </c>
    </row>
    <row r="260" spans="1:45" x14ac:dyDescent="0.15">
      <c r="A260" s="4" t="str">
        <f>HYPERLINK("https://ibp.a2mac1.com/costing(costing:projects/details/9760/material/8753022)","Aluminum sheet (default, e.g. EN AW1050A)")</f>
        <v>Aluminum sheet (default, e.g. EN AW1050A)</v>
      </c>
      <c r="B260">
        <v>8753022</v>
      </c>
      <c r="C260">
        <v>12084105</v>
      </c>
      <c r="E260">
        <v>3.4857100000000001</v>
      </c>
      <c r="F260" t="s">
        <v>2871</v>
      </c>
      <c r="G260">
        <v>94.3</v>
      </c>
      <c r="H260" t="s">
        <v>2872</v>
      </c>
      <c r="I260">
        <v>30</v>
      </c>
      <c r="J260">
        <v>0.10389195236953569</v>
      </c>
      <c r="K260">
        <v>0</v>
      </c>
      <c r="L260">
        <v>0</v>
      </c>
      <c r="M260">
        <v>0</v>
      </c>
      <c r="O260">
        <v>200000</v>
      </c>
      <c r="R260" t="s">
        <v>162</v>
      </c>
      <c r="S260">
        <v>0.31098595304347826</v>
      </c>
      <c r="T260">
        <v>1.8913765565217393E-2</v>
      </c>
      <c r="U260" t="s">
        <v>176</v>
      </c>
      <c r="V260">
        <v>0.63652095652173912</v>
      </c>
      <c r="W260">
        <v>18.530761812521739</v>
      </c>
      <c r="X260" t="s">
        <v>177</v>
      </c>
      <c r="Y260">
        <v>1.1118457087513043</v>
      </c>
      <c r="Z260">
        <v>0</v>
      </c>
      <c r="AA260" t="s">
        <v>178</v>
      </c>
      <c r="AB260">
        <v>2.2236914175026086</v>
      </c>
      <c r="AC260">
        <v>21.866298938775653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Q260" t="s">
        <v>262</v>
      </c>
      <c r="AR260" t="s">
        <v>263</v>
      </c>
      <c r="AS260">
        <v>18.186313043478261</v>
      </c>
    </row>
    <row r="261" spans="1:45" x14ac:dyDescent="0.15">
      <c r="A261" s="4" t="str">
        <f>HYPERLINK("https://ibp.a2mac1.com/costing(costing:projects/details/9760/material/8753015)","Steel sheet (default)")</f>
        <v>Steel sheet (default)</v>
      </c>
      <c r="B261">
        <v>8753015</v>
      </c>
      <c r="C261">
        <v>12084098</v>
      </c>
      <c r="E261">
        <v>0.52766000000000002</v>
      </c>
      <c r="F261" t="s">
        <v>2925</v>
      </c>
      <c r="G261">
        <v>90</v>
      </c>
      <c r="H261" t="s">
        <v>2926</v>
      </c>
      <c r="I261">
        <v>30</v>
      </c>
      <c r="J261">
        <v>0.10389195236953569</v>
      </c>
      <c r="K261">
        <v>0</v>
      </c>
      <c r="L261">
        <v>0</v>
      </c>
      <c r="M261">
        <v>0</v>
      </c>
      <c r="O261">
        <v>200000</v>
      </c>
      <c r="R261" t="s">
        <v>162</v>
      </c>
      <c r="S261">
        <v>0.29900733333333335</v>
      </c>
      <c r="T261">
        <v>1.0365587555555555E-2</v>
      </c>
      <c r="U261" t="s">
        <v>176</v>
      </c>
      <c r="V261">
        <v>0.3488418888888889</v>
      </c>
      <c r="W261">
        <v>10.027111254222222</v>
      </c>
      <c r="X261" t="s">
        <v>177</v>
      </c>
      <c r="Y261">
        <v>0.60162667525333335</v>
      </c>
      <c r="Z261">
        <v>0</v>
      </c>
      <c r="AA261" t="s">
        <v>178</v>
      </c>
      <c r="AB261">
        <v>1.2032533505066667</v>
      </c>
      <c r="AC261">
        <v>11.831991279982223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Q261" t="s">
        <v>262</v>
      </c>
      <c r="AR261" t="s">
        <v>263</v>
      </c>
      <c r="AS261">
        <v>9.9669111111111111</v>
      </c>
    </row>
    <row r="262" spans="1:45" x14ac:dyDescent="0.15">
      <c r="A262" s="4" t="str">
        <f>HYPERLINK("https://ibp.a2mac1.com/costing(costing:projects/details/9760/material/8753016)","Steel sheet (default)")</f>
        <v>Steel sheet (default)</v>
      </c>
      <c r="B262">
        <v>8753016</v>
      </c>
      <c r="C262">
        <v>12084099</v>
      </c>
      <c r="E262">
        <v>0.52766000000000002</v>
      </c>
      <c r="F262" t="s">
        <v>2930</v>
      </c>
      <c r="G262">
        <v>60</v>
      </c>
      <c r="H262" t="s">
        <v>2931</v>
      </c>
      <c r="I262">
        <v>30</v>
      </c>
      <c r="J262">
        <v>0.10389195236953569</v>
      </c>
      <c r="K262">
        <v>0</v>
      </c>
      <c r="L262">
        <v>0</v>
      </c>
      <c r="M262">
        <v>0</v>
      </c>
      <c r="O262">
        <v>200000</v>
      </c>
      <c r="R262" t="s">
        <v>162</v>
      </c>
      <c r="S262">
        <v>0.30825897200000002</v>
      </c>
      <c r="T262">
        <v>2.6715777573333333E-3</v>
      </c>
      <c r="U262" t="s">
        <v>176</v>
      </c>
      <c r="V262">
        <v>8.9908866833333337E-2</v>
      </c>
      <c r="W262">
        <v>2.3531462392573332</v>
      </c>
      <c r="X262" t="s">
        <v>177</v>
      </c>
      <c r="Y262">
        <v>0.14118877435544</v>
      </c>
      <c r="Z262">
        <v>0</v>
      </c>
      <c r="AA262" t="s">
        <v>178</v>
      </c>
      <c r="AB262">
        <v>0.28237754871088</v>
      </c>
      <c r="AC262">
        <v>2.7767125623236533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Q262" t="s">
        <v>262</v>
      </c>
      <c r="AR262" t="s">
        <v>263</v>
      </c>
      <c r="AS262">
        <v>2.5688247666666668</v>
      </c>
    </row>
    <row r="263" spans="1:45" x14ac:dyDescent="0.15">
      <c r="A263" s="4" t="str">
        <f>HYPERLINK("https://ibp.a2mac1.com/costing(costing:projects/details/9760/material/8753017)","Steel sheet (default)")</f>
        <v>Steel sheet (default)</v>
      </c>
      <c r="B263">
        <v>8753017</v>
      </c>
      <c r="C263">
        <v>12084100</v>
      </c>
      <c r="E263">
        <v>0.52766000000000002</v>
      </c>
      <c r="F263" t="s">
        <v>2935</v>
      </c>
      <c r="G263">
        <v>25</v>
      </c>
      <c r="H263" t="s">
        <v>2936</v>
      </c>
      <c r="I263">
        <v>30</v>
      </c>
      <c r="J263">
        <v>0.10389195236953569</v>
      </c>
      <c r="K263">
        <v>0</v>
      </c>
      <c r="L263">
        <v>0</v>
      </c>
      <c r="M263">
        <v>0</v>
      </c>
      <c r="O263">
        <v>200000</v>
      </c>
      <c r="R263" t="s">
        <v>162</v>
      </c>
      <c r="S263">
        <v>1.4498513820000001</v>
      </c>
      <c r="T263">
        <v>6.7015352768000002E-3</v>
      </c>
      <c r="U263" t="s">
        <v>176</v>
      </c>
      <c r="V263">
        <v>0.22553243719999999</v>
      </c>
      <c r="W263">
        <v>5.2261665104767996</v>
      </c>
      <c r="X263" t="s">
        <v>90</v>
      </c>
      <c r="Y263">
        <v>0</v>
      </c>
      <c r="Z263">
        <v>0</v>
      </c>
      <c r="AA263" t="s">
        <v>90</v>
      </c>
      <c r="AB263">
        <v>0</v>
      </c>
      <c r="AC263">
        <v>5.2261665104767996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Q263" t="s">
        <v>262</v>
      </c>
      <c r="AR263" t="s">
        <v>263</v>
      </c>
      <c r="AS263">
        <v>6.4437839200000004</v>
      </c>
    </row>
    <row r="264" spans="1:45" x14ac:dyDescent="0.15">
      <c r="A264" s="4" t="str">
        <f>HYPERLINK("https://ibp.a2mac1.com/costing(costing:projects/details/9760/material/8753018)","Steel sheet (default)")</f>
        <v>Steel sheet (default)</v>
      </c>
      <c r="B264">
        <v>8753018</v>
      </c>
      <c r="C264">
        <v>12084101</v>
      </c>
      <c r="E264">
        <v>0.52766000000000002</v>
      </c>
      <c r="F264" t="s">
        <v>2944</v>
      </c>
      <c r="G264">
        <v>82</v>
      </c>
      <c r="H264" t="s">
        <v>2945</v>
      </c>
      <c r="I264">
        <v>30</v>
      </c>
      <c r="J264">
        <v>0.10389195236953569</v>
      </c>
      <c r="K264">
        <v>0</v>
      </c>
      <c r="L264">
        <v>0</v>
      </c>
      <c r="M264">
        <v>0</v>
      </c>
      <c r="O264">
        <v>200000</v>
      </c>
      <c r="R264" t="s">
        <v>162</v>
      </c>
      <c r="S264">
        <v>0.10705964004878049</v>
      </c>
      <c r="T264">
        <v>2.0618893639024389E-3</v>
      </c>
      <c r="U264" t="s">
        <v>176</v>
      </c>
      <c r="V264">
        <v>6.939050743902439E-2</v>
      </c>
      <c r="W264">
        <v>1.9469786835834146</v>
      </c>
      <c r="X264" t="s">
        <v>177</v>
      </c>
      <c r="Y264">
        <v>0.11681872101500487</v>
      </c>
      <c r="Z264">
        <v>0</v>
      </c>
      <c r="AA264" t="s">
        <v>178</v>
      </c>
      <c r="AB264">
        <v>0.23363744203000975</v>
      </c>
      <c r="AC264">
        <v>2.2974348466284291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Q264" t="s">
        <v>262</v>
      </c>
      <c r="AR264" t="s">
        <v>263</v>
      </c>
      <c r="AS264">
        <v>1.9825859268292683</v>
      </c>
    </row>
    <row r="265" spans="1:45" x14ac:dyDescent="0.15">
      <c r="A265" s="4" t="str">
        <f>HYPERLINK("https://ibp.a2mac1.com/costing(costing:projects/details/9760/material/8753011)","Steel sheet (default)")</f>
        <v>Steel sheet (default)</v>
      </c>
      <c r="B265">
        <v>8753011</v>
      </c>
      <c r="C265">
        <v>12084095</v>
      </c>
      <c r="E265">
        <v>0.52766000000000002</v>
      </c>
      <c r="F265" t="s">
        <v>2951</v>
      </c>
      <c r="G265">
        <v>90</v>
      </c>
      <c r="H265" t="s">
        <v>2952</v>
      </c>
      <c r="I265">
        <v>30</v>
      </c>
      <c r="J265">
        <v>0.10389195236953569</v>
      </c>
      <c r="K265">
        <v>0</v>
      </c>
      <c r="L265">
        <v>0</v>
      </c>
      <c r="M265">
        <v>0</v>
      </c>
      <c r="O265">
        <v>200000</v>
      </c>
      <c r="R265" t="s">
        <v>162</v>
      </c>
      <c r="S265">
        <v>0.40453933333333331</v>
      </c>
      <c r="T265">
        <v>1.4024030222222221E-2</v>
      </c>
      <c r="U265" t="s">
        <v>176</v>
      </c>
      <c r="V265">
        <v>0.47196255555555555</v>
      </c>
      <c r="W265">
        <v>13.566091696888888</v>
      </c>
      <c r="X265" t="s">
        <v>177</v>
      </c>
      <c r="Y265">
        <v>0.81396550181333338</v>
      </c>
      <c r="Z265">
        <v>0</v>
      </c>
      <c r="AA265" t="s">
        <v>178</v>
      </c>
      <c r="AB265">
        <v>1.6279310036266668</v>
      </c>
      <c r="AC265">
        <v>16.007988202328889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Q265" t="s">
        <v>262</v>
      </c>
      <c r="AR265" t="s">
        <v>263</v>
      </c>
      <c r="AS265">
        <v>13.484644444444445</v>
      </c>
    </row>
    <row r="266" spans="1:45" x14ac:dyDescent="0.15">
      <c r="A266" s="4" t="str">
        <f>HYPERLINK("https://ibp.a2mac1.com/costing(costing:projects/details/9760/material/8753012)","PVC")</f>
        <v>PVC</v>
      </c>
      <c r="B266">
        <v>8753012</v>
      </c>
      <c r="C266">
        <v>12084095</v>
      </c>
      <c r="E266">
        <v>1.2835000000000001</v>
      </c>
      <c r="F266" t="s">
        <v>2954</v>
      </c>
      <c r="G266">
        <v>95</v>
      </c>
      <c r="H266" t="s">
        <v>2955</v>
      </c>
      <c r="I266">
        <v>5</v>
      </c>
      <c r="J266">
        <v>0.10389195236953569</v>
      </c>
      <c r="K266">
        <v>0</v>
      </c>
      <c r="L266">
        <v>0</v>
      </c>
      <c r="M266">
        <v>0</v>
      </c>
      <c r="O266">
        <v>200000</v>
      </c>
      <c r="R266" t="s">
        <v>162</v>
      </c>
      <c r="S266">
        <v>2.2967894736842104E-2</v>
      </c>
      <c r="T266">
        <v>9.5546442105263162E-3</v>
      </c>
      <c r="U266" t="s">
        <v>176</v>
      </c>
      <c r="V266">
        <v>0.32155052631578945</v>
      </c>
      <c r="W266">
        <v>9.4952951705263153</v>
      </c>
      <c r="X266" t="s">
        <v>177</v>
      </c>
      <c r="Y266">
        <v>0.56971771023157891</v>
      </c>
      <c r="Z266">
        <v>0</v>
      </c>
      <c r="AA266" t="s">
        <v>178</v>
      </c>
      <c r="AB266">
        <v>1.1394354204631578</v>
      </c>
      <c r="AC266">
        <v>11.204448301221053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P266" t="s">
        <v>2956</v>
      </c>
      <c r="AQ266" t="s">
        <v>262</v>
      </c>
      <c r="AR266" t="s">
        <v>263</v>
      </c>
      <c r="AS266">
        <v>9.187157894736842</v>
      </c>
    </row>
    <row r="267" spans="1:45" x14ac:dyDescent="0.15">
      <c r="A267" s="4" t="str">
        <f>HYPERLINK("https://ibp.a2mac1.com/costing(costing:projects/details/9760/material/8753013)","Copper (default, e.g. CuZn30  / C26000)")</f>
        <v>Copper (default, e.g. CuZn30  / C26000)</v>
      </c>
      <c r="B267">
        <v>8753013</v>
      </c>
      <c r="C267">
        <v>12084096</v>
      </c>
      <c r="E267">
        <v>9.1891700000000007</v>
      </c>
      <c r="F267" t="s">
        <v>3064</v>
      </c>
      <c r="G267">
        <v>90</v>
      </c>
      <c r="H267" t="s">
        <v>3065</v>
      </c>
      <c r="I267">
        <v>40</v>
      </c>
      <c r="J267">
        <v>0.10389195236953569</v>
      </c>
      <c r="K267">
        <v>0</v>
      </c>
      <c r="L267">
        <v>0</v>
      </c>
      <c r="M267">
        <v>0</v>
      </c>
      <c r="O267">
        <v>200000</v>
      </c>
      <c r="R267" t="s">
        <v>162</v>
      </c>
      <c r="S267">
        <v>0.37165087555555554</v>
      </c>
      <c r="T267">
        <v>9.6629227644444444E-3</v>
      </c>
      <c r="U267" t="s">
        <v>176</v>
      </c>
      <c r="V267">
        <v>0.32519451611111111</v>
      </c>
      <c r="W267">
        <v>9.2544784522088896</v>
      </c>
      <c r="X267" t="s">
        <v>177</v>
      </c>
      <c r="Y267">
        <v>0.55526870713253329</v>
      </c>
      <c r="Z267">
        <v>0</v>
      </c>
      <c r="AA267" t="s">
        <v>178</v>
      </c>
      <c r="AB267">
        <v>1.1105374142650666</v>
      </c>
      <c r="AC267">
        <v>10.920284573606489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Q267" t="s">
        <v>262</v>
      </c>
      <c r="AR267" t="s">
        <v>263</v>
      </c>
      <c r="AS267">
        <v>9.2912718888888897</v>
      </c>
    </row>
    <row r="268" spans="1:45" x14ac:dyDescent="0.15">
      <c r="A268" s="4" t="str">
        <f>HYPERLINK("https://ibp.a2mac1.com/costing(costing:projects/details/9760/material/8753014)","PBT-GF50")</f>
        <v>PBT-GF50</v>
      </c>
      <c r="B268">
        <v>8753014</v>
      </c>
      <c r="C268">
        <v>12084097</v>
      </c>
      <c r="E268">
        <v>1.5831299999999999</v>
      </c>
      <c r="F268" t="s">
        <v>3140</v>
      </c>
      <c r="G268">
        <v>93.4</v>
      </c>
      <c r="H268" t="s">
        <v>3141</v>
      </c>
      <c r="I268">
        <v>5</v>
      </c>
      <c r="J268">
        <v>0.10389195236953569</v>
      </c>
      <c r="K268">
        <v>0</v>
      </c>
      <c r="L268">
        <v>0</v>
      </c>
      <c r="M268">
        <v>0</v>
      </c>
      <c r="O268">
        <v>200000</v>
      </c>
      <c r="R268" t="s">
        <v>162</v>
      </c>
      <c r="S268">
        <v>1.1164626E-2</v>
      </c>
      <c r="T268">
        <v>3.5185488000000001E-3</v>
      </c>
      <c r="U268" t="s">
        <v>176</v>
      </c>
      <c r="V268">
        <v>0.1184127</v>
      </c>
      <c r="W268">
        <v>3.4939866228000001</v>
      </c>
      <c r="X268" t="s">
        <v>177</v>
      </c>
      <c r="Y268">
        <v>0.20963919736799999</v>
      </c>
      <c r="Z268">
        <v>0</v>
      </c>
      <c r="AA268" t="s">
        <v>178</v>
      </c>
      <c r="AB268">
        <v>0.41927839473599998</v>
      </c>
      <c r="AC268">
        <v>4.1229042149039996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Q268" t="s">
        <v>262</v>
      </c>
      <c r="AR268" t="s">
        <v>263</v>
      </c>
      <c r="AS268">
        <v>3.3832200000000001</v>
      </c>
    </row>
    <row r="269" spans="1:45" x14ac:dyDescent="0.15">
      <c r="A269" s="4" t="str">
        <f>HYPERLINK("https://ibp.a2mac1.com/costing(costing:projects/details/9760/material/8752946)","PP-GF20")</f>
        <v>PP-GF20</v>
      </c>
      <c r="B269">
        <v>8752946</v>
      </c>
      <c r="C269">
        <v>12084058</v>
      </c>
      <c r="E269">
        <v>1.3471</v>
      </c>
      <c r="F269" t="s">
        <v>3323</v>
      </c>
      <c r="G269">
        <v>98</v>
      </c>
      <c r="H269" t="s">
        <v>3324</v>
      </c>
      <c r="I269">
        <v>30</v>
      </c>
      <c r="J269">
        <v>15.000679994560043</v>
      </c>
      <c r="K269">
        <v>0</v>
      </c>
      <c r="L269">
        <v>0</v>
      </c>
      <c r="M269">
        <v>0</v>
      </c>
      <c r="O269">
        <v>200000</v>
      </c>
      <c r="R269" t="s">
        <v>162</v>
      </c>
      <c r="S269">
        <v>1.5554881224489796E-2</v>
      </c>
      <c r="T269">
        <v>0.45752090641632653</v>
      </c>
      <c r="U269" t="s">
        <v>176</v>
      </c>
      <c r="V269">
        <v>9.0736807142857145E-2</v>
      </c>
      <c r="W269">
        <v>3.1251830364163267</v>
      </c>
      <c r="X269" t="s">
        <v>177</v>
      </c>
      <c r="Y269">
        <v>0.18751098218497958</v>
      </c>
      <c r="Z269">
        <v>0</v>
      </c>
      <c r="AA269" t="s">
        <v>178</v>
      </c>
      <c r="AB269">
        <v>0.37502196436995916</v>
      </c>
      <c r="AC269">
        <v>3.6877159829712651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Q269" t="s">
        <v>262</v>
      </c>
      <c r="AR269" t="s">
        <v>263</v>
      </c>
      <c r="AS269">
        <v>2.5924802040816326</v>
      </c>
    </row>
    <row r="270" spans="1:45" x14ac:dyDescent="0.15">
      <c r="A270" s="4" t="str">
        <f>HYPERLINK("https://ibp.a2mac1.com/costing(costing:projects/details/9760/material/8752980)","NO-30 (Sheet/Coil)")</f>
        <v>NO-30 (Sheet/Coil)</v>
      </c>
      <c r="B270">
        <v>8752980</v>
      </c>
      <c r="C270">
        <v>12084069</v>
      </c>
      <c r="E270">
        <v>1.1694199999999999</v>
      </c>
      <c r="F270" t="s">
        <v>3338</v>
      </c>
      <c r="G270">
        <v>44</v>
      </c>
      <c r="H270" t="s">
        <v>3339</v>
      </c>
      <c r="I270">
        <v>15</v>
      </c>
      <c r="J270">
        <v>1.9999600007999841E-3</v>
      </c>
      <c r="K270">
        <v>0</v>
      </c>
      <c r="L270">
        <v>0</v>
      </c>
      <c r="M270">
        <v>0</v>
      </c>
      <c r="O270">
        <v>200000</v>
      </c>
      <c r="R270" t="s">
        <v>162</v>
      </c>
      <c r="S270">
        <v>2.991588981818182</v>
      </c>
      <c r="T270">
        <v>7.1228309090909088E-4</v>
      </c>
      <c r="U270" t="s">
        <v>176</v>
      </c>
      <c r="V270">
        <v>1.2464954090909091</v>
      </c>
      <c r="W270">
        <v>33.869773255818181</v>
      </c>
      <c r="X270" t="s">
        <v>177</v>
      </c>
      <c r="Y270">
        <v>2.0321863953490911</v>
      </c>
      <c r="Z270">
        <v>0</v>
      </c>
      <c r="AA270" t="s">
        <v>178</v>
      </c>
      <c r="AB270">
        <v>4.0643727906981821</v>
      </c>
      <c r="AC270">
        <v>39.966332441865454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Q270" t="s">
        <v>262</v>
      </c>
      <c r="AR270" t="s">
        <v>263</v>
      </c>
      <c r="AS270">
        <v>35.614154545454547</v>
      </c>
    </row>
    <row r="271" spans="1:45" x14ac:dyDescent="0.15">
      <c r="A271" s="4" t="str">
        <f>HYPERLINK("https://ibp.a2mac1.com/costing(costing:projects/details/9760/material/8752981)","NO-30 (Sheet/Coil)")</f>
        <v>NO-30 (Sheet/Coil)</v>
      </c>
      <c r="B271">
        <v>8752981</v>
      </c>
      <c r="C271">
        <v>12084070</v>
      </c>
      <c r="E271">
        <v>1.1694199999999999</v>
      </c>
      <c r="F271" t="s">
        <v>3348</v>
      </c>
      <c r="G271">
        <v>70</v>
      </c>
      <c r="H271" t="s">
        <v>3349</v>
      </c>
      <c r="I271">
        <v>15</v>
      </c>
      <c r="J271">
        <v>1.9999600007999841E-3</v>
      </c>
      <c r="K271">
        <v>0</v>
      </c>
      <c r="L271">
        <v>0</v>
      </c>
      <c r="M271">
        <v>0</v>
      </c>
      <c r="O271">
        <v>200000</v>
      </c>
      <c r="R271" t="s">
        <v>162</v>
      </c>
      <c r="S271">
        <v>0.95023727999999996</v>
      </c>
      <c r="T271">
        <v>4.2232768E-4</v>
      </c>
      <c r="U271" t="s">
        <v>176</v>
      </c>
      <c r="V271">
        <v>0.73907343999999997</v>
      </c>
      <c r="W271">
        <v>20.905642487680002</v>
      </c>
      <c r="X271" t="s">
        <v>177</v>
      </c>
      <c r="Y271">
        <v>1.2543385492607999</v>
      </c>
      <c r="Z271">
        <v>0</v>
      </c>
      <c r="AA271" t="s">
        <v>178</v>
      </c>
      <c r="AB271">
        <v>2.5086770985215998</v>
      </c>
      <c r="AC271">
        <v>24.668658135462401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Q271" t="s">
        <v>262</v>
      </c>
      <c r="AR271" t="s">
        <v>263</v>
      </c>
      <c r="AS271">
        <v>21.116384</v>
      </c>
    </row>
    <row r="272" spans="1:45" x14ac:dyDescent="0.15">
      <c r="A272" s="4" t="str">
        <f>HYPERLINK("https://ibp.a2mac1.com/costing(costing:projects/details/9760/material/8752982)","16MnCrS5 / PS 59 / 16MnCrS5 / 1.7139 (Billet)")</f>
        <v>16MnCrS5 / PS 59 / 16MnCrS5 / 1.7139 (Billet)</v>
      </c>
      <c r="B272">
        <v>8752982</v>
      </c>
      <c r="C272">
        <v>12084071</v>
      </c>
      <c r="E272">
        <v>0.60338000000000003</v>
      </c>
      <c r="F272" t="s">
        <v>3353</v>
      </c>
      <c r="G272">
        <v>61</v>
      </c>
      <c r="H272" t="s">
        <v>3354</v>
      </c>
      <c r="I272">
        <v>20</v>
      </c>
      <c r="J272">
        <v>1.9999600007999841E-3</v>
      </c>
      <c r="K272">
        <v>0</v>
      </c>
      <c r="L272">
        <v>0</v>
      </c>
      <c r="M272">
        <v>0</v>
      </c>
      <c r="O272">
        <v>200000</v>
      </c>
      <c r="R272" t="s">
        <v>162</v>
      </c>
      <c r="S272">
        <v>0.34186719481967215</v>
      </c>
      <c r="T272">
        <v>8.7658255081967206E-5</v>
      </c>
      <c r="U272" t="s">
        <v>176</v>
      </c>
      <c r="V272">
        <v>0.15340194639344262</v>
      </c>
      <c r="W272">
        <v>4.1945351639272133</v>
      </c>
      <c r="X272" t="s">
        <v>177</v>
      </c>
      <c r="Y272">
        <v>0.25167210983563276</v>
      </c>
      <c r="Z272">
        <v>0</v>
      </c>
      <c r="AA272" t="s">
        <v>178</v>
      </c>
      <c r="AB272">
        <v>0.50334421967126552</v>
      </c>
      <c r="AC272">
        <v>4.9495514934341118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3355</v>
      </c>
      <c r="AN272" t="s">
        <v>3356</v>
      </c>
      <c r="AQ272" t="s">
        <v>262</v>
      </c>
      <c r="AR272" t="s">
        <v>263</v>
      </c>
      <c r="AS272">
        <v>4.3829127540983608</v>
      </c>
    </row>
    <row r="273" spans="1:45" x14ac:dyDescent="0.15">
      <c r="A273" s="4" t="str">
        <f>HYPERLINK("https://ibp.a2mac1.com/costing(costing:projects/details/9760/material/8752983)","EN AC-46000 / EN AC-AlSi9Cu3(Fe) / A380 / AA46000 / A13800 / BS 1490 LM24 / A-S9U3A-Y4 / ZL111 / 3.2163 (Ingot)")</f>
        <v>EN AC-46000 / EN AC-AlSi9Cu3(Fe) / A380 / AA46000 / A13800 / BS 1490 LM24 / A-S9U3A-Y4 / ZL111 / 3.2163 (Ingot)</v>
      </c>
      <c r="B273">
        <v>8752983</v>
      </c>
      <c r="C273">
        <v>12084072</v>
      </c>
      <c r="E273">
        <v>2.4596100000000001</v>
      </c>
      <c r="F273" t="s">
        <v>3371</v>
      </c>
      <c r="G273">
        <v>90</v>
      </c>
      <c r="H273" t="s">
        <v>3372</v>
      </c>
      <c r="I273">
        <v>30</v>
      </c>
      <c r="J273">
        <v>1.9999600007999841E-3</v>
      </c>
      <c r="K273">
        <v>0</v>
      </c>
      <c r="L273">
        <v>0</v>
      </c>
      <c r="M273">
        <v>0</v>
      </c>
      <c r="O273">
        <v>200000</v>
      </c>
      <c r="R273" t="s">
        <v>162</v>
      </c>
      <c r="S273">
        <v>1.420588749</v>
      </c>
      <c r="T273">
        <v>9.4705916599999997E-4</v>
      </c>
      <c r="U273" t="s">
        <v>176</v>
      </c>
      <c r="V273">
        <v>1.6573535404999999</v>
      </c>
      <c r="W273">
        <v>47.590670150666</v>
      </c>
      <c r="X273" t="s">
        <v>177</v>
      </c>
      <c r="Y273">
        <v>2.8554402090399602</v>
      </c>
      <c r="Z273">
        <v>0</v>
      </c>
      <c r="AA273" t="s">
        <v>178</v>
      </c>
      <c r="AB273">
        <v>5.7108804180799204</v>
      </c>
      <c r="AC273">
        <v>56.156990777785879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Q273" t="s">
        <v>262</v>
      </c>
      <c r="AR273" t="s">
        <v>263</v>
      </c>
      <c r="AS273">
        <v>47.352958299999997</v>
      </c>
    </row>
    <row r="274" spans="1:45" x14ac:dyDescent="0.15">
      <c r="A274" s="4" t="str">
        <f>HYPERLINK("https://ibp.a2mac1.com/costing(costing:projects/details/9760/material/8752987)","EN AC-46000 / EN AC-AlSi9Cu3(Fe) / A380 / AA46000 / A13800 / BS 1490 LM24 / A-S9U3A-Y4 / ZL111 / 3.2163 (Ingot)")</f>
        <v>EN AC-46000 / EN AC-AlSi9Cu3(Fe) / A380 / AA46000 / A13800 / BS 1490 LM24 / A-S9U3A-Y4 / ZL111 / 3.2163 (Ingot)</v>
      </c>
      <c r="B274">
        <v>8752987</v>
      </c>
      <c r="C274">
        <v>12084073</v>
      </c>
      <c r="E274">
        <v>2.4596100000000001</v>
      </c>
      <c r="F274" t="s">
        <v>3378</v>
      </c>
      <c r="G274">
        <v>90</v>
      </c>
      <c r="H274" t="s">
        <v>3379</v>
      </c>
      <c r="I274">
        <v>30</v>
      </c>
      <c r="J274">
        <v>1.9999600007999841E-3</v>
      </c>
      <c r="K274">
        <v>0</v>
      </c>
      <c r="L274">
        <v>0</v>
      </c>
      <c r="M274">
        <v>0</v>
      </c>
      <c r="O274">
        <v>200000</v>
      </c>
      <c r="R274" t="s">
        <v>162</v>
      </c>
      <c r="S274">
        <v>0.345575205</v>
      </c>
      <c r="T274">
        <v>2.3038347000000001E-4</v>
      </c>
      <c r="U274" t="s">
        <v>176</v>
      </c>
      <c r="V274">
        <v>0.40317107250000001</v>
      </c>
      <c r="W274">
        <v>11.57699975097</v>
      </c>
      <c r="X274" t="s">
        <v>177</v>
      </c>
      <c r="Y274">
        <v>0.6946199850582</v>
      </c>
      <c r="Z274">
        <v>0</v>
      </c>
      <c r="AA274" t="s">
        <v>178</v>
      </c>
      <c r="AB274">
        <v>1.3892399701164</v>
      </c>
      <c r="AC274">
        <v>13.660859706144601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Q274" t="s">
        <v>262</v>
      </c>
      <c r="AR274" t="s">
        <v>263</v>
      </c>
      <c r="AS274">
        <v>11.519173500000001</v>
      </c>
    </row>
    <row r="275" spans="1:45" x14ac:dyDescent="0.15">
      <c r="A275" s="4" t="str">
        <f>HYPERLINK("https://ibp.a2mac1.com/costing(costing:projects/details/9760/material/8752990)","NO-25 (Sheet/Coil)")</f>
        <v>NO-25 (Sheet/Coil)</v>
      </c>
      <c r="B275">
        <v>8752990</v>
      </c>
      <c r="C275">
        <v>12084074</v>
      </c>
      <c r="E275">
        <v>1.33325</v>
      </c>
      <c r="F275" t="s">
        <v>3419</v>
      </c>
      <c r="G275">
        <v>47.25</v>
      </c>
      <c r="H275" t="s">
        <v>3420</v>
      </c>
      <c r="I275">
        <v>15</v>
      </c>
      <c r="J275">
        <v>1.9999600007999841E-3</v>
      </c>
      <c r="K275">
        <v>0</v>
      </c>
      <c r="L275">
        <v>0</v>
      </c>
      <c r="M275">
        <v>0</v>
      </c>
      <c r="O275">
        <v>200000</v>
      </c>
      <c r="R275" t="s">
        <v>162</v>
      </c>
      <c r="S275">
        <v>2.9524757761904761</v>
      </c>
      <c r="T275">
        <v>7.4628139682539688E-4</v>
      </c>
      <c r="U275" t="s">
        <v>176</v>
      </c>
      <c r="V275">
        <v>1.3059924444444444</v>
      </c>
      <c r="W275">
        <v>35.668332790920637</v>
      </c>
      <c r="X275" t="s">
        <v>177</v>
      </c>
      <c r="Y275">
        <v>2.1400999674552379</v>
      </c>
      <c r="Z275">
        <v>0</v>
      </c>
      <c r="AA275" t="s">
        <v>178</v>
      </c>
      <c r="AB275">
        <v>4.2801999349104758</v>
      </c>
      <c r="AC275">
        <v>42.08863269328635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Q275" t="s">
        <v>262</v>
      </c>
      <c r="AR275" t="s">
        <v>263</v>
      </c>
      <c r="AS275">
        <v>37.314069841269841</v>
      </c>
    </row>
    <row r="276" spans="1:45" x14ac:dyDescent="0.15">
      <c r="A276" s="4" t="str">
        <f>HYPERLINK("https://ibp.a2mac1.com/costing(costing:projects/details/9760/material/8752991)","NO-25 (Sheet/Coil)")</f>
        <v>NO-25 (Sheet/Coil)</v>
      </c>
      <c r="B276">
        <v>8752991</v>
      </c>
      <c r="C276">
        <v>12084075</v>
      </c>
      <c r="E276">
        <v>1.33325</v>
      </c>
      <c r="F276" t="s">
        <v>3426</v>
      </c>
      <c r="G276">
        <v>53</v>
      </c>
      <c r="H276" t="s">
        <v>3427</v>
      </c>
      <c r="I276">
        <v>15</v>
      </c>
      <c r="J276">
        <v>1.9999600007999841E-3</v>
      </c>
      <c r="K276">
        <v>0</v>
      </c>
      <c r="L276">
        <v>0</v>
      </c>
      <c r="M276">
        <v>0</v>
      </c>
      <c r="O276">
        <v>200000</v>
      </c>
      <c r="R276" t="s">
        <v>162</v>
      </c>
      <c r="S276">
        <v>1.8302252264150944</v>
      </c>
      <c r="T276">
        <v>5.1921283018867921E-4</v>
      </c>
      <c r="U276" t="s">
        <v>176</v>
      </c>
      <c r="V276">
        <v>0.90862245283018872</v>
      </c>
      <c r="W276">
        <v>25.039557948679246</v>
      </c>
      <c r="X276" t="s">
        <v>177</v>
      </c>
      <c r="Y276">
        <v>1.5023734769207546</v>
      </c>
      <c r="Z276">
        <v>0</v>
      </c>
      <c r="AA276" t="s">
        <v>178</v>
      </c>
      <c r="AB276">
        <v>3.0047469538415092</v>
      </c>
      <c r="AC276">
        <v>29.546678379441509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Q276" t="s">
        <v>262</v>
      </c>
      <c r="AR276" t="s">
        <v>263</v>
      </c>
      <c r="AS276">
        <v>25.960641509433962</v>
      </c>
    </row>
    <row r="277" spans="1:45" x14ac:dyDescent="0.15">
      <c r="A277" s="4" t="str">
        <f>HYPERLINK("https://ibp.a2mac1.com/costing(costing:projects/details/9760/material/8752992)","16MnCrS5 / PS 59 / 16MnCrS5 / 1.7139 (Billet)")</f>
        <v>16MnCrS5 / PS 59 / 16MnCrS5 / 1.7139 (Billet)</v>
      </c>
      <c r="B277">
        <v>8752992</v>
      </c>
      <c r="C277">
        <v>12084076</v>
      </c>
      <c r="E277">
        <v>0.60338000000000003</v>
      </c>
      <c r="F277" t="s">
        <v>3430</v>
      </c>
      <c r="G277">
        <v>61</v>
      </c>
      <c r="H277" t="s">
        <v>3431</v>
      </c>
      <c r="I277">
        <v>20</v>
      </c>
      <c r="J277">
        <v>1.9999600007999841E-3</v>
      </c>
      <c r="K277">
        <v>0</v>
      </c>
      <c r="L277">
        <v>0</v>
      </c>
      <c r="M277">
        <v>0</v>
      </c>
      <c r="O277">
        <v>200000</v>
      </c>
      <c r="R277" t="s">
        <v>162</v>
      </c>
      <c r="S277">
        <v>0.31810391429508195</v>
      </c>
      <c r="T277">
        <v>8.1565106229508191E-5</v>
      </c>
      <c r="U277" t="s">
        <v>176</v>
      </c>
      <c r="V277">
        <v>0.14273893590163936</v>
      </c>
      <c r="W277">
        <v>3.9029718981881967</v>
      </c>
      <c r="X277" t="s">
        <v>177</v>
      </c>
      <c r="Y277">
        <v>0.23417831389129179</v>
      </c>
      <c r="Z277">
        <v>0</v>
      </c>
      <c r="AA277" t="s">
        <v>178</v>
      </c>
      <c r="AB277">
        <v>0.46835662778258358</v>
      </c>
      <c r="AC277">
        <v>4.6055068398620724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3355</v>
      </c>
      <c r="AN277" t="s">
        <v>3356</v>
      </c>
      <c r="AQ277" t="s">
        <v>262</v>
      </c>
      <c r="AR277" t="s">
        <v>263</v>
      </c>
      <c r="AS277">
        <v>4.0782553114754094</v>
      </c>
    </row>
    <row r="278" spans="1:45" x14ac:dyDescent="0.15">
      <c r="A278" s="4" t="str">
        <f>HYPERLINK("https://ibp.a2mac1.com/costing(costing:projects/details/9760/material/8752993)","Aluminum for casting (default, e.g. A380/ADC10/EN-AC46500)")</f>
        <v>Aluminum for casting (default, e.g. A380/ADC10/EN-AC46500)</v>
      </c>
      <c r="B278">
        <v>8752993</v>
      </c>
      <c r="C278">
        <v>12084077</v>
      </c>
      <c r="E278">
        <v>2.4518200000000001</v>
      </c>
      <c r="F278" t="s">
        <v>3441</v>
      </c>
      <c r="G278">
        <v>90</v>
      </c>
      <c r="H278" t="s">
        <v>3442</v>
      </c>
      <c r="I278">
        <v>50</v>
      </c>
      <c r="J278">
        <v>1.9999600007999841E-3</v>
      </c>
      <c r="K278">
        <v>0</v>
      </c>
      <c r="L278">
        <v>0</v>
      </c>
      <c r="M278">
        <v>0</v>
      </c>
      <c r="O278">
        <v>200000</v>
      </c>
      <c r="R278" t="s">
        <v>162</v>
      </c>
      <c r="S278">
        <v>2.0370537833333335</v>
      </c>
      <c r="T278">
        <v>8.1482151333333338E-4</v>
      </c>
      <c r="U278" t="s">
        <v>176</v>
      </c>
      <c r="V278">
        <v>1.4259376483333333</v>
      </c>
      <c r="W278">
        <v>40.130774353180001</v>
      </c>
      <c r="X278" t="s">
        <v>177</v>
      </c>
      <c r="Y278">
        <v>2.4078464611907999</v>
      </c>
      <c r="Z278">
        <v>0</v>
      </c>
      <c r="AA278" t="s">
        <v>178</v>
      </c>
      <c r="AB278">
        <v>4.8156929223815998</v>
      </c>
      <c r="AC278">
        <v>47.354313736752403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Q278" t="s">
        <v>262</v>
      </c>
      <c r="AR278" t="s">
        <v>263</v>
      </c>
      <c r="AS278">
        <v>40.741075666666667</v>
      </c>
    </row>
    <row r="279" spans="1:45" x14ac:dyDescent="0.15">
      <c r="A279" s="4" t="str">
        <f>HYPERLINK("https://ibp.a2mac1.com/costing(costing:projects/details/9760/material/8752994)","Aluminum for casting (default, e.g. A380/ADC10/EN-AC46500)")</f>
        <v>Aluminum for casting (default, e.g. A380/ADC10/EN-AC46500)</v>
      </c>
      <c r="B279">
        <v>8752994</v>
      </c>
      <c r="C279">
        <v>12084078</v>
      </c>
      <c r="E279">
        <v>2.4518200000000001</v>
      </c>
      <c r="F279" t="s">
        <v>3446</v>
      </c>
      <c r="G279">
        <v>90</v>
      </c>
      <c r="H279" t="s">
        <v>3447</v>
      </c>
      <c r="I279">
        <v>50</v>
      </c>
      <c r="J279">
        <v>1.9999600007999841E-3</v>
      </c>
      <c r="K279">
        <v>0</v>
      </c>
      <c r="L279">
        <v>0</v>
      </c>
      <c r="M279">
        <v>0</v>
      </c>
      <c r="O279">
        <v>200000</v>
      </c>
      <c r="R279" t="s">
        <v>162</v>
      </c>
      <c r="S279">
        <v>0.5887092244444444</v>
      </c>
      <c r="T279">
        <v>2.3548368977777776E-4</v>
      </c>
      <c r="U279" t="s">
        <v>176</v>
      </c>
      <c r="V279">
        <v>0.41209645711111109</v>
      </c>
      <c r="W279">
        <v>11.597807205245333</v>
      </c>
      <c r="X279" t="s">
        <v>177</v>
      </c>
      <c r="Y279">
        <v>0.69586843231471995</v>
      </c>
      <c r="Z279">
        <v>0</v>
      </c>
      <c r="AA279" t="s">
        <v>178</v>
      </c>
      <c r="AB279">
        <v>1.3917368646294399</v>
      </c>
      <c r="AC279">
        <v>13.685412502189493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Q279" t="s">
        <v>262</v>
      </c>
      <c r="AR279" t="s">
        <v>263</v>
      </c>
      <c r="AS279">
        <v>11.774184488888888</v>
      </c>
    </row>
    <row r="280" spans="1:45" x14ac:dyDescent="0.15">
      <c r="A280" s="4" t="str">
        <f>HYPERLINK("https://ibp.a2mac1.com/costing(costing:projects/details/9760/material/8753001)","PPS-GF40")</f>
        <v>PPS-GF40</v>
      </c>
      <c r="B280">
        <v>8753001</v>
      </c>
      <c r="C280">
        <v>12084087</v>
      </c>
      <c r="E280">
        <v>3.2226599999999999</v>
      </c>
      <c r="F280" t="s">
        <v>3487</v>
      </c>
      <c r="G280">
        <v>98.5</v>
      </c>
      <c r="H280" t="s">
        <v>3488</v>
      </c>
      <c r="I280">
        <v>5</v>
      </c>
      <c r="J280">
        <v>1.9999600007999841E-3</v>
      </c>
      <c r="K280">
        <v>0</v>
      </c>
      <c r="L280">
        <v>0</v>
      </c>
      <c r="M280">
        <v>0</v>
      </c>
      <c r="O280">
        <v>200000</v>
      </c>
      <c r="R280" t="s">
        <v>162</v>
      </c>
      <c r="S280">
        <v>5.275674365482233E-4</v>
      </c>
      <c r="T280">
        <v>1.406846497461929E-5</v>
      </c>
      <c r="U280" t="s">
        <v>176</v>
      </c>
      <c r="V280">
        <v>2.4619813705583755E-2</v>
      </c>
      <c r="W280">
        <v>0.72752956346497466</v>
      </c>
      <c r="X280" t="s">
        <v>177</v>
      </c>
      <c r="Y280">
        <v>4.3651773807898475E-2</v>
      </c>
      <c r="Z280">
        <v>0</v>
      </c>
      <c r="AA280" t="s">
        <v>178</v>
      </c>
      <c r="AB280">
        <v>8.730354761579695E-2</v>
      </c>
      <c r="AC280">
        <v>0.85848488488867003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P280" t="s">
        <v>3489</v>
      </c>
      <c r="AQ280" t="s">
        <v>75</v>
      </c>
      <c r="AR280" t="s">
        <v>263</v>
      </c>
      <c r="AS280">
        <v>0.70342324873096451</v>
      </c>
    </row>
    <row r="281" spans="1:45" x14ac:dyDescent="0.15">
      <c r="A281" s="4" t="str">
        <f>HYPERLINK("https://ibp.a2mac1.com/costing(costing:projects/details/9760/material/8753002)","Copper (default, e.g. CuZn30  / C26000)")</f>
        <v>Copper (default, e.g. CuZn30  / C26000)</v>
      </c>
      <c r="B281">
        <v>8753002</v>
      </c>
      <c r="C281">
        <v>12084087</v>
      </c>
      <c r="E281">
        <v>9.1891700000000007</v>
      </c>
      <c r="F281" t="s">
        <v>3490</v>
      </c>
      <c r="G281">
        <v>70</v>
      </c>
      <c r="H281" t="s">
        <v>3491</v>
      </c>
      <c r="I281">
        <v>40</v>
      </c>
      <c r="J281">
        <v>1.9999600007999841E-3</v>
      </c>
      <c r="K281">
        <v>0</v>
      </c>
      <c r="L281">
        <v>0</v>
      </c>
      <c r="M281">
        <v>0</v>
      </c>
      <c r="O281">
        <v>200000</v>
      </c>
      <c r="R281" t="s">
        <v>162</v>
      </c>
      <c r="S281">
        <v>0.45053187771428571</v>
      </c>
      <c r="T281">
        <v>7.5088646285714287E-5</v>
      </c>
      <c r="U281" t="s">
        <v>176</v>
      </c>
      <c r="V281">
        <v>0.13140513100000001</v>
      </c>
      <c r="W281">
        <v>3.4353806562177143</v>
      </c>
      <c r="X281" t="s">
        <v>177</v>
      </c>
      <c r="Y281">
        <v>0.20612283937306286</v>
      </c>
      <c r="Z281">
        <v>0</v>
      </c>
      <c r="AA281" t="s">
        <v>178</v>
      </c>
      <c r="AB281">
        <v>0.41224567874612572</v>
      </c>
      <c r="AC281">
        <v>4.053749174336903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Q281" t="s">
        <v>75</v>
      </c>
      <c r="AR281" t="s">
        <v>263</v>
      </c>
      <c r="AS281">
        <v>3.7544323142857143</v>
      </c>
    </row>
    <row r="282" spans="1:45" x14ac:dyDescent="0.15">
      <c r="A282" s="4" t="str">
        <f>HYPERLINK("https://ibp.a2mac1.com/costing(costing:projects/details/9760/material/8753004)","Ferrit finished, Standard")</f>
        <v>Ferrit finished, Standard</v>
      </c>
      <c r="B282">
        <v>8753004</v>
      </c>
      <c r="C282">
        <v>12084087</v>
      </c>
      <c r="E282">
        <v>16</v>
      </c>
      <c r="F282" t="s">
        <v>3492</v>
      </c>
      <c r="G282">
        <v>95</v>
      </c>
      <c r="H282" t="s">
        <v>3493</v>
      </c>
      <c r="I282">
        <v>20</v>
      </c>
      <c r="J282">
        <v>1.9999600007999841E-3</v>
      </c>
      <c r="K282">
        <v>0</v>
      </c>
      <c r="L282">
        <v>0</v>
      </c>
      <c r="M282">
        <v>0</v>
      </c>
      <c r="O282">
        <v>200000</v>
      </c>
      <c r="R282" t="s">
        <v>76</v>
      </c>
      <c r="S282">
        <v>3.0181052631578949E-2</v>
      </c>
      <c r="T282">
        <v>6.0362105263157893E-5</v>
      </c>
      <c r="U282" t="s">
        <v>176</v>
      </c>
      <c r="V282">
        <v>0.10563368421052631</v>
      </c>
      <c r="W282">
        <v>3.0936182568421051</v>
      </c>
      <c r="X282" t="s">
        <v>177</v>
      </c>
      <c r="Y282">
        <v>0.18561709541052632</v>
      </c>
      <c r="Z282">
        <v>0</v>
      </c>
      <c r="AA282" t="s">
        <v>178</v>
      </c>
      <c r="AB282">
        <v>0.37123419082105263</v>
      </c>
      <c r="AC282">
        <v>3.6504695430736844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Q282" t="s">
        <v>9</v>
      </c>
      <c r="AR282" t="s">
        <v>263</v>
      </c>
      <c r="AS282">
        <v>3.0181052631578948</v>
      </c>
    </row>
    <row r="283" spans="1:45" x14ac:dyDescent="0.15">
      <c r="A283" s="4" t="str">
        <f>HYPERLINK("https://ibp.a2mac1.com/costing(costing:projects/details/9760/material/8753005)","Aluminum for casting (default, e.g. A380/ADC10/EN-AC46500)")</f>
        <v>Aluminum for casting (default, e.g. A380/ADC10/EN-AC46500)</v>
      </c>
      <c r="B283">
        <v>8753005</v>
      </c>
      <c r="C283">
        <v>12084088</v>
      </c>
      <c r="E283">
        <v>2.4518200000000001</v>
      </c>
      <c r="F283" t="s">
        <v>3552</v>
      </c>
      <c r="G283">
        <v>98.5</v>
      </c>
      <c r="H283" t="s">
        <v>3553</v>
      </c>
      <c r="I283">
        <v>50</v>
      </c>
      <c r="J283">
        <v>1.9999600007999841E-3</v>
      </c>
      <c r="K283">
        <v>0</v>
      </c>
      <c r="L283">
        <v>0</v>
      </c>
      <c r="M283">
        <v>0</v>
      </c>
      <c r="O283">
        <v>200000</v>
      </c>
      <c r="R283" t="s">
        <v>162</v>
      </c>
      <c r="S283">
        <v>2.9384502639593909E-2</v>
      </c>
      <c r="T283">
        <v>7.8358673705583763E-5</v>
      </c>
      <c r="U283" t="s">
        <v>176</v>
      </c>
      <c r="V283">
        <v>0.13712767898477157</v>
      </c>
      <c r="W283">
        <v>4.0257552202980706</v>
      </c>
      <c r="X283" t="s">
        <v>177</v>
      </c>
      <c r="Y283">
        <v>0.24154531321788428</v>
      </c>
      <c r="Z283">
        <v>0</v>
      </c>
      <c r="AA283" t="s">
        <v>178</v>
      </c>
      <c r="AB283">
        <v>0.48309062643576856</v>
      </c>
      <c r="AC283">
        <v>4.7503911599517235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Q283" t="s">
        <v>262</v>
      </c>
      <c r="AR283" t="s">
        <v>263</v>
      </c>
      <c r="AS283">
        <v>3.9179336852791877</v>
      </c>
    </row>
    <row r="284" spans="1:45" x14ac:dyDescent="0.15">
      <c r="A284" s="4" t="str">
        <f>HYPERLINK("https://ibp.a2mac1.com/costing(costing:projects/details/9760/material/8753006)","PPS-GF40")</f>
        <v>PPS-GF40</v>
      </c>
      <c r="B284">
        <v>8753006</v>
      </c>
      <c r="C284">
        <v>12084089</v>
      </c>
      <c r="E284">
        <v>3.2226599999999999</v>
      </c>
      <c r="F284" t="s">
        <v>3575</v>
      </c>
      <c r="G284">
        <v>98.5</v>
      </c>
      <c r="H284" t="s">
        <v>3576</v>
      </c>
      <c r="I284">
        <v>5</v>
      </c>
      <c r="J284">
        <v>1.9999600007999841E-3</v>
      </c>
      <c r="K284">
        <v>0</v>
      </c>
      <c r="L284">
        <v>0</v>
      </c>
      <c r="M284">
        <v>0</v>
      </c>
      <c r="O284">
        <v>200000</v>
      </c>
      <c r="R284" t="s">
        <v>162</v>
      </c>
      <c r="S284">
        <v>7.1896399492385791E-4</v>
      </c>
      <c r="T284">
        <v>1.9172373197969542E-5</v>
      </c>
      <c r="U284" t="s">
        <v>176</v>
      </c>
      <c r="V284">
        <v>3.3551653096446699E-2</v>
      </c>
      <c r="W284">
        <v>0.99147052137319802</v>
      </c>
      <c r="X284" t="s">
        <v>177</v>
      </c>
      <c r="Y284">
        <v>5.9488231282391876E-2</v>
      </c>
      <c r="Z284">
        <v>0</v>
      </c>
      <c r="AA284" t="s">
        <v>178</v>
      </c>
      <c r="AB284">
        <v>0.11897646256478375</v>
      </c>
      <c r="AC284">
        <v>1.1699352152203737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P284" t="s">
        <v>3489</v>
      </c>
      <c r="AQ284" t="s">
        <v>75</v>
      </c>
      <c r="AR284" t="s">
        <v>263</v>
      </c>
      <c r="AS284">
        <v>0.95861865989847717</v>
      </c>
    </row>
    <row r="285" spans="1:45" x14ac:dyDescent="0.15">
      <c r="A285" s="4" t="str">
        <f>HYPERLINK("https://ibp.a2mac1.com/costing(costing:projects/details/9760/material/8753007)","Copper (default, e.g. CuZn30  / C26000)")</f>
        <v>Copper (default, e.g. CuZn30  / C26000)</v>
      </c>
      <c r="B285">
        <v>8753007</v>
      </c>
      <c r="C285">
        <v>12084089</v>
      </c>
      <c r="E285">
        <v>9.1891700000000007</v>
      </c>
      <c r="F285" t="s">
        <v>3575</v>
      </c>
      <c r="G285">
        <v>70</v>
      </c>
      <c r="H285" t="s">
        <v>3577</v>
      </c>
      <c r="I285">
        <v>40</v>
      </c>
      <c r="J285">
        <v>1.9999600007999841E-3</v>
      </c>
      <c r="K285">
        <v>0</v>
      </c>
      <c r="L285">
        <v>0</v>
      </c>
      <c r="M285">
        <v>0</v>
      </c>
      <c r="O285">
        <v>200000</v>
      </c>
      <c r="R285" t="s">
        <v>162</v>
      </c>
      <c r="S285">
        <v>0.46155888171428572</v>
      </c>
      <c r="T285">
        <v>7.6926480285714291E-5</v>
      </c>
      <c r="U285" t="s">
        <v>176</v>
      </c>
      <c r="V285">
        <v>0.13462134049999999</v>
      </c>
      <c r="W285">
        <v>3.5194633995517144</v>
      </c>
      <c r="X285" t="s">
        <v>177</v>
      </c>
      <c r="Y285">
        <v>0.21116780397310286</v>
      </c>
      <c r="Z285">
        <v>0</v>
      </c>
      <c r="AA285" t="s">
        <v>178</v>
      </c>
      <c r="AB285">
        <v>0.42233560794620573</v>
      </c>
      <c r="AC285">
        <v>4.152966811471023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Q285" t="s">
        <v>75</v>
      </c>
      <c r="AR285" t="s">
        <v>263</v>
      </c>
      <c r="AS285">
        <v>3.8463240142857145</v>
      </c>
    </row>
    <row r="286" spans="1:45" x14ac:dyDescent="0.15">
      <c r="A286" s="4" t="str">
        <f>HYPERLINK("https://ibp.a2mac1.com/costing(costing:projects/details/9760/material/8753009)","EN AC-46100 / EN AC-AlSi11Cu2(Fe) / AA46100 / ADC12 (Ingot)")</f>
        <v>EN AC-46100 / EN AC-AlSi11Cu2(Fe) / AA46100 / ADC12 (Ingot)</v>
      </c>
      <c r="B286">
        <v>8753009</v>
      </c>
      <c r="C286">
        <v>12084090</v>
      </c>
      <c r="E286">
        <v>2.4480499999999998</v>
      </c>
      <c r="F286" t="s">
        <v>3653</v>
      </c>
      <c r="G286">
        <v>98</v>
      </c>
      <c r="H286" t="s">
        <v>3654</v>
      </c>
      <c r="I286">
        <v>30</v>
      </c>
      <c r="J286">
        <v>4.004914948354644</v>
      </c>
      <c r="K286">
        <v>0</v>
      </c>
      <c r="L286">
        <v>0</v>
      </c>
      <c r="M286">
        <v>0</v>
      </c>
      <c r="O286">
        <v>200000</v>
      </c>
      <c r="R286" t="s">
        <v>162</v>
      </c>
      <c r="S286">
        <v>4.7497166020408162E-2</v>
      </c>
      <c r="T286">
        <v>0.33026362772857143</v>
      </c>
      <c r="U286" t="s">
        <v>176</v>
      </c>
      <c r="V286">
        <v>0.2770668017857143</v>
      </c>
      <c r="W286">
        <v>8.476027600228571</v>
      </c>
      <c r="X286" t="s">
        <v>177</v>
      </c>
      <c r="Y286">
        <v>0.50856165601371428</v>
      </c>
      <c r="Z286">
        <v>0</v>
      </c>
      <c r="AA286" t="s">
        <v>178</v>
      </c>
      <c r="AB286">
        <v>1.0171233120274286</v>
      </c>
      <c r="AC286">
        <v>10.001712568269713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Q286" t="s">
        <v>262</v>
      </c>
      <c r="AR286" t="s">
        <v>263</v>
      </c>
      <c r="AS286">
        <v>7.9161943367346943</v>
      </c>
    </row>
    <row r="287" spans="1:45" x14ac:dyDescent="0.15">
      <c r="A287" s="4" t="str">
        <f>HYPERLINK("https://ibp.a2mac1.com/costing(costing:projects/details/9760/material/8754061)","Magnesium for casting")</f>
        <v>Magnesium for casting</v>
      </c>
      <c r="B287">
        <v>8754061</v>
      </c>
      <c r="C287">
        <v>12084693</v>
      </c>
      <c r="E287">
        <v>3.4094199999999999</v>
      </c>
      <c r="F287" t="s">
        <v>3725</v>
      </c>
      <c r="G287">
        <v>90</v>
      </c>
      <c r="H287" t="s">
        <v>3726</v>
      </c>
      <c r="I287">
        <v>0</v>
      </c>
      <c r="J287">
        <v>0.50345253019720215</v>
      </c>
      <c r="K287">
        <v>0</v>
      </c>
      <c r="M287">
        <v>0</v>
      </c>
      <c r="O287">
        <v>200000</v>
      </c>
      <c r="R287" t="s">
        <v>162</v>
      </c>
      <c r="S287">
        <v>0</v>
      </c>
      <c r="T287">
        <v>1.7500855919555556E-2</v>
      </c>
      <c r="U287" t="s">
        <v>176</v>
      </c>
      <c r="V287">
        <v>0.12105335122222222</v>
      </c>
      <c r="W287">
        <v>3.5972213849195556</v>
      </c>
      <c r="X287" t="s">
        <v>177</v>
      </c>
      <c r="Y287">
        <v>0.21583328309517333</v>
      </c>
      <c r="Z287">
        <v>0</v>
      </c>
      <c r="AA287" t="s">
        <v>178</v>
      </c>
      <c r="AB287">
        <v>0.43166656619034666</v>
      </c>
      <c r="AC287">
        <v>4.244721234205076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Q287" t="s">
        <v>9</v>
      </c>
      <c r="AR287" t="s">
        <v>263</v>
      </c>
      <c r="AS287">
        <v>3.458667177777778</v>
      </c>
    </row>
    <row r="288" spans="1:45" x14ac:dyDescent="0.15">
      <c r="A288" s="4" t="str">
        <f>HYPERLINK("https://ibp.a2mac1.com/costing(costing:projects/details/9760/material/8754062)","Steel sheet (default) adjusted (part)")</f>
        <v>Steel sheet (default) adjusted (part)</v>
      </c>
      <c r="B288">
        <v>8754062</v>
      </c>
      <c r="C288">
        <v>12084694</v>
      </c>
      <c r="E288">
        <v>0.33</v>
      </c>
      <c r="F288" t="s">
        <v>478</v>
      </c>
      <c r="G288">
        <v>100</v>
      </c>
      <c r="H288" t="s">
        <v>479</v>
      </c>
      <c r="I288">
        <v>30</v>
      </c>
      <c r="J288">
        <v>0.50345253019720215</v>
      </c>
      <c r="K288">
        <v>0</v>
      </c>
      <c r="L288">
        <v>0</v>
      </c>
      <c r="M288">
        <v>0</v>
      </c>
      <c r="O288">
        <v>200000</v>
      </c>
      <c r="R288" t="s">
        <v>162</v>
      </c>
      <c r="S288">
        <v>0</v>
      </c>
      <c r="T288">
        <v>1.6697999999999999E-3</v>
      </c>
      <c r="U288" t="s">
        <v>176</v>
      </c>
      <c r="V288">
        <v>1.155E-2</v>
      </c>
      <c r="W288">
        <v>0.34321980000000002</v>
      </c>
      <c r="X288" t="s">
        <v>177</v>
      </c>
      <c r="Y288">
        <v>2.0593187999999998E-2</v>
      </c>
      <c r="Z288">
        <v>0</v>
      </c>
      <c r="AA288" t="s">
        <v>178</v>
      </c>
      <c r="AB288">
        <v>4.1186375999999997E-2</v>
      </c>
      <c r="AC288">
        <v>0.40499936399999997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Q288" t="s">
        <v>262</v>
      </c>
      <c r="AR288" t="s">
        <v>263</v>
      </c>
      <c r="AS288">
        <v>0.33</v>
      </c>
    </row>
    <row r="289" spans="1:45" x14ac:dyDescent="0.15">
      <c r="A289" s="4" t="str">
        <f>HYPERLINK("https://ibp.a2mac1.com/costing(costing:projects/details/9760/material/8753894)","PA6-GF60 , Steel")</f>
        <v>PA6-GF60 , Steel</v>
      </c>
      <c r="B289">
        <v>8753894</v>
      </c>
      <c r="C289">
        <v>12084592</v>
      </c>
      <c r="E289">
        <v>27.38</v>
      </c>
      <c r="F289" t="s">
        <v>478</v>
      </c>
      <c r="G289">
        <v>100</v>
      </c>
      <c r="H289" t="s">
        <v>479</v>
      </c>
      <c r="I289">
        <v>0</v>
      </c>
      <c r="J289">
        <v>0.50345253019720215</v>
      </c>
      <c r="K289">
        <v>0</v>
      </c>
      <c r="L289">
        <v>0</v>
      </c>
      <c r="M289">
        <v>0</v>
      </c>
      <c r="O289">
        <v>200000</v>
      </c>
      <c r="R289" t="s">
        <v>162</v>
      </c>
      <c r="S289">
        <v>0</v>
      </c>
      <c r="T289">
        <v>0.13854279999999999</v>
      </c>
      <c r="U289" t="s">
        <v>176</v>
      </c>
      <c r="V289">
        <v>0.95830000000000004</v>
      </c>
      <c r="W289">
        <v>28.4768428</v>
      </c>
      <c r="X289" t="s">
        <v>177</v>
      </c>
      <c r="Y289">
        <v>1.7086105680000001</v>
      </c>
      <c r="Z289">
        <v>0</v>
      </c>
      <c r="AA289" t="s">
        <v>178</v>
      </c>
      <c r="AB289">
        <v>3.4172211360000002</v>
      </c>
      <c r="AC289">
        <v>33.602674503999999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Q289" t="s">
        <v>9</v>
      </c>
      <c r="AR289" t="s">
        <v>263</v>
      </c>
      <c r="AS289">
        <v>27.38</v>
      </c>
    </row>
    <row r="290" spans="1:45" x14ac:dyDescent="0.15">
      <c r="A290" s="4" t="str">
        <f>HYPERLINK("https://ibp.a2mac1.com/costing(costing:projects/details/9760/material/8753895)","PLASTIC UNKNOWN")</f>
        <v>PLASTIC UNKNOWN</v>
      </c>
      <c r="B290">
        <v>8753895</v>
      </c>
      <c r="C290">
        <v>12084593</v>
      </c>
      <c r="E290">
        <v>1.57609</v>
      </c>
      <c r="F290" t="s">
        <v>3740</v>
      </c>
      <c r="G290">
        <v>95</v>
      </c>
      <c r="H290" t="s">
        <v>3741</v>
      </c>
      <c r="I290">
        <v>0</v>
      </c>
      <c r="J290">
        <v>0.50345253019720215</v>
      </c>
      <c r="K290">
        <v>0</v>
      </c>
      <c r="M290">
        <v>0</v>
      </c>
      <c r="O290">
        <v>200000</v>
      </c>
      <c r="R290" t="s">
        <v>162</v>
      </c>
      <c r="S290">
        <v>0</v>
      </c>
      <c r="T290">
        <v>1.2592129578947367E-4</v>
      </c>
      <c r="U290" t="s">
        <v>176</v>
      </c>
      <c r="V290">
        <v>8.7099710526315787E-4</v>
      </c>
      <c r="W290">
        <v>2.5882549979999999E-2</v>
      </c>
      <c r="X290" t="s">
        <v>177</v>
      </c>
      <c r="Y290">
        <v>1.5529529988E-3</v>
      </c>
      <c r="Z290">
        <v>0</v>
      </c>
      <c r="AA290" t="s">
        <v>178</v>
      </c>
      <c r="AB290">
        <v>3.1059059976E-3</v>
      </c>
      <c r="AC290">
        <v>3.0541408976400002E-2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Q290" t="s">
        <v>9</v>
      </c>
      <c r="AR290" t="s">
        <v>263</v>
      </c>
      <c r="AS290">
        <v>2.4885631578947368E-2</v>
      </c>
    </row>
    <row r="291" spans="1:45" x14ac:dyDescent="0.15">
      <c r="A291" s="4" t="str">
        <f>HYPERLINK("https://ibp.a2mac1.com/costing(costing:projects/details/9760/material/8754063)","PP-EPDM-TD10 adjusted (part)")</f>
        <v>PP-EPDM-TD10 adjusted (part)</v>
      </c>
      <c r="B291">
        <v>8754063</v>
      </c>
      <c r="C291">
        <v>12084695</v>
      </c>
      <c r="E291">
        <v>0.47</v>
      </c>
      <c r="F291" t="s">
        <v>478</v>
      </c>
      <c r="G291">
        <v>100</v>
      </c>
      <c r="H291" t="s">
        <v>479</v>
      </c>
      <c r="I291">
        <v>5</v>
      </c>
      <c r="J291">
        <v>0.50345253019720215</v>
      </c>
      <c r="K291">
        <v>0</v>
      </c>
      <c r="L291">
        <v>0</v>
      </c>
      <c r="M291">
        <v>0</v>
      </c>
      <c r="O291">
        <v>200000</v>
      </c>
      <c r="R291" t="s">
        <v>162</v>
      </c>
      <c r="S291">
        <v>0</v>
      </c>
      <c r="T291">
        <v>2.3782E-3</v>
      </c>
      <c r="U291" t="s">
        <v>176</v>
      </c>
      <c r="V291">
        <v>1.6449999999999999E-2</v>
      </c>
      <c r="W291">
        <v>0.48882819999999999</v>
      </c>
      <c r="X291" t="s">
        <v>90</v>
      </c>
      <c r="Y291">
        <v>0</v>
      </c>
      <c r="Z291">
        <v>0</v>
      </c>
      <c r="AA291" t="s">
        <v>90</v>
      </c>
      <c r="AB291">
        <v>0</v>
      </c>
      <c r="AC291">
        <v>0.48882819999999999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Q291" t="s">
        <v>262</v>
      </c>
      <c r="AR291" t="s">
        <v>263</v>
      </c>
      <c r="AS291">
        <v>0.47</v>
      </c>
    </row>
    <row r="292" spans="1:45" x14ac:dyDescent="0.15">
      <c r="A292" s="4" t="str">
        <f>HYPERLINK("https://ibp.a2mac1.com/costing(costing:projects/details/9760/material/8754064)","Leather;PP")</f>
        <v>Leather;PP</v>
      </c>
      <c r="B292">
        <v>8754064</v>
      </c>
      <c r="C292">
        <v>12084696</v>
      </c>
      <c r="E292">
        <v>4.21</v>
      </c>
      <c r="F292" t="s">
        <v>478</v>
      </c>
      <c r="G292">
        <v>100</v>
      </c>
      <c r="H292" t="s">
        <v>479</v>
      </c>
      <c r="I292">
        <v>0</v>
      </c>
      <c r="J292">
        <v>0.50345253019720215</v>
      </c>
      <c r="K292">
        <v>0</v>
      </c>
      <c r="L292">
        <v>0</v>
      </c>
      <c r="M292">
        <v>0</v>
      </c>
      <c r="O292">
        <v>200000</v>
      </c>
      <c r="R292" t="s">
        <v>162</v>
      </c>
      <c r="S292">
        <v>0</v>
      </c>
      <c r="T292">
        <v>2.1302600000000001E-2</v>
      </c>
      <c r="U292" t="s">
        <v>176</v>
      </c>
      <c r="V292">
        <v>0.14735000000000001</v>
      </c>
      <c r="W292">
        <v>4.3786525999999997</v>
      </c>
      <c r="X292" t="s">
        <v>90</v>
      </c>
      <c r="Y292">
        <v>0</v>
      </c>
      <c r="Z292">
        <v>0</v>
      </c>
      <c r="AA292" t="s">
        <v>90</v>
      </c>
      <c r="AB292">
        <v>0</v>
      </c>
      <c r="AC292">
        <v>4.3786525999999997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Q292" t="s">
        <v>9</v>
      </c>
      <c r="AR292" t="s">
        <v>263</v>
      </c>
      <c r="AS292">
        <v>4.21</v>
      </c>
    </row>
    <row r="293" spans="1:45" x14ac:dyDescent="0.15">
      <c r="A293" s="4" t="str">
        <f>HYPERLINK("https://ibp.a2mac1.com/costing(costing:projects/details/9760/material/8754065)","PP-EPDM-TD10 adjusted (part)")</f>
        <v>PP-EPDM-TD10 adjusted (part)</v>
      </c>
      <c r="B293">
        <v>8754065</v>
      </c>
      <c r="C293">
        <v>12084697</v>
      </c>
      <c r="E293">
        <v>0.41</v>
      </c>
      <c r="F293" t="s">
        <v>478</v>
      </c>
      <c r="G293">
        <v>100</v>
      </c>
      <c r="H293" t="s">
        <v>479</v>
      </c>
      <c r="I293">
        <v>5</v>
      </c>
      <c r="J293">
        <v>0.50345253019720215</v>
      </c>
      <c r="K293">
        <v>0</v>
      </c>
      <c r="L293">
        <v>0</v>
      </c>
      <c r="M293">
        <v>0</v>
      </c>
      <c r="O293">
        <v>200000</v>
      </c>
      <c r="R293" t="s">
        <v>162</v>
      </c>
      <c r="S293">
        <v>0</v>
      </c>
      <c r="T293">
        <v>2.0745999999999998E-3</v>
      </c>
      <c r="U293" t="s">
        <v>176</v>
      </c>
      <c r="V293">
        <v>1.435E-2</v>
      </c>
      <c r="W293">
        <v>0.42642459999999999</v>
      </c>
      <c r="X293" t="s">
        <v>90</v>
      </c>
      <c r="Y293">
        <v>0</v>
      </c>
      <c r="Z293">
        <v>0</v>
      </c>
      <c r="AA293" t="s">
        <v>90</v>
      </c>
      <c r="AB293">
        <v>0</v>
      </c>
      <c r="AC293">
        <v>0.42642459999999999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Q293" t="s">
        <v>262</v>
      </c>
      <c r="AR293" t="s">
        <v>263</v>
      </c>
      <c r="AS293">
        <v>0.41</v>
      </c>
    </row>
    <row r="294" spans="1:45" x14ac:dyDescent="0.15">
      <c r="A294" s="4" t="str">
        <f>HYPERLINK("https://ibp.a2mac1.com/costing(costing:projects/details/9760/material/8754066)","Leather;PP-T20")</f>
        <v>Leather;PP-T20</v>
      </c>
      <c r="B294">
        <v>8754066</v>
      </c>
      <c r="C294">
        <v>12084698</v>
      </c>
      <c r="E294">
        <v>4.47</v>
      </c>
      <c r="F294" t="s">
        <v>478</v>
      </c>
      <c r="G294">
        <v>100</v>
      </c>
      <c r="H294" t="s">
        <v>479</v>
      </c>
      <c r="I294">
        <v>0</v>
      </c>
      <c r="J294">
        <v>0.50345253019720215</v>
      </c>
      <c r="K294">
        <v>0</v>
      </c>
      <c r="L294">
        <v>0</v>
      </c>
      <c r="M294">
        <v>0</v>
      </c>
      <c r="O294">
        <v>200000</v>
      </c>
      <c r="R294" t="s">
        <v>162</v>
      </c>
      <c r="S294">
        <v>0</v>
      </c>
      <c r="T294">
        <v>2.2618200000000001E-2</v>
      </c>
      <c r="U294" t="s">
        <v>176</v>
      </c>
      <c r="V294">
        <v>0.15645000000000001</v>
      </c>
      <c r="W294">
        <v>4.6490682000000003</v>
      </c>
      <c r="X294" t="s">
        <v>90</v>
      </c>
      <c r="Y294">
        <v>0</v>
      </c>
      <c r="Z294">
        <v>0</v>
      </c>
      <c r="AA294" t="s">
        <v>90</v>
      </c>
      <c r="AB294">
        <v>0</v>
      </c>
      <c r="AC294">
        <v>4.6490682000000003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Q294" t="s">
        <v>9</v>
      </c>
      <c r="AR294" t="s">
        <v>263</v>
      </c>
      <c r="AS294">
        <v>4.47</v>
      </c>
    </row>
    <row r="295" spans="1:45" x14ac:dyDescent="0.15">
      <c r="A295" s="4" t="str">
        <f>HYPERLINK("https://ibp.a2mac1.com/costing(costing:projects/details/9760/material/8754067)","PP-LGF20 adjusted (part)")</f>
        <v>PP-LGF20 adjusted (part)</v>
      </c>
      <c r="B295">
        <v>8754067</v>
      </c>
      <c r="C295">
        <v>12084699</v>
      </c>
      <c r="E295">
        <v>9.08</v>
      </c>
      <c r="F295" t="s">
        <v>478</v>
      </c>
      <c r="G295">
        <v>100</v>
      </c>
      <c r="H295" t="s">
        <v>479</v>
      </c>
      <c r="I295">
        <v>5</v>
      </c>
      <c r="J295">
        <v>0.50345253019720215</v>
      </c>
      <c r="K295">
        <v>0</v>
      </c>
      <c r="L295">
        <v>0</v>
      </c>
      <c r="M295">
        <v>0</v>
      </c>
      <c r="O295">
        <v>200000</v>
      </c>
      <c r="R295" t="s">
        <v>162</v>
      </c>
      <c r="S295">
        <v>0</v>
      </c>
      <c r="T295">
        <v>4.5944800000000001E-2</v>
      </c>
      <c r="U295" t="s">
        <v>176</v>
      </c>
      <c r="V295">
        <v>0.31780000000000003</v>
      </c>
      <c r="W295">
        <v>9.4437447999999993</v>
      </c>
      <c r="X295" t="s">
        <v>90</v>
      </c>
      <c r="Y295">
        <v>0</v>
      </c>
      <c r="Z295">
        <v>0</v>
      </c>
      <c r="AA295" t="s">
        <v>90</v>
      </c>
      <c r="AB295">
        <v>0</v>
      </c>
      <c r="AC295">
        <v>9.4437447999999993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Q295" t="s">
        <v>262</v>
      </c>
      <c r="AR295" t="s">
        <v>263</v>
      </c>
      <c r="AS295">
        <v>9.08</v>
      </c>
    </row>
    <row r="296" spans="1:45" x14ac:dyDescent="0.15">
      <c r="A296" s="4" t="str">
        <f>HYPERLINK("https://ibp.a2mac1.com/costing(costing:projects/details/9760/material/8754068)","PP-EPDM-TD10 adjusted (part)")</f>
        <v>PP-EPDM-TD10 adjusted (part)</v>
      </c>
      <c r="B296">
        <v>8754068</v>
      </c>
      <c r="C296">
        <v>12084700</v>
      </c>
      <c r="E296">
        <v>0.04</v>
      </c>
      <c r="F296" t="s">
        <v>478</v>
      </c>
      <c r="G296">
        <v>100</v>
      </c>
      <c r="H296" t="s">
        <v>479</v>
      </c>
      <c r="I296">
        <v>5</v>
      </c>
      <c r="J296">
        <v>0.50345253019720215</v>
      </c>
      <c r="K296">
        <v>0</v>
      </c>
      <c r="L296">
        <v>0</v>
      </c>
      <c r="M296">
        <v>0</v>
      </c>
      <c r="O296">
        <v>200000</v>
      </c>
      <c r="R296" t="s">
        <v>162</v>
      </c>
      <c r="S296">
        <v>0</v>
      </c>
      <c r="T296">
        <v>2.0239999999999999E-4</v>
      </c>
      <c r="U296" t="s">
        <v>176</v>
      </c>
      <c r="V296">
        <v>1.4E-3</v>
      </c>
      <c r="W296">
        <v>4.1602399999999998E-2</v>
      </c>
      <c r="X296" t="s">
        <v>90</v>
      </c>
      <c r="Y296">
        <v>0</v>
      </c>
      <c r="Z296">
        <v>0</v>
      </c>
      <c r="AA296" t="s">
        <v>90</v>
      </c>
      <c r="AB296">
        <v>0</v>
      </c>
      <c r="AC296">
        <v>4.1602399999999998E-2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Q296" t="s">
        <v>262</v>
      </c>
      <c r="AR296" t="s">
        <v>263</v>
      </c>
      <c r="AS296">
        <v>0.04</v>
      </c>
    </row>
    <row r="297" spans="1:45" x14ac:dyDescent="0.15">
      <c r="A297" s="4" t="str">
        <f>HYPERLINK("https://ibp.a2mac1.com/costing(costing:projects/details/9760/material/8753896)","PP-EPDM-TD10 adjusted (part)")</f>
        <v>PP-EPDM-TD10 adjusted (part)</v>
      </c>
      <c r="B297">
        <v>8753896</v>
      </c>
      <c r="C297">
        <v>12084594</v>
      </c>
      <c r="E297">
        <v>0.18</v>
      </c>
      <c r="F297" t="s">
        <v>478</v>
      </c>
      <c r="G297">
        <v>100</v>
      </c>
      <c r="H297" t="s">
        <v>479</v>
      </c>
      <c r="I297">
        <v>5</v>
      </c>
      <c r="J297">
        <v>0.50345253019720215</v>
      </c>
      <c r="K297">
        <v>0</v>
      </c>
      <c r="L297">
        <v>0</v>
      </c>
      <c r="M297">
        <v>0</v>
      </c>
      <c r="O297">
        <v>200000</v>
      </c>
      <c r="R297" t="s">
        <v>162</v>
      </c>
      <c r="S297">
        <v>0</v>
      </c>
      <c r="T297">
        <v>9.1080000000000002E-4</v>
      </c>
      <c r="U297" t="s">
        <v>176</v>
      </c>
      <c r="V297">
        <v>6.3E-3</v>
      </c>
      <c r="W297">
        <v>0.18721080000000001</v>
      </c>
      <c r="X297" t="s">
        <v>90</v>
      </c>
      <c r="Y297">
        <v>0</v>
      </c>
      <c r="Z297">
        <v>0</v>
      </c>
      <c r="AA297" t="s">
        <v>90</v>
      </c>
      <c r="AB297">
        <v>0</v>
      </c>
      <c r="AC297">
        <v>0.18721080000000001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Q297" t="s">
        <v>262</v>
      </c>
      <c r="AR297" t="s">
        <v>263</v>
      </c>
      <c r="AS297">
        <v>0.18</v>
      </c>
    </row>
    <row r="298" spans="1:45" x14ac:dyDescent="0.15">
      <c r="A298" s="4" t="str">
        <f>HYPERLINK("https://ibp.a2mac1.com/costing(costing:projects/details/9760/material/8753897)","PP-EPDM-TD10 adjusted (part)")</f>
        <v>PP-EPDM-TD10 adjusted (part)</v>
      </c>
      <c r="B298">
        <v>8753897</v>
      </c>
      <c r="C298">
        <v>12084595</v>
      </c>
      <c r="E298">
        <v>0.18</v>
      </c>
      <c r="F298" t="s">
        <v>478</v>
      </c>
      <c r="G298">
        <v>100</v>
      </c>
      <c r="H298" t="s">
        <v>479</v>
      </c>
      <c r="I298">
        <v>5</v>
      </c>
      <c r="J298">
        <v>0.50345253019720215</v>
      </c>
      <c r="K298">
        <v>0</v>
      </c>
      <c r="L298">
        <v>0</v>
      </c>
      <c r="M298">
        <v>0</v>
      </c>
      <c r="O298">
        <v>200000</v>
      </c>
      <c r="R298" t="s">
        <v>162</v>
      </c>
      <c r="S298">
        <v>0</v>
      </c>
      <c r="T298">
        <v>9.1080000000000002E-4</v>
      </c>
      <c r="U298" t="s">
        <v>176</v>
      </c>
      <c r="V298">
        <v>6.3E-3</v>
      </c>
      <c r="W298">
        <v>0.18721080000000001</v>
      </c>
      <c r="X298" t="s">
        <v>90</v>
      </c>
      <c r="Y298">
        <v>0</v>
      </c>
      <c r="Z298">
        <v>0</v>
      </c>
      <c r="AA298" t="s">
        <v>90</v>
      </c>
      <c r="AB298">
        <v>0</v>
      </c>
      <c r="AC298">
        <v>0.18721080000000001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Q298" t="s">
        <v>262</v>
      </c>
      <c r="AR298" t="s">
        <v>263</v>
      </c>
      <c r="AS298">
        <v>0.18</v>
      </c>
    </row>
    <row r="299" spans="1:45" x14ac:dyDescent="0.15">
      <c r="A299" s="4" t="str">
        <f>HYPERLINK("https://ibp.a2mac1.com/costing(costing:projects/details/9760/material/8753898)","PP-EPDM-TD10 adjusted (part)")</f>
        <v>PP-EPDM-TD10 adjusted (part)</v>
      </c>
      <c r="B299">
        <v>8753898</v>
      </c>
      <c r="C299">
        <v>12084596</v>
      </c>
      <c r="E299">
        <v>0.25</v>
      </c>
      <c r="F299" t="s">
        <v>478</v>
      </c>
      <c r="G299">
        <v>100</v>
      </c>
      <c r="H299" t="s">
        <v>479</v>
      </c>
      <c r="I299">
        <v>5</v>
      </c>
      <c r="J299">
        <v>0.50345253019720215</v>
      </c>
      <c r="K299">
        <v>0</v>
      </c>
      <c r="L299">
        <v>0</v>
      </c>
      <c r="M299">
        <v>0</v>
      </c>
      <c r="O299">
        <v>200000</v>
      </c>
      <c r="R299" t="s">
        <v>162</v>
      </c>
      <c r="S299">
        <v>0</v>
      </c>
      <c r="T299">
        <v>1.2650000000000001E-3</v>
      </c>
      <c r="U299" t="s">
        <v>176</v>
      </c>
      <c r="V299">
        <v>8.7500000000000008E-3</v>
      </c>
      <c r="W299">
        <v>0.260015</v>
      </c>
      <c r="X299" t="s">
        <v>90</v>
      </c>
      <c r="Y299">
        <v>0</v>
      </c>
      <c r="Z299">
        <v>0</v>
      </c>
      <c r="AA299" t="s">
        <v>90</v>
      </c>
      <c r="AB299">
        <v>0</v>
      </c>
      <c r="AC299">
        <v>0.260015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Q299" t="s">
        <v>262</v>
      </c>
      <c r="AR299" t="s">
        <v>263</v>
      </c>
      <c r="AS299">
        <v>0.25</v>
      </c>
    </row>
    <row r="300" spans="1:45" x14ac:dyDescent="0.15">
      <c r="A300" s="4" t="str">
        <f>HYPERLINK("https://ibp.a2mac1.com/costing(costing:projects/details/9760/material/8753899)","PP-EPDM-TD10 adjusted (part)")</f>
        <v>PP-EPDM-TD10 adjusted (part)</v>
      </c>
      <c r="B300">
        <v>8753899</v>
      </c>
      <c r="C300">
        <v>12084597</v>
      </c>
      <c r="E300">
        <v>0.04</v>
      </c>
      <c r="F300" t="s">
        <v>478</v>
      </c>
      <c r="G300">
        <v>100</v>
      </c>
      <c r="H300" t="s">
        <v>479</v>
      </c>
      <c r="I300">
        <v>5</v>
      </c>
      <c r="J300">
        <v>0.50345253019720215</v>
      </c>
      <c r="K300">
        <v>0</v>
      </c>
      <c r="L300">
        <v>0</v>
      </c>
      <c r="M300">
        <v>0</v>
      </c>
      <c r="O300">
        <v>200000</v>
      </c>
      <c r="R300" t="s">
        <v>162</v>
      </c>
      <c r="S300">
        <v>0</v>
      </c>
      <c r="T300">
        <v>2.0239999999999999E-4</v>
      </c>
      <c r="U300" t="s">
        <v>176</v>
      </c>
      <c r="V300">
        <v>1.4E-3</v>
      </c>
      <c r="W300">
        <v>4.1602399999999998E-2</v>
      </c>
      <c r="X300" t="s">
        <v>90</v>
      </c>
      <c r="Y300">
        <v>0</v>
      </c>
      <c r="Z300">
        <v>0</v>
      </c>
      <c r="AA300" t="s">
        <v>90</v>
      </c>
      <c r="AB300">
        <v>0</v>
      </c>
      <c r="AC300">
        <v>4.1602399999999998E-2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Q300" t="s">
        <v>262</v>
      </c>
      <c r="AR300" t="s">
        <v>263</v>
      </c>
      <c r="AS300">
        <v>0.04</v>
      </c>
    </row>
    <row r="301" spans="1:45" x14ac:dyDescent="0.15">
      <c r="A301" s="4" t="str">
        <f>HYPERLINK("https://ibp.a2mac1.com/costing(costing:projects/details/9760/material/8753900)","PP-EPDM-TD20 adjusted (part)")</f>
        <v>PP-EPDM-TD20 adjusted (part)</v>
      </c>
      <c r="B301">
        <v>8753900</v>
      </c>
      <c r="C301">
        <v>12084598</v>
      </c>
      <c r="E301">
        <v>0.24</v>
      </c>
      <c r="F301" t="s">
        <v>478</v>
      </c>
      <c r="G301">
        <v>100</v>
      </c>
      <c r="H301" t="s">
        <v>479</v>
      </c>
      <c r="I301">
        <v>5</v>
      </c>
      <c r="J301">
        <v>0.50345253019720215</v>
      </c>
      <c r="K301">
        <v>0</v>
      </c>
      <c r="L301">
        <v>0</v>
      </c>
      <c r="M301">
        <v>0</v>
      </c>
      <c r="O301">
        <v>200000</v>
      </c>
      <c r="R301" t="s">
        <v>162</v>
      </c>
      <c r="S301">
        <v>0</v>
      </c>
      <c r="T301">
        <v>1.2144E-3</v>
      </c>
      <c r="U301" t="s">
        <v>176</v>
      </c>
      <c r="V301">
        <v>8.3999999999999995E-3</v>
      </c>
      <c r="W301">
        <v>0.24961439999999999</v>
      </c>
      <c r="X301" t="s">
        <v>90</v>
      </c>
      <c r="Y301">
        <v>0</v>
      </c>
      <c r="Z301">
        <v>0</v>
      </c>
      <c r="AA301" t="s">
        <v>90</v>
      </c>
      <c r="AB301">
        <v>0</v>
      </c>
      <c r="AC301">
        <v>0.24961439999999999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Q301" t="s">
        <v>262</v>
      </c>
      <c r="AR301" t="s">
        <v>263</v>
      </c>
      <c r="AS301">
        <v>0.24</v>
      </c>
    </row>
    <row r="302" spans="1:45" x14ac:dyDescent="0.15">
      <c r="A302" s="4" t="str">
        <f>HYPERLINK("https://ibp.a2mac1.com/costing(costing:projects/details/9760/material/8754179)","PC-ABS adjusted (part)")</f>
        <v>PC-ABS adjusted (part)</v>
      </c>
      <c r="B302">
        <v>8754179</v>
      </c>
      <c r="C302">
        <v>12084797</v>
      </c>
      <c r="E302">
        <v>0.08</v>
      </c>
      <c r="F302" t="s">
        <v>478</v>
      </c>
      <c r="G302">
        <v>100</v>
      </c>
      <c r="H302" t="s">
        <v>479</v>
      </c>
      <c r="I302">
        <v>5</v>
      </c>
      <c r="J302">
        <v>0.50345253019720215</v>
      </c>
      <c r="K302">
        <v>0</v>
      </c>
      <c r="L302">
        <v>0</v>
      </c>
      <c r="M302">
        <v>0</v>
      </c>
      <c r="O302">
        <v>200000</v>
      </c>
      <c r="R302" t="s">
        <v>162</v>
      </c>
      <c r="S302">
        <v>0</v>
      </c>
      <c r="T302">
        <v>4.0479999999999997E-4</v>
      </c>
      <c r="U302" t="s">
        <v>176</v>
      </c>
      <c r="V302">
        <v>2.8E-3</v>
      </c>
      <c r="W302">
        <v>8.3204799999999995E-2</v>
      </c>
      <c r="X302" t="s">
        <v>90</v>
      </c>
      <c r="Y302">
        <v>0</v>
      </c>
      <c r="Z302">
        <v>0</v>
      </c>
      <c r="AA302" t="s">
        <v>90</v>
      </c>
      <c r="AB302">
        <v>0</v>
      </c>
      <c r="AC302">
        <v>8.3204799999999995E-2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Q302" t="s">
        <v>262</v>
      </c>
      <c r="AR302" t="s">
        <v>263</v>
      </c>
      <c r="AS302">
        <v>0.08</v>
      </c>
    </row>
    <row r="303" spans="1:45" x14ac:dyDescent="0.15">
      <c r="A303" s="4" t="str">
        <f>HYPERLINK("https://ibp.a2mac1.com/costing(costing:projects/details/9760/material/8754069)","PC-ABS adjusted (part)")</f>
        <v>PC-ABS adjusted (part)</v>
      </c>
      <c r="B303">
        <v>8754069</v>
      </c>
      <c r="C303">
        <v>12084701</v>
      </c>
      <c r="E303">
        <v>3.12</v>
      </c>
      <c r="F303" t="s">
        <v>478</v>
      </c>
      <c r="G303">
        <v>100</v>
      </c>
      <c r="H303" t="s">
        <v>479</v>
      </c>
      <c r="I303">
        <v>5</v>
      </c>
      <c r="J303">
        <v>0.50345253019720215</v>
      </c>
      <c r="K303">
        <v>0</v>
      </c>
      <c r="L303">
        <v>0</v>
      </c>
      <c r="M303">
        <v>0</v>
      </c>
      <c r="O303">
        <v>200000</v>
      </c>
      <c r="R303" t="s">
        <v>162</v>
      </c>
      <c r="S303">
        <v>0</v>
      </c>
      <c r="T303">
        <v>1.5787200000000001E-2</v>
      </c>
      <c r="U303" t="s">
        <v>176</v>
      </c>
      <c r="V303">
        <v>0.10920000000000001</v>
      </c>
      <c r="W303">
        <v>3.2449872000000002</v>
      </c>
      <c r="X303" t="s">
        <v>90</v>
      </c>
      <c r="Y303">
        <v>0</v>
      </c>
      <c r="Z303">
        <v>0</v>
      </c>
      <c r="AA303" t="s">
        <v>90</v>
      </c>
      <c r="AB303">
        <v>0</v>
      </c>
      <c r="AC303">
        <v>3.2449872000000002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Q303" t="s">
        <v>262</v>
      </c>
      <c r="AR303" t="s">
        <v>263</v>
      </c>
      <c r="AS303">
        <v>3.12</v>
      </c>
    </row>
    <row r="304" spans="1:45" x14ac:dyDescent="0.15">
      <c r="A304" s="4" t="str">
        <f>HYPERLINK("https://ibp.a2mac1.com/costing(costing:projects/details/9760/material/8754070)","PC-ABS adjusted (part)")</f>
        <v>PC-ABS adjusted (part)</v>
      </c>
      <c r="B304">
        <v>8754070</v>
      </c>
      <c r="C304">
        <v>12084702</v>
      </c>
      <c r="E304">
        <v>4.2300000000000004</v>
      </c>
      <c r="F304" t="s">
        <v>478</v>
      </c>
      <c r="G304">
        <v>100</v>
      </c>
      <c r="H304" t="s">
        <v>479</v>
      </c>
      <c r="I304">
        <v>5</v>
      </c>
      <c r="J304">
        <v>0.50345253019720215</v>
      </c>
      <c r="K304">
        <v>0</v>
      </c>
      <c r="L304">
        <v>0</v>
      </c>
      <c r="M304">
        <v>0</v>
      </c>
      <c r="O304">
        <v>200000</v>
      </c>
      <c r="R304" t="s">
        <v>162</v>
      </c>
      <c r="S304">
        <v>0</v>
      </c>
      <c r="T304">
        <v>2.1403800000000001E-2</v>
      </c>
      <c r="U304" t="s">
        <v>176</v>
      </c>
      <c r="V304">
        <v>0.14804999999999999</v>
      </c>
      <c r="W304">
        <v>4.3994537999999999</v>
      </c>
      <c r="X304" t="s">
        <v>177</v>
      </c>
      <c r="Y304">
        <v>0.263967228</v>
      </c>
      <c r="Z304">
        <v>0</v>
      </c>
      <c r="AA304" t="s">
        <v>178</v>
      </c>
      <c r="AB304">
        <v>0.527934456</v>
      </c>
      <c r="AC304">
        <v>5.1913554839999998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Q304" t="s">
        <v>262</v>
      </c>
      <c r="AR304" t="s">
        <v>263</v>
      </c>
      <c r="AS304">
        <v>4.2300000000000004</v>
      </c>
    </row>
    <row r="305" spans="1:45" x14ac:dyDescent="0.15">
      <c r="A305" s="4" t="str">
        <f>HYPERLINK("https://ibp.a2mac1.com/costing(costing:projects/details/9760/material/8754071)","PP adjusted (part)")</f>
        <v>PP adjusted (part)</v>
      </c>
      <c r="B305">
        <v>8754071</v>
      </c>
      <c r="C305">
        <v>12084703</v>
      </c>
      <c r="E305">
        <v>0.14000000000000001</v>
      </c>
      <c r="F305" t="s">
        <v>478</v>
      </c>
      <c r="G305">
        <v>100</v>
      </c>
      <c r="H305" t="s">
        <v>479</v>
      </c>
      <c r="I305">
        <v>5</v>
      </c>
      <c r="J305">
        <v>0.50345253019720215</v>
      </c>
      <c r="K305">
        <v>0</v>
      </c>
      <c r="L305">
        <v>0</v>
      </c>
      <c r="M305">
        <v>0</v>
      </c>
      <c r="O305">
        <v>200000</v>
      </c>
      <c r="R305" t="s">
        <v>162</v>
      </c>
      <c r="S305">
        <v>0</v>
      </c>
      <c r="T305">
        <v>7.0839999999999998E-4</v>
      </c>
      <c r="U305" t="s">
        <v>176</v>
      </c>
      <c r="V305">
        <v>4.8999999999999998E-3</v>
      </c>
      <c r="W305">
        <v>0.1456084</v>
      </c>
      <c r="X305" t="s">
        <v>90</v>
      </c>
      <c r="Y305">
        <v>0</v>
      </c>
      <c r="Z305">
        <v>0</v>
      </c>
      <c r="AA305" t="s">
        <v>90</v>
      </c>
      <c r="AB305">
        <v>0</v>
      </c>
      <c r="AC305">
        <v>0.1456084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Q305" t="s">
        <v>262</v>
      </c>
      <c r="AR305" t="s">
        <v>263</v>
      </c>
      <c r="AS305">
        <v>0.14000000000000001</v>
      </c>
    </row>
    <row r="306" spans="1:45" x14ac:dyDescent="0.15">
      <c r="A306" s="4" t="str">
        <f>HYPERLINK("https://ibp.a2mac1.com/costing(costing:projects/details/9760/material/8754072)","PC-ABS adjusted (part)")</f>
        <v>PC-ABS adjusted (part)</v>
      </c>
      <c r="B306">
        <v>8754072</v>
      </c>
      <c r="C306">
        <v>12084704</v>
      </c>
      <c r="E306">
        <v>9.7899999999999991</v>
      </c>
      <c r="F306" t="s">
        <v>478</v>
      </c>
      <c r="G306">
        <v>100</v>
      </c>
      <c r="H306" t="s">
        <v>479</v>
      </c>
      <c r="I306">
        <v>5</v>
      </c>
      <c r="J306">
        <v>0.50345253019720215</v>
      </c>
      <c r="K306">
        <v>0</v>
      </c>
      <c r="L306">
        <v>0</v>
      </c>
      <c r="M306">
        <v>0</v>
      </c>
      <c r="O306">
        <v>200000</v>
      </c>
      <c r="R306" t="s">
        <v>162</v>
      </c>
      <c r="S306">
        <v>0</v>
      </c>
      <c r="T306">
        <v>4.9537400000000002E-2</v>
      </c>
      <c r="U306" t="s">
        <v>176</v>
      </c>
      <c r="V306">
        <v>0.34265000000000001</v>
      </c>
      <c r="W306">
        <v>10.1821874</v>
      </c>
      <c r="X306" t="s">
        <v>90</v>
      </c>
      <c r="Y306">
        <v>0</v>
      </c>
      <c r="Z306">
        <v>0</v>
      </c>
      <c r="AA306" t="s">
        <v>90</v>
      </c>
      <c r="AB306">
        <v>0</v>
      </c>
      <c r="AC306">
        <v>10.1821874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Q306" t="s">
        <v>262</v>
      </c>
      <c r="AR306" t="s">
        <v>263</v>
      </c>
      <c r="AS306">
        <v>9.7899999999999991</v>
      </c>
    </row>
    <row r="307" spans="1:45" x14ac:dyDescent="0.15">
      <c r="A307" s="4" t="str">
        <f>HYPERLINK("https://ibp.a2mac1.com/costing(costing:projects/details/9760/material/8754073)","PC-ABS adjusted (part)")</f>
        <v>PC-ABS adjusted (part)</v>
      </c>
      <c r="B307">
        <v>8754073</v>
      </c>
      <c r="C307">
        <v>12084705</v>
      </c>
      <c r="E307">
        <v>0.17</v>
      </c>
      <c r="F307" t="s">
        <v>478</v>
      </c>
      <c r="G307">
        <v>100</v>
      </c>
      <c r="H307" t="s">
        <v>479</v>
      </c>
      <c r="I307">
        <v>5</v>
      </c>
      <c r="J307">
        <v>0.50345253019720215</v>
      </c>
      <c r="K307">
        <v>0</v>
      </c>
      <c r="L307">
        <v>0</v>
      </c>
      <c r="M307">
        <v>0</v>
      </c>
      <c r="O307">
        <v>200000</v>
      </c>
      <c r="R307" t="s">
        <v>162</v>
      </c>
      <c r="S307">
        <v>0</v>
      </c>
      <c r="T307">
        <v>8.6019999999999998E-4</v>
      </c>
      <c r="U307" t="s">
        <v>176</v>
      </c>
      <c r="V307">
        <v>5.9500000000000004E-3</v>
      </c>
      <c r="W307">
        <v>0.1768102</v>
      </c>
      <c r="X307" t="s">
        <v>177</v>
      </c>
      <c r="Y307">
        <v>1.0608612E-2</v>
      </c>
      <c r="Z307">
        <v>0</v>
      </c>
      <c r="AA307" t="s">
        <v>178</v>
      </c>
      <c r="AB307">
        <v>2.1217224E-2</v>
      </c>
      <c r="AC307">
        <v>0.208636036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Q307" t="s">
        <v>262</v>
      </c>
      <c r="AR307" t="s">
        <v>263</v>
      </c>
      <c r="AS307">
        <v>0.17</v>
      </c>
    </row>
    <row r="308" spans="1:45" x14ac:dyDescent="0.15">
      <c r="A308" s="4" t="str">
        <f>HYPERLINK("https://ibp.a2mac1.com/costing(costing:projects/details/9760/material/8754074)","PC-ABS adjusted (part)")</f>
        <v>PC-ABS adjusted (part)</v>
      </c>
      <c r="B308">
        <v>8754074</v>
      </c>
      <c r="C308">
        <v>12084706</v>
      </c>
      <c r="E308">
        <v>0.41</v>
      </c>
      <c r="F308" t="s">
        <v>478</v>
      </c>
      <c r="G308">
        <v>100</v>
      </c>
      <c r="H308" t="s">
        <v>479</v>
      </c>
      <c r="I308">
        <v>5</v>
      </c>
      <c r="J308">
        <v>0.50345253019720215</v>
      </c>
      <c r="K308">
        <v>0</v>
      </c>
      <c r="L308">
        <v>0</v>
      </c>
      <c r="M308">
        <v>0</v>
      </c>
      <c r="O308">
        <v>200000</v>
      </c>
      <c r="R308" t="s">
        <v>162</v>
      </c>
      <c r="S308">
        <v>0</v>
      </c>
      <c r="T308">
        <v>2.0745999999999998E-3</v>
      </c>
      <c r="U308" t="s">
        <v>176</v>
      </c>
      <c r="V308">
        <v>1.435E-2</v>
      </c>
      <c r="W308">
        <v>0.42642459999999999</v>
      </c>
      <c r="X308" t="s">
        <v>90</v>
      </c>
      <c r="Y308">
        <v>0</v>
      </c>
      <c r="Z308">
        <v>0</v>
      </c>
      <c r="AA308" t="s">
        <v>90</v>
      </c>
      <c r="AB308">
        <v>0</v>
      </c>
      <c r="AC308">
        <v>0.42642459999999999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Q308" t="s">
        <v>262</v>
      </c>
      <c r="AR308" t="s">
        <v>263</v>
      </c>
      <c r="AS308">
        <v>0.41</v>
      </c>
    </row>
    <row r="309" spans="1:45" x14ac:dyDescent="0.15">
      <c r="A309" s="4" t="str">
        <f>HYPERLINK("https://ibp.a2mac1.com/costing(costing:projects/details/9760/material/8754180)","PLASTIC UNKNOWN")</f>
        <v>PLASTIC UNKNOWN</v>
      </c>
      <c r="B309">
        <v>8754180</v>
      </c>
      <c r="C309">
        <v>12084798</v>
      </c>
      <c r="E309">
        <v>1.57609</v>
      </c>
      <c r="F309" t="s">
        <v>3833</v>
      </c>
      <c r="G309">
        <v>95</v>
      </c>
      <c r="H309" t="s">
        <v>3834</v>
      </c>
      <c r="I309">
        <v>0</v>
      </c>
      <c r="J309">
        <v>0.50048257265952256</v>
      </c>
      <c r="K309">
        <v>0</v>
      </c>
      <c r="M309">
        <v>0</v>
      </c>
      <c r="O309">
        <v>400000</v>
      </c>
      <c r="R309" t="s">
        <v>162</v>
      </c>
      <c r="S309">
        <v>0</v>
      </c>
      <c r="T309">
        <v>3.0041934442105262E-4</v>
      </c>
      <c r="U309" t="s">
        <v>176</v>
      </c>
      <c r="V309">
        <v>2.0903930526315791E-3</v>
      </c>
      <c r="W309">
        <v>6.2116328186526314E-2</v>
      </c>
      <c r="X309" t="s">
        <v>90</v>
      </c>
      <c r="Y309">
        <v>0</v>
      </c>
      <c r="Z309">
        <v>0</v>
      </c>
      <c r="AA309" t="s">
        <v>90</v>
      </c>
      <c r="AB309">
        <v>0</v>
      </c>
      <c r="AC309">
        <v>6.2116328186526314E-2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Q309" t="s">
        <v>9</v>
      </c>
      <c r="AR309" t="s">
        <v>263</v>
      </c>
      <c r="AS309">
        <v>5.9725515789473688E-2</v>
      </c>
    </row>
    <row r="310" spans="1:45" x14ac:dyDescent="0.15">
      <c r="A310" s="4" t="str">
        <f>HYPERLINK("https://ibp.a2mac1.com/costing(costing:projects/details/9760/material/8754075)","PLASTIC UNKNOWN")</f>
        <v>PLASTIC UNKNOWN</v>
      </c>
      <c r="B310">
        <v>8754075</v>
      </c>
      <c r="C310">
        <v>12084707</v>
      </c>
      <c r="E310">
        <v>4.18</v>
      </c>
      <c r="F310" t="s">
        <v>478</v>
      </c>
      <c r="G310">
        <v>100</v>
      </c>
      <c r="H310" t="s">
        <v>479</v>
      </c>
      <c r="I310">
        <v>0</v>
      </c>
      <c r="J310">
        <v>0.50345253019720215</v>
      </c>
      <c r="K310">
        <v>0</v>
      </c>
      <c r="L310">
        <v>0</v>
      </c>
      <c r="M310">
        <v>0</v>
      </c>
      <c r="O310">
        <v>200000</v>
      </c>
      <c r="R310" t="s">
        <v>162</v>
      </c>
      <c r="S310">
        <v>0</v>
      </c>
      <c r="T310">
        <v>2.1150800000000001E-2</v>
      </c>
      <c r="U310" t="s">
        <v>176</v>
      </c>
      <c r="V310">
        <v>0.14630000000000001</v>
      </c>
      <c r="W310">
        <v>4.3474507999999998</v>
      </c>
      <c r="X310" t="s">
        <v>90</v>
      </c>
      <c r="Y310">
        <v>0</v>
      </c>
      <c r="Z310">
        <v>0</v>
      </c>
      <c r="AA310" t="s">
        <v>90</v>
      </c>
      <c r="AB310">
        <v>0</v>
      </c>
      <c r="AC310">
        <v>4.3474507999999998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Q310" t="s">
        <v>9</v>
      </c>
      <c r="AR310" t="s">
        <v>263</v>
      </c>
      <c r="AS310">
        <v>4.18</v>
      </c>
    </row>
    <row r="311" spans="1:45" x14ac:dyDescent="0.15">
      <c r="A311" s="4" t="str">
        <f>HYPERLINK("https://ibp.a2mac1.com/costing(costing:projects/details/9760/material/8754076)","PC-ABS adjusted (part)")</f>
        <v>PC-ABS adjusted (part)</v>
      </c>
      <c r="B311">
        <v>8754076</v>
      </c>
      <c r="C311">
        <v>12084708</v>
      </c>
      <c r="E311">
        <v>0.05</v>
      </c>
      <c r="F311" t="s">
        <v>478</v>
      </c>
      <c r="G311">
        <v>100</v>
      </c>
      <c r="H311" t="s">
        <v>479</v>
      </c>
      <c r="I311">
        <v>5</v>
      </c>
      <c r="J311">
        <v>0.50345253019720215</v>
      </c>
      <c r="K311">
        <v>0</v>
      </c>
      <c r="L311">
        <v>0</v>
      </c>
      <c r="M311">
        <v>0</v>
      </c>
      <c r="O311">
        <v>200000</v>
      </c>
      <c r="R311" t="s">
        <v>162</v>
      </c>
      <c r="S311">
        <v>0</v>
      </c>
      <c r="T311">
        <v>2.5300000000000002E-4</v>
      </c>
      <c r="U311" t="s">
        <v>176</v>
      </c>
      <c r="V311">
        <v>1.75E-3</v>
      </c>
      <c r="W311">
        <v>5.2003000000000001E-2</v>
      </c>
      <c r="X311" t="s">
        <v>177</v>
      </c>
      <c r="Y311">
        <v>3.1201800000000002E-3</v>
      </c>
      <c r="Z311">
        <v>0</v>
      </c>
      <c r="AA311" t="s">
        <v>178</v>
      </c>
      <c r="AB311">
        <v>6.2403600000000004E-3</v>
      </c>
      <c r="AC311">
        <v>6.1363540000000001E-2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Q311" t="s">
        <v>262</v>
      </c>
      <c r="AR311" t="s">
        <v>263</v>
      </c>
      <c r="AS311">
        <v>0.05</v>
      </c>
    </row>
    <row r="312" spans="1:45" x14ac:dyDescent="0.15">
      <c r="A312" s="4" t="str">
        <f>HYPERLINK("https://ibp.a2mac1.com/costing(costing:projects/details/9760/material/8754077)","PC-ABS adjusted (part)")</f>
        <v>PC-ABS adjusted (part)</v>
      </c>
      <c r="B312">
        <v>8754077</v>
      </c>
      <c r="C312">
        <v>12084709</v>
      </c>
      <c r="E312">
        <v>0.26</v>
      </c>
      <c r="F312" t="s">
        <v>478</v>
      </c>
      <c r="G312">
        <v>100</v>
      </c>
      <c r="H312" t="s">
        <v>479</v>
      </c>
      <c r="I312">
        <v>5</v>
      </c>
      <c r="J312">
        <v>0.50345253019720215</v>
      </c>
      <c r="K312">
        <v>0</v>
      </c>
      <c r="L312">
        <v>0</v>
      </c>
      <c r="M312">
        <v>0</v>
      </c>
      <c r="O312">
        <v>200000</v>
      </c>
      <c r="R312" t="s">
        <v>162</v>
      </c>
      <c r="S312">
        <v>0</v>
      </c>
      <c r="T312">
        <v>1.3156000000000001E-3</v>
      </c>
      <c r="U312" t="s">
        <v>176</v>
      </c>
      <c r="V312">
        <v>9.1000000000000004E-3</v>
      </c>
      <c r="W312">
        <v>0.27041559999999998</v>
      </c>
      <c r="X312" t="s">
        <v>177</v>
      </c>
      <c r="Y312">
        <v>1.6224935999999999E-2</v>
      </c>
      <c r="Z312">
        <v>0</v>
      </c>
      <c r="AA312" t="s">
        <v>178</v>
      </c>
      <c r="AB312">
        <v>3.2449871999999998E-2</v>
      </c>
      <c r="AC312">
        <v>0.31909040799999999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Q312" t="s">
        <v>262</v>
      </c>
      <c r="AR312" t="s">
        <v>263</v>
      </c>
      <c r="AS312">
        <v>0.26</v>
      </c>
    </row>
    <row r="313" spans="1:45" x14ac:dyDescent="0.15">
      <c r="A313" s="4" t="str">
        <f>HYPERLINK("https://ibp.a2mac1.com/costing(costing:projects/details/9760/material/8754078)","PP-TD10 adjusted (part)")</f>
        <v>PP-TD10 adjusted (part)</v>
      </c>
      <c r="B313">
        <v>8754078</v>
      </c>
      <c r="C313">
        <v>12084710</v>
      </c>
      <c r="E313">
        <v>0.74</v>
      </c>
      <c r="F313" t="s">
        <v>478</v>
      </c>
      <c r="G313">
        <v>100</v>
      </c>
      <c r="H313" t="s">
        <v>479</v>
      </c>
      <c r="I313">
        <v>5</v>
      </c>
      <c r="J313">
        <v>0.50345253019720215</v>
      </c>
      <c r="K313">
        <v>0</v>
      </c>
      <c r="L313">
        <v>0</v>
      </c>
      <c r="M313">
        <v>0</v>
      </c>
      <c r="O313">
        <v>200000</v>
      </c>
      <c r="R313" t="s">
        <v>162</v>
      </c>
      <c r="S313">
        <v>0</v>
      </c>
      <c r="T313">
        <v>3.7444000000000002E-3</v>
      </c>
      <c r="U313" t="s">
        <v>176</v>
      </c>
      <c r="V313">
        <v>2.5899999999999999E-2</v>
      </c>
      <c r="W313">
        <v>0.76964440000000001</v>
      </c>
      <c r="X313" t="s">
        <v>90</v>
      </c>
      <c r="Y313">
        <v>0</v>
      </c>
      <c r="Z313">
        <v>0</v>
      </c>
      <c r="AA313" t="s">
        <v>90</v>
      </c>
      <c r="AB313">
        <v>0</v>
      </c>
      <c r="AC313">
        <v>0.76964440000000001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Q313" t="s">
        <v>262</v>
      </c>
      <c r="AR313" t="s">
        <v>263</v>
      </c>
      <c r="AS313">
        <v>0.74</v>
      </c>
    </row>
    <row r="314" spans="1:45" x14ac:dyDescent="0.15">
      <c r="A314" s="4" t="str">
        <f>HYPERLINK("https://ibp.a2mac1.com/costing(costing:projects/details/9760/material/8754079)","PC-ABS adjusted (part)")</f>
        <v>PC-ABS adjusted (part)</v>
      </c>
      <c r="B314">
        <v>8754079</v>
      </c>
      <c r="C314">
        <v>12084711</v>
      </c>
      <c r="E314">
        <v>4.34</v>
      </c>
      <c r="F314" t="s">
        <v>478</v>
      </c>
      <c r="G314">
        <v>100</v>
      </c>
      <c r="H314" t="s">
        <v>479</v>
      </c>
      <c r="I314">
        <v>5</v>
      </c>
      <c r="J314">
        <v>0.50345253019720215</v>
      </c>
      <c r="K314">
        <v>0</v>
      </c>
      <c r="L314">
        <v>0</v>
      </c>
      <c r="M314">
        <v>0</v>
      </c>
      <c r="O314">
        <v>200000</v>
      </c>
      <c r="R314" t="s">
        <v>162</v>
      </c>
      <c r="S314">
        <v>0</v>
      </c>
      <c r="T314">
        <v>2.1960400000000001E-2</v>
      </c>
      <c r="U314" t="s">
        <v>176</v>
      </c>
      <c r="V314">
        <v>0.15190000000000001</v>
      </c>
      <c r="W314">
        <v>4.5138604000000004</v>
      </c>
      <c r="X314" t="s">
        <v>90</v>
      </c>
      <c r="Y314">
        <v>0</v>
      </c>
      <c r="Z314">
        <v>0</v>
      </c>
      <c r="AA314" t="s">
        <v>90</v>
      </c>
      <c r="AB314">
        <v>0</v>
      </c>
      <c r="AC314">
        <v>4.5138604000000004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Q314" t="s">
        <v>262</v>
      </c>
      <c r="AR314" t="s">
        <v>263</v>
      </c>
      <c r="AS314">
        <v>4.34</v>
      </c>
    </row>
    <row r="315" spans="1:45" x14ac:dyDescent="0.15">
      <c r="A315" s="4" t="str">
        <f>HYPERLINK("https://ibp.a2mac1.com/costing(costing:projects/details/9760/material/8754082)","PC-ABS adjusted (part)")</f>
        <v>PC-ABS adjusted (part)</v>
      </c>
      <c r="B315">
        <v>8754082</v>
      </c>
      <c r="C315">
        <v>12084712</v>
      </c>
      <c r="E315">
        <v>0.12</v>
      </c>
      <c r="F315" t="s">
        <v>478</v>
      </c>
      <c r="G315">
        <v>100</v>
      </c>
      <c r="H315" t="s">
        <v>479</v>
      </c>
      <c r="I315">
        <v>5</v>
      </c>
      <c r="J315">
        <v>0.50048257265952256</v>
      </c>
      <c r="K315">
        <v>0</v>
      </c>
      <c r="L315">
        <v>0</v>
      </c>
      <c r="M315">
        <v>0</v>
      </c>
      <c r="O315">
        <v>400000</v>
      </c>
      <c r="R315" t="s">
        <v>162</v>
      </c>
      <c r="S315">
        <v>0</v>
      </c>
      <c r="T315">
        <v>6.0360000000000003E-4</v>
      </c>
      <c r="U315" t="s">
        <v>176</v>
      </c>
      <c r="V315">
        <v>4.1999999999999997E-3</v>
      </c>
      <c r="W315">
        <v>0.1248036</v>
      </c>
      <c r="X315" t="s">
        <v>177</v>
      </c>
      <c r="Y315">
        <v>7.4882159999999998E-3</v>
      </c>
      <c r="Z315">
        <v>0</v>
      </c>
      <c r="AA315" t="s">
        <v>178</v>
      </c>
      <c r="AB315">
        <v>1.4976432E-2</v>
      </c>
      <c r="AC315">
        <v>0.14726824799999999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Q315" t="s">
        <v>262</v>
      </c>
      <c r="AR315" t="s">
        <v>263</v>
      </c>
      <c r="AS315">
        <v>0.12</v>
      </c>
    </row>
    <row r="316" spans="1:45" x14ac:dyDescent="0.15">
      <c r="A316" s="4" t="str">
        <f>HYPERLINK("https://ibp.a2mac1.com/costing(costing:projects/details/9760/material/8754083)","PC-ABS adjusted (part)")</f>
        <v>PC-ABS adjusted (part)</v>
      </c>
      <c r="B316">
        <v>8754083</v>
      </c>
      <c r="C316">
        <v>12084713</v>
      </c>
      <c r="E316">
        <v>0.42</v>
      </c>
      <c r="F316" t="s">
        <v>478</v>
      </c>
      <c r="G316">
        <v>100</v>
      </c>
      <c r="H316" t="s">
        <v>479</v>
      </c>
      <c r="I316">
        <v>5</v>
      </c>
      <c r="J316">
        <v>0.50345253019720215</v>
      </c>
      <c r="K316">
        <v>0</v>
      </c>
      <c r="L316">
        <v>0</v>
      </c>
      <c r="M316">
        <v>0</v>
      </c>
      <c r="O316">
        <v>200000</v>
      </c>
      <c r="R316" t="s">
        <v>162</v>
      </c>
      <c r="S316">
        <v>0</v>
      </c>
      <c r="T316">
        <v>2.1251999999999998E-3</v>
      </c>
      <c r="U316" t="s">
        <v>176</v>
      </c>
      <c r="V316">
        <v>1.47E-2</v>
      </c>
      <c r="W316">
        <v>0.43682520000000002</v>
      </c>
      <c r="X316" t="s">
        <v>177</v>
      </c>
      <c r="Y316">
        <v>2.6209512000000001E-2</v>
      </c>
      <c r="Z316">
        <v>0</v>
      </c>
      <c r="AA316" t="s">
        <v>178</v>
      </c>
      <c r="AB316">
        <v>5.2419024000000002E-2</v>
      </c>
      <c r="AC316">
        <v>0.515453736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Q316" t="s">
        <v>262</v>
      </c>
      <c r="AR316" t="s">
        <v>263</v>
      </c>
      <c r="AS316">
        <v>0.42</v>
      </c>
    </row>
    <row r="317" spans="1:45" x14ac:dyDescent="0.15">
      <c r="A317" s="4" t="str">
        <f>HYPERLINK("https://ibp.a2mac1.com/costing(costing:projects/details/9760/material/8754181)","PC-ABS adjusted (part)")</f>
        <v>PC-ABS adjusted (part)</v>
      </c>
      <c r="B317">
        <v>8754181</v>
      </c>
      <c r="C317">
        <v>12084800</v>
      </c>
      <c r="E317">
        <v>0.15</v>
      </c>
      <c r="F317" t="s">
        <v>478</v>
      </c>
      <c r="G317">
        <v>100</v>
      </c>
      <c r="H317" t="s">
        <v>479</v>
      </c>
      <c r="I317">
        <v>5</v>
      </c>
      <c r="J317">
        <v>0.50345253019720215</v>
      </c>
      <c r="K317">
        <v>0</v>
      </c>
      <c r="L317">
        <v>0</v>
      </c>
      <c r="M317">
        <v>0</v>
      </c>
      <c r="O317">
        <v>200000</v>
      </c>
      <c r="R317" t="s">
        <v>162</v>
      </c>
      <c r="S317">
        <v>0</v>
      </c>
      <c r="T317">
        <v>7.5900000000000002E-4</v>
      </c>
      <c r="U317" t="s">
        <v>176</v>
      </c>
      <c r="V317">
        <v>5.2500000000000003E-3</v>
      </c>
      <c r="W317">
        <v>0.15600900000000001</v>
      </c>
      <c r="X317" t="s">
        <v>177</v>
      </c>
      <c r="Y317">
        <v>9.3605400000000005E-3</v>
      </c>
      <c r="Z317">
        <v>0</v>
      </c>
      <c r="AA317" t="s">
        <v>178</v>
      </c>
      <c r="AB317">
        <v>1.8721080000000001E-2</v>
      </c>
      <c r="AC317">
        <v>0.18409062000000001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Q317" t="s">
        <v>262</v>
      </c>
      <c r="AR317" t="s">
        <v>263</v>
      </c>
      <c r="AS317">
        <v>0.15</v>
      </c>
    </row>
    <row r="318" spans="1:45" x14ac:dyDescent="0.15">
      <c r="A318" s="4" t="str">
        <f>HYPERLINK("https://ibp.a2mac1.com/costing(costing:projects/details/9760/material/8754182)","PC-ABS adjusted (part)")</f>
        <v>PC-ABS adjusted (part)</v>
      </c>
      <c r="B318">
        <v>8754182</v>
      </c>
      <c r="C318">
        <v>12084801</v>
      </c>
      <c r="E318">
        <v>0.15</v>
      </c>
      <c r="F318" t="s">
        <v>478</v>
      </c>
      <c r="G318">
        <v>100</v>
      </c>
      <c r="H318" t="s">
        <v>479</v>
      </c>
      <c r="I318">
        <v>5</v>
      </c>
      <c r="J318">
        <v>0.50345253019720215</v>
      </c>
      <c r="K318">
        <v>0</v>
      </c>
      <c r="L318">
        <v>0</v>
      </c>
      <c r="M318">
        <v>0</v>
      </c>
      <c r="O318">
        <v>200000</v>
      </c>
      <c r="R318" t="s">
        <v>162</v>
      </c>
      <c r="S318">
        <v>0</v>
      </c>
      <c r="T318">
        <v>7.5900000000000002E-4</v>
      </c>
      <c r="U318" t="s">
        <v>176</v>
      </c>
      <c r="V318">
        <v>5.2500000000000003E-3</v>
      </c>
      <c r="W318">
        <v>0.15600900000000001</v>
      </c>
      <c r="X318" t="s">
        <v>177</v>
      </c>
      <c r="Y318">
        <v>9.3605400000000005E-3</v>
      </c>
      <c r="Z318">
        <v>0</v>
      </c>
      <c r="AA318" t="s">
        <v>178</v>
      </c>
      <c r="AB318">
        <v>1.8721080000000001E-2</v>
      </c>
      <c r="AC318">
        <v>0.18409062000000001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Q318" t="s">
        <v>262</v>
      </c>
      <c r="AR318" t="s">
        <v>263</v>
      </c>
      <c r="AS318">
        <v>0.15</v>
      </c>
    </row>
    <row r="319" spans="1:45" x14ac:dyDescent="0.15">
      <c r="A319" s="4" t="str">
        <f>HYPERLINK("https://ibp.a2mac1.com/costing(costing:projects/details/9760/material/8754084)","POM")</f>
        <v>POM</v>
      </c>
      <c r="B319">
        <v>8754084</v>
      </c>
      <c r="C319">
        <v>12084715</v>
      </c>
      <c r="E319">
        <v>2.12338</v>
      </c>
      <c r="F319" t="s">
        <v>3897</v>
      </c>
      <c r="G319">
        <v>95</v>
      </c>
      <c r="H319" t="s">
        <v>3898</v>
      </c>
      <c r="I319">
        <v>5</v>
      </c>
      <c r="J319">
        <v>0.50345253019720215</v>
      </c>
      <c r="K319">
        <v>0</v>
      </c>
      <c r="M319">
        <v>0</v>
      </c>
      <c r="O319">
        <v>200000</v>
      </c>
      <c r="R319" t="s">
        <v>162</v>
      </c>
      <c r="S319">
        <v>3.3527052631578945E-5</v>
      </c>
      <c r="T319">
        <v>6.7858754526315789E-5</v>
      </c>
      <c r="U319" t="s">
        <v>176</v>
      </c>
      <c r="V319">
        <v>4.6937873684210524E-4</v>
      </c>
      <c r="W319">
        <v>1.3914531491368421E-2</v>
      </c>
      <c r="X319" t="s">
        <v>90</v>
      </c>
      <c r="Y319">
        <v>0</v>
      </c>
      <c r="Z319">
        <v>0</v>
      </c>
      <c r="AA319" t="s">
        <v>90</v>
      </c>
      <c r="AB319">
        <v>0</v>
      </c>
      <c r="AC319">
        <v>1.3914531491368421E-2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Q319" t="s">
        <v>262</v>
      </c>
      <c r="AR319" t="s">
        <v>263</v>
      </c>
      <c r="AS319">
        <v>1.341082105263158E-2</v>
      </c>
    </row>
    <row r="320" spans="1:45" x14ac:dyDescent="0.15">
      <c r="A320" s="4" t="str">
        <f>HYPERLINK("https://ibp.a2mac1.com/costing(costing:projects/details/9760/material/8754085)","Steel sheet (default) adjusted (part)")</f>
        <v>Steel sheet (default) adjusted (part)</v>
      </c>
      <c r="B320">
        <v>8754085</v>
      </c>
      <c r="C320">
        <v>12084716</v>
      </c>
      <c r="E320">
        <v>0.05</v>
      </c>
      <c r="F320" t="s">
        <v>478</v>
      </c>
      <c r="G320">
        <v>100</v>
      </c>
      <c r="H320" t="s">
        <v>479</v>
      </c>
      <c r="I320">
        <v>30</v>
      </c>
      <c r="J320">
        <v>0.50345253019720215</v>
      </c>
      <c r="K320">
        <v>0</v>
      </c>
      <c r="L320">
        <v>0</v>
      </c>
      <c r="M320">
        <v>0</v>
      </c>
      <c r="O320">
        <v>200000</v>
      </c>
      <c r="R320" t="s">
        <v>162</v>
      </c>
      <c r="S320">
        <v>0</v>
      </c>
      <c r="T320">
        <v>2.5300000000000002E-4</v>
      </c>
      <c r="U320" t="s">
        <v>176</v>
      </c>
      <c r="V320">
        <v>1.75E-3</v>
      </c>
      <c r="W320">
        <v>5.2003000000000001E-2</v>
      </c>
      <c r="X320" t="s">
        <v>90</v>
      </c>
      <c r="Y320">
        <v>0</v>
      </c>
      <c r="Z320">
        <v>0</v>
      </c>
      <c r="AA320" t="s">
        <v>90</v>
      </c>
      <c r="AB320">
        <v>0</v>
      </c>
      <c r="AC320">
        <v>5.2003000000000001E-2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Q320" t="s">
        <v>262</v>
      </c>
      <c r="AR320" t="s">
        <v>263</v>
      </c>
      <c r="AS320">
        <v>0.05</v>
      </c>
    </row>
    <row r="321" spans="1:45" x14ac:dyDescent="0.15">
      <c r="A321" s="4" t="str">
        <f>HYPERLINK("https://ibp.a2mac1.com/costing(costing:projects/details/9760/material/8754086)","PP-EPDM-TD10 adjusted (part)")</f>
        <v>PP-EPDM-TD10 adjusted (part)</v>
      </c>
      <c r="B321">
        <v>8754086</v>
      </c>
      <c r="C321">
        <v>12084719</v>
      </c>
      <c r="E321">
        <v>0.06</v>
      </c>
      <c r="F321" t="s">
        <v>478</v>
      </c>
      <c r="G321">
        <v>100</v>
      </c>
      <c r="H321" t="s">
        <v>479</v>
      </c>
      <c r="I321">
        <v>5</v>
      </c>
      <c r="J321">
        <v>0.50345253019720215</v>
      </c>
      <c r="K321">
        <v>0</v>
      </c>
      <c r="L321">
        <v>0</v>
      </c>
      <c r="M321">
        <v>0</v>
      </c>
      <c r="O321">
        <v>200000</v>
      </c>
      <c r="R321" t="s">
        <v>162</v>
      </c>
      <c r="S321">
        <v>0</v>
      </c>
      <c r="T321">
        <v>3.0360000000000001E-4</v>
      </c>
      <c r="U321" t="s">
        <v>176</v>
      </c>
      <c r="V321">
        <v>2.0999999999999999E-3</v>
      </c>
      <c r="W321">
        <v>6.2403599999999997E-2</v>
      </c>
      <c r="X321" t="s">
        <v>90</v>
      </c>
      <c r="Y321">
        <v>0</v>
      </c>
      <c r="Z321">
        <v>0</v>
      </c>
      <c r="AA321" t="s">
        <v>90</v>
      </c>
      <c r="AB321">
        <v>0</v>
      </c>
      <c r="AC321">
        <v>6.2403599999999997E-2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Q321" t="s">
        <v>262</v>
      </c>
      <c r="AR321" t="s">
        <v>263</v>
      </c>
      <c r="AS321">
        <v>0.06</v>
      </c>
    </row>
    <row r="322" spans="1:45" x14ac:dyDescent="0.15">
      <c r="A322" s="4" t="str">
        <f>HYPERLINK("https://ibp.a2mac1.com/costing(costing:projects/details/9760/material/8754087)","Steel sheet (default) adjusted (part)")</f>
        <v>Steel sheet (default) adjusted (part)</v>
      </c>
      <c r="B322">
        <v>8754087</v>
      </c>
      <c r="C322">
        <v>12084720</v>
      </c>
      <c r="E322">
        <v>0.17</v>
      </c>
      <c r="F322" t="s">
        <v>478</v>
      </c>
      <c r="G322">
        <v>100</v>
      </c>
      <c r="H322" t="s">
        <v>479</v>
      </c>
      <c r="I322">
        <v>30</v>
      </c>
      <c r="J322">
        <v>0.50345253019720215</v>
      </c>
      <c r="K322">
        <v>0</v>
      </c>
      <c r="L322">
        <v>0</v>
      </c>
      <c r="M322">
        <v>0</v>
      </c>
      <c r="O322">
        <v>200000</v>
      </c>
      <c r="R322" t="s">
        <v>162</v>
      </c>
      <c r="S322">
        <v>0</v>
      </c>
      <c r="T322">
        <v>8.6019999999999998E-4</v>
      </c>
      <c r="U322" t="s">
        <v>176</v>
      </c>
      <c r="V322">
        <v>5.9500000000000004E-3</v>
      </c>
      <c r="W322">
        <v>0.1768102</v>
      </c>
      <c r="X322" t="s">
        <v>90</v>
      </c>
      <c r="Y322">
        <v>0</v>
      </c>
      <c r="Z322">
        <v>0</v>
      </c>
      <c r="AA322" t="s">
        <v>90</v>
      </c>
      <c r="AB322">
        <v>0</v>
      </c>
      <c r="AC322">
        <v>0.1768102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Q322" t="s">
        <v>262</v>
      </c>
      <c r="AR322" t="s">
        <v>263</v>
      </c>
      <c r="AS322">
        <v>0.17</v>
      </c>
    </row>
    <row r="323" spans="1:45" x14ac:dyDescent="0.15">
      <c r="A323" s="4" t="str">
        <f>HYPERLINK("https://ibp.a2mac1.com/costing(costing:projects/details/9760/material/8754088)","Steel sheet (default) adjusted (part)")</f>
        <v>Steel sheet (default) adjusted (part)</v>
      </c>
      <c r="B323">
        <v>8754088</v>
      </c>
      <c r="C323">
        <v>12084721</v>
      </c>
      <c r="E323">
        <v>0.19</v>
      </c>
      <c r="F323" t="s">
        <v>478</v>
      </c>
      <c r="G323">
        <v>100</v>
      </c>
      <c r="H323" t="s">
        <v>479</v>
      </c>
      <c r="I323">
        <v>30</v>
      </c>
      <c r="J323">
        <v>0.50345253019720215</v>
      </c>
      <c r="K323">
        <v>0</v>
      </c>
      <c r="L323">
        <v>0</v>
      </c>
      <c r="M323">
        <v>0</v>
      </c>
      <c r="O323">
        <v>200000</v>
      </c>
      <c r="R323" t="s">
        <v>162</v>
      </c>
      <c r="S323">
        <v>0</v>
      </c>
      <c r="T323">
        <v>9.6139999999999995E-4</v>
      </c>
      <c r="U323" t="s">
        <v>176</v>
      </c>
      <c r="V323">
        <v>6.6499999999999997E-3</v>
      </c>
      <c r="W323">
        <v>0.19761139999999999</v>
      </c>
      <c r="X323" t="s">
        <v>177</v>
      </c>
      <c r="Y323">
        <v>1.1856683999999999E-2</v>
      </c>
      <c r="Z323">
        <v>0</v>
      </c>
      <c r="AA323" t="s">
        <v>178</v>
      </c>
      <c r="AB323">
        <v>2.3713367999999999E-2</v>
      </c>
      <c r="AC323">
        <v>0.23318145200000001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Q323" t="s">
        <v>262</v>
      </c>
      <c r="AR323" t="s">
        <v>263</v>
      </c>
      <c r="AS323">
        <v>0.19</v>
      </c>
    </row>
    <row r="324" spans="1:45" x14ac:dyDescent="0.15">
      <c r="A324" s="4" t="str">
        <f>HYPERLINK("https://ibp.a2mac1.com/costing(costing:projects/details/9760/material/8754089)","PC-ABS adjusted (part)")</f>
        <v>PC-ABS adjusted (part)</v>
      </c>
      <c r="B324">
        <v>8754089</v>
      </c>
      <c r="C324">
        <v>12084722</v>
      </c>
      <c r="E324">
        <v>0.14000000000000001</v>
      </c>
      <c r="F324" t="s">
        <v>478</v>
      </c>
      <c r="G324">
        <v>100</v>
      </c>
      <c r="H324" t="s">
        <v>479</v>
      </c>
      <c r="I324">
        <v>5</v>
      </c>
      <c r="J324">
        <v>0.50345253019720215</v>
      </c>
      <c r="K324">
        <v>0</v>
      </c>
      <c r="L324">
        <v>0</v>
      </c>
      <c r="M324">
        <v>0</v>
      </c>
      <c r="O324">
        <v>200000</v>
      </c>
      <c r="R324" t="s">
        <v>162</v>
      </c>
      <c r="S324">
        <v>0</v>
      </c>
      <c r="T324">
        <v>7.0839999999999998E-4</v>
      </c>
      <c r="U324" t="s">
        <v>176</v>
      </c>
      <c r="V324">
        <v>4.8999999999999998E-3</v>
      </c>
      <c r="W324">
        <v>0.1456084</v>
      </c>
      <c r="X324" t="s">
        <v>177</v>
      </c>
      <c r="Y324">
        <v>8.7365040000000008E-3</v>
      </c>
      <c r="Z324">
        <v>0</v>
      </c>
      <c r="AA324" t="s">
        <v>178</v>
      </c>
      <c r="AB324">
        <v>1.7473008000000002E-2</v>
      </c>
      <c r="AC324">
        <v>0.17181791199999999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Q324" t="s">
        <v>262</v>
      </c>
      <c r="AR324" t="s">
        <v>263</v>
      </c>
      <c r="AS324">
        <v>0.14000000000000001</v>
      </c>
    </row>
    <row r="325" spans="1:45" x14ac:dyDescent="0.15">
      <c r="A325" s="4" t="str">
        <f>HYPERLINK("https://ibp.a2mac1.com/costing(costing:projects/details/9760/material/8754090)","PP-EPDM-TD10 adjusted (part)")</f>
        <v>PP-EPDM-TD10 adjusted (part)</v>
      </c>
      <c r="B325">
        <v>8754090</v>
      </c>
      <c r="C325">
        <v>12084723</v>
      </c>
      <c r="E325">
        <v>0.04</v>
      </c>
      <c r="F325" t="s">
        <v>478</v>
      </c>
      <c r="G325">
        <v>100</v>
      </c>
      <c r="H325" t="s">
        <v>479</v>
      </c>
      <c r="I325">
        <v>5</v>
      </c>
      <c r="J325">
        <v>0.50345253019720215</v>
      </c>
      <c r="K325">
        <v>0</v>
      </c>
      <c r="L325">
        <v>0</v>
      </c>
      <c r="M325">
        <v>0</v>
      </c>
      <c r="O325">
        <v>200000</v>
      </c>
      <c r="R325" t="s">
        <v>162</v>
      </c>
      <c r="S325">
        <v>0</v>
      </c>
      <c r="T325">
        <v>2.0239999999999999E-4</v>
      </c>
      <c r="U325" t="s">
        <v>176</v>
      </c>
      <c r="V325">
        <v>1.4E-3</v>
      </c>
      <c r="W325">
        <v>4.1602399999999998E-2</v>
      </c>
      <c r="X325" t="s">
        <v>90</v>
      </c>
      <c r="Y325">
        <v>0</v>
      </c>
      <c r="Z325">
        <v>0</v>
      </c>
      <c r="AA325" t="s">
        <v>90</v>
      </c>
      <c r="AB325">
        <v>0</v>
      </c>
      <c r="AC325">
        <v>4.1602399999999998E-2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Q325" t="s">
        <v>262</v>
      </c>
      <c r="AR325" t="s">
        <v>263</v>
      </c>
      <c r="AS325">
        <v>0.04</v>
      </c>
    </row>
    <row r="326" spans="1:45" x14ac:dyDescent="0.15">
      <c r="A326" s="4" t="str">
        <f>HYPERLINK("https://ibp.a2mac1.com/costing(costing:projects/details/9760/material/8753901)","PC-ABS adjusted (part)")</f>
        <v>PC-ABS adjusted (part)</v>
      </c>
      <c r="B326">
        <v>8753901</v>
      </c>
      <c r="C326">
        <v>12084599</v>
      </c>
      <c r="E326">
        <v>0.88</v>
      </c>
      <c r="F326" t="s">
        <v>478</v>
      </c>
      <c r="G326">
        <v>100</v>
      </c>
      <c r="H326" t="s">
        <v>479</v>
      </c>
      <c r="I326">
        <v>5</v>
      </c>
      <c r="J326">
        <v>0.50345253019720215</v>
      </c>
      <c r="K326">
        <v>0</v>
      </c>
      <c r="L326">
        <v>0</v>
      </c>
      <c r="M326">
        <v>0</v>
      </c>
      <c r="O326">
        <v>200000</v>
      </c>
      <c r="R326" t="s">
        <v>162</v>
      </c>
      <c r="S326">
        <v>0</v>
      </c>
      <c r="T326">
        <v>4.4527999999999998E-3</v>
      </c>
      <c r="U326" t="s">
        <v>176</v>
      </c>
      <c r="V326">
        <v>3.0800000000000001E-2</v>
      </c>
      <c r="W326">
        <v>0.91525279999999998</v>
      </c>
      <c r="X326" t="s">
        <v>90</v>
      </c>
      <c r="Y326">
        <v>0</v>
      </c>
      <c r="Z326">
        <v>0</v>
      </c>
      <c r="AA326" t="s">
        <v>90</v>
      </c>
      <c r="AB326">
        <v>0</v>
      </c>
      <c r="AC326">
        <v>0.91525279999999998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Q326" t="s">
        <v>262</v>
      </c>
      <c r="AR326" t="s">
        <v>263</v>
      </c>
      <c r="AS326">
        <v>0.88</v>
      </c>
    </row>
    <row r="327" spans="1:45" x14ac:dyDescent="0.15">
      <c r="A327" s="4" t="str">
        <f>HYPERLINK("https://ibp.a2mac1.com/costing(costing:projects/details/9760/material/8753902)","PC-ABS adjusted (part)")</f>
        <v>PC-ABS adjusted (part)</v>
      </c>
      <c r="B327">
        <v>8753902</v>
      </c>
      <c r="C327">
        <v>12084600</v>
      </c>
      <c r="E327">
        <v>7.0000000000000007E-2</v>
      </c>
      <c r="F327" t="s">
        <v>478</v>
      </c>
      <c r="G327">
        <v>100</v>
      </c>
      <c r="H327" t="s">
        <v>479</v>
      </c>
      <c r="I327">
        <v>5</v>
      </c>
      <c r="J327">
        <v>0.50345253019720215</v>
      </c>
      <c r="K327">
        <v>0</v>
      </c>
      <c r="L327">
        <v>0</v>
      </c>
      <c r="M327">
        <v>0</v>
      </c>
      <c r="O327">
        <v>200000</v>
      </c>
      <c r="R327" t="s">
        <v>162</v>
      </c>
      <c r="S327">
        <v>0</v>
      </c>
      <c r="T327">
        <v>3.5419999999999999E-4</v>
      </c>
      <c r="U327" t="s">
        <v>176</v>
      </c>
      <c r="V327">
        <v>2.4499999999999999E-3</v>
      </c>
      <c r="W327">
        <v>7.2804199999999999E-2</v>
      </c>
      <c r="X327" t="s">
        <v>90</v>
      </c>
      <c r="Y327">
        <v>0</v>
      </c>
      <c r="Z327">
        <v>0</v>
      </c>
      <c r="AA327" t="s">
        <v>90</v>
      </c>
      <c r="AB327">
        <v>0</v>
      </c>
      <c r="AC327">
        <v>7.2804199999999999E-2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Q327" t="s">
        <v>262</v>
      </c>
      <c r="AR327" t="s">
        <v>263</v>
      </c>
      <c r="AS327">
        <v>7.0000000000000007E-2</v>
      </c>
    </row>
    <row r="328" spans="1:45" x14ac:dyDescent="0.15">
      <c r="A328" s="4" t="str">
        <f>HYPERLINK("https://ibp.a2mac1.com/costing(costing:projects/details/9760/material/8754091)","PC-ABS;leather")</f>
        <v>PC-ABS;leather</v>
      </c>
      <c r="B328">
        <v>8754091</v>
      </c>
      <c r="C328">
        <v>12084728</v>
      </c>
      <c r="E328">
        <v>0.13</v>
      </c>
      <c r="F328" t="s">
        <v>478</v>
      </c>
      <c r="G328">
        <v>100</v>
      </c>
      <c r="H328" t="s">
        <v>479</v>
      </c>
      <c r="I328">
        <v>0</v>
      </c>
      <c r="J328">
        <v>0.50345253019720215</v>
      </c>
      <c r="K328">
        <v>0</v>
      </c>
      <c r="L328">
        <v>0</v>
      </c>
      <c r="M328">
        <v>0</v>
      </c>
      <c r="O328">
        <v>200000</v>
      </c>
      <c r="R328" t="s">
        <v>162</v>
      </c>
      <c r="S328">
        <v>0</v>
      </c>
      <c r="T328">
        <v>6.5780000000000005E-4</v>
      </c>
      <c r="U328" t="s">
        <v>176</v>
      </c>
      <c r="V328">
        <v>4.5500000000000002E-3</v>
      </c>
      <c r="W328">
        <v>0.13520779999999999</v>
      </c>
      <c r="X328" t="s">
        <v>177</v>
      </c>
      <c r="Y328">
        <v>8.1124679999999994E-3</v>
      </c>
      <c r="Z328">
        <v>0</v>
      </c>
      <c r="AA328" t="s">
        <v>178</v>
      </c>
      <c r="AB328">
        <v>1.6224935999999999E-2</v>
      </c>
      <c r="AC328">
        <v>0.159545204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Q328" t="s">
        <v>9</v>
      </c>
      <c r="AR328" t="s">
        <v>263</v>
      </c>
      <c r="AS328">
        <v>0.13</v>
      </c>
    </row>
    <row r="329" spans="1:45" x14ac:dyDescent="0.15">
      <c r="A329" s="4" t="str">
        <f>HYPERLINK("https://ibp.a2mac1.com/costing(costing:projects/details/9760/material/8754092)","PC-ABS adjusted (part)")</f>
        <v>PC-ABS adjusted (part)</v>
      </c>
      <c r="B329">
        <v>8754092</v>
      </c>
      <c r="C329">
        <v>12084729</v>
      </c>
      <c r="E329">
        <v>0.18</v>
      </c>
      <c r="F329" t="s">
        <v>478</v>
      </c>
      <c r="G329">
        <v>100</v>
      </c>
      <c r="H329" t="s">
        <v>479</v>
      </c>
      <c r="I329">
        <v>5</v>
      </c>
      <c r="J329">
        <v>0.50345253019720215</v>
      </c>
      <c r="K329">
        <v>0</v>
      </c>
      <c r="L329">
        <v>0</v>
      </c>
      <c r="M329">
        <v>0</v>
      </c>
      <c r="O329">
        <v>200000</v>
      </c>
      <c r="R329" t="s">
        <v>162</v>
      </c>
      <c r="S329">
        <v>0</v>
      </c>
      <c r="T329">
        <v>9.1080000000000002E-4</v>
      </c>
      <c r="U329" t="s">
        <v>176</v>
      </c>
      <c r="V329">
        <v>6.3E-3</v>
      </c>
      <c r="W329">
        <v>0.18721080000000001</v>
      </c>
      <c r="X329" t="s">
        <v>177</v>
      </c>
      <c r="Y329">
        <v>1.1232648E-2</v>
      </c>
      <c r="Z329">
        <v>0</v>
      </c>
      <c r="AA329" t="s">
        <v>178</v>
      </c>
      <c r="AB329">
        <v>2.2465295999999999E-2</v>
      </c>
      <c r="AC329">
        <v>0.22090874399999999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Q329" t="s">
        <v>262</v>
      </c>
      <c r="AR329" t="s">
        <v>263</v>
      </c>
      <c r="AS329">
        <v>0.18</v>
      </c>
    </row>
    <row r="330" spans="1:45" x14ac:dyDescent="0.15">
      <c r="A330" s="4" t="str">
        <f>HYPERLINK("https://ibp.a2mac1.com/costing(costing:projects/details/9760/material/8754093)","PC-ABS adjusted (part)")</f>
        <v>PC-ABS adjusted (part)</v>
      </c>
      <c r="B330">
        <v>8754093</v>
      </c>
      <c r="C330">
        <v>12084730</v>
      </c>
      <c r="E330">
        <v>0.18</v>
      </c>
      <c r="F330" t="s">
        <v>478</v>
      </c>
      <c r="G330">
        <v>100</v>
      </c>
      <c r="H330" t="s">
        <v>479</v>
      </c>
      <c r="I330">
        <v>5</v>
      </c>
      <c r="J330">
        <v>0.50345253019720215</v>
      </c>
      <c r="K330">
        <v>0</v>
      </c>
      <c r="L330">
        <v>0</v>
      </c>
      <c r="M330">
        <v>0</v>
      </c>
      <c r="O330">
        <v>200000</v>
      </c>
      <c r="R330" t="s">
        <v>162</v>
      </c>
      <c r="S330">
        <v>0</v>
      </c>
      <c r="T330">
        <v>9.1080000000000002E-4</v>
      </c>
      <c r="U330" t="s">
        <v>176</v>
      </c>
      <c r="V330">
        <v>6.3E-3</v>
      </c>
      <c r="W330">
        <v>0.18721080000000001</v>
      </c>
      <c r="X330" t="s">
        <v>177</v>
      </c>
      <c r="Y330">
        <v>1.1232648E-2</v>
      </c>
      <c r="Z330">
        <v>0</v>
      </c>
      <c r="AA330" t="s">
        <v>178</v>
      </c>
      <c r="AB330">
        <v>2.2465295999999999E-2</v>
      </c>
      <c r="AC330">
        <v>0.22090874399999999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Q330" t="s">
        <v>262</v>
      </c>
      <c r="AR330" t="s">
        <v>263</v>
      </c>
      <c r="AS330">
        <v>0.18</v>
      </c>
    </row>
    <row r="331" spans="1:45" x14ac:dyDescent="0.15">
      <c r="A331" s="4" t="str">
        <f>HYPERLINK("https://ibp.a2mac1.com/costing(costing:projects/details/9760/material/8754094)","PC-ABS adjusted (part)")</f>
        <v>PC-ABS adjusted (part)</v>
      </c>
      <c r="B331">
        <v>8754094</v>
      </c>
      <c r="C331">
        <v>12084731</v>
      </c>
      <c r="E331">
        <v>7.0000000000000007E-2</v>
      </c>
      <c r="F331" t="s">
        <v>478</v>
      </c>
      <c r="G331">
        <v>100</v>
      </c>
      <c r="H331" t="s">
        <v>479</v>
      </c>
      <c r="I331">
        <v>5</v>
      </c>
      <c r="J331">
        <v>0.50345253019720215</v>
      </c>
      <c r="K331">
        <v>0</v>
      </c>
      <c r="L331">
        <v>0</v>
      </c>
      <c r="M331">
        <v>0</v>
      </c>
      <c r="O331">
        <v>200000</v>
      </c>
      <c r="R331" t="s">
        <v>162</v>
      </c>
      <c r="S331">
        <v>0</v>
      </c>
      <c r="T331">
        <v>3.5419999999999999E-4</v>
      </c>
      <c r="U331" t="s">
        <v>176</v>
      </c>
      <c r="V331">
        <v>2.4499999999999999E-3</v>
      </c>
      <c r="W331">
        <v>7.2804199999999999E-2</v>
      </c>
      <c r="X331" t="s">
        <v>177</v>
      </c>
      <c r="Y331">
        <v>4.3682520000000004E-3</v>
      </c>
      <c r="Z331">
        <v>0</v>
      </c>
      <c r="AA331" t="s">
        <v>178</v>
      </c>
      <c r="AB331">
        <v>8.7365040000000008E-3</v>
      </c>
      <c r="AC331">
        <v>8.5908955999999995E-2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Q331" t="s">
        <v>262</v>
      </c>
      <c r="AR331" t="s">
        <v>263</v>
      </c>
      <c r="AS331">
        <v>7.0000000000000007E-2</v>
      </c>
    </row>
    <row r="332" spans="1:45" x14ac:dyDescent="0.15">
      <c r="A332" s="4" t="str">
        <f>HYPERLINK("https://ibp.a2mac1.com/costing(costing:projects/details/9760/material/8754095)","Leather;PC-ABS")</f>
        <v>Leather;PC-ABS</v>
      </c>
      <c r="B332">
        <v>8754095</v>
      </c>
      <c r="C332">
        <v>12084732</v>
      </c>
      <c r="E332">
        <v>0.11</v>
      </c>
      <c r="F332" t="s">
        <v>478</v>
      </c>
      <c r="G332">
        <v>100</v>
      </c>
      <c r="H332" t="s">
        <v>479</v>
      </c>
      <c r="I332">
        <v>0</v>
      </c>
      <c r="J332">
        <v>0.50345253019720215</v>
      </c>
      <c r="K332">
        <v>0</v>
      </c>
      <c r="L332">
        <v>0</v>
      </c>
      <c r="M332">
        <v>0</v>
      </c>
      <c r="O332">
        <v>200000</v>
      </c>
      <c r="R332" t="s">
        <v>162</v>
      </c>
      <c r="S332">
        <v>0</v>
      </c>
      <c r="T332">
        <v>5.5659999999999998E-4</v>
      </c>
      <c r="U332" t="s">
        <v>176</v>
      </c>
      <c r="V332">
        <v>3.8500000000000001E-3</v>
      </c>
      <c r="W332">
        <v>0.1144066</v>
      </c>
      <c r="X332" t="s">
        <v>177</v>
      </c>
      <c r="Y332">
        <v>6.864396E-3</v>
      </c>
      <c r="Z332">
        <v>0</v>
      </c>
      <c r="AA332" t="s">
        <v>178</v>
      </c>
      <c r="AB332">
        <v>1.3728792E-2</v>
      </c>
      <c r="AC332">
        <v>0.13499978800000001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Q332" t="s">
        <v>9</v>
      </c>
      <c r="AR332" t="s">
        <v>263</v>
      </c>
      <c r="AS332">
        <v>0.11</v>
      </c>
    </row>
    <row r="333" spans="1:45" x14ac:dyDescent="0.15">
      <c r="A333" s="4" t="str">
        <f>HYPERLINK("https://ibp.a2mac1.com/costing(costing:projects/details/9760/material/8754096)","PC-ABS adjusted (part)")</f>
        <v>PC-ABS adjusted (part)</v>
      </c>
      <c r="B333">
        <v>8754096</v>
      </c>
      <c r="C333">
        <v>12084733</v>
      </c>
      <c r="E333">
        <v>0.18</v>
      </c>
      <c r="F333" t="s">
        <v>478</v>
      </c>
      <c r="G333">
        <v>100</v>
      </c>
      <c r="H333" t="s">
        <v>479</v>
      </c>
      <c r="I333">
        <v>5</v>
      </c>
      <c r="J333">
        <v>0.50345253019720215</v>
      </c>
      <c r="K333">
        <v>0</v>
      </c>
      <c r="L333">
        <v>0</v>
      </c>
      <c r="M333">
        <v>0</v>
      </c>
      <c r="O333">
        <v>200000</v>
      </c>
      <c r="R333" t="s">
        <v>162</v>
      </c>
      <c r="S333">
        <v>0</v>
      </c>
      <c r="T333">
        <v>9.1080000000000002E-4</v>
      </c>
      <c r="U333" t="s">
        <v>176</v>
      </c>
      <c r="V333">
        <v>6.3E-3</v>
      </c>
      <c r="W333">
        <v>0.18721080000000001</v>
      </c>
      <c r="X333" t="s">
        <v>177</v>
      </c>
      <c r="Y333">
        <v>1.1232648E-2</v>
      </c>
      <c r="Z333">
        <v>0</v>
      </c>
      <c r="AA333" t="s">
        <v>178</v>
      </c>
      <c r="AB333">
        <v>2.2465295999999999E-2</v>
      </c>
      <c r="AC333">
        <v>0.22090874399999999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Q333" t="s">
        <v>262</v>
      </c>
      <c r="AR333" t="s">
        <v>263</v>
      </c>
      <c r="AS333">
        <v>0.18</v>
      </c>
    </row>
    <row r="334" spans="1:45" x14ac:dyDescent="0.15">
      <c r="A334" s="4" t="str">
        <f>HYPERLINK("https://ibp.a2mac1.com/costing(costing:projects/details/9760/material/8754097)","Leather;PC-ABS")</f>
        <v>Leather;PC-ABS</v>
      </c>
      <c r="B334">
        <v>8754097</v>
      </c>
      <c r="C334">
        <v>12084734</v>
      </c>
      <c r="E334">
        <v>0.33</v>
      </c>
      <c r="F334" t="s">
        <v>478</v>
      </c>
      <c r="G334">
        <v>100</v>
      </c>
      <c r="H334" t="s">
        <v>479</v>
      </c>
      <c r="I334">
        <v>0</v>
      </c>
      <c r="J334">
        <v>0.50345253019720215</v>
      </c>
      <c r="K334">
        <v>0</v>
      </c>
      <c r="L334">
        <v>0</v>
      </c>
      <c r="M334">
        <v>0</v>
      </c>
      <c r="O334">
        <v>200000</v>
      </c>
      <c r="R334" t="s">
        <v>162</v>
      </c>
      <c r="S334">
        <v>0</v>
      </c>
      <c r="T334">
        <v>1.6697999999999999E-3</v>
      </c>
      <c r="U334" t="s">
        <v>176</v>
      </c>
      <c r="V334">
        <v>1.155E-2</v>
      </c>
      <c r="W334">
        <v>0.34321980000000002</v>
      </c>
      <c r="X334" t="s">
        <v>177</v>
      </c>
      <c r="Y334">
        <v>2.0593187999999998E-2</v>
      </c>
      <c r="Z334">
        <v>0</v>
      </c>
      <c r="AA334" t="s">
        <v>178</v>
      </c>
      <c r="AB334">
        <v>4.1186375999999997E-2</v>
      </c>
      <c r="AC334">
        <v>0.40499936399999997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Q334" t="s">
        <v>9</v>
      </c>
      <c r="AR334" t="s">
        <v>263</v>
      </c>
      <c r="AS334">
        <v>0.33</v>
      </c>
    </row>
    <row r="335" spans="1:45" x14ac:dyDescent="0.15">
      <c r="A335" s="4" t="str">
        <f>HYPERLINK("https://ibp.a2mac1.com/costing(costing:projects/details/9760/material/8754098)","PC-ABS adjusted (part)")</f>
        <v>PC-ABS adjusted (part)</v>
      </c>
      <c r="B335">
        <v>8754098</v>
      </c>
      <c r="C335">
        <v>12084735</v>
      </c>
      <c r="E335">
        <v>0.56999999999999995</v>
      </c>
      <c r="F335" t="s">
        <v>478</v>
      </c>
      <c r="G335">
        <v>100</v>
      </c>
      <c r="H335" t="s">
        <v>479</v>
      </c>
      <c r="I335">
        <v>5</v>
      </c>
      <c r="J335">
        <v>0.50345253019720215</v>
      </c>
      <c r="K335">
        <v>0</v>
      </c>
      <c r="L335">
        <v>0</v>
      </c>
      <c r="M335">
        <v>0</v>
      </c>
      <c r="O335">
        <v>200000</v>
      </c>
      <c r="R335" t="s">
        <v>162</v>
      </c>
      <c r="S335">
        <v>0</v>
      </c>
      <c r="T335">
        <v>2.8842E-3</v>
      </c>
      <c r="U335" t="s">
        <v>176</v>
      </c>
      <c r="V335">
        <v>1.9949999999999999E-2</v>
      </c>
      <c r="W335">
        <v>0.59283419999999998</v>
      </c>
      <c r="X335" t="s">
        <v>177</v>
      </c>
      <c r="Y335">
        <v>3.5570051999999998E-2</v>
      </c>
      <c r="Z335">
        <v>0</v>
      </c>
      <c r="AA335" t="s">
        <v>178</v>
      </c>
      <c r="AB335">
        <v>7.1140103999999996E-2</v>
      </c>
      <c r="AC335">
        <v>0.69954435599999998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Q335" t="s">
        <v>262</v>
      </c>
      <c r="AR335" t="s">
        <v>263</v>
      </c>
      <c r="AS335">
        <v>0.56999999999999995</v>
      </c>
    </row>
    <row r="336" spans="1:45" x14ac:dyDescent="0.15">
      <c r="A336" s="4" t="str">
        <f>HYPERLINK("https://ibp.a2mac1.com/costing(costing:projects/details/9760/material/8753917)","Leather;Plastic unknown")</f>
        <v>Leather;Plastic unknown</v>
      </c>
      <c r="B336">
        <v>8753917</v>
      </c>
      <c r="C336">
        <v>12084601</v>
      </c>
      <c r="E336">
        <v>0.09</v>
      </c>
      <c r="F336" t="s">
        <v>478</v>
      </c>
      <c r="G336">
        <v>100</v>
      </c>
      <c r="H336" t="s">
        <v>479</v>
      </c>
      <c r="I336">
        <v>0</v>
      </c>
      <c r="J336">
        <v>0.50345253019720215</v>
      </c>
      <c r="K336">
        <v>0</v>
      </c>
      <c r="L336">
        <v>0</v>
      </c>
      <c r="M336">
        <v>0</v>
      </c>
      <c r="O336">
        <v>200000</v>
      </c>
      <c r="R336" t="s">
        <v>162</v>
      </c>
      <c r="S336">
        <v>0</v>
      </c>
      <c r="T336">
        <v>4.5540000000000001E-4</v>
      </c>
      <c r="U336" t="s">
        <v>176</v>
      </c>
      <c r="V336">
        <v>3.15E-3</v>
      </c>
      <c r="W336">
        <v>9.3605400000000005E-2</v>
      </c>
      <c r="X336" t="s">
        <v>177</v>
      </c>
      <c r="Y336">
        <v>5.6163239999999998E-3</v>
      </c>
      <c r="Z336">
        <v>0</v>
      </c>
      <c r="AA336" t="s">
        <v>178</v>
      </c>
      <c r="AB336">
        <v>1.1232648E-2</v>
      </c>
      <c r="AC336">
        <v>0.110454372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Q336" t="s">
        <v>9</v>
      </c>
      <c r="AR336" t="s">
        <v>263</v>
      </c>
      <c r="AS336">
        <v>0.09</v>
      </c>
    </row>
    <row r="337" spans="1:45" x14ac:dyDescent="0.15">
      <c r="A337" s="4" t="str">
        <f>HYPERLINK("https://ibp.a2mac1.com/costing(costing:projects/details/9760/material/8753918)","Leather;Plastic unknown")</f>
        <v>Leather;Plastic unknown</v>
      </c>
      <c r="B337">
        <v>8753918</v>
      </c>
      <c r="C337">
        <v>12084602</v>
      </c>
      <c r="E337">
        <v>0.7</v>
      </c>
      <c r="F337" t="s">
        <v>478</v>
      </c>
      <c r="G337">
        <v>100</v>
      </c>
      <c r="H337" t="s">
        <v>479</v>
      </c>
      <c r="I337">
        <v>0</v>
      </c>
      <c r="J337">
        <v>0.50345253019720215</v>
      </c>
      <c r="K337">
        <v>0</v>
      </c>
      <c r="L337">
        <v>0</v>
      </c>
      <c r="M337">
        <v>0</v>
      </c>
      <c r="O337">
        <v>200000</v>
      </c>
      <c r="R337" t="s">
        <v>162</v>
      </c>
      <c r="S337">
        <v>0</v>
      </c>
      <c r="T337">
        <v>3.542E-3</v>
      </c>
      <c r="U337" t="s">
        <v>176</v>
      </c>
      <c r="V337">
        <v>2.4500000000000001E-2</v>
      </c>
      <c r="W337">
        <v>0.72804199999999997</v>
      </c>
      <c r="X337" t="s">
        <v>177</v>
      </c>
      <c r="Y337">
        <v>4.3682520000000002E-2</v>
      </c>
      <c r="Z337">
        <v>0</v>
      </c>
      <c r="AA337" t="s">
        <v>178</v>
      </c>
      <c r="AB337">
        <v>8.7365040000000005E-2</v>
      </c>
      <c r="AC337">
        <v>0.85908956000000003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Q337" t="s">
        <v>9</v>
      </c>
      <c r="AR337" t="s">
        <v>263</v>
      </c>
      <c r="AS337">
        <v>0.7</v>
      </c>
    </row>
    <row r="338" spans="1:45" x14ac:dyDescent="0.15">
      <c r="A338" s="4" t="str">
        <f>HYPERLINK("https://ibp.a2mac1.com/costing(costing:projects/details/9760/material/8754183)","PC-ABS adjusted (part)")</f>
        <v>PC-ABS adjusted (part)</v>
      </c>
      <c r="B338">
        <v>8754183</v>
      </c>
      <c r="C338">
        <v>12084802</v>
      </c>
      <c r="E338">
        <v>0.09</v>
      </c>
      <c r="F338" t="s">
        <v>478</v>
      </c>
      <c r="G338">
        <v>100</v>
      </c>
      <c r="H338" t="s">
        <v>479</v>
      </c>
      <c r="I338">
        <v>5</v>
      </c>
      <c r="J338">
        <v>0.50345253019720215</v>
      </c>
      <c r="K338">
        <v>0</v>
      </c>
      <c r="L338">
        <v>0</v>
      </c>
      <c r="M338">
        <v>0</v>
      </c>
      <c r="O338">
        <v>200000</v>
      </c>
      <c r="R338" t="s">
        <v>162</v>
      </c>
      <c r="S338">
        <v>0</v>
      </c>
      <c r="T338">
        <v>4.5540000000000001E-4</v>
      </c>
      <c r="U338" t="s">
        <v>176</v>
      </c>
      <c r="V338">
        <v>3.15E-3</v>
      </c>
      <c r="W338">
        <v>9.3605400000000005E-2</v>
      </c>
      <c r="X338" t="s">
        <v>90</v>
      </c>
      <c r="Y338">
        <v>0</v>
      </c>
      <c r="Z338">
        <v>0</v>
      </c>
      <c r="AA338" t="s">
        <v>90</v>
      </c>
      <c r="AB338">
        <v>0</v>
      </c>
      <c r="AC338">
        <v>9.3605400000000005E-2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Q338" t="s">
        <v>262</v>
      </c>
      <c r="AR338" t="s">
        <v>263</v>
      </c>
      <c r="AS338">
        <v>0.09</v>
      </c>
    </row>
    <row r="339" spans="1:45" x14ac:dyDescent="0.15">
      <c r="A339" s="4" t="str">
        <f>HYPERLINK("https://ibp.a2mac1.com/costing(costing:projects/details/9760/material/8754184)","PLASTIC UNKNOWN")</f>
        <v>PLASTIC UNKNOWN</v>
      </c>
      <c r="B339">
        <v>8754184</v>
      </c>
      <c r="C339">
        <v>12084803</v>
      </c>
      <c r="E339">
        <v>1.57609</v>
      </c>
      <c r="F339" t="s">
        <v>4010</v>
      </c>
      <c r="G339">
        <v>95</v>
      </c>
      <c r="H339" t="s">
        <v>4011</v>
      </c>
      <c r="I339">
        <v>0</v>
      </c>
      <c r="J339">
        <v>0.50345253019720215</v>
      </c>
      <c r="K339">
        <v>0</v>
      </c>
      <c r="M339">
        <v>0</v>
      </c>
      <c r="O339">
        <v>200000</v>
      </c>
      <c r="R339" t="s">
        <v>162</v>
      </c>
      <c r="S339">
        <v>0</v>
      </c>
      <c r="T339">
        <v>2.7702685073684212E-4</v>
      </c>
      <c r="U339" t="s">
        <v>176</v>
      </c>
      <c r="V339">
        <v>1.9161936315789474E-3</v>
      </c>
      <c r="W339">
        <v>5.6941609955999999E-2</v>
      </c>
      <c r="X339" t="s">
        <v>90</v>
      </c>
      <c r="Y339">
        <v>0</v>
      </c>
      <c r="Z339">
        <v>0</v>
      </c>
      <c r="AA339" t="s">
        <v>90</v>
      </c>
      <c r="AB339">
        <v>0</v>
      </c>
      <c r="AC339">
        <v>5.6941609955999999E-2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Q339" t="s">
        <v>9</v>
      </c>
      <c r="AR339" t="s">
        <v>263</v>
      </c>
      <c r="AS339">
        <v>5.4748389473684211E-2</v>
      </c>
    </row>
    <row r="340" spans="1:45" x14ac:dyDescent="0.15">
      <c r="A340" s="4" t="str">
        <f>HYPERLINK("https://ibp.a2mac1.com/costing(costing:projects/details/9760/material/8754185)","POM adjusted (part)")</f>
        <v>POM adjusted (part)</v>
      </c>
      <c r="B340">
        <v>8754185</v>
      </c>
      <c r="C340">
        <v>12084804</v>
      </c>
      <c r="E340">
        <v>0.02</v>
      </c>
      <c r="F340" t="s">
        <v>478</v>
      </c>
      <c r="G340">
        <v>100</v>
      </c>
      <c r="H340" t="s">
        <v>479</v>
      </c>
      <c r="I340">
        <v>5</v>
      </c>
      <c r="J340">
        <v>0.50345253019720215</v>
      </c>
      <c r="K340">
        <v>0</v>
      </c>
      <c r="L340">
        <v>0</v>
      </c>
      <c r="M340">
        <v>0</v>
      </c>
      <c r="O340">
        <v>200000</v>
      </c>
      <c r="R340" t="s">
        <v>162</v>
      </c>
      <c r="S340">
        <v>0</v>
      </c>
      <c r="T340">
        <v>1.0119999999999999E-4</v>
      </c>
      <c r="U340" t="s">
        <v>176</v>
      </c>
      <c r="V340">
        <v>6.9999999999999999E-4</v>
      </c>
      <c r="W340">
        <v>2.0801199999999999E-2</v>
      </c>
      <c r="X340" t="s">
        <v>90</v>
      </c>
      <c r="Y340">
        <v>0</v>
      </c>
      <c r="Z340">
        <v>0</v>
      </c>
      <c r="AA340" t="s">
        <v>90</v>
      </c>
      <c r="AB340">
        <v>0</v>
      </c>
      <c r="AC340">
        <v>2.0801199999999999E-2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Q340" t="s">
        <v>262</v>
      </c>
      <c r="AR340" t="s">
        <v>263</v>
      </c>
      <c r="AS340">
        <v>0.02</v>
      </c>
    </row>
    <row r="341" spans="1:45" x14ac:dyDescent="0.15">
      <c r="A341" s="4" t="str">
        <f>HYPERLINK("https://ibp.a2mac1.com/costing(costing:projects/details/9760/material/8754186)","POM adjusted (part)")</f>
        <v>POM adjusted (part)</v>
      </c>
      <c r="B341">
        <v>8754186</v>
      </c>
      <c r="C341">
        <v>12084805</v>
      </c>
      <c r="E341">
        <v>0.03</v>
      </c>
      <c r="F341" t="s">
        <v>478</v>
      </c>
      <c r="G341">
        <v>100</v>
      </c>
      <c r="H341" t="s">
        <v>479</v>
      </c>
      <c r="I341">
        <v>5</v>
      </c>
      <c r="J341">
        <v>0.50345253019720215</v>
      </c>
      <c r="K341">
        <v>0</v>
      </c>
      <c r="L341">
        <v>0</v>
      </c>
      <c r="M341">
        <v>0</v>
      </c>
      <c r="O341">
        <v>200000</v>
      </c>
      <c r="R341" t="s">
        <v>162</v>
      </c>
      <c r="S341">
        <v>0</v>
      </c>
      <c r="T341">
        <v>1.518E-4</v>
      </c>
      <c r="U341" t="s">
        <v>176</v>
      </c>
      <c r="V341">
        <v>1.0499999999999999E-3</v>
      </c>
      <c r="W341">
        <v>3.1201799999999998E-2</v>
      </c>
      <c r="X341" t="s">
        <v>90</v>
      </c>
      <c r="Y341">
        <v>0</v>
      </c>
      <c r="Z341">
        <v>0</v>
      </c>
      <c r="AA341" t="s">
        <v>90</v>
      </c>
      <c r="AB341">
        <v>0</v>
      </c>
      <c r="AC341">
        <v>3.1201799999999998E-2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Q341" t="s">
        <v>262</v>
      </c>
      <c r="AR341" t="s">
        <v>263</v>
      </c>
      <c r="AS341">
        <v>0.03</v>
      </c>
    </row>
    <row r="342" spans="1:45" x14ac:dyDescent="0.15">
      <c r="A342" s="4" t="str">
        <f>HYPERLINK("https://ibp.a2mac1.com/costing(costing:projects/details/9760/material/8754187)","PC-ABS adjusted (part)")</f>
        <v>PC-ABS adjusted (part)</v>
      </c>
      <c r="B342">
        <v>8754187</v>
      </c>
      <c r="C342">
        <v>12084806</v>
      </c>
      <c r="E342">
        <v>0.09</v>
      </c>
      <c r="F342" t="s">
        <v>478</v>
      </c>
      <c r="G342">
        <v>100</v>
      </c>
      <c r="H342" t="s">
        <v>479</v>
      </c>
      <c r="I342">
        <v>5</v>
      </c>
      <c r="J342">
        <v>0.50345253019720215</v>
      </c>
      <c r="K342">
        <v>0</v>
      </c>
      <c r="L342">
        <v>0</v>
      </c>
      <c r="M342">
        <v>0</v>
      </c>
      <c r="O342">
        <v>200000</v>
      </c>
      <c r="R342" t="s">
        <v>162</v>
      </c>
      <c r="S342">
        <v>0</v>
      </c>
      <c r="T342">
        <v>4.5540000000000001E-4</v>
      </c>
      <c r="U342" t="s">
        <v>176</v>
      </c>
      <c r="V342">
        <v>3.15E-3</v>
      </c>
      <c r="W342">
        <v>9.3605400000000005E-2</v>
      </c>
      <c r="X342" t="s">
        <v>90</v>
      </c>
      <c r="Y342">
        <v>0</v>
      </c>
      <c r="Z342">
        <v>0</v>
      </c>
      <c r="AA342" t="s">
        <v>90</v>
      </c>
      <c r="AB342">
        <v>0</v>
      </c>
      <c r="AC342">
        <v>9.3605400000000005E-2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Q342" t="s">
        <v>262</v>
      </c>
      <c r="AR342" t="s">
        <v>263</v>
      </c>
      <c r="AS342">
        <v>0.09</v>
      </c>
    </row>
    <row r="343" spans="1:45" x14ac:dyDescent="0.15">
      <c r="A343" s="4" t="str">
        <f>HYPERLINK("https://ibp.a2mac1.com/costing(costing:projects/details/9760/material/8754188)","PC-ABS adjusted (part)")</f>
        <v>PC-ABS adjusted (part)</v>
      </c>
      <c r="B343">
        <v>8754188</v>
      </c>
      <c r="C343">
        <v>12084807</v>
      </c>
      <c r="E343">
        <v>0.06</v>
      </c>
      <c r="F343" t="s">
        <v>478</v>
      </c>
      <c r="G343">
        <v>100</v>
      </c>
      <c r="H343" t="s">
        <v>479</v>
      </c>
      <c r="I343">
        <v>5</v>
      </c>
      <c r="J343">
        <v>0.50345253019720215</v>
      </c>
      <c r="K343">
        <v>0</v>
      </c>
      <c r="L343">
        <v>0</v>
      </c>
      <c r="M343">
        <v>0</v>
      </c>
      <c r="O343">
        <v>200000</v>
      </c>
      <c r="R343" t="s">
        <v>162</v>
      </c>
      <c r="S343">
        <v>0</v>
      </c>
      <c r="T343">
        <v>3.0360000000000001E-4</v>
      </c>
      <c r="U343" t="s">
        <v>176</v>
      </c>
      <c r="V343">
        <v>2.0999999999999999E-3</v>
      </c>
      <c r="W343">
        <v>6.2403599999999997E-2</v>
      </c>
      <c r="X343" t="s">
        <v>90</v>
      </c>
      <c r="Y343">
        <v>0</v>
      </c>
      <c r="Z343">
        <v>0</v>
      </c>
      <c r="AA343" t="s">
        <v>90</v>
      </c>
      <c r="AB343">
        <v>0</v>
      </c>
      <c r="AC343">
        <v>6.2403599999999997E-2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Q343" t="s">
        <v>262</v>
      </c>
      <c r="AR343" t="s">
        <v>263</v>
      </c>
      <c r="AS343">
        <v>0.06</v>
      </c>
    </row>
    <row r="344" spans="1:45" x14ac:dyDescent="0.15">
      <c r="A344" s="4" t="str">
        <f>HYPERLINK("https://ibp.a2mac1.com/costing(costing:projects/details/9760/material/8754189)","PA6-GF20 adjusted (part)")</f>
        <v>PA6-GF20 adjusted (part)</v>
      </c>
      <c r="B344">
        <v>8754189</v>
      </c>
      <c r="C344">
        <v>12084808</v>
      </c>
      <c r="E344">
        <v>0.01</v>
      </c>
      <c r="F344" t="s">
        <v>478</v>
      </c>
      <c r="G344">
        <v>100</v>
      </c>
      <c r="H344" t="s">
        <v>479</v>
      </c>
      <c r="I344">
        <v>5</v>
      </c>
      <c r="J344">
        <v>0.50345253019720215</v>
      </c>
      <c r="K344">
        <v>0</v>
      </c>
      <c r="L344">
        <v>0</v>
      </c>
      <c r="M344">
        <v>0</v>
      </c>
      <c r="O344">
        <v>200000</v>
      </c>
      <c r="R344" t="s">
        <v>162</v>
      </c>
      <c r="S344">
        <v>0</v>
      </c>
      <c r="T344">
        <v>5.0599999999999997E-5</v>
      </c>
      <c r="U344" t="s">
        <v>176</v>
      </c>
      <c r="V344">
        <v>3.5E-4</v>
      </c>
      <c r="W344">
        <v>1.0400599999999999E-2</v>
      </c>
      <c r="X344" t="s">
        <v>90</v>
      </c>
      <c r="Y344">
        <v>0</v>
      </c>
      <c r="Z344">
        <v>0</v>
      </c>
      <c r="AA344" t="s">
        <v>90</v>
      </c>
      <c r="AB344">
        <v>0</v>
      </c>
      <c r="AC344">
        <v>1.0400599999999999E-2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Q344" t="s">
        <v>262</v>
      </c>
      <c r="AR344" t="s">
        <v>263</v>
      </c>
      <c r="AS344">
        <v>0.01</v>
      </c>
    </row>
    <row r="345" spans="1:45" x14ac:dyDescent="0.15">
      <c r="A345" s="4" t="str">
        <f>HYPERLINK("https://ibp.a2mac1.com/costing(costing:projects/details/9760/material/8754099)","PP-EPDM-TD20 adjusted (part)")</f>
        <v>PP-EPDM-TD20 adjusted (part)</v>
      </c>
      <c r="B345">
        <v>8754099</v>
      </c>
      <c r="C345">
        <v>12084736</v>
      </c>
      <c r="E345">
        <v>2.57</v>
      </c>
      <c r="F345" t="s">
        <v>478</v>
      </c>
      <c r="G345">
        <v>100</v>
      </c>
      <c r="H345" t="s">
        <v>479</v>
      </c>
      <c r="I345">
        <v>5</v>
      </c>
      <c r="J345">
        <v>0.50345253019720215</v>
      </c>
      <c r="K345">
        <v>0</v>
      </c>
      <c r="L345">
        <v>0</v>
      </c>
      <c r="M345">
        <v>0</v>
      </c>
      <c r="O345">
        <v>200000</v>
      </c>
      <c r="R345" t="s">
        <v>162</v>
      </c>
      <c r="S345">
        <v>0</v>
      </c>
      <c r="T345">
        <v>1.30042E-2</v>
      </c>
      <c r="U345" t="s">
        <v>176</v>
      </c>
      <c r="V345">
        <v>8.9950000000000002E-2</v>
      </c>
      <c r="W345">
        <v>2.6729541999999999</v>
      </c>
      <c r="X345" t="s">
        <v>90</v>
      </c>
      <c r="Y345">
        <v>0</v>
      </c>
      <c r="Z345">
        <v>0</v>
      </c>
      <c r="AA345" t="s">
        <v>90</v>
      </c>
      <c r="AB345">
        <v>0</v>
      </c>
      <c r="AC345">
        <v>2.6729541999999999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Q345" t="s">
        <v>262</v>
      </c>
      <c r="AR345" t="s">
        <v>263</v>
      </c>
      <c r="AS345">
        <v>2.57</v>
      </c>
    </row>
    <row r="346" spans="1:45" x14ac:dyDescent="0.15">
      <c r="A346" s="4" t="str">
        <f>HYPERLINK("https://ibp.a2mac1.com/costing(costing:projects/details/9760/material/8754100)","PP-EPDM-TD20 adjusted (part)")</f>
        <v>PP-EPDM-TD20 adjusted (part)</v>
      </c>
      <c r="B346">
        <v>8754100</v>
      </c>
      <c r="C346">
        <v>12084737</v>
      </c>
      <c r="E346">
        <v>1</v>
      </c>
      <c r="F346" t="s">
        <v>478</v>
      </c>
      <c r="G346">
        <v>100</v>
      </c>
      <c r="H346" t="s">
        <v>479</v>
      </c>
      <c r="I346">
        <v>5</v>
      </c>
      <c r="J346">
        <v>0.50345253019720215</v>
      </c>
      <c r="K346">
        <v>0</v>
      </c>
      <c r="L346">
        <v>0</v>
      </c>
      <c r="M346">
        <v>0</v>
      </c>
      <c r="O346">
        <v>200000</v>
      </c>
      <c r="R346" t="s">
        <v>162</v>
      </c>
      <c r="S346">
        <v>0</v>
      </c>
      <c r="T346">
        <v>5.0600000000000003E-3</v>
      </c>
      <c r="U346" t="s">
        <v>176</v>
      </c>
      <c r="V346">
        <v>3.5000000000000003E-2</v>
      </c>
      <c r="W346">
        <v>1.04006</v>
      </c>
      <c r="X346" t="s">
        <v>90</v>
      </c>
      <c r="Y346">
        <v>0</v>
      </c>
      <c r="Z346">
        <v>0</v>
      </c>
      <c r="AA346" t="s">
        <v>90</v>
      </c>
      <c r="AB346">
        <v>0</v>
      </c>
      <c r="AC346">
        <v>1.04006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Q346" t="s">
        <v>262</v>
      </c>
      <c r="AR346" t="s">
        <v>263</v>
      </c>
      <c r="AS346">
        <v>1</v>
      </c>
    </row>
    <row r="347" spans="1:45" x14ac:dyDescent="0.15">
      <c r="A347" s="4" t="str">
        <f>HYPERLINK("https://ibp.a2mac1.com/costing(costing:projects/details/9760/material/8754101)","Leather;PP-EPDM-TD20")</f>
        <v>Leather;PP-EPDM-TD20</v>
      </c>
      <c r="B347">
        <v>8754101</v>
      </c>
      <c r="C347">
        <v>12084738</v>
      </c>
      <c r="E347">
        <v>2.16</v>
      </c>
      <c r="F347" t="s">
        <v>478</v>
      </c>
      <c r="G347">
        <v>100</v>
      </c>
      <c r="H347" t="s">
        <v>479</v>
      </c>
      <c r="I347">
        <v>0</v>
      </c>
      <c r="J347">
        <v>0.50345253019720215</v>
      </c>
      <c r="K347">
        <v>0</v>
      </c>
      <c r="L347">
        <v>0</v>
      </c>
      <c r="M347">
        <v>0</v>
      </c>
      <c r="O347">
        <v>200000</v>
      </c>
      <c r="R347" t="s">
        <v>162</v>
      </c>
      <c r="S347">
        <v>0</v>
      </c>
      <c r="T347">
        <v>1.0929599999999999E-2</v>
      </c>
      <c r="U347" t="s">
        <v>176</v>
      </c>
      <c r="V347">
        <v>7.5600000000000001E-2</v>
      </c>
      <c r="W347">
        <v>2.2465296000000001</v>
      </c>
      <c r="X347" t="s">
        <v>177</v>
      </c>
      <c r="Y347">
        <v>0.134791776</v>
      </c>
      <c r="Z347">
        <v>0</v>
      </c>
      <c r="AA347" t="s">
        <v>178</v>
      </c>
      <c r="AB347">
        <v>0.269583552</v>
      </c>
      <c r="AC347">
        <v>2.6509049280000001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Q347" t="s">
        <v>9</v>
      </c>
      <c r="AR347" t="s">
        <v>263</v>
      </c>
      <c r="AS347">
        <v>2.16</v>
      </c>
    </row>
    <row r="348" spans="1:45" x14ac:dyDescent="0.15">
      <c r="A348" s="4" t="str">
        <f>HYPERLINK("https://ibp.a2mac1.com/costing(costing:projects/details/9760/material/8754102)","PP-GF30 adjusted (part)")</f>
        <v>PP-GF30 adjusted (part)</v>
      </c>
      <c r="B348">
        <v>8754102</v>
      </c>
      <c r="C348">
        <v>12084739</v>
      </c>
      <c r="E348">
        <v>0.12</v>
      </c>
      <c r="F348" t="s">
        <v>478</v>
      </c>
      <c r="G348">
        <v>100</v>
      </c>
      <c r="H348" t="s">
        <v>479</v>
      </c>
      <c r="I348">
        <v>30</v>
      </c>
      <c r="J348">
        <v>0.50345253019720215</v>
      </c>
      <c r="K348">
        <v>0</v>
      </c>
      <c r="L348">
        <v>0</v>
      </c>
      <c r="M348">
        <v>0</v>
      </c>
      <c r="O348">
        <v>200000</v>
      </c>
      <c r="R348" t="s">
        <v>162</v>
      </c>
      <c r="S348">
        <v>0</v>
      </c>
      <c r="T348">
        <v>6.0720000000000001E-4</v>
      </c>
      <c r="U348" t="s">
        <v>176</v>
      </c>
      <c r="V348">
        <v>4.1999999999999997E-3</v>
      </c>
      <c r="W348">
        <v>0.12480719999999999</v>
      </c>
      <c r="X348" t="s">
        <v>90</v>
      </c>
      <c r="Y348">
        <v>0</v>
      </c>
      <c r="Z348">
        <v>0</v>
      </c>
      <c r="AA348" t="s">
        <v>90</v>
      </c>
      <c r="AB348">
        <v>0</v>
      </c>
      <c r="AC348">
        <v>0.12480719999999999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Q348" t="s">
        <v>262</v>
      </c>
      <c r="AR348" t="s">
        <v>263</v>
      </c>
      <c r="AS348">
        <v>0.12</v>
      </c>
    </row>
    <row r="349" spans="1:45" x14ac:dyDescent="0.15">
      <c r="A349" s="4" t="str">
        <f>HYPERLINK("https://ibp.a2mac1.com/costing(costing:projects/details/9760/material/8754103)","PP-PET adjusted (part)")</f>
        <v>PP-PET adjusted (part)</v>
      </c>
      <c r="B349">
        <v>8754103</v>
      </c>
      <c r="C349">
        <v>12084740</v>
      </c>
      <c r="E349">
        <v>0.55000000000000004</v>
      </c>
      <c r="F349" t="s">
        <v>478</v>
      </c>
      <c r="G349">
        <v>100</v>
      </c>
      <c r="H349" t="s">
        <v>479</v>
      </c>
      <c r="I349">
        <v>5</v>
      </c>
      <c r="J349">
        <v>0.50345253019720215</v>
      </c>
      <c r="K349">
        <v>0</v>
      </c>
      <c r="L349">
        <v>0</v>
      </c>
      <c r="M349">
        <v>0</v>
      </c>
      <c r="O349">
        <v>200000</v>
      </c>
      <c r="R349" t="s">
        <v>162</v>
      </c>
      <c r="S349">
        <v>0</v>
      </c>
      <c r="T349">
        <v>2.7829999999999999E-3</v>
      </c>
      <c r="U349" t="s">
        <v>176</v>
      </c>
      <c r="V349">
        <v>1.925E-2</v>
      </c>
      <c r="W349">
        <v>0.57203300000000001</v>
      </c>
      <c r="X349" t="s">
        <v>177</v>
      </c>
      <c r="Y349">
        <v>3.4321980000000002E-2</v>
      </c>
      <c r="Z349">
        <v>0</v>
      </c>
      <c r="AA349" t="s">
        <v>178</v>
      </c>
      <c r="AB349">
        <v>6.8643960000000004E-2</v>
      </c>
      <c r="AC349">
        <v>0.67499894000000005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Q349" t="s">
        <v>262</v>
      </c>
      <c r="AR349" t="s">
        <v>263</v>
      </c>
      <c r="AS349">
        <v>0.55000000000000004</v>
      </c>
    </row>
    <row r="350" spans="1:45" x14ac:dyDescent="0.15">
      <c r="A350" s="4" t="str">
        <f>HYPERLINK("https://ibp.a2mac1.com/costing(costing:projects/details/9760/material/8754190)","PC-ABS adjusted (part)")</f>
        <v>PC-ABS adjusted (part)</v>
      </c>
      <c r="B350">
        <v>8754190</v>
      </c>
      <c r="C350">
        <v>12084809</v>
      </c>
      <c r="E350">
        <v>0.55000000000000004</v>
      </c>
      <c r="F350" t="s">
        <v>478</v>
      </c>
      <c r="G350">
        <v>100</v>
      </c>
      <c r="H350" t="s">
        <v>479</v>
      </c>
      <c r="I350">
        <v>5</v>
      </c>
      <c r="J350">
        <v>0.50345253019720215</v>
      </c>
      <c r="K350">
        <v>0</v>
      </c>
      <c r="L350">
        <v>0</v>
      </c>
      <c r="M350">
        <v>0</v>
      </c>
      <c r="O350">
        <v>200000</v>
      </c>
      <c r="R350" t="s">
        <v>162</v>
      </c>
      <c r="S350">
        <v>0</v>
      </c>
      <c r="T350">
        <v>2.7829999999999999E-3</v>
      </c>
      <c r="U350" t="s">
        <v>176</v>
      </c>
      <c r="V350">
        <v>1.925E-2</v>
      </c>
      <c r="W350">
        <v>0.57203300000000001</v>
      </c>
      <c r="X350" t="s">
        <v>90</v>
      </c>
      <c r="Y350">
        <v>0</v>
      </c>
      <c r="Z350">
        <v>0</v>
      </c>
      <c r="AA350" t="s">
        <v>90</v>
      </c>
      <c r="AB350">
        <v>0</v>
      </c>
      <c r="AC350">
        <v>0.57203300000000001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Q350" t="s">
        <v>262</v>
      </c>
      <c r="AR350" t="s">
        <v>263</v>
      </c>
      <c r="AS350">
        <v>0.55000000000000004</v>
      </c>
    </row>
    <row r="351" spans="1:45" x14ac:dyDescent="0.15">
      <c r="A351" s="4" t="str">
        <f>HYPERLINK("https://ibp.a2mac1.com/costing(costing:projects/details/9760/material/8754191)","PC-ABS;Leather")</f>
        <v>PC-ABS;Leather</v>
      </c>
      <c r="B351">
        <v>8754191</v>
      </c>
      <c r="C351">
        <v>12084810</v>
      </c>
      <c r="E351">
        <v>0.35</v>
      </c>
      <c r="F351" t="s">
        <v>478</v>
      </c>
      <c r="G351">
        <v>100</v>
      </c>
      <c r="H351" t="s">
        <v>479</v>
      </c>
      <c r="I351">
        <v>0</v>
      </c>
      <c r="J351">
        <v>0.50345253019720215</v>
      </c>
      <c r="K351">
        <v>0</v>
      </c>
      <c r="L351">
        <v>0</v>
      </c>
      <c r="M351">
        <v>0</v>
      </c>
      <c r="O351">
        <v>200000</v>
      </c>
      <c r="R351" t="s">
        <v>162</v>
      </c>
      <c r="S351">
        <v>0</v>
      </c>
      <c r="T351">
        <v>1.771E-3</v>
      </c>
      <c r="U351" t="s">
        <v>176</v>
      </c>
      <c r="V351">
        <v>1.225E-2</v>
      </c>
      <c r="W351">
        <v>0.36402099999999998</v>
      </c>
      <c r="X351" t="s">
        <v>90</v>
      </c>
      <c r="Y351">
        <v>0</v>
      </c>
      <c r="Z351">
        <v>0</v>
      </c>
      <c r="AA351" t="s">
        <v>90</v>
      </c>
      <c r="AB351">
        <v>0</v>
      </c>
      <c r="AC351">
        <v>0.36402099999999998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Q351" t="s">
        <v>9</v>
      </c>
      <c r="AR351" t="s">
        <v>263</v>
      </c>
      <c r="AS351">
        <v>0.35</v>
      </c>
    </row>
    <row r="352" spans="1:45" x14ac:dyDescent="0.15">
      <c r="A352" s="4" t="str">
        <f>HYPERLINK("https://ibp.a2mac1.com/costing(costing:projects/details/9760/material/8754192)","PC-ABS adjusted (part)")</f>
        <v>PC-ABS adjusted (part)</v>
      </c>
      <c r="B352">
        <v>8754192</v>
      </c>
      <c r="C352">
        <v>12084811</v>
      </c>
      <c r="E352">
        <v>0.84</v>
      </c>
      <c r="F352" t="s">
        <v>478</v>
      </c>
      <c r="G352">
        <v>100</v>
      </c>
      <c r="H352" t="s">
        <v>479</v>
      </c>
      <c r="I352">
        <v>5</v>
      </c>
      <c r="J352">
        <v>0.50345253019720215</v>
      </c>
      <c r="K352">
        <v>0</v>
      </c>
      <c r="L352">
        <v>0</v>
      </c>
      <c r="M352">
        <v>0</v>
      </c>
      <c r="O352">
        <v>200000</v>
      </c>
      <c r="R352" t="s">
        <v>162</v>
      </c>
      <c r="S352">
        <v>0</v>
      </c>
      <c r="T352">
        <v>4.2503999999999997E-3</v>
      </c>
      <c r="U352" t="s">
        <v>176</v>
      </c>
      <c r="V352">
        <v>2.9399999999999999E-2</v>
      </c>
      <c r="W352">
        <v>0.87365040000000005</v>
      </c>
      <c r="X352" t="s">
        <v>90</v>
      </c>
      <c r="Y352">
        <v>0</v>
      </c>
      <c r="Z352">
        <v>0</v>
      </c>
      <c r="AA352" t="s">
        <v>90</v>
      </c>
      <c r="AB352">
        <v>0</v>
      </c>
      <c r="AC352">
        <v>0.87365040000000005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Q352" t="s">
        <v>262</v>
      </c>
      <c r="AR352" t="s">
        <v>263</v>
      </c>
      <c r="AS352">
        <v>0.84</v>
      </c>
    </row>
    <row r="353" spans="1:45" x14ac:dyDescent="0.15">
      <c r="A353" s="4" t="str">
        <f>HYPERLINK("https://ibp.a2mac1.com/costing(costing:projects/details/9760/material/8753845)","PP-LGF20 adjusted (part)")</f>
        <v>PP-LGF20 adjusted (part)</v>
      </c>
      <c r="B353">
        <v>8753845</v>
      </c>
      <c r="C353">
        <v>12084573</v>
      </c>
      <c r="E353">
        <v>5.83</v>
      </c>
      <c r="F353" t="s">
        <v>478</v>
      </c>
      <c r="G353">
        <v>100</v>
      </c>
      <c r="H353" t="s">
        <v>479</v>
      </c>
      <c r="I353">
        <v>5</v>
      </c>
      <c r="J353">
        <v>0.50345253019720215</v>
      </c>
      <c r="K353">
        <v>0</v>
      </c>
      <c r="L353">
        <v>0</v>
      </c>
      <c r="M353">
        <v>0</v>
      </c>
      <c r="O353">
        <v>200000</v>
      </c>
      <c r="R353" t="s">
        <v>162</v>
      </c>
      <c r="S353">
        <v>0</v>
      </c>
      <c r="T353">
        <v>2.94998E-2</v>
      </c>
      <c r="U353" t="s">
        <v>176</v>
      </c>
      <c r="V353">
        <v>0.20405000000000001</v>
      </c>
      <c r="W353">
        <v>6.0635497999999997</v>
      </c>
      <c r="X353" t="s">
        <v>90</v>
      </c>
      <c r="Y353">
        <v>0</v>
      </c>
      <c r="Z353">
        <v>0</v>
      </c>
      <c r="AA353" t="s">
        <v>90</v>
      </c>
      <c r="AB353">
        <v>0</v>
      </c>
      <c r="AC353">
        <v>6.0635497999999997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Q353" t="s">
        <v>262</v>
      </c>
      <c r="AR353" t="s">
        <v>263</v>
      </c>
      <c r="AS353">
        <v>5.83</v>
      </c>
    </row>
    <row r="354" spans="1:45" x14ac:dyDescent="0.15">
      <c r="A354" s="4" t="str">
        <f>HYPERLINK("https://ibp.a2mac1.com/costing(costing:projects/details/9760/material/8753919)","&gt;EVA;PU;EPP&lt;")</f>
        <v>&gt;EVA;PU;EPP&lt;</v>
      </c>
      <c r="B354">
        <v>8753919</v>
      </c>
      <c r="C354">
        <v>12084603</v>
      </c>
      <c r="E354">
        <v>4.0599999999999996</v>
      </c>
      <c r="F354" t="s">
        <v>478</v>
      </c>
      <c r="G354">
        <v>100</v>
      </c>
      <c r="H354" t="s">
        <v>479</v>
      </c>
      <c r="I354">
        <v>0</v>
      </c>
      <c r="J354">
        <v>0.50345253019720215</v>
      </c>
      <c r="K354">
        <v>0</v>
      </c>
      <c r="L354">
        <v>0</v>
      </c>
      <c r="M354">
        <v>0</v>
      </c>
      <c r="O354">
        <v>200000</v>
      </c>
      <c r="R354" t="s">
        <v>162</v>
      </c>
      <c r="S354">
        <v>0</v>
      </c>
      <c r="T354">
        <v>2.0543599999999999E-2</v>
      </c>
      <c r="U354" t="s">
        <v>176</v>
      </c>
      <c r="V354">
        <v>0.1421</v>
      </c>
      <c r="W354">
        <v>4.2226435999999996</v>
      </c>
      <c r="X354" t="s">
        <v>177</v>
      </c>
      <c r="Y354">
        <v>0.25335861599999998</v>
      </c>
      <c r="Z354">
        <v>0</v>
      </c>
      <c r="AA354" t="s">
        <v>178</v>
      </c>
      <c r="AB354">
        <v>0.50671723199999996</v>
      </c>
      <c r="AC354">
        <v>4.9827194480000001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Q354" t="s">
        <v>9</v>
      </c>
      <c r="AR354" t="s">
        <v>263</v>
      </c>
      <c r="AS354">
        <v>4.0599999999999996</v>
      </c>
    </row>
    <row r="355" spans="1:45" x14ac:dyDescent="0.15">
      <c r="A355" s="4" t="str">
        <f>HYPERLINK("https://ibp.a2mac1.com/costing(costing:projects/details/9760/material/8753920)","&gt;EVA;PU;EPP&lt;")</f>
        <v>&gt;EVA;PU;EPP&lt;</v>
      </c>
      <c r="B355">
        <v>8753920</v>
      </c>
      <c r="C355">
        <v>12084604</v>
      </c>
      <c r="E355">
        <v>4.0599999999999996</v>
      </c>
      <c r="F355" t="s">
        <v>478</v>
      </c>
      <c r="G355">
        <v>100</v>
      </c>
      <c r="H355" t="s">
        <v>479</v>
      </c>
      <c r="I355">
        <v>0</v>
      </c>
      <c r="J355">
        <v>0.50345253019720215</v>
      </c>
      <c r="K355">
        <v>0</v>
      </c>
      <c r="L355">
        <v>0</v>
      </c>
      <c r="M355">
        <v>0</v>
      </c>
      <c r="O355">
        <v>200000</v>
      </c>
      <c r="R355" t="s">
        <v>162</v>
      </c>
      <c r="S355">
        <v>0</v>
      </c>
      <c r="T355">
        <v>2.0543599999999999E-2</v>
      </c>
      <c r="U355" t="s">
        <v>176</v>
      </c>
      <c r="V355">
        <v>0.1421</v>
      </c>
      <c r="W355">
        <v>4.2226435999999996</v>
      </c>
      <c r="X355" t="s">
        <v>177</v>
      </c>
      <c r="Y355">
        <v>0.25335861599999998</v>
      </c>
      <c r="Z355">
        <v>0</v>
      </c>
      <c r="AA355" t="s">
        <v>178</v>
      </c>
      <c r="AB355">
        <v>0.50671723199999996</v>
      </c>
      <c r="AC355">
        <v>4.9827194480000001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Q355" t="s">
        <v>9</v>
      </c>
      <c r="AR355" t="s">
        <v>263</v>
      </c>
      <c r="AS355">
        <v>4.0599999999999996</v>
      </c>
    </row>
    <row r="356" spans="1:45" x14ac:dyDescent="0.15">
      <c r="A356" s="4" t="str">
        <f>HYPERLINK("https://ibp.a2mac1.com/costing(costing:projects/details/9760/material/8753921)","PUR")</f>
        <v>PUR</v>
      </c>
      <c r="B356">
        <v>8753921</v>
      </c>
      <c r="C356">
        <v>12084605</v>
      </c>
      <c r="E356">
        <v>3.37662</v>
      </c>
      <c r="F356" t="s">
        <v>4085</v>
      </c>
      <c r="G356">
        <v>95</v>
      </c>
      <c r="H356" t="s">
        <v>4086</v>
      </c>
      <c r="I356">
        <v>5</v>
      </c>
      <c r="J356">
        <v>0.50345253019720215</v>
      </c>
      <c r="K356">
        <v>0</v>
      </c>
      <c r="M356">
        <v>0</v>
      </c>
      <c r="O356">
        <v>200000</v>
      </c>
      <c r="R356" t="s">
        <v>162</v>
      </c>
      <c r="S356">
        <v>1.6705383157894736E-3</v>
      </c>
      <c r="T356">
        <v>3.3811695511578948E-3</v>
      </c>
      <c r="U356" t="s">
        <v>176</v>
      </c>
      <c r="V356">
        <v>2.3387536421052631E-2</v>
      </c>
      <c r="W356">
        <v>0.69331349397221054</v>
      </c>
      <c r="X356" t="s">
        <v>177</v>
      </c>
      <c r="Y356">
        <v>4.159880963833263E-2</v>
      </c>
      <c r="Z356">
        <v>0</v>
      </c>
      <c r="AA356" t="s">
        <v>178</v>
      </c>
      <c r="AB356">
        <v>8.3197619276665261E-2</v>
      </c>
      <c r="AC356">
        <v>0.81810992288720841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Q356" t="s">
        <v>262</v>
      </c>
      <c r="AR356" t="s">
        <v>263</v>
      </c>
      <c r="AS356">
        <v>0.6682153263157895</v>
      </c>
    </row>
    <row r="357" spans="1:45" x14ac:dyDescent="0.15">
      <c r="A357" s="4" t="str">
        <f>HYPERLINK("https://ibp.a2mac1.com/costing(costing:projects/details/9760/material/8753922)","PUR")</f>
        <v>PUR</v>
      </c>
      <c r="B357">
        <v>8753922</v>
      </c>
      <c r="C357">
        <v>12084606</v>
      </c>
      <c r="E357">
        <v>3.37662</v>
      </c>
      <c r="F357" t="s">
        <v>4091</v>
      </c>
      <c r="G357">
        <v>95</v>
      </c>
      <c r="H357" t="s">
        <v>4092</v>
      </c>
      <c r="I357">
        <v>5</v>
      </c>
      <c r="J357">
        <v>0.50345253019720215</v>
      </c>
      <c r="K357">
        <v>0</v>
      </c>
      <c r="M357">
        <v>0</v>
      </c>
      <c r="O357">
        <v>200000</v>
      </c>
      <c r="R357" t="s">
        <v>162</v>
      </c>
      <c r="S357">
        <v>2.2303463684210526E-3</v>
      </c>
      <c r="T357">
        <v>4.5142210496842104E-3</v>
      </c>
      <c r="U357" t="s">
        <v>176</v>
      </c>
      <c r="V357">
        <v>3.1224849157894738E-2</v>
      </c>
      <c r="W357">
        <v>0.92564727120757895</v>
      </c>
      <c r="X357" t="s">
        <v>177</v>
      </c>
      <c r="Y357">
        <v>5.5538836272454734E-2</v>
      </c>
      <c r="Z357">
        <v>0</v>
      </c>
      <c r="AA357" t="s">
        <v>178</v>
      </c>
      <c r="AB357">
        <v>0.11107767254490947</v>
      </c>
      <c r="AC357">
        <v>1.0922637800249431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Q357" t="s">
        <v>262</v>
      </c>
      <c r="AR357" t="s">
        <v>263</v>
      </c>
      <c r="AS357">
        <v>0.89213854736842102</v>
      </c>
    </row>
    <row r="358" spans="1:45" x14ac:dyDescent="0.15">
      <c r="A358" s="4" t="str">
        <f>HYPERLINK("https://ibp.a2mac1.com/costing(costing:projects/details/9760/material/8753923)","PUR")</f>
        <v>PUR</v>
      </c>
      <c r="B358">
        <v>8753923</v>
      </c>
      <c r="C358">
        <v>12084607</v>
      </c>
      <c r="E358">
        <v>3.37662</v>
      </c>
      <c r="F358" t="s">
        <v>4096</v>
      </c>
      <c r="G358">
        <v>95</v>
      </c>
      <c r="H358" t="s">
        <v>4097</v>
      </c>
      <c r="I358">
        <v>5</v>
      </c>
      <c r="J358">
        <v>0.50345253019720215</v>
      </c>
      <c r="K358">
        <v>0</v>
      </c>
      <c r="M358">
        <v>0</v>
      </c>
      <c r="O358">
        <v>200000</v>
      </c>
      <c r="R358" t="s">
        <v>162</v>
      </c>
      <c r="S358">
        <v>3.8297979473684209E-3</v>
      </c>
      <c r="T358">
        <v>7.7515110454736838E-3</v>
      </c>
      <c r="U358" t="s">
        <v>176</v>
      </c>
      <c r="V358">
        <v>5.3617171263157896E-2</v>
      </c>
      <c r="W358">
        <v>1.5894580633086315</v>
      </c>
      <c r="X358" t="s">
        <v>177</v>
      </c>
      <c r="Y358">
        <v>9.5367483798517894E-2</v>
      </c>
      <c r="Z358">
        <v>0</v>
      </c>
      <c r="AA358" t="s">
        <v>178</v>
      </c>
      <c r="AB358">
        <v>0.19073496759703579</v>
      </c>
      <c r="AC358">
        <v>1.8755605147041852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Q358" t="s">
        <v>262</v>
      </c>
      <c r="AR358" t="s">
        <v>263</v>
      </c>
      <c r="AS358">
        <v>1.5319191789473685</v>
      </c>
    </row>
    <row r="359" spans="1:45" x14ac:dyDescent="0.15">
      <c r="A359" s="4" t="str">
        <f>HYPERLINK("https://ibp.a2mac1.com/costing(costing:projects/details/9760/material/8753924)","PUR")</f>
        <v>PUR</v>
      </c>
      <c r="B359">
        <v>8753924</v>
      </c>
      <c r="C359">
        <v>12084608</v>
      </c>
      <c r="E359">
        <v>3.37662</v>
      </c>
      <c r="F359" t="s">
        <v>4101</v>
      </c>
      <c r="G359">
        <v>95</v>
      </c>
      <c r="H359" t="s">
        <v>4102</v>
      </c>
      <c r="I359">
        <v>5</v>
      </c>
      <c r="J359">
        <v>0.50345253019720215</v>
      </c>
      <c r="K359">
        <v>0</v>
      </c>
      <c r="L359">
        <v>0</v>
      </c>
      <c r="M359">
        <v>0</v>
      </c>
      <c r="O359">
        <v>200000</v>
      </c>
      <c r="R359" t="s">
        <v>162</v>
      </c>
      <c r="S359">
        <v>3.0211863157894735E-3</v>
      </c>
      <c r="T359">
        <v>6.1148811031578945E-3</v>
      </c>
      <c r="U359" t="s">
        <v>176</v>
      </c>
      <c r="V359">
        <v>4.229660842105263E-2</v>
      </c>
      <c r="W359">
        <v>1.2538648295242105</v>
      </c>
      <c r="X359" t="s">
        <v>177</v>
      </c>
      <c r="Y359">
        <v>7.5231889771452634E-2</v>
      </c>
      <c r="Z359">
        <v>0</v>
      </c>
      <c r="AA359" t="s">
        <v>178</v>
      </c>
      <c r="AB359">
        <v>0.15046377954290527</v>
      </c>
      <c r="AC359">
        <v>1.4795604988385684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Q359" t="s">
        <v>262</v>
      </c>
      <c r="AR359" t="s">
        <v>263</v>
      </c>
      <c r="AS359">
        <v>1.2084745263157894</v>
      </c>
    </row>
    <row r="360" spans="1:45" x14ac:dyDescent="0.15">
      <c r="A360" s="4" t="str">
        <f>HYPERLINK("https://ibp.a2mac1.com/costing(costing:projects/details/9760/material/8753925)","PP-PET adjusted (part)")</f>
        <v>PP-PET adjusted (part)</v>
      </c>
      <c r="B360">
        <v>8753925</v>
      </c>
      <c r="C360">
        <v>12084609</v>
      </c>
      <c r="E360">
        <v>0.82</v>
      </c>
      <c r="F360" t="s">
        <v>478</v>
      </c>
      <c r="G360">
        <v>100</v>
      </c>
      <c r="H360" t="s">
        <v>479</v>
      </c>
      <c r="I360">
        <v>5</v>
      </c>
      <c r="J360">
        <v>0.50345253019720215</v>
      </c>
      <c r="K360">
        <v>0</v>
      </c>
      <c r="L360">
        <v>0</v>
      </c>
      <c r="M360">
        <v>0</v>
      </c>
      <c r="O360">
        <v>200000</v>
      </c>
      <c r="R360" t="s">
        <v>162</v>
      </c>
      <c r="S360">
        <v>0</v>
      </c>
      <c r="T360">
        <v>4.1491999999999996E-3</v>
      </c>
      <c r="U360" t="s">
        <v>176</v>
      </c>
      <c r="V360">
        <v>2.87E-2</v>
      </c>
      <c r="W360">
        <v>0.85284919999999997</v>
      </c>
      <c r="X360" t="s">
        <v>177</v>
      </c>
      <c r="Y360">
        <v>5.1170951999999999E-2</v>
      </c>
      <c r="Z360">
        <v>0</v>
      </c>
      <c r="AA360" t="s">
        <v>178</v>
      </c>
      <c r="AB360">
        <v>0.102341904</v>
      </c>
      <c r="AC360">
        <v>1.0063620559999999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Q360" t="s">
        <v>262</v>
      </c>
      <c r="AR360" t="s">
        <v>263</v>
      </c>
      <c r="AS360">
        <v>0.82</v>
      </c>
    </row>
    <row r="361" spans="1:45" x14ac:dyDescent="0.15">
      <c r="A361" s="4" t="str">
        <f>HYPERLINK("https://ibp.a2mac1.com/costing(costing:projects/details/9760/material/8753926)","PP-PET adjusted (part)")</f>
        <v>PP-PET adjusted (part)</v>
      </c>
      <c r="B361">
        <v>8753926</v>
      </c>
      <c r="C361">
        <v>12084610</v>
      </c>
      <c r="E361">
        <v>0.82</v>
      </c>
      <c r="F361" t="s">
        <v>478</v>
      </c>
      <c r="G361">
        <v>100</v>
      </c>
      <c r="H361" t="s">
        <v>479</v>
      </c>
      <c r="I361">
        <v>5</v>
      </c>
      <c r="J361">
        <v>0.50345253019720215</v>
      </c>
      <c r="K361">
        <v>0</v>
      </c>
      <c r="L361">
        <v>0</v>
      </c>
      <c r="M361">
        <v>0</v>
      </c>
      <c r="O361">
        <v>200000</v>
      </c>
      <c r="R361" t="s">
        <v>162</v>
      </c>
      <c r="S361">
        <v>0</v>
      </c>
      <c r="T361">
        <v>4.1491999999999996E-3</v>
      </c>
      <c r="U361" t="s">
        <v>176</v>
      </c>
      <c r="V361">
        <v>2.87E-2</v>
      </c>
      <c r="W361">
        <v>0.85284919999999997</v>
      </c>
      <c r="X361" t="s">
        <v>177</v>
      </c>
      <c r="Y361">
        <v>5.1170951999999999E-2</v>
      </c>
      <c r="Z361">
        <v>0</v>
      </c>
      <c r="AA361" t="s">
        <v>178</v>
      </c>
      <c r="AB361">
        <v>0.102341904</v>
      </c>
      <c r="AC361">
        <v>1.0063620559999999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Q361" t="s">
        <v>262</v>
      </c>
      <c r="AR361" t="s">
        <v>263</v>
      </c>
      <c r="AS361">
        <v>0.82</v>
      </c>
    </row>
    <row r="362" spans="1:45" x14ac:dyDescent="0.15">
      <c r="A362" s="4" t="str">
        <f>HYPERLINK("https://ibp.a2mac1.com/costing(costing:projects/details/9760/material/8753927)","PUR")</f>
        <v>PUR</v>
      </c>
      <c r="B362">
        <v>8753927</v>
      </c>
      <c r="C362">
        <v>12084611</v>
      </c>
      <c r="E362">
        <v>3.37662</v>
      </c>
      <c r="F362" t="s">
        <v>4112</v>
      </c>
      <c r="G362">
        <v>95</v>
      </c>
      <c r="H362" t="s">
        <v>4113</v>
      </c>
      <c r="I362">
        <v>5</v>
      </c>
      <c r="J362">
        <v>0.50345253019720215</v>
      </c>
      <c r="K362">
        <v>0</v>
      </c>
      <c r="M362">
        <v>0</v>
      </c>
      <c r="O362">
        <v>200000</v>
      </c>
      <c r="R362" t="s">
        <v>162</v>
      </c>
      <c r="S362">
        <v>1.3773055263157895E-3</v>
      </c>
      <c r="T362">
        <v>2.787666385263158E-3</v>
      </c>
      <c r="U362" t="s">
        <v>176</v>
      </c>
      <c r="V362">
        <v>1.9282277368421051E-2</v>
      </c>
      <c r="W362">
        <v>0.57161484875368418</v>
      </c>
      <c r="X362" t="s">
        <v>177</v>
      </c>
      <c r="Y362">
        <v>3.4296890925221056E-2</v>
      </c>
      <c r="Z362">
        <v>0</v>
      </c>
      <c r="AA362" t="s">
        <v>178</v>
      </c>
      <c r="AB362">
        <v>6.8593781850442112E-2</v>
      </c>
      <c r="AC362">
        <v>0.6745055215293474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Q362" t="s">
        <v>262</v>
      </c>
      <c r="AR362" t="s">
        <v>263</v>
      </c>
      <c r="AS362">
        <v>0.55092221052631574</v>
      </c>
    </row>
    <row r="363" spans="1:45" x14ac:dyDescent="0.15">
      <c r="A363" s="4" t="str">
        <f>HYPERLINK("https://ibp.a2mac1.com/costing(costing:projects/details/9760/material/8753928)","PUR")</f>
        <v>PUR</v>
      </c>
      <c r="B363">
        <v>8753928</v>
      </c>
      <c r="C363">
        <v>12084612</v>
      </c>
      <c r="E363">
        <v>3.37662</v>
      </c>
      <c r="F363" t="s">
        <v>4117</v>
      </c>
      <c r="G363">
        <v>95</v>
      </c>
      <c r="H363" t="s">
        <v>4118</v>
      </c>
      <c r="I363">
        <v>5</v>
      </c>
      <c r="J363">
        <v>0.50345253019720215</v>
      </c>
      <c r="K363">
        <v>0</v>
      </c>
      <c r="M363">
        <v>0</v>
      </c>
      <c r="O363">
        <v>200000</v>
      </c>
      <c r="R363" t="s">
        <v>162</v>
      </c>
      <c r="S363">
        <v>2.4258348947368423E-3</v>
      </c>
      <c r="T363">
        <v>4.9098898269473688E-3</v>
      </c>
      <c r="U363" t="s">
        <v>176</v>
      </c>
      <c r="V363">
        <v>3.3961688526315786E-2</v>
      </c>
      <c r="W363">
        <v>1.0067797013532631</v>
      </c>
      <c r="X363" t="s">
        <v>177</v>
      </c>
      <c r="Y363">
        <v>6.0406782081195792E-2</v>
      </c>
      <c r="Z363">
        <v>0</v>
      </c>
      <c r="AA363" t="s">
        <v>178</v>
      </c>
      <c r="AB363">
        <v>0.12081356416239158</v>
      </c>
      <c r="AC363">
        <v>1.1880000475968506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Q363" t="s">
        <v>262</v>
      </c>
      <c r="AR363" t="s">
        <v>263</v>
      </c>
      <c r="AS363">
        <v>0.97033395789473686</v>
      </c>
    </row>
    <row r="364" spans="1:45" x14ac:dyDescent="0.15">
      <c r="A364" s="4" t="str">
        <f>HYPERLINK("https://ibp.a2mac1.com/costing(costing:projects/details/9760/material/8753929)","PP-PET adjusted (part)")</f>
        <v>PP-PET adjusted (part)</v>
      </c>
      <c r="B364">
        <v>8753929</v>
      </c>
      <c r="C364">
        <v>12084613</v>
      </c>
      <c r="E364">
        <v>0.34</v>
      </c>
      <c r="F364" t="s">
        <v>478</v>
      </c>
      <c r="G364">
        <v>100</v>
      </c>
      <c r="H364" t="s">
        <v>479</v>
      </c>
      <c r="I364">
        <v>5</v>
      </c>
      <c r="J364">
        <v>0.50048257265952256</v>
      </c>
      <c r="K364">
        <v>0</v>
      </c>
      <c r="L364">
        <v>0</v>
      </c>
      <c r="M364">
        <v>0</v>
      </c>
      <c r="O364">
        <v>400000</v>
      </c>
      <c r="R364" t="s">
        <v>162</v>
      </c>
      <c r="S364">
        <v>0</v>
      </c>
      <c r="T364">
        <v>1.7102E-3</v>
      </c>
      <c r="U364" t="s">
        <v>176</v>
      </c>
      <c r="V364">
        <v>1.1900000000000001E-2</v>
      </c>
      <c r="W364">
        <v>0.35361019999999999</v>
      </c>
      <c r="X364" t="s">
        <v>177</v>
      </c>
      <c r="Y364">
        <v>2.1216611999999999E-2</v>
      </c>
      <c r="Z364">
        <v>0</v>
      </c>
      <c r="AA364" t="s">
        <v>178</v>
      </c>
      <c r="AB364">
        <v>4.2433223999999999E-2</v>
      </c>
      <c r="AC364">
        <v>0.417260036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Q364" t="s">
        <v>262</v>
      </c>
      <c r="AR364" t="s">
        <v>263</v>
      </c>
      <c r="AS364">
        <v>0.34</v>
      </c>
    </row>
    <row r="365" spans="1:45" x14ac:dyDescent="0.15">
      <c r="A365" s="4" t="str">
        <f>HYPERLINK("https://ibp.a2mac1.com/costing(costing:projects/details/9760/material/8753930)","PP-PET adjusted (part)")</f>
        <v>PP-PET adjusted (part)</v>
      </c>
      <c r="B365">
        <v>8753930</v>
      </c>
      <c r="C365">
        <v>12084614</v>
      </c>
      <c r="E365">
        <v>0.59</v>
      </c>
      <c r="F365" t="s">
        <v>478</v>
      </c>
      <c r="G365">
        <v>100</v>
      </c>
      <c r="H365" t="s">
        <v>479</v>
      </c>
      <c r="I365">
        <v>5</v>
      </c>
      <c r="J365">
        <v>0.50048257265952256</v>
      </c>
      <c r="K365">
        <v>0</v>
      </c>
      <c r="L365">
        <v>0</v>
      </c>
      <c r="M365">
        <v>0</v>
      </c>
      <c r="O365">
        <v>400000</v>
      </c>
      <c r="R365" t="s">
        <v>162</v>
      </c>
      <c r="S365">
        <v>0</v>
      </c>
      <c r="T365">
        <v>2.9677000000000002E-3</v>
      </c>
      <c r="U365" t="s">
        <v>176</v>
      </c>
      <c r="V365">
        <v>2.0650000000000002E-2</v>
      </c>
      <c r="W365">
        <v>0.61361770000000004</v>
      </c>
      <c r="X365" t="s">
        <v>177</v>
      </c>
      <c r="Y365">
        <v>3.6817061999999998E-2</v>
      </c>
      <c r="Z365">
        <v>0</v>
      </c>
      <c r="AA365" t="s">
        <v>178</v>
      </c>
      <c r="AB365">
        <v>7.3634123999999995E-2</v>
      </c>
      <c r="AC365">
        <v>0.72406888599999997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Q365" t="s">
        <v>262</v>
      </c>
      <c r="AR365" t="s">
        <v>263</v>
      </c>
      <c r="AS365">
        <v>0.59</v>
      </c>
    </row>
    <row r="366" spans="1:45" x14ac:dyDescent="0.15">
      <c r="A366" s="4" t="str">
        <f>HYPERLINK("https://ibp.a2mac1.com/costing(costing:projects/details/9760/material/8753931)","PP-PET adjusted (part)")</f>
        <v>PP-PET adjusted (part)</v>
      </c>
      <c r="B366">
        <v>8753931</v>
      </c>
      <c r="C366">
        <v>12084615</v>
      </c>
      <c r="E366">
        <v>0.15</v>
      </c>
      <c r="F366" t="s">
        <v>478</v>
      </c>
      <c r="G366">
        <v>100</v>
      </c>
      <c r="H366" t="s">
        <v>479</v>
      </c>
      <c r="I366">
        <v>5</v>
      </c>
      <c r="J366">
        <v>0.50048257265952256</v>
      </c>
      <c r="K366">
        <v>0</v>
      </c>
      <c r="L366">
        <v>0</v>
      </c>
      <c r="M366">
        <v>0</v>
      </c>
      <c r="O366">
        <v>400000</v>
      </c>
      <c r="R366" t="s">
        <v>162</v>
      </c>
      <c r="S366">
        <v>0</v>
      </c>
      <c r="T366">
        <v>7.5449999999999996E-4</v>
      </c>
      <c r="U366" t="s">
        <v>176</v>
      </c>
      <c r="V366">
        <v>5.2500000000000003E-3</v>
      </c>
      <c r="W366">
        <v>0.15600449999999999</v>
      </c>
      <c r="X366" t="s">
        <v>177</v>
      </c>
      <c r="Y366">
        <v>9.3602700000000004E-3</v>
      </c>
      <c r="Z366">
        <v>0</v>
      </c>
      <c r="AA366" t="s">
        <v>178</v>
      </c>
      <c r="AB366">
        <v>1.8720540000000001E-2</v>
      </c>
      <c r="AC366">
        <v>0.18408531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Q366" t="s">
        <v>262</v>
      </c>
      <c r="AR366" t="s">
        <v>263</v>
      </c>
      <c r="AS366">
        <v>0.15</v>
      </c>
    </row>
    <row r="367" spans="1:45" x14ac:dyDescent="0.15">
      <c r="A367" s="4" t="str">
        <f>HYPERLINK("https://ibp.a2mac1.com/costing(costing:projects/details/9760/material/8753932)","PP-PET adjusted (part)")</f>
        <v>PP-PET adjusted (part)</v>
      </c>
      <c r="B367">
        <v>8753932</v>
      </c>
      <c r="C367">
        <v>12084616</v>
      </c>
      <c r="E367">
        <v>0.33</v>
      </c>
      <c r="F367" t="s">
        <v>478</v>
      </c>
      <c r="G367">
        <v>100</v>
      </c>
      <c r="H367" t="s">
        <v>479</v>
      </c>
      <c r="I367">
        <v>5</v>
      </c>
      <c r="J367">
        <v>0.50048257265952256</v>
      </c>
      <c r="K367">
        <v>0</v>
      </c>
      <c r="L367">
        <v>0</v>
      </c>
      <c r="M367">
        <v>0</v>
      </c>
      <c r="O367">
        <v>400000</v>
      </c>
      <c r="R367" t="s">
        <v>162</v>
      </c>
      <c r="S367">
        <v>0</v>
      </c>
      <c r="T367">
        <v>1.6599E-3</v>
      </c>
      <c r="U367" t="s">
        <v>176</v>
      </c>
      <c r="V367">
        <v>1.155E-2</v>
      </c>
      <c r="W367">
        <v>0.34320990000000001</v>
      </c>
      <c r="X367" t="s">
        <v>177</v>
      </c>
      <c r="Y367">
        <v>2.0592593999999999E-2</v>
      </c>
      <c r="Z367">
        <v>0</v>
      </c>
      <c r="AA367" t="s">
        <v>178</v>
      </c>
      <c r="AB367">
        <v>4.1185187999999998E-2</v>
      </c>
      <c r="AC367">
        <v>0.40498768200000002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Q367" t="s">
        <v>262</v>
      </c>
      <c r="AR367" t="s">
        <v>263</v>
      </c>
      <c r="AS367">
        <v>0.33</v>
      </c>
    </row>
    <row r="368" spans="1:45" x14ac:dyDescent="0.15">
      <c r="A368" s="4" t="str">
        <f>HYPERLINK("https://ibp.a2mac1.com/costing(costing:projects/details/9760/material/8753933)","PP-PET adjusted (part)")</f>
        <v>PP-PET adjusted (part)</v>
      </c>
      <c r="B368">
        <v>8753933</v>
      </c>
      <c r="C368">
        <v>12084617</v>
      </c>
      <c r="E368">
        <v>0.19</v>
      </c>
      <c r="F368" t="s">
        <v>478</v>
      </c>
      <c r="G368">
        <v>100</v>
      </c>
      <c r="H368" t="s">
        <v>479</v>
      </c>
      <c r="I368">
        <v>5</v>
      </c>
      <c r="J368">
        <v>0.50048257265952256</v>
      </c>
      <c r="K368">
        <v>0</v>
      </c>
      <c r="L368">
        <v>0</v>
      </c>
      <c r="M368">
        <v>0</v>
      </c>
      <c r="O368">
        <v>400000</v>
      </c>
      <c r="R368" t="s">
        <v>162</v>
      </c>
      <c r="S368">
        <v>0</v>
      </c>
      <c r="T368">
        <v>9.5569999999999997E-4</v>
      </c>
      <c r="U368" t="s">
        <v>176</v>
      </c>
      <c r="V368">
        <v>6.6499999999999997E-3</v>
      </c>
      <c r="W368">
        <v>0.1976057</v>
      </c>
      <c r="X368" t="s">
        <v>177</v>
      </c>
      <c r="Y368">
        <v>1.1856342000000001E-2</v>
      </c>
      <c r="Z368">
        <v>0</v>
      </c>
      <c r="AA368" t="s">
        <v>178</v>
      </c>
      <c r="AB368">
        <v>2.3712684000000001E-2</v>
      </c>
      <c r="AC368">
        <v>0.233174726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Q368" t="s">
        <v>262</v>
      </c>
      <c r="AR368" t="s">
        <v>263</v>
      </c>
      <c r="AS368">
        <v>0.19</v>
      </c>
    </row>
    <row r="369" spans="1:45" x14ac:dyDescent="0.15">
      <c r="A369" s="4" t="str">
        <f>HYPERLINK("https://ibp.a2mac1.com/costing(costing:projects/details/9760/material/8753934)","PP-PET adjusted (part)")</f>
        <v>PP-PET adjusted (part)</v>
      </c>
      <c r="B369">
        <v>8753934</v>
      </c>
      <c r="C369">
        <v>12084618</v>
      </c>
      <c r="E369">
        <v>7.0000000000000007E-2</v>
      </c>
      <c r="F369" t="s">
        <v>478</v>
      </c>
      <c r="G369">
        <v>100</v>
      </c>
      <c r="H369" t="s">
        <v>479</v>
      </c>
      <c r="I369">
        <v>5</v>
      </c>
      <c r="J369">
        <v>0.50048257265952256</v>
      </c>
      <c r="K369">
        <v>0</v>
      </c>
      <c r="L369">
        <v>0</v>
      </c>
      <c r="M369">
        <v>0</v>
      </c>
      <c r="O369">
        <v>400000</v>
      </c>
      <c r="R369" t="s">
        <v>162</v>
      </c>
      <c r="S369">
        <v>0</v>
      </c>
      <c r="T369">
        <v>3.5209999999999999E-4</v>
      </c>
      <c r="U369" t="s">
        <v>176</v>
      </c>
      <c r="V369">
        <v>2.4499999999999999E-3</v>
      </c>
      <c r="W369">
        <v>7.2802099999999995E-2</v>
      </c>
      <c r="X369" t="s">
        <v>177</v>
      </c>
      <c r="Y369">
        <v>4.368126E-3</v>
      </c>
      <c r="Z369">
        <v>0</v>
      </c>
      <c r="AA369" t="s">
        <v>178</v>
      </c>
      <c r="AB369">
        <v>8.7362519999999999E-3</v>
      </c>
      <c r="AC369">
        <v>8.5906477999999994E-2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Q369" t="s">
        <v>262</v>
      </c>
      <c r="AR369" t="s">
        <v>263</v>
      </c>
      <c r="AS369">
        <v>7.0000000000000007E-2</v>
      </c>
    </row>
    <row r="370" spans="1:45" x14ac:dyDescent="0.15">
      <c r="A370" s="4" t="str">
        <f>HYPERLINK("https://ibp.a2mac1.com/costing(costing:projects/details/9760/material/8753935)","PP-PET adjusted (part)")</f>
        <v>PP-PET adjusted (part)</v>
      </c>
      <c r="B370">
        <v>8753935</v>
      </c>
      <c r="C370">
        <v>12084619</v>
      </c>
      <c r="E370">
        <v>0.52</v>
      </c>
      <c r="F370" t="s">
        <v>478</v>
      </c>
      <c r="G370">
        <v>100</v>
      </c>
      <c r="H370" t="s">
        <v>479</v>
      </c>
      <c r="I370">
        <v>5</v>
      </c>
      <c r="J370">
        <v>0.50345253019720215</v>
      </c>
      <c r="K370">
        <v>0</v>
      </c>
      <c r="L370">
        <v>0</v>
      </c>
      <c r="M370">
        <v>0</v>
      </c>
      <c r="O370">
        <v>200000</v>
      </c>
      <c r="R370" t="s">
        <v>162</v>
      </c>
      <c r="S370">
        <v>0</v>
      </c>
      <c r="T370">
        <v>2.6312000000000002E-3</v>
      </c>
      <c r="U370" t="s">
        <v>176</v>
      </c>
      <c r="V370">
        <v>1.8200000000000001E-2</v>
      </c>
      <c r="W370">
        <v>0.54083119999999996</v>
      </c>
      <c r="X370" t="s">
        <v>177</v>
      </c>
      <c r="Y370">
        <v>3.2449871999999998E-2</v>
      </c>
      <c r="Z370">
        <v>0</v>
      </c>
      <c r="AA370" t="s">
        <v>178</v>
      </c>
      <c r="AB370">
        <v>6.4899743999999995E-2</v>
      </c>
      <c r="AC370">
        <v>0.63818081599999998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Q370" t="s">
        <v>262</v>
      </c>
      <c r="AR370" t="s">
        <v>263</v>
      </c>
      <c r="AS370">
        <v>0.52</v>
      </c>
    </row>
    <row r="371" spans="1:45" x14ac:dyDescent="0.15">
      <c r="A371" s="4" t="str">
        <f>HYPERLINK("https://ibp.a2mac1.com/costing(costing:projects/details/9760/material/8753936)","PP-PET adjusted (part)")</f>
        <v>PP-PET adjusted (part)</v>
      </c>
      <c r="B371">
        <v>8753936</v>
      </c>
      <c r="C371">
        <v>12084620</v>
      </c>
      <c r="E371">
        <v>0.65</v>
      </c>
      <c r="F371" t="s">
        <v>478</v>
      </c>
      <c r="G371">
        <v>100</v>
      </c>
      <c r="H371" t="s">
        <v>479</v>
      </c>
      <c r="I371">
        <v>5</v>
      </c>
      <c r="J371">
        <v>0.50345253019720215</v>
      </c>
      <c r="K371">
        <v>0</v>
      </c>
      <c r="L371">
        <v>0</v>
      </c>
      <c r="M371">
        <v>0</v>
      </c>
      <c r="O371">
        <v>200000</v>
      </c>
      <c r="R371" t="s">
        <v>162</v>
      </c>
      <c r="S371">
        <v>0</v>
      </c>
      <c r="T371">
        <v>3.2889999999999998E-3</v>
      </c>
      <c r="U371" t="s">
        <v>176</v>
      </c>
      <c r="V371">
        <v>2.2749999999999999E-2</v>
      </c>
      <c r="W371">
        <v>0.67603899999999995</v>
      </c>
      <c r="X371" t="s">
        <v>177</v>
      </c>
      <c r="Y371">
        <v>4.0562340000000002E-2</v>
      </c>
      <c r="Z371">
        <v>0</v>
      </c>
      <c r="AA371" t="s">
        <v>178</v>
      </c>
      <c r="AB371">
        <v>8.1124680000000005E-2</v>
      </c>
      <c r="AC371">
        <v>0.79772602000000004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Q371" t="s">
        <v>262</v>
      </c>
      <c r="AR371" t="s">
        <v>263</v>
      </c>
      <c r="AS371">
        <v>0.65</v>
      </c>
    </row>
    <row r="372" spans="1:45" x14ac:dyDescent="0.15">
      <c r="A372" s="4" t="str">
        <f>HYPERLINK("https://ibp.a2mac1.com/costing(costing:projects/details/9760/material/8753937)","PP-PET adjusted (part)")</f>
        <v>PP-PET adjusted (part)</v>
      </c>
      <c r="B372">
        <v>8753937</v>
      </c>
      <c r="C372">
        <v>12084621</v>
      </c>
      <c r="E372">
        <v>0.56999999999999995</v>
      </c>
      <c r="F372" t="s">
        <v>478</v>
      </c>
      <c r="G372">
        <v>100</v>
      </c>
      <c r="H372" t="s">
        <v>479</v>
      </c>
      <c r="I372">
        <v>5</v>
      </c>
      <c r="J372">
        <v>0.50345253019720215</v>
      </c>
      <c r="K372">
        <v>0</v>
      </c>
      <c r="L372">
        <v>0</v>
      </c>
      <c r="M372">
        <v>0</v>
      </c>
      <c r="O372">
        <v>200000</v>
      </c>
      <c r="R372" t="s">
        <v>162</v>
      </c>
      <c r="S372">
        <v>0</v>
      </c>
      <c r="T372">
        <v>2.8842E-3</v>
      </c>
      <c r="U372" t="s">
        <v>176</v>
      </c>
      <c r="V372">
        <v>1.9949999999999999E-2</v>
      </c>
      <c r="W372">
        <v>0.59283419999999998</v>
      </c>
      <c r="X372" t="s">
        <v>177</v>
      </c>
      <c r="Y372">
        <v>3.5570051999999998E-2</v>
      </c>
      <c r="Z372">
        <v>0</v>
      </c>
      <c r="AA372" t="s">
        <v>178</v>
      </c>
      <c r="AB372">
        <v>7.1140103999999996E-2</v>
      </c>
      <c r="AC372">
        <v>0.69954435599999998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Q372" t="s">
        <v>262</v>
      </c>
      <c r="AR372" t="s">
        <v>263</v>
      </c>
      <c r="AS372">
        <v>0.56999999999999995</v>
      </c>
    </row>
    <row r="373" spans="1:45" x14ac:dyDescent="0.15">
      <c r="A373" s="4" t="str">
        <f>HYPERLINK("https://ibp.a2mac1.com/costing(costing:projects/details/9760/material/8753938)","PP-PET adjusted (part)")</f>
        <v>PP-PET adjusted (part)</v>
      </c>
      <c r="B373">
        <v>8753938</v>
      </c>
      <c r="C373">
        <v>12084622</v>
      </c>
      <c r="E373">
        <v>0.06</v>
      </c>
      <c r="F373" t="s">
        <v>478</v>
      </c>
      <c r="G373">
        <v>100</v>
      </c>
      <c r="H373" t="s">
        <v>479</v>
      </c>
      <c r="I373">
        <v>5</v>
      </c>
      <c r="J373">
        <v>0.50345253019720215</v>
      </c>
      <c r="K373">
        <v>0</v>
      </c>
      <c r="L373">
        <v>0</v>
      </c>
      <c r="M373">
        <v>0</v>
      </c>
      <c r="O373">
        <v>200000</v>
      </c>
      <c r="R373" t="s">
        <v>162</v>
      </c>
      <c r="S373">
        <v>0</v>
      </c>
      <c r="T373">
        <v>3.0360000000000001E-4</v>
      </c>
      <c r="U373" t="s">
        <v>176</v>
      </c>
      <c r="V373">
        <v>2.0999999999999999E-3</v>
      </c>
      <c r="W373">
        <v>6.2403599999999997E-2</v>
      </c>
      <c r="X373" t="s">
        <v>177</v>
      </c>
      <c r="Y373">
        <v>3.7442159999999999E-3</v>
      </c>
      <c r="Z373">
        <v>0</v>
      </c>
      <c r="AA373" t="s">
        <v>178</v>
      </c>
      <c r="AB373">
        <v>7.4884319999999997E-3</v>
      </c>
      <c r="AC373">
        <v>7.3636248000000001E-2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Q373" t="s">
        <v>262</v>
      </c>
      <c r="AR373" t="s">
        <v>263</v>
      </c>
      <c r="AS373">
        <v>0.06</v>
      </c>
    </row>
    <row r="374" spans="1:45" x14ac:dyDescent="0.15">
      <c r="A374" s="4" t="str">
        <f>HYPERLINK("https://ibp.a2mac1.com/costing(costing:projects/details/9760/material/8754104)","PP-PET adjusted (part)")</f>
        <v>PP-PET adjusted (part)</v>
      </c>
      <c r="B374">
        <v>8754104</v>
      </c>
      <c r="C374">
        <v>12084741</v>
      </c>
      <c r="E374">
        <v>0.21</v>
      </c>
      <c r="F374" t="s">
        <v>478</v>
      </c>
      <c r="G374">
        <v>100</v>
      </c>
      <c r="H374" t="s">
        <v>479</v>
      </c>
      <c r="I374">
        <v>5</v>
      </c>
      <c r="J374">
        <v>0.50345253019720215</v>
      </c>
      <c r="K374">
        <v>0</v>
      </c>
      <c r="L374">
        <v>0</v>
      </c>
      <c r="M374">
        <v>0</v>
      </c>
      <c r="O374">
        <v>200000</v>
      </c>
      <c r="R374" t="s">
        <v>162</v>
      </c>
      <c r="S374">
        <v>0</v>
      </c>
      <c r="T374">
        <v>1.0625999999999999E-3</v>
      </c>
      <c r="U374" t="s">
        <v>176</v>
      </c>
      <c r="V374">
        <v>7.3499999999999998E-3</v>
      </c>
      <c r="W374">
        <v>0.21841260000000001</v>
      </c>
      <c r="X374" t="s">
        <v>177</v>
      </c>
      <c r="Y374">
        <v>1.3104756E-2</v>
      </c>
      <c r="Z374">
        <v>0</v>
      </c>
      <c r="AA374" t="s">
        <v>178</v>
      </c>
      <c r="AB374">
        <v>2.6209512000000001E-2</v>
      </c>
      <c r="AC374">
        <v>0.257726868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Q374" t="s">
        <v>262</v>
      </c>
      <c r="AR374" t="s">
        <v>263</v>
      </c>
      <c r="AS374">
        <v>0.21</v>
      </c>
    </row>
    <row r="375" spans="1:45" x14ac:dyDescent="0.15">
      <c r="A375" s="4" t="str">
        <f>HYPERLINK("https://ibp.a2mac1.com/costing(costing:projects/details/9760/material/8753939)","PP-PET adjusted (part)")</f>
        <v>PP-PET adjusted (part)</v>
      </c>
      <c r="B375">
        <v>8753939</v>
      </c>
      <c r="C375">
        <v>12084623</v>
      </c>
      <c r="E375">
        <v>0.47</v>
      </c>
      <c r="F375" t="s">
        <v>478</v>
      </c>
      <c r="G375">
        <v>100</v>
      </c>
      <c r="H375" t="s">
        <v>479</v>
      </c>
      <c r="I375">
        <v>5</v>
      </c>
      <c r="J375">
        <v>0.50345253019720215</v>
      </c>
      <c r="K375">
        <v>0</v>
      </c>
      <c r="L375">
        <v>0</v>
      </c>
      <c r="M375">
        <v>0</v>
      </c>
      <c r="O375">
        <v>200000</v>
      </c>
      <c r="R375" t="s">
        <v>162</v>
      </c>
      <c r="S375">
        <v>0</v>
      </c>
      <c r="T375">
        <v>2.3782E-3</v>
      </c>
      <c r="U375" t="s">
        <v>176</v>
      </c>
      <c r="V375">
        <v>1.6449999999999999E-2</v>
      </c>
      <c r="W375">
        <v>0.48882819999999999</v>
      </c>
      <c r="X375" t="s">
        <v>177</v>
      </c>
      <c r="Y375">
        <v>2.9329692000000001E-2</v>
      </c>
      <c r="Z375">
        <v>0</v>
      </c>
      <c r="AA375" t="s">
        <v>178</v>
      </c>
      <c r="AB375">
        <v>5.8659384000000002E-2</v>
      </c>
      <c r="AC375">
        <v>0.57681727599999999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Q375" t="s">
        <v>262</v>
      </c>
      <c r="AR375" t="s">
        <v>263</v>
      </c>
      <c r="AS375">
        <v>0.47</v>
      </c>
    </row>
    <row r="376" spans="1:45" x14ac:dyDescent="0.15">
      <c r="A376" s="4" t="str">
        <f>HYPERLINK("https://ibp.a2mac1.com/costing(costing:projects/details/9760/material/8753940)","PP-PET adjusted (part)")</f>
        <v>PP-PET adjusted (part)</v>
      </c>
      <c r="B376">
        <v>8753940</v>
      </c>
      <c r="C376">
        <v>12084624</v>
      </c>
      <c r="E376">
        <v>0.14000000000000001</v>
      </c>
      <c r="F376" t="s">
        <v>478</v>
      </c>
      <c r="G376">
        <v>100</v>
      </c>
      <c r="H376" t="s">
        <v>479</v>
      </c>
      <c r="I376">
        <v>5</v>
      </c>
      <c r="J376">
        <v>0.50345253019720215</v>
      </c>
      <c r="K376">
        <v>0</v>
      </c>
      <c r="L376">
        <v>0</v>
      </c>
      <c r="M376">
        <v>0</v>
      </c>
      <c r="O376">
        <v>200000</v>
      </c>
      <c r="R376" t="s">
        <v>162</v>
      </c>
      <c r="S376">
        <v>0</v>
      </c>
      <c r="T376">
        <v>7.0839999999999998E-4</v>
      </c>
      <c r="U376" t="s">
        <v>176</v>
      </c>
      <c r="V376">
        <v>4.8999999999999998E-3</v>
      </c>
      <c r="W376">
        <v>0.1456084</v>
      </c>
      <c r="X376" t="s">
        <v>177</v>
      </c>
      <c r="Y376">
        <v>8.7365040000000008E-3</v>
      </c>
      <c r="Z376">
        <v>0</v>
      </c>
      <c r="AA376" t="s">
        <v>178</v>
      </c>
      <c r="AB376">
        <v>1.7473008000000002E-2</v>
      </c>
      <c r="AC376">
        <v>0.17181791199999999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Q376" t="s">
        <v>262</v>
      </c>
      <c r="AR376" t="s">
        <v>263</v>
      </c>
      <c r="AS376">
        <v>0.14000000000000001</v>
      </c>
    </row>
    <row r="377" spans="1:45" x14ac:dyDescent="0.15">
      <c r="A377" s="4" t="str">
        <f>HYPERLINK("https://ibp.a2mac1.com/costing(costing:projects/details/9760/material/8753941)","PP-PET adjusted (part)")</f>
        <v>PP-PET adjusted (part)</v>
      </c>
      <c r="B377">
        <v>8753941</v>
      </c>
      <c r="C377">
        <v>12084625</v>
      </c>
      <c r="E377">
        <v>0.34</v>
      </c>
      <c r="F377" t="s">
        <v>478</v>
      </c>
      <c r="G377">
        <v>100</v>
      </c>
      <c r="H377" t="s">
        <v>479</v>
      </c>
      <c r="I377">
        <v>5</v>
      </c>
      <c r="J377">
        <v>0.50345253019720215</v>
      </c>
      <c r="K377">
        <v>0</v>
      </c>
      <c r="L377">
        <v>0</v>
      </c>
      <c r="M377">
        <v>0</v>
      </c>
      <c r="O377">
        <v>200000</v>
      </c>
      <c r="R377" t="s">
        <v>162</v>
      </c>
      <c r="S377">
        <v>0</v>
      </c>
      <c r="T377">
        <v>1.7204E-3</v>
      </c>
      <c r="U377" t="s">
        <v>176</v>
      </c>
      <c r="V377">
        <v>1.1900000000000001E-2</v>
      </c>
      <c r="W377">
        <v>0.3536204</v>
      </c>
      <c r="X377" t="s">
        <v>177</v>
      </c>
      <c r="Y377">
        <v>2.1217224E-2</v>
      </c>
      <c r="Z377">
        <v>0</v>
      </c>
      <c r="AA377" t="s">
        <v>178</v>
      </c>
      <c r="AB377">
        <v>4.2434448E-2</v>
      </c>
      <c r="AC377">
        <v>0.41727207199999999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Q377" t="s">
        <v>262</v>
      </c>
      <c r="AR377" t="s">
        <v>263</v>
      </c>
      <c r="AS377">
        <v>0.34</v>
      </c>
    </row>
    <row r="378" spans="1:45" x14ac:dyDescent="0.15">
      <c r="A378" s="4" t="str">
        <f>HYPERLINK("https://ibp.a2mac1.com/costing(costing:projects/details/9760/material/8753942)","PP-PET adjusted (part)")</f>
        <v>PP-PET adjusted (part)</v>
      </c>
      <c r="B378">
        <v>8753942</v>
      </c>
      <c r="C378">
        <v>12084626</v>
      </c>
      <c r="E378">
        <v>0.1</v>
      </c>
      <c r="F378" t="s">
        <v>478</v>
      </c>
      <c r="G378">
        <v>100</v>
      </c>
      <c r="H378" t="s">
        <v>479</v>
      </c>
      <c r="I378">
        <v>5</v>
      </c>
      <c r="J378">
        <v>0.50345253019720215</v>
      </c>
      <c r="K378">
        <v>0</v>
      </c>
      <c r="L378">
        <v>0</v>
      </c>
      <c r="M378">
        <v>0</v>
      </c>
      <c r="O378">
        <v>200000</v>
      </c>
      <c r="R378" t="s">
        <v>162</v>
      </c>
      <c r="S378">
        <v>0</v>
      </c>
      <c r="T378">
        <v>5.0600000000000005E-4</v>
      </c>
      <c r="U378" t="s">
        <v>176</v>
      </c>
      <c r="V378">
        <v>3.5000000000000001E-3</v>
      </c>
      <c r="W378">
        <v>0.104006</v>
      </c>
      <c r="X378" t="s">
        <v>177</v>
      </c>
      <c r="Y378">
        <v>6.2403600000000004E-3</v>
      </c>
      <c r="Z378">
        <v>0</v>
      </c>
      <c r="AA378" t="s">
        <v>178</v>
      </c>
      <c r="AB378">
        <v>1.2480720000000001E-2</v>
      </c>
      <c r="AC378">
        <v>0.12272708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Q378" t="s">
        <v>262</v>
      </c>
      <c r="AR378" t="s">
        <v>263</v>
      </c>
      <c r="AS378">
        <v>0.1</v>
      </c>
    </row>
    <row r="379" spans="1:45" x14ac:dyDescent="0.15">
      <c r="A379" s="4" t="str">
        <f>HYPERLINK("https://ibp.a2mac1.com/costing(costing:projects/details/9760/material/8753943)","PP-PET adjusted (part)")</f>
        <v>PP-PET adjusted (part)</v>
      </c>
      <c r="B379">
        <v>8753943</v>
      </c>
      <c r="C379">
        <v>12084627</v>
      </c>
      <c r="E379">
        <v>7.0000000000000007E-2</v>
      </c>
      <c r="F379" t="s">
        <v>478</v>
      </c>
      <c r="G379">
        <v>100</v>
      </c>
      <c r="H379" t="s">
        <v>479</v>
      </c>
      <c r="I379">
        <v>5</v>
      </c>
      <c r="J379">
        <v>0.50345253019720215</v>
      </c>
      <c r="K379">
        <v>0</v>
      </c>
      <c r="L379">
        <v>0</v>
      </c>
      <c r="M379">
        <v>0</v>
      </c>
      <c r="O379">
        <v>200000</v>
      </c>
      <c r="R379" t="s">
        <v>162</v>
      </c>
      <c r="S379">
        <v>0</v>
      </c>
      <c r="T379">
        <v>3.5419999999999999E-4</v>
      </c>
      <c r="U379" t="s">
        <v>176</v>
      </c>
      <c r="V379">
        <v>2.4499999999999999E-3</v>
      </c>
      <c r="W379">
        <v>7.2804199999999999E-2</v>
      </c>
      <c r="X379" t="s">
        <v>177</v>
      </c>
      <c r="Y379">
        <v>4.3682520000000004E-3</v>
      </c>
      <c r="Z379">
        <v>0</v>
      </c>
      <c r="AA379" t="s">
        <v>178</v>
      </c>
      <c r="AB379">
        <v>8.7365040000000008E-3</v>
      </c>
      <c r="AC379">
        <v>8.5908955999999995E-2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Q379" t="s">
        <v>262</v>
      </c>
      <c r="AR379" t="s">
        <v>263</v>
      </c>
      <c r="AS379">
        <v>7.0000000000000007E-2</v>
      </c>
    </row>
    <row r="380" spans="1:45" x14ac:dyDescent="0.15">
      <c r="A380" s="4" t="str">
        <f>HYPERLINK("https://ibp.a2mac1.com/costing(costing:projects/details/9760/material/8753944)","PP-PET adjusted (part)")</f>
        <v>PP-PET adjusted (part)</v>
      </c>
      <c r="B380">
        <v>8753944</v>
      </c>
      <c r="C380">
        <v>12084628</v>
      </c>
      <c r="E380">
        <v>0.15</v>
      </c>
      <c r="F380" t="s">
        <v>478</v>
      </c>
      <c r="G380">
        <v>100</v>
      </c>
      <c r="H380" t="s">
        <v>479</v>
      </c>
      <c r="I380">
        <v>5</v>
      </c>
      <c r="J380">
        <v>0.50345253019720215</v>
      </c>
      <c r="K380">
        <v>0</v>
      </c>
      <c r="L380">
        <v>0</v>
      </c>
      <c r="M380">
        <v>0</v>
      </c>
      <c r="O380">
        <v>200000</v>
      </c>
      <c r="R380" t="s">
        <v>162</v>
      </c>
      <c r="S380">
        <v>0</v>
      </c>
      <c r="T380">
        <v>7.5900000000000002E-4</v>
      </c>
      <c r="U380" t="s">
        <v>176</v>
      </c>
      <c r="V380">
        <v>5.2500000000000003E-3</v>
      </c>
      <c r="W380">
        <v>0.15600900000000001</v>
      </c>
      <c r="X380" t="s">
        <v>177</v>
      </c>
      <c r="Y380">
        <v>9.3605400000000005E-3</v>
      </c>
      <c r="Z380">
        <v>0</v>
      </c>
      <c r="AA380" t="s">
        <v>178</v>
      </c>
      <c r="AB380">
        <v>1.8721080000000001E-2</v>
      </c>
      <c r="AC380">
        <v>0.18409062000000001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Q380" t="s">
        <v>262</v>
      </c>
      <c r="AR380" t="s">
        <v>263</v>
      </c>
      <c r="AS380">
        <v>0.15</v>
      </c>
    </row>
    <row r="381" spans="1:45" x14ac:dyDescent="0.15">
      <c r="A381" s="4" t="str">
        <f>HYPERLINK("https://ibp.a2mac1.com/costing(costing:projects/details/9760/material/8753945)","PP-PET adjusted (part)")</f>
        <v>PP-PET adjusted (part)</v>
      </c>
      <c r="B381">
        <v>8753945</v>
      </c>
      <c r="C381">
        <v>12084629</v>
      </c>
      <c r="E381">
        <v>0.33</v>
      </c>
      <c r="F381" t="s">
        <v>478</v>
      </c>
      <c r="G381">
        <v>100</v>
      </c>
      <c r="H381" t="s">
        <v>479</v>
      </c>
      <c r="I381">
        <v>5</v>
      </c>
      <c r="J381">
        <v>0.50345253019720215</v>
      </c>
      <c r="K381">
        <v>0</v>
      </c>
      <c r="L381">
        <v>0</v>
      </c>
      <c r="M381">
        <v>0</v>
      </c>
      <c r="O381">
        <v>200000</v>
      </c>
      <c r="R381" t="s">
        <v>162</v>
      </c>
      <c r="S381">
        <v>0</v>
      </c>
      <c r="T381">
        <v>1.6697999999999999E-3</v>
      </c>
      <c r="U381" t="s">
        <v>176</v>
      </c>
      <c r="V381">
        <v>1.155E-2</v>
      </c>
      <c r="W381">
        <v>0.34321980000000002</v>
      </c>
      <c r="X381" t="s">
        <v>177</v>
      </c>
      <c r="Y381">
        <v>2.0593187999999998E-2</v>
      </c>
      <c r="Z381">
        <v>0</v>
      </c>
      <c r="AA381" t="s">
        <v>178</v>
      </c>
      <c r="AB381">
        <v>4.1186375999999997E-2</v>
      </c>
      <c r="AC381">
        <v>0.40499936399999997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Q381" t="s">
        <v>262</v>
      </c>
      <c r="AR381" t="s">
        <v>263</v>
      </c>
      <c r="AS381">
        <v>0.33</v>
      </c>
    </row>
    <row r="382" spans="1:45" x14ac:dyDescent="0.15">
      <c r="A382" s="4" t="str">
        <f>HYPERLINK("https://ibp.a2mac1.com/costing(costing:projects/details/9760/material/8753846)","&gt;PET;PUR&lt;")</f>
        <v>&gt;PET;PUR&lt;</v>
      </c>
      <c r="B382">
        <v>8753846</v>
      </c>
      <c r="C382">
        <v>12084574</v>
      </c>
      <c r="E382">
        <v>3.29</v>
      </c>
      <c r="F382" t="s">
        <v>478</v>
      </c>
      <c r="G382">
        <v>100</v>
      </c>
      <c r="H382" t="s">
        <v>479</v>
      </c>
      <c r="I382">
        <v>0</v>
      </c>
      <c r="J382">
        <v>0.50345253019720215</v>
      </c>
      <c r="K382">
        <v>0</v>
      </c>
      <c r="L382">
        <v>0</v>
      </c>
      <c r="M382">
        <v>0</v>
      </c>
      <c r="O382">
        <v>200000</v>
      </c>
      <c r="R382" t="s">
        <v>162</v>
      </c>
      <c r="S382">
        <v>0</v>
      </c>
      <c r="T382">
        <v>1.66474E-2</v>
      </c>
      <c r="U382" t="s">
        <v>176</v>
      </c>
      <c r="V382">
        <v>0.11515</v>
      </c>
      <c r="W382">
        <v>3.4217974</v>
      </c>
      <c r="X382" t="s">
        <v>177</v>
      </c>
      <c r="Y382">
        <v>0.20530784399999999</v>
      </c>
      <c r="Z382">
        <v>0</v>
      </c>
      <c r="AA382" t="s">
        <v>178</v>
      </c>
      <c r="AB382">
        <v>0.41061568799999998</v>
      </c>
      <c r="AC382">
        <v>4.037720932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Q382" t="s">
        <v>9</v>
      </c>
      <c r="AR382" t="s">
        <v>263</v>
      </c>
      <c r="AS382">
        <v>3.29</v>
      </c>
    </row>
    <row r="383" spans="1:45" x14ac:dyDescent="0.15">
      <c r="A383" s="4" t="str">
        <f>HYPERLINK("https://ibp.a2mac1.com/costing(costing:projects/details/9760/material/8753847)","&gt;PET&lt;")</f>
        <v>&gt;PET&lt;</v>
      </c>
      <c r="B383">
        <v>8753847</v>
      </c>
      <c r="C383">
        <v>12084575</v>
      </c>
      <c r="E383">
        <v>20.99</v>
      </c>
      <c r="F383" t="s">
        <v>478</v>
      </c>
      <c r="G383">
        <v>100</v>
      </c>
      <c r="H383" t="s">
        <v>479</v>
      </c>
      <c r="I383">
        <v>0</v>
      </c>
      <c r="J383">
        <v>0.50345253019720215</v>
      </c>
      <c r="K383">
        <v>0</v>
      </c>
      <c r="L383">
        <v>0</v>
      </c>
      <c r="M383">
        <v>0</v>
      </c>
      <c r="O383">
        <v>200000</v>
      </c>
      <c r="R383" t="s">
        <v>162</v>
      </c>
      <c r="S383">
        <v>0</v>
      </c>
      <c r="T383">
        <v>0.1062094</v>
      </c>
      <c r="U383" t="s">
        <v>176</v>
      </c>
      <c r="V383">
        <v>0.73465000000000003</v>
      </c>
      <c r="W383">
        <v>21.830859400000001</v>
      </c>
      <c r="X383" t="s">
        <v>177</v>
      </c>
      <c r="Y383">
        <v>1.3098515639999999</v>
      </c>
      <c r="Z383">
        <v>0</v>
      </c>
      <c r="AA383" t="s">
        <v>178</v>
      </c>
      <c r="AB383">
        <v>2.6197031279999998</v>
      </c>
      <c r="AC383">
        <v>25.760414092000001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Q383" t="s">
        <v>9</v>
      </c>
      <c r="AR383" t="s">
        <v>263</v>
      </c>
      <c r="AS383">
        <v>20.99</v>
      </c>
    </row>
    <row r="384" spans="1:45" x14ac:dyDescent="0.15">
      <c r="A384" s="4" t="str">
        <f>HYPERLINK("https://ibp.a2mac1.com/costing(costing:projects/details/9760/material/8753848)","PP-PET adjusted (part)")</f>
        <v>PP-PET adjusted (part)</v>
      </c>
      <c r="B384">
        <v>8753848</v>
      </c>
      <c r="C384">
        <v>12084576</v>
      </c>
      <c r="E384">
        <v>0.05</v>
      </c>
      <c r="F384" t="s">
        <v>478</v>
      </c>
      <c r="G384">
        <v>100</v>
      </c>
      <c r="H384" t="s">
        <v>479</v>
      </c>
      <c r="I384">
        <v>5</v>
      </c>
      <c r="J384">
        <v>0.50345253019720215</v>
      </c>
      <c r="K384">
        <v>0</v>
      </c>
      <c r="L384">
        <v>0</v>
      </c>
      <c r="M384">
        <v>0</v>
      </c>
      <c r="O384">
        <v>200000</v>
      </c>
      <c r="R384" t="s">
        <v>162</v>
      </c>
      <c r="S384">
        <v>0</v>
      </c>
      <c r="T384">
        <v>2.5300000000000002E-4</v>
      </c>
      <c r="U384" t="s">
        <v>176</v>
      </c>
      <c r="V384">
        <v>1.75E-3</v>
      </c>
      <c r="W384">
        <v>5.2003000000000001E-2</v>
      </c>
      <c r="X384" t="s">
        <v>177</v>
      </c>
      <c r="Y384">
        <v>3.1201800000000002E-3</v>
      </c>
      <c r="Z384">
        <v>0</v>
      </c>
      <c r="AA384" t="s">
        <v>178</v>
      </c>
      <c r="AB384">
        <v>6.2403600000000004E-3</v>
      </c>
      <c r="AC384">
        <v>6.1363540000000001E-2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Q384" t="s">
        <v>262</v>
      </c>
      <c r="AR384" t="s">
        <v>263</v>
      </c>
      <c r="AS384">
        <v>0.05</v>
      </c>
    </row>
    <row r="385" spans="1:45" x14ac:dyDescent="0.15">
      <c r="A385" s="4" t="str">
        <f>HYPERLINK("https://ibp.a2mac1.com/costing(costing:projects/details/9760/material/8753849)","PP-PET adjusted (part)")</f>
        <v>PP-PET adjusted (part)</v>
      </c>
      <c r="B385">
        <v>8753849</v>
      </c>
      <c r="C385">
        <v>12084577</v>
      </c>
      <c r="E385">
        <v>0.06</v>
      </c>
      <c r="F385" t="s">
        <v>478</v>
      </c>
      <c r="G385">
        <v>100</v>
      </c>
      <c r="H385" t="s">
        <v>479</v>
      </c>
      <c r="I385">
        <v>5</v>
      </c>
      <c r="J385">
        <v>0.50345253019720215</v>
      </c>
      <c r="K385">
        <v>0</v>
      </c>
      <c r="L385">
        <v>0</v>
      </c>
      <c r="M385">
        <v>0</v>
      </c>
      <c r="O385">
        <v>200000</v>
      </c>
      <c r="R385" t="s">
        <v>162</v>
      </c>
      <c r="S385">
        <v>0</v>
      </c>
      <c r="T385">
        <v>3.0360000000000001E-4</v>
      </c>
      <c r="U385" t="s">
        <v>176</v>
      </c>
      <c r="V385">
        <v>2.0999999999999999E-3</v>
      </c>
      <c r="W385">
        <v>6.2403599999999997E-2</v>
      </c>
      <c r="X385" t="s">
        <v>177</v>
      </c>
      <c r="Y385">
        <v>3.7442159999999999E-3</v>
      </c>
      <c r="Z385">
        <v>0</v>
      </c>
      <c r="AA385" t="s">
        <v>178</v>
      </c>
      <c r="AB385">
        <v>7.4884319999999997E-3</v>
      </c>
      <c r="AC385">
        <v>7.3636248000000001E-2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Q385" t="s">
        <v>262</v>
      </c>
      <c r="AR385" t="s">
        <v>263</v>
      </c>
      <c r="AS385">
        <v>0.06</v>
      </c>
    </row>
    <row r="386" spans="1:45" x14ac:dyDescent="0.15">
      <c r="A386" s="4" t="str">
        <f>HYPERLINK("https://ibp.a2mac1.com/costing(costing:projects/details/9760/material/8753850)","PP-PET adjusted (part)")</f>
        <v>PP-PET adjusted (part)</v>
      </c>
      <c r="B386">
        <v>8753850</v>
      </c>
      <c r="C386">
        <v>12084578</v>
      </c>
      <c r="E386">
        <v>0.02</v>
      </c>
      <c r="F386" t="s">
        <v>478</v>
      </c>
      <c r="G386">
        <v>100</v>
      </c>
      <c r="H386" t="s">
        <v>479</v>
      </c>
      <c r="I386">
        <v>5</v>
      </c>
      <c r="J386">
        <v>0.50345253019720215</v>
      </c>
      <c r="K386">
        <v>0</v>
      </c>
      <c r="L386">
        <v>0</v>
      </c>
      <c r="M386">
        <v>0</v>
      </c>
      <c r="O386">
        <v>200000</v>
      </c>
      <c r="R386" t="s">
        <v>162</v>
      </c>
      <c r="S386">
        <v>0</v>
      </c>
      <c r="T386">
        <v>1.0119999999999999E-4</v>
      </c>
      <c r="U386" t="s">
        <v>176</v>
      </c>
      <c r="V386">
        <v>6.9999999999999999E-4</v>
      </c>
      <c r="W386">
        <v>2.0801199999999999E-2</v>
      </c>
      <c r="X386" t="s">
        <v>177</v>
      </c>
      <c r="Y386">
        <v>1.248072E-3</v>
      </c>
      <c r="Z386">
        <v>0</v>
      </c>
      <c r="AA386" t="s">
        <v>178</v>
      </c>
      <c r="AB386">
        <v>2.4961440000000001E-3</v>
      </c>
      <c r="AC386">
        <v>2.4545416E-2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Q386" t="s">
        <v>262</v>
      </c>
      <c r="AR386" t="s">
        <v>263</v>
      </c>
      <c r="AS386">
        <v>0.02</v>
      </c>
    </row>
    <row r="387" spans="1:45" x14ac:dyDescent="0.15">
      <c r="A387" s="4" t="str">
        <f>HYPERLINK("https://ibp.a2mac1.com/costing(costing:projects/details/9760/material/8753851)","PP-PET adjusted (part)")</f>
        <v>PP-PET adjusted (part)</v>
      </c>
      <c r="B387">
        <v>8753851</v>
      </c>
      <c r="C387">
        <v>12084579</v>
      </c>
      <c r="E387">
        <v>0.17</v>
      </c>
      <c r="F387" t="s">
        <v>478</v>
      </c>
      <c r="G387">
        <v>100</v>
      </c>
      <c r="H387" t="s">
        <v>479</v>
      </c>
      <c r="I387">
        <v>5</v>
      </c>
      <c r="J387">
        <v>0.50345253019720215</v>
      </c>
      <c r="K387">
        <v>0</v>
      </c>
      <c r="L387">
        <v>0</v>
      </c>
      <c r="M387">
        <v>0</v>
      </c>
      <c r="O387">
        <v>200000</v>
      </c>
      <c r="R387" t="s">
        <v>162</v>
      </c>
      <c r="S387">
        <v>0</v>
      </c>
      <c r="T387">
        <v>8.6019999999999998E-4</v>
      </c>
      <c r="U387" t="s">
        <v>176</v>
      </c>
      <c r="V387">
        <v>5.9500000000000004E-3</v>
      </c>
      <c r="W387">
        <v>0.1768102</v>
      </c>
      <c r="X387" t="s">
        <v>177</v>
      </c>
      <c r="Y387">
        <v>1.0608612E-2</v>
      </c>
      <c r="Z387">
        <v>0</v>
      </c>
      <c r="AA387" t="s">
        <v>178</v>
      </c>
      <c r="AB387">
        <v>2.1217224E-2</v>
      </c>
      <c r="AC387">
        <v>0.208636036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Q387" t="s">
        <v>262</v>
      </c>
      <c r="AR387" t="s">
        <v>263</v>
      </c>
      <c r="AS387">
        <v>0.17</v>
      </c>
    </row>
    <row r="388" spans="1:45" x14ac:dyDescent="0.15">
      <c r="A388" s="4" t="str">
        <f>HYPERLINK("https://ibp.a2mac1.com/costing(costing:projects/details/9760/material/8753852)","PP-PET adjusted (part)")</f>
        <v>PP-PET adjusted (part)</v>
      </c>
      <c r="B388">
        <v>8753852</v>
      </c>
      <c r="C388">
        <v>12084580</v>
      </c>
      <c r="E388">
        <v>7.0000000000000007E-2</v>
      </c>
      <c r="F388" t="s">
        <v>478</v>
      </c>
      <c r="G388">
        <v>100</v>
      </c>
      <c r="H388" t="s">
        <v>479</v>
      </c>
      <c r="I388">
        <v>5</v>
      </c>
      <c r="J388">
        <v>0.50345253019720215</v>
      </c>
      <c r="K388">
        <v>0</v>
      </c>
      <c r="L388">
        <v>0</v>
      </c>
      <c r="M388">
        <v>0</v>
      </c>
      <c r="O388">
        <v>200000</v>
      </c>
      <c r="R388" t="s">
        <v>162</v>
      </c>
      <c r="S388">
        <v>0</v>
      </c>
      <c r="T388">
        <v>3.5419999999999999E-4</v>
      </c>
      <c r="U388" t="s">
        <v>176</v>
      </c>
      <c r="V388">
        <v>2.4499999999999999E-3</v>
      </c>
      <c r="W388">
        <v>7.2804199999999999E-2</v>
      </c>
      <c r="X388" t="s">
        <v>177</v>
      </c>
      <c r="Y388">
        <v>4.3682520000000004E-3</v>
      </c>
      <c r="Z388">
        <v>0</v>
      </c>
      <c r="AA388" t="s">
        <v>178</v>
      </c>
      <c r="AB388">
        <v>8.7365040000000008E-3</v>
      </c>
      <c r="AC388">
        <v>8.5908955999999995E-2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Q388" t="s">
        <v>262</v>
      </c>
      <c r="AR388" t="s">
        <v>263</v>
      </c>
      <c r="AS388">
        <v>7.0000000000000007E-2</v>
      </c>
    </row>
    <row r="389" spans="1:45" x14ac:dyDescent="0.15">
      <c r="A389" s="4" t="str">
        <f>HYPERLINK("https://ibp.a2mac1.com/costing(costing:projects/details/9760/material/8753853)","PP-PET adjusted (part)")</f>
        <v>PP-PET adjusted (part)</v>
      </c>
      <c r="B389">
        <v>8753853</v>
      </c>
      <c r="C389">
        <v>12084581</v>
      </c>
      <c r="E389">
        <v>0.28000000000000003</v>
      </c>
      <c r="F389" t="s">
        <v>478</v>
      </c>
      <c r="G389">
        <v>100</v>
      </c>
      <c r="H389" t="s">
        <v>479</v>
      </c>
      <c r="I389">
        <v>5</v>
      </c>
      <c r="J389">
        <v>0.50345253019720215</v>
      </c>
      <c r="K389">
        <v>0</v>
      </c>
      <c r="L389">
        <v>0</v>
      </c>
      <c r="M389">
        <v>0</v>
      </c>
      <c r="O389">
        <v>200000</v>
      </c>
      <c r="R389" t="s">
        <v>162</v>
      </c>
      <c r="S389">
        <v>0</v>
      </c>
      <c r="T389">
        <v>1.4168E-3</v>
      </c>
      <c r="U389" t="s">
        <v>176</v>
      </c>
      <c r="V389">
        <v>9.7999999999999997E-3</v>
      </c>
      <c r="W389">
        <v>0.2912168</v>
      </c>
      <c r="X389" t="s">
        <v>177</v>
      </c>
      <c r="Y389">
        <v>1.7473008000000002E-2</v>
      </c>
      <c r="Z389">
        <v>0</v>
      </c>
      <c r="AA389" t="s">
        <v>178</v>
      </c>
      <c r="AB389">
        <v>3.4946016000000003E-2</v>
      </c>
      <c r="AC389">
        <v>0.34363582399999998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Q389" t="s">
        <v>262</v>
      </c>
      <c r="AR389" t="s">
        <v>263</v>
      </c>
      <c r="AS389">
        <v>0.28000000000000003</v>
      </c>
    </row>
    <row r="390" spans="1:45" x14ac:dyDescent="0.15">
      <c r="A390" s="4" t="str">
        <f>HYPERLINK("https://ibp.a2mac1.com/costing(costing:projects/details/9760/material/8753854)","PP-PET adjusted (part)")</f>
        <v>PP-PET adjusted (part)</v>
      </c>
      <c r="B390">
        <v>8753854</v>
      </c>
      <c r="C390">
        <v>12084582</v>
      </c>
      <c r="E390">
        <v>0.2</v>
      </c>
      <c r="F390" t="s">
        <v>478</v>
      </c>
      <c r="G390">
        <v>100</v>
      </c>
      <c r="H390" t="s">
        <v>479</v>
      </c>
      <c r="I390">
        <v>5</v>
      </c>
      <c r="J390">
        <v>0.50345253019720215</v>
      </c>
      <c r="K390">
        <v>0</v>
      </c>
      <c r="L390">
        <v>0</v>
      </c>
      <c r="M390">
        <v>0</v>
      </c>
      <c r="O390">
        <v>200000</v>
      </c>
      <c r="R390" t="s">
        <v>162</v>
      </c>
      <c r="S390">
        <v>0</v>
      </c>
      <c r="T390">
        <v>1.0120000000000001E-3</v>
      </c>
      <c r="U390" t="s">
        <v>176</v>
      </c>
      <c r="V390">
        <v>7.0000000000000001E-3</v>
      </c>
      <c r="W390">
        <v>0.208012</v>
      </c>
      <c r="X390" t="s">
        <v>177</v>
      </c>
      <c r="Y390">
        <v>1.2480720000000001E-2</v>
      </c>
      <c r="Z390">
        <v>0</v>
      </c>
      <c r="AA390" t="s">
        <v>178</v>
      </c>
      <c r="AB390">
        <v>2.4961440000000001E-2</v>
      </c>
      <c r="AC390">
        <v>0.24545416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Q390" t="s">
        <v>262</v>
      </c>
      <c r="AR390" t="s">
        <v>263</v>
      </c>
      <c r="AS390">
        <v>0.2</v>
      </c>
    </row>
    <row r="391" spans="1:45" x14ac:dyDescent="0.15">
      <c r="A391" s="4" t="str">
        <f>HYPERLINK("https://ibp.a2mac1.com/costing(costing:projects/details/9760/material/8753855)","&gt;PET;PUR&lt;")</f>
        <v>&gt;PET;PUR&lt;</v>
      </c>
      <c r="B391">
        <v>8753855</v>
      </c>
      <c r="C391">
        <v>12084583</v>
      </c>
      <c r="E391">
        <v>1.63</v>
      </c>
      <c r="F391" t="s">
        <v>478</v>
      </c>
      <c r="G391">
        <v>100</v>
      </c>
      <c r="H391" t="s">
        <v>479</v>
      </c>
      <c r="I391">
        <v>0</v>
      </c>
      <c r="J391">
        <v>0.50345253019720215</v>
      </c>
      <c r="K391">
        <v>0</v>
      </c>
      <c r="L391">
        <v>0</v>
      </c>
      <c r="M391">
        <v>0</v>
      </c>
      <c r="O391">
        <v>200000</v>
      </c>
      <c r="R391" t="s">
        <v>162</v>
      </c>
      <c r="S391">
        <v>0</v>
      </c>
      <c r="T391">
        <v>8.2477999999999996E-3</v>
      </c>
      <c r="U391" t="s">
        <v>176</v>
      </c>
      <c r="V391">
        <v>5.7049999999999997E-2</v>
      </c>
      <c r="W391">
        <v>1.6952978000000001</v>
      </c>
      <c r="X391" t="s">
        <v>177</v>
      </c>
      <c r="Y391">
        <v>0.101717868</v>
      </c>
      <c r="Z391">
        <v>0</v>
      </c>
      <c r="AA391" t="s">
        <v>178</v>
      </c>
      <c r="AB391">
        <v>0.20343573600000001</v>
      </c>
      <c r="AC391">
        <v>2.0004514040000001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Q391" t="s">
        <v>9</v>
      </c>
      <c r="AR391" t="s">
        <v>263</v>
      </c>
      <c r="AS391">
        <v>1.63</v>
      </c>
    </row>
    <row r="392" spans="1:45" x14ac:dyDescent="0.15">
      <c r="A392" s="4" t="str">
        <f>HYPERLINK("https://ibp.a2mac1.com/costing(costing:projects/details/9760/material/8753856)","PP-PET adjusted (part)")</f>
        <v>PP-PET adjusted (part)</v>
      </c>
      <c r="B392">
        <v>8753856</v>
      </c>
      <c r="C392">
        <v>12084584</v>
      </c>
      <c r="E392">
        <v>0.08</v>
      </c>
      <c r="F392" t="s">
        <v>478</v>
      </c>
      <c r="G392">
        <v>100</v>
      </c>
      <c r="H392" t="s">
        <v>479</v>
      </c>
      <c r="I392">
        <v>5</v>
      </c>
      <c r="J392">
        <v>0.50345253019720215</v>
      </c>
      <c r="K392">
        <v>0</v>
      </c>
      <c r="L392">
        <v>0</v>
      </c>
      <c r="M392">
        <v>0</v>
      </c>
      <c r="O392">
        <v>200000</v>
      </c>
      <c r="R392" t="s">
        <v>162</v>
      </c>
      <c r="S392">
        <v>0</v>
      </c>
      <c r="T392">
        <v>4.0479999999999997E-4</v>
      </c>
      <c r="U392" t="s">
        <v>176</v>
      </c>
      <c r="V392">
        <v>2.8E-3</v>
      </c>
      <c r="W392">
        <v>8.3204799999999995E-2</v>
      </c>
      <c r="X392" t="s">
        <v>177</v>
      </c>
      <c r="Y392">
        <v>4.9922880000000001E-3</v>
      </c>
      <c r="Z392">
        <v>0</v>
      </c>
      <c r="AA392" t="s">
        <v>178</v>
      </c>
      <c r="AB392">
        <v>9.9845760000000002E-3</v>
      </c>
      <c r="AC392">
        <v>9.8181664000000002E-2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Q392" t="s">
        <v>262</v>
      </c>
      <c r="AR392" t="s">
        <v>263</v>
      </c>
      <c r="AS392">
        <v>0.08</v>
      </c>
    </row>
    <row r="393" spans="1:45" x14ac:dyDescent="0.15">
      <c r="A393" s="4" t="str">
        <f>HYPERLINK("https://ibp.a2mac1.com/costing(costing:projects/details/9760/material/8753857)","PP-PET adjusted (part)")</f>
        <v>PP-PET adjusted (part)</v>
      </c>
      <c r="B393">
        <v>8753857</v>
      </c>
      <c r="C393">
        <v>12084585</v>
      </c>
      <c r="E393">
        <v>0.08</v>
      </c>
      <c r="F393" t="s">
        <v>478</v>
      </c>
      <c r="G393">
        <v>100</v>
      </c>
      <c r="H393" t="s">
        <v>479</v>
      </c>
      <c r="I393">
        <v>5</v>
      </c>
      <c r="J393">
        <v>0.50345253019720215</v>
      </c>
      <c r="K393">
        <v>0</v>
      </c>
      <c r="L393">
        <v>0</v>
      </c>
      <c r="M393">
        <v>0</v>
      </c>
      <c r="O393">
        <v>200000</v>
      </c>
      <c r="R393" t="s">
        <v>162</v>
      </c>
      <c r="S393">
        <v>0</v>
      </c>
      <c r="T393">
        <v>4.0479999999999997E-4</v>
      </c>
      <c r="U393" t="s">
        <v>176</v>
      </c>
      <c r="V393">
        <v>2.8E-3</v>
      </c>
      <c r="W393">
        <v>8.3204799999999995E-2</v>
      </c>
      <c r="X393" t="s">
        <v>177</v>
      </c>
      <c r="Y393">
        <v>4.9922880000000001E-3</v>
      </c>
      <c r="Z393">
        <v>0</v>
      </c>
      <c r="AA393" t="s">
        <v>178</v>
      </c>
      <c r="AB393">
        <v>9.9845760000000002E-3</v>
      </c>
      <c r="AC393">
        <v>9.8181664000000002E-2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Q393" t="s">
        <v>262</v>
      </c>
      <c r="AR393" t="s">
        <v>263</v>
      </c>
      <c r="AS393">
        <v>0.08</v>
      </c>
    </row>
    <row r="394" spans="1:45" x14ac:dyDescent="0.15">
      <c r="A394" s="4" t="str">
        <f>HYPERLINK("https://ibp.a2mac1.com/costing(costing:projects/details/9760/material/8753946)","PP")</f>
        <v>PP</v>
      </c>
      <c r="B394">
        <v>8753946</v>
      </c>
      <c r="C394">
        <v>12084630</v>
      </c>
      <c r="E394">
        <v>1.0113799999999999</v>
      </c>
      <c r="F394" t="s">
        <v>4232</v>
      </c>
      <c r="G394">
        <v>95</v>
      </c>
      <c r="H394" t="s">
        <v>4233</v>
      </c>
      <c r="I394">
        <v>5</v>
      </c>
      <c r="J394">
        <v>0.50345253019720215</v>
      </c>
      <c r="K394">
        <v>0</v>
      </c>
      <c r="M394">
        <v>0</v>
      </c>
      <c r="O394">
        <v>200000</v>
      </c>
      <c r="R394" t="s">
        <v>162</v>
      </c>
      <c r="S394">
        <v>4.8839007894736844E-3</v>
      </c>
      <c r="T394">
        <v>9.8850151978947375E-3</v>
      </c>
      <c r="U394" t="s">
        <v>176</v>
      </c>
      <c r="V394">
        <v>6.8374611052631581E-2</v>
      </c>
      <c r="W394">
        <v>2.0269360412505262</v>
      </c>
      <c r="X394" t="s">
        <v>90</v>
      </c>
      <c r="Y394">
        <v>0</v>
      </c>
      <c r="Z394">
        <v>0</v>
      </c>
      <c r="AA394" t="s">
        <v>90</v>
      </c>
      <c r="AB394">
        <v>0</v>
      </c>
      <c r="AC394">
        <v>2.0269360412505262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Q394" t="s">
        <v>262</v>
      </c>
      <c r="AR394" t="s">
        <v>263</v>
      </c>
      <c r="AS394">
        <v>1.9535603157894736</v>
      </c>
    </row>
    <row r="395" spans="1:45" x14ac:dyDescent="0.15">
      <c r="A395" s="4" t="str">
        <f>HYPERLINK("https://ibp.a2mac1.com/costing(costing:projects/details/9760/material/8753947)","PC-ABS")</f>
        <v>PC-ABS</v>
      </c>
      <c r="B395">
        <v>8753947</v>
      </c>
      <c r="C395">
        <v>12084631</v>
      </c>
      <c r="E395">
        <v>2.29312</v>
      </c>
      <c r="F395" t="s">
        <v>4238</v>
      </c>
      <c r="G395">
        <v>95</v>
      </c>
      <c r="H395" t="s">
        <v>4239</v>
      </c>
      <c r="I395">
        <v>5</v>
      </c>
      <c r="J395">
        <v>0.50345253019720215</v>
      </c>
      <c r="K395">
        <v>0</v>
      </c>
      <c r="M395">
        <v>0</v>
      </c>
      <c r="O395">
        <v>200000</v>
      </c>
      <c r="R395" t="s">
        <v>162</v>
      </c>
      <c r="S395">
        <v>1.2672505263157895E-3</v>
      </c>
      <c r="T395">
        <v>2.5649150652631578E-3</v>
      </c>
      <c r="U395" t="s">
        <v>176</v>
      </c>
      <c r="V395">
        <v>1.7741507368421054E-2</v>
      </c>
      <c r="W395">
        <v>0.52593938243368421</v>
      </c>
      <c r="X395" t="s">
        <v>90</v>
      </c>
      <c r="Y395">
        <v>0</v>
      </c>
      <c r="Z395">
        <v>0</v>
      </c>
      <c r="AA395" t="s">
        <v>90</v>
      </c>
      <c r="AB395">
        <v>0</v>
      </c>
      <c r="AC395">
        <v>0.52593938243368421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Q395" t="s">
        <v>262</v>
      </c>
      <c r="AR395" t="s">
        <v>263</v>
      </c>
      <c r="AS395">
        <v>0.50690021052631584</v>
      </c>
    </row>
    <row r="396" spans="1:45" x14ac:dyDescent="0.15">
      <c r="A396" s="4" t="str">
        <f>HYPERLINK("https://ibp.a2mac1.com/costing(costing:projects/details/9760/material/8753948)","PC-ABS")</f>
        <v>PC-ABS</v>
      </c>
      <c r="B396">
        <v>8753948</v>
      </c>
      <c r="C396">
        <v>12084632</v>
      </c>
      <c r="E396">
        <v>2.29312</v>
      </c>
      <c r="F396" t="s">
        <v>4243</v>
      </c>
      <c r="G396">
        <v>95</v>
      </c>
      <c r="H396" t="s">
        <v>4244</v>
      </c>
      <c r="I396">
        <v>5</v>
      </c>
      <c r="J396">
        <v>0.50345253019720215</v>
      </c>
      <c r="K396">
        <v>0</v>
      </c>
      <c r="M396">
        <v>0</v>
      </c>
      <c r="O396">
        <v>200000</v>
      </c>
      <c r="R396" t="s">
        <v>162</v>
      </c>
      <c r="S396">
        <v>3.1379536842105263E-4</v>
      </c>
      <c r="T396">
        <v>6.3512182568421056E-4</v>
      </c>
      <c r="U396" t="s">
        <v>176</v>
      </c>
      <c r="V396">
        <v>4.3931351578947366E-3</v>
      </c>
      <c r="W396">
        <v>0.13023260898357894</v>
      </c>
      <c r="X396" t="s">
        <v>177</v>
      </c>
      <c r="Y396">
        <v>7.813956539014736E-3</v>
      </c>
      <c r="Z396">
        <v>0</v>
      </c>
      <c r="AA396" t="s">
        <v>178</v>
      </c>
      <c r="AB396">
        <v>1.5627913078029472E-2</v>
      </c>
      <c r="AC396">
        <v>0.15367447860062317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Q396" t="s">
        <v>262</v>
      </c>
      <c r="AR396" t="s">
        <v>263</v>
      </c>
      <c r="AS396">
        <v>0.12551814736842104</v>
      </c>
    </row>
    <row r="397" spans="1:45" x14ac:dyDescent="0.15">
      <c r="A397" s="4" t="str">
        <f>HYPERLINK("https://ibp.a2mac1.com/costing(costing:projects/details/9760/material/8753949)","PVC + Fabric backing 3mm PU foam")</f>
        <v>PVC + Fabric backing 3mm PU foam</v>
      </c>
      <c r="B397">
        <v>8753949</v>
      </c>
      <c r="C397">
        <v>12084633</v>
      </c>
      <c r="E397">
        <v>4.91</v>
      </c>
      <c r="F397" t="s">
        <v>4249</v>
      </c>
      <c r="G397">
        <v>65</v>
      </c>
      <c r="H397" t="s">
        <v>4250</v>
      </c>
      <c r="I397">
        <v>0</v>
      </c>
      <c r="J397">
        <v>0.50345253019720215</v>
      </c>
      <c r="K397">
        <v>0</v>
      </c>
      <c r="L397">
        <v>0</v>
      </c>
      <c r="M397">
        <v>0</v>
      </c>
      <c r="O397">
        <v>200000</v>
      </c>
      <c r="R397" t="s">
        <v>162</v>
      </c>
      <c r="S397">
        <v>0</v>
      </c>
      <c r="T397">
        <v>8.0267169230769232E-4</v>
      </c>
      <c r="U397" t="s">
        <v>176</v>
      </c>
      <c r="V397">
        <v>5.5520769230769235E-3</v>
      </c>
      <c r="W397">
        <v>0.16498551784615384</v>
      </c>
      <c r="X397" t="s">
        <v>90</v>
      </c>
      <c r="Y397">
        <v>0</v>
      </c>
      <c r="Z397">
        <v>0</v>
      </c>
      <c r="AA397" t="s">
        <v>90</v>
      </c>
      <c r="AB397">
        <v>0</v>
      </c>
      <c r="AC397">
        <v>0.16498551784615384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Q397" t="s">
        <v>9</v>
      </c>
      <c r="AR397" t="s">
        <v>263</v>
      </c>
      <c r="AS397">
        <v>0.15863076923076924</v>
      </c>
    </row>
    <row r="398" spans="1:45" x14ac:dyDescent="0.15">
      <c r="A398" s="4" t="str">
        <f>HYPERLINK("https://ibp.a2mac1.com/costing(costing:projects/details/9760/material/8753950)","PC-ABS")</f>
        <v>PC-ABS</v>
      </c>
      <c r="B398">
        <v>8753950</v>
      </c>
      <c r="C398">
        <v>12084633</v>
      </c>
      <c r="E398">
        <v>2.29312</v>
      </c>
      <c r="F398" t="s">
        <v>4252</v>
      </c>
      <c r="G398">
        <v>95</v>
      </c>
      <c r="H398" t="s">
        <v>4253</v>
      </c>
      <c r="I398">
        <v>5</v>
      </c>
      <c r="J398">
        <v>0.50345253019720215</v>
      </c>
      <c r="K398">
        <v>0</v>
      </c>
      <c r="L398">
        <v>0</v>
      </c>
      <c r="M398">
        <v>0</v>
      </c>
      <c r="O398">
        <v>200000</v>
      </c>
      <c r="R398" t="s">
        <v>162</v>
      </c>
      <c r="S398">
        <v>1.6172530526315789E-3</v>
      </c>
      <c r="T398">
        <v>3.2733201785263158E-3</v>
      </c>
      <c r="U398" t="s">
        <v>176</v>
      </c>
      <c r="V398">
        <v>2.2641542736842105E-2</v>
      </c>
      <c r="W398">
        <v>0.67119883091536847</v>
      </c>
      <c r="X398" t="s">
        <v>90</v>
      </c>
      <c r="Y398">
        <v>0</v>
      </c>
      <c r="Z398">
        <v>0</v>
      </c>
      <c r="AA398" t="s">
        <v>90</v>
      </c>
      <c r="AB398">
        <v>0</v>
      </c>
      <c r="AC398">
        <v>0.67119883091536847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Q398" t="s">
        <v>262</v>
      </c>
      <c r="AR398" t="s">
        <v>263</v>
      </c>
      <c r="AS398">
        <v>0.64690122105263159</v>
      </c>
    </row>
    <row r="399" spans="1:45" x14ac:dyDescent="0.15">
      <c r="A399" s="4" t="str">
        <f>HYPERLINK("https://ibp.a2mac1.com/costing(costing:projects/details/9760/material/8753951)","PP")</f>
        <v>PP</v>
      </c>
      <c r="B399">
        <v>8753951</v>
      </c>
      <c r="C399">
        <v>12084634</v>
      </c>
      <c r="E399">
        <v>1.0113799999999999</v>
      </c>
      <c r="F399" t="s">
        <v>4257</v>
      </c>
      <c r="G399">
        <v>95</v>
      </c>
      <c r="H399" t="s">
        <v>4258</v>
      </c>
      <c r="I399">
        <v>5</v>
      </c>
      <c r="J399">
        <v>0.50345253019720215</v>
      </c>
      <c r="K399">
        <v>0</v>
      </c>
      <c r="M399">
        <v>0</v>
      </c>
      <c r="O399">
        <v>200000</v>
      </c>
      <c r="R399" t="s">
        <v>162</v>
      </c>
      <c r="S399">
        <v>2.1318825789473682E-3</v>
      </c>
      <c r="T399">
        <v>4.3149303397894733E-3</v>
      </c>
      <c r="U399" t="s">
        <v>176</v>
      </c>
      <c r="V399">
        <v>2.9846356105263157E-2</v>
      </c>
      <c r="W399">
        <v>0.88478243544505264</v>
      </c>
      <c r="X399" t="s">
        <v>90</v>
      </c>
      <c r="Y399">
        <v>0</v>
      </c>
      <c r="Z399">
        <v>0</v>
      </c>
      <c r="AA399" t="s">
        <v>90</v>
      </c>
      <c r="AB399">
        <v>0</v>
      </c>
      <c r="AC399">
        <v>0.88478243544505264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Q399" t="s">
        <v>262</v>
      </c>
      <c r="AR399" t="s">
        <v>263</v>
      </c>
      <c r="AS399">
        <v>0.85275303157894733</v>
      </c>
    </row>
    <row r="400" spans="1:45" x14ac:dyDescent="0.15">
      <c r="A400" s="4" t="str">
        <f>HYPERLINK("https://ibp.a2mac1.com/costing(costing:projects/details/9760/material/8754105)","PVC + Fabric backing 3mm PU foam")</f>
        <v>PVC + Fabric backing 3mm PU foam</v>
      </c>
      <c r="B400">
        <v>8754105</v>
      </c>
      <c r="C400">
        <v>12084742</v>
      </c>
      <c r="E400">
        <v>4.91</v>
      </c>
      <c r="F400" t="s">
        <v>4265</v>
      </c>
      <c r="G400">
        <v>65</v>
      </c>
      <c r="H400" t="s">
        <v>4266</v>
      </c>
      <c r="I400">
        <v>0</v>
      </c>
      <c r="J400">
        <v>0.50345253019720215</v>
      </c>
      <c r="K400">
        <v>0</v>
      </c>
      <c r="L400">
        <v>0</v>
      </c>
      <c r="M400">
        <v>0</v>
      </c>
      <c r="O400">
        <v>200000</v>
      </c>
      <c r="R400" t="s">
        <v>162</v>
      </c>
      <c r="S400">
        <v>0</v>
      </c>
      <c r="T400">
        <v>2.2933476923076923E-3</v>
      </c>
      <c r="U400" t="s">
        <v>176</v>
      </c>
      <c r="V400">
        <v>1.5863076923076924E-2</v>
      </c>
      <c r="W400">
        <v>0.47138719384615385</v>
      </c>
      <c r="X400" t="s">
        <v>90</v>
      </c>
      <c r="Y400">
        <v>0</v>
      </c>
      <c r="Z400">
        <v>0</v>
      </c>
      <c r="AA400" t="s">
        <v>90</v>
      </c>
      <c r="AB400">
        <v>0</v>
      </c>
      <c r="AC400">
        <v>0.47138719384615385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Q400" t="s">
        <v>9</v>
      </c>
      <c r="AR400" t="s">
        <v>263</v>
      </c>
      <c r="AS400">
        <v>0.45323076923076921</v>
      </c>
    </row>
    <row r="401" spans="1:45" x14ac:dyDescent="0.15">
      <c r="A401" s="4" t="str">
        <f>HYPERLINK("https://ibp.a2mac1.com/costing(costing:projects/details/9760/material/8754106)","PC-ABS")</f>
        <v>PC-ABS</v>
      </c>
      <c r="B401">
        <v>8754106</v>
      </c>
      <c r="C401">
        <v>12084742</v>
      </c>
      <c r="E401">
        <v>2.29312</v>
      </c>
      <c r="F401" t="s">
        <v>4268</v>
      </c>
      <c r="G401">
        <v>95</v>
      </c>
      <c r="H401" t="s">
        <v>4269</v>
      </c>
      <c r="I401">
        <v>5</v>
      </c>
      <c r="J401">
        <v>0.50345253019720215</v>
      </c>
      <c r="K401">
        <v>0</v>
      </c>
      <c r="L401">
        <v>0</v>
      </c>
      <c r="M401">
        <v>0</v>
      </c>
      <c r="O401">
        <v>200000</v>
      </c>
      <c r="R401" t="s">
        <v>162</v>
      </c>
      <c r="S401">
        <v>1.0982837894736842E-3</v>
      </c>
      <c r="T401">
        <v>2.2229263898947368E-3</v>
      </c>
      <c r="U401" t="s">
        <v>176</v>
      </c>
      <c r="V401">
        <v>1.5375973052631579E-2</v>
      </c>
      <c r="W401">
        <v>0.4558141314425263</v>
      </c>
      <c r="X401" t="s">
        <v>90</v>
      </c>
      <c r="Y401">
        <v>0</v>
      </c>
      <c r="Z401">
        <v>0</v>
      </c>
      <c r="AA401" t="s">
        <v>90</v>
      </c>
      <c r="AB401">
        <v>0</v>
      </c>
      <c r="AC401">
        <v>0.4558141314425263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Q401" t="s">
        <v>262</v>
      </c>
      <c r="AR401" t="s">
        <v>263</v>
      </c>
      <c r="AS401">
        <v>0.4393135157894737</v>
      </c>
    </row>
    <row r="402" spans="1:45" x14ac:dyDescent="0.15">
      <c r="A402" s="4" t="str">
        <f>HYPERLINK("https://ibp.a2mac1.com/costing(costing:projects/details/9760/material/8754107)","PP-EPDM")</f>
        <v>PP-EPDM</v>
      </c>
      <c r="B402">
        <v>8754107</v>
      </c>
      <c r="C402">
        <v>12084743</v>
      </c>
      <c r="E402">
        <v>1.7894600000000001</v>
      </c>
      <c r="F402" t="s">
        <v>4272</v>
      </c>
      <c r="G402">
        <v>95</v>
      </c>
      <c r="H402" t="s">
        <v>4273</v>
      </c>
      <c r="I402">
        <v>5</v>
      </c>
      <c r="J402">
        <v>0.50345253019720215</v>
      </c>
      <c r="K402">
        <v>0</v>
      </c>
      <c r="M402">
        <v>0</v>
      </c>
      <c r="O402">
        <v>200000</v>
      </c>
      <c r="R402" t="s">
        <v>162</v>
      </c>
      <c r="S402">
        <v>1.784750894736842E-3</v>
      </c>
      <c r="T402">
        <v>3.6123358109473682E-3</v>
      </c>
      <c r="U402" t="s">
        <v>176</v>
      </c>
      <c r="V402">
        <v>2.4986512526315788E-2</v>
      </c>
      <c r="W402">
        <v>0.74071445533726321</v>
      </c>
      <c r="X402" t="s">
        <v>90</v>
      </c>
      <c r="Y402">
        <v>0</v>
      </c>
      <c r="Z402">
        <v>0</v>
      </c>
      <c r="AA402" t="s">
        <v>90</v>
      </c>
      <c r="AB402">
        <v>0</v>
      </c>
      <c r="AC402">
        <v>0.74071445533726321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Q402" t="s">
        <v>262</v>
      </c>
      <c r="AR402" t="s">
        <v>263</v>
      </c>
      <c r="AS402">
        <v>0.71390035789473683</v>
      </c>
    </row>
    <row r="403" spans="1:45" x14ac:dyDescent="0.15">
      <c r="A403" s="4" t="str">
        <f>HYPERLINK("https://ibp.a2mac1.com/costing(costing:projects/details/9760/material/8754108)","PP-EPDM")</f>
        <v>PP-EPDM</v>
      </c>
      <c r="B403">
        <v>8754108</v>
      </c>
      <c r="C403">
        <v>12084744</v>
      </c>
      <c r="E403">
        <v>1.7894600000000001</v>
      </c>
      <c r="F403" t="s">
        <v>4277</v>
      </c>
      <c r="G403">
        <v>95</v>
      </c>
      <c r="H403" t="s">
        <v>4278</v>
      </c>
      <c r="I403">
        <v>5</v>
      </c>
      <c r="J403">
        <v>0.50345253019720215</v>
      </c>
      <c r="K403">
        <v>0</v>
      </c>
      <c r="M403">
        <v>0</v>
      </c>
      <c r="O403">
        <v>200000</v>
      </c>
      <c r="R403" t="s">
        <v>162</v>
      </c>
      <c r="S403">
        <v>2.6323898421052633E-3</v>
      </c>
      <c r="T403">
        <v>5.3279570404210523E-3</v>
      </c>
      <c r="U403" t="s">
        <v>176</v>
      </c>
      <c r="V403">
        <v>3.6853457789473687E-2</v>
      </c>
      <c r="W403">
        <v>1.0925049618298948</v>
      </c>
      <c r="X403" t="s">
        <v>90</v>
      </c>
      <c r="Y403">
        <v>0</v>
      </c>
      <c r="Z403">
        <v>0</v>
      </c>
      <c r="AA403" t="s">
        <v>90</v>
      </c>
      <c r="AB403">
        <v>0</v>
      </c>
      <c r="AC403">
        <v>1.0925049618298948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Q403" t="s">
        <v>262</v>
      </c>
      <c r="AR403" t="s">
        <v>263</v>
      </c>
      <c r="AS403">
        <v>1.0529559368421053</v>
      </c>
    </row>
    <row r="404" spans="1:45" x14ac:dyDescent="0.15">
      <c r="A404" s="4" t="str">
        <f>HYPERLINK("https://ibp.a2mac1.com/costing(costing:projects/details/9760/material/8754109)","PVC + Fabric backing 3mm PU foam")</f>
        <v>PVC + Fabric backing 3mm PU foam</v>
      </c>
      <c r="B404">
        <v>8754109</v>
      </c>
      <c r="C404">
        <v>12084745</v>
      </c>
      <c r="E404">
        <v>4.91</v>
      </c>
      <c r="F404" t="s">
        <v>4265</v>
      </c>
      <c r="G404">
        <v>65</v>
      </c>
      <c r="H404" t="s">
        <v>4266</v>
      </c>
      <c r="I404">
        <v>0</v>
      </c>
      <c r="J404">
        <v>0.50345253019720215</v>
      </c>
      <c r="K404">
        <v>0</v>
      </c>
      <c r="L404">
        <v>0</v>
      </c>
      <c r="M404">
        <v>0</v>
      </c>
      <c r="O404">
        <v>200000</v>
      </c>
      <c r="R404" t="s">
        <v>162</v>
      </c>
      <c r="S404">
        <v>0</v>
      </c>
      <c r="T404">
        <v>2.2933476923076923E-3</v>
      </c>
      <c r="U404" t="s">
        <v>176</v>
      </c>
      <c r="V404">
        <v>1.5863076923076924E-2</v>
      </c>
      <c r="W404">
        <v>0.47138719384615385</v>
      </c>
      <c r="X404" t="s">
        <v>90</v>
      </c>
      <c r="Y404">
        <v>0</v>
      </c>
      <c r="Z404">
        <v>0</v>
      </c>
      <c r="AA404" t="s">
        <v>90</v>
      </c>
      <c r="AB404">
        <v>0</v>
      </c>
      <c r="AC404">
        <v>0.47138719384615385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Q404" t="s">
        <v>9</v>
      </c>
      <c r="AR404" t="s">
        <v>263</v>
      </c>
      <c r="AS404">
        <v>0.45323076923076921</v>
      </c>
    </row>
    <row r="405" spans="1:45" x14ac:dyDescent="0.15">
      <c r="A405" s="4" t="str">
        <f>HYPERLINK("https://ibp.a2mac1.com/costing(costing:projects/details/9760/material/8754110)","PC-ABS")</f>
        <v>PC-ABS</v>
      </c>
      <c r="B405">
        <v>8754110</v>
      </c>
      <c r="C405">
        <v>12084745</v>
      </c>
      <c r="E405">
        <v>2.29312</v>
      </c>
      <c r="F405" t="s">
        <v>4268</v>
      </c>
      <c r="G405">
        <v>95</v>
      </c>
      <c r="H405" t="s">
        <v>4269</v>
      </c>
      <c r="I405">
        <v>5</v>
      </c>
      <c r="J405">
        <v>0.50345253019720215</v>
      </c>
      <c r="K405">
        <v>0</v>
      </c>
      <c r="L405">
        <v>0</v>
      </c>
      <c r="M405">
        <v>0</v>
      </c>
      <c r="O405">
        <v>200000</v>
      </c>
      <c r="R405" t="s">
        <v>162</v>
      </c>
      <c r="S405">
        <v>1.0982837894736842E-3</v>
      </c>
      <c r="T405">
        <v>2.2229263898947368E-3</v>
      </c>
      <c r="U405" t="s">
        <v>176</v>
      </c>
      <c r="V405">
        <v>1.5375973052631579E-2</v>
      </c>
      <c r="W405">
        <v>0.4558141314425263</v>
      </c>
      <c r="X405" t="s">
        <v>90</v>
      </c>
      <c r="Y405">
        <v>0</v>
      </c>
      <c r="Z405">
        <v>0</v>
      </c>
      <c r="AA405" t="s">
        <v>90</v>
      </c>
      <c r="AB405">
        <v>0</v>
      </c>
      <c r="AC405">
        <v>0.4558141314425263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Q405" t="s">
        <v>262</v>
      </c>
      <c r="AR405" t="s">
        <v>263</v>
      </c>
      <c r="AS405">
        <v>0.4393135157894737</v>
      </c>
    </row>
    <row r="406" spans="1:45" x14ac:dyDescent="0.15">
      <c r="A406" s="4" t="str">
        <f>HYPERLINK("https://ibp.a2mac1.com/costing(costing:projects/details/9760/material/8754111)","PP-EPDM")</f>
        <v>PP-EPDM</v>
      </c>
      <c r="B406">
        <v>8754111</v>
      </c>
      <c r="C406">
        <v>12084746</v>
      </c>
      <c r="E406">
        <v>1.7894600000000001</v>
      </c>
      <c r="F406" t="s">
        <v>4272</v>
      </c>
      <c r="G406">
        <v>95</v>
      </c>
      <c r="H406" t="s">
        <v>4273</v>
      </c>
      <c r="I406">
        <v>5</v>
      </c>
      <c r="J406">
        <v>0.50345253019720215</v>
      </c>
      <c r="K406">
        <v>0</v>
      </c>
      <c r="M406">
        <v>0</v>
      </c>
      <c r="O406">
        <v>200000</v>
      </c>
      <c r="R406" t="s">
        <v>162</v>
      </c>
      <c r="S406">
        <v>1.784750894736842E-3</v>
      </c>
      <c r="T406">
        <v>3.6123358109473682E-3</v>
      </c>
      <c r="U406" t="s">
        <v>176</v>
      </c>
      <c r="V406">
        <v>2.4986512526315788E-2</v>
      </c>
      <c r="W406">
        <v>0.74071445533726321</v>
      </c>
      <c r="X406" t="s">
        <v>90</v>
      </c>
      <c r="Y406">
        <v>0</v>
      </c>
      <c r="Z406">
        <v>0</v>
      </c>
      <c r="AA406" t="s">
        <v>90</v>
      </c>
      <c r="AB406">
        <v>0</v>
      </c>
      <c r="AC406">
        <v>0.74071445533726321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Q406" t="s">
        <v>262</v>
      </c>
      <c r="AR406" t="s">
        <v>263</v>
      </c>
      <c r="AS406">
        <v>0.71390035789473683</v>
      </c>
    </row>
    <row r="407" spans="1:45" x14ac:dyDescent="0.15">
      <c r="A407" s="4" t="str">
        <f>HYPERLINK("https://ibp.a2mac1.com/costing(costing:projects/details/9760/material/8754112)","PP-EPDM")</f>
        <v>PP-EPDM</v>
      </c>
      <c r="B407">
        <v>8754112</v>
      </c>
      <c r="C407">
        <v>12084747</v>
      </c>
      <c r="E407">
        <v>1.7894600000000001</v>
      </c>
      <c r="F407" t="s">
        <v>4277</v>
      </c>
      <c r="G407">
        <v>95</v>
      </c>
      <c r="H407" t="s">
        <v>4278</v>
      </c>
      <c r="I407">
        <v>5</v>
      </c>
      <c r="J407">
        <v>0.50345253019720215</v>
      </c>
      <c r="K407">
        <v>0</v>
      </c>
      <c r="M407">
        <v>0</v>
      </c>
      <c r="O407">
        <v>200000</v>
      </c>
      <c r="R407" t="s">
        <v>162</v>
      </c>
      <c r="S407">
        <v>2.6323898421052633E-3</v>
      </c>
      <c r="T407">
        <v>5.3279570404210523E-3</v>
      </c>
      <c r="U407" t="s">
        <v>176</v>
      </c>
      <c r="V407">
        <v>3.6853457789473687E-2</v>
      </c>
      <c r="W407">
        <v>1.0925049618298948</v>
      </c>
      <c r="X407" t="s">
        <v>90</v>
      </c>
      <c r="Y407">
        <v>0</v>
      </c>
      <c r="Z407">
        <v>0</v>
      </c>
      <c r="AA407" t="s">
        <v>90</v>
      </c>
      <c r="AB407">
        <v>0</v>
      </c>
      <c r="AC407">
        <v>1.0925049618298948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Q407" t="s">
        <v>262</v>
      </c>
      <c r="AR407" t="s">
        <v>263</v>
      </c>
      <c r="AS407">
        <v>1.0529559368421053</v>
      </c>
    </row>
    <row r="408" spans="1:45" x14ac:dyDescent="0.15">
      <c r="A408" s="4" t="str">
        <f>HYPERLINK("https://ibp.a2mac1.com/costing(costing:projects/details/9760/material/8753952)","PA66")</f>
        <v>PA66</v>
      </c>
      <c r="B408">
        <v>8753952</v>
      </c>
      <c r="C408">
        <v>12084635</v>
      </c>
      <c r="E408">
        <v>2.03416</v>
      </c>
      <c r="F408" t="s">
        <v>4296</v>
      </c>
      <c r="G408">
        <v>95</v>
      </c>
      <c r="H408" t="s">
        <v>4297</v>
      </c>
      <c r="I408">
        <v>5</v>
      </c>
      <c r="J408">
        <v>0.50345253019720215</v>
      </c>
      <c r="K408">
        <v>0</v>
      </c>
      <c r="M408">
        <v>0</v>
      </c>
      <c r="O408">
        <v>200000</v>
      </c>
      <c r="R408" t="s">
        <v>162</v>
      </c>
      <c r="S408">
        <v>1.8842745263157896E-3</v>
      </c>
      <c r="T408">
        <v>3.8137716412631577E-3</v>
      </c>
      <c r="U408" t="s">
        <v>176</v>
      </c>
      <c r="V408">
        <v>2.6379843368421054E-2</v>
      </c>
      <c r="W408">
        <v>0.78201915100968422</v>
      </c>
      <c r="X408" t="s">
        <v>177</v>
      </c>
      <c r="Y408">
        <v>4.6921149060581049E-2</v>
      </c>
      <c r="Z408">
        <v>0</v>
      </c>
      <c r="AA408" t="s">
        <v>178</v>
      </c>
      <c r="AB408">
        <v>9.3842298121162099E-2</v>
      </c>
      <c r="AC408">
        <v>0.92278259819142738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Q408" t="s">
        <v>262</v>
      </c>
      <c r="AR408" t="s">
        <v>263</v>
      </c>
      <c r="AS408">
        <v>0.7537098105263158</v>
      </c>
    </row>
    <row r="409" spans="1:45" x14ac:dyDescent="0.15">
      <c r="A409" s="4" t="str">
        <f>HYPERLINK("https://ibp.a2mac1.com/costing(costing:projects/details/9760/material/8753953)","PP-EPDM")</f>
        <v>PP-EPDM</v>
      </c>
      <c r="B409">
        <v>8753953</v>
      </c>
      <c r="C409">
        <v>12084636</v>
      </c>
      <c r="E409">
        <v>1.7894600000000001</v>
      </c>
      <c r="F409" t="s">
        <v>4308</v>
      </c>
      <c r="G409">
        <v>95</v>
      </c>
      <c r="H409" t="s">
        <v>4309</v>
      </c>
      <c r="I409">
        <v>5</v>
      </c>
      <c r="J409">
        <v>0.50345253019720215</v>
      </c>
      <c r="K409">
        <v>0</v>
      </c>
      <c r="M409">
        <v>0</v>
      </c>
      <c r="O409">
        <v>200000</v>
      </c>
      <c r="R409" t="s">
        <v>162</v>
      </c>
      <c r="S409">
        <v>5.2271068421052636E-4</v>
      </c>
      <c r="T409">
        <v>1.0579664248421053E-3</v>
      </c>
      <c r="U409" t="s">
        <v>176</v>
      </c>
      <c r="V409">
        <v>7.3179495789473682E-3</v>
      </c>
      <c r="W409">
        <v>0.21693747900378949</v>
      </c>
      <c r="X409" t="s">
        <v>177</v>
      </c>
      <c r="Y409">
        <v>1.3016248740227368E-2</v>
      </c>
      <c r="Z409">
        <v>0</v>
      </c>
      <c r="AA409" t="s">
        <v>178</v>
      </c>
      <c r="AB409">
        <v>2.6032497480454737E-2</v>
      </c>
      <c r="AC409">
        <v>0.25598622522447156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Q409" t="s">
        <v>262</v>
      </c>
      <c r="AR409" t="s">
        <v>263</v>
      </c>
      <c r="AS409">
        <v>0.20908427368421054</v>
      </c>
    </row>
    <row r="410" spans="1:45" x14ac:dyDescent="0.15">
      <c r="A410" s="4" t="str">
        <f>HYPERLINK("https://ibp.a2mac1.com/costing(costing:projects/details/9760/material/8753954)","TPE")</f>
        <v>TPE</v>
      </c>
      <c r="B410">
        <v>8753954</v>
      </c>
      <c r="C410">
        <v>12084637</v>
      </c>
      <c r="E410">
        <v>1.5073099999999999</v>
      </c>
      <c r="F410" t="s">
        <v>4313</v>
      </c>
      <c r="G410">
        <v>95</v>
      </c>
      <c r="H410" t="s">
        <v>4314</v>
      </c>
      <c r="I410">
        <v>5</v>
      </c>
      <c r="J410">
        <v>0.50345253019720215</v>
      </c>
      <c r="K410">
        <v>0</v>
      </c>
      <c r="M410">
        <v>0</v>
      </c>
      <c r="O410">
        <v>200000</v>
      </c>
      <c r="R410" t="s">
        <v>162</v>
      </c>
      <c r="S410">
        <v>1.0709834210526316E-4</v>
      </c>
      <c r="T410">
        <v>2.1676704442105264E-4</v>
      </c>
      <c r="U410" t="s">
        <v>176</v>
      </c>
      <c r="V410">
        <v>1.4993767894736843E-3</v>
      </c>
      <c r="W410">
        <v>4.444838233389474E-2</v>
      </c>
      <c r="X410" t="s">
        <v>90</v>
      </c>
      <c r="Y410">
        <v>0</v>
      </c>
      <c r="Z410">
        <v>0</v>
      </c>
      <c r="AA410" t="s">
        <v>90</v>
      </c>
      <c r="AB410">
        <v>0</v>
      </c>
      <c r="AC410">
        <v>4.444838233389474E-2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Q410" t="s">
        <v>262</v>
      </c>
      <c r="AR410" t="s">
        <v>263</v>
      </c>
      <c r="AS410">
        <v>4.2839336842105266E-2</v>
      </c>
    </row>
    <row r="411" spans="1:45" x14ac:dyDescent="0.15">
      <c r="A411" s="4" t="str">
        <f>HYPERLINK("https://ibp.a2mac1.com/costing(costing:projects/details/9760/material/8753955)","PP-EPDM")</f>
        <v>PP-EPDM</v>
      </c>
      <c r="B411">
        <v>8753955</v>
      </c>
      <c r="C411">
        <v>12084638</v>
      </c>
      <c r="E411">
        <v>1.7894600000000001</v>
      </c>
      <c r="F411" t="s">
        <v>4320</v>
      </c>
      <c r="G411">
        <v>95</v>
      </c>
      <c r="H411" t="s">
        <v>4321</v>
      </c>
      <c r="I411">
        <v>5</v>
      </c>
      <c r="J411">
        <v>0.50345253019720215</v>
      </c>
      <c r="K411">
        <v>0</v>
      </c>
      <c r="M411">
        <v>0</v>
      </c>
      <c r="O411">
        <v>200000</v>
      </c>
      <c r="R411" t="s">
        <v>162</v>
      </c>
      <c r="S411">
        <v>4.7561963157894739E-4</v>
      </c>
      <c r="T411">
        <v>9.6265413431578946E-4</v>
      </c>
      <c r="U411" t="s">
        <v>176</v>
      </c>
      <c r="V411">
        <v>6.658674842105263E-3</v>
      </c>
      <c r="W411">
        <v>0.19739356197642105</v>
      </c>
      <c r="X411" t="s">
        <v>90</v>
      </c>
      <c r="Y411">
        <v>0</v>
      </c>
      <c r="Z411">
        <v>0</v>
      </c>
      <c r="AA411" t="s">
        <v>90</v>
      </c>
      <c r="AB411">
        <v>0</v>
      </c>
      <c r="AC411">
        <v>0.19739356197642105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Q411" t="s">
        <v>262</v>
      </c>
      <c r="AR411" t="s">
        <v>263</v>
      </c>
      <c r="AS411">
        <v>0.19024785263157895</v>
      </c>
    </row>
    <row r="412" spans="1:45" x14ac:dyDescent="0.15">
      <c r="A412" s="4" t="str">
        <f>HYPERLINK("https://ibp.a2mac1.com/costing(costing:projects/details/9760/material/8753956)","TPE")</f>
        <v>TPE</v>
      </c>
      <c r="B412">
        <v>8753956</v>
      </c>
      <c r="C412">
        <v>12084639</v>
      </c>
      <c r="E412">
        <v>1.5073099999999999</v>
      </c>
      <c r="F412" t="s">
        <v>4325</v>
      </c>
      <c r="G412">
        <v>95</v>
      </c>
      <c r="H412" t="s">
        <v>4326</v>
      </c>
      <c r="I412">
        <v>5</v>
      </c>
      <c r="J412">
        <v>0.50345253019720215</v>
      </c>
      <c r="K412">
        <v>0</v>
      </c>
      <c r="M412">
        <v>0</v>
      </c>
      <c r="O412">
        <v>200000</v>
      </c>
      <c r="R412" t="s">
        <v>162</v>
      </c>
      <c r="S412">
        <v>6.7432289473684214E-5</v>
      </c>
      <c r="T412">
        <v>1.3648295389473685E-4</v>
      </c>
      <c r="U412" t="s">
        <v>176</v>
      </c>
      <c r="V412">
        <v>9.4405205263157891E-4</v>
      </c>
      <c r="W412">
        <v>2.7986018506526315E-2</v>
      </c>
      <c r="X412" t="s">
        <v>90</v>
      </c>
      <c r="Y412">
        <v>0</v>
      </c>
      <c r="Z412">
        <v>0</v>
      </c>
      <c r="AA412" t="s">
        <v>90</v>
      </c>
      <c r="AB412">
        <v>0</v>
      </c>
      <c r="AC412">
        <v>2.7986018506526315E-2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Q412" t="s">
        <v>262</v>
      </c>
      <c r="AR412" t="s">
        <v>263</v>
      </c>
      <c r="AS412">
        <v>2.6972915789473684E-2</v>
      </c>
    </row>
    <row r="413" spans="1:45" x14ac:dyDescent="0.15">
      <c r="A413" s="4" t="str">
        <f>HYPERLINK("https://ibp.a2mac1.com/costing(costing:projects/details/9760/material/8753957)","PC-ABS")</f>
        <v>PC-ABS</v>
      </c>
      <c r="B413">
        <v>8753957</v>
      </c>
      <c r="C413">
        <v>12084640</v>
      </c>
      <c r="E413">
        <v>2.29312</v>
      </c>
      <c r="F413" t="s">
        <v>4332</v>
      </c>
      <c r="G413">
        <v>95</v>
      </c>
      <c r="H413" t="s">
        <v>4333</v>
      </c>
      <c r="I413">
        <v>5</v>
      </c>
      <c r="J413">
        <v>0.50345253019720215</v>
      </c>
      <c r="K413">
        <v>0</v>
      </c>
      <c r="M413">
        <v>0</v>
      </c>
      <c r="O413">
        <v>200000</v>
      </c>
      <c r="R413" t="s">
        <v>162</v>
      </c>
      <c r="S413">
        <v>1.7017364210526315E-3</v>
      </c>
      <c r="T413">
        <v>3.4443145162105261E-3</v>
      </c>
      <c r="U413" t="s">
        <v>176</v>
      </c>
      <c r="V413">
        <v>2.3824309894736842E-2</v>
      </c>
      <c r="W413">
        <v>0.7062614564109474</v>
      </c>
      <c r="X413" t="s">
        <v>177</v>
      </c>
      <c r="Y413">
        <v>4.2375687384656843E-2</v>
      </c>
      <c r="Z413">
        <v>0</v>
      </c>
      <c r="AA413" t="s">
        <v>178</v>
      </c>
      <c r="AB413">
        <v>8.4751374769313687E-2</v>
      </c>
      <c r="AC413">
        <v>0.83338851856491791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Q413" t="s">
        <v>262</v>
      </c>
      <c r="AR413" t="s">
        <v>263</v>
      </c>
      <c r="AS413">
        <v>0.68069456842105258</v>
      </c>
    </row>
    <row r="414" spans="1:45" x14ac:dyDescent="0.15">
      <c r="A414" s="4" t="str">
        <f>HYPERLINK("https://ibp.a2mac1.com/costing(costing:projects/details/9760/material/8753958)","PVC + Fabric backing 3mm PU foam")</f>
        <v>PVC + Fabric backing 3mm PU foam</v>
      </c>
      <c r="B414">
        <v>8753958</v>
      </c>
      <c r="C414">
        <v>12084640</v>
      </c>
      <c r="E414">
        <v>4.91</v>
      </c>
      <c r="F414" t="s">
        <v>4265</v>
      </c>
      <c r="G414">
        <v>65</v>
      </c>
      <c r="H414" t="s">
        <v>4266</v>
      </c>
      <c r="I414">
        <v>0</v>
      </c>
      <c r="J414">
        <v>0.50345253019720215</v>
      </c>
      <c r="K414">
        <v>0</v>
      </c>
      <c r="L414">
        <v>0</v>
      </c>
      <c r="M414">
        <v>0</v>
      </c>
      <c r="O414">
        <v>200000</v>
      </c>
      <c r="R414" t="s">
        <v>162</v>
      </c>
      <c r="S414">
        <v>0</v>
      </c>
      <c r="T414">
        <v>2.2933476923076923E-3</v>
      </c>
      <c r="U414" t="s">
        <v>176</v>
      </c>
      <c r="V414">
        <v>1.5863076923076924E-2</v>
      </c>
      <c r="W414">
        <v>0.47138719384615385</v>
      </c>
      <c r="X414" t="s">
        <v>177</v>
      </c>
      <c r="Y414">
        <v>2.8283231630769231E-2</v>
      </c>
      <c r="Z414">
        <v>0</v>
      </c>
      <c r="AA414" t="s">
        <v>178</v>
      </c>
      <c r="AB414">
        <v>5.6566463261538462E-2</v>
      </c>
      <c r="AC414">
        <v>0.55623688873846155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Q414" t="s">
        <v>9</v>
      </c>
      <c r="AR414" t="s">
        <v>263</v>
      </c>
      <c r="AS414">
        <v>0.45323076923076921</v>
      </c>
    </row>
    <row r="415" spans="1:45" x14ac:dyDescent="0.15">
      <c r="A415" s="4" t="str">
        <f>HYPERLINK("https://ibp.a2mac1.com/costing(costing:projects/details/9760/material/8753959)","PC-ABS")</f>
        <v>PC-ABS</v>
      </c>
      <c r="B415">
        <v>8753959</v>
      </c>
      <c r="C415">
        <v>12084641</v>
      </c>
      <c r="E415">
        <v>2.29312</v>
      </c>
      <c r="F415" t="s">
        <v>4337</v>
      </c>
      <c r="G415">
        <v>95</v>
      </c>
      <c r="H415" t="s">
        <v>4338</v>
      </c>
      <c r="I415">
        <v>5</v>
      </c>
      <c r="J415">
        <v>0.50345253019720215</v>
      </c>
      <c r="K415">
        <v>0</v>
      </c>
      <c r="M415">
        <v>0</v>
      </c>
      <c r="O415">
        <v>200000</v>
      </c>
      <c r="R415" t="s">
        <v>162</v>
      </c>
      <c r="S415">
        <v>2.3353616842105261E-3</v>
      </c>
      <c r="T415">
        <v>4.7267720488421055E-3</v>
      </c>
      <c r="U415" t="s">
        <v>176</v>
      </c>
      <c r="V415">
        <v>3.2695063578947366E-2</v>
      </c>
      <c r="W415">
        <v>0.9692311476277895</v>
      </c>
      <c r="X415" t="s">
        <v>90</v>
      </c>
      <c r="Y415">
        <v>0</v>
      </c>
      <c r="Z415">
        <v>0</v>
      </c>
      <c r="AA415" t="s">
        <v>90</v>
      </c>
      <c r="AB415">
        <v>0</v>
      </c>
      <c r="AC415">
        <v>0.9692311476277895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Q415" t="s">
        <v>262</v>
      </c>
      <c r="AR415" t="s">
        <v>263</v>
      </c>
      <c r="AS415">
        <v>0.9341446736842105</v>
      </c>
    </row>
    <row r="416" spans="1:45" x14ac:dyDescent="0.15">
      <c r="A416" s="4" t="str">
        <f>HYPERLINK("https://ibp.a2mac1.com/costing(costing:projects/details/9760/material/8753960)","PVC + Fabric backing 3mm PU foam")</f>
        <v>PVC + Fabric backing 3mm PU foam</v>
      </c>
      <c r="B416">
        <v>8753960</v>
      </c>
      <c r="C416">
        <v>12084642</v>
      </c>
      <c r="E416">
        <v>4.91</v>
      </c>
      <c r="F416" t="s">
        <v>4265</v>
      </c>
      <c r="G416">
        <v>65</v>
      </c>
      <c r="H416" t="s">
        <v>4266</v>
      </c>
      <c r="I416">
        <v>0</v>
      </c>
      <c r="J416">
        <v>0.50345253019720215</v>
      </c>
      <c r="K416">
        <v>0</v>
      </c>
      <c r="L416">
        <v>0</v>
      </c>
      <c r="M416">
        <v>0</v>
      </c>
      <c r="O416">
        <v>200000</v>
      </c>
      <c r="R416" t="s">
        <v>162</v>
      </c>
      <c r="S416">
        <v>0</v>
      </c>
      <c r="T416">
        <v>2.2933476923076923E-3</v>
      </c>
      <c r="U416" t="s">
        <v>176</v>
      </c>
      <c r="V416">
        <v>1.5863076923076924E-2</v>
      </c>
      <c r="W416">
        <v>0.47138719384615385</v>
      </c>
      <c r="X416" t="s">
        <v>90</v>
      </c>
      <c r="Y416">
        <v>0</v>
      </c>
      <c r="Z416">
        <v>0</v>
      </c>
      <c r="AA416" t="s">
        <v>90</v>
      </c>
      <c r="AB416">
        <v>0</v>
      </c>
      <c r="AC416">
        <v>0.47138719384615385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Q416" t="s">
        <v>9</v>
      </c>
      <c r="AR416" t="s">
        <v>263</v>
      </c>
      <c r="AS416">
        <v>0.45323076923076921</v>
      </c>
    </row>
    <row r="417" spans="1:45" x14ac:dyDescent="0.15">
      <c r="A417" s="4" t="str">
        <f>HYPERLINK("https://ibp.a2mac1.com/costing(costing:projects/details/9760/material/8753961)","PC-ABS")</f>
        <v>PC-ABS</v>
      </c>
      <c r="B417">
        <v>8753961</v>
      </c>
      <c r="C417">
        <v>12084642</v>
      </c>
      <c r="E417">
        <v>2.29312</v>
      </c>
      <c r="F417" t="s">
        <v>4343</v>
      </c>
      <c r="G417">
        <v>95</v>
      </c>
      <c r="H417" t="s">
        <v>4344</v>
      </c>
      <c r="I417">
        <v>5</v>
      </c>
      <c r="J417">
        <v>0.50345253019720215</v>
      </c>
      <c r="K417">
        <v>0</v>
      </c>
      <c r="L417">
        <v>0</v>
      </c>
      <c r="M417">
        <v>0</v>
      </c>
      <c r="O417">
        <v>200000</v>
      </c>
      <c r="R417" t="s">
        <v>162</v>
      </c>
      <c r="S417">
        <v>1.71984E-3</v>
      </c>
      <c r="T417">
        <v>3.4809561600000001E-3</v>
      </c>
      <c r="U417" t="s">
        <v>176</v>
      </c>
      <c r="V417">
        <v>2.407776E-2</v>
      </c>
      <c r="W417">
        <v>0.71377487616000002</v>
      </c>
      <c r="X417" t="s">
        <v>90</v>
      </c>
      <c r="Y417">
        <v>0</v>
      </c>
      <c r="Z417">
        <v>0</v>
      </c>
      <c r="AA417" t="s">
        <v>90</v>
      </c>
      <c r="AB417">
        <v>0</v>
      </c>
      <c r="AC417">
        <v>0.71377487616000002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Q417" t="s">
        <v>262</v>
      </c>
      <c r="AR417" t="s">
        <v>263</v>
      </c>
      <c r="AS417">
        <v>0.68793599999999999</v>
      </c>
    </row>
    <row r="418" spans="1:45" x14ac:dyDescent="0.15">
      <c r="A418" s="4" t="str">
        <f>HYPERLINK("https://ibp.a2mac1.com/costing(costing:projects/details/9760/material/8753962)","TPE")</f>
        <v>TPE</v>
      </c>
      <c r="B418">
        <v>8753962</v>
      </c>
      <c r="C418">
        <v>12084643</v>
      </c>
      <c r="E418">
        <v>1.5073099999999999</v>
      </c>
      <c r="F418" t="s">
        <v>4347</v>
      </c>
      <c r="G418">
        <v>95</v>
      </c>
      <c r="H418" t="s">
        <v>4348</v>
      </c>
      <c r="I418">
        <v>5</v>
      </c>
      <c r="J418">
        <v>0.50345253019720215</v>
      </c>
      <c r="K418">
        <v>0</v>
      </c>
      <c r="M418">
        <v>0</v>
      </c>
      <c r="O418">
        <v>200000</v>
      </c>
      <c r="R418" t="s">
        <v>162</v>
      </c>
      <c r="S418">
        <v>2.5386273684210528E-4</v>
      </c>
      <c r="T418">
        <v>5.1381817936842103E-4</v>
      </c>
      <c r="U418" t="s">
        <v>176</v>
      </c>
      <c r="V418">
        <v>3.5540783157894736E-3</v>
      </c>
      <c r="W418">
        <v>0.1053591284951579</v>
      </c>
      <c r="X418" t="s">
        <v>90</v>
      </c>
      <c r="Y418">
        <v>0</v>
      </c>
      <c r="Z418">
        <v>0</v>
      </c>
      <c r="AA418" t="s">
        <v>90</v>
      </c>
      <c r="AB418">
        <v>0</v>
      </c>
      <c r="AC418">
        <v>0.1053591284951579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Q418" t="s">
        <v>262</v>
      </c>
      <c r="AR418" t="s">
        <v>263</v>
      </c>
      <c r="AS418">
        <v>0.1015450947368421</v>
      </c>
    </row>
    <row r="419" spans="1:45" x14ac:dyDescent="0.15">
      <c r="A419" s="4" t="str">
        <f>HYPERLINK("https://ibp.a2mac1.com/costing(costing:projects/details/9760/material/8753963)","PC-ABS")</f>
        <v>PC-ABS</v>
      </c>
      <c r="B419">
        <v>8753963</v>
      </c>
      <c r="C419">
        <v>12084644</v>
      </c>
      <c r="E419">
        <v>2.29312</v>
      </c>
      <c r="F419" t="s">
        <v>4352</v>
      </c>
      <c r="G419">
        <v>95</v>
      </c>
      <c r="H419" t="s">
        <v>4353</v>
      </c>
      <c r="I419">
        <v>5</v>
      </c>
      <c r="J419">
        <v>0.50345253019720215</v>
      </c>
      <c r="K419">
        <v>0</v>
      </c>
      <c r="M419">
        <v>0</v>
      </c>
      <c r="O419">
        <v>200000</v>
      </c>
      <c r="R419" t="s">
        <v>162</v>
      </c>
      <c r="S419">
        <v>8.2673010526315791E-4</v>
      </c>
      <c r="T419">
        <v>1.6733017330526315E-3</v>
      </c>
      <c r="U419" t="s">
        <v>176</v>
      </c>
      <c r="V419">
        <v>1.1574221473684211E-2</v>
      </c>
      <c r="W419">
        <v>0.34311283520673685</v>
      </c>
      <c r="X419" t="s">
        <v>90</v>
      </c>
      <c r="Y419">
        <v>0</v>
      </c>
      <c r="Z419">
        <v>0</v>
      </c>
      <c r="AA419" t="s">
        <v>90</v>
      </c>
      <c r="AB419">
        <v>0</v>
      </c>
      <c r="AC419">
        <v>0.34311283520673685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Q419" t="s">
        <v>262</v>
      </c>
      <c r="AR419" t="s">
        <v>263</v>
      </c>
      <c r="AS419">
        <v>0.33069204210526315</v>
      </c>
    </row>
    <row r="420" spans="1:45" x14ac:dyDescent="0.15">
      <c r="A420" s="4" t="str">
        <f>HYPERLINK("https://ibp.a2mac1.com/costing(costing:projects/details/9760/material/8753964)","PC-ABS")</f>
        <v>PC-ABS</v>
      </c>
      <c r="B420">
        <v>8753964</v>
      </c>
      <c r="C420">
        <v>12084645</v>
      </c>
      <c r="E420">
        <v>2.29312</v>
      </c>
      <c r="F420" t="s">
        <v>4357</v>
      </c>
      <c r="G420">
        <v>95</v>
      </c>
      <c r="H420" t="s">
        <v>4358</v>
      </c>
      <c r="I420">
        <v>5</v>
      </c>
      <c r="J420">
        <v>0.50345253019720215</v>
      </c>
      <c r="K420">
        <v>0</v>
      </c>
      <c r="M420">
        <v>0</v>
      </c>
      <c r="O420">
        <v>200000</v>
      </c>
      <c r="R420" t="s">
        <v>162</v>
      </c>
      <c r="S420">
        <v>8.5086821052631574E-4</v>
      </c>
      <c r="T420">
        <v>1.7221572581052631E-3</v>
      </c>
      <c r="U420" t="s">
        <v>176</v>
      </c>
      <c r="V420">
        <v>1.1912154947368421E-2</v>
      </c>
      <c r="W420">
        <v>0.3531307282054737</v>
      </c>
      <c r="X420" t="s">
        <v>90</v>
      </c>
      <c r="Y420">
        <v>0</v>
      </c>
      <c r="Z420">
        <v>0</v>
      </c>
      <c r="AA420" t="s">
        <v>90</v>
      </c>
      <c r="AB420">
        <v>0</v>
      </c>
      <c r="AC420">
        <v>0.3531307282054737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Q420" t="s">
        <v>262</v>
      </c>
      <c r="AR420" t="s">
        <v>263</v>
      </c>
      <c r="AS420">
        <v>0.34034728421052629</v>
      </c>
    </row>
    <row r="421" spans="1:45" x14ac:dyDescent="0.15">
      <c r="A421" s="4" t="str">
        <f>HYPERLINK("https://ibp.a2mac1.com/costing(costing:projects/details/9760/material/8753965)","PC-ABS")</f>
        <v>PC-ABS</v>
      </c>
      <c r="B421">
        <v>8753965</v>
      </c>
      <c r="C421">
        <v>12084646</v>
      </c>
      <c r="E421">
        <v>2.29312</v>
      </c>
      <c r="F421" t="s">
        <v>4362</v>
      </c>
      <c r="G421">
        <v>95</v>
      </c>
      <c r="H421" t="s">
        <v>4363</v>
      </c>
      <c r="I421">
        <v>5</v>
      </c>
      <c r="J421">
        <v>0.50345253019720215</v>
      </c>
      <c r="K421">
        <v>0</v>
      </c>
      <c r="M421">
        <v>0</v>
      </c>
      <c r="O421">
        <v>200000</v>
      </c>
      <c r="R421" t="s">
        <v>162</v>
      </c>
      <c r="S421">
        <v>3.3793347368421051E-4</v>
      </c>
      <c r="T421">
        <v>6.8397735073684213E-4</v>
      </c>
      <c r="U421" t="s">
        <v>176</v>
      </c>
      <c r="V421">
        <v>4.7310686315789477E-3</v>
      </c>
      <c r="W421">
        <v>0.14025050198231578</v>
      </c>
      <c r="X421" t="s">
        <v>90</v>
      </c>
      <c r="Y421">
        <v>0</v>
      </c>
      <c r="Z421">
        <v>0</v>
      </c>
      <c r="AA421" t="s">
        <v>90</v>
      </c>
      <c r="AB421">
        <v>0</v>
      </c>
      <c r="AC421">
        <v>0.14025050198231578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Q421" t="s">
        <v>262</v>
      </c>
      <c r="AR421" t="s">
        <v>263</v>
      </c>
      <c r="AS421">
        <v>0.13517338947368421</v>
      </c>
    </row>
    <row r="422" spans="1:45" x14ac:dyDescent="0.15">
      <c r="A422" s="4" t="str">
        <f>HYPERLINK("https://ibp.a2mac1.com/costing(costing:projects/details/9760/material/8753966)","PC-ABS")</f>
        <v>PC-ABS</v>
      </c>
      <c r="B422">
        <v>8753966</v>
      </c>
      <c r="C422">
        <v>12084647</v>
      </c>
      <c r="E422">
        <v>2.29312</v>
      </c>
      <c r="F422" t="s">
        <v>4367</v>
      </c>
      <c r="G422">
        <v>95</v>
      </c>
      <c r="H422" t="s">
        <v>4368</v>
      </c>
      <c r="I422">
        <v>5</v>
      </c>
      <c r="J422">
        <v>0.50345253019720215</v>
      </c>
      <c r="K422">
        <v>0</v>
      </c>
      <c r="M422">
        <v>0</v>
      </c>
      <c r="O422">
        <v>200000</v>
      </c>
      <c r="R422" t="s">
        <v>162</v>
      </c>
      <c r="S422">
        <v>2.1120842105263159E-4</v>
      </c>
      <c r="T422">
        <v>4.2748584421052632E-4</v>
      </c>
      <c r="U422" t="s">
        <v>176</v>
      </c>
      <c r="V422">
        <v>2.9569178947368422E-3</v>
      </c>
      <c r="W422">
        <v>8.7656563738947368E-2</v>
      </c>
      <c r="X422" t="s">
        <v>90</v>
      </c>
      <c r="Y422">
        <v>0</v>
      </c>
      <c r="Z422">
        <v>0</v>
      </c>
      <c r="AA422" t="s">
        <v>90</v>
      </c>
      <c r="AB422">
        <v>0</v>
      </c>
      <c r="AC422">
        <v>8.7656563738947368E-2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Q422" t="s">
        <v>262</v>
      </c>
      <c r="AR422" t="s">
        <v>263</v>
      </c>
      <c r="AS422">
        <v>8.4483368421052626E-2</v>
      </c>
    </row>
    <row r="423" spans="1:45" x14ac:dyDescent="0.15">
      <c r="A423" s="4" t="str">
        <f>HYPERLINK("https://ibp.a2mac1.com/costing(costing:projects/details/9760/material/8753967)","POM")</f>
        <v>POM</v>
      </c>
      <c r="B423">
        <v>8753967</v>
      </c>
      <c r="C423">
        <v>12084648</v>
      </c>
      <c r="E423">
        <v>2.12338</v>
      </c>
      <c r="F423" t="s">
        <v>4372</v>
      </c>
      <c r="G423">
        <v>95</v>
      </c>
      <c r="H423" t="s">
        <v>4373</v>
      </c>
      <c r="I423">
        <v>5</v>
      </c>
      <c r="J423">
        <v>0.50345253019720215</v>
      </c>
      <c r="K423">
        <v>0</v>
      </c>
      <c r="M423">
        <v>0</v>
      </c>
      <c r="O423">
        <v>200000</v>
      </c>
      <c r="R423" t="s">
        <v>162</v>
      </c>
      <c r="S423">
        <v>1.7322310526315788E-4</v>
      </c>
      <c r="T423">
        <v>3.5060356505263159E-4</v>
      </c>
      <c r="U423" t="s">
        <v>176</v>
      </c>
      <c r="V423">
        <v>2.4251234736842107E-3</v>
      </c>
      <c r="W423">
        <v>7.189174603873684E-2</v>
      </c>
      <c r="X423" t="s">
        <v>90</v>
      </c>
      <c r="Y423">
        <v>0</v>
      </c>
      <c r="Z423">
        <v>0</v>
      </c>
      <c r="AA423" t="s">
        <v>90</v>
      </c>
      <c r="AB423">
        <v>0</v>
      </c>
      <c r="AC423">
        <v>7.189174603873684E-2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Q423" t="s">
        <v>262</v>
      </c>
      <c r="AR423" t="s">
        <v>263</v>
      </c>
      <c r="AS423">
        <v>6.928924210526316E-2</v>
      </c>
    </row>
    <row r="424" spans="1:45" x14ac:dyDescent="0.15">
      <c r="A424" s="4" t="str">
        <f>HYPERLINK("https://ibp.a2mac1.com/costing(costing:projects/details/9760/material/8753968)","EPDM")</f>
        <v>EPDM</v>
      </c>
      <c r="B424">
        <v>8753968</v>
      </c>
      <c r="C424">
        <v>12084649</v>
      </c>
      <c r="E424">
        <v>2.78701</v>
      </c>
      <c r="F424" t="s">
        <v>4377</v>
      </c>
      <c r="G424">
        <v>95</v>
      </c>
      <c r="H424" t="s">
        <v>4378</v>
      </c>
      <c r="I424">
        <v>5</v>
      </c>
      <c r="J424">
        <v>0.50048257265952256</v>
      </c>
      <c r="K424">
        <v>0</v>
      </c>
      <c r="M424">
        <v>0</v>
      </c>
      <c r="O424">
        <v>800000</v>
      </c>
      <c r="R424" t="s">
        <v>162</v>
      </c>
      <c r="S424">
        <v>7.3342368421052629E-6</v>
      </c>
      <c r="T424">
        <v>1.475648452631579E-5</v>
      </c>
      <c r="U424" t="s">
        <v>176</v>
      </c>
      <c r="V424">
        <v>1.0267931578947368E-4</v>
      </c>
      <c r="W424">
        <v>3.0437963003157897E-3</v>
      </c>
      <c r="X424" t="s">
        <v>177</v>
      </c>
      <c r="Y424">
        <v>1.8262777801894737E-4</v>
      </c>
      <c r="Z424">
        <v>0</v>
      </c>
      <c r="AA424" t="s">
        <v>178</v>
      </c>
      <c r="AB424">
        <v>3.6525555603789475E-4</v>
      </c>
      <c r="AC424">
        <v>3.5916796343726316E-3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Q424" t="s">
        <v>262</v>
      </c>
      <c r="AR424" t="s">
        <v>263</v>
      </c>
      <c r="AS424">
        <v>2.9336947368421053E-3</v>
      </c>
    </row>
    <row r="425" spans="1:45" x14ac:dyDescent="0.15">
      <c r="A425" s="4" t="str">
        <f>HYPERLINK("https://ibp.a2mac1.com/costing(costing:projects/details/9760/material/8753969)","PLASTIC UNKNOWN")</f>
        <v>PLASTIC UNKNOWN</v>
      </c>
      <c r="B425">
        <v>8753969</v>
      </c>
      <c r="C425">
        <v>12084650</v>
      </c>
      <c r="E425">
        <v>1.57609</v>
      </c>
      <c r="F425" t="s">
        <v>4382</v>
      </c>
      <c r="G425">
        <v>95</v>
      </c>
      <c r="H425" t="s">
        <v>4383</v>
      </c>
      <c r="I425">
        <v>0</v>
      </c>
      <c r="J425">
        <v>0.50048257265952256</v>
      </c>
      <c r="K425">
        <v>0</v>
      </c>
      <c r="M425">
        <v>0</v>
      </c>
      <c r="O425">
        <v>400000</v>
      </c>
      <c r="R425" t="s">
        <v>162</v>
      </c>
      <c r="S425">
        <v>0</v>
      </c>
      <c r="T425">
        <v>1.668996357894737E-4</v>
      </c>
      <c r="U425" t="s">
        <v>176</v>
      </c>
      <c r="V425">
        <v>1.1613294736842106E-3</v>
      </c>
      <c r="W425">
        <v>3.4509071214736842E-2</v>
      </c>
      <c r="X425" t="s">
        <v>90</v>
      </c>
      <c r="Y425">
        <v>0</v>
      </c>
      <c r="Z425">
        <v>0</v>
      </c>
      <c r="AA425" t="s">
        <v>90</v>
      </c>
      <c r="AB425">
        <v>0</v>
      </c>
      <c r="AC425">
        <v>3.4509071214736842E-2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Q425" t="s">
        <v>9</v>
      </c>
      <c r="AR425" t="s">
        <v>263</v>
      </c>
      <c r="AS425">
        <v>3.3180842105263161E-2</v>
      </c>
    </row>
    <row r="426" spans="1:45" x14ac:dyDescent="0.15">
      <c r="A426" s="4" t="str">
        <f>HYPERLINK("https://ibp.a2mac1.com/costing(costing:projects/details/9760/material/8753970)","PC-ABS")</f>
        <v>PC-ABS</v>
      </c>
      <c r="B426">
        <v>8753970</v>
      </c>
      <c r="C426">
        <v>12084651</v>
      </c>
      <c r="E426">
        <v>2.29312</v>
      </c>
      <c r="F426" t="s">
        <v>4389</v>
      </c>
      <c r="G426">
        <v>95</v>
      </c>
      <c r="H426" t="s">
        <v>4390</v>
      </c>
      <c r="I426">
        <v>5</v>
      </c>
      <c r="J426">
        <v>0.50345253019720215</v>
      </c>
      <c r="K426">
        <v>0</v>
      </c>
      <c r="M426">
        <v>0</v>
      </c>
      <c r="O426">
        <v>200000</v>
      </c>
      <c r="R426" t="s">
        <v>162</v>
      </c>
      <c r="S426">
        <v>4.0431326315789473E-4</v>
      </c>
      <c r="T426">
        <v>8.1833004463157896E-4</v>
      </c>
      <c r="U426" t="s">
        <v>176</v>
      </c>
      <c r="V426">
        <v>5.6603856842105263E-3</v>
      </c>
      <c r="W426">
        <v>0.16779970772884212</v>
      </c>
      <c r="X426" t="s">
        <v>90</v>
      </c>
      <c r="Y426">
        <v>0</v>
      </c>
      <c r="Z426">
        <v>0</v>
      </c>
      <c r="AA426" t="s">
        <v>90</v>
      </c>
      <c r="AB426">
        <v>0</v>
      </c>
      <c r="AC426">
        <v>0.16779970772884212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Q426" t="s">
        <v>262</v>
      </c>
      <c r="AR426" t="s">
        <v>263</v>
      </c>
      <c r="AS426">
        <v>0.1617253052631579</v>
      </c>
    </row>
    <row r="427" spans="1:45" x14ac:dyDescent="0.15">
      <c r="A427" s="4" t="str">
        <f>HYPERLINK("https://ibp.a2mac1.com/costing(costing:projects/details/9760/material/8753971)","PC-ABS")</f>
        <v>PC-ABS</v>
      </c>
      <c r="B427">
        <v>8753971</v>
      </c>
      <c r="C427">
        <v>12084652</v>
      </c>
      <c r="E427">
        <v>2.29312</v>
      </c>
      <c r="F427" t="s">
        <v>4394</v>
      </c>
      <c r="G427">
        <v>95</v>
      </c>
      <c r="H427" t="s">
        <v>4395</v>
      </c>
      <c r="I427">
        <v>5</v>
      </c>
      <c r="J427">
        <v>0.50345253019720215</v>
      </c>
      <c r="K427">
        <v>0</v>
      </c>
      <c r="M427">
        <v>0</v>
      </c>
      <c r="O427">
        <v>200000</v>
      </c>
      <c r="R427" t="s">
        <v>162</v>
      </c>
      <c r="S427">
        <v>3.4095073684210526E-4</v>
      </c>
      <c r="T427">
        <v>6.9008429136842102E-4</v>
      </c>
      <c r="U427" t="s">
        <v>176</v>
      </c>
      <c r="V427">
        <v>4.7733103157894738E-3</v>
      </c>
      <c r="W427">
        <v>0.1415027386071579</v>
      </c>
      <c r="X427" t="s">
        <v>90</v>
      </c>
      <c r="Y427">
        <v>0</v>
      </c>
      <c r="Z427">
        <v>0</v>
      </c>
      <c r="AA427" t="s">
        <v>90</v>
      </c>
      <c r="AB427">
        <v>0</v>
      </c>
      <c r="AC427">
        <v>0.1415027386071579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Q427" t="s">
        <v>262</v>
      </c>
      <c r="AR427" t="s">
        <v>263</v>
      </c>
      <c r="AS427">
        <v>0.1363802947368421</v>
      </c>
    </row>
    <row r="428" spans="1:45" x14ac:dyDescent="0.15">
      <c r="A428" s="4" t="str">
        <f>HYPERLINK("https://ibp.a2mac1.com/costing(costing:projects/details/9760/material/8753972)","PVC + Fabric backing 3mm PU foam")</f>
        <v>PVC + Fabric backing 3mm PU foam</v>
      </c>
      <c r="B428">
        <v>8753972</v>
      </c>
      <c r="C428">
        <v>12084652</v>
      </c>
      <c r="E428">
        <v>4.91</v>
      </c>
      <c r="F428" t="s">
        <v>4397</v>
      </c>
      <c r="G428">
        <v>65</v>
      </c>
      <c r="H428" t="s">
        <v>4398</v>
      </c>
      <c r="I428">
        <v>0</v>
      </c>
      <c r="J428">
        <v>0.50345253019720215</v>
      </c>
      <c r="K428">
        <v>0</v>
      </c>
      <c r="L428">
        <v>0</v>
      </c>
      <c r="M428">
        <v>0</v>
      </c>
      <c r="O428">
        <v>200000</v>
      </c>
      <c r="R428" t="s">
        <v>162</v>
      </c>
      <c r="S428">
        <v>0</v>
      </c>
      <c r="T428">
        <v>9.9378399999999994E-4</v>
      </c>
      <c r="U428" t="s">
        <v>176</v>
      </c>
      <c r="V428">
        <v>6.8739999999999999E-3</v>
      </c>
      <c r="W428">
        <v>0.20426778400000001</v>
      </c>
      <c r="X428" t="s">
        <v>90</v>
      </c>
      <c r="Y428">
        <v>0</v>
      </c>
      <c r="Z428">
        <v>0</v>
      </c>
      <c r="AA428" t="s">
        <v>90</v>
      </c>
      <c r="AB428">
        <v>0</v>
      </c>
      <c r="AC428">
        <v>0.20426778400000001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Q428" t="s">
        <v>9</v>
      </c>
      <c r="AR428" t="s">
        <v>263</v>
      </c>
      <c r="AS428">
        <v>0.19639999999999999</v>
      </c>
    </row>
    <row r="429" spans="1:45" x14ac:dyDescent="0.15">
      <c r="A429" s="4" t="str">
        <f>HYPERLINK("https://ibp.a2mac1.com/costing(costing:projects/details/9760/material/8753973)","PC-ABS")</f>
        <v>PC-ABS</v>
      </c>
      <c r="B429">
        <v>8753973</v>
      </c>
      <c r="C429">
        <v>12084653</v>
      </c>
      <c r="E429">
        <v>2.29312</v>
      </c>
      <c r="F429" t="s">
        <v>4397</v>
      </c>
      <c r="G429">
        <v>95</v>
      </c>
      <c r="H429" t="s">
        <v>4401</v>
      </c>
      <c r="I429">
        <v>5</v>
      </c>
      <c r="J429">
        <v>0.50345253019720215</v>
      </c>
      <c r="K429">
        <v>0</v>
      </c>
      <c r="M429">
        <v>0</v>
      </c>
      <c r="O429">
        <v>200000</v>
      </c>
      <c r="R429" t="s">
        <v>162</v>
      </c>
      <c r="S429">
        <v>1.5689768421052632E-4</v>
      </c>
      <c r="T429">
        <v>3.1756091284210528E-4</v>
      </c>
      <c r="U429" t="s">
        <v>176</v>
      </c>
      <c r="V429">
        <v>2.1965675789473683E-3</v>
      </c>
      <c r="W429">
        <v>6.511630449178947E-2</v>
      </c>
      <c r="X429" t="s">
        <v>90</v>
      </c>
      <c r="Y429">
        <v>0</v>
      </c>
      <c r="Z429">
        <v>0</v>
      </c>
      <c r="AA429" t="s">
        <v>90</v>
      </c>
      <c r="AB429">
        <v>0</v>
      </c>
      <c r="AC429">
        <v>6.511630449178947E-2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Q429" t="s">
        <v>262</v>
      </c>
      <c r="AR429" t="s">
        <v>263</v>
      </c>
      <c r="AS429">
        <v>6.275907368421052E-2</v>
      </c>
    </row>
    <row r="430" spans="1:45" x14ac:dyDescent="0.15">
      <c r="A430" s="4" t="str">
        <f>HYPERLINK("https://ibp.a2mac1.com/costing(costing:projects/details/9760/material/8753974)","PP-EPDM")</f>
        <v>PP-EPDM</v>
      </c>
      <c r="B430">
        <v>8753974</v>
      </c>
      <c r="C430">
        <v>12084654</v>
      </c>
      <c r="E430">
        <v>1.7894600000000001</v>
      </c>
      <c r="F430" t="s">
        <v>4407</v>
      </c>
      <c r="G430">
        <v>95</v>
      </c>
      <c r="H430" t="s">
        <v>4408</v>
      </c>
      <c r="I430">
        <v>5</v>
      </c>
      <c r="J430">
        <v>0.50345253019720215</v>
      </c>
      <c r="K430">
        <v>0</v>
      </c>
      <c r="M430">
        <v>0</v>
      </c>
      <c r="O430">
        <v>200000</v>
      </c>
      <c r="R430" t="s">
        <v>162</v>
      </c>
      <c r="S430">
        <v>1.8035873157894737E-3</v>
      </c>
      <c r="T430">
        <v>3.6504607271578946E-3</v>
      </c>
      <c r="U430" t="s">
        <v>176</v>
      </c>
      <c r="V430">
        <v>2.5250222421052633E-2</v>
      </c>
      <c r="W430">
        <v>0.74853202214821057</v>
      </c>
      <c r="X430" t="s">
        <v>90</v>
      </c>
      <c r="Y430">
        <v>0</v>
      </c>
      <c r="Z430">
        <v>0</v>
      </c>
      <c r="AA430" t="s">
        <v>90</v>
      </c>
      <c r="AB430">
        <v>0</v>
      </c>
      <c r="AC430">
        <v>0.74853202214821057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Q430" t="s">
        <v>262</v>
      </c>
      <c r="AR430" t="s">
        <v>263</v>
      </c>
      <c r="AS430">
        <v>0.72143492631578943</v>
      </c>
    </row>
    <row r="431" spans="1:45" x14ac:dyDescent="0.15">
      <c r="A431" s="4" t="str">
        <f>HYPERLINK("https://ibp.a2mac1.com/costing(costing:projects/details/9760/material/8753975)","TPE")</f>
        <v>TPE</v>
      </c>
      <c r="B431">
        <v>8753975</v>
      </c>
      <c r="C431">
        <v>12084655</v>
      </c>
      <c r="E431">
        <v>1.5073099999999999</v>
      </c>
      <c r="F431" t="s">
        <v>4412</v>
      </c>
      <c r="G431">
        <v>95</v>
      </c>
      <c r="H431" t="s">
        <v>4413</v>
      </c>
      <c r="I431">
        <v>5</v>
      </c>
      <c r="J431">
        <v>0.50345253019720215</v>
      </c>
      <c r="K431">
        <v>0</v>
      </c>
      <c r="M431">
        <v>0</v>
      </c>
      <c r="O431">
        <v>200000</v>
      </c>
      <c r="R431" t="s">
        <v>162</v>
      </c>
      <c r="S431">
        <v>5.5135813157894734E-4</v>
      </c>
      <c r="T431">
        <v>1.1159488583157894E-3</v>
      </c>
      <c r="U431" t="s">
        <v>176</v>
      </c>
      <c r="V431">
        <v>7.7190138421052634E-3</v>
      </c>
      <c r="W431">
        <v>0.22882685720042106</v>
      </c>
      <c r="X431" t="s">
        <v>90</v>
      </c>
      <c r="Y431">
        <v>0</v>
      </c>
      <c r="Z431">
        <v>0</v>
      </c>
      <c r="AA431" t="s">
        <v>90</v>
      </c>
      <c r="AB431">
        <v>0</v>
      </c>
      <c r="AC431">
        <v>0.22882685720042106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Q431" t="s">
        <v>262</v>
      </c>
      <c r="AR431" t="s">
        <v>263</v>
      </c>
      <c r="AS431">
        <v>0.22054325263157895</v>
      </c>
    </row>
    <row r="432" spans="1:45" x14ac:dyDescent="0.15">
      <c r="A432" s="4" t="str">
        <f>HYPERLINK("https://ibp.a2mac1.com/costing(costing:projects/details/9760/material/8753976)","PP-EPDM")</f>
        <v>PP-EPDM</v>
      </c>
      <c r="B432">
        <v>8753976</v>
      </c>
      <c r="C432">
        <v>12084656</v>
      </c>
      <c r="E432">
        <v>1.7894600000000001</v>
      </c>
      <c r="F432" t="s">
        <v>4418</v>
      </c>
      <c r="G432">
        <v>95</v>
      </c>
      <c r="H432" t="s">
        <v>4419</v>
      </c>
      <c r="I432">
        <v>5</v>
      </c>
      <c r="J432">
        <v>0.50345253019720215</v>
      </c>
      <c r="K432">
        <v>0</v>
      </c>
      <c r="M432">
        <v>0</v>
      </c>
      <c r="O432">
        <v>200000</v>
      </c>
      <c r="R432" t="s">
        <v>162</v>
      </c>
      <c r="S432">
        <v>1.6623141578947368E-3</v>
      </c>
      <c r="T432">
        <v>3.3645238555789474E-3</v>
      </c>
      <c r="U432" t="s">
        <v>176</v>
      </c>
      <c r="V432">
        <v>2.3272398210526315E-2</v>
      </c>
      <c r="W432">
        <v>0.6899002710661053</v>
      </c>
      <c r="X432" t="s">
        <v>90</v>
      </c>
      <c r="Y432">
        <v>0</v>
      </c>
      <c r="Z432">
        <v>0</v>
      </c>
      <c r="AA432" t="s">
        <v>90</v>
      </c>
      <c r="AB432">
        <v>0</v>
      </c>
      <c r="AC432">
        <v>0.6899002710661053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Q432" t="s">
        <v>262</v>
      </c>
      <c r="AR432" t="s">
        <v>263</v>
      </c>
      <c r="AS432">
        <v>0.6649256631578947</v>
      </c>
    </row>
    <row r="433" spans="1:45" x14ac:dyDescent="0.15">
      <c r="A433" s="4" t="str">
        <f>HYPERLINK("https://ibp.a2mac1.com/costing(costing:projects/details/9760/material/8753977)","PC-ABS")</f>
        <v>PC-ABS</v>
      </c>
      <c r="B433">
        <v>8753977</v>
      </c>
      <c r="C433">
        <v>12084657</v>
      </c>
      <c r="E433">
        <v>2.29312</v>
      </c>
      <c r="F433" t="s">
        <v>4425</v>
      </c>
      <c r="G433">
        <v>95</v>
      </c>
      <c r="H433" t="s">
        <v>4426</v>
      </c>
      <c r="I433">
        <v>5</v>
      </c>
      <c r="J433">
        <v>0.50345253019720215</v>
      </c>
      <c r="K433">
        <v>0</v>
      </c>
      <c r="M433">
        <v>0</v>
      </c>
      <c r="O433">
        <v>200000</v>
      </c>
      <c r="R433" t="s">
        <v>162</v>
      </c>
      <c r="S433">
        <v>1.3275957894736841E-3</v>
      </c>
      <c r="T433">
        <v>2.687053877894737E-3</v>
      </c>
      <c r="U433" t="s">
        <v>176</v>
      </c>
      <c r="V433">
        <v>1.8586341052631579E-2</v>
      </c>
      <c r="W433">
        <v>0.55098411493052635</v>
      </c>
      <c r="X433" t="s">
        <v>90</v>
      </c>
      <c r="Y433">
        <v>0</v>
      </c>
      <c r="Z433">
        <v>0</v>
      </c>
      <c r="AA433" t="s">
        <v>90</v>
      </c>
      <c r="AB433">
        <v>0</v>
      </c>
      <c r="AC433">
        <v>0.55098411493052635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Q433" t="s">
        <v>262</v>
      </c>
      <c r="AR433" t="s">
        <v>263</v>
      </c>
      <c r="AS433">
        <v>0.53103831578947369</v>
      </c>
    </row>
    <row r="434" spans="1:45" x14ac:dyDescent="0.15">
      <c r="A434" s="4" t="str">
        <f>HYPERLINK("https://ibp.a2mac1.com/costing(costing:projects/details/9760/material/8753978)","PLASTIC UNKNOWN")</f>
        <v>PLASTIC UNKNOWN</v>
      </c>
      <c r="B434">
        <v>8753978</v>
      </c>
      <c r="C434">
        <v>12084658</v>
      </c>
      <c r="E434">
        <v>1.57609</v>
      </c>
      <c r="F434" t="s">
        <v>4431</v>
      </c>
      <c r="G434">
        <v>95</v>
      </c>
      <c r="H434" t="s">
        <v>4432</v>
      </c>
      <c r="I434">
        <v>0</v>
      </c>
      <c r="J434">
        <v>0.50345253019720215</v>
      </c>
      <c r="K434">
        <v>0</v>
      </c>
      <c r="L434">
        <v>0</v>
      </c>
      <c r="M434">
        <v>0</v>
      </c>
      <c r="O434">
        <v>200000</v>
      </c>
      <c r="R434" t="s">
        <v>162</v>
      </c>
      <c r="S434">
        <v>0</v>
      </c>
      <c r="T434">
        <v>6.2121172589473688E-4</v>
      </c>
      <c r="U434" t="s">
        <v>176</v>
      </c>
      <c r="V434">
        <v>4.2969190526315785E-3</v>
      </c>
      <c r="W434">
        <v>0.12768724656800001</v>
      </c>
      <c r="X434" t="s">
        <v>90</v>
      </c>
      <c r="Y434">
        <v>0</v>
      </c>
      <c r="Z434">
        <v>0</v>
      </c>
      <c r="AA434" t="s">
        <v>90</v>
      </c>
      <c r="AB434">
        <v>0</v>
      </c>
      <c r="AC434">
        <v>0.12768724656800001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Q434" t="s">
        <v>9</v>
      </c>
      <c r="AR434" t="s">
        <v>263</v>
      </c>
      <c r="AS434">
        <v>0.12276911578947368</v>
      </c>
    </row>
    <row r="435" spans="1:45" x14ac:dyDescent="0.15">
      <c r="A435" s="4" t="str">
        <f>HYPERLINK("https://ibp.a2mac1.com/costing(costing:projects/details/9760/material/8753979)","PVC + Fabric backing 3mm PU foam")</f>
        <v>PVC + Fabric backing 3mm PU foam</v>
      </c>
      <c r="B435">
        <v>8753979</v>
      </c>
      <c r="C435">
        <v>12084658</v>
      </c>
      <c r="E435">
        <v>4.91</v>
      </c>
      <c r="F435" t="s">
        <v>843</v>
      </c>
      <c r="G435">
        <v>65</v>
      </c>
      <c r="H435" t="s">
        <v>4434</v>
      </c>
      <c r="I435">
        <v>0</v>
      </c>
      <c r="J435">
        <v>0.50345253019720215</v>
      </c>
      <c r="K435">
        <v>0</v>
      </c>
      <c r="L435">
        <v>0</v>
      </c>
      <c r="M435">
        <v>0</v>
      </c>
      <c r="O435">
        <v>200000</v>
      </c>
      <c r="R435" t="s">
        <v>162</v>
      </c>
      <c r="S435">
        <v>0</v>
      </c>
      <c r="T435">
        <v>1.0702289230769232E-3</v>
      </c>
      <c r="U435" t="s">
        <v>176</v>
      </c>
      <c r="V435">
        <v>7.402769230769231E-3</v>
      </c>
      <c r="W435">
        <v>0.21998069046153845</v>
      </c>
      <c r="X435" t="s">
        <v>90</v>
      </c>
      <c r="Y435">
        <v>0</v>
      </c>
      <c r="Z435">
        <v>0</v>
      </c>
      <c r="AA435" t="s">
        <v>90</v>
      </c>
      <c r="AB435">
        <v>0</v>
      </c>
      <c r="AC435">
        <v>0.21998069046153845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Q435" t="s">
        <v>9</v>
      </c>
      <c r="AR435" t="s">
        <v>263</v>
      </c>
      <c r="AS435">
        <v>0.21150769230769231</v>
      </c>
    </row>
    <row r="436" spans="1:45" x14ac:dyDescent="0.15">
      <c r="A436" s="4" t="str">
        <f>HYPERLINK("https://ibp.a2mac1.com/costing(costing:projects/details/9760/material/8753980)","PC-ABS")</f>
        <v>PC-ABS</v>
      </c>
      <c r="B436">
        <v>8753980</v>
      </c>
      <c r="C436">
        <v>12084659</v>
      </c>
      <c r="E436">
        <v>2.29312</v>
      </c>
      <c r="F436" t="s">
        <v>4372</v>
      </c>
      <c r="G436">
        <v>95</v>
      </c>
      <c r="H436" t="s">
        <v>4373</v>
      </c>
      <c r="I436">
        <v>5</v>
      </c>
      <c r="J436">
        <v>0.50345253019720215</v>
      </c>
      <c r="K436">
        <v>0</v>
      </c>
      <c r="M436">
        <v>0</v>
      </c>
      <c r="O436">
        <v>200000</v>
      </c>
      <c r="R436" t="s">
        <v>162</v>
      </c>
      <c r="S436">
        <v>1.8707031578947368E-4</v>
      </c>
      <c r="T436">
        <v>3.7863031915789475E-4</v>
      </c>
      <c r="U436" t="s">
        <v>176</v>
      </c>
      <c r="V436">
        <v>2.6189844210526315E-3</v>
      </c>
      <c r="W436">
        <v>7.7638670740210525E-2</v>
      </c>
      <c r="X436" t="s">
        <v>90</v>
      </c>
      <c r="Y436">
        <v>0</v>
      </c>
      <c r="Z436">
        <v>0</v>
      </c>
      <c r="AA436" t="s">
        <v>90</v>
      </c>
      <c r="AB436">
        <v>0</v>
      </c>
      <c r="AC436">
        <v>7.7638670740210525E-2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Q436" t="s">
        <v>262</v>
      </c>
      <c r="AR436" t="s">
        <v>263</v>
      </c>
      <c r="AS436">
        <v>7.4828126315789473E-2</v>
      </c>
    </row>
    <row r="437" spans="1:45" x14ac:dyDescent="0.15">
      <c r="A437" s="4" t="str">
        <f>HYPERLINK("https://ibp.a2mac1.com/costing(costing:projects/details/9760/material/8754113)","PC-ABS")</f>
        <v>PC-ABS</v>
      </c>
      <c r="B437">
        <v>8754113</v>
      </c>
      <c r="C437">
        <v>12084748</v>
      </c>
      <c r="E437">
        <v>2.29312</v>
      </c>
      <c r="F437" t="s">
        <v>4444</v>
      </c>
      <c r="G437">
        <v>95</v>
      </c>
      <c r="H437" t="s">
        <v>4445</v>
      </c>
      <c r="I437">
        <v>5</v>
      </c>
      <c r="J437">
        <v>0.50345253019720215</v>
      </c>
      <c r="K437">
        <v>0</v>
      </c>
      <c r="M437">
        <v>0</v>
      </c>
      <c r="O437">
        <v>200000</v>
      </c>
      <c r="R437" t="s">
        <v>162</v>
      </c>
      <c r="S437">
        <v>6.0646989473684212E-4</v>
      </c>
      <c r="T437">
        <v>1.2274950669473683E-3</v>
      </c>
      <c r="U437" t="s">
        <v>176</v>
      </c>
      <c r="V437">
        <v>8.4905785263157899E-3</v>
      </c>
      <c r="W437">
        <v>0.25169956159326318</v>
      </c>
      <c r="X437" t="s">
        <v>90</v>
      </c>
      <c r="Y437">
        <v>0</v>
      </c>
      <c r="Z437">
        <v>0</v>
      </c>
      <c r="AA437" t="s">
        <v>90</v>
      </c>
      <c r="AB437">
        <v>0</v>
      </c>
      <c r="AC437">
        <v>0.25169956159326318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Q437" t="s">
        <v>262</v>
      </c>
      <c r="AR437" t="s">
        <v>263</v>
      </c>
      <c r="AS437">
        <v>0.24258795789473683</v>
      </c>
    </row>
    <row r="438" spans="1:45" x14ac:dyDescent="0.15">
      <c r="A438" s="4" t="str">
        <f>HYPERLINK("https://ibp.a2mac1.com/costing(costing:projects/details/9760/material/8754114)","TPU")</f>
        <v>TPU</v>
      </c>
      <c r="B438">
        <v>8754114</v>
      </c>
      <c r="C438">
        <v>12084748</v>
      </c>
      <c r="E438">
        <v>2.1818200000000001</v>
      </c>
      <c r="F438" t="s">
        <v>4444</v>
      </c>
      <c r="G438">
        <v>95</v>
      </c>
      <c r="H438" t="s">
        <v>4445</v>
      </c>
      <c r="I438">
        <v>5</v>
      </c>
      <c r="J438">
        <v>0.50345253019720215</v>
      </c>
      <c r="K438">
        <v>0</v>
      </c>
      <c r="M438">
        <v>0</v>
      </c>
      <c r="O438">
        <v>200000</v>
      </c>
      <c r="R438" t="s">
        <v>162</v>
      </c>
      <c r="S438">
        <v>5.7703397368421053E-4</v>
      </c>
      <c r="T438">
        <v>1.1679167627368422E-3</v>
      </c>
      <c r="U438" t="s">
        <v>176</v>
      </c>
      <c r="V438">
        <v>8.078475631578947E-3</v>
      </c>
      <c r="W438">
        <v>0.23948294789431579</v>
      </c>
      <c r="X438" t="s">
        <v>90</v>
      </c>
      <c r="Y438">
        <v>0</v>
      </c>
      <c r="Z438">
        <v>0</v>
      </c>
      <c r="AA438" t="s">
        <v>90</v>
      </c>
      <c r="AB438">
        <v>0</v>
      </c>
      <c r="AC438">
        <v>0.23948294789431579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Q438" t="s">
        <v>262</v>
      </c>
      <c r="AR438" t="s">
        <v>263</v>
      </c>
      <c r="AS438">
        <v>0.23081358947368422</v>
      </c>
    </row>
    <row r="439" spans="1:45" x14ac:dyDescent="0.15">
      <c r="A439" s="4" t="str">
        <f>HYPERLINK("https://ibp.a2mac1.com/costing(costing:projects/details/9760/material/8754115)","TPE")</f>
        <v>TPE</v>
      </c>
      <c r="B439">
        <v>8754115</v>
      </c>
      <c r="C439">
        <v>12084749</v>
      </c>
      <c r="E439">
        <v>1.5073099999999999</v>
      </c>
      <c r="F439" t="s">
        <v>4449</v>
      </c>
      <c r="G439">
        <v>95</v>
      </c>
      <c r="H439" t="s">
        <v>4450</v>
      </c>
      <c r="I439">
        <v>5</v>
      </c>
      <c r="J439">
        <v>0.50345253019720215</v>
      </c>
      <c r="K439">
        <v>0</v>
      </c>
      <c r="M439">
        <v>0</v>
      </c>
      <c r="O439">
        <v>200000</v>
      </c>
      <c r="R439" t="s">
        <v>162</v>
      </c>
      <c r="S439">
        <v>8.7265315789473684E-5</v>
      </c>
      <c r="T439">
        <v>1.7662499915789475E-4</v>
      </c>
      <c r="U439" t="s">
        <v>176</v>
      </c>
      <c r="V439">
        <v>1.2217144210526316E-3</v>
      </c>
      <c r="W439">
        <v>3.6217200420210524E-2</v>
      </c>
      <c r="X439" t="s">
        <v>90</v>
      </c>
      <c r="Y439">
        <v>0</v>
      </c>
      <c r="Z439">
        <v>0</v>
      </c>
      <c r="AA439" t="s">
        <v>90</v>
      </c>
      <c r="AB439">
        <v>0</v>
      </c>
      <c r="AC439">
        <v>3.6217200420210524E-2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Q439" t="s">
        <v>262</v>
      </c>
      <c r="AR439" t="s">
        <v>263</v>
      </c>
      <c r="AS439">
        <v>3.4906126315789474E-2</v>
      </c>
    </row>
    <row r="440" spans="1:45" x14ac:dyDescent="0.15">
      <c r="A440" s="4" t="str">
        <f>HYPERLINK("https://ibp.a2mac1.com/costing(costing:projects/details/9760/material/8754116)","PC-ABS")</f>
        <v>PC-ABS</v>
      </c>
      <c r="B440">
        <v>8754116</v>
      </c>
      <c r="C440">
        <v>12084750</v>
      </c>
      <c r="E440">
        <v>2.29312</v>
      </c>
      <c r="F440" t="s">
        <v>4454</v>
      </c>
      <c r="G440">
        <v>95</v>
      </c>
      <c r="H440" t="s">
        <v>4455</v>
      </c>
      <c r="I440">
        <v>5</v>
      </c>
      <c r="J440">
        <v>0.50345253019720215</v>
      </c>
      <c r="K440">
        <v>0</v>
      </c>
      <c r="M440">
        <v>0</v>
      </c>
      <c r="O440">
        <v>200000</v>
      </c>
      <c r="R440" t="s">
        <v>162</v>
      </c>
      <c r="S440">
        <v>1.5086315789473683E-4</v>
      </c>
      <c r="T440">
        <v>3.0534703157894739E-4</v>
      </c>
      <c r="U440" t="s">
        <v>176</v>
      </c>
      <c r="V440">
        <v>2.1120842105263157E-3</v>
      </c>
      <c r="W440">
        <v>6.2611831242105259E-2</v>
      </c>
      <c r="X440" t="s">
        <v>177</v>
      </c>
      <c r="Y440">
        <v>3.756709874526316E-3</v>
      </c>
      <c r="Z440">
        <v>0</v>
      </c>
      <c r="AA440" t="s">
        <v>178</v>
      </c>
      <c r="AB440">
        <v>7.5134197490526319E-3</v>
      </c>
      <c r="AC440">
        <v>7.3881960865684215E-2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Q440" t="s">
        <v>262</v>
      </c>
      <c r="AR440" t="s">
        <v>263</v>
      </c>
      <c r="AS440">
        <v>6.0345263157894735E-2</v>
      </c>
    </row>
    <row r="441" spans="1:45" x14ac:dyDescent="0.15">
      <c r="A441" s="4" t="str">
        <f>HYPERLINK("https://ibp.a2mac1.com/costing(costing:projects/details/9760/material/8753981)","PC-ABS")</f>
        <v>PC-ABS</v>
      </c>
      <c r="B441">
        <v>8753981</v>
      </c>
      <c r="C441">
        <v>12084660</v>
      </c>
      <c r="E441">
        <v>2.29312</v>
      </c>
      <c r="F441" t="s">
        <v>4475</v>
      </c>
      <c r="G441">
        <v>95</v>
      </c>
      <c r="H441" t="s">
        <v>4476</v>
      </c>
      <c r="I441">
        <v>5</v>
      </c>
      <c r="J441">
        <v>0.50345253019720215</v>
      </c>
      <c r="K441">
        <v>0</v>
      </c>
      <c r="M441">
        <v>0</v>
      </c>
      <c r="O441">
        <v>200000</v>
      </c>
      <c r="R441" t="s">
        <v>162</v>
      </c>
      <c r="S441">
        <v>9.8362778947368428E-4</v>
      </c>
      <c r="T441">
        <v>1.9908626458947369E-3</v>
      </c>
      <c r="U441" t="s">
        <v>176</v>
      </c>
      <c r="V441">
        <v>1.3770789052631578E-2</v>
      </c>
      <c r="W441">
        <v>0.40822913969852631</v>
      </c>
      <c r="X441" t="s">
        <v>90</v>
      </c>
      <c r="Y441">
        <v>0</v>
      </c>
      <c r="Z441">
        <v>0</v>
      </c>
      <c r="AA441" t="s">
        <v>90</v>
      </c>
      <c r="AB441">
        <v>0</v>
      </c>
      <c r="AC441">
        <v>0.40822913969852631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Q441" t="s">
        <v>262</v>
      </c>
      <c r="AR441" t="s">
        <v>263</v>
      </c>
      <c r="AS441">
        <v>0.39345111578947367</v>
      </c>
    </row>
    <row r="442" spans="1:45" x14ac:dyDescent="0.15">
      <c r="A442" s="4" t="str">
        <f>HYPERLINK("https://ibp.a2mac1.com/costing(costing:projects/details/9760/material/8753982)","Leather, standard")</f>
        <v>Leather, standard</v>
      </c>
      <c r="B442">
        <v>8753982</v>
      </c>
      <c r="C442">
        <v>12084661</v>
      </c>
      <c r="E442">
        <v>45</v>
      </c>
      <c r="F442" t="s">
        <v>4480</v>
      </c>
      <c r="G442">
        <v>65</v>
      </c>
      <c r="H442" t="s">
        <v>4481</v>
      </c>
      <c r="I442">
        <v>0</v>
      </c>
      <c r="J442">
        <v>0.50345253019720215</v>
      </c>
      <c r="K442">
        <v>0</v>
      </c>
      <c r="M442">
        <v>0</v>
      </c>
      <c r="O442">
        <v>200000</v>
      </c>
      <c r="R442" t="s">
        <v>162</v>
      </c>
      <c r="S442">
        <v>0</v>
      </c>
      <c r="T442">
        <v>3.7658076923076926E-2</v>
      </c>
      <c r="U442" t="s">
        <v>176</v>
      </c>
      <c r="V442">
        <v>0.26048076923076924</v>
      </c>
      <c r="W442">
        <v>7.7404465384615389</v>
      </c>
      <c r="X442" t="s">
        <v>90</v>
      </c>
      <c r="Y442">
        <v>0</v>
      </c>
      <c r="Z442">
        <v>0</v>
      </c>
      <c r="AA442" t="s">
        <v>90</v>
      </c>
      <c r="AB442">
        <v>0</v>
      </c>
      <c r="AC442">
        <v>7.7404465384615389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Q442" t="s">
        <v>9</v>
      </c>
      <c r="AR442" t="s">
        <v>263</v>
      </c>
      <c r="AS442">
        <v>7.4423076923076925</v>
      </c>
    </row>
    <row r="443" spans="1:45" x14ac:dyDescent="0.15">
      <c r="A443" s="4" t="str">
        <f>HYPERLINK("https://ibp.a2mac1.com/costing(costing:projects/details/9760/material/8753983)","PC-ABS")</f>
        <v>PC-ABS</v>
      </c>
      <c r="B443">
        <v>8753983</v>
      </c>
      <c r="C443">
        <v>12084661</v>
      </c>
      <c r="E443">
        <v>2.29312</v>
      </c>
      <c r="F443" t="s">
        <v>4480</v>
      </c>
      <c r="G443">
        <v>95</v>
      </c>
      <c r="H443" t="s">
        <v>4483</v>
      </c>
      <c r="I443">
        <v>5</v>
      </c>
      <c r="J443">
        <v>0.50345253019720215</v>
      </c>
      <c r="K443">
        <v>0</v>
      </c>
      <c r="M443">
        <v>0</v>
      </c>
      <c r="O443">
        <v>200000</v>
      </c>
      <c r="R443" t="s">
        <v>162</v>
      </c>
      <c r="S443">
        <v>6.487115789473684E-4</v>
      </c>
      <c r="T443">
        <v>1.3129922357894737E-3</v>
      </c>
      <c r="U443" t="s">
        <v>176</v>
      </c>
      <c r="V443">
        <v>9.0819621052631583E-3</v>
      </c>
      <c r="W443">
        <v>0.26923087434105264</v>
      </c>
      <c r="X443" t="s">
        <v>90</v>
      </c>
      <c r="Y443">
        <v>0</v>
      </c>
      <c r="Z443">
        <v>0</v>
      </c>
      <c r="AA443" t="s">
        <v>90</v>
      </c>
      <c r="AB443">
        <v>0</v>
      </c>
      <c r="AC443">
        <v>0.26923087434105264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Q443" t="s">
        <v>262</v>
      </c>
      <c r="AR443" t="s">
        <v>263</v>
      </c>
      <c r="AS443">
        <v>0.25948463157894736</v>
      </c>
    </row>
    <row r="444" spans="1:45" x14ac:dyDescent="0.15">
      <c r="A444" s="4" t="str">
        <f>HYPERLINK("https://ibp.a2mac1.com/costing(costing:projects/details/9760/material/8753984)","POM")</f>
        <v>POM</v>
      </c>
      <c r="B444">
        <v>8753984</v>
      </c>
      <c r="C444">
        <v>12084662</v>
      </c>
      <c r="E444">
        <v>2.12338</v>
      </c>
      <c r="F444" t="s">
        <v>4486</v>
      </c>
      <c r="G444">
        <v>95</v>
      </c>
      <c r="H444" t="s">
        <v>4487</v>
      </c>
      <c r="I444">
        <v>5</v>
      </c>
      <c r="J444">
        <v>0.50345253019720215</v>
      </c>
      <c r="K444">
        <v>0</v>
      </c>
      <c r="M444">
        <v>0</v>
      </c>
      <c r="O444">
        <v>200000</v>
      </c>
      <c r="R444" t="s">
        <v>162</v>
      </c>
      <c r="S444">
        <v>1.0616900000000001E-4</v>
      </c>
      <c r="T444">
        <v>2.1488605600000001E-4</v>
      </c>
      <c r="U444" t="s">
        <v>176</v>
      </c>
      <c r="V444">
        <v>1.486366E-3</v>
      </c>
      <c r="W444">
        <v>4.4062683056000002E-2</v>
      </c>
      <c r="X444" t="s">
        <v>90</v>
      </c>
      <c r="Y444">
        <v>0</v>
      </c>
      <c r="Z444">
        <v>0</v>
      </c>
      <c r="AA444" t="s">
        <v>90</v>
      </c>
      <c r="AB444">
        <v>0</v>
      </c>
      <c r="AC444">
        <v>4.4062683056000002E-2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Q444" t="s">
        <v>262</v>
      </c>
      <c r="AR444" t="s">
        <v>263</v>
      </c>
      <c r="AS444">
        <v>4.2467600000000001E-2</v>
      </c>
    </row>
    <row r="445" spans="1:45" x14ac:dyDescent="0.15">
      <c r="A445" s="4" t="str">
        <f>HYPERLINK("https://ibp.a2mac1.com/costing(costing:projects/details/9760/material/8753985)","Aluminum sheet (default, e.g. EN AW1050A)")</f>
        <v>Aluminum sheet (default, e.g. EN AW1050A)</v>
      </c>
      <c r="B445">
        <v>8753985</v>
      </c>
      <c r="C445">
        <v>12084663</v>
      </c>
      <c r="E445">
        <v>3.4857100000000001</v>
      </c>
      <c r="F445" t="s">
        <v>4407</v>
      </c>
      <c r="G445">
        <v>80</v>
      </c>
      <c r="H445" t="s">
        <v>4493</v>
      </c>
      <c r="I445">
        <v>30</v>
      </c>
      <c r="J445">
        <v>0.50345253019720215</v>
      </c>
      <c r="K445">
        <v>0</v>
      </c>
      <c r="M445">
        <v>0</v>
      </c>
      <c r="O445">
        <v>200000</v>
      </c>
      <c r="R445" t="s">
        <v>162</v>
      </c>
      <c r="S445">
        <v>0.10012701975</v>
      </c>
      <c r="T445">
        <v>8.4440453322500008E-3</v>
      </c>
      <c r="U445" t="s">
        <v>176</v>
      </c>
      <c r="V445">
        <v>5.8407428187499999E-2</v>
      </c>
      <c r="W445">
        <v>1.63550811626975</v>
      </c>
      <c r="X445" t="s">
        <v>90</v>
      </c>
      <c r="Y445">
        <v>0</v>
      </c>
      <c r="Z445">
        <v>0</v>
      </c>
      <c r="AA445" t="s">
        <v>90</v>
      </c>
      <c r="AB445">
        <v>0</v>
      </c>
      <c r="AC445">
        <v>1.63550811626975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Q445" t="s">
        <v>262</v>
      </c>
      <c r="AR445" t="s">
        <v>263</v>
      </c>
      <c r="AS445">
        <v>1.6687836625000001</v>
      </c>
    </row>
    <row r="446" spans="1:45" x14ac:dyDescent="0.15">
      <c r="A446" s="4" t="str">
        <f>HYPERLINK("https://ibp.a2mac1.com/costing(costing:projects/details/9760/material/8753986)","PC-ABS")</f>
        <v>PC-ABS</v>
      </c>
      <c r="B446">
        <v>8753986</v>
      </c>
      <c r="C446">
        <v>12084664</v>
      </c>
      <c r="E446">
        <v>2.29312</v>
      </c>
      <c r="F446" t="s">
        <v>4498</v>
      </c>
      <c r="G446">
        <v>95</v>
      </c>
      <c r="H446" t="s">
        <v>4499</v>
      </c>
      <c r="I446">
        <v>5</v>
      </c>
      <c r="J446">
        <v>0.50345253019720215</v>
      </c>
      <c r="K446">
        <v>0</v>
      </c>
      <c r="M446">
        <v>0</v>
      </c>
      <c r="O446">
        <v>200000</v>
      </c>
      <c r="R446" t="s">
        <v>162</v>
      </c>
      <c r="S446">
        <v>6.7586694736842103E-4</v>
      </c>
      <c r="T446">
        <v>1.3679547014736843E-3</v>
      </c>
      <c r="U446" t="s">
        <v>176</v>
      </c>
      <c r="V446">
        <v>9.4621372631578955E-3</v>
      </c>
      <c r="W446">
        <v>0.28050100396463157</v>
      </c>
      <c r="X446" t="s">
        <v>90</v>
      </c>
      <c r="Y446">
        <v>0</v>
      </c>
      <c r="Z446">
        <v>0</v>
      </c>
      <c r="AA446" t="s">
        <v>90</v>
      </c>
      <c r="AB446">
        <v>0</v>
      </c>
      <c r="AC446">
        <v>0.28050100396463157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Q446" t="s">
        <v>262</v>
      </c>
      <c r="AR446" t="s">
        <v>263</v>
      </c>
      <c r="AS446">
        <v>0.27034677894736842</v>
      </c>
    </row>
    <row r="447" spans="1:45" x14ac:dyDescent="0.15">
      <c r="A447" s="4" t="str">
        <f>HYPERLINK("https://ibp.a2mac1.com/costing(costing:projects/details/9760/material/8753987)","PLASTIC UNKNOWN")</f>
        <v>PLASTIC UNKNOWN</v>
      </c>
      <c r="B447">
        <v>8753987</v>
      </c>
      <c r="C447">
        <v>12084665</v>
      </c>
      <c r="E447">
        <v>1.57609</v>
      </c>
      <c r="F447" t="s">
        <v>4357</v>
      </c>
      <c r="G447">
        <v>95</v>
      </c>
      <c r="H447" t="s">
        <v>4358</v>
      </c>
      <c r="I447">
        <v>0</v>
      </c>
      <c r="J447">
        <v>0.50345253019720215</v>
      </c>
      <c r="K447">
        <v>0</v>
      </c>
      <c r="M447">
        <v>0</v>
      </c>
      <c r="O447">
        <v>200000</v>
      </c>
      <c r="R447" t="s">
        <v>162</v>
      </c>
      <c r="S447">
        <v>0</v>
      </c>
      <c r="T447">
        <v>1.1836601804210527E-3</v>
      </c>
      <c r="U447" t="s">
        <v>176</v>
      </c>
      <c r="V447">
        <v>8.1873727894736844E-3</v>
      </c>
      <c r="W447">
        <v>0.243295969812</v>
      </c>
      <c r="X447" t="s">
        <v>90</v>
      </c>
      <c r="Y447">
        <v>0</v>
      </c>
      <c r="Z447">
        <v>0</v>
      </c>
      <c r="AA447" t="s">
        <v>90</v>
      </c>
      <c r="AB447">
        <v>0</v>
      </c>
      <c r="AC447">
        <v>0.243295969812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Q447" t="s">
        <v>9</v>
      </c>
      <c r="AR447" t="s">
        <v>263</v>
      </c>
      <c r="AS447">
        <v>0.23392493684210527</v>
      </c>
    </row>
    <row r="448" spans="1:45" x14ac:dyDescent="0.15">
      <c r="A448" s="4" t="str">
        <f>HYPERLINK("https://ibp.a2mac1.com/costing(costing:projects/details/9760/material/8753988)","Steel sheet (default)")</f>
        <v>Steel sheet (default)</v>
      </c>
      <c r="B448">
        <v>8753988</v>
      </c>
      <c r="C448">
        <v>12084666</v>
      </c>
      <c r="E448">
        <v>0.52766000000000002</v>
      </c>
      <c r="F448" t="s">
        <v>4506</v>
      </c>
      <c r="G448">
        <v>70</v>
      </c>
      <c r="H448" t="s">
        <v>4507</v>
      </c>
      <c r="I448">
        <v>30</v>
      </c>
      <c r="J448">
        <v>0.50048257265952256</v>
      </c>
      <c r="K448">
        <v>0</v>
      </c>
      <c r="M448">
        <v>0</v>
      </c>
      <c r="O448">
        <v>400000</v>
      </c>
      <c r="R448" t="s">
        <v>162</v>
      </c>
      <c r="S448">
        <v>4.4097299999999999E-2</v>
      </c>
      <c r="T448">
        <v>2.4645490999999999E-3</v>
      </c>
      <c r="U448" t="s">
        <v>176</v>
      </c>
      <c r="V448">
        <v>1.714895E-2</v>
      </c>
      <c r="W448">
        <v>0.4654861991</v>
      </c>
      <c r="X448" t="s">
        <v>90</v>
      </c>
      <c r="Y448">
        <v>0</v>
      </c>
      <c r="Z448">
        <v>0</v>
      </c>
      <c r="AA448" t="s">
        <v>90</v>
      </c>
      <c r="AB448">
        <v>0</v>
      </c>
      <c r="AC448">
        <v>0.4654861991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Q448" t="s">
        <v>262</v>
      </c>
      <c r="AR448" t="s">
        <v>263</v>
      </c>
      <c r="AS448">
        <v>0.48997000000000002</v>
      </c>
    </row>
    <row r="449" spans="1:45" x14ac:dyDescent="0.15">
      <c r="A449" s="4" t="str">
        <f>HYPERLINK("https://ibp.a2mac1.com/costing(costing:projects/details/9760/material/8753989)","PC-ABS")</f>
        <v>PC-ABS</v>
      </c>
      <c r="B449">
        <v>8753989</v>
      </c>
      <c r="C449">
        <v>12084667</v>
      </c>
      <c r="E449">
        <v>2.29312</v>
      </c>
      <c r="F449" t="s">
        <v>4511</v>
      </c>
      <c r="G449">
        <v>95</v>
      </c>
      <c r="H449" t="s">
        <v>4512</v>
      </c>
      <c r="I449">
        <v>5</v>
      </c>
      <c r="J449">
        <v>0.50345253019720215</v>
      </c>
      <c r="K449">
        <v>0</v>
      </c>
      <c r="M449">
        <v>0</v>
      </c>
      <c r="O449">
        <v>200000</v>
      </c>
      <c r="R449" t="s">
        <v>162</v>
      </c>
      <c r="S449">
        <v>8.1466105263157894E-4</v>
      </c>
      <c r="T449">
        <v>1.6488739705263157E-3</v>
      </c>
      <c r="U449" t="s">
        <v>176</v>
      </c>
      <c r="V449">
        <v>1.1405254736842105E-2</v>
      </c>
      <c r="W449">
        <v>0.33810388870736841</v>
      </c>
      <c r="X449" t="s">
        <v>90</v>
      </c>
      <c r="Y449">
        <v>0</v>
      </c>
      <c r="Z449">
        <v>0</v>
      </c>
      <c r="AA449" t="s">
        <v>90</v>
      </c>
      <c r="AB449">
        <v>0</v>
      </c>
      <c r="AC449">
        <v>0.33810388870736841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Q449" t="s">
        <v>262</v>
      </c>
      <c r="AR449" t="s">
        <v>263</v>
      </c>
      <c r="AS449">
        <v>0.32586442105263158</v>
      </c>
    </row>
    <row r="450" spans="1:45" x14ac:dyDescent="0.15">
      <c r="A450" s="4" t="str">
        <f>HYPERLINK("https://ibp.a2mac1.com/costing(costing:projects/details/9760/material/8753990)","PC-ABS")</f>
        <v>PC-ABS</v>
      </c>
      <c r="B450">
        <v>8753990</v>
      </c>
      <c r="C450">
        <v>12084668</v>
      </c>
      <c r="E450">
        <v>2.29312</v>
      </c>
      <c r="F450" t="s">
        <v>4516</v>
      </c>
      <c r="G450">
        <v>95</v>
      </c>
      <c r="H450" t="s">
        <v>4517</v>
      </c>
      <c r="I450">
        <v>5</v>
      </c>
      <c r="J450">
        <v>0.50345253019720215</v>
      </c>
      <c r="K450">
        <v>0</v>
      </c>
      <c r="M450">
        <v>0</v>
      </c>
      <c r="O450">
        <v>200000</v>
      </c>
      <c r="R450" t="s">
        <v>162</v>
      </c>
      <c r="S450">
        <v>1.7560471578947369E-3</v>
      </c>
      <c r="T450">
        <v>3.5542394475789473E-3</v>
      </c>
      <c r="U450" t="s">
        <v>176</v>
      </c>
      <c r="V450">
        <v>2.4584660210526316E-2</v>
      </c>
      <c r="W450">
        <v>0.72880171565810525</v>
      </c>
      <c r="X450" t="s">
        <v>90</v>
      </c>
      <c r="Y450">
        <v>0</v>
      </c>
      <c r="Z450">
        <v>0</v>
      </c>
      <c r="AA450" t="s">
        <v>90</v>
      </c>
      <c r="AB450">
        <v>0</v>
      </c>
      <c r="AC450">
        <v>0.72880171565810525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Q450" t="s">
        <v>262</v>
      </c>
      <c r="AR450" t="s">
        <v>263</v>
      </c>
      <c r="AS450">
        <v>0.7024188631578947</v>
      </c>
    </row>
    <row r="451" spans="1:45" x14ac:dyDescent="0.15">
      <c r="A451" s="4" t="str">
        <f>HYPERLINK("https://ibp.a2mac1.com/costing(costing:projects/details/9760/material/8753991)","EPP")</f>
        <v>EPP</v>
      </c>
      <c r="B451">
        <v>8753991</v>
      </c>
      <c r="C451">
        <v>12084669</v>
      </c>
      <c r="E451">
        <v>2.5973999999999999</v>
      </c>
      <c r="F451" t="s">
        <v>4486</v>
      </c>
      <c r="G451">
        <v>95</v>
      </c>
      <c r="H451" t="s">
        <v>4487</v>
      </c>
      <c r="I451">
        <v>5</v>
      </c>
      <c r="J451">
        <v>0.50345253019720215</v>
      </c>
      <c r="K451">
        <v>0</v>
      </c>
      <c r="M451">
        <v>0</v>
      </c>
      <c r="O451">
        <v>200000</v>
      </c>
      <c r="R451" t="s">
        <v>162</v>
      </c>
      <c r="S451">
        <v>1.2987E-4</v>
      </c>
      <c r="T451">
        <v>2.6285688000000001E-4</v>
      </c>
      <c r="U451" t="s">
        <v>176</v>
      </c>
      <c r="V451">
        <v>1.81818E-3</v>
      </c>
      <c r="W451">
        <v>5.3899166880000002E-2</v>
      </c>
      <c r="X451" t="s">
        <v>90</v>
      </c>
      <c r="Y451">
        <v>0</v>
      </c>
      <c r="Z451">
        <v>0</v>
      </c>
      <c r="AA451" t="s">
        <v>90</v>
      </c>
      <c r="AB451">
        <v>0</v>
      </c>
      <c r="AC451">
        <v>5.3899166880000002E-2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Q451" t="s">
        <v>262</v>
      </c>
      <c r="AR451" t="s">
        <v>263</v>
      </c>
      <c r="AS451">
        <v>5.1948000000000001E-2</v>
      </c>
    </row>
    <row r="452" spans="1:45" x14ac:dyDescent="0.15">
      <c r="A452" s="4" t="str">
        <f>HYPERLINK("https://ibp.a2mac1.com/costing(costing:projects/details/9760/material/8753992)","Si")</f>
        <v>Si</v>
      </c>
      <c r="B452">
        <v>8753992</v>
      </c>
      <c r="C452">
        <v>12084670</v>
      </c>
      <c r="E452">
        <v>2.3315000000000001</v>
      </c>
      <c r="F452" t="s">
        <v>843</v>
      </c>
      <c r="G452">
        <v>95</v>
      </c>
      <c r="H452" t="s">
        <v>844</v>
      </c>
      <c r="I452">
        <v>0</v>
      </c>
      <c r="J452">
        <v>0.50345253019720215</v>
      </c>
      <c r="K452">
        <v>0</v>
      </c>
      <c r="M452">
        <v>0</v>
      </c>
      <c r="O452">
        <v>200000</v>
      </c>
      <c r="R452" t="s">
        <v>162</v>
      </c>
      <c r="S452">
        <v>0</v>
      </c>
      <c r="T452">
        <v>3.4771254736842106E-4</v>
      </c>
      <c r="U452" t="s">
        <v>176</v>
      </c>
      <c r="V452">
        <v>2.4051263157894736E-3</v>
      </c>
      <c r="W452">
        <v>7.1470733600000003E-2</v>
      </c>
      <c r="X452" t="s">
        <v>90</v>
      </c>
      <c r="Y452">
        <v>0</v>
      </c>
      <c r="Z452">
        <v>0</v>
      </c>
      <c r="AA452" t="s">
        <v>90</v>
      </c>
      <c r="AB452">
        <v>0</v>
      </c>
      <c r="AC452">
        <v>7.1470733600000003E-2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Q452" t="s">
        <v>9</v>
      </c>
      <c r="AR452" t="s">
        <v>263</v>
      </c>
      <c r="AS452">
        <v>6.8717894736842103E-2</v>
      </c>
    </row>
    <row r="453" spans="1:45" x14ac:dyDescent="0.15">
      <c r="A453" s="4" t="str">
        <f>HYPERLINK("https://ibp.a2mac1.com/costing(costing:projects/details/9760/material/8753993)","PC-ABS")</f>
        <v>PC-ABS</v>
      </c>
      <c r="B453">
        <v>8753993</v>
      </c>
      <c r="C453">
        <v>12084671</v>
      </c>
      <c r="E453">
        <v>2.29312</v>
      </c>
      <c r="F453" t="s">
        <v>4397</v>
      </c>
      <c r="G453">
        <v>95</v>
      </c>
      <c r="H453" t="s">
        <v>4401</v>
      </c>
      <c r="I453">
        <v>5</v>
      </c>
      <c r="J453">
        <v>0.50345253019720215</v>
      </c>
      <c r="K453">
        <v>0</v>
      </c>
      <c r="M453">
        <v>0</v>
      </c>
      <c r="O453">
        <v>200000</v>
      </c>
      <c r="R453" t="s">
        <v>162</v>
      </c>
      <c r="S453">
        <v>1.5689768421052632E-4</v>
      </c>
      <c r="T453">
        <v>3.1756091284210528E-4</v>
      </c>
      <c r="U453" t="s">
        <v>176</v>
      </c>
      <c r="V453">
        <v>2.1965675789473683E-3</v>
      </c>
      <c r="W453">
        <v>6.511630449178947E-2</v>
      </c>
      <c r="X453" t="s">
        <v>90</v>
      </c>
      <c r="Y453">
        <v>0</v>
      </c>
      <c r="Z453">
        <v>0</v>
      </c>
      <c r="AA453" t="s">
        <v>90</v>
      </c>
      <c r="AB453">
        <v>0</v>
      </c>
      <c r="AC453">
        <v>6.511630449178947E-2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Q453" t="s">
        <v>262</v>
      </c>
      <c r="AR453" t="s">
        <v>263</v>
      </c>
      <c r="AS453">
        <v>6.275907368421052E-2</v>
      </c>
    </row>
    <row r="454" spans="1:45" x14ac:dyDescent="0.15">
      <c r="A454" s="4" t="str">
        <f>HYPERLINK("https://ibp.a2mac1.com/costing(costing:projects/details/9760/material/8753994)","PLASTIC UNKNOWN")</f>
        <v>PLASTIC UNKNOWN</v>
      </c>
      <c r="B454">
        <v>8753994</v>
      </c>
      <c r="C454">
        <v>12084672</v>
      </c>
      <c r="E454">
        <v>1.57609</v>
      </c>
      <c r="F454" t="s">
        <v>4249</v>
      </c>
      <c r="G454">
        <v>95</v>
      </c>
      <c r="H454" t="s">
        <v>4533</v>
      </c>
      <c r="I454">
        <v>0</v>
      </c>
      <c r="J454">
        <v>0.50345253019720215</v>
      </c>
      <c r="K454">
        <v>0</v>
      </c>
      <c r="M454">
        <v>0</v>
      </c>
      <c r="O454">
        <v>200000</v>
      </c>
      <c r="R454" t="s">
        <v>162</v>
      </c>
      <c r="S454">
        <v>0</v>
      </c>
      <c r="T454">
        <v>1.7628981410526315E-4</v>
      </c>
      <c r="U454" t="s">
        <v>176</v>
      </c>
      <c r="V454">
        <v>1.219395947368421E-3</v>
      </c>
      <c r="W454">
        <v>3.6235569971999997E-2</v>
      </c>
      <c r="X454" t="s">
        <v>90</v>
      </c>
      <c r="Y454">
        <v>0</v>
      </c>
      <c r="Z454">
        <v>0</v>
      </c>
      <c r="AA454" t="s">
        <v>90</v>
      </c>
      <c r="AB454">
        <v>0</v>
      </c>
      <c r="AC454">
        <v>3.6235569971999997E-2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Q454" t="s">
        <v>9</v>
      </c>
      <c r="AR454" t="s">
        <v>263</v>
      </c>
      <c r="AS454">
        <v>3.4839884210526313E-2</v>
      </c>
    </row>
    <row r="455" spans="1:45" x14ac:dyDescent="0.15">
      <c r="A455" s="4" t="str">
        <f>HYPERLINK("https://ibp.a2mac1.com/costing(costing:projects/details/9760/material/8753995)","HDPE")</f>
        <v>HDPE</v>
      </c>
      <c r="B455">
        <v>8753995</v>
      </c>
      <c r="C455">
        <v>12084673</v>
      </c>
      <c r="E455">
        <v>0.96494000000000002</v>
      </c>
      <c r="F455" t="s">
        <v>4486</v>
      </c>
      <c r="G455">
        <v>95</v>
      </c>
      <c r="H455" t="s">
        <v>4487</v>
      </c>
      <c r="I455">
        <v>5</v>
      </c>
      <c r="J455">
        <v>0.50345253019720215</v>
      </c>
      <c r="K455">
        <v>0</v>
      </c>
      <c r="M455">
        <v>0</v>
      </c>
      <c r="O455">
        <v>200000</v>
      </c>
      <c r="R455" t="s">
        <v>162</v>
      </c>
      <c r="S455">
        <v>4.8247000000000001E-5</v>
      </c>
      <c r="T455">
        <v>9.7651927999999996E-5</v>
      </c>
      <c r="U455" t="s">
        <v>176</v>
      </c>
      <c r="V455">
        <v>6.7545799999999998E-4</v>
      </c>
      <c r="W455">
        <v>2.0023662928000001E-2</v>
      </c>
      <c r="X455" t="s">
        <v>90</v>
      </c>
      <c r="Y455">
        <v>0</v>
      </c>
      <c r="Z455">
        <v>0</v>
      </c>
      <c r="AA455" t="s">
        <v>90</v>
      </c>
      <c r="AB455">
        <v>0</v>
      </c>
      <c r="AC455">
        <v>2.0023662928000001E-2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Q455" t="s">
        <v>262</v>
      </c>
      <c r="AR455" t="s">
        <v>263</v>
      </c>
      <c r="AS455">
        <v>1.9298800000000001E-2</v>
      </c>
    </row>
    <row r="456" spans="1:45" x14ac:dyDescent="0.15">
      <c r="A456" s="4" t="str">
        <f>HYPERLINK("https://ibp.a2mac1.com/costing(costing:projects/details/9760/material/8753996)","PE")</f>
        <v>PE</v>
      </c>
      <c r="B456">
        <v>8753996</v>
      </c>
      <c r="C456">
        <v>12084674</v>
      </c>
      <c r="E456">
        <v>1.2665</v>
      </c>
      <c r="F456" t="s">
        <v>4541</v>
      </c>
      <c r="G456">
        <v>95</v>
      </c>
      <c r="H456" t="s">
        <v>4542</v>
      </c>
      <c r="I456">
        <v>5</v>
      </c>
      <c r="J456">
        <v>0.50345253019720215</v>
      </c>
      <c r="K456">
        <v>0</v>
      </c>
      <c r="M456">
        <v>0</v>
      </c>
      <c r="O456">
        <v>200000</v>
      </c>
      <c r="R456" t="s">
        <v>162</v>
      </c>
      <c r="S456">
        <v>1.9330789473684211E-4</v>
      </c>
      <c r="T456">
        <v>3.9125517894736845E-4</v>
      </c>
      <c r="U456" t="s">
        <v>176</v>
      </c>
      <c r="V456">
        <v>2.7063105263157895E-3</v>
      </c>
      <c r="W456">
        <v>8.0227415705263164E-2</v>
      </c>
      <c r="X456" t="s">
        <v>90</v>
      </c>
      <c r="Y456">
        <v>0</v>
      </c>
      <c r="Z456">
        <v>0</v>
      </c>
      <c r="AA456" t="s">
        <v>90</v>
      </c>
      <c r="AB456">
        <v>0</v>
      </c>
      <c r="AC456">
        <v>8.0227415705263164E-2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Q456" t="s">
        <v>262</v>
      </c>
      <c r="AR456" t="s">
        <v>263</v>
      </c>
      <c r="AS456">
        <v>7.7323157894736844E-2</v>
      </c>
    </row>
    <row r="457" spans="1:45" x14ac:dyDescent="0.15">
      <c r="A457" s="4" t="str">
        <f>HYPERLINK("https://ibp.a2mac1.com/costing(costing:projects/details/9760/material/8753997)","PLASTIC UNKNOWN")</f>
        <v>PLASTIC UNKNOWN</v>
      </c>
      <c r="B457">
        <v>8753997</v>
      </c>
      <c r="C457">
        <v>12084676</v>
      </c>
      <c r="E457">
        <v>1.57609</v>
      </c>
      <c r="F457" t="s">
        <v>4377</v>
      </c>
      <c r="G457">
        <v>95</v>
      </c>
      <c r="H457" t="s">
        <v>4378</v>
      </c>
      <c r="I457">
        <v>0</v>
      </c>
      <c r="J457">
        <v>0.50107657835142227</v>
      </c>
      <c r="K457">
        <v>0</v>
      </c>
      <c r="M457">
        <v>0</v>
      </c>
      <c r="O457">
        <v>1000000</v>
      </c>
      <c r="R457" t="s">
        <v>162</v>
      </c>
      <c r="S457">
        <v>0</v>
      </c>
      <c r="T457">
        <v>8.3549360421052628E-6</v>
      </c>
      <c r="U457" t="s">
        <v>176</v>
      </c>
      <c r="V457">
        <v>5.8066473684210524E-5</v>
      </c>
      <c r="W457">
        <v>1.7254635149894736E-3</v>
      </c>
      <c r="X457" t="s">
        <v>90</v>
      </c>
      <c r="Y457">
        <v>0</v>
      </c>
      <c r="Z457">
        <v>0</v>
      </c>
      <c r="AA457" t="s">
        <v>90</v>
      </c>
      <c r="AB457">
        <v>0</v>
      </c>
      <c r="AC457">
        <v>1.7254635149894736E-3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Q457" t="s">
        <v>9</v>
      </c>
      <c r="AR457" t="s">
        <v>263</v>
      </c>
      <c r="AS457">
        <v>1.6590421052631579E-3</v>
      </c>
    </row>
    <row r="458" spans="1:45" x14ac:dyDescent="0.15">
      <c r="A458" s="4" t="str">
        <f>HYPERLINK("https://ibp.a2mac1.com/costing(costing:projects/details/9760/material/8753998)","PLASTIC UNKNOWN")</f>
        <v>PLASTIC UNKNOWN</v>
      </c>
      <c r="B458">
        <v>8753998</v>
      </c>
      <c r="C458">
        <v>12084677</v>
      </c>
      <c r="E458">
        <v>1.57609</v>
      </c>
      <c r="F458" t="s">
        <v>4377</v>
      </c>
      <c r="G458">
        <v>95</v>
      </c>
      <c r="H458" t="s">
        <v>4378</v>
      </c>
      <c r="I458">
        <v>0</v>
      </c>
      <c r="J458">
        <v>0.50345253019720215</v>
      </c>
      <c r="K458">
        <v>0</v>
      </c>
      <c r="M458">
        <v>0</v>
      </c>
      <c r="O458">
        <v>200000</v>
      </c>
      <c r="R458" t="s">
        <v>162</v>
      </c>
      <c r="S458">
        <v>0</v>
      </c>
      <c r="T458">
        <v>8.3947530526315791E-6</v>
      </c>
      <c r="U458" t="s">
        <v>176</v>
      </c>
      <c r="V458">
        <v>5.8066473684210524E-5</v>
      </c>
      <c r="W458">
        <v>1.725503332E-3</v>
      </c>
      <c r="X458" t="s">
        <v>90</v>
      </c>
      <c r="Y458">
        <v>0</v>
      </c>
      <c r="Z458">
        <v>0</v>
      </c>
      <c r="AA458" t="s">
        <v>90</v>
      </c>
      <c r="AB458">
        <v>0</v>
      </c>
      <c r="AC458">
        <v>1.725503332E-3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Q458" t="s">
        <v>9</v>
      </c>
      <c r="AR458" t="s">
        <v>263</v>
      </c>
      <c r="AS458">
        <v>1.6590421052631579E-3</v>
      </c>
    </row>
    <row r="459" spans="1:45" x14ac:dyDescent="0.15">
      <c r="A459" s="4" t="str">
        <f>HYPERLINK("https://ibp.a2mac1.com/costing(costing:projects/details/9760/material/8753999)","POM")</f>
        <v>POM</v>
      </c>
      <c r="B459">
        <v>8753999</v>
      </c>
      <c r="C459">
        <v>12084678</v>
      </c>
      <c r="E459">
        <v>2.12338</v>
      </c>
      <c r="F459" t="s">
        <v>4554</v>
      </c>
      <c r="G459">
        <v>95</v>
      </c>
      <c r="H459" t="s">
        <v>4555</v>
      </c>
      <c r="I459">
        <v>5</v>
      </c>
      <c r="J459">
        <v>0.50345253019720215</v>
      </c>
      <c r="K459">
        <v>0</v>
      </c>
      <c r="M459">
        <v>0</v>
      </c>
      <c r="O459">
        <v>200000</v>
      </c>
      <c r="R459" t="s">
        <v>162</v>
      </c>
      <c r="S459">
        <v>6.1466263157894738E-5</v>
      </c>
      <c r="T459">
        <v>1.2440771663157894E-4</v>
      </c>
      <c r="U459" t="s">
        <v>176</v>
      </c>
      <c r="V459">
        <v>8.6052768421052627E-4</v>
      </c>
      <c r="W459">
        <v>2.5509974400842104E-2</v>
      </c>
      <c r="X459" t="s">
        <v>90</v>
      </c>
      <c r="Y459">
        <v>0</v>
      </c>
      <c r="Z459">
        <v>0</v>
      </c>
      <c r="AA459" t="s">
        <v>90</v>
      </c>
      <c r="AB459">
        <v>0</v>
      </c>
      <c r="AC459">
        <v>2.5509974400842104E-2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Q459" t="s">
        <v>262</v>
      </c>
      <c r="AR459" t="s">
        <v>263</v>
      </c>
      <c r="AS459">
        <v>2.4586505263157896E-2</v>
      </c>
    </row>
    <row r="460" spans="1:45" x14ac:dyDescent="0.15">
      <c r="A460" s="4" t="str">
        <f>HYPERLINK("https://ibp.a2mac1.com/costing(costing:projects/details/9760/material/8754000)","PC-ABS")</f>
        <v>PC-ABS</v>
      </c>
      <c r="B460">
        <v>8754000</v>
      </c>
      <c r="C460">
        <v>12084679</v>
      </c>
      <c r="E460">
        <v>2.29312</v>
      </c>
      <c r="F460" t="s">
        <v>4559</v>
      </c>
      <c r="G460">
        <v>95</v>
      </c>
      <c r="H460" t="s">
        <v>4560</v>
      </c>
      <c r="I460">
        <v>5</v>
      </c>
      <c r="J460">
        <v>0.50345253019720215</v>
      </c>
      <c r="K460">
        <v>0</v>
      </c>
      <c r="M460">
        <v>0</v>
      </c>
      <c r="O460">
        <v>200000</v>
      </c>
      <c r="R460" t="s">
        <v>162</v>
      </c>
      <c r="S460">
        <v>1.0862147368421052E-4</v>
      </c>
      <c r="T460">
        <v>2.1984986273684211E-4</v>
      </c>
      <c r="U460" t="s">
        <v>176</v>
      </c>
      <c r="V460">
        <v>1.5207006315789474E-3</v>
      </c>
      <c r="W460">
        <v>4.508051849431579E-2</v>
      </c>
      <c r="X460" t="s">
        <v>90</v>
      </c>
      <c r="Y460">
        <v>0</v>
      </c>
      <c r="Z460">
        <v>0</v>
      </c>
      <c r="AA460" t="s">
        <v>90</v>
      </c>
      <c r="AB460">
        <v>0</v>
      </c>
      <c r="AC460">
        <v>4.508051849431579E-2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Q460" t="s">
        <v>262</v>
      </c>
      <c r="AR460" t="s">
        <v>263</v>
      </c>
      <c r="AS460">
        <v>4.3448589473684213E-2</v>
      </c>
    </row>
    <row r="461" spans="1:45" x14ac:dyDescent="0.15">
      <c r="A461" s="4" t="str">
        <f>HYPERLINK("https://ibp.a2mac1.com/costing(costing:projects/details/9760/material/8754001)","PLASTIC UNKNOWN")</f>
        <v>PLASTIC UNKNOWN</v>
      </c>
      <c r="B461">
        <v>8754001</v>
      </c>
      <c r="C461">
        <v>12084680</v>
      </c>
      <c r="E461">
        <v>1.57609</v>
      </c>
      <c r="F461" t="s">
        <v>4564</v>
      </c>
      <c r="G461">
        <v>95</v>
      </c>
      <c r="H461" t="s">
        <v>4565</v>
      </c>
      <c r="I461">
        <v>0</v>
      </c>
      <c r="J461">
        <v>0.50345253019720215</v>
      </c>
      <c r="K461">
        <v>0</v>
      </c>
      <c r="M461">
        <v>0</v>
      </c>
      <c r="O461">
        <v>200000</v>
      </c>
      <c r="R461" t="s">
        <v>162</v>
      </c>
      <c r="S461">
        <v>0</v>
      </c>
      <c r="T461">
        <v>4.6171141789473685E-5</v>
      </c>
      <c r="U461" t="s">
        <v>176</v>
      </c>
      <c r="V461">
        <v>3.193656052631579E-4</v>
      </c>
      <c r="W461">
        <v>9.4902683259999992E-3</v>
      </c>
      <c r="X461" t="s">
        <v>90</v>
      </c>
      <c r="Y461">
        <v>0</v>
      </c>
      <c r="Z461">
        <v>0</v>
      </c>
      <c r="AA461" t="s">
        <v>90</v>
      </c>
      <c r="AB461">
        <v>0</v>
      </c>
      <c r="AC461">
        <v>9.4902683259999992E-3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Q461" t="s">
        <v>9</v>
      </c>
      <c r="AR461" t="s">
        <v>263</v>
      </c>
      <c r="AS461">
        <v>9.124731578947368E-3</v>
      </c>
    </row>
    <row r="462" spans="1:45" x14ac:dyDescent="0.15">
      <c r="A462" s="4" t="str">
        <f>HYPERLINK("https://ibp.a2mac1.com/costing(costing:projects/details/9760/material/8754002)","Steel sheet (default)")</f>
        <v>Steel sheet (default)</v>
      </c>
      <c r="B462">
        <v>8754002</v>
      </c>
      <c r="C462">
        <v>12084680</v>
      </c>
      <c r="E462">
        <v>0.52766000000000002</v>
      </c>
      <c r="F462" t="s">
        <v>4564</v>
      </c>
      <c r="G462">
        <v>70</v>
      </c>
      <c r="H462" t="s">
        <v>4567</v>
      </c>
      <c r="I462">
        <v>30</v>
      </c>
      <c r="J462">
        <v>0.50345253019720215</v>
      </c>
      <c r="K462">
        <v>0</v>
      </c>
      <c r="M462">
        <v>0</v>
      </c>
      <c r="O462">
        <v>200000</v>
      </c>
      <c r="R462" t="s">
        <v>162</v>
      </c>
      <c r="S462">
        <v>3.7313100000000002E-4</v>
      </c>
      <c r="T462">
        <v>2.0978254E-5</v>
      </c>
      <c r="U462" t="s">
        <v>176</v>
      </c>
      <c r="V462">
        <v>1.451065E-4</v>
      </c>
      <c r="W462">
        <v>3.9388537540000004E-3</v>
      </c>
      <c r="X462" t="s">
        <v>90</v>
      </c>
      <c r="Y462">
        <v>0</v>
      </c>
      <c r="Z462">
        <v>0</v>
      </c>
      <c r="AA462" t="s">
        <v>90</v>
      </c>
      <c r="AB462">
        <v>0</v>
      </c>
      <c r="AC462">
        <v>3.9388537540000004E-3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Q462" t="s">
        <v>262</v>
      </c>
      <c r="AR462" t="s">
        <v>263</v>
      </c>
      <c r="AS462">
        <v>4.1459000000000001E-3</v>
      </c>
    </row>
    <row r="463" spans="1:45" x14ac:dyDescent="0.15">
      <c r="A463" s="4" t="str">
        <f>HYPERLINK("https://ibp.a2mac1.com/costing(costing:projects/details/9760/material/8754003)","Aluminum sheet (default, e.g. EN AW1050A)")</f>
        <v>Aluminum sheet (default, e.g. EN AW1050A)</v>
      </c>
      <c r="B463">
        <v>8754003</v>
      </c>
      <c r="C463">
        <v>12084681</v>
      </c>
      <c r="E463">
        <v>3.4857100000000001</v>
      </c>
      <c r="F463" t="s">
        <v>4570</v>
      </c>
      <c r="G463">
        <v>80</v>
      </c>
      <c r="H463" t="s">
        <v>4571</v>
      </c>
      <c r="I463">
        <v>30</v>
      </c>
      <c r="J463">
        <v>0.50048257265952256</v>
      </c>
      <c r="K463">
        <v>0</v>
      </c>
      <c r="M463">
        <v>0</v>
      </c>
      <c r="O463">
        <v>400000</v>
      </c>
      <c r="R463" t="s">
        <v>162</v>
      </c>
      <c r="S463">
        <v>4.8887082749999998E-2</v>
      </c>
      <c r="T463">
        <v>4.0983671038750001E-3</v>
      </c>
      <c r="U463" t="s">
        <v>176</v>
      </c>
      <c r="V463">
        <v>2.8517464937500001E-2</v>
      </c>
      <c r="W463">
        <v>0.79851346179137495</v>
      </c>
      <c r="X463" t="s">
        <v>90</v>
      </c>
      <c r="Y463">
        <v>0</v>
      </c>
      <c r="Z463">
        <v>0</v>
      </c>
      <c r="AA463" t="s">
        <v>90</v>
      </c>
      <c r="AB463">
        <v>0</v>
      </c>
      <c r="AC463">
        <v>0.79851346179137495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Q463" t="s">
        <v>262</v>
      </c>
      <c r="AR463" t="s">
        <v>263</v>
      </c>
      <c r="AS463">
        <v>0.81478471249999995</v>
      </c>
    </row>
    <row r="464" spans="1:45" x14ac:dyDescent="0.15">
      <c r="A464" s="4" t="str">
        <f>HYPERLINK("https://ibp.a2mac1.com/costing(costing:projects/details/9760/material/8753858)","Leather, standard")</f>
        <v>Leather, standard</v>
      </c>
      <c r="B464">
        <v>8753858</v>
      </c>
      <c r="C464">
        <v>12084586</v>
      </c>
      <c r="E464">
        <v>45</v>
      </c>
      <c r="F464" t="s">
        <v>4579</v>
      </c>
      <c r="G464">
        <v>65</v>
      </c>
      <c r="H464" t="s">
        <v>4580</v>
      </c>
      <c r="I464">
        <v>0</v>
      </c>
      <c r="J464">
        <v>0.50345253019720215</v>
      </c>
      <c r="K464">
        <v>0</v>
      </c>
      <c r="M464">
        <v>0</v>
      </c>
      <c r="O464">
        <v>200000</v>
      </c>
      <c r="R464" t="s">
        <v>162</v>
      </c>
      <c r="S464">
        <v>0</v>
      </c>
      <c r="T464">
        <v>9.9837692307692301E-3</v>
      </c>
      <c r="U464" t="s">
        <v>176</v>
      </c>
      <c r="V464">
        <v>6.9057692307692306E-2</v>
      </c>
      <c r="W464">
        <v>2.0521183846153845</v>
      </c>
      <c r="X464" t="s">
        <v>90</v>
      </c>
      <c r="Y464">
        <v>0</v>
      </c>
      <c r="Z464">
        <v>0</v>
      </c>
      <c r="AA464" t="s">
        <v>90</v>
      </c>
      <c r="AB464">
        <v>0</v>
      </c>
      <c r="AC464">
        <v>2.0521183846153845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Q464" t="s">
        <v>9</v>
      </c>
      <c r="AR464" t="s">
        <v>263</v>
      </c>
      <c r="AS464">
        <v>1.9730769230769232</v>
      </c>
    </row>
    <row r="465" spans="1:45" x14ac:dyDescent="0.15">
      <c r="A465" s="4" t="str">
        <f>HYPERLINK("https://ibp.a2mac1.com/costing(costing:projects/details/9760/material/8753859)","PC-ABS")</f>
        <v>PC-ABS</v>
      </c>
      <c r="B465">
        <v>8753859</v>
      </c>
      <c r="C465">
        <v>12084586</v>
      </c>
      <c r="E465">
        <v>2.29312</v>
      </c>
      <c r="F465" t="s">
        <v>4579</v>
      </c>
      <c r="G465">
        <v>95</v>
      </c>
      <c r="H465" t="s">
        <v>4582</v>
      </c>
      <c r="I465">
        <v>5</v>
      </c>
      <c r="J465">
        <v>0.50345253019720215</v>
      </c>
      <c r="K465">
        <v>0</v>
      </c>
      <c r="M465">
        <v>0</v>
      </c>
      <c r="O465">
        <v>200000</v>
      </c>
      <c r="R465" t="s">
        <v>162</v>
      </c>
      <c r="S465">
        <v>1.71984E-4</v>
      </c>
      <c r="T465">
        <v>3.4809561600000001E-4</v>
      </c>
      <c r="U465" t="s">
        <v>176</v>
      </c>
      <c r="V465">
        <v>2.4077759999999999E-3</v>
      </c>
      <c r="W465">
        <v>7.1377487616000004E-2</v>
      </c>
      <c r="X465" t="s">
        <v>90</v>
      </c>
      <c r="Y465">
        <v>0</v>
      </c>
      <c r="Z465">
        <v>0</v>
      </c>
      <c r="AA465" t="s">
        <v>90</v>
      </c>
      <c r="AB465">
        <v>0</v>
      </c>
      <c r="AC465">
        <v>7.1377487616000004E-2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Q465" t="s">
        <v>262</v>
      </c>
      <c r="AR465" t="s">
        <v>263</v>
      </c>
      <c r="AS465">
        <v>6.8793599999999996E-2</v>
      </c>
    </row>
    <row r="466" spans="1:45" x14ac:dyDescent="0.15">
      <c r="A466" s="4" t="str">
        <f>HYPERLINK("https://ibp.a2mac1.com/costing(costing:projects/details/9760/material/8753860)","PVC + Fabric backing 3mm PU foam")</f>
        <v>PVC + Fabric backing 3mm PU foam</v>
      </c>
      <c r="B466">
        <v>8753860</v>
      </c>
      <c r="C466">
        <v>12084587</v>
      </c>
      <c r="E466">
        <v>4.91</v>
      </c>
      <c r="F466" t="s">
        <v>4585</v>
      </c>
      <c r="G466">
        <v>65</v>
      </c>
      <c r="H466" t="s">
        <v>4586</v>
      </c>
      <c r="I466">
        <v>0</v>
      </c>
      <c r="J466">
        <v>0.50345253019720215</v>
      </c>
      <c r="K466">
        <v>0</v>
      </c>
      <c r="L466">
        <v>0</v>
      </c>
      <c r="M466">
        <v>0</v>
      </c>
      <c r="O466">
        <v>200000</v>
      </c>
      <c r="R466" t="s">
        <v>162</v>
      </c>
      <c r="S466">
        <v>0</v>
      </c>
      <c r="T466">
        <v>4.2044707692307694E-3</v>
      </c>
      <c r="U466" t="s">
        <v>176</v>
      </c>
      <c r="V466">
        <v>2.9082307692307692E-2</v>
      </c>
      <c r="W466">
        <v>0.86420985538461537</v>
      </c>
      <c r="X466" t="s">
        <v>177</v>
      </c>
      <c r="Y466">
        <v>5.1852591323076923E-2</v>
      </c>
      <c r="Z466">
        <v>0</v>
      </c>
      <c r="AA466" t="s">
        <v>178</v>
      </c>
      <c r="AB466">
        <v>0.10370518264615385</v>
      </c>
      <c r="AC466">
        <v>1.0197676293538462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Q466" t="s">
        <v>9</v>
      </c>
      <c r="AR466" t="s">
        <v>263</v>
      </c>
      <c r="AS466">
        <v>0.83092307692307688</v>
      </c>
    </row>
    <row r="467" spans="1:45" x14ac:dyDescent="0.15">
      <c r="A467" s="4" t="str">
        <f>HYPERLINK("https://ibp.a2mac1.com/costing(costing:projects/details/9760/material/8753861)","PC-ABS")</f>
        <v>PC-ABS</v>
      </c>
      <c r="B467">
        <v>8753861</v>
      </c>
      <c r="C467">
        <v>12084587</v>
      </c>
      <c r="E467">
        <v>2.29312</v>
      </c>
      <c r="F467" t="s">
        <v>4588</v>
      </c>
      <c r="G467">
        <v>95</v>
      </c>
      <c r="H467" t="s">
        <v>4589</v>
      </c>
      <c r="I467">
        <v>5</v>
      </c>
      <c r="J467">
        <v>0.50345253019720215</v>
      </c>
      <c r="K467">
        <v>0</v>
      </c>
      <c r="L467">
        <v>0</v>
      </c>
      <c r="M467">
        <v>0</v>
      </c>
      <c r="O467">
        <v>200000</v>
      </c>
      <c r="R467" t="s">
        <v>162</v>
      </c>
      <c r="S467">
        <v>1.6112185263157895E-3</v>
      </c>
      <c r="T467">
        <v>3.2611062972631578E-3</v>
      </c>
      <c r="U467" t="s">
        <v>176</v>
      </c>
      <c r="V467">
        <v>2.2557059368421051E-2</v>
      </c>
      <c r="W467">
        <v>0.66869435766568419</v>
      </c>
      <c r="X467" t="s">
        <v>177</v>
      </c>
      <c r="Y467">
        <v>4.0121661459941053E-2</v>
      </c>
      <c r="Z467">
        <v>0</v>
      </c>
      <c r="AA467" t="s">
        <v>178</v>
      </c>
      <c r="AB467">
        <v>8.0243322919882107E-2</v>
      </c>
      <c r="AC467">
        <v>0.78905934204550732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Q467" t="s">
        <v>262</v>
      </c>
      <c r="AR467" t="s">
        <v>263</v>
      </c>
      <c r="AS467">
        <v>0.64448741052631575</v>
      </c>
    </row>
    <row r="468" spans="1:45" x14ac:dyDescent="0.15">
      <c r="A468" s="4" t="str">
        <f>HYPERLINK("https://ibp.a2mac1.com/costing(costing:projects/details/9760/material/8753862)","PC-ABS")</f>
        <v>PC-ABS</v>
      </c>
      <c r="B468">
        <v>8753862</v>
      </c>
      <c r="C468">
        <v>12084588</v>
      </c>
      <c r="E468">
        <v>2.29312</v>
      </c>
      <c r="F468" t="s">
        <v>4592</v>
      </c>
      <c r="G468">
        <v>95</v>
      </c>
      <c r="H468" t="s">
        <v>4593</v>
      </c>
      <c r="I468">
        <v>5</v>
      </c>
      <c r="J468">
        <v>0.50345253019720215</v>
      </c>
      <c r="K468">
        <v>0</v>
      </c>
      <c r="M468">
        <v>0</v>
      </c>
      <c r="O468">
        <v>200000</v>
      </c>
      <c r="R468" t="s">
        <v>162</v>
      </c>
      <c r="S468">
        <v>4.8276210526315791E-5</v>
      </c>
      <c r="T468">
        <v>9.771105010526316E-5</v>
      </c>
      <c r="U468" t="s">
        <v>176</v>
      </c>
      <c r="V468">
        <v>6.7586694736842103E-4</v>
      </c>
      <c r="W468">
        <v>2.0035785997473684E-2</v>
      </c>
      <c r="X468" t="s">
        <v>90</v>
      </c>
      <c r="Y468">
        <v>0</v>
      </c>
      <c r="Z468">
        <v>0</v>
      </c>
      <c r="AA468" t="s">
        <v>90</v>
      </c>
      <c r="AB468">
        <v>0</v>
      </c>
      <c r="AC468">
        <v>2.0035785997473684E-2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Q468" t="s">
        <v>262</v>
      </c>
      <c r="AR468" t="s">
        <v>263</v>
      </c>
      <c r="AS468">
        <v>1.9310484210526314E-2</v>
      </c>
    </row>
    <row r="469" spans="1:45" x14ac:dyDescent="0.15">
      <c r="A469" s="4" t="str">
        <f>HYPERLINK("https://ibp.a2mac1.com/costing(costing:projects/details/9760/material/8753863)","PP-EPDM")</f>
        <v>PP-EPDM</v>
      </c>
      <c r="B469">
        <v>8753863</v>
      </c>
      <c r="C469">
        <v>12084589</v>
      </c>
      <c r="E469">
        <v>1.7894600000000001</v>
      </c>
      <c r="F469" t="s">
        <v>4592</v>
      </c>
      <c r="G469">
        <v>95</v>
      </c>
      <c r="H469" t="s">
        <v>4593</v>
      </c>
      <c r="I469">
        <v>5</v>
      </c>
      <c r="J469">
        <v>0.50345253019720215</v>
      </c>
      <c r="K469">
        <v>0</v>
      </c>
      <c r="M469">
        <v>0</v>
      </c>
      <c r="O469">
        <v>200000</v>
      </c>
      <c r="R469" t="s">
        <v>162</v>
      </c>
      <c r="S469">
        <v>3.7672842105263161E-5</v>
      </c>
      <c r="T469">
        <v>7.6249832421052628E-5</v>
      </c>
      <c r="U469" t="s">
        <v>176</v>
      </c>
      <c r="V469">
        <v>5.2741978947368423E-4</v>
      </c>
      <c r="W469">
        <v>1.5635133621894736E-2</v>
      </c>
      <c r="X469" t="s">
        <v>90</v>
      </c>
      <c r="Y469">
        <v>0</v>
      </c>
      <c r="Z469">
        <v>0</v>
      </c>
      <c r="AA469" t="s">
        <v>90</v>
      </c>
      <c r="AB469">
        <v>0</v>
      </c>
      <c r="AC469">
        <v>1.5635133621894736E-2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Q469" t="s">
        <v>262</v>
      </c>
      <c r="AR469" t="s">
        <v>263</v>
      </c>
      <c r="AS469">
        <v>1.5069136842105263E-2</v>
      </c>
    </row>
    <row r="470" spans="1:45" x14ac:dyDescent="0.15">
      <c r="A470" s="4" t="str">
        <f>HYPERLINK("https://ibp.a2mac1.com/costing(costing:projects/details/9760/material/8753864)","PP-EPDM")</f>
        <v>PP-EPDM</v>
      </c>
      <c r="B470">
        <v>8753864</v>
      </c>
      <c r="C470">
        <v>12084590</v>
      </c>
      <c r="E470">
        <v>1.7894600000000001</v>
      </c>
      <c r="F470" t="s">
        <v>4592</v>
      </c>
      <c r="G470">
        <v>95</v>
      </c>
      <c r="H470" t="s">
        <v>4593</v>
      </c>
      <c r="I470">
        <v>5</v>
      </c>
      <c r="J470">
        <v>0.50345253019720215</v>
      </c>
      <c r="K470">
        <v>0</v>
      </c>
      <c r="M470">
        <v>0</v>
      </c>
      <c r="O470">
        <v>200000</v>
      </c>
      <c r="R470" t="s">
        <v>162</v>
      </c>
      <c r="S470">
        <v>3.7672842105263161E-5</v>
      </c>
      <c r="T470">
        <v>7.6249832421052628E-5</v>
      </c>
      <c r="U470" t="s">
        <v>176</v>
      </c>
      <c r="V470">
        <v>5.2741978947368423E-4</v>
      </c>
      <c r="W470">
        <v>1.5635133621894736E-2</v>
      </c>
      <c r="X470" t="s">
        <v>90</v>
      </c>
      <c r="Y470">
        <v>0</v>
      </c>
      <c r="Z470">
        <v>0</v>
      </c>
      <c r="AA470" t="s">
        <v>90</v>
      </c>
      <c r="AB470">
        <v>0</v>
      </c>
      <c r="AC470">
        <v>1.5635133621894736E-2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Q470" t="s">
        <v>262</v>
      </c>
      <c r="AR470" t="s">
        <v>263</v>
      </c>
      <c r="AS470">
        <v>1.5069136842105263E-2</v>
      </c>
    </row>
    <row r="471" spans="1:45" x14ac:dyDescent="0.15">
      <c r="A471" s="4" t="str">
        <f>HYPERLINK("https://ibp.a2mac1.com/costing(costing:projects/details/9760/material/8753865)","POM")</f>
        <v>POM</v>
      </c>
      <c r="B471">
        <v>8753865</v>
      </c>
      <c r="C471">
        <v>12084591</v>
      </c>
      <c r="E471">
        <v>2.12338</v>
      </c>
      <c r="F471" t="s">
        <v>1652</v>
      </c>
      <c r="G471">
        <v>95</v>
      </c>
      <c r="H471" t="s">
        <v>4603</v>
      </c>
      <c r="I471">
        <v>5</v>
      </c>
      <c r="J471">
        <v>0.50048257265952256</v>
      </c>
      <c r="K471">
        <v>0</v>
      </c>
      <c r="M471">
        <v>0</v>
      </c>
      <c r="O471">
        <v>400000</v>
      </c>
      <c r="R471" t="s">
        <v>162</v>
      </c>
      <c r="S471">
        <v>2.4027721052631578E-4</v>
      </c>
      <c r="T471">
        <v>4.834377475789474E-4</v>
      </c>
      <c r="U471" t="s">
        <v>176</v>
      </c>
      <c r="V471">
        <v>3.3638809473684212E-3</v>
      </c>
      <c r="W471">
        <v>9.9717925694947362E-2</v>
      </c>
      <c r="X471" t="s">
        <v>90</v>
      </c>
      <c r="Y471">
        <v>0</v>
      </c>
      <c r="Z471">
        <v>0</v>
      </c>
      <c r="AA471" t="s">
        <v>90</v>
      </c>
      <c r="AB471">
        <v>0</v>
      </c>
      <c r="AC471">
        <v>9.9717925694947362E-2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Q471" t="s">
        <v>262</v>
      </c>
      <c r="AR471" t="s">
        <v>263</v>
      </c>
      <c r="AS471">
        <v>9.6110884210526312E-2</v>
      </c>
    </row>
    <row r="472" spans="1:45" x14ac:dyDescent="0.15">
      <c r="A472" s="4" t="str">
        <f>HYPERLINK("https://ibp.a2mac1.com/costing(costing:projects/details/9760/material/8754004)","Several Material")</f>
        <v>Several Material</v>
      </c>
      <c r="B472">
        <v>8754004</v>
      </c>
      <c r="C472">
        <v>12084682</v>
      </c>
      <c r="D472" t="s">
        <v>4610</v>
      </c>
      <c r="E472">
        <v>41.91</v>
      </c>
      <c r="F472" t="s">
        <v>478</v>
      </c>
      <c r="G472">
        <v>100</v>
      </c>
      <c r="H472" t="s">
        <v>479</v>
      </c>
      <c r="I472">
        <v>0</v>
      </c>
      <c r="J472">
        <v>0.50345253019720215</v>
      </c>
      <c r="K472">
        <v>0</v>
      </c>
      <c r="L472">
        <v>0</v>
      </c>
      <c r="M472">
        <v>0</v>
      </c>
      <c r="O472">
        <v>200000</v>
      </c>
      <c r="R472" t="s">
        <v>162</v>
      </c>
      <c r="S472">
        <v>0</v>
      </c>
      <c r="T472">
        <v>0.21206459999999999</v>
      </c>
      <c r="U472" t="s">
        <v>176</v>
      </c>
      <c r="V472">
        <v>1.46685</v>
      </c>
      <c r="W472">
        <v>43.588914600000003</v>
      </c>
      <c r="X472" t="s">
        <v>177</v>
      </c>
      <c r="Y472">
        <v>2.6153348759999999</v>
      </c>
      <c r="Z472">
        <v>0</v>
      </c>
      <c r="AA472" t="s">
        <v>178</v>
      </c>
      <c r="AB472">
        <v>5.2306697519999998</v>
      </c>
      <c r="AC472">
        <v>51.434919227999998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Q472" t="s">
        <v>9</v>
      </c>
      <c r="AR472" t="s">
        <v>263</v>
      </c>
      <c r="AS472">
        <v>41.91</v>
      </c>
    </row>
    <row r="473" spans="1:45" x14ac:dyDescent="0.15">
      <c r="A473" s="4" t="str">
        <f>HYPERLINK("https://ibp.a2mac1.com/costing(costing:projects/details/9760/material/8754117)","Several Material")</f>
        <v>Several Material</v>
      </c>
      <c r="B473">
        <v>8754117</v>
      </c>
      <c r="C473">
        <v>12084751</v>
      </c>
      <c r="D473" t="s">
        <v>4618</v>
      </c>
      <c r="E473">
        <v>10.99</v>
      </c>
      <c r="F473" t="s">
        <v>478</v>
      </c>
      <c r="G473">
        <v>100</v>
      </c>
      <c r="H473" t="s">
        <v>479</v>
      </c>
      <c r="I473">
        <v>0</v>
      </c>
      <c r="J473">
        <v>0.50345253019720215</v>
      </c>
      <c r="K473">
        <v>0</v>
      </c>
      <c r="L473">
        <v>0</v>
      </c>
      <c r="M473">
        <v>0</v>
      </c>
      <c r="O473">
        <v>200000</v>
      </c>
      <c r="R473" t="s">
        <v>162</v>
      </c>
      <c r="S473">
        <v>0</v>
      </c>
      <c r="T473">
        <v>5.5609400000000003E-2</v>
      </c>
      <c r="U473" t="s">
        <v>176</v>
      </c>
      <c r="V473">
        <v>0.38464999999999999</v>
      </c>
      <c r="W473">
        <v>11.430259400000001</v>
      </c>
      <c r="X473" t="s">
        <v>177</v>
      </c>
      <c r="Y473">
        <v>0.68581556399999999</v>
      </c>
      <c r="Z473">
        <v>0</v>
      </c>
      <c r="AA473" t="s">
        <v>178</v>
      </c>
      <c r="AB473">
        <v>1.371631128</v>
      </c>
      <c r="AC473">
        <v>13.487706092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Q473" t="s">
        <v>9</v>
      </c>
      <c r="AR473" t="s">
        <v>263</v>
      </c>
      <c r="AS473">
        <v>10.99</v>
      </c>
    </row>
    <row r="474" spans="1:45" x14ac:dyDescent="0.15">
      <c r="A474" s="4" t="str">
        <f>HYPERLINK("https://ibp.a2mac1.com/costing(costing:projects/details/9760/material/8754118)","Several Material")</f>
        <v>Several Material</v>
      </c>
      <c r="B474">
        <v>8754118</v>
      </c>
      <c r="C474">
        <v>12084752</v>
      </c>
      <c r="D474" t="s">
        <v>4618</v>
      </c>
      <c r="E474">
        <v>10.99</v>
      </c>
      <c r="F474" t="s">
        <v>478</v>
      </c>
      <c r="G474">
        <v>100</v>
      </c>
      <c r="H474" t="s">
        <v>479</v>
      </c>
      <c r="I474">
        <v>0</v>
      </c>
      <c r="J474">
        <v>0.50345253019720215</v>
      </c>
      <c r="K474">
        <v>0</v>
      </c>
      <c r="L474">
        <v>0</v>
      </c>
      <c r="M474">
        <v>0</v>
      </c>
      <c r="O474">
        <v>200000</v>
      </c>
      <c r="R474" t="s">
        <v>162</v>
      </c>
      <c r="S474">
        <v>0</v>
      </c>
      <c r="T474">
        <v>5.5609400000000003E-2</v>
      </c>
      <c r="U474" t="s">
        <v>176</v>
      </c>
      <c r="V474">
        <v>0.38464999999999999</v>
      </c>
      <c r="W474">
        <v>11.430259400000001</v>
      </c>
      <c r="X474" t="s">
        <v>177</v>
      </c>
      <c r="Y474">
        <v>0.68581556399999999</v>
      </c>
      <c r="Z474">
        <v>0</v>
      </c>
      <c r="AA474" t="s">
        <v>178</v>
      </c>
      <c r="AB474">
        <v>1.371631128</v>
      </c>
      <c r="AC474">
        <v>13.487706092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Q474" t="s">
        <v>9</v>
      </c>
      <c r="AR474" t="s">
        <v>263</v>
      </c>
      <c r="AS474">
        <v>10.99</v>
      </c>
    </row>
    <row r="475" spans="1:45" x14ac:dyDescent="0.15">
      <c r="A475" s="4" t="str">
        <f>HYPERLINK("https://ibp.a2mac1.com/costing(costing:projects/details/9760/material/8754119)","Leather, standard")</f>
        <v>Leather, standard</v>
      </c>
      <c r="B475">
        <v>8754119</v>
      </c>
      <c r="C475">
        <v>12084753</v>
      </c>
      <c r="E475">
        <v>0.38</v>
      </c>
      <c r="F475" t="s">
        <v>478</v>
      </c>
      <c r="G475">
        <v>100</v>
      </c>
      <c r="H475" t="s">
        <v>479</v>
      </c>
      <c r="I475">
        <v>0</v>
      </c>
      <c r="J475">
        <v>0.50345253019720215</v>
      </c>
      <c r="K475">
        <v>0</v>
      </c>
      <c r="L475">
        <v>0</v>
      </c>
      <c r="M475">
        <v>0</v>
      </c>
      <c r="O475">
        <v>200000</v>
      </c>
      <c r="R475" t="s">
        <v>162</v>
      </c>
      <c r="S475">
        <v>0</v>
      </c>
      <c r="T475">
        <v>1.9227999999999999E-3</v>
      </c>
      <c r="U475" t="s">
        <v>176</v>
      </c>
      <c r="V475">
        <v>1.3299999999999999E-2</v>
      </c>
      <c r="W475">
        <v>0.39522279999999999</v>
      </c>
      <c r="X475" t="s">
        <v>177</v>
      </c>
      <c r="Y475">
        <v>2.3713367999999999E-2</v>
      </c>
      <c r="Z475">
        <v>0</v>
      </c>
      <c r="AA475" t="s">
        <v>178</v>
      </c>
      <c r="AB475">
        <v>4.7426735999999997E-2</v>
      </c>
      <c r="AC475">
        <v>0.46636290400000002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Q475" t="s">
        <v>9</v>
      </c>
      <c r="AR475" t="s">
        <v>263</v>
      </c>
      <c r="AS475">
        <v>0.38</v>
      </c>
    </row>
    <row r="476" spans="1:45" x14ac:dyDescent="0.15">
      <c r="A476" s="4" t="str">
        <f>HYPERLINK("https://ibp.a2mac1.com/costing(costing:projects/details/9760/material/8754120)","Leather, standard")</f>
        <v>Leather, standard</v>
      </c>
      <c r="B476">
        <v>8754120</v>
      </c>
      <c r="C476">
        <v>12084754</v>
      </c>
      <c r="E476">
        <v>0.38</v>
      </c>
      <c r="F476" t="s">
        <v>478</v>
      </c>
      <c r="G476">
        <v>100</v>
      </c>
      <c r="H476" t="s">
        <v>479</v>
      </c>
      <c r="I476">
        <v>0</v>
      </c>
      <c r="J476">
        <v>0.50048257265952256</v>
      </c>
      <c r="K476">
        <v>0</v>
      </c>
      <c r="L476">
        <v>0</v>
      </c>
      <c r="M476">
        <v>0</v>
      </c>
      <c r="O476">
        <v>400000</v>
      </c>
      <c r="R476" t="s">
        <v>162</v>
      </c>
      <c r="S476">
        <v>0</v>
      </c>
      <c r="T476">
        <v>1.9113999999999999E-3</v>
      </c>
      <c r="U476" t="s">
        <v>176</v>
      </c>
      <c r="V476">
        <v>1.3299999999999999E-2</v>
      </c>
      <c r="W476">
        <v>0.39521139999999999</v>
      </c>
      <c r="X476" t="s">
        <v>177</v>
      </c>
      <c r="Y476">
        <v>2.3712684000000001E-2</v>
      </c>
      <c r="Z476">
        <v>0</v>
      </c>
      <c r="AA476" t="s">
        <v>178</v>
      </c>
      <c r="AB476">
        <v>4.7425368000000002E-2</v>
      </c>
      <c r="AC476">
        <v>0.466349452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Q476" t="s">
        <v>9</v>
      </c>
      <c r="AR476" t="s">
        <v>263</v>
      </c>
      <c r="AS476">
        <v>0.38</v>
      </c>
    </row>
    <row r="477" spans="1:45" x14ac:dyDescent="0.15">
      <c r="A477" s="4" t="str">
        <f>HYPERLINK("https://ibp.a2mac1.com/costing(costing:projects/details/9760/material/8754121)","PLASTIC UNKNOWN")</f>
        <v>PLASTIC UNKNOWN</v>
      </c>
      <c r="B477">
        <v>8754121</v>
      </c>
      <c r="C477">
        <v>12084755</v>
      </c>
      <c r="E477">
        <v>1.57609</v>
      </c>
      <c r="F477" t="s">
        <v>4636</v>
      </c>
      <c r="G477">
        <v>95</v>
      </c>
      <c r="H477" t="s">
        <v>4637</v>
      </c>
      <c r="I477">
        <v>0</v>
      </c>
      <c r="J477">
        <v>0.50345253019720215</v>
      </c>
      <c r="K477">
        <v>0</v>
      </c>
      <c r="M477">
        <v>0</v>
      </c>
      <c r="O477">
        <v>200000</v>
      </c>
      <c r="R477" t="s">
        <v>162</v>
      </c>
      <c r="S477">
        <v>0</v>
      </c>
      <c r="T477">
        <v>6.044222197894737E-4</v>
      </c>
      <c r="U477" t="s">
        <v>176</v>
      </c>
      <c r="V477">
        <v>4.1807861052631581E-3</v>
      </c>
      <c r="W477">
        <v>0.124236239904</v>
      </c>
      <c r="X477" t="s">
        <v>177</v>
      </c>
      <c r="Y477">
        <v>7.4541743942400001E-3</v>
      </c>
      <c r="Z477">
        <v>0</v>
      </c>
      <c r="AA477" t="s">
        <v>178</v>
      </c>
      <c r="AB477">
        <v>1.490834878848E-2</v>
      </c>
      <c r="AC477">
        <v>0.14659876308672001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Q477" t="s">
        <v>9</v>
      </c>
      <c r="AR477" t="s">
        <v>263</v>
      </c>
      <c r="AS477">
        <v>0.11945103157894738</v>
      </c>
    </row>
    <row r="478" spans="1:45" x14ac:dyDescent="0.15">
      <c r="A478" s="4" t="str">
        <f>HYPERLINK("https://ibp.a2mac1.com/costing(costing:projects/details/9760/material/8754122)","PLASTIC UNKNOWN")</f>
        <v>PLASTIC UNKNOWN</v>
      </c>
      <c r="B478">
        <v>8754122</v>
      </c>
      <c r="C478">
        <v>12084756</v>
      </c>
      <c r="E478">
        <v>1.57609</v>
      </c>
      <c r="F478" t="s">
        <v>4636</v>
      </c>
      <c r="G478">
        <v>95</v>
      </c>
      <c r="H478" t="s">
        <v>4637</v>
      </c>
      <c r="I478">
        <v>0</v>
      </c>
      <c r="J478">
        <v>0.50048257265952256</v>
      </c>
      <c r="K478">
        <v>0</v>
      </c>
      <c r="M478">
        <v>0</v>
      </c>
      <c r="O478">
        <v>400000</v>
      </c>
      <c r="R478" t="s">
        <v>162</v>
      </c>
      <c r="S478">
        <v>0</v>
      </c>
      <c r="T478">
        <v>6.0083868884210523E-4</v>
      </c>
      <c r="U478" t="s">
        <v>176</v>
      </c>
      <c r="V478">
        <v>4.1807861052631581E-3</v>
      </c>
      <c r="W478">
        <v>0.12423265637305263</v>
      </c>
      <c r="X478" t="s">
        <v>177</v>
      </c>
      <c r="Y478">
        <v>7.4539593823831577E-3</v>
      </c>
      <c r="Z478">
        <v>0</v>
      </c>
      <c r="AA478" t="s">
        <v>178</v>
      </c>
      <c r="AB478">
        <v>1.4907918764766315E-2</v>
      </c>
      <c r="AC478">
        <v>0.1465945345202021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Q478" t="s">
        <v>9</v>
      </c>
      <c r="AR478" t="s">
        <v>263</v>
      </c>
      <c r="AS478">
        <v>0.11945103157894738</v>
      </c>
    </row>
    <row r="479" spans="1:45" x14ac:dyDescent="0.15">
      <c r="A479" s="4" t="str">
        <f>HYPERLINK("https://ibp.a2mac1.com/costing(costing:projects/details/9760/material/8754005)","PC-ABS + Paint")</f>
        <v>PC-ABS + Paint</v>
      </c>
      <c r="B479">
        <v>8754005</v>
      </c>
      <c r="C479">
        <v>12084683</v>
      </c>
      <c r="E479">
        <v>3.5000000000000003E-2</v>
      </c>
      <c r="F479" t="s">
        <v>478</v>
      </c>
      <c r="G479">
        <v>100</v>
      </c>
      <c r="H479" t="s">
        <v>479</v>
      </c>
      <c r="I479">
        <v>0</v>
      </c>
      <c r="J479">
        <v>0.50048257265952256</v>
      </c>
      <c r="K479">
        <v>0</v>
      </c>
      <c r="L479">
        <v>0</v>
      </c>
      <c r="M479">
        <v>0</v>
      </c>
      <c r="O479">
        <v>400000</v>
      </c>
      <c r="R479" t="s">
        <v>162</v>
      </c>
      <c r="S479">
        <v>0</v>
      </c>
      <c r="T479">
        <v>1.7605E-4</v>
      </c>
      <c r="U479" t="s">
        <v>176</v>
      </c>
      <c r="V479">
        <v>1.225E-3</v>
      </c>
      <c r="W479">
        <v>3.6401049999999997E-2</v>
      </c>
      <c r="X479" t="s">
        <v>177</v>
      </c>
      <c r="Y479">
        <v>2.184063E-3</v>
      </c>
      <c r="Z479">
        <v>0</v>
      </c>
      <c r="AA479" t="s">
        <v>178</v>
      </c>
      <c r="AB479">
        <v>4.368126E-3</v>
      </c>
      <c r="AC479">
        <v>4.2953238999999997E-2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Q479" t="s">
        <v>9</v>
      </c>
      <c r="AR479" t="s">
        <v>263</v>
      </c>
      <c r="AS479">
        <v>3.5000000000000003E-2</v>
      </c>
    </row>
    <row r="480" spans="1:45" x14ac:dyDescent="0.15">
      <c r="A480" s="4" t="str">
        <f>HYPERLINK("https://ibp.a2mac1.com/costing(costing:projects/details/9760/material/8754203)","PP-EPDM")</f>
        <v>PP-EPDM</v>
      </c>
      <c r="B480">
        <v>8754203</v>
      </c>
      <c r="C480">
        <v>12084812</v>
      </c>
      <c r="E480">
        <v>1.7894600000000001</v>
      </c>
      <c r="F480" t="s">
        <v>4660</v>
      </c>
      <c r="G480">
        <v>95</v>
      </c>
      <c r="H480" t="s">
        <v>4661</v>
      </c>
      <c r="I480">
        <v>5</v>
      </c>
      <c r="J480">
        <v>0.50345253019720215</v>
      </c>
      <c r="K480">
        <v>0</v>
      </c>
      <c r="M480">
        <v>0</v>
      </c>
      <c r="O480">
        <v>200000</v>
      </c>
      <c r="R480" t="s">
        <v>162</v>
      </c>
      <c r="S480">
        <v>1.1207670526315789E-3</v>
      </c>
      <c r="T480">
        <v>2.268432514526316E-3</v>
      </c>
      <c r="U480" t="s">
        <v>176</v>
      </c>
      <c r="V480">
        <v>1.5690738736842104E-2</v>
      </c>
      <c r="W480">
        <v>0.46514522525136842</v>
      </c>
      <c r="X480" t="s">
        <v>177</v>
      </c>
      <c r="Y480">
        <v>2.7908713515082104E-2</v>
      </c>
      <c r="Z480">
        <v>0</v>
      </c>
      <c r="AA480" t="s">
        <v>178</v>
      </c>
      <c r="AB480">
        <v>5.5817427030164207E-2</v>
      </c>
      <c r="AC480">
        <v>0.54887136579661477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Q480" t="s">
        <v>262</v>
      </c>
      <c r="AR480" t="s">
        <v>263</v>
      </c>
      <c r="AS480">
        <v>0.44830682105263159</v>
      </c>
    </row>
    <row r="481" spans="1:45" x14ac:dyDescent="0.15">
      <c r="A481" s="4" t="str">
        <f>HYPERLINK("https://ibp.a2mac1.com/costing(costing:projects/details/9760/material/8754123)","PC-ABS+artificial Suede+foam")</f>
        <v>PC-ABS+artificial Suede+foam</v>
      </c>
      <c r="B481">
        <v>8754123</v>
      </c>
      <c r="C481">
        <v>12084758</v>
      </c>
      <c r="E481">
        <v>1.43</v>
      </c>
      <c r="F481" t="s">
        <v>478</v>
      </c>
      <c r="G481">
        <v>100</v>
      </c>
      <c r="H481" t="s">
        <v>479</v>
      </c>
      <c r="I481">
        <v>0</v>
      </c>
      <c r="J481">
        <v>0.50345253019720215</v>
      </c>
      <c r="K481">
        <v>0</v>
      </c>
      <c r="L481">
        <v>0</v>
      </c>
      <c r="M481">
        <v>0</v>
      </c>
      <c r="O481">
        <v>200000</v>
      </c>
      <c r="R481" t="s">
        <v>162</v>
      </c>
      <c r="S481">
        <v>0</v>
      </c>
      <c r="T481">
        <v>7.2357999999999997E-3</v>
      </c>
      <c r="U481" t="s">
        <v>176</v>
      </c>
      <c r="V481">
        <v>5.0049999999999997E-2</v>
      </c>
      <c r="W481">
        <v>1.4872858</v>
      </c>
      <c r="X481" t="s">
        <v>177</v>
      </c>
      <c r="Y481">
        <v>8.9237148000000002E-2</v>
      </c>
      <c r="Z481">
        <v>0</v>
      </c>
      <c r="AA481" t="s">
        <v>178</v>
      </c>
      <c r="AB481">
        <v>0.178474296</v>
      </c>
      <c r="AC481">
        <v>1.7549972439999999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Q481" t="s">
        <v>9</v>
      </c>
      <c r="AR481" t="s">
        <v>263</v>
      </c>
      <c r="AS481">
        <v>1.43</v>
      </c>
    </row>
    <row r="482" spans="1:45" x14ac:dyDescent="0.15">
      <c r="A482" s="4" t="str">
        <f>HYPERLINK("https://ibp.a2mac1.com/costing(costing:projects/details/9760/material/8754124)","PP-EPDM")</f>
        <v>PP-EPDM</v>
      </c>
      <c r="B482">
        <v>8754124</v>
      </c>
      <c r="C482">
        <v>12084759</v>
      </c>
      <c r="E482">
        <v>1.7894600000000001</v>
      </c>
      <c r="F482" t="s">
        <v>4671</v>
      </c>
      <c r="G482">
        <v>95</v>
      </c>
      <c r="H482" t="s">
        <v>4672</v>
      </c>
      <c r="I482">
        <v>5</v>
      </c>
      <c r="J482">
        <v>0.50345253019720215</v>
      </c>
      <c r="K482">
        <v>0</v>
      </c>
      <c r="M482">
        <v>0</v>
      </c>
      <c r="O482">
        <v>200000</v>
      </c>
      <c r="R482" t="s">
        <v>162</v>
      </c>
      <c r="S482">
        <v>2.3969345789473682E-3</v>
      </c>
      <c r="T482">
        <v>4.8513955877894739E-3</v>
      </c>
      <c r="U482" t="s">
        <v>176</v>
      </c>
      <c r="V482">
        <v>3.355708410526316E-2</v>
      </c>
      <c r="W482">
        <v>0.99478537669305267</v>
      </c>
      <c r="X482" t="s">
        <v>177</v>
      </c>
      <c r="Y482">
        <v>5.968712260158316E-2</v>
      </c>
      <c r="Z482">
        <v>0</v>
      </c>
      <c r="AA482" t="s">
        <v>178</v>
      </c>
      <c r="AB482">
        <v>0.11937424520316632</v>
      </c>
      <c r="AC482">
        <v>1.173846744497802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Q482" t="s">
        <v>262</v>
      </c>
      <c r="AR482" t="s">
        <v>263</v>
      </c>
      <c r="AS482">
        <v>0.95877383157894736</v>
      </c>
    </row>
    <row r="483" spans="1:45" x14ac:dyDescent="0.15">
      <c r="A483" s="4" t="str">
        <f>HYPERLINK("https://ibp.a2mac1.com/costing(costing:projects/details/9760/material/8754125)","ABS+artificial Suede+foam")</f>
        <v>ABS+artificial Suede+foam</v>
      </c>
      <c r="B483">
        <v>8754125</v>
      </c>
      <c r="C483">
        <v>12084760</v>
      </c>
      <c r="E483">
        <v>0.61</v>
      </c>
      <c r="F483" t="s">
        <v>478</v>
      </c>
      <c r="G483">
        <v>100</v>
      </c>
      <c r="H483" t="s">
        <v>479</v>
      </c>
      <c r="I483">
        <v>0</v>
      </c>
      <c r="J483">
        <v>0.50345253019720215</v>
      </c>
      <c r="K483">
        <v>0</v>
      </c>
      <c r="L483">
        <v>0</v>
      </c>
      <c r="M483">
        <v>0</v>
      </c>
      <c r="O483">
        <v>200000</v>
      </c>
      <c r="R483" t="s">
        <v>162</v>
      </c>
      <c r="S483">
        <v>0</v>
      </c>
      <c r="T483">
        <v>3.0866000000000001E-3</v>
      </c>
      <c r="U483" t="s">
        <v>176</v>
      </c>
      <c r="V483">
        <v>2.1350000000000001E-2</v>
      </c>
      <c r="W483">
        <v>0.63443660000000002</v>
      </c>
      <c r="X483" t="s">
        <v>177</v>
      </c>
      <c r="Y483">
        <v>3.8066195999999997E-2</v>
      </c>
      <c r="Z483">
        <v>0</v>
      </c>
      <c r="AA483" t="s">
        <v>178</v>
      </c>
      <c r="AB483">
        <v>7.6132391999999993E-2</v>
      </c>
      <c r="AC483">
        <v>0.74863518799999995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Q483" t="s">
        <v>9</v>
      </c>
      <c r="AR483" t="s">
        <v>263</v>
      </c>
      <c r="AS483">
        <v>0.61</v>
      </c>
    </row>
    <row r="484" spans="1:45" x14ac:dyDescent="0.15">
      <c r="A484" s="4" t="str">
        <f>HYPERLINK("https://ibp.a2mac1.com/costing(costing:projects/details/9760/material/8754126)","PP-EPDM")</f>
        <v>PP-EPDM</v>
      </c>
      <c r="B484">
        <v>8754126</v>
      </c>
      <c r="C484">
        <v>12084761</v>
      </c>
      <c r="E484">
        <v>1.7894600000000001</v>
      </c>
      <c r="F484" t="s">
        <v>4680</v>
      </c>
      <c r="G484">
        <v>95</v>
      </c>
      <c r="H484" t="s">
        <v>4681</v>
      </c>
      <c r="I484">
        <v>5</v>
      </c>
      <c r="J484">
        <v>0.50345253019720215</v>
      </c>
      <c r="K484">
        <v>0</v>
      </c>
      <c r="M484">
        <v>0</v>
      </c>
      <c r="O484">
        <v>200000</v>
      </c>
      <c r="R484" t="s">
        <v>162</v>
      </c>
      <c r="S484">
        <v>2.9855727368421053E-3</v>
      </c>
      <c r="T484">
        <v>6.0427992193684207E-3</v>
      </c>
      <c r="U484" t="s">
        <v>176</v>
      </c>
      <c r="V484">
        <v>4.179801831578947E-2</v>
      </c>
      <c r="W484">
        <v>1.2390843395351578</v>
      </c>
      <c r="X484" t="s">
        <v>177</v>
      </c>
      <c r="Y484">
        <v>7.4345060372109473E-2</v>
      </c>
      <c r="Z484">
        <v>0</v>
      </c>
      <c r="AA484" t="s">
        <v>178</v>
      </c>
      <c r="AB484">
        <v>0.14869012074421895</v>
      </c>
      <c r="AC484">
        <v>1.4621195206514863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Q484" t="s">
        <v>262</v>
      </c>
      <c r="AR484" t="s">
        <v>263</v>
      </c>
      <c r="AS484">
        <v>1.1942290947368421</v>
      </c>
    </row>
    <row r="485" spans="1:45" x14ac:dyDescent="0.15">
      <c r="A485" s="4" t="str">
        <f>HYPERLINK("https://ibp.a2mac1.com/costing(costing:projects/details/9760/material/8754127)","ABS+artificial Suede+foam")</f>
        <v>ABS+artificial Suede+foam</v>
      </c>
      <c r="B485">
        <v>8754127</v>
      </c>
      <c r="C485">
        <v>12084762</v>
      </c>
      <c r="E485">
        <v>0.85</v>
      </c>
      <c r="F485" t="s">
        <v>478</v>
      </c>
      <c r="G485">
        <v>100</v>
      </c>
      <c r="H485" t="s">
        <v>479</v>
      </c>
      <c r="I485">
        <v>0</v>
      </c>
      <c r="J485">
        <v>0.50345253019720215</v>
      </c>
      <c r="K485">
        <v>0</v>
      </c>
      <c r="L485">
        <v>0</v>
      </c>
      <c r="M485">
        <v>0</v>
      </c>
      <c r="O485">
        <v>200000</v>
      </c>
      <c r="R485" t="s">
        <v>162</v>
      </c>
      <c r="S485">
        <v>0</v>
      </c>
      <c r="T485">
        <v>4.3010000000000001E-3</v>
      </c>
      <c r="U485" t="s">
        <v>176</v>
      </c>
      <c r="V485">
        <v>2.9749999999999999E-2</v>
      </c>
      <c r="W485">
        <v>0.88405100000000003</v>
      </c>
      <c r="X485" t="s">
        <v>177</v>
      </c>
      <c r="Y485">
        <v>5.3043060000000003E-2</v>
      </c>
      <c r="Z485">
        <v>0</v>
      </c>
      <c r="AA485" t="s">
        <v>178</v>
      </c>
      <c r="AB485">
        <v>0.10608612000000001</v>
      </c>
      <c r="AC485">
        <v>1.04318018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Q485" t="s">
        <v>9</v>
      </c>
      <c r="AR485" t="s">
        <v>263</v>
      </c>
      <c r="AS485">
        <v>0.85</v>
      </c>
    </row>
    <row r="486" spans="1:45" x14ac:dyDescent="0.15">
      <c r="A486" s="4" t="str">
        <f>HYPERLINK("https://ibp.a2mac1.com/costing(costing:projects/details/9760/material/8754128)","ABS+artificial Suede+foam")</f>
        <v>ABS+artificial Suede+foam</v>
      </c>
      <c r="B486">
        <v>8754128</v>
      </c>
      <c r="C486">
        <v>12084763</v>
      </c>
      <c r="E486">
        <v>1.41</v>
      </c>
      <c r="F486" t="s">
        <v>478</v>
      </c>
      <c r="G486">
        <v>100</v>
      </c>
      <c r="H486" t="s">
        <v>479</v>
      </c>
      <c r="I486">
        <v>0</v>
      </c>
      <c r="J486">
        <v>0.50345253019720215</v>
      </c>
      <c r="K486">
        <v>0</v>
      </c>
      <c r="L486">
        <v>0</v>
      </c>
      <c r="M486">
        <v>0</v>
      </c>
      <c r="O486">
        <v>200000</v>
      </c>
      <c r="R486" t="s">
        <v>162</v>
      </c>
      <c r="S486">
        <v>0</v>
      </c>
      <c r="T486">
        <v>7.1345999999999996E-3</v>
      </c>
      <c r="U486" t="s">
        <v>176</v>
      </c>
      <c r="V486">
        <v>4.9349999999999998E-2</v>
      </c>
      <c r="W486">
        <v>1.4664846</v>
      </c>
      <c r="X486" t="s">
        <v>177</v>
      </c>
      <c r="Y486">
        <v>8.7989075999999999E-2</v>
      </c>
      <c r="Z486">
        <v>0</v>
      </c>
      <c r="AA486" t="s">
        <v>178</v>
      </c>
      <c r="AB486">
        <v>0.175978152</v>
      </c>
      <c r="AC486">
        <v>1.7304518280000001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Q486" t="s">
        <v>9</v>
      </c>
      <c r="AR486" t="s">
        <v>263</v>
      </c>
      <c r="AS486">
        <v>1.41</v>
      </c>
    </row>
    <row r="487" spans="1:45" x14ac:dyDescent="0.15">
      <c r="A487" s="4" t="str">
        <f>HYPERLINK("https://ibp.a2mac1.com/costing(costing:projects/details/9760/material/8754129)","ABS")</f>
        <v>ABS</v>
      </c>
      <c r="B487">
        <v>8754129</v>
      </c>
      <c r="C487">
        <v>12084764</v>
      </c>
      <c r="E487">
        <v>2.5272700000000001</v>
      </c>
      <c r="F487" t="s">
        <v>4296</v>
      </c>
      <c r="G487">
        <v>95</v>
      </c>
      <c r="H487" t="s">
        <v>4297</v>
      </c>
      <c r="I487">
        <v>5</v>
      </c>
      <c r="J487">
        <v>0.50345253019720215</v>
      </c>
      <c r="K487">
        <v>0</v>
      </c>
      <c r="L487">
        <v>0</v>
      </c>
      <c r="M487">
        <v>0</v>
      </c>
      <c r="O487">
        <v>200000</v>
      </c>
      <c r="R487" t="s">
        <v>162</v>
      </c>
      <c r="S487">
        <v>2.3410501052631579E-3</v>
      </c>
      <c r="T487">
        <v>4.7382854130526312E-3</v>
      </c>
      <c r="U487" t="s">
        <v>176</v>
      </c>
      <c r="V487">
        <v>3.2774701473684213E-2</v>
      </c>
      <c r="W487">
        <v>0.97159197888673687</v>
      </c>
      <c r="X487" t="s">
        <v>177</v>
      </c>
      <c r="Y487">
        <v>5.829551873320421E-2</v>
      </c>
      <c r="Z487">
        <v>0</v>
      </c>
      <c r="AA487" t="s">
        <v>178</v>
      </c>
      <c r="AB487">
        <v>0.11659103746640842</v>
      </c>
      <c r="AC487">
        <v>1.1464785350863496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Q487" t="s">
        <v>262</v>
      </c>
      <c r="AR487" t="s">
        <v>263</v>
      </c>
      <c r="AS487">
        <v>0.9364200421052632</v>
      </c>
    </row>
    <row r="488" spans="1:45" x14ac:dyDescent="0.15">
      <c r="A488" s="4" t="str">
        <f>HYPERLINK("https://ibp.a2mac1.com/costing(costing:projects/details/9760/material/8754130)","PP-EPDM")</f>
        <v>PP-EPDM</v>
      </c>
      <c r="B488">
        <v>8754130</v>
      </c>
      <c r="C488">
        <v>12084765</v>
      </c>
      <c r="E488">
        <v>1.7894600000000001</v>
      </c>
      <c r="F488" t="s">
        <v>4695</v>
      </c>
      <c r="G488">
        <v>95</v>
      </c>
      <c r="H488" t="s">
        <v>4696</v>
      </c>
      <c r="I488">
        <v>5</v>
      </c>
      <c r="J488">
        <v>0.50345253019720215</v>
      </c>
      <c r="K488">
        <v>0</v>
      </c>
      <c r="M488">
        <v>0</v>
      </c>
      <c r="O488">
        <v>200000</v>
      </c>
      <c r="R488" t="s">
        <v>162</v>
      </c>
      <c r="S488">
        <v>1.0501304736842106E-3</v>
      </c>
      <c r="T488">
        <v>2.1254640787368422E-3</v>
      </c>
      <c r="U488" t="s">
        <v>176</v>
      </c>
      <c r="V488">
        <v>1.4701826631578947E-2</v>
      </c>
      <c r="W488">
        <v>0.43582934971031578</v>
      </c>
      <c r="X488" t="s">
        <v>177</v>
      </c>
      <c r="Y488">
        <v>2.6149760982618949E-2</v>
      </c>
      <c r="Z488">
        <v>0</v>
      </c>
      <c r="AA488" t="s">
        <v>178</v>
      </c>
      <c r="AB488">
        <v>5.2299521965237898E-2</v>
      </c>
      <c r="AC488">
        <v>0.51427863265817264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Q488" t="s">
        <v>262</v>
      </c>
      <c r="AR488" t="s">
        <v>263</v>
      </c>
      <c r="AS488">
        <v>0.42005218947368422</v>
      </c>
    </row>
    <row r="489" spans="1:45" x14ac:dyDescent="0.15">
      <c r="A489" s="4" t="str">
        <f>HYPERLINK("https://ibp.a2mac1.com/costing(costing:projects/details/9760/material/8754131)","PP-EPDM")</f>
        <v>PP-EPDM</v>
      </c>
      <c r="B489">
        <v>8754131</v>
      </c>
      <c r="C489">
        <v>12084766</v>
      </c>
      <c r="E489">
        <v>1.7894600000000001</v>
      </c>
      <c r="F489" t="s">
        <v>4700</v>
      </c>
      <c r="G489">
        <v>95</v>
      </c>
      <c r="H489" t="s">
        <v>4701</v>
      </c>
      <c r="I489">
        <v>5</v>
      </c>
      <c r="J489">
        <v>0.50345253019720215</v>
      </c>
      <c r="K489">
        <v>0</v>
      </c>
      <c r="M489">
        <v>0</v>
      </c>
      <c r="O489">
        <v>200000</v>
      </c>
      <c r="R489" t="s">
        <v>162</v>
      </c>
      <c r="S489">
        <v>2.5617532631578947E-3</v>
      </c>
      <c r="T489">
        <v>5.1849886046315789E-3</v>
      </c>
      <c r="U489" t="s">
        <v>176</v>
      </c>
      <c r="V489">
        <v>3.5864545684210526E-2</v>
      </c>
      <c r="W489">
        <v>1.063189086288842</v>
      </c>
      <c r="X489" t="s">
        <v>177</v>
      </c>
      <c r="Y489">
        <v>6.3791345177330525E-2</v>
      </c>
      <c r="Z489">
        <v>0</v>
      </c>
      <c r="AA489" t="s">
        <v>178</v>
      </c>
      <c r="AB489">
        <v>0.12758269035466105</v>
      </c>
      <c r="AC489">
        <v>1.2545631218208337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Q489" t="s">
        <v>262</v>
      </c>
      <c r="AR489" t="s">
        <v>263</v>
      </c>
      <c r="AS489">
        <v>1.0247013052631579</v>
      </c>
    </row>
    <row r="490" spans="1:45" x14ac:dyDescent="0.15">
      <c r="A490" s="4" t="str">
        <f>HYPERLINK("https://ibp.a2mac1.com/costing(costing:projects/details/9760/material/8754132)","PC-ABS+artificial Suede+foam")</f>
        <v>PC-ABS+artificial Suede+foam</v>
      </c>
      <c r="B490">
        <v>8754132</v>
      </c>
      <c r="C490">
        <v>12084767</v>
      </c>
      <c r="E490">
        <v>0.43</v>
      </c>
      <c r="F490" t="s">
        <v>478</v>
      </c>
      <c r="G490">
        <v>100</v>
      </c>
      <c r="H490" t="s">
        <v>479</v>
      </c>
      <c r="I490">
        <v>0</v>
      </c>
      <c r="J490">
        <v>0.50345253019720215</v>
      </c>
      <c r="K490">
        <v>0</v>
      </c>
      <c r="L490">
        <v>0</v>
      </c>
      <c r="M490">
        <v>0</v>
      </c>
      <c r="O490">
        <v>200000</v>
      </c>
      <c r="R490" t="s">
        <v>162</v>
      </c>
      <c r="S490">
        <v>0</v>
      </c>
      <c r="T490">
        <v>2.1757999999999999E-3</v>
      </c>
      <c r="U490" t="s">
        <v>176</v>
      </c>
      <c r="V490">
        <v>1.5049999999999999E-2</v>
      </c>
      <c r="W490">
        <v>0.44722580000000001</v>
      </c>
      <c r="X490" t="s">
        <v>177</v>
      </c>
      <c r="Y490">
        <v>2.6833547999999999E-2</v>
      </c>
      <c r="Z490">
        <v>0</v>
      </c>
      <c r="AA490" t="s">
        <v>178</v>
      </c>
      <c r="AB490">
        <v>5.3667095999999997E-2</v>
      </c>
      <c r="AC490">
        <v>0.52772644400000002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Q490" t="s">
        <v>9</v>
      </c>
      <c r="AR490" t="s">
        <v>263</v>
      </c>
      <c r="AS490">
        <v>0.43</v>
      </c>
    </row>
    <row r="491" spans="1:45" x14ac:dyDescent="0.15">
      <c r="A491" s="4" t="str">
        <f>HYPERLINK("https://ibp.a2mac1.com/costing(costing:projects/details/9760/material/8754136)","PP EPDM+artificial Suede+foam")</f>
        <v>PP EPDM+artificial Suede+foam</v>
      </c>
      <c r="B491">
        <v>8754136</v>
      </c>
      <c r="C491">
        <v>12084768</v>
      </c>
      <c r="E491">
        <v>1.91</v>
      </c>
      <c r="F491" t="s">
        <v>478</v>
      </c>
      <c r="G491">
        <v>100</v>
      </c>
      <c r="H491" t="s">
        <v>479</v>
      </c>
      <c r="I491">
        <v>0</v>
      </c>
      <c r="J491">
        <v>0.50345253019720215</v>
      </c>
      <c r="K491">
        <v>0</v>
      </c>
      <c r="L491">
        <v>0</v>
      </c>
      <c r="M491">
        <v>0</v>
      </c>
      <c r="O491">
        <v>200000</v>
      </c>
      <c r="R491" t="s">
        <v>162</v>
      </c>
      <c r="S491">
        <v>0</v>
      </c>
      <c r="T491">
        <v>9.6646000000000006E-3</v>
      </c>
      <c r="U491" t="s">
        <v>176</v>
      </c>
      <c r="V491">
        <v>6.6850000000000007E-2</v>
      </c>
      <c r="W491">
        <v>1.9865146</v>
      </c>
      <c r="X491" t="s">
        <v>177</v>
      </c>
      <c r="Y491">
        <v>0.119190876</v>
      </c>
      <c r="Z491">
        <v>0</v>
      </c>
      <c r="AA491" t="s">
        <v>178</v>
      </c>
      <c r="AB491">
        <v>0.238381752</v>
      </c>
      <c r="AC491">
        <v>2.3440872279999998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Q491" t="s">
        <v>9</v>
      </c>
      <c r="AR491" t="s">
        <v>263</v>
      </c>
      <c r="AS491">
        <v>1.91</v>
      </c>
    </row>
    <row r="492" spans="1:45" x14ac:dyDescent="0.15">
      <c r="A492" s="4" t="str">
        <f>HYPERLINK("https://ibp.a2mac1.com/costing(costing:projects/details/9760/material/8754204)","PET adjusted (part)")</f>
        <v>PET adjusted (part)</v>
      </c>
      <c r="B492">
        <v>8754204</v>
      </c>
      <c r="C492">
        <v>12084835</v>
      </c>
      <c r="E492">
        <v>2.3199999999999998</v>
      </c>
      <c r="F492" t="s">
        <v>478</v>
      </c>
      <c r="G492">
        <v>100</v>
      </c>
      <c r="H492" t="s">
        <v>479</v>
      </c>
      <c r="I492">
        <v>5</v>
      </c>
      <c r="J492">
        <v>0.50345253019720215</v>
      </c>
      <c r="K492">
        <v>0</v>
      </c>
      <c r="L492">
        <v>0</v>
      </c>
      <c r="M492">
        <v>0</v>
      </c>
      <c r="O492">
        <v>200000</v>
      </c>
      <c r="R492" t="s">
        <v>162</v>
      </c>
      <c r="S492">
        <v>0</v>
      </c>
      <c r="T492">
        <v>1.17392E-2</v>
      </c>
      <c r="U492" t="s">
        <v>176</v>
      </c>
      <c r="V492">
        <v>8.1199999999999994E-2</v>
      </c>
      <c r="W492">
        <v>2.4129391999999998</v>
      </c>
      <c r="X492" t="s">
        <v>177</v>
      </c>
      <c r="Y492">
        <v>0.144776352</v>
      </c>
      <c r="Z492">
        <v>0</v>
      </c>
      <c r="AA492" t="s">
        <v>178</v>
      </c>
      <c r="AB492">
        <v>0.28955270399999999</v>
      </c>
      <c r="AC492">
        <v>2.847268256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Q492" t="s">
        <v>262</v>
      </c>
      <c r="AR492" t="s">
        <v>263</v>
      </c>
      <c r="AS492">
        <v>2.3199999999999998</v>
      </c>
    </row>
    <row r="493" spans="1:45" x14ac:dyDescent="0.15">
      <c r="A493" s="4" t="str">
        <f>HYPERLINK("https://ibp.a2mac1.com/costing(costing:projects/details/9760/material/8754205)","PET adjusted (part)")</f>
        <v>PET adjusted (part)</v>
      </c>
      <c r="B493">
        <v>8754205</v>
      </c>
      <c r="C493">
        <v>12084836</v>
      </c>
      <c r="E493">
        <v>0.08</v>
      </c>
      <c r="F493" t="s">
        <v>478</v>
      </c>
      <c r="G493">
        <v>100</v>
      </c>
      <c r="H493" t="s">
        <v>479</v>
      </c>
      <c r="I493">
        <v>5</v>
      </c>
      <c r="J493">
        <v>0.50345253019720215</v>
      </c>
      <c r="K493">
        <v>0</v>
      </c>
      <c r="L493">
        <v>0</v>
      </c>
      <c r="M493">
        <v>0</v>
      </c>
      <c r="O493">
        <v>200000</v>
      </c>
      <c r="R493" t="s">
        <v>162</v>
      </c>
      <c r="S493">
        <v>0</v>
      </c>
      <c r="T493">
        <v>4.0479999999999997E-4</v>
      </c>
      <c r="U493" t="s">
        <v>176</v>
      </c>
      <c r="V493">
        <v>2.8E-3</v>
      </c>
      <c r="W493">
        <v>8.3204799999999995E-2</v>
      </c>
      <c r="X493" t="s">
        <v>177</v>
      </c>
      <c r="Y493">
        <v>4.9922880000000001E-3</v>
      </c>
      <c r="Z493">
        <v>0</v>
      </c>
      <c r="AA493" t="s">
        <v>178</v>
      </c>
      <c r="AB493">
        <v>9.9845760000000002E-3</v>
      </c>
      <c r="AC493">
        <v>9.8181664000000002E-2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Q493" t="s">
        <v>262</v>
      </c>
      <c r="AR493" t="s">
        <v>263</v>
      </c>
      <c r="AS493">
        <v>0.08</v>
      </c>
    </row>
    <row r="494" spans="1:45" x14ac:dyDescent="0.15">
      <c r="A494" s="4" t="str">
        <f>HYPERLINK("https://ibp.a2mac1.com/costing(costing:projects/details/9760/material/8754206)","PET adjusted (part)")</f>
        <v>PET adjusted (part)</v>
      </c>
      <c r="B494">
        <v>8754206</v>
      </c>
      <c r="C494">
        <v>12084837</v>
      </c>
      <c r="E494">
        <v>2.3199999999999998</v>
      </c>
      <c r="F494" t="s">
        <v>478</v>
      </c>
      <c r="G494">
        <v>100</v>
      </c>
      <c r="H494" t="s">
        <v>479</v>
      </c>
      <c r="I494">
        <v>5</v>
      </c>
      <c r="J494">
        <v>0.50345253019720215</v>
      </c>
      <c r="K494">
        <v>0</v>
      </c>
      <c r="L494">
        <v>0</v>
      </c>
      <c r="M494">
        <v>0</v>
      </c>
      <c r="O494">
        <v>200000</v>
      </c>
      <c r="R494" t="s">
        <v>162</v>
      </c>
      <c r="S494">
        <v>0</v>
      </c>
      <c r="T494">
        <v>1.17392E-2</v>
      </c>
      <c r="U494" t="s">
        <v>176</v>
      </c>
      <c r="V494">
        <v>8.1199999999999994E-2</v>
      </c>
      <c r="W494">
        <v>2.4129391999999998</v>
      </c>
      <c r="X494" t="s">
        <v>177</v>
      </c>
      <c r="Y494">
        <v>0.144776352</v>
      </c>
      <c r="Z494">
        <v>0</v>
      </c>
      <c r="AA494" t="s">
        <v>178</v>
      </c>
      <c r="AB494">
        <v>0.28955270399999999</v>
      </c>
      <c r="AC494">
        <v>2.847268256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Q494" t="s">
        <v>262</v>
      </c>
      <c r="AR494" t="s">
        <v>263</v>
      </c>
      <c r="AS494">
        <v>2.3199999999999998</v>
      </c>
    </row>
    <row r="495" spans="1:45" x14ac:dyDescent="0.15">
      <c r="A495" s="4" t="str">
        <f>HYPERLINK("https://ibp.a2mac1.com/costing(costing:projects/details/9760/material/8754137)","PP-EPDM")</f>
        <v>PP-EPDM</v>
      </c>
      <c r="B495">
        <v>8754137</v>
      </c>
      <c r="C495">
        <v>12084769</v>
      </c>
      <c r="E495">
        <v>1.7894600000000001</v>
      </c>
      <c r="F495" t="s">
        <v>4734</v>
      </c>
      <c r="G495">
        <v>95</v>
      </c>
      <c r="H495" t="s">
        <v>4735</v>
      </c>
      <c r="I495">
        <v>5</v>
      </c>
      <c r="J495">
        <v>0.50345253019720215</v>
      </c>
      <c r="K495">
        <v>0</v>
      </c>
      <c r="M495">
        <v>0</v>
      </c>
      <c r="O495">
        <v>200000</v>
      </c>
      <c r="R495" t="s">
        <v>162</v>
      </c>
      <c r="S495">
        <v>3.4470650526315788E-3</v>
      </c>
      <c r="T495">
        <v>6.9768596665263161E-3</v>
      </c>
      <c r="U495" t="s">
        <v>176</v>
      </c>
      <c r="V495">
        <v>4.8258910736842103E-2</v>
      </c>
      <c r="W495">
        <v>1.4306147264033684</v>
      </c>
      <c r="X495" t="s">
        <v>177</v>
      </c>
      <c r="Y495">
        <v>8.5836883584202106E-2</v>
      </c>
      <c r="Z495">
        <v>0</v>
      </c>
      <c r="AA495" t="s">
        <v>178</v>
      </c>
      <c r="AB495">
        <v>0.17167376716840421</v>
      </c>
      <c r="AC495">
        <v>1.6881253771559748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Q495" t="s">
        <v>262</v>
      </c>
      <c r="AR495" t="s">
        <v>263</v>
      </c>
      <c r="AS495">
        <v>1.3788260210526315</v>
      </c>
    </row>
    <row r="496" spans="1:45" x14ac:dyDescent="0.15">
      <c r="A496" s="4" t="str">
        <f>HYPERLINK("https://ibp.a2mac1.com/costing(costing:projects/details/9760/material/8754138)","PP")</f>
        <v>PP</v>
      </c>
      <c r="B496">
        <v>8754138</v>
      </c>
      <c r="C496">
        <v>12084770</v>
      </c>
      <c r="E496">
        <v>1.0113799999999999</v>
      </c>
      <c r="F496" t="s">
        <v>4739</v>
      </c>
      <c r="G496">
        <v>95</v>
      </c>
      <c r="H496" t="s">
        <v>4740</v>
      </c>
      <c r="I496">
        <v>5</v>
      </c>
      <c r="J496">
        <v>0.50048257265952256</v>
      </c>
      <c r="K496">
        <v>0</v>
      </c>
      <c r="M496">
        <v>0</v>
      </c>
      <c r="O496">
        <v>400000</v>
      </c>
      <c r="R496" t="s">
        <v>162</v>
      </c>
      <c r="S496">
        <v>1.1710715789473684E-4</v>
      </c>
      <c r="T496">
        <v>2.3561960168421052E-4</v>
      </c>
      <c r="U496" t="s">
        <v>176</v>
      </c>
      <c r="V496">
        <v>1.6395002105263159E-3</v>
      </c>
      <c r="W496">
        <v>4.860087581221053E-2</v>
      </c>
      <c r="X496" t="s">
        <v>177</v>
      </c>
      <c r="Y496">
        <v>2.9160525487326315E-3</v>
      </c>
      <c r="Z496">
        <v>0</v>
      </c>
      <c r="AA496" t="s">
        <v>178</v>
      </c>
      <c r="AB496">
        <v>5.832105097465263E-3</v>
      </c>
      <c r="AC496">
        <v>5.7349033458408423E-2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Q496" t="s">
        <v>262</v>
      </c>
      <c r="AR496" t="s">
        <v>263</v>
      </c>
      <c r="AS496">
        <v>4.6842863157894737E-2</v>
      </c>
    </row>
    <row r="497" spans="1:45" x14ac:dyDescent="0.15">
      <c r="A497" s="4" t="str">
        <f>HYPERLINK("https://ibp.a2mac1.com/costing(costing:projects/details/9760/material/8754207)","PP-EPDM")</f>
        <v>PP-EPDM</v>
      </c>
      <c r="B497">
        <v>8754207</v>
      </c>
      <c r="C497">
        <v>12084838</v>
      </c>
      <c r="E497">
        <v>1.7894600000000001</v>
      </c>
      <c r="F497" t="s">
        <v>4660</v>
      </c>
      <c r="G497">
        <v>95</v>
      </c>
      <c r="H497" t="s">
        <v>4661</v>
      </c>
      <c r="I497">
        <v>5</v>
      </c>
      <c r="J497">
        <v>0.50345253019720215</v>
      </c>
      <c r="K497">
        <v>0</v>
      </c>
      <c r="M497">
        <v>0</v>
      </c>
      <c r="O497">
        <v>200000</v>
      </c>
      <c r="R497" t="s">
        <v>162</v>
      </c>
      <c r="S497">
        <v>1.1207670526315789E-3</v>
      </c>
      <c r="T497">
        <v>2.268432514526316E-3</v>
      </c>
      <c r="U497" t="s">
        <v>176</v>
      </c>
      <c r="V497">
        <v>1.5690738736842104E-2</v>
      </c>
      <c r="W497">
        <v>0.46514522525136842</v>
      </c>
      <c r="X497" t="s">
        <v>177</v>
      </c>
      <c r="Y497">
        <v>2.7908713515082104E-2</v>
      </c>
      <c r="Z497">
        <v>0</v>
      </c>
      <c r="AA497" t="s">
        <v>178</v>
      </c>
      <c r="AB497">
        <v>5.5817427030164207E-2</v>
      </c>
      <c r="AC497">
        <v>0.54887136579661477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Q497" t="s">
        <v>262</v>
      </c>
      <c r="AR497" t="s">
        <v>263</v>
      </c>
      <c r="AS497">
        <v>0.44830682105263159</v>
      </c>
    </row>
    <row r="498" spans="1:45" x14ac:dyDescent="0.15">
      <c r="A498" s="4" t="str">
        <f>HYPERLINK("https://ibp.a2mac1.com/costing(costing:projects/details/9760/material/8754151)","PC-ABS+artificial Suede+foam")</f>
        <v>PC-ABS+artificial Suede+foam</v>
      </c>
      <c r="B498">
        <v>8754151</v>
      </c>
      <c r="C498">
        <v>12084771</v>
      </c>
      <c r="E498">
        <v>1.43</v>
      </c>
      <c r="F498" t="s">
        <v>478</v>
      </c>
      <c r="G498">
        <v>100</v>
      </c>
      <c r="H498" t="s">
        <v>479</v>
      </c>
      <c r="I498">
        <v>0</v>
      </c>
      <c r="J498">
        <v>0.50345253019720215</v>
      </c>
      <c r="K498">
        <v>0</v>
      </c>
      <c r="L498">
        <v>0</v>
      </c>
      <c r="M498">
        <v>0</v>
      </c>
      <c r="O498">
        <v>200000</v>
      </c>
      <c r="R498" t="s">
        <v>162</v>
      </c>
      <c r="S498">
        <v>0</v>
      </c>
      <c r="T498">
        <v>7.2357999999999997E-3</v>
      </c>
      <c r="U498" t="s">
        <v>176</v>
      </c>
      <c r="V498">
        <v>5.0049999999999997E-2</v>
      </c>
      <c r="W498">
        <v>1.4872858</v>
      </c>
      <c r="X498" t="s">
        <v>177</v>
      </c>
      <c r="Y498">
        <v>8.9237148000000002E-2</v>
      </c>
      <c r="Z498">
        <v>0</v>
      </c>
      <c r="AA498" t="s">
        <v>178</v>
      </c>
      <c r="AB498">
        <v>0.178474296</v>
      </c>
      <c r="AC498">
        <v>1.7549972439999999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Q498" t="s">
        <v>9</v>
      </c>
      <c r="AR498" t="s">
        <v>263</v>
      </c>
      <c r="AS498">
        <v>1.43</v>
      </c>
    </row>
    <row r="499" spans="1:45" x14ac:dyDescent="0.15">
      <c r="A499" s="4" t="str">
        <f>HYPERLINK("https://ibp.a2mac1.com/costing(costing:projects/details/9760/material/8754152)","PP-EPDM")</f>
        <v>PP-EPDM</v>
      </c>
      <c r="B499">
        <v>8754152</v>
      </c>
      <c r="C499">
        <v>12084772</v>
      </c>
      <c r="E499">
        <v>1.7894600000000001</v>
      </c>
      <c r="F499" t="s">
        <v>4671</v>
      </c>
      <c r="G499">
        <v>95</v>
      </c>
      <c r="H499" t="s">
        <v>4672</v>
      </c>
      <c r="I499">
        <v>5</v>
      </c>
      <c r="J499">
        <v>0.50345253019720215</v>
      </c>
      <c r="K499">
        <v>0</v>
      </c>
      <c r="M499">
        <v>0</v>
      </c>
      <c r="O499">
        <v>200000</v>
      </c>
      <c r="R499" t="s">
        <v>162</v>
      </c>
      <c r="S499">
        <v>2.3969345789473682E-3</v>
      </c>
      <c r="T499">
        <v>4.8513955877894739E-3</v>
      </c>
      <c r="U499" t="s">
        <v>176</v>
      </c>
      <c r="V499">
        <v>3.355708410526316E-2</v>
      </c>
      <c r="W499">
        <v>0.99478537669305267</v>
      </c>
      <c r="X499" t="s">
        <v>177</v>
      </c>
      <c r="Y499">
        <v>5.968712260158316E-2</v>
      </c>
      <c r="Z499">
        <v>0</v>
      </c>
      <c r="AA499" t="s">
        <v>178</v>
      </c>
      <c r="AB499">
        <v>0.11937424520316632</v>
      </c>
      <c r="AC499">
        <v>1.173846744497802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Q499" t="s">
        <v>262</v>
      </c>
      <c r="AR499" t="s">
        <v>263</v>
      </c>
      <c r="AS499">
        <v>0.95877383157894736</v>
      </c>
    </row>
    <row r="500" spans="1:45" x14ac:dyDescent="0.15">
      <c r="A500" s="4" t="str">
        <f>HYPERLINK("https://ibp.a2mac1.com/costing(costing:projects/details/9760/material/8754153)","ABS+artificial Suede+foam")</f>
        <v>ABS+artificial Suede+foam</v>
      </c>
      <c r="B500">
        <v>8754153</v>
      </c>
      <c r="C500">
        <v>12084773</v>
      </c>
      <c r="E500">
        <v>0.61</v>
      </c>
      <c r="F500" t="s">
        <v>478</v>
      </c>
      <c r="G500">
        <v>100</v>
      </c>
      <c r="H500" t="s">
        <v>479</v>
      </c>
      <c r="I500">
        <v>0</v>
      </c>
      <c r="J500">
        <v>0.50345253019720215</v>
      </c>
      <c r="K500">
        <v>0</v>
      </c>
      <c r="L500">
        <v>0</v>
      </c>
      <c r="M500">
        <v>0</v>
      </c>
      <c r="O500">
        <v>200000</v>
      </c>
      <c r="R500" t="s">
        <v>162</v>
      </c>
      <c r="S500">
        <v>0</v>
      </c>
      <c r="T500">
        <v>3.0866000000000001E-3</v>
      </c>
      <c r="U500" t="s">
        <v>176</v>
      </c>
      <c r="V500">
        <v>2.1350000000000001E-2</v>
      </c>
      <c r="W500">
        <v>0.63443660000000002</v>
      </c>
      <c r="X500" t="s">
        <v>177</v>
      </c>
      <c r="Y500">
        <v>3.8066195999999997E-2</v>
      </c>
      <c r="Z500">
        <v>0</v>
      </c>
      <c r="AA500" t="s">
        <v>178</v>
      </c>
      <c r="AB500">
        <v>7.6132391999999993E-2</v>
      </c>
      <c r="AC500">
        <v>0.74863518799999995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Q500" t="s">
        <v>9</v>
      </c>
      <c r="AR500" t="s">
        <v>263</v>
      </c>
      <c r="AS500">
        <v>0.61</v>
      </c>
    </row>
    <row r="501" spans="1:45" x14ac:dyDescent="0.15">
      <c r="A501" s="4" t="str">
        <f>HYPERLINK("https://ibp.a2mac1.com/costing(costing:projects/details/9760/material/8754154)","PP-EPDM")</f>
        <v>PP-EPDM</v>
      </c>
      <c r="B501">
        <v>8754154</v>
      </c>
      <c r="C501">
        <v>12084774</v>
      </c>
      <c r="E501">
        <v>1.7894600000000001</v>
      </c>
      <c r="F501" t="s">
        <v>4680</v>
      </c>
      <c r="G501">
        <v>95</v>
      </c>
      <c r="H501" t="s">
        <v>4681</v>
      </c>
      <c r="I501">
        <v>5</v>
      </c>
      <c r="J501">
        <v>0.50345253019720215</v>
      </c>
      <c r="K501">
        <v>0</v>
      </c>
      <c r="M501">
        <v>0</v>
      </c>
      <c r="O501">
        <v>200000</v>
      </c>
      <c r="R501" t="s">
        <v>162</v>
      </c>
      <c r="S501">
        <v>2.9855727368421053E-3</v>
      </c>
      <c r="T501">
        <v>6.0427992193684207E-3</v>
      </c>
      <c r="U501" t="s">
        <v>176</v>
      </c>
      <c r="V501">
        <v>4.179801831578947E-2</v>
      </c>
      <c r="W501">
        <v>1.2390843395351578</v>
      </c>
      <c r="X501" t="s">
        <v>177</v>
      </c>
      <c r="Y501">
        <v>7.4345060372109473E-2</v>
      </c>
      <c r="Z501">
        <v>0</v>
      </c>
      <c r="AA501" t="s">
        <v>178</v>
      </c>
      <c r="AB501">
        <v>0.14869012074421895</v>
      </c>
      <c r="AC501">
        <v>1.4621195206514863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Q501" t="s">
        <v>262</v>
      </c>
      <c r="AR501" t="s">
        <v>263</v>
      </c>
      <c r="AS501">
        <v>1.1942290947368421</v>
      </c>
    </row>
    <row r="502" spans="1:45" x14ac:dyDescent="0.15">
      <c r="A502" s="4" t="str">
        <f>HYPERLINK("https://ibp.a2mac1.com/costing(costing:projects/details/9760/material/8754155)","ABS+artificial Suede+foam")</f>
        <v>ABS+artificial Suede+foam</v>
      </c>
      <c r="B502">
        <v>8754155</v>
      </c>
      <c r="C502">
        <v>12084775</v>
      </c>
      <c r="E502">
        <v>0.85</v>
      </c>
      <c r="F502" t="s">
        <v>478</v>
      </c>
      <c r="G502">
        <v>100</v>
      </c>
      <c r="H502" t="s">
        <v>479</v>
      </c>
      <c r="I502">
        <v>0</v>
      </c>
      <c r="J502">
        <v>0.50345253019720215</v>
      </c>
      <c r="K502">
        <v>0</v>
      </c>
      <c r="L502">
        <v>0</v>
      </c>
      <c r="M502">
        <v>0</v>
      </c>
      <c r="O502">
        <v>200000</v>
      </c>
      <c r="R502" t="s">
        <v>162</v>
      </c>
      <c r="S502">
        <v>0</v>
      </c>
      <c r="T502">
        <v>4.3010000000000001E-3</v>
      </c>
      <c r="U502" t="s">
        <v>176</v>
      </c>
      <c r="V502">
        <v>2.9749999999999999E-2</v>
      </c>
      <c r="W502">
        <v>0.88405100000000003</v>
      </c>
      <c r="X502" t="s">
        <v>177</v>
      </c>
      <c r="Y502">
        <v>5.3043060000000003E-2</v>
      </c>
      <c r="Z502">
        <v>0</v>
      </c>
      <c r="AA502" t="s">
        <v>178</v>
      </c>
      <c r="AB502">
        <v>0.10608612000000001</v>
      </c>
      <c r="AC502">
        <v>1.04318018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Q502" t="s">
        <v>9</v>
      </c>
      <c r="AR502" t="s">
        <v>263</v>
      </c>
      <c r="AS502">
        <v>0.85</v>
      </c>
    </row>
    <row r="503" spans="1:45" x14ac:dyDescent="0.15">
      <c r="A503" s="4" t="str">
        <f>HYPERLINK("https://ibp.a2mac1.com/costing(costing:projects/details/9760/material/8754156)","ABS+artificial Suede+foam")</f>
        <v>ABS+artificial Suede+foam</v>
      </c>
      <c r="B503">
        <v>8754156</v>
      </c>
      <c r="C503">
        <v>12084776</v>
      </c>
      <c r="E503">
        <v>1.41</v>
      </c>
      <c r="F503" t="s">
        <v>478</v>
      </c>
      <c r="G503">
        <v>100</v>
      </c>
      <c r="H503" t="s">
        <v>479</v>
      </c>
      <c r="I503">
        <v>0</v>
      </c>
      <c r="J503">
        <v>0.50345253019720215</v>
      </c>
      <c r="K503">
        <v>0</v>
      </c>
      <c r="L503">
        <v>0</v>
      </c>
      <c r="M503">
        <v>0</v>
      </c>
      <c r="O503">
        <v>200000</v>
      </c>
      <c r="R503" t="s">
        <v>162</v>
      </c>
      <c r="S503">
        <v>0</v>
      </c>
      <c r="T503">
        <v>7.1345999999999996E-3</v>
      </c>
      <c r="U503" t="s">
        <v>176</v>
      </c>
      <c r="V503">
        <v>4.9349999999999998E-2</v>
      </c>
      <c r="W503">
        <v>1.4664846</v>
      </c>
      <c r="X503" t="s">
        <v>177</v>
      </c>
      <c r="Y503">
        <v>8.7989075999999999E-2</v>
      </c>
      <c r="Z503">
        <v>0</v>
      </c>
      <c r="AA503" t="s">
        <v>178</v>
      </c>
      <c r="AB503">
        <v>0.175978152</v>
      </c>
      <c r="AC503">
        <v>1.7304518280000001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Q503" t="s">
        <v>9</v>
      </c>
      <c r="AR503" t="s">
        <v>263</v>
      </c>
      <c r="AS503">
        <v>1.41</v>
      </c>
    </row>
    <row r="504" spans="1:45" x14ac:dyDescent="0.15">
      <c r="A504" s="4" t="str">
        <f>HYPERLINK("https://ibp.a2mac1.com/costing(costing:projects/details/9760/material/8754157)","ABS")</f>
        <v>ABS</v>
      </c>
      <c r="B504">
        <v>8754157</v>
      </c>
      <c r="C504">
        <v>12084777</v>
      </c>
      <c r="E504">
        <v>2.5272700000000001</v>
      </c>
      <c r="F504" t="s">
        <v>4296</v>
      </c>
      <c r="G504">
        <v>95</v>
      </c>
      <c r="H504" t="s">
        <v>4297</v>
      </c>
      <c r="I504">
        <v>5</v>
      </c>
      <c r="J504">
        <v>0.50345253019720215</v>
      </c>
      <c r="K504">
        <v>0</v>
      </c>
      <c r="L504">
        <v>0</v>
      </c>
      <c r="M504">
        <v>0</v>
      </c>
      <c r="O504">
        <v>200000</v>
      </c>
      <c r="R504" t="s">
        <v>162</v>
      </c>
      <c r="S504">
        <v>2.3410501052631579E-3</v>
      </c>
      <c r="T504">
        <v>4.7382854130526312E-3</v>
      </c>
      <c r="U504" t="s">
        <v>176</v>
      </c>
      <c r="V504">
        <v>3.2774701473684213E-2</v>
      </c>
      <c r="W504">
        <v>0.97159197888673687</v>
      </c>
      <c r="X504" t="s">
        <v>177</v>
      </c>
      <c r="Y504">
        <v>5.829551873320421E-2</v>
      </c>
      <c r="Z504">
        <v>0</v>
      </c>
      <c r="AA504" t="s">
        <v>178</v>
      </c>
      <c r="AB504">
        <v>0.11659103746640842</v>
      </c>
      <c r="AC504">
        <v>1.1464785350863496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Q504" t="s">
        <v>262</v>
      </c>
      <c r="AR504" t="s">
        <v>263</v>
      </c>
      <c r="AS504">
        <v>0.9364200421052632</v>
      </c>
    </row>
    <row r="505" spans="1:45" x14ac:dyDescent="0.15">
      <c r="A505" s="4" t="str">
        <f>HYPERLINK("https://ibp.a2mac1.com/costing(costing:projects/details/9760/material/8754158)","PP-EPDM")</f>
        <v>PP-EPDM</v>
      </c>
      <c r="B505">
        <v>8754158</v>
      </c>
      <c r="C505">
        <v>12084778</v>
      </c>
      <c r="E505">
        <v>1.7894600000000001</v>
      </c>
      <c r="F505" t="s">
        <v>4695</v>
      </c>
      <c r="G505">
        <v>95</v>
      </c>
      <c r="H505" t="s">
        <v>4696</v>
      </c>
      <c r="I505">
        <v>5</v>
      </c>
      <c r="J505">
        <v>0.50345253019720215</v>
      </c>
      <c r="K505">
        <v>0</v>
      </c>
      <c r="M505">
        <v>0</v>
      </c>
      <c r="O505">
        <v>200000</v>
      </c>
      <c r="R505" t="s">
        <v>162</v>
      </c>
      <c r="S505">
        <v>1.0501304736842106E-3</v>
      </c>
      <c r="T505">
        <v>2.1254640787368422E-3</v>
      </c>
      <c r="U505" t="s">
        <v>176</v>
      </c>
      <c r="V505">
        <v>1.4701826631578947E-2</v>
      </c>
      <c r="W505">
        <v>0.43582934971031578</v>
      </c>
      <c r="X505" t="s">
        <v>177</v>
      </c>
      <c r="Y505">
        <v>2.6149760982618949E-2</v>
      </c>
      <c r="Z505">
        <v>0</v>
      </c>
      <c r="AA505" t="s">
        <v>178</v>
      </c>
      <c r="AB505">
        <v>5.2299521965237898E-2</v>
      </c>
      <c r="AC505">
        <v>0.51427863265817264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Q505" t="s">
        <v>262</v>
      </c>
      <c r="AR505" t="s">
        <v>263</v>
      </c>
      <c r="AS505">
        <v>0.42005218947368422</v>
      </c>
    </row>
    <row r="506" spans="1:45" x14ac:dyDescent="0.15">
      <c r="A506" s="4" t="str">
        <f>HYPERLINK("https://ibp.a2mac1.com/costing(costing:projects/details/9760/material/8754159)","PP-EPDM")</f>
        <v>PP-EPDM</v>
      </c>
      <c r="B506">
        <v>8754159</v>
      </c>
      <c r="C506">
        <v>12084779</v>
      </c>
      <c r="E506">
        <v>1.7894600000000001</v>
      </c>
      <c r="F506" t="s">
        <v>4700</v>
      </c>
      <c r="G506">
        <v>95</v>
      </c>
      <c r="H506" t="s">
        <v>4701</v>
      </c>
      <c r="I506">
        <v>5</v>
      </c>
      <c r="J506">
        <v>0.50345253019720215</v>
      </c>
      <c r="K506">
        <v>0</v>
      </c>
      <c r="M506">
        <v>0</v>
      </c>
      <c r="O506">
        <v>200000</v>
      </c>
      <c r="R506" t="s">
        <v>162</v>
      </c>
      <c r="S506">
        <v>2.5617532631578947E-3</v>
      </c>
      <c r="T506">
        <v>5.1849886046315789E-3</v>
      </c>
      <c r="U506" t="s">
        <v>176</v>
      </c>
      <c r="V506">
        <v>3.5864545684210526E-2</v>
      </c>
      <c r="W506">
        <v>1.063189086288842</v>
      </c>
      <c r="X506" t="s">
        <v>177</v>
      </c>
      <c r="Y506">
        <v>6.3791345177330525E-2</v>
      </c>
      <c r="Z506">
        <v>0</v>
      </c>
      <c r="AA506" t="s">
        <v>178</v>
      </c>
      <c r="AB506">
        <v>0.12758269035466105</v>
      </c>
      <c r="AC506">
        <v>1.2545631218208337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Q506" t="s">
        <v>262</v>
      </c>
      <c r="AR506" t="s">
        <v>263</v>
      </c>
      <c r="AS506">
        <v>1.0247013052631579</v>
      </c>
    </row>
    <row r="507" spans="1:45" x14ac:dyDescent="0.15">
      <c r="A507" s="4" t="str">
        <f>HYPERLINK("https://ibp.a2mac1.com/costing(costing:projects/details/9760/material/8754160)","PC-ABS+artificial Suede+foam")</f>
        <v>PC-ABS+artificial Suede+foam</v>
      </c>
      <c r="B507">
        <v>8754160</v>
      </c>
      <c r="C507">
        <v>12084780</v>
      </c>
      <c r="E507">
        <v>0.43</v>
      </c>
      <c r="F507" t="s">
        <v>478</v>
      </c>
      <c r="G507">
        <v>100</v>
      </c>
      <c r="H507" t="s">
        <v>479</v>
      </c>
      <c r="I507">
        <v>0</v>
      </c>
      <c r="J507">
        <v>0.50345253019720215</v>
      </c>
      <c r="K507">
        <v>0</v>
      </c>
      <c r="L507">
        <v>0</v>
      </c>
      <c r="M507">
        <v>0</v>
      </c>
      <c r="O507">
        <v>200000</v>
      </c>
      <c r="R507" t="s">
        <v>162</v>
      </c>
      <c r="S507">
        <v>0</v>
      </c>
      <c r="T507">
        <v>2.1757999999999999E-3</v>
      </c>
      <c r="U507" t="s">
        <v>176</v>
      </c>
      <c r="V507">
        <v>1.5049999999999999E-2</v>
      </c>
      <c r="W507">
        <v>0.44722580000000001</v>
      </c>
      <c r="X507" t="s">
        <v>177</v>
      </c>
      <c r="Y507">
        <v>2.6833547999999999E-2</v>
      </c>
      <c r="Z507">
        <v>0</v>
      </c>
      <c r="AA507" t="s">
        <v>178</v>
      </c>
      <c r="AB507">
        <v>5.3667095999999997E-2</v>
      </c>
      <c r="AC507">
        <v>0.52772644400000002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Q507" t="s">
        <v>9</v>
      </c>
      <c r="AR507" t="s">
        <v>263</v>
      </c>
      <c r="AS507">
        <v>0.43</v>
      </c>
    </row>
    <row r="508" spans="1:45" x14ac:dyDescent="0.15">
      <c r="A508" s="4" t="str">
        <f>HYPERLINK("https://ibp.a2mac1.com/costing(costing:projects/details/9760/material/8754164)","PP EPDM+artificial Suede+foam")</f>
        <v>PP EPDM+artificial Suede+foam</v>
      </c>
      <c r="B508">
        <v>8754164</v>
      </c>
      <c r="C508">
        <v>12084781</v>
      </c>
      <c r="E508">
        <v>1.91</v>
      </c>
      <c r="F508" t="s">
        <v>478</v>
      </c>
      <c r="G508">
        <v>100</v>
      </c>
      <c r="H508" t="s">
        <v>479</v>
      </c>
      <c r="I508">
        <v>0</v>
      </c>
      <c r="J508">
        <v>0.50345253019720215</v>
      </c>
      <c r="K508">
        <v>0</v>
      </c>
      <c r="L508">
        <v>0</v>
      </c>
      <c r="M508">
        <v>0</v>
      </c>
      <c r="O508">
        <v>200000</v>
      </c>
      <c r="R508" t="s">
        <v>162</v>
      </c>
      <c r="S508">
        <v>0</v>
      </c>
      <c r="T508">
        <v>9.6646000000000006E-3</v>
      </c>
      <c r="U508" t="s">
        <v>176</v>
      </c>
      <c r="V508">
        <v>6.6850000000000007E-2</v>
      </c>
      <c r="W508">
        <v>1.9865146</v>
      </c>
      <c r="X508" t="s">
        <v>177</v>
      </c>
      <c r="Y508">
        <v>0.119190876</v>
      </c>
      <c r="Z508">
        <v>0</v>
      </c>
      <c r="AA508" t="s">
        <v>178</v>
      </c>
      <c r="AB508">
        <v>0.238381752</v>
      </c>
      <c r="AC508">
        <v>2.3440872279999998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Q508" t="s">
        <v>9</v>
      </c>
      <c r="AR508" t="s">
        <v>263</v>
      </c>
      <c r="AS508">
        <v>1.91</v>
      </c>
    </row>
    <row r="509" spans="1:45" x14ac:dyDescent="0.15">
      <c r="A509" s="4" t="str">
        <f>HYPERLINK("https://ibp.a2mac1.com/costing(costing:projects/details/9760/material/8754050)","PC-ABS")</f>
        <v>PC-ABS</v>
      </c>
      <c r="B509">
        <v>8754050</v>
      </c>
      <c r="C509">
        <v>12084684</v>
      </c>
      <c r="E509">
        <v>2.29312</v>
      </c>
      <c r="F509" t="s">
        <v>4792</v>
      </c>
      <c r="G509">
        <v>95</v>
      </c>
      <c r="H509" t="s">
        <v>4793</v>
      </c>
      <c r="I509">
        <v>5</v>
      </c>
      <c r="J509">
        <v>0.50345253019720215</v>
      </c>
      <c r="K509">
        <v>0</v>
      </c>
      <c r="M509">
        <v>0</v>
      </c>
      <c r="O509">
        <v>200000</v>
      </c>
      <c r="R509" t="s">
        <v>162</v>
      </c>
      <c r="S509">
        <v>8.327646315789474E-4</v>
      </c>
      <c r="T509">
        <v>1.6855156143157895E-3</v>
      </c>
      <c r="U509" t="s">
        <v>176</v>
      </c>
      <c r="V509">
        <v>1.1658704842105263E-2</v>
      </c>
      <c r="W509">
        <v>0.34561730845642108</v>
      </c>
      <c r="X509" t="s">
        <v>177</v>
      </c>
      <c r="Y509">
        <v>2.0737038507385262E-2</v>
      </c>
      <c r="Z509">
        <v>0</v>
      </c>
      <c r="AA509" t="s">
        <v>178</v>
      </c>
      <c r="AB509">
        <v>4.1474077014770523E-2</v>
      </c>
      <c r="AC509">
        <v>0.40782842397857683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Q509" t="s">
        <v>262</v>
      </c>
      <c r="AR509" t="s">
        <v>263</v>
      </c>
      <c r="AS509">
        <v>0.33310585263157894</v>
      </c>
    </row>
    <row r="510" spans="1:45" x14ac:dyDescent="0.15">
      <c r="A510" s="4" t="str">
        <f>HYPERLINK("https://ibp.a2mac1.com/costing(costing:projects/details/9760/material/8754051)","PC-ABS")</f>
        <v>PC-ABS</v>
      </c>
      <c r="B510">
        <v>8754051</v>
      </c>
      <c r="C510">
        <v>12084685</v>
      </c>
      <c r="E510">
        <v>2.29312</v>
      </c>
      <c r="F510" t="s">
        <v>4249</v>
      </c>
      <c r="G510">
        <v>95</v>
      </c>
      <c r="H510" t="s">
        <v>4533</v>
      </c>
      <c r="I510">
        <v>5</v>
      </c>
      <c r="J510">
        <v>0.50345253019720215</v>
      </c>
      <c r="K510">
        <v>0</v>
      </c>
      <c r="M510">
        <v>0</v>
      </c>
      <c r="O510">
        <v>200000</v>
      </c>
      <c r="R510" t="s">
        <v>162</v>
      </c>
      <c r="S510">
        <v>1.2672505263157895E-4</v>
      </c>
      <c r="T510">
        <v>2.5649150652631581E-4</v>
      </c>
      <c r="U510" t="s">
        <v>176</v>
      </c>
      <c r="V510">
        <v>1.7741507368421053E-3</v>
      </c>
      <c r="W510">
        <v>5.2593938243368422E-2</v>
      </c>
      <c r="X510" t="s">
        <v>177</v>
      </c>
      <c r="Y510">
        <v>3.1556362946021052E-3</v>
      </c>
      <c r="Z510">
        <v>0</v>
      </c>
      <c r="AA510" t="s">
        <v>178</v>
      </c>
      <c r="AB510">
        <v>6.3112725892042103E-3</v>
      </c>
      <c r="AC510">
        <v>6.2060847127174738E-2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Q510" t="s">
        <v>262</v>
      </c>
      <c r="AR510" t="s">
        <v>263</v>
      </c>
      <c r="AS510">
        <v>5.0690021052631581E-2</v>
      </c>
    </row>
    <row r="511" spans="1:45" x14ac:dyDescent="0.15">
      <c r="A511" s="4" t="str">
        <f>HYPERLINK("https://ibp.a2mac1.com/costing(costing:projects/details/9760/material/8754052)","Steel sheet (default)")</f>
        <v>Steel sheet (default)</v>
      </c>
      <c r="B511">
        <v>8754052</v>
      </c>
      <c r="C511">
        <v>12084686</v>
      </c>
      <c r="E511">
        <v>0.52766000000000002</v>
      </c>
      <c r="F511" t="s">
        <v>4801</v>
      </c>
      <c r="G511">
        <v>70</v>
      </c>
      <c r="H511" t="s">
        <v>4802</v>
      </c>
      <c r="I511">
        <v>30</v>
      </c>
      <c r="J511">
        <v>0.50345253019720215</v>
      </c>
      <c r="K511">
        <v>0</v>
      </c>
      <c r="M511">
        <v>0</v>
      </c>
      <c r="O511">
        <v>200000</v>
      </c>
      <c r="R511" t="s">
        <v>162</v>
      </c>
      <c r="S511">
        <v>7.2590939999999998E-3</v>
      </c>
      <c r="T511">
        <v>4.0812239600000001E-4</v>
      </c>
      <c r="U511" t="s">
        <v>176</v>
      </c>
      <c r="V511">
        <v>2.822981E-3</v>
      </c>
      <c r="W511">
        <v>7.6628609395999997E-2</v>
      </c>
      <c r="X511" t="s">
        <v>177</v>
      </c>
      <c r="Y511">
        <v>4.5977165637599996E-3</v>
      </c>
      <c r="Z511">
        <v>0</v>
      </c>
      <c r="AA511" t="s">
        <v>178</v>
      </c>
      <c r="AB511">
        <v>9.1954331275199992E-3</v>
      </c>
      <c r="AC511">
        <v>9.0421759087279993E-2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Q511" t="s">
        <v>262</v>
      </c>
      <c r="AR511" t="s">
        <v>263</v>
      </c>
      <c r="AS511">
        <v>8.0656599999999995E-2</v>
      </c>
    </row>
    <row r="512" spans="1:45" x14ac:dyDescent="0.15">
      <c r="A512" s="4" t="str">
        <f>HYPERLINK("https://ibp.a2mac1.com/costing(costing:projects/details/9760/material/8754053)","PLASTIC UNKNOWN")</f>
        <v>PLASTIC UNKNOWN</v>
      </c>
      <c r="B512">
        <v>8754053</v>
      </c>
      <c r="C512">
        <v>12084687</v>
      </c>
      <c r="E512">
        <v>2.7</v>
      </c>
      <c r="F512" t="s">
        <v>478</v>
      </c>
      <c r="G512">
        <v>100</v>
      </c>
      <c r="H512" t="s">
        <v>479</v>
      </c>
      <c r="I512">
        <v>0</v>
      </c>
      <c r="J512">
        <v>0.50345253019720215</v>
      </c>
      <c r="K512">
        <v>0</v>
      </c>
      <c r="L512">
        <v>0</v>
      </c>
      <c r="M512">
        <v>0</v>
      </c>
      <c r="O512">
        <v>200000</v>
      </c>
      <c r="R512" t="s">
        <v>162</v>
      </c>
      <c r="S512">
        <v>0</v>
      </c>
      <c r="T512">
        <v>1.3662000000000001E-2</v>
      </c>
      <c r="U512" t="s">
        <v>176</v>
      </c>
      <c r="V512">
        <v>9.4500000000000001E-2</v>
      </c>
      <c r="W512">
        <v>2.8081619999999998</v>
      </c>
      <c r="X512" t="s">
        <v>177</v>
      </c>
      <c r="Y512">
        <v>0.16848972000000001</v>
      </c>
      <c r="Z512">
        <v>0</v>
      </c>
      <c r="AA512" t="s">
        <v>178</v>
      </c>
      <c r="AB512">
        <v>0.33697944000000002</v>
      </c>
      <c r="AC512">
        <v>3.3136311599999999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Q512" t="s">
        <v>9</v>
      </c>
      <c r="AR512" t="s">
        <v>263</v>
      </c>
      <c r="AS512">
        <v>2.7</v>
      </c>
    </row>
    <row r="513" spans="1:45" x14ac:dyDescent="0.15">
      <c r="A513" s="4" t="str">
        <f>HYPERLINK("https://ibp.a2mac1.com/costing(costing:projects/details/9760/material/8754165)","PP-EPDM")</f>
        <v>PP-EPDM</v>
      </c>
      <c r="B513">
        <v>8754165</v>
      </c>
      <c r="C513">
        <v>12084782</v>
      </c>
      <c r="E513">
        <v>1.7894600000000001</v>
      </c>
      <c r="F513" t="s">
        <v>4815</v>
      </c>
      <c r="G513">
        <v>95</v>
      </c>
      <c r="H513" t="s">
        <v>4816</v>
      </c>
      <c r="I513">
        <v>5</v>
      </c>
      <c r="J513">
        <v>0.50345253019720215</v>
      </c>
      <c r="K513">
        <v>0</v>
      </c>
      <c r="L513">
        <v>0</v>
      </c>
      <c r="M513">
        <v>0</v>
      </c>
      <c r="O513">
        <v>200000</v>
      </c>
      <c r="R513" t="s">
        <v>162</v>
      </c>
      <c r="S513">
        <v>1.7268288999999999E-2</v>
      </c>
      <c r="T513">
        <v>3.4951016936000001E-2</v>
      </c>
      <c r="U513" t="s">
        <v>176</v>
      </c>
      <c r="V513">
        <v>0.241756046</v>
      </c>
      <c r="W513">
        <v>7.1667543739359996</v>
      </c>
      <c r="X513" t="s">
        <v>177</v>
      </c>
      <c r="Y513">
        <v>0.43000526243616</v>
      </c>
      <c r="Z513">
        <v>0</v>
      </c>
      <c r="AA513" t="s">
        <v>178</v>
      </c>
      <c r="AB513">
        <v>0.86001052487231999</v>
      </c>
      <c r="AC513">
        <v>8.4567701612444797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Q513" t="s">
        <v>262</v>
      </c>
      <c r="AR513" t="s">
        <v>263</v>
      </c>
      <c r="AS513">
        <v>6.9073156000000004</v>
      </c>
    </row>
    <row r="514" spans="1:45" x14ac:dyDescent="0.15">
      <c r="A514" s="4" t="str">
        <f>HYPERLINK("https://ibp.a2mac1.com/costing(costing:projects/details/9760/material/8754166)","TPE")</f>
        <v>TPE</v>
      </c>
      <c r="B514">
        <v>8754166</v>
      </c>
      <c r="C514">
        <v>12084783</v>
      </c>
      <c r="E514">
        <v>1.5073099999999999</v>
      </c>
      <c r="F514" t="s">
        <v>4592</v>
      </c>
      <c r="G514">
        <v>95</v>
      </c>
      <c r="H514" t="s">
        <v>4593</v>
      </c>
      <c r="I514">
        <v>5</v>
      </c>
      <c r="J514">
        <v>0.50048257265952256</v>
      </c>
      <c r="K514">
        <v>0</v>
      </c>
      <c r="M514">
        <v>0</v>
      </c>
      <c r="O514">
        <v>400000</v>
      </c>
      <c r="R514" t="s">
        <v>162</v>
      </c>
      <c r="S514">
        <v>3.173284210526316E-5</v>
      </c>
      <c r="T514">
        <v>6.3846478315789467E-5</v>
      </c>
      <c r="U514" t="s">
        <v>176</v>
      </c>
      <c r="V514">
        <v>4.442597894736842E-4</v>
      </c>
      <c r="W514">
        <v>1.3169510267789473E-2</v>
      </c>
      <c r="X514" t="s">
        <v>177</v>
      </c>
      <c r="Y514">
        <v>7.9017061606736843E-4</v>
      </c>
      <c r="Z514">
        <v>0</v>
      </c>
      <c r="AA514" t="s">
        <v>178</v>
      </c>
      <c r="AB514">
        <v>1.5803412321347369E-3</v>
      </c>
      <c r="AC514">
        <v>1.554002211599158E-2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Q514" t="s">
        <v>262</v>
      </c>
      <c r="AR514" t="s">
        <v>263</v>
      </c>
      <c r="AS514">
        <v>1.2693136842105263E-2</v>
      </c>
    </row>
    <row r="515" spans="1:45" x14ac:dyDescent="0.15">
      <c r="A515" s="4" t="str">
        <f>HYPERLINK("https://ibp.a2mac1.com/costing(costing:projects/details/9760/material/8754167)","Steel sheet (default)")</f>
        <v>Steel sheet (default)</v>
      </c>
      <c r="B515">
        <v>8754167</v>
      </c>
      <c r="C515">
        <v>12084784</v>
      </c>
      <c r="E515">
        <v>0.52766000000000002</v>
      </c>
      <c r="F515" t="s">
        <v>4823</v>
      </c>
      <c r="G515">
        <v>70</v>
      </c>
      <c r="H515" t="s">
        <v>4824</v>
      </c>
      <c r="I515">
        <v>30</v>
      </c>
      <c r="J515">
        <v>0.50345253019720215</v>
      </c>
      <c r="K515">
        <v>0</v>
      </c>
      <c r="M515">
        <v>0</v>
      </c>
      <c r="O515">
        <v>200000</v>
      </c>
      <c r="R515" t="s">
        <v>162</v>
      </c>
      <c r="S515">
        <v>3.0494978999999998E-2</v>
      </c>
      <c r="T515">
        <v>1.7144954859999999E-3</v>
      </c>
      <c r="U515" t="s">
        <v>176</v>
      </c>
      <c r="V515">
        <v>1.18591585E-2</v>
      </c>
      <c r="W515">
        <v>0.32191177498599999</v>
      </c>
      <c r="X515" t="s">
        <v>177</v>
      </c>
      <c r="Y515">
        <v>1.9314706499159999E-2</v>
      </c>
      <c r="Z515">
        <v>0</v>
      </c>
      <c r="AA515" t="s">
        <v>178</v>
      </c>
      <c r="AB515">
        <v>3.8629412998319998E-2</v>
      </c>
      <c r="AC515">
        <v>0.37985589448348001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Q515" t="s">
        <v>262</v>
      </c>
      <c r="AR515" t="s">
        <v>263</v>
      </c>
      <c r="AS515">
        <v>0.3388331</v>
      </c>
    </row>
    <row r="516" spans="1:45" x14ac:dyDescent="0.15">
      <c r="A516" s="4" t="str">
        <f>HYPERLINK("https://ibp.a2mac1.com/costing(costing:projects/details/9760/material/8754168)","EPDM")</f>
        <v>EPDM</v>
      </c>
      <c r="B516">
        <v>8754168</v>
      </c>
      <c r="C516">
        <v>12084784</v>
      </c>
      <c r="E516">
        <v>2.78701</v>
      </c>
      <c r="F516" t="s">
        <v>4823</v>
      </c>
      <c r="G516">
        <v>95</v>
      </c>
      <c r="H516" t="s">
        <v>4826</v>
      </c>
      <c r="I516">
        <v>5</v>
      </c>
      <c r="J516">
        <v>0.50345253019720215</v>
      </c>
      <c r="K516">
        <v>0</v>
      </c>
      <c r="M516">
        <v>0</v>
      </c>
      <c r="O516">
        <v>200000</v>
      </c>
      <c r="R516" t="s">
        <v>162</v>
      </c>
      <c r="S516">
        <v>3.2967394605263158E-3</v>
      </c>
      <c r="T516">
        <v>6.6726006681052628E-3</v>
      </c>
      <c r="U516" t="s">
        <v>176</v>
      </c>
      <c r="V516">
        <v>4.6154352447368423E-2</v>
      </c>
      <c r="W516">
        <v>1.3682259978654736</v>
      </c>
      <c r="X516" t="s">
        <v>177</v>
      </c>
      <c r="Y516">
        <v>8.2093559871928415E-2</v>
      </c>
      <c r="Z516">
        <v>0</v>
      </c>
      <c r="AA516" t="s">
        <v>178</v>
      </c>
      <c r="AB516">
        <v>0.16418711974385683</v>
      </c>
      <c r="AC516">
        <v>1.6145066774812589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Q516" t="s">
        <v>262</v>
      </c>
      <c r="AR516" t="s">
        <v>263</v>
      </c>
      <c r="AS516">
        <v>1.3186957842105262</v>
      </c>
    </row>
    <row r="517" spans="1:45" x14ac:dyDescent="0.15">
      <c r="A517" s="4" t="str">
        <f>HYPERLINK("https://ibp.a2mac1.com/costing(costing:projects/details/9760/material/8754054)","PA6")</f>
        <v>PA6</v>
      </c>
      <c r="B517">
        <v>8754054</v>
      </c>
      <c r="C517">
        <v>12084688</v>
      </c>
      <c r="E517">
        <v>1.72394</v>
      </c>
      <c r="F517" t="s">
        <v>4833</v>
      </c>
      <c r="G517">
        <v>95</v>
      </c>
      <c r="H517" t="s">
        <v>4834</v>
      </c>
      <c r="I517">
        <v>5</v>
      </c>
      <c r="J517">
        <v>0.50345253019720215</v>
      </c>
      <c r="K517">
        <v>0</v>
      </c>
      <c r="M517">
        <v>0</v>
      </c>
      <c r="O517">
        <v>200000</v>
      </c>
      <c r="R517" t="s">
        <v>162</v>
      </c>
      <c r="S517">
        <v>2.0097511052631577E-3</v>
      </c>
      <c r="T517">
        <v>4.0677362370526316E-3</v>
      </c>
      <c r="U517" t="s">
        <v>176</v>
      </c>
      <c r="V517">
        <v>2.8136515473684211E-2</v>
      </c>
      <c r="W517">
        <v>0.83409494271073681</v>
      </c>
      <c r="X517" t="s">
        <v>177</v>
      </c>
      <c r="Y517">
        <v>5.004569656264421E-2</v>
      </c>
      <c r="Z517">
        <v>0</v>
      </c>
      <c r="AA517" t="s">
        <v>178</v>
      </c>
      <c r="AB517">
        <v>0.10009139312528842</v>
      </c>
      <c r="AC517">
        <v>0.98423203239866952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Q517" t="s">
        <v>262</v>
      </c>
      <c r="AR517" t="s">
        <v>263</v>
      </c>
      <c r="AS517">
        <v>0.80390044210526312</v>
      </c>
    </row>
    <row r="518" spans="1:45" x14ac:dyDescent="0.15">
      <c r="A518" s="4" t="str">
        <f>HYPERLINK("https://ibp.a2mac1.com/costing(costing:projects/details/9760/material/8754055)","PA6")</f>
        <v>PA6</v>
      </c>
      <c r="B518">
        <v>8754055</v>
      </c>
      <c r="C518">
        <v>12084689</v>
      </c>
      <c r="E518">
        <v>1.72394</v>
      </c>
      <c r="F518" t="s">
        <v>4838</v>
      </c>
      <c r="G518">
        <v>95</v>
      </c>
      <c r="H518" t="s">
        <v>4839</v>
      </c>
      <c r="I518">
        <v>5</v>
      </c>
      <c r="J518">
        <v>0.50345253019720215</v>
      </c>
      <c r="K518">
        <v>0</v>
      </c>
      <c r="M518">
        <v>0</v>
      </c>
      <c r="O518">
        <v>200000</v>
      </c>
      <c r="R518" t="s">
        <v>162</v>
      </c>
      <c r="S518">
        <v>1.3473952105263157E-3</v>
      </c>
      <c r="T518">
        <v>2.7271279061052631E-3</v>
      </c>
      <c r="U518" t="s">
        <v>176</v>
      </c>
      <c r="V518">
        <v>1.8863532947368422E-2</v>
      </c>
      <c r="W518">
        <v>0.55920134985347369</v>
      </c>
      <c r="X518" t="s">
        <v>177</v>
      </c>
      <c r="Y518">
        <v>3.3552080991208419E-2</v>
      </c>
      <c r="Z518">
        <v>0</v>
      </c>
      <c r="AA518" t="s">
        <v>178</v>
      </c>
      <c r="AB518">
        <v>6.7104161982416838E-2</v>
      </c>
      <c r="AC518">
        <v>0.65985759282709899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Q518" t="s">
        <v>262</v>
      </c>
      <c r="AR518" t="s">
        <v>263</v>
      </c>
      <c r="AS518">
        <v>0.53895808421052627</v>
      </c>
    </row>
    <row r="519" spans="1:45" x14ac:dyDescent="0.15">
      <c r="A519" s="4" t="str">
        <f>HYPERLINK("https://ibp.a2mac1.com/costing(costing:projects/details/9760/material/8754056)","PP-GF20")</f>
        <v>PP-GF20</v>
      </c>
      <c r="B519">
        <v>8754056</v>
      </c>
      <c r="C519">
        <v>12084690</v>
      </c>
      <c r="E519">
        <v>1.3471</v>
      </c>
      <c r="F519" t="s">
        <v>4843</v>
      </c>
      <c r="G519">
        <v>95</v>
      </c>
      <c r="H519" t="s">
        <v>4844</v>
      </c>
      <c r="I519">
        <v>30</v>
      </c>
      <c r="J519">
        <v>0.50345253019720215</v>
      </c>
      <c r="K519">
        <v>0</v>
      </c>
      <c r="L519">
        <v>0</v>
      </c>
      <c r="M519">
        <v>0</v>
      </c>
      <c r="O519">
        <v>200000</v>
      </c>
      <c r="R519" t="s">
        <v>162</v>
      </c>
      <c r="S519">
        <v>1.1017860000000001E-2</v>
      </c>
      <c r="T519">
        <v>3.7166914399999998E-3</v>
      </c>
      <c r="U519" t="s">
        <v>176</v>
      </c>
      <c r="V519">
        <v>2.570834E-2</v>
      </c>
      <c r="W519">
        <v>0.75293117143999999</v>
      </c>
      <c r="X519" t="s">
        <v>177</v>
      </c>
      <c r="Y519">
        <v>4.5175870286400001E-2</v>
      </c>
      <c r="Z519">
        <v>0</v>
      </c>
      <c r="AA519" t="s">
        <v>178</v>
      </c>
      <c r="AB519">
        <v>9.0351740572800002E-2</v>
      </c>
      <c r="AC519">
        <v>0.88845878229919995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Q519" t="s">
        <v>262</v>
      </c>
      <c r="AR519" t="s">
        <v>263</v>
      </c>
      <c r="AS519">
        <v>0.73452399999999995</v>
      </c>
    </row>
    <row r="520" spans="1:45" x14ac:dyDescent="0.15">
      <c r="A520" s="4" t="str">
        <f>HYPERLINK("https://ibp.a2mac1.com/costing(costing:projects/details/9760/material/8754208)","&gt;PP;PET&lt;")</f>
        <v>&gt;PP;PET&lt;</v>
      </c>
      <c r="B520">
        <v>8754208</v>
      </c>
      <c r="C520">
        <v>12084839</v>
      </c>
      <c r="E520">
        <v>4.7699999999999996</v>
      </c>
      <c r="F520" t="s">
        <v>478</v>
      </c>
      <c r="G520">
        <v>100</v>
      </c>
      <c r="H520" t="s">
        <v>479</v>
      </c>
      <c r="I520">
        <v>0</v>
      </c>
      <c r="J520">
        <v>0.50345253019720215</v>
      </c>
      <c r="K520">
        <v>0</v>
      </c>
      <c r="L520">
        <v>0</v>
      </c>
      <c r="M520">
        <v>0</v>
      </c>
      <c r="O520">
        <v>200000</v>
      </c>
      <c r="R520" t="s">
        <v>162</v>
      </c>
      <c r="S520">
        <v>0</v>
      </c>
      <c r="T520">
        <v>2.41362E-2</v>
      </c>
      <c r="U520" t="s">
        <v>176</v>
      </c>
      <c r="V520">
        <v>0.16694999999999999</v>
      </c>
      <c r="W520">
        <v>4.9610861999999996</v>
      </c>
      <c r="X520" t="s">
        <v>177</v>
      </c>
      <c r="Y520">
        <v>0.29766517199999998</v>
      </c>
      <c r="Z520">
        <v>0</v>
      </c>
      <c r="AA520" t="s">
        <v>178</v>
      </c>
      <c r="AB520">
        <v>0.59533034399999996</v>
      </c>
      <c r="AC520">
        <v>5.8540817159999996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Q520" t="s">
        <v>9</v>
      </c>
      <c r="AR520" t="s">
        <v>263</v>
      </c>
      <c r="AS520">
        <v>4.7699999999999996</v>
      </c>
    </row>
    <row r="521" spans="1:45" x14ac:dyDescent="0.15">
      <c r="A521" s="4" t="str">
        <f>HYPERLINK("https://ibp.a2mac1.com/costing(costing:projects/details/9760/material/8754209)","&gt;PP;PET&lt;")</f>
        <v>&gt;PP;PET&lt;</v>
      </c>
      <c r="B521">
        <v>8754209</v>
      </c>
      <c r="C521">
        <v>12084840</v>
      </c>
      <c r="E521">
        <v>4.93</v>
      </c>
      <c r="F521" t="s">
        <v>478</v>
      </c>
      <c r="G521">
        <v>100</v>
      </c>
      <c r="H521" t="s">
        <v>479</v>
      </c>
      <c r="I521">
        <v>0</v>
      </c>
      <c r="J521">
        <v>0.50345253019720215</v>
      </c>
      <c r="K521">
        <v>0</v>
      </c>
      <c r="L521">
        <v>0</v>
      </c>
      <c r="M521">
        <v>0</v>
      </c>
      <c r="O521">
        <v>200000</v>
      </c>
      <c r="R521" t="s">
        <v>162</v>
      </c>
      <c r="S521">
        <v>0</v>
      </c>
      <c r="T521">
        <v>2.4945800000000001E-2</v>
      </c>
      <c r="U521" t="s">
        <v>176</v>
      </c>
      <c r="V521">
        <v>0.17255000000000001</v>
      </c>
      <c r="W521">
        <v>5.1274958000000002</v>
      </c>
      <c r="X521" t="s">
        <v>177</v>
      </c>
      <c r="Y521">
        <v>0.307649748</v>
      </c>
      <c r="Z521">
        <v>0</v>
      </c>
      <c r="AA521" t="s">
        <v>178</v>
      </c>
      <c r="AB521">
        <v>0.615299496</v>
      </c>
      <c r="AC521">
        <v>6.0504450439999999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Q521" t="s">
        <v>9</v>
      </c>
      <c r="AR521" t="s">
        <v>263</v>
      </c>
      <c r="AS521">
        <v>4.93</v>
      </c>
    </row>
    <row r="522" spans="1:45" x14ac:dyDescent="0.15">
      <c r="A522" s="4" t="str">
        <f>HYPERLINK("https://ibp.a2mac1.com/costing(costing:projects/details/9760/material/8754210)","&gt;PP;PET&lt;")</f>
        <v>&gt;PP;PET&lt;</v>
      </c>
      <c r="B522">
        <v>8754210</v>
      </c>
      <c r="C522">
        <v>12084841</v>
      </c>
      <c r="E522">
        <v>6.78</v>
      </c>
      <c r="F522" t="s">
        <v>478</v>
      </c>
      <c r="G522">
        <v>100</v>
      </c>
      <c r="H522" t="s">
        <v>479</v>
      </c>
      <c r="I522">
        <v>0</v>
      </c>
      <c r="J522">
        <v>0.50345253019720215</v>
      </c>
      <c r="K522">
        <v>0</v>
      </c>
      <c r="L522">
        <v>0</v>
      </c>
      <c r="M522">
        <v>0</v>
      </c>
      <c r="O522">
        <v>200000</v>
      </c>
      <c r="R522" t="s">
        <v>162</v>
      </c>
      <c r="S522">
        <v>0</v>
      </c>
      <c r="T522">
        <v>3.4306799999999998E-2</v>
      </c>
      <c r="U522" t="s">
        <v>176</v>
      </c>
      <c r="V522">
        <v>0.23730000000000001</v>
      </c>
      <c r="W522">
        <v>7.0516068000000001</v>
      </c>
      <c r="X522" t="s">
        <v>177</v>
      </c>
      <c r="Y522">
        <v>0.42309640799999998</v>
      </c>
      <c r="Z522">
        <v>0</v>
      </c>
      <c r="AA522" t="s">
        <v>178</v>
      </c>
      <c r="AB522">
        <v>0.84619281599999996</v>
      </c>
      <c r="AC522">
        <v>8.3208960239999996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Q522" t="s">
        <v>9</v>
      </c>
      <c r="AR522" t="s">
        <v>263</v>
      </c>
      <c r="AS522">
        <v>6.78</v>
      </c>
    </row>
    <row r="523" spans="1:45" x14ac:dyDescent="0.15">
      <c r="A523" s="4" t="str">
        <f>HYPERLINK("https://ibp.a2mac1.com/costing(costing:projects/details/9760/material/8754169)","&gt;PET;PUR;EPP&lt;")</f>
        <v>&gt;PET;PUR;EPP&lt;</v>
      </c>
      <c r="B523">
        <v>8754169</v>
      </c>
      <c r="C523">
        <v>12084785</v>
      </c>
      <c r="E523">
        <v>49.9</v>
      </c>
      <c r="F523" t="s">
        <v>478</v>
      </c>
      <c r="G523">
        <v>100</v>
      </c>
      <c r="H523" t="s">
        <v>479</v>
      </c>
      <c r="I523">
        <v>0</v>
      </c>
      <c r="J523">
        <v>0.50345253019720215</v>
      </c>
      <c r="K523">
        <v>0</v>
      </c>
      <c r="L523">
        <v>0</v>
      </c>
      <c r="M523">
        <v>0</v>
      </c>
      <c r="O523">
        <v>200000</v>
      </c>
      <c r="R523" t="s">
        <v>162</v>
      </c>
      <c r="S523">
        <v>0</v>
      </c>
      <c r="T523">
        <v>0.252494</v>
      </c>
      <c r="U523" t="s">
        <v>176</v>
      </c>
      <c r="V523">
        <v>1.7464999999999999</v>
      </c>
      <c r="W523">
        <v>51.898994000000002</v>
      </c>
      <c r="X523" t="s">
        <v>177</v>
      </c>
      <c r="Y523">
        <v>3.1139396399999999</v>
      </c>
      <c r="Z523">
        <v>0</v>
      </c>
      <c r="AA523" t="s">
        <v>178</v>
      </c>
      <c r="AB523">
        <v>6.2278792799999998</v>
      </c>
      <c r="AC523">
        <v>61.240812920000003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Q523" t="s">
        <v>9</v>
      </c>
      <c r="AR523" t="s">
        <v>263</v>
      </c>
      <c r="AS523">
        <v>49.9</v>
      </c>
    </row>
    <row r="524" spans="1:45" x14ac:dyDescent="0.15">
      <c r="A524" s="4" t="str">
        <f>HYPERLINK("https://ibp.a2mac1.com/costing(costing:projects/details/9760/material/8754170)","PET adjusted (part)")</f>
        <v>PET adjusted (part)</v>
      </c>
      <c r="B524">
        <v>8754170</v>
      </c>
      <c r="C524">
        <v>12084786</v>
      </c>
      <c r="E524">
        <v>3.3</v>
      </c>
      <c r="F524" t="s">
        <v>478</v>
      </c>
      <c r="G524">
        <v>100</v>
      </c>
      <c r="H524" t="s">
        <v>479</v>
      </c>
      <c r="I524">
        <v>5</v>
      </c>
      <c r="J524">
        <v>0.50345253019720215</v>
      </c>
      <c r="K524">
        <v>0</v>
      </c>
      <c r="L524">
        <v>0</v>
      </c>
      <c r="M524">
        <v>0</v>
      </c>
      <c r="O524">
        <v>200000</v>
      </c>
      <c r="R524" t="s">
        <v>162</v>
      </c>
      <c r="S524">
        <v>0</v>
      </c>
      <c r="T524">
        <v>1.6698000000000001E-2</v>
      </c>
      <c r="U524" t="s">
        <v>176</v>
      </c>
      <c r="V524">
        <v>0.11550000000000001</v>
      </c>
      <c r="W524">
        <v>3.4321980000000001</v>
      </c>
      <c r="X524" t="s">
        <v>177</v>
      </c>
      <c r="Y524">
        <v>0.20593188000000001</v>
      </c>
      <c r="Z524">
        <v>0</v>
      </c>
      <c r="AA524" t="s">
        <v>178</v>
      </c>
      <c r="AB524">
        <v>0.41186376000000002</v>
      </c>
      <c r="AC524">
        <v>4.0499936400000003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Q524" t="s">
        <v>262</v>
      </c>
      <c r="AR524" t="s">
        <v>263</v>
      </c>
      <c r="AS524">
        <v>3.3</v>
      </c>
    </row>
    <row r="525" spans="1:45" x14ac:dyDescent="0.15">
      <c r="A525" s="4" t="str">
        <f>HYPERLINK("https://ibp.a2mac1.com/costing(costing:projects/details/9760/material/8754171)","PP")</f>
        <v>PP</v>
      </c>
      <c r="B525">
        <v>8754171</v>
      </c>
      <c r="C525">
        <v>12084787</v>
      </c>
      <c r="E525">
        <v>1.0113799999999999</v>
      </c>
      <c r="F525" t="s">
        <v>4873</v>
      </c>
      <c r="G525">
        <v>95</v>
      </c>
      <c r="H525" t="s">
        <v>4874</v>
      </c>
      <c r="I525">
        <v>5</v>
      </c>
      <c r="J525">
        <v>0.50345253019720215</v>
      </c>
      <c r="K525">
        <v>0</v>
      </c>
      <c r="M525">
        <v>0</v>
      </c>
      <c r="O525">
        <v>200000</v>
      </c>
      <c r="R525" t="s">
        <v>162</v>
      </c>
      <c r="S525">
        <v>2.1558363157894736E-4</v>
      </c>
      <c r="T525">
        <v>4.3634127031578948E-4</v>
      </c>
      <c r="U525" t="s">
        <v>176</v>
      </c>
      <c r="V525">
        <v>3.0181708421052633E-3</v>
      </c>
      <c r="W525">
        <v>8.9472381112421048E-2</v>
      </c>
      <c r="X525" t="s">
        <v>177</v>
      </c>
      <c r="Y525">
        <v>5.3683428667452631E-3</v>
      </c>
      <c r="Z525">
        <v>0</v>
      </c>
      <c r="AA525" t="s">
        <v>178</v>
      </c>
      <c r="AB525">
        <v>1.0736685733490526E-2</v>
      </c>
      <c r="AC525">
        <v>0.10557740971265685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Q525" t="s">
        <v>262</v>
      </c>
      <c r="AR525" t="s">
        <v>263</v>
      </c>
      <c r="AS525">
        <v>8.6233452631578944E-2</v>
      </c>
    </row>
    <row r="526" spans="1:45" x14ac:dyDescent="0.15">
      <c r="A526" s="4" t="str">
        <f>HYPERLINK("https://ibp.a2mac1.com/costing(costing:projects/details/9760/material/8754172)","EPP")</f>
        <v>EPP</v>
      </c>
      <c r="B526">
        <v>8754172</v>
      </c>
      <c r="C526">
        <v>12084788</v>
      </c>
      <c r="E526">
        <v>2.5973999999999999</v>
      </c>
      <c r="F526" t="s">
        <v>4878</v>
      </c>
      <c r="G526">
        <v>95</v>
      </c>
      <c r="H526" t="s">
        <v>4879</v>
      </c>
      <c r="I526">
        <v>5</v>
      </c>
      <c r="J526">
        <v>0.50345253019720215</v>
      </c>
      <c r="K526">
        <v>0</v>
      </c>
      <c r="M526">
        <v>0</v>
      </c>
      <c r="O526">
        <v>200000</v>
      </c>
      <c r="R526" t="s">
        <v>162</v>
      </c>
      <c r="S526">
        <v>3.4176315789473686E-4</v>
      </c>
      <c r="T526">
        <v>6.9172863157894741E-4</v>
      </c>
      <c r="U526" t="s">
        <v>176</v>
      </c>
      <c r="V526">
        <v>4.784684210526316E-3</v>
      </c>
      <c r="W526">
        <v>0.14183991284210526</v>
      </c>
      <c r="X526" t="s">
        <v>177</v>
      </c>
      <c r="Y526">
        <v>8.5103947705263156E-3</v>
      </c>
      <c r="Z526">
        <v>0</v>
      </c>
      <c r="AA526" t="s">
        <v>178</v>
      </c>
      <c r="AB526">
        <v>1.7020789541052631E-2</v>
      </c>
      <c r="AC526">
        <v>0.1673710971536842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Q526" t="s">
        <v>262</v>
      </c>
      <c r="AR526" t="s">
        <v>263</v>
      </c>
      <c r="AS526">
        <v>0.13670526315789475</v>
      </c>
    </row>
    <row r="527" spans="1:45" x14ac:dyDescent="0.15">
      <c r="A527" s="4" t="str">
        <f>HYPERLINK("https://ibp.a2mac1.com/costing(costing:projects/details/9760/material/8754213)","Several Material")</f>
        <v>Several Material</v>
      </c>
      <c r="B527">
        <v>8754213</v>
      </c>
      <c r="C527">
        <v>12084862</v>
      </c>
      <c r="E527">
        <v>9.83</v>
      </c>
      <c r="F527" t="s">
        <v>478</v>
      </c>
      <c r="G527">
        <v>100</v>
      </c>
      <c r="H527" t="s">
        <v>479</v>
      </c>
      <c r="I527">
        <v>0</v>
      </c>
      <c r="J527">
        <v>0.50345253019720215</v>
      </c>
      <c r="K527">
        <v>0</v>
      </c>
      <c r="L527">
        <v>0</v>
      </c>
      <c r="M527">
        <v>0</v>
      </c>
      <c r="O527">
        <v>200000</v>
      </c>
      <c r="R527" t="s">
        <v>162</v>
      </c>
      <c r="S527">
        <v>0</v>
      </c>
      <c r="T527">
        <v>4.9739800000000001E-2</v>
      </c>
      <c r="U527" t="s">
        <v>176</v>
      </c>
      <c r="V527">
        <v>0.34405000000000002</v>
      </c>
      <c r="W527">
        <v>10.2237898</v>
      </c>
      <c r="X527" t="s">
        <v>177</v>
      </c>
      <c r="Y527">
        <v>0.61342738799999996</v>
      </c>
      <c r="Z527">
        <v>0</v>
      </c>
      <c r="AA527" t="s">
        <v>178</v>
      </c>
      <c r="AB527">
        <v>1.2268547759999999</v>
      </c>
      <c r="AC527">
        <v>12.064071964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Q527" t="s">
        <v>9</v>
      </c>
      <c r="AR527" t="s">
        <v>263</v>
      </c>
      <c r="AS527">
        <v>9.83</v>
      </c>
    </row>
    <row r="528" spans="1:45" x14ac:dyDescent="0.15">
      <c r="A528" s="4" t="str">
        <f>HYPERLINK("https://ibp.a2mac1.com/costing(costing:projects/details/9760/material/8754211)","Several Material")</f>
        <v>Several Material</v>
      </c>
      <c r="B528">
        <v>8754211</v>
      </c>
      <c r="C528">
        <v>12084842</v>
      </c>
      <c r="D528" t="s">
        <v>4893</v>
      </c>
      <c r="E528">
        <v>5.38</v>
      </c>
      <c r="F528" t="s">
        <v>478</v>
      </c>
      <c r="G528">
        <v>100</v>
      </c>
      <c r="H528" t="s">
        <v>479</v>
      </c>
      <c r="I528">
        <v>0</v>
      </c>
      <c r="J528">
        <v>0.50345253019720215</v>
      </c>
      <c r="K528">
        <v>0</v>
      </c>
      <c r="L528">
        <v>0</v>
      </c>
      <c r="M528">
        <v>0</v>
      </c>
      <c r="O528">
        <v>200000</v>
      </c>
      <c r="R528" t="s">
        <v>162</v>
      </c>
      <c r="S528">
        <v>0</v>
      </c>
      <c r="T528">
        <v>2.7222799999999998E-2</v>
      </c>
      <c r="U528" t="s">
        <v>176</v>
      </c>
      <c r="V528">
        <v>0.1883</v>
      </c>
      <c r="W528">
        <v>5.5955228000000004</v>
      </c>
      <c r="X528" t="s">
        <v>177</v>
      </c>
      <c r="Y528">
        <v>0.33573136799999997</v>
      </c>
      <c r="Z528">
        <v>0</v>
      </c>
      <c r="AA528" t="s">
        <v>178</v>
      </c>
      <c r="AB528">
        <v>0.67146273599999995</v>
      </c>
      <c r="AC528">
        <v>6.6027169040000002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Q528" t="s">
        <v>9</v>
      </c>
      <c r="AR528" t="s">
        <v>263</v>
      </c>
      <c r="AS528">
        <v>5.38</v>
      </c>
    </row>
    <row r="529" spans="1:45" x14ac:dyDescent="0.15">
      <c r="A529" s="4" t="str">
        <f>HYPERLINK("https://ibp.a2mac1.com/costing(costing:projects/details/9760/material/8754212)","POM")</f>
        <v>POM</v>
      </c>
      <c r="B529">
        <v>8754212</v>
      </c>
      <c r="C529">
        <v>12084843</v>
      </c>
      <c r="E529">
        <v>2.12338</v>
      </c>
      <c r="F529" t="s">
        <v>4898</v>
      </c>
      <c r="G529">
        <v>95</v>
      </c>
      <c r="H529" t="s">
        <v>4899</v>
      </c>
      <c r="I529">
        <v>5</v>
      </c>
      <c r="J529">
        <v>0.50345253019720215</v>
      </c>
      <c r="K529">
        <v>0</v>
      </c>
      <c r="L529">
        <v>0</v>
      </c>
      <c r="M529">
        <v>0</v>
      </c>
      <c r="O529">
        <v>200000</v>
      </c>
      <c r="R529" t="s">
        <v>162</v>
      </c>
      <c r="S529">
        <v>7.8229789473684207E-5</v>
      </c>
      <c r="T529">
        <v>1.5833709389473683E-4</v>
      </c>
      <c r="U529" t="s">
        <v>176</v>
      </c>
      <c r="V529">
        <v>1.0952170526315789E-3</v>
      </c>
      <c r="W529">
        <v>3.2467240146526313E-2</v>
      </c>
      <c r="X529" t="s">
        <v>177</v>
      </c>
      <c r="Y529">
        <v>1.9480344087915789E-3</v>
      </c>
      <c r="Z529">
        <v>0</v>
      </c>
      <c r="AA529" t="s">
        <v>178</v>
      </c>
      <c r="AB529">
        <v>3.8960688175831578E-3</v>
      </c>
      <c r="AC529">
        <v>3.8311343372901055E-2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P529" t="s">
        <v>4900</v>
      </c>
      <c r="AQ529" t="s">
        <v>262</v>
      </c>
      <c r="AR529" t="s">
        <v>263</v>
      </c>
      <c r="AS529">
        <v>3.1291915789473684E-2</v>
      </c>
    </row>
    <row r="530" spans="1:45" x14ac:dyDescent="0.15">
      <c r="A530" s="4" t="str">
        <f>HYPERLINK("https://ibp.a2mac1.com/costing(costing:projects/details/9760/material/8754173)","&gt;PE;PET&lt;EPP")</f>
        <v>&gt;PE;PET&lt;EPP</v>
      </c>
      <c r="B530">
        <v>8754173</v>
      </c>
      <c r="C530">
        <v>12084789</v>
      </c>
      <c r="E530">
        <v>2.98</v>
      </c>
      <c r="F530" t="s">
        <v>478</v>
      </c>
      <c r="G530">
        <v>100</v>
      </c>
      <c r="H530" t="s">
        <v>479</v>
      </c>
      <c r="I530">
        <v>0</v>
      </c>
      <c r="J530">
        <v>0.50345253019720215</v>
      </c>
      <c r="K530">
        <v>0</v>
      </c>
      <c r="L530">
        <v>0</v>
      </c>
      <c r="M530">
        <v>0</v>
      </c>
      <c r="O530">
        <v>200000</v>
      </c>
      <c r="R530" t="s">
        <v>162</v>
      </c>
      <c r="S530">
        <v>0</v>
      </c>
      <c r="T530">
        <v>1.50788E-2</v>
      </c>
      <c r="U530" t="s">
        <v>176</v>
      </c>
      <c r="V530">
        <v>0.1043</v>
      </c>
      <c r="W530">
        <v>3.0993788000000002</v>
      </c>
      <c r="X530" t="s">
        <v>177</v>
      </c>
      <c r="Y530">
        <v>0.18596272799999999</v>
      </c>
      <c r="Z530">
        <v>0</v>
      </c>
      <c r="AA530" t="s">
        <v>178</v>
      </c>
      <c r="AB530">
        <v>0.37192545599999999</v>
      </c>
      <c r="AC530">
        <v>3.6572669840000001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Q530" t="s">
        <v>9</v>
      </c>
      <c r="AR530" t="s">
        <v>263</v>
      </c>
      <c r="AS530">
        <v>2.98</v>
      </c>
    </row>
    <row r="531" spans="1:45" x14ac:dyDescent="0.15">
      <c r="A531" s="4" t="str">
        <f>HYPERLINK("https://ibp.a2mac1.com/costing(costing:projects/details/9760/material/8754175)","PP")</f>
        <v>PP</v>
      </c>
      <c r="B531">
        <v>8754175</v>
      </c>
      <c r="C531">
        <v>12084790</v>
      </c>
      <c r="E531">
        <v>1.0113799999999999</v>
      </c>
      <c r="F531" t="s">
        <v>4564</v>
      </c>
      <c r="G531">
        <v>95</v>
      </c>
      <c r="H531" t="s">
        <v>4565</v>
      </c>
      <c r="I531">
        <v>5</v>
      </c>
      <c r="J531">
        <v>0.50048257265952256</v>
      </c>
      <c r="K531">
        <v>0</v>
      </c>
      <c r="L531">
        <v>0</v>
      </c>
      <c r="M531">
        <v>0</v>
      </c>
      <c r="O531">
        <v>400000</v>
      </c>
      <c r="R531" t="s">
        <v>162</v>
      </c>
      <c r="S531">
        <v>1.4638394736842105E-5</v>
      </c>
      <c r="T531">
        <v>2.9452450210526315E-5</v>
      </c>
      <c r="U531" t="s">
        <v>176</v>
      </c>
      <c r="V531">
        <v>2.0493752631578949E-4</v>
      </c>
      <c r="W531">
        <v>6.0751094765263162E-3</v>
      </c>
      <c r="X531" t="s">
        <v>177</v>
      </c>
      <c r="Y531">
        <v>3.6450656859157894E-4</v>
      </c>
      <c r="Z531">
        <v>0</v>
      </c>
      <c r="AA531" t="s">
        <v>178</v>
      </c>
      <c r="AB531">
        <v>7.2901313718315788E-4</v>
      </c>
      <c r="AC531">
        <v>7.1686291823010529E-3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Q531" t="s">
        <v>262</v>
      </c>
      <c r="AR531" t="s">
        <v>263</v>
      </c>
      <c r="AS531">
        <v>5.8553578947368422E-3</v>
      </c>
    </row>
    <row r="532" spans="1:45" x14ac:dyDescent="0.15">
      <c r="A532" s="4" t="str">
        <f>HYPERLINK("https://ibp.a2mac1.com/costing(costing:projects/details/9760/material/8754176)","PP")</f>
        <v>PP</v>
      </c>
      <c r="B532">
        <v>8754176</v>
      </c>
      <c r="C532">
        <v>12084791</v>
      </c>
      <c r="E532">
        <v>1.0113799999999999</v>
      </c>
      <c r="F532" t="s">
        <v>4921</v>
      </c>
      <c r="G532">
        <v>95</v>
      </c>
      <c r="H532" t="s">
        <v>4922</v>
      </c>
      <c r="I532">
        <v>5</v>
      </c>
      <c r="J532">
        <v>0.50048257265952256</v>
      </c>
      <c r="K532">
        <v>0</v>
      </c>
      <c r="L532">
        <v>0</v>
      </c>
      <c r="M532">
        <v>0</v>
      </c>
      <c r="O532">
        <v>400000</v>
      </c>
      <c r="R532" t="s">
        <v>162</v>
      </c>
      <c r="S532">
        <v>4.1253657894736843E-5</v>
      </c>
      <c r="T532">
        <v>8.3002359684210532E-5</v>
      </c>
      <c r="U532" t="s">
        <v>176</v>
      </c>
      <c r="V532">
        <v>5.7755121052631582E-4</v>
      </c>
      <c r="W532">
        <v>1.7120763070210526E-2</v>
      </c>
      <c r="X532" t="s">
        <v>177</v>
      </c>
      <c r="Y532">
        <v>1.0272457842126317E-3</v>
      </c>
      <c r="Z532">
        <v>0</v>
      </c>
      <c r="AA532" t="s">
        <v>178</v>
      </c>
      <c r="AB532">
        <v>2.0544915684252633E-3</v>
      </c>
      <c r="AC532">
        <v>2.0202500422848421E-2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Q532" t="s">
        <v>262</v>
      </c>
      <c r="AR532" t="s">
        <v>263</v>
      </c>
      <c r="AS532">
        <v>1.6501463157894736E-2</v>
      </c>
    </row>
    <row r="533" spans="1:45" x14ac:dyDescent="0.15">
      <c r="A533" s="4" t="str">
        <f>HYPERLINK("https://ibp.a2mac1.com/costing(costing:projects/details/9760/material/8754177)","PP-EPDM")</f>
        <v>PP-EPDM</v>
      </c>
      <c r="B533">
        <v>8754177</v>
      </c>
      <c r="C533">
        <v>12084792</v>
      </c>
      <c r="E533">
        <v>1.7894600000000001</v>
      </c>
      <c r="F533" t="s">
        <v>4554</v>
      </c>
      <c r="G533">
        <v>95</v>
      </c>
      <c r="H533" t="s">
        <v>4555</v>
      </c>
      <c r="I533">
        <v>5</v>
      </c>
      <c r="J533">
        <v>0.50048257265952256</v>
      </c>
      <c r="K533">
        <v>0</v>
      </c>
      <c r="L533">
        <v>0</v>
      </c>
      <c r="M533">
        <v>0</v>
      </c>
      <c r="O533">
        <v>400000</v>
      </c>
      <c r="R533" t="s">
        <v>162</v>
      </c>
      <c r="S533">
        <v>5.1800157894736842E-5</v>
      </c>
      <c r="T533">
        <v>1.0422191768421053E-4</v>
      </c>
      <c r="U533" t="s">
        <v>176</v>
      </c>
      <c r="V533">
        <v>7.2520221052631577E-4</v>
      </c>
      <c r="W533">
        <v>2.1497687128210527E-2</v>
      </c>
      <c r="X533" t="s">
        <v>177</v>
      </c>
      <c r="Y533">
        <v>1.2898612276926317E-3</v>
      </c>
      <c r="Z533">
        <v>0</v>
      </c>
      <c r="AA533" t="s">
        <v>178</v>
      </c>
      <c r="AB533">
        <v>2.5797224553852634E-3</v>
      </c>
      <c r="AC533">
        <v>2.5367270811288423E-2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Q533" t="s">
        <v>262</v>
      </c>
      <c r="AR533" t="s">
        <v>263</v>
      </c>
      <c r="AS533">
        <v>2.0720063157894736E-2</v>
      </c>
    </row>
    <row r="534" spans="1:45" x14ac:dyDescent="0.15">
      <c r="A534" s="4" t="str">
        <f>HYPERLINK("https://ibp.a2mac1.com/costing(costing:projects/details/9760/material/8754178)","PP-EPDM")</f>
        <v>PP-EPDM</v>
      </c>
      <c r="B534">
        <v>8754178</v>
      </c>
      <c r="C534">
        <v>12084793</v>
      </c>
      <c r="E534">
        <v>1.7894600000000001</v>
      </c>
      <c r="F534" t="s">
        <v>4933</v>
      </c>
      <c r="G534">
        <v>95</v>
      </c>
      <c r="H534" t="s">
        <v>4934</v>
      </c>
      <c r="I534">
        <v>5</v>
      </c>
      <c r="J534">
        <v>0.50048257265952256</v>
      </c>
      <c r="K534">
        <v>0</v>
      </c>
      <c r="L534">
        <v>0</v>
      </c>
      <c r="M534">
        <v>0</v>
      </c>
      <c r="O534">
        <v>400000</v>
      </c>
      <c r="R534" t="s">
        <v>162</v>
      </c>
      <c r="S534">
        <v>2.5429168421052631E-4</v>
      </c>
      <c r="T534">
        <v>5.1163486863157895E-4</v>
      </c>
      <c r="U534" t="s">
        <v>176</v>
      </c>
      <c r="V534">
        <v>3.5600835789473683E-3</v>
      </c>
      <c r="W534">
        <v>0.10553410044757895</v>
      </c>
      <c r="X534" t="s">
        <v>177</v>
      </c>
      <c r="Y534">
        <v>6.3320460268547372E-3</v>
      </c>
      <c r="Z534">
        <v>0</v>
      </c>
      <c r="AA534" t="s">
        <v>178</v>
      </c>
      <c r="AB534">
        <v>1.2664092053709474E-2</v>
      </c>
      <c r="AC534">
        <v>0.12453023852814316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Q534" t="s">
        <v>262</v>
      </c>
      <c r="AR534" t="s">
        <v>263</v>
      </c>
      <c r="AS534">
        <v>0.10171667368421053</v>
      </c>
    </row>
    <row r="535" spans="1:45" x14ac:dyDescent="0.15">
      <c r="A535" s="4" t="str">
        <f>HYPERLINK("https://ibp.a2mac1.com/costing(costing:projects/details/9760/material/8754059)","POM")</f>
        <v>POM</v>
      </c>
      <c r="B535">
        <v>8754059</v>
      </c>
      <c r="C535">
        <v>12084692</v>
      </c>
      <c r="E535">
        <v>2.12338</v>
      </c>
      <c r="F535" t="s">
        <v>4942</v>
      </c>
      <c r="G535">
        <v>95</v>
      </c>
      <c r="H535" t="s">
        <v>4943</v>
      </c>
      <c r="I535">
        <v>5</v>
      </c>
      <c r="J535">
        <v>0.50345253019720215</v>
      </c>
      <c r="K535">
        <v>0</v>
      </c>
      <c r="M535">
        <v>0</v>
      </c>
      <c r="O535">
        <v>200000</v>
      </c>
      <c r="R535" t="s">
        <v>162</v>
      </c>
      <c r="S535">
        <v>6.7054105263157889E-5</v>
      </c>
      <c r="T535">
        <v>1.3571750905263158E-4</v>
      </c>
      <c r="U535" t="s">
        <v>176</v>
      </c>
      <c r="V535">
        <v>9.3875747368421048E-4</v>
      </c>
      <c r="W535">
        <v>2.7829062982736841E-2</v>
      </c>
      <c r="X535" t="s">
        <v>177</v>
      </c>
      <c r="Y535">
        <v>1.6697437789642106E-3</v>
      </c>
      <c r="Z535">
        <v>0</v>
      </c>
      <c r="AA535" t="s">
        <v>178</v>
      </c>
      <c r="AB535">
        <v>3.3394875579284213E-3</v>
      </c>
      <c r="AC535">
        <v>3.2838294319629473E-2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Q535" t="s">
        <v>262</v>
      </c>
      <c r="AR535" t="s">
        <v>263</v>
      </c>
      <c r="AS535">
        <v>2.6821642105263159E-2</v>
      </c>
    </row>
    <row r="536" spans="1:45" x14ac:dyDescent="0.15">
      <c r="A536" s="4" t="str">
        <f>HYPERLINK("https://ibp.a2mac1.com/costing(costing:projects/details/9760/material/8755577)","Standard Structural Steel sheet")</f>
        <v>Standard Structural Steel sheet</v>
      </c>
      <c r="B536">
        <v>8755577</v>
      </c>
      <c r="C536">
        <v>12085963</v>
      </c>
      <c r="E536">
        <v>0.61129999999999995</v>
      </c>
      <c r="F536" t="s">
        <v>4959</v>
      </c>
      <c r="G536">
        <v>80</v>
      </c>
      <c r="H536" t="s">
        <v>4960</v>
      </c>
      <c r="I536">
        <v>30</v>
      </c>
      <c r="J536">
        <v>1.9999600007999841E-3</v>
      </c>
      <c r="K536">
        <v>0</v>
      </c>
      <c r="M536">
        <v>0</v>
      </c>
      <c r="O536">
        <v>200000</v>
      </c>
      <c r="R536" t="s">
        <v>162</v>
      </c>
      <c r="S536">
        <v>0.19526450249999999</v>
      </c>
      <c r="T536">
        <v>6.5088167500000006E-5</v>
      </c>
      <c r="U536" t="s">
        <v>176</v>
      </c>
      <c r="V536">
        <v>0.113904293125</v>
      </c>
      <c r="W536">
        <v>3.1731132537925002</v>
      </c>
      <c r="X536" t="s">
        <v>90</v>
      </c>
      <c r="Y536">
        <v>0</v>
      </c>
      <c r="Z536">
        <v>0</v>
      </c>
      <c r="AA536" t="s">
        <v>90</v>
      </c>
      <c r="AB536">
        <v>0</v>
      </c>
      <c r="AC536">
        <v>3.1731132537925002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Q536" t="s">
        <v>262</v>
      </c>
      <c r="AR536" t="s">
        <v>263</v>
      </c>
      <c r="AS536">
        <v>3.2544083750000001</v>
      </c>
    </row>
    <row r="537" spans="1:45" x14ac:dyDescent="0.15">
      <c r="A537" s="4" t="str">
        <f>HYPERLINK("https://ibp.a2mac1.com/costing(costing:projects/details/9760/material/8755747)","Standard Structural Steel sheet")</f>
        <v>Standard Structural Steel sheet</v>
      </c>
      <c r="B537">
        <v>8755747</v>
      </c>
      <c r="C537">
        <v>12086161</v>
      </c>
      <c r="E537">
        <v>0.61129999999999995</v>
      </c>
      <c r="F537" t="s">
        <v>4971</v>
      </c>
      <c r="G537">
        <v>70</v>
      </c>
      <c r="H537" t="s">
        <v>4972</v>
      </c>
      <c r="I537">
        <v>30</v>
      </c>
      <c r="J537">
        <v>1.9999600007999841E-3</v>
      </c>
      <c r="K537">
        <v>0</v>
      </c>
      <c r="M537">
        <v>0</v>
      </c>
      <c r="O537">
        <v>200000</v>
      </c>
      <c r="R537" t="s">
        <v>162</v>
      </c>
      <c r="S537">
        <v>0.13832845714285713</v>
      </c>
      <c r="T537">
        <v>3.0739657142857144E-5</v>
      </c>
      <c r="U537" t="s">
        <v>176</v>
      </c>
      <c r="V537">
        <v>5.3794399999999999E-2</v>
      </c>
      <c r="W537">
        <v>1.4524795396571428</v>
      </c>
      <c r="X537" t="s">
        <v>177</v>
      </c>
      <c r="Y537">
        <v>8.7148772379428571E-2</v>
      </c>
      <c r="Z537">
        <v>0</v>
      </c>
      <c r="AA537" t="s">
        <v>178</v>
      </c>
      <c r="AB537">
        <v>0.17429754475885714</v>
      </c>
      <c r="AC537">
        <v>1.7139258567954285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Q537" t="s">
        <v>262</v>
      </c>
      <c r="AR537" t="s">
        <v>263</v>
      </c>
      <c r="AS537">
        <v>1.5369828571428572</v>
      </c>
    </row>
    <row r="538" spans="1:45" x14ac:dyDescent="0.15">
      <c r="A538" s="4" t="str">
        <f>HYPERLINK("https://ibp.a2mac1.com/costing(costing:projects/details/9760/material/8755748)","Standard Structural Steel sheet")</f>
        <v>Standard Structural Steel sheet</v>
      </c>
      <c r="B538">
        <v>8755748</v>
      </c>
      <c r="C538">
        <v>12086162</v>
      </c>
      <c r="E538">
        <v>0.61129999999999995</v>
      </c>
      <c r="F538" t="s">
        <v>4431</v>
      </c>
      <c r="G538">
        <v>80</v>
      </c>
      <c r="H538" t="s">
        <v>4977</v>
      </c>
      <c r="I538">
        <v>30</v>
      </c>
      <c r="J538">
        <v>1.9999600007999841E-3</v>
      </c>
      <c r="K538">
        <v>0</v>
      </c>
      <c r="M538">
        <v>0</v>
      </c>
      <c r="O538">
        <v>200000</v>
      </c>
      <c r="R538" t="s">
        <v>162</v>
      </c>
      <c r="S538">
        <v>3.3927150000000001E-3</v>
      </c>
      <c r="T538">
        <v>1.130905E-6</v>
      </c>
      <c r="U538" t="s">
        <v>176</v>
      </c>
      <c r="V538">
        <v>1.97908375E-3</v>
      </c>
      <c r="W538">
        <v>5.5132749655E-2</v>
      </c>
      <c r="X538" t="s">
        <v>177</v>
      </c>
      <c r="Y538">
        <v>3.3079649793000001E-3</v>
      </c>
      <c r="Z538">
        <v>0</v>
      </c>
      <c r="AA538" t="s">
        <v>178</v>
      </c>
      <c r="AB538">
        <v>6.6159299586000002E-3</v>
      </c>
      <c r="AC538">
        <v>6.5056644592900004E-2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Q538" t="s">
        <v>262</v>
      </c>
      <c r="AR538" t="s">
        <v>263</v>
      </c>
      <c r="AS538">
        <v>5.6545249999999998E-2</v>
      </c>
    </row>
    <row r="539" spans="1:45" x14ac:dyDescent="0.15">
      <c r="A539" s="4" t="str">
        <f>HYPERLINK("https://ibp.a2mac1.com/costing(costing:projects/details/9760/material/8755749)","Standard Structural Steel sheet")</f>
        <v>Standard Structural Steel sheet</v>
      </c>
      <c r="B539">
        <v>8755749</v>
      </c>
      <c r="C539">
        <v>12086163</v>
      </c>
      <c r="E539">
        <v>0.61129999999999995</v>
      </c>
      <c r="F539" t="s">
        <v>4984</v>
      </c>
      <c r="G539">
        <v>80</v>
      </c>
      <c r="H539" t="s">
        <v>4985</v>
      </c>
      <c r="I539">
        <v>30</v>
      </c>
      <c r="J539">
        <v>1.9999600007999841E-3</v>
      </c>
      <c r="K539">
        <v>0</v>
      </c>
      <c r="M539">
        <v>0</v>
      </c>
      <c r="O539">
        <v>200000</v>
      </c>
      <c r="R539" t="s">
        <v>162</v>
      </c>
      <c r="S539">
        <v>5.25870825E-2</v>
      </c>
      <c r="T539">
        <v>1.75290275E-5</v>
      </c>
      <c r="U539" t="s">
        <v>176</v>
      </c>
      <c r="V539">
        <v>3.0675798125000001E-2</v>
      </c>
      <c r="W539">
        <v>0.85455761965249999</v>
      </c>
      <c r="X539" t="s">
        <v>177</v>
      </c>
      <c r="Y539">
        <v>5.1273457179150002E-2</v>
      </c>
      <c r="Z539">
        <v>0</v>
      </c>
      <c r="AA539" t="s">
        <v>178</v>
      </c>
      <c r="AB539">
        <v>0.1025469143583</v>
      </c>
      <c r="AC539">
        <v>1.00837799118995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Q539" t="s">
        <v>262</v>
      </c>
      <c r="AR539" t="s">
        <v>263</v>
      </c>
      <c r="AS539">
        <v>0.87645137500000003</v>
      </c>
    </row>
    <row r="540" spans="1:45" x14ac:dyDescent="0.15">
      <c r="A540" s="4" t="str">
        <f>HYPERLINK("https://ibp.a2mac1.com/costing(costing:projects/details/9760/material/8755750)","Standard Structural Steel sheet")</f>
        <v>Standard Structural Steel sheet</v>
      </c>
      <c r="B540">
        <v>8755750</v>
      </c>
      <c r="C540">
        <v>12086164</v>
      </c>
      <c r="E540">
        <v>0.61129999999999995</v>
      </c>
      <c r="F540" t="s">
        <v>4990</v>
      </c>
      <c r="G540">
        <v>75</v>
      </c>
      <c r="H540" t="s">
        <v>4991</v>
      </c>
      <c r="I540">
        <v>30</v>
      </c>
      <c r="J540">
        <v>1.9999600007999841E-3</v>
      </c>
      <c r="K540">
        <v>0</v>
      </c>
      <c r="M540">
        <v>0</v>
      </c>
      <c r="O540">
        <v>200000</v>
      </c>
      <c r="R540" t="s">
        <v>162</v>
      </c>
      <c r="S540">
        <v>2.2312450000000001E-2</v>
      </c>
      <c r="T540">
        <v>5.9499866666666669E-6</v>
      </c>
      <c r="U540" t="s">
        <v>176</v>
      </c>
      <c r="V540">
        <v>1.0412476666666667E-2</v>
      </c>
      <c r="W540">
        <v>0.28560530998666667</v>
      </c>
      <c r="X540" t="s">
        <v>177</v>
      </c>
      <c r="Y540">
        <v>1.71363185992E-2</v>
      </c>
      <c r="Z540">
        <v>0</v>
      </c>
      <c r="AA540" t="s">
        <v>178</v>
      </c>
      <c r="AB540">
        <v>3.4272637198399999E-2</v>
      </c>
      <c r="AC540">
        <v>0.33701426578426669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Q540" t="s">
        <v>262</v>
      </c>
      <c r="AR540" t="s">
        <v>263</v>
      </c>
      <c r="AS540">
        <v>0.29749933333333334</v>
      </c>
    </row>
    <row r="541" spans="1:45" x14ac:dyDescent="0.15">
      <c r="A541" s="4" t="str">
        <f>HYPERLINK("https://ibp.a2mac1.com/costing(costing:projects/details/9760/material/8755578)","Standard Structural Steel sheet")</f>
        <v>Standard Structural Steel sheet</v>
      </c>
      <c r="B541">
        <v>8755578</v>
      </c>
      <c r="C541">
        <v>12085964</v>
      </c>
      <c r="E541">
        <v>0.61129999999999995</v>
      </c>
      <c r="F541" t="s">
        <v>4999</v>
      </c>
      <c r="G541">
        <v>70</v>
      </c>
      <c r="H541" t="s">
        <v>5000</v>
      </c>
      <c r="I541">
        <v>30</v>
      </c>
      <c r="J541">
        <v>1.9999600007999841E-3</v>
      </c>
      <c r="K541">
        <v>0</v>
      </c>
      <c r="M541">
        <v>0</v>
      </c>
      <c r="O541">
        <v>200000</v>
      </c>
      <c r="R541" t="s">
        <v>162</v>
      </c>
      <c r="S541">
        <v>6.8378271428571431E-3</v>
      </c>
      <c r="T541">
        <v>1.5195171428571429E-6</v>
      </c>
      <c r="U541" t="s">
        <v>176</v>
      </c>
      <c r="V541">
        <v>2.6591549999999999E-3</v>
      </c>
      <c r="W541">
        <v>7.1798704517142861E-2</v>
      </c>
      <c r="X541" t="s">
        <v>177</v>
      </c>
      <c r="Y541">
        <v>4.3079222710285716E-3</v>
      </c>
      <c r="Z541">
        <v>0</v>
      </c>
      <c r="AA541" t="s">
        <v>178</v>
      </c>
      <c r="AB541">
        <v>8.6158445420571432E-3</v>
      </c>
      <c r="AC541">
        <v>8.4722471330228574E-2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Q541" t="s">
        <v>262</v>
      </c>
      <c r="AR541" t="s">
        <v>263</v>
      </c>
      <c r="AS541">
        <v>7.5975857142857137E-2</v>
      </c>
    </row>
    <row r="542" spans="1:45" x14ac:dyDescent="0.15">
      <c r="A542" s="4" t="str">
        <f>HYPERLINK("https://ibp.a2mac1.com/costing(costing:projects/details/9760/material/8756043)","Standard Structural Steel sheet")</f>
        <v>Standard Structural Steel sheet</v>
      </c>
      <c r="B542">
        <v>8756043</v>
      </c>
      <c r="C542">
        <v>12086440</v>
      </c>
      <c r="E542">
        <v>0.61129999999999995</v>
      </c>
      <c r="F542" t="s">
        <v>4570</v>
      </c>
      <c r="G542">
        <v>80</v>
      </c>
      <c r="H542" t="s">
        <v>4571</v>
      </c>
      <c r="I542">
        <v>30</v>
      </c>
      <c r="J542">
        <v>1.9999600007999841E-3</v>
      </c>
      <c r="K542">
        <v>0</v>
      </c>
      <c r="M542">
        <v>0</v>
      </c>
      <c r="O542">
        <v>200000</v>
      </c>
      <c r="R542" t="s">
        <v>162</v>
      </c>
      <c r="S542">
        <v>8.5734825000000001E-3</v>
      </c>
      <c r="T542">
        <v>2.8578275000000002E-6</v>
      </c>
      <c r="U542" t="s">
        <v>176</v>
      </c>
      <c r="V542">
        <v>5.001198125E-3</v>
      </c>
      <c r="W542">
        <v>0.13932194845250001</v>
      </c>
      <c r="X542" t="s">
        <v>177</v>
      </c>
      <c r="Y542">
        <v>8.3593169071499995E-3</v>
      </c>
      <c r="Z542">
        <v>0</v>
      </c>
      <c r="AA542" t="s">
        <v>178</v>
      </c>
      <c r="AB542">
        <v>1.6718633814299999E-2</v>
      </c>
      <c r="AC542">
        <v>0.16439989917395001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Q542" t="s">
        <v>262</v>
      </c>
      <c r="AR542" t="s">
        <v>263</v>
      </c>
      <c r="AS542">
        <v>0.14289137499999999</v>
      </c>
    </row>
    <row r="543" spans="1:45" x14ac:dyDescent="0.15">
      <c r="A543" s="4" t="str">
        <f>HYPERLINK("https://ibp.a2mac1.com/costing(costing:projects/details/9760/material/8756044)","Standard Structural Steel sheet")</f>
        <v>Standard Structural Steel sheet</v>
      </c>
      <c r="B543">
        <v>8756044</v>
      </c>
      <c r="C543">
        <v>12086441</v>
      </c>
      <c r="E543">
        <v>0.61129999999999995</v>
      </c>
      <c r="F543" t="s">
        <v>4873</v>
      </c>
      <c r="G543">
        <v>65</v>
      </c>
      <c r="H543" t="s">
        <v>5012</v>
      </c>
      <c r="I543">
        <v>30</v>
      </c>
      <c r="J543">
        <v>1.9999600007999841E-3</v>
      </c>
      <c r="K543">
        <v>0</v>
      </c>
      <c r="M543">
        <v>0</v>
      </c>
      <c r="O543">
        <v>200000</v>
      </c>
      <c r="R543" t="s">
        <v>162</v>
      </c>
      <c r="S543">
        <v>7.9986253846153852E-3</v>
      </c>
      <c r="T543">
        <v>1.5235476923076922E-6</v>
      </c>
      <c r="U543" t="s">
        <v>176</v>
      </c>
      <c r="V543">
        <v>2.6662084615384617E-3</v>
      </c>
      <c r="W543">
        <v>7.0846491240000004E-2</v>
      </c>
      <c r="X543" t="s">
        <v>177</v>
      </c>
      <c r="Y543">
        <v>4.2507894743999998E-3</v>
      </c>
      <c r="Z543">
        <v>0</v>
      </c>
      <c r="AA543" t="s">
        <v>178</v>
      </c>
      <c r="AB543">
        <v>8.5015789487999996E-3</v>
      </c>
      <c r="AC543">
        <v>8.3598859663200006E-2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Q543" t="s">
        <v>262</v>
      </c>
      <c r="AR543" t="s">
        <v>263</v>
      </c>
      <c r="AS543">
        <v>7.6177384615384619E-2</v>
      </c>
    </row>
    <row r="544" spans="1:45" x14ac:dyDescent="0.15">
      <c r="A544" s="4" t="str">
        <f>HYPERLINK("https://ibp.a2mac1.com/costing(costing:projects/details/9760/material/8755751)","Standard Structural Steel sheet")</f>
        <v>Standard Structural Steel sheet</v>
      </c>
      <c r="B544">
        <v>8755751</v>
      </c>
      <c r="C544">
        <v>12086165</v>
      </c>
      <c r="E544">
        <v>0.61129999999999995</v>
      </c>
      <c r="F544" t="s">
        <v>5022</v>
      </c>
      <c r="G544">
        <v>80</v>
      </c>
      <c r="H544" t="s">
        <v>5023</v>
      </c>
      <c r="I544">
        <v>30</v>
      </c>
      <c r="J544">
        <v>1.9999600007999841E-3</v>
      </c>
      <c r="K544">
        <v>0</v>
      </c>
      <c r="M544">
        <v>0</v>
      </c>
      <c r="O544">
        <v>200000</v>
      </c>
      <c r="R544" t="s">
        <v>162</v>
      </c>
      <c r="S544">
        <v>7.8720157499999999E-2</v>
      </c>
      <c r="T544">
        <v>2.62400525E-5</v>
      </c>
      <c r="U544" t="s">
        <v>176</v>
      </c>
      <c r="V544">
        <v>4.5920091874999999E-2</v>
      </c>
      <c r="W544">
        <v>1.2792287994275</v>
      </c>
      <c r="X544" t="s">
        <v>177</v>
      </c>
      <c r="Y544">
        <v>7.6753727965649998E-2</v>
      </c>
      <c r="Z544">
        <v>0</v>
      </c>
      <c r="AA544" t="s">
        <v>178</v>
      </c>
      <c r="AB544">
        <v>0.1535074559313</v>
      </c>
      <c r="AC544">
        <v>1.5094899833244499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Q544" t="s">
        <v>262</v>
      </c>
      <c r="AR544" t="s">
        <v>263</v>
      </c>
      <c r="AS544">
        <v>1.3120026250000001</v>
      </c>
    </row>
    <row r="545" spans="1:45" x14ac:dyDescent="0.15">
      <c r="A545" s="4" t="str">
        <f>HYPERLINK("https://ibp.a2mac1.com/costing(costing:projects/details/9760/material/8755579)","Standard Structural Steel sheet")</f>
        <v>Standard Structural Steel sheet</v>
      </c>
      <c r="B545">
        <v>8755579</v>
      </c>
      <c r="C545">
        <v>12085965</v>
      </c>
      <c r="D545" t="s">
        <v>5031</v>
      </c>
      <c r="E545">
        <v>0.61129999999999995</v>
      </c>
      <c r="F545" t="s">
        <v>5032</v>
      </c>
      <c r="G545">
        <v>80</v>
      </c>
      <c r="H545" t="s">
        <v>5033</v>
      </c>
      <c r="I545">
        <v>30</v>
      </c>
      <c r="J545">
        <v>1.9999600007999841E-3</v>
      </c>
      <c r="K545">
        <v>0</v>
      </c>
      <c r="L545">
        <v>0</v>
      </c>
      <c r="M545">
        <v>0</v>
      </c>
      <c r="O545">
        <v>200000</v>
      </c>
      <c r="R545" t="s">
        <v>162</v>
      </c>
      <c r="S545">
        <v>0.203837985</v>
      </c>
      <c r="T545">
        <v>6.7945994999999996E-5</v>
      </c>
      <c r="U545" t="s">
        <v>176</v>
      </c>
      <c r="V545">
        <v>0.11890549124999999</v>
      </c>
      <c r="W545">
        <v>3.3124352022450001</v>
      </c>
      <c r="X545" t="s">
        <v>90</v>
      </c>
      <c r="Y545">
        <v>0</v>
      </c>
      <c r="Z545">
        <v>0</v>
      </c>
      <c r="AA545" t="s">
        <v>90</v>
      </c>
      <c r="AB545">
        <v>0</v>
      </c>
      <c r="AC545">
        <v>3.3124352022450001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Q545" t="s">
        <v>262</v>
      </c>
      <c r="AR545" t="s">
        <v>263</v>
      </c>
      <c r="AS545">
        <v>3.3972997500000002</v>
      </c>
    </row>
    <row r="546" spans="1:45" x14ac:dyDescent="0.15">
      <c r="A546" s="4" t="str">
        <f>HYPERLINK("https://ibp.a2mac1.com/costing(costing:projects/details/9760/material/8755580)","Standard Structural Steel sheet")</f>
        <v>Standard Structural Steel sheet</v>
      </c>
      <c r="B546">
        <v>8755580</v>
      </c>
      <c r="C546">
        <v>12085966</v>
      </c>
      <c r="E546">
        <v>0.61129999999999995</v>
      </c>
      <c r="F546" t="s">
        <v>5039</v>
      </c>
      <c r="G546">
        <v>75</v>
      </c>
      <c r="H546" t="s">
        <v>5040</v>
      </c>
      <c r="I546">
        <v>30</v>
      </c>
      <c r="J546">
        <v>1.9999600007999841E-3</v>
      </c>
      <c r="K546">
        <v>0</v>
      </c>
      <c r="M546">
        <v>0</v>
      </c>
      <c r="O546">
        <v>200000</v>
      </c>
      <c r="R546" t="s">
        <v>162</v>
      </c>
      <c r="S546">
        <v>2.8731099999999999E-2</v>
      </c>
      <c r="T546">
        <v>7.661626666666667E-6</v>
      </c>
      <c r="U546" t="s">
        <v>176</v>
      </c>
      <c r="V546">
        <v>1.3407846666666667E-2</v>
      </c>
      <c r="W546">
        <v>0.36776574162666664</v>
      </c>
      <c r="X546" t="s">
        <v>177</v>
      </c>
      <c r="Y546">
        <v>2.20659444976E-2</v>
      </c>
      <c r="Z546">
        <v>0</v>
      </c>
      <c r="AA546" t="s">
        <v>178</v>
      </c>
      <c r="AB546">
        <v>4.41318889952E-2</v>
      </c>
      <c r="AC546">
        <v>0.43396357511946665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Q546" t="s">
        <v>262</v>
      </c>
      <c r="AR546" t="s">
        <v>263</v>
      </c>
      <c r="AS546">
        <v>0.38308133333333333</v>
      </c>
    </row>
    <row r="547" spans="1:45" x14ac:dyDescent="0.15">
      <c r="A547" s="4" t="str">
        <f>HYPERLINK("https://ibp.a2mac1.com/costing(costing:projects/details/9760/material/8755581)","Standard Structural Steel sheet")</f>
        <v>Standard Structural Steel sheet</v>
      </c>
      <c r="B547">
        <v>8755581</v>
      </c>
      <c r="C547">
        <v>12085967</v>
      </c>
      <c r="E547">
        <v>0.61129999999999995</v>
      </c>
      <c r="F547" t="s">
        <v>4343</v>
      </c>
      <c r="G547">
        <v>75</v>
      </c>
      <c r="H547" t="s">
        <v>5043</v>
      </c>
      <c r="I547">
        <v>30</v>
      </c>
      <c r="J547">
        <v>1.9999600007999841E-3</v>
      </c>
      <c r="K547">
        <v>0</v>
      </c>
      <c r="M547">
        <v>0</v>
      </c>
      <c r="O547">
        <v>200000</v>
      </c>
      <c r="R547" t="s">
        <v>162</v>
      </c>
      <c r="S547">
        <v>1.7422050000000001E-2</v>
      </c>
      <c r="T547">
        <v>4.6458800000000001E-6</v>
      </c>
      <c r="U547" t="s">
        <v>176</v>
      </c>
      <c r="V547">
        <v>8.1302900000000001E-3</v>
      </c>
      <c r="W547">
        <v>0.22300688588000001</v>
      </c>
      <c r="X547" t="s">
        <v>177</v>
      </c>
      <c r="Y547">
        <v>1.3380413152800001E-2</v>
      </c>
      <c r="Z547">
        <v>0</v>
      </c>
      <c r="AA547" t="s">
        <v>178</v>
      </c>
      <c r="AB547">
        <v>2.6760826305600002E-2</v>
      </c>
      <c r="AC547">
        <v>0.26314812533839999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Q547" t="s">
        <v>262</v>
      </c>
      <c r="AR547" t="s">
        <v>263</v>
      </c>
      <c r="AS547">
        <v>0.232294</v>
      </c>
    </row>
    <row r="548" spans="1:45" x14ac:dyDescent="0.15">
      <c r="A548" s="4" t="str">
        <f>HYPERLINK("https://ibp.a2mac1.com/costing(costing:projects/details/9760/material/8755582)","Standard Structural Steel sheet")</f>
        <v>Standard Structural Steel sheet</v>
      </c>
      <c r="B548">
        <v>8755582</v>
      </c>
      <c r="C548">
        <v>12085968</v>
      </c>
      <c r="E548">
        <v>0.61129999999999995</v>
      </c>
      <c r="F548" t="s">
        <v>4357</v>
      </c>
      <c r="G548">
        <v>80</v>
      </c>
      <c r="H548" t="s">
        <v>5046</v>
      </c>
      <c r="I548">
        <v>30</v>
      </c>
      <c r="J548">
        <v>1.9999600007999841E-3</v>
      </c>
      <c r="K548">
        <v>0</v>
      </c>
      <c r="M548">
        <v>0</v>
      </c>
      <c r="O548">
        <v>200000</v>
      </c>
      <c r="R548" t="s">
        <v>162</v>
      </c>
      <c r="S548">
        <v>6.4644975000000002E-3</v>
      </c>
      <c r="T548">
        <v>2.1548324999999998E-6</v>
      </c>
      <c r="U548" t="s">
        <v>176</v>
      </c>
      <c r="V548">
        <v>3.7709568750000002E-3</v>
      </c>
      <c r="W548">
        <v>0.10505023920750001</v>
      </c>
      <c r="X548" t="s">
        <v>177</v>
      </c>
      <c r="Y548">
        <v>6.3030143524499998E-3</v>
      </c>
      <c r="Z548">
        <v>0</v>
      </c>
      <c r="AA548" t="s">
        <v>178</v>
      </c>
      <c r="AB548">
        <v>1.26060287049E-2</v>
      </c>
      <c r="AC548">
        <v>0.12395928226484999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Q548" t="s">
        <v>262</v>
      </c>
      <c r="AR548" t="s">
        <v>263</v>
      </c>
      <c r="AS548">
        <v>0.10774162499999999</v>
      </c>
    </row>
    <row r="549" spans="1:45" x14ac:dyDescent="0.15">
      <c r="A549" s="4" t="str">
        <f>HYPERLINK("https://ibp.a2mac1.com/costing(costing:projects/details/9760/material/8755583)","Standard Structural Steel sheet")</f>
        <v>Standard Structural Steel sheet</v>
      </c>
      <c r="B549">
        <v>8755583</v>
      </c>
      <c r="C549">
        <v>12085969</v>
      </c>
      <c r="E549">
        <v>0.61129999999999995</v>
      </c>
      <c r="F549" t="s">
        <v>5049</v>
      </c>
      <c r="G549">
        <v>80</v>
      </c>
      <c r="H549" t="s">
        <v>5050</v>
      </c>
      <c r="I549">
        <v>30</v>
      </c>
      <c r="J549">
        <v>1.9999600007999841E-3</v>
      </c>
      <c r="K549">
        <v>0</v>
      </c>
      <c r="M549">
        <v>0</v>
      </c>
      <c r="O549">
        <v>200000</v>
      </c>
      <c r="R549" t="s">
        <v>162</v>
      </c>
      <c r="S549">
        <v>7.4272950000000004E-3</v>
      </c>
      <c r="T549">
        <v>2.4757650000000002E-6</v>
      </c>
      <c r="U549" t="s">
        <v>176</v>
      </c>
      <c r="V549">
        <v>4.3325887499999997E-3</v>
      </c>
      <c r="W549">
        <v>0.120696019515</v>
      </c>
      <c r="X549" t="s">
        <v>177</v>
      </c>
      <c r="Y549">
        <v>7.2417611709000001E-3</v>
      </c>
      <c r="Z549">
        <v>0</v>
      </c>
      <c r="AA549" t="s">
        <v>178</v>
      </c>
      <c r="AB549">
        <v>1.44835223418E-2</v>
      </c>
      <c r="AC549">
        <v>0.14242130302770001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Q549" t="s">
        <v>262</v>
      </c>
      <c r="AR549" t="s">
        <v>263</v>
      </c>
      <c r="AS549">
        <v>0.12378825</v>
      </c>
    </row>
    <row r="550" spans="1:45" x14ac:dyDescent="0.15">
      <c r="A550" s="4" t="str">
        <f>HYPERLINK("https://ibp.a2mac1.com/costing(costing:projects/details/9760/material/8755584)","Standard Structural Steel sheet")</f>
        <v>Standard Structural Steel sheet</v>
      </c>
      <c r="B550">
        <v>8755584</v>
      </c>
      <c r="C550">
        <v>12085970</v>
      </c>
      <c r="E550">
        <v>0.61129999999999995</v>
      </c>
      <c r="F550" t="s">
        <v>5053</v>
      </c>
      <c r="G550">
        <v>70</v>
      </c>
      <c r="H550" t="s">
        <v>5054</v>
      </c>
      <c r="I550">
        <v>30</v>
      </c>
      <c r="J550">
        <v>1.9999600007999841E-3</v>
      </c>
      <c r="K550">
        <v>0</v>
      </c>
      <c r="M550">
        <v>0</v>
      </c>
      <c r="O550">
        <v>200000</v>
      </c>
      <c r="R550" t="s">
        <v>162</v>
      </c>
      <c r="S550">
        <v>4.4563770000000003E-2</v>
      </c>
      <c r="T550">
        <v>9.9030600000000007E-6</v>
      </c>
      <c r="U550" t="s">
        <v>176</v>
      </c>
      <c r="V550">
        <v>1.7330354999999999E-2</v>
      </c>
      <c r="W550">
        <v>0.46792948806000001</v>
      </c>
      <c r="X550" t="s">
        <v>177</v>
      </c>
      <c r="Y550">
        <v>2.8075769283600002E-2</v>
      </c>
      <c r="Z550">
        <v>0</v>
      </c>
      <c r="AA550" t="s">
        <v>178</v>
      </c>
      <c r="AB550">
        <v>5.6151538567200003E-2</v>
      </c>
      <c r="AC550">
        <v>0.55215679591080002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Q550" t="s">
        <v>262</v>
      </c>
      <c r="AR550" t="s">
        <v>263</v>
      </c>
      <c r="AS550">
        <v>0.49515300000000001</v>
      </c>
    </row>
    <row r="551" spans="1:45" x14ac:dyDescent="0.15">
      <c r="A551" s="4" t="str">
        <f>HYPERLINK("https://ibp.a2mac1.com/costing(costing:projects/details/9760/material/8755752)","Standard Structural Steel sheet")</f>
        <v>Standard Structural Steel sheet</v>
      </c>
      <c r="B551">
        <v>8755752</v>
      </c>
      <c r="C551">
        <v>12086166</v>
      </c>
      <c r="E551">
        <v>0.61129999999999995</v>
      </c>
      <c r="F551" t="s">
        <v>5060</v>
      </c>
      <c r="G551">
        <v>80</v>
      </c>
      <c r="H551" t="s">
        <v>5061</v>
      </c>
      <c r="I551">
        <v>30</v>
      </c>
      <c r="J551">
        <v>1.9999600007999841E-3</v>
      </c>
      <c r="K551">
        <v>0</v>
      </c>
      <c r="M551">
        <v>0</v>
      </c>
      <c r="O551">
        <v>200000</v>
      </c>
      <c r="R551" t="s">
        <v>162</v>
      </c>
      <c r="S551">
        <v>2.0631375000000002E-3</v>
      </c>
      <c r="T551">
        <v>6.8771250000000002E-7</v>
      </c>
      <c r="U551" t="s">
        <v>176</v>
      </c>
      <c r="V551">
        <v>1.2034968750000001E-3</v>
      </c>
      <c r="W551">
        <v>3.3526672087500001E-2</v>
      </c>
      <c r="X551" t="s">
        <v>177</v>
      </c>
      <c r="Y551">
        <v>2.0116003252500002E-3</v>
      </c>
      <c r="Z551">
        <v>0</v>
      </c>
      <c r="AA551" t="s">
        <v>178</v>
      </c>
      <c r="AB551">
        <v>4.0232006505000004E-3</v>
      </c>
      <c r="AC551">
        <v>3.9561473063250002E-2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Q551" t="s">
        <v>262</v>
      </c>
      <c r="AR551" t="s">
        <v>263</v>
      </c>
      <c r="AS551">
        <v>3.4385625000000003E-2</v>
      </c>
    </row>
    <row r="552" spans="1:45" x14ac:dyDescent="0.15">
      <c r="A552" s="4" t="str">
        <f>HYPERLINK("https://ibp.a2mac1.com/costing(costing:projects/details/9760/material/8755753)","Standard Structural Steel sheet")</f>
        <v>Standard Structural Steel sheet</v>
      </c>
      <c r="B552">
        <v>8755753</v>
      </c>
      <c r="C552">
        <v>12086167</v>
      </c>
      <c r="E552">
        <v>0.61129999999999995</v>
      </c>
      <c r="F552" t="s">
        <v>5060</v>
      </c>
      <c r="G552">
        <v>80</v>
      </c>
      <c r="H552" t="s">
        <v>5061</v>
      </c>
      <c r="I552">
        <v>30</v>
      </c>
      <c r="J552">
        <v>1.9999600007999841E-3</v>
      </c>
      <c r="K552">
        <v>0</v>
      </c>
      <c r="M552">
        <v>0</v>
      </c>
      <c r="O552">
        <v>200000</v>
      </c>
      <c r="R552" t="s">
        <v>162</v>
      </c>
      <c r="S552">
        <v>2.0631375000000002E-3</v>
      </c>
      <c r="T552">
        <v>6.8771250000000002E-7</v>
      </c>
      <c r="U552" t="s">
        <v>176</v>
      </c>
      <c r="V552">
        <v>1.2034968750000001E-3</v>
      </c>
      <c r="W552">
        <v>3.3526672087500001E-2</v>
      </c>
      <c r="X552" t="s">
        <v>177</v>
      </c>
      <c r="Y552">
        <v>2.0116003252500002E-3</v>
      </c>
      <c r="Z552">
        <v>0</v>
      </c>
      <c r="AA552" t="s">
        <v>178</v>
      </c>
      <c r="AB552">
        <v>4.0232006505000004E-3</v>
      </c>
      <c r="AC552">
        <v>3.9561473063250002E-2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Q552" t="s">
        <v>262</v>
      </c>
      <c r="AR552" t="s">
        <v>263</v>
      </c>
      <c r="AS552">
        <v>3.4385625000000003E-2</v>
      </c>
    </row>
    <row r="553" spans="1:45" x14ac:dyDescent="0.15">
      <c r="A553" s="4" t="str">
        <f>HYPERLINK("https://ibp.a2mac1.com/costing(costing:projects/details/9760/material/8755173)","PC-ABS")</f>
        <v>PC-ABS</v>
      </c>
      <c r="B553">
        <v>8755173</v>
      </c>
      <c r="C553">
        <v>12085465</v>
      </c>
      <c r="E553">
        <v>2.29312</v>
      </c>
      <c r="F553" t="s">
        <v>5074</v>
      </c>
      <c r="G553">
        <v>95</v>
      </c>
      <c r="H553" t="s">
        <v>5075</v>
      </c>
      <c r="I553">
        <v>5</v>
      </c>
      <c r="J553">
        <v>0.50345253019720215</v>
      </c>
      <c r="K553">
        <v>0</v>
      </c>
      <c r="M553">
        <v>0</v>
      </c>
      <c r="O553">
        <v>200000</v>
      </c>
      <c r="R553" t="s">
        <v>162</v>
      </c>
      <c r="S553">
        <v>6.8190147368421051E-4</v>
      </c>
      <c r="T553">
        <v>1.380168582736842E-3</v>
      </c>
      <c r="U553" t="s">
        <v>176</v>
      </c>
      <c r="V553">
        <v>9.5466206315789476E-3</v>
      </c>
      <c r="W553">
        <v>0.28300547721431579</v>
      </c>
      <c r="X553" t="s">
        <v>90</v>
      </c>
      <c r="Y553">
        <v>0</v>
      </c>
      <c r="Z553">
        <v>0</v>
      </c>
      <c r="AA553" t="s">
        <v>90</v>
      </c>
      <c r="AB553">
        <v>0</v>
      </c>
      <c r="AC553">
        <v>0.28300547721431579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Q553" t="s">
        <v>262</v>
      </c>
      <c r="AR553" t="s">
        <v>263</v>
      </c>
      <c r="AS553">
        <v>0.2727605894736842</v>
      </c>
    </row>
    <row r="554" spans="1:45" x14ac:dyDescent="0.15">
      <c r="A554" s="4" t="str">
        <f>HYPERLINK("https://ibp.a2mac1.com/costing(costing:projects/details/9760/material/8755174)","PVC + Fabric backing 3mm PU foam")</f>
        <v>PVC + Fabric backing 3mm PU foam</v>
      </c>
      <c r="B554">
        <v>8755174</v>
      </c>
      <c r="C554">
        <v>12085466</v>
      </c>
      <c r="E554">
        <v>4.91</v>
      </c>
      <c r="F554" t="s">
        <v>784</v>
      </c>
      <c r="G554">
        <v>94</v>
      </c>
      <c r="H554" t="s">
        <v>5080</v>
      </c>
      <c r="I554">
        <v>0</v>
      </c>
      <c r="J554">
        <v>0.50345253019720215</v>
      </c>
      <c r="K554">
        <v>0</v>
      </c>
      <c r="L554">
        <v>0</v>
      </c>
      <c r="M554">
        <v>0</v>
      </c>
      <c r="O554">
        <v>200000</v>
      </c>
      <c r="R554" t="s">
        <v>162</v>
      </c>
      <c r="S554">
        <v>0</v>
      </c>
      <c r="T554">
        <v>1.6122559574468084E-3</v>
      </c>
      <c r="U554" t="s">
        <v>176</v>
      </c>
      <c r="V554">
        <v>1.1151968085106384E-2</v>
      </c>
      <c r="W554">
        <v>0.33139188361702127</v>
      </c>
      <c r="X554" t="s">
        <v>90</v>
      </c>
      <c r="Y554">
        <v>0</v>
      </c>
      <c r="Z554">
        <v>0</v>
      </c>
      <c r="AA554" t="s">
        <v>90</v>
      </c>
      <c r="AB554">
        <v>0</v>
      </c>
      <c r="AC554">
        <v>0.33139188361702127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Q554" t="s">
        <v>9</v>
      </c>
      <c r="AR554" t="s">
        <v>263</v>
      </c>
      <c r="AS554">
        <v>0.31862765957446809</v>
      </c>
    </row>
    <row r="555" spans="1:45" x14ac:dyDescent="0.15">
      <c r="A555" s="4" t="str">
        <f>HYPERLINK("https://ibp.a2mac1.com/costing(costing:projects/details/9760/material/8755175)","PC-ABS")</f>
        <v>PC-ABS</v>
      </c>
      <c r="B555">
        <v>8755175</v>
      </c>
      <c r="C555">
        <v>12085466</v>
      </c>
      <c r="E555">
        <v>2.29312</v>
      </c>
      <c r="F555" t="s">
        <v>5082</v>
      </c>
      <c r="G555">
        <v>95</v>
      </c>
      <c r="H555" t="s">
        <v>5083</v>
      </c>
      <c r="I555">
        <v>5</v>
      </c>
      <c r="J555">
        <v>0.50345253019720215</v>
      </c>
      <c r="K555">
        <v>0</v>
      </c>
      <c r="L555">
        <v>0</v>
      </c>
      <c r="M555">
        <v>0</v>
      </c>
      <c r="O555">
        <v>200000</v>
      </c>
      <c r="R555" t="s">
        <v>162</v>
      </c>
      <c r="S555">
        <v>1.1043183157894737E-3</v>
      </c>
      <c r="T555">
        <v>2.2351402711578948E-3</v>
      </c>
      <c r="U555" t="s">
        <v>176</v>
      </c>
      <c r="V555">
        <v>1.5460456421052631E-2</v>
      </c>
      <c r="W555">
        <v>0.45831860469221053</v>
      </c>
      <c r="X555" t="s">
        <v>90</v>
      </c>
      <c r="Y555">
        <v>0</v>
      </c>
      <c r="Z555">
        <v>0</v>
      </c>
      <c r="AA555" t="s">
        <v>90</v>
      </c>
      <c r="AB555">
        <v>0</v>
      </c>
      <c r="AC555">
        <v>0.45831860469221053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Q555" t="s">
        <v>262</v>
      </c>
      <c r="AR555" t="s">
        <v>263</v>
      </c>
      <c r="AS555">
        <v>0.44172732631578948</v>
      </c>
    </row>
    <row r="556" spans="1:45" x14ac:dyDescent="0.15">
      <c r="A556" s="4" t="str">
        <f>HYPERLINK("https://ibp.a2mac1.com/costing(costing:projects/details/9760/material/8755176)","PA")</f>
        <v>PA</v>
      </c>
      <c r="B556">
        <v>8755176</v>
      </c>
      <c r="C556">
        <v>12085467</v>
      </c>
      <c r="E556">
        <v>2.03416</v>
      </c>
      <c r="F556" t="s">
        <v>5087</v>
      </c>
      <c r="G556">
        <v>95</v>
      </c>
      <c r="H556" t="s">
        <v>5088</v>
      </c>
      <c r="I556">
        <v>5</v>
      </c>
      <c r="J556">
        <v>0.50345253019720215</v>
      </c>
      <c r="K556">
        <v>0</v>
      </c>
      <c r="M556">
        <v>0</v>
      </c>
      <c r="O556">
        <v>200000</v>
      </c>
      <c r="R556" t="s">
        <v>162</v>
      </c>
      <c r="S556">
        <v>1.8200378947368421E-4</v>
      </c>
      <c r="T556">
        <v>3.6837566989473685E-4</v>
      </c>
      <c r="U556" t="s">
        <v>176</v>
      </c>
      <c r="V556">
        <v>2.548053052631579E-3</v>
      </c>
      <c r="W556">
        <v>7.5535940722526312E-2</v>
      </c>
      <c r="X556" t="s">
        <v>90</v>
      </c>
      <c r="Y556">
        <v>0</v>
      </c>
      <c r="Z556">
        <v>0</v>
      </c>
      <c r="AA556" t="s">
        <v>90</v>
      </c>
      <c r="AB556">
        <v>0</v>
      </c>
      <c r="AC556">
        <v>7.5535940722526312E-2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Q556" t="s">
        <v>262</v>
      </c>
      <c r="AR556" t="s">
        <v>263</v>
      </c>
      <c r="AS556">
        <v>7.2801515789473678E-2</v>
      </c>
    </row>
    <row r="557" spans="1:45" x14ac:dyDescent="0.15">
      <c r="A557" s="4" t="str">
        <f>HYPERLINK("https://ibp.a2mac1.com/costing(costing:projects/details/9760/material/8755177)","PP-EPDM")</f>
        <v>PP-EPDM</v>
      </c>
      <c r="B557">
        <v>8755177</v>
      </c>
      <c r="C557">
        <v>12085468</v>
      </c>
      <c r="E557">
        <v>1.7894600000000001</v>
      </c>
      <c r="F557" t="s">
        <v>5094</v>
      </c>
      <c r="G557">
        <v>95</v>
      </c>
      <c r="H557" t="s">
        <v>5095</v>
      </c>
      <c r="I557">
        <v>5</v>
      </c>
      <c r="J557">
        <v>0.50345253019720215</v>
      </c>
      <c r="K557">
        <v>0</v>
      </c>
      <c r="M557">
        <v>0</v>
      </c>
      <c r="O557">
        <v>200000</v>
      </c>
      <c r="R557" t="s">
        <v>162</v>
      </c>
      <c r="S557">
        <v>4.3794678947368422E-4</v>
      </c>
      <c r="T557">
        <v>8.8640430189473689E-4</v>
      </c>
      <c r="U557" t="s">
        <v>176</v>
      </c>
      <c r="V557">
        <v>6.1312550526315792E-3</v>
      </c>
      <c r="W557">
        <v>0.18175842835452632</v>
      </c>
      <c r="X557" t="s">
        <v>177</v>
      </c>
      <c r="Y557">
        <v>1.0905505701271578E-2</v>
      </c>
      <c r="Z557">
        <v>0</v>
      </c>
      <c r="AA557" t="s">
        <v>178</v>
      </c>
      <c r="AB557">
        <v>2.1811011402543157E-2</v>
      </c>
      <c r="AC557">
        <v>0.21447494545834106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Q557" t="s">
        <v>262</v>
      </c>
      <c r="AR557" t="s">
        <v>263</v>
      </c>
      <c r="AS557">
        <v>0.17517871578947369</v>
      </c>
    </row>
    <row r="558" spans="1:45" x14ac:dyDescent="0.15">
      <c r="A558" s="4" t="str">
        <f>HYPERLINK("https://ibp.a2mac1.com/costing(costing:projects/details/9760/material/8755178)","PP")</f>
        <v>PP</v>
      </c>
      <c r="B558">
        <v>8755178</v>
      </c>
      <c r="C558">
        <v>12085469</v>
      </c>
      <c r="E558">
        <v>1.0113799999999999</v>
      </c>
      <c r="F558" t="s">
        <v>5099</v>
      </c>
      <c r="G558">
        <v>95</v>
      </c>
      <c r="H558" t="s">
        <v>5100</v>
      </c>
      <c r="I558">
        <v>5</v>
      </c>
      <c r="J558">
        <v>0.50345253019720215</v>
      </c>
      <c r="K558">
        <v>0</v>
      </c>
      <c r="M558">
        <v>0</v>
      </c>
      <c r="O558">
        <v>200000</v>
      </c>
      <c r="R558" t="s">
        <v>162</v>
      </c>
      <c r="S558">
        <v>9.8476473684210532E-5</v>
      </c>
      <c r="T558">
        <v>1.9931638273684211E-4</v>
      </c>
      <c r="U558" t="s">
        <v>176</v>
      </c>
      <c r="V558">
        <v>1.3786706315789474E-3</v>
      </c>
      <c r="W558">
        <v>4.0870100014315791E-2</v>
      </c>
      <c r="X558" t="s">
        <v>177</v>
      </c>
      <c r="Y558">
        <v>2.4522060008589472E-3</v>
      </c>
      <c r="Z558">
        <v>0</v>
      </c>
      <c r="AA558" t="s">
        <v>178</v>
      </c>
      <c r="AB558">
        <v>4.9044120017178944E-3</v>
      </c>
      <c r="AC558">
        <v>4.8226718016892635E-2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Q558" t="s">
        <v>262</v>
      </c>
      <c r="AR558" t="s">
        <v>263</v>
      </c>
      <c r="AS558">
        <v>3.9390589473684214E-2</v>
      </c>
    </row>
    <row r="559" spans="1:45" x14ac:dyDescent="0.15">
      <c r="A559" s="4" t="str">
        <f>HYPERLINK("https://ibp.a2mac1.com/costing(costing:projects/details/9760/material/8755179)","Aluminum sheet body (default, e.g. EN-AW6063)")</f>
        <v>Aluminum sheet body (default, e.g. EN-AW6063)</v>
      </c>
      <c r="B559">
        <v>8755179</v>
      </c>
      <c r="C559">
        <v>12085470</v>
      </c>
      <c r="E559">
        <v>3.79636</v>
      </c>
      <c r="F559" t="s">
        <v>1627</v>
      </c>
      <c r="G559">
        <v>80</v>
      </c>
      <c r="H559" t="s">
        <v>5104</v>
      </c>
      <c r="I559">
        <v>30</v>
      </c>
      <c r="J559">
        <v>0.50345253019720215</v>
      </c>
      <c r="K559">
        <v>0</v>
      </c>
      <c r="M559">
        <v>0</v>
      </c>
      <c r="O559">
        <v>200000</v>
      </c>
      <c r="R559" t="s">
        <v>162</v>
      </c>
      <c r="S559">
        <v>8.5418099999999997E-4</v>
      </c>
      <c r="T559">
        <v>7.2035931000000004E-5</v>
      </c>
      <c r="U559" t="s">
        <v>176</v>
      </c>
      <c r="V559">
        <v>4.9827224999999999E-4</v>
      </c>
      <c r="W559">
        <v>1.3952477180999999E-2</v>
      </c>
      <c r="X559" t="s">
        <v>177</v>
      </c>
      <c r="Y559">
        <v>8.3714863086E-4</v>
      </c>
      <c r="Z559">
        <v>0</v>
      </c>
      <c r="AA559" t="s">
        <v>178</v>
      </c>
      <c r="AB559">
        <v>1.67429726172E-3</v>
      </c>
      <c r="AC559">
        <v>1.6463923073580002E-2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Q559" t="s">
        <v>262</v>
      </c>
      <c r="AR559" t="s">
        <v>263</v>
      </c>
      <c r="AS559">
        <v>1.423635E-2</v>
      </c>
    </row>
    <row r="560" spans="1:45" x14ac:dyDescent="0.15">
      <c r="A560" s="4" t="str">
        <f>HYPERLINK("https://ibp.a2mac1.com/costing(costing:projects/details/9760/material/8755180)","Aluminum sheet body (default, e.g. EN-AW6063)")</f>
        <v>Aluminum sheet body (default, e.g. EN-AW6063)</v>
      </c>
      <c r="B560">
        <v>8755180</v>
      </c>
      <c r="C560">
        <v>12085471</v>
      </c>
      <c r="E560">
        <v>3.79636</v>
      </c>
      <c r="F560" t="s">
        <v>4249</v>
      </c>
      <c r="G560">
        <v>80</v>
      </c>
      <c r="H560" t="s">
        <v>5109</v>
      </c>
      <c r="I560">
        <v>30</v>
      </c>
      <c r="J560">
        <v>0.50345253019720215</v>
      </c>
      <c r="K560">
        <v>0</v>
      </c>
      <c r="M560">
        <v>0</v>
      </c>
      <c r="O560">
        <v>200000</v>
      </c>
      <c r="R560" t="s">
        <v>162</v>
      </c>
      <c r="S560">
        <v>5.9792669999999999E-3</v>
      </c>
      <c r="T560">
        <v>5.0425151700000004E-4</v>
      </c>
      <c r="U560" t="s">
        <v>176</v>
      </c>
      <c r="V560">
        <v>3.48790575E-3</v>
      </c>
      <c r="W560">
        <v>9.7667340266999997E-2</v>
      </c>
      <c r="X560" t="s">
        <v>177</v>
      </c>
      <c r="Y560">
        <v>5.8600404160200001E-3</v>
      </c>
      <c r="Z560">
        <v>0</v>
      </c>
      <c r="AA560" t="s">
        <v>178</v>
      </c>
      <c r="AB560">
        <v>1.172008083204E-2</v>
      </c>
      <c r="AC560">
        <v>0.11524746151506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Q560" t="s">
        <v>262</v>
      </c>
      <c r="AR560" t="s">
        <v>263</v>
      </c>
      <c r="AS560">
        <v>9.9654450000000006E-2</v>
      </c>
    </row>
    <row r="561" spans="1:45" x14ac:dyDescent="0.15">
      <c r="A561" s="4" t="str">
        <f>HYPERLINK("https://ibp.a2mac1.com/costing(costing:projects/details/9760/material/8755181)","PC-ABS")</f>
        <v>PC-ABS</v>
      </c>
      <c r="B561">
        <v>8755181</v>
      </c>
      <c r="C561">
        <v>12085472</v>
      </c>
      <c r="E561">
        <v>2.29312</v>
      </c>
      <c r="F561" t="s">
        <v>5114</v>
      </c>
      <c r="G561">
        <v>95</v>
      </c>
      <c r="H561" t="s">
        <v>5115</v>
      </c>
      <c r="I561">
        <v>5</v>
      </c>
      <c r="J561">
        <v>0.50345253019720215</v>
      </c>
      <c r="K561">
        <v>0</v>
      </c>
      <c r="M561">
        <v>0</v>
      </c>
      <c r="O561">
        <v>200000</v>
      </c>
      <c r="R561" t="s">
        <v>162</v>
      </c>
      <c r="S561">
        <v>2.8362273684210526E-4</v>
      </c>
      <c r="T561">
        <v>5.7405241936842109E-4</v>
      </c>
      <c r="U561" t="s">
        <v>176</v>
      </c>
      <c r="V561">
        <v>3.9707183157894734E-3</v>
      </c>
      <c r="W561">
        <v>0.1177102427351579</v>
      </c>
      <c r="X561" t="s">
        <v>90</v>
      </c>
      <c r="Y561">
        <v>0</v>
      </c>
      <c r="Z561">
        <v>0</v>
      </c>
      <c r="AA561" t="s">
        <v>90</v>
      </c>
      <c r="AB561">
        <v>0</v>
      </c>
      <c r="AC561">
        <v>0.1177102427351579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Q561" t="s">
        <v>262</v>
      </c>
      <c r="AR561" t="s">
        <v>263</v>
      </c>
      <c r="AS561">
        <v>0.1134490947368421</v>
      </c>
    </row>
    <row r="562" spans="1:45" x14ac:dyDescent="0.15">
      <c r="A562" s="4" t="str">
        <f>HYPERLINK("https://ibp.a2mac1.com/costing(costing:projects/details/9760/material/8754766)","PP-EPDM")</f>
        <v>PP-EPDM</v>
      </c>
      <c r="B562">
        <v>8754766</v>
      </c>
      <c r="C562">
        <v>12085190</v>
      </c>
      <c r="E562">
        <v>1.7894600000000001</v>
      </c>
      <c r="F562" t="s">
        <v>5120</v>
      </c>
      <c r="G562">
        <v>95</v>
      </c>
      <c r="H562" t="s">
        <v>5121</v>
      </c>
      <c r="I562">
        <v>5</v>
      </c>
      <c r="J562">
        <v>0.50345253019720215</v>
      </c>
      <c r="K562">
        <v>0</v>
      </c>
      <c r="M562">
        <v>0</v>
      </c>
      <c r="O562">
        <v>200000</v>
      </c>
      <c r="R562" t="s">
        <v>162</v>
      </c>
      <c r="S562">
        <v>6.7999480000000001E-3</v>
      </c>
      <c r="T562">
        <v>1.3763094752E-2</v>
      </c>
      <c r="U562" t="s">
        <v>176</v>
      </c>
      <c r="V562">
        <v>9.5199272000000001E-2</v>
      </c>
      <c r="W562">
        <v>2.8221416187520001</v>
      </c>
      <c r="X562" t="s">
        <v>90</v>
      </c>
      <c r="Y562">
        <v>0</v>
      </c>
      <c r="Z562">
        <v>0</v>
      </c>
      <c r="AA562" t="s">
        <v>90</v>
      </c>
      <c r="AB562">
        <v>0</v>
      </c>
      <c r="AC562">
        <v>2.8221416187520001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Q562" t="s">
        <v>262</v>
      </c>
      <c r="AR562" t="s">
        <v>263</v>
      </c>
      <c r="AS562">
        <v>2.7199792</v>
      </c>
    </row>
    <row r="563" spans="1:45" x14ac:dyDescent="0.15">
      <c r="A563" s="4" t="str">
        <f>HYPERLINK("https://ibp.a2mac1.com/costing(costing:projects/details/9760/material/8754767)","PC-ABS")</f>
        <v>PC-ABS</v>
      </c>
      <c r="B563">
        <v>8754767</v>
      </c>
      <c r="C563">
        <v>12085191</v>
      </c>
      <c r="E563">
        <v>2.29312</v>
      </c>
      <c r="F563" t="s">
        <v>4695</v>
      </c>
      <c r="G563">
        <v>95</v>
      </c>
      <c r="H563" t="s">
        <v>4696</v>
      </c>
      <c r="I563">
        <v>5</v>
      </c>
      <c r="J563">
        <v>0.50345253019720215</v>
      </c>
      <c r="K563">
        <v>0</v>
      </c>
      <c r="L563">
        <v>0</v>
      </c>
      <c r="M563">
        <v>0</v>
      </c>
      <c r="O563">
        <v>200000</v>
      </c>
      <c r="R563" t="s">
        <v>162</v>
      </c>
      <c r="S563">
        <v>1.3456993684210527E-3</v>
      </c>
      <c r="T563">
        <v>2.7236955216842105E-3</v>
      </c>
      <c r="U563" t="s">
        <v>176</v>
      </c>
      <c r="V563">
        <v>1.8839791157894737E-2</v>
      </c>
      <c r="W563">
        <v>0.55849753467957897</v>
      </c>
      <c r="X563" t="s">
        <v>90</v>
      </c>
      <c r="Y563">
        <v>0</v>
      </c>
      <c r="Z563">
        <v>0</v>
      </c>
      <c r="AA563" t="s">
        <v>90</v>
      </c>
      <c r="AB563">
        <v>0</v>
      </c>
      <c r="AC563">
        <v>0.55849753467957897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Q563" t="s">
        <v>262</v>
      </c>
      <c r="AR563" t="s">
        <v>263</v>
      </c>
      <c r="AS563">
        <v>0.5382797473684211</v>
      </c>
    </row>
    <row r="564" spans="1:45" x14ac:dyDescent="0.15">
      <c r="A564" s="4" t="str">
        <f>HYPERLINK("https://ibp.a2mac1.com/costing(costing:projects/details/9760/material/8754768)","PVC + Fabric backing 3mm PU foam")</f>
        <v>PVC + Fabric backing 3mm PU foam</v>
      </c>
      <c r="B564">
        <v>8754768</v>
      </c>
      <c r="C564">
        <v>12085191</v>
      </c>
      <c r="E564">
        <v>4.91</v>
      </c>
      <c r="F564" t="s">
        <v>5127</v>
      </c>
      <c r="G564">
        <v>94</v>
      </c>
      <c r="H564" t="s">
        <v>5128</v>
      </c>
      <c r="I564">
        <v>0</v>
      </c>
      <c r="J564">
        <v>0.50345253019720215</v>
      </c>
      <c r="K564">
        <v>0</v>
      </c>
      <c r="L564">
        <v>0</v>
      </c>
      <c r="M564">
        <v>0</v>
      </c>
      <c r="O564">
        <v>200000</v>
      </c>
      <c r="R564" t="s">
        <v>162</v>
      </c>
      <c r="S564">
        <v>0</v>
      </c>
      <c r="T564">
        <v>2.9469924468085106E-3</v>
      </c>
      <c r="U564" t="s">
        <v>176</v>
      </c>
      <c r="V564">
        <v>2.0384335106382979E-2</v>
      </c>
      <c r="W564">
        <v>0.60574090202127662</v>
      </c>
      <c r="X564" t="s">
        <v>90</v>
      </c>
      <c r="Y564">
        <v>0</v>
      </c>
      <c r="Z564">
        <v>0</v>
      </c>
      <c r="AA564" t="s">
        <v>90</v>
      </c>
      <c r="AB564">
        <v>0</v>
      </c>
      <c r="AC564">
        <v>0.60574090202127662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Q564" t="s">
        <v>9</v>
      </c>
      <c r="AR564" t="s">
        <v>263</v>
      </c>
      <c r="AS564">
        <v>0.58240957446808506</v>
      </c>
    </row>
    <row r="565" spans="1:45" x14ac:dyDescent="0.15">
      <c r="A565" s="4" t="str">
        <f>HYPERLINK("https://ibp.a2mac1.com/costing(costing:projects/details/9760/material/8754769)","PP-EPDM")</f>
        <v>PP-EPDM</v>
      </c>
      <c r="B565">
        <v>8754769</v>
      </c>
      <c r="C565">
        <v>12085192</v>
      </c>
      <c r="E565">
        <v>1.7894600000000001</v>
      </c>
      <c r="F565" t="s">
        <v>5131</v>
      </c>
      <c r="G565">
        <v>95</v>
      </c>
      <c r="H565" t="s">
        <v>5132</v>
      </c>
      <c r="I565">
        <v>5</v>
      </c>
      <c r="J565">
        <v>0.50345253019720215</v>
      </c>
      <c r="K565">
        <v>0</v>
      </c>
      <c r="L565">
        <v>0</v>
      </c>
      <c r="M565">
        <v>0</v>
      </c>
      <c r="O565">
        <v>200000</v>
      </c>
      <c r="R565" t="s">
        <v>162</v>
      </c>
      <c r="S565">
        <v>3.126845894736842E-3</v>
      </c>
      <c r="T565">
        <v>6.3287360909473683E-3</v>
      </c>
      <c r="U565" t="s">
        <v>176</v>
      </c>
      <c r="V565">
        <v>4.3775842526315792E-2</v>
      </c>
      <c r="W565">
        <v>1.2977160906172631</v>
      </c>
      <c r="X565" t="s">
        <v>90</v>
      </c>
      <c r="Y565">
        <v>0</v>
      </c>
      <c r="Z565">
        <v>0</v>
      </c>
      <c r="AA565" t="s">
        <v>90</v>
      </c>
      <c r="AB565">
        <v>0</v>
      </c>
      <c r="AC565">
        <v>1.2977160906172631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Q565" t="s">
        <v>262</v>
      </c>
      <c r="AR565" t="s">
        <v>263</v>
      </c>
      <c r="AS565">
        <v>1.2507383578947369</v>
      </c>
    </row>
    <row r="566" spans="1:45" x14ac:dyDescent="0.15">
      <c r="A566" s="4" t="str">
        <f>HYPERLINK("https://ibp.a2mac1.com/costing(costing:projects/details/9760/material/8754770)","PVC + Fabric backing 3mm PU foam")</f>
        <v>PVC + Fabric backing 3mm PU foam</v>
      </c>
      <c r="B566">
        <v>8754770</v>
      </c>
      <c r="C566">
        <v>12085192</v>
      </c>
      <c r="E566">
        <v>4.91</v>
      </c>
      <c r="F566" t="s">
        <v>5134</v>
      </c>
      <c r="G566">
        <v>94</v>
      </c>
      <c r="H566" t="s">
        <v>5135</v>
      </c>
      <c r="I566">
        <v>0</v>
      </c>
      <c r="J566">
        <v>0.50345253019720215</v>
      </c>
      <c r="K566">
        <v>0</v>
      </c>
      <c r="L566">
        <v>0</v>
      </c>
      <c r="M566">
        <v>0</v>
      </c>
      <c r="O566">
        <v>200000</v>
      </c>
      <c r="R566" t="s">
        <v>162</v>
      </c>
      <c r="S566">
        <v>0</v>
      </c>
      <c r="T566">
        <v>8.7749012765957445E-3</v>
      </c>
      <c r="U566" t="s">
        <v>176</v>
      </c>
      <c r="V566">
        <v>6.0695957446808509E-2</v>
      </c>
      <c r="W566">
        <v>1.8036410714893616</v>
      </c>
      <c r="X566" t="s">
        <v>90</v>
      </c>
      <c r="Y566">
        <v>0</v>
      </c>
      <c r="Z566">
        <v>0</v>
      </c>
      <c r="AA566" t="s">
        <v>90</v>
      </c>
      <c r="AB566">
        <v>0</v>
      </c>
      <c r="AC566">
        <v>1.8036410714893616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Q566" t="s">
        <v>9</v>
      </c>
      <c r="AR566" t="s">
        <v>263</v>
      </c>
      <c r="AS566">
        <v>1.7341702127659575</v>
      </c>
    </row>
    <row r="567" spans="1:45" x14ac:dyDescent="0.15">
      <c r="A567" s="4" t="str">
        <f>HYPERLINK("https://ibp.a2mac1.com/costing(costing:projects/details/9760/material/8754771)","ABS-PC")</f>
        <v>ABS-PC</v>
      </c>
      <c r="B567">
        <v>8754771</v>
      </c>
      <c r="C567">
        <v>12085193</v>
      </c>
      <c r="E567">
        <v>2.29312</v>
      </c>
      <c r="F567" t="s">
        <v>5139</v>
      </c>
      <c r="G567">
        <v>95</v>
      </c>
      <c r="H567" t="s">
        <v>5140</v>
      </c>
      <c r="I567">
        <v>5</v>
      </c>
      <c r="J567">
        <v>0.50345253019720215</v>
      </c>
      <c r="K567">
        <v>0</v>
      </c>
      <c r="L567">
        <v>0</v>
      </c>
      <c r="M567">
        <v>0</v>
      </c>
      <c r="O567">
        <v>200000</v>
      </c>
      <c r="R567" t="s">
        <v>162</v>
      </c>
      <c r="S567">
        <v>6.2759073684210526E-4</v>
      </c>
      <c r="T567">
        <v>1.2702436513684211E-3</v>
      </c>
      <c r="U567" t="s">
        <v>176</v>
      </c>
      <c r="V567">
        <v>8.7862703157894732E-3</v>
      </c>
      <c r="W567">
        <v>0.26046521796715788</v>
      </c>
      <c r="X567" t="s">
        <v>90</v>
      </c>
      <c r="Y567">
        <v>0</v>
      </c>
      <c r="Z567">
        <v>0</v>
      </c>
      <c r="AA567" t="s">
        <v>90</v>
      </c>
      <c r="AB567">
        <v>0</v>
      </c>
      <c r="AC567">
        <v>0.26046521796715788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P567" t="s">
        <v>5141</v>
      </c>
      <c r="AQ567" t="s">
        <v>262</v>
      </c>
      <c r="AR567" t="s">
        <v>263</v>
      </c>
      <c r="AS567">
        <v>0.25103629473684208</v>
      </c>
    </row>
    <row r="568" spans="1:45" x14ac:dyDescent="0.15">
      <c r="A568" s="4" t="str">
        <f>HYPERLINK("https://ibp.a2mac1.com/costing(costing:projects/details/9760/material/8754772)","PP-EPDM")</f>
        <v>PP-EPDM</v>
      </c>
      <c r="B568">
        <v>8754772</v>
      </c>
      <c r="C568">
        <v>12085194</v>
      </c>
      <c r="E568">
        <v>1.7894600000000001</v>
      </c>
      <c r="F568" t="s">
        <v>4332</v>
      </c>
      <c r="G568">
        <v>95</v>
      </c>
      <c r="H568" t="s">
        <v>4333</v>
      </c>
      <c r="I568">
        <v>5</v>
      </c>
      <c r="J568">
        <v>0.50345253019720215</v>
      </c>
      <c r="K568">
        <v>0</v>
      </c>
      <c r="L568">
        <v>0</v>
      </c>
      <c r="M568">
        <v>0</v>
      </c>
      <c r="O568">
        <v>200000</v>
      </c>
      <c r="R568" t="s">
        <v>162</v>
      </c>
      <c r="S568">
        <v>1.3279676842105263E-3</v>
      </c>
      <c r="T568">
        <v>2.6878065928421053E-3</v>
      </c>
      <c r="U568" t="s">
        <v>176</v>
      </c>
      <c r="V568">
        <v>1.8591547578947369E-2</v>
      </c>
      <c r="W568">
        <v>0.55113846017178947</v>
      </c>
      <c r="X568" t="s">
        <v>90</v>
      </c>
      <c r="Y568">
        <v>0</v>
      </c>
      <c r="Z568">
        <v>0</v>
      </c>
      <c r="AA568" t="s">
        <v>90</v>
      </c>
      <c r="AB568">
        <v>0</v>
      </c>
      <c r="AC568">
        <v>0.55113846017178947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Q568" t="s">
        <v>262</v>
      </c>
      <c r="AR568" t="s">
        <v>263</v>
      </c>
      <c r="AS568">
        <v>0.53118707368421048</v>
      </c>
    </row>
    <row r="569" spans="1:45" x14ac:dyDescent="0.15">
      <c r="A569" s="4" t="str">
        <f>HYPERLINK("https://ibp.a2mac1.com/costing(costing:projects/details/9760/material/8754773)","PVC + Fabric backing 3mm PU foam")</f>
        <v>PVC + Fabric backing 3mm PU foam</v>
      </c>
      <c r="B569">
        <v>8754773</v>
      </c>
      <c r="C569">
        <v>12085194</v>
      </c>
      <c r="E569">
        <v>4.91</v>
      </c>
      <c r="F569" t="s">
        <v>4357</v>
      </c>
      <c r="G569">
        <v>94</v>
      </c>
      <c r="H569" t="s">
        <v>5146</v>
      </c>
      <c r="I569">
        <v>0</v>
      </c>
      <c r="J569">
        <v>0.50345253019720215</v>
      </c>
      <c r="K569">
        <v>0</v>
      </c>
      <c r="L569">
        <v>0</v>
      </c>
      <c r="M569">
        <v>0</v>
      </c>
      <c r="O569">
        <v>200000</v>
      </c>
      <c r="R569" t="s">
        <v>162</v>
      </c>
      <c r="S569">
        <v>0</v>
      </c>
      <c r="T569">
        <v>3.72669E-3</v>
      </c>
      <c r="U569" t="s">
        <v>176</v>
      </c>
      <c r="V569">
        <v>2.5777499999999998E-2</v>
      </c>
      <c r="W569">
        <v>0.76600418999999997</v>
      </c>
      <c r="X569" t="s">
        <v>90</v>
      </c>
      <c r="Y569">
        <v>0</v>
      </c>
      <c r="Z569">
        <v>0</v>
      </c>
      <c r="AA569" t="s">
        <v>90</v>
      </c>
      <c r="AB569">
        <v>0</v>
      </c>
      <c r="AC569">
        <v>0.76600418999999997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Q569" t="s">
        <v>9</v>
      </c>
      <c r="AR569" t="s">
        <v>263</v>
      </c>
      <c r="AS569">
        <v>0.73650000000000004</v>
      </c>
    </row>
    <row r="570" spans="1:45" x14ac:dyDescent="0.15">
      <c r="A570" s="4" t="str">
        <f>HYPERLINK("https://ibp.a2mac1.com/costing(costing:projects/details/9760/material/8754774)","PP-EPDM")</f>
        <v>PP-EPDM</v>
      </c>
      <c r="B570">
        <v>8754774</v>
      </c>
      <c r="C570">
        <v>12085195</v>
      </c>
      <c r="E570">
        <v>1.7894600000000001</v>
      </c>
      <c r="F570" t="s">
        <v>5149</v>
      </c>
      <c r="G570">
        <v>95</v>
      </c>
      <c r="H570" t="s">
        <v>5150</v>
      </c>
      <c r="I570">
        <v>5</v>
      </c>
      <c r="J570">
        <v>0.50345253019720215</v>
      </c>
      <c r="K570">
        <v>0</v>
      </c>
      <c r="M570">
        <v>0</v>
      </c>
      <c r="O570">
        <v>200000</v>
      </c>
      <c r="R570" t="s">
        <v>162</v>
      </c>
      <c r="S570">
        <v>2.0107879473684211E-3</v>
      </c>
      <c r="T570">
        <v>4.0698348054736839E-3</v>
      </c>
      <c r="U570" t="s">
        <v>176</v>
      </c>
      <c r="V570">
        <v>2.8151031263157895E-2</v>
      </c>
      <c r="W570">
        <v>0.83452525706863157</v>
      </c>
      <c r="X570" t="s">
        <v>90</v>
      </c>
      <c r="Y570">
        <v>0</v>
      </c>
      <c r="Z570">
        <v>0</v>
      </c>
      <c r="AA570" t="s">
        <v>90</v>
      </c>
      <c r="AB570">
        <v>0</v>
      </c>
      <c r="AC570">
        <v>0.83452525706863157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Q570" t="s">
        <v>262</v>
      </c>
      <c r="AR570" t="s">
        <v>263</v>
      </c>
      <c r="AS570">
        <v>0.80431517894736837</v>
      </c>
    </row>
    <row r="571" spans="1:45" x14ac:dyDescent="0.15">
      <c r="A571" s="4" t="str">
        <f>HYPERLINK("https://ibp.a2mac1.com/costing(costing:projects/details/9760/material/8754775)","Thinsulate")</f>
        <v>Thinsulate</v>
      </c>
      <c r="B571">
        <v>8754775</v>
      </c>
      <c r="C571">
        <v>12085196</v>
      </c>
      <c r="E571">
        <v>8.3000000000000007</v>
      </c>
      <c r="F571" t="s">
        <v>5154</v>
      </c>
      <c r="G571">
        <v>95</v>
      </c>
      <c r="H571" t="s">
        <v>5155</v>
      </c>
      <c r="I571">
        <v>0</v>
      </c>
      <c r="J571">
        <v>0.50345253019720215</v>
      </c>
      <c r="K571">
        <v>0</v>
      </c>
      <c r="L571">
        <v>0</v>
      </c>
      <c r="M571">
        <v>0</v>
      </c>
      <c r="O571">
        <v>200000</v>
      </c>
      <c r="R571" t="s">
        <v>162</v>
      </c>
      <c r="S571">
        <v>0</v>
      </c>
      <c r="T571">
        <v>1.8125452631578949E-2</v>
      </c>
      <c r="U571" t="s">
        <v>176</v>
      </c>
      <c r="V571">
        <v>0.1253736842105263</v>
      </c>
      <c r="W571">
        <v>3.7256043999999999</v>
      </c>
      <c r="X571" t="s">
        <v>177</v>
      </c>
      <c r="Y571">
        <v>0.22353626400000001</v>
      </c>
      <c r="Z571">
        <v>0</v>
      </c>
      <c r="AA571" t="s">
        <v>178</v>
      </c>
      <c r="AB571">
        <v>0.44707252800000002</v>
      </c>
      <c r="AC571">
        <v>4.3962131920000003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Q571" t="s">
        <v>9</v>
      </c>
      <c r="AR571" t="s">
        <v>263</v>
      </c>
      <c r="AS571">
        <v>3.5821052631578949</v>
      </c>
    </row>
    <row r="572" spans="1:45" x14ac:dyDescent="0.15">
      <c r="A572" s="4" t="str">
        <f>HYPERLINK("https://ibp.a2mac1.com/costing(costing:projects/details/9760/material/8754776)","PP-EPDM")</f>
        <v>PP-EPDM</v>
      </c>
      <c r="B572">
        <v>8754776</v>
      </c>
      <c r="C572">
        <v>12085197</v>
      </c>
      <c r="E572">
        <v>1.7894600000000001</v>
      </c>
      <c r="F572" t="s">
        <v>5160</v>
      </c>
      <c r="G572">
        <v>95</v>
      </c>
      <c r="H572" t="s">
        <v>5161</v>
      </c>
      <c r="I572">
        <v>5</v>
      </c>
      <c r="J572">
        <v>0.50345253019720215</v>
      </c>
      <c r="K572">
        <v>0</v>
      </c>
      <c r="M572">
        <v>0</v>
      </c>
      <c r="O572">
        <v>200000</v>
      </c>
      <c r="R572" t="s">
        <v>162</v>
      </c>
      <c r="S572">
        <v>4.614923157894737E-4</v>
      </c>
      <c r="T572">
        <v>9.3406044715789471E-4</v>
      </c>
      <c r="U572" t="s">
        <v>176</v>
      </c>
      <c r="V572">
        <v>6.4608924210526313E-3</v>
      </c>
      <c r="W572">
        <v>0.19153038686821053</v>
      </c>
      <c r="X572" t="s">
        <v>90</v>
      </c>
      <c r="Y572">
        <v>0</v>
      </c>
      <c r="Z572">
        <v>0</v>
      </c>
      <c r="AA572" t="s">
        <v>90</v>
      </c>
      <c r="AB572">
        <v>0</v>
      </c>
      <c r="AC572">
        <v>0.19153038686821053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Q572" t="s">
        <v>262</v>
      </c>
      <c r="AR572" t="s">
        <v>263</v>
      </c>
      <c r="AS572">
        <v>0.18459692631578947</v>
      </c>
    </row>
    <row r="573" spans="1:45" x14ac:dyDescent="0.15">
      <c r="A573" s="4" t="str">
        <f>HYPERLINK("https://ibp.a2mac1.com/costing(costing:projects/details/9760/material/8754777)","TPE")</f>
        <v>TPE</v>
      </c>
      <c r="B573">
        <v>8754777</v>
      </c>
      <c r="C573">
        <v>12085198</v>
      </c>
      <c r="E573">
        <v>1.5073099999999999</v>
      </c>
      <c r="F573" t="s">
        <v>5165</v>
      </c>
      <c r="G573">
        <v>95</v>
      </c>
      <c r="H573" t="s">
        <v>5166</v>
      </c>
      <c r="I573">
        <v>5</v>
      </c>
      <c r="J573">
        <v>0.50345253019720215</v>
      </c>
      <c r="K573">
        <v>0</v>
      </c>
      <c r="M573">
        <v>0</v>
      </c>
      <c r="O573">
        <v>200000</v>
      </c>
      <c r="R573" t="s">
        <v>162</v>
      </c>
      <c r="S573">
        <v>3.0146200000000001E-4</v>
      </c>
      <c r="T573">
        <v>6.1015908799999996E-4</v>
      </c>
      <c r="U573" t="s">
        <v>176</v>
      </c>
      <c r="V573">
        <v>4.2204679999999998E-3</v>
      </c>
      <c r="W573">
        <v>0.12511396508799999</v>
      </c>
      <c r="X573" t="s">
        <v>90</v>
      </c>
      <c r="Y573">
        <v>0</v>
      </c>
      <c r="Z573">
        <v>0</v>
      </c>
      <c r="AA573" t="s">
        <v>90</v>
      </c>
      <c r="AB573">
        <v>0</v>
      </c>
      <c r="AC573">
        <v>0.12511396508799999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Q573" t="s">
        <v>262</v>
      </c>
      <c r="AR573" t="s">
        <v>263</v>
      </c>
      <c r="AS573">
        <v>0.12058480000000001</v>
      </c>
    </row>
    <row r="574" spans="1:45" x14ac:dyDescent="0.15">
      <c r="A574" s="4" t="str">
        <f>HYPERLINK("https://ibp.a2mac1.com/costing(costing:projects/details/9760/material/8754778)","ABS-PC")</f>
        <v>ABS-PC</v>
      </c>
      <c r="B574">
        <v>8754778</v>
      </c>
      <c r="C574">
        <v>12085199</v>
      </c>
      <c r="E574">
        <v>2.29312</v>
      </c>
      <c r="F574" t="s">
        <v>4372</v>
      </c>
      <c r="G574">
        <v>95</v>
      </c>
      <c r="H574" t="s">
        <v>4373</v>
      </c>
      <c r="I574">
        <v>5</v>
      </c>
      <c r="J574">
        <v>0.50345253019720215</v>
      </c>
      <c r="K574">
        <v>0</v>
      </c>
      <c r="L574">
        <v>0</v>
      </c>
      <c r="M574">
        <v>0</v>
      </c>
      <c r="O574">
        <v>200000</v>
      </c>
      <c r="R574" t="s">
        <v>162</v>
      </c>
      <c r="S574">
        <v>1.8707031578947368E-4</v>
      </c>
      <c r="T574">
        <v>3.7863031915789475E-4</v>
      </c>
      <c r="U574" t="s">
        <v>176</v>
      </c>
      <c r="V574">
        <v>2.6189844210526315E-3</v>
      </c>
      <c r="W574">
        <v>7.7638670740210525E-2</v>
      </c>
      <c r="X574" t="s">
        <v>90</v>
      </c>
      <c r="Y574">
        <v>0</v>
      </c>
      <c r="Z574">
        <v>0</v>
      </c>
      <c r="AA574" t="s">
        <v>90</v>
      </c>
      <c r="AB574">
        <v>0</v>
      </c>
      <c r="AC574">
        <v>7.7638670740210525E-2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P574" t="s">
        <v>5141</v>
      </c>
      <c r="AQ574" t="s">
        <v>262</v>
      </c>
      <c r="AR574" t="s">
        <v>263</v>
      </c>
      <c r="AS574">
        <v>7.4828126315789473E-2</v>
      </c>
    </row>
    <row r="575" spans="1:45" x14ac:dyDescent="0.15">
      <c r="A575" s="4" t="str">
        <f>HYPERLINK("https://ibp.a2mac1.com/costing(costing:projects/details/9760/material/8754779)","PA6")</f>
        <v>PA6</v>
      </c>
      <c r="B575">
        <v>8754779</v>
      </c>
      <c r="C575">
        <v>12085200</v>
      </c>
      <c r="E575">
        <v>1.72394</v>
      </c>
      <c r="F575" t="s">
        <v>5174</v>
      </c>
      <c r="G575">
        <v>95</v>
      </c>
      <c r="H575" t="s">
        <v>5175</v>
      </c>
      <c r="I575">
        <v>5</v>
      </c>
      <c r="J575">
        <v>0.50345253019720215</v>
      </c>
      <c r="K575">
        <v>0</v>
      </c>
      <c r="M575">
        <v>0</v>
      </c>
      <c r="O575">
        <v>200000</v>
      </c>
      <c r="R575" t="s">
        <v>162</v>
      </c>
      <c r="S575">
        <v>5.8976894736842104E-5</v>
      </c>
      <c r="T575">
        <v>1.1936923494736842E-4</v>
      </c>
      <c r="U575" t="s">
        <v>176</v>
      </c>
      <c r="V575">
        <v>8.2567652631578947E-4</v>
      </c>
      <c r="W575">
        <v>2.4476826761263157E-2</v>
      </c>
      <c r="X575" t="s">
        <v>90</v>
      </c>
      <c r="Y575">
        <v>0</v>
      </c>
      <c r="Z575">
        <v>0</v>
      </c>
      <c r="AA575" t="s">
        <v>90</v>
      </c>
      <c r="AB575">
        <v>0</v>
      </c>
      <c r="AC575">
        <v>2.4476826761263157E-2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Q575" t="s">
        <v>262</v>
      </c>
      <c r="AR575" t="s">
        <v>263</v>
      </c>
      <c r="AS575">
        <v>2.3590757894736841E-2</v>
      </c>
    </row>
    <row r="576" spans="1:45" x14ac:dyDescent="0.15">
      <c r="A576" s="4" t="str">
        <f>HYPERLINK("https://ibp.a2mac1.com/costing(costing:projects/details/9760/material/8754780)","ABS-PC")</f>
        <v>ABS-PC</v>
      </c>
      <c r="B576">
        <v>8754780</v>
      </c>
      <c r="C576">
        <v>12085201</v>
      </c>
      <c r="E576">
        <v>2.29312</v>
      </c>
      <c r="F576" t="s">
        <v>3740</v>
      </c>
      <c r="G576">
        <v>95</v>
      </c>
      <c r="H576" t="s">
        <v>3741</v>
      </c>
      <c r="I576">
        <v>5</v>
      </c>
      <c r="J576">
        <v>0.50345253019720215</v>
      </c>
      <c r="K576">
        <v>0</v>
      </c>
      <c r="L576">
        <v>0</v>
      </c>
      <c r="M576">
        <v>0</v>
      </c>
      <c r="O576">
        <v>200000</v>
      </c>
      <c r="R576" t="s">
        <v>162</v>
      </c>
      <c r="S576">
        <v>9.0517894736842099E-5</v>
      </c>
      <c r="T576">
        <v>1.8320821894736843E-4</v>
      </c>
      <c r="U576" t="s">
        <v>176</v>
      </c>
      <c r="V576">
        <v>1.2672505263157895E-3</v>
      </c>
      <c r="W576">
        <v>3.7567098745263157E-2</v>
      </c>
      <c r="X576" t="s">
        <v>90</v>
      </c>
      <c r="Y576">
        <v>0</v>
      </c>
      <c r="Z576">
        <v>0</v>
      </c>
      <c r="AA576" t="s">
        <v>90</v>
      </c>
      <c r="AB576">
        <v>0</v>
      </c>
      <c r="AC576">
        <v>3.7567098745263157E-2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P576" t="s">
        <v>5141</v>
      </c>
      <c r="AQ576" t="s">
        <v>262</v>
      </c>
      <c r="AR576" t="s">
        <v>263</v>
      </c>
      <c r="AS576">
        <v>3.6207157894736844E-2</v>
      </c>
    </row>
    <row r="577" spans="1:45" x14ac:dyDescent="0.15">
      <c r="A577" s="4" t="str">
        <f>HYPERLINK("https://ibp.a2mac1.com/costing(costing:projects/details/9760/material/8755182)","Aluminum for casting (default, e.g. A380/ADC10/EN-AC46500)")</f>
        <v>Aluminum for casting (default, e.g. A380/ADC10/EN-AC46500)</v>
      </c>
      <c r="B577">
        <v>8755182</v>
      </c>
      <c r="C577">
        <v>12085473</v>
      </c>
      <c r="E577">
        <v>2.4518200000000001</v>
      </c>
      <c r="F577" t="s">
        <v>5203</v>
      </c>
      <c r="G577">
        <v>95</v>
      </c>
      <c r="H577" t="s">
        <v>5204</v>
      </c>
      <c r="I577">
        <v>50</v>
      </c>
      <c r="J577">
        <v>0.30705427283965386</v>
      </c>
      <c r="K577">
        <v>0</v>
      </c>
      <c r="M577">
        <v>0</v>
      </c>
      <c r="O577">
        <v>200000</v>
      </c>
      <c r="R577" t="s">
        <v>162</v>
      </c>
      <c r="S577">
        <v>2.1550207368421052E-2</v>
      </c>
      <c r="T577">
        <v>2.6549855477894738E-3</v>
      </c>
      <c r="U577" t="s">
        <v>176</v>
      </c>
      <c r="V577">
        <v>3.0170290315789473E-2</v>
      </c>
      <c r="W577">
        <v>0.87328336323199995</v>
      </c>
      <c r="X577" t="s">
        <v>90</v>
      </c>
      <c r="Y577">
        <v>0</v>
      </c>
      <c r="Z577">
        <v>0</v>
      </c>
      <c r="AA577" t="s">
        <v>90</v>
      </c>
      <c r="AB577">
        <v>0</v>
      </c>
      <c r="AC577">
        <v>0.87328336323199995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Q577" t="s">
        <v>262</v>
      </c>
      <c r="AR577" t="s">
        <v>263</v>
      </c>
      <c r="AS577">
        <v>0.86200829473684215</v>
      </c>
    </row>
    <row r="578" spans="1:45" x14ac:dyDescent="0.15">
      <c r="A578" s="4" t="str">
        <f>HYPERLINK("https://ibp.a2mac1.com/costing(costing:projects/details/9760/material/8755183)","PA6-GF30")</f>
        <v>PA6-GF30</v>
      </c>
      <c r="B578">
        <v>8755183</v>
      </c>
      <c r="C578">
        <v>12085476</v>
      </c>
      <c r="E578">
        <v>2.1428600000000002</v>
      </c>
      <c r="F578" t="s">
        <v>5213</v>
      </c>
      <c r="G578">
        <v>97</v>
      </c>
      <c r="H578" t="s">
        <v>5214</v>
      </c>
      <c r="I578">
        <v>5</v>
      </c>
      <c r="J578">
        <v>0.10389195236953569</v>
      </c>
      <c r="K578">
        <v>0</v>
      </c>
      <c r="M578">
        <v>0</v>
      </c>
      <c r="O578">
        <v>200000</v>
      </c>
      <c r="R578" t="s">
        <v>162</v>
      </c>
      <c r="S578">
        <v>4.1089892783505156E-4</v>
      </c>
      <c r="T578">
        <v>2.8488992329896905E-4</v>
      </c>
      <c r="U578" t="s">
        <v>176</v>
      </c>
      <c r="V578">
        <v>9.5876416494845365E-3</v>
      </c>
      <c r="W578">
        <v>0.28339425120164946</v>
      </c>
      <c r="X578" t="s">
        <v>90</v>
      </c>
      <c r="Y578">
        <v>0</v>
      </c>
      <c r="Z578">
        <v>0</v>
      </c>
      <c r="AA578" t="s">
        <v>90</v>
      </c>
      <c r="AB578">
        <v>0</v>
      </c>
      <c r="AC578">
        <v>0.28339425120164946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Q578" t="s">
        <v>262</v>
      </c>
      <c r="AR578" t="s">
        <v>263</v>
      </c>
      <c r="AS578">
        <v>0.27393261855670104</v>
      </c>
    </row>
    <row r="579" spans="1:45" x14ac:dyDescent="0.15">
      <c r="A579" s="4" t="str">
        <f>HYPERLINK("https://ibp.a2mac1.com/costing(costing:projects/details/9760/material/8755184)","ABS")</f>
        <v>ABS</v>
      </c>
      <c r="B579">
        <v>8755184</v>
      </c>
      <c r="C579">
        <v>12085477</v>
      </c>
      <c r="E579">
        <v>2.5272700000000001</v>
      </c>
      <c r="F579" t="s">
        <v>5220</v>
      </c>
      <c r="G579">
        <v>95</v>
      </c>
      <c r="H579" t="s">
        <v>5221</v>
      </c>
      <c r="I579">
        <v>5</v>
      </c>
      <c r="J579">
        <v>0.60432569974554706</v>
      </c>
      <c r="K579">
        <v>0</v>
      </c>
      <c r="L579">
        <v>0</v>
      </c>
      <c r="M579">
        <v>0</v>
      </c>
      <c r="O579">
        <v>200000</v>
      </c>
      <c r="R579" t="s">
        <v>162</v>
      </c>
      <c r="S579">
        <v>5.3205684210526317E-4</v>
      </c>
      <c r="T579">
        <v>1.29396224E-3</v>
      </c>
      <c r="U579" t="s">
        <v>176</v>
      </c>
      <c r="V579">
        <v>7.4487957894736846E-3</v>
      </c>
      <c r="W579">
        <v>0.22103343802947367</v>
      </c>
      <c r="X579" t="s">
        <v>90</v>
      </c>
      <c r="Y579">
        <v>0</v>
      </c>
      <c r="Z579">
        <v>0</v>
      </c>
      <c r="AA579" t="s">
        <v>90</v>
      </c>
      <c r="AB579">
        <v>0</v>
      </c>
      <c r="AC579">
        <v>0.22103343802947367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P579" t="s">
        <v>5222</v>
      </c>
      <c r="AQ579" t="s">
        <v>262</v>
      </c>
      <c r="AR579" t="s">
        <v>263</v>
      </c>
      <c r="AS579">
        <v>0.21282273684210526</v>
      </c>
    </row>
    <row r="580" spans="1:45" x14ac:dyDescent="0.15">
      <c r="A580" s="4" t="str">
        <f>HYPERLINK("https://ibp.a2mac1.com/costing(costing:projects/details/9760/material/8755185)","Paint: Primer")</f>
        <v>Paint: Primer</v>
      </c>
      <c r="B580">
        <v>8755185</v>
      </c>
      <c r="C580">
        <v>12085478</v>
      </c>
      <c r="E580">
        <v>7</v>
      </c>
      <c r="F580" t="s">
        <v>5224</v>
      </c>
      <c r="G580">
        <v>90</v>
      </c>
      <c r="H580" t="s">
        <v>5225</v>
      </c>
      <c r="I580">
        <v>0</v>
      </c>
      <c r="J580">
        <v>0.10389195236953569</v>
      </c>
      <c r="K580">
        <v>0</v>
      </c>
      <c r="L580">
        <v>0</v>
      </c>
      <c r="M580">
        <v>0</v>
      </c>
      <c r="O580">
        <v>200000</v>
      </c>
      <c r="R580" t="s">
        <v>162</v>
      </c>
      <c r="S580">
        <v>0</v>
      </c>
      <c r="T580">
        <v>8.0888888888888888E-5</v>
      </c>
      <c r="U580" t="s">
        <v>176</v>
      </c>
      <c r="V580">
        <v>2.7222222222222222E-3</v>
      </c>
      <c r="W580">
        <v>8.0580888888888882E-2</v>
      </c>
      <c r="X580" t="s">
        <v>90</v>
      </c>
      <c r="Y580">
        <v>0</v>
      </c>
      <c r="Z580">
        <v>0</v>
      </c>
      <c r="AA580" t="s">
        <v>90</v>
      </c>
      <c r="AB580">
        <v>0</v>
      </c>
      <c r="AC580">
        <v>8.0580888888888882E-2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Q580" t="s">
        <v>9</v>
      </c>
      <c r="AR580" t="s">
        <v>263</v>
      </c>
      <c r="AS580">
        <v>7.7777777777777779E-2</v>
      </c>
    </row>
    <row r="581" spans="1:45" x14ac:dyDescent="0.15">
      <c r="A581" s="4" t="str">
        <f>HYPERLINK("https://ibp.a2mac1.com/costing(costing:projects/details/9760/material/8755186)","Paint: Base")</f>
        <v>Paint: Base</v>
      </c>
      <c r="B581">
        <v>8755186</v>
      </c>
      <c r="C581">
        <v>12085478</v>
      </c>
      <c r="E581">
        <v>11</v>
      </c>
      <c r="F581" t="s">
        <v>5224</v>
      </c>
      <c r="G581">
        <v>90</v>
      </c>
      <c r="H581" t="s">
        <v>5225</v>
      </c>
      <c r="I581">
        <v>0</v>
      </c>
      <c r="J581">
        <v>0.10389195236953569</v>
      </c>
      <c r="K581">
        <v>0</v>
      </c>
      <c r="L581">
        <v>0</v>
      </c>
      <c r="M581">
        <v>0</v>
      </c>
      <c r="O581">
        <v>200000</v>
      </c>
      <c r="R581" t="s">
        <v>162</v>
      </c>
      <c r="S581">
        <v>0</v>
      </c>
      <c r="T581">
        <v>1.271111111111111E-4</v>
      </c>
      <c r="U581" t="s">
        <v>176</v>
      </c>
      <c r="V581">
        <v>4.2777777777777779E-3</v>
      </c>
      <c r="W581">
        <v>0.12662711111111111</v>
      </c>
      <c r="X581" t="s">
        <v>90</v>
      </c>
      <c r="Y581">
        <v>0</v>
      </c>
      <c r="Z581">
        <v>0</v>
      </c>
      <c r="AA581" t="s">
        <v>90</v>
      </c>
      <c r="AB581">
        <v>0</v>
      </c>
      <c r="AC581">
        <v>0.12662711111111111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Q581" t="s">
        <v>9</v>
      </c>
      <c r="AR581" t="s">
        <v>263</v>
      </c>
      <c r="AS581">
        <v>0.12222222222222222</v>
      </c>
    </row>
    <row r="582" spans="1:45" x14ac:dyDescent="0.15">
      <c r="A582" s="4" t="str">
        <f>HYPERLINK("https://ibp.a2mac1.com/costing(costing:projects/details/9760/material/8755187)","Paint: Clear Coat")</f>
        <v>Paint: Clear Coat</v>
      </c>
      <c r="B582">
        <v>8755187</v>
      </c>
      <c r="C582">
        <v>12085478</v>
      </c>
      <c r="E582">
        <v>9</v>
      </c>
      <c r="F582" t="s">
        <v>5224</v>
      </c>
      <c r="G582">
        <v>90</v>
      </c>
      <c r="H582" t="s">
        <v>5225</v>
      </c>
      <c r="I582">
        <v>0</v>
      </c>
      <c r="J582">
        <v>0.10389195236953569</v>
      </c>
      <c r="K582">
        <v>0</v>
      </c>
      <c r="L582">
        <v>0</v>
      </c>
      <c r="M582">
        <v>0</v>
      </c>
      <c r="O582">
        <v>200000</v>
      </c>
      <c r="R582" t="s">
        <v>162</v>
      </c>
      <c r="S582">
        <v>0</v>
      </c>
      <c r="T582">
        <v>1.0399999999999999E-4</v>
      </c>
      <c r="U582" t="s">
        <v>176</v>
      </c>
      <c r="V582">
        <v>3.5000000000000001E-3</v>
      </c>
      <c r="W582">
        <v>0.103604</v>
      </c>
      <c r="X582" t="s">
        <v>90</v>
      </c>
      <c r="Y582">
        <v>0</v>
      </c>
      <c r="Z582">
        <v>0</v>
      </c>
      <c r="AA582" t="s">
        <v>90</v>
      </c>
      <c r="AB582">
        <v>0</v>
      </c>
      <c r="AC582">
        <v>0.103604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Q582" t="s">
        <v>9</v>
      </c>
      <c r="AR582" t="s">
        <v>263</v>
      </c>
      <c r="AS582">
        <v>0.1</v>
      </c>
    </row>
    <row r="583" spans="1:45" x14ac:dyDescent="0.15">
      <c r="A583" s="4" t="str">
        <f>HYPERLINK("https://ibp.a2mac1.com/costing(costing:projects/details/9760/material/8755188)","PMMA-ASA")</f>
        <v>PMMA-ASA</v>
      </c>
      <c r="B583">
        <v>8755188</v>
      </c>
      <c r="C583">
        <v>12085479</v>
      </c>
      <c r="E583">
        <v>2.6603300000000001</v>
      </c>
      <c r="F583" t="s">
        <v>4878</v>
      </c>
      <c r="G583">
        <v>95</v>
      </c>
      <c r="H583" t="s">
        <v>4879</v>
      </c>
      <c r="I583">
        <v>5</v>
      </c>
      <c r="J583">
        <v>0.50345253019720215</v>
      </c>
      <c r="K583">
        <v>0</v>
      </c>
      <c r="M583">
        <v>0</v>
      </c>
      <c r="O583">
        <v>200000</v>
      </c>
      <c r="R583" t="s">
        <v>162</v>
      </c>
      <c r="S583">
        <v>3.5004342105263159E-4</v>
      </c>
      <c r="T583">
        <v>7.0848788421052635E-4</v>
      </c>
      <c r="U583" t="s">
        <v>176</v>
      </c>
      <c r="V583">
        <v>4.9006078947368423E-3</v>
      </c>
      <c r="W583">
        <v>0.14527642077894737</v>
      </c>
      <c r="X583" t="s">
        <v>90</v>
      </c>
      <c r="Y583">
        <v>0</v>
      </c>
      <c r="Z583">
        <v>0</v>
      </c>
      <c r="AA583" t="s">
        <v>90</v>
      </c>
      <c r="AB583">
        <v>0</v>
      </c>
      <c r="AC583">
        <v>0.14527642077894737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Q583" t="s">
        <v>262</v>
      </c>
      <c r="AR583" t="s">
        <v>263</v>
      </c>
      <c r="AS583">
        <v>0.14001736842105264</v>
      </c>
    </row>
    <row r="584" spans="1:45" x14ac:dyDescent="0.15">
      <c r="A584" s="4" t="str">
        <f>HYPERLINK("https://ibp.a2mac1.com/costing(costing:projects/details/9760/material/8755189)","PMMA-ASA")</f>
        <v>PMMA-ASA</v>
      </c>
      <c r="B584">
        <v>8755189</v>
      </c>
      <c r="C584">
        <v>12085480</v>
      </c>
      <c r="E584">
        <v>2.6603300000000001</v>
      </c>
      <c r="F584" t="s">
        <v>4878</v>
      </c>
      <c r="G584">
        <v>95</v>
      </c>
      <c r="H584" t="s">
        <v>4879</v>
      </c>
      <c r="I584">
        <v>5</v>
      </c>
      <c r="J584">
        <v>0.50345253019720215</v>
      </c>
      <c r="K584">
        <v>0</v>
      </c>
      <c r="M584">
        <v>0</v>
      </c>
      <c r="O584">
        <v>200000</v>
      </c>
      <c r="R584" t="s">
        <v>162</v>
      </c>
      <c r="S584">
        <v>3.5004342105263159E-4</v>
      </c>
      <c r="T584">
        <v>7.0848788421052635E-4</v>
      </c>
      <c r="U584" t="s">
        <v>176</v>
      </c>
      <c r="V584">
        <v>4.9006078947368423E-3</v>
      </c>
      <c r="W584">
        <v>0.14527642077894737</v>
      </c>
      <c r="X584" t="s">
        <v>90</v>
      </c>
      <c r="Y584">
        <v>0</v>
      </c>
      <c r="Z584">
        <v>0</v>
      </c>
      <c r="AA584" t="s">
        <v>90</v>
      </c>
      <c r="AB584">
        <v>0</v>
      </c>
      <c r="AC584">
        <v>0.14527642077894737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Q584" t="s">
        <v>262</v>
      </c>
      <c r="AR584" t="s">
        <v>263</v>
      </c>
      <c r="AS584">
        <v>0.14001736842105264</v>
      </c>
    </row>
    <row r="585" spans="1:45" x14ac:dyDescent="0.15">
      <c r="A585" s="4" t="str">
        <f>HYPERLINK("https://ibp.a2mac1.com/costing(costing:projects/details/9760/material/8755190)","PP-GF30")</f>
        <v>PP-GF30</v>
      </c>
      <c r="B585">
        <v>8755190</v>
      </c>
      <c r="C585">
        <v>12085481</v>
      </c>
      <c r="E585">
        <v>1.2710699999999999</v>
      </c>
      <c r="F585" t="s">
        <v>5174</v>
      </c>
      <c r="G585">
        <v>95</v>
      </c>
      <c r="H585" t="s">
        <v>5175</v>
      </c>
      <c r="I585">
        <v>30</v>
      </c>
      <c r="J585">
        <v>0.50345253019720215</v>
      </c>
      <c r="K585">
        <v>0</v>
      </c>
      <c r="L585">
        <v>0</v>
      </c>
      <c r="M585">
        <v>0</v>
      </c>
      <c r="O585">
        <v>200000</v>
      </c>
      <c r="R585" t="s">
        <v>162</v>
      </c>
      <c r="S585">
        <v>2.6090384210526317E-4</v>
      </c>
      <c r="T585">
        <v>8.8011562736842105E-5</v>
      </c>
      <c r="U585" t="s">
        <v>176</v>
      </c>
      <c r="V585">
        <v>6.0877563157894733E-4</v>
      </c>
      <c r="W585">
        <v>1.7829472825894737E-2</v>
      </c>
      <c r="X585" t="s">
        <v>90</v>
      </c>
      <c r="Y585">
        <v>0</v>
      </c>
      <c r="Z585">
        <v>0</v>
      </c>
      <c r="AA585" t="s">
        <v>90</v>
      </c>
      <c r="AB585">
        <v>0</v>
      </c>
      <c r="AC585">
        <v>1.7829472825894737E-2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Q585" t="s">
        <v>262</v>
      </c>
      <c r="AR585" t="s">
        <v>263</v>
      </c>
      <c r="AS585">
        <v>1.7393589473684211E-2</v>
      </c>
    </row>
    <row r="586" spans="1:45" x14ac:dyDescent="0.15">
      <c r="A586" s="4" t="str">
        <f>HYPERLINK("https://ibp.a2mac1.com/costing(costing:projects/details/9760/material/8755191)","PP-EPDM")</f>
        <v>PP-EPDM</v>
      </c>
      <c r="B586">
        <v>8755191</v>
      </c>
      <c r="C586">
        <v>12085482</v>
      </c>
      <c r="E586">
        <v>1.7894600000000001</v>
      </c>
      <c r="F586" t="s">
        <v>5245</v>
      </c>
      <c r="G586">
        <v>95</v>
      </c>
      <c r="H586" t="s">
        <v>5246</v>
      </c>
      <c r="I586">
        <v>5</v>
      </c>
      <c r="J586">
        <v>0.50345253019720215</v>
      </c>
      <c r="K586">
        <v>0</v>
      </c>
      <c r="L586">
        <v>0</v>
      </c>
      <c r="M586">
        <v>0</v>
      </c>
      <c r="O586">
        <v>200000</v>
      </c>
      <c r="R586" t="s">
        <v>162</v>
      </c>
      <c r="S586">
        <v>1.883642105263158E-5</v>
      </c>
      <c r="T586">
        <v>3.8124916210526314E-5</v>
      </c>
      <c r="U586" t="s">
        <v>176</v>
      </c>
      <c r="V586">
        <v>2.6370989473684212E-4</v>
      </c>
      <c r="W586">
        <v>7.817566810947368E-3</v>
      </c>
      <c r="X586" t="s">
        <v>90</v>
      </c>
      <c r="Y586">
        <v>0</v>
      </c>
      <c r="Z586">
        <v>0</v>
      </c>
      <c r="AA586" t="s">
        <v>90</v>
      </c>
      <c r="AB586">
        <v>0</v>
      </c>
      <c r="AC586">
        <v>7.817566810947368E-3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Q586" t="s">
        <v>262</v>
      </c>
      <c r="AR586" t="s">
        <v>263</v>
      </c>
      <c r="AS586">
        <v>7.5345684210526313E-3</v>
      </c>
    </row>
    <row r="587" spans="1:45" x14ac:dyDescent="0.15">
      <c r="A587" s="4" t="str">
        <f>HYPERLINK("https://ibp.a2mac1.com/costing(costing:projects/details/9760/material/8755192)","PP-GF30")</f>
        <v>PP-GF30</v>
      </c>
      <c r="B587">
        <v>8755192</v>
      </c>
      <c r="C587">
        <v>12085483</v>
      </c>
      <c r="E587">
        <v>1.2710699999999999</v>
      </c>
      <c r="F587" t="s">
        <v>5224</v>
      </c>
      <c r="G587">
        <v>95</v>
      </c>
      <c r="H587" t="s">
        <v>5251</v>
      </c>
      <c r="I587">
        <v>30</v>
      </c>
      <c r="J587">
        <v>0.50345253019720215</v>
      </c>
      <c r="K587">
        <v>0</v>
      </c>
      <c r="L587">
        <v>0</v>
      </c>
      <c r="M587">
        <v>0</v>
      </c>
      <c r="O587">
        <v>200000</v>
      </c>
      <c r="R587" t="s">
        <v>162</v>
      </c>
      <c r="S587">
        <v>2.0069526315789473E-4</v>
      </c>
      <c r="T587">
        <v>6.7701202105263156E-5</v>
      </c>
      <c r="U587" t="s">
        <v>176</v>
      </c>
      <c r="V587">
        <v>4.6828894736842104E-4</v>
      </c>
      <c r="W587">
        <v>1.3714979096842106E-2</v>
      </c>
      <c r="X587" t="s">
        <v>90</v>
      </c>
      <c r="Y587">
        <v>0</v>
      </c>
      <c r="Z587">
        <v>0</v>
      </c>
      <c r="AA587" t="s">
        <v>90</v>
      </c>
      <c r="AB587">
        <v>0</v>
      </c>
      <c r="AC587">
        <v>1.3714979096842106E-2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Q587" t="s">
        <v>262</v>
      </c>
      <c r="AR587" t="s">
        <v>263</v>
      </c>
      <c r="AS587">
        <v>1.3379684210526316E-2</v>
      </c>
    </row>
    <row r="588" spans="1:45" x14ac:dyDescent="0.15">
      <c r="A588" s="4" t="str">
        <f>HYPERLINK("https://ibp.a2mac1.com/costing(costing:projects/details/9760/material/8755193)","PMMA-ASA")</f>
        <v>PMMA-ASA</v>
      </c>
      <c r="B588">
        <v>8755193</v>
      </c>
      <c r="C588">
        <v>12085484</v>
      </c>
      <c r="E588">
        <v>2.6603300000000001</v>
      </c>
      <c r="F588" t="s">
        <v>4325</v>
      </c>
      <c r="G588">
        <v>95</v>
      </c>
      <c r="H588" t="s">
        <v>4326</v>
      </c>
      <c r="I588">
        <v>5</v>
      </c>
      <c r="J588">
        <v>0.50345253019720215</v>
      </c>
      <c r="K588">
        <v>0</v>
      </c>
      <c r="L588">
        <v>0</v>
      </c>
      <c r="M588">
        <v>0</v>
      </c>
      <c r="O588">
        <v>200000</v>
      </c>
      <c r="R588" t="s">
        <v>162</v>
      </c>
      <c r="S588">
        <v>1.1901476315789473E-4</v>
      </c>
      <c r="T588">
        <v>2.4088588063157895E-4</v>
      </c>
      <c r="U588" t="s">
        <v>176</v>
      </c>
      <c r="V588">
        <v>1.6662066842105263E-3</v>
      </c>
      <c r="W588">
        <v>4.9393983064842106E-2</v>
      </c>
      <c r="X588" t="s">
        <v>90</v>
      </c>
      <c r="Y588">
        <v>0</v>
      </c>
      <c r="Z588">
        <v>0</v>
      </c>
      <c r="AA588" t="s">
        <v>90</v>
      </c>
      <c r="AB588">
        <v>0</v>
      </c>
      <c r="AC588">
        <v>4.9393983064842106E-2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Q588" t="s">
        <v>262</v>
      </c>
      <c r="AR588" t="s">
        <v>263</v>
      </c>
      <c r="AS588">
        <v>4.7605905263157895E-2</v>
      </c>
    </row>
    <row r="589" spans="1:45" x14ac:dyDescent="0.15">
      <c r="A589" s="4" t="str">
        <f>HYPERLINK("https://ibp.a2mac1.com/costing(costing:projects/details/9760/material/8755194)","PBT-GF30")</f>
        <v>PBT-GF30</v>
      </c>
      <c r="B589">
        <v>8755194</v>
      </c>
      <c r="C589">
        <v>12085486</v>
      </c>
      <c r="E589">
        <v>1.9208099999999999</v>
      </c>
      <c r="F589" t="s">
        <v>4010</v>
      </c>
      <c r="G589">
        <v>95</v>
      </c>
      <c r="H589" t="s">
        <v>4011</v>
      </c>
      <c r="I589">
        <v>5</v>
      </c>
      <c r="J589">
        <v>0.50345253019720215</v>
      </c>
      <c r="K589">
        <v>0</v>
      </c>
      <c r="L589">
        <v>0</v>
      </c>
      <c r="M589">
        <v>0</v>
      </c>
      <c r="O589">
        <v>200000</v>
      </c>
      <c r="R589" t="s">
        <v>162</v>
      </c>
      <c r="S589">
        <v>1.6680718421052633E-4</v>
      </c>
      <c r="T589">
        <v>3.3761774084210529E-4</v>
      </c>
      <c r="U589" t="s">
        <v>176</v>
      </c>
      <c r="V589">
        <v>2.3353005789473686E-3</v>
      </c>
      <c r="W589">
        <v>6.922898481978948E-2</v>
      </c>
      <c r="X589" t="s">
        <v>90</v>
      </c>
      <c r="Y589">
        <v>0</v>
      </c>
      <c r="Z589">
        <v>0</v>
      </c>
      <c r="AA589" t="s">
        <v>90</v>
      </c>
      <c r="AB589">
        <v>0</v>
      </c>
      <c r="AC589">
        <v>6.922898481978948E-2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Q589" t="s">
        <v>262</v>
      </c>
      <c r="AR589" t="s">
        <v>263</v>
      </c>
      <c r="AS589">
        <v>6.6722873684210524E-2</v>
      </c>
    </row>
    <row r="590" spans="1:45" x14ac:dyDescent="0.15">
      <c r="A590" s="4" t="str">
        <f>HYPERLINK("https://ibp.a2mac1.com/costing(costing:projects/details/9760/material/8755195)","PA66-GF30")</f>
        <v>PA66-GF30</v>
      </c>
      <c r="B590">
        <v>8755195</v>
      </c>
      <c r="C590">
        <v>12085488</v>
      </c>
      <c r="E590">
        <v>2.4020800000000002</v>
      </c>
      <c r="F590" t="s">
        <v>3897</v>
      </c>
      <c r="G590">
        <v>95</v>
      </c>
      <c r="H590" t="s">
        <v>3898</v>
      </c>
      <c r="I590">
        <v>5</v>
      </c>
      <c r="J590">
        <v>0.50345253019720215</v>
      </c>
      <c r="K590">
        <v>0</v>
      </c>
      <c r="L590">
        <v>0</v>
      </c>
      <c r="M590">
        <v>0</v>
      </c>
      <c r="O590">
        <v>200000</v>
      </c>
      <c r="R590" t="s">
        <v>162</v>
      </c>
      <c r="S590">
        <v>3.7927578947368424E-5</v>
      </c>
      <c r="T590">
        <v>7.6765419789473678E-5</v>
      </c>
      <c r="U590" t="s">
        <v>176</v>
      </c>
      <c r="V590">
        <v>5.3098610526315789E-4</v>
      </c>
      <c r="W590">
        <v>1.5740855525052631E-2</v>
      </c>
      <c r="X590" t="s">
        <v>90</v>
      </c>
      <c r="Y590">
        <v>0</v>
      </c>
      <c r="Z590">
        <v>0</v>
      </c>
      <c r="AA590" t="s">
        <v>90</v>
      </c>
      <c r="AB590">
        <v>0</v>
      </c>
      <c r="AC590">
        <v>1.5740855525052631E-2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P590" t="s">
        <v>5267</v>
      </c>
      <c r="AQ590" t="s">
        <v>262</v>
      </c>
      <c r="AR590" t="s">
        <v>263</v>
      </c>
      <c r="AS590">
        <v>1.5171031578947369E-2</v>
      </c>
    </row>
    <row r="591" spans="1:45" x14ac:dyDescent="0.15">
      <c r="A591" s="4" t="str">
        <f>HYPERLINK("https://ibp.a2mac1.com/costing(costing:projects/details/9760/material/8755196)","ABS")</f>
        <v>ABS</v>
      </c>
      <c r="B591">
        <v>8755196</v>
      </c>
      <c r="C591">
        <v>12085489</v>
      </c>
      <c r="E591">
        <v>2.5272700000000001</v>
      </c>
      <c r="F591" t="s">
        <v>4585</v>
      </c>
      <c r="G591">
        <v>97</v>
      </c>
      <c r="H591" t="s">
        <v>5273</v>
      </c>
      <c r="I591">
        <v>5</v>
      </c>
      <c r="J591">
        <v>0.30705427283965386</v>
      </c>
      <c r="K591">
        <v>0</v>
      </c>
      <c r="M591">
        <v>0</v>
      </c>
      <c r="O591">
        <v>200000</v>
      </c>
      <c r="R591" t="s">
        <v>162</v>
      </c>
      <c r="S591">
        <v>4.2989644329896907E-4</v>
      </c>
      <c r="T591">
        <v>8.8272069690721654E-4</v>
      </c>
      <c r="U591" t="s">
        <v>176</v>
      </c>
      <c r="V591">
        <v>1.0030917010309278E-2</v>
      </c>
      <c r="W591">
        <v>0.29708137012989688</v>
      </c>
      <c r="X591" t="s">
        <v>90</v>
      </c>
      <c r="Y591">
        <v>0</v>
      </c>
      <c r="Z591">
        <v>0</v>
      </c>
      <c r="AA591" t="s">
        <v>90</v>
      </c>
      <c r="AB591">
        <v>0</v>
      </c>
      <c r="AC591">
        <v>0.29708137012989688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Q591" t="s">
        <v>262</v>
      </c>
      <c r="AR591" t="s">
        <v>263</v>
      </c>
      <c r="AS591">
        <v>0.28659762886597939</v>
      </c>
    </row>
    <row r="592" spans="1:45" x14ac:dyDescent="0.15">
      <c r="A592" s="4" t="str">
        <f>HYPERLINK("https://ibp.a2mac1.com/costing(costing:projects/details/9760/material/8755197)","Paint: Primer")</f>
        <v>Paint: Primer</v>
      </c>
      <c r="B592">
        <v>8755197</v>
      </c>
      <c r="C592">
        <v>12085490</v>
      </c>
      <c r="E592">
        <v>7</v>
      </c>
      <c r="F592" t="s">
        <v>5224</v>
      </c>
      <c r="G592">
        <v>90</v>
      </c>
      <c r="H592" t="s">
        <v>5225</v>
      </c>
      <c r="I592">
        <v>0</v>
      </c>
      <c r="J592">
        <v>0.20557651238448796</v>
      </c>
      <c r="K592">
        <v>0</v>
      </c>
      <c r="L592">
        <v>0</v>
      </c>
      <c r="M592">
        <v>0</v>
      </c>
      <c r="O592">
        <v>200000</v>
      </c>
      <c r="R592" t="s">
        <v>162</v>
      </c>
      <c r="S592">
        <v>0</v>
      </c>
      <c r="T592">
        <v>1.6022222222222222E-4</v>
      </c>
      <c r="U592" t="s">
        <v>176</v>
      </c>
      <c r="V592">
        <v>2.7222222222222222E-3</v>
      </c>
      <c r="W592">
        <v>8.0660222222222216E-2</v>
      </c>
      <c r="X592" t="s">
        <v>90</v>
      </c>
      <c r="Y592">
        <v>0</v>
      </c>
      <c r="Z592">
        <v>0</v>
      </c>
      <c r="AA592" t="s">
        <v>90</v>
      </c>
      <c r="AB592">
        <v>0</v>
      </c>
      <c r="AC592">
        <v>8.0660222222222216E-2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Q592" t="s">
        <v>9</v>
      </c>
      <c r="AR592" t="s">
        <v>263</v>
      </c>
      <c r="AS592">
        <v>7.7777777777777779E-2</v>
      </c>
    </row>
    <row r="593" spans="1:45" x14ac:dyDescent="0.15">
      <c r="A593" s="4" t="str">
        <f>HYPERLINK("https://ibp.a2mac1.com/costing(costing:projects/details/9760/material/8755198)","Paint: Base")</f>
        <v>Paint: Base</v>
      </c>
      <c r="B593">
        <v>8755198</v>
      </c>
      <c r="C593">
        <v>12085490</v>
      </c>
      <c r="E593">
        <v>11</v>
      </c>
      <c r="F593" t="s">
        <v>5224</v>
      </c>
      <c r="G593">
        <v>90</v>
      </c>
      <c r="H593" t="s">
        <v>5225</v>
      </c>
      <c r="I593">
        <v>0</v>
      </c>
      <c r="J593">
        <v>0.20557651238448796</v>
      </c>
      <c r="K593">
        <v>0</v>
      </c>
      <c r="L593">
        <v>0</v>
      </c>
      <c r="M593">
        <v>0</v>
      </c>
      <c r="O593">
        <v>200000</v>
      </c>
      <c r="R593" t="s">
        <v>162</v>
      </c>
      <c r="S593">
        <v>0</v>
      </c>
      <c r="T593">
        <v>2.517777777777778E-4</v>
      </c>
      <c r="U593" t="s">
        <v>176</v>
      </c>
      <c r="V593">
        <v>4.2777777777777779E-3</v>
      </c>
      <c r="W593">
        <v>0.12675177777777777</v>
      </c>
      <c r="X593" t="s">
        <v>90</v>
      </c>
      <c r="Y593">
        <v>0</v>
      </c>
      <c r="Z593">
        <v>0</v>
      </c>
      <c r="AA593" t="s">
        <v>90</v>
      </c>
      <c r="AB593">
        <v>0</v>
      </c>
      <c r="AC593">
        <v>0.12675177777777777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Q593" t="s">
        <v>9</v>
      </c>
      <c r="AR593" t="s">
        <v>263</v>
      </c>
      <c r="AS593">
        <v>0.12222222222222222</v>
      </c>
    </row>
    <row r="594" spans="1:45" x14ac:dyDescent="0.15">
      <c r="A594" s="4" t="str">
        <f>HYPERLINK("https://ibp.a2mac1.com/costing(costing:projects/details/9760/material/8755199)","Paint: Clear Coat")</f>
        <v>Paint: Clear Coat</v>
      </c>
      <c r="B594">
        <v>8755199</v>
      </c>
      <c r="C594">
        <v>12085490</v>
      </c>
      <c r="E594">
        <v>9</v>
      </c>
      <c r="F594" t="s">
        <v>5224</v>
      </c>
      <c r="G594">
        <v>90</v>
      </c>
      <c r="H594" t="s">
        <v>5225</v>
      </c>
      <c r="I594">
        <v>0</v>
      </c>
      <c r="J594">
        <v>0.20557651238448796</v>
      </c>
      <c r="K594">
        <v>0</v>
      </c>
      <c r="L594">
        <v>0</v>
      </c>
      <c r="M594">
        <v>0</v>
      </c>
      <c r="O594">
        <v>200000</v>
      </c>
      <c r="R594" t="s">
        <v>162</v>
      </c>
      <c r="S594">
        <v>0</v>
      </c>
      <c r="T594">
        <v>2.0599999999999999E-4</v>
      </c>
      <c r="U594" t="s">
        <v>176</v>
      </c>
      <c r="V594">
        <v>3.5000000000000001E-3</v>
      </c>
      <c r="W594">
        <v>0.10370600000000001</v>
      </c>
      <c r="X594" t="s">
        <v>90</v>
      </c>
      <c r="Y594">
        <v>0</v>
      </c>
      <c r="Z594">
        <v>0</v>
      </c>
      <c r="AA594" t="s">
        <v>90</v>
      </c>
      <c r="AB594">
        <v>0</v>
      </c>
      <c r="AC594">
        <v>0.10370600000000001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Q594" t="s">
        <v>9</v>
      </c>
      <c r="AR594" t="s">
        <v>263</v>
      </c>
      <c r="AS594">
        <v>0.1</v>
      </c>
    </row>
    <row r="595" spans="1:45" x14ac:dyDescent="0.15">
      <c r="A595" s="4" t="str">
        <f>HYPERLINK("https://ibp.a2mac1.com/costing(costing:projects/details/9760/material/8754781)","PP-EPDM-TD10")</f>
        <v>PP-EPDM-TD10</v>
      </c>
      <c r="B595">
        <v>8754781</v>
      </c>
      <c r="C595">
        <v>12085202</v>
      </c>
      <c r="E595">
        <v>1.84189</v>
      </c>
      <c r="F595" t="s">
        <v>4554</v>
      </c>
      <c r="G595">
        <v>95</v>
      </c>
      <c r="H595" t="s">
        <v>4555</v>
      </c>
      <c r="I595">
        <v>5</v>
      </c>
      <c r="J595">
        <v>0.50345253019720215</v>
      </c>
      <c r="K595">
        <v>0</v>
      </c>
      <c r="L595">
        <v>0</v>
      </c>
      <c r="M595">
        <v>0</v>
      </c>
      <c r="O595">
        <v>200000</v>
      </c>
      <c r="R595" t="s">
        <v>162</v>
      </c>
      <c r="S595">
        <v>5.331786842105263E-5</v>
      </c>
      <c r="T595">
        <v>1.0791536568421053E-4</v>
      </c>
      <c r="U595" t="s">
        <v>176</v>
      </c>
      <c r="V595">
        <v>7.4645015789473685E-4</v>
      </c>
      <c r="W595">
        <v>2.2128195023578948E-2</v>
      </c>
      <c r="X595" t="s">
        <v>90</v>
      </c>
      <c r="Y595">
        <v>0</v>
      </c>
      <c r="Z595">
        <v>0</v>
      </c>
      <c r="AA595" t="s">
        <v>90</v>
      </c>
      <c r="AB595">
        <v>0</v>
      </c>
      <c r="AC595">
        <v>2.2128195023578948E-2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P595" t="s">
        <v>5284</v>
      </c>
      <c r="AQ595" t="s">
        <v>262</v>
      </c>
      <c r="AR595" t="s">
        <v>263</v>
      </c>
      <c r="AS595">
        <v>2.1327147368421052E-2</v>
      </c>
    </row>
    <row r="596" spans="1:45" x14ac:dyDescent="0.15">
      <c r="A596" s="4" t="str">
        <f>HYPERLINK("https://ibp.a2mac1.com/costing(costing:projects/details/9760/material/8754782)","EPP")</f>
        <v>EPP</v>
      </c>
      <c r="B596">
        <v>8754782</v>
      </c>
      <c r="C596">
        <v>12085203</v>
      </c>
      <c r="E596">
        <v>2.5973999999999999</v>
      </c>
      <c r="F596" t="s">
        <v>4377</v>
      </c>
      <c r="G596">
        <v>97</v>
      </c>
      <c r="H596" t="s">
        <v>5289</v>
      </c>
      <c r="I596">
        <v>5</v>
      </c>
      <c r="J596">
        <v>2.001136786813273</v>
      </c>
      <c r="K596">
        <v>0</v>
      </c>
      <c r="L596">
        <v>0</v>
      </c>
      <c r="M596">
        <v>0</v>
      </c>
      <c r="O596">
        <v>200000</v>
      </c>
      <c r="R596" t="s">
        <v>162</v>
      </c>
      <c r="S596">
        <v>4.0165979381443299E-6</v>
      </c>
      <c r="T596">
        <v>5.4679286597938147E-5</v>
      </c>
      <c r="U596" t="s">
        <v>176</v>
      </c>
      <c r="V596">
        <v>9.3720618556701035E-5</v>
      </c>
      <c r="W596">
        <v>2.8221152659793814E-3</v>
      </c>
      <c r="X596" t="s">
        <v>90</v>
      </c>
      <c r="Y596">
        <v>0</v>
      </c>
      <c r="Z596">
        <v>0</v>
      </c>
      <c r="AA596" t="s">
        <v>90</v>
      </c>
      <c r="AB596">
        <v>0</v>
      </c>
      <c r="AC596">
        <v>2.8221152659793814E-3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Q596" t="s">
        <v>262</v>
      </c>
      <c r="AR596" t="s">
        <v>263</v>
      </c>
      <c r="AS596">
        <v>2.6777319587628864E-3</v>
      </c>
    </row>
    <row r="597" spans="1:45" x14ac:dyDescent="0.15">
      <c r="A597" s="4" t="str">
        <f>HYPERLINK("https://ibp.a2mac1.com/costing(costing:projects/details/9760/material/8754787)","PMMA-ASA")</f>
        <v>PMMA-ASA</v>
      </c>
      <c r="B597">
        <v>8754787</v>
      </c>
      <c r="C597">
        <v>12085207</v>
      </c>
      <c r="E597">
        <v>2.6603300000000001</v>
      </c>
      <c r="F597" t="s">
        <v>4449</v>
      </c>
      <c r="G597">
        <v>97</v>
      </c>
      <c r="H597" t="s">
        <v>5300</v>
      </c>
      <c r="I597">
        <v>5</v>
      </c>
      <c r="J597">
        <v>0.20557651238448796</v>
      </c>
      <c r="K597">
        <v>0</v>
      </c>
      <c r="M597">
        <v>0</v>
      </c>
      <c r="O597">
        <v>200000</v>
      </c>
      <c r="R597" t="s">
        <v>162</v>
      </c>
      <c r="S597">
        <v>9.0506072164948459E-5</v>
      </c>
      <c r="T597">
        <v>1.2429500577319587E-4</v>
      </c>
      <c r="U597" t="s">
        <v>176</v>
      </c>
      <c r="V597">
        <v>2.1118083505154641E-3</v>
      </c>
      <c r="W597">
        <v>6.2482978727422679E-2</v>
      </c>
      <c r="X597" t="s">
        <v>177</v>
      </c>
      <c r="Y597">
        <v>3.7489787236453607E-3</v>
      </c>
      <c r="Z597">
        <v>0</v>
      </c>
      <c r="AA597" t="s">
        <v>178</v>
      </c>
      <c r="AB597">
        <v>7.4979574472907214E-3</v>
      </c>
      <c r="AC597">
        <v>7.3729914898358756E-2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Q597" t="s">
        <v>262</v>
      </c>
      <c r="AR597" t="s">
        <v>263</v>
      </c>
      <c r="AS597">
        <v>6.0337381443298969E-2</v>
      </c>
    </row>
    <row r="598" spans="1:45" x14ac:dyDescent="0.15">
      <c r="A598" s="4" t="str">
        <f>HYPERLINK("https://ibp.a2mac1.com/costing(costing:projects/details/9760/material/8754788)","TPE")</f>
        <v>TPE</v>
      </c>
      <c r="B598">
        <v>8754788</v>
      </c>
      <c r="C598">
        <v>12085208</v>
      </c>
      <c r="E598">
        <v>1.5073099999999999</v>
      </c>
      <c r="F598" t="s">
        <v>4377</v>
      </c>
      <c r="G598">
        <v>97</v>
      </c>
      <c r="H598" t="s">
        <v>5289</v>
      </c>
      <c r="I598">
        <v>5</v>
      </c>
      <c r="J598">
        <v>0.20557651238448796</v>
      </c>
      <c r="K598">
        <v>0</v>
      </c>
      <c r="M598">
        <v>0</v>
      </c>
      <c r="O598">
        <v>200000</v>
      </c>
      <c r="R598" t="s">
        <v>162</v>
      </c>
      <c r="S598">
        <v>2.3308917525773196E-6</v>
      </c>
      <c r="T598">
        <v>3.2010913402061857E-6</v>
      </c>
      <c r="U598" t="s">
        <v>176</v>
      </c>
      <c r="V598">
        <v>5.4387474226804127E-5</v>
      </c>
      <c r="W598">
        <v>1.6091855088659795E-3</v>
      </c>
      <c r="X598" t="s">
        <v>177</v>
      </c>
      <c r="Y598">
        <v>9.6551130531958768E-5</v>
      </c>
      <c r="Z598">
        <v>0</v>
      </c>
      <c r="AA598" t="s">
        <v>178</v>
      </c>
      <c r="AB598">
        <v>1.9310226106391754E-4</v>
      </c>
      <c r="AC598">
        <v>1.8988389004618556E-3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Q598" t="s">
        <v>262</v>
      </c>
      <c r="AR598" t="s">
        <v>263</v>
      </c>
      <c r="AS598">
        <v>1.5539278350515464E-3</v>
      </c>
    </row>
    <row r="599" spans="1:45" x14ac:dyDescent="0.15">
      <c r="A599" s="4" t="str">
        <f>HYPERLINK("https://ibp.a2mac1.com/costing(costing:projects/details/9760/material/8755200)","PMMA")</f>
        <v>PMMA</v>
      </c>
      <c r="B599">
        <v>8755200</v>
      </c>
      <c r="C599">
        <v>12085493</v>
      </c>
      <c r="E599">
        <v>2.1</v>
      </c>
      <c r="F599" t="s">
        <v>4898</v>
      </c>
      <c r="G599">
        <v>97</v>
      </c>
      <c r="H599" t="s">
        <v>5319</v>
      </c>
      <c r="I599">
        <v>5</v>
      </c>
      <c r="J599">
        <v>0.20557651238448796</v>
      </c>
      <c r="K599">
        <v>0</v>
      </c>
      <c r="M599">
        <v>0</v>
      </c>
      <c r="O599">
        <v>200000</v>
      </c>
      <c r="R599" t="s">
        <v>162</v>
      </c>
      <c r="S599">
        <v>4.5463917525773195E-5</v>
      </c>
      <c r="T599">
        <v>6.2437113402061855E-5</v>
      </c>
      <c r="U599" t="s">
        <v>176</v>
      </c>
      <c r="V599">
        <v>1.0608247422680412E-3</v>
      </c>
      <c r="W599">
        <v>3.138707628865979E-2</v>
      </c>
      <c r="X599" t="s">
        <v>177</v>
      </c>
      <c r="Y599">
        <v>1.8832245773195877E-3</v>
      </c>
      <c r="Z599">
        <v>0</v>
      </c>
      <c r="AA599" t="s">
        <v>178</v>
      </c>
      <c r="AB599">
        <v>3.7664491546391754E-3</v>
      </c>
      <c r="AC599">
        <v>3.7036750020618556E-2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Q599" t="s">
        <v>262</v>
      </c>
      <c r="AR599" t="s">
        <v>263</v>
      </c>
      <c r="AS599">
        <v>3.0309278350515462E-2</v>
      </c>
    </row>
    <row r="600" spans="1:45" x14ac:dyDescent="0.15">
      <c r="A600" s="4" t="str">
        <f>HYPERLINK("https://ibp.a2mac1.com/costing(costing:projects/details/9760/material/8755201)","PP-TD20")</f>
        <v>PP-TD20</v>
      </c>
      <c r="B600">
        <v>8755201</v>
      </c>
      <c r="C600">
        <v>12085494</v>
      </c>
      <c r="E600">
        <v>1.1148100000000001</v>
      </c>
      <c r="F600" t="s">
        <v>4372</v>
      </c>
      <c r="G600">
        <v>97</v>
      </c>
      <c r="H600" t="s">
        <v>5327</v>
      </c>
      <c r="I600">
        <v>5</v>
      </c>
      <c r="J600">
        <v>0.20557651238448796</v>
      </c>
      <c r="K600">
        <v>0</v>
      </c>
      <c r="M600">
        <v>0</v>
      </c>
      <c r="O600">
        <v>200000</v>
      </c>
      <c r="R600" t="s">
        <v>162</v>
      </c>
      <c r="S600">
        <v>5.3441922680412372E-5</v>
      </c>
      <c r="T600">
        <v>7.3393573814432988E-5</v>
      </c>
      <c r="U600" t="s">
        <v>176</v>
      </c>
      <c r="V600">
        <v>1.2469781958762886E-3</v>
      </c>
      <c r="W600">
        <v>3.6894878300618557E-2</v>
      </c>
      <c r="X600" t="s">
        <v>90</v>
      </c>
      <c r="Y600">
        <v>0</v>
      </c>
      <c r="Z600">
        <v>0</v>
      </c>
      <c r="AA600" t="s">
        <v>90</v>
      </c>
      <c r="AB600">
        <v>0</v>
      </c>
      <c r="AC600">
        <v>3.6894878300618557E-2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Q600" t="s">
        <v>262</v>
      </c>
      <c r="AR600" t="s">
        <v>263</v>
      </c>
      <c r="AS600">
        <v>3.5627948453608248E-2</v>
      </c>
    </row>
    <row r="601" spans="1:45" x14ac:dyDescent="0.15">
      <c r="A601" s="4" t="str">
        <f>HYPERLINK("https://ibp.a2mac1.com/costing(costing:projects/details/9760/material/8755202)","Standard Structural Steel sheet")</f>
        <v>Standard Structural Steel sheet</v>
      </c>
      <c r="B601">
        <v>8755202</v>
      </c>
      <c r="C601">
        <v>12085496</v>
      </c>
      <c r="E601">
        <v>0.61129999999999995</v>
      </c>
      <c r="F601" t="s">
        <v>5345</v>
      </c>
      <c r="G601">
        <v>80</v>
      </c>
      <c r="H601" t="s">
        <v>5346</v>
      </c>
      <c r="I601">
        <v>30</v>
      </c>
      <c r="J601">
        <v>1.9999600007999841E-3</v>
      </c>
      <c r="K601">
        <v>0</v>
      </c>
      <c r="M601">
        <v>0</v>
      </c>
      <c r="O601">
        <v>200000</v>
      </c>
      <c r="R601" t="s">
        <v>162</v>
      </c>
      <c r="S601">
        <v>9.3528900000000009E-3</v>
      </c>
      <c r="T601">
        <v>3.11763E-6</v>
      </c>
      <c r="U601" t="s">
        <v>176</v>
      </c>
      <c r="V601">
        <v>5.4558525000000004E-3</v>
      </c>
      <c r="W601">
        <v>0.15198758012999999</v>
      </c>
      <c r="X601" t="s">
        <v>90</v>
      </c>
      <c r="Y601">
        <v>0</v>
      </c>
      <c r="Z601">
        <v>0</v>
      </c>
      <c r="AA601" t="s">
        <v>90</v>
      </c>
      <c r="AB601">
        <v>0</v>
      </c>
      <c r="AC601">
        <v>0.15198758012999999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Q601" t="s">
        <v>262</v>
      </c>
      <c r="AR601" t="s">
        <v>263</v>
      </c>
      <c r="AS601">
        <v>0.15588150000000001</v>
      </c>
    </row>
    <row r="602" spans="1:45" x14ac:dyDescent="0.15">
      <c r="A602" s="4" t="str">
        <f>HYPERLINK("https://ibp.a2mac1.com/costing(costing:projects/details/9760/material/8755203)","Standard Structural Steel sheet")</f>
        <v>Standard Structural Steel sheet</v>
      </c>
      <c r="B602">
        <v>8755203</v>
      </c>
      <c r="C602">
        <v>12085497</v>
      </c>
      <c r="E602">
        <v>0.61129999999999995</v>
      </c>
      <c r="F602" t="s">
        <v>5160</v>
      </c>
      <c r="G602">
        <v>80</v>
      </c>
      <c r="H602" t="s">
        <v>5351</v>
      </c>
      <c r="I602">
        <v>30</v>
      </c>
      <c r="J602">
        <v>1.9999600007999841E-3</v>
      </c>
      <c r="K602">
        <v>0</v>
      </c>
      <c r="M602">
        <v>0</v>
      </c>
      <c r="O602">
        <v>200000</v>
      </c>
      <c r="R602" t="s">
        <v>162</v>
      </c>
      <c r="S602">
        <v>4.4930550000000001E-3</v>
      </c>
      <c r="T602">
        <v>1.4976850000000001E-6</v>
      </c>
      <c r="U602" t="s">
        <v>176</v>
      </c>
      <c r="V602">
        <v>2.6209487500000002E-3</v>
      </c>
      <c r="W602">
        <v>7.3013641434999998E-2</v>
      </c>
      <c r="X602" t="s">
        <v>90</v>
      </c>
      <c r="Y602">
        <v>0</v>
      </c>
      <c r="Z602">
        <v>0</v>
      </c>
      <c r="AA602" t="s">
        <v>90</v>
      </c>
      <c r="AB602">
        <v>0</v>
      </c>
      <c r="AC602">
        <v>7.3013641434999998E-2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Q602" t="s">
        <v>262</v>
      </c>
      <c r="AR602" t="s">
        <v>263</v>
      </c>
      <c r="AS602">
        <v>7.4884249999999999E-2</v>
      </c>
    </row>
    <row r="603" spans="1:45" x14ac:dyDescent="0.15">
      <c r="A603" s="4" t="str">
        <f>HYPERLINK("https://ibp.a2mac1.com/costing(costing:projects/details/9760/material/8755204)","Standard Structural Steel sheet")</f>
        <v>Standard Structural Steel sheet</v>
      </c>
      <c r="B603">
        <v>8755204</v>
      </c>
      <c r="C603">
        <v>12085498</v>
      </c>
      <c r="E603">
        <v>0.61129999999999995</v>
      </c>
      <c r="F603" t="s">
        <v>5345</v>
      </c>
      <c r="G603">
        <v>80</v>
      </c>
      <c r="H603" t="s">
        <v>5346</v>
      </c>
      <c r="I603">
        <v>30</v>
      </c>
      <c r="J603">
        <v>1.9999600007999841E-3</v>
      </c>
      <c r="K603">
        <v>0</v>
      </c>
      <c r="M603">
        <v>0</v>
      </c>
      <c r="O603">
        <v>200000</v>
      </c>
      <c r="R603" t="s">
        <v>162</v>
      </c>
      <c r="S603">
        <v>9.3528900000000009E-3</v>
      </c>
      <c r="T603">
        <v>3.11763E-6</v>
      </c>
      <c r="U603" t="s">
        <v>176</v>
      </c>
      <c r="V603">
        <v>5.4558525000000004E-3</v>
      </c>
      <c r="W603">
        <v>0.15198758012999999</v>
      </c>
      <c r="X603" t="s">
        <v>90</v>
      </c>
      <c r="Y603">
        <v>0</v>
      </c>
      <c r="Z603">
        <v>0</v>
      </c>
      <c r="AA603" t="s">
        <v>90</v>
      </c>
      <c r="AB603">
        <v>0</v>
      </c>
      <c r="AC603">
        <v>0.15198758012999999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Q603" t="s">
        <v>262</v>
      </c>
      <c r="AR603" t="s">
        <v>263</v>
      </c>
      <c r="AS603">
        <v>0.15588150000000001</v>
      </c>
    </row>
    <row r="604" spans="1:45" x14ac:dyDescent="0.15">
      <c r="A604" s="4" t="str">
        <f>HYPERLINK("https://ibp.a2mac1.com/costing(costing:projects/details/9760/material/8755223)","Standard Structural Steel sheet")</f>
        <v>Standard Structural Steel sheet</v>
      </c>
      <c r="B604">
        <v>8755223</v>
      </c>
      <c r="C604">
        <v>12085499</v>
      </c>
      <c r="E604">
        <v>0.61129999999999995</v>
      </c>
      <c r="F604" t="s">
        <v>5160</v>
      </c>
      <c r="G604">
        <v>80</v>
      </c>
      <c r="H604" t="s">
        <v>5351</v>
      </c>
      <c r="I604">
        <v>30</v>
      </c>
      <c r="J604">
        <v>1.9999600007999841E-3</v>
      </c>
      <c r="K604">
        <v>0</v>
      </c>
      <c r="M604">
        <v>0</v>
      </c>
      <c r="O604">
        <v>200000</v>
      </c>
      <c r="R604" t="s">
        <v>162</v>
      </c>
      <c r="S604">
        <v>4.4930550000000001E-3</v>
      </c>
      <c r="T604">
        <v>1.4976850000000001E-6</v>
      </c>
      <c r="U604" t="s">
        <v>176</v>
      </c>
      <c r="V604">
        <v>2.6209487500000002E-3</v>
      </c>
      <c r="W604">
        <v>7.3013641434999998E-2</v>
      </c>
      <c r="X604" t="s">
        <v>90</v>
      </c>
      <c r="Y604">
        <v>0</v>
      </c>
      <c r="Z604">
        <v>0</v>
      </c>
      <c r="AA604" t="s">
        <v>90</v>
      </c>
      <c r="AB604">
        <v>0</v>
      </c>
      <c r="AC604">
        <v>7.3013641434999998E-2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Q604" t="s">
        <v>262</v>
      </c>
      <c r="AR604" t="s">
        <v>263</v>
      </c>
      <c r="AS604">
        <v>7.4884249999999999E-2</v>
      </c>
    </row>
    <row r="605" spans="1:45" x14ac:dyDescent="0.15">
      <c r="A605" s="4" t="str">
        <f>HYPERLINK("https://ibp.a2mac1.com/costing(costing:projects/details/9760/material/8754789)","PE")</f>
        <v>PE</v>
      </c>
      <c r="B605">
        <v>8754789</v>
      </c>
      <c r="C605">
        <v>12085211</v>
      </c>
      <c r="E605">
        <v>1.2665</v>
      </c>
      <c r="F605" t="s">
        <v>5087</v>
      </c>
      <c r="G605">
        <v>95</v>
      </c>
      <c r="H605" t="s">
        <v>5088</v>
      </c>
      <c r="I605">
        <v>5</v>
      </c>
      <c r="J605">
        <v>0.50345253019720215</v>
      </c>
      <c r="K605">
        <v>0</v>
      </c>
      <c r="L605">
        <v>0</v>
      </c>
      <c r="M605">
        <v>0</v>
      </c>
      <c r="O605">
        <v>200000</v>
      </c>
      <c r="R605" t="s">
        <v>162</v>
      </c>
      <c r="S605">
        <v>1.1331842105263158E-4</v>
      </c>
      <c r="T605">
        <v>2.2935648421052631E-4</v>
      </c>
      <c r="U605" t="s">
        <v>176</v>
      </c>
      <c r="V605">
        <v>1.586457894736842E-3</v>
      </c>
      <c r="W605">
        <v>4.7029864378947371E-2</v>
      </c>
      <c r="X605" t="s">
        <v>177</v>
      </c>
      <c r="Y605">
        <v>2.8217918627368422E-3</v>
      </c>
      <c r="Z605">
        <v>0</v>
      </c>
      <c r="AA605" t="s">
        <v>178</v>
      </c>
      <c r="AB605">
        <v>5.6435837254736844E-3</v>
      </c>
      <c r="AC605">
        <v>5.5495239967157897E-2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P605" t="s">
        <v>5367</v>
      </c>
      <c r="AQ605" t="s">
        <v>262</v>
      </c>
      <c r="AR605" t="s">
        <v>263</v>
      </c>
      <c r="AS605">
        <v>4.532736842105263E-2</v>
      </c>
    </row>
    <row r="606" spans="1:45" x14ac:dyDescent="0.15">
      <c r="A606" s="4" t="str">
        <f>HYPERLINK("https://ibp.a2mac1.com/costing(costing:projects/details/9760/material/8755224)","EPDM")</f>
        <v>EPDM</v>
      </c>
      <c r="B606">
        <v>8755224</v>
      </c>
      <c r="C606">
        <v>12085501</v>
      </c>
      <c r="E606">
        <v>2.78701</v>
      </c>
      <c r="F606" t="s">
        <v>5376</v>
      </c>
      <c r="G606">
        <v>95</v>
      </c>
      <c r="H606" t="s">
        <v>5377</v>
      </c>
      <c r="I606">
        <v>5</v>
      </c>
      <c r="J606">
        <v>0.20557651238448796</v>
      </c>
      <c r="K606">
        <v>0</v>
      </c>
      <c r="L606">
        <v>0</v>
      </c>
      <c r="M606">
        <v>0</v>
      </c>
      <c r="O606">
        <v>200000</v>
      </c>
      <c r="R606" t="s">
        <v>162</v>
      </c>
      <c r="S606">
        <v>9.1677960526315785E-3</v>
      </c>
      <c r="T606">
        <v>7.554263947368421E-3</v>
      </c>
      <c r="U606" t="s">
        <v>176</v>
      </c>
      <c r="V606">
        <v>0.12834914473684211</v>
      </c>
      <c r="W606">
        <v>3.7938540336842106</v>
      </c>
      <c r="X606" t="s">
        <v>177</v>
      </c>
      <c r="Y606">
        <v>0.22763124202105264</v>
      </c>
      <c r="Z606">
        <v>0</v>
      </c>
      <c r="AA606" t="s">
        <v>178</v>
      </c>
      <c r="AB606">
        <v>0.45526248404210529</v>
      </c>
      <c r="AC606">
        <v>4.4767477597473686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P606" t="s">
        <v>5378</v>
      </c>
      <c r="AQ606" t="s">
        <v>262</v>
      </c>
      <c r="AR606" t="s">
        <v>263</v>
      </c>
      <c r="AS606">
        <v>3.6671184210526317</v>
      </c>
    </row>
    <row r="607" spans="1:45" x14ac:dyDescent="0.15">
      <c r="A607" s="4" t="str">
        <f>HYPERLINK("https://ibp.a2mac1.com/costing(costing:projects/details/9760/material/8755225)","Standard Structural Steel sheet")</f>
        <v>Standard Structural Steel sheet</v>
      </c>
      <c r="B607">
        <v>8755225</v>
      </c>
      <c r="C607">
        <v>12085501</v>
      </c>
      <c r="E607">
        <v>0.61129999999999995</v>
      </c>
      <c r="F607" t="s">
        <v>5380</v>
      </c>
      <c r="G607">
        <v>95</v>
      </c>
      <c r="H607" t="s">
        <v>5381</v>
      </c>
      <c r="I607">
        <v>30</v>
      </c>
      <c r="J607">
        <v>0.20557651238448796</v>
      </c>
      <c r="K607">
        <v>0</v>
      </c>
      <c r="L607">
        <v>0</v>
      </c>
      <c r="M607">
        <v>0</v>
      </c>
      <c r="O607">
        <v>200000</v>
      </c>
      <c r="R607" t="s">
        <v>162</v>
      </c>
      <c r="S607">
        <v>2.4130263157894735E-3</v>
      </c>
      <c r="T607">
        <v>3.3138894736842108E-4</v>
      </c>
      <c r="U607" t="s">
        <v>176</v>
      </c>
      <c r="V607">
        <v>5.6303947368421051E-3</v>
      </c>
      <c r="W607">
        <v>0.16441717842105263</v>
      </c>
      <c r="X607" t="s">
        <v>177</v>
      </c>
      <c r="Y607">
        <v>9.8650307052631572E-3</v>
      </c>
      <c r="Z607">
        <v>0</v>
      </c>
      <c r="AA607" t="s">
        <v>178</v>
      </c>
      <c r="AB607">
        <v>1.9730061410526314E-2</v>
      </c>
      <c r="AC607">
        <v>0.19401227053684211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Q607" t="s">
        <v>262</v>
      </c>
      <c r="AR607" t="s">
        <v>263</v>
      </c>
      <c r="AS607">
        <v>0.16086842105263158</v>
      </c>
    </row>
    <row r="608" spans="1:45" x14ac:dyDescent="0.15">
      <c r="A608" s="4" t="str">
        <f>HYPERLINK("https://ibp.a2mac1.com/costing(costing:projects/details/9760/material/8755226)","EPDM")</f>
        <v>EPDM</v>
      </c>
      <c r="B608">
        <v>8755226</v>
      </c>
      <c r="C608">
        <v>12085502</v>
      </c>
      <c r="E608">
        <v>2.78701</v>
      </c>
      <c r="F608" t="s">
        <v>5387</v>
      </c>
      <c r="G608">
        <v>95</v>
      </c>
      <c r="H608" t="s">
        <v>5388</v>
      </c>
      <c r="I608">
        <v>5</v>
      </c>
      <c r="J608">
        <v>0.10389195236953569</v>
      </c>
      <c r="K608">
        <v>0</v>
      </c>
      <c r="L608">
        <v>0</v>
      </c>
      <c r="M608">
        <v>0</v>
      </c>
      <c r="O608">
        <v>200000</v>
      </c>
      <c r="R608" t="s">
        <v>162</v>
      </c>
      <c r="S608">
        <v>1.7235456578947369E-3</v>
      </c>
      <c r="T608">
        <v>7.1699499368421053E-4</v>
      </c>
      <c r="U608" t="s">
        <v>176</v>
      </c>
      <c r="V608">
        <v>2.4129639210526316E-2</v>
      </c>
      <c r="W608">
        <v>0.71254135170421051</v>
      </c>
      <c r="X608" t="s">
        <v>177</v>
      </c>
      <c r="Y608">
        <v>4.2752481102252632E-2</v>
      </c>
      <c r="Z608">
        <v>0</v>
      </c>
      <c r="AA608" t="s">
        <v>178</v>
      </c>
      <c r="AB608">
        <v>8.5504962204505264E-2</v>
      </c>
      <c r="AC608">
        <v>0.84079879501096844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P608" t="s">
        <v>5378</v>
      </c>
      <c r="AQ608" t="s">
        <v>262</v>
      </c>
      <c r="AR608" t="s">
        <v>263</v>
      </c>
      <c r="AS608">
        <v>0.68941826315789478</v>
      </c>
    </row>
    <row r="609" spans="1:45" x14ac:dyDescent="0.15">
      <c r="A609" s="4" t="str">
        <f>HYPERLINK("https://ibp.a2mac1.com/costing(costing:projects/details/9760/material/8754790)","EPDM")</f>
        <v>EPDM</v>
      </c>
      <c r="B609">
        <v>8754790</v>
      </c>
      <c r="C609">
        <v>12085212</v>
      </c>
      <c r="E609">
        <v>2.78701</v>
      </c>
      <c r="F609" t="s">
        <v>5394</v>
      </c>
      <c r="G609">
        <v>95</v>
      </c>
      <c r="H609" t="s">
        <v>5395</v>
      </c>
      <c r="I609">
        <v>5</v>
      </c>
      <c r="J609">
        <v>0.10389195236953569</v>
      </c>
      <c r="K609">
        <v>0</v>
      </c>
      <c r="L609">
        <v>0</v>
      </c>
      <c r="M609">
        <v>0</v>
      </c>
      <c r="O609">
        <v>200000</v>
      </c>
      <c r="R609" t="s">
        <v>162</v>
      </c>
      <c r="S609">
        <v>2.5669828947368421E-3</v>
      </c>
      <c r="T609">
        <v>1.0678648842105264E-3</v>
      </c>
      <c r="U609" t="s">
        <v>176</v>
      </c>
      <c r="V609">
        <v>3.5937760526315789E-2</v>
      </c>
      <c r="W609">
        <v>1.0612318004105263</v>
      </c>
      <c r="X609" t="s">
        <v>177</v>
      </c>
      <c r="Y609">
        <v>6.3673908024631576E-2</v>
      </c>
      <c r="Z609">
        <v>0</v>
      </c>
      <c r="AA609" t="s">
        <v>178</v>
      </c>
      <c r="AB609">
        <v>0.12734781604926315</v>
      </c>
      <c r="AC609">
        <v>1.2522535244844211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P609" t="s">
        <v>5378</v>
      </c>
      <c r="AQ609" t="s">
        <v>262</v>
      </c>
      <c r="AR609" t="s">
        <v>263</v>
      </c>
      <c r="AS609">
        <v>1.0267931578947369</v>
      </c>
    </row>
    <row r="610" spans="1:45" x14ac:dyDescent="0.15">
      <c r="A610" s="4" t="str">
        <f>HYPERLINK("https://ibp.a2mac1.com/costing(costing:projects/details/9760/material/8754791)","Aluminum for extrusion (default, e.g. EN-AW6016)")</f>
        <v>Aluminum for extrusion (default, e.g. EN-AW6016)</v>
      </c>
      <c r="B610">
        <v>8754791</v>
      </c>
      <c r="C610">
        <v>12085212</v>
      </c>
      <c r="E610">
        <v>2.3603000000000001</v>
      </c>
      <c r="F610" t="s">
        <v>5397</v>
      </c>
      <c r="G610">
        <v>95</v>
      </c>
      <c r="H610" t="s">
        <v>5398</v>
      </c>
      <c r="I610">
        <v>30</v>
      </c>
      <c r="J610">
        <v>0.10389195236953569</v>
      </c>
      <c r="K610">
        <v>0</v>
      </c>
      <c r="L610">
        <v>0</v>
      </c>
      <c r="M610">
        <v>0</v>
      </c>
      <c r="O610">
        <v>200000</v>
      </c>
      <c r="R610" t="s">
        <v>162</v>
      </c>
      <c r="S610">
        <v>8.3852763157894732E-3</v>
      </c>
      <c r="T610">
        <v>5.8137915789473681E-4</v>
      </c>
      <c r="U610" t="s">
        <v>176</v>
      </c>
      <c r="V610">
        <v>1.9565644736842105E-2</v>
      </c>
      <c r="W610">
        <v>0.57078016863157899</v>
      </c>
      <c r="X610" t="s">
        <v>177</v>
      </c>
      <c r="Y610">
        <v>3.4246810117894738E-2</v>
      </c>
      <c r="Z610">
        <v>0</v>
      </c>
      <c r="AA610" t="s">
        <v>178</v>
      </c>
      <c r="AB610">
        <v>6.8493620235789476E-2</v>
      </c>
      <c r="AC610">
        <v>0.67352059898526317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Q610" t="s">
        <v>262</v>
      </c>
      <c r="AR610" t="s">
        <v>263</v>
      </c>
      <c r="AS610">
        <v>0.55901842105263155</v>
      </c>
    </row>
    <row r="611" spans="1:45" x14ac:dyDescent="0.15">
      <c r="A611" s="4" t="str">
        <f>HYPERLINK("https://ibp.a2mac1.com/costing(costing:projects/details/9760/material/8754792)","EPDM")</f>
        <v>EPDM</v>
      </c>
      <c r="B611">
        <v>8754792</v>
      </c>
      <c r="C611">
        <v>12085213</v>
      </c>
      <c r="E611">
        <v>2.78701</v>
      </c>
      <c r="F611" t="s">
        <v>5403</v>
      </c>
      <c r="G611">
        <v>95</v>
      </c>
      <c r="H611" t="s">
        <v>5404</v>
      </c>
      <c r="I611">
        <v>5</v>
      </c>
      <c r="J611">
        <v>0.10389195236953569</v>
      </c>
      <c r="K611">
        <v>0</v>
      </c>
      <c r="L611">
        <v>0</v>
      </c>
      <c r="M611">
        <v>0</v>
      </c>
      <c r="O611">
        <v>200000</v>
      </c>
      <c r="R611" t="s">
        <v>162</v>
      </c>
      <c r="S611">
        <v>1.2834914473684211E-3</v>
      </c>
      <c r="T611">
        <v>5.3393244210526319E-4</v>
      </c>
      <c r="U611" t="s">
        <v>176</v>
      </c>
      <c r="V611">
        <v>1.7968880263157894E-2</v>
      </c>
      <c r="W611">
        <v>0.53061590020526317</v>
      </c>
      <c r="X611" t="s">
        <v>177</v>
      </c>
      <c r="Y611">
        <v>3.1836954012315788E-2</v>
      </c>
      <c r="Z611">
        <v>0</v>
      </c>
      <c r="AA611" t="s">
        <v>178</v>
      </c>
      <c r="AB611">
        <v>6.3673908024631576E-2</v>
      </c>
      <c r="AC611">
        <v>0.62612676224221053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P611" t="s">
        <v>5378</v>
      </c>
      <c r="AQ611" t="s">
        <v>262</v>
      </c>
      <c r="AR611" t="s">
        <v>263</v>
      </c>
      <c r="AS611">
        <v>0.51339657894736845</v>
      </c>
    </row>
    <row r="612" spans="1:45" x14ac:dyDescent="0.15">
      <c r="A612" s="4" t="str">
        <f>HYPERLINK("https://ibp.a2mac1.com/costing(costing:projects/details/9760/material/8754793)","Aluminum for extrusion (default, e.g. EN-AW6016)")</f>
        <v>Aluminum for extrusion (default, e.g. EN-AW6016)</v>
      </c>
      <c r="B612">
        <v>8754793</v>
      </c>
      <c r="C612">
        <v>12085213</v>
      </c>
      <c r="E612">
        <v>2.3603000000000001</v>
      </c>
      <c r="F612" t="s">
        <v>5406</v>
      </c>
      <c r="G612">
        <v>95</v>
      </c>
      <c r="H612" t="s">
        <v>5407</v>
      </c>
      <c r="I612">
        <v>30</v>
      </c>
      <c r="J612">
        <v>0.10389195236953569</v>
      </c>
      <c r="K612">
        <v>0</v>
      </c>
      <c r="L612">
        <v>0</v>
      </c>
      <c r="M612">
        <v>0</v>
      </c>
      <c r="O612">
        <v>200000</v>
      </c>
      <c r="R612" t="s">
        <v>162</v>
      </c>
      <c r="S612">
        <v>3.7267894736842107E-3</v>
      </c>
      <c r="T612">
        <v>2.5839073684210529E-4</v>
      </c>
      <c r="U612" t="s">
        <v>176</v>
      </c>
      <c r="V612">
        <v>8.6958421052631581E-3</v>
      </c>
      <c r="W612">
        <v>0.25368007494736844</v>
      </c>
      <c r="X612" t="s">
        <v>177</v>
      </c>
      <c r="Y612">
        <v>1.5220804496842105E-2</v>
      </c>
      <c r="Z612">
        <v>0</v>
      </c>
      <c r="AA612" t="s">
        <v>178</v>
      </c>
      <c r="AB612">
        <v>3.044160899368421E-2</v>
      </c>
      <c r="AC612">
        <v>0.29934248843789474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Q612" t="s">
        <v>262</v>
      </c>
      <c r="AR612" t="s">
        <v>263</v>
      </c>
      <c r="AS612">
        <v>0.24845263157894737</v>
      </c>
    </row>
    <row r="613" spans="1:45" x14ac:dyDescent="0.15">
      <c r="A613" s="4" t="str">
        <f>HYPERLINK("https://ibp.a2mac1.com/costing(costing:projects/details/9760/material/8754794)","EN AW-Al 99,9Mg1")</f>
        <v>EN AW-Al 99,9Mg1</v>
      </c>
      <c r="B613">
        <v>8754794</v>
      </c>
      <c r="C613">
        <v>12085214</v>
      </c>
      <c r="E613">
        <v>2.30322</v>
      </c>
      <c r="F613" t="s">
        <v>5411</v>
      </c>
      <c r="G613">
        <v>94.429000000000002</v>
      </c>
      <c r="H613" t="s">
        <v>5412</v>
      </c>
      <c r="I613">
        <v>0</v>
      </c>
      <c r="J613">
        <v>0.10389195236953569</v>
      </c>
      <c r="K613">
        <v>0</v>
      </c>
      <c r="M613">
        <v>0</v>
      </c>
      <c r="O613">
        <v>200000</v>
      </c>
      <c r="R613" t="s">
        <v>162</v>
      </c>
      <c r="S613">
        <v>0</v>
      </c>
      <c r="T613">
        <v>2.1054331868387889E-4</v>
      </c>
      <c r="U613" t="s">
        <v>176</v>
      </c>
      <c r="V613">
        <v>7.085592455707463E-3</v>
      </c>
      <c r="W613">
        <v>0.20974163450889027</v>
      </c>
      <c r="X613" t="s">
        <v>177</v>
      </c>
      <c r="Y613">
        <v>1.2584498070533417E-2</v>
      </c>
      <c r="Z613">
        <v>0</v>
      </c>
      <c r="AA613" t="s">
        <v>178</v>
      </c>
      <c r="AB613">
        <v>2.5168996141066834E-2</v>
      </c>
      <c r="AC613">
        <v>0.24749512872049054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Q613" t="s">
        <v>9</v>
      </c>
      <c r="AR613" t="s">
        <v>263</v>
      </c>
      <c r="AS613">
        <v>0.20244549873449894</v>
      </c>
    </row>
    <row r="614" spans="1:45" x14ac:dyDescent="0.15">
      <c r="A614" s="4" t="str">
        <f>HYPERLINK("https://ibp.a2mac1.com/costing(costing:projects/details/9760/material/8755227)","Glass (default, float glass) adjusted (part)")</f>
        <v>Glass (default, float glass) adjusted (part)</v>
      </c>
      <c r="B614">
        <v>8755227</v>
      </c>
      <c r="C614">
        <v>12085503</v>
      </c>
      <c r="E614">
        <v>14.153359999999999</v>
      </c>
      <c r="F614" t="s">
        <v>478</v>
      </c>
      <c r="G614">
        <v>100</v>
      </c>
      <c r="H614" t="s">
        <v>479</v>
      </c>
      <c r="I614">
        <v>0</v>
      </c>
      <c r="J614">
        <v>0.50345253019720215</v>
      </c>
      <c r="K614">
        <v>0</v>
      </c>
      <c r="L614">
        <v>0</v>
      </c>
      <c r="M614">
        <v>0</v>
      </c>
      <c r="O614">
        <v>200000</v>
      </c>
      <c r="R614" t="s">
        <v>162</v>
      </c>
      <c r="S614">
        <v>0</v>
      </c>
      <c r="T614">
        <v>7.1616001600000007E-2</v>
      </c>
      <c r="U614" t="s">
        <v>176</v>
      </c>
      <c r="V614">
        <v>0.49536760000000002</v>
      </c>
      <c r="W614">
        <v>14.7203436016</v>
      </c>
      <c r="X614" t="s">
        <v>177</v>
      </c>
      <c r="Y614">
        <v>0.883220616096</v>
      </c>
      <c r="Z614">
        <v>0</v>
      </c>
      <c r="AA614" t="s">
        <v>178</v>
      </c>
      <c r="AB614">
        <v>1.766441232192</v>
      </c>
      <c r="AC614">
        <v>17.370005449888001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Q614" t="s">
        <v>262</v>
      </c>
      <c r="AR614" t="s">
        <v>263</v>
      </c>
      <c r="AS614">
        <v>14.153359999999999</v>
      </c>
    </row>
    <row r="615" spans="1:45" x14ac:dyDescent="0.15">
      <c r="A615" s="4" t="str">
        <f>HYPERLINK("https://ibp.a2mac1.com/costing(costing:projects/details/9760/material/8755228)","ABS-PC")</f>
        <v>ABS-PC</v>
      </c>
      <c r="B615">
        <v>8755228</v>
      </c>
      <c r="C615">
        <v>12085504</v>
      </c>
      <c r="E615">
        <v>2.29312</v>
      </c>
      <c r="F615" t="s">
        <v>5174</v>
      </c>
      <c r="G615">
        <v>95</v>
      </c>
      <c r="H615" t="s">
        <v>5175</v>
      </c>
      <c r="I615">
        <v>5</v>
      </c>
      <c r="J615">
        <v>0.50345253019720215</v>
      </c>
      <c r="K615">
        <v>0</v>
      </c>
      <c r="L615">
        <v>0</v>
      </c>
      <c r="M615">
        <v>0</v>
      </c>
      <c r="O615">
        <v>200000</v>
      </c>
      <c r="R615" t="s">
        <v>162</v>
      </c>
      <c r="S615">
        <v>7.8448842105263158E-5</v>
      </c>
      <c r="T615">
        <v>1.5878045642105264E-4</v>
      </c>
      <c r="U615" t="s">
        <v>176</v>
      </c>
      <c r="V615">
        <v>1.0982837894736842E-3</v>
      </c>
      <c r="W615">
        <v>3.2558152245894735E-2</v>
      </c>
      <c r="X615" t="s">
        <v>177</v>
      </c>
      <c r="Y615">
        <v>1.953489134753684E-3</v>
      </c>
      <c r="Z615">
        <v>0</v>
      </c>
      <c r="AA615" t="s">
        <v>178</v>
      </c>
      <c r="AB615">
        <v>3.906978269507368E-3</v>
      </c>
      <c r="AC615">
        <v>3.8418619650155791E-2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P615" t="s">
        <v>5141</v>
      </c>
      <c r="AQ615" t="s">
        <v>262</v>
      </c>
      <c r="AR615" t="s">
        <v>263</v>
      </c>
      <c r="AS615">
        <v>3.137953684210526E-2</v>
      </c>
    </row>
    <row r="616" spans="1:45" x14ac:dyDescent="0.15">
      <c r="A616" s="4" t="str">
        <f>HYPERLINK("https://ibp.a2mac1.com/costing(costing:projects/details/9760/material/8755229)","PA6-GF30")</f>
        <v>PA6-GF30</v>
      </c>
      <c r="B616">
        <v>8755229</v>
      </c>
      <c r="C616">
        <v>12085505</v>
      </c>
      <c r="E616">
        <v>2.1428600000000002</v>
      </c>
      <c r="F616" t="s">
        <v>5436</v>
      </c>
      <c r="G616">
        <v>97</v>
      </c>
      <c r="H616" t="s">
        <v>5437</v>
      </c>
      <c r="I616">
        <v>5</v>
      </c>
      <c r="J616">
        <v>0.10389195236953569</v>
      </c>
      <c r="K616">
        <v>0</v>
      </c>
      <c r="M616">
        <v>0</v>
      </c>
      <c r="O616">
        <v>200000</v>
      </c>
      <c r="R616" t="s">
        <v>162</v>
      </c>
      <c r="S616">
        <v>2.2533167010309278E-4</v>
      </c>
      <c r="T616">
        <v>1.5622995793814433E-4</v>
      </c>
      <c r="U616" t="s">
        <v>176</v>
      </c>
      <c r="V616">
        <v>5.257738969072165E-3</v>
      </c>
      <c r="W616">
        <v>0.15540975065896906</v>
      </c>
      <c r="X616" t="s">
        <v>177</v>
      </c>
      <c r="Y616">
        <v>9.3245850395381451E-3</v>
      </c>
      <c r="Z616">
        <v>0</v>
      </c>
      <c r="AA616" t="s">
        <v>178</v>
      </c>
      <c r="AB616">
        <v>1.864917007907629E-2</v>
      </c>
      <c r="AC616">
        <v>0.1833835057775835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Q616" t="s">
        <v>262</v>
      </c>
      <c r="AR616" t="s">
        <v>263</v>
      </c>
      <c r="AS616">
        <v>0.15022111340206185</v>
      </c>
    </row>
    <row r="617" spans="1:45" x14ac:dyDescent="0.15">
      <c r="A617" s="4" t="str">
        <f>HYPERLINK("https://ibp.a2mac1.com/costing(costing:projects/details/9760/material/8755230)","Standard Structural Steel sheet")</f>
        <v>Standard Structural Steel sheet</v>
      </c>
      <c r="B617">
        <v>8755230</v>
      </c>
      <c r="C617">
        <v>12085506</v>
      </c>
      <c r="E617">
        <v>0.61129999999999995</v>
      </c>
      <c r="F617" t="s">
        <v>5443</v>
      </c>
      <c r="G617">
        <v>100</v>
      </c>
      <c r="H617" t="s">
        <v>5444</v>
      </c>
      <c r="I617">
        <v>30</v>
      </c>
      <c r="J617">
        <v>0.20557651238448796</v>
      </c>
      <c r="K617">
        <v>0</v>
      </c>
      <c r="L617">
        <v>0</v>
      </c>
      <c r="M617">
        <v>0</v>
      </c>
      <c r="O617">
        <v>200000</v>
      </c>
      <c r="R617" t="s">
        <v>162</v>
      </c>
      <c r="S617">
        <v>0</v>
      </c>
      <c r="T617">
        <v>2.518556E-6</v>
      </c>
      <c r="U617" t="s">
        <v>176</v>
      </c>
      <c r="V617">
        <v>4.2790999999999997E-5</v>
      </c>
      <c r="W617">
        <v>1.267909556E-3</v>
      </c>
      <c r="X617" t="s">
        <v>177</v>
      </c>
      <c r="Y617">
        <v>7.6074573359999998E-5</v>
      </c>
      <c r="Z617">
        <v>0</v>
      </c>
      <c r="AA617" t="s">
        <v>178</v>
      </c>
      <c r="AB617">
        <v>1.5214914672E-4</v>
      </c>
      <c r="AC617">
        <v>1.49613327608E-3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Q617" t="s">
        <v>262</v>
      </c>
      <c r="AR617" t="s">
        <v>263</v>
      </c>
      <c r="AS617">
        <v>1.2225999999999999E-3</v>
      </c>
    </row>
    <row r="618" spans="1:45" x14ac:dyDescent="0.15">
      <c r="A618" s="4" t="str">
        <f>HYPERLINK("https://ibp.a2mac1.com/costing(costing:projects/details/9760/material/8755231)","PA6-GF30")</f>
        <v>PA6-GF30</v>
      </c>
      <c r="B618">
        <v>8755231</v>
      </c>
      <c r="C618">
        <v>12085508</v>
      </c>
      <c r="E618">
        <v>2.1428600000000002</v>
      </c>
      <c r="F618" t="s">
        <v>5436</v>
      </c>
      <c r="G618">
        <v>97</v>
      </c>
      <c r="H618" t="s">
        <v>5437</v>
      </c>
      <c r="I618">
        <v>5</v>
      </c>
      <c r="J618">
        <v>0.10389195236953569</v>
      </c>
      <c r="K618">
        <v>0</v>
      </c>
      <c r="M618">
        <v>0</v>
      </c>
      <c r="O618">
        <v>200000</v>
      </c>
      <c r="R618" t="s">
        <v>162</v>
      </c>
      <c r="S618">
        <v>2.2533167010309278E-4</v>
      </c>
      <c r="T618">
        <v>1.5622995793814433E-4</v>
      </c>
      <c r="U618" t="s">
        <v>176</v>
      </c>
      <c r="V618">
        <v>5.257738969072165E-3</v>
      </c>
      <c r="W618">
        <v>0.15540975065896906</v>
      </c>
      <c r="X618" t="s">
        <v>177</v>
      </c>
      <c r="Y618">
        <v>9.3245850395381451E-3</v>
      </c>
      <c r="Z618">
        <v>0</v>
      </c>
      <c r="AA618" t="s">
        <v>178</v>
      </c>
      <c r="AB618">
        <v>1.864917007907629E-2</v>
      </c>
      <c r="AC618">
        <v>0.1833835057775835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Q618" t="s">
        <v>262</v>
      </c>
      <c r="AR618" t="s">
        <v>263</v>
      </c>
      <c r="AS618">
        <v>0.15022111340206185</v>
      </c>
    </row>
    <row r="619" spans="1:45" x14ac:dyDescent="0.15">
      <c r="A619" s="4" t="str">
        <f>HYPERLINK("https://ibp.a2mac1.com/costing(costing:projects/details/9760/material/8755232)","PA6-GF30")</f>
        <v>PA6-GF30</v>
      </c>
      <c r="B619">
        <v>8755232</v>
      </c>
      <c r="C619">
        <v>12085509</v>
      </c>
      <c r="E619">
        <v>2.1428600000000002</v>
      </c>
      <c r="F619" t="s">
        <v>5460</v>
      </c>
      <c r="G619">
        <v>97</v>
      </c>
      <c r="H619" t="s">
        <v>5461</v>
      </c>
      <c r="I619">
        <v>5</v>
      </c>
      <c r="J619">
        <v>0.10389195236953569</v>
      </c>
      <c r="K619">
        <v>0</v>
      </c>
      <c r="M619">
        <v>0</v>
      </c>
      <c r="O619">
        <v>200000</v>
      </c>
      <c r="R619" t="s">
        <v>162</v>
      </c>
      <c r="S619">
        <v>9.2783628865979379E-4</v>
      </c>
      <c r="T619">
        <v>6.4329982680412371E-4</v>
      </c>
      <c r="U619" t="s">
        <v>176</v>
      </c>
      <c r="V619">
        <v>2.1649513402061855E-2</v>
      </c>
      <c r="W619">
        <v>0.63992250271340201</v>
      </c>
      <c r="X619" t="s">
        <v>177</v>
      </c>
      <c r="Y619">
        <v>3.8395350162804126E-2</v>
      </c>
      <c r="Z619">
        <v>0</v>
      </c>
      <c r="AA619" t="s">
        <v>178</v>
      </c>
      <c r="AB619">
        <v>7.6790700325608252E-2</v>
      </c>
      <c r="AC619">
        <v>0.75510855320181447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Q619" t="s">
        <v>262</v>
      </c>
      <c r="AR619" t="s">
        <v>263</v>
      </c>
      <c r="AS619">
        <v>0.61855752577319589</v>
      </c>
    </row>
    <row r="620" spans="1:45" x14ac:dyDescent="0.15">
      <c r="A620" s="4" t="str">
        <f>HYPERLINK("https://ibp.a2mac1.com/costing(costing:projects/details/9760/material/8755233)","PBT-PC")</f>
        <v>PBT-PC</v>
      </c>
      <c r="B620">
        <v>8755233</v>
      </c>
      <c r="C620">
        <v>12085510</v>
      </c>
      <c r="E620">
        <v>2.6194899999999999</v>
      </c>
      <c r="F620" t="s">
        <v>4454</v>
      </c>
      <c r="G620">
        <v>97</v>
      </c>
      <c r="H620" t="s">
        <v>5466</v>
      </c>
      <c r="I620">
        <v>5</v>
      </c>
      <c r="J620">
        <v>1.1056389564667022</v>
      </c>
      <c r="K620">
        <v>0</v>
      </c>
      <c r="M620">
        <v>0</v>
      </c>
      <c r="O620">
        <v>200000</v>
      </c>
      <c r="R620" t="s">
        <v>162</v>
      </c>
      <c r="S620">
        <v>1.0126894329896907E-4</v>
      </c>
      <c r="T620">
        <v>7.5479119072164951E-4</v>
      </c>
      <c r="U620" t="s">
        <v>176</v>
      </c>
      <c r="V620">
        <v>2.3629420103092784E-3</v>
      </c>
      <c r="W620">
        <v>7.0529093123711334E-2</v>
      </c>
      <c r="X620" t="s">
        <v>177</v>
      </c>
      <c r="Y620">
        <v>4.2317455874226802E-3</v>
      </c>
      <c r="Z620">
        <v>0</v>
      </c>
      <c r="AA620" t="s">
        <v>178</v>
      </c>
      <c r="AB620">
        <v>8.4634911748453605E-3</v>
      </c>
      <c r="AC620">
        <v>8.3224329885979387E-2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Q620" t="s">
        <v>262</v>
      </c>
      <c r="AR620" t="s">
        <v>263</v>
      </c>
      <c r="AS620">
        <v>6.7512628865979377E-2</v>
      </c>
    </row>
    <row r="621" spans="1:45" x14ac:dyDescent="0.15">
      <c r="A621" s="4" t="str">
        <f>HYPERLINK("https://ibp.a2mac1.com/costing(costing:projects/details/9760/material/8755234)","Paint - Base")</f>
        <v>Paint - Base</v>
      </c>
      <c r="B621">
        <v>8755234</v>
      </c>
      <c r="C621">
        <v>12085511</v>
      </c>
      <c r="E621">
        <v>11.26986</v>
      </c>
      <c r="F621" t="s">
        <v>1468</v>
      </c>
      <c r="G621">
        <v>98</v>
      </c>
      <c r="H621" t="s">
        <v>5469</v>
      </c>
      <c r="I621">
        <v>0</v>
      </c>
      <c r="J621">
        <v>1.0057812623742775</v>
      </c>
      <c r="K621">
        <v>0</v>
      </c>
      <c r="L621">
        <v>0</v>
      </c>
      <c r="M621">
        <v>0</v>
      </c>
      <c r="O621">
        <v>200000</v>
      </c>
      <c r="R621" t="s">
        <v>162</v>
      </c>
      <c r="S621">
        <v>0</v>
      </c>
      <c r="T621">
        <v>5.8419274285714286E-4</v>
      </c>
      <c r="U621" t="s">
        <v>176</v>
      </c>
      <c r="V621">
        <v>2.0124750000000001E-3</v>
      </c>
      <c r="W621">
        <v>6.0095953457142859E-2</v>
      </c>
      <c r="X621" t="s">
        <v>177</v>
      </c>
      <c r="Y621">
        <v>3.6057572074285715E-3</v>
      </c>
      <c r="Z621">
        <v>0</v>
      </c>
      <c r="AA621" t="s">
        <v>178</v>
      </c>
      <c r="AB621">
        <v>7.211514414857143E-3</v>
      </c>
      <c r="AC621">
        <v>7.0913225079428571E-2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Q621" t="s">
        <v>9</v>
      </c>
      <c r="AR621" t="s">
        <v>263</v>
      </c>
      <c r="AS621">
        <v>5.7499285714285711E-2</v>
      </c>
    </row>
    <row r="622" spans="1:45" x14ac:dyDescent="0.15">
      <c r="A622" s="4" t="str">
        <f>HYPERLINK("https://ibp.a2mac1.com/costing(costing:projects/details/9760/material/8755235)","Paint - Primer")</f>
        <v>Paint - Primer</v>
      </c>
      <c r="B622">
        <v>8755235</v>
      </c>
      <c r="C622">
        <v>12085511</v>
      </c>
      <c r="E622">
        <v>6.9600299999999997</v>
      </c>
      <c r="F622" t="s">
        <v>1468</v>
      </c>
      <c r="G622">
        <v>95</v>
      </c>
      <c r="H622" t="s">
        <v>1469</v>
      </c>
      <c r="I622">
        <v>0</v>
      </c>
      <c r="J622">
        <v>1.0057812623742775</v>
      </c>
      <c r="K622">
        <v>0</v>
      </c>
      <c r="L622">
        <v>0</v>
      </c>
      <c r="M622">
        <v>0</v>
      </c>
      <c r="O622">
        <v>200000</v>
      </c>
      <c r="R622" t="s">
        <v>162</v>
      </c>
      <c r="S622">
        <v>0</v>
      </c>
      <c r="T622">
        <v>3.7217844631578947E-4</v>
      </c>
      <c r="U622" t="s">
        <v>176</v>
      </c>
      <c r="V622">
        <v>1.2821107894736843E-3</v>
      </c>
      <c r="W622">
        <v>3.828602607789474E-2</v>
      </c>
      <c r="X622" t="s">
        <v>177</v>
      </c>
      <c r="Y622">
        <v>2.2971615646736844E-3</v>
      </c>
      <c r="Z622">
        <v>0</v>
      </c>
      <c r="AA622" t="s">
        <v>178</v>
      </c>
      <c r="AB622">
        <v>4.5943231293473687E-3</v>
      </c>
      <c r="AC622">
        <v>4.5177510771915792E-2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Q622" t="s">
        <v>9</v>
      </c>
      <c r="AR622" t="s">
        <v>263</v>
      </c>
      <c r="AS622">
        <v>3.6631736842105266E-2</v>
      </c>
    </row>
    <row r="623" spans="1:45" x14ac:dyDescent="0.15">
      <c r="A623" s="4" t="str">
        <f>HYPERLINK("https://ibp.a2mac1.com/costing(costing:projects/details/9760/material/8755236)","Paint - Clear Coat")</f>
        <v>Paint - Clear Coat</v>
      </c>
      <c r="B623">
        <v>8755236</v>
      </c>
      <c r="C623">
        <v>12085511</v>
      </c>
      <c r="E623">
        <v>9.0699199999999998</v>
      </c>
      <c r="F623" t="s">
        <v>1468</v>
      </c>
      <c r="G623">
        <v>98</v>
      </c>
      <c r="H623" t="s">
        <v>5469</v>
      </c>
      <c r="I623">
        <v>0</v>
      </c>
      <c r="J623">
        <v>1.0057812623742775</v>
      </c>
      <c r="K623">
        <v>0</v>
      </c>
      <c r="L623">
        <v>0</v>
      </c>
      <c r="M623">
        <v>0</v>
      </c>
      <c r="O623">
        <v>200000</v>
      </c>
      <c r="R623" t="s">
        <v>162</v>
      </c>
      <c r="S623">
        <v>0</v>
      </c>
      <c r="T623">
        <v>4.7015503673469389E-4</v>
      </c>
      <c r="U623" t="s">
        <v>176</v>
      </c>
      <c r="V623">
        <v>1.6196285714285715E-3</v>
      </c>
      <c r="W623">
        <v>4.8364885648979589E-2</v>
      </c>
      <c r="X623" t="s">
        <v>177</v>
      </c>
      <c r="Y623">
        <v>2.9018931389387754E-3</v>
      </c>
      <c r="Z623">
        <v>0</v>
      </c>
      <c r="AA623" t="s">
        <v>178</v>
      </c>
      <c r="AB623">
        <v>5.8037862778775508E-3</v>
      </c>
      <c r="AC623">
        <v>5.7070565065795921E-2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Q623" t="s">
        <v>9</v>
      </c>
      <c r="AR623" t="s">
        <v>263</v>
      </c>
      <c r="AS623">
        <v>4.6275102040816328E-2</v>
      </c>
    </row>
    <row r="624" spans="1:45" x14ac:dyDescent="0.15">
      <c r="A624" s="4" t="str">
        <f>HYPERLINK("https://ibp.a2mac1.com/costing(costing:projects/details/9760/material/8755240)","PBT-PC")</f>
        <v>PBT-PC</v>
      </c>
      <c r="B624">
        <v>8755240</v>
      </c>
      <c r="C624">
        <v>12085513</v>
      </c>
      <c r="E624">
        <v>2.6194899999999999</v>
      </c>
      <c r="F624" t="s">
        <v>5060</v>
      </c>
      <c r="G624">
        <v>95</v>
      </c>
      <c r="H624" t="s">
        <v>5474</v>
      </c>
      <c r="I624">
        <v>5</v>
      </c>
      <c r="J624">
        <v>1.5030632547327778</v>
      </c>
      <c r="K624">
        <v>0</v>
      </c>
      <c r="L624">
        <v>0</v>
      </c>
      <c r="M624">
        <v>0</v>
      </c>
      <c r="O624">
        <v>200000</v>
      </c>
      <c r="R624" t="s">
        <v>162</v>
      </c>
      <c r="S624">
        <v>3.1020276315789472E-4</v>
      </c>
      <c r="T624">
        <v>1.8934776663157894E-3</v>
      </c>
      <c r="U624" t="s">
        <v>176</v>
      </c>
      <c r="V624">
        <v>4.3428386842105267E-3</v>
      </c>
      <c r="W624">
        <v>0.13000721885052632</v>
      </c>
      <c r="X624" t="s">
        <v>177</v>
      </c>
      <c r="Y624">
        <v>7.8004331310315787E-3</v>
      </c>
      <c r="Z624">
        <v>0</v>
      </c>
      <c r="AA624" t="s">
        <v>178</v>
      </c>
      <c r="AB624">
        <v>1.5600866262063157E-2</v>
      </c>
      <c r="AC624">
        <v>0.15340851824362106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P624" t="s">
        <v>5475</v>
      </c>
      <c r="AQ624" t="s">
        <v>262</v>
      </c>
      <c r="AR624" t="s">
        <v>263</v>
      </c>
      <c r="AS624">
        <v>0.1240811052631579</v>
      </c>
    </row>
    <row r="625" spans="1:45" x14ac:dyDescent="0.15">
      <c r="A625" s="4" t="str">
        <f>HYPERLINK("https://ibp.a2mac1.com/costing(costing:projects/details/9760/material/8755237)","Paint - Base")</f>
        <v>Paint - Base</v>
      </c>
      <c r="B625">
        <v>8755237</v>
      </c>
      <c r="C625">
        <v>12085512</v>
      </c>
      <c r="E625">
        <v>11.26986</v>
      </c>
      <c r="F625" t="s">
        <v>1468</v>
      </c>
      <c r="G625">
        <v>98</v>
      </c>
      <c r="H625" t="s">
        <v>5469</v>
      </c>
      <c r="I625">
        <v>0</v>
      </c>
      <c r="J625">
        <v>1.0057812623742775</v>
      </c>
      <c r="K625">
        <v>0</v>
      </c>
      <c r="L625">
        <v>0</v>
      </c>
      <c r="M625">
        <v>0</v>
      </c>
      <c r="O625">
        <v>200000</v>
      </c>
      <c r="R625" t="s">
        <v>162</v>
      </c>
      <c r="S625">
        <v>0</v>
      </c>
      <c r="T625">
        <v>5.8419274285714286E-4</v>
      </c>
      <c r="U625" t="s">
        <v>176</v>
      </c>
      <c r="V625">
        <v>2.0124750000000001E-3</v>
      </c>
      <c r="W625">
        <v>6.0095953457142859E-2</v>
      </c>
      <c r="X625" t="s">
        <v>177</v>
      </c>
      <c r="Y625">
        <v>3.6057572074285715E-3</v>
      </c>
      <c r="Z625">
        <v>0</v>
      </c>
      <c r="AA625" t="s">
        <v>178</v>
      </c>
      <c r="AB625">
        <v>7.211514414857143E-3</v>
      </c>
      <c r="AC625">
        <v>7.0913225079428571E-2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Q625" t="s">
        <v>9</v>
      </c>
      <c r="AR625" t="s">
        <v>263</v>
      </c>
      <c r="AS625">
        <v>5.7499285714285711E-2</v>
      </c>
    </row>
    <row r="626" spans="1:45" x14ac:dyDescent="0.15">
      <c r="A626" s="4" t="str">
        <f>HYPERLINK("https://ibp.a2mac1.com/costing(costing:projects/details/9760/material/8755238)","Paint - Primer")</f>
        <v>Paint - Primer</v>
      </c>
      <c r="B626">
        <v>8755238</v>
      </c>
      <c r="C626">
        <v>12085512</v>
      </c>
      <c r="E626">
        <v>6.9600299999999997</v>
      </c>
      <c r="F626" t="s">
        <v>1468</v>
      </c>
      <c r="G626">
        <v>95</v>
      </c>
      <c r="H626" t="s">
        <v>1469</v>
      </c>
      <c r="I626">
        <v>0</v>
      </c>
      <c r="J626">
        <v>1.0057812623742775</v>
      </c>
      <c r="K626">
        <v>0</v>
      </c>
      <c r="L626">
        <v>0</v>
      </c>
      <c r="M626">
        <v>0</v>
      </c>
      <c r="O626">
        <v>200000</v>
      </c>
      <c r="R626" t="s">
        <v>162</v>
      </c>
      <c r="S626">
        <v>0</v>
      </c>
      <c r="T626">
        <v>3.7217844631578947E-4</v>
      </c>
      <c r="U626" t="s">
        <v>176</v>
      </c>
      <c r="V626">
        <v>1.2821107894736843E-3</v>
      </c>
      <c r="W626">
        <v>3.828602607789474E-2</v>
      </c>
      <c r="X626" t="s">
        <v>177</v>
      </c>
      <c r="Y626">
        <v>2.2971615646736844E-3</v>
      </c>
      <c r="Z626">
        <v>0</v>
      </c>
      <c r="AA626" t="s">
        <v>178</v>
      </c>
      <c r="AB626">
        <v>4.5943231293473687E-3</v>
      </c>
      <c r="AC626">
        <v>4.5177510771915792E-2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Q626" t="s">
        <v>9</v>
      </c>
      <c r="AR626" t="s">
        <v>263</v>
      </c>
      <c r="AS626">
        <v>3.6631736842105266E-2</v>
      </c>
    </row>
    <row r="627" spans="1:45" x14ac:dyDescent="0.15">
      <c r="A627" s="4" t="str">
        <f>HYPERLINK("https://ibp.a2mac1.com/costing(costing:projects/details/9760/material/8755239)","Paint - Clear Coat")</f>
        <v>Paint - Clear Coat</v>
      </c>
      <c r="B627">
        <v>8755239</v>
      </c>
      <c r="C627">
        <v>12085512</v>
      </c>
      <c r="E627">
        <v>9.0699199999999998</v>
      </c>
      <c r="F627" t="s">
        <v>1468</v>
      </c>
      <c r="G627">
        <v>98</v>
      </c>
      <c r="H627" t="s">
        <v>5469</v>
      </c>
      <c r="I627">
        <v>0</v>
      </c>
      <c r="J627">
        <v>1.0057812623742775</v>
      </c>
      <c r="K627">
        <v>0</v>
      </c>
      <c r="L627">
        <v>0</v>
      </c>
      <c r="M627">
        <v>0</v>
      </c>
      <c r="O627">
        <v>200000</v>
      </c>
      <c r="R627" t="s">
        <v>162</v>
      </c>
      <c r="S627">
        <v>0</v>
      </c>
      <c r="T627">
        <v>4.7015503673469389E-4</v>
      </c>
      <c r="U627" t="s">
        <v>176</v>
      </c>
      <c r="V627">
        <v>1.6196285714285715E-3</v>
      </c>
      <c r="W627">
        <v>4.8364885648979589E-2</v>
      </c>
      <c r="X627" t="s">
        <v>177</v>
      </c>
      <c r="Y627">
        <v>2.9018931389387754E-3</v>
      </c>
      <c r="Z627">
        <v>0</v>
      </c>
      <c r="AA627" t="s">
        <v>178</v>
      </c>
      <c r="AB627">
        <v>5.8037862778775508E-3</v>
      </c>
      <c r="AC627">
        <v>5.7070565065795921E-2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Q627" t="s">
        <v>9</v>
      </c>
      <c r="AR627" t="s">
        <v>263</v>
      </c>
      <c r="AS627">
        <v>4.6275102040816328E-2</v>
      </c>
    </row>
    <row r="628" spans="1:45" x14ac:dyDescent="0.15">
      <c r="A628" s="4" t="str">
        <f>HYPERLINK("https://ibp.a2mac1.com/costing(costing:projects/details/9760/material/8755241)","POM-GF30")</f>
        <v>POM-GF30</v>
      </c>
      <c r="B628">
        <v>8755241</v>
      </c>
      <c r="C628">
        <v>12085514</v>
      </c>
      <c r="E628">
        <v>2.4839199999999999</v>
      </c>
      <c r="F628" t="s">
        <v>4449</v>
      </c>
      <c r="G628">
        <v>97</v>
      </c>
      <c r="H628" t="s">
        <v>5300</v>
      </c>
      <c r="I628">
        <v>5</v>
      </c>
      <c r="J628">
        <v>0.10389195236953569</v>
      </c>
      <c r="K628">
        <v>0</v>
      </c>
      <c r="M628">
        <v>0</v>
      </c>
      <c r="O628">
        <v>200000</v>
      </c>
      <c r="R628" t="s">
        <v>162</v>
      </c>
      <c r="S628">
        <v>8.450449484536083E-5</v>
      </c>
      <c r="T628">
        <v>5.8589783092783507E-5</v>
      </c>
      <c r="U628" t="s">
        <v>176</v>
      </c>
      <c r="V628">
        <v>1.9717715463917528E-3</v>
      </c>
      <c r="W628">
        <v>5.8282186731546393E-2</v>
      </c>
      <c r="X628" t="s">
        <v>177</v>
      </c>
      <c r="Y628">
        <v>3.4969312038927833E-3</v>
      </c>
      <c r="Z628">
        <v>0</v>
      </c>
      <c r="AA628" t="s">
        <v>178</v>
      </c>
      <c r="AB628">
        <v>6.9938624077855666E-3</v>
      </c>
      <c r="AC628">
        <v>6.8772980343224738E-2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Q628" t="s">
        <v>262</v>
      </c>
      <c r="AR628" t="s">
        <v>263</v>
      </c>
      <c r="AS628">
        <v>5.633632989690722E-2</v>
      </c>
    </row>
    <row r="629" spans="1:45" x14ac:dyDescent="0.15">
      <c r="A629" s="4" t="str">
        <f>HYPERLINK("https://ibp.a2mac1.com/costing(costing:projects/details/9760/material/8754795)","Standard Structural Steel sheet")</f>
        <v>Standard Structural Steel sheet</v>
      </c>
      <c r="B629">
        <v>8754795</v>
      </c>
      <c r="C629">
        <v>12085217</v>
      </c>
      <c r="E629">
        <v>0.61129999999999995</v>
      </c>
      <c r="F629" t="s">
        <v>5490</v>
      </c>
      <c r="G629">
        <v>70</v>
      </c>
      <c r="H629" t="s">
        <v>5491</v>
      </c>
      <c r="I629">
        <v>30</v>
      </c>
      <c r="J629">
        <v>0.70499453877469964</v>
      </c>
      <c r="K629">
        <v>0</v>
      </c>
      <c r="L629">
        <v>0</v>
      </c>
      <c r="M629">
        <v>0</v>
      </c>
      <c r="O629">
        <v>200000</v>
      </c>
      <c r="R629" t="s">
        <v>162</v>
      </c>
      <c r="S629">
        <v>7.3879971428571431E-3</v>
      </c>
      <c r="T629">
        <v>5.8283088571428566E-4</v>
      </c>
      <c r="U629" t="s">
        <v>176</v>
      </c>
      <c r="V629">
        <v>2.8731099999999999E-3</v>
      </c>
      <c r="W629">
        <v>7.8156800885714292E-2</v>
      </c>
      <c r="X629" t="s">
        <v>177</v>
      </c>
      <c r="Y629">
        <v>4.6894080531428572E-3</v>
      </c>
      <c r="Z629">
        <v>0</v>
      </c>
      <c r="AA629" t="s">
        <v>178</v>
      </c>
      <c r="AB629">
        <v>9.3788161062857145E-3</v>
      </c>
      <c r="AC629">
        <v>9.2225025045142864E-2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Q629" t="s">
        <v>262</v>
      </c>
      <c r="AR629" t="s">
        <v>263</v>
      </c>
      <c r="AS629">
        <v>8.2088857142857144E-2</v>
      </c>
    </row>
    <row r="630" spans="1:45" x14ac:dyDescent="0.15">
      <c r="A630" s="4" t="str">
        <f>HYPERLINK("https://ibp.a2mac1.com/costing(costing:projects/details/9760/material/8754796)","PP-EPDM")</f>
        <v>PP-EPDM</v>
      </c>
      <c r="B630">
        <v>8754796</v>
      </c>
      <c r="C630">
        <v>12085219</v>
      </c>
      <c r="E630">
        <v>1.7894600000000001</v>
      </c>
      <c r="F630" t="s">
        <v>5443</v>
      </c>
      <c r="G630">
        <v>95</v>
      </c>
      <c r="H630" t="s">
        <v>5499</v>
      </c>
      <c r="I630">
        <v>5</v>
      </c>
      <c r="J630">
        <v>0.50345253019720215</v>
      </c>
      <c r="K630">
        <v>0</v>
      </c>
      <c r="L630">
        <v>0</v>
      </c>
      <c r="M630">
        <v>0</v>
      </c>
      <c r="O630">
        <v>200000</v>
      </c>
      <c r="R630" t="s">
        <v>162</v>
      </c>
      <c r="S630">
        <v>9.4182105263157901E-6</v>
      </c>
      <c r="T630">
        <v>1.9062458105263157E-5</v>
      </c>
      <c r="U630" t="s">
        <v>176</v>
      </c>
      <c r="V630">
        <v>1.3185494736842106E-4</v>
      </c>
      <c r="W630">
        <v>3.908783405473684E-3</v>
      </c>
      <c r="X630" t="s">
        <v>177</v>
      </c>
      <c r="Y630">
        <v>2.3452700432842106E-4</v>
      </c>
      <c r="Z630">
        <v>0</v>
      </c>
      <c r="AA630" t="s">
        <v>178</v>
      </c>
      <c r="AB630">
        <v>4.6905400865684211E-4</v>
      </c>
      <c r="AC630">
        <v>4.6123644184589471E-3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Q630" t="s">
        <v>262</v>
      </c>
      <c r="AR630" t="s">
        <v>263</v>
      </c>
      <c r="AS630">
        <v>3.7672842105263156E-3</v>
      </c>
    </row>
    <row r="631" spans="1:45" x14ac:dyDescent="0.15">
      <c r="A631" s="4" t="str">
        <f>HYPERLINK("https://ibp.a2mac1.com/costing(costing:projects/details/9760/material/8754511)","PE")</f>
        <v>PE</v>
      </c>
      <c r="B631">
        <v>8754511</v>
      </c>
      <c r="C631">
        <v>12085086</v>
      </c>
      <c r="E631">
        <v>1.2665</v>
      </c>
      <c r="F631" t="s">
        <v>5436</v>
      </c>
      <c r="G631">
        <v>64</v>
      </c>
      <c r="H631" t="s">
        <v>5508</v>
      </c>
      <c r="I631">
        <v>5</v>
      </c>
      <c r="J631">
        <v>0.20557651238448796</v>
      </c>
      <c r="K631">
        <v>0</v>
      </c>
      <c r="L631">
        <v>0</v>
      </c>
      <c r="M631">
        <v>0</v>
      </c>
      <c r="O631">
        <v>200000</v>
      </c>
      <c r="R631" t="s">
        <v>162</v>
      </c>
      <c r="S631">
        <v>2.4221812500000001E-3</v>
      </c>
      <c r="T631">
        <v>2.772051875E-4</v>
      </c>
      <c r="U631" t="s">
        <v>176</v>
      </c>
      <c r="V631">
        <v>4.709796875E-3</v>
      </c>
      <c r="W631">
        <v>0.1371304458125</v>
      </c>
      <c r="X631" t="s">
        <v>177</v>
      </c>
      <c r="Y631">
        <v>8.2278267487500001E-3</v>
      </c>
      <c r="Z631">
        <v>0</v>
      </c>
      <c r="AA631" t="s">
        <v>178</v>
      </c>
      <c r="AB631">
        <v>1.64556534975E-2</v>
      </c>
      <c r="AC631">
        <v>0.16181392605875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P631" t="s">
        <v>5367</v>
      </c>
      <c r="AQ631" t="s">
        <v>262</v>
      </c>
      <c r="AR631" t="s">
        <v>263</v>
      </c>
      <c r="AS631">
        <v>0.13456562499999999</v>
      </c>
    </row>
    <row r="632" spans="1:45" x14ac:dyDescent="0.15">
      <c r="A632" s="4" t="str">
        <f>HYPERLINK("https://ibp.a2mac1.com/costing(costing:projects/details/9760/material/8755242)","Standard Structural Steel sheet")</f>
        <v>Standard Structural Steel sheet</v>
      </c>
      <c r="B632">
        <v>8755242</v>
      </c>
      <c r="C632">
        <v>12085515</v>
      </c>
      <c r="E632">
        <v>0.61129999999999995</v>
      </c>
      <c r="F632" t="s">
        <v>5525</v>
      </c>
      <c r="G632">
        <v>80</v>
      </c>
      <c r="H632" t="s">
        <v>5526</v>
      </c>
      <c r="I632">
        <v>30</v>
      </c>
      <c r="J632">
        <v>1.9999600007999841E-3</v>
      </c>
      <c r="K632">
        <v>0</v>
      </c>
      <c r="M632">
        <v>0</v>
      </c>
      <c r="O632">
        <v>200000</v>
      </c>
      <c r="R632" t="s">
        <v>162</v>
      </c>
      <c r="S632">
        <v>1.5817387499999998E-2</v>
      </c>
      <c r="T632">
        <v>5.2724624999999998E-6</v>
      </c>
      <c r="U632" t="s">
        <v>176</v>
      </c>
      <c r="V632">
        <v>9.2268093750000005E-3</v>
      </c>
      <c r="W632">
        <v>0.25703781933749997</v>
      </c>
      <c r="X632" t="s">
        <v>90</v>
      </c>
      <c r="Y632">
        <v>0</v>
      </c>
      <c r="Z632">
        <v>0</v>
      </c>
      <c r="AA632" t="s">
        <v>90</v>
      </c>
      <c r="AB632">
        <v>0</v>
      </c>
      <c r="AC632">
        <v>0.25703781933749997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Q632" t="s">
        <v>262</v>
      </c>
      <c r="AR632" t="s">
        <v>263</v>
      </c>
      <c r="AS632">
        <v>0.26362312500000001</v>
      </c>
    </row>
    <row r="633" spans="1:45" x14ac:dyDescent="0.15">
      <c r="A633" s="4" t="str">
        <f>HYPERLINK("https://ibp.a2mac1.com/costing(costing:projects/details/9760/material/8755243)","Standard Structural Steel sheet")</f>
        <v>Standard Structural Steel sheet</v>
      </c>
      <c r="B633">
        <v>8755243</v>
      </c>
      <c r="C633">
        <v>12085516</v>
      </c>
      <c r="E633">
        <v>0.61129999999999995</v>
      </c>
      <c r="F633" t="s">
        <v>5530</v>
      </c>
      <c r="G633">
        <v>80</v>
      </c>
      <c r="H633" t="s">
        <v>5531</v>
      </c>
      <c r="I633">
        <v>30</v>
      </c>
      <c r="J633">
        <v>1.9999600007999841E-3</v>
      </c>
      <c r="K633">
        <v>0</v>
      </c>
      <c r="M633">
        <v>0</v>
      </c>
      <c r="O633">
        <v>200000</v>
      </c>
      <c r="R633" t="s">
        <v>162</v>
      </c>
      <c r="S633">
        <v>1.5679845000000001E-2</v>
      </c>
      <c r="T633">
        <v>5.2266150000000003E-6</v>
      </c>
      <c r="U633" t="s">
        <v>176</v>
      </c>
      <c r="V633">
        <v>9.1465762499999999E-3</v>
      </c>
      <c r="W633">
        <v>0.25480270786499998</v>
      </c>
      <c r="X633" t="s">
        <v>90</v>
      </c>
      <c r="Y633">
        <v>0</v>
      </c>
      <c r="Z633">
        <v>0</v>
      </c>
      <c r="AA633" t="s">
        <v>90</v>
      </c>
      <c r="AB633">
        <v>0</v>
      </c>
      <c r="AC633">
        <v>0.25480270786499998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Q633" t="s">
        <v>262</v>
      </c>
      <c r="AR633" t="s">
        <v>263</v>
      </c>
      <c r="AS633">
        <v>0.26133075</v>
      </c>
    </row>
    <row r="634" spans="1:45" x14ac:dyDescent="0.15">
      <c r="A634" s="4" t="str">
        <f>HYPERLINK("https://ibp.a2mac1.com/costing(costing:projects/details/9760/material/8755244)","Standard Structural Steel sheet")</f>
        <v>Standard Structural Steel sheet</v>
      </c>
      <c r="B634">
        <v>8755244</v>
      </c>
      <c r="C634">
        <v>12085517</v>
      </c>
      <c r="E634">
        <v>0.61129999999999995</v>
      </c>
      <c r="F634" t="s">
        <v>5534</v>
      </c>
      <c r="G634">
        <v>70</v>
      </c>
      <c r="H634" t="s">
        <v>5535</v>
      </c>
      <c r="I634">
        <v>30</v>
      </c>
      <c r="J634">
        <v>1.9999600007999841E-3</v>
      </c>
      <c r="K634">
        <v>0</v>
      </c>
      <c r="M634">
        <v>0</v>
      </c>
      <c r="O634">
        <v>200000</v>
      </c>
      <c r="R634" t="s">
        <v>162</v>
      </c>
      <c r="S634">
        <v>4.9279512857142854E-2</v>
      </c>
      <c r="T634">
        <v>1.0951002857142858E-5</v>
      </c>
      <c r="U634" t="s">
        <v>176</v>
      </c>
      <c r="V634">
        <v>1.9164255000000002E-2</v>
      </c>
      <c r="W634">
        <v>0.5174458360028571</v>
      </c>
      <c r="X634" t="s">
        <v>90</v>
      </c>
      <c r="Y634">
        <v>0</v>
      </c>
      <c r="Z634">
        <v>0</v>
      </c>
      <c r="AA634" t="s">
        <v>90</v>
      </c>
      <c r="AB634">
        <v>0</v>
      </c>
      <c r="AC634">
        <v>0.5174458360028571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Q634" t="s">
        <v>262</v>
      </c>
      <c r="AR634" t="s">
        <v>263</v>
      </c>
      <c r="AS634">
        <v>0.54755014285714287</v>
      </c>
    </row>
    <row r="635" spans="1:45" x14ac:dyDescent="0.15">
      <c r="A635" s="4" t="str">
        <f>HYPERLINK("https://ibp.a2mac1.com/costing(costing:projects/details/9760/material/8755245)","Standard Structural Steel sheet")</f>
        <v>Standard Structural Steel sheet</v>
      </c>
      <c r="B635">
        <v>8755245</v>
      </c>
      <c r="C635">
        <v>12085518</v>
      </c>
      <c r="E635">
        <v>0.61129999999999995</v>
      </c>
      <c r="F635" t="s">
        <v>5525</v>
      </c>
      <c r="G635">
        <v>80</v>
      </c>
      <c r="H635" t="s">
        <v>5526</v>
      </c>
      <c r="I635">
        <v>30</v>
      </c>
      <c r="J635">
        <v>1.9999600007999841E-3</v>
      </c>
      <c r="K635">
        <v>0</v>
      </c>
      <c r="M635">
        <v>0</v>
      </c>
      <c r="O635">
        <v>200000</v>
      </c>
      <c r="R635" t="s">
        <v>162</v>
      </c>
      <c r="S635">
        <v>1.5817387499999998E-2</v>
      </c>
      <c r="T635">
        <v>5.2724624999999998E-6</v>
      </c>
      <c r="U635" t="s">
        <v>176</v>
      </c>
      <c r="V635">
        <v>9.2268093750000005E-3</v>
      </c>
      <c r="W635">
        <v>0.25703781933749997</v>
      </c>
      <c r="X635" t="s">
        <v>90</v>
      </c>
      <c r="Y635">
        <v>0</v>
      </c>
      <c r="Z635">
        <v>0</v>
      </c>
      <c r="AA635" t="s">
        <v>90</v>
      </c>
      <c r="AB635">
        <v>0</v>
      </c>
      <c r="AC635">
        <v>0.25703781933749997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Q635" t="s">
        <v>262</v>
      </c>
      <c r="AR635" t="s">
        <v>263</v>
      </c>
      <c r="AS635">
        <v>0.26362312500000001</v>
      </c>
    </row>
    <row r="636" spans="1:45" x14ac:dyDescent="0.15">
      <c r="A636" s="4" t="str">
        <f>HYPERLINK("https://ibp.a2mac1.com/costing(costing:projects/details/9760/material/8755246)","Standard Structural Steel sheet")</f>
        <v>Standard Structural Steel sheet</v>
      </c>
      <c r="B636">
        <v>8755246</v>
      </c>
      <c r="C636">
        <v>12085519</v>
      </c>
      <c r="E636">
        <v>0.61129999999999995</v>
      </c>
      <c r="F636" t="s">
        <v>5530</v>
      </c>
      <c r="G636">
        <v>80</v>
      </c>
      <c r="H636" t="s">
        <v>5531</v>
      </c>
      <c r="I636">
        <v>30</v>
      </c>
      <c r="J636">
        <v>1.9999600007999841E-3</v>
      </c>
      <c r="K636">
        <v>0</v>
      </c>
      <c r="M636">
        <v>0</v>
      </c>
      <c r="O636">
        <v>200000</v>
      </c>
      <c r="R636" t="s">
        <v>162</v>
      </c>
      <c r="S636">
        <v>1.5679845000000001E-2</v>
      </c>
      <c r="T636">
        <v>5.2266150000000003E-6</v>
      </c>
      <c r="U636" t="s">
        <v>176</v>
      </c>
      <c r="V636">
        <v>9.1465762499999999E-3</v>
      </c>
      <c r="W636">
        <v>0.25480270786499998</v>
      </c>
      <c r="X636" t="s">
        <v>90</v>
      </c>
      <c r="Y636">
        <v>0</v>
      </c>
      <c r="Z636">
        <v>0</v>
      </c>
      <c r="AA636" t="s">
        <v>90</v>
      </c>
      <c r="AB636">
        <v>0</v>
      </c>
      <c r="AC636">
        <v>0.25480270786499998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Q636" t="s">
        <v>262</v>
      </c>
      <c r="AR636" t="s">
        <v>263</v>
      </c>
      <c r="AS636">
        <v>0.26133075</v>
      </c>
    </row>
    <row r="637" spans="1:45" x14ac:dyDescent="0.15">
      <c r="A637" s="4" t="str">
        <f>HYPERLINK("https://ibp.a2mac1.com/costing(costing:projects/details/9760/material/8755247)","Standard Structural Steel sheet")</f>
        <v>Standard Structural Steel sheet</v>
      </c>
      <c r="B637">
        <v>8755247</v>
      </c>
      <c r="C637">
        <v>12085520</v>
      </c>
      <c r="E637">
        <v>0.61129999999999995</v>
      </c>
      <c r="F637" t="s">
        <v>5534</v>
      </c>
      <c r="G637">
        <v>70</v>
      </c>
      <c r="H637" t="s">
        <v>5535</v>
      </c>
      <c r="I637">
        <v>30</v>
      </c>
      <c r="J637">
        <v>1.9999600007999841E-3</v>
      </c>
      <c r="K637">
        <v>0</v>
      </c>
      <c r="M637">
        <v>0</v>
      </c>
      <c r="O637">
        <v>200000</v>
      </c>
      <c r="R637" t="s">
        <v>162</v>
      </c>
      <c r="S637">
        <v>4.9279512857142854E-2</v>
      </c>
      <c r="T637">
        <v>1.0951002857142858E-5</v>
      </c>
      <c r="U637" t="s">
        <v>176</v>
      </c>
      <c r="V637">
        <v>1.9164255000000002E-2</v>
      </c>
      <c r="W637">
        <v>0.5174458360028571</v>
      </c>
      <c r="X637" t="s">
        <v>90</v>
      </c>
      <c r="Y637">
        <v>0</v>
      </c>
      <c r="Z637">
        <v>0</v>
      </c>
      <c r="AA637" t="s">
        <v>90</v>
      </c>
      <c r="AB637">
        <v>0</v>
      </c>
      <c r="AC637">
        <v>0.5174458360028571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Q637" t="s">
        <v>262</v>
      </c>
      <c r="AR637" t="s">
        <v>263</v>
      </c>
      <c r="AS637">
        <v>0.54755014285714287</v>
      </c>
    </row>
    <row r="638" spans="1:45" x14ac:dyDescent="0.15">
      <c r="A638" s="4" t="str">
        <f>HYPERLINK("https://ibp.a2mac1.com/costing(costing:projects/details/9760/material/8755248)","PVC")</f>
        <v>PVC</v>
      </c>
      <c r="B638">
        <v>8755248</v>
      </c>
      <c r="C638">
        <v>12085521</v>
      </c>
      <c r="E638">
        <v>1.2835000000000001</v>
      </c>
      <c r="F638" t="s">
        <v>4382</v>
      </c>
      <c r="G638">
        <v>95</v>
      </c>
      <c r="H638" t="s">
        <v>4383</v>
      </c>
      <c r="I638">
        <v>5</v>
      </c>
      <c r="J638">
        <v>0.10389195236953569</v>
      </c>
      <c r="K638">
        <v>0</v>
      </c>
      <c r="L638">
        <v>0</v>
      </c>
      <c r="M638">
        <v>0</v>
      </c>
      <c r="O638">
        <v>200000</v>
      </c>
      <c r="R638" t="s">
        <v>162</v>
      </c>
      <c r="S638">
        <v>6.7552631578947364E-5</v>
      </c>
      <c r="T638">
        <v>2.8101894736842106E-5</v>
      </c>
      <c r="U638" t="s">
        <v>176</v>
      </c>
      <c r="V638">
        <v>9.4573684210526321E-4</v>
      </c>
      <c r="W638">
        <v>2.7927338736842104E-2</v>
      </c>
      <c r="X638" t="s">
        <v>177</v>
      </c>
      <c r="Y638">
        <v>1.6756403242105264E-3</v>
      </c>
      <c r="Z638">
        <v>0</v>
      </c>
      <c r="AA638" t="s">
        <v>178</v>
      </c>
      <c r="AB638">
        <v>3.3512806484210528E-3</v>
      </c>
      <c r="AC638">
        <v>3.2954259709473681E-2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P638" t="s">
        <v>2956</v>
      </c>
      <c r="AQ638" t="s">
        <v>262</v>
      </c>
      <c r="AR638" t="s">
        <v>263</v>
      </c>
      <c r="AS638">
        <v>2.7021052631578946E-2</v>
      </c>
    </row>
    <row r="639" spans="1:45" x14ac:dyDescent="0.15">
      <c r="A639" s="4" t="str">
        <f>HYPERLINK("https://ibp.a2mac1.com/costing(costing:projects/details/9760/material/8755249)","TPE")</f>
        <v>TPE</v>
      </c>
      <c r="B639">
        <v>8755249</v>
      </c>
      <c r="C639">
        <v>12085522</v>
      </c>
      <c r="E639">
        <v>1.5073099999999999</v>
      </c>
      <c r="F639" t="s">
        <v>5553</v>
      </c>
      <c r="G639">
        <v>94</v>
      </c>
      <c r="H639" t="s">
        <v>5554</v>
      </c>
      <c r="I639">
        <v>5</v>
      </c>
      <c r="J639">
        <v>0.10389195236953569</v>
      </c>
      <c r="K639">
        <v>0</v>
      </c>
      <c r="M639">
        <v>0</v>
      </c>
      <c r="O639">
        <v>200000</v>
      </c>
      <c r="R639" t="s">
        <v>162</v>
      </c>
      <c r="S639">
        <v>7.2158457446808514E-6</v>
      </c>
      <c r="T639">
        <v>2.5014931914893615E-6</v>
      </c>
      <c r="U639" t="s">
        <v>176</v>
      </c>
      <c r="V639">
        <v>8.4184867021276598E-5</v>
      </c>
      <c r="W639">
        <v>2.4847524293617022E-3</v>
      </c>
      <c r="X639" t="s">
        <v>177</v>
      </c>
      <c r="Y639">
        <v>1.4908514576170213E-4</v>
      </c>
      <c r="Z639">
        <v>0</v>
      </c>
      <c r="AA639" t="s">
        <v>178</v>
      </c>
      <c r="AB639">
        <v>2.9817029152340427E-4</v>
      </c>
      <c r="AC639">
        <v>2.9320078666468085E-3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Q639" t="s">
        <v>262</v>
      </c>
      <c r="AR639" t="s">
        <v>263</v>
      </c>
      <c r="AS639">
        <v>2.405281914893617E-3</v>
      </c>
    </row>
    <row r="640" spans="1:45" x14ac:dyDescent="0.15">
      <c r="A640" s="4" t="str">
        <f>HYPERLINK("https://ibp.a2mac1.com/costing(costing:projects/details/9760/material/8755250)","PUR")</f>
        <v>PUR</v>
      </c>
      <c r="B640">
        <v>8755250</v>
      </c>
      <c r="C640">
        <v>12085523</v>
      </c>
      <c r="E640">
        <v>3.37662</v>
      </c>
      <c r="F640" t="s">
        <v>4377</v>
      </c>
      <c r="G640">
        <v>95</v>
      </c>
      <c r="H640" t="s">
        <v>4378</v>
      </c>
      <c r="I640">
        <v>5</v>
      </c>
      <c r="J640">
        <v>0.10389195236953569</v>
      </c>
      <c r="K640">
        <v>0</v>
      </c>
      <c r="L640">
        <v>0</v>
      </c>
      <c r="M640">
        <v>0</v>
      </c>
      <c r="O640">
        <v>200000</v>
      </c>
      <c r="R640" t="s">
        <v>162</v>
      </c>
      <c r="S640">
        <v>8.8858421052631582E-6</v>
      </c>
      <c r="T640">
        <v>3.6965103157894736E-6</v>
      </c>
      <c r="U640" t="s">
        <v>176</v>
      </c>
      <c r="V640">
        <v>1.2440178947368421E-4</v>
      </c>
      <c r="W640">
        <v>3.6735492997894735E-3</v>
      </c>
      <c r="X640" t="s">
        <v>177</v>
      </c>
      <c r="Y640">
        <v>2.2041295798736843E-4</v>
      </c>
      <c r="Z640">
        <v>0</v>
      </c>
      <c r="AA640" t="s">
        <v>178</v>
      </c>
      <c r="AB640">
        <v>4.4082591597473686E-4</v>
      </c>
      <c r="AC640">
        <v>4.3347881737515791E-3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P640" t="s">
        <v>5558</v>
      </c>
      <c r="AQ640" t="s">
        <v>262</v>
      </c>
      <c r="AR640" t="s">
        <v>263</v>
      </c>
      <c r="AS640">
        <v>3.5543368421052631E-3</v>
      </c>
    </row>
    <row r="641" spans="1:45" x14ac:dyDescent="0.15">
      <c r="A641" s="4" t="str">
        <f>HYPERLINK("https://ibp.a2mac1.com/costing(costing:projects/details/9760/material/8754797)","PE")</f>
        <v>PE</v>
      </c>
      <c r="B641">
        <v>8754797</v>
      </c>
      <c r="C641">
        <v>12085222</v>
      </c>
      <c r="E641">
        <v>1.2665</v>
      </c>
      <c r="F641" t="s">
        <v>4559</v>
      </c>
      <c r="G641">
        <v>97</v>
      </c>
      <c r="H641" t="s">
        <v>5567</v>
      </c>
      <c r="I641">
        <v>5</v>
      </c>
      <c r="J641">
        <v>0.20557651238448796</v>
      </c>
      <c r="K641">
        <v>0</v>
      </c>
      <c r="M641">
        <v>0</v>
      </c>
      <c r="O641">
        <v>200000</v>
      </c>
      <c r="R641" t="s">
        <v>162</v>
      </c>
      <c r="S641">
        <v>3.5253092783505152E-5</v>
      </c>
      <c r="T641">
        <v>4.8414247422680415E-5</v>
      </c>
      <c r="U641" t="s">
        <v>176</v>
      </c>
      <c r="V641">
        <v>8.2257216494845359E-4</v>
      </c>
      <c r="W641">
        <v>2.4337795175257731E-2</v>
      </c>
      <c r="X641" t="s">
        <v>177</v>
      </c>
      <c r="Y641">
        <v>1.4602677105154639E-3</v>
      </c>
      <c r="Z641">
        <v>0</v>
      </c>
      <c r="AA641" t="s">
        <v>178</v>
      </c>
      <c r="AB641">
        <v>2.9205354210309277E-3</v>
      </c>
      <c r="AC641">
        <v>2.8718598306804125E-2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Q641" t="s">
        <v>262</v>
      </c>
      <c r="AR641" t="s">
        <v>263</v>
      </c>
      <c r="AS641">
        <v>2.3502061855670102E-2</v>
      </c>
    </row>
    <row r="642" spans="1:45" x14ac:dyDescent="0.15">
      <c r="A642" s="4" t="str">
        <f>HYPERLINK("https://ibp.a2mac1.com/costing(costing:projects/details/9760/material/8754798)","PBT-GF30")</f>
        <v>PBT-GF30</v>
      </c>
      <c r="B642">
        <v>8754798</v>
      </c>
      <c r="C642">
        <v>12085223</v>
      </c>
      <c r="E642">
        <v>1.9208099999999999</v>
      </c>
      <c r="F642" t="s">
        <v>5411</v>
      </c>
      <c r="G642">
        <v>97</v>
      </c>
      <c r="H642" t="s">
        <v>5574</v>
      </c>
      <c r="I642">
        <v>5</v>
      </c>
      <c r="J642">
        <v>0.20557651238448796</v>
      </c>
      <c r="K642">
        <v>0</v>
      </c>
      <c r="M642">
        <v>0</v>
      </c>
      <c r="O642">
        <v>200000</v>
      </c>
      <c r="R642" t="s">
        <v>162</v>
      </c>
      <c r="S642">
        <v>2.4653695360824743E-4</v>
      </c>
      <c r="T642">
        <v>3.385774162886598E-4</v>
      </c>
      <c r="U642" t="s">
        <v>176</v>
      </c>
      <c r="V642">
        <v>5.752528917525773E-3</v>
      </c>
      <c r="W642">
        <v>0.17020253845237113</v>
      </c>
      <c r="X642" t="s">
        <v>177</v>
      </c>
      <c r="Y642">
        <v>1.0212152307142269E-2</v>
      </c>
      <c r="Z642">
        <v>0</v>
      </c>
      <c r="AA642" t="s">
        <v>178</v>
      </c>
      <c r="AB642">
        <v>2.0424304614284537E-2</v>
      </c>
      <c r="AC642">
        <v>0.20083899537379793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Q642" t="s">
        <v>262</v>
      </c>
      <c r="AR642" t="s">
        <v>263</v>
      </c>
      <c r="AS642">
        <v>0.16435796907216496</v>
      </c>
    </row>
    <row r="643" spans="1:45" x14ac:dyDescent="0.15">
      <c r="A643" s="4" t="str">
        <f>HYPERLINK("https://ibp.a2mac1.com/costing(costing:projects/details/9760/material/8754799)","PUR")</f>
        <v>PUR</v>
      </c>
      <c r="B643">
        <v>8754799</v>
      </c>
      <c r="C643">
        <v>12085226</v>
      </c>
      <c r="E643">
        <v>3.37662</v>
      </c>
      <c r="F643" t="s">
        <v>4449</v>
      </c>
      <c r="G643">
        <v>95</v>
      </c>
      <c r="H643" t="s">
        <v>4450</v>
      </c>
      <c r="I643">
        <v>5</v>
      </c>
      <c r="J643">
        <v>0.20557651238448796</v>
      </c>
      <c r="K643">
        <v>0</v>
      </c>
      <c r="L643">
        <v>0</v>
      </c>
      <c r="M643">
        <v>0</v>
      </c>
      <c r="O643">
        <v>200000</v>
      </c>
      <c r="R643" t="s">
        <v>162</v>
      </c>
      <c r="S643">
        <v>1.9548852631578946E-4</v>
      </c>
      <c r="T643">
        <v>1.6108254568421052E-4</v>
      </c>
      <c r="U643" t="s">
        <v>176</v>
      </c>
      <c r="V643">
        <v>2.7368393684210528E-3</v>
      </c>
      <c r="W643">
        <v>8.0897843914105261E-2</v>
      </c>
      <c r="X643" t="s">
        <v>177</v>
      </c>
      <c r="Y643">
        <v>4.8538706348463159E-3</v>
      </c>
      <c r="Z643">
        <v>0</v>
      </c>
      <c r="AA643" t="s">
        <v>178</v>
      </c>
      <c r="AB643">
        <v>9.7077412696926317E-3</v>
      </c>
      <c r="AC643">
        <v>9.5459455818644207E-2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P643" t="s">
        <v>5558</v>
      </c>
      <c r="AQ643" t="s">
        <v>262</v>
      </c>
      <c r="AR643" t="s">
        <v>263</v>
      </c>
      <c r="AS643">
        <v>7.8195410526315789E-2</v>
      </c>
    </row>
    <row r="644" spans="1:45" x14ac:dyDescent="0.15">
      <c r="A644" s="4" t="str">
        <f>HYPERLINK("https://ibp.a2mac1.com/costing(costing:projects/details/9760/material/8754800)","PUR")</f>
        <v>PUR</v>
      </c>
      <c r="B644">
        <v>8754800</v>
      </c>
      <c r="C644">
        <v>12085227</v>
      </c>
      <c r="E644">
        <v>3.37662</v>
      </c>
      <c r="F644" t="s">
        <v>4382</v>
      </c>
      <c r="G644">
        <v>95</v>
      </c>
      <c r="H644" t="s">
        <v>4383</v>
      </c>
      <c r="I644">
        <v>5</v>
      </c>
      <c r="J644">
        <v>0.20557651238448796</v>
      </c>
      <c r="K644">
        <v>0</v>
      </c>
      <c r="L644">
        <v>0</v>
      </c>
      <c r="M644">
        <v>0</v>
      </c>
      <c r="O644">
        <v>200000</v>
      </c>
      <c r="R644" t="s">
        <v>162</v>
      </c>
      <c r="S644">
        <v>1.7771684210526317E-4</v>
      </c>
      <c r="T644">
        <v>1.4643867789473686E-4</v>
      </c>
      <c r="U644" t="s">
        <v>176</v>
      </c>
      <c r="V644">
        <v>2.4880357894736843E-3</v>
      </c>
      <c r="W644">
        <v>7.3543494467368423E-2</v>
      </c>
      <c r="X644" t="s">
        <v>177</v>
      </c>
      <c r="Y644">
        <v>4.4126096680421056E-3</v>
      </c>
      <c r="Z644">
        <v>0</v>
      </c>
      <c r="AA644" t="s">
        <v>178</v>
      </c>
      <c r="AB644">
        <v>8.8252193360842113E-3</v>
      </c>
      <c r="AC644">
        <v>8.678132347149474E-2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P644" t="s">
        <v>5558</v>
      </c>
      <c r="AQ644" t="s">
        <v>262</v>
      </c>
      <c r="AR644" t="s">
        <v>263</v>
      </c>
      <c r="AS644">
        <v>7.1086736842105258E-2</v>
      </c>
    </row>
    <row r="645" spans="1:45" x14ac:dyDescent="0.15">
      <c r="A645" s="4" t="str">
        <f>HYPERLINK("https://ibp.a2mac1.com/costing(costing:projects/details/9760/material/8754801)","EPDM")</f>
        <v>EPDM</v>
      </c>
      <c r="B645">
        <v>8754801</v>
      </c>
      <c r="C645">
        <v>12085229</v>
      </c>
      <c r="E645">
        <v>2.78701</v>
      </c>
      <c r="F645" t="s">
        <v>4372</v>
      </c>
      <c r="G645">
        <v>95</v>
      </c>
      <c r="H645" t="s">
        <v>4373</v>
      </c>
      <c r="I645">
        <v>5</v>
      </c>
      <c r="J645">
        <v>0.50048257265952256</v>
      </c>
      <c r="K645">
        <v>0</v>
      </c>
      <c r="M645">
        <v>0</v>
      </c>
      <c r="O645">
        <v>400000</v>
      </c>
      <c r="R645" t="s">
        <v>162</v>
      </c>
      <c r="S645">
        <v>2.2736134210526315E-4</v>
      </c>
      <c r="T645">
        <v>4.5745102031578946E-4</v>
      </c>
      <c r="U645" t="s">
        <v>176</v>
      </c>
      <c r="V645">
        <v>3.1830587894736842E-3</v>
      </c>
      <c r="W645">
        <v>9.4357685309789469E-2</v>
      </c>
      <c r="X645" t="s">
        <v>177</v>
      </c>
      <c r="Y645">
        <v>5.6614611185873687E-3</v>
      </c>
      <c r="Z645">
        <v>0</v>
      </c>
      <c r="AA645" t="s">
        <v>178</v>
      </c>
      <c r="AB645">
        <v>1.1322922237174737E-2</v>
      </c>
      <c r="AC645">
        <v>0.11134206866555157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Q645" t="s">
        <v>262</v>
      </c>
      <c r="AR645" t="s">
        <v>263</v>
      </c>
      <c r="AS645">
        <v>9.0944536842105267E-2</v>
      </c>
    </row>
    <row r="646" spans="1:45" x14ac:dyDescent="0.15">
      <c r="A646" s="4" t="str">
        <f>HYPERLINK("https://ibp.a2mac1.com/costing(costing:projects/details/9760/material/8754802)","EPDM")</f>
        <v>EPDM</v>
      </c>
      <c r="B646">
        <v>8754802</v>
      </c>
      <c r="C646">
        <v>12085230</v>
      </c>
      <c r="E646">
        <v>2.78701</v>
      </c>
      <c r="F646" t="s">
        <v>4372</v>
      </c>
      <c r="G646">
        <v>95</v>
      </c>
      <c r="H646" t="s">
        <v>4373</v>
      </c>
      <c r="I646">
        <v>5</v>
      </c>
      <c r="J646">
        <v>0.50048257265952256</v>
      </c>
      <c r="K646">
        <v>0</v>
      </c>
      <c r="M646">
        <v>0</v>
      </c>
      <c r="O646">
        <v>400000</v>
      </c>
      <c r="R646" t="s">
        <v>162</v>
      </c>
      <c r="S646">
        <v>2.2736134210526315E-4</v>
      </c>
      <c r="T646">
        <v>4.5745102031578946E-4</v>
      </c>
      <c r="U646" t="s">
        <v>176</v>
      </c>
      <c r="V646">
        <v>3.1830587894736842E-3</v>
      </c>
      <c r="W646">
        <v>9.4357685309789469E-2</v>
      </c>
      <c r="X646" t="s">
        <v>177</v>
      </c>
      <c r="Y646">
        <v>5.6614611185873687E-3</v>
      </c>
      <c r="Z646">
        <v>0</v>
      </c>
      <c r="AA646" t="s">
        <v>178</v>
      </c>
      <c r="AB646">
        <v>1.1322922237174737E-2</v>
      </c>
      <c r="AC646">
        <v>0.11134206866555157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Q646" t="s">
        <v>262</v>
      </c>
      <c r="AR646" t="s">
        <v>263</v>
      </c>
      <c r="AS646">
        <v>9.0944536842105267E-2</v>
      </c>
    </row>
    <row r="647" spans="1:45" x14ac:dyDescent="0.15">
      <c r="A647" s="4" t="str">
        <f>HYPERLINK("https://ibp.a2mac1.com/costing(costing:projects/details/9760/material/8755585)","Aluminum sheet body (default, e.g. EN-AW6063)")</f>
        <v>Aluminum sheet body (default, e.g. EN-AW6063)</v>
      </c>
      <c r="B647">
        <v>8755585</v>
      </c>
      <c r="C647">
        <v>12085971</v>
      </c>
      <c r="E647">
        <v>3.79636</v>
      </c>
      <c r="F647" t="s">
        <v>5609</v>
      </c>
      <c r="G647">
        <v>35.021000000000001</v>
      </c>
      <c r="H647" t="s">
        <v>5610</v>
      </c>
      <c r="I647">
        <v>30</v>
      </c>
      <c r="J647">
        <v>0.10389195236953569</v>
      </c>
      <c r="K647">
        <v>0</v>
      </c>
      <c r="M647">
        <v>0</v>
      </c>
      <c r="O647">
        <v>200000</v>
      </c>
      <c r="R647" t="s">
        <v>162</v>
      </c>
      <c r="S647">
        <v>8.6005759096896153</v>
      </c>
      <c r="T647">
        <v>4.5884562428257329E-2</v>
      </c>
      <c r="U647" t="s">
        <v>176</v>
      </c>
      <c r="V647">
        <v>1.5441920047971218</v>
      </c>
      <c r="W647">
        <v>37.109272223167814</v>
      </c>
      <c r="X647" t="s">
        <v>90</v>
      </c>
      <c r="Y647">
        <v>0</v>
      </c>
      <c r="Z647">
        <v>0</v>
      </c>
      <c r="AA647" t="s">
        <v>90</v>
      </c>
      <c r="AB647">
        <v>0</v>
      </c>
      <c r="AC647">
        <v>37.109272223167814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Q647" t="s">
        <v>262</v>
      </c>
      <c r="AR647" t="s">
        <v>263</v>
      </c>
      <c r="AS647">
        <v>44.11977156563205</v>
      </c>
    </row>
    <row r="648" spans="1:45" x14ac:dyDescent="0.15">
      <c r="A648" s="4" t="str">
        <f>HYPERLINK("https://ibp.a2mac1.com/costing(costing:projects/details/9760/material/8755586)","Aluminum sheet body (default, e.g. EN-AW6063)")</f>
        <v>Aluminum sheet body (default, e.g. EN-AW6063)</v>
      </c>
      <c r="B648">
        <v>8755586</v>
      </c>
      <c r="C648">
        <v>12085973</v>
      </c>
      <c r="E648">
        <v>3.79636</v>
      </c>
      <c r="F648" t="s">
        <v>5616</v>
      </c>
      <c r="G648">
        <v>75</v>
      </c>
      <c r="H648" t="s">
        <v>5617</v>
      </c>
      <c r="I648">
        <v>30</v>
      </c>
      <c r="J648">
        <v>1.9999600007999841E-3</v>
      </c>
      <c r="K648">
        <v>0</v>
      </c>
      <c r="M648">
        <v>0</v>
      </c>
      <c r="O648">
        <v>200000</v>
      </c>
      <c r="R648" t="s">
        <v>162</v>
      </c>
      <c r="S648">
        <v>5.1630495999999998E-2</v>
      </c>
      <c r="T648">
        <v>1.3768132266666667E-5</v>
      </c>
      <c r="U648" t="s">
        <v>176</v>
      </c>
      <c r="V648">
        <v>2.4094231466666668E-2</v>
      </c>
      <c r="W648">
        <v>0.66088411693226667</v>
      </c>
      <c r="X648" t="s">
        <v>177</v>
      </c>
      <c r="Y648">
        <v>3.9653047015935999E-2</v>
      </c>
      <c r="Z648">
        <v>0</v>
      </c>
      <c r="AA648" t="s">
        <v>178</v>
      </c>
      <c r="AB648">
        <v>7.9306094031871999E-2</v>
      </c>
      <c r="AC648">
        <v>0.7798432579800747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Q648" t="s">
        <v>262</v>
      </c>
      <c r="AR648" t="s">
        <v>263</v>
      </c>
      <c r="AS648">
        <v>0.68840661333333331</v>
      </c>
    </row>
    <row r="649" spans="1:45" x14ac:dyDescent="0.15">
      <c r="A649" s="4" t="str">
        <f>HYPERLINK("https://ibp.a2mac1.com/costing(costing:projects/details/9760/material/8755587)","Aluminum sheet body (default, e.g. EN-AW6063)")</f>
        <v>Aluminum sheet body (default, e.g. EN-AW6063)</v>
      </c>
      <c r="B649">
        <v>8755587</v>
      </c>
      <c r="C649">
        <v>12085974</v>
      </c>
      <c r="E649">
        <v>3.79636</v>
      </c>
      <c r="F649" t="s">
        <v>5622</v>
      </c>
      <c r="G649">
        <v>80</v>
      </c>
      <c r="H649" t="s">
        <v>5623</v>
      </c>
      <c r="I649">
        <v>30</v>
      </c>
      <c r="J649">
        <v>1.9999600007999841E-3</v>
      </c>
      <c r="K649">
        <v>0</v>
      </c>
      <c r="M649">
        <v>0</v>
      </c>
      <c r="O649">
        <v>400000</v>
      </c>
      <c r="R649" t="s">
        <v>162</v>
      </c>
      <c r="S649">
        <v>5.6660673000000002E-2</v>
      </c>
      <c r="T649">
        <v>1.8886890999999999E-5</v>
      </c>
      <c r="U649" t="s">
        <v>176</v>
      </c>
      <c r="V649">
        <v>3.3052059250000002E-2</v>
      </c>
      <c r="W649">
        <v>0.92075482314099999</v>
      </c>
      <c r="X649" t="s">
        <v>177</v>
      </c>
      <c r="Y649">
        <v>5.5245289388460003E-2</v>
      </c>
      <c r="Z649">
        <v>0</v>
      </c>
      <c r="AA649" t="s">
        <v>178</v>
      </c>
      <c r="AB649">
        <v>0.11049057877692001</v>
      </c>
      <c r="AC649">
        <v>1.0864906913063801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Q649" t="s">
        <v>262</v>
      </c>
      <c r="AR649" t="s">
        <v>263</v>
      </c>
      <c r="AS649">
        <v>0.94434454999999995</v>
      </c>
    </row>
    <row r="650" spans="1:45" x14ac:dyDescent="0.15">
      <c r="A650" s="4" t="str">
        <f>HYPERLINK("https://ibp.a2mac1.com/costing(costing:projects/details/9760/material/8755588)","Standard Structural Steel sheet")</f>
        <v>Standard Structural Steel sheet</v>
      </c>
      <c r="B650">
        <v>8755588</v>
      </c>
      <c r="C650">
        <v>12085975</v>
      </c>
      <c r="E650">
        <v>0.61129999999999995</v>
      </c>
      <c r="F650" t="s">
        <v>5626</v>
      </c>
      <c r="G650">
        <v>80</v>
      </c>
      <c r="H650" t="s">
        <v>5627</v>
      </c>
      <c r="I650">
        <v>30</v>
      </c>
      <c r="J650">
        <v>1.9999600007999841E-3</v>
      </c>
      <c r="K650">
        <v>0</v>
      </c>
      <c r="M650">
        <v>0</v>
      </c>
      <c r="O650">
        <v>200000</v>
      </c>
      <c r="R650" t="s">
        <v>162</v>
      </c>
      <c r="S650">
        <v>1.9347645E-2</v>
      </c>
      <c r="T650">
        <v>6.4492150000000002E-6</v>
      </c>
      <c r="U650" t="s">
        <v>176</v>
      </c>
      <c r="V650">
        <v>1.128612625E-2</v>
      </c>
      <c r="W650">
        <v>0.314405680465</v>
      </c>
      <c r="X650" t="s">
        <v>177</v>
      </c>
      <c r="Y650">
        <v>1.8864340827899999E-2</v>
      </c>
      <c r="Z650">
        <v>0</v>
      </c>
      <c r="AA650" t="s">
        <v>178</v>
      </c>
      <c r="AB650">
        <v>3.7728681655799998E-2</v>
      </c>
      <c r="AC650">
        <v>0.37099870294870002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Q650" t="s">
        <v>262</v>
      </c>
      <c r="AR650" t="s">
        <v>263</v>
      </c>
      <c r="AS650">
        <v>0.32246075000000002</v>
      </c>
    </row>
    <row r="651" spans="1:45" x14ac:dyDescent="0.15">
      <c r="A651" s="4" t="str">
        <f>HYPERLINK("https://ibp.a2mac1.com/costing(costing:projects/details/9760/material/8755589)","Standard Structural Steel sheet")</f>
        <v>Standard Structural Steel sheet</v>
      </c>
      <c r="B651">
        <v>8755589</v>
      </c>
      <c r="C651">
        <v>12085976</v>
      </c>
      <c r="E651">
        <v>0.61129999999999995</v>
      </c>
      <c r="F651" t="s">
        <v>5632</v>
      </c>
      <c r="G651">
        <v>80</v>
      </c>
      <c r="H651" t="s">
        <v>5633</v>
      </c>
      <c r="I651">
        <v>30</v>
      </c>
      <c r="J651">
        <v>1.9999600007999841E-3</v>
      </c>
      <c r="K651">
        <v>0</v>
      </c>
      <c r="M651">
        <v>0</v>
      </c>
      <c r="O651">
        <v>200000</v>
      </c>
      <c r="R651" t="s">
        <v>162</v>
      </c>
      <c r="S651">
        <v>2.20068E-3</v>
      </c>
      <c r="T651">
        <v>7.3356000000000001E-7</v>
      </c>
      <c r="U651" t="s">
        <v>176</v>
      </c>
      <c r="V651">
        <v>1.2837300000000001E-3</v>
      </c>
      <c r="W651">
        <v>3.5761783560000003E-2</v>
      </c>
      <c r="X651" t="s">
        <v>177</v>
      </c>
      <c r="Y651">
        <v>2.1457070136000002E-3</v>
      </c>
      <c r="Z651">
        <v>0</v>
      </c>
      <c r="AA651" t="s">
        <v>178</v>
      </c>
      <c r="AB651">
        <v>4.2914140272000004E-3</v>
      </c>
      <c r="AC651">
        <v>4.2198904600800002E-2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Q651" t="s">
        <v>262</v>
      </c>
      <c r="AR651" t="s">
        <v>263</v>
      </c>
      <c r="AS651">
        <v>3.6678000000000002E-2</v>
      </c>
    </row>
    <row r="652" spans="1:45" x14ac:dyDescent="0.15">
      <c r="A652" s="4" t="str">
        <f>HYPERLINK("https://ibp.a2mac1.com/costing(costing:projects/details/9760/material/8755251)","Aluminum sheet body (default, e.g. EN-AW6063)")</f>
        <v>Aluminum sheet body (default, e.g. EN-AW6063)</v>
      </c>
      <c r="B652">
        <v>8755251</v>
      </c>
      <c r="C652">
        <v>12085524</v>
      </c>
      <c r="E652">
        <v>3.79636</v>
      </c>
      <c r="F652" t="s">
        <v>5640</v>
      </c>
      <c r="G652">
        <v>80</v>
      </c>
      <c r="H652" t="s">
        <v>5641</v>
      </c>
      <c r="I652">
        <v>30</v>
      </c>
      <c r="J652">
        <v>1.9999600007999841E-3</v>
      </c>
      <c r="K652">
        <v>0</v>
      </c>
      <c r="M652">
        <v>0</v>
      </c>
      <c r="O652">
        <v>200000</v>
      </c>
      <c r="R652" t="s">
        <v>162</v>
      </c>
      <c r="S652">
        <v>1.2795631380000001</v>
      </c>
      <c r="T652">
        <v>4.26521046E-4</v>
      </c>
      <c r="U652" t="s">
        <v>176</v>
      </c>
      <c r="V652">
        <v>0.74641183050000004</v>
      </c>
      <c r="W652">
        <v>20.793327513546</v>
      </c>
      <c r="X652" t="s">
        <v>90</v>
      </c>
      <c r="Y652">
        <v>0</v>
      </c>
      <c r="Z652">
        <v>0</v>
      </c>
      <c r="AA652" t="s">
        <v>90</v>
      </c>
      <c r="AB652">
        <v>0</v>
      </c>
      <c r="AC652">
        <v>20.793327513546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Q652" t="s">
        <v>262</v>
      </c>
      <c r="AR652" t="s">
        <v>263</v>
      </c>
      <c r="AS652">
        <v>21.326052300000001</v>
      </c>
    </row>
    <row r="653" spans="1:45" x14ac:dyDescent="0.15">
      <c r="A653" s="4" t="str">
        <f>HYPERLINK("https://ibp.a2mac1.com/costing(costing:projects/details/9760/material/8754541)","ABS")</f>
        <v>ABS</v>
      </c>
      <c r="B653">
        <v>8754541</v>
      </c>
      <c r="C653">
        <v>12085091</v>
      </c>
      <c r="E653">
        <v>2.5272700000000001</v>
      </c>
      <c r="F653" t="s">
        <v>843</v>
      </c>
      <c r="G653">
        <v>97</v>
      </c>
      <c r="H653" t="s">
        <v>5647</v>
      </c>
      <c r="I653">
        <v>5</v>
      </c>
      <c r="J653">
        <v>4.0767386091127102</v>
      </c>
      <c r="K653">
        <v>0</v>
      </c>
      <c r="M653">
        <v>0</v>
      </c>
      <c r="O653">
        <v>200000</v>
      </c>
      <c r="R653" t="s">
        <v>162</v>
      </c>
      <c r="S653">
        <v>1.0942818556701031E-4</v>
      </c>
      <c r="T653">
        <v>3.1004652577319588E-3</v>
      </c>
      <c r="U653" t="s">
        <v>176</v>
      </c>
      <c r="V653">
        <v>2.5533243298969071E-3</v>
      </c>
      <c r="W653">
        <v>7.8496485113402056E-2</v>
      </c>
      <c r="X653" t="s">
        <v>177</v>
      </c>
      <c r="Y653">
        <v>4.7097891068041235E-3</v>
      </c>
      <c r="Z653">
        <v>0</v>
      </c>
      <c r="AA653" t="s">
        <v>178</v>
      </c>
      <c r="AB653">
        <v>9.419578213608247E-3</v>
      </c>
      <c r="AC653">
        <v>9.2625852433814437E-2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Q653" t="s">
        <v>262</v>
      </c>
      <c r="AR653" t="s">
        <v>263</v>
      </c>
      <c r="AS653">
        <v>7.2952123711340203E-2</v>
      </c>
    </row>
    <row r="654" spans="1:45" x14ac:dyDescent="0.15">
      <c r="A654" s="4" t="str">
        <f>HYPERLINK("https://ibp.a2mac1.com/costing(costing:projects/details/9760/material/8754538)","Paint - Base")</f>
        <v>Paint - Base</v>
      </c>
      <c r="B654">
        <v>8754538</v>
      </c>
      <c r="C654">
        <v>12085090</v>
      </c>
      <c r="E654">
        <v>11.26986</v>
      </c>
      <c r="F654" t="s">
        <v>5224</v>
      </c>
      <c r="G654">
        <v>98</v>
      </c>
      <c r="H654" t="s">
        <v>5650</v>
      </c>
      <c r="I654">
        <v>0</v>
      </c>
      <c r="J654">
        <v>3.9772618155979336</v>
      </c>
      <c r="K654">
        <v>0</v>
      </c>
      <c r="L654">
        <v>0</v>
      </c>
      <c r="M654">
        <v>0</v>
      </c>
      <c r="O654">
        <v>200000</v>
      </c>
      <c r="R654" t="s">
        <v>162</v>
      </c>
      <c r="S654">
        <v>0</v>
      </c>
      <c r="T654">
        <v>4.7632408285714287E-3</v>
      </c>
      <c r="U654" t="s">
        <v>176</v>
      </c>
      <c r="V654">
        <v>4.0249500000000002E-3</v>
      </c>
      <c r="W654">
        <v>0.12378676225714286</v>
      </c>
      <c r="X654" t="s">
        <v>177</v>
      </c>
      <c r="Y654">
        <v>7.4272057354285714E-3</v>
      </c>
      <c r="Z654">
        <v>0</v>
      </c>
      <c r="AA654" t="s">
        <v>178</v>
      </c>
      <c r="AB654">
        <v>1.4854411470857143E-2</v>
      </c>
      <c r="AC654">
        <v>0.14606837946342857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Q654" t="s">
        <v>9</v>
      </c>
      <c r="AR654" t="s">
        <v>263</v>
      </c>
      <c r="AS654">
        <v>0.11499857142857142</v>
      </c>
    </row>
    <row r="655" spans="1:45" x14ac:dyDescent="0.15">
      <c r="A655" s="4" t="str">
        <f>HYPERLINK("https://ibp.a2mac1.com/costing(costing:projects/details/9760/material/8754539)","Paint - Primer")</f>
        <v>Paint - Primer</v>
      </c>
      <c r="B655">
        <v>8754539</v>
      </c>
      <c r="C655">
        <v>12085090</v>
      </c>
      <c r="E655">
        <v>6.9600299999999997</v>
      </c>
      <c r="F655" t="s">
        <v>5224</v>
      </c>
      <c r="G655">
        <v>95</v>
      </c>
      <c r="H655" t="s">
        <v>5251</v>
      </c>
      <c r="I655">
        <v>0</v>
      </c>
      <c r="J655">
        <v>3.9772618155979336</v>
      </c>
      <c r="K655">
        <v>0</v>
      </c>
      <c r="L655">
        <v>0</v>
      </c>
      <c r="M655">
        <v>0</v>
      </c>
      <c r="O655">
        <v>200000</v>
      </c>
      <c r="R655" t="s">
        <v>162</v>
      </c>
      <c r="S655">
        <v>0</v>
      </c>
      <c r="T655">
        <v>3.0345730800000002E-3</v>
      </c>
      <c r="U655" t="s">
        <v>176</v>
      </c>
      <c r="V655">
        <v>2.5642215789473686E-3</v>
      </c>
      <c r="W655">
        <v>7.886226834315789E-2</v>
      </c>
      <c r="X655" t="s">
        <v>177</v>
      </c>
      <c r="Y655">
        <v>4.7317361005894737E-3</v>
      </c>
      <c r="Z655">
        <v>0</v>
      </c>
      <c r="AA655" t="s">
        <v>178</v>
      </c>
      <c r="AB655">
        <v>9.4634722011789473E-3</v>
      </c>
      <c r="AC655">
        <v>9.3057476644926321E-2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Q655" t="s">
        <v>9</v>
      </c>
      <c r="AR655" t="s">
        <v>263</v>
      </c>
      <c r="AS655">
        <v>7.3263473684210531E-2</v>
      </c>
    </row>
    <row r="656" spans="1:45" x14ac:dyDescent="0.15">
      <c r="A656" s="4" t="str">
        <f>HYPERLINK("https://ibp.a2mac1.com/costing(costing:projects/details/9760/material/8754540)","Paint - Clear Coat")</f>
        <v>Paint - Clear Coat</v>
      </c>
      <c r="B656">
        <v>8754540</v>
      </c>
      <c r="C656">
        <v>12085090</v>
      </c>
      <c r="E656">
        <v>9.0699199999999998</v>
      </c>
      <c r="F656" t="s">
        <v>5224</v>
      </c>
      <c r="G656">
        <v>98</v>
      </c>
      <c r="H656" t="s">
        <v>5650</v>
      </c>
      <c r="I656">
        <v>0</v>
      </c>
      <c r="J656">
        <v>3.9772618155979336</v>
      </c>
      <c r="K656">
        <v>0</v>
      </c>
      <c r="L656">
        <v>0</v>
      </c>
      <c r="M656">
        <v>0</v>
      </c>
      <c r="O656">
        <v>200000</v>
      </c>
      <c r="R656" t="s">
        <v>162</v>
      </c>
      <c r="S656">
        <v>0</v>
      </c>
      <c r="T656">
        <v>3.8334294530612246E-3</v>
      </c>
      <c r="U656" t="s">
        <v>176</v>
      </c>
      <c r="V656">
        <v>3.2392571428571429E-3</v>
      </c>
      <c r="W656">
        <v>9.9622890677551021E-2</v>
      </c>
      <c r="X656" t="s">
        <v>177</v>
      </c>
      <c r="Y656">
        <v>5.9773734406530611E-3</v>
      </c>
      <c r="Z656">
        <v>0</v>
      </c>
      <c r="AA656" t="s">
        <v>178</v>
      </c>
      <c r="AB656">
        <v>1.1954746881306122E-2</v>
      </c>
      <c r="AC656">
        <v>0.1175550109995102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Q656" t="s">
        <v>9</v>
      </c>
      <c r="AR656" t="s">
        <v>263</v>
      </c>
      <c r="AS656">
        <v>9.2550204081632656E-2</v>
      </c>
    </row>
    <row r="657" spans="1:45" x14ac:dyDescent="0.15">
      <c r="A657" s="4" t="str">
        <f>HYPERLINK("https://ibp.a2mac1.com/costing(costing:projects/details/9760/material/8754537)","Chrome for plating")</f>
        <v>Chrome for plating</v>
      </c>
      <c r="B657">
        <v>8754537</v>
      </c>
      <c r="C657">
        <v>12085089</v>
      </c>
      <c r="E657">
        <v>20.779219999999999</v>
      </c>
      <c r="F657" t="s">
        <v>843</v>
      </c>
      <c r="G657">
        <v>90</v>
      </c>
      <c r="H657" t="s">
        <v>5652</v>
      </c>
      <c r="I657">
        <v>0</v>
      </c>
      <c r="J657">
        <v>3.0049079516576462</v>
      </c>
      <c r="K657">
        <v>0</v>
      </c>
      <c r="L657">
        <v>0</v>
      </c>
      <c r="M657">
        <v>0</v>
      </c>
      <c r="O657">
        <v>200000</v>
      </c>
      <c r="R657" t="s">
        <v>162</v>
      </c>
      <c r="S657">
        <v>0</v>
      </c>
      <c r="T657">
        <v>2.0027473996444445E-2</v>
      </c>
      <c r="U657" t="s">
        <v>176</v>
      </c>
      <c r="V657">
        <v>2.2626261777777778E-2</v>
      </c>
      <c r="W657">
        <v>0.6891183579964445</v>
      </c>
      <c r="X657" t="s">
        <v>177</v>
      </c>
      <c r="Y657">
        <v>4.1347101479786666E-2</v>
      </c>
      <c r="Z657">
        <v>0</v>
      </c>
      <c r="AA657" t="s">
        <v>178</v>
      </c>
      <c r="AB657">
        <v>8.2694202959573332E-2</v>
      </c>
      <c r="AC657">
        <v>0.8131596624358044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Q657" t="s">
        <v>262</v>
      </c>
      <c r="AR657" t="s">
        <v>263</v>
      </c>
      <c r="AS657">
        <v>0.64646462222222223</v>
      </c>
    </row>
    <row r="658" spans="1:45" x14ac:dyDescent="0.15">
      <c r="A658" s="4" t="str">
        <f>HYPERLINK("https://ibp.a2mac1.com/costing(costing:projects/details/9760/material/8755754)","Standard Structural Steel sheet")</f>
        <v>Standard Structural Steel sheet</v>
      </c>
      <c r="B658">
        <v>8755754</v>
      </c>
      <c r="C658">
        <v>12086168</v>
      </c>
      <c r="E658">
        <v>0.61129999999999995</v>
      </c>
      <c r="F658" t="s">
        <v>5664</v>
      </c>
      <c r="G658">
        <v>80</v>
      </c>
      <c r="H658" t="s">
        <v>5665</v>
      </c>
      <c r="I658">
        <v>30</v>
      </c>
      <c r="J658">
        <v>1.9999600007999841E-3</v>
      </c>
      <c r="K658">
        <v>0</v>
      </c>
      <c r="M658">
        <v>0</v>
      </c>
      <c r="O658">
        <v>200000</v>
      </c>
      <c r="R658" t="s">
        <v>162</v>
      </c>
      <c r="S658">
        <v>0.17724643500000001</v>
      </c>
      <c r="T658">
        <v>5.9082144999999998E-5</v>
      </c>
      <c r="U658" t="s">
        <v>176</v>
      </c>
      <c r="V658">
        <v>0.10339375375</v>
      </c>
      <c r="W658">
        <v>2.8803136508949998</v>
      </c>
      <c r="X658" t="s">
        <v>90</v>
      </c>
      <c r="Y658">
        <v>0</v>
      </c>
      <c r="Z658">
        <v>0</v>
      </c>
      <c r="AA658" t="s">
        <v>90</v>
      </c>
      <c r="AB658">
        <v>0</v>
      </c>
      <c r="AC658">
        <v>2.8803136508949998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Q658" t="s">
        <v>262</v>
      </c>
      <c r="AR658" t="s">
        <v>263</v>
      </c>
      <c r="AS658">
        <v>2.9541072499999999</v>
      </c>
    </row>
    <row r="659" spans="1:45" x14ac:dyDescent="0.15">
      <c r="A659" s="4" t="str">
        <f>HYPERLINK("https://ibp.a2mac1.com/costing(costing:projects/details/9760/material/8755755)","Standard Structural Steel sheet")</f>
        <v>Standard Structural Steel sheet</v>
      </c>
      <c r="B659">
        <v>8755755</v>
      </c>
      <c r="C659">
        <v>12086169</v>
      </c>
      <c r="E659">
        <v>0.61129999999999995</v>
      </c>
      <c r="F659" t="s">
        <v>5668</v>
      </c>
      <c r="G659">
        <v>75</v>
      </c>
      <c r="H659" t="s">
        <v>5669</v>
      </c>
      <c r="I659">
        <v>30</v>
      </c>
      <c r="J659">
        <v>1.9999600007999841E-3</v>
      </c>
      <c r="K659">
        <v>0</v>
      </c>
      <c r="M659">
        <v>0</v>
      </c>
      <c r="O659">
        <v>400000</v>
      </c>
      <c r="R659" t="s">
        <v>162</v>
      </c>
      <c r="S659">
        <v>3.1176300000000001E-3</v>
      </c>
      <c r="T659">
        <v>8.3136799999999996E-7</v>
      </c>
      <c r="U659" t="s">
        <v>176</v>
      </c>
      <c r="V659">
        <v>1.454894E-3</v>
      </c>
      <c r="W659">
        <v>3.9906495367999999E-2</v>
      </c>
      <c r="X659" t="s">
        <v>177</v>
      </c>
      <c r="Y659">
        <v>2.3943897220800002E-3</v>
      </c>
      <c r="Z659">
        <v>0</v>
      </c>
      <c r="AA659" t="s">
        <v>178</v>
      </c>
      <c r="AB659">
        <v>4.7887794441600004E-3</v>
      </c>
      <c r="AC659">
        <v>4.7089664534240003E-2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Q659" t="s">
        <v>262</v>
      </c>
      <c r="AR659" t="s">
        <v>263</v>
      </c>
      <c r="AS659">
        <v>4.1568399999999998E-2</v>
      </c>
    </row>
    <row r="660" spans="1:45" x14ac:dyDescent="0.15">
      <c r="A660" s="4" t="str">
        <f>HYPERLINK("https://ibp.a2mac1.com/costing(costing:projects/details/9760/material/8755756)","Standard Structural Steel sheet")</f>
        <v>Standard Structural Steel sheet</v>
      </c>
      <c r="B660">
        <v>8755756</v>
      </c>
      <c r="C660">
        <v>12086170</v>
      </c>
      <c r="E660">
        <v>0.61129999999999995</v>
      </c>
      <c r="F660" t="s">
        <v>5674</v>
      </c>
      <c r="G660">
        <v>80</v>
      </c>
      <c r="H660" t="s">
        <v>5675</v>
      </c>
      <c r="I660">
        <v>30</v>
      </c>
      <c r="J660">
        <v>1.9999600007999841E-3</v>
      </c>
      <c r="K660">
        <v>0</v>
      </c>
      <c r="M660">
        <v>0</v>
      </c>
      <c r="O660">
        <v>400000</v>
      </c>
      <c r="R660" t="s">
        <v>162</v>
      </c>
      <c r="S660">
        <v>4.0345800000000003E-3</v>
      </c>
      <c r="T660">
        <v>1.34486E-6</v>
      </c>
      <c r="U660" t="s">
        <v>176</v>
      </c>
      <c r="V660">
        <v>2.3535050000000001E-3</v>
      </c>
      <c r="W660">
        <v>6.5563269859999995E-2</v>
      </c>
      <c r="X660" t="s">
        <v>177</v>
      </c>
      <c r="Y660">
        <v>3.9337961915999996E-3</v>
      </c>
      <c r="Z660">
        <v>0</v>
      </c>
      <c r="AA660" t="s">
        <v>178</v>
      </c>
      <c r="AB660">
        <v>7.8675923831999992E-3</v>
      </c>
      <c r="AC660">
        <v>7.7364658434800004E-2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Q660" t="s">
        <v>262</v>
      </c>
      <c r="AR660" t="s">
        <v>263</v>
      </c>
      <c r="AS660">
        <v>6.7242999999999997E-2</v>
      </c>
    </row>
    <row r="661" spans="1:45" x14ac:dyDescent="0.15">
      <c r="A661" s="4" t="str">
        <f>HYPERLINK("https://ibp.a2mac1.com/costing(costing:projects/details/9760/material/8755757)","Standard Structural Steel sheet")</f>
        <v>Standard Structural Steel sheet</v>
      </c>
      <c r="B661">
        <v>8755757</v>
      </c>
      <c r="C661">
        <v>12086171</v>
      </c>
      <c r="E661">
        <v>0.61129999999999995</v>
      </c>
      <c r="F661" t="s">
        <v>5680</v>
      </c>
      <c r="G661">
        <v>75</v>
      </c>
      <c r="H661" t="s">
        <v>5681</v>
      </c>
      <c r="I661">
        <v>30</v>
      </c>
      <c r="J661">
        <v>1.9999600007999841E-3</v>
      </c>
      <c r="K661">
        <v>0</v>
      </c>
      <c r="M661">
        <v>0</v>
      </c>
      <c r="O661">
        <v>400000</v>
      </c>
      <c r="R661" t="s">
        <v>162</v>
      </c>
      <c r="S661">
        <v>3.60667E-2</v>
      </c>
      <c r="T661">
        <v>9.6177866666666659E-6</v>
      </c>
      <c r="U661" t="s">
        <v>176</v>
      </c>
      <c r="V661">
        <v>1.6831126666666668E-2</v>
      </c>
      <c r="W661">
        <v>0.46166337778666666</v>
      </c>
      <c r="X661" t="s">
        <v>177</v>
      </c>
      <c r="Y661">
        <v>2.7699802667199999E-2</v>
      </c>
      <c r="Z661">
        <v>0</v>
      </c>
      <c r="AA661" t="s">
        <v>178</v>
      </c>
      <c r="AB661">
        <v>5.5399605334399998E-2</v>
      </c>
      <c r="AC661">
        <v>0.54476278578826665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Q661" t="s">
        <v>262</v>
      </c>
      <c r="AR661" t="s">
        <v>263</v>
      </c>
      <c r="AS661">
        <v>0.48088933333333334</v>
      </c>
    </row>
    <row r="662" spans="1:45" x14ac:dyDescent="0.15">
      <c r="A662" s="4" t="str">
        <f>HYPERLINK("https://ibp.a2mac1.com/costing(costing:projects/details/9760/material/8755758)","Standard Structural Steel sheet")</f>
        <v>Standard Structural Steel sheet</v>
      </c>
      <c r="B662">
        <v>8755758</v>
      </c>
      <c r="C662">
        <v>12086172</v>
      </c>
      <c r="E662">
        <v>0.61129999999999995</v>
      </c>
      <c r="F662" t="s">
        <v>5684</v>
      </c>
      <c r="G662">
        <v>80</v>
      </c>
      <c r="H662" t="s">
        <v>5685</v>
      </c>
      <c r="I662">
        <v>30</v>
      </c>
      <c r="J662">
        <v>1.9999600007999841E-3</v>
      </c>
      <c r="K662">
        <v>0</v>
      </c>
      <c r="M662">
        <v>0</v>
      </c>
      <c r="O662">
        <v>200000</v>
      </c>
      <c r="R662" t="s">
        <v>162</v>
      </c>
      <c r="S662">
        <v>2.1915105000000001E-2</v>
      </c>
      <c r="T662">
        <v>7.3050350000000003E-6</v>
      </c>
      <c r="U662" t="s">
        <v>176</v>
      </c>
      <c r="V662">
        <v>1.2783811250000001E-2</v>
      </c>
      <c r="W662">
        <v>0.35612776128500001</v>
      </c>
      <c r="X662" t="s">
        <v>177</v>
      </c>
      <c r="Y662">
        <v>2.1367665677099999E-2</v>
      </c>
      <c r="Z662">
        <v>0</v>
      </c>
      <c r="AA662" t="s">
        <v>178</v>
      </c>
      <c r="AB662">
        <v>4.2735331354199997E-2</v>
      </c>
      <c r="AC662">
        <v>0.42023075831630002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Q662" t="s">
        <v>262</v>
      </c>
      <c r="AR662" t="s">
        <v>263</v>
      </c>
      <c r="AS662">
        <v>0.36525174999999999</v>
      </c>
    </row>
    <row r="663" spans="1:45" x14ac:dyDescent="0.15">
      <c r="A663" s="4" t="str">
        <f>HYPERLINK("https://ibp.a2mac1.com/costing(costing:projects/details/9760/material/8755759)","Standard Structural Steel sheet")</f>
        <v>Standard Structural Steel sheet</v>
      </c>
      <c r="B663">
        <v>8755759</v>
      </c>
      <c r="C663">
        <v>12086173</v>
      </c>
      <c r="E663">
        <v>0.61129999999999995</v>
      </c>
      <c r="F663" t="s">
        <v>5692</v>
      </c>
      <c r="G663">
        <v>80</v>
      </c>
      <c r="H663" t="s">
        <v>5693</v>
      </c>
      <c r="I663">
        <v>30</v>
      </c>
      <c r="J663">
        <v>1.9999600007999841E-3</v>
      </c>
      <c r="K663">
        <v>0</v>
      </c>
      <c r="M663">
        <v>0</v>
      </c>
      <c r="O663">
        <v>200000</v>
      </c>
      <c r="R663" t="s">
        <v>162</v>
      </c>
      <c r="S663">
        <v>0.16009946999999999</v>
      </c>
      <c r="T663">
        <v>5.3366489999999997E-5</v>
      </c>
      <c r="U663" t="s">
        <v>176</v>
      </c>
      <c r="V663">
        <v>9.3391357499999994E-2</v>
      </c>
      <c r="W663">
        <v>2.60166975399</v>
      </c>
      <c r="X663" t="s">
        <v>90</v>
      </c>
      <c r="Y663">
        <v>0</v>
      </c>
      <c r="Z663">
        <v>0</v>
      </c>
      <c r="AA663" t="s">
        <v>90</v>
      </c>
      <c r="AB663">
        <v>0</v>
      </c>
      <c r="AC663">
        <v>2.60166975399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Q663" t="s">
        <v>262</v>
      </c>
      <c r="AR663" t="s">
        <v>263</v>
      </c>
      <c r="AS663">
        <v>2.6683245000000002</v>
      </c>
    </row>
    <row r="664" spans="1:45" x14ac:dyDescent="0.15">
      <c r="A664" s="4" t="str">
        <f>HYPERLINK("https://ibp.a2mac1.com/costing(costing:projects/details/9760/material/8755760)","Standard Structural Steel sheet")</f>
        <v>Standard Structural Steel sheet</v>
      </c>
      <c r="B664">
        <v>8755760</v>
      </c>
      <c r="C664">
        <v>12086174</v>
      </c>
      <c r="E664">
        <v>0.61129999999999995</v>
      </c>
      <c r="F664" t="s">
        <v>5696</v>
      </c>
      <c r="G664">
        <v>80</v>
      </c>
      <c r="H664" t="s">
        <v>5697</v>
      </c>
      <c r="I664">
        <v>30</v>
      </c>
      <c r="J664">
        <v>1.9999600007999841E-3</v>
      </c>
      <c r="K664">
        <v>0</v>
      </c>
      <c r="M664">
        <v>0</v>
      </c>
      <c r="O664">
        <v>200000</v>
      </c>
      <c r="R664" t="s">
        <v>162</v>
      </c>
      <c r="S664">
        <v>5.0982420000000001E-2</v>
      </c>
      <c r="T664">
        <v>1.699414E-5</v>
      </c>
      <c r="U664" t="s">
        <v>176</v>
      </c>
      <c r="V664">
        <v>2.9739745000000001E-2</v>
      </c>
      <c r="W664">
        <v>0.82848131914000001</v>
      </c>
      <c r="X664" t="s">
        <v>177</v>
      </c>
      <c r="Y664">
        <v>4.9708879148399998E-2</v>
      </c>
      <c r="Z664">
        <v>0</v>
      </c>
      <c r="AA664" t="s">
        <v>178</v>
      </c>
      <c r="AB664">
        <v>9.9417758296799996E-2</v>
      </c>
      <c r="AC664">
        <v>0.97760795658520006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Q664" t="s">
        <v>262</v>
      </c>
      <c r="AR664" t="s">
        <v>263</v>
      </c>
      <c r="AS664">
        <v>0.84970699999999999</v>
      </c>
    </row>
    <row r="665" spans="1:45" x14ac:dyDescent="0.15">
      <c r="A665" s="4" t="str">
        <f>HYPERLINK("https://ibp.a2mac1.com/costing(costing:projects/details/9760/material/8755761)","Standard Structural Steel sheet")</f>
        <v>Standard Structural Steel sheet</v>
      </c>
      <c r="B665">
        <v>8755761</v>
      </c>
      <c r="C665">
        <v>12086175</v>
      </c>
      <c r="E665">
        <v>0.61129999999999995</v>
      </c>
      <c r="F665" t="s">
        <v>5700</v>
      </c>
      <c r="G665">
        <v>75</v>
      </c>
      <c r="H665" t="s">
        <v>5701</v>
      </c>
      <c r="I665">
        <v>30</v>
      </c>
      <c r="J665">
        <v>1.9999600007999841E-3</v>
      </c>
      <c r="K665">
        <v>0</v>
      </c>
      <c r="M665">
        <v>0</v>
      </c>
      <c r="O665">
        <v>200000</v>
      </c>
      <c r="R665" t="s">
        <v>162</v>
      </c>
      <c r="S665">
        <v>8.8149459999999999E-2</v>
      </c>
      <c r="T665">
        <v>2.3506522666666666E-5</v>
      </c>
      <c r="U665" t="s">
        <v>176</v>
      </c>
      <c r="V665">
        <v>4.1136414666666669E-2</v>
      </c>
      <c r="W665">
        <v>1.1283365945226667</v>
      </c>
      <c r="X665" t="s">
        <v>177</v>
      </c>
      <c r="Y665">
        <v>6.770019567136E-2</v>
      </c>
      <c r="Z665">
        <v>0</v>
      </c>
      <c r="AA665" t="s">
        <v>178</v>
      </c>
      <c r="AB665">
        <v>0.13540039134272</v>
      </c>
      <c r="AC665">
        <v>1.3314371815367467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Q665" t="s">
        <v>262</v>
      </c>
      <c r="AR665" t="s">
        <v>263</v>
      </c>
      <c r="AS665">
        <v>1.1753261333333334</v>
      </c>
    </row>
    <row r="666" spans="1:45" x14ac:dyDescent="0.15">
      <c r="A666" s="4" t="str">
        <f>HYPERLINK("https://ibp.a2mac1.com/costing(costing:projects/details/9760/material/8754803)","Stainless steel (sheet, default)")</f>
        <v>Stainless steel (sheet, default)</v>
      </c>
      <c r="B666">
        <v>8754803</v>
      </c>
      <c r="C666">
        <v>12085231</v>
      </c>
      <c r="E666">
        <v>1.5449999999999999</v>
      </c>
      <c r="F666" t="s">
        <v>4377</v>
      </c>
      <c r="G666">
        <v>80</v>
      </c>
      <c r="H666" t="s">
        <v>5710</v>
      </c>
      <c r="I666">
        <v>15</v>
      </c>
      <c r="J666">
        <v>0.10389195236953569</v>
      </c>
      <c r="K666">
        <v>0</v>
      </c>
      <c r="L666">
        <v>0</v>
      </c>
      <c r="M666">
        <v>0</v>
      </c>
      <c r="O666">
        <v>200000</v>
      </c>
      <c r="R666" t="s">
        <v>162</v>
      </c>
      <c r="S666">
        <v>5.7937499999999999E-5</v>
      </c>
      <c r="T666">
        <v>2.0084999999999999E-6</v>
      </c>
      <c r="U666" t="s">
        <v>176</v>
      </c>
      <c r="V666">
        <v>6.759375E-5</v>
      </c>
      <c r="W666">
        <v>1.9429147500000001E-3</v>
      </c>
      <c r="X666" t="s">
        <v>177</v>
      </c>
      <c r="Y666">
        <v>1.16574885E-4</v>
      </c>
      <c r="Z666">
        <v>0</v>
      </c>
      <c r="AA666" t="s">
        <v>178</v>
      </c>
      <c r="AB666">
        <v>2.3314977E-4</v>
      </c>
      <c r="AC666">
        <v>2.2926394050000001E-3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Q666" t="s">
        <v>262</v>
      </c>
      <c r="AR666" t="s">
        <v>263</v>
      </c>
      <c r="AS666">
        <v>1.93125E-3</v>
      </c>
    </row>
    <row r="667" spans="1:45" x14ac:dyDescent="0.15">
      <c r="A667" s="4" t="str">
        <f>HYPERLINK("https://ibp.a2mac1.com/costing(costing:projects/details/9760/material/8754804)","Stainless steel (sheet, default)")</f>
        <v>Stainless steel (sheet, default)</v>
      </c>
      <c r="B667">
        <v>8754804</v>
      </c>
      <c r="C667">
        <v>12085232</v>
      </c>
      <c r="E667">
        <v>1.5449999999999999</v>
      </c>
      <c r="F667" t="s">
        <v>4377</v>
      </c>
      <c r="G667">
        <v>80</v>
      </c>
      <c r="H667" t="s">
        <v>5710</v>
      </c>
      <c r="I667">
        <v>15</v>
      </c>
      <c r="J667">
        <v>0.10389195236953569</v>
      </c>
      <c r="K667">
        <v>0</v>
      </c>
      <c r="L667">
        <v>0</v>
      </c>
      <c r="M667">
        <v>0</v>
      </c>
      <c r="O667">
        <v>200000</v>
      </c>
      <c r="R667" t="s">
        <v>162</v>
      </c>
      <c r="S667">
        <v>5.7937499999999999E-5</v>
      </c>
      <c r="T667">
        <v>2.0084999999999999E-6</v>
      </c>
      <c r="U667" t="s">
        <v>176</v>
      </c>
      <c r="V667">
        <v>6.759375E-5</v>
      </c>
      <c r="W667">
        <v>1.9429147500000001E-3</v>
      </c>
      <c r="X667" t="s">
        <v>177</v>
      </c>
      <c r="Y667">
        <v>1.16574885E-4</v>
      </c>
      <c r="Z667">
        <v>0</v>
      </c>
      <c r="AA667" t="s">
        <v>178</v>
      </c>
      <c r="AB667">
        <v>2.3314977E-4</v>
      </c>
      <c r="AC667">
        <v>2.2926394050000001E-3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Q667" t="s">
        <v>262</v>
      </c>
      <c r="AR667" t="s">
        <v>263</v>
      </c>
      <c r="AS667">
        <v>1.93125E-3</v>
      </c>
    </row>
    <row r="668" spans="1:45" x14ac:dyDescent="0.15">
      <c r="A668" s="4" t="str">
        <f>HYPERLINK("https://ibp.a2mac1.com/costing(costing:projects/details/9760/material/8754847)","Stainless steel (sheet, default)")</f>
        <v>Stainless steel (sheet, default)</v>
      </c>
      <c r="B668">
        <v>8754847</v>
      </c>
      <c r="C668">
        <v>12085233</v>
      </c>
      <c r="E668">
        <v>1.5449999999999999</v>
      </c>
      <c r="F668" t="s">
        <v>4377</v>
      </c>
      <c r="G668">
        <v>80</v>
      </c>
      <c r="H668" t="s">
        <v>5710</v>
      </c>
      <c r="I668">
        <v>15</v>
      </c>
      <c r="J668">
        <v>0.10389195236953569</v>
      </c>
      <c r="K668">
        <v>0</v>
      </c>
      <c r="L668">
        <v>0</v>
      </c>
      <c r="M668">
        <v>0</v>
      </c>
      <c r="O668">
        <v>200000</v>
      </c>
      <c r="R668" t="s">
        <v>162</v>
      </c>
      <c r="S668">
        <v>5.7937499999999999E-5</v>
      </c>
      <c r="T668">
        <v>2.0084999999999999E-6</v>
      </c>
      <c r="U668" t="s">
        <v>176</v>
      </c>
      <c r="V668">
        <v>6.759375E-5</v>
      </c>
      <c r="W668">
        <v>1.9429147500000001E-3</v>
      </c>
      <c r="X668" t="s">
        <v>177</v>
      </c>
      <c r="Y668">
        <v>1.16574885E-4</v>
      </c>
      <c r="Z668">
        <v>0</v>
      </c>
      <c r="AA668" t="s">
        <v>178</v>
      </c>
      <c r="AB668">
        <v>2.3314977E-4</v>
      </c>
      <c r="AC668">
        <v>2.2926394050000001E-3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Q668" t="s">
        <v>262</v>
      </c>
      <c r="AR668" t="s">
        <v>263</v>
      </c>
      <c r="AS668">
        <v>1.93125E-3</v>
      </c>
    </row>
    <row r="669" spans="1:45" x14ac:dyDescent="0.15">
      <c r="A669" s="4" t="str">
        <f>HYPERLINK("https://ibp.a2mac1.com/costing(costing:projects/details/9760/material/8754848)","Stainless steel (sheet, default)")</f>
        <v>Stainless steel (sheet, default)</v>
      </c>
      <c r="B669">
        <v>8754848</v>
      </c>
      <c r="C669">
        <v>12085234</v>
      </c>
      <c r="E669">
        <v>1.5449999999999999</v>
      </c>
      <c r="F669" t="s">
        <v>4377</v>
      </c>
      <c r="G669">
        <v>80</v>
      </c>
      <c r="H669" t="s">
        <v>5710</v>
      </c>
      <c r="I669">
        <v>15</v>
      </c>
      <c r="J669">
        <v>0.10389195236953569</v>
      </c>
      <c r="K669">
        <v>0</v>
      </c>
      <c r="L669">
        <v>0</v>
      </c>
      <c r="M669">
        <v>0</v>
      </c>
      <c r="O669">
        <v>200000</v>
      </c>
      <c r="R669" t="s">
        <v>162</v>
      </c>
      <c r="S669">
        <v>5.7937499999999999E-5</v>
      </c>
      <c r="T669">
        <v>2.0084999999999999E-6</v>
      </c>
      <c r="U669" t="s">
        <v>176</v>
      </c>
      <c r="V669">
        <v>6.759375E-5</v>
      </c>
      <c r="W669">
        <v>1.9429147500000001E-3</v>
      </c>
      <c r="X669" t="s">
        <v>177</v>
      </c>
      <c r="Y669">
        <v>1.16574885E-4</v>
      </c>
      <c r="Z669">
        <v>0</v>
      </c>
      <c r="AA669" t="s">
        <v>178</v>
      </c>
      <c r="AB669">
        <v>2.3314977E-4</v>
      </c>
      <c r="AC669">
        <v>2.2926394050000001E-3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Q669" t="s">
        <v>262</v>
      </c>
      <c r="AR669" t="s">
        <v>263</v>
      </c>
      <c r="AS669">
        <v>1.93125E-3</v>
      </c>
    </row>
    <row r="670" spans="1:45" x14ac:dyDescent="0.15">
      <c r="A670" s="4" t="str">
        <f>HYPERLINK("https://ibp.a2mac1.com/costing(costing:projects/details/9760/material/8754849)","Stainless steel (sheet, default)")</f>
        <v>Stainless steel (sheet, default)</v>
      </c>
      <c r="B670">
        <v>8754849</v>
      </c>
      <c r="C670">
        <v>12085235</v>
      </c>
      <c r="E670">
        <v>1.5449999999999999</v>
      </c>
      <c r="F670" t="s">
        <v>4377</v>
      </c>
      <c r="G670">
        <v>80</v>
      </c>
      <c r="H670" t="s">
        <v>5710</v>
      </c>
      <c r="I670">
        <v>15</v>
      </c>
      <c r="J670">
        <v>0.10389195236953569</v>
      </c>
      <c r="K670">
        <v>0</v>
      </c>
      <c r="L670">
        <v>0</v>
      </c>
      <c r="M670">
        <v>0</v>
      </c>
      <c r="O670">
        <v>200000</v>
      </c>
      <c r="R670" t="s">
        <v>162</v>
      </c>
      <c r="S670">
        <v>5.7937499999999999E-5</v>
      </c>
      <c r="T670">
        <v>2.0084999999999999E-6</v>
      </c>
      <c r="U670" t="s">
        <v>176</v>
      </c>
      <c r="V670">
        <v>6.759375E-5</v>
      </c>
      <c r="W670">
        <v>1.9429147500000001E-3</v>
      </c>
      <c r="X670" t="s">
        <v>177</v>
      </c>
      <c r="Y670">
        <v>1.16574885E-4</v>
      </c>
      <c r="Z670">
        <v>0</v>
      </c>
      <c r="AA670" t="s">
        <v>178</v>
      </c>
      <c r="AB670">
        <v>2.3314977E-4</v>
      </c>
      <c r="AC670">
        <v>2.2926394050000001E-3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Q670" t="s">
        <v>262</v>
      </c>
      <c r="AR670" t="s">
        <v>263</v>
      </c>
      <c r="AS670">
        <v>1.93125E-3</v>
      </c>
    </row>
    <row r="671" spans="1:45" x14ac:dyDescent="0.15">
      <c r="A671" s="4" t="str">
        <f>HYPERLINK("https://ibp.a2mac1.com/costing(costing:projects/details/9760/material/8754850)","Stainless steel (sheet, default)")</f>
        <v>Stainless steel (sheet, default)</v>
      </c>
      <c r="B671">
        <v>8754850</v>
      </c>
      <c r="C671">
        <v>12085236</v>
      </c>
      <c r="E671">
        <v>1.5449999999999999</v>
      </c>
      <c r="F671" t="s">
        <v>4377</v>
      </c>
      <c r="G671">
        <v>80</v>
      </c>
      <c r="H671" t="s">
        <v>5710</v>
      </c>
      <c r="I671">
        <v>15</v>
      </c>
      <c r="J671">
        <v>0.10389195236953569</v>
      </c>
      <c r="K671">
        <v>0</v>
      </c>
      <c r="L671">
        <v>0</v>
      </c>
      <c r="M671">
        <v>0</v>
      </c>
      <c r="O671">
        <v>200000</v>
      </c>
      <c r="R671" t="s">
        <v>162</v>
      </c>
      <c r="S671">
        <v>5.7937499999999999E-5</v>
      </c>
      <c r="T671">
        <v>2.0084999999999999E-6</v>
      </c>
      <c r="U671" t="s">
        <v>176</v>
      </c>
      <c r="V671">
        <v>6.759375E-5</v>
      </c>
      <c r="W671">
        <v>1.9429147500000001E-3</v>
      </c>
      <c r="X671" t="s">
        <v>177</v>
      </c>
      <c r="Y671">
        <v>1.16574885E-4</v>
      </c>
      <c r="Z671">
        <v>0</v>
      </c>
      <c r="AA671" t="s">
        <v>178</v>
      </c>
      <c r="AB671">
        <v>2.3314977E-4</v>
      </c>
      <c r="AC671">
        <v>2.2926394050000001E-3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Q671" t="s">
        <v>262</v>
      </c>
      <c r="AR671" t="s">
        <v>263</v>
      </c>
      <c r="AS671">
        <v>1.93125E-3</v>
      </c>
    </row>
    <row r="672" spans="1:45" x14ac:dyDescent="0.15">
      <c r="A672" s="4" t="str">
        <f>HYPERLINK("https://ibp.a2mac1.com/costing(costing:projects/details/9760/material/8755252)","Standard Structural Steel sheet")</f>
        <v>Standard Structural Steel sheet</v>
      </c>
      <c r="B672">
        <v>8755252</v>
      </c>
      <c r="C672">
        <v>12085525</v>
      </c>
      <c r="E672">
        <v>0.61129999999999995</v>
      </c>
      <c r="F672" t="s">
        <v>4425</v>
      </c>
      <c r="G672">
        <v>80</v>
      </c>
      <c r="H672" t="s">
        <v>5728</v>
      </c>
      <c r="I672">
        <v>30</v>
      </c>
      <c r="J672">
        <v>1.9999600007999841E-3</v>
      </c>
      <c r="K672">
        <v>0</v>
      </c>
      <c r="M672">
        <v>0</v>
      </c>
      <c r="O672">
        <v>200000</v>
      </c>
      <c r="R672" t="s">
        <v>162</v>
      </c>
      <c r="S672">
        <v>1.008645E-2</v>
      </c>
      <c r="T672">
        <v>3.3621500000000001E-6</v>
      </c>
      <c r="U672" t="s">
        <v>176</v>
      </c>
      <c r="V672">
        <v>5.8837624999999996E-3</v>
      </c>
      <c r="W672">
        <v>0.16390817464999999</v>
      </c>
      <c r="X672" t="s">
        <v>90</v>
      </c>
      <c r="Y672">
        <v>0</v>
      </c>
      <c r="Z672">
        <v>0</v>
      </c>
      <c r="AA672" t="s">
        <v>90</v>
      </c>
      <c r="AB672">
        <v>0</v>
      </c>
      <c r="AC672">
        <v>0.16390817464999999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Q672" t="s">
        <v>262</v>
      </c>
      <c r="AR672" t="s">
        <v>263</v>
      </c>
      <c r="AS672">
        <v>0.16810749999999999</v>
      </c>
    </row>
    <row r="673" spans="1:45" x14ac:dyDescent="0.15">
      <c r="A673" s="4" t="str">
        <f>HYPERLINK("https://ibp.a2mac1.com/costing(costing:projects/details/9760/material/8755253)","Standard Structural Steel sheet")</f>
        <v>Standard Structural Steel sheet</v>
      </c>
      <c r="B673">
        <v>8755253</v>
      </c>
      <c r="C673">
        <v>12085526</v>
      </c>
      <c r="E673">
        <v>0.61129999999999995</v>
      </c>
      <c r="F673" t="s">
        <v>5731</v>
      </c>
      <c r="G673">
        <v>80</v>
      </c>
      <c r="H673" t="s">
        <v>5732</v>
      </c>
      <c r="I673">
        <v>30</v>
      </c>
      <c r="J673">
        <v>1.9999600007999841E-3</v>
      </c>
      <c r="K673">
        <v>0</v>
      </c>
      <c r="M673">
        <v>0</v>
      </c>
      <c r="O673">
        <v>200000</v>
      </c>
      <c r="R673" t="s">
        <v>162</v>
      </c>
      <c r="S673">
        <v>1.86599325E-2</v>
      </c>
      <c r="T673">
        <v>6.2199774999999999E-6</v>
      </c>
      <c r="U673" t="s">
        <v>176</v>
      </c>
      <c r="V673">
        <v>1.0884960625E-2</v>
      </c>
      <c r="W673">
        <v>0.30323012310250003</v>
      </c>
      <c r="X673" t="s">
        <v>90</v>
      </c>
      <c r="Y673">
        <v>0</v>
      </c>
      <c r="Z673">
        <v>0</v>
      </c>
      <c r="AA673" t="s">
        <v>90</v>
      </c>
      <c r="AB673">
        <v>0</v>
      </c>
      <c r="AC673">
        <v>0.30323012310250003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Q673" t="s">
        <v>262</v>
      </c>
      <c r="AR673" t="s">
        <v>263</v>
      </c>
      <c r="AS673">
        <v>0.31099887500000001</v>
      </c>
    </row>
    <row r="674" spans="1:45" x14ac:dyDescent="0.15">
      <c r="A674" s="4" t="str">
        <f>HYPERLINK("https://ibp.a2mac1.com/costing(costing:projects/details/9760/material/8755254)","Standard Structural Steel sheet")</f>
        <v>Standard Structural Steel sheet</v>
      </c>
      <c r="B674">
        <v>8755254</v>
      </c>
      <c r="C674">
        <v>12085527</v>
      </c>
      <c r="E674">
        <v>0.61129999999999995</v>
      </c>
      <c r="F674" t="s">
        <v>5735</v>
      </c>
      <c r="G674">
        <v>80</v>
      </c>
      <c r="H674" t="s">
        <v>5736</v>
      </c>
      <c r="I674">
        <v>30</v>
      </c>
      <c r="J674">
        <v>1.9999600007999841E-3</v>
      </c>
      <c r="K674">
        <v>0</v>
      </c>
      <c r="M674">
        <v>0</v>
      </c>
      <c r="O674">
        <v>200000</v>
      </c>
      <c r="R674" t="s">
        <v>162</v>
      </c>
      <c r="S674">
        <v>5.2082759999999999E-2</v>
      </c>
      <c r="T674">
        <v>1.736092E-5</v>
      </c>
      <c r="U674" t="s">
        <v>176</v>
      </c>
      <c r="V674">
        <v>3.038161E-2</v>
      </c>
      <c r="W674">
        <v>0.84636221091999997</v>
      </c>
      <c r="X674" t="s">
        <v>90</v>
      </c>
      <c r="Y674">
        <v>0</v>
      </c>
      <c r="Z674">
        <v>0</v>
      </c>
      <c r="AA674" t="s">
        <v>90</v>
      </c>
      <c r="AB674">
        <v>0</v>
      </c>
      <c r="AC674">
        <v>0.84636221091999997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Q674" t="s">
        <v>262</v>
      </c>
      <c r="AR674" t="s">
        <v>263</v>
      </c>
      <c r="AS674">
        <v>0.86804599999999998</v>
      </c>
    </row>
    <row r="675" spans="1:45" x14ac:dyDescent="0.15">
      <c r="A675" s="4" t="str">
        <f>HYPERLINK("https://ibp.a2mac1.com/costing(costing:projects/details/9760/material/8755255)","Standard Structural Steel sheet")</f>
        <v>Standard Structural Steel sheet</v>
      </c>
      <c r="B675">
        <v>8755255</v>
      </c>
      <c r="C675">
        <v>12085528</v>
      </c>
      <c r="E675">
        <v>0.61129999999999995</v>
      </c>
      <c r="F675" t="s">
        <v>5740</v>
      </c>
      <c r="G675">
        <v>70</v>
      </c>
      <c r="H675" t="s">
        <v>5741</v>
      </c>
      <c r="I675">
        <v>30</v>
      </c>
      <c r="J675">
        <v>1.9999600007999841E-3</v>
      </c>
      <c r="K675">
        <v>0</v>
      </c>
      <c r="M675">
        <v>0</v>
      </c>
      <c r="O675">
        <v>200000</v>
      </c>
      <c r="R675" t="s">
        <v>162</v>
      </c>
      <c r="S675">
        <v>1.3518462857142857E-2</v>
      </c>
      <c r="T675">
        <v>3.004102857142857E-6</v>
      </c>
      <c r="U675" t="s">
        <v>176</v>
      </c>
      <c r="V675">
        <v>5.2571800000000002E-3</v>
      </c>
      <c r="W675">
        <v>0.14194686410285715</v>
      </c>
      <c r="X675" t="s">
        <v>90</v>
      </c>
      <c r="Y675">
        <v>0</v>
      </c>
      <c r="Z675">
        <v>0</v>
      </c>
      <c r="AA675" t="s">
        <v>90</v>
      </c>
      <c r="AB675">
        <v>0</v>
      </c>
      <c r="AC675">
        <v>0.14194686410285715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Q675" t="s">
        <v>262</v>
      </c>
      <c r="AR675" t="s">
        <v>263</v>
      </c>
      <c r="AS675">
        <v>0.15020514285714287</v>
      </c>
    </row>
    <row r="676" spans="1:45" x14ac:dyDescent="0.15">
      <c r="A676" s="4" t="str">
        <f>HYPERLINK("https://ibp.a2mac1.com/costing(costing:projects/details/9760/material/8755256)","Standard Structural Steel sheet")</f>
        <v>Standard Structural Steel sheet</v>
      </c>
      <c r="B676">
        <v>8755256</v>
      </c>
      <c r="C676">
        <v>12085529</v>
      </c>
      <c r="E676">
        <v>0.61129999999999995</v>
      </c>
      <c r="F676" t="s">
        <v>4425</v>
      </c>
      <c r="G676">
        <v>80</v>
      </c>
      <c r="H676" t="s">
        <v>5728</v>
      </c>
      <c r="I676">
        <v>30</v>
      </c>
      <c r="J676">
        <v>1.9999600007999841E-3</v>
      </c>
      <c r="K676">
        <v>0</v>
      </c>
      <c r="M676">
        <v>0</v>
      </c>
      <c r="O676">
        <v>200000</v>
      </c>
      <c r="R676" t="s">
        <v>162</v>
      </c>
      <c r="S676">
        <v>1.008645E-2</v>
      </c>
      <c r="T676">
        <v>3.3621500000000001E-6</v>
      </c>
      <c r="U676" t="s">
        <v>176</v>
      </c>
      <c r="V676">
        <v>5.8837624999999996E-3</v>
      </c>
      <c r="W676">
        <v>0.16390817464999999</v>
      </c>
      <c r="X676" t="s">
        <v>90</v>
      </c>
      <c r="Y676">
        <v>0</v>
      </c>
      <c r="Z676">
        <v>0</v>
      </c>
      <c r="AA676" t="s">
        <v>90</v>
      </c>
      <c r="AB676">
        <v>0</v>
      </c>
      <c r="AC676">
        <v>0.16390817464999999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Q676" t="s">
        <v>262</v>
      </c>
      <c r="AR676" t="s">
        <v>263</v>
      </c>
      <c r="AS676">
        <v>0.16810749999999999</v>
      </c>
    </row>
    <row r="677" spans="1:45" x14ac:dyDescent="0.15">
      <c r="A677" s="4" t="str">
        <f>HYPERLINK("https://ibp.a2mac1.com/costing(costing:projects/details/9760/material/8755257)","Standard Structural Steel sheet")</f>
        <v>Standard Structural Steel sheet</v>
      </c>
      <c r="B677">
        <v>8755257</v>
      </c>
      <c r="C677">
        <v>12085530</v>
      </c>
      <c r="E677">
        <v>0.61129999999999995</v>
      </c>
      <c r="F677" t="s">
        <v>5731</v>
      </c>
      <c r="G677">
        <v>80</v>
      </c>
      <c r="H677" t="s">
        <v>5732</v>
      </c>
      <c r="I677">
        <v>30</v>
      </c>
      <c r="J677">
        <v>1.9999600007999841E-3</v>
      </c>
      <c r="K677">
        <v>0</v>
      </c>
      <c r="M677">
        <v>0</v>
      </c>
      <c r="O677">
        <v>200000</v>
      </c>
      <c r="R677" t="s">
        <v>162</v>
      </c>
      <c r="S677">
        <v>1.86599325E-2</v>
      </c>
      <c r="T677">
        <v>6.2199774999999999E-6</v>
      </c>
      <c r="U677" t="s">
        <v>176</v>
      </c>
      <c r="V677">
        <v>1.0884960625E-2</v>
      </c>
      <c r="W677">
        <v>0.30323012310250003</v>
      </c>
      <c r="X677" t="s">
        <v>90</v>
      </c>
      <c r="Y677">
        <v>0</v>
      </c>
      <c r="Z677">
        <v>0</v>
      </c>
      <c r="AA677" t="s">
        <v>90</v>
      </c>
      <c r="AB677">
        <v>0</v>
      </c>
      <c r="AC677">
        <v>0.30323012310250003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Q677" t="s">
        <v>262</v>
      </c>
      <c r="AR677" t="s">
        <v>263</v>
      </c>
      <c r="AS677">
        <v>0.31099887500000001</v>
      </c>
    </row>
    <row r="678" spans="1:45" x14ac:dyDescent="0.15">
      <c r="A678" s="4" t="str">
        <f>HYPERLINK("https://ibp.a2mac1.com/costing(costing:projects/details/9760/material/8755258)","Standard Structural Steel sheet")</f>
        <v>Standard Structural Steel sheet</v>
      </c>
      <c r="B678">
        <v>8755258</v>
      </c>
      <c r="C678">
        <v>12085531</v>
      </c>
      <c r="E678">
        <v>0.61129999999999995</v>
      </c>
      <c r="F678" t="s">
        <v>5735</v>
      </c>
      <c r="G678">
        <v>80</v>
      </c>
      <c r="H678" t="s">
        <v>5736</v>
      </c>
      <c r="I678">
        <v>30</v>
      </c>
      <c r="J678">
        <v>1.9999600007999841E-3</v>
      </c>
      <c r="K678">
        <v>0</v>
      </c>
      <c r="M678">
        <v>0</v>
      </c>
      <c r="O678">
        <v>200000</v>
      </c>
      <c r="R678" t="s">
        <v>162</v>
      </c>
      <c r="S678">
        <v>5.2082759999999999E-2</v>
      </c>
      <c r="T678">
        <v>1.736092E-5</v>
      </c>
      <c r="U678" t="s">
        <v>176</v>
      </c>
      <c r="V678">
        <v>3.038161E-2</v>
      </c>
      <c r="W678">
        <v>0.84636221091999997</v>
      </c>
      <c r="X678" t="s">
        <v>90</v>
      </c>
      <c r="Y678">
        <v>0</v>
      </c>
      <c r="Z678">
        <v>0</v>
      </c>
      <c r="AA678" t="s">
        <v>90</v>
      </c>
      <c r="AB678">
        <v>0</v>
      </c>
      <c r="AC678">
        <v>0.84636221091999997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Q678" t="s">
        <v>262</v>
      </c>
      <c r="AR678" t="s">
        <v>263</v>
      </c>
      <c r="AS678">
        <v>0.86804599999999998</v>
      </c>
    </row>
    <row r="679" spans="1:45" x14ac:dyDescent="0.15">
      <c r="A679" s="4" t="str">
        <f>HYPERLINK("https://ibp.a2mac1.com/costing(costing:projects/details/9760/material/8755259)","Standard Structural Steel sheet")</f>
        <v>Standard Structural Steel sheet</v>
      </c>
      <c r="B679">
        <v>8755259</v>
      </c>
      <c r="C679">
        <v>12085532</v>
      </c>
      <c r="E679">
        <v>0.61129999999999995</v>
      </c>
      <c r="F679" t="s">
        <v>5740</v>
      </c>
      <c r="G679">
        <v>70</v>
      </c>
      <c r="H679" t="s">
        <v>5741</v>
      </c>
      <c r="I679">
        <v>30</v>
      </c>
      <c r="J679">
        <v>1.9999600007999841E-3</v>
      </c>
      <c r="K679">
        <v>0</v>
      </c>
      <c r="M679">
        <v>0</v>
      </c>
      <c r="O679">
        <v>200000</v>
      </c>
      <c r="R679" t="s">
        <v>162</v>
      </c>
      <c r="S679">
        <v>1.3518462857142857E-2</v>
      </c>
      <c r="T679">
        <v>3.004102857142857E-6</v>
      </c>
      <c r="U679" t="s">
        <v>176</v>
      </c>
      <c r="V679">
        <v>5.2571800000000002E-3</v>
      </c>
      <c r="W679">
        <v>0.14194686410285715</v>
      </c>
      <c r="X679" t="s">
        <v>90</v>
      </c>
      <c r="Y679">
        <v>0</v>
      </c>
      <c r="Z679">
        <v>0</v>
      </c>
      <c r="AA679" t="s">
        <v>90</v>
      </c>
      <c r="AB679">
        <v>0</v>
      </c>
      <c r="AC679">
        <v>0.14194686410285715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Q679" t="s">
        <v>262</v>
      </c>
      <c r="AR679" t="s">
        <v>263</v>
      </c>
      <c r="AS679">
        <v>0.15020514285714287</v>
      </c>
    </row>
    <row r="680" spans="1:45" x14ac:dyDescent="0.15">
      <c r="A680" s="4" t="str">
        <f>HYPERLINK("https://ibp.a2mac1.com/costing(costing:projects/details/9760/material/8754851)","PP-TD20")</f>
        <v>PP-TD20</v>
      </c>
      <c r="B680">
        <v>8754851</v>
      </c>
      <c r="C680">
        <v>12085238</v>
      </c>
      <c r="E680">
        <v>1.1148100000000001</v>
      </c>
      <c r="F680" t="s">
        <v>5755</v>
      </c>
      <c r="G680">
        <v>97</v>
      </c>
      <c r="H680" t="s">
        <v>5756</v>
      </c>
      <c r="I680">
        <v>5</v>
      </c>
      <c r="J680">
        <v>0.20557651238448796</v>
      </c>
      <c r="K680">
        <v>0</v>
      </c>
      <c r="M680">
        <v>0</v>
      </c>
      <c r="O680">
        <v>200000</v>
      </c>
      <c r="R680" t="s">
        <v>162</v>
      </c>
      <c r="S680">
        <v>3.0686007216494844E-4</v>
      </c>
      <c r="T680">
        <v>4.214211657731959E-4</v>
      </c>
      <c r="U680" t="s">
        <v>176</v>
      </c>
      <c r="V680">
        <v>7.1600683505154642E-3</v>
      </c>
      <c r="W680">
        <v>0.21184801088742269</v>
      </c>
      <c r="X680" t="s">
        <v>177</v>
      </c>
      <c r="Y680">
        <v>1.2710880653245361E-2</v>
      </c>
      <c r="Z680">
        <v>0</v>
      </c>
      <c r="AA680" t="s">
        <v>178</v>
      </c>
      <c r="AB680">
        <v>2.5421761306490723E-2</v>
      </c>
      <c r="AC680">
        <v>0.24998065284715876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Q680" t="s">
        <v>262</v>
      </c>
      <c r="AR680" t="s">
        <v>263</v>
      </c>
      <c r="AS680">
        <v>0.20457338144329898</v>
      </c>
    </row>
    <row r="681" spans="1:45" x14ac:dyDescent="0.15">
      <c r="A681" s="4" t="str">
        <f>HYPERLINK("https://ibp.a2mac1.com/costing(costing:projects/details/9760/material/8754852)","PP-TD20")</f>
        <v>PP-TD20</v>
      </c>
      <c r="B681">
        <v>8754852</v>
      </c>
      <c r="C681">
        <v>12085239</v>
      </c>
      <c r="E681">
        <v>1.1148100000000001</v>
      </c>
      <c r="F681" t="s">
        <v>5755</v>
      </c>
      <c r="G681">
        <v>97</v>
      </c>
      <c r="H681" t="s">
        <v>5756</v>
      </c>
      <c r="I681">
        <v>5</v>
      </c>
      <c r="J681">
        <v>0.20557651238448796</v>
      </c>
      <c r="K681">
        <v>0</v>
      </c>
      <c r="M681">
        <v>0</v>
      </c>
      <c r="O681">
        <v>200000</v>
      </c>
      <c r="R681" t="s">
        <v>162</v>
      </c>
      <c r="S681">
        <v>3.0686007216494844E-4</v>
      </c>
      <c r="T681">
        <v>4.214211657731959E-4</v>
      </c>
      <c r="U681" t="s">
        <v>176</v>
      </c>
      <c r="V681">
        <v>7.1600683505154642E-3</v>
      </c>
      <c r="W681">
        <v>0.21184801088742269</v>
      </c>
      <c r="X681" t="s">
        <v>177</v>
      </c>
      <c r="Y681">
        <v>1.2710880653245361E-2</v>
      </c>
      <c r="Z681">
        <v>0</v>
      </c>
      <c r="AA681" t="s">
        <v>178</v>
      </c>
      <c r="AB681">
        <v>2.5421761306490723E-2</v>
      </c>
      <c r="AC681">
        <v>0.24998065284715876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Q681" t="s">
        <v>262</v>
      </c>
      <c r="AR681" t="s">
        <v>263</v>
      </c>
      <c r="AS681">
        <v>0.20457338144329898</v>
      </c>
    </row>
    <row r="682" spans="1:45" x14ac:dyDescent="0.15">
      <c r="A682" s="4" t="str">
        <f>HYPERLINK("https://ibp.a2mac1.com/costing(costing:projects/details/9760/material/8754853)","Standard Structural Steel sheet")</f>
        <v>Standard Structural Steel sheet</v>
      </c>
      <c r="B682">
        <v>8754853</v>
      </c>
      <c r="C682">
        <v>12085241</v>
      </c>
      <c r="E682">
        <v>0.61129999999999995</v>
      </c>
      <c r="F682" t="s">
        <v>4695</v>
      </c>
      <c r="G682">
        <v>80</v>
      </c>
      <c r="H682" t="s">
        <v>5766</v>
      </c>
      <c r="I682">
        <v>30</v>
      </c>
      <c r="J682">
        <v>0.30407257863516274</v>
      </c>
      <c r="K682">
        <v>0</v>
      </c>
      <c r="M682">
        <v>0</v>
      </c>
      <c r="O682">
        <v>400000</v>
      </c>
      <c r="R682" t="s">
        <v>162</v>
      </c>
      <c r="S682">
        <v>1.0223992499999999E-2</v>
      </c>
      <c r="T682">
        <v>5.1971961875E-4</v>
      </c>
      <c r="U682" t="s">
        <v>176</v>
      </c>
      <c r="V682">
        <v>5.9639956250000003E-3</v>
      </c>
      <c r="W682">
        <v>0.16665959774375</v>
      </c>
      <c r="X682" t="s">
        <v>177</v>
      </c>
      <c r="Y682">
        <v>9.9995758646250002E-3</v>
      </c>
      <c r="Z682">
        <v>0</v>
      </c>
      <c r="AA682" t="s">
        <v>178</v>
      </c>
      <c r="AB682">
        <v>1.999915172925E-2</v>
      </c>
      <c r="AC682">
        <v>0.19665832533762501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Q682" t="s">
        <v>262</v>
      </c>
      <c r="AR682" t="s">
        <v>263</v>
      </c>
      <c r="AS682">
        <v>0.17039987500000001</v>
      </c>
    </row>
    <row r="683" spans="1:45" x14ac:dyDescent="0.15">
      <c r="A683" s="4" t="str">
        <f>HYPERLINK("https://ibp.a2mac1.com/costing(costing:projects/details/9760/material/8754854)","EPDM")</f>
        <v>EPDM</v>
      </c>
      <c r="B683">
        <v>8754854</v>
      </c>
      <c r="C683">
        <v>12085244</v>
      </c>
      <c r="E683">
        <v>2.78701</v>
      </c>
      <c r="F683" t="s">
        <v>5774</v>
      </c>
      <c r="G683">
        <v>95</v>
      </c>
      <c r="H683" t="s">
        <v>5775</v>
      </c>
      <c r="I683">
        <v>5</v>
      </c>
      <c r="J683">
        <v>0.20557651238448796</v>
      </c>
      <c r="K683">
        <v>0</v>
      </c>
      <c r="L683">
        <v>0</v>
      </c>
      <c r="M683">
        <v>0</v>
      </c>
      <c r="O683">
        <v>200000</v>
      </c>
      <c r="R683" t="s">
        <v>162</v>
      </c>
      <c r="S683">
        <v>5.0723582E-3</v>
      </c>
      <c r="T683">
        <v>4.1796231568000004E-3</v>
      </c>
      <c r="U683" t="s">
        <v>176</v>
      </c>
      <c r="V683">
        <v>7.1013014799999996E-2</v>
      </c>
      <c r="W683">
        <v>2.0990635597568001</v>
      </c>
      <c r="X683" t="s">
        <v>177</v>
      </c>
      <c r="Y683">
        <v>0.12594381358540799</v>
      </c>
      <c r="Z683">
        <v>0</v>
      </c>
      <c r="AA683" t="s">
        <v>178</v>
      </c>
      <c r="AB683">
        <v>0.25188762717081598</v>
      </c>
      <c r="AC683">
        <v>2.4768950005130241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P683" t="s">
        <v>5378</v>
      </c>
      <c r="AQ683" t="s">
        <v>262</v>
      </c>
      <c r="AR683" t="s">
        <v>263</v>
      </c>
      <c r="AS683">
        <v>2.02894328</v>
      </c>
    </row>
    <row r="684" spans="1:45" x14ac:dyDescent="0.15">
      <c r="A684" s="4" t="str">
        <f>HYPERLINK("https://ibp.a2mac1.com/costing(costing:projects/details/9760/material/8754855)","Standard Structural Steel sheet")</f>
        <v>Standard Structural Steel sheet</v>
      </c>
      <c r="B684">
        <v>8754855</v>
      </c>
      <c r="C684">
        <v>12085244</v>
      </c>
      <c r="E684">
        <v>0.61129999999999995</v>
      </c>
      <c r="F684" t="s">
        <v>5777</v>
      </c>
      <c r="G684">
        <v>95</v>
      </c>
      <c r="H684" t="s">
        <v>5778</v>
      </c>
      <c r="I684">
        <v>30</v>
      </c>
      <c r="J684">
        <v>0.20557651238448796</v>
      </c>
      <c r="K684">
        <v>0</v>
      </c>
      <c r="L684">
        <v>0</v>
      </c>
      <c r="M684">
        <v>0</v>
      </c>
      <c r="O684">
        <v>200000</v>
      </c>
      <c r="R684" t="s">
        <v>162</v>
      </c>
      <c r="S684">
        <v>2.8608840000000002E-3</v>
      </c>
      <c r="T684">
        <v>3.9289473600000001E-4</v>
      </c>
      <c r="U684" t="s">
        <v>176</v>
      </c>
      <c r="V684">
        <v>6.6753960000000001E-3</v>
      </c>
      <c r="W684">
        <v>0.194933006736</v>
      </c>
      <c r="X684" t="s">
        <v>177</v>
      </c>
      <c r="Y684">
        <v>1.1695980404160001E-2</v>
      </c>
      <c r="Z684">
        <v>0</v>
      </c>
      <c r="AA684" t="s">
        <v>178</v>
      </c>
      <c r="AB684">
        <v>2.3391960808320001E-2</v>
      </c>
      <c r="AC684">
        <v>0.23002094794847999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Q684" t="s">
        <v>262</v>
      </c>
      <c r="AR684" t="s">
        <v>263</v>
      </c>
      <c r="AS684">
        <v>0.1907256</v>
      </c>
    </row>
    <row r="685" spans="1:45" x14ac:dyDescent="0.15">
      <c r="A685" s="4" t="str">
        <f>HYPERLINK("https://ibp.a2mac1.com/costing(costing:projects/details/9760/material/8755260)","PP-TD20")</f>
        <v>PP-TD20</v>
      </c>
      <c r="B685">
        <v>8755260</v>
      </c>
      <c r="C685">
        <v>12085533</v>
      </c>
      <c r="E685">
        <v>1.1148100000000001</v>
      </c>
      <c r="F685" t="s">
        <v>1468</v>
      </c>
      <c r="G685">
        <v>97</v>
      </c>
      <c r="H685" t="s">
        <v>5786</v>
      </c>
      <c r="I685">
        <v>5</v>
      </c>
      <c r="J685">
        <v>0.20557651238448796</v>
      </c>
      <c r="K685">
        <v>0</v>
      </c>
      <c r="M685">
        <v>0</v>
      </c>
      <c r="O685">
        <v>200000</v>
      </c>
      <c r="R685" t="s">
        <v>162</v>
      </c>
      <c r="S685">
        <v>8.6196649484536075E-6</v>
      </c>
      <c r="T685">
        <v>1.1837673195876289E-5</v>
      </c>
      <c r="U685" t="s">
        <v>176</v>
      </c>
      <c r="V685">
        <v>2.0112551546391753E-4</v>
      </c>
      <c r="W685">
        <v>5.9507868226804121E-3</v>
      </c>
      <c r="X685" t="s">
        <v>177</v>
      </c>
      <c r="Y685">
        <v>3.5704720936082472E-4</v>
      </c>
      <c r="Z685">
        <v>0</v>
      </c>
      <c r="AA685" t="s">
        <v>178</v>
      </c>
      <c r="AB685">
        <v>7.1409441872164945E-4</v>
      </c>
      <c r="AC685">
        <v>7.0219284507628864E-3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Q685" t="s">
        <v>262</v>
      </c>
      <c r="AR685" t="s">
        <v>263</v>
      </c>
      <c r="AS685">
        <v>5.7464432989690721E-3</v>
      </c>
    </row>
    <row r="686" spans="1:45" x14ac:dyDescent="0.15">
      <c r="A686" s="4" t="str">
        <f>HYPERLINK("https://ibp.a2mac1.com/costing(costing:projects/details/9760/material/8754856)","PP-EPDM")</f>
        <v>PP-EPDM</v>
      </c>
      <c r="B686">
        <v>8754856</v>
      </c>
      <c r="C686">
        <v>12085247</v>
      </c>
      <c r="E686">
        <v>1.7894600000000001</v>
      </c>
      <c r="F686" t="s">
        <v>843</v>
      </c>
      <c r="G686">
        <v>97</v>
      </c>
      <c r="H686" t="s">
        <v>5647</v>
      </c>
      <c r="I686">
        <v>5</v>
      </c>
      <c r="J686">
        <v>0.20557651238448796</v>
      </c>
      <c r="K686">
        <v>0</v>
      </c>
      <c r="M686">
        <v>0</v>
      </c>
      <c r="O686">
        <v>200000</v>
      </c>
      <c r="R686" t="s">
        <v>162</v>
      </c>
      <c r="S686">
        <v>7.7481773195876288E-5</v>
      </c>
      <c r="T686">
        <v>1.064083018556701E-4</v>
      </c>
      <c r="U686" t="s">
        <v>176</v>
      </c>
      <c r="V686">
        <v>1.8079080412371133E-3</v>
      </c>
      <c r="W686">
        <v>5.349135003381443E-2</v>
      </c>
      <c r="X686" t="s">
        <v>177</v>
      </c>
      <c r="Y686">
        <v>3.2094810020288659E-3</v>
      </c>
      <c r="Z686">
        <v>0</v>
      </c>
      <c r="AA686" t="s">
        <v>178</v>
      </c>
      <c r="AB686">
        <v>6.4189620040577319E-3</v>
      </c>
      <c r="AC686">
        <v>6.3119793039901034E-2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Q686" t="s">
        <v>262</v>
      </c>
      <c r="AR686" t="s">
        <v>263</v>
      </c>
      <c r="AS686">
        <v>5.1654515463917527E-2</v>
      </c>
    </row>
    <row r="687" spans="1:45" x14ac:dyDescent="0.15">
      <c r="A687" s="4" t="str">
        <f>HYPERLINK("https://ibp.a2mac1.com/costing(costing:projects/details/9760/material/8754857)","Standard Structural Steel sheet")</f>
        <v>Standard Structural Steel sheet</v>
      </c>
      <c r="B687">
        <v>8754857</v>
      </c>
      <c r="C687">
        <v>12085250</v>
      </c>
      <c r="E687">
        <v>0.61129999999999995</v>
      </c>
      <c r="F687" t="s">
        <v>5074</v>
      </c>
      <c r="G687">
        <v>70</v>
      </c>
      <c r="H687" t="s">
        <v>5803</v>
      </c>
      <c r="I687">
        <v>30</v>
      </c>
      <c r="J687">
        <v>0.70499453877469964</v>
      </c>
      <c r="K687">
        <v>0</v>
      </c>
      <c r="L687">
        <v>0</v>
      </c>
      <c r="M687">
        <v>0</v>
      </c>
      <c r="O687">
        <v>200000</v>
      </c>
      <c r="R687" t="s">
        <v>162</v>
      </c>
      <c r="S687">
        <v>8.8813157142857146E-3</v>
      </c>
      <c r="T687">
        <v>7.0063712857142862E-4</v>
      </c>
      <c r="U687" t="s">
        <v>176</v>
      </c>
      <c r="V687">
        <v>3.4538450000000001E-3</v>
      </c>
      <c r="W687">
        <v>9.3954452128571425E-2</v>
      </c>
      <c r="X687" t="s">
        <v>177</v>
      </c>
      <c r="Y687">
        <v>5.6372671277142858E-3</v>
      </c>
      <c r="Z687">
        <v>0</v>
      </c>
      <c r="AA687" t="s">
        <v>178</v>
      </c>
      <c r="AB687">
        <v>1.1274534255428572E-2</v>
      </c>
      <c r="AC687">
        <v>0.11086625351171428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Q687" t="s">
        <v>262</v>
      </c>
      <c r="AR687" t="s">
        <v>263</v>
      </c>
      <c r="AS687">
        <v>9.8681285714285707E-2</v>
      </c>
    </row>
    <row r="688" spans="1:45" x14ac:dyDescent="0.15">
      <c r="A688" s="4" t="str">
        <f>HYPERLINK("https://ibp.a2mac1.com/costing(costing:projects/details/9760/material/8754858)","PP-TD20")</f>
        <v>PP-TD20</v>
      </c>
      <c r="B688">
        <v>8754858</v>
      </c>
      <c r="C688">
        <v>12085251</v>
      </c>
      <c r="E688">
        <v>1.1148100000000001</v>
      </c>
      <c r="F688" t="s">
        <v>1468</v>
      </c>
      <c r="G688">
        <v>94</v>
      </c>
      <c r="H688" t="s">
        <v>5809</v>
      </c>
      <c r="I688">
        <v>5</v>
      </c>
      <c r="J688">
        <v>0.10389195236953569</v>
      </c>
      <c r="K688">
        <v>0</v>
      </c>
      <c r="M688">
        <v>0</v>
      </c>
      <c r="O688">
        <v>200000</v>
      </c>
      <c r="R688" t="s">
        <v>162</v>
      </c>
      <c r="S688">
        <v>1.7789521276595743E-5</v>
      </c>
      <c r="T688">
        <v>6.1670340425531913E-6</v>
      </c>
      <c r="U688" t="s">
        <v>176</v>
      </c>
      <c r="V688">
        <v>2.0754441489361701E-4</v>
      </c>
      <c r="W688">
        <v>6.125762353191489E-3</v>
      </c>
      <c r="X688" t="s">
        <v>177</v>
      </c>
      <c r="Y688">
        <v>3.6754574119148936E-4</v>
      </c>
      <c r="Z688">
        <v>0</v>
      </c>
      <c r="AA688" t="s">
        <v>178</v>
      </c>
      <c r="AB688">
        <v>7.3509148238297872E-4</v>
      </c>
      <c r="AC688">
        <v>7.2283995767659578E-3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Q688" t="s">
        <v>262</v>
      </c>
      <c r="AR688" t="s">
        <v>263</v>
      </c>
      <c r="AS688">
        <v>5.9298404255319149E-3</v>
      </c>
    </row>
    <row r="689" spans="1:45" x14ac:dyDescent="0.15">
      <c r="A689" s="4" t="str">
        <f>HYPERLINK("https://ibp.a2mac1.com/costing(costing:projects/details/9760/material/8754859)","POM")</f>
        <v>POM</v>
      </c>
      <c r="B689">
        <v>8754859</v>
      </c>
      <c r="C689">
        <v>12085252</v>
      </c>
      <c r="E689">
        <v>2.12338</v>
      </c>
      <c r="F689" t="s">
        <v>3740</v>
      </c>
      <c r="G689">
        <v>95</v>
      </c>
      <c r="H689" t="s">
        <v>3741</v>
      </c>
      <c r="I689">
        <v>5</v>
      </c>
      <c r="J689">
        <v>0.50048257265952256</v>
      </c>
      <c r="K689">
        <v>0</v>
      </c>
      <c r="L689">
        <v>0</v>
      </c>
      <c r="M689">
        <v>0</v>
      </c>
      <c r="O689">
        <v>400000</v>
      </c>
      <c r="R689" t="s">
        <v>162</v>
      </c>
      <c r="S689">
        <v>8.3817631578947372E-5</v>
      </c>
      <c r="T689">
        <v>1.686410747368421E-4</v>
      </c>
      <c r="U689" t="s">
        <v>176</v>
      </c>
      <c r="V689">
        <v>1.1734468421052632E-3</v>
      </c>
      <c r="W689">
        <v>3.4785322916842103E-2</v>
      </c>
      <c r="X689" t="s">
        <v>177</v>
      </c>
      <c r="Y689">
        <v>2.0871193750105262E-3</v>
      </c>
      <c r="Z689">
        <v>0</v>
      </c>
      <c r="AA689" t="s">
        <v>178</v>
      </c>
      <c r="AB689">
        <v>4.1742387500210525E-3</v>
      </c>
      <c r="AC689">
        <v>4.1046681041873687E-2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P689" t="s">
        <v>4900</v>
      </c>
      <c r="AQ689" t="s">
        <v>262</v>
      </c>
      <c r="AR689" t="s">
        <v>263</v>
      </c>
      <c r="AS689">
        <v>3.352705263157895E-2</v>
      </c>
    </row>
    <row r="690" spans="1:45" x14ac:dyDescent="0.15">
      <c r="A690" s="4" t="str">
        <f>HYPERLINK("https://ibp.a2mac1.com/costing(costing:projects/details/9760/material/8754860)","TPE")</f>
        <v>TPE</v>
      </c>
      <c r="B690">
        <v>8754860</v>
      </c>
      <c r="C690">
        <v>12085253</v>
      </c>
      <c r="E690">
        <v>1.5073099999999999</v>
      </c>
      <c r="F690" t="s">
        <v>4486</v>
      </c>
      <c r="G690">
        <v>95</v>
      </c>
      <c r="H690" t="s">
        <v>4487</v>
      </c>
      <c r="I690">
        <v>5</v>
      </c>
      <c r="J690">
        <v>0.50048257265952256</v>
      </c>
      <c r="K690">
        <v>0</v>
      </c>
      <c r="L690">
        <v>0</v>
      </c>
      <c r="M690">
        <v>0</v>
      </c>
      <c r="O690">
        <v>400000</v>
      </c>
      <c r="R690" t="s">
        <v>162</v>
      </c>
      <c r="S690">
        <v>7.5365500000000002E-5</v>
      </c>
      <c r="T690">
        <v>1.5163538600000001E-4</v>
      </c>
      <c r="U690" t="s">
        <v>176</v>
      </c>
      <c r="V690">
        <v>1.0551169999999999E-3</v>
      </c>
      <c r="W690">
        <v>3.1277586885999999E-2</v>
      </c>
      <c r="X690" t="s">
        <v>177</v>
      </c>
      <c r="Y690">
        <v>1.8766552131599999E-3</v>
      </c>
      <c r="Z690">
        <v>0</v>
      </c>
      <c r="AA690" t="s">
        <v>178</v>
      </c>
      <c r="AB690">
        <v>3.7533104263199999E-3</v>
      </c>
      <c r="AC690">
        <v>3.6907552525480003E-2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Q690" t="s">
        <v>262</v>
      </c>
      <c r="AR690" t="s">
        <v>263</v>
      </c>
      <c r="AS690">
        <v>3.0146200000000001E-2</v>
      </c>
    </row>
    <row r="691" spans="1:45" x14ac:dyDescent="0.15">
      <c r="A691" s="4" t="str">
        <f>HYPERLINK("https://ibp.a2mac1.com/costing(costing:projects/details/9760/material/8754861)","TPE")</f>
        <v>TPE</v>
      </c>
      <c r="B691">
        <v>8754861</v>
      </c>
      <c r="C691">
        <v>12085254</v>
      </c>
      <c r="E691">
        <v>1.5073099999999999</v>
      </c>
      <c r="F691" t="s">
        <v>3897</v>
      </c>
      <c r="G691">
        <v>95</v>
      </c>
      <c r="H691" t="s">
        <v>3898</v>
      </c>
      <c r="I691">
        <v>5</v>
      </c>
      <c r="J691">
        <v>0.50048257265952256</v>
      </c>
      <c r="K691">
        <v>0</v>
      </c>
      <c r="L691">
        <v>0</v>
      </c>
      <c r="M691">
        <v>0</v>
      </c>
      <c r="O691">
        <v>400000</v>
      </c>
      <c r="R691" t="s">
        <v>162</v>
      </c>
      <c r="S691">
        <v>2.3799631578947368E-5</v>
      </c>
      <c r="T691">
        <v>4.7884858736842104E-5</v>
      </c>
      <c r="U691" t="s">
        <v>176</v>
      </c>
      <c r="V691">
        <v>3.3319484210526316E-4</v>
      </c>
      <c r="W691">
        <v>9.8771327008421051E-3</v>
      </c>
      <c r="X691" t="s">
        <v>177</v>
      </c>
      <c r="Y691">
        <v>5.9262796205052635E-4</v>
      </c>
      <c r="Z691">
        <v>0</v>
      </c>
      <c r="AA691" t="s">
        <v>178</v>
      </c>
      <c r="AB691">
        <v>1.1852559241010527E-3</v>
      </c>
      <c r="AC691">
        <v>1.1655016586993684E-2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Q691" t="s">
        <v>262</v>
      </c>
      <c r="AR691" t="s">
        <v>263</v>
      </c>
      <c r="AS691">
        <v>9.5198526315789476E-3</v>
      </c>
    </row>
    <row r="692" spans="1:45" x14ac:dyDescent="0.15">
      <c r="A692" s="4" t="str">
        <f>HYPERLINK("https://ibp.a2mac1.com/costing(costing:projects/details/9760/material/8754862)","PA")</f>
        <v>PA</v>
      </c>
      <c r="B692">
        <v>8754862</v>
      </c>
      <c r="C692">
        <v>12085255</v>
      </c>
      <c r="E692">
        <v>2.03416</v>
      </c>
      <c r="F692" t="s">
        <v>1468</v>
      </c>
      <c r="G692">
        <v>95</v>
      </c>
      <c r="H692" t="s">
        <v>1469</v>
      </c>
      <c r="I692">
        <v>5</v>
      </c>
      <c r="J692">
        <v>0.50048257265952256</v>
      </c>
      <c r="K692">
        <v>0</v>
      </c>
      <c r="L692">
        <v>0</v>
      </c>
      <c r="M692">
        <v>0</v>
      </c>
      <c r="O692">
        <v>400000</v>
      </c>
      <c r="R692" t="s">
        <v>162</v>
      </c>
      <c r="S692">
        <v>2.6765263157894736E-5</v>
      </c>
      <c r="T692">
        <v>5.3851709473684212E-5</v>
      </c>
      <c r="U692" t="s">
        <v>176</v>
      </c>
      <c r="V692">
        <v>3.7471368421052633E-4</v>
      </c>
      <c r="W692">
        <v>1.110790539368421E-2</v>
      </c>
      <c r="X692" t="s">
        <v>177</v>
      </c>
      <c r="Y692">
        <v>6.6647432362105261E-4</v>
      </c>
      <c r="Z692">
        <v>0</v>
      </c>
      <c r="AA692" t="s">
        <v>178</v>
      </c>
      <c r="AB692">
        <v>1.3329486472421052E-3</v>
      </c>
      <c r="AC692">
        <v>1.3107328364547368E-2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P692" t="s">
        <v>5833</v>
      </c>
      <c r="AQ692" t="s">
        <v>262</v>
      </c>
      <c r="AR692" t="s">
        <v>263</v>
      </c>
      <c r="AS692">
        <v>1.0706105263157895E-2</v>
      </c>
    </row>
    <row r="693" spans="1:45" x14ac:dyDescent="0.15">
      <c r="A693" s="4" t="str">
        <f>HYPERLINK("https://ibp.a2mac1.com/costing(costing:projects/details/9760/material/8755261)","Standard Structural Steel sheet")</f>
        <v>Standard Structural Steel sheet</v>
      </c>
      <c r="B693">
        <v>8755261</v>
      </c>
      <c r="C693">
        <v>12085535</v>
      </c>
      <c r="E693">
        <v>0.61129999999999995</v>
      </c>
      <c r="F693" t="s">
        <v>5406</v>
      </c>
      <c r="G693">
        <v>80</v>
      </c>
      <c r="H693" t="s">
        <v>5840</v>
      </c>
      <c r="I693">
        <v>30</v>
      </c>
      <c r="J693">
        <v>0.10389195236953569</v>
      </c>
      <c r="K693">
        <v>0</v>
      </c>
      <c r="L693">
        <v>0</v>
      </c>
      <c r="M693">
        <v>0</v>
      </c>
      <c r="O693">
        <v>200000</v>
      </c>
      <c r="R693" t="s">
        <v>162</v>
      </c>
      <c r="S693">
        <v>4.5847500000000003E-3</v>
      </c>
      <c r="T693">
        <v>7.9468999999999994E-5</v>
      </c>
      <c r="U693" t="s">
        <v>176</v>
      </c>
      <c r="V693">
        <v>2.6744375000000002E-3</v>
      </c>
      <c r="W693">
        <v>7.4581656499999996E-2</v>
      </c>
      <c r="X693" t="s">
        <v>177</v>
      </c>
      <c r="Y693">
        <v>4.4748993900000002E-3</v>
      </c>
      <c r="Z693">
        <v>0</v>
      </c>
      <c r="AA693" t="s">
        <v>178</v>
      </c>
      <c r="AB693">
        <v>8.9497987800000005E-3</v>
      </c>
      <c r="AC693">
        <v>8.8006354669999995E-2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Q693" t="s">
        <v>262</v>
      </c>
      <c r="AR693" t="s">
        <v>263</v>
      </c>
      <c r="AS693">
        <v>7.6412499999999994E-2</v>
      </c>
    </row>
    <row r="694" spans="1:45" x14ac:dyDescent="0.15">
      <c r="A694" s="4" t="str">
        <f>HYPERLINK("https://ibp.a2mac1.com/costing(costing:projects/details/9760/material/8755262)","Standard Structural Steel sheet")</f>
        <v>Standard Structural Steel sheet</v>
      </c>
      <c r="B694">
        <v>8755262</v>
      </c>
      <c r="C694">
        <v>12085536</v>
      </c>
      <c r="E694">
        <v>0.61129999999999995</v>
      </c>
      <c r="F694" t="s">
        <v>5844</v>
      </c>
      <c r="G694">
        <v>80</v>
      </c>
      <c r="H694" t="s">
        <v>5845</v>
      </c>
      <c r="I694">
        <v>30</v>
      </c>
      <c r="J694">
        <v>0.10389195236953569</v>
      </c>
      <c r="K694">
        <v>0</v>
      </c>
      <c r="L694">
        <v>0</v>
      </c>
      <c r="M694">
        <v>0</v>
      </c>
      <c r="O694">
        <v>200000</v>
      </c>
      <c r="R694" t="s">
        <v>162</v>
      </c>
      <c r="S694">
        <v>4.1262750000000004E-3</v>
      </c>
      <c r="T694">
        <v>7.1522100000000004E-5</v>
      </c>
      <c r="U694" t="s">
        <v>176</v>
      </c>
      <c r="V694">
        <v>2.4069937500000001E-3</v>
      </c>
      <c r="W694">
        <v>6.7123490849999995E-2</v>
      </c>
      <c r="X694" t="s">
        <v>177</v>
      </c>
      <c r="Y694">
        <v>4.0274094510000004E-3</v>
      </c>
      <c r="Z694">
        <v>0</v>
      </c>
      <c r="AA694" t="s">
        <v>178</v>
      </c>
      <c r="AB694">
        <v>8.0548189020000008E-3</v>
      </c>
      <c r="AC694">
        <v>7.9205719203E-2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Q694" t="s">
        <v>262</v>
      </c>
      <c r="AR694" t="s">
        <v>263</v>
      </c>
      <c r="AS694">
        <v>6.8771250000000006E-2</v>
      </c>
    </row>
    <row r="695" spans="1:45" x14ac:dyDescent="0.15">
      <c r="A695" s="4" t="str">
        <f>HYPERLINK("https://ibp.a2mac1.com/costing(costing:projects/details/9760/material/8755263)","Standard Structural Steel sheet")</f>
        <v>Standard Structural Steel sheet</v>
      </c>
      <c r="B695">
        <v>8755263</v>
      </c>
      <c r="C695">
        <v>12085537</v>
      </c>
      <c r="E695">
        <v>0.61129999999999995</v>
      </c>
      <c r="F695" t="s">
        <v>5848</v>
      </c>
      <c r="G695">
        <v>80</v>
      </c>
      <c r="H695" t="s">
        <v>5849</v>
      </c>
      <c r="I695">
        <v>30</v>
      </c>
      <c r="J695">
        <v>0.10389195236953569</v>
      </c>
      <c r="K695">
        <v>0</v>
      </c>
      <c r="L695">
        <v>0</v>
      </c>
      <c r="M695">
        <v>0</v>
      </c>
      <c r="O695">
        <v>200000</v>
      </c>
      <c r="R695" t="s">
        <v>162</v>
      </c>
      <c r="S695">
        <v>3.2093249999999999E-3</v>
      </c>
      <c r="T695">
        <v>5.5628299999999997E-5</v>
      </c>
      <c r="U695" t="s">
        <v>176</v>
      </c>
      <c r="V695">
        <v>1.87210625E-3</v>
      </c>
      <c r="W695">
        <v>5.220715955E-2</v>
      </c>
      <c r="X695" t="s">
        <v>177</v>
      </c>
      <c r="Y695">
        <v>3.1324295729999998E-3</v>
      </c>
      <c r="Z695">
        <v>0</v>
      </c>
      <c r="AA695" t="s">
        <v>178</v>
      </c>
      <c r="AB695">
        <v>6.2648591459999996E-3</v>
      </c>
      <c r="AC695">
        <v>6.1604448269000002E-2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Q695" t="s">
        <v>262</v>
      </c>
      <c r="AR695" t="s">
        <v>263</v>
      </c>
      <c r="AS695">
        <v>5.3488750000000002E-2</v>
      </c>
    </row>
    <row r="696" spans="1:45" x14ac:dyDescent="0.15">
      <c r="A696" s="4" t="str">
        <f>HYPERLINK("https://ibp.a2mac1.com/costing(costing:projects/details/9760/material/8755264)","Standard Structural Steel sheet")</f>
        <v>Standard Structural Steel sheet</v>
      </c>
      <c r="B696">
        <v>8755264</v>
      </c>
      <c r="C696">
        <v>12085538</v>
      </c>
      <c r="E696">
        <v>0.61129999999999995</v>
      </c>
      <c r="F696" t="s">
        <v>5848</v>
      </c>
      <c r="G696">
        <v>80</v>
      </c>
      <c r="H696" t="s">
        <v>5849</v>
      </c>
      <c r="I696">
        <v>30</v>
      </c>
      <c r="J696">
        <v>0.10389195236953569</v>
      </c>
      <c r="K696">
        <v>0</v>
      </c>
      <c r="L696">
        <v>0</v>
      </c>
      <c r="M696">
        <v>0</v>
      </c>
      <c r="O696">
        <v>200000</v>
      </c>
      <c r="R696" t="s">
        <v>162</v>
      </c>
      <c r="S696">
        <v>3.2093249999999999E-3</v>
      </c>
      <c r="T696">
        <v>5.5628299999999997E-5</v>
      </c>
      <c r="U696" t="s">
        <v>176</v>
      </c>
      <c r="V696">
        <v>1.87210625E-3</v>
      </c>
      <c r="W696">
        <v>5.220715955E-2</v>
      </c>
      <c r="X696" t="s">
        <v>177</v>
      </c>
      <c r="Y696">
        <v>3.1324295729999998E-3</v>
      </c>
      <c r="Z696">
        <v>0</v>
      </c>
      <c r="AA696" t="s">
        <v>178</v>
      </c>
      <c r="AB696">
        <v>6.2648591459999996E-3</v>
      </c>
      <c r="AC696">
        <v>6.1604448269000002E-2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Q696" t="s">
        <v>262</v>
      </c>
      <c r="AR696" t="s">
        <v>263</v>
      </c>
      <c r="AS696">
        <v>5.3488750000000002E-2</v>
      </c>
    </row>
    <row r="697" spans="1:45" x14ac:dyDescent="0.15">
      <c r="A697" s="4" t="str">
        <f>HYPERLINK("https://ibp.a2mac1.com/costing(costing:projects/details/9760/material/8755265)","42CrMo4 / 4140 / 42CrMo4 / 1.7225 (Billet)")</f>
        <v>42CrMo4 / 4140 / 42CrMo4 / 1.7225 (Billet)</v>
      </c>
      <c r="B697">
        <v>8755265</v>
      </c>
      <c r="C697">
        <v>12085539</v>
      </c>
      <c r="E697">
        <v>0.57662000000000002</v>
      </c>
      <c r="F697" t="s">
        <v>5854</v>
      </c>
      <c r="G697">
        <v>100</v>
      </c>
      <c r="H697" t="s">
        <v>5855</v>
      </c>
      <c r="I697">
        <v>20</v>
      </c>
      <c r="J697">
        <v>0.10389195236953569</v>
      </c>
      <c r="K697">
        <v>0</v>
      </c>
      <c r="L697">
        <v>0</v>
      </c>
      <c r="M697">
        <v>0</v>
      </c>
      <c r="O697">
        <v>200000</v>
      </c>
      <c r="R697" t="s">
        <v>162</v>
      </c>
      <c r="S697">
        <v>0</v>
      </c>
      <c r="T697">
        <v>5.8169425599999997E-5</v>
      </c>
      <c r="U697" t="s">
        <v>176</v>
      </c>
      <c r="V697">
        <v>1.9576249000000001E-3</v>
      </c>
      <c r="W697">
        <v>5.7947934325599998E-2</v>
      </c>
      <c r="X697" t="s">
        <v>177</v>
      </c>
      <c r="Y697">
        <v>3.4768760595360001E-3</v>
      </c>
      <c r="Z697">
        <v>0</v>
      </c>
      <c r="AA697" t="s">
        <v>178</v>
      </c>
      <c r="AB697">
        <v>6.9537521190720002E-3</v>
      </c>
      <c r="AC697">
        <v>6.8378562504207999E-2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5856</v>
      </c>
      <c r="AN697" t="s">
        <v>5857</v>
      </c>
      <c r="AQ697" t="s">
        <v>262</v>
      </c>
      <c r="AR697" t="s">
        <v>263</v>
      </c>
      <c r="AS697">
        <v>5.5932139999999998E-2</v>
      </c>
    </row>
    <row r="698" spans="1:45" x14ac:dyDescent="0.15">
      <c r="A698" s="4" t="str">
        <f>HYPERLINK("https://ibp.a2mac1.com/costing(costing:projects/details/9760/material/8755266)","Standard Structural Steel sheet")</f>
        <v>Standard Structural Steel sheet</v>
      </c>
      <c r="B698">
        <v>8755266</v>
      </c>
      <c r="C698">
        <v>12085540</v>
      </c>
      <c r="E698">
        <v>0.61129999999999995</v>
      </c>
      <c r="F698" t="s">
        <v>5406</v>
      </c>
      <c r="G698">
        <v>80</v>
      </c>
      <c r="H698" t="s">
        <v>5840</v>
      </c>
      <c r="I698">
        <v>30</v>
      </c>
      <c r="J698">
        <v>0.10389195236953569</v>
      </c>
      <c r="K698">
        <v>0</v>
      </c>
      <c r="L698">
        <v>0</v>
      </c>
      <c r="M698">
        <v>0</v>
      </c>
      <c r="O698">
        <v>200000</v>
      </c>
      <c r="R698" t="s">
        <v>162</v>
      </c>
      <c r="S698">
        <v>4.5847500000000003E-3</v>
      </c>
      <c r="T698">
        <v>7.9468999999999994E-5</v>
      </c>
      <c r="U698" t="s">
        <v>176</v>
      </c>
      <c r="V698">
        <v>2.6744375000000002E-3</v>
      </c>
      <c r="W698">
        <v>7.4581656499999996E-2</v>
      </c>
      <c r="X698" t="s">
        <v>177</v>
      </c>
      <c r="Y698">
        <v>4.4748993900000002E-3</v>
      </c>
      <c r="Z698">
        <v>0</v>
      </c>
      <c r="AA698" t="s">
        <v>178</v>
      </c>
      <c r="AB698">
        <v>8.9497987800000005E-3</v>
      </c>
      <c r="AC698">
        <v>8.8006354669999995E-2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Q698" t="s">
        <v>262</v>
      </c>
      <c r="AR698" t="s">
        <v>263</v>
      </c>
      <c r="AS698">
        <v>7.6412499999999994E-2</v>
      </c>
    </row>
    <row r="699" spans="1:45" x14ac:dyDescent="0.15">
      <c r="A699" s="4" t="str">
        <f>HYPERLINK("https://ibp.a2mac1.com/costing(costing:projects/details/9760/material/8755267)","Standard Structural Steel sheet")</f>
        <v>Standard Structural Steel sheet</v>
      </c>
      <c r="B699">
        <v>8755267</v>
      </c>
      <c r="C699">
        <v>12085541</v>
      </c>
      <c r="E699">
        <v>0.61129999999999995</v>
      </c>
      <c r="F699" t="s">
        <v>5844</v>
      </c>
      <c r="G699">
        <v>80</v>
      </c>
      <c r="H699" t="s">
        <v>5845</v>
      </c>
      <c r="I699">
        <v>30</v>
      </c>
      <c r="J699">
        <v>0.10389195236953569</v>
      </c>
      <c r="K699">
        <v>0</v>
      </c>
      <c r="L699">
        <v>0</v>
      </c>
      <c r="M699">
        <v>0</v>
      </c>
      <c r="O699">
        <v>200000</v>
      </c>
      <c r="R699" t="s">
        <v>162</v>
      </c>
      <c r="S699">
        <v>4.1262750000000004E-3</v>
      </c>
      <c r="T699">
        <v>7.1522100000000004E-5</v>
      </c>
      <c r="U699" t="s">
        <v>176</v>
      </c>
      <c r="V699">
        <v>2.4069937500000001E-3</v>
      </c>
      <c r="W699">
        <v>6.7123490849999995E-2</v>
      </c>
      <c r="X699" t="s">
        <v>177</v>
      </c>
      <c r="Y699">
        <v>4.0274094510000004E-3</v>
      </c>
      <c r="Z699">
        <v>0</v>
      </c>
      <c r="AA699" t="s">
        <v>178</v>
      </c>
      <c r="AB699">
        <v>8.0548189020000008E-3</v>
      </c>
      <c r="AC699">
        <v>7.9205719203E-2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Q699" t="s">
        <v>262</v>
      </c>
      <c r="AR699" t="s">
        <v>263</v>
      </c>
      <c r="AS699">
        <v>6.8771250000000006E-2</v>
      </c>
    </row>
    <row r="700" spans="1:45" x14ac:dyDescent="0.15">
      <c r="A700" s="4" t="str">
        <f>HYPERLINK("https://ibp.a2mac1.com/costing(costing:projects/details/9760/material/8755268)","Standard Structural Steel sheet")</f>
        <v>Standard Structural Steel sheet</v>
      </c>
      <c r="B700">
        <v>8755268</v>
      </c>
      <c r="C700">
        <v>12085542</v>
      </c>
      <c r="E700">
        <v>0.61129999999999995</v>
      </c>
      <c r="F700" t="s">
        <v>5848</v>
      </c>
      <c r="G700">
        <v>80</v>
      </c>
      <c r="H700" t="s">
        <v>5849</v>
      </c>
      <c r="I700">
        <v>30</v>
      </c>
      <c r="J700">
        <v>0.10389195236953569</v>
      </c>
      <c r="K700">
        <v>0</v>
      </c>
      <c r="L700">
        <v>0</v>
      </c>
      <c r="M700">
        <v>0</v>
      </c>
      <c r="O700">
        <v>200000</v>
      </c>
      <c r="R700" t="s">
        <v>162</v>
      </c>
      <c r="S700">
        <v>3.2093249999999999E-3</v>
      </c>
      <c r="T700">
        <v>5.5628299999999997E-5</v>
      </c>
      <c r="U700" t="s">
        <v>176</v>
      </c>
      <c r="V700">
        <v>1.87210625E-3</v>
      </c>
      <c r="W700">
        <v>5.220715955E-2</v>
      </c>
      <c r="X700" t="s">
        <v>177</v>
      </c>
      <c r="Y700">
        <v>3.1324295729999998E-3</v>
      </c>
      <c r="Z700">
        <v>0</v>
      </c>
      <c r="AA700" t="s">
        <v>178</v>
      </c>
      <c r="AB700">
        <v>6.2648591459999996E-3</v>
      </c>
      <c r="AC700">
        <v>6.1604448269000002E-2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Q700" t="s">
        <v>262</v>
      </c>
      <c r="AR700" t="s">
        <v>263</v>
      </c>
      <c r="AS700">
        <v>5.3488750000000002E-2</v>
      </c>
    </row>
    <row r="701" spans="1:45" x14ac:dyDescent="0.15">
      <c r="A701" s="4" t="str">
        <f>HYPERLINK("https://ibp.a2mac1.com/costing(costing:projects/details/9760/material/8755269)","Standard Structural Steel sheet")</f>
        <v>Standard Structural Steel sheet</v>
      </c>
      <c r="B701">
        <v>8755269</v>
      </c>
      <c r="C701">
        <v>12085543</v>
      </c>
      <c r="E701">
        <v>0.61129999999999995</v>
      </c>
      <c r="F701" t="s">
        <v>5848</v>
      </c>
      <c r="G701">
        <v>80</v>
      </c>
      <c r="H701" t="s">
        <v>5849</v>
      </c>
      <c r="I701">
        <v>30</v>
      </c>
      <c r="J701">
        <v>0.10389195236953569</v>
      </c>
      <c r="K701">
        <v>0</v>
      </c>
      <c r="L701">
        <v>0</v>
      </c>
      <c r="M701">
        <v>0</v>
      </c>
      <c r="O701">
        <v>200000</v>
      </c>
      <c r="R701" t="s">
        <v>162</v>
      </c>
      <c r="S701">
        <v>3.2093249999999999E-3</v>
      </c>
      <c r="T701">
        <v>5.5628299999999997E-5</v>
      </c>
      <c r="U701" t="s">
        <v>176</v>
      </c>
      <c r="V701">
        <v>1.87210625E-3</v>
      </c>
      <c r="W701">
        <v>5.220715955E-2</v>
      </c>
      <c r="X701" t="s">
        <v>177</v>
      </c>
      <c r="Y701">
        <v>3.1324295729999998E-3</v>
      </c>
      <c r="Z701">
        <v>0</v>
      </c>
      <c r="AA701" t="s">
        <v>178</v>
      </c>
      <c r="AB701">
        <v>6.2648591459999996E-3</v>
      </c>
      <c r="AC701">
        <v>6.1604448269000002E-2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Q701" t="s">
        <v>262</v>
      </c>
      <c r="AR701" t="s">
        <v>263</v>
      </c>
      <c r="AS701">
        <v>5.3488750000000002E-2</v>
      </c>
    </row>
    <row r="702" spans="1:45" x14ac:dyDescent="0.15">
      <c r="A702" s="4" t="str">
        <f>HYPERLINK("https://ibp.a2mac1.com/costing(costing:projects/details/9760/material/8755270)","42CrMo4 / 4140 / 42CrMo4 / 1.7225 (Billet)")</f>
        <v>42CrMo4 / 4140 / 42CrMo4 / 1.7225 (Billet)</v>
      </c>
      <c r="B702">
        <v>8755270</v>
      </c>
      <c r="C702">
        <v>12085544</v>
      </c>
      <c r="E702">
        <v>0.57662000000000002</v>
      </c>
      <c r="F702" t="s">
        <v>5854</v>
      </c>
      <c r="G702">
        <v>100</v>
      </c>
      <c r="H702" t="s">
        <v>5855</v>
      </c>
      <c r="I702">
        <v>20</v>
      </c>
      <c r="J702">
        <v>0.10389195236953569</v>
      </c>
      <c r="K702">
        <v>0</v>
      </c>
      <c r="L702">
        <v>0</v>
      </c>
      <c r="M702">
        <v>0</v>
      </c>
      <c r="O702">
        <v>200000</v>
      </c>
      <c r="R702" t="s">
        <v>162</v>
      </c>
      <c r="S702">
        <v>0</v>
      </c>
      <c r="T702">
        <v>5.8169425599999997E-5</v>
      </c>
      <c r="U702" t="s">
        <v>176</v>
      </c>
      <c r="V702">
        <v>1.9576249000000001E-3</v>
      </c>
      <c r="W702">
        <v>5.7947934325599998E-2</v>
      </c>
      <c r="X702" t="s">
        <v>177</v>
      </c>
      <c r="Y702">
        <v>3.4768760595360001E-3</v>
      </c>
      <c r="Z702">
        <v>0</v>
      </c>
      <c r="AA702" t="s">
        <v>178</v>
      </c>
      <c r="AB702">
        <v>6.9537521190720002E-3</v>
      </c>
      <c r="AC702">
        <v>6.8378562504207999E-2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5856</v>
      </c>
      <c r="AN702" t="s">
        <v>5857</v>
      </c>
      <c r="AQ702" t="s">
        <v>262</v>
      </c>
      <c r="AR702" t="s">
        <v>263</v>
      </c>
      <c r="AS702">
        <v>5.5932139999999998E-2</v>
      </c>
    </row>
    <row r="703" spans="1:45" x14ac:dyDescent="0.15">
      <c r="A703" s="4" t="str">
        <f>HYPERLINK("https://ibp.a2mac1.com/costing(costing:projects/details/9760/material/8754863)","ABS")</f>
        <v>ABS</v>
      </c>
      <c r="B703">
        <v>8754863</v>
      </c>
      <c r="C703">
        <v>12085256</v>
      </c>
      <c r="E703">
        <v>2.5272700000000001</v>
      </c>
      <c r="F703" t="s">
        <v>5882</v>
      </c>
      <c r="G703">
        <v>97</v>
      </c>
      <c r="H703" t="s">
        <v>5883</v>
      </c>
      <c r="I703">
        <v>5</v>
      </c>
      <c r="J703">
        <v>1.2052953961667654</v>
      </c>
      <c r="K703">
        <v>0</v>
      </c>
      <c r="M703">
        <v>0</v>
      </c>
      <c r="O703">
        <v>200000</v>
      </c>
      <c r="R703" t="s">
        <v>162</v>
      </c>
      <c r="S703">
        <v>1.081384962371134E-2</v>
      </c>
      <c r="T703">
        <v>8.7952643606185571E-2</v>
      </c>
      <c r="U703" t="s">
        <v>176</v>
      </c>
      <c r="V703">
        <v>0.25232315788659793</v>
      </c>
      <c r="W703">
        <v>7.5386950343432986</v>
      </c>
      <c r="X703" t="s">
        <v>177</v>
      </c>
      <c r="Y703">
        <v>0.45232170206059796</v>
      </c>
      <c r="Z703">
        <v>0</v>
      </c>
      <c r="AA703" t="s">
        <v>178</v>
      </c>
      <c r="AB703">
        <v>0.90464340412119593</v>
      </c>
      <c r="AC703">
        <v>8.8956601405250932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Q703" t="s">
        <v>262</v>
      </c>
      <c r="AR703" t="s">
        <v>263</v>
      </c>
      <c r="AS703">
        <v>7.2092330824742268</v>
      </c>
    </row>
    <row r="704" spans="1:45" x14ac:dyDescent="0.15">
      <c r="A704" s="4" t="str">
        <f>HYPERLINK("https://ibp.a2mac1.com/costing(costing:projects/details/9760/material/8754864)","Paint - Base")</f>
        <v>Paint - Base</v>
      </c>
      <c r="B704">
        <v>8754864</v>
      </c>
      <c r="C704">
        <v>12085257</v>
      </c>
      <c r="E704">
        <v>11.26986</v>
      </c>
      <c r="F704" t="s">
        <v>4585</v>
      </c>
      <c r="G704">
        <v>98</v>
      </c>
      <c r="H704" t="s">
        <v>5886</v>
      </c>
      <c r="I704">
        <v>0</v>
      </c>
      <c r="J704">
        <v>1.1056389564667022</v>
      </c>
      <c r="K704">
        <v>0</v>
      </c>
      <c r="L704">
        <v>0</v>
      </c>
      <c r="M704">
        <v>0</v>
      </c>
      <c r="O704">
        <v>200000</v>
      </c>
      <c r="R704" t="s">
        <v>162</v>
      </c>
      <c r="S704">
        <v>0</v>
      </c>
      <c r="T704">
        <v>1.4142524314285714E-2</v>
      </c>
      <c r="U704" t="s">
        <v>176</v>
      </c>
      <c r="V704">
        <v>4.427445E-2</v>
      </c>
      <c r="W704">
        <v>1.3234012600285714</v>
      </c>
      <c r="X704" t="s">
        <v>177</v>
      </c>
      <c r="Y704">
        <v>7.940407560171428E-2</v>
      </c>
      <c r="Z704">
        <v>0</v>
      </c>
      <c r="AA704" t="s">
        <v>178</v>
      </c>
      <c r="AB704">
        <v>0.15880815120342856</v>
      </c>
      <c r="AC704">
        <v>1.5616134868337144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Q704" t="s">
        <v>9</v>
      </c>
      <c r="AR704" t="s">
        <v>263</v>
      </c>
      <c r="AS704">
        <v>1.2649842857142857</v>
      </c>
    </row>
    <row r="705" spans="1:45" x14ac:dyDescent="0.15">
      <c r="A705" s="4" t="str">
        <f>HYPERLINK("https://ibp.a2mac1.com/costing(costing:projects/details/9760/material/8754865)","Paint - Primer")</f>
        <v>Paint - Primer</v>
      </c>
      <c r="B705">
        <v>8754865</v>
      </c>
      <c r="C705">
        <v>12085257</v>
      </c>
      <c r="E705">
        <v>6.9600299999999997</v>
      </c>
      <c r="F705" t="s">
        <v>4878</v>
      </c>
      <c r="G705">
        <v>95</v>
      </c>
      <c r="H705" t="s">
        <v>4879</v>
      </c>
      <c r="I705">
        <v>0</v>
      </c>
      <c r="J705">
        <v>1.1056389564667022</v>
      </c>
      <c r="K705">
        <v>0</v>
      </c>
      <c r="L705">
        <v>0</v>
      </c>
      <c r="M705">
        <v>0</v>
      </c>
      <c r="O705">
        <v>200000</v>
      </c>
      <c r="R705" t="s">
        <v>162</v>
      </c>
      <c r="S705">
        <v>0</v>
      </c>
      <c r="T705">
        <v>4.0954281789473681E-3</v>
      </c>
      <c r="U705" t="s">
        <v>176</v>
      </c>
      <c r="V705">
        <v>1.2821107894736842E-2</v>
      </c>
      <c r="W705">
        <v>0.38323390449473682</v>
      </c>
      <c r="X705" t="s">
        <v>177</v>
      </c>
      <c r="Y705">
        <v>2.2994034269684209E-2</v>
      </c>
      <c r="Z705">
        <v>0</v>
      </c>
      <c r="AA705" t="s">
        <v>178</v>
      </c>
      <c r="AB705">
        <v>4.5988068539368418E-2</v>
      </c>
      <c r="AC705">
        <v>0.45221600730378947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Q705" t="s">
        <v>9</v>
      </c>
      <c r="AR705" t="s">
        <v>263</v>
      </c>
      <c r="AS705">
        <v>0.36631736842105261</v>
      </c>
    </row>
    <row r="706" spans="1:45" x14ac:dyDescent="0.15">
      <c r="A706" s="4" t="str">
        <f>HYPERLINK("https://ibp.a2mac1.com/costing(costing:projects/details/9760/material/8754866)","Paint - Clear Coat")</f>
        <v>Paint - Clear Coat</v>
      </c>
      <c r="B706">
        <v>8754866</v>
      </c>
      <c r="C706">
        <v>12085257</v>
      </c>
      <c r="E706">
        <v>9.0699199999999998</v>
      </c>
      <c r="F706" t="s">
        <v>5406</v>
      </c>
      <c r="G706">
        <v>98</v>
      </c>
      <c r="H706" t="s">
        <v>5888</v>
      </c>
      <c r="I706">
        <v>0</v>
      </c>
      <c r="J706">
        <v>1.1056389564667022</v>
      </c>
      <c r="K706">
        <v>0</v>
      </c>
      <c r="L706">
        <v>0</v>
      </c>
      <c r="M706">
        <v>0</v>
      </c>
      <c r="O706">
        <v>200000</v>
      </c>
      <c r="R706" t="s">
        <v>162</v>
      </c>
      <c r="S706">
        <v>0</v>
      </c>
      <c r="T706">
        <v>1.0347112816326531E-2</v>
      </c>
      <c r="U706" t="s">
        <v>176</v>
      </c>
      <c r="V706">
        <v>3.239257142857143E-2</v>
      </c>
      <c r="W706">
        <v>0.96824172506122452</v>
      </c>
      <c r="X706" t="s">
        <v>177</v>
      </c>
      <c r="Y706">
        <v>5.809450350367347E-2</v>
      </c>
      <c r="Z706">
        <v>0</v>
      </c>
      <c r="AA706" t="s">
        <v>178</v>
      </c>
      <c r="AB706">
        <v>0.11618900700734694</v>
      </c>
      <c r="AC706">
        <v>1.1425252355722448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Q706" t="s">
        <v>9</v>
      </c>
      <c r="AR706" t="s">
        <v>263</v>
      </c>
      <c r="AS706">
        <v>0.92550204081632648</v>
      </c>
    </row>
    <row r="707" spans="1:45" x14ac:dyDescent="0.15">
      <c r="A707" s="4" t="str">
        <f>HYPERLINK("https://ibp.a2mac1.com/costing(costing:projects/details/9760/material/8754867)","Standard Structural Steel sheet")</f>
        <v>Standard Structural Steel sheet</v>
      </c>
      <c r="B707">
        <v>8754867</v>
      </c>
      <c r="C707">
        <v>12085261</v>
      </c>
      <c r="E707">
        <v>0.61129999999999995</v>
      </c>
      <c r="F707" t="s">
        <v>4511</v>
      </c>
      <c r="G707">
        <v>80</v>
      </c>
      <c r="H707" t="s">
        <v>5892</v>
      </c>
      <c r="I707">
        <v>30</v>
      </c>
      <c r="J707">
        <v>0.30407257863516274</v>
      </c>
      <c r="K707">
        <v>0</v>
      </c>
      <c r="M707">
        <v>0</v>
      </c>
      <c r="O707">
        <v>400000</v>
      </c>
      <c r="R707" t="s">
        <v>162</v>
      </c>
      <c r="S707">
        <v>6.1894124999999998E-3</v>
      </c>
      <c r="T707">
        <v>3.1462846874999998E-4</v>
      </c>
      <c r="U707" t="s">
        <v>176</v>
      </c>
      <c r="V707">
        <v>3.6104906250000002E-3</v>
      </c>
      <c r="W707">
        <v>0.10089258159375</v>
      </c>
      <c r="X707" t="s">
        <v>177</v>
      </c>
      <c r="Y707">
        <v>6.0535548956250004E-3</v>
      </c>
      <c r="Z707">
        <v>0</v>
      </c>
      <c r="AA707" t="s">
        <v>178</v>
      </c>
      <c r="AB707">
        <v>1.2107109791250001E-2</v>
      </c>
      <c r="AC707">
        <v>0.119053246280625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Q707" t="s">
        <v>262</v>
      </c>
      <c r="AR707" t="s">
        <v>263</v>
      </c>
      <c r="AS707">
        <v>0.103156875</v>
      </c>
    </row>
    <row r="708" spans="1:45" x14ac:dyDescent="0.15">
      <c r="A708" s="4" t="str">
        <f>HYPERLINK("https://ibp.a2mac1.com/costing(costing:projects/details/9760/material/8754868)","ABS-PC")</f>
        <v>ABS-PC</v>
      </c>
      <c r="B708">
        <v>8754868</v>
      </c>
      <c r="C708">
        <v>12085262</v>
      </c>
      <c r="E708">
        <v>2.29312</v>
      </c>
      <c r="F708" t="s">
        <v>5898</v>
      </c>
      <c r="G708">
        <v>95</v>
      </c>
      <c r="H708" t="s">
        <v>5899</v>
      </c>
      <c r="I708">
        <v>5</v>
      </c>
      <c r="J708">
        <v>0.50048257265952256</v>
      </c>
      <c r="K708">
        <v>0</v>
      </c>
      <c r="L708">
        <v>0</v>
      </c>
      <c r="M708">
        <v>0</v>
      </c>
      <c r="O708">
        <v>400000</v>
      </c>
      <c r="R708" t="s">
        <v>162</v>
      </c>
      <c r="S708">
        <v>1.5991494736842106E-4</v>
      </c>
      <c r="T708">
        <v>3.2174887410526317E-4</v>
      </c>
      <c r="U708" t="s">
        <v>176</v>
      </c>
      <c r="V708">
        <v>2.2388092631578948E-3</v>
      </c>
      <c r="W708">
        <v>6.6366622137263159E-2</v>
      </c>
      <c r="X708" t="s">
        <v>177</v>
      </c>
      <c r="Y708">
        <v>3.9819973282357894E-3</v>
      </c>
      <c r="Z708">
        <v>0</v>
      </c>
      <c r="AA708" t="s">
        <v>178</v>
      </c>
      <c r="AB708">
        <v>7.9639946564715788E-3</v>
      </c>
      <c r="AC708">
        <v>7.831261412197052E-2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P708" t="s">
        <v>5141</v>
      </c>
      <c r="AQ708" t="s">
        <v>262</v>
      </c>
      <c r="AR708" t="s">
        <v>263</v>
      </c>
      <c r="AS708">
        <v>6.3965978947368426E-2</v>
      </c>
    </row>
    <row r="709" spans="1:45" x14ac:dyDescent="0.15">
      <c r="A709" s="4" t="str">
        <f>HYPERLINK("https://ibp.a2mac1.com/costing(costing:projects/details/9760/material/8754869)","Standard Structural Steel sheet")</f>
        <v>Standard Structural Steel sheet</v>
      </c>
      <c r="B709">
        <v>8754869</v>
      </c>
      <c r="C709">
        <v>12085267</v>
      </c>
      <c r="E709">
        <v>0.61129999999999995</v>
      </c>
      <c r="F709" t="s">
        <v>5904</v>
      </c>
      <c r="G709">
        <v>37.072499999999998</v>
      </c>
      <c r="H709" t="s">
        <v>5905</v>
      </c>
      <c r="I709">
        <v>30</v>
      </c>
      <c r="J709">
        <v>0.40832586395777315</v>
      </c>
      <c r="K709">
        <v>0</v>
      </c>
      <c r="M709">
        <v>0</v>
      </c>
      <c r="O709">
        <v>200000</v>
      </c>
      <c r="R709" t="s">
        <v>162</v>
      </c>
      <c r="S709">
        <v>0.55845308408254102</v>
      </c>
      <c r="T709">
        <v>1.212854816912806E-2</v>
      </c>
      <c r="U709" t="s">
        <v>176</v>
      </c>
      <c r="V709">
        <v>0.10353638680962977</v>
      </c>
      <c r="W709">
        <v>2.5153943311713536</v>
      </c>
      <c r="X709" t="s">
        <v>177</v>
      </c>
      <c r="Y709">
        <v>0.1509236598702812</v>
      </c>
      <c r="Z709">
        <v>0</v>
      </c>
      <c r="AA709" t="s">
        <v>178</v>
      </c>
      <c r="AB709">
        <v>0.30184731974056239</v>
      </c>
      <c r="AC709">
        <v>2.9681653107821973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Q709" t="s">
        <v>262</v>
      </c>
      <c r="AR709" t="s">
        <v>263</v>
      </c>
      <c r="AS709">
        <v>2.9581824802751364</v>
      </c>
    </row>
    <row r="710" spans="1:45" x14ac:dyDescent="0.15">
      <c r="A710" s="4" t="str">
        <f>HYPERLINK("https://ibp.a2mac1.com/costing(costing:projects/details/9760/material/8754870)","Aluminum sheet body (default, e.g. EN-AW6063)")</f>
        <v>Aluminum sheet body (default, e.g. EN-AW6063)</v>
      </c>
      <c r="B710">
        <v>8754870</v>
      </c>
      <c r="C710">
        <v>12085271</v>
      </c>
      <c r="E710">
        <v>3.79636</v>
      </c>
      <c r="F710" t="s">
        <v>4592</v>
      </c>
      <c r="G710">
        <v>100</v>
      </c>
      <c r="H710" t="s">
        <v>5915</v>
      </c>
      <c r="I710">
        <v>30</v>
      </c>
      <c r="J710">
        <v>0.20557651238448796</v>
      </c>
      <c r="K710">
        <v>0</v>
      </c>
      <c r="L710">
        <v>0</v>
      </c>
      <c r="M710">
        <v>0</v>
      </c>
      <c r="O710">
        <v>200000</v>
      </c>
      <c r="R710" t="s">
        <v>162</v>
      </c>
      <c r="S710">
        <v>0</v>
      </c>
      <c r="T710">
        <v>6.2564012799999998E-5</v>
      </c>
      <c r="U710" t="s">
        <v>176</v>
      </c>
      <c r="V710">
        <v>1.0629808000000001E-3</v>
      </c>
      <c r="W710">
        <v>3.1496424812800003E-2</v>
      </c>
      <c r="X710" t="s">
        <v>177</v>
      </c>
      <c r="Y710">
        <v>1.889785488768E-3</v>
      </c>
      <c r="Z710">
        <v>0</v>
      </c>
      <c r="AA710" t="s">
        <v>178</v>
      </c>
      <c r="AB710">
        <v>3.779570977536E-3</v>
      </c>
      <c r="AC710">
        <v>3.7165781279103999E-2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Q710" t="s">
        <v>262</v>
      </c>
      <c r="AR710" t="s">
        <v>263</v>
      </c>
      <c r="AS710">
        <v>3.0370879999999999E-2</v>
      </c>
    </row>
    <row r="711" spans="1:45" x14ac:dyDescent="0.15">
      <c r="A711" s="4" t="str">
        <f>HYPERLINK("https://ibp.a2mac1.com/costing(costing:projects/details/9760/material/8754871)","EPDM")</f>
        <v>EPDM</v>
      </c>
      <c r="B711">
        <v>8754871</v>
      </c>
      <c r="C711">
        <v>12085274</v>
      </c>
      <c r="E711">
        <v>2.78701</v>
      </c>
      <c r="F711" t="s">
        <v>4454</v>
      </c>
      <c r="G711">
        <v>100</v>
      </c>
      <c r="H711" t="s">
        <v>5923</v>
      </c>
      <c r="I711">
        <v>5</v>
      </c>
      <c r="J711">
        <v>0.20258874484795864</v>
      </c>
      <c r="K711">
        <v>0</v>
      </c>
      <c r="L711">
        <v>0</v>
      </c>
      <c r="M711">
        <v>0</v>
      </c>
      <c r="O711">
        <v>400000</v>
      </c>
      <c r="R711" t="s">
        <v>162</v>
      </c>
      <c r="S711">
        <v>0</v>
      </c>
      <c r="T711">
        <v>1.4144075750000001E-4</v>
      </c>
      <c r="U711" t="s">
        <v>176</v>
      </c>
      <c r="V711">
        <v>2.43863375E-3</v>
      </c>
      <c r="W711">
        <v>7.2255324507499996E-2</v>
      </c>
      <c r="X711" t="s">
        <v>177</v>
      </c>
      <c r="Y711">
        <v>4.3353194704499999E-3</v>
      </c>
      <c r="Z711">
        <v>0</v>
      </c>
      <c r="AA711" t="s">
        <v>178</v>
      </c>
      <c r="AB711">
        <v>8.6706389408999999E-3</v>
      </c>
      <c r="AC711">
        <v>8.5261282918850004E-2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P711" t="s">
        <v>5378</v>
      </c>
      <c r="AQ711" t="s">
        <v>262</v>
      </c>
      <c r="AR711" t="s">
        <v>263</v>
      </c>
      <c r="AS711">
        <v>6.9675249999999994E-2</v>
      </c>
    </row>
    <row r="712" spans="1:45" x14ac:dyDescent="0.15">
      <c r="A712" s="4" t="str">
        <f>HYPERLINK("https://ibp.a2mac1.com/costing(costing:projects/details/9760/material/8754872)","PP-GF20")</f>
        <v>PP-GF20</v>
      </c>
      <c r="B712">
        <v>8754872</v>
      </c>
      <c r="C712">
        <v>12085277</v>
      </c>
      <c r="E712">
        <v>1.3471</v>
      </c>
      <c r="F712" t="s">
        <v>4554</v>
      </c>
      <c r="G712">
        <v>97</v>
      </c>
      <c r="H712" t="s">
        <v>5928</v>
      </c>
      <c r="I712">
        <v>30</v>
      </c>
      <c r="J712">
        <v>0.20258874484795864</v>
      </c>
      <c r="K712">
        <v>0</v>
      </c>
      <c r="M712">
        <v>0</v>
      </c>
      <c r="O712">
        <v>400000</v>
      </c>
      <c r="R712" t="s">
        <v>162</v>
      </c>
      <c r="S712">
        <v>1.3748752577319589E-4</v>
      </c>
      <c r="T712">
        <v>3.1011075257731957E-5</v>
      </c>
      <c r="U712" t="s">
        <v>176</v>
      </c>
      <c r="V712">
        <v>5.3467371134020619E-4</v>
      </c>
      <c r="W712">
        <v>1.5704589013402062E-2</v>
      </c>
      <c r="X712" t="s">
        <v>177</v>
      </c>
      <c r="Y712">
        <v>9.4227534080412376E-4</v>
      </c>
      <c r="Z712">
        <v>0</v>
      </c>
      <c r="AA712" t="s">
        <v>178</v>
      </c>
      <c r="AB712">
        <v>1.8845506816082475E-3</v>
      </c>
      <c r="AC712">
        <v>1.8531415035814434E-2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Q712" t="s">
        <v>262</v>
      </c>
      <c r="AR712" t="s">
        <v>263</v>
      </c>
      <c r="AS712">
        <v>1.527639175257732E-2</v>
      </c>
    </row>
    <row r="713" spans="1:45" x14ac:dyDescent="0.15">
      <c r="A713" s="4" t="str">
        <f>HYPERLINK("https://ibp.a2mac1.com/costing(costing:projects/details/9760/material/8754873)","Aluminum sheet body (default, e.g. EN-AW6063)")</f>
        <v>Aluminum sheet body (default, e.g. EN-AW6063)</v>
      </c>
      <c r="B713">
        <v>8754873</v>
      </c>
      <c r="C713">
        <v>12085278</v>
      </c>
      <c r="E713">
        <v>3.79636</v>
      </c>
      <c r="F713" t="s">
        <v>4592</v>
      </c>
      <c r="G713">
        <v>100</v>
      </c>
      <c r="H713" t="s">
        <v>5915</v>
      </c>
      <c r="I713">
        <v>30</v>
      </c>
      <c r="J713">
        <v>0.20557651238448796</v>
      </c>
      <c r="K713">
        <v>0</v>
      </c>
      <c r="L713">
        <v>0</v>
      </c>
      <c r="M713">
        <v>0</v>
      </c>
      <c r="O713">
        <v>200000</v>
      </c>
      <c r="R713" t="s">
        <v>162</v>
      </c>
      <c r="S713">
        <v>0</v>
      </c>
      <c r="T713">
        <v>6.2564012799999998E-5</v>
      </c>
      <c r="U713" t="s">
        <v>176</v>
      </c>
      <c r="V713">
        <v>1.0629808000000001E-3</v>
      </c>
      <c r="W713">
        <v>3.1496424812800003E-2</v>
      </c>
      <c r="X713" t="s">
        <v>177</v>
      </c>
      <c r="Y713">
        <v>1.889785488768E-3</v>
      </c>
      <c r="Z713">
        <v>0</v>
      </c>
      <c r="AA713" t="s">
        <v>178</v>
      </c>
      <c r="AB713">
        <v>3.779570977536E-3</v>
      </c>
      <c r="AC713">
        <v>3.7165781279103999E-2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Q713" t="s">
        <v>262</v>
      </c>
      <c r="AR713" t="s">
        <v>263</v>
      </c>
      <c r="AS713">
        <v>3.0370879999999999E-2</v>
      </c>
    </row>
    <row r="714" spans="1:45" x14ac:dyDescent="0.15">
      <c r="A714" s="4" t="str">
        <f>HYPERLINK("https://ibp.a2mac1.com/costing(costing:projects/details/9760/material/8754874)","PA6-GF30")</f>
        <v>PA6-GF30</v>
      </c>
      <c r="B714">
        <v>8754874</v>
      </c>
      <c r="C714">
        <v>12085280</v>
      </c>
      <c r="E714">
        <v>2.1428600000000002</v>
      </c>
      <c r="F714" t="s">
        <v>4377</v>
      </c>
      <c r="G714">
        <v>97</v>
      </c>
      <c r="H714" t="s">
        <v>5289</v>
      </c>
      <c r="I714">
        <v>5</v>
      </c>
      <c r="J714">
        <v>0.20258874484795864</v>
      </c>
      <c r="K714">
        <v>0</v>
      </c>
      <c r="M714">
        <v>0</v>
      </c>
      <c r="O714">
        <v>400000</v>
      </c>
      <c r="R714" t="s">
        <v>162</v>
      </c>
      <c r="S714">
        <v>3.3137010309278351E-6</v>
      </c>
      <c r="T714">
        <v>4.4845420618556702E-6</v>
      </c>
      <c r="U714" t="s">
        <v>176</v>
      </c>
      <c r="V714">
        <v>7.7319690721649483E-5</v>
      </c>
      <c r="W714">
        <v>2.2876245523711339E-3</v>
      </c>
      <c r="X714" t="s">
        <v>177</v>
      </c>
      <c r="Y714">
        <v>1.3725747314226804E-4</v>
      </c>
      <c r="Z714">
        <v>0</v>
      </c>
      <c r="AA714" t="s">
        <v>178</v>
      </c>
      <c r="AB714">
        <v>2.7451494628453609E-4</v>
      </c>
      <c r="AC714">
        <v>2.6993969717979383E-3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Q714" t="s">
        <v>262</v>
      </c>
      <c r="AR714" t="s">
        <v>263</v>
      </c>
      <c r="AS714">
        <v>2.2091340206185565E-3</v>
      </c>
    </row>
    <row r="715" spans="1:45" x14ac:dyDescent="0.15">
      <c r="A715" s="4" t="str">
        <f>HYPERLINK("https://ibp.a2mac1.com/costing(costing:projects/details/9760/material/8754542)","PET-PUR")</f>
        <v>PET-PUR</v>
      </c>
      <c r="B715">
        <v>8754542</v>
      </c>
      <c r="C715">
        <v>12085095</v>
      </c>
      <c r="E715">
        <v>2.2848000000000002</v>
      </c>
      <c r="F715" t="s">
        <v>5945</v>
      </c>
      <c r="G715">
        <v>64</v>
      </c>
      <c r="H715" t="s">
        <v>5946</v>
      </c>
      <c r="I715">
        <v>5</v>
      </c>
      <c r="J715">
        <v>0.20557651238448796</v>
      </c>
      <c r="K715">
        <v>0</v>
      </c>
      <c r="L715">
        <v>0</v>
      </c>
      <c r="M715">
        <v>0</v>
      </c>
      <c r="O715">
        <v>200000</v>
      </c>
      <c r="R715" t="s">
        <v>162</v>
      </c>
      <c r="S715">
        <v>7.5248460000000003E-2</v>
      </c>
      <c r="T715">
        <v>8.6117681999999997E-3</v>
      </c>
      <c r="U715" t="s">
        <v>176</v>
      </c>
      <c r="V715">
        <v>0.14631644999999999</v>
      </c>
      <c r="W715">
        <v>4.2601497581999999</v>
      </c>
      <c r="X715" t="s">
        <v>177</v>
      </c>
      <c r="Y715">
        <v>0.25560898549200001</v>
      </c>
      <c r="Z715">
        <v>0</v>
      </c>
      <c r="AA715" t="s">
        <v>178</v>
      </c>
      <c r="AB715">
        <v>0.51121797098400001</v>
      </c>
      <c r="AC715">
        <v>5.0269767146759996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Q715" t="s">
        <v>262</v>
      </c>
      <c r="AR715" t="s">
        <v>263</v>
      </c>
      <c r="AS715">
        <v>4.1804699999999997</v>
      </c>
    </row>
    <row r="716" spans="1:45" x14ac:dyDescent="0.15">
      <c r="A716" s="4" t="str">
        <f>HYPERLINK("https://ibp.a2mac1.com/costing(costing:projects/details/9760/material/8754543)","PET")</f>
        <v>PET</v>
      </c>
      <c r="B716">
        <v>8754543</v>
      </c>
      <c r="C716">
        <v>12085096</v>
      </c>
      <c r="E716">
        <v>1.3260000000000001</v>
      </c>
      <c r="F716" t="s">
        <v>5951</v>
      </c>
      <c r="G716">
        <v>97</v>
      </c>
      <c r="H716" t="s">
        <v>5952</v>
      </c>
      <c r="I716">
        <v>5</v>
      </c>
      <c r="J716">
        <v>0.20557651238448796</v>
      </c>
      <c r="K716">
        <v>0</v>
      </c>
      <c r="M716">
        <v>0</v>
      </c>
      <c r="O716">
        <v>200000</v>
      </c>
      <c r="R716" t="s">
        <v>162</v>
      </c>
      <c r="S716">
        <v>1.5255835051546391E-3</v>
      </c>
      <c r="T716">
        <v>2.0951346804123712E-3</v>
      </c>
      <c r="U716" t="s">
        <v>176</v>
      </c>
      <c r="V716">
        <v>3.5596948453608245E-2</v>
      </c>
      <c r="W716">
        <v>1.0532221697319588</v>
      </c>
      <c r="X716" t="s">
        <v>177</v>
      </c>
      <c r="Y716">
        <v>6.3193330183917526E-2</v>
      </c>
      <c r="Z716">
        <v>0</v>
      </c>
      <c r="AA716" t="s">
        <v>178</v>
      </c>
      <c r="AB716">
        <v>0.12638666036783505</v>
      </c>
      <c r="AC716">
        <v>1.2428021602837114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Q716" t="s">
        <v>262</v>
      </c>
      <c r="AR716" t="s">
        <v>263</v>
      </c>
      <c r="AS716">
        <v>1.0170556701030928</v>
      </c>
    </row>
    <row r="717" spans="1:45" x14ac:dyDescent="0.15">
      <c r="A717" s="4" t="str">
        <f>HYPERLINK("https://ibp.a2mac1.com/costing(costing:projects/details/9760/material/8754544)","TPE")</f>
        <v>TPE</v>
      </c>
      <c r="B717">
        <v>8754544</v>
      </c>
      <c r="C717">
        <v>12085100</v>
      </c>
      <c r="E717">
        <v>1.5073099999999999</v>
      </c>
      <c r="F717" t="s">
        <v>4377</v>
      </c>
      <c r="G717">
        <v>94</v>
      </c>
      <c r="H717" t="s">
        <v>5958</v>
      </c>
      <c r="I717">
        <v>5</v>
      </c>
      <c r="J717">
        <v>0.20358468723803441</v>
      </c>
      <c r="K717">
        <v>0</v>
      </c>
      <c r="M717">
        <v>0</v>
      </c>
      <c r="O717">
        <v>600000</v>
      </c>
      <c r="R717" t="s">
        <v>162</v>
      </c>
      <c r="S717">
        <v>4.8105638297872342E-6</v>
      </c>
      <c r="T717">
        <v>3.2711834042553191E-6</v>
      </c>
      <c r="U717" t="s">
        <v>176</v>
      </c>
      <c r="V717">
        <v>5.6123244680851065E-5</v>
      </c>
      <c r="W717">
        <v>1.6581051408510639E-3</v>
      </c>
      <c r="X717" t="s">
        <v>177</v>
      </c>
      <c r="Y717">
        <v>9.9486308451063833E-5</v>
      </c>
      <c r="Z717">
        <v>0</v>
      </c>
      <c r="AA717" t="s">
        <v>178</v>
      </c>
      <c r="AB717">
        <v>1.9897261690212767E-4</v>
      </c>
      <c r="AC717">
        <v>1.9565640662042552E-3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Q717" t="s">
        <v>262</v>
      </c>
      <c r="AR717" t="s">
        <v>263</v>
      </c>
      <c r="AS717">
        <v>1.6035212765957447E-3</v>
      </c>
    </row>
    <row r="718" spans="1:45" x14ac:dyDescent="0.15">
      <c r="A718" s="4" t="str">
        <f>HYPERLINK("https://ibp.a2mac1.com/costing(costing:projects/details/9760/material/8755590)","Standard Structural Steel sheet")</f>
        <v>Standard Structural Steel sheet</v>
      </c>
      <c r="B718">
        <v>8755590</v>
      </c>
      <c r="C718">
        <v>12085977</v>
      </c>
      <c r="E718">
        <v>0.61129999999999995</v>
      </c>
      <c r="F718" t="s">
        <v>5970</v>
      </c>
      <c r="G718">
        <v>65</v>
      </c>
      <c r="H718" t="s">
        <v>5971</v>
      </c>
      <c r="I718">
        <v>30</v>
      </c>
      <c r="J718">
        <v>1.9999600007999841E-3</v>
      </c>
      <c r="K718">
        <v>0</v>
      </c>
      <c r="M718">
        <v>0</v>
      </c>
      <c r="O718">
        <v>200000</v>
      </c>
      <c r="R718" t="s">
        <v>162</v>
      </c>
      <c r="S718">
        <v>0.31895753076923078</v>
      </c>
      <c r="T718">
        <v>6.0753815384615383E-5</v>
      </c>
      <c r="U718" t="s">
        <v>176</v>
      </c>
      <c r="V718">
        <v>0.10631917692307692</v>
      </c>
      <c r="W718">
        <v>2.8251131692000002</v>
      </c>
      <c r="X718" t="s">
        <v>90</v>
      </c>
      <c r="Y718">
        <v>0</v>
      </c>
      <c r="Z718">
        <v>0</v>
      </c>
      <c r="AA718" t="s">
        <v>90</v>
      </c>
      <c r="AB718">
        <v>0</v>
      </c>
      <c r="AC718">
        <v>2.8251131692000002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Q718" t="s">
        <v>262</v>
      </c>
      <c r="AR718" t="s">
        <v>263</v>
      </c>
      <c r="AS718">
        <v>3.0376907692307693</v>
      </c>
    </row>
    <row r="719" spans="1:45" x14ac:dyDescent="0.15">
      <c r="A719" s="4" t="str">
        <f>HYPERLINK("https://ibp.a2mac1.com/costing(costing:projects/details/9760/material/8755591)","Standard Structural Steel sheet")</f>
        <v>Standard Structural Steel sheet</v>
      </c>
      <c r="B719">
        <v>8755591</v>
      </c>
      <c r="C719">
        <v>12085978</v>
      </c>
      <c r="E719">
        <v>0.61129999999999995</v>
      </c>
      <c r="F719" t="s">
        <v>5975</v>
      </c>
      <c r="G719">
        <v>65</v>
      </c>
      <c r="H719" t="s">
        <v>5976</v>
      </c>
      <c r="I719">
        <v>30</v>
      </c>
      <c r="J719">
        <v>1.9999600007999841E-3</v>
      </c>
      <c r="K719">
        <v>0</v>
      </c>
      <c r="M719">
        <v>0</v>
      </c>
      <c r="O719">
        <v>200000</v>
      </c>
      <c r="R719" t="s">
        <v>162</v>
      </c>
      <c r="S719">
        <v>2.7057078461538462E-2</v>
      </c>
      <c r="T719">
        <v>5.1537292307692311E-6</v>
      </c>
      <c r="U719" t="s">
        <v>176</v>
      </c>
      <c r="V719">
        <v>9.019026153846154E-3</v>
      </c>
      <c r="W719">
        <v>0.23965356296000001</v>
      </c>
      <c r="X719" t="s">
        <v>177</v>
      </c>
      <c r="Y719">
        <v>1.43792137776E-2</v>
      </c>
      <c r="Z719">
        <v>0</v>
      </c>
      <c r="AA719" t="s">
        <v>178</v>
      </c>
      <c r="AB719">
        <v>2.87584275552E-2</v>
      </c>
      <c r="AC719">
        <v>0.28279120429280002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Q719" t="s">
        <v>262</v>
      </c>
      <c r="AR719" t="s">
        <v>263</v>
      </c>
      <c r="AS719">
        <v>0.25768646153846153</v>
      </c>
    </row>
    <row r="720" spans="1:45" x14ac:dyDescent="0.15">
      <c r="A720" s="4" t="str">
        <f>HYPERLINK("https://ibp.a2mac1.com/costing(costing:projects/details/9760/material/8755592)","Standard Structural Steel sheet")</f>
        <v>Standard Structural Steel sheet</v>
      </c>
      <c r="B720">
        <v>8755592</v>
      </c>
      <c r="C720">
        <v>12085979</v>
      </c>
      <c r="E720">
        <v>0.61129999999999995</v>
      </c>
      <c r="F720" t="s">
        <v>5979</v>
      </c>
      <c r="G720">
        <v>75</v>
      </c>
      <c r="H720" t="s">
        <v>5980</v>
      </c>
      <c r="I720">
        <v>30</v>
      </c>
      <c r="J720">
        <v>1.9999600007999841E-3</v>
      </c>
      <c r="K720">
        <v>0</v>
      </c>
      <c r="M720">
        <v>0</v>
      </c>
      <c r="O720">
        <v>200000</v>
      </c>
      <c r="R720" t="s">
        <v>162</v>
      </c>
      <c r="S720">
        <v>2.8303189999999999E-2</v>
      </c>
      <c r="T720">
        <v>7.5475173333333331E-6</v>
      </c>
      <c r="U720" t="s">
        <v>176</v>
      </c>
      <c r="V720">
        <v>1.3208155333333334E-2</v>
      </c>
      <c r="W720">
        <v>0.36228837951733334</v>
      </c>
      <c r="X720" t="s">
        <v>177</v>
      </c>
      <c r="Y720">
        <v>2.1737302771039999E-2</v>
      </c>
      <c r="Z720">
        <v>0</v>
      </c>
      <c r="AA720" t="s">
        <v>178</v>
      </c>
      <c r="AB720">
        <v>4.3474605542079998E-2</v>
      </c>
      <c r="AC720">
        <v>0.42750028783045335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Q720" t="s">
        <v>262</v>
      </c>
      <c r="AR720" t="s">
        <v>263</v>
      </c>
      <c r="AS720">
        <v>0.37737586666666667</v>
      </c>
    </row>
    <row r="721" spans="1:45" x14ac:dyDescent="0.15">
      <c r="A721" s="4" t="str">
        <f>HYPERLINK("https://ibp.a2mac1.com/costing(costing:projects/details/9760/material/8755593)","Standard Structural Steel sheet")</f>
        <v>Standard Structural Steel sheet</v>
      </c>
      <c r="B721">
        <v>8755593</v>
      </c>
      <c r="C721">
        <v>12085980</v>
      </c>
      <c r="E721">
        <v>0.61129999999999995</v>
      </c>
      <c r="F721" t="s">
        <v>5983</v>
      </c>
      <c r="G721">
        <v>75</v>
      </c>
      <c r="H721" t="s">
        <v>5984</v>
      </c>
      <c r="I721">
        <v>30</v>
      </c>
      <c r="J721">
        <v>1.9999600007999841E-3</v>
      </c>
      <c r="K721">
        <v>0</v>
      </c>
      <c r="M721">
        <v>0</v>
      </c>
      <c r="O721">
        <v>200000</v>
      </c>
      <c r="R721" t="s">
        <v>162</v>
      </c>
      <c r="S721">
        <v>1.3081819999999999E-2</v>
      </c>
      <c r="T721">
        <v>3.4884853333333335E-6</v>
      </c>
      <c r="U721" t="s">
        <v>176</v>
      </c>
      <c r="V721">
        <v>6.104849333333333E-3</v>
      </c>
      <c r="W721">
        <v>0.16745078448533332</v>
      </c>
      <c r="X721" t="s">
        <v>177</v>
      </c>
      <c r="Y721">
        <v>1.004704706912E-2</v>
      </c>
      <c r="Z721">
        <v>0</v>
      </c>
      <c r="AA721" t="s">
        <v>178</v>
      </c>
      <c r="AB721">
        <v>2.0094094138239999E-2</v>
      </c>
      <c r="AC721">
        <v>0.19759192569269332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Q721" t="s">
        <v>262</v>
      </c>
      <c r="AR721" t="s">
        <v>263</v>
      </c>
      <c r="AS721">
        <v>0.17442426666666666</v>
      </c>
    </row>
    <row r="722" spans="1:45" x14ac:dyDescent="0.15">
      <c r="A722" s="4" t="str">
        <f>HYPERLINK("https://ibp.a2mac1.com/costing(costing:projects/details/9760/material/8755594)","Standard Structural Steel sheet")</f>
        <v>Standard Structural Steel sheet</v>
      </c>
      <c r="B722">
        <v>8755594</v>
      </c>
      <c r="C722">
        <v>12085981</v>
      </c>
      <c r="E722">
        <v>0.61129999999999995</v>
      </c>
      <c r="F722" t="s">
        <v>4680</v>
      </c>
      <c r="G722">
        <v>80</v>
      </c>
      <c r="H722" t="s">
        <v>5987</v>
      </c>
      <c r="I722">
        <v>30</v>
      </c>
      <c r="J722">
        <v>1.9999600007999841E-3</v>
      </c>
      <c r="K722">
        <v>0</v>
      </c>
      <c r="M722">
        <v>0</v>
      </c>
      <c r="O722">
        <v>200000</v>
      </c>
      <c r="R722" t="s">
        <v>162</v>
      </c>
      <c r="S722">
        <v>2.9067315E-2</v>
      </c>
      <c r="T722">
        <v>9.6891050000000005E-6</v>
      </c>
      <c r="U722" t="s">
        <v>176</v>
      </c>
      <c r="V722">
        <v>1.6955933749999999E-2</v>
      </c>
      <c r="W722">
        <v>0.47235355785499999</v>
      </c>
      <c r="X722" t="s">
        <v>177</v>
      </c>
      <c r="Y722">
        <v>2.83412134713E-2</v>
      </c>
      <c r="Z722">
        <v>0</v>
      </c>
      <c r="AA722" t="s">
        <v>178</v>
      </c>
      <c r="AB722">
        <v>5.6682426942599999E-2</v>
      </c>
      <c r="AC722">
        <v>0.55737719826889998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Q722" t="s">
        <v>262</v>
      </c>
      <c r="AR722" t="s">
        <v>263</v>
      </c>
      <c r="AS722">
        <v>0.48445525</v>
      </c>
    </row>
    <row r="723" spans="1:45" x14ac:dyDescent="0.15">
      <c r="A723" s="4" t="str">
        <f>HYPERLINK("https://ibp.a2mac1.com/costing(costing:projects/details/9760/material/8755762)","Standard Structural Steel sheet")</f>
        <v>Standard Structural Steel sheet</v>
      </c>
      <c r="B723">
        <v>8755762</v>
      </c>
      <c r="C723">
        <v>12086176</v>
      </c>
      <c r="E723">
        <v>0.61129999999999995</v>
      </c>
      <c r="F723" t="s">
        <v>5060</v>
      </c>
      <c r="G723">
        <v>80</v>
      </c>
      <c r="H723" t="s">
        <v>5061</v>
      </c>
      <c r="I723">
        <v>30</v>
      </c>
      <c r="J723">
        <v>1.9999600007999841E-3</v>
      </c>
      <c r="K723">
        <v>0</v>
      </c>
      <c r="M723">
        <v>0</v>
      </c>
      <c r="O723">
        <v>200000</v>
      </c>
      <c r="R723" t="s">
        <v>162</v>
      </c>
      <c r="S723">
        <v>2.0631375000000002E-3</v>
      </c>
      <c r="T723">
        <v>6.8771250000000002E-7</v>
      </c>
      <c r="U723" t="s">
        <v>176</v>
      </c>
      <c r="V723">
        <v>1.2034968750000001E-3</v>
      </c>
      <c r="W723">
        <v>3.3526672087500001E-2</v>
      </c>
      <c r="X723" t="s">
        <v>177</v>
      </c>
      <c r="Y723">
        <v>2.0116003252500002E-3</v>
      </c>
      <c r="Z723">
        <v>0</v>
      </c>
      <c r="AA723" t="s">
        <v>178</v>
      </c>
      <c r="AB723">
        <v>4.0232006505000004E-3</v>
      </c>
      <c r="AC723">
        <v>3.9561473063250002E-2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Q723" t="s">
        <v>262</v>
      </c>
      <c r="AR723" t="s">
        <v>263</v>
      </c>
      <c r="AS723">
        <v>3.4385625000000003E-2</v>
      </c>
    </row>
    <row r="724" spans="1:45" x14ac:dyDescent="0.15">
      <c r="A724" s="4" t="str">
        <f>HYPERLINK("https://ibp.a2mac1.com/costing(costing:projects/details/9760/material/8755763)","Standard Structural Steel sheet")</f>
        <v>Standard Structural Steel sheet</v>
      </c>
      <c r="B724">
        <v>8755763</v>
      </c>
      <c r="C724">
        <v>12086177</v>
      </c>
      <c r="E724">
        <v>0.61129999999999995</v>
      </c>
      <c r="F724" t="s">
        <v>5060</v>
      </c>
      <c r="G724">
        <v>80</v>
      </c>
      <c r="H724" t="s">
        <v>5061</v>
      </c>
      <c r="I724">
        <v>30</v>
      </c>
      <c r="J724">
        <v>1.9999600007999841E-3</v>
      </c>
      <c r="K724">
        <v>0</v>
      </c>
      <c r="M724">
        <v>0</v>
      </c>
      <c r="O724">
        <v>200000</v>
      </c>
      <c r="R724" t="s">
        <v>162</v>
      </c>
      <c r="S724">
        <v>2.0631375000000002E-3</v>
      </c>
      <c r="T724">
        <v>6.8771250000000002E-7</v>
      </c>
      <c r="U724" t="s">
        <v>176</v>
      </c>
      <c r="V724">
        <v>1.2034968750000001E-3</v>
      </c>
      <c r="W724">
        <v>3.3526672087500001E-2</v>
      </c>
      <c r="X724" t="s">
        <v>177</v>
      </c>
      <c r="Y724">
        <v>2.0116003252500002E-3</v>
      </c>
      <c r="Z724">
        <v>0</v>
      </c>
      <c r="AA724" t="s">
        <v>178</v>
      </c>
      <c r="AB724">
        <v>4.0232006505000004E-3</v>
      </c>
      <c r="AC724">
        <v>3.9561473063250002E-2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Q724" t="s">
        <v>262</v>
      </c>
      <c r="AR724" t="s">
        <v>263</v>
      </c>
      <c r="AS724">
        <v>3.4385625000000003E-2</v>
      </c>
    </row>
    <row r="725" spans="1:45" x14ac:dyDescent="0.15">
      <c r="A725" s="4" t="str">
        <f>HYPERLINK("https://ibp.a2mac1.com/costing(costing:projects/details/9760/material/8755764)","Standard Structural Steel sheet")</f>
        <v>Standard Structural Steel sheet</v>
      </c>
      <c r="B725">
        <v>8755764</v>
      </c>
      <c r="C725">
        <v>12086178</v>
      </c>
      <c r="E725">
        <v>0.61129999999999995</v>
      </c>
      <c r="F725" t="s">
        <v>5999</v>
      </c>
      <c r="G725">
        <v>80</v>
      </c>
      <c r="H725" t="s">
        <v>6000</v>
      </c>
      <c r="I725">
        <v>30</v>
      </c>
      <c r="J725">
        <v>1.9999600007999841E-3</v>
      </c>
      <c r="K725">
        <v>0</v>
      </c>
      <c r="M725">
        <v>0</v>
      </c>
      <c r="O725">
        <v>200000</v>
      </c>
      <c r="R725" t="s">
        <v>162</v>
      </c>
      <c r="S725">
        <v>6.4736669999999996E-2</v>
      </c>
      <c r="T725">
        <v>2.157889E-5</v>
      </c>
      <c r="U725" t="s">
        <v>176</v>
      </c>
      <c r="V725">
        <v>3.7763057500000002E-2</v>
      </c>
      <c r="W725">
        <v>1.05199246639</v>
      </c>
      <c r="X725" t="s">
        <v>177</v>
      </c>
      <c r="Y725">
        <v>6.3119547983399998E-2</v>
      </c>
      <c r="Z725">
        <v>0</v>
      </c>
      <c r="AA725" t="s">
        <v>178</v>
      </c>
      <c r="AB725">
        <v>0.1262390959668</v>
      </c>
      <c r="AC725">
        <v>1.2413511103402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Q725" t="s">
        <v>262</v>
      </c>
      <c r="AR725" t="s">
        <v>263</v>
      </c>
      <c r="AS725">
        <v>1.0789445</v>
      </c>
    </row>
    <row r="726" spans="1:45" x14ac:dyDescent="0.15">
      <c r="A726" s="4" t="str">
        <f>HYPERLINK("https://ibp.a2mac1.com/costing(costing:projects/details/9760/material/8755765)","Standard Structural Steel sheet")</f>
        <v>Standard Structural Steel sheet</v>
      </c>
      <c r="B726">
        <v>8755765</v>
      </c>
      <c r="C726">
        <v>12086179</v>
      </c>
      <c r="E726">
        <v>0.61129999999999995</v>
      </c>
      <c r="F726" t="s">
        <v>6006</v>
      </c>
      <c r="G726">
        <v>70</v>
      </c>
      <c r="H726" t="s">
        <v>6007</v>
      </c>
      <c r="I726">
        <v>30</v>
      </c>
      <c r="J726">
        <v>1.9999600007999841E-3</v>
      </c>
      <c r="K726">
        <v>0</v>
      </c>
      <c r="M726">
        <v>0</v>
      </c>
      <c r="O726">
        <v>200000</v>
      </c>
      <c r="R726" t="s">
        <v>162</v>
      </c>
      <c r="S726">
        <v>0.14343717857142857</v>
      </c>
      <c r="T726">
        <v>3.1874928571428571E-5</v>
      </c>
      <c r="U726" t="s">
        <v>176</v>
      </c>
      <c r="V726">
        <v>5.5781125000000001E-2</v>
      </c>
      <c r="W726">
        <v>1.5061222499285714</v>
      </c>
      <c r="X726" t="s">
        <v>177</v>
      </c>
      <c r="Y726">
        <v>9.0367334995714282E-2</v>
      </c>
      <c r="Z726">
        <v>0</v>
      </c>
      <c r="AA726" t="s">
        <v>178</v>
      </c>
      <c r="AB726">
        <v>0.18073466999142856</v>
      </c>
      <c r="AC726">
        <v>1.7772242549157142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Q726" t="s">
        <v>262</v>
      </c>
      <c r="AR726" t="s">
        <v>263</v>
      </c>
      <c r="AS726">
        <v>1.5937464285714287</v>
      </c>
    </row>
    <row r="727" spans="1:45" x14ac:dyDescent="0.15">
      <c r="A727" s="4" t="str">
        <f>HYPERLINK("https://ibp.a2mac1.com/costing(costing:projects/details/9760/material/8755766)","Standard Structural Steel sheet")</f>
        <v>Standard Structural Steel sheet</v>
      </c>
      <c r="B727">
        <v>8755766</v>
      </c>
      <c r="C727">
        <v>12086180</v>
      </c>
      <c r="E727">
        <v>0.61129999999999995</v>
      </c>
      <c r="F727" t="s">
        <v>6012</v>
      </c>
      <c r="G727">
        <v>80</v>
      </c>
      <c r="H727" t="s">
        <v>6013</v>
      </c>
      <c r="I727">
        <v>30</v>
      </c>
      <c r="J727">
        <v>1.9999600007999841E-3</v>
      </c>
      <c r="K727">
        <v>0</v>
      </c>
      <c r="M727">
        <v>0</v>
      </c>
      <c r="O727">
        <v>200000</v>
      </c>
      <c r="R727" t="s">
        <v>162</v>
      </c>
      <c r="S727">
        <v>4.1491987500000001E-2</v>
      </c>
      <c r="T727">
        <v>1.38306625E-5</v>
      </c>
      <c r="U727" t="s">
        <v>176</v>
      </c>
      <c r="V727">
        <v>2.4203659374999999E-2</v>
      </c>
      <c r="W727">
        <v>0.67425862753749999</v>
      </c>
      <c r="X727" t="s">
        <v>177</v>
      </c>
      <c r="Y727">
        <v>4.045551765225E-2</v>
      </c>
      <c r="Z727">
        <v>0</v>
      </c>
      <c r="AA727" t="s">
        <v>178</v>
      </c>
      <c r="AB727">
        <v>8.0911035304500001E-2</v>
      </c>
      <c r="AC727">
        <v>0.79562518049425002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Q727" t="s">
        <v>262</v>
      </c>
      <c r="AR727" t="s">
        <v>263</v>
      </c>
      <c r="AS727">
        <v>0.69153312499999997</v>
      </c>
    </row>
    <row r="728" spans="1:45" x14ac:dyDescent="0.15">
      <c r="A728" s="4" t="str">
        <f>HYPERLINK("https://ibp.a2mac1.com/costing(costing:projects/details/9760/material/8755595)","Standard Structural Steel sheet")</f>
        <v>Standard Structural Steel sheet</v>
      </c>
      <c r="B728">
        <v>8755595</v>
      </c>
      <c r="C728">
        <v>12085982</v>
      </c>
      <c r="E728">
        <v>0.61129999999999995</v>
      </c>
      <c r="F728" t="s">
        <v>6018</v>
      </c>
      <c r="G728">
        <v>80</v>
      </c>
      <c r="H728" t="s">
        <v>6019</v>
      </c>
      <c r="I728">
        <v>30</v>
      </c>
      <c r="J728">
        <v>1.9999600007999841E-3</v>
      </c>
      <c r="K728">
        <v>0</v>
      </c>
      <c r="M728">
        <v>0</v>
      </c>
      <c r="O728">
        <v>200000</v>
      </c>
      <c r="R728" t="s">
        <v>162</v>
      </c>
      <c r="S728">
        <v>0.17004837749999999</v>
      </c>
      <c r="T728">
        <v>5.6682792500000002E-5</v>
      </c>
      <c r="U728" t="s">
        <v>176</v>
      </c>
      <c r="V728">
        <v>9.9194886874999999E-2</v>
      </c>
      <c r="W728">
        <v>2.7633428171675001</v>
      </c>
      <c r="X728" t="s">
        <v>90</v>
      </c>
      <c r="Y728">
        <v>0</v>
      </c>
      <c r="Z728">
        <v>0</v>
      </c>
      <c r="AA728" t="s">
        <v>90</v>
      </c>
      <c r="AB728">
        <v>0</v>
      </c>
      <c r="AC728">
        <v>2.7633428171675001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Q728" t="s">
        <v>262</v>
      </c>
      <c r="AR728" t="s">
        <v>263</v>
      </c>
      <c r="AS728">
        <v>2.8341396250000002</v>
      </c>
    </row>
    <row r="729" spans="1:45" x14ac:dyDescent="0.15">
      <c r="A729" s="4" t="str">
        <f>HYPERLINK("https://ibp.a2mac1.com/costing(costing:projects/details/9760/material/8755271)","PC-ABS")</f>
        <v>PC-ABS</v>
      </c>
      <c r="B729">
        <v>8755271</v>
      </c>
      <c r="C729">
        <v>12085545</v>
      </c>
      <c r="E729">
        <v>2.29312</v>
      </c>
      <c r="F729" t="s">
        <v>6026</v>
      </c>
      <c r="G729">
        <v>95</v>
      </c>
      <c r="H729" t="s">
        <v>6027</v>
      </c>
      <c r="I729">
        <v>5</v>
      </c>
      <c r="J729">
        <v>0.50345253019720215</v>
      </c>
      <c r="K729">
        <v>0</v>
      </c>
      <c r="M729">
        <v>0</v>
      </c>
      <c r="O729">
        <v>200000</v>
      </c>
      <c r="R729" t="s">
        <v>162</v>
      </c>
      <c r="S729">
        <v>7.0000505263157896E-4</v>
      </c>
      <c r="T729">
        <v>1.4168102265263158E-3</v>
      </c>
      <c r="U729" t="s">
        <v>176</v>
      </c>
      <c r="V729">
        <v>9.8000707368421057E-3</v>
      </c>
      <c r="W729">
        <v>0.29051889696336841</v>
      </c>
      <c r="X729" t="s">
        <v>177</v>
      </c>
      <c r="Y729">
        <v>1.7431133817802105E-2</v>
      </c>
      <c r="Z729">
        <v>0</v>
      </c>
      <c r="AA729" t="s">
        <v>178</v>
      </c>
      <c r="AB729">
        <v>3.486226763560421E-2</v>
      </c>
      <c r="AC729">
        <v>0.34281229841677474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Q729" t="s">
        <v>262</v>
      </c>
      <c r="AR729" t="s">
        <v>263</v>
      </c>
      <c r="AS729">
        <v>0.28000202105263156</v>
      </c>
    </row>
    <row r="730" spans="1:45" x14ac:dyDescent="0.15">
      <c r="A730" s="4" t="str">
        <f>HYPERLINK("https://ibp.a2mac1.com/costing(costing:projects/details/9760/material/8755272)","PVC + Fabric backing 3mm PU foam")</f>
        <v>PVC + Fabric backing 3mm PU foam</v>
      </c>
      <c r="B730">
        <v>8755272</v>
      </c>
      <c r="C730">
        <v>12085546</v>
      </c>
      <c r="E730">
        <v>4.91</v>
      </c>
      <c r="F730" t="s">
        <v>6030</v>
      </c>
      <c r="G730">
        <v>94</v>
      </c>
      <c r="H730" t="s">
        <v>6031</v>
      </c>
      <c r="I730">
        <v>0</v>
      </c>
      <c r="J730">
        <v>0.50345253019720215</v>
      </c>
      <c r="K730">
        <v>0</v>
      </c>
      <c r="L730">
        <v>0</v>
      </c>
      <c r="M730">
        <v>0</v>
      </c>
      <c r="O730">
        <v>200000</v>
      </c>
      <c r="R730" t="s">
        <v>162</v>
      </c>
      <c r="S730">
        <v>0</v>
      </c>
      <c r="T730">
        <v>1.488825870212766E-3</v>
      </c>
      <c r="U730" t="s">
        <v>176</v>
      </c>
      <c r="V730">
        <v>1.0298202659574467E-2</v>
      </c>
      <c r="W730">
        <v>0.30602139023191488</v>
      </c>
      <c r="X730" t="s">
        <v>177</v>
      </c>
      <c r="Y730">
        <v>1.8361283413914894E-2</v>
      </c>
      <c r="Z730">
        <v>0</v>
      </c>
      <c r="AA730" t="s">
        <v>178</v>
      </c>
      <c r="AB730">
        <v>3.6722566827829789E-2</v>
      </c>
      <c r="AC730">
        <v>0.36110524047365955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Q730" t="s">
        <v>9</v>
      </c>
      <c r="AR730" t="s">
        <v>263</v>
      </c>
      <c r="AS730">
        <v>0.29423436170212763</v>
      </c>
    </row>
    <row r="731" spans="1:45" x14ac:dyDescent="0.15">
      <c r="A731" s="4" t="str">
        <f>HYPERLINK("https://ibp.a2mac1.com/costing(costing:projects/details/9760/material/8755273)","PC-ABS")</f>
        <v>PC-ABS</v>
      </c>
      <c r="B731">
        <v>8755273</v>
      </c>
      <c r="C731">
        <v>12085546</v>
      </c>
      <c r="E731">
        <v>2.29312</v>
      </c>
      <c r="F731" t="s">
        <v>6033</v>
      </c>
      <c r="G731">
        <v>95</v>
      </c>
      <c r="H731" t="s">
        <v>6034</v>
      </c>
      <c r="I731">
        <v>5</v>
      </c>
      <c r="J731">
        <v>0.50345253019720215</v>
      </c>
      <c r="K731">
        <v>0</v>
      </c>
      <c r="L731">
        <v>0</v>
      </c>
      <c r="M731">
        <v>0</v>
      </c>
      <c r="O731">
        <v>200000</v>
      </c>
      <c r="R731" t="s">
        <v>162</v>
      </c>
      <c r="S731">
        <v>1.019834947368421E-3</v>
      </c>
      <c r="T731">
        <v>2.0641459334736841E-3</v>
      </c>
      <c r="U731" t="s">
        <v>176</v>
      </c>
      <c r="V731">
        <v>1.4277689263157894E-2</v>
      </c>
      <c r="W731">
        <v>0.4232559791966316</v>
      </c>
      <c r="X731" t="s">
        <v>177</v>
      </c>
      <c r="Y731">
        <v>2.5395358751797895E-2</v>
      </c>
      <c r="Z731">
        <v>0</v>
      </c>
      <c r="AA731" t="s">
        <v>178</v>
      </c>
      <c r="AB731">
        <v>5.0790717503595789E-2</v>
      </c>
      <c r="AC731">
        <v>0.49944205545202525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Q731" t="s">
        <v>262</v>
      </c>
      <c r="AR731" t="s">
        <v>263</v>
      </c>
      <c r="AS731">
        <v>0.40793397894736844</v>
      </c>
    </row>
    <row r="732" spans="1:45" x14ac:dyDescent="0.15">
      <c r="A732" s="4" t="str">
        <f>HYPERLINK("https://ibp.a2mac1.com/costing(costing:projects/details/9760/material/8755274)","PP-EPDM")</f>
        <v>PP-EPDM</v>
      </c>
      <c r="B732">
        <v>8755274</v>
      </c>
      <c r="C732">
        <v>12085547</v>
      </c>
      <c r="E732">
        <v>1.7894600000000001</v>
      </c>
      <c r="F732" t="s">
        <v>6038</v>
      </c>
      <c r="G732">
        <v>95</v>
      </c>
      <c r="H732" t="s">
        <v>6039</v>
      </c>
      <c r="I732">
        <v>5</v>
      </c>
      <c r="J732">
        <v>0.50345253019720215</v>
      </c>
      <c r="K732">
        <v>0</v>
      </c>
      <c r="M732">
        <v>0</v>
      </c>
      <c r="O732">
        <v>200000</v>
      </c>
      <c r="R732" t="s">
        <v>162</v>
      </c>
      <c r="S732">
        <v>4.0498305263157893E-4</v>
      </c>
      <c r="T732">
        <v>8.1968569852631579E-4</v>
      </c>
      <c r="U732" t="s">
        <v>176</v>
      </c>
      <c r="V732">
        <v>5.6697627368421056E-3</v>
      </c>
      <c r="W732">
        <v>0.16807768643536841</v>
      </c>
      <c r="X732" t="s">
        <v>177</v>
      </c>
      <c r="Y732">
        <v>1.0084661186122106E-2</v>
      </c>
      <c r="Z732">
        <v>0</v>
      </c>
      <c r="AA732" t="s">
        <v>178</v>
      </c>
      <c r="AB732">
        <v>2.0169322372244211E-2</v>
      </c>
      <c r="AC732">
        <v>0.19833166999373475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Q732" t="s">
        <v>262</v>
      </c>
      <c r="AR732" t="s">
        <v>263</v>
      </c>
      <c r="AS732">
        <v>0.16199322105263159</v>
      </c>
    </row>
    <row r="733" spans="1:45" x14ac:dyDescent="0.15">
      <c r="A733" s="4" t="str">
        <f>HYPERLINK("https://ibp.a2mac1.com/costing(costing:projects/details/9760/material/8755275)","Aluminum sheet body (default, e.g. EN-AW6063)")</f>
        <v>Aluminum sheet body (default, e.g. EN-AW6063)</v>
      </c>
      <c r="B733">
        <v>8755275</v>
      </c>
      <c r="C733">
        <v>12085548</v>
      </c>
      <c r="E733">
        <v>3.79636</v>
      </c>
      <c r="F733" t="s">
        <v>4559</v>
      </c>
      <c r="G733">
        <v>80</v>
      </c>
      <c r="H733" t="s">
        <v>6043</v>
      </c>
      <c r="I733">
        <v>30</v>
      </c>
      <c r="J733">
        <v>0.50345253019720215</v>
      </c>
      <c r="K733">
        <v>0</v>
      </c>
      <c r="M733">
        <v>0</v>
      </c>
      <c r="O733">
        <v>200000</v>
      </c>
      <c r="R733" t="s">
        <v>162</v>
      </c>
      <c r="S733">
        <v>5.1250860000000001E-3</v>
      </c>
      <c r="T733">
        <v>4.32215586E-4</v>
      </c>
      <c r="U733" t="s">
        <v>176</v>
      </c>
      <c r="V733">
        <v>2.9896335E-3</v>
      </c>
      <c r="W733">
        <v>8.3714863085999999E-2</v>
      </c>
      <c r="X733" t="s">
        <v>177</v>
      </c>
      <c r="Y733">
        <v>5.0228917851600002E-3</v>
      </c>
      <c r="Z733">
        <v>0</v>
      </c>
      <c r="AA733" t="s">
        <v>178</v>
      </c>
      <c r="AB733">
        <v>1.004578357032E-2</v>
      </c>
      <c r="AC733">
        <v>9.8783538441479996E-2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Q733" t="s">
        <v>262</v>
      </c>
      <c r="AR733" t="s">
        <v>263</v>
      </c>
      <c r="AS733">
        <v>8.5418099999999997E-2</v>
      </c>
    </row>
    <row r="734" spans="1:45" x14ac:dyDescent="0.15">
      <c r="A734" s="4" t="str">
        <f>HYPERLINK("https://ibp.a2mac1.com/costing(costing:projects/details/9760/material/8755276)","PC-ABS")</f>
        <v>PC-ABS</v>
      </c>
      <c r="B734">
        <v>8755276</v>
      </c>
      <c r="C734">
        <v>12085549</v>
      </c>
      <c r="E734">
        <v>2.29312</v>
      </c>
      <c r="F734" t="s">
        <v>6047</v>
      </c>
      <c r="G734">
        <v>95</v>
      </c>
      <c r="H734" t="s">
        <v>6048</v>
      </c>
      <c r="I734">
        <v>5</v>
      </c>
      <c r="J734">
        <v>0.50345253019720215</v>
      </c>
      <c r="K734">
        <v>0</v>
      </c>
      <c r="M734">
        <v>0</v>
      </c>
      <c r="O734">
        <v>200000</v>
      </c>
      <c r="R734" t="s">
        <v>162</v>
      </c>
      <c r="S734">
        <v>1.7500126315789474E-4</v>
      </c>
      <c r="T734">
        <v>3.5420255663157896E-4</v>
      </c>
      <c r="U734" t="s">
        <v>176</v>
      </c>
      <c r="V734">
        <v>2.4500176842105264E-3</v>
      </c>
      <c r="W734">
        <v>7.2629724240842103E-2</v>
      </c>
      <c r="X734" t="s">
        <v>177</v>
      </c>
      <c r="Y734">
        <v>4.3577834544505263E-3</v>
      </c>
      <c r="Z734">
        <v>0</v>
      </c>
      <c r="AA734" t="s">
        <v>178</v>
      </c>
      <c r="AB734">
        <v>8.7155669089010526E-3</v>
      </c>
      <c r="AC734">
        <v>8.5703074604193685E-2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Q734" t="s">
        <v>262</v>
      </c>
      <c r="AR734" t="s">
        <v>263</v>
      </c>
      <c r="AS734">
        <v>7.0000505263157889E-2</v>
      </c>
    </row>
    <row r="735" spans="1:45" x14ac:dyDescent="0.15">
      <c r="A735" s="4" t="str">
        <f>HYPERLINK("https://ibp.a2mac1.com/costing(costing:projects/details/9760/material/8755277)","PP")</f>
        <v>PP</v>
      </c>
      <c r="B735">
        <v>8755277</v>
      </c>
      <c r="C735">
        <v>12085550</v>
      </c>
      <c r="E735">
        <v>1.0113799999999999</v>
      </c>
      <c r="F735" t="s">
        <v>6052</v>
      </c>
      <c r="G735">
        <v>95</v>
      </c>
      <c r="H735" t="s">
        <v>6053</v>
      </c>
      <c r="I735">
        <v>5</v>
      </c>
      <c r="J735">
        <v>0.50345253019720215</v>
      </c>
      <c r="K735">
        <v>0</v>
      </c>
      <c r="M735">
        <v>0</v>
      </c>
      <c r="O735">
        <v>200000</v>
      </c>
      <c r="R735" t="s">
        <v>162</v>
      </c>
      <c r="S735">
        <v>1.0912257894736842E-4</v>
      </c>
      <c r="T735">
        <v>2.2086409978947367E-4</v>
      </c>
      <c r="U735" t="s">
        <v>176</v>
      </c>
      <c r="V735">
        <v>1.5277161052631579E-3</v>
      </c>
      <c r="W735">
        <v>4.5288489205052629E-2</v>
      </c>
      <c r="X735" t="s">
        <v>177</v>
      </c>
      <c r="Y735">
        <v>2.7173093523031578E-3</v>
      </c>
      <c r="Z735">
        <v>0</v>
      </c>
      <c r="AA735" t="s">
        <v>178</v>
      </c>
      <c r="AB735">
        <v>5.4346187046063156E-3</v>
      </c>
      <c r="AC735">
        <v>5.3440417261962109E-2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Q735" t="s">
        <v>262</v>
      </c>
      <c r="AR735" t="s">
        <v>263</v>
      </c>
      <c r="AS735">
        <v>4.3649031578947367E-2</v>
      </c>
    </row>
    <row r="736" spans="1:45" x14ac:dyDescent="0.15">
      <c r="A736" s="4" t="str">
        <f>HYPERLINK("https://ibp.a2mac1.com/costing(costing:projects/details/9760/material/8755278)","Aluminum sheet body (default, e.g. EN-AW6063)")</f>
        <v>Aluminum sheet body (default, e.g. EN-AW6063)</v>
      </c>
      <c r="B736">
        <v>8755278</v>
      </c>
      <c r="C736">
        <v>12085551</v>
      </c>
      <c r="E736">
        <v>3.79636</v>
      </c>
      <c r="F736" t="s">
        <v>1627</v>
      </c>
      <c r="G736">
        <v>80</v>
      </c>
      <c r="H736" t="s">
        <v>5104</v>
      </c>
      <c r="I736">
        <v>30</v>
      </c>
      <c r="J736">
        <v>0.50345253019720215</v>
      </c>
      <c r="K736">
        <v>0</v>
      </c>
      <c r="M736">
        <v>0</v>
      </c>
      <c r="O736">
        <v>200000</v>
      </c>
      <c r="R736" t="s">
        <v>162</v>
      </c>
      <c r="S736">
        <v>8.5418099999999997E-4</v>
      </c>
      <c r="T736">
        <v>7.2035931000000004E-5</v>
      </c>
      <c r="U736" t="s">
        <v>176</v>
      </c>
      <c r="V736">
        <v>4.9827224999999999E-4</v>
      </c>
      <c r="W736">
        <v>1.3952477180999999E-2</v>
      </c>
      <c r="X736" t="s">
        <v>177</v>
      </c>
      <c r="Y736">
        <v>8.3714863086E-4</v>
      </c>
      <c r="Z736">
        <v>0</v>
      </c>
      <c r="AA736" t="s">
        <v>178</v>
      </c>
      <c r="AB736">
        <v>1.67429726172E-3</v>
      </c>
      <c r="AC736">
        <v>1.6463923073580002E-2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Q736" t="s">
        <v>262</v>
      </c>
      <c r="AR736" t="s">
        <v>263</v>
      </c>
      <c r="AS736">
        <v>1.423635E-2</v>
      </c>
    </row>
    <row r="737" spans="1:45" x14ac:dyDescent="0.15">
      <c r="A737" s="4" t="str">
        <f>HYPERLINK("https://ibp.a2mac1.com/costing(costing:projects/details/9760/material/8754875)","PP-EPDM")</f>
        <v>PP-EPDM</v>
      </c>
      <c r="B737">
        <v>8754875</v>
      </c>
      <c r="C737">
        <v>12085282</v>
      </c>
      <c r="E737">
        <v>1.7894600000000001</v>
      </c>
      <c r="F737" t="s">
        <v>6061</v>
      </c>
      <c r="G737">
        <v>95</v>
      </c>
      <c r="H737" t="s">
        <v>6062</v>
      </c>
      <c r="I737">
        <v>5</v>
      </c>
      <c r="J737">
        <v>0.50345253019720215</v>
      </c>
      <c r="K737">
        <v>0</v>
      </c>
      <c r="M737">
        <v>0</v>
      </c>
      <c r="O737">
        <v>200000</v>
      </c>
      <c r="R737" t="s">
        <v>162</v>
      </c>
      <c r="S737">
        <v>5.3589617894736841E-3</v>
      </c>
      <c r="T737">
        <v>1.0846538661894736E-2</v>
      </c>
      <c r="U737" t="s">
        <v>176</v>
      </c>
      <c r="V737">
        <v>7.5025465052631579E-2</v>
      </c>
      <c r="W737">
        <v>2.2240977577145262</v>
      </c>
      <c r="X737" t="s">
        <v>90</v>
      </c>
      <c r="Y737">
        <v>0</v>
      </c>
      <c r="Z737">
        <v>0</v>
      </c>
      <c r="AA737" t="s">
        <v>90</v>
      </c>
      <c r="AB737">
        <v>0</v>
      </c>
      <c r="AC737">
        <v>2.2240977577145262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Q737" t="s">
        <v>262</v>
      </c>
      <c r="AR737" t="s">
        <v>263</v>
      </c>
      <c r="AS737">
        <v>2.1435847157894736</v>
      </c>
    </row>
    <row r="738" spans="1:45" x14ac:dyDescent="0.15">
      <c r="A738" s="4" t="str">
        <f>HYPERLINK("https://ibp.a2mac1.com/costing(costing:projects/details/9760/material/8754876)","PC-ABS")</f>
        <v>PC-ABS</v>
      </c>
      <c r="B738">
        <v>8754876</v>
      </c>
      <c r="C738">
        <v>12085283</v>
      </c>
      <c r="E738">
        <v>2.29312</v>
      </c>
      <c r="F738" t="s">
        <v>6066</v>
      </c>
      <c r="G738">
        <v>95</v>
      </c>
      <c r="H738" t="s">
        <v>6067</v>
      </c>
      <c r="I738">
        <v>5</v>
      </c>
      <c r="J738">
        <v>0.50345253019720215</v>
      </c>
      <c r="K738">
        <v>0</v>
      </c>
      <c r="L738">
        <v>0</v>
      </c>
      <c r="M738">
        <v>0</v>
      </c>
      <c r="O738">
        <v>200000</v>
      </c>
      <c r="R738" t="s">
        <v>162</v>
      </c>
      <c r="S738">
        <v>1.007765894736842E-3</v>
      </c>
      <c r="T738">
        <v>2.0397181709473685E-3</v>
      </c>
      <c r="U738" t="s">
        <v>176</v>
      </c>
      <c r="V738">
        <v>1.410872252631579E-2</v>
      </c>
      <c r="W738">
        <v>0.41824703269726315</v>
      </c>
      <c r="X738" t="s">
        <v>90</v>
      </c>
      <c r="Y738">
        <v>0</v>
      </c>
      <c r="Z738">
        <v>0</v>
      </c>
      <c r="AA738" t="s">
        <v>90</v>
      </c>
      <c r="AB738">
        <v>0</v>
      </c>
      <c r="AC738">
        <v>0.41824703269726315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Q738" t="s">
        <v>262</v>
      </c>
      <c r="AR738" t="s">
        <v>263</v>
      </c>
      <c r="AS738">
        <v>0.40310635789473687</v>
      </c>
    </row>
    <row r="739" spans="1:45" x14ac:dyDescent="0.15">
      <c r="A739" s="4" t="str">
        <f>HYPERLINK("https://ibp.a2mac1.com/costing(costing:projects/details/9760/material/8754877)","PVC + Fabric backing 3mm PU foam")</f>
        <v>PVC + Fabric backing 3mm PU foam</v>
      </c>
      <c r="B739">
        <v>8754877</v>
      </c>
      <c r="C739">
        <v>12085283</v>
      </c>
      <c r="E739">
        <v>4.91</v>
      </c>
      <c r="F739" t="s">
        <v>6069</v>
      </c>
      <c r="G739">
        <v>94</v>
      </c>
      <c r="H739" t="s">
        <v>6070</v>
      </c>
      <c r="I739">
        <v>0</v>
      </c>
      <c r="J739">
        <v>0.50345253019720215</v>
      </c>
      <c r="K739">
        <v>0</v>
      </c>
      <c r="L739">
        <v>0</v>
      </c>
      <c r="M739">
        <v>0</v>
      </c>
      <c r="O739">
        <v>200000</v>
      </c>
      <c r="R739" t="s">
        <v>162</v>
      </c>
      <c r="S739">
        <v>0</v>
      </c>
      <c r="T739">
        <v>2.2069405319148938E-3</v>
      </c>
      <c r="U739" t="s">
        <v>176</v>
      </c>
      <c r="V739">
        <v>1.5265398936170212E-2</v>
      </c>
      <c r="W739">
        <v>0.45362659478723405</v>
      </c>
      <c r="X739" t="s">
        <v>90</v>
      </c>
      <c r="Y739">
        <v>0</v>
      </c>
      <c r="Z739">
        <v>0</v>
      </c>
      <c r="AA739" t="s">
        <v>90</v>
      </c>
      <c r="AB739">
        <v>0</v>
      </c>
      <c r="AC739">
        <v>0.45362659478723405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Q739" t="s">
        <v>9</v>
      </c>
      <c r="AR739" t="s">
        <v>263</v>
      </c>
      <c r="AS739">
        <v>0.43615425531914892</v>
      </c>
    </row>
    <row r="740" spans="1:45" x14ac:dyDescent="0.15">
      <c r="A740" s="4" t="str">
        <f>HYPERLINK("https://ibp.a2mac1.com/costing(costing:projects/details/9760/material/8754878)","PP-EPDM")</f>
        <v>PP-EPDM</v>
      </c>
      <c r="B740">
        <v>8754878</v>
      </c>
      <c r="C740">
        <v>12085284</v>
      </c>
      <c r="E740">
        <v>1.7894600000000001</v>
      </c>
      <c r="F740" t="s">
        <v>6073</v>
      </c>
      <c r="G740">
        <v>95</v>
      </c>
      <c r="H740" t="s">
        <v>6074</v>
      </c>
      <c r="I740">
        <v>5</v>
      </c>
      <c r="J740">
        <v>0.50345253019720215</v>
      </c>
      <c r="K740">
        <v>0</v>
      </c>
      <c r="M740">
        <v>0</v>
      </c>
      <c r="O740">
        <v>200000</v>
      </c>
      <c r="R740" t="s">
        <v>162</v>
      </c>
      <c r="S740">
        <v>2.9384816842105265E-3</v>
      </c>
      <c r="T740">
        <v>5.9474869288421049E-3</v>
      </c>
      <c r="U740" t="s">
        <v>176</v>
      </c>
      <c r="V740">
        <v>4.1138743578947368E-2</v>
      </c>
      <c r="W740">
        <v>1.2195404225077895</v>
      </c>
      <c r="X740" t="s">
        <v>90</v>
      </c>
      <c r="Y740">
        <v>0</v>
      </c>
      <c r="Z740">
        <v>0</v>
      </c>
      <c r="AA740" t="s">
        <v>90</v>
      </c>
      <c r="AB740">
        <v>0</v>
      </c>
      <c r="AC740">
        <v>1.2195404225077895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Q740" t="s">
        <v>262</v>
      </c>
      <c r="AR740" t="s">
        <v>263</v>
      </c>
      <c r="AS740">
        <v>1.1753926736842106</v>
      </c>
    </row>
    <row r="741" spans="1:45" x14ac:dyDescent="0.15">
      <c r="A741" s="4" t="str">
        <f>HYPERLINK("https://ibp.a2mac1.com/costing(costing:projects/details/9760/material/8754879)","PVC + Fabric backing 3mm PU foam")</f>
        <v>PVC + Fabric backing 3mm PU foam</v>
      </c>
      <c r="B741">
        <v>8754879</v>
      </c>
      <c r="C741">
        <v>12085284</v>
      </c>
      <c r="E741">
        <v>4.91</v>
      </c>
      <c r="F741" t="s">
        <v>6076</v>
      </c>
      <c r="G741">
        <v>94</v>
      </c>
      <c r="H741" t="s">
        <v>6077</v>
      </c>
      <c r="I741">
        <v>0</v>
      </c>
      <c r="J741">
        <v>0.50345253019720215</v>
      </c>
      <c r="K741">
        <v>0</v>
      </c>
      <c r="L741">
        <v>0</v>
      </c>
      <c r="M741">
        <v>0</v>
      </c>
      <c r="O741">
        <v>200000</v>
      </c>
      <c r="R741" t="s">
        <v>162</v>
      </c>
      <c r="S741">
        <v>0</v>
      </c>
      <c r="T741">
        <v>7.5062408510638296E-3</v>
      </c>
      <c r="U741" t="s">
        <v>176</v>
      </c>
      <c r="V741">
        <v>5.1920638297872343E-2</v>
      </c>
      <c r="W741">
        <v>1.5428736876595746</v>
      </c>
      <c r="X741" t="s">
        <v>90</v>
      </c>
      <c r="Y741">
        <v>0</v>
      </c>
      <c r="Z741">
        <v>0</v>
      </c>
      <c r="AA741" t="s">
        <v>90</v>
      </c>
      <c r="AB741">
        <v>0</v>
      </c>
      <c r="AC741">
        <v>1.5428736876595746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Q741" t="s">
        <v>9</v>
      </c>
      <c r="AR741" t="s">
        <v>263</v>
      </c>
      <c r="AS741">
        <v>1.4834468085106383</v>
      </c>
    </row>
    <row r="742" spans="1:45" x14ac:dyDescent="0.15">
      <c r="A742" s="4" t="str">
        <f>HYPERLINK("https://ibp.a2mac1.com/costing(costing:projects/details/9760/material/8754880)","PC-ABS")</f>
        <v>PC-ABS</v>
      </c>
      <c r="B742">
        <v>8754880</v>
      </c>
      <c r="C742">
        <v>12085285</v>
      </c>
      <c r="E742">
        <v>2.29312</v>
      </c>
      <c r="F742" t="s">
        <v>5844</v>
      </c>
      <c r="G742">
        <v>95</v>
      </c>
      <c r="H742" t="s">
        <v>6080</v>
      </c>
      <c r="I742">
        <v>5</v>
      </c>
      <c r="J742">
        <v>0.50345253019720215</v>
      </c>
      <c r="K742">
        <v>0</v>
      </c>
      <c r="L742">
        <v>0</v>
      </c>
      <c r="M742">
        <v>0</v>
      </c>
      <c r="O742">
        <v>200000</v>
      </c>
      <c r="R742" t="s">
        <v>162</v>
      </c>
      <c r="S742">
        <v>5.4310736842105259E-4</v>
      </c>
      <c r="T742">
        <v>1.0992493136842106E-3</v>
      </c>
      <c r="U742" t="s">
        <v>176</v>
      </c>
      <c r="V742">
        <v>7.6035031578947365E-3</v>
      </c>
      <c r="W742">
        <v>0.22540259247157896</v>
      </c>
      <c r="X742" t="s">
        <v>90</v>
      </c>
      <c r="Y742">
        <v>0</v>
      </c>
      <c r="Z742">
        <v>0</v>
      </c>
      <c r="AA742" t="s">
        <v>90</v>
      </c>
      <c r="AB742">
        <v>0</v>
      </c>
      <c r="AC742">
        <v>0.22540259247157896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Q742" t="s">
        <v>262</v>
      </c>
      <c r="AR742" t="s">
        <v>263</v>
      </c>
      <c r="AS742">
        <v>0.21724294736842106</v>
      </c>
    </row>
    <row r="743" spans="1:45" x14ac:dyDescent="0.15">
      <c r="A743" s="4" t="str">
        <f>HYPERLINK("https://ibp.a2mac1.com/costing(costing:projects/details/9760/material/8754881)","PC-ABS")</f>
        <v>PC-ABS</v>
      </c>
      <c r="B743">
        <v>8754881</v>
      </c>
      <c r="C743">
        <v>12085286</v>
      </c>
      <c r="E743">
        <v>2.29312</v>
      </c>
      <c r="F743" t="s">
        <v>5087</v>
      </c>
      <c r="G743">
        <v>95</v>
      </c>
      <c r="H743" t="s">
        <v>5088</v>
      </c>
      <c r="I743">
        <v>5</v>
      </c>
      <c r="J743">
        <v>0.50345253019720215</v>
      </c>
      <c r="K743">
        <v>0</v>
      </c>
      <c r="L743">
        <v>0</v>
      </c>
      <c r="M743">
        <v>0</v>
      </c>
      <c r="O743">
        <v>200000</v>
      </c>
      <c r="R743" t="s">
        <v>162</v>
      </c>
      <c r="S743">
        <v>2.0517389473684211E-4</v>
      </c>
      <c r="T743">
        <v>4.1527196294736843E-4</v>
      </c>
      <c r="U743" t="s">
        <v>176</v>
      </c>
      <c r="V743">
        <v>2.8724345263157897E-3</v>
      </c>
      <c r="W743">
        <v>8.5152090489263157E-2</v>
      </c>
      <c r="X743" t="s">
        <v>90</v>
      </c>
      <c r="Y743">
        <v>0</v>
      </c>
      <c r="Z743">
        <v>0</v>
      </c>
      <c r="AA743" t="s">
        <v>90</v>
      </c>
      <c r="AB743">
        <v>0</v>
      </c>
      <c r="AC743">
        <v>8.5152090489263157E-2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Q743" t="s">
        <v>262</v>
      </c>
      <c r="AR743" t="s">
        <v>263</v>
      </c>
      <c r="AS743">
        <v>8.2069557894736841E-2</v>
      </c>
    </row>
    <row r="744" spans="1:45" x14ac:dyDescent="0.15">
      <c r="A744" s="4" t="str">
        <f>HYPERLINK("https://ibp.a2mac1.com/costing(costing:projects/details/9760/material/8754882)","PP-EPDM")</f>
        <v>PP-EPDM</v>
      </c>
      <c r="B744">
        <v>8754882</v>
      </c>
      <c r="C744">
        <v>12085287</v>
      </c>
      <c r="E744">
        <v>1.7894600000000001</v>
      </c>
      <c r="F744" t="s">
        <v>6087</v>
      </c>
      <c r="G744">
        <v>95</v>
      </c>
      <c r="H744" t="s">
        <v>6088</v>
      </c>
      <c r="I744">
        <v>5</v>
      </c>
      <c r="J744">
        <v>0.50345253019720215</v>
      </c>
      <c r="K744">
        <v>0</v>
      </c>
      <c r="L744">
        <v>0</v>
      </c>
      <c r="M744">
        <v>0</v>
      </c>
      <c r="O744">
        <v>200000</v>
      </c>
      <c r="R744" t="s">
        <v>162</v>
      </c>
      <c r="S744">
        <v>1.3515132105263157E-3</v>
      </c>
      <c r="T744">
        <v>2.7354627381052632E-3</v>
      </c>
      <c r="U744" t="s">
        <v>176</v>
      </c>
      <c r="V744">
        <v>1.892118494736842E-2</v>
      </c>
      <c r="W744">
        <v>0.56091041868547364</v>
      </c>
      <c r="X744" t="s">
        <v>90</v>
      </c>
      <c r="Y744">
        <v>0</v>
      </c>
      <c r="Z744">
        <v>0</v>
      </c>
      <c r="AA744" t="s">
        <v>90</v>
      </c>
      <c r="AB744">
        <v>0</v>
      </c>
      <c r="AC744">
        <v>0.56091041868547364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Q744" t="s">
        <v>262</v>
      </c>
      <c r="AR744" t="s">
        <v>263</v>
      </c>
      <c r="AS744">
        <v>0.54060528421052634</v>
      </c>
    </row>
    <row r="745" spans="1:45" x14ac:dyDescent="0.15">
      <c r="A745" s="4" t="str">
        <f>HYPERLINK("https://ibp.a2mac1.com/costing(costing:projects/details/9760/material/8754883)","PVC + Fabric backing 3mm PU foam")</f>
        <v>PVC + Fabric backing 3mm PU foam</v>
      </c>
      <c r="B745">
        <v>8754883</v>
      </c>
      <c r="C745">
        <v>12085287</v>
      </c>
      <c r="E745">
        <v>4.91</v>
      </c>
      <c r="F745" t="s">
        <v>5844</v>
      </c>
      <c r="G745">
        <v>94</v>
      </c>
      <c r="H745" t="s">
        <v>6090</v>
      </c>
      <c r="I745">
        <v>0</v>
      </c>
      <c r="J745">
        <v>0.50345253019720215</v>
      </c>
      <c r="K745">
        <v>0</v>
      </c>
      <c r="L745">
        <v>0</v>
      </c>
      <c r="M745">
        <v>0</v>
      </c>
      <c r="O745">
        <v>200000</v>
      </c>
      <c r="R745" t="s">
        <v>162</v>
      </c>
      <c r="S745">
        <v>0</v>
      </c>
      <c r="T745">
        <v>2.3787382978723405E-3</v>
      </c>
      <c r="U745" t="s">
        <v>176</v>
      </c>
      <c r="V745">
        <v>1.645372340425532E-2</v>
      </c>
      <c r="W745">
        <v>0.48893884468085108</v>
      </c>
      <c r="X745" t="s">
        <v>90</v>
      </c>
      <c r="Y745">
        <v>0</v>
      </c>
      <c r="Z745">
        <v>0</v>
      </c>
      <c r="AA745" t="s">
        <v>90</v>
      </c>
      <c r="AB745">
        <v>0</v>
      </c>
      <c r="AC745">
        <v>0.48893884468085108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Q745" t="s">
        <v>9</v>
      </c>
      <c r="AR745" t="s">
        <v>263</v>
      </c>
      <c r="AS745">
        <v>0.47010638297872342</v>
      </c>
    </row>
    <row r="746" spans="1:45" x14ac:dyDescent="0.15">
      <c r="A746" s="4" t="str">
        <f>HYPERLINK("https://ibp.a2mac1.com/costing(costing:projects/details/9760/material/8754884)","PP-EPDM")</f>
        <v>PP-EPDM</v>
      </c>
      <c r="B746">
        <v>8754884</v>
      </c>
      <c r="C746">
        <v>12085288</v>
      </c>
      <c r="E746">
        <v>1.7894600000000001</v>
      </c>
      <c r="F746" t="s">
        <v>6087</v>
      </c>
      <c r="G746">
        <v>95</v>
      </c>
      <c r="H746" t="s">
        <v>6088</v>
      </c>
      <c r="I746">
        <v>5</v>
      </c>
      <c r="J746">
        <v>0.50345253019720215</v>
      </c>
      <c r="K746">
        <v>0</v>
      </c>
      <c r="M746">
        <v>0</v>
      </c>
      <c r="O746">
        <v>200000</v>
      </c>
      <c r="R746" t="s">
        <v>162</v>
      </c>
      <c r="S746">
        <v>1.3515132105263157E-3</v>
      </c>
      <c r="T746">
        <v>2.7354627381052632E-3</v>
      </c>
      <c r="U746" t="s">
        <v>176</v>
      </c>
      <c r="V746">
        <v>1.892118494736842E-2</v>
      </c>
      <c r="W746">
        <v>0.56091041868547364</v>
      </c>
      <c r="X746" t="s">
        <v>90</v>
      </c>
      <c r="Y746">
        <v>0</v>
      </c>
      <c r="Z746">
        <v>0</v>
      </c>
      <c r="AA746" t="s">
        <v>90</v>
      </c>
      <c r="AB746">
        <v>0</v>
      </c>
      <c r="AC746">
        <v>0.56091041868547364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Q746" t="s">
        <v>262</v>
      </c>
      <c r="AR746" t="s">
        <v>263</v>
      </c>
      <c r="AS746">
        <v>0.54060528421052634</v>
      </c>
    </row>
    <row r="747" spans="1:45" x14ac:dyDescent="0.15">
      <c r="A747" s="4" t="str">
        <f>HYPERLINK("https://ibp.a2mac1.com/costing(costing:projects/details/9760/material/8754885)","Thinsulate")</f>
        <v>Thinsulate</v>
      </c>
      <c r="B747">
        <v>8754885</v>
      </c>
      <c r="C747">
        <v>12085289</v>
      </c>
      <c r="E747">
        <v>8.3000000000000007</v>
      </c>
      <c r="F747" t="s">
        <v>6096</v>
      </c>
      <c r="G747">
        <v>95</v>
      </c>
      <c r="H747" t="s">
        <v>6097</v>
      </c>
      <c r="I747">
        <v>0</v>
      </c>
      <c r="J747">
        <v>0.50345253019720215</v>
      </c>
      <c r="K747">
        <v>0</v>
      </c>
      <c r="L747">
        <v>0</v>
      </c>
      <c r="M747">
        <v>0</v>
      </c>
      <c r="O747">
        <v>200000</v>
      </c>
      <c r="R747" t="s">
        <v>162</v>
      </c>
      <c r="S747">
        <v>0</v>
      </c>
      <c r="T747">
        <v>1.4544570526315789E-2</v>
      </c>
      <c r="U747" t="s">
        <v>176</v>
      </c>
      <c r="V747">
        <v>0.10060473684210526</v>
      </c>
      <c r="W747">
        <v>2.9895703600000001</v>
      </c>
      <c r="X747" t="s">
        <v>177</v>
      </c>
      <c r="Y747">
        <v>0.17937422159999999</v>
      </c>
      <c r="Z747">
        <v>0</v>
      </c>
      <c r="AA747" t="s">
        <v>178</v>
      </c>
      <c r="AB747">
        <v>0.35874844319999999</v>
      </c>
      <c r="AC747">
        <v>3.5276930248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Q747" t="s">
        <v>9</v>
      </c>
      <c r="AR747" t="s">
        <v>263</v>
      </c>
      <c r="AS747">
        <v>2.874421052631579</v>
      </c>
    </row>
    <row r="748" spans="1:45" x14ac:dyDescent="0.15">
      <c r="A748" s="4" t="str">
        <f>HYPERLINK("https://ibp.a2mac1.com/costing(costing:projects/details/9760/material/8754886)","PP-EPDM")</f>
        <v>PP-EPDM</v>
      </c>
      <c r="B748">
        <v>8754886</v>
      </c>
      <c r="C748">
        <v>12085290</v>
      </c>
      <c r="E748">
        <v>1.7894600000000001</v>
      </c>
      <c r="F748" t="s">
        <v>6101</v>
      </c>
      <c r="G748">
        <v>95</v>
      </c>
      <c r="H748" t="s">
        <v>6102</v>
      </c>
      <c r="I748">
        <v>5</v>
      </c>
      <c r="J748">
        <v>0.50345253019720215</v>
      </c>
      <c r="K748">
        <v>0</v>
      </c>
      <c r="M748">
        <v>0</v>
      </c>
      <c r="O748">
        <v>200000</v>
      </c>
      <c r="R748" t="s">
        <v>162</v>
      </c>
      <c r="S748">
        <v>4.4736500000000002E-4</v>
      </c>
      <c r="T748">
        <v>9.0546675999999995E-4</v>
      </c>
      <c r="U748" t="s">
        <v>176</v>
      </c>
      <c r="V748">
        <v>6.2631099999999997E-3</v>
      </c>
      <c r="W748">
        <v>0.18566721176000001</v>
      </c>
      <c r="X748" t="s">
        <v>177</v>
      </c>
      <c r="Y748">
        <v>1.11400327056E-2</v>
      </c>
      <c r="Z748">
        <v>0</v>
      </c>
      <c r="AA748" t="s">
        <v>178</v>
      </c>
      <c r="AB748">
        <v>2.2280065411199999E-2</v>
      </c>
      <c r="AC748">
        <v>0.2190873098768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Q748" t="s">
        <v>262</v>
      </c>
      <c r="AR748" t="s">
        <v>263</v>
      </c>
      <c r="AS748">
        <v>0.17894599999999999</v>
      </c>
    </row>
    <row r="749" spans="1:45" x14ac:dyDescent="0.15">
      <c r="A749" s="4" t="str">
        <f>HYPERLINK("https://ibp.a2mac1.com/costing(costing:projects/details/9760/material/8755279)","ABS-PC")</f>
        <v>ABS-PC</v>
      </c>
      <c r="B749">
        <v>8755279</v>
      </c>
      <c r="C749">
        <v>12085552</v>
      </c>
      <c r="E749">
        <v>2.29312</v>
      </c>
      <c r="F749" t="s">
        <v>5174</v>
      </c>
      <c r="G749">
        <v>95</v>
      </c>
      <c r="H749" t="s">
        <v>5175</v>
      </c>
      <c r="I749">
        <v>5</v>
      </c>
      <c r="J749">
        <v>0.50345253019720215</v>
      </c>
      <c r="K749">
        <v>0</v>
      </c>
      <c r="L749">
        <v>0</v>
      </c>
      <c r="M749">
        <v>0</v>
      </c>
      <c r="O749">
        <v>200000</v>
      </c>
      <c r="R749" t="s">
        <v>162</v>
      </c>
      <c r="S749">
        <v>7.8448842105263158E-5</v>
      </c>
      <c r="T749">
        <v>1.5878045642105264E-4</v>
      </c>
      <c r="U749" t="s">
        <v>176</v>
      </c>
      <c r="V749">
        <v>1.0982837894736842E-3</v>
      </c>
      <c r="W749">
        <v>3.2558152245894735E-2</v>
      </c>
      <c r="X749" t="s">
        <v>177</v>
      </c>
      <c r="Y749">
        <v>1.953489134753684E-3</v>
      </c>
      <c r="Z749">
        <v>0</v>
      </c>
      <c r="AA749" t="s">
        <v>178</v>
      </c>
      <c r="AB749">
        <v>3.906978269507368E-3</v>
      </c>
      <c r="AC749">
        <v>3.8418619650155791E-2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P749" t="s">
        <v>5141</v>
      </c>
      <c r="AQ749" t="s">
        <v>262</v>
      </c>
      <c r="AR749" t="s">
        <v>263</v>
      </c>
      <c r="AS749">
        <v>3.137953684210526E-2</v>
      </c>
    </row>
    <row r="750" spans="1:45" x14ac:dyDescent="0.15">
      <c r="A750" s="4" t="str">
        <f>HYPERLINK("https://ibp.a2mac1.com/costing(costing:projects/details/9760/material/8755280)","PA6-GF30")</f>
        <v>PA6-GF30</v>
      </c>
      <c r="B750">
        <v>8755280</v>
      </c>
      <c r="C750">
        <v>12085553</v>
      </c>
      <c r="E750">
        <v>2.1428600000000002</v>
      </c>
      <c r="F750" t="s">
        <v>5436</v>
      </c>
      <c r="G750">
        <v>97</v>
      </c>
      <c r="H750" t="s">
        <v>5437</v>
      </c>
      <c r="I750">
        <v>5</v>
      </c>
      <c r="J750">
        <v>0.10389195236953569</v>
      </c>
      <c r="K750">
        <v>0</v>
      </c>
      <c r="M750">
        <v>0</v>
      </c>
      <c r="O750">
        <v>200000</v>
      </c>
      <c r="R750" t="s">
        <v>162</v>
      </c>
      <c r="S750">
        <v>2.2533167010309278E-4</v>
      </c>
      <c r="T750">
        <v>1.5622995793814433E-4</v>
      </c>
      <c r="U750" t="s">
        <v>176</v>
      </c>
      <c r="V750">
        <v>5.257738969072165E-3</v>
      </c>
      <c r="W750">
        <v>0.15540975065896906</v>
      </c>
      <c r="X750" t="s">
        <v>177</v>
      </c>
      <c r="Y750">
        <v>9.3245850395381451E-3</v>
      </c>
      <c r="Z750">
        <v>0</v>
      </c>
      <c r="AA750" t="s">
        <v>178</v>
      </c>
      <c r="AB750">
        <v>1.864917007907629E-2</v>
      </c>
      <c r="AC750">
        <v>0.1833835057775835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Q750" t="s">
        <v>262</v>
      </c>
      <c r="AR750" t="s">
        <v>263</v>
      </c>
      <c r="AS750">
        <v>0.15022111340206185</v>
      </c>
    </row>
    <row r="751" spans="1:45" x14ac:dyDescent="0.15">
      <c r="A751" s="4" t="str">
        <f>HYPERLINK("https://ibp.a2mac1.com/costing(costing:projects/details/9760/material/8755281)","Standard Structural Steel sheet")</f>
        <v>Standard Structural Steel sheet</v>
      </c>
      <c r="B751">
        <v>8755281</v>
      </c>
      <c r="C751">
        <v>12085554</v>
      </c>
      <c r="E751">
        <v>0.61129999999999995</v>
      </c>
      <c r="F751" t="s">
        <v>5443</v>
      </c>
      <c r="G751">
        <v>100</v>
      </c>
      <c r="H751" t="s">
        <v>5444</v>
      </c>
      <c r="I751">
        <v>30</v>
      </c>
      <c r="J751">
        <v>0.20557651238448796</v>
      </c>
      <c r="K751">
        <v>0</v>
      </c>
      <c r="L751">
        <v>0</v>
      </c>
      <c r="M751">
        <v>0</v>
      </c>
      <c r="O751">
        <v>200000</v>
      </c>
      <c r="R751" t="s">
        <v>162</v>
      </c>
      <c r="S751">
        <v>0</v>
      </c>
      <c r="T751">
        <v>2.518556E-6</v>
      </c>
      <c r="U751" t="s">
        <v>176</v>
      </c>
      <c r="V751">
        <v>4.2790999999999997E-5</v>
      </c>
      <c r="W751">
        <v>1.267909556E-3</v>
      </c>
      <c r="X751" t="s">
        <v>177</v>
      </c>
      <c r="Y751">
        <v>7.6074573359999998E-5</v>
      </c>
      <c r="Z751">
        <v>0</v>
      </c>
      <c r="AA751" t="s">
        <v>178</v>
      </c>
      <c r="AB751">
        <v>1.5214914672E-4</v>
      </c>
      <c r="AC751">
        <v>1.49613327608E-3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Q751" t="s">
        <v>262</v>
      </c>
      <c r="AR751" t="s">
        <v>263</v>
      </c>
      <c r="AS751">
        <v>1.2225999999999999E-3</v>
      </c>
    </row>
    <row r="752" spans="1:45" x14ac:dyDescent="0.15">
      <c r="A752" s="4" t="str">
        <f>HYPERLINK("https://ibp.a2mac1.com/costing(costing:projects/details/9760/material/8755282)","PA6-GF30")</f>
        <v>PA6-GF30</v>
      </c>
      <c r="B752">
        <v>8755282</v>
      </c>
      <c r="C752">
        <v>12085556</v>
      </c>
      <c r="E752">
        <v>2.1428600000000002</v>
      </c>
      <c r="F752" t="s">
        <v>5436</v>
      </c>
      <c r="G752">
        <v>97</v>
      </c>
      <c r="H752" t="s">
        <v>5437</v>
      </c>
      <c r="I752">
        <v>5</v>
      </c>
      <c r="J752">
        <v>0.10389195236953569</v>
      </c>
      <c r="K752">
        <v>0</v>
      </c>
      <c r="M752">
        <v>0</v>
      </c>
      <c r="O752">
        <v>200000</v>
      </c>
      <c r="R752" t="s">
        <v>162</v>
      </c>
      <c r="S752">
        <v>2.2533167010309278E-4</v>
      </c>
      <c r="T752">
        <v>1.5622995793814433E-4</v>
      </c>
      <c r="U752" t="s">
        <v>176</v>
      </c>
      <c r="V752">
        <v>5.257738969072165E-3</v>
      </c>
      <c r="W752">
        <v>0.15540975065896906</v>
      </c>
      <c r="X752" t="s">
        <v>177</v>
      </c>
      <c r="Y752">
        <v>9.3245850395381451E-3</v>
      </c>
      <c r="Z752">
        <v>0</v>
      </c>
      <c r="AA752" t="s">
        <v>178</v>
      </c>
      <c r="AB752">
        <v>1.864917007907629E-2</v>
      </c>
      <c r="AC752">
        <v>0.1833835057775835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Q752" t="s">
        <v>262</v>
      </c>
      <c r="AR752" t="s">
        <v>263</v>
      </c>
      <c r="AS752">
        <v>0.15022111340206185</v>
      </c>
    </row>
    <row r="753" spans="1:45" x14ac:dyDescent="0.15">
      <c r="A753" s="4" t="str">
        <f>HYPERLINK("https://ibp.a2mac1.com/costing(costing:projects/details/9760/material/8755283)","PA6-GF30")</f>
        <v>PA6-GF30</v>
      </c>
      <c r="B753">
        <v>8755283</v>
      </c>
      <c r="C753">
        <v>12085557</v>
      </c>
      <c r="E753">
        <v>2.1428600000000002</v>
      </c>
      <c r="F753" t="s">
        <v>5460</v>
      </c>
      <c r="G753">
        <v>97</v>
      </c>
      <c r="H753" t="s">
        <v>5461</v>
      </c>
      <c r="I753">
        <v>5</v>
      </c>
      <c r="J753">
        <v>0.10389195236953569</v>
      </c>
      <c r="K753">
        <v>0</v>
      </c>
      <c r="M753">
        <v>0</v>
      </c>
      <c r="O753">
        <v>200000</v>
      </c>
      <c r="R753" t="s">
        <v>162</v>
      </c>
      <c r="S753">
        <v>9.2783628865979379E-4</v>
      </c>
      <c r="T753">
        <v>6.4329982680412371E-4</v>
      </c>
      <c r="U753" t="s">
        <v>176</v>
      </c>
      <c r="V753">
        <v>2.1649513402061855E-2</v>
      </c>
      <c r="W753">
        <v>0.63992250271340201</v>
      </c>
      <c r="X753" t="s">
        <v>177</v>
      </c>
      <c r="Y753">
        <v>3.8395350162804126E-2</v>
      </c>
      <c r="Z753">
        <v>0</v>
      </c>
      <c r="AA753" t="s">
        <v>178</v>
      </c>
      <c r="AB753">
        <v>7.6790700325608252E-2</v>
      </c>
      <c r="AC753">
        <v>0.75510855320181447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Q753" t="s">
        <v>262</v>
      </c>
      <c r="AR753" t="s">
        <v>263</v>
      </c>
      <c r="AS753">
        <v>0.61855752577319589</v>
      </c>
    </row>
    <row r="754" spans="1:45" x14ac:dyDescent="0.15">
      <c r="A754" s="4" t="str">
        <f>HYPERLINK("https://ibp.a2mac1.com/costing(costing:projects/details/9760/material/8755284)","PBT-PC")</f>
        <v>PBT-PC</v>
      </c>
      <c r="B754">
        <v>8755284</v>
      </c>
      <c r="C754">
        <v>12085578</v>
      </c>
      <c r="E754">
        <v>2.6194899999999999</v>
      </c>
      <c r="F754" t="s">
        <v>4454</v>
      </c>
      <c r="G754">
        <v>97</v>
      </c>
      <c r="H754" t="s">
        <v>5466</v>
      </c>
      <c r="I754">
        <v>5</v>
      </c>
      <c r="J754">
        <v>1.1056389564667022</v>
      </c>
      <c r="K754">
        <v>0</v>
      </c>
      <c r="M754">
        <v>0</v>
      </c>
      <c r="O754">
        <v>200000</v>
      </c>
      <c r="R754" t="s">
        <v>162</v>
      </c>
      <c r="S754">
        <v>1.0126894329896907E-4</v>
      </c>
      <c r="T754">
        <v>7.5479119072164951E-4</v>
      </c>
      <c r="U754" t="s">
        <v>176</v>
      </c>
      <c r="V754">
        <v>2.3629420103092784E-3</v>
      </c>
      <c r="W754">
        <v>7.0529093123711334E-2</v>
      </c>
      <c r="X754" t="s">
        <v>177</v>
      </c>
      <c r="Y754">
        <v>4.2317455874226802E-3</v>
      </c>
      <c r="Z754">
        <v>0</v>
      </c>
      <c r="AA754" t="s">
        <v>178</v>
      </c>
      <c r="AB754">
        <v>8.4634911748453605E-3</v>
      </c>
      <c r="AC754">
        <v>8.3224329885979387E-2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Q754" t="s">
        <v>262</v>
      </c>
      <c r="AR754" t="s">
        <v>263</v>
      </c>
      <c r="AS754">
        <v>6.7512628865979377E-2</v>
      </c>
    </row>
    <row r="755" spans="1:45" x14ac:dyDescent="0.15">
      <c r="A755" s="4" t="str">
        <f>HYPERLINK("https://ibp.a2mac1.com/costing(costing:projects/details/9760/material/8755285)","Paint - Base")</f>
        <v>Paint - Base</v>
      </c>
      <c r="B755">
        <v>8755285</v>
      </c>
      <c r="C755">
        <v>12085579</v>
      </c>
      <c r="E755">
        <v>11.26986</v>
      </c>
      <c r="F755" t="s">
        <v>1468</v>
      </c>
      <c r="G755">
        <v>98</v>
      </c>
      <c r="H755" t="s">
        <v>5469</v>
      </c>
      <c r="I755">
        <v>0</v>
      </c>
      <c r="J755">
        <v>1.0057812623742775</v>
      </c>
      <c r="K755">
        <v>0</v>
      </c>
      <c r="L755">
        <v>0</v>
      </c>
      <c r="M755">
        <v>0</v>
      </c>
      <c r="O755">
        <v>200000</v>
      </c>
      <c r="R755" t="s">
        <v>162</v>
      </c>
      <c r="S755">
        <v>0</v>
      </c>
      <c r="T755">
        <v>5.8419274285714286E-4</v>
      </c>
      <c r="U755" t="s">
        <v>176</v>
      </c>
      <c r="V755">
        <v>2.0124750000000001E-3</v>
      </c>
      <c r="W755">
        <v>6.0095953457142859E-2</v>
      </c>
      <c r="X755" t="s">
        <v>177</v>
      </c>
      <c r="Y755">
        <v>3.6057572074285715E-3</v>
      </c>
      <c r="Z755">
        <v>0</v>
      </c>
      <c r="AA755" t="s">
        <v>178</v>
      </c>
      <c r="AB755">
        <v>7.211514414857143E-3</v>
      </c>
      <c r="AC755">
        <v>7.0913225079428571E-2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Q755" t="s">
        <v>9</v>
      </c>
      <c r="AR755" t="s">
        <v>263</v>
      </c>
      <c r="AS755">
        <v>5.7499285714285711E-2</v>
      </c>
    </row>
    <row r="756" spans="1:45" x14ac:dyDescent="0.15">
      <c r="A756" s="4" t="str">
        <f>HYPERLINK("https://ibp.a2mac1.com/costing(costing:projects/details/9760/material/8755286)","Paint - Primer")</f>
        <v>Paint - Primer</v>
      </c>
      <c r="B756">
        <v>8755286</v>
      </c>
      <c r="C756">
        <v>12085579</v>
      </c>
      <c r="E756">
        <v>6.9600299999999997</v>
      </c>
      <c r="F756" t="s">
        <v>1468</v>
      </c>
      <c r="G756">
        <v>95</v>
      </c>
      <c r="H756" t="s">
        <v>1469</v>
      </c>
      <c r="I756">
        <v>0</v>
      </c>
      <c r="J756">
        <v>1.0057812623742775</v>
      </c>
      <c r="K756">
        <v>0</v>
      </c>
      <c r="L756">
        <v>0</v>
      </c>
      <c r="M756">
        <v>0</v>
      </c>
      <c r="O756">
        <v>200000</v>
      </c>
      <c r="R756" t="s">
        <v>162</v>
      </c>
      <c r="S756">
        <v>0</v>
      </c>
      <c r="T756">
        <v>3.7217844631578947E-4</v>
      </c>
      <c r="U756" t="s">
        <v>176</v>
      </c>
      <c r="V756">
        <v>1.2821107894736843E-3</v>
      </c>
      <c r="W756">
        <v>3.828602607789474E-2</v>
      </c>
      <c r="X756" t="s">
        <v>177</v>
      </c>
      <c r="Y756">
        <v>2.2971615646736844E-3</v>
      </c>
      <c r="Z756">
        <v>0</v>
      </c>
      <c r="AA756" t="s">
        <v>178</v>
      </c>
      <c r="AB756">
        <v>4.5943231293473687E-3</v>
      </c>
      <c r="AC756">
        <v>4.5177510771915792E-2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Q756" t="s">
        <v>9</v>
      </c>
      <c r="AR756" t="s">
        <v>263</v>
      </c>
      <c r="AS756">
        <v>3.6631736842105266E-2</v>
      </c>
    </row>
    <row r="757" spans="1:45" x14ac:dyDescent="0.15">
      <c r="A757" s="4" t="str">
        <f>HYPERLINK("https://ibp.a2mac1.com/costing(costing:projects/details/9760/material/8755287)","Paint - Clear Coat")</f>
        <v>Paint - Clear Coat</v>
      </c>
      <c r="B757">
        <v>8755287</v>
      </c>
      <c r="C757">
        <v>12085579</v>
      </c>
      <c r="E757">
        <v>9.0699199999999998</v>
      </c>
      <c r="F757" t="s">
        <v>1468</v>
      </c>
      <c r="G757">
        <v>98</v>
      </c>
      <c r="H757" t="s">
        <v>5469</v>
      </c>
      <c r="I757">
        <v>0</v>
      </c>
      <c r="J757">
        <v>1.0057812623742775</v>
      </c>
      <c r="K757">
        <v>0</v>
      </c>
      <c r="L757">
        <v>0</v>
      </c>
      <c r="M757">
        <v>0</v>
      </c>
      <c r="O757">
        <v>200000</v>
      </c>
      <c r="R757" t="s">
        <v>162</v>
      </c>
      <c r="S757">
        <v>0</v>
      </c>
      <c r="T757">
        <v>4.7015503673469389E-4</v>
      </c>
      <c r="U757" t="s">
        <v>176</v>
      </c>
      <c r="V757">
        <v>1.6196285714285715E-3</v>
      </c>
      <c r="W757">
        <v>4.8364885648979589E-2</v>
      </c>
      <c r="X757" t="s">
        <v>177</v>
      </c>
      <c r="Y757">
        <v>2.9018931389387754E-3</v>
      </c>
      <c r="Z757">
        <v>0</v>
      </c>
      <c r="AA757" t="s">
        <v>178</v>
      </c>
      <c r="AB757">
        <v>5.8037862778775508E-3</v>
      </c>
      <c r="AC757">
        <v>5.7070565065795921E-2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Q757" t="s">
        <v>9</v>
      </c>
      <c r="AR757" t="s">
        <v>263</v>
      </c>
      <c r="AS757">
        <v>4.6275102040816328E-2</v>
      </c>
    </row>
    <row r="758" spans="1:45" x14ac:dyDescent="0.15">
      <c r="A758" s="4" t="str">
        <f>HYPERLINK("https://ibp.a2mac1.com/costing(costing:projects/details/9760/material/8755288)","PBT-PC")</f>
        <v>PBT-PC</v>
      </c>
      <c r="B758">
        <v>8755288</v>
      </c>
      <c r="C758">
        <v>12085580</v>
      </c>
      <c r="E758">
        <v>2.6194899999999999</v>
      </c>
      <c r="F758" t="s">
        <v>5060</v>
      </c>
      <c r="G758">
        <v>95</v>
      </c>
      <c r="H758" t="s">
        <v>5474</v>
      </c>
      <c r="I758">
        <v>5</v>
      </c>
      <c r="J758">
        <v>1.5030632547327778</v>
      </c>
      <c r="K758">
        <v>0</v>
      </c>
      <c r="L758">
        <v>0</v>
      </c>
      <c r="M758">
        <v>0</v>
      </c>
      <c r="O758">
        <v>200000</v>
      </c>
      <c r="R758" t="s">
        <v>162</v>
      </c>
      <c r="S758">
        <v>3.1020276315789472E-4</v>
      </c>
      <c r="T758">
        <v>1.8934776663157894E-3</v>
      </c>
      <c r="U758" t="s">
        <v>176</v>
      </c>
      <c r="V758">
        <v>4.3428386842105267E-3</v>
      </c>
      <c r="W758">
        <v>0.13000721885052632</v>
      </c>
      <c r="X758" t="s">
        <v>177</v>
      </c>
      <c r="Y758">
        <v>7.8004331310315787E-3</v>
      </c>
      <c r="Z758">
        <v>0</v>
      </c>
      <c r="AA758" t="s">
        <v>178</v>
      </c>
      <c r="AB758">
        <v>1.5600866262063157E-2</v>
      </c>
      <c r="AC758">
        <v>0.15340851824362106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P758" t="s">
        <v>5475</v>
      </c>
      <c r="AQ758" t="s">
        <v>262</v>
      </c>
      <c r="AR758" t="s">
        <v>263</v>
      </c>
      <c r="AS758">
        <v>0.1240811052631579</v>
      </c>
    </row>
    <row r="759" spans="1:45" x14ac:dyDescent="0.15">
      <c r="A759" s="4" t="str">
        <f>HYPERLINK("https://ibp.a2mac1.com/costing(costing:projects/details/9760/material/8755289)","Paint - Base")</f>
        <v>Paint - Base</v>
      </c>
      <c r="B759">
        <v>8755289</v>
      </c>
      <c r="C759">
        <v>12085581</v>
      </c>
      <c r="E759">
        <v>11.26986</v>
      </c>
      <c r="F759" t="s">
        <v>1468</v>
      </c>
      <c r="G759">
        <v>98</v>
      </c>
      <c r="H759" t="s">
        <v>5469</v>
      </c>
      <c r="I759">
        <v>0</v>
      </c>
      <c r="J759">
        <v>1.0057812623742775</v>
      </c>
      <c r="K759">
        <v>0</v>
      </c>
      <c r="L759">
        <v>0</v>
      </c>
      <c r="M759">
        <v>0</v>
      </c>
      <c r="O759">
        <v>200000</v>
      </c>
      <c r="R759" t="s">
        <v>162</v>
      </c>
      <c r="S759">
        <v>0</v>
      </c>
      <c r="T759">
        <v>5.8419274285714286E-4</v>
      </c>
      <c r="U759" t="s">
        <v>176</v>
      </c>
      <c r="V759">
        <v>2.0124750000000001E-3</v>
      </c>
      <c r="W759">
        <v>6.0095953457142859E-2</v>
      </c>
      <c r="X759" t="s">
        <v>177</v>
      </c>
      <c r="Y759">
        <v>3.6057572074285715E-3</v>
      </c>
      <c r="Z759">
        <v>0</v>
      </c>
      <c r="AA759" t="s">
        <v>178</v>
      </c>
      <c r="AB759">
        <v>7.211514414857143E-3</v>
      </c>
      <c r="AC759">
        <v>7.0913225079428571E-2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Q759" t="s">
        <v>9</v>
      </c>
      <c r="AR759" t="s">
        <v>263</v>
      </c>
      <c r="AS759">
        <v>5.7499285714285711E-2</v>
      </c>
    </row>
    <row r="760" spans="1:45" x14ac:dyDescent="0.15">
      <c r="A760" s="4" t="str">
        <f>HYPERLINK("https://ibp.a2mac1.com/costing(costing:projects/details/9760/material/8755290)","Paint - Primer")</f>
        <v>Paint - Primer</v>
      </c>
      <c r="B760">
        <v>8755290</v>
      </c>
      <c r="C760">
        <v>12085581</v>
      </c>
      <c r="E760">
        <v>6.9600299999999997</v>
      </c>
      <c r="F760" t="s">
        <v>1468</v>
      </c>
      <c r="G760">
        <v>95</v>
      </c>
      <c r="H760" t="s">
        <v>1469</v>
      </c>
      <c r="I760">
        <v>0</v>
      </c>
      <c r="J760">
        <v>1.0057812623742775</v>
      </c>
      <c r="K760">
        <v>0</v>
      </c>
      <c r="L760">
        <v>0</v>
      </c>
      <c r="M760">
        <v>0</v>
      </c>
      <c r="O760">
        <v>200000</v>
      </c>
      <c r="R760" t="s">
        <v>162</v>
      </c>
      <c r="S760">
        <v>0</v>
      </c>
      <c r="T760">
        <v>3.7217844631578947E-4</v>
      </c>
      <c r="U760" t="s">
        <v>176</v>
      </c>
      <c r="V760">
        <v>1.2821107894736843E-3</v>
      </c>
      <c r="W760">
        <v>3.828602607789474E-2</v>
      </c>
      <c r="X760" t="s">
        <v>177</v>
      </c>
      <c r="Y760">
        <v>2.2971615646736844E-3</v>
      </c>
      <c r="Z760">
        <v>0</v>
      </c>
      <c r="AA760" t="s">
        <v>178</v>
      </c>
      <c r="AB760">
        <v>4.5943231293473687E-3</v>
      </c>
      <c r="AC760">
        <v>4.5177510771915792E-2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Q760" t="s">
        <v>9</v>
      </c>
      <c r="AR760" t="s">
        <v>263</v>
      </c>
      <c r="AS760">
        <v>3.6631736842105266E-2</v>
      </c>
    </row>
    <row r="761" spans="1:45" x14ac:dyDescent="0.15">
      <c r="A761" s="4" t="str">
        <f>HYPERLINK("https://ibp.a2mac1.com/costing(costing:projects/details/9760/material/8755291)","Paint - Clear Coat")</f>
        <v>Paint - Clear Coat</v>
      </c>
      <c r="B761">
        <v>8755291</v>
      </c>
      <c r="C761">
        <v>12085581</v>
      </c>
      <c r="E761">
        <v>9.0699199999999998</v>
      </c>
      <c r="F761" t="s">
        <v>1468</v>
      </c>
      <c r="G761">
        <v>98</v>
      </c>
      <c r="H761" t="s">
        <v>5469</v>
      </c>
      <c r="I761">
        <v>0</v>
      </c>
      <c r="J761">
        <v>1.0057812623742775</v>
      </c>
      <c r="K761">
        <v>0</v>
      </c>
      <c r="L761">
        <v>0</v>
      </c>
      <c r="M761">
        <v>0</v>
      </c>
      <c r="O761">
        <v>200000</v>
      </c>
      <c r="R761" t="s">
        <v>162</v>
      </c>
      <c r="S761">
        <v>0</v>
      </c>
      <c r="T761">
        <v>4.7015503673469389E-4</v>
      </c>
      <c r="U761" t="s">
        <v>176</v>
      </c>
      <c r="V761">
        <v>1.6196285714285715E-3</v>
      </c>
      <c r="W761">
        <v>4.8364885648979589E-2</v>
      </c>
      <c r="X761" t="s">
        <v>177</v>
      </c>
      <c r="Y761">
        <v>2.9018931389387754E-3</v>
      </c>
      <c r="Z761">
        <v>0</v>
      </c>
      <c r="AA761" t="s">
        <v>178</v>
      </c>
      <c r="AB761">
        <v>5.8037862778775508E-3</v>
      </c>
      <c r="AC761">
        <v>5.7070565065795921E-2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Q761" t="s">
        <v>9</v>
      </c>
      <c r="AR761" t="s">
        <v>263</v>
      </c>
      <c r="AS761">
        <v>4.6275102040816328E-2</v>
      </c>
    </row>
    <row r="762" spans="1:45" x14ac:dyDescent="0.15">
      <c r="A762" s="4" t="str">
        <f>HYPERLINK("https://ibp.a2mac1.com/costing(costing:projects/details/9760/material/8755292)","POM-GF30")</f>
        <v>POM-GF30</v>
      </c>
      <c r="B762">
        <v>8755292</v>
      </c>
      <c r="C762">
        <v>12085582</v>
      </c>
      <c r="E762">
        <v>2.4839199999999999</v>
      </c>
      <c r="F762" t="s">
        <v>4449</v>
      </c>
      <c r="G762">
        <v>97</v>
      </c>
      <c r="H762" t="s">
        <v>5300</v>
      </c>
      <c r="I762">
        <v>5</v>
      </c>
      <c r="J762">
        <v>0.10389195236953569</v>
      </c>
      <c r="K762">
        <v>0</v>
      </c>
      <c r="M762">
        <v>0</v>
      </c>
      <c r="O762">
        <v>200000</v>
      </c>
      <c r="R762" t="s">
        <v>162</v>
      </c>
      <c r="S762">
        <v>8.450449484536083E-5</v>
      </c>
      <c r="T762">
        <v>5.8589783092783507E-5</v>
      </c>
      <c r="U762" t="s">
        <v>176</v>
      </c>
      <c r="V762">
        <v>1.9717715463917528E-3</v>
      </c>
      <c r="W762">
        <v>5.8282186731546393E-2</v>
      </c>
      <c r="X762" t="s">
        <v>177</v>
      </c>
      <c r="Y762">
        <v>3.4969312038927833E-3</v>
      </c>
      <c r="Z762">
        <v>0</v>
      </c>
      <c r="AA762" t="s">
        <v>178</v>
      </c>
      <c r="AB762">
        <v>6.9938624077855666E-3</v>
      </c>
      <c r="AC762">
        <v>6.8772980343224738E-2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Q762" t="s">
        <v>262</v>
      </c>
      <c r="AR762" t="s">
        <v>263</v>
      </c>
      <c r="AS762">
        <v>5.633632989690722E-2</v>
      </c>
    </row>
    <row r="763" spans="1:45" x14ac:dyDescent="0.15">
      <c r="A763" s="4" t="str">
        <f>HYPERLINK("https://ibp.a2mac1.com/costing(costing:projects/details/9760/material/8754887)","Standard Structural Steel sheet")</f>
        <v>Standard Structural Steel sheet</v>
      </c>
      <c r="B763">
        <v>8754887</v>
      </c>
      <c r="C763">
        <v>12085291</v>
      </c>
      <c r="E763">
        <v>0.61129999999999995</v>
      </c>
      <c r="F763" t="s">
        <v>5490</v>
      </c>
      <c r="G763">
        <v>70</v>
      </c>
      <c r="H763" t="s">
        <v>5491</v>
      </c>
      <c r="I763">
        <v>30</v>
      </c>
      <c r="J763">
        <v>0.70499453877469964</v>
      </c>
      <c r="K763">
        <v>0</v>
      </c>
      <c r="L763">
        <v>0</v>
      </c>
      <c r="M763">
        <v>0</v>
      </c>
      <c r="O763">
        <v>200000</v>
      </c>
      <c r="R763" t="s">
        <v>162</v>
      </c>
      <c r="S763">
        <v>7.3879971428571431E-3</v>
      </c>
      <c r="T763">
        <v>5.8283088571428566E-4</v>
      </c>
      <c r="U763" t="s">
        <v>176</v>
      </c>
      <c r="V763">
        <v>2.8731099999999999E-3</v>
      </c>
      <c r="W763">
        <v>7.8156800885714292E-2</v>
      </c>
      <c r="X763" t="s">
        <v>177</v>
      </c>
      <c r="Y763">
        <v>4.6894080531428572E-3</v>
      </c>
      <c r="Z763">
        <v>0</v>
      </c>
      <c r="AA763" t="s">
        <v>178</v>
      </c>
      <c r="AB763">
        <v>9.3788161062857145E-3</v>
      </c>
      <c r="AC763">
        <v>9.2225025045142864E-2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Q763" t="s">
        <v>262</v>
      </c>
      <c r="AR763" t="s">
        <v>263</v>
      </c>
      <c r="AS763">
        <v>8.2088857142857144E-2</v>
      </c>
    </row>
    <row r="764" spans="1:45" x14ac:dyDescent="0.15">
      <c r="A764" s="4" t="str">
        <f>HYPERLINK("https://ibp.a2mac1.com/costing(costing:projects/details/9760/material/8755293)","SiO2  Na2CO3 CaCO3  MgCO3  Additives [2]")</f>
        <v>SiO2  Na2CO3 CaCO3  MgCO3  Additives [2]</v>
      </c>
      <c r="B764">
        <v>8755293</v>
      </c>
      <c r="C764">
        <v>12085583</v>
      </c>
      <c r="E764">
        <v>10.904400000000001</v>
      </c>
      <c r="F764" t="s">
        <v>478</v>
      </c>
      <c r="G764">
        <v>100</v>
      </c>
      <c r="H764" t="s">
        <v>479</v>
      </c>
      <c r="I764">
        <v>0</v>
      </c>
      <c r="J764">
        <v>0.50345253019720215</v>
      </c>
      <c r="K764">
        <v>0</v>
      </c>
      <c r="L764">
        <v>0</v>
      </c>
      <c r="M764">
        <v>0</v>
      </c>
      <c r="O764">
        <v>200000</v>
      </c>
      <c r="R764" t="s">
        <v>162</v>
      </c>
      <c r="S764">
        <v>0</v>
      </c>
      <c r="T764">
        <v>5.5176264000000003E-2</v>
      </c>
      <c r="U764" t="s">
        <v>176</v>
      </c>
      <c r="V764">
        <v>0.38165399999999999</v>
      </c>
      <c r="W764">
        <v>11.341230264</v>
      </c>
      <c r="X764" t="s">
        <v>90</v>
      </c>
      <c r="Y764">
        <v>0</v>
      </c>
      <c r="Z764">
        <v>0</v>
      </c>
      <c r="AA764" t="s">
        <v>90</v>
      </c>
      <c r="AB764">
        <v>0</v>
      </c>
      <c r="AC764">
        <v>11.341230264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Q764" t="s">
        <v>9</v>
      </c>
      <c r="AR764" t="s">
        <v>263</v>
      </c>
      <c r="AS764">
        <v>10.904400000000001</v>
      </c>
    </row>
    <row r="765" spans="1:45" x14ac:dyDescent="0.15">
      <c r="A765" s="4" t="str">
        <f>HYPERLINK("https://ibp.a2mac1.com/costing(costing:projects/details/9760/material/8755294)","EPDM")</f>
        <v>EPDM</v>
      </c>
      <c r="B765">
        <v>8755294</v>
      </c>
      <c r="C765">
        <v>12085584</v>
      </c>
      <c r="E765">
        <v>2.78701</v>
      </c>
      <c r="F765" t="s">
        <v>6174</v>
      </c>
      <c r="G765">
        <v>95</v>
      </c>
      <c r="H765" t="s">
        <v>6175</v>
      </c>
      <c r="I765">
        <v>5</v>
      </c>
      <c r="J765">
        <v>0.20557651238448796</v>
      </c>
      <c r="K765">
        <v>0</v>
      </c>
      <c r="L765">
        <v>0</v>
      </c>
      <c r="M765">
        <v>0</v>
      </c>
      <c r="O765">
        <v>200000</v>
      </c>
      <c r="R765" t="s">
        <v>162</v>
      </c>
      <c r="S765">
        <v>9.5345078947368413E-3</v>
      </c>
      <c r="T765">
        <v>7.8564345052631584E-3</v>
      </c>
      <c r="U765" t="s">
        <v>176</v>
      </c>
      <c r="V765">
        <v>0.13348311052631578</v>
      </c>
      <c r="W765">
        <v>3.9456081950315789</v>
      </c>
      <c r="X765" t="s">
        <v>177</v>
      </c>
      <c r="Y765">
        <v>0.23673649170189473</v>
      </c>
      <c r="Z765">
        <v>0</v>
      </c>
      <c r="AA765" t="s">
        <v>178</v>
      </c>
      <c r="AB765">
        <v>0.47347298340378946</v>
      </c>
      <c r="AC765">
        <v>4.6558176701372629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P765" t="s">
        <v>5378</v>
      </c>
      <c r="AQ765" t="s">
        <v>262</v>
      </c>
      <c r="AR765" t="s">
        <v>263</v>
      </c>
      <c r="AS765">
        <v>3.8138031578947369</v>
      </c>
    </row>
    <row r="766" spans="1:45" x14ac:dyDescent="0.15">
      <c r="A766" s="4" t="str">
        <f>HYPERLINK("https://ibp.a2mac1.com/costing(costing:projects/details/9760/material/8755295)","Standard Structural Steel sheet")</f>
        <v>Standard Structural Steel sheet</v>
      </c>
      <c r="B766">
        <v>8755295</v>
      </c>
      <c r="C766">
        <v>12085584</v>
      </c>
      <c r="E766">
        <v>0.61129999999999995</v>
      </c>
      <c r="F766" t="s">
        <v>6177</v>
      </c>
      <c r="G766">
        <v>95</v>
      </c>
      <c r="H766" t="s">
        <v>6178</v>
      </c>
      <c r="I766">
        <v>30</v>
      </c>
      <c r="J766">
        <v>0.20557651238448796</v>
      </c>
      <c r="K766">
        <v>0</v>
      </c>
      <c r="L766">
        <v>0</v>
      </c>
      <c r="M766">
        <v>0</v>
      </c>
      <c r="O766">
        <v>200000</v>
      </c>
      <c r="R766" t="s">
        <v>162</v>
      </c>
      <c r="S766">
        <v>1.640857894736842E-3</v>
      </c>
      <c r="T766">
        <v>2.2534448421052632E-4</v>
      </c>
      <c r="U766" t="s">
        <v>176</v>
      </c>
      <c r="V766">
        <v>3.8286684210526315E-3</v>
      </c>
      <c r="W766">
        <v>0.1118036813263158</v>
      </c>
      <c r="X766" t="s">
        <v>177</v>
      </c>
      <c r="Y766">
        <v>6.708220879578947E-3</v>
      </c>
      <c r="Z766">
        <v>0</v>
      </c>
      <c r="AA766" t="s">
        <v>178</v>
      </c>
      <c r="AB766">
        <v>1.3416441759157894E-2</v>
      </c>
      <c r="AC766">
        <v>0.13192834396505262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Q766" t="s">
        <v>262</v>
      </c>
      <c r="AR766" t="s">
        <v>263</v>
      </c>
      <c r="AS766">
        <v>0.10939052631578948</v>
      </c>
    </row>
    <row r="767" spans="1:45" x14ac:dyDescent="0.15">
      <c r="A767" s="4" t="str">
        <f>HYPERLINK("https://ibp.a2mac1.com/costing(costing:projects/details/9760/material/8755296)","EPDM")</f>
        <v>EPDM</v>
      </c>
      <c r="B767">
        <v>8755296</v>
      </c>
      <c r="C767">
        <v>12085586</v>
      </c>
      <c r="E767">
        <v>2.78701</v>
      </c>
      <c r="F767" t="s">
        <v>6182</v>
      </c>
      <c r="G767">
        <v>95</v>
      </c>
      <c r="H767" t="s">
        <v>6183</v>
      </c>
      <c r="I767">
        <v>5</v>
      </c>
      <c r="J767">
        <v>0.10389195236953569</v>
      </c>
      <c r="K767">
        <v>0</v>
      </c>
      <c r="L767">
        <v>0</v>
      </c>
      <c r="M767">
        <v>0</v>
      </c>
      <c r="O767">
        <v>200000</v>
      </c>
      <c r="R767" t="s">
        <v>162</v>
      </c>
      <c r="S767">
        <v>1.5988636315789474E-3</v>
      </c>
      <c r="T767">
        <v>6.6512727073684207E-4</v>
      </c>
      <c r="U767" t="s">
        <v>176</v>
      </c>
      <c r="V767">
        <v>2.2384090842105263E-2</v>
      </c>
      <c r="W767">
        <v>0.66099580711284212</v>
      </c>
      <c r="X767" t="s">
        <v>177</v>
      </c>
      <c r="Y767">
        <v>3.9659748426770523E-2</v>
      </c>
      <c r="Z767">
        <v>0</v>
      </c>
      <c r="AA767" t="s">
        <v>178</v>
      </c>
      <c r="AB767">
        <v>7.9319496853541047E-2</v>
      </c>
      <c r="AC767">
        <v>0.77997505239315368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P767" t="s">
        <v>5378</v>
      </c>
      <c r="AQ767" t="s">
        <v>262</v>
      </c>
      <c r="AR767" t="s">
        <v>263</v>
      </c>
      <c r="AS767">
        <v>0.63954545263157891</v>
      </c>
    </row>
    <row r="768" spans="1:45" x14ac:dyDescent="0.15">
      <c r="A768" s="4" t="str">
        <f>HYPERLINK("https://ibp.a2mac1.com/costing(costing:projects/details/9760/material/8755297)","EPDM")</f>
        <v>EPDM</v>
      </c>
      <c r="B768">
        <v>8755297</v>
      </c>
      <c r="C768">
        <v>12085587</v>
      </c>
      <c r="E768">
        <v>2.78701</v>
      </c>
      <c r="F768" t="s">
        <v>5848</v>
      </c>
      <c r="G768">
        <v>95</v>
      </c>
      <c r="H768" t="s">
        <v>6187</v>
      </c>
      <c r="I768">
        <v>5</v>
      </c>
      <c r="J768">
        <v>0.10389195236953569</v>
      </c>
      <c r="K768">
        <v>0</v>
      </c>
      <c r="L768">
        <v>0</v>
      </c>
      <c r="M768">
        <v>0</v>
      </c>
      <c r="O768">
        <v>200000</v>
      </c>
      <c r="R768" t="s">
        <v>162</v>
      </c>
      <c r="S768">
        <v>5.133965789473684E-4</v>
      </c>
      <c r="T768">
        <v>2.1357297684210526E-4</v>
      </c>
      <c r="U768" t="s">
        <v>176</v>
      </c>
      <c r="V768">
        <v>7.1875521052631583E-3</v>
      </c>
      <c r="W768">
        <v>0.21224636008210526</v>
      </c>
      <c r="X768" t="s">
        <v>177</v>
      </c>
      <c r="Y768">
        <v>1.2734781604926316E-2</v>
      </c>
      <c r="Z768">
        <v>0</v>
      </c>
      <c r="AA768" t="s">
        <v>178</v>
      </c>
      <c r="AB768">
        <v>2.5469563209852632E-2</v>
      </c>
      <c r="AC768">
        <v>0.2504507048968842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P768" t="s">
        <v>5378</v>
      </c>
      <c r="AQ768" t="s">
        <v>262</v>
      </c>
      <c r="AR768" t="s">
        <v>263</v>
      </c>
      <c r="AS768">
        <v>0.20535863157894738</v>
      </c>
    </row>
    <row r="769" spans="1:45" x14ac:dyDescent="0.15">
      <c r="A769" s="4" t="str">
        <f>HYPERLINK("https://ibp.a2mac1.com/costing(costing:projects/details/9760/material/8755298)","Aluminum for extrusion (default, e.g. EN-AW6016)")</f>
        <v>Aluminum for extrusion (default, e.g. EN-AW6016)</v>
      </c>
      <c r="B769">
        <v>8755298</v>
      </c>
      <c r="C769">
        <v>12085587</v>
      </c>
      <c r="E769">
        <v>2.3603000000000001</v>
      </c>
      <c r="F769" t="s">
        <v>6189</v>
      </c>
      <c r="G769">
        <v>95</v>
      </c>
      <c r="H769" t="s">
        <v>6190</v>
      </c>
      <c r="I769">
        <v>30</v>
      </c>
      <c r="J769">
        <v>0.10389195236953569</v>
      </c>
      <c r="K769">
        <v>0</v>
      </c>
      <c r="L769">
        <v>0</v>
      </c>
      <c r="M769">
        <v>0</v>
      </c>
      <c r="O769">
        <v>200000</v>
      </c>
      <c r="R769" t="s">
        <v>162</v>
      </c>
      <c r="S769">
        <v>1.4907157894736842E-3</v>
      </c>
      <c r="T769">
        <v>1.033562947368421E-4</v>
      </c>
      <c r="U769" t="s">
        <v>176</v>
      </c>
      <c r="V769">
        <v>3.478336842105263E-3</v>
      </c>
      <c r="W769">
        <v>0.10147202997894737</v>
      </c>
      <c r="X769" t="s">
        <v>177</v>
      </c>
      <c r="Y769">
        <v>6.0883217987368421E-3</v>
      </c>
      <c r="Z769">
        <v>0</v>
      </c>
      <c r="AA769" t="s">
        <v>178</v>
      </c>
      <c r="AB769">
        <v>1.2176643597473684E-2</v>
      </c>
      <c r="AC769">
        <v>0.11973699537515789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Q769" t="s">
        <v>262</v>
      </c>
      <c r="AR769" t="s">
        <v>263</v>
      </c>
      <c r="AS769">
        <v>9.9381052631578953E-2</v>
      </c>
    </row>
    <row r="770" spans="1:45" x14ac:dyDescent="0.15">
      <c r="A770" s="4" t="str">
        <f>HYPERLINK("https://ibp.a2mac1.com/costing(costing:projects/details/9760/material/8754888)","EPDM")</f>
        <v>EPDM</v>
      </c>
      <c r="B770">
        <v>8754888</v>
      </c>
      <c r="C770">
        <v>12085295</v>
      </c>
      <c r="E770">
        <v>2.78701</v>
      </c>
      <c r="F770" t="s">
        <v>6194</v>
      </c>
      <c r="G770">
        <v>95</v>
      </c>
      <c r="H770" t="s">
        <v>6195</v>
      </c>
      <c r="I770">
        <v>5</v>
      </c>
      <c r="J770">
        <v>0.10389195236953569</v>
      </c>
      <c r="K770">
        <v>0</v>
      </c>
      <c r="L770">
        <v>0</v>
      </c>
      <c r="M770">
        <v>0</v>
      </c>
      <c r="O770">
        <v>200000</v>
      </c>
      <c r="R770" t="s">
        <v>162</v>
      </c>
      <c r="S770">
        <v>2.200271052631579E-3</v>
      </c>
      <c r="T770">
        <v>9.1531275789473682E-4</v>
      </c>
      <c r="U770" t="s">
        <v>176</v>
      </c>
      <c r="V770">
        <v>3.0803794736842104E-2</v>
      </c>
      <c r="W770">
        <v>0.90962725749473683</v>
      </c>
      <c r="X770" t="s">
        <v>177</v>
      </c>
      <c r="Y770">
        <v>5.4577635449684213E-2</v>
      </c>
      <c r="Z770">
        <v>0</v>
      </c>
      <c r="AA770" t="s">
        <v>178</v>
      </c>
      <c r="AB770">
        <v>0.10915527089936843</v>
      </c>
      <c r="AC770">
        <v>1.0733601638437895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P770" t="s">
        <v>5378</v>
      </c>
      <c r="AQ770" t="s">
        <v>262</v>
      </c>
      <c r="AR770" t="s">
        <v>263</v>
      </c>
      <c r="AS770">
        <v>0.88010842105263154</v>
      </c>
    </row>
    <row r="771" spans="1:45" x14ac:dyDescent="0.15">
      <c r="A771" s="4" t="str">
        <f>HYPERLINK("https://ibp.a2mac1.com/costing(costing:projects/details/9760/material/8754931)","Aluminum for extrusion (default, e.g. EN-AW6016)")</f>
        <v>Aluminum for extrusion (default, e.g. EN-AW6016)</v>
      </c>
      <c r="B771">
        <v>8754931</v>
      </c>
      <c r="C771">
        <v>12085295</v>
      </c>
      <c r="E771">
        <v>2.3603000000000001</v>
      </c>
      <c r="F771" t="s">
        <v>5406</v>
      </c>
      <c r="G771">
        <v>95</v>
      </c>
      <c r="H771" t="s">
        <v>5407</v>
      </c>
      <c r="I771">
        <v>30</v>
      </c>
      <c r="J771">
        <v>0.10389195236953569</v>
      </c>
      <c r="K771">
        <v>0</v>
      </c>
      <c r="L771">
        <v>0</v>
      </c>
      <c r="M771">
        <v>0</v>
      </c>
      <c r="O771">
        <v>200000</v>
      </c>
      <c r="R771" t="s">
        <v>162</v>
      </c>
      <c r="S771">
        <v>3.7267894736842107E-3</v>
      </c>
      <c r="T771">
        <v>2.5839073684210529E-4</v>
      </c>
      <c r="U771" t="s">
        <v>176</v>
      </c>
      <c r="V771">
        <v>8.6958421052631581E-3</v>
      </c>
      <c r="W771">
        <v>0.25368007494736844</v>
      </c>
      <c r="X771" t="s">
        <v>177</v>
      </c>
      <c r="Y771">
        <v>1.5220804496842105E-2</v>
      </c>
      <c r="Z771">
        <v>0</v>
      </c>
      <c r="AA771" t="s">
        <v>178</v>
      </c>
      <c r="AB771">
        <v>3.044160899368421E-2</v>
      </c>
      <c r="AC771">
        <v>0.29934248843789474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Q771" t="s">
        <v>262</v>
      </c>
      <c r="AR771" t="s">
        <v>263</v>
      </c>
      <c r="AS771">
        <v>0.24845263157894737</v>
      </c>
    </row>
    <row r="772" spans="1:45" x14ac:dyDescent="0.15">
      <c r="A772" s="4" t="str">
        <f>HYPERLINK("https://ibp.a2mac1.com/costing(costing:projects/details/9760/material/8754932)","EPDM")</f>
        <v>EPDM</v>
      </c>
      <c r="B772">
        <v>8754932</v>
      </c>
      <c r="C772">
        <v>12085296</v>
      </c>
      <c r="E772">
        <v>2.78701</v>
      </c>
      <c r="F772" t="s">
        <v>6199</v>
      </c>
      <c r="G772">
        <v>95</v>
      </c>
      <c r="H772" t="s">
        <v>6200</v>
      </c>
      <c r="I772">
        <v>5</v>
      </c>
      <c r="J772">
        <v>0.10389195236953569</v>
      </c>
      <c r="K772">
        <v>0</v>
      </c>
      <c r="L772">
        <v>0</v>
      </c>
      <c r="M772">
        <v>0</v>
      </c>
      <c r="O772">
        <v>200000</v>
      </c>
      <c r="R772" t="s">
        <v>162</v>
      </c>
      <c r="S772">
        <v>1.2101490789473684E-3</v>
      </c>
      <c r="T772">
        <v>5.034220168421053E-4</v>
      </c>
      <c r="U772" t="s">
        <v>176</v>
      </c>
      <c r="V772">
        <v>1.6942087105263157E-2</v>
      </c>
      <c r="W772">
        <v>0.50029499162210522</v>
      </c>
      <c r="X772" t="s">
        <v>177</v>
      </c>
      <c r="Y772">
        <v>3.0017699497326317E-2</v>
      </c>
      <c r="Z772">
        <v>0</v>
      </c>
      <c r="AA772" t="s">
        <v>178</v>
      </c>
      <c r="AB772">
        <v>6.0035398994652635E-2</v>
      </c>
      <c r="AC772">
        <v>0.59034809011408418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P772" t="s">
        <v>5378</v>
      </c>
      <c r="AQ772" t="s">
        <v>262</v>
      </c>
      <c r="AR772" t="s">
        <v>263</v>
      </c>
      <c r="AS772">
        <v>0.48405963157894738</v>
      </c>
    </row>
    <row r="773" spans="1:45" x14ac:dyDescent="0.15">
      <c r="A773" s="4" t="str">
        <f>HYPERLINK("https://ibp.a2mac1.com/costing(costing:projects/details/9760/material/8754933)","Aluminum for extrusion (default, e.g. EN-AW6016)")</f>
        <v>Aluminum for extrusion (default, e.g. EN-AW6016)</v>
      </c>
      <c r="B773">
        <v>8754933</v>
      </c>
      <c r="C773">
        <v>12085296</v>
      </c>
      <c r="E773">
        <v>2.3603000000000001</v>
      </c>
      <c r="F773" t="s">
        <v>6101</v>
      </c>
      <c r="G773">
        <v>95</v>
      </c>
      <c r="H773" t="s">
        <v>6102</v>
      </c>
      <c r="I773">
        <v>30</v>
      </c>
      <c r="J773">
        <v>0.10389195236953569</v>
      </c>
      <c r="K773">
        <v>0</v>
      </c>
      <c r="L773">
        <v>0</v>
      </c>
      <c r="M773">
        <v>0</v>
      </c>
      <c r="O773">
        <v>200000</v>
      </c>
      <c r="R773" t="s">
        <v>162</v>
      </c>
      <c r="S773">
        <v>3.5404500000000001E-3</v>
      </c>
      <c r="T773">
        <v>2.454712E-4</v>
      </c>
      <c r="U773" t="s">
        <v>176</v>
      </c>
      <c r="V773">
        <v>8.2610500000000007E-3</v>
      </c>
      <c r="W773">
        <v>0.24099607119999999</v>
      </c>
      <c r="X773" t="s">
        <v>177</v>
      </c>
      <c r="Y773">
        <v>1.4459764272000001E-2</v>
      </c>
      <c r="Z773">
        <v>0</v>
      </c>
      <c r="AA773" t="s">
        <v>178</v>
      </c>
      <c r="AB773">
        <v>2.8919528544000001E-2</v>
      </c>
      <c r="AC773">
        <v>0.284375364016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Q773" t="s">
        <v>262</v>
      </c>
      <c r="AR773" t="s">
        <v>263</v>
      </c>
      <c r="AS773">
        <v>0.23602999999999999</v>
      </c>
    </row>
    <row r="774" spans="1:45" x14ac:dyDescent="0.15">
      <c r="A774" s="4" t="str">
        <f>HYPERLINK("https://ibp.a2mac1.com/costing(costing:projects/details/9760/material/8754934)","Aluminum for extrusion (default, e.g. EN-AW6016)")</f>
        <v>Aluminum for extrusion (default, e.g. EN-AW6016)</v>
      </c>
      <c r="B774">
        <v>8754934</v>
      </c>
      <c r="C774">
        <v>12085297</v>
      </c>
      <c r="E774">
        <v>2.3603000000000001</v>
      </c>
      <c r="F774" t="s">
        <v>4636</v>
      </c>
      <c r="G774">
        <v>94.471299999999999</v>
      </c>
      <c r="H774" t="s">
        <v>6204</v>
      </c>
      <c r="I774">
        <v>30</v>
      </c>
      <c r="J774">
        <v>0.10389195236953569</v>
      </c>
      <c r="K774">
        <v>0</v>
      </c>
      <c r="L774">
        <v>0</v>
      </c>
      <c r="M774">
        <v>0</v>
      </c>
      <c r="O774">
        <v>200000</v>
      </c>
      <c r="R774" t="s">
        <v>162</v>
      </c>
      <c r="S774">
        <v>2.9836239913709245E-3</v>
      </c>
      <c r="T774">
        <v>1.8708249383675253E-4</v>
      </c>
      <c r="U774" t="s">
        <v>176</v>
      </c>
      <c r="V774">
        <v>6.2960454656599413E-3</v>
      </c>
      <c r="W774">
        <v>0.1833865172726955</v>
      </c>
      <c r="X774" t="s">
        <v>90</v>
      </c>
      <c r="Y774">
        <v>0</v>
      </c>
      <c r="Z774">
        <v>0</v>
      </c>
      <c r="AA774" t="s">
        <v>90</v>
      </c>
      <c r="AB774">
        <v>0</v>
      </c>
      <c r="AC774">
        <v>0.1833865172726955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Q774" t="s">
        <v>262</v>
      </c>
      <c r="AR774" t="s">
        <v>263</v>
      </c>
      <c r="AS774">
        <v>0.17988701330456974</v>
      </c>
    </row>
    <row r="775" spans="1:45" x14ac:dyDescent="0.15">
      <c r="A775" s="4" t="str">
        <f>HYPERLINK("https://ibp.a2mac1.com/costing(costing:projects/details/9760/material/8755299)","PMMA")</f>
        <v>PMMA</v>
      </c>
      <c r="B775">
        <v>8755299</v>
      </c>
      <c r="C775">
        <v>12085588</v>
      </c>
      <c r="E775">
        <v>2.1</v>
      </c>
      <c r="F775" t="s">
        <v>4554</v>
      </c>
      <c r="G775">
        <v>97</v>
      </c>
      <c r="H775" t="s">
        <v>5928</v>
      </c>
      <c r="I775">
        <v>5</v>
      </c>
      <c r="J775">
        <v>0.20557651238448796</v>
      </c>
      <c r="K775">
        <v>0</v>
      </c>
      <c r="L775">
        <v>0</v>
      </c>
      <c r="M775">
        <v>0</v>
      </c>
      <c r="O775">
        <v>200000</v>
      </c>
      <c r="R775" t="s">
        <v>162</v>
      </c>
      <c r="S775">
        <v>3.5721649484536084E-5</v>
      </c>
      <c r="T775">
        <v>4.9057731958762889E-5</v>
      </c>
      <c r="U775" t="s">
        <v>176</v>
      </c>
      <c r="V775">
        <v>8.3350515463917528E-4</v>
      </c>
      <c r="W775">
        <v>2.4661274226804124E-2</v>
      </c>
      <c r="X775" t="s">
        <v>177</v>
      </c>
      <c r="Y775">
        <v>1.4796764536082474E-3</v>
      </c>
      <c r="Z775">
        <v>0</v>
      </c>
      <c r="AA775" t="s">
        <v>178</v>
      </c>
      <c r="AB775">
        <v>2.9593529072164948E-3</v>
      </c>
      <c r="AC775">
        <v>2.9100303587628867E-2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Q775" t="s">
        <v>262</v>
      </c>
      <c r="AR775" t="s">
        <v>263</v>
      </c>
      <c r="AS775">
        <v>2.3814432989690722E-2</v>
      </c>
    </row>
    <row r="776" spans="1:45" x14ac:dyDescent="0.15">
      <c r="A776" s="4" t="str">
        <f>HYPERLINK("https://ibp.a2mac1.com/costing(costing:projects/details/9760/material/8755300)","PP-TD20")</f>
        <v>PP-TD20</v>
      </c>
      <c r="B776">
        <v>8755300</v>
      </c>
      <c r="C776">
        <v>12085590</v>
      </c>
      <c r="E776">
        <v>1.1148100000000001</v>
      </c>
      <c r="F776" t="s">
        <v>6217</v>
      </c>
      <c r="G776">
        <v>97</v>
      </c>
      <c r="H776" t="s">
        <v>6218</v>
      </c>
      <c r="I776">
        <v>5</v>
      </c>
      <c r="J776">
        <v>0.20557651238448796</v>
      </c>
      <c r="K776">
        <v>0</v>
      </c>
      <c r="L776">
        <v>0</v>
      </c>
      <c r="M776">
        <v>0</v>
      </c>
      <c r="O776">
        <v>200000</v>
      </c>
      <c r="R776" t="s">
        <v>162</v>
      </c>
      <c r="S776">
        <v>3.9650458762886595E-5</v>
      </c>
      <c r="T776">
        <v>5.4453296701030927E-5</v>
      </c>
      <c r="U776" t="s">
        <v>176</v>
      </c>
      <c r="V776">
        <v>9.2517737113402066E-4</v>
      </c>
      <c r="W776">
        <v>2.7373619384329896E-2</v>
      </c>
      <c r="X776" t="s">
        <v>177</v>
      </c>
      <c r="Y776">
        <v>1.6424171630597937E-3</v>
      </c>
      <c r="Z776">
        <v>0</v>
      </c>
      <c r="AA776" t="s">
        <v>178</v>
      </c>
      <c r="AB776">
        <v>3.2848343261195874E-3</v>
      </c>
      <c r="AC776">
        <v>3.2300870873509281E-2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Q776" t="s">
        <v>262</v>
      </c>
      <c r="AR776" t="s">
        <v>263</v>
      </c>
      <c r="AS776">
        <v>2.643363917525773E-2</v>
      </c>
    </row>
    <row r="777" spans="1:45" x14ac:dyDescent="0.15">
      <c r="A777" s="4" t="str">
        <f>HYPERLINK("https://ibp.a2mac1.com/costing(costing:projects/details/9760/material/8755301)","ABS")</f>
        <v>ABS</v>
      </c>
      <c r="B777">
        <v>8755301</v>
      </c>
      <c r="C777">
        <v>12085592</v>
      </c>
      <c r="E777">
        <v>2.5272700000000001</v>
      </c>
      <c r="F777" t="s">
        <v>4592</v>
      </c>
      <c r="G777">
        <v>95</v>
      </c>
      <c r="H777" t="s">
        <v>4593</v>
      </c>
      <c r="I777">
        <v>5</v>
      </c>
      <c r="J777">
        <v>0.50345253019720215</v>
      </c>
      <c r="K777">
        <v>0</v>
      </c>
      <c r="L777">
        <v>0</v>
      </c>
      <c r="M777">
        <v>0</v>
      </c>
      <c r="O777">
        <v>200000</v>
      </c>
      <c r="R777" t="s">
        <v>162</v>
      </c>
      <c r="S777">
        <v>5.3205684210526313E-5</v>
      </c>
      <c r="T777">
        <v>1.0768830484210526E-4</v>
      </c>
      <c r="U777" t="s">
        <v>176</v>
      </c>
      <c r="V777">
        <v>7.4487957894736839E-4</v>
      </c>
      <c r="W777">
        <v>2.2081635883789474E-2</v>
      </c>
      <c r="X777" t="s">
        <v>177</v>
      </c>
      <c r="Y777">
        <v>1.3248981530273685E-3</v>
      </c>
      <c r="Z777">
        <v>0</v>
      </c>
      <c r="AA777" t="s">
        <v>178</v>
      </c>
      <c r="AB777">
        <v>2.6497963060547369E-3</v>
      </c>
      <c r="AC777">
        <v>2.6056330342871577E-2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P777" t="s">
        <v>5222</v>
      </c>
      <c r="AQ777" t="s">
        <v>262</v>
      </c>
      <c r="AR777" t="s">
        <v>263</v>
      </c>
      <c r="AS777">
        <v>2.1282273684210526E-2</v>
      </c>
    </row>
    <row r="778" spans="1:45" x14ac:dyDescent="0.15">
      <c r="A778" s="4" t="str">
        <f>HYPERLINK("https://ibp.a2mac1.com/costing(costing:projects/details/9760/material/8755302)","Standard Structural Steel sheet")</f>
        <v>Standard Structural Steel sheet</v>
      </c>
      <c r="B778">
        <v>8755302</v>
      </c>
      <c r="C778">
        <v>12085593</v>
      </c>
      <c r="E778">
        <v>0.61129999999999995</v>
      </c>
      <c r="F778" t="s">
        <v>5345</v>
      </c>
      <c r="G778">
        <v>80</v>
      </c>
      <c r="H778" t="s">
        <v>5346</v>
      </c>
      <c r="I778">
        <v>30</v>
      </c>
      <c r="J778">
        <v>1.9999600007999841E-3</v>
      </c>
      <c r="K778">
        <v>0</v>
      </c>
      <c r="M778">
        <v>0</v>
      </c>
      <c r="O778">
        <v>200000</v>
      </c>
      <c r="R778" t="s">
        <v>162</v>
      </c>
      <c r="S778">
        <v>9.3528900000000009E-3</v>
      </c>
      <c r="T778">
        <v>3.11763E-6</v>
      </c>
      <c r="U778" t="s">
        <v>176</v>
      </c>
      <c r="V778">
        <v>5.4558525000000004E-3</v>
      </c>
      <c r="W778">
        <v>0.15198758012999999</v>
      </c>
      <c r="X778" t="s">
        <v>90</v>
      </c>
      <c r="Y778">
        <v>0</v>
      </c>
      <c r="Z778">
        <v>0</v>
      </c>
      <c r="AA778" t="s">
        <v>90</v>
      </c>
      <c r="AB778">
        <v>0</v>
      </c>
      <c r="AC778">
        <v>0.15198758012999999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Q778" t="s">
        <v>262</v>
      </c>
      <c r="AR778" t="s">
        <v>263</v>
      </c>
      <c r="AS778">
        <v>0.15588150000000001</v>
      </c>
    </row>
    <row r="779" spans="1:45" x14ac:dyDescent="0.15">
      <c r="A779" s="4" t="str">
        <f>HYPERLINK("https://ibp.a2mac1.com/costing(costing:projects/details/9760/material/8755303)","Standard Structural Steel sheet")</f>
        <v>Standard Structural Steel sheet</v>
      </c>
      <c r="B779">
        <v>8755303</v>
      </c>
      <c r="C779">
        <v>12085594</v>
      </c>
      <c r="E779">
        <v>0.61129999999999995</v>
      </c>
      <c r="F779" t="s">
        <v>5160</v>
      </c>
      <c r="G779">
        <v>80</v>
      </c>
      <c r="H779" t="s">
        <v>5351</v>
      </c>
      <c r="I779">
        <v>30</v>
      </c>
      <c r="J779">
        <v>1.9999600007999841E-3</v>
      </c>
      <c r="K779">
        <v>0</v>
      </c>
      <c r="M779">
        <v>0</v>
      </c>
      <c r="O779">
        <v>200000</v>
      </c>
      <c r="R779" t="s">
        <v>162</v>
      </c>
      <c r="S779">
        <v>4.4930550000000001E-3</v>
      </c>
      <c r="T779">
        <v>1.4976850000000001E-6</v>
      </c>
      <c r="U779" t="s">
        <v>176</v>
      </c>
      <c r="V779">
        <v>2.6209487500000002E-3</v>
      </c>
      <c r="W779">
        <v>7.3013641434999998E-2</v>
      </c>
      <c r="X779" t="s">
        <v>90</v>
      </c>
      <c r="Y779">
        <v>0</v>
      </c>
      <c r="Z779">
        <v>0</v>
      </c>
      <c r="AA779" t="s">
        <v>90</v>
      </c>
      <c r="AB779">
        <v>0</v>
      </c>
      <c r="AC779">
        <v>7.3013641434999998E-2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Q779" t="s">
        <v>262</v>
      </c>
      <c r="AR779" t="s">
        <v>263</v>
      </c>
      <c r="AS779">
        <v>7.4884249999999999E-2</v>
      </c>
    </row>
    <row r="780" spans="1:45" x14ac:dyDescent="0.15">
      <c r="A780" s="4" t="str">
        <f>HYPERLINK("https://ibp.a2mac1.com/costing(costing:projects/details/9760/material/8755304)","Standard Structural Steel sheet")</f>
        <v>Standard Structural Steel sheet</v>
      </c>
      <c r="B780">
        <v>8755304</v>
      </c>
      <c r="C780">
        <v>12085595</v>
      </c>
      <c r="E780">
        <v>0.61129999999999995</v>
      </c>
      <c r="F780" t="s">
        <v>5345</v>
      </c>
      <c r="G780">
        <v>80</v>
      </c>
      <c r="H780" t="s">
        <v>5346</v>
      </c>
      <c r="I780">
        <v>30</v>
      </c>
      <c r="J780">
        <v>1.9999600007999841E-3</v>
      </c>
      <c r="K780">
        <v>0</v>
      </c>
      <c r="M780">
        <v>0</v>
      </c>
      <c r="O780">
        <v>200000</v>
      </c>
      <c r="R780" t="s">
        <v>162</v>
      </c>
      <c r="S780">
        <v>9.3528900000000009E-3</v>
      </c>
      <c r="T780">
        <v>3.11763E-6</v>
      </c>
      <c r="U780" t="s">
        <v>176</v>
      </c>
      <c r="V780">
        <v>5.4558525000000004E-3</v>
      </c>
      <c r="W780">
        <v>0.15198758012999999</v>
      </c>
      <c r="X780" t="s">
        <v>90</v>
      </c>
      <c r="Y780">
        <v>0</v>
      </c>
      <c r="Z780">
        <v>0</v>
      </c>
      <c r="AA780" t="s">
        <v>90</v>
      </c>
      <c r="AB780">
        <v>0</v>
      </c>
      <c r="AC780">
        <v>0.15198758012999999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Q780" t="s">
        <v>262</v>
      </c>
      <c r="AR780" t="s">
        <v>263</v>
      </c>
      <c r="AS780">
        <v>0.15588150000000001</v>
      </c>
    </row>
    <row r="781" spans="1:45" x14ac:dyDescent="0.15">
      <c r="A781" s="4" t="str">
        <f>HYPERLINK("https://ibp.a2mac1.com/costing(costing:projects/details/9760/material/8755305)","Standard Structural Steel sheet")</f>
        <v>Standard Structural Steel sheet</v>
      </c>
      <c r="B781">
        <v>8755305</v>
      </c>
      <c r="C781">
        <v>12085596</v>
      </c>
      <c r="E781">
        <v>0.61129999999999995</v>
      </c>
      <c r="F781" t="s">
        <v>5160</v>
      </c>
      <c r="G781">
        <v>80</v>
      </c>
      <c r="H781" t="s">
        <v>5351</v>
      </c>
      <c r="I781">
        <v>30</v>
      </c>
      <c r="J781">
        <v>1.9999600007999841E-3</v>
      </c>
      <c r="K781">
        <v>0</v>
      </c>
      <c r="M781">
        <v>0</v>
      </c>
      <c r="O781">
        <v>200000</v>
      </c>
      <c r="R781" t="s">
        <v>162</v>
      </c>
      <c r="S781">
        <v>4.4930550000000001E-3</v>
      </c>
      <c r="T781">
        <v>1.4976850000000001E-6</v>
      </c>
      <c r="U781" t="s">
        <v>176</v>
      </c>
      <c r="V781">
        <v>2.6209487500000002E-3</v>
      </c>
      <c r="W781">
        <v>7.3013641434999998E-2</v>
      </c>
      <c r="X781" t="s">
        <v>90</v>
      </c>
      <c r="Y781">
        <v>0</v>
      </c>
      <c r="Z781">
        <v>0</v>
      </c>
      <c r="AA781" t="s">
        <v>90</v>
      </c>
      <c r="AB781">
        <v>0</v>
      </c>
      <c r="AC781">
        <v>7.3013641434999998E-2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Q781" t="s">
        <v>262</v>
      </c>
      <c r="AR781" t="s">
        <v>263</v>
      </c>
      <c r="AS781">
        <v>7.4884249999999999E-2</v>
      </c>
    </row>
    <row r="782" spans="1:45" x14ac:dyDescent="0.15">
      <c r="A782" s="4" t="str">
        <f>HYPERLINK("https://ibp.a2mac1.com/costing(costing:projects/details/9760/material/8754935)","PE")</f>
        <v>PE</v>
      </c>
      <c r="B782">
        <v>8754935</v>
      </c>
      <c r="C782">
        <v>12085298</v>
      </c>
      <c r="E782">
        <v>1.2665</v>
      </c>
      <c r="F782" t="s">
        <v>5087</v>
      </c>
      <c r="G782">
        <v>95</v>
      </c>
      <c r="H782" t="s">
        <v>5088</v>
      </c>
      <c r="I782">
        <v>5</v>
      </c>
      <c r="J782">
        <v>0.50345253019720215</v>
      </c>
      <c r="K782">
        <v>0</v>
      </c>
      <c r="L782">
        <v>0</v>
      </c>
      <c r="M782">
        <v>0</v>
      </c>
      <c r="O782">
        <v>200000</v>
      </c>
      <c r="R782" t="s">
        <v>162</v>
      </c>
      <c r="S782">
        <v>1.1331842105263158E-4</v>
      </c>
      <c r="T782">
        <v>2.2935648421052631E-4</v>
      </c>
      <c r="U782" t="s">
        <v>176</v>
      </c>
      <c r="V782">
        <v>1.586457894736842E-3</v>
      </c>
      <c r="W782">
        <v>4.7029864378947371E-2</v>
      </c>
      <c r="X782" t="s">
        <v>177</v>
      </c>
      <c r="Y782">
        <v>2.8217918627368422E-3</v>
      </c>
      <c r="Z782">
        <v>0</v>
      </c>
      <c r="AA782" t="s">
        <v>178</v>
      </c>
      <c r="AB782">
        <v>5.6435837254736844E-3</v>
      </c>
      <c r="AC782">
        <v>5.5495239967157897E-2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P782" t="s">
        <v>5367</v>
      </c>
      <c r="AQ782" t="s">
        <v>262</v>
      </c>
      <c r="AR782" t="s">
        <v>263</v>
      </c>
      <c r="AS782">
        <v>4.532736842105263E-2</v>
      </c>
    </row>
    <row r="783" spans="1:45" x14ac:dyDescent="0.15">
      <c r="A783" s="4" t="str">
        <f>HYPERLINK("https://ibp.a2mac1.com/costing(costing:projects/details/9760/material/8754558)","PP-GF30")</f>
        <v>PP-GF30</v>
      </c>
      <c r="B783">
        <v>8754558</v>
      </c>
      <c r="C783">
        <v>12085105</v>
      </c>
      <c r="E783">
        <v>1.2710699999999999</v>
      </c>
      <c r="F783" t="s">
        <v>6270</v>
      </c>
      <c r="G783">
        <v>97</v>
      </c>
      <c r="H783" t="s">
        <v>6271</v>
      </c>
      <c r="I783">
        <v>30</v>
      </c>
      <c r="J783">
        <v>0.10389195236953569</v>
      </c>
      <c r="K783">
        <v>0</v>
      </c>
      <c r="M783">
        <v>0</v>
      </c>
      <c r="O783">
        <v>200000</v>
      </c>
      <c r="R783" t="s">
        <v>162</v>
      </c>
      <c r="S783">
        <v>8.396924288659794E-3</v>
      </c>
      <c r="T783">
        <v>9.7031125113402066E-4</v>
      </c>
      <c r="U783" t="s">
        <v>176</v>
      </c>
      <c r="V783">
        <v>3.2654705567010306E-2</v>
      </c>
      <c r="W783">
        <v>0.95821968015835046</v>
      </c>
      <c r="X783" t="s">
        <v>177</v>
      </c>
      <c r="Y783">
        <v>5.7493180809501034E-2</v>
      </c>
      <c r="Z783">
        <v>0</v>
      </c>
      <c r="AA783" t="s">
        <v>178</v>
      </c>
      <c r="AB783">
        <v>0.11498636161900207</v>
      </c>
      <c r="AC783">
        <v>1.1306992225868535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Q783" t="s">
        <v>262</v>
      </c>
      <c r="AR783" t="s">
        <v>263</v>
      </c>
      <c r="AS783">
        <v>0.93299158762886603</v>
      </c>
    </row>
    <row r="784" spans="1:45" x14ac:dyDescent="0.15">
      <c r="A784" s="4" t="str">
        <f>HYPERLINK("https://ibp.a2mac1.com/costing(costing:projects/details/9760/material/8755306)","Standard Structural Steel sheet")</f>
        <v>Standard Structural Steel sheet</v>
      </c>
      <c r="B784">
        <v>8755306</v>
      </c>
      <c r="C784">
        <v>12085597</v>
      </c>
      <c r="E784">
        <v>0.61129999999999995</v>
      </c>
      <c r="F784" t="s">
        <v>5345</v>
      </c>
      <c r="G784">
        <v>80</v>
      </c>
      <c r="H784" t="s">
        <v>5346</v>
      </c>
      <c r="I784">
        <v>30</v>
      </c>
      <c r="J784">
        <v>1.9999600007999841E-3</v>
      </c>
      <c r="K784">
        <v>0</v>
      </c>
      <c r="M784">
        <v>0</v>
      </c>
      <c r="O784">
        <v>200000</v>
      </c>
      <c r="R784" t="s">
        <v>162</v>
      </c>
      <c r="S784">
        <v>9.3528900000000009E-3</v>
      </c>
      <c r="T784">
        <v>3.11763E-6</v>
      </c>
      <c r="U784" t="s">
        <v>176</v>
      </c>
      <c r="V784">
        <v>5.4558525000000004E-3</v>
      </c>
      <c r="W784">
        <v>0.15198758012999999</v>
      </c>
      <c r="X784" t="s">
        <v>90</v>
      </c>
      <c r="Y784">
        <v>0</v>
      </c>
      <c r="Z784">
        <v>0</v>
      </c>
      <c r="AA784" t="s">
        <v>90</v>
      </c>
      <c r="AB784">
        <v>0</v>
      </c>
      <c r="AC784">
        <v>0.15198758012999999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Q784" t="s">
        <v>262</v>
      </c>
      <c r="AR784" t="s">
        <v>263</v>
      </c>
      <c r="AS784">
        <v>0.15588150000000001</v>
      </c>
    </row>
    <row r="785" spans="1:45" x14ac:dyDescent="0.15">
      <c r="A785" s="4" t="str">
        <f>HYPERLINK("https://ibp.a2mac1.com/costing(costing:projects/details/9760/material/8755327)","Standard Structural Steel sheet")</f>
        <v>Standard Structural Steel sheet</v>
      </c>
      <c r="B785">
        <v>8755327</v>
      </c>
      <c r="C785">
        <v>12085598</v>
      </c>
      <c r="E785">
        <v>0.61129999999999995</v>
      </c>
      <c r="F785" t="s">
        <v>5160</v>
      </c>
      <c r="G785">
        <v>80</v>
      </c>
      <c r="H785" t="s">
        <v>5351</v>
      </c>
      <c r="I785">
        <v>30</v>
      </c>
      <c r="J785">
        <v>1.9999600007999841E-3</v>
      </c>
      <c r="K785">
        <v>0</v>
      </c>
      <c r="M785">
        <v>0</v>
      </c>
      <c r="O785">
        <v>200000</v>
      </c>
      <c r="R785" t="s">
        <v>162</v>
      </c>
      <c r="S785">
        <v>4.4930550000000001E-3</v>
      </c>
      <c r="T785">
        <v>1.4976850000000001E-6</v>
      </c>
      <c r="U785" t="s">
        <v>176</v>
      </c>
      <c r="V785">
        <v>2.6209487500000002E-3</v>
      </c>
      <c r="W785">
        <v>7.3013641434999998E-2</v>
      </c>
      <c r="X785" t="s">
        <v>90</v>
      </c>
      <c r="Y785">
        <v>0</v>
      </c>
      <c r="Z785">
        <v>0</v>
      </c>
      <c r="AA785" t="s">
        <v>90</v>
      </c>
      <c r="AB785">
        <v>0</v>
      </c>
      <c r="AC785">
        <v>7.3013641434999998E-2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Q785" t="s">
        <v>262</v>
      </c>
      <c r="AR785" t="s">
        <v>263</v>
      </c>
      <c r="AS785">
        <v>7.4884249999999999E-2</v>
      </c>
    </row>
    <row r="786" spans="1:45" x14ac:dyDescent="0.15">
      <c r="A786" s="4" t="str">
        <f>HYPERLINK("https://ibp.a2mac1.com/costing(costing:projects/details/9760/material/8755328)","Standard Structural Steel sheet")</f>
        <v>Standard Structural Steel sheet</v>
      </c>
      <c r="B786">
        <v>8755328</v>
      </c>
      <c r="C786">
        <v>12085599</v>
      </c>
      <c r="E786">
        <v>0.61129999999999995</v>
      </c>
      <c r="F786" t="s">
        <v>5345</v>
      </c>
      <c r="G786">
        <v>80</v>
      </c>
      <c r="H786" t="s">
        <v>5346</v>
      </c>
      <c r="I786">
        <v>30</v>
      </c>
      <c r="J786">
        <v>1.9999600007999841E-3</v>
      </c>
      <c r="K786">
        <v>0</v>
      </c>
      <c r="M786">
        <v>0</v>
      </c>
      <c r="O786">
        <v>200000</v>
      </c>
      <c r="R786" t="s">
        <v>162</v>
      </c>
      <c r="S786">
        <v>9.3528900000000009E-3</v>
      </c>
      <c r="T786">
        <v>3.11763E-6</v>
      </c>
      <c r="U786" t="s">
        <v>176</v>
      </c>
      <c r="V786">
        <v>5.4558525000000004E-3</v>
      </c>
      <c r="W786">
        <v>0.15198758012999999</v>
      </c>
      <c r="X786" t="s">
        <v>90</v>
      </c>
      <c r="Y786">
        <v>0</v>
      </c>
      <c r="Z786">
        <v>0</v>
      </c>
      <c r="AA786" t="s">
        <v>90</v>
      </c>
      <c r="AB786">
        <v>0</v>
      </c>
      <c r="AC786">
        <v>0.15198758012999999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Q786" t="s">
        <v>262</v>
      </c>
      <c r="AR786" t="s">
        <v>263</v>
      </c>
      <c r="AS786">
        <v>0.15588150000000001</v>
      </c>
    </row>
    <row r="787" spans="1:45" x14ac:dyDescent="0.15">
      <c r="A787" s="4" t="str">
        <f>HYPERLINK("https://ibp.a2mac1.com/costing(costing:projects/details/9760/material/8755329)","Standard Structural Steel sheet")</f>
        <v>Standard Structural Steel sheet</v>
      </c>
      <c r="B787">
        <v>8755329</v>
      </c>
      <c r="C787">
        <v>12085600</v>
      </c>
      <c r="E787">
        <v>0.61129999999999995</v>
      </c>
      <c r="F787" t="s">
        <v>5160</v>
      </c>
      <c r="G787">
        <v>80</v>
      </c>
      <c r="H787" t="s">
        <v>5351</v>
      </c>
      <c r="I787">
        <v>30</v>
      </c>
      <c r="J787">
        <v>1.9999600007999841E-3</v>
      </c>
      <c r="K787">
        <v>0</v>
      </c>
      <c r="M787">
        <v>0</v>
      </c>
      <c r="O787">
        <v>200000</v>
      </c>
      <c r="R787" t="s">
        <v>162</v>
      </c>
      <c r="S787">
        <v>4.4930550000000001E-3</v>
      </c>
      <c r="T787">
        <v>1.4976850000000001E-6</v>
      </c>
      <c r="U787" t="s">
        <v>176</v>
      </c>
      <c r="V787">
        <v>2.6209487500000002E-3</v>
      </c>
      <c r="W787">
        <v>7.3013641434999998E-2</v>
      </c>
      <c r="X787" t="s">
        <v>90</v>
      </c>
      <c r="Y787">
        <v>0</v>
      </c>
      <c r="Z787">
        <v>0</v>
      </c>
      <c r="AA787" t="s">
        <v>90</v>
      </c>
      <c r="AB787">
        <v>0</v>
      </c>
      <c r="AC787">
        <v>7.3013641434999998E-2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Q787" t="s">
        <v>262</v>
      </c>
      <c r="AR787" t="s">
        <v>263</v>
      </c>
      <c r="AS787">
        <v>7.4884249999999999E-2</v>
      </c>
    </row>
    <row r="788" spans="1:45" x14ac:dyDescent="0.15">
      <c r="A788" s="4" t="str">
        <f>HYPERLINK("https://ibp.a2mac1.com/costing(costing:projects/details/9760/material/8754936)","PE")</f>
        <v>PE</v>
      </c>
      <c r="B788">
        <v>8754936</v>
      </c>
      <c r="C788">
        <v>12085299</v>
      </c>
      <c r="E788">
        <v>1.2665</v>
      </c>
      <c r="F788" t="s">
        <v>5087</v>
      </c>
      <c r="G788">
        <v>95</v>
      </c>
      <c r="H788" t="s">
        <v>5088</v>
      </c>
      <c r="I788">
        <v>5</v>
      </c>
      <c r="J788">
        <v>0.50345253019720215</v>
      </c>
      <c r="K788">
        <v>0</v>
      </c>
      <c r="L788">
        <v>0</v>
      </c>
      <c r="M788">
        <v>0</v>
      </c>
      <c r="O788">
        <v>200000</v>
      </c>
      <c r="R788" t="s">
        <v>162</v>
      </c>
      <c r="S788">
        <v>1.1331842105263158E-4</v>
      </c>
      <c r="T788">
        <v>2.2935648421052631E-4</v>
      </c>
      <c r="U788" t="s">
        <v>176</v>
      </c>
      <c r="V788">
        <v>1.586457894736842E-3</v>
      </c>
      <c r="W788">
        <v>4.7029864378947371E-2</v>
      </c>
      <c r="X788" t="s">
        <v>177</v>
      </c>
      <c r="Y788">
        <v>2.8217918627368422E-3</v>
      </c>
      <c r="Z788">
        <v>0</v>
      </c>
      <c r="AA788" t="s">
        <v>178</v>
      </c>
      <c r="AB788">
        <v>5.6435837254736844E-3</v>
      </c>
      <c r="AC788">
        <v>5.5495239967157897E-2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P788" t="s">
        <v>5367</v>
      </c>
      <c r="AQ788" t="s">
        <v>262</v>
      </c>
      <c r="AR788" t="s">
        <v>263</v>
      </c>
      <c r="AS788">
        <v>4.532736842105263E-2</v>
      </c>
    </row>
    <row r="789" spans="1:45" x14ac:dyDescent="0.15">
      <c r="A789" s="4" t="str">
        <f>HYPERLINK("https://ibp.a2mac1.com/costing(costing:projects/details/9760/material/8754937)","ABS")</f>
        <v>ABS</v>
      </c>
      <c r="B789">
        <v>8754937</v>
      </c>
      <c r="C789">
        <v>12085300</v>
      </c>
      <c r="E789">
        <v>2.5272700000000001</v>
      </c>
      <c r="F789" t="s">
        <v>4592</v>
      </c>
      <c r="G789">
        <v>95</v>
      </c>
      <c r="H789" t="s">
        <v>4593</v>
      </c>
      <c r="I789">
        <v>5</v>
      </c>
      <c r="J789">
        <v>0.50345253019720215</v>
      </c>
      <c r="K789">
        <v>0</v>
      </c>
      <c r="L789">
        <v>0</v>
      </c>
      <c r="M789">
        <v>0</v>
      </c>
      <c r="O789">
        <v>200000</v>
      </c>
      <c r="R789" t="s">
        <v>162</v>
      </c>
      <c r="S789">
        <v>5.3205684210526313E-5</v>
      </c>
      <c r="T789">
        <v>1.0768830484210526E-4</v>
      </c>
      <c r="U789" t="s">
        <v>176</v>
      </c>
      <c r="V789">
        <v>7.4487957894736839E-4</v>
      </c>
      <c r="W789">
        <v>2.2081635883789474E-2</v>
      </c>
      <c r="X789" t="s">
        <v>177</v>
      </c>
      <c r="Y789">
        <v>1.3248981530273685E-3</v>
      </c>
      <c r="Z789">
        <v>0</v>
      </c>
      <c r="AA789" t="s">
        <v>178</v>
      </c>
      <c r="AB789">
        <v>2.6497963060547369E-3</v>
      </c>
      <c r="AC789">
        <v>2.6056330342871577E-2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P789" t="s">
        <v>5222</v>
      </c>
      <c r="AQ789" t="s">
        <v>262</v>
      </c>
      <c r="AR789" t="s">
        <v>263</v>
      </c>
      <c r="AS789">
        <v>2.1282273684210526E-2</v>
      </c>
    </row>
    <row r="790" spans="1:45" x14ac:dyDescent="0.15">
      <c r="A790" s="4" t="str">
        <f>HYPERLINK("https://ibp.a2mac1.com/costing(costing:projects/details/9760/material/8755330)","PMMA")</f>
        <v>PMMA</v>
      </c>
      <c r="B790">
        <v>8755330</v>
      </c>
      <c r="C790">
        <v>12085601</v>
      </c>
      <c r="E790">
        <v>2.1</v>
      </c>
      <c r="F790" t="s">
        <v>6217</v>
      </c>
      <c r="G790">
        <v>97</v>
      </c>
      <c r="H790" t="s">
        <v>6218</v>
      </c>
      <c r="I790">
        <v>5</v>
      </c>
      <c r="J790">
        <v>0.20557651238448796</v>
      </c>
      <c r="K790">
        <v>0</v>
      </c>
      <c r="L790">
        <v>0</v>
      </c>
      <c r="M790">
        <v>0</v>
      </c>
      <c r="O790">
        <v>200000</v>
      </c>
      <c r="R790" t="s">
        <v>162</v>
      </c>
      <c r="S790">
        <v>7.4690721649484532E-5</v>
      </c>
      <c r="T790">
        <v>1.0257525773195877E-4</v>
      </c>
      <c r="U790" t="s">
        <v>176</v>
      </c>
      <c r="V790">
        <v>1.7427835051546392E-3</v>
      </c>
      <c r="W790">
        <v>5.1564482474226805E-2</v>
      </c>
      <c r="X790" t="s">
        <v>1326</v>
      </c>
      <c r="Y790">
        <v>2.0625792989690723E-3</v>
      </c>
      <c r="Z790">
        <v>0</v>
      </c>
      <c r="AA790" t="s">
        <v>177</v>
      </c>
      <c r="AB790">
        <v>3.0938689484536082E-3</v>
      </c>
      <c r="AC790">
        <v>5.6720930721649486E-2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Q790" t="s">
        <v>262</v>
      </c>
      <c r="AR790" t="s">
        <v>263</v>
      </c>
      <c r="AS790">
        <v>4.9793814432989691E-2</v>
      </c>
    </row>
    <row r="791" spans="1:45" x14ac:dyDescent="0.15">
      <c r="A791" s="4" t="str">
        <f>HYPERLINK("https://ibp.a2mac1.com/costing(costing:projects/details/9760/material/8755331)","PP-TD20")</f>
        <v>PP-TD20</v>
      </c>
      <c r="B791">
        <v>8755331</v>
      </c>
      <c r="C791">
        <v>12085603</v>
      </c>
      <c r="E791">
        <v>1.1148100000000001</v>
      </c>
      <c r="F791" t="s">
        <v>6217</v>
      </c>
      <c r="G791">
        <v>97</v>
      </c>
      <c r="H791" t="s">
        <v>6218</v>
      </c>
      <c r="I791">
        <v>5</v>
      </c>
      <c r="J791">
        <v>0.20557651238448796</v>
      </c>
      <c r="K791">
        <v>0</v>
      </c>
      <c r="L791">
        <v>0</v>
      </c>
      <c r="M791">
        <v>0</v>
      </c>
      <c r="O791">
        <v>200000</v>
      </c>
      <c r="R791" t="s">
        <v>162</v>
      </c>
      <c r="S791">
        <v>3.9650458762886595E-5</v>
      </c>
      <c r="T791">
        <v>5.4453296701030927E-5</v>
      </c>
      <c r="U791" t="s">
        <v>176</v>
      </c>
      <c r="V791">
        <v>9.2517737113402066E-4</v>
      </c>
      <c r="W791">
        <v>2.7373619384329896E-2</v>
      </c>
      <c r="X791" t="s">
        <v>177</v>
      </c>
      <c r="Y791">
        <v>1.6424171630597937E-3</v>
      </c>
      <c r="Z791">
        <v>0</v>
      </c>
      <c r="AA791" t="s">
        <v>178</v>
      </c>
      <c r="AB791">
        <v>3.2848343261195874E-3</v>
      </c>
      <c r="AC791">
        <v>3.2300870873509281E-2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Q791" t="s">
        <v>262</v>
      </c>
      <c r="AR791" t="s">
        <v>263</v>
      </c>
      <c r="AS791">
        <v>2.643363917525773E-2</v>
      </c>
    </row>
    <row r="792" spans="1:45" x14ac:dyDescent="0.15">
      <c r="A792" s="4" t="str">
        <f>HYPERLINK("https://ibp.a2mac1.com/costing(costing:projects/details/9760/material/8755332)","EPDM")</f>
        <v>EPDM</v>
      </c>
      <c r="B792">
        <v>8755332</v>
      </c>
      <c r="C792">
        <v>12085605</v>
      </c>
      <c r="E792">
        <v>2.78701</v>
      </c>
      <c r="F792" t="s">
        <v>6174</v>
      </c>
      <c r="G792">
        <v>95</v>
      </c>
      <c r="H792" t="s">
        <v>6175</v>
      </c>
      <c r="I792">
        <v>5</v>
      </c>
      <c r="J792">
        <v>0.20557651238448796</v>
      </c>
      <c r="K792">
        <v>0</v>
      </c>
      <c r="L792">
        <v>0</v>
      </c>
      <c r="M792">
        <v>0</v>
      </c>
      <c r="O792">
        <v>200000</v>
      </c>
      <c r="R792" t="s">
        <v>162</v>
      </c>
      <c r="S792">
        <v>9.5345078947368413E-3</v>
      </c>
      <c r="T792">
        <v>7.8564345052631584E-3</v>
      </c>
      <c r="U792" t="s">
        <v>176</v>
      </c>
      <c r="V792">
        <v>0.13348311052631578</v>
      </c>
      <c r="W792">
        <v>3.9456081950315789</v>
      </c>
      <c r="X792" t="s">
        <v>177</v>
      </c>
      <c r="Y792">
        <v>0.23673649170189473</v>
      </c>
      <c r="Z792">
        <v>0</v>
      </c>
      <c r="AA792" t="s">
        <v>178</v>
      </c>
      <c r="AB792">
        <v>0.47347298340378946</v>
      </c>
      <c r="AC792">
        <v>4.6558176701372629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P792" t="s">
        <v>5378</v>
      </c>
      <c r="AQ792" t="s">
        <v>262</v>
      </c>
      <c r="AR792" t="s">
        <v>263</v>
      </c>
      <c r="AS792">
        <v>3.8138031578947369</v>
      </c>
    </row>
    <row r="793" spans="1:45" x14ac:dyDescent="0.15">
      <c r="A793" s="4" t="str">
        <f>HYPERLINK("https://ibp.a2mac1.com/costing(costing:projects/details/9760/material/8755333)","Standard Structural Steel sheet")</f>
        <v>Standard Structural Steel sheet</v>
      </c>
      <c r="B793">
        <v>8755333</v>
      </c>
      <c r="C793">
        <v>12085605</v>
      </c>
      <c r="E793">
        <v>0.61129999999999995</v>
      </c>
      <c r="F793" t="s">
        <v>6177</v>
      </c>
      <c r="G793">
        <v>95</v>
      </c>
      <c r="H793" t="s">
        <v>6178</v>
      </c>
      <c r="I793">
        <v>30</v>
      </c>
      <c r="J793">
        <v>0.20557651238448796</v>
      </c>
      <c r="K793">
        <v>0</v>
      </c>
      <c r="L793">
        <v>0</v>
      </c>
      <c r="M793">
        <v>0</v>
      </c>
      <c r="O793">
        <v>200000</v>
      </c>
      <c r="R793" t="s">
        <v>162</v>
      </c>
      <c r="S793">
        <v>1.640857894736842E-3</v>
      </c>
      <c r="T793">
        <v>2.2534448421052632E-4</v>
      </c>
      <c r="U793" t="s">
        <v>176</v>
      </c>
      <c r="V793">
        <v>3.8286684210526315E-3</v>
      </c>
      <c r="W793">
        <v>0.1118036813263158</v>
      </c>
      <c r="X793" t="s">
        <v>177</v>
      </c>
      <c r="Y793">
        <v>6.708220879578947E-3</v>
      </c>
      <c r="Z793">
        <v>0</v>
      </c>
      <c r="AA793" t="s">
        <v>178</v>
      </c>
      <c r="AB793">
        <v>1.3416441759157894E-2</v>
      </c>
      <c r="AC793">
        <v>0.13192834396505262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Q793" t="s">
        <v>262</v>
      </c>
      <c r="AR793" t="s">
        <v>263</v>
      </c>
      <c r="AS793">
        <v>0.10939052631578948</v>
      </c>
    </row>
    <row r="794" spans="1:45" x14ac:dyDescent="0.15">
      <c r="A794" s="4" t="str">
        <f>HYPERLINK("https://ibp.a2mac1.com/costing(costing:projects/details/9760/material/8755334)","EPDM")</f>
        <v>EPDM</v>
      </c>
      <c r="B794">
        <v>8755334</v>
      </c>
      <c r="C794">
        <v>12085607</v>
      </c>
      <c r="E794">
        <v>2.78701</v>
      </c>
      <c r="F794" t="s">
        <v>6182</v>
      </c>
      <c r="G794">
        <v>95</v>
      </c>
      <c r="H794" t="s">
        <v>6183</v>
      </c>
      <c r="I794">
        <v>5</v>
      </c>
      <c r="J794">
        <v>0.10389195236953569</v>
      </c>
      <c r="K794">
        <v>0</v>
      </c>
      <c r="L794">
        <v>0</v>
      </c>
      <c r="M794">
        <v>0</v>
      </c>
      <c r="O794">
        <v>200000</v>
      </c>
      <c r="R794" t="s">
        <v>162</v>
      </c>
      <c r="S794">
        <v>1.5988636315789474E-3</v>
      </c>
      <c r="T794">
        <v>6.6512727073684207E-4</v>
      </c>
      <c r="U794" t="s">
        <v>176</v>
      </c>
      <c r="V794">
        <v>2.2384090842105263E-2</v>
      </c>
      <c r="W794">
        <v>0.66099580711284212</v>
      </c>
      <c r="X794" t="s">
        <v>177</v>
      </c>
      <c r="Y794">
        <v>3.9659748426770523E-2</v>
      </c>
      <c r="Z794">
        <v>0</v>
      </c>
      <c r="AA794" t="s">
        <v>178</v>
      </c>
      <c r="AB794">
        <v>7.9319496853541047E-2</v>
      </c>
      <c r="AC794">
        <v>0.77997505239315368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P794" t="s">
        <v>5378</v>
      </c>
      <c r="AQ794" t="s">
        <v>262</v>
      </c>
      <c r="AR794" t="s">
        <v>263</v>
      </c>
      <c r="AS794">
        <v>0.63954545263157891</v>
      </c>
    </row>
    <row r="795" spans="1:45" x14ac:dyDescent="0.15">
      <c r="A795" s="4" t="str">
        <f>HYPERLINK("https://ibp.a2mac1.com/costing(costing:projects/details/9760/material/8755335)","EPDM")</f>
        <v>EPDM</v>
      </c>
      <c r="B795">
        <v>8755335</v>
      </c>
      <c r="C795">
        <v>12085608</v>
      </c>
      <c r="E795">
        <v>2.78701</v>
      </c>
      <c r="F795" t="s">
        <v>5848</v>
      </c>
      <c r="G795">
        <v>95</v>
      </c>
      <c r="H795" t="s">
        <v>6187</v>
      </c>
      <c r="I795">
        <v>5</v>
      </c>
      <c r="J795">
        <v>0.10389195236953569</v>
      </c>
      <c r="K795">
        <v>0</v>
      </c>
      <c r="L795">
        <v>0</v>
      </c>
      <c r="M795">
        <v>0</v>
      </c>
      <c r="O795">
        <v>200000</v>
      </c>
      <c r="R795" t="s">
        <v>162</v>
      </c>
      <c r="S795">
        <v>5.133965789473684E-4</v>
      </c>
      <c r="T795">
        <v>2.1357297684210526E-4</v>
      </c>
      <c r="U795" t="s">
        <v>176</v>
      </c>
      <c r="V795">
        <v>7.1875521052631583E-3</v>
      </c>
      <c r="W795">
        <v>0.21224636008210526</v>
      </c>
      <c r="X795" t="s">
        <v>177</v>
      </c>
      <c r="Y795">
        <v>1.2734781604926316E-2</v>
      </c>
      <c r="Z795">
        <v>0</v>
      </c>
      <c r="AA795" t="s">
        <v>178</v>
      </c>
      <c r="AB795">
        <v>2.5469563209852632E-2</v>
      </c>
      <c r="AC795">
        <v>0.2504507048968842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P795" t="s">
        <v>5378</v>
      </c>
      <c r="AQ795" t="s">
        <v>262</v>
      </c>
      <c r="AR795" t="s">
        <v>263</v>
      </c>
      <c r="AS795">
        <v>0.20535863157894738</v>
      </c>
    </row>
    <row r="796" spans="1:45" x14ac:dyDescent="0.15">
      <c r="A796" s="4" t="str">
        <f>HYPERLINK("https://ibp.a2mac1.com/costing(costing:projects/details/9760/material/8755336)","Aluminum for extrusion (default, e.g. EN-AW6016)")</f>
        <v>Aluminum for extrusion (default, e.g. EN-AW6016)</v>
      </c>
      <c r="B796">
        <v>8755336</v>
      </c>
      <c r="C796">
        <v>12085608</v>
      </c>
      <c r="E796">
        <v>2.3603000000000001</v>
      </c>
      <c r="F796" t="s">
        <v>6189</v>
      </c>
      <c r="G796">
        <v>95</v>
      </c>
      <c r="H796" t="s">
        <v>6190</v>
      </c>
      <c r="I796">
        <v>30</v>
      </c>
      <c r="J796">
        <v>0.10389195236953569</v>
      </c>
      <c r="K796">
        <v>0</v>
      </c>
      <c r="L796">
        <v>0</v>
      </c>
      <c r="M796">
        <v>0</v>
      </c>
      <c r="O796">
        <v>200000</v>
      </c>
      <c r="R796" t="s">
        <v>162</v>
      </c>
      <c r="S796">
        <v>1.4907157894736842E-3</v>
      </c>
      <c r="T796">
        <v>1.033562947368421E-4</v>
      </c>
      <c r="U796" t="s">
        <v>176</v>
      </c>
      <c r="V796">
        <v>3.478336842105263E-3</v>
      </c>
      <c r="W796">
        <v>0.10147202997894737</v>
      </c>
      <c r="X796" t="s">
        <v>177</v>
      </c>
      <c r="Y796">
        <v>6.0883217987368421E-3</v>
      </c>
      <c r="Z796">
        <v>0</v>
      </c>
      <c r="AA796" t="s">
        <v>178</v>
      </c>
      <c r="AB796">
        <v>1.2176643597473684E-2</v>
      </c>
      <c r="AC796">
        <v>0.11973699537515789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Q796" t="s">
        <v>262</v>
      </c>
      <c r="AR796" t="s">
        <v>263</v>
      </c>
      <c r="AS796">
        <v>9.9381052631578953E-2</v>
      </c>
    </row>
    <row r="797" spans="1:45" x14ac:dyDescent="0.15">
      <c r="A797" s="4" t="str">
        <f>HYPERLINK("https://ibp.a2mac1.com/costing(costing:projects/details/9760/material/8754938)","EPDM")</f>
        <v>EPDM</v>
      </c>
      <c r="B797">
        <v>8754938</v>
      </c>
      <c r="C797">
        <v>12085301</v>
      </c>
      <c r="E797">
        <v>2.78701</v>
      </c>
      <c r="F797" t="s">
        <v>6194</v>
      </c>
      <c r="G797">
        <v>95</v>
      </c>
      <c r="H797" t="s">
        <v>6195</v>
      </c>
      <c r="I797">
        <v>5</v>
      </c>
      <c r="J797">
        <v>0.10389195236953569</v>
      </c>
      <c r="K797">
        <v>0</v>
      </c>
      <c r="L797">
        <v>0</v>
      </c>
      <c r="M797">
        <v>0</v>
      </c>
      <c r="O797">
        <v>200000</v>
      </c>
      <c r="R797" t="s">
        <v>162</v>
      </c>
      <c r="S797">
        <v>2.200271052631579E-3</v>
      </c>
      <c r="T797">
        <v>9.1531275789473682E-4</v>
      </c>
      <c r="U797" t="s">
        <v>176</v>
      </c>
      <c r="V797">
        <v>3.0803794736842104E-2</v>
      </c>
      <c r="W797">
        <v>0.90962725749473683</v>
      </c>
      <c r="X797" t="s">
        <v>177</v>
      </c>
      <c r="Y797">
        <v>5.4577635449684213E-2</v>
      </c>
      <c r="Z797">
        <v>0</v>
      </c>
      <c r="AA797" t="s">
        <v>178</v>
      </c>
      <c r="AB797">
        <v>0.10915527089936843</v>
      </c>
      <c r="AC797">
        <v>1.0733601638437895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P797" t="s">
        <v>5378</v>
      </c>
      <c r="AQ797" t="s">
        <v>262</v>
      </c>
      <c r="AR797" t="s">
        <v>263</v>
      </c>
      <c r="AS797">
        <v>0.88010842105263154</v>
      </c>
    </row>
    <row r="798" spans="1:45" x14ac:dyDescent="0.15">
      <c r="A798" s="4" t="str">
        <f>HYPERLINK("https://ibp.a2mac1.com/costing(costing:projects/details/9760/material/8754939)","Aluminum for extrusion (default, e.g. EN-AW6016)")</f>
        <v>Aluminum for extrusion (default, e.g. EN-AW6016)</v>
      </c>
      <c r="B798">
        <v>8754939</v>
      </c>
      <c r="C798">
        <v>12085301</v>
      </c>
      <c r="E798">
        <v>2.3603000000000001</v>
      </c>
      <c r="F798" t="s">
        <v>5406</v>
      </c>
      <c r="G798">
        <v>95</v>
      </c>
      <c r="H798" t="s">
        <v>5407</v>
      </c>
      <c r="I798">
        <v>30</v>
      </c>
      <c r="J798">
        <v>0.10389195236953569</v>
      </c>
      <c r="K798">
        <v>0</v>
      </c>
      <c r="L798">
        <v>0</v>
      </c>
      <c r="M798">
        <v>0</v>
      </c>
      <c r="O798">
        <v>200000</v>
      </c>
      <c r="R798" t="s">
        <v>162</v>
      </c>
      <c r="S798">
        <v>3.7267894736842107E-3</v>
      </c>
      <c r="T798">
        <v>2.5839073684210529E-4</v>
      </c>
      <c r="U798" t="s">
        <v>176</v>
      </c>
      <c r="V798">
        <v>8.6958421052631581E-3</v>
      </c>
      <c r="W798">
        <v>0.25368007494736844</v>
      </c>
      <c r="X798" t="s">
        <v>177</v>
      </c>
      <c r="Y798">
        <v>1.5220804496842105E-2</v>
      </c>
      <c r="Z798">
        <v>0</v>
      </c>
      <c r="AA798" t="s">
        <v>178</v>
      </c>
      <c r="AB798">
        <v>3.044160899368421E-2</v>
      </c>
      <c r="AC798">
        <v>0.29934248843789474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Q798" t="s">
        <v>262</v>
      </c>
      <c r="AR798" t="s">
        <v>263</v>
      </c>
      <c r="AS798">
        <v>0.24845263157894737</v>
      </c>
    </row>
    <row r="799" spans="1:45" x14ac:dyDescent="0.15">
      <c r="A799" s="4" t="str">
        <f>HYPERLINK("https://ibp.a2mac1.com/costing(costing:projects/details/9760/material/8754940)","EPDM")</f>
        <v>EPDM</v>
      </c>
      <c r="B799">
        <v>8754940</v>
      </c>
      <c r="C799">
        <v>12085302</v>
      </c>
      <c r="E799">
        <v>2.78701</v>
      </c>
      <c r="F799" t="s">
        <v>6199</v>
      </c>
      <c r="G799">
        <v>95</v>
      </c>
      <c r="H799" t="s">
        <v>6200</v>
      </c>
      <c r="I799">
        <v>5</v>
      </c>
      <c r="J799">
        <v>0.10389195236953569</v>
      </c>
      <c r="K799">
        <v>0</v>
      </c>
      <c r="L799">
        <v>0</v>
      </c>
      <c r="M799">
        <v>0</v>
      </c>
      <c r="O799">
        <v>200000</v>
      </c>
      <c r="R799" t="s">
        <v>162</v>
      </c>
      <c r="S799">
        <v>1.2101490789473684E-3</v>
      </c>
      <c r="T799">
        <v>5.034220168421053E-4</v>
      </c>
      <c r="U799" t="s">
        <v>176</v>
      </c>
      <c r="V799">
        <v>1.6942087105263157E-2</v>
      </c>
      <c r="W799">
        <v>0.50029499162210522</v>
      </c>
      <c r="X799" t="s">
        <v>177</v>
      </c>
      <c r="Y799">
        <v>3.0017699497326317E-2</v>
      </c>
      <c r="Z799">
        <v>0</v>
      </c>
      <c r="AA799" t="s">
        <v>178</v>
      </c>
      <c r="AB799">
        <v>6.0035398994652635E-2</v>
      </c>
      <c r="AC799">
        <v>0.59034809011408418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P799" t="s">
        <v>5378</v>
      </c>
      <c r="AQ799" t="s">
        <v>262</v>
      </c>
      <c r="AR799" t="s">
        <v>263</v>
      </c>
      <c r="AS799">
        <v>0.48405963157894738</v>
      </c>
    </row>
    <row r="800" spans="1:45" x14ac:dyDescent="0.15">
      <c r="A800" s="4" t="str">
        <f>HYPERLINK("https://ibp.a2mac1.com/costing(costing:projects/details/9760/material/8754941)","Aluminum for extrusion (default, e.g. EN-AW6016)")</f>
        <v>Aluminum for extrusion (default, e.g. EN-AW6016)</v>
      </c>
      <c r="B800">
        <v>8754941</v>
      </c>
      <c r="C800">
        <v>12085302</v>
      </c>
      <c r="E800">
        <v>2.3603000000000001</v>
      </c>
      <c r="F800" t="s">
        <v>6101</v>
      </c>
      <c r="G800">
        <v>95</v>
      </c>
      <c r="H800" t="s">
        <v>6102</v>
      </c>
      <c r="I800">
        <v>30</v>
      </c>
      <c r="J800">
        <v>0.10389195236953569</v>
      </c>
      <c r="K800">
        <v>0</v>
      </c>
      <c r="L800">
        <v>0</v>
      </c>
      <c r="M800">
        <v>0</v>
      </c>
      <c r="O800">
        <v>200000</v>
      </c>
      <c r="R800" t="s">
        <v>162</v>
      </c>
      <c r="S800">
        <v>3.5404500000000001E-3</v>
      </c>
      <c r="T800">
        <v>2.454712E-4</v>
      </c>
      <c r="U800" t="s">
        <v>176</v>
      </c>
      <c r="V800">
        <v>8.2610500000000007E-3</v>
      </c>
      <c r="W800">
        <v>0.24099607119999999</v>
      </c>
      <c r="X800" t="s">
        <v>177</v>
      </c>
      <c r="Y800">
        <v>1.4459764272000001E-2</v>
      </c>
      <c r="Z800">
        <v>0</v>
      </c>
      <c r="AA800" t="s">
        <v>178</v>
      </c>
      <c r="AB800">
        <v>2.8919528544000001E-2</v>
      </c>
      <c r="AC800">
        <v>0.284375364016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Q800" t="s">
        <v>262</v>
      </c>
      <c r="AR800" t="s">
        <v>263</v>
      </c>
      <c r="AS800">
        <v>0.23602999999999999</v>
      </c>
    </row>
    <row r="801" spans="1:45" x14ac:dyDescent="0.15">
      <c r="A801" s="4" t="str">
        <f>HYPERLINK("https://ibp.a2mac1.com/costing(costing:projects/details/9760/material/8754942)","Aluminum for extrusion (default, e.g. EN-AW6016)")</f>
        <v>Aluminum for extrusion (default, e.g. EN-AW6016)</v>
      </c>
      <c r="B801">
        <v>8754942</v>
      </c>
      <c r="C801">
        <v>12085303</v>
      </c>
      <c r="E801">
        <v>2.3603000000000001</v>
      </c>
      <c r="F801" t="s">
        <v>4636</v>
      </c>
      <c r="G801">
        <v>94.471299999999999</v>
      </c>
      <c r="H801" t="s">
        <v>6204</v>
      </c>
      <c r="I801">
        <v>30</v>
      </c>
      <c r="J801">
        <v>0.10389195236953569</v>
      </c>
      <c r="K801">
        <v>0</v>
      </c>
      <c r="L801">
        <v>0</v>
      </c>
      <c r="M801">
        <v>0</v>
      </c>
      <c r="O801">
        <v>200000</v>
      </c>
      <c r="R801" t="s">
        <v>162</v>
      </c>
      <c r="S801">
        <v>2.9836239913709245E-3</v>
      </c>
      <c r="T801">
        <v>1.8708249383675253E-4</v>
      </c>
      <c r="U801" t="s">
        <v>176</v>
      </c>
      <c r="V801">
        <v>6.2960454656599413E-3</v>
      </c>
      <c r="W801">
        <v>0.1833865172726955</v>
      </c>
      <c r="X801" t="s">
        <v>177</v>
      </c>
      <c r="Y801">
        <v>1.100319103636173E-2</v>
      </c>
      <c r="Z801">
        <v>0</v>
      </c>
      <c r="AA801" t="s">
        <v>178</v>
      </c>
      <c r="AB801">
        <v>2.2006382072723461E-2</v>
      </c>
      <c r="AC801">
        <v>0.2163960903817807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Q801" t="s">
        <v>262</v>
      </c>
      <c r="AR801" t="s">
        <v>263</v>
      </c>
      <c r="AS801">
        <v>0.17988701330456974</v>
      </c>
    </row>
    <row r="802" spans="1:45" x14ac:dyDescent="0.15">
      <c r="A802" s="4" t="str">
        <f>HYPERLINK("https://ibp.a2mac1.com/costing(costing:projects/details/9760/material/8755337)","Glass (default, float glass) adjusted (part)")</f>
        <v>Glass (default, float glass) adjusted (part)</v>
      </c>
      <c r="B802">
        <v>8755337</v>
      </c>
      <c r="C802">
        <v>12085609</v>
      </c>
      <c r="E802">
        <v>10.904400000000001</v>
      </c>
      <c r="F802" t="s">
        <v>478</v>
      </c>
      <c r="G802">
        <v>100</v>
      </c>
      <c r="H802" t="s">
        <v>479</v>
      </c>
      <c r="I802">
        <v>0</v>
      </c>
      <c r="J802">
        <v>0.50345253019720215</v>
      </c>
      <c r="K802">
        <v>0</v>
      </c>
      <c r="L802">
        <v>0</v>
      </c>
      <c r="M802">
        <v>0</v>
      </c>
      <c r="O802">
        <v>200000</v>
      </c>
      <c r="R802" t="s">
        <v>162</v>
      </c>
      <c r="S802">
        <v>0</v>
      </c>
      <c r="T802">
        <v>5.5176264000000003E-2</v>
      </c>
      <c r="U802" t="s">
        <v>176</v>
      </c>
      <c r="V802">
        <v>0.38165399999999999</v>
      </c>
      <c r="W802">
        <v>11.341230264</v>
      </c>
      <c r="X802" t="s">
        <v>90</v>
      </c>
      <c r="Y802">
        <v>0</v>
      </c>
      <c r="Z802">
        <v>0</v>
      </c>
      <c r="AA802" t="s">
        <v>90</v>
      </c>
      <c r="AB802">
        <v>0</v>
      </c>
      <c r="AC802">
        <v>11.341230264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Q802" t="s">
        <v>262</v>
      </c>
      <c r="AR802" t="s">
        <v>263</v>
      </c>
      <c r="AS802">
        <v>10.904400000000001</v>
      </c>
    </row>
    <row r="803" spans="1:45" x14ac:dyDescent="0.15">
      <c r="A803" s="4" t="str">
        <f>HYPERLINK("https://ibp.a2mac1.com/costing(costing:projects/details/9760/material/8755338)","ABS-PC")</f>
        <v>ABS-PC</v>
      </c>
      <c r="B803">
        <v>8755338</v>
      </c>
      <c r="C803">
        <v>12085610</v>
      </c>
      <c r="E803">
        <v>2.29312</v>
      </c>
      <c r="F803" t="s">
        <v>5174</v>
      </c>
      <c r="G803">
        <v>95</v>
      </c>
      <c r="H803" t="s">
        <v>5175</v>
      </c>
      <c r="I803">
        <v>5</v>
      </c>
      <c r="J803">
        <v>0.50345253019720215</v>
      </c>
      <c r="K803">
        <v>0</v>
      </c>
      <c r="L803">
        <v>0</v>
      </c>
      <c r="M803">
        <v>0</v>
      </c>
      <c r="O803">
        <v>200000</v>
      </c>
      <c r="R803" t="s">
        <v>162</v>
      </c>
      <c r="S803">
        <v>7.8448842105263158E-5</v>
      </c>
      <c r="T803">
        <v>1.5878045642105264E-4</v>
      </c>
      <c r="U803" t="s">
        <v>176</v>
      </c>
      <c r="V803">
        <v>1.0982837894736842E-3</v>
      </c>
      <c r="W803">
        <v>3.2558152245894735E-2</v>
      </c>
      <c r="X803" t="s">
        <v>177</v>
      </c>
      <c r="Y803">
        <v>1.953489134753684E-3</v>
      </c>
      <c r="Z803">
        <v>0</v>
      </c>
      <c r="AA803" t="s">
        <v>178</v>
      </c>
      <c r="AB803">
        <v>3.906978269507368E-3</v>
      </c>
      <c r="AC803">
        <v>3.8418619650155791E-2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P803" t="s">
        <v>5141</v>
      </c>
      <c r="AQ803" t="s">
        <v>262</v>
      </c>
      <c r="AR803" t="s">
        <v>263</v>
      </c>
      <c r="AS803">
        <v>3.137953684210526E-2</v>
      </c>
    </row>
    <row r="804" spans="1:45" x14ac:dyDescent="0.15">
      <c r="A804" s="4" t="str">
        <f>HYPERLINK("https://ibp.a2mac1.com/costing(costing:projects/details/9760/material/8755339)","PA6-GF30")</f>
        <v>PA6-GF30</v>
      </c>
      <c r="B804">
        <v>8755339</v>
      </c>
      <c r="C804">
        <v>12085611</v>
      </c>
      <c r="E804">
        <v>2.1428600000000002</v>
      </c>
      <c r="F804" t="s">
        <v>5436</v>
      </c>
      <c r="G804">
        <v>97</v>
      </c>
      <c r="H804" t="s">
        <v>5437</v>
      </c>
      <c r="I804">
        <v>5</v>
      </c>
      <c r="J804">
        <v>0.10389195236953569</v>
      </c>
      <c r="K804">
        <v>0</v>
      </c>
      <c r="M804">
        <v>0</v>
      </c>
      <c r="O804">
        <v>200000</v>
      </c>
      <c r="R804" t="s">
        <v>162</v>
      </c>
      <c r="S804">
        <v>2.2533167010309278E-4</v>
      </c>
      <c r="T804">
        <v>1.5622995793814433E-4</v>
      </c>
      <c r="U804" t="s">
        <v>176</v>
      </c>
      <c r="V804">
        <v>5.257738969072165E-3</v>
      </c>
      <c r="W804">
        <v>0.15540975065896906</v>
      </c>
      <c r="X804" t="s">
        <v>177</v>
      </c>
      <c r="Y804">
        <v>9.3245850395381451E-3</v>
      </c>
      <c r="Z804">
        <v>0</v>
      </c>
      <c r="AA804" t="s">
        <v>178</v>
      </c>
      <c r="AB804">
        <v>1.864917007907629E-2</v>
      </c>
      <c r="AC804">
        <v>0.1833835057775835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Q804" t="s">
        <v>262</v>
      </c>
      <c r="AR804" t="s">
        <v>263</v>
      </c>
      <c r="AS804">
        <v>0.15022111340206185</v>
      </c>
    </row>
    <row r="805" spans="1:45" x14ac:dyDescent="0.15">
      <c r="A805" s="4" t="str">
        <f>HYPERLINK("https://ibp.a2mac1.com/costing(costing:projects/details/9760/material/8755340)","Standard Structural Steel sheet")</f>
        <v>Standard Structural Steel sheet</v>
      </c>
      <c r="B805">
        <v>8755340</v>
      </c>
      <c r="C805">
        <v>12085612</v>
      </c>
      <c r="E805">
        <v>0.61129999999999995</v>
      </c>
      <c r="F805" t="s">
        <v>5443</v>
      </c>
      <c r="G805">
        <v>100</v>
      </c>
      <c r="H805" t="s">
        <v>5444</v>
      </c>
      <c r="I805">
        <v>30</v>
      </c>
      <c r="J805">
        <v>0.20557651238448796</v>
      </c>
      <c r="K805">
        <v>0</v>
      </c>
      <c r="L805">
        <v>0</v>
      </c>
      <c r="M805">
        <v>0</v>
      </c>
      <c r="O805">
        <v>200000</v>
      </c>
      <c r="R805" t="s">
        <v>162</v>
      </c>
      <c r="S805">
        <v>0</v>
      </c>
      <c r="T805">
        <v>2.518556E-6</v>
      </c>
      <c r="U805" t="s">
        <v>176</v>
      </c>
      <c r="V805">
        <v>4.2790999999999997E-5</v>
      </c>
      <c r="W805">
        <v>1.267909556E-3</v>
      </c>
      <c r="X805" t="s">
        <v>177</v>
      </c>
      <c r="Y805">
        <v>7.6074573359999998E-5</v>
      </c>
      <c r="Z805">
        <v>0</v>
      </c>
      <c r="AA805" t="s">
        <v>178</v>
      </c>
      <c r="AB805">
        <v>1.5214914672E-4</v>
      </c>
      <c r="AC805">
        <v>1.49613327608E-3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Q805" t="s">
        <v>262</v>
      </c>
      <c r="AR805" t="s">
        <v>263</v>
      </c>
      <c r="AS805">
        <v>1.2225999999999999E-3</v>
      </c>
    </row>
    <row r="806" spans="1:45" x14ac:dyDescent="0.15">
      <c r="A806" s="4" t="str">
        <f>HYPERLINK("https://ibp.a2mac1.com/costing(costing:projects/details/9760/material/8755341)","PA6-GF30")</f>
        <v>PA6-GF30</v>
      </c>
      <c r="B806">
        <v>8755341</v>
      </c>
      <c r="C806">
        <v>12085614</v>
      </c>
      <c r="E806">
        <v>2.1428600000000002</v>
      </c>
      <c r="F806" t="s">
        <v>5436</v>
      </c>
      <c r="G806">
        <v>97</v>
      </c>
      <c r="H806" t="s">
        <v>5437</v>
      </c>
      <c r="I806">
        <v>5</v>
      </c>
      <c r="J806">
        <v>0.10389195236953569</v>
      </c>
      <c r="K806">
        <v>0</v>
      </c>
      <c r="M806">
        <v>0</v>
      </c>
      <c r="O806">
        <v>200000</v>
      </c>
      <c r="R806" t="s">
        <v>162</v>
      </c>
      <c r="S806">
        <v>2.2533167010309278E-4</v>
      </c>
      <c r="T806">
        <v>1.5622995793814433E-4</v>
      </c>
      <c r="U806" t="s">
        <v>176</v>
      </c>
      <c r="V806">
        <v>5.257738969072165E-3</v>
      </c>
      <c r="W806">
        <v>0.15540975065896906</v>
      </c>
      <c r="X806" t="s">
        <v>177</v>
      </c>
      <c r="Y806">
        <v>9.3245850395381451E-3</v>
      </c>
      <c r="Z806">
        <v>0</v>
      </c>
      <c r="AA806" t="s">
        <v>178</v>
      </c>
      <c r="AB806">
        <v>1.864917007907629E-2</v>
      </c>
      <c r="AC806">
        <v>0.1833835057775835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Q806" t="s">
        <v>262</v>
      </c>
      <c r="AR806" t="s">
        <v>263</v>
      </c>
      <c r="AS806">
        <v>0.15022111340206185</v>
      </c>
    </row>
    <row r="807" spans="1:45" x14ac:dyDescent="0.15">
      <c r="A807" s="4" t="str">
        <f>HYPERLINK("https://ibp.a2mac1.com/costing(costing:projects/details/9760/material/8755342)","PA6-GF30")</f>
        <v>PA6-GF30</v>
      </c>
      <c r="B807">
        <v>8755342</v>
      </c>
      <c r="C807">
        <v>12085615</v>
      </c>
      <c r="E807">
        <v>2.1428600000000002</v>
      </c>
      <c r="F807" t="s">
        <v>5460</v>
      </c>
      <c r="G807">
        <v>97</v>
      </c>
      <c r="H807" t="s">
        <v>5461</v>
      </c>
      <c r="I807">
        <v>5</v>
      </c>
      <c r="J807">
        <v>0.10389195236953569</v>
      </c>
      <c r="K807">
        <v>0</v>
      </c>
      <c r="M807">
        <v>0</v>
      </c>
      <c r="O807">
        <v>200000</v>
      </c>
      <c r="R807" t="s">
        <v>162</v>
      </c>
      <c r="S807">
        <v>9.2783628865979379E-4</v>
      </c>
      <c r="T807">
        <v>6.4329982680412371E-4</v>
      </c>
      <c r="U807" t="s">
        <v>176</v>
      </c>
      <c r="V807">
        <v>2.1649513402061855E-2</v>
      </c>
      <c r="W807">
        <v>0.63992250271340201</v>
      </c>
      <c r="X807" t="s">
        <v>177</v>
      </c>
      <c r="Y807">
        <v>3.8395350162804126E-2</v>
      </c>
      <c r="Z807">
        <v>0</v>
      </c>
      <c r="AA807" t="s">
        <v>178</v>
      </c>
      <c r="AB807">
        <v>7.6790700325608252E-2</v>
      </c>
      <c r="AC807">
        <v>0.75510855320181447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Q807" t="s">
        <v>262</v>
      </c>
      <c r="AR807" t="s">
        <v>263</v>
      </c>
      <c r="AS807">
        <v>0.61855752577319589</v>
      </c>
    </row>
    <row r="808" spans="1:45" x14ac:dyDescent="0.15">
      <c r="A808" s="4" t="str">
        <f>HYPERLINK("https://ibp.a2mac1.com/costing(costing:projects/details/9760/material/8755343)","PBT-PC")</f>
        <v>PBT-PC</v>
      </c>
      <c r="B808">
        <v>8755343</v>
      </c>
      <c r="C808">
        <v>12085616</v>
      </c>
      <c r="E808">
        <v>2.6194899999999999</v>
      </c>
      <c r="F808" t="s">
        <v>4454</v>
      </c>
      <c r="G808">
        <v>97</v>
      </c>
      <c r="H808" t="s">
        <v>5466</v>
      </c>
      <c r="I808">
        <v>5</v>
      </c>
      <c r="J808">
        <v>1.1056389564667022</v>
      </c>
      <c r="K808">
        <v>0</v>
      </c>
      <c r="M808">
        <v>0</v>
      </c>
      <c r="O808">
        <v>200000</v>
      </c>
      <c r="R808" t="s">
        <v>162</v>
      </c>
      <c r="S808">
        <v>1.0126894329896907E-4</v>
      </c>
      <c r="T808">
        <v>7.5479119072164951E-4</v>
      </c>
      <c r="U808" t="s">
        <v>176</v>
      </c>
      <c r="V808">
        <v>2.3629420103092784E-3</v>
      </c>
      <c r="W808">
        <v>7.0529093123711334E-2</v>
      </c>
      <c r="X808" t="s">
        <v>177</v>
      </c>
      <c r="Y808">
        <v>4.2317455874226802E-3</v>
      </c>
      <c r="Z808">
        <v>0</v>
      </c>
      <c r="AA808" t="s">
        <v>178</v>
      </c>
      <c r="AB808">
        <v>8.4634911748453605E-3</v>
      </c>
      <c r="AC808">
        <v>8.3224329885979387E-2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Q808" t="s">
        <v>262</v>
      </c>
      <c r="AR808" t="s">
        <v>263</v>
      </c>
      <c r="AS808">
        <v>6.7512628865979377E-2</v>
      </c>
    </row>
    <row r="809" spans="1:45" x14ac:dyDescent="0.15">
      <c r="A809" s="4" t="str">
        <f>HYPERLINK("https://ibp.a2mac1.com/costing(costing:projects/details/9760/material/8755344)","Paint - Base")</f>
        <v>Paint - Base</v>
      </c>
      <c r="B809">
        <v>8755344</v>
      </c>
      <c r="C809">
        <v>12085617</v>
      </c>
      <c r="E809">
        <v>11.26986</v>
      </c>
      <c r="F809" t="s">
        <v>1468</v>
      </c>
      <c r="G809">
        <v>98</v>
      </c>
      <c r="H809" t="s">
        <v>5469</v>
      </c>
      <c r="I809">
        <v>0</v>
      </c>
      <c r="J809">
        <v>1.0057812623742775</v>
      </c>
      <c r="K809">
        <v>0</v>
      </c>
      <c r="L809">
        <v>0</v>
      </c>
      <c r="M809">
        <v>0</v>
      </c>
      <c r="O809">
        <v>200000</v>
      </c>
      <c r="R809" t="s">
        <v>162</v>
      </c>
      <c r="S809">
        <v>0</v>
      </c>
      <c r="T809">
        <v>5.8419274285714286E-4</v>
      </c>
      <c r="U809" t="s">
        <v>176</v>
      </c>
      <c r="V809">
        <v>2.0124750000000001E-3</v>
      </c>
      <c r="W809">
        <v>6.0095953457142859E-2</v>
      </c>
      <c r="X809" t="s">
        <v>177</v>
      </c>
      <c r="Y809">
        <v>3.6057572074285715E-3</v>
      </c>
      <c r="Z809">
        <v>0</v>
      </c>
      <c r="AA809" t="s">
        <v>178</v>
      </c>
      <c r="AB809">
        <v>7.211514414857143E-3</v>
      </c>
      <c r="AC809">
        <v>7.0913225079428571E-2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Q809" t="s">
        <v>9</v>
      </c>
      <c r="AR809" t="s">
        <v>263</v>
      </c>
      <c r="AS809">
        <v>5.7499285714285711E-2</v>
      </c>
    </row>
    <row r="810" spans="1:45" x14ac:dyDescent="0.15">
      <c r="A810" s="4" t="str">
        <f>HYPERLINK("https://ibp.a2mac1.com/costing(costing:projects/details/9760/material/8755345)","Paint - Primer")</f>
        <v>Paint - Primer</v>
      </c>
      <c r="B810">
        <v>8755345</v>
      </c>
      <c r="C810">
        <v>12085617</v>
      </c>
      <c r="E810">
        <v>6.9600299999999997</v>
      </c>
      <c r="F810" t="s">
        <v>1468</v>
      </c>
      <c r="G810">
        <v>95</v>
      </c>
      <c r="H810" t="s">
        <v>1469</v>
      </c>
      <c r="I810">
        <v>0</v>
      </c>
      <c r="J810">
        <v>1.0057812623742775</v>
      </c>
      <c r="K810">
        <v>0</v>
      </c>
      <c r="L810">
        <v>0</v>
      </c>
      <c r="M810">
        <v>0</v>
      </c>
      <c r="O810">
        <v>200000</v>
      </c>
      <c r="R810" t="s">
        <v>162</v>
      </c>
      <c r="S810">
        <v>0</v>
      </c>
      <c r="T810">
        <v>3.7217844631578947E-4</v>
      </c>
      <c r="U810" t="s">
        <v>176</v>
      </c>
      <c r="V810">
        <v>1.2821107894736843E-3</v>
      </c>
      <c r="W810">
        <v>3.828602607789474E-2</v>
      </c>
      <c r="X810" t="s">
        <v>177</v>
      </c>
      <c r="Y810">
        <v>2.2971615646736844E-3</v>
      </c>
      <c r="Z810">
        <v>0</v>
      </c>
      <c r="AA810" t="s">
        <v>178</v>
      </c>
      <c r="AB810">
        <v>4.5943231293473687E-3</v>
      </c>
      <c r="AC810">
        <v>4.5177510771915792E-2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Q810" t="s">
        <v>9</v>
      </c>
      <c r="AR810" t="s">
        <v>263</v>
      </c>
      <c r="AS810">
        <v>3.6631736842105266E-2</v>
      </c>
    </row>
    <row r="811" spans="1:45" x14ac:dyDescent="0.15">
      <c r="A811" s="4" t="str">
        <f>HYPERLINK("https://ibp.a2mac1.com/costing(costing:projects/details/9760/material/8755346)","Paint - Clear Coat")</f>
        <v>Paint - Clear Coat</v>
      </c>
      <c r="B811">
        <v>8755346</v>
      </c>
      <c r="C811">
        <v>12085617</v>
      </c>
      <c r="E811">
        <v>9.0699199999999998</v>
      </c>
      <c r="F811" t="s">
        <v>1468</v>
      </c>
      <c r="G811">
        <v>98</v>
      </c>
      <c r="H811" t="s">
        <v>5469</v>
      </c>
      <c r="I811">
        <v>0</v>
      </c>
      <c r="J811">
        <v>1.0057812623742775</v>
      </c>
      <c r="K811">
        <v>0</v>
      </c>
      <c r="L811">
        <v>0</v>
      </c>
      <c r="M811">
        <v>0</v>
      </c>
      <c r="O811">
        <v>200000</v>
      </c>
      <c r="R811" t="s">
        <v>162</v>
      </c>
      <c r="S811">
        <v>0</v>
      </c>
      <c r="T811">
        <v>4.7015503673469389E-4</v>
      </c>
      <c r="U811" t="s">
        <v>176</v>
      </c>
      <c r="V811">
        <v>1.6196285714285715E-3</v>
      </c>
      <c r="W811">
        <v>4.8364885648979589E-2</v>
      </c>
      <c r="X811" t="s">
        <v>177</v>
      </c>
      <c r="Y811">
        <v>2.9018931389387754E-3</v>
      </c>
      <c r="Z811">
        <v>0</v>
      </c>
      <c r="AA811" t="s">
        <v>178</v>
      </c>
      <c r="AB811">
        <v>5.8037862778775508E-3</v>
      </c>
      <c r="AC811">
        <v>5.7070565065795921E-2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Q811" t="s">
        <v>9</v>
      </c>
      <c r="AR811" t="s">
        <v>263</v>
      </c>
      <c r="AS811">
        <v>4.6275102040816328E-2</v>
      </c>
    </row>
    <row r="812" spans="1:45" x14ac:dyDescent="0.15">
      <c r="A812" s="4" t="str">
        <f>HYPERLINK("https://ibp.a2mac1.com/costing(costing:projects/details/9760/material/8755347)","PBT-PC")</f>
        <v>PBT-PC</v>
      </c>
      <c r="B812">
        <v>8755347</v>
      </c>
      <c r="C812">
        <v>12085618</v>
      </c>
      <c r="E812">
        <v>2.6194899999999999</v>
      </c>
      <c r="F812" t="s">
        <v>5060</v>
      </c>
      <c r="G812">
        <v>95</v>
      </c>
      <c r="H812" t="s">
        <v>5474</v>
      </c>
      <c r="I812">
        <v>5</v>
      </c>
      <c r="J812">
        <v>1.5030632547327778</v>
      </c>
      <c r="K812">
        <v>0</v>
      </c>
      <c r="L812">
        <v>0</v>
      </c>
      <c r="M812">
        <v>0</v>
      </c>
      <c r="O812">
        <v>200000</v>
      </c>
      <c r="R812" t="s">
        <v>162</v>
      </c>
      <c r="S812">
        <v>3.1020276315789472E-4</v>
      </c>
      <c r="T812">
        <v>1.8934776663157894E-3</v>
      </c>
      <c r="U812" t="s">
        <v>176</v>
      </c>
      <c r="V812">
        <v>4.3428386842105267E-3</v>
      </c>
      <c r="W812">
        <v>0.13000721885052632</v>
      </c>
      <c r="X812" t="s">
        <v>177</v>
      </c>
      <c r="Y812">
        <v>7.8004331310315787E-3</v>
      </c>
      <c r="Z812">
        <v>0</v>
      </c>
      <c r="AA812" t="s">
        <v>178</v>
      </c>
      <c r="AB812">
        <v>1.5600866262063157E-2</v>
      </c>
      <c r="AC812">
        <v>0.15340851824362106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P812" t="s">
        <v>5475</v>
      </c>
      <c r="AQ812" t="s">
        <v>262</v>
      </c>
      <c r="AR812" t="s">
        <v>263</v>
      </c>
      <c r="AS812">
        <v>0.1240811052631579</v>
      </c>
    </row>
    <row r="813" spans="1:45" x14ac:dyDescent="0.15">
      <c r="A813" s="4" t="str">
        <f>HYPERLINK("https://ibp.a2mac1.com/costing(costing:projects/details/9760/material/8755348)","Paint - Base")</f>
        <v>Paint - Base</v>
      </c>
      <c r="B813">
        <v>8755348</v>
      </c>
      <c r="C813">
        <v>12085619</v>
      </c>
      <c r="E813">
        <v>11.26986</v>
      </c>
      <c r="F813" t="s">
        <v>1468</v>
      </c>
      <c r="G813">
        <v>98</v>
      </c>
      <c r="H813" t="s">
        <v>5469</v>
      </c>
      <c r="I813">
        <v>0</v>
      </c>
      <c r="J813">
        <v>1.0057812623742775</v>
      </c>
      <c r="K813">
        <v>0</v>
      </c>
      <c r="L813">
        <v>0</v>
      </c>
      <c r="M813">
        <v>0</v>
      </c>
      <c r="O813">
        <v>200000</v>
      </c>
      <c r="R813" t="s">
        <v>162</v>
      </c>
      <c r="S813">
        <v>0</v>
      </c>
      <c r="T813">
        <v>5.8419274285714286E-4</v>
      </c>
      <c r="U813" t="s">
        <v>176</v>
      </c>
      <c r="V813">
        <v>2.0124750000000001E-3</v>
      </c>
      <c r="W813">
        <v>6.0095953457142859E-2</v>
      </c>
      <c r="X813" t="s">
        <v>177</v>
      </c>
      <c r="Y813">
        <v>3.6057572074285715E-3</v>
      </c>
      <c r="Z813">
        <v>0</v>
      </c>
      <c r="AA813" t="s">
        <v>178</v>
      </c>
      <c r="AB813">
        <v>7.211514414857143E-3</v>
      </c>
      <c r="AC813">
        <v>7.0913225079428571E-2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Q813" t="s">
        <v>9</v>
      </c>
      <c r="AR813" t="s">
        <v>263</v>
      </c>
      <c r="AS813">
        <v>5.7499285714285711E-2</v>
      </c>
    </row>
    <row r="814" spans="1:45" x14ac:dyDescent="0.15">
      <c r="A814" s="4" t="str">
        <f>HYPERLINK("https://ibp.a2mac1.com/costing(costing:projects/details/9760/material/8755349)","Paint - Primer")</f>
        <v>Paint - Primer</v>
      </c>
      <c r="B814">
        <v>8755349</v>
      </c>
      <c r="C814">
        <v>12085619</v>
      </c>
      <c r="E814">
        <v>6.9600299999999997</v>
      </c>
      <c r="F814" t="s">
        <v>1468</v>
      </c>
      <c r="G814">
        <v>95</v>
      </c>
      <c r="H814" t="s">
        <v>1469</v>
      </c>
      <c r="I814">
        <v>0</v>
      </c>
      <c r="J814">
        <v>1.0057812623742775</v>
      </c>
      <c r="K814">
        <v>0</v>
      </c>
      <c r="L814">
        <v>0</v>
      </c>
      <c r="M814">
        <v>0</v>
      </c>
      <c r="O814">
        <v>200000</v>
      </c>
      <c r="R814" t="s">
        <v>162</v>
      </c>
      <c r="S814">
        <v>0</v>
      </c>
      <c r="T814">
        <v>3.7217844631578947E-4</v>
      </c>
      <c r="U814" t="s">
        <v>176</v>
      </c>
      <c r="V814">
        <v>1.2821107894736843E-3</v>
      </c>
      <c r="W814">
        <v>3.828602607789474E-2</v>
      </c>
      <c r="X814" t="s">
        <v>177</v>
      </c>
      <c r="Y814">
        <v>2.2971615646736844E-3</v>
      </c>
      <c r="Z814">
        <v>0</v>
      </c>
      <c r="AA814" t="s">
        <v>178</v>
      </c>
      <c r="AB814">
        <v>4.5943231293473687E-3</v>
      </c>
      <c r="AC814">
        <v>4.5177510771915792E-2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Q814" t="s">
        <v>9</v>
      </c>
      <c r="AR814" t="s">
        <v>263</v>
      </c>
      <c r="AS814">
        <v>3.6631736842105266E-2</v>
      </c>
    </row>
    <row r="815" spans="1:45" x14ac:dyDescent="0.15">
      <c r="A815" s="4" t="str">
        <f>HYPERLINK("https://ibp.a2mac1.com/costing(costing:projects/details/9760/material/8755350)","Paint - Clear Coat")</f>
        <v>Paint - Clear Coat</v>
      </c>
      <c r="B815">
        <v>8755350</v>
      </c>
      <c r="C815">
        <v>12085619</v>
      </c>
      <c r="E815">
        <v>9.0699199999999998</v>
      </c>
      <c r="F815" t="s">
        <v>1468</v>
      </c>
      <c r="G815">
        <v>98</v>
      </c>
      <c r="H815" t="s">
        <v>5469</v>
      </c>
      <c r="I815">
        <v>0</v>
      </c>
      <c r="J815">
        <v>1.0057812623742775</v>
      </c>
      <c r="K815">
        <v>0</v>
      </c>
      <c r="L815">
        <v>0</v>
      </c>
      <c r="M815">
        <v>0</v>
      </c>
      <c r="O815">
        <v>200000</v>
      </c>
      <c r="R815" t="s">
        <v>162</v>
      </c>
      <c r="S815">
        <v>0</v>
      </c>
      <c r="T815">
        <v>4.7015503673469389E-4</v>
      </c>
      <c r="U815" t="s">
        <v>176</v>
      </c>
      <c r="V815">
        <v>1.6196285714285715E-3</v>
      </c>
      <c r="W815">
        <v>4.8364885648979589E-2</v>
      </c>
      <c r="X815" t="s">
        <v>177</v>
      </c>
      <c r="Y815">
        <v>2.9018931389387754E-3</v>
      </c>
      <c r="Z815">
        <v>0</v>
      </c>
      <c r="AA815" t="s">
        <v>178</v>
      </c>
      <c r="AB815">
        <v>5.8037862778775508E-3</v>
      </c>
      <c r="AC815">
        <v>5.7070565065795921E-2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Q815" t="s">
        <v>9</v>
      </c>
      <c r="AR815" t="s">
        <v>263</v>
      </c>
      <c r="AS815">
        <v>4.6275102040816328E-2</v>
      </c>
    </row>
    <row r="816" spans="1:45" x14ac:dyDescent="0.15">
      <c r="A816" s="4" t="str">
        <f>HYPERLINK("https://ibp.a2mac1.com/costing(costing:projects/details/9760/material/8755351)","POM-GF30")</f>
        <v>POM-GF30</v>
      </c>
      <c r="B816">
        <v>8755351</v>
      </c>
      <c r="C816">
        <v>12085662</v>
      </c>
      <c r="E816">
        <v>2.4839199999999999</v>
      </c>
      <c r="F816" t="s">
        <v>4449</v>
      </c>
      <c r="G816">
        <v>97</v>
      </c>
      <c r="H816" t="s">
        <v>5300</v>
      </c>
      <c r="I816">
        <v>5</v>
      </c>
      <c r="J816">
        <v>0.10389195236953569</v>
      </c>
      <c r="K816">
        <v>0</v>
      </c>
      <c r="M816">
        <v>0</v>
      </c>
      <c r="O816">
        <v>200000</v>
      </c>
      <c r="R816" t="s">
        <v>162</v>
      </c>
      <c r="S816">
        <v>8.450449484536083E-5</v>
      </c>
      <c r="T816">
        <v>5.8589783092783507E-5</v>
      </c>
      <c r="U816" t="s">
        <v>176</v>
      </c>
      <c r="V816">
        <v>1.9717715463917528E-3</v>
      </c>
      <c r="W816">
        <v>5.8282186731546393E-2</v>
      </c>
      <c r="X816" t="s">
        <v>177</v>
      </c>
      <c r="Y816">
        <v>3.4969312038927833E-3</v>
      </c>
      <c r="Z816">
        <v>0</v>
      </c>
      <c r="AA816" t="s">
        <v>178</v>
      </c>
      <c r="AB816">
        <v>6.9938624077855666E-3</v>
      </c>
      <c r="AC816">
        <v>6.8772980343224738E-2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Q816" t="s">
        <v>262</v>
      </c>
      <c r="AR816" t="s">
        <v>263</v>
      </c>
      <c r="AS816">
        <v>5.633632989690722E-2</v>
      </c>
    </row>
    <row r="817" spans="1:45" x14ac:dyDescent="0.15">
      <c r="A817" s="4" t="str">
        <f>HYPERLINK("https://ibp.a2mac1.com/costing(costing:projects/details/9760/material/8754943)","Standard Structural Steel sheet")</f>
        <v>Standard Structural Steel sheet</v>
      </c>
      <c r="B817">
        <v>8754943</v>
      </c>
      <c r="C817">
        <v>12085305</v>
      </c>
      <c r="E817">
        <v>0.61129999999999995</v>
      </c>
      <c r="F817" t="s">
        <v>5490</v>
      </c>
      <c r="G817">
        <v>70</v>
      </c>
      <c r="H817" t="s">
        <v>5491</v>
      </c>
      <c r="I817">
        <v>30</v>
      </c>
      <c r="J817">
        <v>0.70499453877469964</v>
      </c>
      <c r="K817">
        <v>0</v>
      </c>
      <c r="L817">
        <v>0</v>
      </c>
      <c r="M817">
        <v>0</v>
      </c>
      <c r="O817">
        <v>200000</v>
      </c>
      <c r="R817" t="s">
        <v>162</v>
      </c>
      <c r="S817">
        <v>7.3879971428571431E-3</v>
      </c>
      <c r="T817">
        <v>5.8283088571428566E-4</v>
      </c>
      <c r="U817" t="s">
        <v>176</v>
      </c>
      <c r="V817">
        <v>2.8731099999999999E-3</v>
      </c>
      <c r="W817">
        <v>7.8156800885714292E-2</v>
      </c>
      <c r="X817" t="s">
        <v>177</v>
      </c>
      <c r="Y817">
        <v>4.6894080531428572E-3</v>
      </c>
      <c r="Z817">
        <v>0</v>
      </c>
      <c r="AA817" t="s">
        <v>178</v>
      </c>
      <c r="AB817">
        <v>9.3788161062857145E-3</v>
      </c>
      <c r="AC817">
        <v>9.2225025045142864E-2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Q817" t="s">
        <v>262</v>
      </c>
      <c r="AR817" t="s">
        <v>263</v>
      </c>
      <c r="AS817">
        <v>8.2088857142857144E-2</v>
      </c>
    </row>
    <row r="818" spans="1:45" x14ac:dyDescent="0.15">
      <c r="A818" s="4" t="str">
        <f>HYPERLINK("https://ibp.a2mac1.com/costing(costing:projects/details/9760/material/8755352)","PC-ABS")</f>
        <v>PC-ABS</v>
      </c>
      <c r="B818">
        <v>8755352</v>
      </c>
      <c r="C818">
        <v>12085663</v>
      </c>
      <c r="E818">
        <v>2.29312</v>
      </c>
      <c r="F818" t="s">
        <v>6026</v>
      </c>
      <c r="G818">
        <v>95</v>
      </c>
      <c r="H818" t="s">
        <v>6027</v>
      </c>
      <c r="I818">
        <v>5</v>
      </c>
      <c r="J818">
        <v>0.50345253019720215</v>
      </c>
      <c r="K818">
        <v>0</v>
      </c>
      <c r="M818">
        <v>0</v>
      </c>
      <c r="O818">
        <v>200000</v>
      </c>
      <c r="R818" t="s">
        <v>162</v>
      </c>
      <c r="S818">
        <v>7.0000505263157896E-4</v>
      </c>
      <c r="T818">
        <v>1.4168102265263158E-3</v>
      </c>
      <c r="U818" t="s">
        <v>176</v>
      </c>
      <c r="V818">
        <v>9.8000707368421057E-3</v>
      </c>
      <c r="W818">
        <v>0.29051889696336841</v>
      </c>
      <c r="X818" t="s">
        <v>90</v>
      </c>
      <c r="Y818">
        <v>0</v>
      </c>
      <c r="Z818">
        <v>0</v>
      </c>
      <c r="AA818" t="s">
        <v>90</v>
      </c>
      <c r="AB818">
        <v>0</v>
      </c>
      <c r="AC818">
        <v>0.29051889696336841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Q818" t="s">
        <v>262</v>
      </c>
      <c r="AR818" t="s">
        <v>263</v>
      </c>
      <c r="AS818">
        <v>0.28000202105263156</v>
      </c>
    </row>
    <row r="819" spans="1:45" x14ac:dyDescent="0.15">
      <c r="A819" s="4" t="str">
        <f>HYPERLINK("https://ibp.a2mac1.com/costing(costing:projects/details/9760/material/8755353)","PVC + Fabric backing 3mm PU foam")</f>
        <v>PVC + Fabric backing 3mm PU foam</v>
      </c>
      <c r="B819">
        <v>8755353</v>
      </c>
      <c r="C819">
        <v>12085664</v>
      </c>
      <c r="E819">
        <v>4.91</v>
      </c>
      <c r="F819" t="s">
        <v>6030</v>
      </c>
      <c r="G819">
        <v>94</v>
      </c>
      <c r="H819" t="s">
        <v>6031</v>
      </c>
      <c r="I819">
        <v>0</v>
      </c>
      <c r="J819">
        <v>0.50345253019720215</v>
      </c>
      <c r="K819">
        <v>0</v>
      </c>
      <c r="L819">
        <v>0</v>
      </c>
      <c r="M819">
        <v>0</v>
      </c>
      <c r="O819">
        <v>200000</v>
      </c>
      <c r="R819" t="s">
        <v>162</v>
      </c>
      <c r="S819">
        <v>0</v>
      </c>
      <c r="T819">
        <v>1.488825870212766E-3</v>
      </c>
      <c r="U819" t="s">
        <v>176</v>
      </c>
      <c r="V819">
        <v>1.0298202659574467E-2</v>
      </c>
      <c r="W819">
        <v>0.30602139023191488</v>
      </c>
      <c r="X819" t="s">
        <v>177</v>
      </c>
      <c r="Y819">
        <v>1.8361283413914894E-2</v>
      </c>
      <c r="Z819">
        <v>0</v>
      </c>
      <c r="AA819" t="s">
        <v>178</v>
      </c>
      <c r="AB819">
        <v>3.6722566827829789E-2</v>
      </c>
      <c r="AC819">
        <v>0.36110524047365955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Q819" t="s">
        <v>9</v>
      </c>
      <c r="AR819" t="s">
        <v>263</v>
      </c>
      <c r="AS819">
        <v>0.29423436170212763</v>
      </c>
    </row>
    <row r="820" spans="1:45" x14ac:dyDescent="0.15">
      <c r="A820" s="4" t="str">
        <f>HYPERLINK("https://ibp.a2mac1.com/costing(costing:projects/details/9760/material/8755354)","PC-ABS")</f>
        <v>PC-ABS</v>
      </c>
      <c r="B820">
        <v>8755354</v>
      </c>
      <c r="C820">
        <v>12085664</v>
      </c>
      <c r="E820">
        <v>2.29312</v>
      </c>
      <c r="F820" t="s">
        <v>6033</v>
      </c>
      <c r="G820">
        <v>95</v>
      </c>
      <c r="H820" t="s">
        <v>6034</v>
      </c>
      <c r="I820">
        <v>5</v>
      </c>
      <c r="J820">
        <v>0.50345253019720215</v>
      </c>
      <c r="K820">
        <v>0</v>
      </c>
      <c r="L820">
        <v>0</v>
      </c>
      <c r="M820">
        <v>0</v>
      </c>
      <c r="O820">
        <v>200000</v>
      </c>
      <c r="R820" t="s">
        <v>162</v>
      </c>
      <c r="S820">
        <v>1.019834947368421E-3</v>
      </c>
      <c r="T820">
        <v>2.0641459334736841E-3</v>
      </c>
      <c r="U820" t="s">
        <v>176</v>
      </c>
      <c r="V820">
        <v>1.4277689263157894E-2</v>
      </c>
      <c r="W820">
        <v>0.4232559791966316</v>
      </c>
      <c r="X820" t="s">
        <v>177</v>
      </c>
      <c r="Y820">
        <v>2.5395358751797895E-2</v>
      </c>
      <c r="Z820">
        <v>0</v>
      </c>
      <c r="AA820" t="s">
        <v>178</v>
      </c>
      <c r="AB820">
        <v>5.0790717503595789E-2</v>
      </c>
      <c r="AC820">
        <v>0.49944205545202525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Q820" t="s">
        <v>262</v>
      </c>
      <c r="AR820" t="s">
        <v>263</v>
      </c>
      <c r="AS820">
        <v>0.40793397894736844</v>
      </c>
    </row>
    <row r="821" spans="1:45" x14ac:dyDescent="0.15">
      <c r="A821" s="4" t="str">
        <f>HYPERLINK("https://ibp.a2mac1.com/costing(costing:projects/details/9760/material/8755355)","PP-EPDM")</f>
        <v>PP-EPDM</v>
      </c>
      <c r="B821">
        <v>8755355</v>
      </c>
      <c r="C821">
        <v>12085665</v>
      </c>
      <c r="E821">
        <v>1.7894600000000001</v>
      </c>
      <c r="F821" t="s">
        <v>6038</v>
      </c>
      <c r="G821">
        <v>95</v>
      </c>
      <c r="H821" t="s">
        <v>6039</v>
      </c>
      <c r="I821">
        <v>5</v>
      </c>
      <c r="J821">
        <v>0.50345253019720215</v>
      </c>
      <c r="K821">
        <v>0</v>
      </c>
      <c r="M821">
        <v>0</v>
      </c>
      <c r="O821">
        <v>200000</v>
      </c>
      <c r="R821" t="s">
        <v>162</v>
      </c>
      <c r="S821">
        <v>4.0498305263157893E-4</v>
      </c>
      <c r="T821">
        <v>8.1968569852631579E-4</v>
      </c>
      <c r="U821" t="s">
        <v>176</v>
      </c>
      <c r="V821">
        <v>5.6697627368421056E-3</v>
      </c>
      <c r="W821">
        <v>0.16807768643536841</v>
      </c>
      <c r="X821" t="s">
        <v>177</v>
      </c>
      <c r="Y821">
        <v>1.0084661186122106E-2</v>
      </c>
      <c r="Z821">
        <v>0</v>
      </c>
      <c r="AA821" t="s">
        <v>178</v>
      </c>
      <c r="AB821">
        <v>2.0169322372244211E-2</v>
      </c>
      <c r="AC821">
        <v>0.19833166999373475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Q821" t="s">
        <v>262</v>
      </c>
      <c r="AR821" t="s">
        <v>263</v>
      </c>
      <c r="AS821">
        <v>0.16199322105263159</v>
      </c>
    </row>
    <row r="822" spans="1:45" x14ac:dyDescent="0.15">
      <c r="A822" s="4" t="str">
        <f>HYPERLINK("https://ibp.a2mac1.com/costing(costing:projects/details/9760/material/8755356)","Aluminum sheet body (default, e.g. EN-AW6063)")</f>
        <v>Aluminum sheet body (default, e.g. EN-AW6063)</v>
      </c>
      <c r="B822">
        <v>8755356</v>
      </c>
      <c r="C822">
        <v>12085666</v>
      </c>
      <c r="E822">
        <v>3.79636</v>
      </c>
      <c r="F822" t="s">
        <v>4559</v>
      </c>
      <c r="G822">
        <v>80</v>
      </c>
      <c r="H822" t="s">
        <v>6043</v>
      </c>
      <c r="I822">
        <v>30</v>
      </c>
      <c r="J822">
        <v>0.50345253019720215</v>
      </c>
      <c r="K822">
        <v>0</v>
      </c>
      <c r="M822">
        <v>0</v>
      </c>
      <c r="O822">
        <v>200000</v>
      </c>
      <c r="R822" t="s">
        <v>162</v>
      </c>
      <c r="S822">
        <v>5.1250860000000001E-3</v>
      </c>
      <c r="T822">
        <v>4.32215586E-4</v>
      </c>
      <c r="U822" t="s">
        <v>176</v>
      </c>
      <c r="V822">
        <v>2.9896335E-3</v>
      </c>
      <c r="W822">
        <v>8.3714863085999999E-2</v>
      </c>
      <c r="X822" t="s">
        <v>177</v>
      </c>
      <c r="Y822">
        <v>5.0228917851600002E-3</v>
      </c>
      <c r="Z822">
        <v>0</v>
      </c>
      <c r="AA822" t="s">
        <v>178</v>
      </c>
      <c r="AB822">
        <v>1.004578357032E-2</v>
      </c>
      <c r="AC822">
        <v>9.8783538441479996E-2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Q822" t="s">
        <v>262</v>
      </c>
      <c r="AR822" t="s">
        <v>263</v>
      </c>
      <c r="AS822">
        <v>8.5418099999999997E-2</v>
      </c>
    </row>
    <row r="823" spans="1:45" x14ac:dyDescent="0.15">
      <c r="A823" s="4" t="str">
        <f>HYPERLINK("https://ibp.a2mac1.com/costing(costing:projects/details/9760/material/8755357)","PC-ABS")</f>
        <v>PC-ABS</v>
      </c>
      <c r="B823">
        <v>8755357</v>
      </c>
      <c r="C823">
        <v>12085667</v>
      </c>
      <c r="E823">
        <v>2.29312</v>
      </c>
      <c r="F823" t="s">
        <v>6047</v>
      </c>
      <c r="G823">
        <v>95</v>
      </c>
      <c r="H823" t="s">
        <v>6048</v>
      </c>
      <c r="I823">
        <v>5</v>
      </c>
      <c r="J823">
        <v>0.50345253019720215</v>
      </c>
      <c r="K823">
        <v>0</v>
      </c>
      <c r="M823">
        <v>0</v>
      </c>
      <c r="O823">
        <v>200000</v>
      </c>
      <c r="R823" t="s">
        <v>162</v>
      </c>
      <c r="S823">
        <v>1.7500126315789474E-4</v>
      </c>
      <c r="T823">
        <v>3.5420255663157896E-4</v>
      </c>
      <c r="U823" t="s">
        <v>176</v>
      </c>
      <c r="V823">
        <v>2.4500176842105264E-3</v>
      </c>
      <c r="W823">
        <v>7.2629724240842103E-2</v>
      </c>
      <c r="X823" t="s">
        <v>90</v>
      </c>
      <c r="Y823">
        <v>0</v>
      </c>
      <c r="Z823">
        <v>0</v>
      </c>
      <c r="AA823" t="s">
        <v>90</v>
      </c>
      <c r="AB823">
        <v>0</v>
      </c>
      <c r="AC823">
        <v>7.2629724240842103E-2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Q823" t="s">
        <v>262</v>
      </c>
      <c r="AR823" t="s">
        <v>263</v>
      </c>
      <c r="AS823">
        <v>7.0000505263157889E-2</v>
      </c>
    </row>
    <row r="824" spans="1:45" x14ac:dyDescent="0.15">
      <c r="A824" s="4" t="str">
        <f>HYPERLINK("https://ibp.a2mac1.com/costing(costing:projects/details/9760/material/8755358)","PP")</f>
        <v>PP</v>
      </c>
      <c r="B824">
        <v>8755358</v>
      </c>
      <c r="C824">
        <v>12085668</v>
      </c>
      <c r="E824">
        <v>1.0113799999999999</v>
      </c>
      <c r="F824" t="s">
        <v>6052</v>
      </c>
      <c r="G824">
        <v>95</v>
      </c>
      <c r="H824" t="s">
        <v>6053</v>
      </c>
      <c r="I824">
        <v>5</v>
      </c>
      <c r="J824">
        <v>0.50345253019720215</v>
      </c>
      <c r="K824">
        <v>0</v>
      </c>
      <c r="M824">
        <v>0</v>
      </c>
      <c r="O824">
        <v>200000</v>
      </c>
      <c r="R824" t="s">
        <v>162</v>
      </c>
      <c r="S824">
        <v>1.0912257894736842E-4</v>
      </c>
      <c r="T824">
        <v>2.2086409978947367E-4</v>
      </c>
      <c r="U824" t="s">
        <v>176</v>
      </c>
      <c r="V824">
        <v>1.5277161052631579E-3</v>
      </c>
      <c r="W824">
        <v>4.5288489205052629E-2</v>
      </c>
      <c r="X824" t="s">
        <v>177</v>
      </c>
      <c r="Y824">
        <v>2.7173093523031578E-3</v>
      </c>
      <c r="Z824">
        <v>0</v>
      </c>
      <c r="AA824" t="s">
        <v>178</v>
      </c>
      <c r="AB824">
        <v>5.4346187046063156E-3</v>
      </c>
      <c r="AC824">
        <v>5.3440417261962109E-2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Q824" t="s">
        <v>262</v>
      </c>
      <c r="AR824" t="s">
        <v>263</v>
      </c>
      <c r="AS824">
        <v>4.3649031578947367E-2</v>
      </c>
    </row>
    <row r="825" spans="1:45" x14ac:dyDescent="0.15">
      <c r="A825" s="4" t="str">
        <f>HYPERLINK("https://ibp.a2mac1.com/costing(costing:projects/details/9760/material/8755359)","Aluminum sheet body (default, e.g. EN-AW6063)")</f>
        <v>Aluminum sheet body (default, e.g. EN-AW6063)</v>
      </c>
      <c r="B825">
        <v>8755359</v>
      </c>
      <c r="C825">
        <v>12085669</v>
      </c>
      <c r="E825">
        <v>3.79636</v>
      </c>
      <c r="F825" t="s">
        <v>1627</v>
      </c>
      <c r="G825">
        <v>80</v>
      </c>
      <c r="H825" t="s">
        <v>5104</v>
      </c>
      <c r="I825">
        <v>30</v>
      </c>
      <c r="J825">
        <v>0.50345253019720215</v>
      </c>
      <c r="K825">
        <v>0</v>
      </c>
      <c r="M825">
        <v>0</v>
      </c>
      <c r="O825">
        <v>200000</v>
      </c>
      <c r="R825" t="s">
        <v>162</v>
      </c>
      <c r="S825">
        <v>8.5418099999999997E-4</v>
      </c>
      <c r="T825">
        <v>7.2035931000000004E-5</v>
      </c>
      <c r="U825" t="s">
        <v>176</v>
      </c>
      <c r="V825">
        <v>4.9827224999999999E-4</v>
      </c>
      <c r="W825">
        <v>1.3952477180999999E-2</v>
      </c>
      <c r="X825" t="s">
        <v>177</v>
      </c>
      <c r="Y825">
        <v>8.3714863086E-4</v>
      </c>
      <c r="Z825">
        <v>0</v>
      </c>
      <c r="AA825" t="s">
        <v>178</v>
      </c>
      <c r="AB825">
        <v>1.67429726172E-3</v>
      </c>
      <c r="AC825">
        <v>1.6463923073580002E-2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Q825" t="s">
        <v>262</v>
      </c>
      <c r="AR825" t="s">
        <v>263</v>
      </c>
      <c r="AS825">
        <v>1.423635E-2</v>
      </c>
    </row>
    <row r="826" spans="1:45" x14ac:dyDescent="0.15">
      <c r="A826" s="4" t="str">
        <f>HYPERLINK("https://ibp.a2mac1.com/costing(costing:projects/details/9760/material/8754944)","PP-EPDM")</f>
        <v>PP-EPDM</v>
      </c>
      <c r="B826">
        <v>8754944</v>
      </c>
      <c r="C826">
        <v>12085308</v>
      </c>
      <c r="E826">
        <v>1.7894600000000001</v>
      </c>
      <c r="F826" t="s">
        <v>6061</v>
      </c>
      <c r="G826">
        <v>95</v>
      </c>
      <c r="H826" t="s">
        <v>6062</v>
      </c>
      <c r="I826">
        <v>5</v>
      </c>
      <c r="J826">
        <v>0.50345253019720215</v>
      </c>
      <c r="K826">
        <v>0</v>
      </c>
      <c r="M826">
        <v>0</v>
      </c>
      <c r="O826">
        <v>200000</v>
      </c>
      <c r="R826" t="s">
        <v>162</v>
      </c>
      <c r="S826">
        <v>5.3589617894736841E-3</v>
      </c>
      <c r="T826">
        <v>1.0846538661894736E-2</v>
      </c>
      <c r="U826" t="s">
        <v>176</v>
      </c>
      <c r="V826">
        <v>7.5025465052631579E-2</v>
      </c>
      <c r="W826">
        <v>2.2240977577145262</v>
      </c>
      <c r="X826" t="s">
        <v>177</v>
      </c>
      <c r="Y826">
        <v>0.13344586546287157</v>
      </c>
      <c r="Z826">
        <v>0</v>
      </c>
      <c r="AA826" t="s">
        <v>178</v>
      </c>
      <c r="AB826">
        <v>0.26689173092574314</v>
      </c>
      <c r="AC826">
        <v>2.6244353541031411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Q826" t="s">
        <v>262</v>
      </c>
      <c r="AR826" t="s">
        <v>263</v>
      </c>
      <c r="AS826">
        <v>2.1435847157894736</v>
      </c>
    </row>
    <row r="827" spans="1:45" x14ac:dyDescent="0.15">
      <c r="A827" s="4" t="str">
        <f>HYPERLINK("https://ibp.a2mac1.com/costing(costing:projects/details/9760/material/8754945)","PC-ABS")</f>
        <v>PC-ABS</v>
      </c>
      <c r="B827">
        <v>8754945</v>
      </c>
      <c r="C827">
        <v>12085309</v>
      </c>
      <c r="E827">
        <v>2.29312</v>
      </c>
      <c r="F827" t="s">
        <v>6066</v>
      </c>
      <c r="G827">
        <v>95</v>
      </c>
      <c r="H827" t="s">
        <v>6067</v>
      </c>
      <c r="I827">
        <v>5</v>
      </c>
      <c r="J827">
        <v>0.50345253019720215</v>
      </c>
      <c r="K827">
        <v>0</v>
      </c>
      <c r="L827">
        <v>0</v>
      </c>
      <c r="M827">
        <v>0</v>
      </c>
      <c r="O827">
        <v>200000</v>
      </c>
      <c r="R827" t="s">
        <v>162</v>
      </c>
      <c r="S827">
        <v>1.007765894736842E-3</v>
      </c>
      <c r="T827">
        <v>2.0397181709473685E-3</v>
      </c>
      <c r="U827" t="s">
        <v>176</v>
      </c>
      <c r="V827">
        <v>1.410872252631579E-2</v>
      </c>
      <c r="W827">
        <v>0.41824703269726315</v>
      </c>
      <c r="X827" t="s">
        <v>90</v>
      </c>
      <c r="Y827">
        <v>0</v>
      </c>
      <c r="Z827">
        <v>0</v>
      </c>
      <c r="AA827" t="s">
        <v>90</v>
      </c>
      <c r="AB827">
        <v>0</v>
      </c>
      <c r="AC827">
        <v>0.41824703269726315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Q827" t="s">
        <v>262</v>
      </c>
      <c r="AR827" t="s">
        <v>263</v>
      </c>
      <c r="AS827">
        <v>0.40310635789473687</v>
      </c>
    </row>
    <row r="828" spans="1:45" x14ac:dyDescent="0.15">
      <c r="A828" s="4" t="str">
        <f>HYPERLINK("https://ibp.a2mac1.com/costing(costing:projects/details/9760/material/8754946)","PVC + Fabric backing 3mm PU foam")</f>
        <v>PVC + Fabric backing 3mm PU foam</v>
      </c>
      <c r="B828">
        <v>8754946</v>
      </c>
      <c r="C828">
        <v>12085309</v>
      </c>
      <c r="E828">
        <v>4.91</v>
      </c>
      <c r="F828" t="s">
        <v>6069</v>
      </c>
      <c r="G828">
        <v>94</v>
      </c>
      <c r="H828" t="s">
        <v>6070</v>
      </c>
      <c r="I828">
        <v>0</v>
      </c>
      <c r="J828">
        <v>0.50345253019720215</v>
      </c>
      <c r="K828">
        <v>0</v>
      </c>
      <c r="L828">
        <v>0</v>
      </c>
      <c r="M828">
        <v>0</v>
      </c>
      <c r="O828">
        <v>200000</v>
      </c>
      <c r="R828" t="s">
        <v>162</v>
      </c>
      <c r="S828">
        <v>0</v>
      </c>
      <c r="T828">
        <v>2.2069405319148938E-3</v>
      </c>
      <c r="U828" t="s">
        <v>176</v>
      </c>
      <c r="V828">
        <v>1.5265398936170212E-2</v>
      </c>
      <c r="W828">
        <v>0.45362659478723405</v>
      </c>
      <c r="X828" t="s">
        <v>90</v>
      </c>
      <c r="Y828">
        <v>0</v>
      </c>
      <c r="Z828">
        <v>0</v>
      </c>
      <c r="AA828" t="s">
        <v>90</v>
      </c>
      <c r="AB828">
        <v>0</v>
      </c>
      <c r="AC828">
        <v>0.45362659478723405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Q828" t="s">
        <v>9</v>
      </c>
      <c r="AR828" t="s">
        <v>263</v>
      </c>
      <c r="AS828">
        <v>0.43615425531914892</v>
      </c>
    </row>
    <row r="829" spans="1:45" x14ac:dyDescent="0.15">
      <c r="A829" s="4" t="str">
        <f>HYPERLINK("https://ibp.a2mac1.com/costing(costing:projects/details/9760/material/8754947)","PP-EPDM")</f>
        <v>PP-EPDM</v>
      </c>
      <c r="B829">
        <v>8754947</v>
      </c>
      <c r="C829">
        <v>12085310</v>
      </c>
      <c r="E829">
        <v>1.7894600000000001</v>
      </c>
      <c r="F829" t="s">
        <v>6073</v>
      </c>
      <c r="G829">
        <v>95</v>
      </c>
      <c r="H829" t="s">
        <v>6074</v>
      </c>
      <c r="I829">
        <v>5</v>
      </c>
      <c r="J829">
        <v>0.50345253019720215</v>
      </c>
      <c r="K829">
        <v>0</v>
      </c>
      <c r="M829">
        <v>0</v>
      </c>
      <c r="O829">
        <v>200000</v>
      </c>
      <c r="R829" t="s">
        <v>162</v>
      </c>
      <c r="S829">
        <v>2.9384816842105265E-3</v>
      </c>
      <c r="T829">
        <v>5.9474869288421049E-3</v>
      </c>
      <c r="U829" t="s">
        <v>176</v>
      </c>
      <c r="V829">
        <v>4.1138743578947368E-2</v>
      </c>
      <c r="W829">
        <v>1.2195404225077895</v>
      </c>
      <c r="X829" t="s">
        <v>90</v>
      </c>
      <c r="Y829">
        <v>0</v>
      </c>
      <c r="Z829">
        <v>0</v>
      </c>
      <c r="AA829" t="s">
        <v>90</v>
      </c>
      <c r="AB829">
        <v>0</v>
      </c>
      <c r="AC829">
        <v>1.2195404225077895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Q829" t="s">
        <v>262</v>
      </c>
      <c r="AR829" t="s">
        <v>263</v>
      </c>
      <c r="AS829">
        <v>1.1753926736842106</v>
      </c>
    </row>
    <row r="830" spans="1:45" x14ac:dyDescent="0.15">
      <c r="A830" s="4" t="str">
        <f>HYPERLINK("https://ibp.a2mac1.com/costing(costing:projects/details/9760/material/8754948)","PVC + Fabric backing 3mm PU foam")</f>
        <v>PVC + Fabric backing 3mm PU foam</v>
      </c>
      <c r="B830">
        <v>8754948</v>
      </c>
      <c r="C830">
        <v>12085310</v>
      </c>
      <c r="E830">
        <v>4.91</v>
      </c>
      <c r="F830" t="s">
        <v>6076</v>
      </c>
      <c r="G830">
        <v>94</v>
      </c>
      <c r="H830" t="s">
        <v>6077</v>
      </c>
      <c r="I830">
        <v>0</v>
      </c>
      <c r="J830">
        <v>0.50345253019720215</v>
      </c>
      <c r="K830">
        <v>0</v>
      </c>
      <c r="L830">
        <v>0</v>
      </c>
      <c r="M830">
        <v>0</v>
      </c>
      <c r="O830">
        <v>200000</v>
      </c>
      <c r="R830" t="s">
        <v>162</v>
      </c>
      <c r="S830">
        <v>0</v>
      </c>
      <c r="T830">
        <v>7.5062408510638296E-3</v>
      </c>
      <c r="U830" t="s">
        <v>176</v>
      </c>
      <c r="V830">
        <v>5.1920638297872343E-2</v>
      </c>
      <c r="W830">
        <v>1.5428736876595746</v>
      </c>
      <c r="X830" t="s">
        <v>90</v>
      </c>
      <c r="Y830">
        <v>0</v>
      </c>
      <c r="Z830">
        <v>0</v>
      </c>
      <c r="AA830" t="s">
        <v>90</v>
      </c>
      <c r="AB830">
        <v>0</v>
      </c>
      <c r="AC830">
        <v>1.5428736876595746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Q830" t="s">
        <v>9</v>
      </c>
      <c r="AR830" t="s">
        <v>263</v>
      </c>
      <c r="AS830">
        <v>1.4834468085106383</v>
      </c>
    </row>
    <row r="831" spans="1:45" x14ac:dyDescent="0.15">
      <c r="A831" s="4" t="str">
        <f>HYPERLINK("https://ibp.a2mac1.com/costing(costing:projects/details/9760/material/8754949)","PC-ABS")</f>
        <v>PC-ABS</v>
      </c>
      <c r="B831">
        <v>8754949</v>
      </c>
      <c r="C831">
        <v>12085311</v>
      </c>
      <c r="E831">
        <v>2.29312</v>
      </c>
      <c r="F831" t="s">
        <v>5844</v>
      </c>
      <c r="G831">
        <v>95</v>
      </c>
      <c r="H831" t="s">
        <v>6080</v>
      </c>
      <c r="I831">
        <v>5</v>
      </c>
      <c r="J831">
        <v>0.50345253019720215</v>
      </c>
      <c r="K831">
        <v>0</v>
      </c>
      <c r="L831">
        <v>0</v>
      </c>
      <c r="M831">
        <v>0</v>
      </c>
      <c r="O831">
        <v>200000</v>
      </c>
      <c r="R831" t="s">
        <v>162</v>
      </c>
      <c r="S831">
        <v>5.4310736842105259E-4</v>
      </c>
      <c r="T831">
        <v>1.0992493136842106E-3</v>
      </c>
      <c r="U831" t="s">
        <v>176</v>
      </c>
      <c r="V831">
        <v>7.6035031578947365E-3</v>
      </c>
      <c r="W831">
        <v>0.22540259247157896</v>
      </c>
      <c r="X831" t="s">
        <v>90</v>
      </c>
      <c r="Y831">
        <v>0</v>
      </c>
      <c r="Z831">
        <v>0</v>
      </c>
      <c r="AA831" t="s">
        <v>90</v>
      </c>
      <c r="AB831">
        <v>0</v>
      </c>
      <c r="AC831">
        <v>0.22540259247157896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Q831" t="s">
        <v>262</v>
      </c>
      <c r="AR831" t="s">
        <v>263</v>
      </c>
      <c r="AS831">
        <v>0.21724294736842106</v>
      </c>
    </row>
    <row r="832" spans="1:45" x14ac:dyDescent="0.15">
      <c r="A832" s="4" t="str">
        <f>HYPERLINK("https://ibp.a2mac1.com/costing(costing:projects/details/9760/material/8754950)","PC-ABS")</f>
        <v>PC-ABS</v>
      </c>
      <c r="B832">
        <v>8754950</v>
      </c>
      <c r="C832">
        <v>12085312</v>
      </c>
      <c r="E832">
        <v>2.29312</v>
      </c>
      <c r="F832" t="s">
        <v>5087</v>
      </c>
      <c r="G832">
        <v>95</v>
      </c>
      <c r="H832" t="s">
        <v>5088</v>
      </c>
      <c r="I832">
        <v>5</v>
      </c>
      <c r="J832">
        <v>0.50345253019720215</v>
      </c>
      <c r="K832">
        <v>0</v>
      </c>
      <c r="L832">
        <v>0</v>
      </c>
      <c r="M832">
        <v>0</v>
      </c>
      <c r="O832">
        <v>200000</v>
      </c>
      <c r="R832" t="s">
        <v>162</v>
      </c>
      <c r="S832">
        <v>2.0517389473684211E-4</v>
      </c>
      <c r="T832">
        <v>4.1527196294736843E-4</v>
      </c>
      <c r="U832" t="s">
        <v>176</v>
      </c>
      <c r="V832">
        <v>2.8724345263157897E-3</v>
      </c>
      <c r="W832">
        <v>8.5152090489263157E-2</v>
      </c>
      <c r="X832" t="s">
        <v>90</v>
      </c>
      <c r="Y832">
        <v>0</v>
      </c>
      <c r="Z832">
        <v>0</v>
      </c>
      <c r="AA832" t="s">
        <v>90</v>
      </c>
      <c r="AB832">
        <v>0</v>
      </c>
      <c r="AC832">
        <v>8.5152090489263157E-2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Q832" t="s">
        <v>262</v>
      </c>
      <c r="AR832" t="s">
        <v>263</v>
      </c>
      <c r="AS832">
        <v>8.2069557894736841E-2</v>
      </c>
    </row>
    <row r="833" spans="1:45" x14ac:dyDescent="0.15">
      <c r="A833" s="4" t="str">
        <f>HYPERLINK("https://ibp.a2mac1.com/costing(costing:projects/details/9760/material/8754951)","PP-EPDM")</f>
        <v>PP-EPDM</v>
      </c>
      <c r="B833">
        <v>8754951</v>
      </c>
      <c r="C833">
        <v>12085313</v>
      </c>
      <c r="E833">
        <v>1.7894600000000001</v>
      </c>
      <c r="F833" t="s">
        <v>6087</v>
      </c>
      <c r="G833">
        <v>95</v>
      </c>
      <c r="H833" t="s">
        <v>6088</v>
      </c>
      <c r="I833">
        <v>5</v>
      </c>
      <c r="J833">
        <v>0.50345253019720215</v>
      </c>
      <c r="K833">
        <v>0</v>
      </c>
      <c r="L833">
        <v>0</v>
      </c>
      <c r="M833">
        <v>0</v>
      </c>
      <c r="O833">
        <v>200000</v>
      </c>
      <c r="R833" t="s">
        <v>162</v>
      </c>
      <c r="S833">
        <v>1.3515132105263157E-3</v>
      </c>
      <c r="T833">
        <v>2.7354627381052632E-3</v>
      </c>
      <c r="U833" t="s">
        <v>176</v>
      </c>
      <c r="V833">
        <v>1.892118494736842E-2</v>
      </c>
      <c r="W833">
        <v>0.56091041868547364</v>
      </c>
      <c r="X833" t="s">
        <v>90</v>
      </c>
      <c r="Y833">
        <v>0</v>
      </c>
      <c r="Z833">
        <v>0</v>
      </c>
      <c r="AA833" t="s">
        <v>90</v>
      </c>
      <c r="AB833">
        <v>0</v>
      </c>
      <c r="AC833">
        <v>0.56091041868547364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Q833" t="s">
        <v>262</v>
      </c>
      <c r="AR833" t="s">
        <v>263</v>
      </c>
      <c r="AS833">
        <v>0.54060528421052634</v>
      </c>
    </row>
    <row r="834" spans="1:45" x14ac:dyDescent="0.15">
      <c r="A834" s="4" t="str">
        <f>HYPERLINK("https://ibp.a2mac1.com/costing(costing:projects/details/9760/material/8754952)","PVC + Fabric backing 3mm PU foam")</f>
        <v>PVC + Fabric backing 3mm PU foam</v>
      </c>
      <c r="B834">
        <v>8754952</v>
      </c>
      <c r="C834">
        <v>12085313</v>
      </c>
      <c r="E834">
        <v>4.91</v>
      </c>
      <c r="F834" t="s">
        <v>5844</v>
      </c>
      <c r="G834">
        <v>94</v>
      </c>
      <c r="H834" t="s">
        <v>6090</v>
      </c>
      <c r="I834">
        <v>0</v>
      </c>
      <c r="J834">
        <v>0.50345253019720215</v>
      </c>
      <c r="K834">
        <v>0</v>
      </c>
      <c r="L834">
        <v>0</v>
      </c>
      <c r="M834">
        <v>0</v>
      </c>
      <c r="O834">
        <v>200000</v>
      </c>
      <c r="R834" t="s">
        <v>162</v>
      </c>
      <c r="S834">
        <v>0</v>
      </c>
      <c r="T834">
        <v>2.3787382978723405E-3</v>
      </c>
      <c r="U834" t="s">
        <v>176</v>
      </c>
      <c r="V834">
        <v>1.645372340425532E-2</v>
      </c>
      <c r="W834">
        <v>0.48893884468085108</v>
      </c>
      <c r="X834" t="s">
        <v>90</v>
      </c>
      <c r="Y834">
        <v>0</v>
      </c>
      <c r="Z834">
        <v>0</v>
      </c>
      <c r="AA834" t="s">
        <v>90</v>
      </c>
      <c r="AB834">
        <v>0</v>
      </c>
      <c r="AC834">
        <v>0.48893884468085108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Q834" t="s">
        <v>9</v>
      </c>
      <c r="AR834" t="s">
        <v>263</v>
      </c>
      <c r="AS834">
        <v>0.47010638297872342</v>
      </c>
    </row>
    <row r="835" spans="1:45" x14ac:dyDescent="0.15">
      <c r="A835" s="4" t="str">
        <f>HYPERLINK("https://ibp.a2mac1.com/costing(costing:projects/details/9760/material/8754953)","PP-EPDM")</f>
        <v>PP-EPDM</v>
      </c>
      <c r="B835">
        <v>8754953</v>
      </c>
      <c r="C835">
        <v>12085314</v>
      </c>
      <c r="E835">
        <v>1.7894600000000001</v>
      </c>
      <c r="F835" t="s">
        <v>6087</v>
      </c>
      <c r="G835">
        <v>95</v>
      </c>
      <c r="H835" t="s">
        <v>6088</v>
      </c>
      <c r="I835">
        <v>5</v>
      </c>
      <c r="J835">
        <v>0.50345253019720215</v>
      </c>
      <c r="K835">
        <v>0</v>
      </c>
      <c r="M835">
        <v>0</v>
      </c>
      <c r="O835">
        <v>200000</v>
      </c>
      <c r="R835" t="s">
        <v>162</v>
      </c>
      <c r="S835">
        <v>1.3515132105263157E-3</v>
      </c>
      <c r="T835">
        <v>2.7354627381052632E-3</v>
      </c>
      <c r="U835" t="s">
        <v>176</v>
      </c>
      <c r="V835">
        <v>1.892118494736842E-2</v>
      </c>
      <c r="W835">
        <v>0.56091041868547364</v>
      </c>
      <c r="X835" t="s">
        <v>90</v>
      </c>
      <c r="Y835">
        <v>0</v>
      </c>
      <c r="Z835">
        <v>0</v>
      </c>
      <c r="AA835" t="s">
        <v>90</v>
      </c>
      <c r="AB835">
        <v>0</v>
      </c>
      <c r="AC835">
        <v>0.56091041868547364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Q835" t="s">
        <v>262</v>
      </c>
      <c r="AR835" t="s">
        <v>263</v>
      </c>
      <c r="AS835">
        <v>0.54060528421052634</v>
      </c>
    </row>
    <row r="836" spans="1:45" x14ac:dyDescent="0.15">
      <c r="A836" s="4" t="str">
        <f>HYPERLINK("https://ibp.a2mac1.com/costing(costing:projects/details/9760/material/8754954)","Thinsulate")</f>
        <v>Thinsulate</v>
      </c>
      <c r="B836">
        <v>8754954</v>
      </c>
      <c r="C836">
        <v>12085315</v>
      </c>
      <c r="E836">
        <v>8.3000000000000007</v>
      </c>
      <c r="F836" t="s">
        <v>6096</v>
      </c>
      <c r="G836">
        <v>95</v>
      </c>
      <c r="H836" t="s">
        <v>6097</v>
      </c>
      <c r="I836">
        <v>0</v>
      </c>
      <c r="J836">
        <v>0.50345253019720215</v>
      </c>
      <c r="K836">
        <v>0</v>
      </c>
      <c r="L836">
        <v>0</v>
      </c>
      <c r="M836">
        <v>0</v>
      </c>
      <c r="O836">
        <v>200000</v>
      </c>
      <c r="R836" t="s">
        <v>162</v>
      </c>
      <c r="S836">
        <v>0</v>
      </c>
      <c r="T836">
        <v>1.4544570526315789E-2</v>
      </c>
      <c r="U836" t="s">
        <v>176</v>
      </c>
      <c r="V836">
        <v>0.10060473684210526</v>
      </c>
      <c r="W836">
        <v>2.9895703600000001</v>
      </c>
      <c r="X836" t="s">
        <v>177</v>
      </c>
      <c r="Y836">
        <v>0.17937422159999999</v>
      </c>
      <c r="Z836">
        <v>0</v>
      </c>
      <c r="AA836" t="s">
        <v>178</v>
      </c>
      <c r="AB836">
        <v>0.35874844319999999</v>
      </c>
      <c r="AC836">
        <v>3.5276930248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Q836" t="s">
        <v>9</v>
      </c>
      <c r="AR836" t="s">
        <v>263</v>
      </c>
      <c r="AS836">
        <v>2.874421052631579</v>
      </c>
    </row>
    <row r="837" spans="1:45" x14ac:dyDescent="0.15">
      <c r="A837" s="4" t="str">
        <f>HYPERLINK("https://ibp.a2mac1.com/costing(costing:projects/details/9760/material/8754955)","PP-EPDM")</f>
        <v>PP-EPDM</v>
      </c>
      <c r="B837">
        <v>8754955</v>
      </c>
      <c r="C837">
        <v>12085316</v>
      </c>
      <c r="E837">
        <v>1.7894600000000001</v>
      </c>
      <c r="F837" t="s">
        <v>6101</v>
      </c>
      <c r="G837">
        <v>95</v>
      </c>
      <c r="H837" t="s">
        <v>6102</v>
      </c>
      <c r="I837">
        <v>5</v>
      </c>
      <c r="J837">
        <v>0.50345253019720215</v>
      </c>
      <c r="K837">
        <v>0</v>
      </c>
      <c r="M837">
        <v>0</v>
      </c>
      <c r="O837">
        <v>200000</v>
      </c>
      <c r="R837" t="s">
        <v>162</v>
      </c>
      <c r="S837">
        <v>4.4736500000000002E-4</v>
      </c>
      <c r="T837">
        <v>9.0546675999999995E-4</v>
      </c>
      <c r="U837" t="s">
        <v>176</v>
      </c>
      <c r="V837">
        <v>6.2631099999999997E-3</v>
      </c>
      <c r="W837">
        <v>0.18566721176000001</v>
      </c>
      <c r="X837" t="s">
        <v>90</v>
      </c>
      <c r="Y837">
        <v>0</v>
      </c>
      <c r="Z837">
        <v>0</v>
      </c>
      <c r="AA837" t="s">
        <v>90</v>
      </c>
      <c r="AB837">
        <v>0</v>
      </c>
      <c r="AC837">
        <v>0.18566721176000001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Q837" t="s">
        <v>262</v>
      </c>
      <c r="AR837" t="s">
        <v>263</v>
      </c>
      <c r="AS837">
        <v>0.17894599999999999</v>
      </c>
    </row>
    <row r="838" spans="1:45" x14ac:dyDescent="0.15">
      <c r="A838" s="4" t="str">
        <f>HYPERLINK("https://ibp.a2mac1.com/costing(costing:projects/details/9760/material/8755596)","Standard Structural Steel sheet")</f>
        <v>Standard Structural Steel sheet</v>
      </c>
      <c r="B838">
        <v>8755596</v>
      </c>
      <c r="C838">
        <v>12085983</v>
      </c>
      <c r="E838">
        <v>0.61129999999999995</v>
      </c>
      <c r="F838" t="s">
        <v>5970</v>
      </c>
      <c r="G838">
        <v>65</v>
      </c>
      <c r="H838" t="s">
        <v>5971</v>
      </c>
      <c r="I838">
        <v>30</v>
      </c>
      <c r="J838">
        <v>1.9999600007999841E-3</v>
      </c>
      <c r="K838">
        <v>0</v>
      </c>
      <c r="M838">
        <v>0</v>
      </c>
      <c r="O838">
        <v>200000</v>
      </c>
      <c r="R838" t="s">
        <v>162</v>
      </c>
      <c r="S838">
        <v>0.31895753076923078</v>
      </c>
      <c r="T838">
        <v>6.0753815384615383E-5</v>
      </c>
      <c r="U838" t="s">
        <v>176</v>
      </c>
      <c r="V838">
        <v>0.10631917692307692</v>
      </c>
      <c r="W838">
        <v>2.8251131692000002</v>
      </c>
      <c r="X838" t="s">
        <v>90</v>
      </c>
      <c r="Y838">
        <v>0</v>
      </c>
      <c r="Z838">
        <v>0</v>
      </c>
      <c r="AA838" t="s">
        <v>90</v>
      </c>
      <c r="AB838">
        <v>0</v>
      </c>
      <c r="AC838">
        <v>2.8251131692000002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Q838" t="s">
        <v>262</v>
      </c>
      <c r="AR838" t="s">
        <v>263</v>
      </c>
      <c r="AS838">
        <v>3.0376907692307693</v>
      </c>
    </row>
    <row r="839" spans="1:45" x14ac:dyDescent="0.15">
      <c r="A839" s="4" t="str">
        <f>HYPERLINK("https://ibp.a2mac1.com/costing(costing:projects/details/9760/material/8755597)","Standard Structural Steel sheet")</f>
        <v>Standard Structural Steel sheet</v>
      </c>
      <c r="B839">
        <v>8755597</v>
      </c>
      <c r="C839">
        <v>12085984</v>
      </c>
      <c r="E839">
        <v>0.61129999999999995</v>
      </c>
      <c r="F839" t="s">
        <v>5975</v>
      </c>
      <c r="G839">
        <v>65</v>
      </c>
      <c r="H839" t="s">
        <v>5976</v>
      </c>
      <c r="I839">
        <v>30</v>
      </c>
      <c r="J839">
        <v>1.9999600007999841E-3</v>
      </c>
      <c r="K839">
        <v>0</v>
      </c>
      <c r="M839">
        <v>0</v>
      </c>
      <c r="O839">
        <v>200000</v>
      </c>
      <c r="R839" t="s">
        <v>162</v>
      </c>
      <c r="S839">
        <v>2.7057078461538462E-2</v>
      </c>
      <c r="T839">
        <v>5.1537292307692311E-6</v>
      </c>
      <c r="U839" t="s">
        <v>176</v>
      </c>
      <c r="V839">
        <v>9.019026153846154E-3</v>
      </c>
      <c r="W839">
        <v>0.23965356296000001</v>
      </c>
      <c r="X839" t="s">
        <v>177</v>
      </c>
      <c r="Y839">
        <v>1.43792137776E-2</v>
      </c>
      <c r="Z839">
        <v>0</v>
      </c>
      <c r="AA839" t="s">
        <v>178</v>
      </c>
      <c r="AB839">
        <v>2.87584275552E-2</v>
      </c>
      <c r="AC839">
        <v>0.28279120429280002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Q839" t="s">
        <v>262</v>
      </c>
      <c r="AR839" t="s">
        <v>263</v>
      </c>
      <c r="AS839">
        <v>0.25768646153846153</v>
      </c>
    </row>
    <row r="840" spans="1:45" x14ac:dyDescent="0.15">
      <c r="A840" s="4" t="str">
        <f>HYPERLINK("https://ibp.a2mac1.com/costing(costing:projects/details/9760/material/8755598)","Standard Structural Steel sheet")</f>
        <v>Standard Structural Steel sheet</v>
      </c>
      <c r="B840">
        <v>8755598</v>
      </c>
      <c r="C840">
        <v>12085985</v>
      </c>
      <c r="E840">
        <v>0.61129999999999995</v>
      </c>
      <c r="F840" t="s">
        <v>5979</v>
      </c>
      <c r="G840">
        <v>75</v>
      </c>
      <c r="H840" t="s">
        <v>5980</v>
      </c>
      <c r="I840">
        <v>30</v>
      </c>
      <c r="J840">
        <v>1.9999600007999841E-3</v>
      </c>
      <c r="K840">
        <v>0</v>
      </c>
      <c r="M840">
        <v>0</v>
      </c>
      <c r="O840">
        <v>200000</v>
      </c>
      <c r="R840" t="s">
        <v>162</v>
      </c>
      <c r="S840">
        <v>2.8303189999999999E-2</v>
      </c>
      <c r="T840">
        <v>7.5475173333333331E-6</v>
      </c>
      <c r="U840" t="s">
        <v>176</v>
      </c>
      <c r="V840">
        <v>1.3208155333333334E-2</v>
      </c>
      <c r="W840">
        <v>0.36228837951733334</v>
      </c>
      <c r="X840" t="s">
        <v>177</v>
      </c>
      <c r="Y840">
        <v>2.1737302771039999E-2</v>
      </c>
      <c r="Z840">
        <v>0</v>
      </c>
      <c r="AA840" t="s">
        <v>178</v>
      </c>
      <c r="AB840">
        <v>4.3474605542079998E-2</v>
      </c>
      <c r="AC840">
        <v>0.42750028783045335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Q840" t="s">
        <v>262</v>
      </c>
      <c r="AR840" t="s">
        <v>263</v>
      </c>
      <c r="AS840">
        <v>0.37737586666666667</v>
      </c>
    </row>
    <row r="841" spans="1:45" x14ac:dyDescent="0.15">
      <c r="A841" s="4" t="str">
        <f>HYPERLINK("https://ibp.a2mac1.com/costing(costing:projects/details/9760/material/8755599)","Standard Structural Steel sheet")</f>
        <v>Standard Structural Steel sheet</v>
      </c>
      <c r="B841">
        <v>8755599</v>
      </c>
      <c r="C841">
        <v>12085986</v>
      </c>
      <c r="E841">
        <v>0.61129999999999995</v>
      </c>
      <c r="F841" t="s">
        <v>5983</v>
      </c>
      <c r="G841">
        <v>75</v>
      </c>
      <c r="H841" t="s">
        <v>5984</v>
      </c>
      <c r="I841">
        <v>30</v>
      </c>
      <c r="J841">
        <v>1.9999600007999841E-3</v>
      </c>
      <c r="K841">
        <v>0</v>
      </c>
      <c r="M841">
        <v>0</v>
      </c>
      <c r="O841">
        <v>200000</v>
      </c>
      <c r="R841" t="s">
        <v>162</v>
      </c>
      <c r="S841">
        <v>1.3081819999999999E-2</v>
      </c>
      <c r="T841">
        <v>3.4884853333333335E-6</v>
      </c>
      <c r="U841" t="s">
        <v>176</v>
      </c>
      <c r="V841">
        <v>6.104849333333333E-3</v>
      </c>
      <c r="W841">
        <v>0.16745078448533332</v>
      </c>
      <c r="X841" t="s">
        <v>177</v>
      </c>
      <c r="Y841">
        <v>1.004704706912E-2</v>
      </c>
      <c r="Z841">
        <v>0</v>
      </c>
      <c r="AA841" t="s">
        <v>178</v>
      </c>
      <c r="AB841">
        <v>2.0094094138239999E-2</v>
      </c>
      <c r="AC841">
        <v>0.19759192569269332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Q841" t="s">
        <v>262</v>
      </c>
      <c r="AR841" t="s">
        <v>263</v>
      </c>
      <c r="AS841">
        <v>0.17442426666666666</v>
      </c>
    </row>
    <row r="842" spans="1:45" x14ac:dyDescent="0.15">
      <c r="A842" s="4" t="str">
        <f>HYPERLINK("https://ibp.a2mac1.com/costing(costing:projects/details/9760/material/8755600)","Standard Structural Steel sheet")</f>
        <v>Standard Structural Steel sheet</v>
      </c>
      <c r="B842">
        <v>8755600</v>
      </c>
      <c r="C842">
        <v>12085987</v>
      </c>
      <c r="E842">
        <v>0.61129999999999995</v>
      </c>
      <c r="F842" t="s">
        <v>4680</v>
      </c>
      <c r="G842">
        <v>80</v>
      </c>
      <c r="H842" t="s">
        <v>5987</v>
      </c>
      <c r="I842">
        <v>30</v>
      </c>
      <c r="J842">
        <v>1.9999600007999841E-3</v>
      </c>
      <c r="K842">
        <v>0</v>
      </c>
      <c r="M842">
        <v>0</v>
      </c>
      <c r="O842">
        <v>200000</v>
      </c>
      <c r="R842" t="s">
        <v>162</v>
      </c>
      <c r="S842">
        <v>2.9067315E-2</v>
      </c>
      <c r="T842">
        <v>9.6891050000000005E-6</v>
      </c>
      <c r="U842" t="s">
        <v>176</v>
      </c>
      <c r="V842">
        <v>1.6955933749999999E-2</v>
      </c>
      <c r="W842">
        <v>0.47235355785499999</v>
      </c>
      <c r="X842" t="s">
        <v>177</v>
      </c>
      <c r="Y842">
        <v>2.83412134713E-2</v>
      </c>
      <c r="Z842">
        <v>0</v>
      </c>
      <c r="AA842" t="s">
        <v>178</v>
      </c>
      <c r="AB842">
        <v>5.6682426942599999E-2</v>
      </c>
      <c r="AC842">
        <v>0.55737719826889998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Q842" t="s">
        <v>262</v>
      </c>
      <c r="AR842" t="s">
        <v>263</v>
      </c>
      <c r="AS842">
        <v>0.48445525</v>
      </c>
    </row>
    <row r="843" spans="1:45" x14ac:dyDescent="0.15">
      <c r="A843" s="4" t="str">
        <f>HYPERLINK("https://ibp.a2mac1.com/costing(costing:projects/details/9760/material/8755767)","Standard Structural Steel sheet")</f>
        <v>Standard Structural Steel sheet</v>
      </c>
      <c r="B843">
        <v>8755767</v>
      </c>
      <c r="C843">
        <v>12086181</v>
      </c>
      <c r="E843">
        <v>0.61129999999999995</v>
      </c>
      <c r="F843" t="s">
        <v>5060</v>
      </c>
      <c r="G843">
        <v>80</v>
      </c>
      <c r="H843" t="s">
        <v>5061</v>
      </c>
      <c r="I843">
        <v>30</v>
      </c>
      <c r="J843">
        <v>1.9999600007999841E-3</v>
      </c>
      <c r="K843">
        <v>0</v>
      </c>
      <c r="M843">
        <v>0</v>
      </c>
      <c r="O843">
        <v>200000</v>
      </c>
      <c r="R843" t="s">
        <v>162</v>
      </c>
      <c r="S843">
        <v>2.0631375000000002E-3</v>
      </c>
      <c r="T843">
        <v>6.8771250000000002E-7</v>
      </c>
      <c r="U843" t="s">
        <v>176</v>
      </c>
      <c r="V843">
        <v>1.2034968750000001E-3</v>
      </c>
      <c r="W843">
        <v>3.3526672087500001E-2</v>
      </c>
      <c r="X843" t="s">
        <v>177</v>
      </c>
      <c r="Y843">
        <v>2.0116003252500002E-3</v>
      </c>
      <c r="Z843">
        <v>0</v>
      </c>
      <c r="AA843" t="s">
        <v>178</v>
      </c>
      <c r="AB843">
        <v>4.0232006505000004E-3</v>
      </c>
      <c r="AC843">
        <v>3.9561473063250002E-2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Q843" t="s">
        <v>262</v>
      </c>
      <c r="AR843" t="s">
        <v>263</v>
      </c>
      <c r="AS843">
        <v>3.4385625000000003E-2</v>
      </c>
    </row>
    <row r="844" spans="1:45" x14ac:dyDescent="0.15">
      <c r="A844" s="4" t="str">
        <f>HYPERLINK("https://ibp.a2mac1.com/costing(costing:projects/details/9760/material/8755768)","Standard Structural Steel sheet")</f>
        <v>Standard Structural Steel sheet</v>
      </c>
      <c r="B844">
        <v>8755768</v>
      </c>
      <c r="C844">
        <v>12086182</v>
      </c>
      <c r="E844">
        <v>0.61129999999999995</v>
      </c>
      <c r="F844" t="s">
        <v>5060</v>
      </c>
      <c r="G844">
        <v>80</v>
      </c>
      <c r="H844" t="s">
        <v>5061</v>
      </c>
      <c r="I844">
        <v>30</v>
      </c>
      <c r="J844">
        <v>1.9999600007999841E-3</v>
      </c>
      <c r="K844">
        <v>0</v>
      </c>
      <c r="M844">
        <v>0</v>
      </c>
      <c r="O844">
        <v>200000</v>
      </c>
      <c r="R844" t="s">
        <v>162</v>
      </c>
      <c r="S844">
        <v>2.0631375000000002E-3</v>
      </c>
      <c r="T844">
        <v>6.8771250000000002E-7</v>
      </c>
      <c r="U844" t="s">
        <v>176</v>
      </c>
      <c r="V844">
        <v>1.2034968750000001E-3</v>
      </c>
      <c r="W844">
        <v>3.3526672087500001E-2</v>
      </c>
      <c r="X844" t="s">
        <v>177</v>
      </c>
      <c r="Y844">
        <v>2.0116003252500002E-3</v>
      </c>
      <c r="Z844">
        <v>0</v>
      </c>
      <c r="AA844" t="s">
        <v>178</v>
      </c>
      <c r="AB844">
        <v>4.0232006505000004E-3</v>
      </c>
      <c r="AC844">
        <v>3.9561473063250002E-2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Q844" t="s">
        <v>262</v>
      </c>
      <c r="AR844" t="s">
        <v>263</v>
      </c>
      <c r="AS844">
        <v>3.4385625000000003E-2</v>
      </c>
    </row>
    <row r="845" spans="1:45" x14ac:dyDescent="0.15">
      <c r="A845" s="4" t="str">
        <f>HYPERLINK("https://ibp.a2mac1.com/costing(costing:projects/details/9760/material/8755769)","Standard Structural Steel sheet")</f>
        <v>Standard Structural Steel sheet</v>
      </c>
      <c r="B845">
        <v>8755769</v>
      </c>
      <c r="C845">
        <v>12086183</v>
      </c>
      <c r="E845">
        <v>0.61129999999999995</v>
      </c>
      <c r="F845" t="s">
        <v>5999</v>
      </c>
      <c r="G845">
        <v>80</v>
      </c>
      <c r="H845" t="s">
        <v>6000</v>
      </c>
      <c r="I845">
        <v>30</v>
      </c>
      <c r="J845">
        <v>1.9999600007999841E-3</v>
      </c>
      <c r="K845">
        <v>0</v>
      </c>
      <c r="M845">
        <v>0</v>
      </c>
      <c r="O845">
        <v>200000</v>
      </c>
      <c r="R845" t="s">
        <v>162</v>
      </c>
      <c r="S845">
        <v>6.4736669999999996E-2</v>
      </c>
      <c r="T845">
        <v>2.157889E-5</v>
      </c>
      <c r="U845" t="s">
        <v>176</v>
      </c>
      <c r="V845">
        <v>3.7763057500000002E-2</v>
      </c>
      <c r="W845">
        <v>1.05199246639</v>
      </c>
      <c r="X845" t="s">
        <v>177</v>
      </c>
      <c r="Y845">
        <v>6.3119547983399998E-2</v>
      </c>
      <c r="Z845">
        <v>0</v>
      </c>
      <c r="AA845" t="s">
        <v>178</v>
      </c>
      <c r="AB845">
        <v>0.1262390959668</v>
      </c>
      <c r="AC845">
        <v>1.2413511103402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Q845" t="s">
        <v>262</v>
      </c>
      <c r="AR845" t="s">
        <v>263</v>
      </c>
      <c r="AS845">
        <v>1.0789445</v>
      </c>
    </row>
    <row r="846" spans="1:45" x14ac:dyDescent="0.15">
      <c r="A846" s="4" t="str">
        <f>HYPERLINK("https://ibp.a2mac1.com/costing(costing:projects/details/9760/material/8755770)","Standard Structural Steel sheet")</f>
        <v>Standard Structural Steel sheet</v>
      </c>
      <c r="B846">
        <v>8755770</v>
      </c>
      <c r="C846">
        <v>12086184</v>
      </c>
      <c r="E846">
        <v>0.61129999999999995</v>
      </c>
      <c r="F846" t="s">
        <v>6006</v>
      </c>
      <c r="G846">
        <v>70</v>
      </c>
      <c r="H846" t="s">
        <v>6007</v>
      </c>
      <c r="I846">
        <v>30</v>
      </c>
      <c r="J846">
        <v>1.9999600007999841E-3</v>
      </c>
      <c r="K846">
        <v>0</v>
      </c>
      <c r="M846">
        <v>0</v>
      </c>
      <c r="O846">
        <v>200000</v>
      </c>
      <c r="R846" t="s">
        <v>162</v>
      </c>
      <c r="S846">
        <v>0.14343717857142857</v>
      </c>
      <c r="T846">
        <v>3.1874928571428571E-5</v>
      </c>
      <c r="U846" t="s">
        <v>176</v>
      </c>
      <c r="V846">
        <v>5.5781125000000001E-2</v>
      </c>
      <c r="W846">
        <v>1.5061222499285714</v>
      </c>
      <c r="X846" t="s">
        <v>177</v>
      </c>
      <c r="Y846">
        <v>9.0367334995714282E-2</v>
      </c>
      <c r="Z846">
        <v>0</v>
      </c>
      <c r="AA846" t="s">
        <v>178</v>
      </c>
      <c r="AB846">
        <v>0.18073466999142856</v>
      </c>
      <c r="AC846">
        <v>1.7772242549157142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Q846" t="s">
        <v>262</v>
      </c>
      <c r="AR846" t="s">
        <v>263</v>
      </c>
      <c r="AS846">
        <v>1.5937464285714287</v>
      </c>
    </row>
    <row r="847" spans="1:45" x14ac:dyDescent="0.15">
      <c r="A847" s="4" t="str">
        <f>HYPERLINK("https://ibp.a2mac1.com/costing(costing:projects/details/9760/material/8755771)","Standard Structural Steel sheet")</f>
        <v>Standard Structural Steel sheet</v>
      </c>
      <c r="B847">
        <v>8755771</v>
      </c>
      <c r="C847">
        <v>12086185</v>
      </c>
      <c r="E847">
        <v>0.61129999999999995</v>
      </c>
      <c r="F847" t="s">
        <v>6012</v>
      </c>
      <c r="G847">
        <v>80</v>
      </c>
      <c r="H847" t="s">
        <v>6013</v>
      </c>
      <c r="I847">
        <v>30</v>
      </c>
      <c r="J847">
        <v>1.9999600007999841E-3</v>
      </c>
      <c r="K847">
        <v>0</v>
      </c>
      <c r="M847">
        <v>0</v>
      </c>
      <c r="O847">
        <v>200000</v>
      </c>
      <c r="R847" t="s">
        <v>162</v>
      </c>
      <c r="S847">
        <v>4.1491987500000001E-2</v>
      </c>
      <c r="T847">
        <v>1.38306625E-5</v>
      </c>
      <c r="U847" t="s">
        <v>176</v>
      </c>
      <c r="V847">
        <v>2.4203659374999999E-2</v>
      </c>
      <c r="W847">
        <v>0.67425862753749999</v>
      </c>
      <c r="X847" t="s">
        <v>177</v>
      </c>
      <c r="Y847">
        <v>4.045551765225E-2</v>
      </c>
      <c r="Z847">
        <v>0</v>
      </c>
      <c r="AA847" t="s">
        <v>178</v>
      </c>
      <c r="AB847">
        <v>8.0911035304500001E-2</v>
      </c>
      <c r="AC847">
        <v>0.79562518049425002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Q847" t="s">
        <v>262</v>
      </c>
      <c r="AR847" t="s">
        <v>263</v>
      </c>
      <c r="AS847">
        <v>0.69153312499999997</v>
      </c>
    </row>
    <row r="848" spans="1:45" x14ac:dyDescent="0.15">
      <c r="A848" s="4" t="str">
        <f>HYPERLINK("https://ibp.a2mac1.com/costing(costing:projects/details/9760/material/8755601)","Standard Structural Steel sheet")</f>
        <v>Standard Structural Steel sheet</v>
      </c>
      <c r="B848">
        <v>8755601</v>
      </c>
      <c r="C848">
        <v>12085988</v>
      </c>
      <c r="E848">
        <v>0.61129999999999995</v>
      </c>
      <c r="F848" t="s">
        <v>6018</v>
      </c>
      <c r="G848">
        <v>80</v>
      </c>
      <c r="H848" t="s">
        <v>6019</v>
      </c>
      <c r="I848">
        <v>30</v>
      </c>
      <c r="J848">
        <v>1.9999600007999841E-3</v>
      </c>
      <c r="K848">
        <v>0</v>
      </c>
      <c r="M848">
        <v>0</v>
      </c>
      <c r="O848">
        <v>200000</v>
      </c>
      <c r="R848" t="s">
        <v>162</v>
      </c>
      <c r="S848">
        <v>0.17004837749999999</v>
      </c>
      <c r="T848">
        <v>5.6682792500000002E-5</v>
      </c>
      <c r="U848" t="s">
        <v>176</v>
      </c>
      <c r="V848">
        <v>9.9194886874999999E-2</v>
      </c>
      <c r="W848">
        <v>2.7633428171675001</v>
      </c>
      <c r="X848" t="s">
        <v>90</v>
      </c>
      <c r="Y848">
        <v>0</v>
      </c>
      <c r="Z848">
        <v>0</v>
      </c>
      <c r="AA848" t="s">
        <v>90</v>
      </c>
      <c r="AB848">
        <v>0</v>
      </c>
      <c r="AC848">
        <v>2.7633428171675001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Q848" t="s">
        <v>262</v>
      </c>
      <c r="AR848" t="s">
        <v>263</v>
      </c>
      <c r="AS848">
        <v>2.8341396250000002</v>
      </c>
    </row>
    <row r="849" spans="1:45" x14ac:dyDescent="0.15">
      <c r="A849" s="4" t="str">
        <f>HYPERLINK("https://ibp.a2mac1.com/costing(costing:projects/details/9760/material/8754577)","PP-GF30")</f>
        <v>PP-GF30</v>
      </c>
      <c r="B849">
        <v>8754577</v>
      </c>
      <c r="C849">
        <v>12085107</v>
      </c>
      <c r="E849">
        <v>1.2710699999999999</v>
      </c>
      <c r="F849" t="s">
        <v>6270</v>
      </c>
      <c r="G849">
        <v>97</v>
      </c>
      <c r="H849" t="s">
        <v>6271</v>
      </c>
      <c r="I849">
        <v>30</v>
      </c>
      <c r="J849">
        <v>0.10389195236953569</v>
      </c>
      <c r="K849">
        <v>0</v>
      </c>
      <c r="M849">
        <v>0</v>
      </c>
      <c r="O849">
        <v>200000</v>
      </c>
      <c r="R849" t="s">
        <v>162</v>
      </c>
      <c r="S849">
        <v>8.396924288659794E-3</v>
      </c>
      <c r="T849">
        <v>9.7031125113402066E-4</v>
      </c>
      <c r="U849" t="s">
        <v>176</v>
      </c>
      <c r="V849">
        <v>3.2654705567010306E-2</v>
      </c>
      <c r="W849">
        <v>0.95821968015835046</v>
      </c>
      <c r="X849" t="s">
        <v>177</v>
      </c>
      <c r="Y849">
        <v>5.7493180809501034E-2</v>
      </c>
      <c r="Z849">
        <v>0</v>
      </c>
      <c r="AA849" t="s">
        <v>178</v>
      </c>
      <c r="AB849">
        <v>0.11498636161900207</v>
      </c>
      <c r="AC849">
        <v>1.1306992225868535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Q849" t="s">
        <v>262</v>
      </c>
      <c r="AR849" t="s">
        <v>263</v>
      </c>
      <c r="AS849">
        <v>0.93299158762886603</v>
      </c>
    </row>
    <row r="850" spans="1:45" x14ac:dyDescent="0.15">
      <c r="A850" s="4" t="str">
        <f>HYPERLINK("https://ibp.a2mac1.com/costing(costing:projects/details/9760/material/8755602)","Standard Structural Steel sheet")</f>
        <v>Standard Structural Steel sheet</v>
      </c>
      <c r="B850">
        <v>8755602</v>
      </c>
      <c r="C850">
        <v>12085989</v>
      </c>
      <c r="E850">
        <v>0.61129999999999995</v>
      </c>
      <c r="F850" t="s">
        <v>5032</v>
      </c>
      <c r="G850">
        <v>80</v>
      </c>
      <c r="H850" t="s">
        <v>5033</v>
      </c>
      <c r="I850">
        <v>30</v>
      </c>
      <c r="J850">
        <v>1.9999600007999841E-3</v>
      </c>
      <c r="K850">
        <v>0</v>
      </c>
      <c r="M850">
        <v>0</v>
      </c>
      <c r="O850">
        <v>200000</v>
      </c>
      <c r="R850" t="s">
        <v>162</v>
      </c>
      <c r="S850">
        <v>0.203837985</v>
      </c>
      <c r="T850">
        <v>6.7945994999999996E-5</v>
      </c>
      <c r="U850" t="s">
        <v>176</v>
      </c>
      <c r="V850">
        <v>0.11890549124999999</v>
      </c>
      <c r="W850">
        <v>3.3124352022450001</v>
      </c>
      <c r="X850" t="s">
        <v>90</v>
      </c>
      <c r="Y850">
        <v>0</v>
      </c>
      <c r="Z850">
        <v>0</v>
      </c>
      <c r="AA850" t="s">
        <v>90</v>
      </c>
      <c r="AB850">
        <v>0</v>
      </c>
      <c r="AC850">
        <v>3.3124352022450001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Q850" t="s">
        <v>262</v>
      </c>
      <c r="AR850" t="s">
        <v>263</v>
      </c>
      <c r="AS850">
        <v>3.3972997500000002</v>
      </c>
    </row>
    <row r="851" spans="1:45" x14ac:dyDescent="0.15">
      <c r="A851" s="4" t="str">
        <f>HYPERLINK("https://ibp.a2mac1.com/costing(costing:projects/details/9760/material/8755603)","Standard Structural Steel sheet")</f>
        <v>Standard Structural Steel sheet</v>
      </c>
      <c r="B851">
        <v>8755603</v>
      </c>
      <c r="C851">
        <v>12085990</v>
      </c>
      <c r="E851">
        <v>0.61129999999999995</v>
      </c>
      <c r="F851" t="s">
        <v>5039</v>
      </c>
      <c r="G851">
        <v>75</v>
      </c>
      <c r="H851" t="s">
        <v>5040</v>
      </c>
      <c r="I851">
        <v>30</v>
      </c>
      <c r="J851">
        <v>1.9999600007999841E-3</v>
      </c>
      <c r="K851">
        <v>0</v>
      </c>
      <c r="M851">
        <v>0</v>
      </c>
      <c r="O851">
        <v>200000</v>
      </c>
      <c r="R851" t="s">
        <v>162</v>
      </c>
      <c r="S851">
        <v>2.8731099999999999E-2</v>
      </c>
      <c r="T851">
        <v>7.661626666666667E-6</v>
      </c>
      <c r="U851" t="s">
        <v>176</v>
      </c>
      <c r="V851">
        <v>1.3407846666666667E-2</v>
      </c>
      <c r="W851">
        <v>0.36776574162666664</v>
      </c>
      <c r="X851" t="s">
        <v>177</v>
      </c>
      <c r="Y851">
        <v>2.20659444976E-2</v>
      </c>
      <c r="Z851">
        <v>0</v>
      </c>
      <c r="AA851" t="s">
        <v>178</v>
      </c>
      <c r="AB851">
        <v>4.41318889952E-2</v>
      </c>
      <c r="AC851">
        <v>0.43396357511946665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Q851" t="s">
        <v>262</v>
      </c>
      <c r="AR851" t="s">
        <v>263</v>
      </c>
      <c r="AS851">
        <v>0.38308133333333333</v>
      </c>
    </row>
    <row r="852" spans="1:45" x14ac:dyDescent="0.15">
      <c r="A852" s="4" t="str">
        <f>HYPERLINK("https://ibp.a2mac1.com/costing(costing:projects/details/9760/material/8755604)","Standard Structural Steel sheet")</f>
        <v>Standard Structural Steel sheet</v>
      </c>
      <c r="B852">
        <v>8755604</v>
      </c>
      <c r="C852">
        <v>12085991</v>
      </c>
      <c r="E852">
        <v>0.61129999999999995</v>
      </c>
      <c r="F852" t="s">
        <v>4343</v>
      </c>
      <c r="G852">
        <v>75</v>
      </c>
      <c r="H852" t="s">
        <v>5043</v>
      </c>
      <c r="I852">
        <v>30</v>
      </c>
      <c r="J852">
        <v>1.9999600007999841E-3</v>
      </c>
      <c r="K852">
        <v>0</v>
      </c>
      <c r="M852">
        <v>0</v>
      </c>
      <c r="O852">
        <v>200000</v>
      </c>
      <c r="R852" t="s">
        <v>162</v>
      </c>
      <c r="S852">
        <v>1.7422050000000001E-2</v>
      </c>
      <c r="T852">
        <v>4.6458800000000001E-6</v>
      </c>
      <c r="U852" t="s">
        <v>176</v>
      </c>
      <c r="V852">
        <v>8.1302900000000001E-3</v>
      </c>
      <c r="W852">
        <v>0.22300688588000001</v>
      </c>
      <c r="X852" t="s">
        <v>177</v>
      </c>
      <c r="Y852">
        <v>1.3380413152800001E-2</v>
      </c>
      <c r="Z852">
        <v>0</v>
      </c>
      <c r="AA852" t="s">
        <v>178</v>
      </c>
      <c r="AB852">
        <v>2.6760826305600002E-2</v>
      </c>
      <c r="AC852">
        <v>0.26314812533839999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Q852" t="s">
        <v>262</v>
      </c>
      <c r="AR852" t="s">
        <v>263</v>
      </c>
      <c r="AS852">
        <v>0.232294</v>
      </c>
    </row>
    <row r="853" spans="1:45" x14ac:dyDescent="0.15">
      <c r="A853" s="4" t="str">
        <f>HYPERLINK("https://ibp.a2mac1.com/costing(costing:projects/details/9760/material/8755605)","Standard Structural Steel sheet")</f>
        <v>Standard Structural Steel sheet</v>
      </c>
      <c r="B853">
        <v>8755605</v>
      </c>
      <c r="C853">
        <v>12085992</v>
      </c>
      <c r="E853">
        <v>0.61129999999999995</v>
      </c>
      <c r="F853" t="s">
        <v>4357</v>
      </c>
      <c r="G853">
        <v>80</v>
      </c>
      <c r="H853" t="s">
        <v>5046</v>
      </c>
      <c r="I853">
        <v>30</v>
      </c>
      <c r="J853">
        <v>1.9999600007999841E-3</v>
      </c>
      <c r="K853">
        <v>0</v>
      </c>
      <c r="M853">
        <v>0</v>
      </c>
      <c r="O853">
        <v>200000</v>
      </c>
      <c r="R853" t="s">
        <v>162</v>
      </c>
      <c r="S853">
        <v>6.4644975000000002E-3</v>
      </c>
      <c r="T853">
        <v>2.1548324999999998E-6</v>
      </c>
      <c r="U853" t="s">
        <v>176</v>
      </c>
      <c r="V853">
        <v>3.7709568750000002E-3</v>
      </c>
      <c r="W853">
        <v>0.10505023920750001</v>
      </c>
      <c r="X853" t="s">
        <v>177</v>
      </c>
      <c r="Y853">
        <v>6.3030143524499998E-3</v>
      </c>
      <c r="Z853">
        <v>0</v>
      </c>
      <c r="AA853" t="s">
        <v>178</v>
      </c>
      <c r="AB853">
        <v>1.26060287049E-2</v>
      </c>
      <c r="AC853">
        <v>0.12395928226484999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Q853" t="s">
        <v>262</v>
      </c>
      <c r="AR853" t="s">
        <v>263</v>
      </c>
      <c r="AS853">
        <v>0.10774162499999999</v>
      </c>
    </row>
    <row r="854" spans="1:45" x14ac:dyDescent="0.15">
      <c r="A854" s="4" t="str">
        <f>HYPERLINK("https://ibp.a2mac1.com/costing(costing:projects/details/9760/material/8755606)","Standard Structural Steel sheet")</f>
        <v>Standard Structural Steel sheet</v>
      </c>
      <c r="B854">
        <v>8755606</v>
      </c>
      <c r="C854">
        <v>12085993</v>
      </c>
      <c r="E854">
        <v>0.61129999999999995</v>
      </c>
      <c r="F854" t="s">
        <v>5049</v>
      </c>
      <c r="G854">
        <v>80</v>
      </c>
      <c r="H854" t="s">
        <v>5050</v>
      </c>
      <c r="I854">
        <v>30</v>
      </c>
      <c r="J854">
        <v>1.9999600007999841E-3</v>
      </c>
      <c r="K854">
        <v>0</v>
      </c>
      <c r="M854">
        <v>0</v>
      </c>
      <c r="O854">
        <v>200000</v>
      </c>
      <c r="R854" t="s">
        <v>162</v>
      </c>
      <c r="S854">
        <v>7.4272950000000004E-3</v>
      </c>
      <c r="T854">
        <v>2.4757650000000002E-6</v>
      </c>
      <c r="U854" t="s">
        <v>176</v>
      </c>
      <c r="V854">
        <v>4.3325887499999997E-3</v>
      </c>
      <c r="W854">
        <v>0.120696019515</v>
      </c>
      <c r="X854" t="s">
        <v>177</v>
      </c>
      <c r="Y854">
        <v>7.2417611709000001E-3</v>
      </c>
      <c r="Z854">
        <v>0</v>
      </c>
      <c r="AA854" t="s">
        <v>178</v>
      </c>
      <c r="AB854">
        <v>1.44835223418E-2</v>
      </c>
      <c r="AC854">
        <v>0.14242130302770001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Q854" t="s">
        <v>262</v>
      </c>
      <c r="AR854" t="s">
        <v>263</v>
      </c>
      <c r="AS854">
        <v>0.12378825</v>
      </c>
    </row>
    <row r="855" spans="1:45" x14ac:dyDescent="0.15">
      <c r="A855" s="4" t="str">
        <f>HYPERLINK("https://ibp.a2mac1.com/costing(costing:projects/details/9760/material/8755607)","Standard Structural Steel sheet")</f>
        <v>Standard Structural Steel sheet</v>
      </c>
      <c r="B855">
        <v>8755607</v>
      </c>
      <c r="C855">
        <v>12085994</v>
      </c>
      <c r="E855">
        <v>0.61129999999999995</v>
      </c>
      <c r="F855" t="s">
        <v>5053</v>
      </c>
      <c r="G855">
        <v>70</v>
      </c>
      <c r="H855" t="s">
        <v>5054</v>
      </c>
      <c r="I855">
        <v>30</v>
      </c>
      <c r="J855">
        <v>1.9999600007999841E-3</v>
      </c>
      <c r="K855">
        <v>0</v>
      </c>
      <c r="M855">
        <v>0</v>
      </c>
      <c r="O855">
        <v>200000</v>
      </c>
      <c r="R855" t="s">
        <v>162</v>
      </c>
      <c r="S855">
        <v>4.4563770000000003E-2</v>
      </c>
      <c r="T855">
        <v>9.9030600000000007E-6</v>
      </c>
      <c r="U855" t="s">
        <v>176</v>
      </c>
      <c r="V855">
        <v>1.7330354999999999E-2</v>
      </c>
      <c r="W855">
        <v>0.46792948806000001</v>
      </c>
      <c r="X855" t="s">
        <v>177</v>
      </c>
      <c r="Y855">
        <v>2.8075769283600002E-2</v>
      </c>
      <c r="Z855">
        <v>0</v>
      </c>
      <c r="AA855" t="s">
        <v>178</v>
      </c>
      <c r="AB855">
        <v>5.6151538567200003E-2</v>
      </c>
      <c r="AC855">
        <v>0.55215679591080002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Q855" t="s">
        <v>262</v>
      </c>
      <c r="AR855" t="s">
        <v>263</v>
      </c>
      <c r="AS855">
        <v>0.49515300000000001</v>
      </c>
    </row>
    <row r="856" spans="1:45" x14ac:dyDescent="0.15">
      <c r="A856" s="4" t="str">
        <f>HYPERLINK("https://ibp.a2mac1.com/costing(costing:projects/details/9760/material/8755772)","Standard Structural Steel sheet")</f>
        <v>Standard Structural Steel sheet</v>
      </c>
      <c r="B856">
        <v>8755772</v>
      </c>
      <c r="C856">
        <v>12086186</v>
      </c>
      <c r="E856">
        <v>0.61129999999999995</v>
      </c>
      <c r="F856" t="s">
        <v>5060</v>
      </c>
      <c r="G856">
        <v>80</v>
      </c>
      <c r="H856" t="s">
        <v>5061</v>
      </c>
      <c r="I856">
        <v>30</v>
      </c>
      <c r="J856">
        <v>1.9999600007999841E-3</v>
      </c>
      <c r="K856">
        <v>0</v>
      </c>
      <c r="M856">
        <v>0</v>
      </c>
      <c r="O856">
        <v>200000</v>
      </c>
      <c r="R856" t="s">
        <v>162</v>
      </c>
      <c r="S856">
        <v>2.0631375000000002E-3</v>
      </c>
      <c r="T856">
        <v>6.8771250000000002E-7</v>
      </c>
      <c r="U856" t="s">
        <v>176</v>
      </c>
      <c r="V856">
        <v>1.2034968750000001E-3</v>
      </c>
      <c r="W856">
        <v>3.3526672087500001E-2</v>
      </c>
      <c r="X856" t="s">
        <v>177</v>
      </c>
      <c r="Y856">
        <v>2.0116003252500002E-3</v>
      </c>
      <c r="Z856">
        <v>0</v>
      </c>
      <c r="AA856" t="s">
        <v>178</v>
      </c>
      <c r="AB856">
        <v>4.0232006505000004E-3</v>
      </c>
      <c r="AC856">
        <v>3.9561473063250002E-2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Q856" t="s">
        <v>262</v>
      </c>
      <c r="AR856" t="s">
        <v>263</v>
      </c>
      <c r="AS856">
        <v>3.4385625000000003E-2</v>
      </c>
    </row>
    <row r="857" spans="1:45" x14ac:dyDescent="0.15">
      <c r="A857" s="4" t="str">
        <f>HYPERLINK("https://ibp.a2mac1.com/costing(costing:projects/details/9760/material/8755773)","Standard Structural Steel sheet")</f>
        <v>Standard Structural Steel sheet</v>
      </c>
      <c r="B857">
        <v>8755773</v>
      </c>
      <c r="C857">
        <v>12086187</v>
      </c>
      <c r="E857">
        <v>0.61129999999999995</v>
      </c>
      <c r="F857" t="s">
        <v>5060</v>
      </c>
      <c r="G857">
        <v>80</v>
      </c>
      <c r="H857" t="s">
        <v>5061</v>
      </c>
      <c r="I857">
        <v>30</v>
      </c>
      <c r="J857">
        <v>1.9999600007999841E-3</v>
      </c>
      <c r="K857">
        <v>0</v>
      </c>
      <c r="M857">
        <v>0</v>
      </c>
      <c r="O857">
        <v>200000</v>
      </c>
      <c r="R857" t="s">
        <v>162</v>
      </c>
      <c r="S857">
        <v>2.0631375000000002E-3</v>
      </c>
      <c r="T857">
        <v>6.8771250000000002E-7</v>
      </c>
      <c r="U857" t="s">
        <v>176</v>
      </c>
      <c r="V857">
        <v>1.2034968750000001E-3</v>
      </c>
      <c r="W857">
        <v>3.3526672087500001E-2</v>
      </c>
      <c r="X857" t="s">
        <v>177</v>
      </c>
      <c r="Y857">
        <v>2.0116003252500002E-3</v>
      </c>
      <c r="Z857">
        <v>0</v>
      </c>
      <c r="AA857" t="s">
        <v>178</v>
      </c>
      <c r="AB857">
        <v>4.0232006505000004E-3</v>
      </c>
      <c r="AC857">
        <v>3.9561473063250002E-2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Q857" t="s">
        <v>262</v>
      </c>
      <c r="AR857" t="s">
        <v>263</v>
      </c>
      <c r="AS857">
        <v>3.4385625000000003E-2</v>
      </c>
    </row>
    <row r="858" spans="1:45" x14ac:dyDescent="0.15">
      <c r="A858" s="4" t="str">
        <f>HYPERLINK("https://ibp.a2mac1.com/costing(costing:projects/details/9760/material/8755774)","Standard Structural Steel sheet")</f>
        <v>Standard Structural Steel sheet</v>
      </c>
      <c r="B858">
        <v>8755774</v>
      </c>
      <c r="C858">
        <v>12086188</v>
      </c>
      <c r="E858">
        <v>0.61129999999999995</v>
      </c>
      <c r="F858" t="s">
        <v>5022</v>
      </c>
      <c r="G858">
        <v>80</v>
      </c>
      <c r="H858" t="s">
        <v>5023</v>
      </c>
      <c r="I858">
        <v>30</v>
      </c>
      <c r="J858">
        <v>1.9999600007999841E-3</v>
      </c>
      <c r="K858">
        <v>0</v>
      </c>
      <c r="M858">
        <v>0</v>
      </c>
      <c r="O858">
        <v>200000</v>
      </c>
      <c r="R858" t="s">
        <v>162</v>
      </c>
      <c r="S858">
        <v>7.8720157499999999E-2</v>
      </c>
      <c r="T858">
        <v>2.62400525E-5</v>
      </c>
      <c r="U858" t="s">
        <v>176</v>
      </c>
      <c r="V858">
        <v>4.5920091874999999E-2</v>
      </c>
      <c r="W858">
        <v>1.2792287994275</v>
      </c>
      <c r="X858" t="s">
        <v>177</v>
      </c>
      <c r="Y858">
        <v>7.6753727965649998E-2</v>
      </c>
      <c r="Z858">
        <v>0</v>
      </c>
      <c r="AA858" t="s">
        <v>178</v>
      </c>
      <c r="AB858">
        <v>0.1535074559313</v>
      </c>
      <c r="AC858">
        <v>1.5094899833244499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Q858" t="s">
        <v>262</v>
      </c>
      <c r="AR858" t="s">
        <v>263</v>
      </c>
      <c r="AS858">
        <v>1.3120026250000001</v>
      </c>
    </row>
    <row r="859" spans="1:45" x14ac:dyDescent="0.15">
      <c r="A859" s="4" t="str">
        <f>HYPERLINK("https://ibp.a2mac1.com/costing(costing:projects/details/9760/material/8755608)","Standard Structural Steel sheet")</f>
        <v>Standard Structural Steel sheet</v>
      </c>
      <c r="B859">
        <v>8755608</v>
      </c>
      <c r="C859">
        <v>12085995</v>
      </c>
      <c r="E859">
        <v>0.61129999999999995</v>
      </c>
      <c r="F859" t="s">
        <v>4999</v>
      </c>
      <c r="G859">
        <v>70</v>
      </c>
      <c r="H859" t="s">
        <v>5000</v>
      </c>
      <c r="I859">
        <v>30</v>
      </c>
      <c r="J859">
        <v>1.9999600007999841E-3</v>
      </c>
      <c r="K859">
        <v>0</v>
      </c>
      <c r="M859">
        <v>0</v>
      </c>
      <c r="O859">
        <v>200000</v>
      </c>
      <c r="R859" t="s">
        <v>162</v>
      </c>
      <c r="S859">
        <v>6.8378271428571431E-3</v>
      </c>
      <c r="T859">
        <v>1.5195171428571429E-6</v>
      </c>
      <c r="U859" t="s">
        <v>176</v>
      </c>
      <c r="V859">
        <v>2.6591549999999999E-3</v>
      </c>
      <c r="W859">
        <v>7.1798704517142861E-2</v>
      </c>
      <c r="X859" t="s">
        <v>177</v>
      </c>
      <c r="Y859">
        <v>4.3079222710285716E-3</v>
      </c>
      <c r="Z859">
        <v>0</v>
      </c>
      <c r="AA859" t="s">
        <v>178</v>
      </c>
      <c r="AB859">
        <v>8.6158445420571432E-3</v>
      </c>
      <c r="AC859">
        <v>8.4722471330228574E-2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Q859" t="s">
        <v>262</v>
      </c>
      <c r="AR859" t="s">
        <v>263</v>
      </c>
      <c r="AS859">
        <v>7.5975857142857137E-2</v>
      </c>
    </row>
    <row r="860" spans="1:45" x14ac:dyDescent="0.15">
      <c r="A860" s="4" t="str">
        <f>HYPERLINK("https://ibp.a2mac1.com/costing(costing:projects/details/9760/material/8756045)","Standard Structural Steel sheet")</f>
        <v>Standard Structural Steel sheet</v>
      </c>
      <c r="B860">
        <v>8756045</v>
      </c>
      <c r="C860">
        <v>12086442</v>
      </c>
      <c r="E860">
        <v>0.61129999999999995</v>
      </c>
      <c r="F860" t="s">
        <v>4570</v>
      </c>
      <c r="G860">
        <v>80</v>
      </c>
      <c r="H860" t="s">
        <v>4571</v>
      </c>
      <c r="I860">
        <v>30</v>
      </c>
      <c r="J860">
        <v>1.9999600007999841E-3</v>
      </c>
      <c r="K860">
        <v>0</v>
      </c>
      <c r="M860">
        <v>0</v>
      </c>
      <c r="O860">
        <v>200000</v>
      </c>
      <c r="R860" t="s">
        <v>162</v>
      </c>
      <c r="S860">
        <v>8.5734825000000001E-3</v>
      </c>
      <c r="T860">
        <v>2.8578275000000002E-6</v>
      </c>
      <c r="U860" t="s">
        <v>176</v>
      </c>
      <c r="V860">
        <v>5.001198125E-3</v>
      </c>
      <c r="W860">
        <v>0.13932194845250001</v>
      </c>
      <c r="X860" t="s">
        <v>177</v>
      </c>
      <c r="Y860">
        <v>8.3593169071499995E-3</v>
      </c>
      <c r="Z860">
        <v>0</v>
      </c>
      <c r="AA860" t="s">
        <v>178</v>
      </c>
      <c r="AB860">
        <v>1.6718633814299999E-2</v>
      </c>
      <c r="AC860">
        <v>0.16439989917395001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Q860" t="s">
        <v>262</v>
      </c>
      <c r="AR860" t="s">
        <v>263</v>
      </c>
      <c r="AS860">
        <v>0.14289137499999999</v>
      </c>
    </row>
    <row r="861" spans="1:45" x14ac:dyDescent="0.15">
      <c r="A861" s="4" t="str">
        <f>HYPERLINK("https://ibp.a2mac1.com/costing(costing:projects/details/9760/material/8756046)","Standard Structural Steel sheet")</f>
        <v>Standard Structural Steel sheet</v>
      </c>
      <c r="B861">
        <v>8756046</v>
      </c>
      <c r="C861">
        <v>12086443</v>
      </c>
      <c r="E861">
        <v>0.61129999999999995</v>
      </c>
      <c r="F861" t="s">
        <v>4873</v>
      </c>
      <c r="G861">
        <v>65</v>
      </c>
      <c r="H861" t="s">
        <v>5012</v>
      </c>
      <c r="I861">
        <v>30</v>
      </c>
      <c r="J861">
        <v>1.9999600007999841E-3</v>
      </c>
      <c r="K861">
        <v>0</v>
      </c>
      <c r="M861">
        <v>0</v>
      </c>
      <c r="O861">
        <v>200000</v>
      </c>
      <c r="R861" t="s">
        <v>162</v>
      </c>
      <c r="S861">
        <v>7.9986253846153852E-3</v>
      </c>
      <c r="T861">
        <v>1.5235476923076922E-6</v>
      </c>
      <c r="U861" t="s">
        <v>176</v>
      </c>
      <c r="V861">
        <v>2.6662084615384617E-3</v>
      </c>
      <c r="W861">
        <v>7.0846491240000004E-2</v>
      </c>
      <c r="X861" t="s">
        <v>177</v>
      </c>
      <c r="Y861">
        <v>4.2507894743999998E-3</v>
      </c>
      <c r="Z861">
        <v>0</v>
      </c>
      <c r="AA861" t="s">
        <v>178</v>
      </c>
      <c r="AB861">
        <v>8.5015789487999996E-3</v>
      </c>
      <c r="AC861">
        <v>8.3598859663200006E-2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Q861" t="s">
        <v>262</v>
      </c>
      <c r="AR861" t="s">
        <v>263</v>
      </c>
      <c r="AS861">
        <v>7.6177384615384619E-2</v>
      </c>
    </row>
    <row r="862" spans="1:45" x14ac:dyDescent="0.15">
      <c r="A862" s="4" t="str">
        <f>HYPERLINK("https://ibp.a2mac1.com/costing(costing:projects/details/9760/material/8755775)","Standard Structural Steel sheet")</f>
        <v>Standard Structural Steel sheet</v>
      </c>
      <c r="B862">
        <v>8755775</v>
      </c>
      <c r="C862">
        <v>12086189</v>
      </c>
      <c r="E862">
        <v>0.61129999999999995</v>
      </c>
      <c r="F862" t="s">
        <v>4971</v>
      </c>
      <c r="G862">
        <v>70</v>
      </c>
      <c r="H862" t="s">
        <v>4972</v>
      </c>
      <c r="I862">
        <v>30</v>
      </c>
      <c r="J862">
        <v>1.9999600007999841E-3</v>
      </c>
      <c r="K862">
        <v>0</v>
      </c>
      <c r="M862">
        <v>0</v>
      </c>
      <c r="O862">
        <v>200000</v>
      </c>
      <c r="R862" t="s">
        <v>162</v>
      </c>
      <c r="S862">
        <v>0.13832845714285713</v>
      </c>
      <c r="T862">
        <v>3.0739657142857144E-5</v>
      </c>
      <c r="U862" t="s">
        <v>176</v>
      </c>
      <c r="V862">
        <v>5.3794399999999999E-2</v>
      </c>
      <c r="W862">
        <v>1.4524795396571428</v>
      </c>
      <c r="X862" t="s">
        <v>177</v>
      </c>
      <c r="Y862">
        <v>8.7148772379428571E-2</v>
      </c>
      <c r="Z862">
        <v>0</v>
      </c>
      <c r="AA862" t="s">
        <v>178</v>
      </c>
      <c r="AB862">
        <v>0.17429754475885714</v>
      </c>
      <c r="AC862">
        <v>1.7139258567954285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Q862" t="s">
        <v>262</v>
      </c>
      <c r="AR862" t="s">
        <v>263</v>
      </c>
      <c r="AS862">
        <v>1.5369828571428572</v>
      </c>
    </row>
    <row r="863" spans="1:45" x14ac:dyDescent="0.15">
      <c r="A863" s="4" t="str">
        <f>HYPERLINK("https://ibp.a2mac1.com/costing(costing:projects/details/9760/material/8755776)","Standard Structural Steel sheet")</f>
        <v>Standard Structural Steel sheet</v>
      </c>
      <c r="B863">
        <v>8755776</v>
      </c>
      <c r="C863">
        <v>12086190</v>
      </c>
      <c r="E863">
        <v>0.61129999999999995</v>
      </c>
      <c r="F863" t="s">
        <v>4431</v>
      </c>
      <c r="G863">
        <v>80</v>
      </c>
      <c r="H863" t="s">
        <v>4977</v>
      </c>
      <c r="I863">
        <v>30</v>
      </c>
      <c r="J863">
        <v>1.9999600007999841E-3</v>
      </c>
      <c r="K863">
        <v>0</v>
      </c>
      <c r="M863">
        <v>0</v>
      </c>
      <c r="O863">
        <v>200000</v>
      </c>
      <c r="R863" t="s">
        <v>162</v>
      </c>
      <c r="S863">
        <v>3.3927150000000001E-3</v>
      </c>
      <c r="T863">
        <v>1.130905E-6</v>
      </c>
      <c r="U863" t="s">
        <v>176</v>
      </c>
      <c r="V863">
        <v>1.97908375E-3</v>
      </c>
      <c r="W863">
        <v>5.5132749655E-2</v>
      </c>
      <c r="X863" t="s">
        <v>177</v>
      </c>
      <c r="Y863">
        <v>3.3079649793000001E-3</v>
      </c>
      <c r="Z863">
        <v>0</v>
      </c>
      <c r="AA863" t="s">
        <v>178</v>
      </c>
      <c r="AB863">
        <v>6.6159299586000002E-3</v>
      </c>
      <c r="AC863">
        <v>6.5056644592900004E-2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Q863" t="s">
        <v>262</v>
      </c>
      <c r="AR863" t="s">
        <v>263</v>
      </c>
      <c r="AS863">
        <v>5.6545249999999998E-2</v>
      </c>
    </row>
    <row r="864" spans="1:45" x14ac:dyDescent="0.15">
      <c r="A864" s="4" t="str">
        <f>HYPERLINK("https://ibp.a2mac1.com/costing(costing:projects/details/9760/material/8755777)","Standard Structural Steel sheet")</f>
        <v>Standard Structural Steel sheet</v>
      </c>
      <c r="B864">
        <v>8755777</v>
      </c>
      <c r="C864">
        <v>12086191</v>
      </c>
      <c r="E864">
        <v>0.61129999999999995</v>
      </c>
      <c r="F864" t="s">
        <v>4984</v>
      </c>
      <c r="G864">
        <v>80</v>
      </c>
      <c r="H864" t="s">
        <v>4985</v>
      </c>
      <c r="I864">
        <v>30</v>
      </c>
      <c r="J864">
        <v>1.9999600007999841E-3</v>
      </c>
      <c r="K864">
        <v>0</v>
      </c>
      <c r="M864">
        <v>0</v>
      </c>
      <c r="O864">
        <v>200000</v>
      </c>
      <c r="R864" t="s">
        <v>162</v>
      </c>
      <c r="S864">
        <v>5.25870825E-2</v>
      </c>
      <c r="T864">
        <v>1.75290275E-5</v>
      </c>
      <c r="U864" t="s">
        <v>176</v>
      </c>
      <c r="V864">
        <v>3.0675798125000001E-2</v>
      </c>
      <c r="W864">
        <v>0.85455761965249999</v>
      </c>
      <c r="X864" t="s">
        <v>177</v>
      </c>
      <c r="Y864">
        <v>5.1273457179150002E-2</v>
      </c>
      <c r="Z864">
        <v>0</v>
      </c>
      <c r="AA864" t="s">
        <v>178</v>
      </c>
      <c r="AB864">
        <v>0.1025469143583</v>
      </c>
      <c r="AC864">
        <v>1.00837799118995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Q864" t="s">
        <v>262</v>
      </c>
      <c r="AR864" t="s">
        <v>263</v>
      </c>
      <c r="AS864">
        <v>0.87645137500000003</v>
      </c>
    </row>
    <row r="865" spans="1:45" x14ac:dyDescent="0.15">
      <c r="A865" s="4" t="str">
        <f>HYPERLINK("https://ibp.a2mac1.com/costing(costing:projects/details/9760/material/8755778)","Standard Structural Steel sheet")</f>
        <v>Standard Structural Steel sheet</v>
      </c>
      <c r="B865">
        <v>8755778</v>
      </c>
      <c r="C865">
        <v>12086192</v>
      </c>
      <c r="E865">
        <v>0.61129999999999995</v>
      </c>
      <c r="F865" t="s">
        <v>4990</v>
      </c>
      <c r="G865">
        <v>75</v>
      </c>
      <c r="H865" t="s">
        <v>4991</v>
      </c>
      <c r="I865">
        <v>30</v>
      </c>
      <c r="J865">
        <v>1.9999600007999841E-3</v>
      </c>
      <c r="K865">
        <v>0</v>
      </c>
      <c r="M865">
        <v>0</v>
      </c>
      <c r="O865">
        <v>200000</v>
      </c>
      <c r="R865" t="s">
        <v>162</v>
      </c>
      <c r="S865">
        <v>2.2312450000000001E-2</v>
      </c>
      <c r="T865">
        <v>5.9499866666666669E-6</v>
      </c>
      <c r="U865" t="s">
        <v>176</v>
      </c>
      <c r="V865">
        <v>1.0412476666666667E-2</v>
      </c>
      <c r="W865">
        <v>0.28560530998666667</v>
      </c>
      <c r="X865" t="s">
        <v>177</v>
      </c>
      <c r="Y865">
        <v>1.71363185992E-2</v>
      </c>
      <c r="Z865">
        <v>0</v>
      </c>
      <c r="AA865" t="s">
        <v>178</v>
      </c>
      <c r="AB865">
        <v>3.4272637198399999E-2</v>
      </c>
      <c r="AC865">
        <v>0.33701426578426669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Q865" t="s">
        <v>262</v>
      </c>
      <c r="AR865" t="s">
        <v>263</v>
      </c>
      <c r="AS865">
        <v>0.29749933333333334</v>
      </c>
    </row>
    <row r="866" spans="1:45" x14ac:dyDescent="0.15">
      <c r="A866" s="4" t="str">
        <f>HYPERLINK("https://ibp.a2mac1.com/costing(costing:projects/details/9760/material/8755609)","Standard Structural Steel sheet")</f>
        <v>Standard Structural Steel sheet</v>
      </c>
      <c r="B866">
        <v>8755609</v>
      </c>
      <c r="C866">
        <v>12085996</v>
      </c>
      <c r="E866">
        <v>0.61129999999999995</v>
      </c>
      <c r="F866" t="s">
        <v>4959</v>
      </c>
      <c r="G866">
        <v>80</v>
      </c>
      <c r="H866" t="s">
        <v>4960</v>
      </c>
      <c r="I866">
        <v>30</v>
      </c>
      <c r="J866">
        <v>1.9999600007999841E-3</v>
      </c>
      <c r="K866">
        <v>0</v>
      </c>
      <c r="M866">
        <v>0</v>
      </c>
      <c r="O866">
        <v>200000</v>
      </c>
      <c r="R866" t="s">
        <v>162</v>
      </c>
      <c r="S866">
        <v>0.19526450249999999</v>
      </c>
      <c r="T866">
        <v>6.5088167500000006E-5</v>
      </c>
      <c r="U866" t="s">
        <v>176</v>
      </c>
      <c r="V866">
        <v>0.113904293125</v>
      </c>
      <c r="W866">
        <v>3.1731132537925002</v>
      </c>
      <c r="X866" t="s">
        <v>90</v>
      </c>
      <c r="Y866">
        <v>0</v>
      </c>
      <c r="Z866">
        <v>0</v>
      </c>
      <c r="AA866" t="s">
        <v>90</v>
      </c>
      <c r="AB866">
        <v>0</v>
      </c>
      <c r="AC866">
        <v>3.1731132537925002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Q866" t="s">
        <v>262</v>
      </c>
      <c r="AR866" t="s">
        <v>263</v>
      </c>
      <c r="AS866">
        <v>3.2544083750000001</v>
      </c>
    </row>
    <row r="867" spans="1:45" x14ac:dyDescent="0.15">
      <c r="A867" s="4" t="str">
        <f>HYPERLINK("https://ibp.a2mac1.com/costing(costing:projects/details/9760/material/8755360)","PC-ABS")</f>
        <v>PC-ABS</v>
      </c>
      <c r="B867">
        <v>8755360</v>
      </c>
      <c r="C867">
        <v>12085670</v>
      </c>
      <c r="E867">
        <v>2.29312</v>
      </c>
      <c r="F867" t="s">
        <v>5074</v>
      </c>
      <c r="G867">
        <v>95</v>
      </c>
      <c r="H867" t="s">
        <v>5075</v>
      </c>
      <c r="I867">
        <v>5</v>
      </c>
      <c r="J867">
        <v>0.50345253019720215</v>
      </c>
      <c r="K867">
        <v>0</v>
      </c>
      <c r="M867">
        <v>0</v>
      </c>
      <c r="O867">
        <v>200000</v>
      </c>
      <c r="R867" t="s">
        <v>162</v>
      </c>
      <c r="S867">
        <v>6.8190147368421051E-4</v>
      </c>
      <c r="T867">
        <v>1.380168582736842E-3</v>
      </c>
      <c r="U867" t="s">
        <v>176</v>
      </c>
      <c r="V867">
        <v>9.5466206315789476E-3</v>
      </c>
      <c r="W867">
        <v>0.28300547721431579</v>
      </c>
      <c r="X867" t="s">
        <v>90</v>
      </c>
      <c r="Y867">
        <v>0</v>
      </c>
      <c r="Z867">
        <v>0</v>
      </c>
      <c r="AA867" t="s">
        <v>90</v>
      </c>
      <c r="AB867">
        <v>0</v>
      </c>
      <c r="AC867">
        <v>0.28300547721431579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Q867" t="s">
        <v>262</v>
      </c>
      <c r="AR867" t="s">
        <v>263</v>
      </c>
      <c r="AS867">
        <v>0.2727605894736842</v>
      </c>
    </row>
    <row r="868" spans="1:45" x14ac:dyDescent="0.15">
      <c r="A868" s="4" t="str">
        <f>HYPERLINK("https://ibp.a2mac1.com/costing(costing:projects/details/9760/material/8755361)","PVC + Fabric backing 3mm PU foam")</f>
        <v>PVC + Fabric backing 3mm PU foam</v>
      </c>
      <c r="B868">
        <v>8755361</v>
      </c>
      <c r="C868">
        <v>12085671</v>
      </c>
      <c r="E868">
        <v>4.91</v>
      </c>
      <c r="F868" t="s">
        <v>784</v>
      </c>
      <c r="G868">
        <v>94</v>
      </c>
      <c r="H868" t="s">
        <v>5080</v>
      </c>
      <c r="I868">
        <v>0</v>
      </c>
      <c r="J868">
        <v>0.50345253019720215</v>
      </c>
      <c r="K868">
        <v>0</v>
      </c>
      <c r="L868">
        <v>0</v>
      </c>
      <c r="M868">
        <v>0</v>
      </c>
      <c r="O868">
        <v>200000</v>
      </c>
      <c r="R868" t="s">
        <v>162</v>
      </c>
      <c r="S868">
        <v>0</v>
      </c>
      <c r="T868">
        <v>1.6122559574468084E-3</v>
      </c>
      <c r="U868" t="s">
        <v>176</v>
      </c>
      <c r="V868">
        <v>1.1151968085106384E-2</v>
      </c>
      <c r="W868">
        <v>0.33139188361702127</v>
      </c>
      <c r="X868" t="s">
        <v>90</v>
      </c>
      <c r="Y868">
        <v>0</v>
      </c>
      <c r="Z868">
        <v>0</v>
      </c>
      <c r="AA868" t="s">
        <v>90</v>
      </c>
      <c r="AB868">
        <v>0</v>
      </c>
      <c r="AC868">
        <v>0.33139188361702127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Q868" t="s">
        <v>9</v>
      </c>
      <c r="AR868" t="s">
        <v>263</v>
      </c>
      <c r="AS868">
        <v>0.31862765957446809</v>
      </c>
    </row>
    <row r="869" spans="1:45" x14ac:dyDescent="0.15">
      <c r="A869" s="4" t="str">
        <f>HYPERLINK("https://ibp.a2mac1.com/costing(costing:projects/details/9760/material/8755362)","PC-ABS")</f>
        <v>PC-ABS</v>
      </c>
      <c r="B869">
        <v>8755362</v>
      </c>
      <c r="C869">
        <v>12085671</v>
      </c>
      <c r="E869">
        <v>2.29312</v>
      </c>
      <c r="F869" t="s">
        <v>5082</v>
      </c>
      <c r="G869">
        <v>95</v>
      </c>
      <c r="H869" t="s">
        <v>5083</v>
      </c>
      <c r="I869">
        <v>5</v>
      </c>
      <c r="J869">
        <v>0.50345253019720215</v>
      </c>
      <c r="K869">
        <v>0</v>
      </c>
      <c r="L869">
        <v>0</v>
      </c>
      <c r="M869">
        <v>0</v>
      </c>
      <c r="O869">
        <v>200000</v>
      </c>
      <c r="R869" t="s">
        <v>162</v>
      </c>
      <c r="S869">
        <v>1.1043183157894737E-3</v>
      </c>
      <c r="T869">
        <v>2.2351402711578948E-3</v>
      </c>
      <c r="U869" t="s">
        <v>176</v>
      </c>
      <c r="V869">
        <v>1.5460456421052631E-2</v>
      </c>
      <c r="W869">
        <v>0.45831860469221053</v>
      </c>
      <c r="X869" t="s">
        <v>90</v>
      </c>
      <c r="Y869">
        <v>0</v>
      </c>
      <c r="Z869">
        <v>0</v>
      </c>
      <c r="AA869" t="s">
        <v>90</v>
      </c>
      <c r="AB869">
        <v>0</v>
      </c>
      <c r="AC869">
        <v>0.45831860469221053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Q869" t="s">
        <v>262</v>
      </c>
      <c r="AR869" t="s">
        <v>263</v>
      </c>
      <c r="AS869">
        <v>0.44172732631578948</v>
      </c>
    </row>
    <row r="870" spans="1:45" x14ac:dyDescent="0.15">
      <c r="A870" s="4" t="str">
        <f>HYPERLINK("https://ibp.a2mac1.com/costing(costing:projects/details/9760/material/8755363)","PA")</f>
        <v>PA</v>
      </c>
      <c r="B870">
        <v>8755363</v>
      </c>
      <c r="C870">
        <v>12085672</v>
      </c>
      <c r="E870">
        <v>2.03416</v>
      </c>
      <c r="F870" t="s">
        <v>5087</v>
      </c>
      <c r="G870">
        <v>95</v>
      </c>
      <c r="H870" t="s">
        <v>5088</v>
      </c>
      <c r="I870">
        <v>5</v>
      </c>
      <c r="J870">
        <v>0.50345253019720215</v>
      </c>
      <c r="K870">
        <v>0</v>
      </c>
      <c r="M870">
        <v>0</v>
      </c>
      <c r="O870">
        <v>200000</v>
      </c>
      <c r="R870" t="s">
        <v>162</v>
      </c>
      <c r="S870">
        <v>1.8200378947368421E-4</v>
      </c>
      <c r="T870">
        <v>3.6837566989473685E-4</v>
      </c>
      <c r="U870" t="s">
        <v>176</v>
      </c>
      <c r="V870">
        <v>2.548053052631579E-3</v>
      </c>
      <c r="W870">
        <v>7.5535940722526312E-2</v>
      </c>
      <c r="X870" t="s">
        <v>177</v>
      </c>
      <c r="Y870">
        <v>4.5321564433515793E-3</v>
      </c>
      <c r="Z870">
        <v>0</v>
      </c>
      <c r="AA870" t="s">
        <v>178</v>
      </c>
      <c r="AB870">
        <v>9.0643128867031585E-3</v>
      </c>
      <c r="AC870">
        <v>8.9132410052581046E-2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Q870" t="s">
        <v>262</v>
      </c>
      <c r="AR870" t="s">
        <v>263</v>
      </c>
      <c r="AS870">
        <v>7.2801515789473678E-2</v>
      </c>
    </row>
    <row r="871" spans="1:45" x14ac:dyDescent="0.15">
      <c r="A871" s="4" t="str">
        <f>HYPERLINK("https://ibp.a2mac1.com/costing(costing:projects/details/9760/material/8755364)","PP-EPDM")</f>
        <v>PP-EPDM</v>
      </c>
      <c r="B871">
        <v>8755364</v>
      </c>
      <c r="C871">
        <v>12085673</v>
      </c>
      <c r="E871">
        <v>1.7894600000000001</v>
      </c>
      <c r="F871" t="s">
        <v>5094</v>
      </c>
      <c r="G871">
        <v>95</v>
      </c>
      <c r="H871" t="s">
        <v>5095</v>
      </c>
      <c r="I871">
        <v>5</v>
      </c>
      <c r="J871">
        <v>0.50345253019720215</v>
      </c>
      <c r="K871">
        <v>0</v>
      </c>
      <c r="M871">
        <v>0</v>
      </c>
      <c r="O871">
        <v>200000</v>
      </c>
      <c r="R871" t="s">
        <v>162</v>
      </c>
      <c r="S871">
        <v>4.3794678947368422E-4</v>
      </c>
      <c r="T871">
        <v>8.8640430189473689E-4</v>
      </c>
      <c r="U871" t="s">
        <v>176</v>
      </c>
      <c r="V871">
        <v>6.1312550526315792E-3</v>
      </c>
      <c r="W871">
        <v>0.18175842835452632</v>
      </c>
      <c r="X871" t="s">
        <v>177</v>
      </c>
      <c r="Y871">
        <v>1.0905505701271578E-2</v>
      </c>
      <c r="Z871">
        <v>0</v>
      </c>
      <c r="AA871" t="s">
        <v>178</v>
      </c>
      <c r="AB871">
        <v>2.1811011402543157E-2</v>
      </c>
      <c r="AC871">
        <v>0.21447494545834106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Q871" t="s">
        <v>262</v>
      </c>
      <c r="AR871" t="s">
        <v>263</v>
      </c>
      <c r="AS871">
        <v>0.17517871578947369</v>
      </c>
    </row>
    <row r="872" spans="1:45" x14ac:dyDescent="0.15">
      <c r="A872" s="4" t="str">
        <f>HYPERLINK("https://ibp.a2mac1.com/costing(costing:projects/details/9760/material/8755365)","PP")</f>
        <v>PP</v>
      </c>
      <c r="B872">
        <v>8755365</v>
      </c>
      <c r="C872">
        <v>12085674</v>
      </c>
      <c r="E872">
        <v>1.0113799999999999</v>
      </c>
      <c r="F872" t="s">
        <v>5099</v>
      </c>
      <c r="G872">
        <v>95</v>
      </c>
      <c r="H872" t="s">
        <v>5100</v>
      </c>
      <c r="I872">
        <v>5</v>
      </c>
      <c r="J872">
        <v>0.50345253019720215</v>
      </c>
      <c r="K872">
        <v>0</v>
      </c>
      <c r="M872">
        <v>0</v>
      </c>
      <c r="O872">
        <v>200000</v>
      </c>
      <c r="R872" t="s">
        <v>162</v>
      </c>
      <c r="S872">
        <v>9.8476473684210532E-5</v>
      </c>
      <c r="T872">
        <v>1.9931638273684211E-4</v>
      </c>
      <c r="U872" t="s">
        <v>176</v>
      </c>
      <c r="V872">
        <v>1.3786706315789474E-3</v>
      </c>
      <c r="W872">
        <v>4.0870100014315791E-2</v>
      </c>
      <c r="X872" t="s">
        <v>177</v>
      </c>
      <c r="Y872">
        <v>2.4522060008589472E-3</v>
      </c>
      <c r="Z872">
        <v>0</v>
      </c>
      <c r="AA872" t="s">
        <v>178</v>
      </c>
      <c r="AB872">
        <v>4.9044120017178944E-3</v>
      </c>
      <c r="AC872">
        <v>4.8226718016892635E-2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Q872" t="s">
        <v>262</v>
      </c>
      <c r="AR872" t="s">
        <v>263</v>
      </c>
      <c r="AS872">
        <v>3.9390589473684214E-2</v>
      </c>
    </row>
    <row r="873" spans="1:45" x14ac:dyDescent="0.15">
      <c r="A873" s="4" t="str">
        <f>HYPERLINK("https://ibp.a2mac1.com/costing(costing:projects/details/9760/material/8755366)","Aluminum sheet body (default, e.g. EN-AW6063)")</f>
        <v>Aluminum sheet body (default, e.g. EN-AW6063)</v>
      </c>
      <c r="B873">
        <v>8755366</v>
      </c>
      <c r="C873">
        <v>12085675</v>
      </c>
      <c r="E873">
        <v>3.79636</v>
      </c>
      <c r="F873" t="s">
        <v>1627</v>
      </c>
      <c r="G873">
        <v>80</v>
      </c>
      <c r="H873" t="s">
        <v>5104</v>
      </c>
      <c r="I873">
        <v>30</v>
      </c>
      <c r="J873">
        <v>0.50345253019720215</v>
      </c>
      <c r="K873">
        <v>0</v>
      </c>
      <c r="M873">
        <v>0</v>
      </c>
      <c r="O873">
        <v>200000</v>
      </c>
      <c r="R873" t="s">
        <v>162</v>
      </c>
      <c r="S873">
        <v>8.5418099999999997E-4</v>
      </c>
      <c r="T873">
        <v>7.2035931000000004E-5</v>
      </c>
      <c r="U873" t="s">
        <v>176</v>
      </c>
      <c r="V873">
        <v>4.9827224999999999E-4</v>
      </c>
      <c r="W873">
        <v>1.3952477180999999E-2</v>
      </c>
      <c r="X873" t="s">
        <v>177</v>
      </c>
      <c r="Y873">
        <v>8.3714863086E-4</v>
      </c>
      <c r="Z873">
        <v>0</v>
      </c>
      <c r="AA873" t="s">
        <v>178</v>
      </c>
      <c r="AB873">
        <v>1.67429726172E-3</v>
      </c>
      <c r="AC873">
        <v>1.6463923073580002E-2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Q873" t="s">
        <v>262</v>
      </c>
      <c r="AR873" t="s">
        <v>263</v>
      </c>
      <c r="AS873">
        <v>1.423635E-2</v>
      </c>
    </row>
    <row r="874" spans="1:45" x14ac:dyDescent="0.15">
      <c r="A874" s="4" t="str">
        <f>HYPERLINK("https://ibp.a2mac1.com/costing(costing:projects/details/9760/material/8755367)","Aluminum sheet body (default, e.g. EN-AW6063)")</f>
        <v>Aluminum sheet body (default, e.g. EN-AW6063)</v>
      </c>
      <c r="B874">
        <v>8755367</v>
      </c>
      <c r="C874">
        <v>12085676</v>
      </c>
      <c r="E874">
        <v>3.79636</v>
      </c>
      <c r="F874" t="s">
        <v>4249</v>
      </c>
      <c r="G874">
        <v>80</v>
      </c>
      <c r="H874" t="s">
        <v>5109</v>
      </c>
      <c r="I874">
        <v>30</v>
      </c>
      <c r="J874">
        <v>0.50345253019720215</v>
      </c>
      <c r="K874">
        <v>0</v>
      </c>
      <c r="M874">
        <v>0</v>
      </c>
      <c r="O874">
        <v>200000</v>
      </c>
      <c r="R874" t="s">
        <v>162</v>
      </c>
      <c r="S874">
        <v>5.9792669999999999E-3</v>
      </c>
      <c r="T874">
        <v>5.0425151700000004E-4</v>
      </c>
      <c r="U874" t="s">
        <v>176</v>
      </c>
      <c r="V874">
        <v>3.48790575E-3</v>
      </c>
      <c r="W874">
        <v>9.7667340266999997E-2</v>
      </c>
      <c r="X874" t="s">
        <v>177</v>
      </c>
      <c r="Y874">
        <v>5.8600404160200001E-3</v>
      </c>
      <c r="Z874">
        <v>0</v>
      </c>
      <c r="AA874" t="s">
        <v>178</v>
      </c>
      <c r="AB874">
        <v>1.172008083204E-2</v>
      </c>
      <c r="AC874">
        <v>0.11524746151506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Q874" t="s">
        <v>262</v>
      </c>
      <c r="AR874" t="s">
        <v>263</v>
      </c>
      <c r="AS874">
        <v>9.9654450000000006E-2</v>
      </c>
    </row>
    <row r="875" spans="1:45" x14ac:dyDescent="0.15">
      <c r="A875" s="4" t="str">
        <f>HYPERLINK("https://ibp.a2mac1.com/costing(costing:projects/details/9760/material/8755368)","PC-ABS")</f>
        <v>PC-ABS</v>
      </c>
      <c r="B875">
        <v>8755368</v>
      </c>
      <c r="C875">
        <v>12085677</v>
      </c>
      <c r="E875">
        <v>2.29312</v>
      </c>
      <c r="F875" t="s">
        <v>5114</v>
      </c>
      <c r="G875">
        <v>95</v>
      </c>
      <c r="H875" t="s">
        <v>5115</v>
      </c>
      <c r="I875">
        <v>5</v>
      </c>
      <c r="J875">
        <v>0.50345253019720215</v>
      </c>
      <c r="K875">
        <v>0</v>
      </c>
      <c r="M875">
        <v>0</v>
      </c>
      <c r="O875">
        <v>200000</v>
      </c>
      <c r="R875" t="s">
        <v>162</v>
      </c>
      <c r="S875">
        <v>2.8362273684210526E-4</v>
      </c>
      <c r="T875">
        <v>5.7405241936842109E-4</v>
      </c>
      <c r="U875" t="s">
        <v>176</v>
      </c>
      <c r="V875">
        <v>3.9707183157894734E-3</v>
      </c>
      <c r="W875">
        <v>0.1177102427351579</v>
      </c>
      <c r="X875" t="s">
        <v>177</v>
      </c>
      <c r="Y875">
        <v>7.0626145641094736E-3</v>
      </c>
      <c r="Z875">
        <v>0</v>
      </c>
      <c r="AA875" t="s">
        <v>178</v>
      </c>
      <c r="AB875">
        <v>1.4125229128218947E-2</v>
      </c>
      <c r="AC875">
        <v>0.13889808642748633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Q875" t="s">
        <v>262</v>
      </c>
      <c r="AR875" t="s">
        <v>263</v>
      </c>
      <c r="AS875">
        <v>0.1134490947368421</v>
      </c>
    </row>
    <row r="876" spans="1:45" x14ac:dyDescent="0.15">
      <c r="A876" s="4" t="str">
        <f>HYPERLINK("https://ibp.a2mac1.com/costing(costing:projects/details/9760/material/8754956)","PP-EPDM")</f>
        <v>PP-EPDM</v>
      </c>
      <c r="B876">
        <v>8754956</v>
      </c>
      <c r="C876">
        <v>12085317</v>
      </c>
      <c r="E876">
        <v>1.7894600000000001</v>
      </c>
      <c r="F876" t="s">
        <v>5120</v>
      </c>
      <c r="G876">
        <v>95</v>
      </c>
      <c r="H876" t="s">
        <v>5121</v>
      </c>
      <c r="I876">
        <v>5</v>
      </c>
      <c r="J876">
        <v>0.50345253019720215</v>
      </c>
      <c r="K876">
        <v>0</v>
      </c>
      <c r="M876">
        <v>0</v>
      </c>
      <c r="O876">
        <v>200000</v>
      </c>
      <c r="R876" t="s">
        <v>162</v>
      </c>
      <c r="S876">
        <v>6.7999480000000001E-3</v>
      </c>
      <c r="T876">
        <v>1.3763094752E-2</v>
      </c>
      <c r="U876" t="s">
        <v>176</v>
      </c>
      <c r="V876">
        <v>9.5199272000000001E-2</v>
      </c>
      <c r="W876">
        <v>2.8221416187520001</v>
      </c>
      <c r="X876" t="s">
        <v>90</v>
      </c>
      <c r="Y876">
        <v>0</v>
      </c>
      <c r="Z876">
        <v>0</v>
      </c>
      <c r="AA876" t="s">
        <v>90</v>
      </c>
      <c r="AB876">
        <v>0</v>
      </c>
      <c r="AC876">
        <v>2.8221416187520001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Q876" t="s">
        <v>262</v>
      </c>
      <c r="AR876" t="s">
        <v>263</v>
      </c>
      <c r="AS876">
        <v>2.7199792</v>
      </c>
    </row>
    <row r="877" spans="1:45" x14ac:dyDescent="0.15">
      <c r="A877" s="4" t="str">
        <f>HYPERLINK("https://ibp.a2mac1.com/costing(costing:projects/details/9760/material/8754957)","PC-ABS")</f>
        <v>PC-ABS</v>
      </c>
      <c r="B877">
        <v>8754957</v>
      </c>
      <c r="C877">
        <v>12085318</v>
      </c>
      <c r="E877">
        <v>2.29312</v>
      </c>
      <c r="F877" t="s">
        <v>4695</v>
      </c>
      <c r="G877">
        <v>95</v>
      </c>
      <c r="H877" t="s">
        <v>4696</v>
      </c>
      <c r="I877">
        <v>5</v>
      </c>
      <c r="J877">
        <v>0.50345253019720215</v>
      </c>
      <c r="K877">
        <v>0</v>
      </c>
      <c r="L877">
        <v>0</v>
      </c>
      <c r="M877">
        <v>0</v>
      </c>
      <c r="O877">
        <v>200000</v>
      </c>
      <c r="R877" t="s">
        <v>162</v>
      </c>
      <c r="S877">
        <v>1.3456993684210527E-3</v>
      </c>
      <c r="T877">
        <v>2.7236955216842105E-3</v>
      </c>
      <c r="U877" t="s">
        <v>176</v>
      </c>
      <c r="V877">
        <v>1.8839791157894737E-2</v>
      </c>
      <c r="W877">
        <v>0.55849753467957897</v>
      </c>
      <c r="X877" t="s">
        <v>90</v>
      </c>
      <c r="Y877">
        <v>0</v>
      </c>
      <c r="Z877">
        <v>0</v>
      </c>
      <c r="AA877" t="s">
        <v>90</v>
      </c>
      <c r="AB877">
        <v>0</v>
      </c>
      <c r="AC877">
        <v>0.55849753467957897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Q877" t="s">
        <v>262</v>
      </c>
      <c r="AR877" t="s">
        <v>263</v>
      </c>
      <c r="AS877">
        <v>0.5382797473684211</v>
      </c>
    </row>
    <row r="878" spans="1:45" x14ac:dyDescent="0.15">
      <c r="A878" s="4" t="str">
        <f>HYPERLINK("https://ibp.a2mac1.com/costing(costing:projects/details/9760/material/8754958)","PVC + Fabric backing 3mm PU foam")</f>
        <v>PVC + Fabric backing 3mm PU foam</v>
      </c>
      <c r="B878">
        <v>8754958</v>
      </c>
      <c r="C878">
        <v>12085318</v>
      </c>
      <c r="E878">
        <v>4.91</v>
      </c>
      <c r="F878" t="s">
        <v>5127</v>
      </c>
      <c r="G878">
        <v>94</v>
      </c>
      <c r="H878" t="s">
        <v>5128</v>
      </c>
      <c r="I878">
        <v>0</v>
      </c>
      <c r="J878">
        <v>0.50345253019720215</v>
      </c>
      <c r="K878">
        <v>0</v>
      </c>
      <c r="L878">
        <v>0</v>
      </c>
      <c r="M878">
        <v>0</v>
      </c>
      <c r="O878">
        <v>200000</v>
      </c>
      <c r="R878" t="s">
        <v>162</v>
      </c>
      <c r="S878">
        <v>0</v>
      </c>
      <c r="T878">
        <v>2.9469924468085106E-3</v>
      </c>
      <c r="U878" t="s">
        <v>176</v>
      </c>
      <c r="V878">
        <v>2.0384335106382979E-2</v>
      </c>
      <c r="W878">
        <v>0.60574090202127662</v>
      </c>
      <c r="X878" t="s">
        <v>90</v>
      </c>
      <c r="Y878">
        <v>0</v>
      </c>
      <c r="Z878">
        <v>0</v>
      </c>
      <c r="AA878" t="s">
        <v>90</v>
      </c>
      <c r="AB878">
        <v>0</v>
      </c>
      <c r="AC878">
        <v>0.60574090202127662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Q878" t="s">
        <v>9</v>
      </c>
      <c r="AR878" t="s">
        <v>263</v>
      </c>
      <c r="AS878">
        <v>0.58240957446808506</v>
      </c>
    </row>
    <row r="879" spans="1:45" x14ac:dyDescent="0.15">
      <c r="A879" s="4" t="str">
        <f>HYPERLINK("https://ibp.a2mac1.com/costing(costing:projects/details/9760/material/8754959)","PP-EPDM")</f>
        <v>PP-EPDM</v>
      </c>
      <c r="B879">
        <v>8754959</v>
      </c>
      <c r="C879">
        <v>12085319</v>
      </c>
      <c r="E879">
        <v>1.7894600000000001</v>
      </c>
      <c r="F879" t="s">
        <v>5131</v>
      </c>
      <c r="G879">
        <v>95</v>
      </c>
      <c r="H879" t="s">
        <v>5132</v>
      </c>
      <c r="I879">
        <v>5</v>
      </c>
      <c r="J879">
        <v>0.50345253019720215</v>
      </c>
      <c r="K879">
        <v>0</v>
      </c>
      <c r="L879">
        <v>0</v>
      </c>
      <c r="M879">
        <v>0</v>
      </c>
      <c r="O879">
        <v>200000</v>
      </c>
      <c r="R879" t="s">
        <v>162</v>
      </c>
      <c r="S879">
        <v>3.126845894736842E-3</v>
      </c>
      <c r="T879">
        <v>6.3287360909473683E-3</v>
      </c>
      <c r="U879" t="s">
        <v>176</v>
      </c>
      <c r="V879">
        <v>4.3775842526315792E-2</v>
      </c>
      <c r="W879">
        <v>1.2977160906172631</v>
      </c>
      <c r="X879" t="s">
        <v>90</v>
      </c>
      <c r="Y879">
        <v>0</v>
      </c>
      <c r="Z879">
        <v>0</v>
      </c>
      <c r="AA879" t="s">
        <v>90</v>
      </c>
      <c r="AB879">
        <v>0</v>
      </c>
      <c r="AC879">
        <v>1.2977160906172631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Q879" t="s">
        <v>262</v>
      </c>
      <c r="AR879" t="s">
        <v>263</v>
      </c>
      <c r="AS879">
        <v>1.2507383578947369</v>
      </c>
    </row>
    <row r="880" spans="1:45" x14ac:dyDescent="0.15">
      <c r="A880" s="4" t="str">
        <f>HYPERLINK("https://ibp.a2mac1.com/costing(costing:projects/details/9760/material/8754960)","PVC + Fabric backing 3mm PU foam")</f>
        <v>PVC + Fabric backing 3mm PU foam</v>
      </c>
      <c r="B880">
        <v>8754960</v>
      </c>
      <c r="C880">
        <v>12085319</v>
      </c>
      <c r="E880">
        <v>4.91</v>
      </c>
      <c r="F880" t="s">
        <v>5134</v>
      </c>
      <c r="G880">
        <v>94</v>
      </c>
      <c r="H880" t="s">
        <v>5135</v>
      </c>
      <c r="I880">
        <v>0</v>
      </c>
      <c r="J880">
        <v>0.50345253019720215</v>
      </c>
      <c r="K880">
        <v>0</v>
      </c>
      <c r="L880">
        <v>0</v>
      </c>
      <c r="M880">
        <v>0</v>
      </c>
      <c r="O880">
        <v>200000</v>
      </c>
      <c r="R880" t="s">
        <v>162</v>
      </c>
      <c r="S880">
        <v>0</v>
      </c>
      <c r="T880">
        <v>8.7749012765957445E-3</v>
      </c>
      <c r="U880" t="s">
        <v>176</v>
      </c>
      <c r="V880">
        <v>6.0695957446808509E-2</v>
      </c>
      <c r="W880">
        <v>1.8036410714893616</v>
      </c>
      <c r="X880" t="s">
        <v>90</v>
      </c>
      <c r="Y880">
        <v>0</v>
      </c>
      <c r="Z880">
        <v>0</v>
      </c>
      <c r="AA880" t="s">
        <v>90</v>
      </c>
      <c r="AB880">
        <v>0</v>
      </c>
      <c r="AC880">
        <v>1.8036410714893616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Q880" t="s">
        <v>9</v>
      </c>
      <c r="AR880" t="s">
        <v>263</v>
      </c>
      <c r="AS880">
        <v>1.7341702127659575</v>
      </c>
    </row>
    <row r="881" spans="1:45" x14ac:dyDescent="0.15">
      <c r="A881" s="4" t="str">
        <f>HYPERLINK("https://ibp.a2mac1.com/costing(costing:projects/details/9760/material/8754961)","ABS-PC")</f>
        <v>ABS-PC</v>
      </c>
      <c r="B881">
        <v>8754961</v>
      </c>
      <c r="C881">
        <v>12085320</v>
      </c>
      <c r="E881">
        <v>2.29312</v>
      </c>
      <c r="F881" t="s">
        <v>5139</v>
      </c>
      <c r="G881">
        <v>95</v>
      </c>
      <c r="H881" t="s">
        <v>5140</v>
      </c>
      <c r="I881">
        <v>5</v>
      </c>
      <c r="J881">
        <v>0.50345253019720215</v>
      </c>
      <c r="K881">
        <v>0</v>
      </c>
      <c r="L881">
        <v>0</v>
      </c>
      <c r="M881">
        <v>0</v>
      </c>
      <c r="O881">
        <v>200000</v>
      </c>
      <c r="R881" t="s">
        <v>162</v>
      </c>
      <c r="S881">
        <v>6.2759073684210526E-4</v>
      </c>
      <c r="T881">
        <v>1.2702436513684211E-3</v>
      </c>
      <c r="U881" t="s">
        <v>176</v>
      </c>
      <c r="V881">
        <v>8.7862703157894732E-3</v>
      </c>
      <c r="W881">
        <v>0.26046521796715788</v>
      </c>
      <c r="X881" t="s">
        <v>90</v>
      </c>
      <c r="Y881">
        <v>0</v>
      </c>
      <c r="Z881">
        <v>0</v>
      </c>
      <c r="AA881" t="s">
        <v>90</v>
      </c>
      <c r="AB881">
        <v>0</v>
      </c>
      <c r="AC881">
        <v>0.26046521796715788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P881" t="s">
        <v>5141</v>
      </c>
      <c r="AQ881" t="s">
        <v>262</v>
      </c>
      <c r="AR881" t="s">
        <v>263</v>
      </c>
      <c r="AS881">
        <v>0.25103629473684208</v>
      </c>
    </row>
    <row r="882" spans="1:45" x14ac:dyDescent="0.15">
      <c r="A882" s="4" t="str">
        <f>HYPERLINK("https://ibp.a2mac1.com/costing(costing:projects/details/9760/material/8754962)","PP-EPDM")</f>
        <v>PP-EPDM</v>
      </c>
      <c r="B882">
        <v>8754962</v>
      </c>
      <c r="C882">
        <v>12085321</v>
      </c>
      <c r="E882">
        <v>1.7894600000000001</v>
      </c>
      <c r="F882" t="s">
        <v>4332</v>
      </c>
      <c r="G882">
        <v>95</v>
      </c>
      <c r="H882" t="s">
        <v>4333</v>
      </c>
      <c r="I882">
        <v>5</v>
      </c>
      <c r="J882">
        <v>0.50345253019720215</v>
      </c>
      <c r="K882">
        <v>0</v>
      </c>
      <c r="L882">
        <v>0</v>
      </c>
      <c r="M882">
        <v>0</v>
      </c>
      <c r="O882">
        <v>200000</v>
      </c>
      <c r="R882" t="s">
        <v>162</v>
      </c>
      <c r="S882">
        <v>1.3279676842105263E-3</v>
      </c>
      <c r="T882">
        <v>2.6878065928421053E-3</v>
      </c>
      <c r="U882" t="s">
        <v>176</v>
      </c>
      <c r="V882">
        <v>1.8591547578947369E-2</v>
      </c>
      <c r="W882">
        <v>0.55113846017178947</v>
      </c>
      <c r="X882" t="s">
        <v>90</v>
      </c>
      <c r="Y882">
        <v>0</v>
      </c>
      <c r="Z882">
        <v>0</v>
      </c>
      <c r="AA882" t="s">
        <v>90</v>
      </c>
      <c r="AB882">
        <v>0</v>
      </c>
      <c r="AC882">
        <v>0.55113846017178947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Q882" t="s">
        <v>262</v>
      </c>
      <c r="AR882" t="s">
        <v>263</v>
      </c>
      <c r="AS882">
        <v>0.53118707368421048</v>
      </c>
    </row>
    <row r="883" spans="1:45" x14ac:dyDescent="0.15">
      <c r="A883" s="4" t="str">
        <f>HYPERLINK("https://ibp.a2mac1.com/costing(costing:projects/details/9760/material/8754963)","PVC + Fabric backing 3mm PU foam")</f>
        <v>PVC + Fabric backing 3mm PU foam</v>
      </c>
      <c r="B883">
        <v>8754963</v>
      </c>
      <c r="C883">
        <v>12085321</v>
      </c>
      <c r="E883">
        <v>4.91</v>
      </c>
      <c r="F883" t="s">
        <v>4357</v>
      </c>
      <c r="G883">
        <v>94</v>
      </c>
      <c r="H883" t="s">
        <v>5146</v>
      </c>
      <c r="I883">
        <v>0</v>
      </c>
      <c r="J883">
        <v>0.50345253019720215</v>
      </c>
      <c r="K883">
        <v>0</v>
      </c>
      <c r="L883">
        <v>0</v>
      </c>
      <c r="M883">
        <v>0</v>
      </c>
      <c r="O883">
        <v>200000</v>
      </c>
      <c r="R883" t="s">
        <v>162</v>
      </c>
      <c r="S883">
        <v>0</v>
      </c>
      <c r="T883">
        <v>3.72669E-3</v>
      </c>
      <c r="U883" t="s">
        <v>176</v>
      </c>
      <c r="V883">
        <v>2.5777499999999998E-2</v>
      </c>
      <c r="W883">
        <v>0.76600418999999997</v>
      </c>
      <c r="X883" t="s">
        <v>90</v>
      </c>
      <c r="Y883">
        <v>0</v>
      </c>
      <c r="Z883">
        <v>0</v>
      </c>
      <c r="AA883" t="s">
        <v>90</v>
      </c>
      <c r="AB883">
        <v>0</v>
      </c>
      <c r="AC883">
        <v>0.76600418999999997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Q883" t="s">
        <v>9</v>
      </c>
      <c r="AR883" t="s">
        <v>263</v>
      </c>
      <c r="AS883">
        <v>0.73650000000000004</v>
      </c>
    </row>
    <row r="884" spans="1:45" x14ac:dyDescent="0.15">
      <c r="A884" s="4" t="str">
        <f>HYPERLINK("https://ibp.a2mac1.com/costing(costing:projects/details/9760/material/8754964)","PP-EPDM")</f>
        <v>PP-EPDM</v>
      </c>
      <c r="B884">
        <v>8754964</v>
      </c>
      <c r="C884">
        <v>12085322</v>
      </c>
      <c r="E884">
        <v>1.7894600000000001</v>
      </c>
      <c r="F884" t="s">
        <v>5149</v>
      </c>
      <c r="G884">
        <v>95</v>
      </c>
      <c r="H884" t="s">
        <v>5150</v>
      </c>
      <c r="I884">
        <v>5</v>
      </c>
      <c r="J884">
        <v>0.50345253019720215</v>
      </c>
      <c r="K884">
        <v>0</v>
      </c>
      <c r="M884">
        <v>0</v>
      </c>
      <c r="O884">
        <v>200000</v>
      </c>
      <c r="R884" t="s">
        <v>162</v>
      </c>
      <c r="S884">
        <v>2.0107879473684211E-3</v>
      </c>
      <c r="T884">
        <v>4.0698348054736839E-3</v>
      </c>
      <c r="U884" t="s">
        <v>176</v>
      </c>
      <c r="V884">
        <v>2.8151031263157895E-2</v>
      </c>
      <c r="W884">
        <v>0.83452525706863157</v>
      </c>
      <c r="X884" t="s">
        <v>177</v>
      </c>
      <c r="Y884">
        <v>5.0071515424117898E-2</v>
      </c>
      <c r="Z884">
        <v>0</v>
      </c>
      <c r="AA884" t="s">
        <v>178</v>
      </c>
      <c r="AB884">
        <v>0.1001430308482358</v>
      </c>
      <c r="AC884">
        <v>0.98473980334098521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Q884" t="s">
        <v>262</v>
      </c>
      <c r="AR884" t="s">
        <v>263</v>
      </c>
      <c r="AS884">
        <v>0.80431517894736837</v>
      </c>
    </row>
    <row r="885" spans="1:45" x14ac:dyDescent="0.15">
      <c r="A885" s="4" t="str">
        <f>HYPERLINK("https://ibp.a2mac1.com/costing(costing:projects/details/9760/material/8754965)","Thinsulate")</f>
        <v>Thinsulate</v>
      </c>
      <c r="B885">
        <v>8754965</v>
      </c>
      <c r="C885">
        <v>12085323</v>
      </c>
      <c r="E885">
        <v>8.3000000000000007</v>
      </c>
      <c r="F885" t="s">
        <v>5154</v>
      </c>
      <c r="G885">
        <v>95</v>
      </c>
      <c r="H885" t="s">
        <v>5155</v>
      </c>
      <c r="I885">
        <v>0</v>
      </c>
      <c r="J885">
        <v>0.50345253019720215</v>
      </c>
      <c r="K885">
        <v>0</v>
      </c>
      <c r="L885">
        <v>0</v>
      </c>
      <c r="M885">
        <v>0</v>
      </c>
      <c r="O885">
        <v>200000</v>
      </c>
      <c r="R885" t="s">
        <v>162</v>
      </c>
      <c r="S885">
        <v>0</v>
      </c>
      <c r="T885">
        <v>1.8125452631578949E-2</v>
      </c>
      <c r="U885" t="s">
        <v>176</v>
      </c>
      <c r="V885">
        <v>0.1253736842105263</v>
      </c>
      <c r="W885">
        <v>3.7256043999999999</v>
      </c>
      <c r="X885" t="s">
        <v>177</v>
      </c>
      <c r="Y885">
        <v>0.22353626400000001</v>
      </c>
      <c r="Z885">
        <v>0</v>
      </c>
      <c r="AA885" t="s">
        <v>178</v>
      </c>
      <c r="AB885">
        <v>0.44707252800000002</v>
      </c>
      <c r="AC885">
        <v>4.3962131920000003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Q885" t="s">
        <v>9</v>
      </c>
      <c r="AR885" t="s">
        <v>263</v>
      </c>
      <c r="AS885">
        <v>3.5821052631578949</v>
      </c>
    </row>
    <row r="886" spans="1:45" x14ac:dyDescent="0.15">
      <c r="A886" s="4" t="str">
        <f>HYPERLINK("https://ibp.a2mac1.com/costing(costing:projects/details/9760/material/8754966)","PP-EPDM")</f>
        <v>PP-EPDM</v>
      </c>
      <c r="B886">
        <v>8754966</v>
      </c>
      <c r="C886">
        <v>12085324</v>
      </c>
      <c r="E886">
        <v>1.7894600000000001</v>
      </c>
      <c r="F886" t="s">
        <v>5160</v>
      </c>
      <c r="G886">
        <v>95</v>
      </c>
      <c r="H886" t="s">
        <v>5161</v>
      </c>
      <c r="I886">
        <v>5</v>
      </c>
      <c r="J886">
        <v>0.50345253019720215</v>
      </c>
      <c r="K886">
        <v>0</v>
      </c>
      <c r="M886">
        <v>0</v>
      </c>
      <c r="O886">
        <v>200000</v>
      </c>
      <c r="R886" t="s">
        <v>162</v>
      </c>
      <c r="S886">
        <v>4.614923157894737E-4</v>
      </c>
      <c r="T886">
        <v>9.3406044715789471E-4</v>
      </c>
      <c r="U886" t="s">
        <v>176</v>
      </c>
      <c r="V886">
        <v>6.4608924210526313E-3</v>
      </c>
      <c r="W886">
        <v>0.19153038686821053</v>
      </c>
      <c r="X886" t="s">
        <v>90</v>
      </c>
      <c r="Y886">
        <v>0</v>
      </c>
      <c r="Z886">
        <v>0</v>
      </c>
      <c r="AA886" t="s">
        <v>90</v>
      </c>
      <c r="AB886">
        <v>0</v>
      </c>
      <c r="AC886">
        <v>0.19153038686821053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Q886" t="s">
        <v>262</v>
      </c>
      <c r="AR886" t="s">
        <v>263</v>
      </c>
      <c r="AS886">
        <v>0.18459692631578947</v>
      </c>
    </row>
    <row r="887" spans="1:45" x14ac:dyDescent="0.15">
      <c r="A887" s="4" t="str">
        <f>HYPERLINK("https://ibp.a2mac1.com/costing(costing:projects/details/9760/material/8754967)","TPE")</f>
        <v>TPE</v>
      </c>
      <c r="B887">
        <v>8754967</v>
      </c>
      <c r="C887">
        <v>12085325</v>
      </c>
      <c r="E887">
        <v>1.5073099999999999</v>
      </c>
      <c r="F887" t="s">
        <v>5165</v>
      </c>
      <c r="G887">
        <v>95</v>
      </c>
      <c r="H887" t="s">
        <v>5166</v>
      </c>
      <c r="I887">
        <v>5</v>
      </c>
      <c r="J887">
        <v>0.50345253019720215</v>
      </c>
      <c r="K887">
        <v>0</v>
      </c>
      <c r="M887">
        <v>0</v>
      </c>
      <c r="O887">
        <v>200000</v>
      </c>
      <c r="R887" t="s">
        <v>162</v>
      </c>
      <c r="S887">
        <v>3.0146200000000001E-4</v>
      </c>
      <c r="T887">
        <v>6.1015908799999996E-4</v>
      </c>
      <c r="U887" t="s">
        <v>176</v>
      </c>
      <c r="V887">
        <v>4.2204679999999998E-3</v>
      </c>
      <c r="W887">
        <v>0.12511396508799999</v>
      </c>
      <c r="X887" t="s">
        <v>90</v>
      </c>
      <c r="Y887">
        <v>0</v>
      </c>
      <c r="Z887">
        <v>0</v>
      </c>
      <c r="AA887" t="s">
        <v>90</v>
      </c>
      <c r="AB887">
        <v>0</v>
      </c>
      <c r="AC887">
        <v>0.12511396508799999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Q887" t="s">
        <v>262</v>
      </c>
      <c r="AR887" t="s">
        <v>263</v>
      </c>
      <c r="AS887">
        <v>0.12058480000000001</v>
      </c>
    </row>
    <row r="888" spans="1:45" x14ac:dyDescent="0.15">
      <c r="A888" s="4" t="str">
        <f>HYPERLINK("https://ibp.a2mac1.com/costing(costing:projects/details/9760/material/8754968)","ABS-PC")</f>
        <v>ABS-PC</v>
      </c>
      <c r="B888">
        <v>8754968</v>
      </c>
      <c r="C888">
        <v>12085326</v>
      </c>
      <c r="E888">
        <v>2.29312</v>
      </c>
      <c r="F888" t="s">
        <v>4372</v>
      </c>
      <c r="G888">
        <v>95</v>
      </c>
      <c r="H888" t="s">
        <v>4373</v>
      </c>
      <c r="I888">
        <v>5</v>
      </c>
      <c r="J888">
        <v>0.50345253019720215</v>
      </c>
      <c r="K888">
        <v>0</v>
      </c>
      <c r="L888">
        <v>0</v>
      </c>
      <c r="M888">
        <v>0</v>
      </c>
      <c r="O888">
        <v>200000</v>
      </c>
      <c r="R888" t="s">
        <v>162</v>
      </c>
      <c r="S888">
        <v>1.8707031578947368E-4</v>
      </c>
      <c r="T888">
        <v>3.7863031915789475E-4</v>
      </c>
      <c r="U888" t="s">
        <v>176</v>
      </c>
      <c r="V888">
        <v>2.6189844210526315E-3</v>
      </c>
      <c r="W888">
        <v>7.7638670740210525E-2</v>
      </c>
      <c r="X888" t="s">
        <v>90</v>
      </c>
      <c r="Y888">
        <v>0</v>
      </c>
      <c r="Z888">
        <v>0</v>
      </c>
      <c r="AA888" t="s">
        <v>90</v>
      </c>
      <c r="AB888">
        <v>0</v>
      </c>
      <c r="AC888">
        <v>7.7638670740210525E-2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P888" t="s">
        <v>5141</v>
      </c>
      <c r="AQ888" t="s">
        <v>262</v>
      </c>
      <c r="AR888" t="s">
        <v>263</v>
      </c>
      <c r="AS888">
        <v>7.4828126315789473E-2</v>
      </c>
    </row>
    <row r="889" spans="1:45" x14ac:dyDescent="0.15">
      <c r="A889" s="4" t="str">
        <f>HYPERLINK("https://ibp.a2mac1.com/costing(costing:projects/details/9760/material/8754969)","PA6")</f>
        <v>PA6</v>
      </c>
      <c r="B889">
        <v>8754969</v>
      </c>
      <c r="C889">
        <v>12085327</v>
      </c>
      <c r="E889">
        <v>1.72394</v>
      </c>
      <c r="F889" t="s">
        <v>5174</v>
      </c>
      <c r="G889">
        <v>95</v>
      </c>
      <c r="H889" t="s">
        <v>5175</v>
      </c>
      <c r="I889">
        <v>5</v>
      </c>
      <c r="J889">
        <v>0.50345253019720215</v>
      </c>
      <c r="K889">
        <v>0</v>
      </c>
      <c r="M889">
        <v>0</v>
      </c>
      <c r="O889">
        <v>200000</v>
      </c>
      <c r="R889" t="s">
        <v>162</v>
      </c>
      <c r="S889">
        <v>5.8976894736842104E-5</v>
      </c>
      <c r="T889">
        <v>1.1936923494736842E-4</v>
      </c>
      <c r="U889" t="s">
        <v>176</v>
      </c>
      <c r="V889">
        <v>8.2567652631578947E-4</v>
      </c>
      <c r="W889">
        <v>2.4476826761263157E-2</v>
      </c>
      <c r="X889" t="s">
        <v>90</v>
      </c>
      <c r="Y889">
        <v>0</v>
      </c>
      <c r="Z889">
        <v>0</v>
      </c>
      <c r="AA889" t="s">
        <v>90</v>
      </c>
      <c r="AB889">
        <v>0</v>
      </c>
      <c r="AC889">
        <v>2.4476826761263157E-2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Q889" t="s">
        <v>262</v>
      </c>
      <c r="AR889" t="s">
        <v>263</v>
      </c>
      <c r="AS889">
        <v>2.3590757894736841E-2</v>
      </c>
    </row>
    <row r="890" spans="1:45" x14ac:dyDescent="0.15">
      <c r="A890" s="4" t="str">
        <f>HYPERLINK("https://ibp.a2mac1.com/costing(costing:projects/details/9760/material/8754970)","ABS-PC")</f>
        <v>ABS-PC</v>
      </c>
      <c r="B890">
        <v>8754970</v>
      </c>
      <c r="C890">
        <v>12085328</v>
      </c>
      <c r="E890">
        <v>2.29312</v>
      </c>
      <c r="F890" t="s">
        <v>3740</v>
      </c>
      <c r="G890">
        <v>95</v>
      </c>
      <c r="H890" t="s">
        <v>3741</v>
      </c>
      <c r="I890">
        <v>5</v>
      </c>
      <c r="J890">
        <v>0.50345253019720215</v>
      </c>
      <c r="K890">
        <v>0</v>
      </c>
      <c r="L890">
        <v>0</v>
      </c>
      <c r="M890">
        <v>0</v>
      </c>
      <c r="O890">
        <v>200000</v>
      </c>
      <c r="R890" t="s">
        <v>162</v>
      </c>
      <c r="S890">
        <v>9.0517894736842099E-5</v>
      </c>
      <c r="T890">
        <v>1.8320821894736843E-4</v>
      </c>
      <c r="U890" t="s">
        <v>176</v>
      </c>
      <c r="V890">
        <v>1.2672505263157895E-3</v>
      </c>
      <c r="W890">
        <v>3.7567098745263157E-2</v>
      </c>
      <c r="X890" t="s">
        <v>90</v>
      </c>
      <c r="Y890">
        <v>0</v>
      </c>
      <c r="Z890">
        <v>0</v>
      </c>
      <c r="AA890" t="s">
        <v>90</v>
      </c>
      <c r="AB890">
        <v>0</v>
      </c>
      <c r="AC890">
        <v>3.7567098745263157E-2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P890" t="s">
        <v>5141</v>
      </c>
      <c r="AQ890" t="s">
        <v>262</v>
      </c>
      <c r="AR890" t="s">
        <v>263</v>
      </c>
      <c r="AS890">
        <v>3.6207157894736844E-2</v>
      </c>
    </row>
    <row r="891" spans="1:45" x14ac:dyDescent="0.15">
      <c r="A891" s="4" t="str">
        <f>HYPERLINK("https://ibp.a2mac1.com/costing(costing:projects/details/9760/material/8754971)","PC-ABS")</f>
        <v>PC-ABS</v>
      </c>
      <c r="B891">
        <v>8754971</v>
      </c>
      <c r="C891">
        <v>12085329</v>
      </c>
      <c r="D891" t="s">
        <v>6668</v>
      </c>
      <c r="E891">
        <v>2.29312</v>
      </c>
      <c r="F891" t="s">
        <v>6669</v>
      </c>
      <c r="G891">
        <v>93.174099999999996</v>
      </c>
      <c r="H891" t="s">
        <v>6670</v>
      </c>
      <c r="I891">
        <v>5</v>
      </c>
      <c r="J891">
        <v>2.001136786813273</v>
      </c>
      <c r="K891">
        <v>0</v>
      </c>
      <c r="M891">
        <v>0</v>
      </c>
      <c r="O891">
        <v>200000</v>
      </c>
      <c r="R891" t="s">
        <v>162</v>
      </c>
      <c r="S891">
        <v>5.2077867352408021E-4</v>
      </c>
      <c r="T891">
        <v>3.1158676550672344E-3</v>
      </c>
      <c r="U891" t="s">
        <v>176</v>
      </c>
      <c r="V891">
        <v>5.340615471466856E-3</v>
      </c>
      <c r="W891">
        <v>0.16052471792349163</v>
      </c>
      <c r="X891" t="s">
        <v>177</v>
      </c>
      <c r="Y891">
        <v>9.6314830754094961E-3</v>
      </c>
      <c r="Z891">
        <v>0</v>
      </c>
      <c r="AA891" t="s">
        <v>178</v>
      </c>
      <c r="AB891">
        <v>1.9262966150818992E-2</v>
      </c>
      <c r="AC891">
        <v>0.1894191671497201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R891" t="s">
        <v>263</v>
      </c>
      <c r="AS891">
        <v>0.15258901347048159</v>
      </c>
    </row>
    <row r="892" spans="1:45" x14ac:dyDescent="0.15">
      <c r="A892" s="4" t="str">
        <f>HYPERLINK("https://ibp.a2mac1.com/costing(costing:projects/details/9760/material/8754972)","PP-EPDM-TD10")</f>
        <v>PP-EPDM-TD10</v>
      </c>
      <c r="B892">
        <v>8754972</v>
      </c>
      <c r="C892">
        <v>12085330</v>
      </c>
      <c r="D892" t="s">
        <v>6668</v>
      </c>
      <c r="E892">
        <v>1.84189</v>
      </c>
      <c r="F892" t="s">
        <v>6217</v>
      </c>
      <c r="G892">
        <v>89.128699999999995</v>
      </c>
      <c r="H892" t="s">
        <v>6676</v>
      </c>
      <c r="I892">
        <v>5</v>
      </c>
      <c r="J892">
        <v>2.001136786813273</v>
      </c>
      <c r="K892">
        <v>0</v>
      </c>
      <c r="M892">
        <v>0</v>
      </c>
      <c r="O892">
        <v>200000</v>
      </c>
      <c r="R892" t="s">
        <v>162</v>
      </c>
      <c r="S892">
        <v>2.5836009692220351E-4</v>
      </c>
      <c r="T892">
        <v>9.7057632098302793E-4</v>
      </c>
      <c r="U892" t="s">
        <v>176</v>
      </c>
      <c r="V892">
        <v>1.6635735178455425E-3</v>
      </c>
      <c r="W892">
        <v>4.9906461680350435E-2</v>
      </c>
      <c r="X892" t="s">
        <v>177</v>
      </c>
      <c r="Y892">
        <v>2.994387700821026E-3</v>
      </c>
      <c r="Z892">
        <v>0</v>
      </c>
      <c r="AA892" t="s">
        <v>178</v>
      </c>
      <c r="AB892">
        <v>5.9887754016420521E-3</v>
      </c>
      <c r="AC892">
        <v>5.8889624782813517E-2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R892" t="s">
        <v>263</v>
      </c>
      <c r="AS892">
        <v>4.7530671938444069E-2</v>
      </c>
    </row>
    <row r="893" spans="1:45" x14ac:dyDescent="0.15">
      <c r="A893" s="4" t="str">
        <f>HYPERLINK("https://ibp.a2mac1.com/costing(costing:projects/details/9760/material/8755387)","ABS-PC")</f>
        <v>ABS-PC</v>
      </c>
      <c r="B893">
        <v>8755387</v>
      </c>
      <c r="C893">
        <v>12085678</v>
      </c>
      <c r="E893">
        <v>2.29312</v>
      </c>
      <c r="F893" t="s">
        <v>5174</v>
      </c>
      <c r="G893">
        <v>95</v>
      </c>
      <c r="H893" t="s">
        <v>5175</v>
      </c>
      <c r="I893">
        <v>5</v>
      </c>
      <c r="J893">
        <v>0.50345253019720215</v>
      </c>
      <c r="K893">
        <v>0</v>
      </c>
      <c r="L893">
        <v>0</v>
      </c>
      <c r="M893">
        <v>0</v>
      </c>
      <c r="O893">
        <v>200000</v>
      </c>
      <c r="R893" t="s">
        <v>162</v>
      </c>
      <c r="S893">
        <v>7.8448842105263158E-5</v>
      </c>
      <c r="T893">
        <v>1.5878045642105264E-4</v>
      </c>
      <c r="U893" t="s">
        <v>176</v>
      </c>
      <c r="V893">
        <v>1.0982837894736842E-3</v>
      </c>
      <c r="W893">
        <v>3.2558152245894735E-2</v>
      </c>
      <c r="X893" t="s">
        <v>177</v>
      </c>
      <c r="Y893">
        <v>1.953489134753684E-3</v>
      </c>
      <c r="Z893">
        <v>0</v>
      </c>
      <c r="AA893" t="s">
        <v>178</v>
      </c>
      <c r="AB893">
        <v>3.906978269507368E-3</v>
      </c>
      <c r="AC893">
        <v>3.8418619650155791E-2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P893" t="s">
        <v>5141</v>
      </c>
      <c r="AQ893" t="s">
        <v>262</v>
      </c>
      <c r="AR893" t="s">
        <v>263</v>
      </c>
      <c r="AS893">
        <v>3.137953684210526E-2</v>
      </c>
    </row>
    <row r="894" spans="1:45" x14ac:dyDescent="0.15">
      <c r="A894" s="4" t="str">
        <f>HYPERLINK("https://ibp.a2mac1.com/costing(costing:projects/details/9760/material/8755388)","PA6-GF30")</f>
        <v>PA6-GF30</v>
      </c>
      <c r="B894">
        <v>8755388</v>
      </c>
      <c r="C894">
        <v>12085679</v>
      </c>
      <c r="E894">
        <v>2.1428600000000002</v>
      </c>
      <c r="F894" t="s">
        <v>5436</v>
      </c>
      <c r="G894">
        <v>97</v>
      </c>
      <c r="H894" t="s">
        <v>5437</v>
      </c>
      <c r="I894">
        <v>5</v>
      </c>
      <c r="J894">
        <v>0.10389195236953569</v>
      </c>
      <c r="K894">
        <v>0</v>
      </c>
      <c r="M894">
        <v>0</v>
      </c>
      <c r="O894">
        <v>200000</v>
      </c>
      <c r="R894" t="s">
        <v>162</v>
      </c>
      <c r="S894">
        <v>2.2533167010309278E-4</v>
      </c>
      <c r="T894">
        <v>1.5622995793814433E-4</v>
      </c>
      <c r="U894" t="s">
        <v>176</v>
      </c>
      <c r="V894">
        <v>5.257738969072165E-3</v>
      </c>
      <c r="W894">
        <v>0.15540975065896906</v>
      </c>
      <c r="X894" t="s">
        <v>177</v>
      </c>
      <c r="Y894">
        <v>9.3245850395381451E-3</v>
      </c>
      <c r="Z894">
        <v>0</v>
      </c>
      <c r="AA894" t="s">
        <v>178</v>
      </c>
      <c r="AB894">
        <v>1.864917007907629E-2</v>
      </c>
      <c r="AC894">
        <v>0.1833835057775835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Q894" t="s">
        <v>262</v>
      </c>
      <c r="AR894" t="s">
        <v>263</v>
      </c>
      <c r="AS894">
        <v>0.15022111340206185</v>
      </c>
    </row>
    <row r="895" spans="1:45" x14ac:dyDescent="0.15">
      <c r="A895" s="4" t="str">
        <f>HYPERLINK("https://ibp.a2mac1.com/costing(costing:projects/details/9760/material/8755389)","Standard Structural Steel sheet")</f>
        <v>Standard Structural Steel sheet</v>
      </c>
      <c r="B895">
        <v>8755389</v>
      </c>
      <c r="C895">
        <v>12085681</v>
      </c>
      <c r="E895">
        <v>0.61129999999999995</v>
      </c>
      <c r="F895" t="s">
        <v>5443</v>
      </c>
      <c r="G895">
        <v>100</v>
      </c>
      <c r="H895" t="s">
        <v>5444</v>
      </c>
      <c r="I895">
        <v>30</v>
      </c>
      <c r="J895">
        <v>0.20557651238448796</v>
      </c>
      <c r="K895">
        <v>0</v>
      </c>
      <c r="L895">
        <v>0</v>
      </c>
      <c r="M895">
        <v>0</v>
      </c>
      <c r="O895">
        <v>200000</v>
      </c>
      <c r="R895" t="s">
        <v>162</v>
      </c>
      <c r="S895">
        <v>0</v>
      </c>
      <c r="T895">
        <v>2.518556E-6</v>
      </c>
      <c r="U895" t="s">
        <v>176</v>
      </c>
      <c r="V895">
        <v>4.2790999999999997E-5</v>
      </c>
      <c r="W895">
        <v>1.267909556E-3</v>
      </c>
      <c r="X895" t="s">
        <v>177</v>
      </c>
      <c r="Y895">
        <v>7.6074573359999998E-5</v>
      </c>
      <c r="Z895">
        <v>0</v>
      </c>
      <c r="AA895" t="s">
        <v>178</v>
      </c>
      <c r="AB895">
        <v>1.5214914672E-4</v>
      </c>
      <c r="AC895">
        <v>1.49613327608E-3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Q895" t="s">
        <v>262</v>
      </c>
      <c r="AR895" t="s">
        <v>263</v>
      </c>
      <c r="AS895">
        <v>1.2225999999999999E-3</v>
      </c>
    </row>
    <row r="896" spans="1:45" x14ac:dyDescent="0.15">
      <c r="A896" s="4" t="str">
        <f>HYPERLINK("https://ibp.a2mac1.com/costing(costing:projects/details/9760/material/8755390)","PA6-GF30")</f>
        <v>PA6-GF30</v>
      </c>
      <c r="B896">
        <v>8755390</v>
      </c>
      <c r="C896">
        <v>12085682</v>
      </c>
      <c r="E896">
        <v>2.1428600000000002</v>
      </c>
      <c r="F896" t="s">
        <v>5436</v>
      </c>
      <c r="G896">
        <v>97</v>
      </c>
      <c r="H896" t="s">
        <v>5437</v>
      </c>
      <c r="I896">
        <v>5</v>
      </c>
      <c r="J896">
        <v>0.10389195236953569</v>
      </c>
      <c r="K896">
        <v>0</v>
      </c>
      <c r="M896">
        <v>0</v>
      </c>
      <c r="O896">
        <v>200000</v>
      </c>
      <c r="R896" t="s">
        <v>162</v>
      </c>
      <c r="S896">
        <v>2.2533167010309278E-4</v>
      </c>
      <c r="T896">
        <v>1.5622995793814433E-4</v>
      </c>
      <c r="U896" t="s">
        <v>176</v>
      </c>
      <c r="V896">
        <v>5.257738969072165E-3</v>
      </c>
      <c r="W896">
        <v>0.15540975065896906</v>
      </c>
      <c r="X896" t="s">
        <v>177</v>
      </c>
      <c r="Y896">
        <v>9.3245850395381451E-3</v>
      </c>
      <c r="Z896">
        <v>0</v>
      </c>
      <c r="AA896" t="s">
        <v>178</v>
      </c>
      <c r="AB896">
        <v>1.864917007907629E-2</v>
      </c>
      <c r="AC896">
        <v>0.1833835057775835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Q896" t="s">
        <v>262</v>
      </c>
      <c r="AR896" t="s">
        <v>263</v>
      </c>
      <c r="AS896">
        <v>0.15022111340206185</v>
      </c>
    </row>
    <row r="897" spans="1:45" x14ac:dyDescent="0.15">
      <c r="A897" s="4" t="str">
        <f>HYPERLINK("https://ibp.a2mac1.com/costing(costing:projects/details/9760/material/8755391)","PA6-GF30")</f>
        <v>PA6-GF30</v>
      </c>
      <c r="B897">
        <v>8755391</v>
      </c>
      <c r="C897">
        <v>12085683</v>
      </c>
      <c r="E897">
        <v>2.1428600000000002</v>
      </c>
      <c r="F897" t="s">
        <v>5460</v>
      </c>
      <c r="G897">
        <v>97</v>
      </c>
      <c r="H897" t="s">
        <v>5461</v>
      </c>
      <c r="I897">
        <v>5</v>
      </c>
      <c r="J897">
        <v>0.10389195236953569</v>
      </c>
      <c r="K897">
        <v>0</v>
      </c>
      <c r="M897">
        <v>0</v>
      </c>
      <c r="O897">
        <v>200000</v>
      </c>
      <c r="R897" t="s">
        <v>162</v>
      </c>
      <c r="S897">
        <v>9.2783628865979379E-4</v>
      </c>
      <c r="T897">
        <v>6.4329982680412371E-4</v>
      </c>
      <c r="U897" t="s">
        <v>176</v>
      </c>
      <c r="V897">
        <v>2.1649513402061855E-2</v>
      </c>
      <c r="W897">
        <v>0.63992250271340201</v>
      </c>
      <c r="X897" t="s">
        <v>177</v>
      </c>
      <c r="Y897">
        <v>3.8395350162804126E-2</v>
      </c>
      <c r="Z897">
        <v>0</v>
      </c>
      <c r="AA897" t="s">
        <v>178</v>
      </c>
      <c r="AB897">
        <v>7.6790700325608252E-2</v>
      </c>
      <c r="AC897">
        <v>0.75510855320181447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Q897" t="s">
        <v>262</v>
      </c>
      <c r="AR897" t="s">
        <v>263</v>
      </c>
      <c r="AS897">
        <v>0.61855752577319589</v>
      </c>
    </row>
    <row r="898" spans="1:45" x14ac:dyDescent="0.15">
      <c r="A898" s="4" t="str">
        <f>HYPERLINK("https://ibp.a2mac1.com/costing(costing:projects/details/9760/material/8755392)","PBT-PC")</f>
        <v>PBT-PC</v>
      </c>
      <c r="B898">
        <v>8755392</v>
      </c>
      <c r="C898">
        <v>12085684</v>
      </c>
      <c r="E898">
        <v>2.6194899999999999</v>
      </c>
      <c r="F898" t="s">
        <v>4454</v>
      </c>
      <c r="G898">
        <v>97</v>
      </c>
      <c r="H898" t="s">
        <v>5466</v>
      </c>
      <c r="I898">
        <v>5</v>
      </c>
      <c r="J898">
        <v>1.1056389564667022</v>
      </c>
      <c r="K898">
        <v>0</v>
      </c>
      <c r="M898">
        <v>0</v>
      </c>
      <c r="O898">
        <v>200000</v>
      </c>
      <c r="R898" t="s">
        <v>162</v>
      </c>
      <c r="S898">
        <v>1.0126894329896907E-4</v>
      </c>
      <c r="T898">
        <v>7.5479119072164951E-4</v>
      </c>
      <c r="U898" t="s">
        <v>176</v>
      </c>
      <c r="V898">
        <v>2.3629420103092784E-3</v>
      </c>
      <c r="W898">
        <v>7.0529093123711334E-2</v>
      </c>
      <c r="X898" t="s">
        <v>177</v>
      </c>
      <c r="Y898">
        <v>4.2317455874226802E-3</v>
      </c>
      <c r="Z898">
        <v>0</v>
      </c>
      <c r="AA898" t="s">
        <v>178</v>
      </c>
      <c r="AB898">
        <v>8.4634911748453605E-3</v>
      </c>
      <c r="AC898">
        <v>8.3224329885979387E-2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Q898" t="s">
        <v>262</v>
      </c>
      <c r="AR898" t="s">
        <v>263</v>
      </c>
      <c r="AS898">
        <v>6.7512628865979377E-2</v>
      </c>
    </row>
    <row r="899" spans="1:45" x14ac:dyDescent="0.15">
      <c r="A899" s="4" t="str">
        <f>HYPERLINK("https://ibp.a2mac1.com/costing(costing:projects/details/9760/material/8755393)","Paint - Base")</f>
        <v>Paint - Base</v>
      </c>
      <c r="B899">
        <v>8755393</v>
      </c>
      <c r="C899">
        <v>12085685</v>
      </c>
      <c r="E899">
        <v>11.26986</v>
      </c>
      <c r="F899" t="s">
        <v>1468</v>
      </c>
      <c r="G899">
        <v>98</v>
      </c>
      <c r="H899" t="s">
        <v>5469</v>
      </c>
      <c r="I899">
        <v>0</v>
      </c>
      <c r="J899">
        <v>1.0057812623742775</v>
      </c>
      <c r="K899">
        <v>0</v>
      </c>
      <c r="L899">
        <v>0</v>
      </c>
      <c r="M899">
        <v>0</v>
      </c>
      <c r="O899">
        <v>200000</v>
      </c>
      <c r="R899" t="s">
        <v>162</v>
      </c>
      <c r="S899">
        <v>0</v>
      </c>
      <c r="T899">
        <v>5.8419274285714286E-4</v>
      </c>
      <c r="U899" t="s">
        <v>176</v>
      </c>
      <c r="V899">
        <v>2.0124750000000001E-3</v>
      </c>
      <c r="W899">
        <v>6.0095953457142859E-2</v>
      </c>
      <c r="X899" t="s">
        <v>177</v>
      </c>
      <c r="Y899">
        <v>3.6057572074285715E-3</v>
      </c>
      <c r="Z899">
        <v>0</v>
      </c>
      <c r="AA899" t="s">
        <v>178</v>
      </c>
      <c r="AB899">
        <v>7.211514414857143E-3</v>
      </c>
      <c r="AC899">
        <v>7.0913225079428571E-2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Q899" t="s">
        <v>9</v>
      </c>
      <c r="AR899" t="s">
        <v>263</v>
      </c>
      <c r="AS899">
        <v>5.7499285714285711E-2</v>
      </c>
    </row>
    <row r="900" spans="1:45" x14ac:dyDescent="0.15">
      <c r="A900" s="4" t="str">
        <f>HYPERLINK("https://ibp.a2mac1.com/costing(costing:projects/details/9760/material/8755394)","Paint - Primer")</f>
        <v>Paint - Primer</v>
      </c>
      <c r="B900">
        <v>8755394</v>
      </c>
      <c r="C900">
        <v>12085685</v>
      </c>
      <c r="E900">
        <v>6.9600299999999997</v>
      </c>
      <c r="F900" t="s">
        <v>1468</v>
      </c>
      <c r="G900">
        <v>95</v>
      </c>
      <c r="H900" t="s">
        <v>1469</v>
      </c>
      <c r="I900">
        <v>0</v>
      </c>
      <c r="J900">
        <v>1.0057812623742775</v>
      </c>
      <c r="K900">
        <v>0</v>
      </c>
      <c r="L900">
        <v>0</v>
      </c>
      <c r="M900">
        <v>0</v>
      </c>
      <c r="O900">
        <v>200000</v>
      </c>
      <c r="R900" t="s">
        <v>162</v>
      </c>
      <c r="S900">
        <v>0</v>
      </c>
      <c r="T900">
        <v>3.7217844631578947E-4</v>
      </c>
      <c r="U900" t="s">
        <v>176</v>
      </c>
      <c r="V900">
        <v>1.2821107894736843E-3</v>
      </c>
      <c r="W900">
        <v>3.828602607789474E-2</v>
      </c>
      <c r="X900" t="s">
        <v>177</v>
      </c>
      <c r="Y900">
        <v>2.2971615646736844E-3</v>
      </c>
      <c r="Z900">
        <v>0</v>
      </c>
      <c r="AA900" t="s">
        <v>178</v>
      </c>
      <c r="AB900">
        <v>4.5943231293473687E-3</v>
      </c>
      <c r="AC900">
        <v>4.5177510771915792E-2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Q900" t="s">
        <v>9</v>
      </c>
      <c r="AR900" t="s">
        <v>263</v>
      </c>
      <c r="AS900">
        <v>3.6631736842105266E-2</v>
      </c>
    </row>
    <row r="901" spans="1:45" x14ac:dyDescent="0.15">
      <c r="A901" s="4" t="str">
        <f>HYPERLINK("https://ibp.a2mac1.com/costing(costing:projects/details/9760/material/8755395)","Paint - Clear Coat")</f>
        <v>Paint - Clear Coat</v>
      </c>
      <c r="B901">
        <v>8755395</v>
      </c>
      <c r="C901">
        <v>12085685</v>
      </c>
      <c r="E901">
        <v>9.0699199999999998</v>
      </c>
      <c r="F901" t="s">
        <v>1468</v>
      </c>
      <c r="G901">
        <v>98</v>
      </c>
      <c r="H901" t="s">
        <v>5469</v>
      </c>
      <c r="I901">
        <v>0</v>
      </c>
      <c r="J901">
        <v>1.0057812623742775</v>
      </c>
      <c r="K901">
        <v>0</v>
      </c>
      <c r="L901">
        <v>0</v>
      </c>
      <c r="M901">
        <v>0</v>
      </c>
      <c r="O901">
        <v>200000</v>
      </c>
      <c r="R901" t="s">
        <v>162</v>
      </c>
      <c r="S901">
        <v>0</v>
      </c>
      <c r="T901">
        <v>4.7015503673469389E-4</v>
      </c>
      <c r="U901" t="s">
        <v>176</v>
      </c>
      <c r="V901">
        <v>1.6196285714285715E-3</v>
      </c>
      <c r="W901">
        <v>4.8364885648979589E-2</v>
      </c>
      <c r="X901" t="s">
        <v>177</v>
      </c>
      <c r="Y901">
        <v>2.9018931389387754E-3</v>
      </c>
      <c r="Z901">
        <v>0</v>
      </c>
      <c r="AA901" t="s">
        <v>178</v>
      </c>
      <c r="AB901">
        <v>5.8037862778775508E-3</v>
      </c>
      <c r="AC901">
        <v>5.7070565065795921E-2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Q901" t="s">
        <v>9</v>
      </c>
      <c r="AR901" t="s">
        <v>263</v>
      </c>
      <c r="AS901">
        <v>4.6275102040816328E-2</v>
      </c>
    </row>
    <row r="902" spans="1:45" x14ac:dyDescent="0.15">
      <c r="A902" s="4" t="str">
        <f>HYPERLINK("https://ibp.a2mac1.com/costing(costing:projects/details/9760/material/8755396)","PBT-PC")</f>
        <v>PBT-PC</v>
      </c>
      <c r="B902">
        <v>8755396</v>
      </c>
      <c r="C902">
        <v>12085686</v>
      </c>
      <c r="E902">
        <v>2.6194899999999999</v>
      </c>
      <c r="F902" t="s">
        <v>5060</v>
      </c>
      <c r="G902">
        <v>95</v>
      </c>
      <c r="H902" t="s">
        <v>5474</v>
      </c>
      <c r="I902">
        <v>5</v>
      </c>
      <c r="J902">
        <v>1.5030632547327778</v>
      </c>
      <c r="K902">
        <v>0</v>
      </c>
      <c r="L902">
        <v>0</v>
      </c>
      <c r="M902">
        <v>0</v>
      </c>
      <c r="O902">
        <v>200000</v>
      </c>
      <c r="R902" t="s">
        <v>162</v>
      </c>
      <c r="S902">
        <v>3.1020276315789472E-4</v>
      </c>
      <c r="T902">
        <v>1.8934776663157894E-3</v>
      </c>
      <c r="U902" t="s">
        <v>176</v>
      </c>
      <c r="V902">
        <v>4.3428386842105267E-3</v>
      </c>
      <c r="W902">
        <v>0.13000721885052632</v>
      </c>
      <c r="X902" t="s">
        <v>177</v>
      </c>
      <c r="Y902">
        <v>7.8004331310315787E-3</v>
      </c>
      <c r="Z902">
        <v>0</v>
      </c>
      <c r="AA902" t="s">
        <v>178</v>
      </c>
      <c r="AB902">
        <v>1.5600866262063157E-2</v>
      </c>
      <c r="AC902">
        <v>0.15340851824362106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P902" t="s">
        <v>5475</v>
      </c>
      <c r="AQ902" t="s">
        <v>262</v>
      </c>
      <c r="AR902" t="s">
        <v>263</v>
      </c>
      <c r="AS902">
        <v>0.1240811052631579</v>
      </c>
    </row>
    <row r="903" spans="1:45" x14ac:dyDescent="0.15">
      <c r="A903" s="4" t="str">
        <f>HYPERLINK("https://ibp.a2mac1.com/costing(costing:projects/details/9760/material/8755397)","Paint - Base")</f>
        <v>Paint - Base</v>
      </c>
      <c r="B903">
        <v>8755397</v>
      </c>
      <c r="C903">
        <v>12085687</v>
      </c>
      <c r="E903">
        <v>11.26986</v>
      </c>
      <c r="F903" t="s">
        <v>1468</v>
      </c>
      <c r="G903">
        <v>98</v>
      </c>
      <c r="H903" t="s">
        <v>5469</v>
      </c>
      <c r="I903">
        <v>0</v>
      </c>
      <c r="J903">
        <v>1.0057812623742775</v>
      </c>
      <c r="K903">
        <v>0</v>
      </c>
      <c r="L903">
        <v>0</v>
      </c>
      <c r="M903">
        <v>0</v>
      </c>
      <c r="O903">
        <v>200000</v>
      </c>
      <c r="R903" t="s">
        <v>162</v>
      </c>
      <c r="S903">
        <v>0</v>
      </c>
      <c r="T903">
        <v>5.8419274285714286E-4</v>
      </c>
      <c r="U903" t="s">
        <v>176</v>
      </c>
      <c r="V903">
        <v>2.0124750000000001E-3</v>
      </c>
      <c r="W903">
        <v>6.0095953457142859E-2</v>
      </c>
      <c r="X903" t="s">
        <v>177</v>
      </c>
      <c r="Y903">
        <v>3.6057572074285715E-3</v>
      </c>
      <c r="Z903">
        <v>0</v>
      </c>
      <c r="AA903" t="s">
        <v>178</v>
      </c>
      <c r="AB903">
        <v>7.211514414857143E-3</v>
      </c>
      <c r="AC903">
        <v>7.0913225079428571E-2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Q903" t="s">
        <v>9</v>
      </c>
      <c r="AR903" t="s">
        <v>263</v>
      </c>
      <c r="AS903">
        <v>5.7499285714285711E-2</v>
      </c>
    </row>
    <row r="904" spans="1:45" x14ac:dyDescent="0.15">
      <c r="A904" s="4" t="str">
        <f>HYPERLINK("https://ibp.a2mac1.com/costing(costing:projects/details/9760/material/8755398)","Paint - Primer")</f>
        <v>Paint - Primer</v>
      </c>
      <c r="B904">
        <v>8755398</v>
      </c>
      <c r="C904">
        <v>12085687</v>
      </c>
      <c r="E904">
        <v>6.9600299999999997</v>
      </c>
      <c r="F904" t="s">
        <v>1468</v>
      </c>
      <c r="G904">
        <v>95</v>
      </c>
      <c r="H904" t="s">
        <v>1469</v>
      </c>
      <c r="I904">
        <v>0</v>
      </c>
      <c r="J904">
        <v>1.0057812623742775</v>
      </c>
      <c r="K904">
        <v>0</v>
      </c>
      <c r="L904">
        <v>0</v>
      </c>
      <c r="M904">
        <v>0</v>
      </c>
      <c r="O904">
        <v>200000</v>
      </c>
      <c r="R904" t="s">
        <v>162</v>
      </c>
      <c r="S904">
        <v>0</v>
      </c>
      <c r="T904">
        <v>3.7217844631578947E-4</v>
      </c>
      <c r="U904" t="s">
        <v>176</v>
      </c>
      <c r="V904">
        <v>1.2821107894736843E-3</v>
      </c>
      <c r="W904">
        <v>3.828602607789474E-2</v>
      </c>
      <c r="X904" t="s">
        <v>177</v>
      </c>
      <c r="Y904">
        <v>2.2971615646736844E-3</v>
      </c>
      <c r="Z904">
        <v>0</v>
      </c>
      <c r="AA904" t="s">
        <v>178</v>
      </c>
      <c r="AB904">
        <v>4.5943231293473687E-3</v>
      </c>
      <c r="AC904">
        <v>4.5177510771915792E-2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Q904" t="s">
        <v>9</v>
      </c>
      <c r="AR904" t="s">
        <v>263</v>
      </c>
      <c r="AS904">
        <v>3.6631736842105266E-2</v>
      </c>
    </row>
    <row r="905" spans="1:45" x14ac:dyDescent="0.15">
      <c r="A905" s="4" t="str">
        <f>HYPERLINK("https://ibp.a2mac1.com/costing(costing:projects/details/9760/material/8755399)","Paint - Clear Coat")</f>
        <v>Paint - Clear Coat</v>
      </c>
      <c r="B905">
        <v>8755399</v>
      </c>
      <c r="C905">
        <v>12085687</v>
      </c>
      <c r="E905">
        <v>9.0699199999999998</v>
      </c>
      <c r="F905" t="s">
        <v>1468</v>
      </c>
      <c r="G905">
        <v>98</v>
      </c>
      <c r="H905" t="s">
        <v>5469</v>
      </c>
      <c r="I905">
        <v>0</v>
      </c>
      <c r="J905">
        <v>1.0057812623742775</v>
      </c>
      <c r="K905">
        <v>0</v>
      </c>
      <c r="L905">
        <v>0</v>
      </c>
      <c r="M905">
        <v>0</v>
      </c>
      <c r="O905">
        <v>200000</v>
      </c>
      <c r="R905" t="s">
        <v>162</v>
      </c>
      <c r="S905">
        <v>0</v>
      </c>
      <c r="T905">
        <v>4.7015503673469389E-4</v>
      </c>
      <c r="U905" t="s">
        <v>176</v>
      </c>
      <c r="V905">
        <v>1.6196285714285715E-3</v>
      </c>
      <c r="W905">
        <v>4.8364885648979589E-2</v>
      </c>
      <c r="X905" t="s">
        <v>177</v>
      </c>
      <c r="Y905">
        <v>2.9018931389387754E-3</v>
      </c>
      <c r="Z905">
        <v>0</v>
      </c>
      <c r="AA905" t="s">
        <v>178</v>
      </c>
      <c r="AB905">
        <v>5.8037862778775508E-3</v>
      </c>
      <c r="AC905">
        <v>5.7070565065795921E-2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Q905" t="s">
        <v>9</v>
      </c>
      <c r="AR905" t="s">
        <v>263</v>
      </c>
      <c r="AS905">
        <v>4.6275102040816328E-2</v>
      </c>
    </row>
    <row r="906" spans="1:45" x14ac:dyDescent="0.15">
      <c r="A906" s="4" t="str">
        <f>HYPERLINK("https://ibp.a2mac1.com/costing(costing:projects/details/9760/material/8755400)","POM-GF30")</f>
        <v>POM-GF30</v>
      </c>
      <c r="B906">
        <v>8755400</v>
      </c>
      <c r="C906">
        <v>12085688</v>
      </c>
      <c r="E906">
        <v>2.4839199999999999</v>
      </c>
      <c r="F906" t="s">
        <v>4449</v>
      </c>
      <c r="G906">
        <v>97</v>
      </c>
      <c r="H906" t="s">
        <v>5300</v>
      </c>
      <c r="I906">
        <v>5</v>
      </c>
      <c r="J906">
        <v>0.10389195236953569</v>
      </c>
      <c r="K906">
        <v>0</v>
      </c>
      <c r="M906">
        <v>0</v>
      </c>
      <c r="O906">
        <v>200000</v>
      </c>
      <c r="R906" t="s">
        <v>162</v>
      </c>
      <c r="S906">
        <v>8.450449484536083E-5</v>
      </c>
      <c r="T906">
        <v>5.8589783092783507E-5</v>
      </c>
      <c r="U906" t="s">
        <v>176</v>
      </c>
      <c r="V906">
        <v>1.9717715463917528E-3</v>
      </c>
      <c r="W906">
        <v>5.8282186731546393E-2</v>
      </c>
      <c r="X906" t="s">
        <v>177</v>
      </c>
      <c r="Y906">
        <v>3.4969312038927833E-3</v>
      </c>
      <c r="Z906">
        <v>0</v>
      </c>
      <c r="AA906" t="s">
        <v>178</v>
      </c>
      <c r="AB906">
        <v>6.9938624077855666E-3</v>
      </c>
      <c r="AC906">
        <v>6.8772980343224738E-2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Q906" t="s">
        <v>262</v>
      </c>
      <c r="AR906" t="s">
        <v>263</v>
      </c>
      <c r="AS906">
        <v>5.633632989690722E-2</v>
      </c>
    </row>
    <row r="907" spans="1:45" x14ac:dyDescent="0.15">
      <c r="A907" s="4" t="str">
        <f>HYPERLINK("https://ibp.a2mac1.com/costing(costing:projects/details/9760/material/8755015)","Standard Structural Steel sheet")</f>
        <v>Standard Structural Steel sheet</v>
      </c>
      <c r="B907">
        <v>8755015</v>
      </c>
      <c r="C907">
        <v>12085332</v>
      </c>
      <c r="E907">
        <v>0.61129999999999995</v>
      </c>
      <c r="F907" t="s">
        <v>5490</v>
      </c>
      <c r="G907">
        <v>70</v>
      </c>
      <c r="H907" t="s">
        <v>5491</v>
      </c>
      <c r="I907">
        <v>30</v>
      </c>
      <c r="J907">
        <v>0.70499453877469964</v>
      </c>
      <c r="K907">
        <v>0</v>
      </c>
      <c r="L907">
        <v>0</v>
      </c>
      <c r="M907">
        <v>0</v>
      </c>
      <c r="O907">
        <v>200000</v>
      </c>
      <c r="R907" t="s">
        <v>162</v>
      </c>
      <c r="S907">
        <v>7.3879971428571431E-3</v>
      </c>
      <c r="T907">
        <v>5.8283088571428566E-4</v>
      </c>
      <c r="U907" t="s">
        <v>176</v>
      </c>
      <c r="V907">
        <v>2.8731099999999999E-3</v>
      </c>
      <c r="W907">
        <v>7.8156800885714292E-2</v>
      </c>
      <c r="X907" t="s">
        <v>177</v>
      </c>
      <c r="Y907">
        <v>4.6894080531428572E-3</v>
      </c>
      <c r="Z907">
        <v>0</v>
      </c>
      <c r="AA907" t="s">
        <v>178</v>
      </c>
      <c r="AB907">
        <v>9.3788161062857145E-3</v>
      </c>
      <c r="AC907">
        <v>9.2225025045142864E-2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Q907" t="s">
        <v>262</v>
      </c>
      <c r="AR907" t="s">
        <v>263</v>
      </c>
      <c r="AS907">
        <v>8.2088857142857144E-2</v>
      </c>
    </row>
    <row r="908" spans="1:45" x14ac:dyDescent="0.15">
      <c r="A908" s="4" t="str">
        <f>HYPERLINK("https://ibp.a2mac1.com/costing(costing:projects/details/9760/material/8755016)","PP-EPDM")</f>
        <v>PP-EPDM</v>
      </c>
      <c r="B908">
        <v>8755016</v>
      </c>
      <c r="C908">
        <v>12085334</v>
      </c>
      <c r="E908">
        <v>1.7894600000000001</v>
      </c>
      <c r="F908" t="s">
        <v>5443</v>
      </c>
      <c r="G908">
        <v>95</v>
      </c>
      <c r="H908" t="s">
        <v>5499</v>
      </c>
      <c r="I908">
        <v>5</v>
      </c>
      <c r="J908">
        <v>0.50345253019720215</v>
      </c>
      <c r="K908">
        <v>0</v>
      </c>
      <c r="L908">
        <v>0</v>
      </c>
      <c r="M908">
        <v>0</v>
      </c>
      <c r="O908">
        <v>200000</v>
      </c>
      <c r="R908" t="s">
        <v>162</v>
      </c>
      <c r="S908">
        <v>9.4182105263157901E-6</v>
      </c>
      <c r="T908">
        <v>1.9062458105263157E-5</v>
      </c>
      <c r="U908" t="s">
        <v>176</v>
      </c>
      <c r="V908">
        <v>1.3185494736842106E-4</v>
      </c>
      <c r="W908">
        <v>3.908783405473684E-3</v>
      </c>
      <c r="X908" t="s">
        <v>90</v>
      </c>
      <c r="Y908">
        <v>0</v>
      </c>
      <c r="Z908">
        <v>0</v>
      </c>
      <c r="AA908" t="s">
        <v>90</v>
      </c>
      <c r="AB908">
        <v>0</v>
      </c>
      <c r="AC908">
        <v>3.908783405473684E-3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Q908" t="s">
        <v>262</v>
      </c>
      <c r="AR908" t="s">
        <v>263</v>
      </c>
      <c r="AS908">
        <v>3.7672842105263156E-3</v>
      </c>
    </row>
    <row r="909" spans="1:45" x14ac:dyDescent="0.15">
      <c r="A909" s="4" t="str">
        <f>HYPERLINK("https://ibp.a2mac1.com/costing(costing:projects/details/9760/material/8755401)","SiO2  Na2CO3 CaCO3  MgCO3  Additives [2]")</f>
        <v>SiO2  Na2CO3 CaCO3  MgCO3  Additives [2]</v>
      </c>
      <c r="B909">
        <v>8755401</v>
      </c>
      <c r="C909">
        <v>12085689</v>
      </c>
      <c r="E909">
        <v>14.153359999999999</v>
      </c>
      <c r="F909" t="s">
        <v>478</v>
      </c>
      <c r="G909">
        <v>100</v>
      </c>
      <c r="H909" t="s">
        <v>479</v>
      </c>
      <c r="I909">
        <v>0</v>
      </c>
      <c r="J909">
        <v>0.50345253019720215</v>
      </c>
      <c r="K909">
        <v>0</v>
      </c>
      <c r="L909">
        <v>0</v>
      </c>
      <c r="M909">
        <v>0</v>
      </c>
      <c r="O909">
        <v>200000</v>
      </c>
      <c r="R909" t="s">
        <v>162</v>
      </c>
      <c r="S909">
        <v>0</v>
      </c>
      <c r="T909">
        <v>7.1616001600000007E-2</v>
      </c>
      <c r="U909" t="s">
        <v>176</v>
      </c>
      <c r="V909">
        <v>0.49536760000000002</v>
      </c>
      <c r="W909">
        <v>14.7203436016</v>
      </c>
      <c r="X909" t="s">
        <v>177</v>
      </c>
      <c r="Y909">
        <v>0.883220616096</v>
      </c>
      <c r="Z909">
        <v>0</v>
      </c>
      <c r="AA909" t="s">
        <v>178</v>
      </c>
      <c r="AB909">
        <v>1.766441232192</v>
      </c>
      <c r="AC909">
        <v>17.370005449888001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Q909" t="s">
        <v>9</v>
      </c>
      <c r="AR909" t="s">
        <v>263</v>
      </c>
      <c r="AS909">
        <v>14.153359999999999</v>
      </c>
    </row>
    <row r="910" spans="1:45" x14ac:dyDescent="0.15">
      <c r="A910" s="4" t="str">
        <f>HYPERLINK("https://ibp.a2mac1.com/costing(costing:projects/details/9760/material/8755402)","EPDM")</f>
        <v>EPDM</v>
      </c>
      <c r="B910">
        <v>8755402</v>
      </c>
      <c r="C910">
        <v>12085691</v>
      </c>
      <c r="E910">
        <v>2.78701</v>
      </c>
      <c r="F910" t="s">
        <v>5376</v>
      </c>
      <c r="G910">
        <v>95</v>
      </c>
      <c r="H910" t="s">
        <v>5377</v>
      </c>
      <c r="I910">
        <v>5</v>
      </c>
      <c r="J910">
        <v>0.20557651238448796</v>
      </c>
      <c r="K910">
        <v>0</v>
      </c>
      <c r="L910">
        <v>0</v>
      </c>
      <c r="M910">
        <v>0</v>
      </c>
      <c r="O910">
        <v>200000</v>
      </c>
      <c r="R910" t="s">
        <v>162</v>
      </c>
      <c r="S910">
        <v>9.1677960526315785E-3</v>
      </c>
      <c r="T910">
        <v>7.554263947368421E-3</v>
      </c>
      <c r="U910" t="s">
        <v>176</v>
      </c>
      <c r="V910">
        <v>0.12834914473684211</v>
      </c>
      <c r="W910">
        <v>3.7938540336842106</v>
      </c>
      <c r="X910" t="s">
        <v>177</v>
      </c>
      <c r="Y910">
        <v>0.22763124202105264</v>
      </c>
      <c r="Z910">
        <v>0</v>
      </c>
      <c r="AA910" t="s">
        <v>178</v>
      </c>
      <c r="AB910">
        <v>0.45526248404210529</v>
      </c>
      <c r="AC910">
        <v>4.4767477597473686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P910" t="s">
        <v>5378</v>
      </c>
      <c r="AQ910" t="s">
        <v>262</v>
      </c>
      <c r="AR910" t="s">
        <v>263</v>
      </c>
      <c r="AS910">
        <v>3.6671184210526317</v>
      </c>
    </row>
    <row r="911" spans="1:45" x14ac:dyDescent="0.15">
      <c r="A911" s="4" t="str">
        <f>HYPERLINK("https://ibp.a2mac1.com/costing(costing:projects/details/9760/material/8755403)","Standard Structural Steel sheet")</f>
        <v>Standard Structural Steel sheet</v>
      </c>
      <c r="B911">
        <v>8755403</v>
      </c>
      <c r="C911">
        <v>12085691</v>
      </c>
      <c r="E911">
        <v>0.61129999999999995</v>
      </c>
      <c r="F911" t="s">
        <v>5380</v>
      </c>
      <c r="G911">
        <v>95</v>
      </c>
      <c r="H911" t="s">
        <v>5381</v>
      </c>
      <c r="I911">
        <v>30</v>
      </c>
      <c r="J911">
        <v>0.20557651238448796</v>
      </c>
      <c r="K911">
        <v>0</v>
      </c>
      <c r="L911">
        <v>0</v>
      </c>
      <c r="M911">
        <v>0</v>
      </c>
      <c r="O911">
        <v>200000</v>
      </c>
      <c r="R911" t="s">
        <v>162</v>
      </c>
      <c r="S911">
        <v>2.4130263157894735E-3</v>
      </c>
      <c r="T911">
        <v>3.3138894736842108E-4</v>
      </c>
      <c r="U911" t="s">
        <v>176</v>
      </c>
      <c r="V911">
        <v>5.6303947368421051E-3</v>
      </c>
      <c r="W911">
        <v>0.16441717842105263</v>
      </c>
      <c r="X911" t="s">
        <v>177</v>
      </c>
      <c r="Y911">
        <v>9.8650307052631572E-3</v>
      </c>
      <c r="Z911">
        <v>0</v>
      </c>
      <c r="AA911" t="s">
        <v>178</v>
      </c>
      <c r="AB911">
        <v>1.9730061410526314E-2</v>
      </c>
      <c r="AC911">
        <v>0.19401227053684211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Q911" t="s">
        <v>262</v>
      </c>
      <c r="AR911" t="s">
        <v>263</v>
      </c>
      <c r="AS911">
        <v>0.16086842105263158</v>
      </c>
    </row>
    <row r="912" spans="1:45" x14ac:dyDescent="0.15">
      <c r="A912" s="4" t="str">
        <f>HYPERLINK("https://ibp.a2mac1.com/costing(costing:projects/details/9760/material/8755404)","EPDM")</f>
        <v>EPDM</v>
      </c>
      <c r="B912">
        <v>8755404</v>
      </c>
      <c r="C912">
        <v>12085692</v>
      </c>
      <c r="E912">
        <v>2.78701</v>
      </c>
      <c r="F912" t="s">
        <v>5387</v>
      </c>
      <c r="G912">
        <v>95</v>
      </c>
      <c r="H912" t="s">
        <v>5388</v>
      </c>
      <c r="I912">
        <v>5</v>
      </c>
      <c r="J912">
        <v>0.10389195236953569</v>
      </c>
      <c r="K912">
        <v>0</v>
      </c>
      <c r="L912">
        <v>0</v>
      </c>
      <c r="M912">
        <v>0</v>
      </c>
      <c r="O912">
        <v>200000</v>
      </c>
      <c r="R912" t="s">
        <v>162</v>
      </c>
      <c r="S912">
        <v>1.7235456578947369E-3</v>
      </c>
      <c r="T912">
        <v>7.1699499368421053E-4</v>
      </c>
      <c r="U912" t="s">
        <v>176</v>
      </c>
      <c r="V912">
        <v>2.4129639210526316E-2</v>
      </c>
      <c r="W912">
        <v>0.71254135170421051</v>
      </c>
      <c r="X912" t="s">
        <v>177</v>
      </c>
      <c r="Y912">
        <v>4.2752481102252632E-2</v>
      </c>
      <c r="Z912">
        <v>0</v>
      </c>
      <c r="AA912" t="s">
        <v>178</v>
      </c>
      <c r="AB912">
        <v>8.5504962204505264E-2</v>
      </c>
      <c r="AC912">
        <v>0.84079879501096844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P912" t="s">
        <v>5378</v>
      </c>
      <c r="AQ912" t="s">
        <v>262</v>
      </c>
      <c r="AR912" t="s">
        <v>263</v>
      </c>
      <c r="AS912">
        <v>0.68941826315789478</v>
      </c>
    </row>
    <row r="913" spans="1:45" x14ac:dyDescent="0.15">
      <c r="A913" s="4" t="str">
        <f>HYPERLINK("https://ibp.a2mac1.com/costing(costing:projects/details/9760/material/8755017)","EPDM")</f>
        <v>EPDM</v>
      </c>
      <c r="B913">
        <v>8755017</v>
      </c>
      <c r="C913">
        <v>12085336</v>
      </c>
      <c r="E913">
        <v>2.78701</v>
      </c>
      <c r="F913" t="s">
        <v>5394</v>
      </c>
      <c r="G913">
        <v>95</v>
      </c>
      <c r="H913" t="s">
        <v>5395</v>
      </c>
      <c r="I913">
        <v>5</v>
      </c>
      <c r="J913">
        <v>0.10389195236953569</v>
      </c>
      <c r="K913">
        <v>0</v>
      </c>
      <c r="L913">
        <v>0</v>
      </c>
      <c r="M913">
        <v>0</v>
      </c>
      <c r="O913">
        <v>200000</v>
      </c>
      <c r="R913" t="s">
        <v>162</v>
      </c>
      <c r="S913">
        <v>2.5669828947368421E-3</v>
      </c>
      <c r="T913">
        <v>1.0678648842105264E-3</v>
      </c>
      <c r="U913" t="s">
        <v>176</v>
      </c>
      <c r="V913">
        <v>3.5937760526315789E-2</v>
      </c>
      <c r="W913">
        <v>1.0612318004105263</v>
      </c>
      <c r="X913" t="s">
        <v>177</v>
      </c>
      <c r="Y913">
        <v>6.3673908024631576E-2</v>
      </c>
      <c r="Z913">
        <v>0</v>
      </c>
      <c r="AA913" t="s">
        <v>178</v>
      </c>
      <c r="AB913">
        <v>0.12734781604926315</v>
      </c>
      <c r="AC913">
        <v>1.2522535244844211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P913" t="s">
        <v>5378</v>
      </c>
      <c r="AQ913" t="s">
        <v>262</v>
      </c>
      <c r="AR913" t="s">
        <v>263</v>
      </c>
      <c r="AS913">
        <v>1.0267931578947369</v>
      </c>
    </row>
    <row r="914" spans="1:45" x14ac:dyDescent="0.15">
      <c r="A914" s="4" t="str">
        <f>HYPERLINK("https://ibp.a2mac1.com/costing(costing:projects/details/9760/material/8755018)","Aluminum for extrusion (default, e.g. EN-AW6016)")</f>
        <v>Aluminum for extrusion (default, e.g. EN-AW6016)</v>
      </c>
      <c r="B914">
        <v>8755018</v>
      </c>
      <c r="C914">
        <v>12085336</v>
      </c>
      <c r="E914">
        <v>2.3603000000000001</v>
      </c>
      <c r="F914" t="s">
        <v>5397</v>
      </c>
      <c r="G914">
        <v>95</v>
      </c>
      <c r="H914" t="s">
        <v>5398</v>
      </c>
      <c r="I914">
        <v>30</v>
      </c>
      <c r="J914">
        <v>0.10389195236953569</v>
      </c>
      <c r="K914">
        <v>0</v>
      </c>
      <c r="L914">
        <v>0</v>
      </c>
      <c r="M914">
        <v>0</v>
      </c>
      <c r="O914">
        <v>200000</v>
      </c>
      <c r="R914" t="s">
        <v>162</v>
      </c>
      <c r="S914">
        <v>8.3852763157894732E-3</v>
      </c>
      <c r="T914">
        <v>5.8137915789473681E-4</v>
      </c>
      <c r="U914" t="s">
        <v>176</v>
      </c>
      <c r="V914">
        <v>1.9565644736842105E-2</v>
      </c>
      <c r="W914">
        <v>0.57078016863157899</v>
      </c>
      <c r="X914" t="s">
        <v>177</v>
      </c>
      <c r="Y914">
        <v>3.4246810117894738E-2</v>
      </c>
      <c r="Z914">
        <v>0</v>
      </c>
      <c r="AA914" t="s">
        <v>178</v>
      </c>
      <c r="AB914">
        <v>6.8493620235789476E-2</v>
      </c>
      <c r="AC914">
        <v>0.67352059898526317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Q914" t="s">
        <v>262</v>
      </c>
      <c r="AR914" t="s">
        <v>263</v>
      </c>
      <c r="AS914">
        <v>0.55901842105263155</v>
      </c>
    </row>
    <row r="915" spans="1:45" x14ac:dyDescent="0.15">
      <c r="A915" s="4" t="str">
        <f>HYPERLINK("https://ibp.a2mac1.com/costing(costing:projects/details/9760/material/8755019)","EPDM")</f>
        <v>EPDM</v>
      </c>
      <c r="B915">
        <v>8755019</v>
      </c>
      <c r="C915">
        <v>12085337</v>
      </c>
      <c r="E915">
        <v>2.78701</v>
      </c>
      <c r="F915" t="s">
        <v>5403</v>
      </c>
      <c r="G915">
        <v>95</v>
      </c>
      <c r="H915" t="s">
        <v>5404</v>
      </c>
      <c r="I915">
        <v>5</v>
      </c>
      <c r="J915">
        <v>0.10389195236953569</v>
      </c>
      <c r="K915">
        <v>0</v>
      </c>
      <c r="L915">
        <v>0</v>
      </c>
      <c r="M915">
        <v>0</v>
      </c>
      <c r="O915">
        <v>200000</v>
      </c>
      <c r="R915" t="s">
        <v>162</v>
      </c>
      <c r="S915">
        <v>1.2834914473684211E-3</v>
      </c>
      <c r="T915">
        <v>5.3393244210526319E-4</v>
      </c>
      <c r="U915" t="s">
        <v>176</v>
      </c>
      <c r="V915">
        <v>1.7968880263157894E-2</v>
      </c>
      <c r="W915">
        <v>0.53061590020526317</v>
      </c>
      <c r="X915" t="s">
        <v>177</v>
      </c>
      <c r="Y915">
        <v>3.1836954012315788E-2</v>
      </c>
      <c r="Z915">
        <v>0</v>
      </c>
      <c r="AA915" t="s">
        <v>178</v>
      </c>
      <c r="AB915">
        <v>6.3673908024631576E-2</v>
      </c>
      <c r="AC915">
        <v>0.62612676224221053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P915" t="s">
        <v>5378</v>
      </c>
      <c r="AQ915" t="s">
        <v>262</v>
      </c>
      <c r="AR915" t="s">
        <v>263</v>
      </c>
      <c r="AS915">
        <v>0.51339657894736845</v>
      </c>
    </row>
    <row r="916" spans="1:45" x14ac:dyDescent="0.15">
      <c r="A916" s="4" t="str">
        <f>HYPERLINK("https://ibp.a2mac1.com/costing(costing:projects/details/9760/material/8755020)","Aluminum for extrusion (default, e.g. EN-AW6016)")</f>
        <v>Aluminum for extrusion (default, e.g. EN-AW6016)</v>
      </c>
      <c r="B916">
        <v>8755020</v>
      </c>
      <c r="C916">
        <v>12085337</v>
      </c>
      <c r="E916">
        <v>2.3603000000000001</v>
      </c>
      <c r="F916" t="s">
        <v>5406</v>
      </c>
      <c r="G916">
        <v>95</v>
      </c>
      <c r="H916" t="s">
        <v>5407</v>
      </c>
      <c r="I916">
        <v>30</v>
      </c>
      <c r="J916">
        <v>0.10389195236953569</v>
      </c>
      <c r="K916">
        <v>0</v>
      </c>
      <c r="L916">
        <v>0</v>
      </c>
      <c r="M916">
        <v>0</v>
      </c>
      <c r="O916">
        <v>200000</v>
      </c>
      <c r="R916" t="s">
        <v>162</v>
      </c>
      <c r="S916">
        <v>3.7267894736842107E-3</v>
      </c>
      <c r="T916">
        <v>2.5839073684210529E-4</v>
      </c>
      <c r="U916" t="s">
        <v>176</v>
      </c>
      <c r="V916">
        <v>8.6958421052631581E-3</v>
      </c>
      <c r="W916">
        <v>0.25368007494736844</v>
      </c>
      <c r="X916" t="s">
        <v>177</v>
      </c>
      <c r="Y916">
        <v>1.5220804496842105E-2</v>
      </c>
      <c r="Z916">
        <v>0</v>
      </c>
      <c r="AA916" t="s">
        <v>178</v>
      </c>
      <c r="AB916">
        <v>3.044160899368421E-2</v>
      </c>
      <c r="AC916">
        <v>0.29934248843789474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Q916" t="s">
        <v>262</v>
      </c>
      <c r="AR916" t="s">
        <v>263</v>
      </c>
      <c r="AS916">
        <v>0.24845263157894737</v>
      </c>
    </row>
    <row r="917" spans="1:45" x14ac:dyDescent="0.15">
      <c r="A917" s="4" t="str">
        <f>HYPERLINK("https://ibp.a2mac1.com/costing(costing:projects/details/9760/material/8755021)","EN AW-Al 99,9Mg1")</f>
        <v>EN AW-Al 99,9Mg1</v>
      </c>
      <c r="B917">
        <v>8755021</v>
      </c>
      <c r="C917">
        <v>12085338</v>
      </c>
      <c r="E917">
        <v>2.30322</v>
      </c>
      <c r="F917" t="s">
        <v>5411</v>
      </c>
      <c r="G917">
        <v>94.429000000000002</v>
      </c>
      <c r="H917" t="s">
        <v>5412</v>
      </c>
      <c r="I917">
        <v>0</v>
      </c>
      <c r="J917">
        <v>0.10389195236953569</v>
      </c>
      <c r="K917">
        <v>0</v>
      </c>
      <c r="M917">
        <v>0</v>
      </c>
      <c r="O917">
        <v>200000</v>
      </c>
      <c r="R917" t="s">
        <v>162</v>
      </c>
      <c r="S917">
        <v>0</v>
      </c>
      <c r="T917">
        <v>2.1054331868387889E-4</v>
      </c>
      <c r="U917" t="s">
        <v>176</v>
      </c>
      <c r="V917">
        <v>7.085592455707463E-3</v>
      </c>
      <c r="W917">
        <v>0.20974163450889027</v>
      </c>
      <c r="X917" t="s">
        <v>90</v>
      </c>
      <c r="Y917">
        <v>0</v>
      </c>
      <c r="Z917">
        <v>0</v>
      </c>
      <c r="AA917" t="s">
        <v>90</v>
      </c>
      <c r="AB917">
        <v>0</v>
      </c>
      <c r="AC917">
        <v>0.20974163450889027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Q917" t="s">
        <v>9</v>
      </c>
      <c r="AR917" t="s">
        <v>263</v>
      </c>
      <c r="AS917">
        <v>0.20244549873449894</v>
      </c>
    </row>
    <row r="918" spans="1:45" x14ac:dyDescent="0.15">
      <c r="A918" s="4" t="str">
        <f>HYPERLINK("https://ibp.a2mac1.com/costing(costing:projects/details/9760/material/8755405)","Standard Structural Steel sheet")</f>
        <v>Standard Structural Steel sheet</v>
      </c>
      <c r="B918">
        <v>8755405</v>
      </c>
      <c r="C918">
        <v>12085693</v>
      </c>
      <c r="E918">
        <v>0.61129999999999995</v>
      </c>
      <c r="F918" t="s">
        <v>5345</v>
      </c>
      <c r="G918">
        <v>80</v>
      </c>
      <c r="H918" t="s">
        <v>5346</v>
      </c>
      <c r="I918">
        <v>30</v>
      </c>
      <c r="J918">
        <v>1.9999600007999841E-3</v>
      </c>
      <c r="K918">
        <v>0</v>
      </c>
      <c r="M918">
        <v>0</v>
      </c>
      <c r="O918">
        <v>200000</v>
      </c>
      <c r="R918" t="s">
        <v>162</v>
      </c>
      <c r="S918">
        <v>9.3528900000000009E-3</v>
      </c>
      <c r="T918">
        <v>3.11763E-6</v>
      </c>
      <c r="U918" t="s">
        <v>176</v>
      </c>
      <c r="V918">
        <v>5.4558525000000004E-3</v>
      </c>
      <c r="W918">
        <v>0.15198758012999999</v>
      </c>
      <c r="X918" t="s">
        <v>90</v>
      </c>
      <c r="Y918">
        <v>0</v>
      </c>
      <c r="Z918">
        <v>0</v>
      </c>
      <c r="AA918" t="s">
        <v>90</v>
      </c>
      <c r="AB918">
        <v>0</v>
      </c>
      <c r="AC918">
        <v>0.15198758012999999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Q918" t="s">
        <v>262</v>
      </c>
      <c r="AR918" t="s">
        <v>263</v>
      </c>
      <c r="AS918">
        <v>0.15588150000000001</v>
      </c>
    </row>
    <row r="919" spans="1:45" x14ac:dyDescent="0.15">
      <c r="A919" s="4" t="str">
        <f>HYPERLINK("https://ibp.a2mac1.com/costing(costing:projects/details/9760/material/8755406)","Standard Structural Steel sheet")</f>
        <v>Standard Structural Steel sheet</v>
      </c>
      <c r="B919">
        <v>8755406</v>
      </c>
      <c r="C919">
        <v>12085694</v>
      </c>
      <c r="E919">
        <v>0.61129999999999995</v>
      </c>
      <c r="F919" t="s">
        <v>5160</v>
      </c>
      <c r="G919">
        <v>80</v>
      </c>
      <c r="H919" t="s">
        <v>5351</v>
      </c>
      <c r="I919">
        <v>30</v>
      </c>
      <c r="J919">
        <v>1.9999600007999841E-3</v>
      </c>
      <c r="K919">
        <v>0</v>
      </c>
      <c r="M919">
        <v>0</v>
      </c>
      <c r="O919">
        <v>200000</v>
      </c>
      <c r="R919" t="s">
        <v>162</v>
      </c>
      <c r="S919">
        <v>4.4930550000000001E-3</v>
      </c>
      <c r="T919">
        <v>1.4976850000000001E-6</v>
      </c>
      <c r="U919" t="s">
        <v>176</v>
      </c>
      <c r="V919">
        <v>2.6209487500000002E-3</v>
      </c>
      <c r="W919">
        <v>7.3013641434999998E-2</v>
      </c>
      <c r="X919" t="s">
        <v>90</v>
      </c>
      <c r="Y919">
        <v>0</v>
      </c>
      <c r="Z919">
        <v>0</v>
      </c>
      <c r="AA919" t="s">
        <v>90</v>
      </c>
      <c r="AB919">
        <v>0</v>
      </c>
      <c r="AC919">
        <v>7.3013641434999998E-2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Q919" t="s">
        <v>262</v>
      </c>
      <c r="AR919" t="s">
        <v>263</v>
      </c>
      <c r="AS919">
        <v>7.4884249999999999E-2</v>
      </c>
    </row>
    <row r="920" spans="1:45" x14ac:dyDescent="0.15">
      <c r="A920" s="4" t="str">
        <f>HYPERLINK("https://ibp.a2mac1.com/costing(costing:projects/details/9760/material/8755407)","Standard Structural Steel sheet")</f>
        <v>Standard Structural Steel sheet</v>
      </c>
      <c r="B920">
        <v>8755407</v>
      </c>
      <c r="C920">
        <v>12085695</v>
      </c>
      <c r="E920">
        <v>0.61129999999999995</v>
      </c>
      <c r="F920" t="s">
        <v>5345</v>
      </c>
      <c r="G920">
        <v>80</v>
      </c>
      <c r="H920" t="s">
        <v>5346</v>
      </c>
      <c r="I920">
        <v>30</v>
      </c>
      <c r="J920">
        <v>1.9999600007999841E-3</v>
      </c>
      <c r="K920">
        <v>0</v>
      </c>
      <c r="M920">
        <v>0</v>
      </c>
      <c r="O920">
        <v>200000</v>
      </c>
      <c r="R920" t="s">
        <v>162</v>
      </c>
      <c r="S920">
        <v>9.3528900000000009E-3</v>
      </c>
      <c r="T920">
        <v>3.11763E-6</v>
      </c>
      <c r="U920" t="s">
        <v>176</v>
      </c>
      <c r="V920">
        <v>5.4558525000000004E-3</v>
      </c>
      <c r="W920">
        <v>0.15198758012999999</v>
      </c>
      <c r="X920" t="s">
        <v>90</v>
      </c>
      <c r="Y920">
        <v>0</v>
      </c>
      <c r="Z920">
        <v>0</v>
      </c>
      <c r="AA920" t="s">
        <v>90</v>
      </c>
      <c r="AB920">
        <v>0</v>
      </c>
      <c r="AC920">
        <v>0.15198758012999999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Q920" t="s">
        <v>262</v>
      </c>
      <c r="AR920" t="s">
        <v>263</v>
      </c>
      <c r="AS920">
        <v>0.15588150000000001</v>
      </c>
    </row>
    <row r="921" spans="1:45" x14ac:dyDescent="0.15">
      <c r="A921" s="4" t="str">
        <f>HYPERLINK("https://ibp.a2mac1.com/costing(costing:projects/details/9760/material/8755408)","Standard Structural Steel sheet")</f>
        <v>Standard Structural Steel sheet</v>
      </c>
      <c r="B921">
        <v>8755408</v>
      </c>
      <c r="C921">
        <v>12085696</v>
      </c>
      <c r="E921">
        <v>0.61129999999999995</v>
      </c>
      <c r="F921" t="s">
        <v>5160</v>
      </c>
      <c r="G921">
        <v>80</v>
      </c>
      <c r="H921" t="s">
        <v>5351</v>
      </c>
      <c r="I921">
        <v>30</v>
      </c>
      <c r="J921">
        <v>1.9999600007999841E-3</v>
      </c>
      <c r="K921">
        <v>0</v>
      </c>
      <c r="M921">
        <v>0</v>
      </c>
      <c r="O921">
        <v>200000</v>
      </c>
      <c r="R921" t="s">
        <v>162</v>
      </c>
      <c r="S921">
        <v>4.4930550000000001E-3</v>
      </c>
      <c r="T921">
        <v>1.4976850000000001E-6</v>
      </c>
      <c r="U921" t="s">
        <v>176</v>
      </c>
      <c r="V921">
        <v>2.6209487500000002E-3</v>
      </c>
      <c r="W921">
        <v>7.3013641434999998E-2</v>
      </c>
      <c r="X921" t="s">
        <v>90</v>
      </c>
      <c r="Y921">
        <v>0</v>
      </c>
      <c r="Z921">
        <v>0</v>
      </c>
      <c r="AA921" t="s">
        <v>90</v>
      </c>
      <c r="AB921">
        <v>0</v>
      </c>
      <c r="AC921">
        <v>7.3013641434999998E-2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Q921" t="s">
        <v>262</v>
      </c>
      <c r="AR921" t="s">
        <v>263</v>
      </c>
      <c r="AS921">
        <v>7.4884249999999999E-2</v>
      </c>
    </row>
    <row r="922" spans="1:45" x14ac:dyDescent="0.15">
      <c r="A922" s="4" t="str">
        <f>HYPERLINK("https://ibp.a2mac1.com/costing(costing:projects/details/9760/material/8755022)","PE")</f>
        <v>PE</v>
      </c>
      <c r="B922">
        <v>8755022</v>
      </c>
      <c r="C922">
        <v>12085339</v>
      </c>
      <c r="E922">
        <v>1.2665</v>
      </c>
      <c r="F922" t="s">
        <v>5087</v>
      </c>
      <c r="G922">
        <v>95</v>
      </c>
      <c r="H922" t="s">
        <v>5088</v>
      </c>
      <c r="I922">
        <v>5</v>
      </c>
      <c r="J922">
        <v>0.50345253019720215</v>
      </c>
      <c r="K922">
        <v>0</v>
      </c>
      <c r="L922">
        <v>0</v>
      </c>
      <c r="M922">
        <v>0</v>
      </c>
      <c r="O922">
        <v>200000</v>
      </c>
      <c r="R922" t="s">
        <v>162</v>
      </c>
      <c r="S922">
        <v>1.1331842105263158E-4</v>
      </c>
      <c r="T922">
        <v>2.2935648421052631E-4</v>
      </c>
      <c r="U922" t="s">
        <v>176</v>
      </c>
      <c r="V922">
        <v>1.586457894736842E-3</v>
      </c>
      <c r="W922">
        <v>4.7029864378947371E-2</v>
      </c>
      <c r="X922" t="s">
        <v>177</v>
      </c>
      <c r="Y922">
        <v>2.8217918627368422E-3</v>
      </c>
      <c r="Z922">
        <v>0</v>
      </c>
      <c r="AA922" t="s">
        <v>178</v>
      </c>
      <c r="AB922">
        <v>5.6435837254736844E-3</v>
      </c>
      <c r="AC922">
        <v>5.5495239967157897E-2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P922" t="s">
        <v>5367</v>
      </c>
      <c r="AQ922" t="s">
        <v>262</v>
      </c>
      <c r="AR922" t="s">
        <v>263</v>
      </c>
      <c r="AS922">
        <v>4.532736842105263E-2</v>
      </c>
    </row>
    <row r="923" spans="1:45" x14ac:dyDescent="0.15">
      <c r="A923" s="4" t="str">
        <f>HYPERLINK("https://ibp.a2mac1.com/costing(costing:projects/details/9760/material/8755409)","PMMA")</f>
        <v>PMMA</v>
      </c>
      <c r="B923">
        <v>8755409</v>
      </c>
      <c r="C923">
        <v>12085698</v>
      </c>
      <c r="E923">
        <v>2.1</v>
      </c>
      <c r="F923" t="s">
        <v>4898</v>
      </c>
      <c r="G923">
        <v>97</v>
      </c>
      <c r="H923" t="s">
        <v>5319</v>
      </c>
      <c r="I923">
        <v>5</v>
      </c>
      <c r="J923">
        <v>0.20557651238448796</v>
      </c>
      <c r="K923">
        <v>0</v>
      </c>
      <c r="M923">
        <v>0</v>
      </c>
      <c r="O923">
        <v>200000</v>
      </c>
      <c r="R923" t="s">
        <v>162</v>
      </c>
      <c r="S923">
        <v>4.5463917525773195E-5</v>
      </c>
      <c r="T923">
        <v>6.2437113402061855E-5</v>
      </c>
      <c r="U923" t="s">
        <v>176</v>
      </c>
      <c r="V923">
        <v>1.0608247422680412E-3</v>
      </c>
      <c r="W923">
        <v>3.138707628865979E-2</v>
      </c>
      <c r="X923" t="s">
        <v>90</v>
      </c>
      <c r="Y923">
        <v>0</v>
      </c>
      <c r="Z923">
        <v>0</v>
      </c>
      <c r="AA923" t="s">
        <v>90</v>
      </c>
      <c r="AB923">
        <v>0</v>
      </c>
      <c r="AC923">
        <v>3.138707628865979E-2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Q923" t="s">
        <v>262</v>
      </c>
      <c r="AR923" t="s">
        <v>263</v>
      </c>
      <c r="AS923">
        <v>3.0309278350515462E-2</v>
      </c>
    </row>
    <row r="924" spans="1:45" x14ac:dyDescent="0.15">
      <c r="A924" s="4" t="str">
        <f>HYPERLINK("https://ibp.a2mac1.com/costing(costing:projects/details/9760/material/8755410)","PP-TD20")</f>
        <v>PP-TD20</v>
      </c>
      <c r="B924">
        <v>8755410</v>
      </c>
      <c r="C924">
        <v>12085700</v>
      </c>
      <c r="E924">
        <v>1.1148100000000001</v>
      </c>
      <c r="F924" t="s">
        <v>4372</v>
      </c>
      <c r="G924">
        <v>97</v>
      </c>
      <c r="H924" t="s">
        <v>5327</v>
      </c>
      <c r="I924">
        <v>5</v>
      </c>
      <c r="J924">
        <v>0.20557651238448796</v>
      </c>
      <c r="K924">
        <v>0</v>
      </c>
      <c r="M924">
        <v>0</v>
      </c>
      <c r="O924">
        <v>200000</v>
      </c>
      <c r="R924" t="s">
        <v>162</v>
      </c>
      <c r="S924">
        <v>5.3441922680412372E-5</v>
      </c>
      <c r="T924">
        <v>7.3393573814432988E-5</v>
      </c>
      <c r="U924" t="s">
        <v>176</v>
      </c>
      <c r="V924">
        <v>1.2469781958762886E-3</v>
      </c>
      <c r="W924">
        <v>3.6894878300618557E-2</v>
      </c>
      <c r="X924" t="s">
        <v>90</v>
      </c>
      <c r="Y924">
        <v>0</v>
      </c>
      <c r="Z924">
        <v>0</v>
      </c>
      <c r="AA924" t="s">
        <v>90</v>
      </c>
      <c r="AB924">
        <v>0</v>
      </c>
      <c r="AC924">
        <v>3.6894878300618557E-2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Q924" t="s">
        <v>262</v>
      </c>
      <c r="AR924" t="s">
        <v>263</v>
      </c>
      <c r="AS924">
        <v>3.5627948453608248E-2</v>
      </c>
    </row>
    <row r="925" spans="1:45" x14ac:dyDescent="0.15">
      <c r="A925" s="4" t="str">
        <f>HYPERLINK("https://ibp.a2mac1.com/costing(costing:projects/details/9760/material/8755023)","PMMA-ASA")</f>
        <v>PMMA-ASA</v>
      </c>
      <c r="B925">
        <v>8755023</v>
      </c>
      <c r="C925">
        <v>12085342</v>
      </c>
      <c r="E925">
        <v>2.6603300000000001</v>
      </c>
      <c r="F925" t="s">
        <v>4449</v>
      </c>
      <c r="G925">
        <v>97</v>
      </c>
      <c r="H925" t="s">
        <v>5300</v>
      </c>
      <c r="I925">
        <v>5</v>
      </c>
      <c r="J925">
        <v>0.20557651238448796</v>
      </c>
      <c r="K925">
        <v>0</v>
      </c>
      <c r="M925">
        <v>0</v>
      </c>
      <c r="O925">
        <v>200000</v>
      </c>
      <c r="R925" t="s">
        <v>162</v>
      </c>
      <c r="S925">
        <v>9.0506072164948459E-5</v>
      </c>
      <c r="T925">
        <v>1.2429500577319587E-4</v>
      </c>
      <c r="U925" t="s">
        <v>176</v>
      </c>
      <c r="V925">
        <v>2.1118083505154641E-3</v>
      </c>
      <c r="W925">
        <v>6.2482978727422679E-2</v>
      </c>
      <c r="X925" t="s">
        <v>177</v>
      </c>
      <c r="Y925">
        <v>3.7489787236453607E-3</v>
      </c>
      <c r="Z925">
        <v>0</v>
      </c>
      <c r="AA925" t="s">
        <v>178</v>
      </c>
      <c r="AB925">
        <v>7.4979574472907214E-3</v>
      </c>
      <c r="AC925">
        <v>7.3729914898358756E-2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Q925" t="s">
        <v>262</v>
      </c>
      <c r="AR925" t="s">
        <v>263</v>
      </c>
      <c r="AS925">
        <v>6.0337381443298969E-2</v>
      </c>
    </row>
    <row r="926" spans="1:45" x14ac:dyDescent="0.15">
      <c r="A926" s="4" t="str">
        <f>HYPERLINK("https://ibp.a2mac1.com/costing(costing:projects/details/9760/material/8755024)","TPE")</f>
        <v>TPE</v>
      </c>
      <c r="B926">
        <v>8755024</v>
      </c>
      <c r="C926">
        <v>12085343</v>
      </c>
      <c r="E926">
        <v>1.5073099999999999</v>
      </c>
      <c r="F926" t="s">
        <v>4377</v>
      </c>
      <c r="G926">
        <v>97</v>
      </c>
      <c r="H926" t="s">
        <v>5289</v>
      </c>
      <c r="I926">
        <v>5</v>
      </c>
      <c r="J926">
        <v>0.20557651238448796</v>
      </c>
      <c r="K926">
        <v>0</v>
      </c>
      <c r="M926">
        <v>0</v>
      </c>
      <c r="O926">
        <v>200000</v>
      </c>
      <c r="R926" t="s">
        <v>162</v>
      </c>
      <c r="S926">
        <v>2.3308917525773196E-6</v>
      </c>
      <c r="T926">
        <v>3.2010913402061857E-6</v>
      </c>
      <c r="U926" t="s">
        <v>176</v>
      </c>
      <c r="V926">
        <v>5.4387474226804127E-5</v>
      </c>
      <c r="W926">
        <v>1.6091855088659795E-3</v>
      </c>
      <c r="X926" t="s">
        <v>90</v>
      </c>
      <c r="Y926">
        <v>0</v>
      </c>
      <c r="Z926">
        <v>0</v>
      </c>
      <c r="AA926" t="s">
        <v>90</v>
      </c>
      <c r="AB926">
        <v>0</v>
      </c>
      <c r="AC926">
        <v>1.6091855088659795E-3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Q926" t="s">
        <v>262</v>
      </c>
      <c r="AR926" t="s">
        <v>263</v>
      </c>
      <c r="AS926">
        <v>1.5539278350515464E-3</v>
      </c>
    </row>
    <row r="927" spans="1:45" x14ac:dyDescent="0.15">
      <c r="A927" s="4" t="str">
        <f>HYPERLINK("https://ibp.a2mac1.com/costing(costing:projects/details/9760/material/8755411)","Aluminum for casting (default, e.g. A380/ADC10/EN-AC46500)")</f>
        <v>Aluminum for casting (default, e.g. A380/ADC10/EN-AC46500)</v>
      </c>
      <c r="B927">
        <v>8755411</v>
      </c>
      <c r="C927">
        <v>12085701</v>
      </c>
      <c r="E927">
        <v>2.4518200000000001</v>
      </c>
      <c r="F927" t="s">
        <v>5203</v>
      </c>
      <c r="G927">
        <v>95</v>
      </c>
      <c r="H927" t="s">
        <v>5204</v>
      </c>
      <c r="I927">
        <v>50</v>
      </c>
      <c r="J927">
        <v>0.30705427283965386</v>
      </c>
      <c r="K927">
        <v>0</v>
      </c>
      <c r="M927">
        <v>0</v>
      </c>
      <c r="O927">
        <v>200000</v>
      </c>
      <c r="R927" t="s">
        <v>162</v>
      </c>
      <c r="S927">
        <v>2.1550207368421052E-2</v>
      </c>
      <c r="T927">
        <v>2.6549855477894738E-3</v>
      </c>
      <c r="U927" t="s">
        <v>176</v>
      </c>
      <c r="V927">
        <v>3.0170290315789473E-2</v>
      </c>
      <c r="W927">
        <v>0.87328336323199995</v>
      </c>
      <c r="X927" t="s">
        <v>90</v>
      </c>
      <c r="Y927">
        <v>0</v>
      </c>
      <c r="Z927">
        <v>0</v>
      </c>
      <c r="AA927" t="s">
        <v>90</v>
      </c>
      <c r="AB927">
        <v>0</v>
      </c>
      <c r="AC927">
        <v>0.87328336323199995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Q927" t="s">
        <v>262</v>
      </c>
      <c r="AR927" t="s">
        <v>263</v>
      </c>
      <c r="AS927">
        <v>0.86200829473684215</v>
      </c>
    </row>
    <row r="928" spans="1:45" x14ac:dyDescent="0.15">
      <c r="A928" s="4" t="str">
        <f>HYPERLINK("https://ibp.a2mac1.com/costing(costing:projects/details/9760/material/8755412)","PA6-GF30")</f>
        <v>PA6-GF30</v>
      </c>
      <c r="B928">
        <v>8755412</v>
      </c>
      <c r="C928">
        <v>12085784</v>
      </c>
      <c r="E928">
        <v>2.1428600000000002</v>
      </c>
      <c r="F928" t="s">
        <v>5213</v>
      </c>
      <c r="G928">
        <v>97</v>
      </c>
      <c r="H928" t="s">
        <v>5214</v>
      </c>
      <c r="I928">
        <v>5</v>
      </c>
      <c r="J928">
        <v>0.10389195236953569</v>
      </c>
      <c r="K928">
        <v>0</v>
      </c>
      <c r="M928">
        <v>0</v>
      </c>
      <c r="O928">
        <v>200000</v>
      </c>
      <c r="R928" t="s">
        <v>162</v>
      </c>
      <c r="S928">
        <v>4.1089892783505156E-4</v>
      </c>
      <c r="T928">
        <v>2.8488992329896905E-4</v>
      </c>
      <c r="U928" t="s">
        <v>176</v>
      </c>
      <c r="V928">
        <v>9.5876416494845365E-3</v>
      </c>
      <c r="W928">
        <v>0.28339425120164946</v>
      </c>
      <c r="X928" t="s">
        <v>90</v>
      </c>
      <c r="Y928">
        <v>0</v>
      </c>
      <c r="Z928">
        <v>0</v>
      </c>
      <c r="AA928" t="s">
        <v>90</v>
      </c>
      <c r="AB928">
        <v>0</v>
      </c>
      <c r="AC928">
        <v>0.28339425120164946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Q928" t="s">
        <v>262</v>
      </c>
      <c r="AR928" t="s">
        <v>263</v>
      </c>
      <c r="AS928">
        <v>0.27393261855670104</v>
      </c>
    </row>
    <row r="929" spans="1:45" x14ac:dyDescent="0.15">
      <c r="A929" s="4" t="str">
        <f>HYPERLINK("https://ibp.a2mac1.com/costing(costing:projects/details/9760/material/8755413)","ABS")</f>
        <v>ABS</v>
      </c>
      <c r="B929">
        <v>8755413</v>
      </c>
      <c r="C929">
        <v>12085785</v>
      </c>
      <c r="E929">
        <v>2.5272700000000001</v>
      </c>
      <c r="F929" t="s">
        <v>5220</v>
      </c>
      <c r="G929">
        <v>95</v>
      </c>
      <c r="H929" t="s">
        <v>5221</v>
      </c>
      <c r="I929">
        <v>5</v>
      </c>
      <c r="J929">
        <v>0.60432569974554706</v>
      </c>
      <c r="K929">
        <v>0</v>
      </c>
      <c r="L929">
        <v>0</v>
      </c>
      <c r="M929">
        <v>0</v>
      </c>
      <c r="O929">
        <v>200000</v>
      </c>
      <c r="R929" t="s">
        <v>162</v>
      </c>
      <c r="S929">
        <v>5.3205684210526317E-4</v>
      </c>
      <c r="T929">
        <v>1.29396224E-3</v>
      </c>
      <c r="U929" t="s">
        <v>176</v>
      </c>
      <c r="V929">
        <v>7.4487957894736846E-3</v>
      </c>
      <c r="W929">
        <v>0.22103343802947367</v>
      </c>
      <c r="X929" t="s">
        <v>90</v>
      </c>
      <c r="Y929">
        <v>0</v>
      </c>
      <c r="Z929">
        <v>0</v>
      </c>
      <c r="AA929" t="s">
        <v>90</v>
      </c>
      <c r="AB929">
        <v>0</v>
      </c>
      <c r="AC929">
        <v>0.22103343802947367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P929" t="s">
        <v>5222</v>
      </c>
      <c r="AQ929" t="s">
        <v>262</v>
      </c>
      <c r="AR929" t="s">
        <v>263</v>
      </c>
      <c r="AS929">
        <v>0.21282273684210526</v>
      </c>
    </row>
    <row r="930" spans="1:45" x14ac:dyDescent="0.15">
      <c r="A930" s="4" t="str">
        <f>HYPERLINK("https://ibp.a2mac1.com/costing(costing:projects/details/9760/material/8755414)","Paint: Primer")</f>
        <v>Paint: Primer</v>
      </c>
      <c r="B930">
        <v>8755414</v>
      </c>
      <c r="C930">
        <v>12085786</v>
      </c>
      <c r="E930">
        <v>7</v>
      </c>
      <c r="F930" t="s">
        <v>5224</v>
      </c>
      <c r="G930">
        <v>90</v>
      </c>
      <c r="H930" t="s">
        <v>5225</v>
      </c>
      <c r="I930">
        <v>0</v>
      </c>
      <c r="J930">
        <v>0.10389195236953569</v>
      </c>
      <c r="K930">
        <v>0</v>
      </c>
      <c r="L930">
        <v>0</v>
      </c>
      <c r="M930">
        <v>0</v>
      </c>
      <c r="O930">
        <v>200000</v>
      </c>
      <c r="R930" t="s">
        <v>162</v>
      </c>
      <c r="S930">
        <v>0</v>
      </c>
      <c r="T930">
        <v>8.0888888888888888E-5</v>
      </c>
      <c r="U930" t="s">
        <v>176</v>
      </c>
      <c r="V930">
        <v>2.7222222222222222E-3</v>
      </c>
      <c r="W930">
        <v>8.0580888888888882E-2</v>
      </c>
      <c r="X930" t="s">
        <v>90</v>
      </c>
      <c r="Y930">
        <v>0</v>
      </c>
      <c r="Z930">
        <v>0</v>
      </c>
      <c r="AA930" t="s">
        <v>90</v>
      </c>
      <c r="AB930">
        <v>0</v>
      </c>
      <c r="AC930">
        <v>8.0580888888888882E-2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Q930" t="s">
        <v>9</v>
      </c>
      <c r="AR930" t="s">
        <v>263</v>
      </c>
      <c r="AS930">
        <v>7.7777777777777779E-2</v>
      </c>
    </row>
    <row r="931" spans="1:45" x14ac:dyDescent="0.15">
      <c r="A931" s="4" t="str">
        <f>HYPERLINK("https://ibp.a2mac1.com/costing(costing:projects/details/9760/material/8755415)","Paint: Base")</f>
        <v>Paint: Base</v>
      </c>
      <c r="B931">
        <v>8755415</v>
      </c>
      <c r="C931">
        <v>12085786</v>
      </c>
      <c r="E931">
        <v>11</v>
      </c>
      <c r="F931" t="s">
        <v>5224</v>
      </c>
      <c r="G931">
        <v>90</v>
      </c>
      <c r="H931" t="s">
        <v>5225</v>
      </c>
      <c r="I931">
        <v>0</v>
      </c>
      <c r="J931">
        <v>0.10389195236953569</v>
      </c>
      <c r="K931">
        <v>0</v>
      </c>
      <c r="L931">
        <v>0</v>
      </c>
      <c r="M931">
        <v>0</v>
      </c>
      <c r="O931">
        <v>200000</v>
      </c>
      <c r="R931" t="s">
        <v>162</v>
      </c>
      <c r="S931">
        <v>0</v>
      </c>
      <c r="T931">
        <v>1.271111111111111E-4</v>
      </c>
      <c r="U931" t="s">
        <v>176</v>
      </c>
      <c r="V931">
        <v>4.2777777777777779E-3</v>
      </c>
      <c r="W931">
        <v>0.12662711111111111</v>
      </c>
      <c r="X931" t="s">
        <v>90</v>
      </c>
      <c r="Y931">
        <v>0</v>
      </c>
      <c r="Z931">
        <v>0</v>
      </c>
      <c r="AA931" t="s">
        <v>90</v>
      </c>
      <c r="AB931">
        <v>0</v>
      </c>
      <c r="AC931">
        <v>0.12662711111111111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Q931" t="s">
        <v>9</v>
      </c>
      <c r="AR931" t="s">
        <v>263</v>
      </c>
      <c r="AS931">
        <v>0.12222222222222222</v>
      </c>
    </row>
    <row r="932" spans="1:45" x14ac:dyDescent="0.15">
      <c r="A932" s="4" t="str">
        <f>HYPERLINK("https://ibp.a2mac1.com/costing(costing:projects/details/9760/material/8755416)","Paint: Clear Coat")</f>
        <v>Paint: Clear Coat</v>
      </c>
      <c r="B932">
        <v>8755416</v>
      </c>
      <c r="C932">
        <v>12085786</v>
      </c>
      <c r="E932">
        <v>9</v>
      </c>
      <c r="F932" t="s">
        <v>5224</v>
      </c>
      <c r="G932">
        <v>90</v>
      </c>
      <c r="H932" t="s">
        <v>5225</v>
      </c>
      <c r="I932">
        <v>0</v>
      </c>
      <c r="J932">
        <v>0.10389195236953569</v>
      </c>
      <c r="K932">
        <v>0</v>
      </c>
      <c r="L932">
        <v>0</v>
      </c>
      <c r="M932">
        <v>0</v>
      </c>
      <c r="O932">
        <v>200000</v>
      </c>
      <c r="R932" t="s">
        <v>162</v>
      </c>
      <c r="S932">
        <v>0</v>
      </c>
      <c r="T932">
        <v>1.0399999999999999E-4</v>
      </c>
      <c r="U932" t="s">
        <v>176</v>
      </c>
      <c r="V932">
        <v>3.5000000000000001E-3</v>
      </c>
      <c r="W932">
        <v>0.103604</v>
      </c>
      <c r="X932" t="s">
        <v>90</v>
      </c>
      <c r="Y932">
        <v>0</v>
      </c>
      <c r="Z932">
        <v>0</v>
      </c>
      <c r="AA932" t="s">
        <v>90</v>
      </c>
      <c r="AB932">
        <v>0</v>
      </c>
      <c r="AC932">
        <v>0.103604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Q932" t="s">
        <v>9</v>
      </c>
      <c r="AR932" t="s">
        <v>263</v>
      </c>
      <c r="AS932">
        <v>0.1</v>
      </c>
    </row>
    <row r="933" spans="1:45" x14ac:dyDescent="0.15">
      <c r="A933" s="4" t="str">
        <f>HYPERLINK("https://ibp.a2mac1.com/costing(costing:projects/details/9760/material/8755417)","PMMA-ASA")</f>
        <v>PMMA-ASA</v>
      </c>
      <c r="B933">
        <v>8755417</v>
      </c>
      <c r="C933">
        <v>12085787</v>
      </c>
      <c r="E933">
        <v>2.6603300000000001</v>
      </c>
      <c r="F933" t="s">
        <v>4878</v>
      </c>
      <c r="G933">
        <v>95</v>
      </c>
      <c r="H933" t="s">
        <v>4879</v>
      </c>
      <c r="I933">
        <v>5</v>
      </c>
      <c r="J933">
        <v>0.50345253019720215</v>
      </c>
      <c r="K933">
        <v>0</v>
      </c>
      <c r="M933">
        <v>0</v>
      </c>
      <c r="O933">
        <v>200000</v>
      </c>
      <c r="R933" t="s">
        <v>162</v>
      </c>
      <c r="S933">
        <v>3.5004342105263159E-4</v>
      </c>
      <c r="T933">
        <v>7.0848788421052635E-4</v>
      </c>
      <c r="U933" t="s">
        <v>176</v>
      </c>
      <c r="V933">
        <v>4.9006078947368423E-3</v>
      </c>
      <c r="W933">
        <v>0.14527642077894737</v>
      </c>
      <c r="X933" t="s">
        <v>90</v>
      </c>
      <c r="Y933">
        <v>0</v>
      </c>
      <c r="Z933">
        <v>0</v>
      </c>
      <c r="AA933" t="s">
        <v>90</v>
      </c>
      <c r="AB933">
        <v>0</v>
      </c>
      <c r="AC933">
        <v>0.14527642077894737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Q933" t="s">
        <v>262</v>
      </c>
      <c r="AR933" t="s">
        <v>263</v>
      </c>
      <c r="AS933">
        <v>0.14001736842105264</v>
      </c>
    </row>
    <row r="934" spans="1:45" x14ac:dyDescent="0.15">
      <c r="A934" s="4" t="str">
        <f>HYPERLINK("https://ibp.a2mac1.com/costing(costing:projects/details/9760/material/8755418)","PMMA-ASA")</f>
        <v>PMMA-ASA</v>
      </c>
      <c r="B934">
        <v>8755418</v>
      </c>
      <c r="C934">
        <v>12085788</v>
      </c>
      <c r="E934">
        <v>2.6603300000000001</v>
      </c>
      <c r="F934" t="s">
        <v>4878</v>
      </c>
      <c r="G934">
        <v>95</v>
      </c>
      <c r="H934" t="s">
        <v>4879</v>
      </c>
      <c r="I934">
        <v>5</v>
      </c>
      <c r="J934">
        <v>0.50345253019720215</v>
      </c>
      <c r="K934">
        <v>0</v>
      </c>
      <c r="M934">
        <v>0</v>
      </c>
      <c r="O934">
        <v>200000</v>
      </c>
      <c r="R934" t="s">
        <v>162</v>
      </c>
      <c r="S934">
        <v>3.5004342105263159E-4</v>
      </c>
      <c r="T934">
        <v>7.0848788421052635E-4</v>
      </c>
      <c r="U934" t="s">
        <v>176</v>
      </c>
      <c r="V934">
        <v>4.9006078947368423E-3</v>
      </c>
      <c r="W934">
        <v>0.14527642077894737</v>
      </c>
      <c r="X934" t="s">
        <v>90</v>
      </c>
      <c r="Y934">
        <v>0</v>
      </c>
      <c r="Z934">
        <v>0</v>
      </c>
      <c r="AA934" t="s">
        <v>90</v>
      </c>
      <c r="AB934">
        <v>0</v>
      </c>
      <c r="AC934">
        <v>0.14527642077894737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Q934" t="s">
        <v>262</v>
      </c>
      <c r="AR934" t="s">
        <v>263</v>
      </c>
      <c r="AS934">
        <v>0.14001736842105264</v>
      </c>
    </row>
    <row r="935" spans="1:45" x14ac:dyDescent="0.15">
      <c r="A935" s="4" t="str">
        <f>HYPERLINK("https://ibp.a2mac1.com/costing(costing:projects/details/9760/material/8755419)","PP-GF30")</f>
        <v>PP-GF30</v>
      </c>
      <c r="B935">
        <v>8755419</v>
      </c>
      <c r="C935">
        <v>12085789</v>
      </c>
      <c r="E935">
        <v>1.2710699999999999</v>
      </c>
      <c r="F935" t="s">
        <v>5174</v>
      </c>
      <c r="G935">
        <v>95</v>
      </c>
      <c r="H935" t="s">
        <v>5175</v>
      </c>
      <c r="I935">
        <v>30</v>
      </c>
      <c r="J935">
        <v>0.50345253019720215</v>
      </c>
      <c r="K935">
        <v>0</v>
      </c>
      <c r="L935">
        <v>0</v>
      </c>
      <c r="M935">
        <v>0</v>
      </c>
      <c r="O935">
        <v>200000</v>
      </c>
      <c r="R935" t="s">
        <v>162</v>
      </c>
      <c r="S935">
        <v>2.6090384210526317E-4</v>
      </c>
      <c r="T935">
        <v>8.8011562736842105E-5</v>
      </c>
      <c r="U935" t="s">
        <v>176</v>
      </c>
      <c r="V935">
        <v>6.0877563157894733E-4</v>
      </c>
      <c r="W935">
        <v>1.7829472825894737E-2</v>
      </c>
      <c r="X935" t="s">
        <v>90</v>
      </c>
      <c r="Y935">
        <v>0</v>
      </c>
      <c r="Z935">
        <v>0</v>
      </c>
      <c r="AA935" t="s">
        <v>90</v>
      </c>
      <c r="AB935">
        <v>0</v>
      </c>
      <c r="AC935">
        <v>1.7829472825894737E-2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Q935" t="s">
        <v>262</v>
      </c>
      <c r="AR935" t="s">
        <v>263</v>
      </c>
      <c r="AS935">
        <v>1.7393589473684211E-2</v>
      </c>
    </row>
    <row r="936" spans="1:45" x14ac:dyDescent="0.15">
      <c r="A936" s="4" t="str">
        <f>HYPERLINK("https://ibp.a2mac1.com/costing(costing:projects/details/9760/material/8755420)","PP-EPDM")</f>
        <v>PP-EPDM</v>
      </c>
      <c r="B936">
        <v>8755420</v>
      </c>
      <c r="C936">
        <v>12085790</v>
      </c>
      <c r="E936">
        <v>1.7894600000000001</v>
      </c>
      <c r="F936" t="s">
        <v>5245</v>
      </c>
      <c r="G936">
        <v>95</v>
      </c>
      <c r="H936" t="s">
        <v>5246</v>
      </c>
      <c r="I936">
        <v>5</v>
      </c>
      <c r="J936">
        <v>0.50345253019720215</v>
      </c>
      <c r="K936">
        <v>0</v>
      </c>
      <c r="L936">
        <v>0</v>
      </c>
      <c r="M936">
        <v>0</v>
      </c>
      <c r="O936">
        <v>200000</v>
      </c>
      <c r="R936" t="s">
        <v>162</v>
      </c>
      <c r="S936">
        <v>1.883642105263158E-5</v>
      </c>
      <c r="T936">
        <v>3.8124916210526314E-5</v>
      </c>
      <c r="U936" t="s">
        <v>176</v>
      </c>
      <c r="V936">
        <v>2.6370989473684212E-4</v>
      </c>
      <c r="W936">
        <v>7.817566810947368E-3</v>
      </c>
      <c r="X936" t="s">
        <v>90</v>
      </c>
      <c r="Y936">
        <v>0</v>
      </c>
      <c r="Z936">
        <v>0</v>
      </c>
      <c r="AA936" t="s">
        <v>90</v>
      </c>
      <c r="AB936">
        <v>0</v>
      </c>
      <c r="AC936">
        <v>7.817566810947368E-3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Q936" t="s">
        <v>262</v>
      </c>
      <c r="AR936" t="s">
        <v>263</v>
      </c>
      <c r="AS936">
        <v>7.5345684210526313E-3</v>
      </c>
    </row>
    <row r="937" spans="1:45" x14ac:dyDescent="0.15">
      <c r="A937" s="4" t="str">
        <f>HYPERLINK("https://ibp.a2mac1.com/costing(costing:projects/details/9760/material/8755421)","PP-GF30")</f>
        <v>PP-GF30</v>
      </c>
      <c r="B937">
        <v>8755421</v>
      </c>
      <c r="C937">
        <v>12085791</v>
      </c>
      <c r="E937">
        <v>1.2710699999999999</v>
      </c>
      <c r="F937" t="s">
        <v>5224</v>
      </c>
      <c r="G937">
        <v>95</v>
      </c>
      <c r="H937" t="s">
        <v>5251</v>
      </c>
      <c r="I937">
        <v>30</v>
      </c>
      <c r="J937">
        <v>0.50345253019720215</v>
      </c>
      <c r="K937">
        <v>0</v>
      </c>
      <c r="L937">
        <v>0</v>
      </c>
      <c r="M937">
        <v>0</v>
      </c>
      <c r="O937">
        <v>200000</v>
      </c>
      <c r="R937" t="s">
        <v>162</v>
      </c>
      <c r="S937">
        <v>2.0069526315789473E-4</v>
      </c>
      <c r="T937">
        <v>6.7701202105263156E-5</v>
      </c>
      <c r="U937" t="s">
        <v>176</v>
      </c>
      <c r="V937">
        <v>4.6828894736842104E-4</v>
      </c>
      <c r="W937">
        <v>1.3714979096842106E-2</v>
      </c>
      <c r="X937" t="s">
        <v>90</v>
      </c>
      <c r="Y937">
        <v>0</v>
      </c>
      <c r="Z937">
        <v>0</v>
      </c>
      <c r="AA937" t="s">
        <v>90</v>
      </c>
      <c r="AB937">
        <v>0</v>
      </c>
      <c r="AC937">
        <v>1.3714979096842106E-2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Q937" t="s">
        <v>262</v>
      </c>
      <c r="AR937" t="s">
        <v>263</v>
      </c>
      <c r="AS937">
        <v>1.3379684210526316E-2</v>
      </c>
    </row>
    <row r="938" spans="1:45" x14ac:dyDescent="0.15">
      <c r="A938" s="4" t="str">
        <f>HYPERLINK("https://ibp.a2mac1.com/costing(costing:projects/details/9760/material/8755422)","PMMA-ASA")</f>
        <v>PMMA-ASA</v>
      </c>
      <c r="B938">
        <v>8755422</v>
      </c>
      <c r="C938">
        <v>12085792</v>
      </c>
      <c r="E938">
        <v>2.6603300000000001</v>
      </c>
      <c r="F938" t="s">
        <v>4325</v>
      </c>
      <c r="G938">
        <v>95</v>
      </c>
      <c r="H938" t="s">
        <v>4326</v>
      </c>
      <c r="I938">
        <v>5</v>
      </c>
      <c r="J938">
        <v>0.50345253019720215</v>
      </c>
      <c r="K938">
        <v>0</v>
      </c>
      <c r="L938">
        <v>0</v>
      </c>
      <c r="M938">
        <v>0</v>
      </c>
      <c r="O938">
        <v>200000</v>
      </c>
      <c r="R938" t="s">
        <v>162</v>
      </c>
      <c r="S938">
        <v>1.1901476315789473E-4</v>
      </c>
      <c r="T938">
        <v>2.4088588063157895E-4</v>
      </c>
      <c r="U938" t="s">
        <v>176</v>
      </c>
      <c r="V938">
        <v>1.6662066842105263E-3</v>
      </c>
      <c r="W938">
        <v>4.9393983064842106E-2</v>
      </c>
      <c r="X938" t="s">
        <v>90</v>
      </c>
      <c r="Y938">
        <v>0</v>
      </c>
      <c r="Z938">
        <v>0</v>
      </c>
      <c r="AA938" t="s">
        <v>90</v>
      </c>
      <c r="AB938">
        <v>0</v>
      </c>
      <c r="AC938">
        <v>4.9393983064842106E-2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Q938" t="s">
        <v>262</v>
      </c>
      <c r="AR938" t="s">
        <v>263</v>
      </c>
      <c r="AS938">
        <v>4.7605905263157895E-2</v>
      </c>
    </row>
    <row r="939" spans="1:45" x14ac:dyDescent="0.15">
      <c r="A939" s="4" t="str">
        <f>HYPERLINK("https://ibp.a2mac1.com/costing(costing:projects/details/9760/material/8755423)","PBT-GF30")</f>
        <v>PBT-GF30</v>
      </c>
      <c r="B939">
        <v>8755423</v>
      </c>
      <c r="C939">
        <v>12085794</v>
      </c>
      <c r="E939">
        <v>1.9208099999999999</v>
      </c>
      <c r="F939" t="s">
        <v>4010</v>
      </c>
      <c r="G939">
        <v>95</v>
      </c>
      <c r="H939" t="s">
        <v>4011</v>
      </c>
      <c r="I939">
        <v>5</v>
      </c>
      <c r="J939">
        <v>0.50345253019720215</v>
      </c>
      <c r="K939">
        <v>0</v>
      </c>
      <c r="L939">
        <v>0</v>
      </c>
      <c r="M939">
        <v>0</v>
      </c>
      <c r="O939">
        <v>200000</v>
      </c>
      <c r="R939" t="s">
        <v>162</v>
      </c>
      <c r="S939">
        <v>1.6680718421052633E-4</v>
      </c>
      <c r="T939">
        <v>3.3761774084210529E-4</v>
      </c>
      <c r="U939" t="s">
        <v>176</v>
      </c>
      <c r="V939">
        <v>2.3353005789473686E-3</v>
      </c>
      <c r="W939">
        <v>6.922898481978948E-2</v>
      </c>
      <c r="X939" t="s">
        <v>90</v>
      </c>
      <c r="Y939">
        <v>0</v>
      </c>
      <c r="Z939">
        <v>0</v>
      </c>
      <c r="AA939" t="s">
        <v>90</v>
      </c>
      <c r="AB939">
        <v>0</v>
      </c>
      <c r="AC939">
        <v>6.922898481978948E-2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Q939" t="s">
        <v>262</v>
      </c>
      <c r="AR939" t="s">
        <v>263</v>
      </c>
      <c r="AS939">
        <v>6.6722873684210524E-2</v>
      </c>
    </row>
    <row r="940" spans="1:45" x14ac:dyDescent="0.15">
      <c r="A940" s="4" t="str">
        <f>HYPERLINK("https://ibp.a2mac1.com/costing(costing:projects/details/9760/material/8755424)","PA66-GF30")</f>
        <v>PA66-GF30</v>
      </c>
      <c r="B940">
        <v>8755424</v>
      </c>
      <c r="C940">
        <v>12085796</v>
      </c>
      <c r="E940">
        <v>2.4020800000000002</v>
      </c>
      <c r="F940" t="s">
        <v>3897</v>
      </c>
      <c r="G940">
        <v>95</v>
      </c>
      <c r="H940" t="s">
        <v>3898</v>
      </c>
      <c r="I940">
        <v>5</v>
      </c>
      <c r="J940">
        <v>0.50345253019720215</v>
      </c>
      <c r="K940">
        <v>0</v>
      </c>
      <c r="L940">
        <v>0</v>
      </c>
      <c r="M940">
        <v>0</v>
      </c>
      <c r="O940">
        <v>200000</v>
      </c>
      <c r="R940" t="s">
        <v>162</v>
      </c>
      <c r="S940">
        <v>3.7927578947368424E-5</v>
      </c>
      <c r="T940">
        <v>7.6765419789473678E-5</v>
      </c>
      <c r="U940" t="s">
        <v>176</v>
      </c>
      <c r="V940">
        <v>5.3098610526315789E-4</v>
      </c>
      <c r="W940">
        <v>1.5740855525052631E-2</v>
      </c>
      <c r="X940" t="s">
        <v>177</v>
      </c>
      <c r="Y940">
        <v>9.4445133150315795E-4</v>
      </c>
      <c r="Z940">
        <v>0</v>
      </c>
      <c r="AA940" t="s">
        <v>178</v>
      </c>
      <c r="AB940">
        <v>1.8889026630063159E-3</v>
      </c>
      <c r="AC940">
        <v>1.8574209519562106E-2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P940" t="s">
        <v>5267</v>
      </c>
      <c r="AQ940" t="s">
        <v>262</v>
      </c>
      <c r="AR940" t="s">
        <v>263</v>
      </c>
      <c r="AS940">
        <v>1.5171031578947369E-2</v>
      </c>
    </row>
    <row r="941" spans="1:45" x14ac:dyDescent="0.15">
      <c r="A941" s="4" t="str">
        <f>HYPERLINK("https://ibp.a2mac1.com/costing(costing:projects/details/9760/material/8755428)","ABS")</f>
        <v>ABS</v>
      </c>
      <c r="B941">
        <v>8755428</v>
      </c>
      <c r="C941">
        <v>12085799</v>
      </c>
      <c r="E941">
        <v>2.5272700000000001</v>
      </c>
      <c r="F941" t="s">
        <v>4585</v>
      </c>
      <c r="G941">
        <v>97</v>
      </c>
      <c r="H941" t="s">
        <v>5273</v>
      </c>
      <c r="I941">
        <v>5</v>
      </c>
      <c r="J941">
        <v>0.30705427283965386</v>
      </c>
      <c r="K941">
        <v>0</v>
      </c>
      <c r="M941">
        <v>0</v>
      </c>
      <c r="O941">
        <v>200000</v>
      </c>
      <c r="R941" t="s">
        <v>162</v>
      </c>
      <c r="S941">
        <v>4.2989644329896907E-4</v>
      </c>
      <c r="T941">
        <v>8.8272069690721654E-4</v>
      </c>
      <c r="U941" t="s">
        <v>176</v>
      </c>
      <c r="V941">
        <v>1.0030917010309278E-2</v>
      </c>
      <c r="W941">
        <v>0.29708137012989688</v>
      </c>
      <c r="X941" t="s">
        <v>90</v>
      </c>
      <c r="Y941">
        <v>0</v>
      </c>
      <c r="Z941">
        <v>0</v>
      </c>
      <c r="AA941" t="s">
        <v>90</v>
      </c>
      <c r="AB941">
        <v>0</v>
      </c>
      <c r="AC941">
        <v>0.29708137012989688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Q941" t="s">
        <v>262</v>
      </c>
      <c r="AR941" t="s">
        <v>263</v>
      </c>
      <c r="AS941">
        <v>0.28659762886597939</v>
      </c>
    </row>
    <row r="942" spans="1:45" x14ac:dyDescent="0.15">
      <c r="A942" s="4" t="str">
        <f>HYPERLINK("https://ibp.a2mac1.com/costing(costing:projects/details/9760/material/8755425)","Paint: Primer")</f>
        <v>Paint: Primer</v>
      </c>
      <c r="B942">
        <v>8755425</v>
      </c>
      <c r="C942">
        <v>12085798</v>
      </c>
      <c r="E942">
        <v>7</v>
      </c>
      <c r="F942" t="s">
        <v>5224</v>
      </c>
      <c r="G942">
        <v>90</v>
      </c>
      <c r="H942" t="s">
        <v>5225</v>
      </c>
      <c r="I942">
        <v>0</v>
      </c>
      <c r="J942">
        <v>0.20557651238448796</v>
      </c>
      <c r="K942">
        <v>0</v>
      </c>
      <c r="L942">
        <v>0</v>
      </c>
      <c r="M942">
        <v>0</v>
      </c>
      <c r="O942">
        <v>200000</v>
      </c>
      <c r="R942" t="s">
        <v>162</v>
      </c>
      <c r="S942">
        <v>0</v>
      </c>
      <c r="T942">
        <v>1.6022222222222222E-4</v>
      </c>
      <c r="U942" t="s">
        <v>176</v>
      </c>
      <c r="V942">
        <v>2.7222222222222222E-3</v>
      </c>
      <c r="W942">
        <v>8.0660222222222216E-2</v>
      </c>
      <c r="X942" t="s">
        <v>90</v>
      </c>
      <c r="Y942">
        <v>0</v>
      </c>
      <c r="Z942">
        <v>0</v>
      </c>
      <c r="AA942" t="s">
        <v>90</v>
      </c>
      <c r="AB942">
        <v>0</v>
      </c>
      <c r="AC942">
        <v>8.0660222222222216E-2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Q942" t="s">
        <v>9</v>
      </c>
      <c r="AR942" t="s">
        <v>263</v>
      </c>
      <c r="AS942">
        <v>7.7777777777777779E-2</v>
      </c>
    </row>
    <row r="943" spans="1:45" x14ac:dyDescent="0.15">
      <c r="A943" s="4" t="str">
        <f>HYPERLINK("https://ibp.a2mac1.com/costing(costing:projects/details/9760/material/8755426)","Paint: Base")</f>
        <v>Paint: Base</v>
      </c>
      <c r="B943">
        <v>8755426</v>
      </c>
      <c r="C943">
        <v>12085798</v>
      </c>
      <c r="E943">
        <v>11</v>
      </c>
      <c r="F943" t="s">
        <v>5224</v>
      </c>
      <c r="G943">
        <v>90</v>
      </c>
      <c r="H943" t="s">
        <v>5225</v>
      </c>
      <c r="I943">
        <v>0</v>
      </c>
      <c r="J943">
        <v>0.20557651238448796</v>
      </c>
      <c r="K943">
        <v>0</v>
      </c>
      <c r="L943">
        <v>0</v>
      </c>
      <c r="M943">
        <v>0</v>
      </c>
      <c r="O943">
        <v>200000</v>
      </c>
      <c r="R943" t="s">
        <v>162</v>
      </c>
      <c r="S943">
        <v>0</v>
      </c>
      <c r="T943">
        <v>2.517777777777778E-4</v>
      </c>
      <c r="U943" t="s">
        <v>176</v>
      </c>
      <c r="V943">
        <v>4.2777777777777779E-3</v>
      </c>
      <c r="W943">
        <v>0.12675177777777777</v>
      </c>
      <c r="X943" t="s">
        <v>90</v>
      </c>
      <c r="Y943">
        <v>0</v>
      </c>
      <c r="Z943">
        <v>0</v>
      </c>
      <c r="AA943" t="s">
        <v>90</v>
      </c>
      <c r="AB943">
        <v>0</v>
      </c>
      <c r="AC943">
        <v>0.12675177777777777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Q943" t="s">
        <v>9</v>
      </c>
      <c r="AR943" t="s">
        <v>263</v>
      </c>
      <c r="AS943">
        <v>0.12222222222222222</v>
      </c>
    </row>
    <row r="944" spans="1:45" x14ac:dyDescent="0.15">
      <c r="A944" s="4" t="str">
        <f>HYPERLINK("https://ibp.a2mac1.com/costing(costing:projects/details/9760/material/8755427)","Paint: Clear Coat")</f>
        <v>Paint: Clear Coat</v>
      </c>
      <c r="B944">
        <v>8755427</v>
      </c>
      <c r="C944">
        <v>12085798</v>
      </c>
      <c r="E944">
        <v>9</v>
      </c>
      <c r="F944" t="s">
        <v>5224</v>
      </c>
      <c r="G944">
        <v>90</v>
      </c>
      <c r="H944" t="s">
        <v>5225</v>
      </c>
      <c r="I944">
        <v>0</v>
      </c>
      <c r="J944">
        <v>0.20557651238448796</v>
      </c>
      <c r="K944">
        <v>0</v>
      </c>
      <c r="L944">
        <v>0</v>
      </c>
      <c r="M944">
        <v>0</v>
      </c>
      <c r="O944">
        <v>200000</v>
      </c>
      <c r="R944" t="s">
        <v>162</v>
      </c>
      <c r="S944">
        <v>0</v>
      </c>
      <c r="T944">
        <v>2.0599999999999999E-4</v>
      </c>
      <c r="U944" t="s">
        <v>176</v>
      </c>
      <c r="V944">
        <v>3.5000000000000001E-3</v>
      </c>
      <c r="W944">
        <v>0.10370600000000001</v>
      </c>
      <c r="X944" t="s">
        <v>90</v>
      </c>
      <c r="Y944">
        <v>0</v>
      </c>
      <c r="Z944">
        <v>0</v>
      </c>
      <c r="AA944" t="s">
        <v>90</v>
      </c>
      <c r="AB944">
        <v>0</v>
      </c>
      <c r="AC944">
        <v>0.10370600000000001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Q944" t="s">
        <v>9</v>
      </c>
      <c r="AR944" t="s">
        <v>263</v>
      </c>
      <c r="AS944">
        <v>0.1</v>
      </c>
    </row>
    <row r="945" spans="1:45" x14ac:dyDescent="0.15">
      <c r="A945" s="4" t="str">
        <f>HYPERLINK("https://ibp.a2mac1.com/costing(costing:projects/details/9760/material/8755025)","PP-EPDM-TD10")</f>
        <v>PP-EPDM-TD10</v>
      </c>
      <c r="B945">
        <v>8755025</v>
      </c>
      <c r="C945">
        <v>12085345</v>
      </c>
      <c r="E945">
        <v>1.84189</v>
      </c>
      <c r="F945" t="s">
        <v>4554</v>
      </c>
      <c r="G945">
        <v>95</v>
      </c>
      <c r="H945" t="s">
        <v>4555</v>
      </c>
      <c r="I945">
        <v>5</v>
      </c>
      <c r="J945">
        <v>0.50345253019720215</v>
      </c>
      <c r="K945">
        <v>0</v>
      </c>
      <c r="L945">
        <v>0</v>
      </c>
      <c r="M945">
        <v>0</v>
      </c>
      <c r="O945">
        <v>200000</v>
      </c>
      <c r="R945" t="s">
        <v>162</v>
      </c>
      <c r="S945">
        <v>5.331786842105263E-5</v>
      </c>
      <c r="T945">
        <v>1.0791536568421053E-4</v>
      </c>
      <c r="U945" t="s">
        <v>176</v>
      </c>
      <c r="V945">
        <v>7.4645015789473685E-4</v>
      </c>
      <c r="W945">
        <v>2.2128195023578948E-2</v>
      </c>
      <c r="X945" t="s">
        <v>90</v>
      </c>
      <c r="Y945">
        <v>0</v>
      </c>
      <c r="Z945">
        <v>0</v>
      </c>
      <c r="AA945" t="s">
        <v>90</v>
      </c>
      <c r="AB945">
        <v>0</v>
      </c>
      <c r="AC945">
        <v>2.2128195023578948E-2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P945" t="s">
        <v>5284</v>
      </c>
      <c r="AQ945" t="s">
        <v>262</v>
      </c>
      <c r="AR945" t="s">
        <v>263</v>
      </c>
      <c r="AS945">
        <v>2.1327147368421052E-2</v>
      </c>
    </row>
    <row r="946" spans="1:45" x14ac:dyDescent="0.15">
      <c r="A946" s="4" t="str">
        <f>HYPERLINK("https://ibp.a2mac1.com/costing(costing:projects/details/9760/material/8755026)","EPP")</f>
        <v>EPP</v>
      </c>
      <c r="B946">
        <v>8755026</v>
      </c>
      <c r="C946">
        <v>12085346</v>
      </c>
      <c r="E946">
        <v>2.5973999999999999</v>
      </c>
      <c r="F946" t="s">
        <v>4377</v>
      </c>
      <c r="G946">
        <v>97</v>
      </c>
      <c r="H946" t="s">
        <v>5289</v>
      </c>
      <c r="I946">
        <v>5</v>
      </c>
      <c r="J946">
        <v>2.001136786813273</v>
      </c>
      <c r="K946">
        <v>0</v>
      </c>
      <c r="L946">
        <v>0</v>
      </c>
      <c r="M946">
        <v>0</v>
      </c>
      <c r="O946">
        <v>200000</v>
      </c>
      <c r="R946" t="s">
        <v>162</v>
      </c>
      <c r="S946">
        <v>4.0165979381443299E-6</v>
      </c>
      <c r="T946">
        <v>5.4679286597938147E-5</v>
      </c>
      <c r="U946" t="s">
        <v>176</v>
      </c>
      <c r="V946">
        <v>9.3720618556701035E-5</v>
      </c>
      <c r="W946">
        <v>2.8221152659793814E-3</v>
      </c>
      <c r="X946" t="s">
        <v>90</v>
      </c>
      <c r="Y946">
        <v>0</v>
      </c>
      <c r="Z946">
        <v>0</v>
      </c>
      <c r="AA946" t="s">
        <v>90</v>
      </c>
      <c r="AB946">
        <v>0</v>
      </c>
      <c r="AC946">
        <v>2.8221152659793814E-3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Q946" t="s">
        <v>262</v>
      </c>
      <c r="AR946" t="s">
        <v>263</v>
      </c>
      <c r="AS946">
        <v>2.6777319587628864E-3</v>
      </c>
    </row>
    <row r="947" spans="1:45" x14ac:dyDescent="0.15">
      <c r="A947" s="4" t="str">
        <f>HYPERLINK("https://ibp.a2mac1.com/costing(costing:projects/details/9760/material/8755031)","ABS-PC")</f>
        <v>ABS-PC</v>
      </c>
      <c r="B947">
        <v>8755031</v>
      </c>
      <c r="C947">
        <v>12085349</v>
      </c>
      <c r="E947">
        <v>2.29312</v>
      </c>
      <c r="F947" t="s">
        <v>1460</v>
      </c>
      <c r="G947">
        <v>97</v>
      </c>
      <c r="H947" t="s">
        <v>6878</v>
      </c>
      <c r="I947">
        <v>5</v>
      </c>
      <c r="J947">
        <v>0.10389195236953569</v>
      </c>
      <c r="K947">
        <v>0</v>
      </c>
      <c r="M947">
        <v>0</v>
      </c>
      <c r="O947">
        <v>200000</v>
      </c>
      <c r="R947" t="s">
        <v>162</v>
      </c>
      <c r="S947">
        <v>2.4822432989690723E-5</v>
      </c>
      <c r="T947">
        <v>1.7210220206185568E-5</v>
      </c>
      <c r="U947" t="s">
        <v>176</v>
      </c>
      <c r="V947">
        <v>5.7919010309278349E-4</v>
      </c>
      <c r="W947">
        <v>1.7119866550103092E-2</v>
      </c>
      <c r="X947" t="s">
        <v>177</v>
      </c>
      <c r="Y947">
        <v>1.0271919930061855E-3</v>
      </c>
      <c r="Z947">
        <v>0</v>
      </c>
      <c r="AA947" t="s">
        <v>178</v>
      </c>
      <c r="AB947">
        <v>2.054383986012371E-3</v>
      </c>
      <c r="AC947">
        <v>2.0201442529121649E-2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Q947" t="s">
        <v>262</v>
      </c>
      <c r="AR947" t="s">
        <v>263</v>
      </c>
      <c r="AS947">
        <v>1.6548288659793815E-2</v>
      </c>
    </row>
    <row r="948" spans="1:45" x14ac:dyDescent="0.15">
      <c r="A948" s="4" t="str">
        <f>HYPERLINK("https://ibp.a2mac1.com/costing(costing:projects/details/9760/material/8754603)","PE")</f>
        <v>PE</v>
      </c>
      <c r="B948">
        <v>8754603</v>
      </c>
      <c r="C948">
        <v>12085111</v>
      </c>
      <c r="E948">
        <v>1.2665</v>
      </c>
      <c r="F948" t="s">
        <v>5436</v>
      </c>
      <c r="G948">
        <v>64</v>
      </c>
      <c r="H948" t="s">
        <v>5508</v>
      </c>
      <c r="I948">
        <v>5</v>
      </c>
      <c r="J948">
        <v>0.20557651238448796</v>
      </c>
      <c r="K948">
        <v>0</v>
      </c>
      <c r="L948">
        <v>0</v>
      </c>
      <c r="M948">
        <v>0</v>
      </c>
      <c r="O948">
        <v>200000</v>
      </c>
      <c r="R948" t="s">
        <v>162</v>
      </c>
      <c r="S948">
        <v>2.4221812500000001E-3</v>
      </c>
      <c r="T948">
        <v>2.772051875E-4</v>
      </c>
      <c r="U948" t="s">
        <v>176</v>
      </c>
      <c r="V948">
        <v>4.709796875E-3</v>
      </c>
      <c r="W948">
        <v>0.1371304458125</v>
      </c>
      <c r="X948" t="s">
        <v>177</v>
      </c>
      <c r="Y948">
        <v>8.2278267487500001E-3</v>
      </c>
      <c r="Z948">
        <v>0</v>
      </c>
      <c r="AA948" t="s">
        <v>178</v>
      </c>
      <c r="AB948">
        <v>1.64556534975E-2</v>
      </c>
      <c r="AC948">
        <v>0.16181392605875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P948" t="s">
        <v>5367</v>
      </c>
      <c r="AQ948" t="s">
        <v>262</v>
      </c>
      <c r="AR948" t="s">
        <v>263</v>
      </c>
      <c r="AS948">
        <v>0.13456562499999999</v>
      </c>
    </row>
    <row r="949" spans="1:45" x14ac:dyDescent="0.15">
      <c r="A949" s="4" t="str">
        <f>HYPERLINK("https://ibp.a2mac1.com/costing(costing:projects/details/9760/material/8754604)","PP-EPDM")</f>
        <v>PP-EPDM</v>
      </c>
      <c r="B949">
        <v>8754604</v>
      </c>
      <c r="C949">
        <v>12085113</v>
      </c>
      <c r="E949">
        <v>1.7894600000000001</v>
      </c>
      <c r="F949" t="s">
        <v>6899</v>
      </c>
      <c r="G949">
        <v>95</v>
      </c>
      <c r="H949" t="s">
        <v>6900</v>
      </c>
      <c r="I949">
        <v>5</v>
      </c>
      <c r="J949">
        <v>0.50345253019720215</v>
      </c>
      <c r="K949">
        <v>0</v>
      </c>
      <c r="M949">
        <v>0</v>
      </c>
      <c r="O949">
        <v>200000</v>
      </c>
      <c r="R949" t="s">
        <v>162</v>
      </c>
      <c r="S949">
        <v>7.8594966842105256E-3</v>
      </c>
      <c r="T949">
        <v>1.5907621288842107E-2</v>
      </c>
      <c r="U949" t="s">
        <v>176</v>
      </c>
      <c r="V949">
        <v>0.11003295357894737</v>
      </c>
      <c r="W949">
        <v>3.2618797518677893</v>
      </c>
      <c r="X949" t="s">
        <v>177</v>
      </c>
      <c r="Y949">
        <v>0.19571278511206736</v>
      </c>
      <c r="Z949">
        <v>0</v>
      </c>
      <c r="AA949" t="s">
        <v>178</v>
      </c>
      <c r="AB949">
        <v>0.39142557022413471</v>
      </c>
      <c r="AC949">
        <v>3.8490181072039915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Q949" t="s">
        <v>262</v>
      </c>
      <c r="AR949" t="s">
        <v>263</v>
      </c>
      <c r="AS949">
        <v>3.1437986736842105</v>
      </c>
    </row>
    <row r="950" spans="1:45" x14ac:dyDescent="0.15">
      <c r="A950" s="4" t="str">
        <f>HYPERLINK("https://ibp.a2mac1.com/costing(costing:projects/details/9760/material/8754605)","PP-EPDM")</f>
        <v>PP-EPDM</v>
      </c>
      <c r="B950">
        <v>8754605</v>
      </c>
      <c r="C950">
        <v>12085114</v>
      </c>
      <c r="E950">
        <v>1.7894600000000001</v>
      </c>
      <c r="F950" t="s">
        <v>6904</v>
      </c>
      <c r="G950">
        <v>95</v>
      </c>
      <c r="H950" t="s">
        <v>6905</v>
      </c>
      <c r="I950">
        <v>5</v>
      </c>
      <c r="J950">
        <v>0.50345253019720215</v>
      </c>
      <c r="K950">
        <v>0</v>
      </c>
      <c r="M950">
        <v>0</v>
      </c>
      <c r="O950">
        <v>200000</v>
      </c>
      <c r="R950" t="s">
        <v>162</v>
      </c>
      <c r="S950">
        <v>4.9445605263157897E-5</v>
      </c>
      <c r="T950">
        <v>1.0007790505263158E-4</v>
      </c>
      <c r="U950" t="s">
        <v>176</v>
      </c>
      <c r="V950">
        <v>6.9223847368421053E-4</v>
      </c>
      <c r="W950">
        <v>2.0521112878736841E-2</v>
      </c>
      <c r="X950" t="s">
        <v>177</v>
      </c>
      <c r="Y950">
        <v>1.2312667727242105E-3</v>
      </c>
      <c r="Z950">
        <v>0</v>
      </c>
      <c r="AA950" t="s">
        <v>178</v>
      </c>
      <c r="AB950">
        <v>2.4625335454484211E-3</v>
      </c>
      <c r="AC950">
        <v>2.4214913196909472E-2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Q950" t="s">
        <v>262</v>
      </c>
      <c r="AR950" t="s">
        <v>263</v>
      </c>
      <c r="AS950">
        <v>1.9778242105263157E-2</v>
      </c>
    </row>
    <row r="951" spans="1:45" x14ac:dyDescent="0.15">
      <c r="A951" s="4" t="str">
        <f>HYPERLINK("https://ibp.a2mac1.com/costing(costing:projects/details/9760/material/8754606)","TPE")</f>
        <v>TPE</v>
      </c>
      <c r="B951">
        <v>8754606</v>
      </c>
      <c r="C951">
        <v>12085114</v>
      </c>
      <c r="E951">
        <v>1.5073099999999999</v>
      </c>
      <c r="F951" t="s">
        <v>6904</v>
      </c>
      <c r="G951">
        <v>95</v>
      </c>
      <c r="H951" t="s">
        <v>6905</v>
      </c>
      <c r="I951">
        <v>5</v>
      </c>
      <c r="J951">
        <v>0.50345253019720215</v>
      </c>
      <c r="K951">
        <v>0</v>
      </c>
      <c r="M951">
        <v>0</v>
      </c>
      <c r="O951">
        <v>200000</v>
      </c>
      <c r="R951" t="s">
        <v>162</v>
      </c>
      <c r="S951">
        <v>4.1649355263157895E-5</v>
      </c>
      <c r="T951">
        <v>8.4298295052631577E-5</v>
      </c>
      <c r="U951" t="s">
        <v>176</v>
      </c>
      <c r="V951">
        <v>5.8309097368421049E-4</v>
      </c>
      <c r="W951">
        <v>1.7285482018736843E-2</v>
      </c>
      <c r="X951" t="s">
        <v>177</v>
      </c>
      <c r="Y951">
        <v>1.0371289211242106E-3</v>
      </c>
      <c r="Z951">
        <v>0</v>
      </c>
      <c r="AA951" t="s">
        <v>178</v>
      </c>
      <c r="AB951">
        <v>2.0742578422484211E-3</v>
      </c>
      <c r="AC951">
        <v>2.0396868782109473E-2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Q951" t="s">
        <v>262</v>
      </c>
      <c r="AR951" t="s">
        <v>263</v>
      </c>
      <c r="AS951">
        <v>1.6659742105263158E-2</v>
      </c>
    </row>
    <row r="952" spans="1:45" x14ac:dyDescent="0.15">
      <c r="A952" s="4" t="str">
        <f>HYPERLINK("https://ibp.a2mac1.com/costing(costing:projects/details/9760/material/8754607)","PP-EPDM")</f>
        <v>PP-EPDM</v>
      </c>
      <c r="B952">
        <v>8754607</v>
      </c>
      <c r="C952">
        <v>12085115</v>
      </c>
      <c r="E952">
        <v>1.7894600000000001</v>
      </c>
      <c r="F952" t="s">
        <v>6904</v>
      </c>
      <c r="G952">
        <v>95</v>
      </c>
      <c r="H952" t="s">
        <v>6905</v>
      </c>
      <c r="I952">
        <v>5</v>
      </c>
      <c r="J952">
        <v>0.50345253019720215</v>
      </c>
      <c r="K952">
        <v>0</v>
      </c>
      <c r="M952">
        <v>0</v>
      </c>
      <c r="O952">
        <v>200000</v>
      </c>
      <c r="R952" t="s">
        <v>162</v>
      </c>
      <c r="S952">
        <v>4.9445605263157897E-5</v>
      </c>
      <c r="T952">
        <v>1.0007790505263158E-4</v>
      </c>
      <c r="U952" t="s">
        <v>176</v>
      </c>
      <c r="V952">
        <v>6.9223847368421053E-4</v>
      </c>
      <c r="W952">
        <v>2.0521112878736841E-2</v>
      </c>
      <c r="X952" t="s">
        <v>177</v>
      </c>
      <c r="Y952">
        <v>1.2312667727242105E-3</v>
      </c>
      <c r="Z952">
        <v>0</v>
      </c>
      <c r="AA952" t="s">
        <v>178</v>
      </c>
      <c r="AB952">
        <v>2.4625335454484211E-3</v>
      </c>
      <c r="AC952">
        <v>2.4214913196909472E-2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Q952" t="s">
        <v>262</v>
      </c>
      <c r="AR952" t="s">
        <v>263</v>
      </c>
      <c r="AS952">
        <v>1.9778242105263157E-2</v>
      </c>
    </row>
    <row r="953" spans="1:45" x14ac:dyDescent="0.15">
      <c r="A953" s="4" t="str">
        <f>HYPERLINK("https://ibp.a2mac1.com/costing(costing:projects/details/9760/material/8754608)","TPE")</f>
        <v>TPE</v>
      </c>
      <c r="B953">
        <v>8754608</v>
      </c>
      <c r="C953">
        <v>12085115</v>
      </c>
      <c r="E953">
        <v>1.5073099999999999</v>
      </c>
      <c r="F953" t="s">
        <v>6904</v>
      </c>
      <c r="G953">
        <v>95</v>
      </c>
      <c r="H953" t="s">
        <v>6905</v>
      </c>
      <c r="I953">
        <v>5</v>
      </c>
      <c r="J953">
        <v>0.50345253019720215</v>
      </c>
      <c r="K953">
        <v>0</v>
      </c>
      <c r="M953">
        <v>0</v>
      </c>
      <c r="O953">
        <v>200000</v>
      </c>
      <c r="R953" t="s">
        <v>162</v>
      </c>
      <c r="S953">
        <v>4.1649355263157895E-5</v>
      </c>
      <c r="T953">
        <v>8.4298295052631577E-5</v>
      </c>
      <c r="U953" t="s">
        <v>176</v>
      </c>
      <c r="V953">
        <v>5.8309097368421049E-4</v>
      </c>
      <c r="W953">
        <v>1.7285482018736843E-2</v>
      </c>
      <c r="X953" t="s">
        <v>177</v>
      </c>
      <c r="Y953">
        <v>1.0371289211242106E-3</v>
      </c>
      <c r="Z953">
        <v>0</v>
      </c>
      <c r="AA953" t="s">
        <v>178</v>
      </c>
      <c r="AB953">
        <v>2.0742578422484211E-3</v>
      </c>
      <c r="AC953">
        <v>2.0396868782109473E-2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Q953" t="s">
        <v>262</v>
      </c>
      <c r="AR953" t="s">
        <v>263</v>
      </c>
      <c r="AS953">
        <v>1.6659742105263158E-2</v>
      </c>
    </row>
    <row r="954" spans="1:45" x14ac:dyDescent="0.15">
      <c r="A954" s="4" t="str">
        <f>HYPERLINK("https://ibp.a2mac1.com/costing(costing:projects/details/9760/material/8754609)","PP-EPDM")</f>
        <v>PP-EPDM</v>
      </c>
      <c r="B954">
        <v>8754609</v>
      </c>
      <c r="C954">
        <v>12085116</v>
      </c>
      <c r="E954">
        <v>1.7894600000000001</v>
      </c>
      <c r="F954" t="s">
        <v>4382</v>
      </c>
      <c r="G954">
        <v>95</v>
      </c>
      <c r="H954" t="s">
        <v>4383</v>
      </c>
      <c r="I954">
        <v>5</v>
      </c>
      <c r="J954">
        <v>0.50345253019720215</v>
      </c>
      <c r="K954">
        <v>0</v>
      </c>
      <c r="M954">
        <v>0</v>
      </c>
      <c r="O954">
        <v>200000</v>
      </c>
      <c r="R954" t="s">
        <v>162</v>
      </c>
      <c r="S954">
        <v>9.4182105263157891E-5</v>
      </c>
      <c r="T954">
        <v>1.9062458105263157E-4</v>
      </c>
      <c r="U954" t="s">
        <v>176</v>
      </c>
      <c r="V954">
        <v>1.3185494736842106E-3</v>
      </c>
      <c r="W954">
        <v>3.9087834054736842E-2</v>
      </c>
      <c r="X954" t="s">
        <v>177</v>
      </c>
      <c r="Y954">
        <v>2.3452700432842104E-3</v>
      </c>
      <c r="Z954">
        <v>0</v>
      </c>
      <c r="AA954" t="s">
        <v>178</v>
      </c>
      <c r="AB954">
        <v>4.6905400865684208E-3</v>
      </c>
      <c r="AC954">
        <v>4.6123644184589474E-2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Q954" t="s">
        <v>262</v>
      </c>
      <c r="AR954" t="s">
        <v>263</v>
      </c>
      <c r="AS954">
        <v>3.7672842105263157E-2</v>
      </c>
    </row>
    <row r="955" spans="1:45" x14ac:dyDescent="0.15">
      <c r="A955" s="4" t="str">
        <f>HYPERLINK("https://ibp.a2mac1.com/costing(costing:projects/details/9760/material/8754610)","PP-EPDM")</f>
        <v>PP-EPDM</v>
      </c>
      <c r="B955">
        <v>8754610</v>
      </c>
      <c r="C955">
        <v>12085117</v>
      </c>
      <c r="E955">
        <v>1.7894600000000001</v>
      </c>
      <c r="F955" t="s">
        <v>6916</v>
      </c>
      <c r="G955">
        <v>95</v>
      </c>
      <c r="H955" t="s">
        <v>6917</v>
      </c>
      <c r="I955">
        <v>5</v>
      </c>
      <c r="J955">
        <v>0.50345253019720215</v>
      </c>
      <c r="K955">
        <v>0</v>
      </c>
      <c r="M955">
        <v>0</v>
      </c>
      <c r="O955">
        <v>200000</v>
      </c>
      <c r="R955" t="s">
        <v>162</v>
      </c>
      <c r="S955">
        <v>3.6966476315789475E-4</v>
      </c>
      <c r="T955">
        <v>7.482014806315789E-4</v>
      </c>
      <c r="U955" t="s">
        <v>176</v>
      </c>
      <c r="V955">
        <v>5.1753066842105261E-3</v>
      </c>
      <c r="W955">
        <v>0.15341974866484209</v>
      </c>
      <c r="X955" t="s">
        <v>177</v>
      </c>
      <c r="Y955">
        <v>9.2051849198905265E-3</v>
      </c>
      <c r="Z955">
        <v>0</v>
      </c>
      <c r="AA955" t="s">
        <v>178</v>
      </c>
      <c r="AB955">
        <v>1.8410369839781053E-2</v>
      </c>
      <c r="AC955">
        <v>0.18103530342451368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Q955" t="s">
        <v>262</v>
      </c>
      <c r="AR955" t="s">
        <v>263</v>
      </c>
      <c r="AS955">
        <v>0.1478659052631579</v>
      </c>
    </row>
    <row r="956" spans="1:45" x14ac:dyDescent="0.15">
      <c r="A956" s="4" t="str">
        <f>HYPERLINK("https://ibp.a2mac1.com/costing(costing:projects/details/9760/material/8754611)","TPE")</f>
        <v>TPE</v>
      </c>
      <c r="B956">
        <v>8754611</v>
      </c>
      <c r="C956">
        <v>12085117</v>
      </c>
      <c r="E956">
        <v>1.5073099999999999</v>
      </c>
      <c r="F956" t="s">
        <v>6916</v>
      </c>
      <c r="G956">
        <v>95</v>
      </c>
      <c r="H956" t="s">
        <v>6917</v>
      </c>
      <c r="I956">
        <v>5</v>
      </c>
      <c r="J956">
        <v>0.50345253019720215</v>
      </c>
      <c r="K956">
        <v>0</v>
      </c>
      <c r="M956">
        <v>0</v>
      </c>
      <c r="O956">
        <v>200000</v>
      </c>
      <c r="R956" t="s">
        <v>162</v>
      </c>
      <c r="S956">
        <v>3.1137851315789472E-4</v>
      </c>
      <c r="T956">
        <v>6.3023011063157895E-4</v>
      </c>
      <c r="U956" t="s">
        <v>176</v>
      </c>
      <c r="V956">
        <v>4.3592991842105267E-3</v>
      </c>
      <c r="W956">
        <v>0.1292295560448421</v>
      </c>
      <c r="X956" t="s">
        <v>177</v>
      </c>
      <c r="Y956">
        <v>7.7537733626905263E-3</v>
      </c>
      <c r="Z956">
        <v>0</v>
      </c>
      <c r="AA956" t="s">
        <v>178</v>
      </c>
      <c r="AB956">
        <v>1.5507546725381053E-2</v>
      </c>
      <c r="AC956">
        <v>0.15249087613291368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Q956" t="s">
        <v>262</v>
      </c>
      <c r="AR956" t="s">
        <v>263</v>
      </c>
      <c r="AS956">
        <v>0.12455140526315789</v>
      </c>
    </row>
    <row r="957" spans="1:45" x14ac:dyDescent="0.15">
      <c r="A957" s="4" t="str">
        <f>HYPERLINK("https://ibp.a2mac1.com/costing(costing:projects/details/9760/material/8754612)","PP-EPDM")</f>
        <v>PP-EPDM</v>
      </c>
      <c r="B957">
        <v>8754612</v>
      </c>
      <c r="C957">
        <v>12085118</v>
      </c>
      <c r="E957">
        <v>1.7894600000000001</v>
      </c>
      <c r="F957" t="s">
        <v>6921</v>
      </c>
      <c r="G957">
        <v>95</v>
      </c>
      <c r="H957" t="s">
        <v>6922</v>
      </c>
      <c r="I957">
        <v>5</v>
      </c>
      <c r="J957">
        <v>0.50345253019720215</v>
      </c>
      <c r="K957">
        <v>0</v>
      </c>
      <c r="M957">
        <v>0</v>
      </c>
      <c r="O957">
        <v>200000</v>
      </c>
      <c r="R957" t="s">
        <v>162</v>
      </c>
      <c r="S957">
        <v>3.6495565789473682E-4</v>
      </c>
      <c r="T957">
        <v>7.3867025157894732E-4</v>
      </c>
      <c r="U957" t="s">
        <v>176</v>
      </c>
      <c r="V957">
        <v>5.1093792105263158E-3</v>
      </c>
      <c r="W957">
        <v>0.15146535696210525</v>
      </c>
      <c r="X957" t="s">
        <v>177</v>
      </c>
      <c r="Y957">
        <v>9.0879214177263159E-3</v>
      </c>
      <c r="Z957">
        <v>0</v>
      </c>
      <c r="AA957" t="s">
        <v>178</v>
      </c>
      <c r="AB957">
        <v>1.8175842835452632E-2</v>
      </c>
      <c r="AC957">
        <v>0.1787291212152842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Q957" t="s">
        <v>262</v>
      </c>
      <c r="AR957" t="s">
        <v>263</v>
      </c>
      <c r="AS957">
        <v>0.14598226315789473</v>
      </c>
    </row>
    <row r="958" spans="1:45" x14ac:dyDescent="0.15">
      <c r="A958" s="4" t="str">
        <f>HYPERLINK("https://ibp.a2mac1.com/costing(costing:projects/details/9760/material/8754613)","TPE")</f>
        <v>TPE</v>
      </c>
      <c r="B958">
        <v>8754613</v>
      </c>
      <c r="C958">
        <v>12085118</v>
      </c>
      <c r="E958">
        <v>1.5073099999999999</v>
      </c>
      <c r="F958" t="s">
        <v>6921</v>
      </c>
      <c r="G958">
        <v>95</v>
      </c>
      <c r="H958" t="s">
        <v>6922</v>
      </c>
      <c r="I958">
        <v>5</v>
      </c>
      <c r="J958">
        <v>0.50345253019720215</v>
      </c>
      <c r="K958">
        <v>0</v>
      </c>
      <c r="M958">
        <v>0</v>
      </c>
      <c r="O958">
        <v>200000</v>
      </c>
      <c r="R958" t="s">
        <v>162</v>
      </c>
      <c r="S958">
        <v>3.0741190789473682E-4</v>
      </c>
      <c r="T958">
        <v>6.2220170157894735E-4</v>
      </c>
      <c r="U958" t="s">
        <v>176</v>
      </c>
      <c r="V958">
        <v>4.3037667105263154E-3</v>
      </c>
      <c r="W958">
        <v>0.12758331966210526</v>
      </c>
      <c r="X958" t="s">
        <v>177</v>
      </c>
      <c r="Y958">
        <v>7.6549991797263154E-3</v>
      </c>
      <c r="Z958">
        <v>0</v>
      </c>
      <c r="AA958" t="s">
        <v>178</v>
      </c>
      <c r="AB958">
        <v>1.5309998359452631E-2</v>
      </c>
      <c r="AC958">
        <v>0.1505483172012842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Q958" t="s">
        <v>262</v>
      </c>
      <c r="AR958" t="s">
        <v>263</v>
      </c>
      <c r="AS958">
        <v>0.12296476315789474</v>
      </c>
    </row>
    <row r="959" spans="1:45" x14ac:dyDescent="0.15">
      <c r="A959" s="4" t="str">
        <f>HYPERLINK("https://ibp.a2mac1.com/costing(costing:projects/details/9760/material/8754616)","EPDM")</f>
        <v>EPDM</v>
      </c>
      <c r="B959">
        <v>8754616</v>
      </c>
      <c r="C959">
        <v>12085120</v>
      </c>
      <c r="E959">
        <v>2.78701</v>
      </c>
      <c r="F959" t="s">
        <v>4332</v>
      </c>
      <c r="G959">
        <v>95</v>
      </c>
      <c r="H959" t="s">
        <v>4333</v>
      </c>
      <c r="I959">
        <v>5</v>
      </c>
      <c r="J959">
        <v>0.50345253019720215</v>
      </c>
      <c r="K959">
        <v>0</v>
      </c>
      <c r="M959">
        <v>0</v>
      </c>
      <c r="O959">
        <v>200000</v>
      </c>
      <c r="R959" t="s">
        <v>162</v>
      </c>
      <c r="S959">
        <v>2.0682547894736842E-3</v>
      </c>
      <c r="T959">
        <v>4.1861476938947371E-3</v>
      </c>
      <c r="U959" t="s">
        <v>176</v>
      </c>
      <c r="V959">
        <v>2.8955567052631578E-2</v>
      </c>
      <c r="W959">
        <v>0.85837537574652634</v>
      </c>
      <c r="X959" t="s">
        <v>177</v>
      </c>
      <c r="Y959">
        <v>5.1502522544791582E-2</v>
      </c>
      <c r="Z959">
        <v>0</v>
      </c>
      <c r="AA959" t="s">
        <v>178</v>
      </c>
      <c r="AB959">
        <v>0.10300504508958316</v>
      </c>
      <c r="AC959">
        <v>1.012882943380901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Q959" t="s">
        <v>262</v>
      </c>
      <c r="AR959" t="s">
        <v>263</v>
      </c>
      <c r="AS959">
        <v>0.82730191578947365</v>
      </c>
    </row>
    <row r="960" spans="1:45" x14ac:dyDescent="0.15">
      <c r="A960" s="4" t="str">
        <f>HYPERLINK("https://ibp.a2mac1.com/costing(costing:projects/details/9760/material/8754617)","EPDM")</f>
        <v>EPDM</v>
      </c>
      <c r="B960">
        <v>8754617</v>
      </c>
      <c r="C960">
        <v>12085121</v>
      </c>
      <c r="E960">
        <v>2.78701</v>
      </c>
      <c r="F960" t="s">
        <v>4332</v>
      </c>
      <c r="G960">
        <v>95</v>
      </c>
      <c r="H960" t="s">
        <v>4333</v>
      </c>
      <c r="I960">
        <v>5</v>
      </c>
      <c r="J960">
        <v>0.50345253019720215</v>
      </c>
      <c r="K960">
        <v>0</v>
      </c>
      <c r="M960">
        <v>0</v>
      </c>
      <c r="O960">
        <v>200000</v>
      </c>
      <c r="R960" t="s">
        <v>162</v>
      </c>
      <c r="S960">
        <v>2.0682547894736842E-3</v>
      </c>
      <c r="T960">
        <v>4.1861476938947371E-3</v>
      </c>
      <c r="U960" t="s">
        <v>176</v>
      </c>
      <c r="V960">
        <v>2.8955567052631578E-2</v>
      </c>
      <c r="W960">
        <v>0.85837537574652634</v>
      </c>
      <c r="X960" t="s">
        <v>177</v>
      </c>
      <c r="Y960">
        <v>5.1502522544791582E-2</v>
      </c>
      <c r="Z960">
        <v>0</v>
      </c>
      <c r="AA960" t="s">
        <v>178</v>
      </c>
      <c r="AB960">
        <v>0.10300504508958316</v>
      </c>
      <c r="AC960">
        <v>1.012882943380901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Q960" t="s">
        <v>262</v>
      </c>
      <c r="AR960" t="s">
        <v>263</v>
      </c>
      <c r="AS960">
        <v>0.82730191578947365</v>
      </c>
    </row>
    <row r="961" spans="1:45" x14ac:dyDescent="0.15">
      <c r="A961" s="4" t="str">
        <f>HYPERLINK("https://ibp.a2mac1.com/costing(costing:projects/details/9760/material/8754618)","Aluminum for extrusion (default, e.g. EN-AW6016)")</f>
        <v>Aluminum for extrusion (default, e.g. EN-AW6016)</v>
      </c>
      <c r="B961">
        <v>8754618</v>
      </c>
      <c r="C961">
        <v>12085122</v>
      </c>
      <c r="E961">
        <v>2.3603000000000001</v>
      </c>
      <c r="F961" t="s">
        <v>6944</v>
      </c>
      <c r="G961">
        <v>94.356700000000004</v>
      </c>
      <c r="H961" t="s">
        <v>6945</v>
      </c>
      <c r="I961">
        <v>30</v>
      </c>
      <c r="J961">
        <v>0.1008980929261446</v>
      </c>
      <c r="K961">
        <v>0</v>
      </c>
      <c r="M961">
        <v>0</v>
      </c>
      <c r="O961">
        <v>400000</v>
      </c>
      <c r="R961" t="s">
        <v>162</v>
      </c>
      <c r="S961">
        <v>1.7702114170440465E-2</v>
      </c>
      <c r="T961">
        <v>1.0560685717071496E-3</v>
      </c>
      <c r="U961" t="s">
        <v>176</v>
      </c>
      <c r="V961">
        <v>3.6596435653218053E-2</v>
      </c>
      <c r="W961">
        <v>1.0655628372892862</v>
      </c>
      <c r="X961" t="s">
        <v>177</v>
      </c>
      <c r="Y961">
        <v>6.3933770237357176E-2</v>
      </c>
      <c r="Z961">
        <v>0</v>
      </c>
      <c r="AA961" t="s">
        <v>178</v>
      </c>
      <c r="AB961">
        <v>0.12786754047471435</v>
      </c>
      <c r="AC961">
        <v>1.2573641480013578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Q961" t="s">
        <v>262</v>
      </c>
      <c r="AR961" t="s">
        <v>263</v>
      </c>
      <c r="AS961">
        <v>1.0456124472348016</v>
      </c>
    </row>
    <row r="962" spans="1:45" x14ac:dyDescent="0.15">
      <c r="A962" s="4" t="str">
        <f>HYPERLINK("https://ibp.a2mac1.com/costing(costing:projects/details/9760/material/8754619)","PC")</f>
        <v>PC</v>
      </c>
      <c r="B962">
        <v>8754619</v>
      </c>
      <c r="C962">
        <v>12085123</v>
      </c>
      <c r="E962">
        <v>1.74675</v>
      </c>
      <c r="F962" t="s">
        <v>6950</v>
      </c>
      <c r="G962">
        <v>97</v>
      </c>
      <c r="H962" t="s">
        <v>6951</v>
      </c>
      <c r="I962">
        <v>5</v>
      </c>
      <c r="J962">
        <v>0.10389195236953569</v>
      </c>
      <c r="K962">
        <v>0</v>
      </c>
      <c r="M962">
        <v>0</v>
      </c>
      <c r="O962">
        <v>200000</v>
      </c>
      <c r="R962" t="s">
        <v>162</v>
      </c>
      <c r="S962">
        <v>3.4385764175257731E-3</v>
      </c>
      <c r="T962">
        <v>2.3840796494845359E-3</v>
      </c>
      <c r="U962" t="s">
        <v>176</v>
      </c>
      <c r="V962">
        <v>8.0233449742268037E-2</v>
      </c>
      <c r="W962">
        <v>2.3715632313247421</v>
      </c>
      <c r="X962" t="s">
        <v>177</v>
      </c>
      <c r="Y962">
        <v>0.14229379387948454</v>
      </c>
      <c r="Z962">
        <v>0</v>
      </c>
      <c r="AA962" t="s">
        <v>178</v>
      </c>
      <c r="AB962">
        <v>0.28458758775896908</v>
      </c>
      <c r="AC962">
        <v>2.7984446129631957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Q962" t="s">
        <v>262</v>
      </c>
      <c r="AR962" t="s">
        <v>263</v>
      </c>
      <c r="AS962">
        <v>2.2923842783505153</v>
      </c>
    </row>
    <row r="963" spans="1:45" x14ac:dyDescent="0.15">
      <c r="A963" s="4" t="str">
        <f>HYPERLINK("https://ibp.a2mac1.com/costing(costing:projects/details/9760/material/8754620)","TPE")</f>
        <v>TPE</v>
      </c>
      <c r="B963">
        <v>8754620</v>
      </c>
      <c r="C963">
        <v>12085124</v>
      </c>
      <c r="E963">
        <v>1.5073099999999999</v>
      </c>
      <c r="F963" t="s">
        <v>1460</v>
      </c>
      <c r="G963">
        <v>95</v>
      </c>
      <c r="H963" t="s">
        <v>1461</v>
      </c>
      <c r="I963">
        <v>5</v>
      </c>
      <c r="J963">
        <v>0.10389195236953569</v>
      </c>
      <c r="K963">
        <v>0</v>
      </c>
      <c r="L963">
        <v>0</v>
      </c>
      <c r="M963">
        <v>0</v>
      </c>
      <c r="O963">
        <v>200000</v>
      </c>
      <c r="R963" t="s">
        <v>162</v>
      </c>
      <c r="S963">
        <v>2.7766236842105262E-5</v>
      </c>
      <c r="T963">
        <v>1.1550754526315789E-5</v>
      </c>
      <c r="U963" t="s">
        <v>176</v>
      </c>
      <c r="V963">
        <v>3.8872731578947368E-4</v>
      </c>
      <c r="W963">
        <v>1.1479006570315789E-2</v>
      </c>
      <c r="X963" t="s">
        <v>177</v>
      </c>
      <c r="Y963">
        <v>6.8874039421894739E-4</v>
      </c>
      <c r="Z963">
        <v>0</v>
      </c>
      <c r="AA963" t="s">
        <v>178</v>
      </c>
      <c r="AB963">
        <v>1.3774807884378948E-3</v>
      </c>
      <c r="AC963">
        <v>1.3545227752972632E-2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Q963" t="s">
        <v>262</v>
      </c>
      <c r="AR963" t="s">
        <v>263</v>
      </c>
      <c r="AS963">
        <v>1.1106494736842104E-2</v>
      </c>
    </row>
    <row r="964" spans="1:45" x14ac:dyDescent="0.15">
      <c r="A964" s="4" t="str">
        <f>HYPERLINK("https://ibp.a2mac1.com/costing(costing:projects/details/9760/material/8754621)","TPE")</f>
        <v>TPE</v>
      </c>
      <c r="B964">
        <v>8754621</v>
      </c>
      <c r="C964">
        <v>12085125</v>
      </c>
      <c r="E964">
        <v>1.5073099999999999</v>
      </c>
      <c r="F964" t="s">
        <v>1460</v>
      </c>
      <c r="G964">
        <v>95</v>
      </c>
      <c r="H964" t="s">
        <v>1461</v>
      </c>
      <c r="I964">
        <v>5</v>
      </c>
      <c r="J964">
        <v>0.10389195236953569</v>
      </c>
      <c r="K964">
        <v>0</v>
      </c>
      <c r="L964">
        <v>0</v>
      </c>
      <c r="M964">
        <v>0</v>
      </c>
      <c r="O964">
        <v>200000</v>
      </c>
      <c r="R964" t="s">
        <v>162</v>
      </c>
      <c r="S964">
        <v>2.7766236842105262E-5</v>
      </c>
      <c r="T964">
        <v>1.1550754526315789E-5</v>
      </c>
      <c r="U964" t="s">
        <v>176</v>
      </c>
      <c r="V964">
        <v>3.8872731578947368E-4</v>
      </c>
      <c r="W964">
        <v>1.1479006570315789E-2</v>
      </c>
      <c r="X964" t="s">
        <v>177</v>
      </c>
      <c r="Y964">
        <v>6.8874039421894739E-4</v>
      </c>
      <c r="Z964">
        <v>0</v>
      </c>
      <c r="AA964" t="s">
        <v>178</v>
      </c>
      <c r="AB964">
        <v>1.3774807884378948E-3</v>
      </c>
      <c r="AC964">
        <v>1.3545227752972632E-2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Q964" t="s">
        <v>262</v>
      </c>
      <c r="AR964" t="s">
        <v>263</v>
      </c>
      <c r="AS964">
        <v>1.1106494736842104E-2</v>
      </c>
    </row>
    <row r="965" spans="1:45" x14ac:dyDescent="0.15">
      <c r="A965" s="4" t="str">
        <f>HYPERLINK("https://ibp.a2mac1.com/costing(costing:projects/details/9760/material/8754622)","PP-TD20")</f>
        <v>PP-TD20</v>
      </c>
      <c r="B965">
        <v>8754622</v>
      </c>
      <c r="C965">
        <v>12085126</v>
      </c>
      <c r="E965">
        <v>1.1148100000000001</v>
      </c>
      <c r="F965" t="s">
        <v>5848</v>
      </c>
      <c r="G965">
        <v>97</v>
      </c>
      <c r="H965" t="s">
        <v>6967</v>
      </c>
      <c r="I965">
        <v>5</v>
      </c>
      <c r="J965">
        <v>0.10389195236953569</v>
      </c>
      <c r="K965">
        <v>0</v>
      </c>
      <c r="M965">
        <v>0</v>
      </c>
      <c r="O965">
        <v>200000</v>
      </c>
      <c r="R965" t="s">
        <v>162</v>
      </c>
      <c r="S965">
        <v>1.2067530927835052E-4</v>
      </c>
      <c r="T965">
        <v>8.3668214432989688E-5</v>
      </c>
      <c r="U965" t="s">
        <v>176</v>
      </c>
      <c r="V965">
        <v>2.8157572164948454E-3</v>
      </c>
      <c r="W965">
        <v>8.3228956307216495E-2</v>
      </c>
      <c r="X965" t="s">
        <v>177</v>
      </c>
      <c r="Y965">
        <v>4.9937373784329896E-3</v>
      </c>
      <c r="Z965">
        <v>0</v>
      </c>
      <c r="AA965" t="s">
        <v>178</v>
      </c>
      <c r="AB965">
        <v>9.9874747568659793E-3</v>
      </c>
      <c r="AC965">
        <v>9.8210168442515469E-2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Q965" t="s">
        <v>262</v>
      </c>
      <c r="AR965" t="s">
        <v>263</v>
      </c>
      <c r="AS965">
        <v>8.0450206185567016E-2</v>
      </c>
    </row>
    <row r="966" spans="1:45" x14ac:dyDescent="0.15">
      <c r="A966" s="4" t="str">
        <f>HYPERLINK("https://ibp.a2mac1.com/costing(costing:projects/details/9760/material/8754623)","PP-TD20")</f>
        <v>PP-TD20</v>
      </c>
      <c r="B966">
        <v>8754623</v>
      </c>
      <c r="C966">
        <v>12085127</v>
      </c>
      <c r="E966">
        <v>1.1148100000000001</v>
      </c>
      <c r="F966" t="s">
        <v>5848</v>
      </c>
      <c r="G966">
        <v>97</v>
      </c>
      <c r="H966" t="s">
        <v>6967</v>
      </c>
      <c r="I966">
        <v>5</v>
      </c>
      <c r="J966">
        <v>0.10389195236953569</v>
      </c>
      <c r="K966">
        <v>0</v>
      </c>
      <c r="M966">
        <v>0</v>
      </c>
      <c r="O966">
        <v>200000</v>
      </c>
      <c r="R966" t="s">
        <v>162</v>
      </c>
      <c r="S966">
        <v>1.2067530927835052E-4</v>
      </c>
      <c r="T966">
        <v>8.3668214432989688E-5</v>
      </c>
      <c r="U966" t="s">
        <v>176</v>
      </c>
      <c r="V966">
        <v>2.8157572164948454E-3</v>
      </c>
      <c r="W966">
        <v>8.3228956307216495E-2</v>
      </c>
      <c r="X966" t="s">
        <v>177</v>
      </c>
      <c r="Y966">
        <v>4.9937373784329896E-3</v>
      </c>
      <c r="Z966">
        <v>0</v>
      </c>
      <c r="AA966" t="s">
        <v>178</v>
      </c>
      <c r="AB966">
        <v>9.9874747568659793E-3</v>
      </c>
      <c r="AC966">
        <v>9.8210168442515469E-2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Q966" t="s">
        <v>262</v>
      </c>
      <c r="AR966" t="s">
        <v>263</v>
      </c>
      <c r="AS966">
        <v>8.0450206185567016E-2</v>
      </c>
    </row>
    <row r="967" spans="1:45" x14ac:dyDescent="0.15">
      <c r="A967" s="4" t="str">
        <f>HYPERLINK("https://ibp.a2mac1.com/costing(costing:projects/details/9760/material/8755034)","EN AC-43000 / EN AC-AlSi10Mg  / AA43000 (Ingot)")</f>
        <v>EN AC-43000 / EN AC-AlSi10Mg  / AA43000 (Ingot)</v>
      </c>
      <c r="B967">
        <v>8755034</v>
      </c>
      <c r="C967">
        <v>12085355</v>
      </c>
      <c r="E967">
        <v>2.4405199999999998</v>
      </c>
      <c r="F967" t="s">
        <v>6979</v>
      </c>
      <c r="G967">
        <v>85</v>
      </c>
      <c r="H967" t="s">
        <v>6980</v>
      </c>
      <c r="I967">
        <v>40</v>
      </c>
      <c r="J967">
        <v>14.581019902622362</v>
      </c>
      <c r="K967">
        <v>0</v>
      </c>
      <c r="L967">
        <v>0</v>
      </c>
      <c r="M967">
        <v>0</v>
      </c>
      <c r="O967">
        <v>200000</v>
      </c>
      <c r="R967" t="s">
        <v>162</v>
      </c>
      <c r="S967">
        <v>0.74283686400000004</v>
      </c>
      <c r="T967">
        <v>2.11337087808</v>
      </c>
      <c r="U967" t="s">
        <v>176</v>
      </c>
      <c r="V967">
        <v>0.43332150400000002</v>
      </c>
      <c r="W967">
        <v>14.18446991808</v>
      </c>
      <c r="X967" t="s">
        <v>90</v>
      </c>
      <c r="Y967">
        <v>0</v>
      </c>
      <c r="Z967">
        <v>0</v>
      </c>
      <c r="AA967" t="s">
        <v>90</v>
      </c>
      <c r="AB967">
        <v>0</v>
      </c>
      <c r="AC967">
        <v>14.18446991808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Q967" t="s">
        <v>262</v>
      </c>
      <c r="AR967" t="s">
        <v>263</v>
      </c>
      <c r="AS967">
        <v>12.380614400000001</v>
      </c>
    </row>
    <row r="968" spans="1:45" x14ac:dyDescent="0.15">
      <c r="A968" s="4" t="str">
        <f>HYPERLINK("https://ibp.a2mac1.com/costing(costing:projects/details/9760/material/8755032)","Material")</f>
        <v>Material</v>
      </c>
      <c r="B968">
        <v>8755032</v>
      </c>
      <c r="C968">
        <v>12085351</v>
      </c>
      <c r="E968">
        <v>1.25</v>
      </c>
      <c r="F968" t="s">
        <v>6995</v>
      </c>
      <c r="G968">
        <v>94</v>
      </c>
      <c r="H968" t="s">
        <v>6996</v>
      </c>
      <c r="I968">
        <v>30</v>
      </c>
      <c r="J968">
        <v>0.10389195236953569</v>
      </c>
      <c r="K968">
        <v>0</v>
      </c>
      <c r="L968">
        <v>0</v>
      </c>
      <c r="M968">
        <v>0</v>
      </c>
      <c r="O968">
        <v>200000</v>
      </c>
      <c r="R968" t="s">
        <v>162</v>
      </c>
      <c r="S968">
        <v>2.3361702127659575E-2</v>
      </c>
      <c r="T968">
        <v>1.3497872340425532E-3</v>
      </c>
      <c r="U968" t="s">
        <v>176</v>
      </c>
      <c r="V968">
        <v>4.5425531914893617E-2</v>
      </c>
      <c r="W968">
        <v>1.3212859574468085</v>
      </c>
      <c r="X968" t="s">
        <v>177</v>
      </c>
      <c r="Y968">
        <v>7.9277157446808508E-2</v>
      </c>
      <c r="Z968">
        <v>0</v>
      </c>
      <c r="AA968" t="s">
        <v>178</v>
      </c>
      <c r="AB968">
        <v>0.15855431489361702</v>
      </c>
      <c r="AC968">
        <v>1.5591174297872341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Q968" t="s">
        <v>9</v>
      </c>
      <c r="AR968" t="s">
        <v>263</v>
      </c>
      <c r="AS968">
        <v>1.2978723404255319</v>
      </c>
    </row>
    <row r="969" spans="1:45" x14ac:dyDescent="0.15">
      <c r="A969" s="4" t="str">
        <f>HYPERLINK("https://ibp.a2mac1.com/costing(costing:projects/details/9760/material/8755033)","Material")</f>
        <v>Material</v>
      </c>
      <c r="B969">
        <v>8755033</v>
      </c>
      <c r="C969">
        <v>12085353</v>
      </c>
      <c r="E969">
        <v>1.25</v>
      </c>
      <c r="F969" t="s">
        <v>4942</v>
      </c>
      <c r="G969">
        <v>94</v>
      </c>
      <c r="H969" t="s">
        <v>7002</v>
      </c>
      <c r="I969">
        <v>30</v>
      </c>
      <c r="J969">
        <v>0.1008980929261446</v>
      </c>
      <c r="K969">
        <v>0</v>
      </c>
      <c r="L969">
        <v>0</v>
      </c>
      <c r="M969">
        <v>0</v>
      </c>
      <c r="O969">
        <v>400000</v>
      </c>
      <c r="R969" t="s">
        <v>162</v>
      </c>
      <c r="S969">
        <v>2.8723404255319147E-4</v>
      </c>
      <c r="T969">
        <v>1.6117021276595745E-5</v>
      </c>
      <c r="U969" t="s">
        <v>176</v>
      </c>
      <c r="V969">
        <v>5.5851063829787237E-4</v>
      </c>
      <c r="W969">
        <v>1.6244840425531915E-2</v>
      </c>
      <c r="X969" t="s">
        <v>177</v>
      </c>
      <c r="Y969">
        <v>9.7469042553191489E-4</v>
      </c>
      <c r="Z969">
        <v>0</v>
      </c>
      <c r="AA969" t="s">
        <v>178</v>
      </c>
      <c r="AB969">
        <v>1.9493808510638298E-3</v>
      </c>
      <c r="AC969">
        <v>1.9168911702127658E-2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Q969" t="s">
        <v>9</v>
      </c>
      <c r="AR969" t="s">
        <v>263</v>
      </c>
      <c r="AS969">
        <v>1.5957446808510637E-2</v>
      </c>
    </row>
    <row r="970" spans="1:45" x14ac:dyDescent="0.15">
      <c r="A970" s="4" t="str">
        <f>HYPERLINK("https://ibp.a2mac1.com/costing(costing:projects/details/9760/material/8755035)","Material")</f>
        <v>Material</v>
      </c>
      <c r="B970">
        <v>8755035</v>
      </c>
      <c r="C970">
        <v>12085365</v>
      </c>
      <c r="E970">
        <v>1.25</v>
      </c>
      <c r="F970" t="s">
        <v>7009</v>
      </c>
      <c r="G970">
        <v>94</v>
      </c>
      <c r="H970" t="s">
        <v>7010</v>
      </c>
      <c r="I970">
        <v>30</v>
      </c>
      <c r="J970">
        <v>0.1008980929261446</v>
      </c>
      <c r="K970">
        <v>0</v>
      </c>
      <c r="L970">
        <v>0</v>
      </c>
      <c r="M970">
        <v>0</v>
      </c>
      <c r="O970">
        <v>400000</v>
      </c>
      <c r="R970" t="s">
        <v>162</v>
      </c>
      <c r="S970">
        <v>1.1872340425531916E-2</v>
      </c>
      <c r="T970">
        <v>6.6617021276595741E-4</v>
      </c>
      <c r="U970" t="s">
        <v>176</v>
      </c>
      <c r="V970">
        <v>2.3085106382978723E-2</v>
      </c>
      <c r="W970">
        <v>0.67145340425531919</v>
      </c>
      <c r="X970" t="s">
        <v>177</v>
      </c>
      <c r="Y970">
        <v>4.0287204255319148E-2</v>
      </c>
      <c r="Z970">
        <v>0</v>
      </c>
      <c r="AA970" t="s">
        <v>178</v>
      </c>
      <c r="AB970">
        <v>8.0574408510638296E-2</v>
      </c>
      <c r="AC970">
        <v>0.7923150170212766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Q970" t="s">
        <v>9</v>
      </c>
      <c r="AR970" t="s">
        <v>263</v>
      </c>
      <c r="AS970">
        <v>0.65957446808510634</v>
      </c>
    </row>
    <row r="971" spans="1:45" x14ac:dyDescent="0.15">
      <c r="A971" s="4" t="str">
        <f>HYPERLINK("https://ibp.a2mac1.com/costing(costing:projects/details/9760/material/8754627)","Aluminum sheet (default, e.g. EN AW1050A)")</f>
        <v>Aluminum sheet (default, e.g. EN AW1050A)</v>
      </c>
      <c r="B971">
        <v>8754627</v>
      </c>
      <c r="C971">
        <v>12085128</v>
      </c>
      <c r="E971">
        <v>3.4857100000000001</v>
      </c>
      <c r="F971" t="s">
        <v>4999</v>
      </c>
      <c r="G971">
        <v>80</v>
      </c>
      <c r="H971" t="s">
        <v>7027</v>
      </c>
      <c r="I971">
        <v>30</v>
      </c>
      <c r="J971">
        <v>0.50048257265952256</v>
      </c>
      <c r="K971">
        <v>0</v>
      </c>
      <c r="M971">
        <v>0</v>
      </c>
      <c r="O971">
        <v>400000</v>
      </c>
      <c r="R971" t="s">
        <v>162</v>
      </c>
      <c r="S971">
        <v>2.274425775E-2</v>
      </c>
      <c r="T971">
        <v>1.906726941375E-3</v>
      </c>
      <c r="U971" t="s">
        <v>176</v>
      </c>
      <c r="V971">
        <v>1.32674836875E-2</v>
      </c>
      <c r="W971">
        <v>0.37150091537887497</v>
      </c>
      <c r="X971" t="s">
        <v>177</v>
      </c>
      <c r="Y971">
        <v>2.2290054922732502E-2</v>
      </c>
      <c r="Z971">
        <v>0</v>
      </c>
      <c r="AA971" t="s">
        <v>178</v>
      </c>
      <c r="AB971">
        <v>4.4580109845465003E-2</v>
      </c>
      <c r="AC971">
        <v>0.43837108014707249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Q971" t="s">
        <v>262</v>
      </c>
      <c r="AR971" t="s">
        <v>263</v>
      </c>
      <c r="AS971">
        <v>0.3790709625</v>
      </c>
    </row>
    <row r="972" spans="1:45" x14ac:dyDescent="0.15">
      <c r="A972" s="4" t="str">
        <f>HYPERLINK("https://ibp.a2mac1.com/costing(costing:projects/details/9760/material/8754628)","EPDM")</f>
        <v>EPDM</v>
      </c>
      <c r="B972">
        <v>8754628</v>
      </c>
      <c r="C972">
        <v>12085129</v>
      </c>
      <c r="E972">
        <v>2.78701</v>
      </c>
      <c r="F972" t="s">
        <v>7033</v>
      </c>
      <c r="G972">
        <v>95</v>
      </c>
      <c r="H972" t="s">
        <v>7034</v>
      </c>
      <c r="I972">
        <v>5</v>
      </c>
      <c r="J972">
        <v>0.1008980929261446</v>
      </c>
      <c r="K972">
        <v>0</v>
      </c>
      <c r="L972">
        <v>0</v>
      </c>
      <c r="M972">
        <v>0</v>
      </c>
      <c r="O972">
        <v>400000</v>
      </c>
      <c r="R972" t="s">
        <v>162</v>
      </c>
      <c r="S972">
        <v>2.6696622105263157E-3</v>
      </c>
      <c r="T972">
        <v>1.0785435330526315E-3</v>
      </c>
      <c r="U972" t="s">
        <v>176</v>
      </c>
      <c r="V972">
        <v>3.7375270947368422E-2</v>
      </c>
      <c r="W972">
        <v>1.103649036480421</v>
      </c>
      <c r="X972" t="s">
        <v>177</v>
      </c>
      <c r="Y972">
        <v>6.6218942188825264E-2</v>
      </c>
      <c r="Z972">
        <v>0</v>
      </c>
      <c r="AA972" t="s">
        <v>178</v>
      </c>
      <c r="AB972">
        <v>0.13243788437765053</v>
      </c>
      <c r="AC972">
        <v>1.3023058630468969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P972" t="s">
        <v>5378</v>
      </c>
      <c r="AQ972" t="s">
        <v>262</v>
      </c>
      <c r="AR972" t="s">
        <v>263</v>
      </c>
      <c r="AS972">
        <v>1.0678648842105263</v>
      </c>
    </row>
    <row r="973" spans="1:45" x14ac:dyDescent="0.15">
      <c r="A973" s="4" t="str">
        <f>HYPERLINK("https://ibp.a2mac1.com/costing(costing:projects/details/9760/material/8755036)","PP-EPDM")</f>
        <v>PP-EPDM</v>
      </c>
      <c r="B973">
        <v>8755036</v>
      </c>
      <c r="C973">
        <v>12085367</v>
      </c>
      <c r="E973">
        <v>1.7894600000000001</v>
      </c>
      <c r="F973" t="s">
        <v>7041</v>
      </c>
      <c r="G973">
        <v>97</v>
      </c>
      <c r="H973" t="s">
        <v>7042</v>
      </c>
      <c r="I973">
        <v>5</v>
      </c>
      <c r="J973">
        <v>0.10389195236953569</v>
      </c>
      <c r="K973">
        <v>0</v>
      </c>
      <c r="M973">
        <v>0</v>
      </c>
      <c r="O973">
        <v>200000</v>
      </c>
      <c r="R973" t="s">
        <v>162</v>
      </c>
      <c r="S973">
        <v>3.5973680412371134E-4</v>
      </c>
      <c r="T973">
        <v>2.494175175257732E-4</v>
      </c>
      <c r="U973" t="s">
        <v>176</v>
      </c>
      <c r="V973">
        <v>8.3938587628865982E-3</v>
      </c>
      <c r="W973">
        <v>0.24810807555876288</v>
      </c>
      <c r="X973" t="s">
        <v>177</v>
      </c>
      <c r="Y973">
        <v>1.4886484533525772E-2</v>
      </c>
      <c r="Z973">
        <v>0</v>
      </c>
      <c r="AA973" t="s">
        <v>178</v>
      </c>
      <c r="AB973">
        <v>2.9772969067051545E-2</v>
      </c>
      <c r="AC973">
        <v>0.29276752915934018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Q973" t="s">
        <v>262</v>
      </c>
      <c r="AR973" t="s">
        <v>263</v>
      </c>
      <c r="AS973">
        <v>0.23982453608247423</v>
      </c>
    </row>
    <row r="974" spans="1:45" x14ac:dyDescent="0.15">
      <c r="A974" s="4" t="str">
        <f>HYPERLINK("https://ibp.a2mac1.com/costing(costing:projects/details/9760/material/8755037)","Aluminum sheet (default, e.g. EN AW1050A)")</f>
        <v>Aluminum sheet (default, e.g. EN AW1050A)</v>
      </c>
      <c r="B974">
        <v>8755037</v>
      </c>
      <c r="C974">
        <v>12085368</v>
      </c>
      <c r="E974">
        <v>3.4857100000000001</v>
      </c>
      <c r="F974" t="s">
        <v>4878</v>
      </c>
      <c r="G974">
        <v>80</v>
      </c>
      <c r="H974" t="s">
        <v>7046</v>
      </c>
      <c r="I974">
        <v>30</v>
      </c>
      <c r="J974">
        <v>0.10389195236953569</v>
      </c>
      <c r="K974">
        <v>0</v>
      </c>
      <c r="M974">
        <v>0</v>
      </c>
      <c r="O974">
        <v>200000</v>
      </c>
      <c r="R974" t="s">
        <v>162</v>
      </c>
      <c r="S974">
        <v>1.3071412500000001E-2</v>
      </c>
      <c r="T974">
        <v>2.2657115000000001E-4</v>
      </c>
      <c r="U974" t="s">
        <v>176</v>
      </c>
      <c r="V974">
        <v>7.6249906250000004E-3</v>
      </c>
      <c r="W974">
        <v>0.212637024275</v>
      </c>
      <c r="X974" t="s">
        <v>177</v>
      </c>
      <c r="Y974">
        <v>1.2758221456499999E-2</v>
      </c>
      <c r="Z974">
        <v>0</v>
      </c>
      <c r="AA974" t="s">
        <v>178</v>
      </c>
      <c r="AB974">
        <v>2.5516442912999999E-2</v>
      </c>
      <c r="AC974">
        <v>0.25091168864449997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Q974" t="s">
        <v>262</v>
      </c>
      <c r="AR974" t="s">
        <v>263</v>
      </c>
      <c r="AS974">
        <v>0.21785687500000001</v>
      </c>
    </row>
    <row r="975" spans="1:45" x14ac:dyDescent="0.15">
      <c r="A975" s="4" t="str">
        <f>HYPERLINK("https://ibp.a2mac1.com/costing(costing:projects/details/9760/material/8754629)","PP-EPDM")</f>
        <v>PP-EPDM</v>
      </c>
      <c r="B975">
        <v>8754629</v>
      </c>
      <c r="C975">
        <v>12085130</v>
      </c>
      <c r="E975">
        <v>1.7894600000000001</v>
      </c>
      <c r="F975" t="s">
        <v>7051</v>
      </c>
      <c r="G975">
        <v>97</v>
      </c>
      <c r="H975" t="s">
        <v>7052</v>
      </c>
      <c r="I975">
        <v>5</v>
      </c>
      <c r="J975">
        <v>0.10389195236953569</v>
      </c>
      <c r="K975">
        <v>0</v>
      </c>
      <c r="M975">
        <v>0</v>
      </c>
      <c r="O975">
        <v>200000</v>
      </c>
      <c r="R975" t="s">
        <v>162</v>
      </c>
      <c r="S975">
        <v>5.3490095567010308E-3</v>
      </c>
      <c r="T975">
        <v>3.7086466259793815E-3</v>
      </c>
      <c r="U975" t="s">
        <v>176</v>
      </c>
      <c r="V975">
        <v>0.12481022298969072</v>
      </c>
      <c r="W975">
        <v>3.6891762311929899</v>
      </c>
      <c r="X975" t="s">
        <v>177</v>
      </c>
      <c r="Y975">
        <v>0.22135057387157939</v>
      </c>
      <c r="Z975">
        <v>0</v>
      </c>
      <c r="AA975" t="s">
        <v>178</v>
      </c>
      <c r="AB975">
        <v>0.44270114774315877</v>
      </c>
      <c r="AC975">
        <v>4.3532279528077282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Q975" t="s">
        <v>262</v>
      </c>
      <c r="AR975" t="s">
        <v>263</v>
      </c>
      <c r="AS975">
        <v>3.5660063711340206</v>
      </c>
    </row>
    <row r="976" spans="1:45" x14ac:dyDescent="0.15">
      <c r="A976" s="4" t="str">
        <f>HYPERLINK("https://ibp.a2mac1.com/costing(costing:projects/details/9760/material/8754630)","PP-EPDM")</f>
        <v>PP-EPDM</v>
      </c>
      <c r="B976">
        <v>8754630</v>
      </c>
      <c r="C976">
        <v>12085132</v>
      </c>
      <c r="E976">
        <v>1.7894600000000001</v>
      </c>
      <c r="F976" t="s">
        <v>5087</v>
      </c>
      <c r="G976">
        <v>95</v>
      </c>
      <c r="H976" t="s">
        <v>5088</v>
      </c>
      <c r="I976">
        <v>5</v>
      </c>
      <c r="J976">
        <v>0.50345253019720215</v>
      </c>
      <c r="K976">
        <v>0</v>
      </c>
      <c r="L976">
        <v>0</v>
      </c>
      <c r="M976">
        <v>0</v>
      </c>
      <c r="O976">
        <v>200000</v>
      </c>
      <c r="R976" t="s">
        <v>162</v>
      </c>
      <c r="S976">
        <v>1.6010957894736842E-4</v>
      </c>
      <c r="T976">
        <v>3.2406178778947368E-4</v>
      </c>
      <c r="U976" t="s">
        <v>176</v>
      </c>
      <c r="V976">
        <v>2.2415341052631579E-3</v>
      </c>
      <c r="W976">
        <v>6.6449317893052626E-2</v>
      </c>
      <c r="X976" t="s">
        <v>177</v>
      </c>
      <c r="Y976">
        <v>3.9869590735831578E-3</v>
      </c>
      <c r="Z976">
        <v>0</v>
      </c>
      <c r="AA976" t="s">
        <v>178</v>
      </c>
      <c r="AB976">
        <v>7.9739181471663156E-3</v>
      </c>
      <c r="AC976">
        <v>7.8410195113802109E-2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Q976" t="s">
        <v>262</v>
      </c>
      <c r="AR976" t="s">
        <v>263</v>
      </c>
      <c r="AS976">
        <v>6.4043831578947372E-2</v>
      </c>
    </row>
    <row r="977" spans="1:45" x14ac:dyDescent="0.15">
      <c r="A977" s="4" t="str">
        <f>HYPERLINK("https://ibp.a2mac1.com/costing(costing:projects/details/9760/material/8754631)","PP-GF30")</f>
        <v>PP-GF30</v>
      </c>
      <c r="B977">
        <v>8754631</v>
      </c>
      <c r="C977">
        <v>12085133</v>
      </c>
      <c r="E977">
        <v>1.2710699999999999</v>
      </c>
      <c r="F977" t="s">
        <v>7062</v>
      </c>
      <c r="G977">
        <v>97</v>
      </c>
      <c r="H977" t="s">
        <v>7063</v>
      </c>
      <c r="I977">
        <v>30</v>
      </c>
      <c r="J977">
        <v>0.1008980929261446</v>
      </c>
      <c r="K977">
        <v>0</v>
      </c>
      <c r="M977">
        <v>0</v>
      </c>
      <c r="O977">
        <v>400000</v>
      </c>
      <c r="R977" t="s">
        <v>162</v>
      </c>
      <c r="S977">
        <v>1.5390430051546392E-3</v>
      </c>
      <c r="T977">
        <v>1.7271482613402062E-4</v>
      </c>
      <c r="U977" t="s">
        <v>176</v>
      </c>
      <c r="V977">
        <v>5.9851672422680411E-3</v>
      </c>
      <c r="W977">
        <v>0.17562361741376289</v>
      </c>
      <c r="X977" t="s">
        <v>177</v>
      </c>
      <c r="Y977">
        <v>1.0537417044825774E-2</v>
      </c>
      <c r="Z977">
        <v>0</v>
      </c>
      <c r="AA977" t="s">
        <v>178</v>
      </c>
      <c r="AB977">
        <v>2.1074834089651547E-2</v>
      </c>
      <c r="AC977">
        <v>0.20723586854824019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Q977" t="s">
        <v>262</v>
      </c>
      <c r="AR977" t="s">
        <v>263</v>
      </c>
      <c r="AS977">
        <v>0.17100477835051547</v>
      </c>
    </row>
    <row r="978" spans="1:45" x14ac:dyDescent="0.15">
      <c r="A978" s="4" t="str">
        <f>HYPERLINK("https://ibp.a2mac1.com/costing(costing:projects/details/9760/material/8754632)","PP-GF30")</f>
        <v>PP-GF30</v>
      </c>
      <c r="B978">
        <v>8754632</v>
      </c>
      <c r="C978">
        <v>12085134</v>
      </c>
      <c r="E978">
        <v>1.2710699999999999</v>
      </c>
      <c r="F978" t="s">
        <v>7062</v>
      </c>
      <c r="G978">
        <v>97</v>
      </c>
      <c r="H978" t="s">
        <v>7063</v>
      </c>
      <c r="I978">
        <v>30</v>
      </c>
      <c r="J978">
        <v>0.1008980929261446</v>
      </c>
      <c r="K978">
        <v>0</v>
      </c>
      <c r="M978">
        <v>0</v>
      </c>
      <c r="O978">
        <v>400000</v>
      </c>
      <c r="R978" t="s">
        <v>162</v>
      </c>
      <c r="S978">
        <v>1.5390430051546392E-3</v>
      </c>
      <c r="T978">
        <v>1.7271482613402062E-4</v>
      </c>
      <c r="U978" t="s">
        <v>176</v>
      </c>
      <c r="V978">
        <v>5.9851672422680411E-3</v>
      </c>
      <c r="W978">
        <v>0.17562361741376289</v>
      </c>
      <c r="X978" t="s">
        <v>177</v>
      </c>
      <c r="Y978">
        <v>1.0537417044825774E-2</v>
      </c>
      <c r="Z978">
        <v>0</v>
      </c>
      <c r="AA978" t="s">
        <v>178</v>
      </c>
      <c r="AB978">
        <v>2.1074834089651547E-2</v>
      </c>
      <c r="AC978">
        <v>0.20723586854824019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Q978" t="s">
        <v>262</v>
      </c>
      <c r="AR978" t="s">
        <v>263</v>
      </c>
      <c r="AS978">
        <v>0.17100477835051547</v>
      </c>
    </row>
    <row r="979" spans="1:45" x14ac:dyDescent="0.15">
      <c r="A979" s="4" t="str">
        <f>HYPERLINK("https://ibp.a2mac1.com/costing(costing:projects/details/9760/material/8755038)","PP-EPDM")</f>
        <v>PP-EPDM</v>
      </c>
      <c r="B979">
        <v>8755038</v>
      </c>
      <c r="C979">
        <v>12085369</v>
      </c>
      <c r="E979">
        <v>1.7894600000000001</v>
      </c>
      <c r="F979" t="s">
        <v>7074</v>
      </c>
      <c r="G979">
        <v>95</v>
      </c>
      <c r="H979" t="s">
        <v>7075</v>
      </c>
      <c r="I979">
        <v>5</v>
      </c>
      <c r="J979">
        <v>0.50345253019720215</v>
      </c>
      <c r="K979">
        <v>0</v>
      </c>
      <c r="M979">
        <v>0</v>
      </c>
      <c r="O979">
        <v>200000</v>
      </c>
      <c r="R979" t="s">
        <v>162</v>
      </c>
      <c r="S979">
        <v>1.2432037894736841E-3</v>
      </c>
      <c r="T979">
        <v>2.5162444698947368E-3</v>
      </c>
      <c r="U979" t="s">
        <v>176</v>
      </c>
      <c r="V979">
        <v>1.7404853052631578E-2</v>
      </c>
      <c r="W979">
        <v>0.51595940952252628</v>
      </c>
      <c r="X979" t="s">
        <v>177</v>
      </c>
      <c r="Y979">
        <v>3.0957564571351581E-2</v>
      </c>
      <c r="Z979">
        <v>0</v>
      </c>
      <c r="AA979" t="s">
        <v>178</v>
      </c>
      <c r="AB979">
        <v>6.1915129142703161E-2</v>
      </c>
      <c r="AC979">
        <v>0.6088321032365811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Q979" t="s">
        <v>262</v>
      </c>
      <c r="AR979" t="s">
        <v>263</v>
      </c>
      <c r="AS979">
        <v>0.49728151578947366</v>
      </c>
    </row>
    <row r="980" spans="1:45" x14ac:dyDescent="0.15">
      <c r="A980" s="4" t="str">
        <f>HYPERLINK("https://ibp.a2mac1.com/costing(costing:projects/details/9760/material/8755039)","PP-EPDM")</f>
        <v>PP-EPDM</v>
      </c>
      <c r="B980">
        <v>8755039</v>
      </c>
      <c r="C980">
        <v>12085370</v>
      </c>
      <c r="E980">
        <v>1.7894600000000001</v>
      </c>
      <c r="F980" t="s">
        <v>7079</v>
      </c>
      <c r="G980">
        <v>95</v>
      </c>
      <c r="H980" t="s">
        <v>7080</v>
      </c>
      <c r="I980">
        <v>5</v>
      </c>
      <c r="J980">
        <v>0.50345253019720215</v>
      </c>
      <c r="K980">
        <v>0</v>
      </c>
      <c r="M980">
        <v>0</v>
      </c>
      <c r="O980">
        <v>200000</v>
      </c>
      <c r="R980" t="s">
        <v>162</v>
      </c>
      <c r="S980">
        <v>1.2337855789473684E-3</v>
      </c>
      <c r="T980">
        <v>2.4971820117894736E-3</v>
      </c>
      <c r="U980" t="s">
        <v>176</v>
      </c>
      <c r="V980">
        <v>1.7272998105263157E-2</v>
      </c>
      <c r="W980">
        <v>0.51205062611705265</v>
      </c>
      <c r="X980" t="s">
        <v>177</v>
      </c>
      <c r="Y980">
        <v>3.0723037567023159E-2</v>
      </c>
      <c r="Z980">
        <v>0</v>
      </c>
      <c r="AA980" t="s">
        <v>178</v>
      </c>
      <c r="AB980">
        <v>6.1446075134046318E-2</v>
      </c>
      <c r="AC980">
        <v>0.60421973881812208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Q980" t="s">
        <v>262</v>
      </c>
      <c r="AR980" t="s">
        <v>263</v>
      </c>
      <c r="AS980">
        <v>0.49351423157894736</v>
      </c>
    </row>
    <row r="981" spans="1:45" x14ac:dyDescent="0.15">
      <c r="A981" s="4" t="str">
        <f>HYPERLINK("https://ibp.a2mac1.com/costing(costing:projects/details/9760/material/8755040)","PP-EPDM")</f>
        <v>PP-EPDM</v>
      </c>
      <c r="B981">
        <v>8755040</v>
      </c>
      <c r="C981">
        <v>12085371</v>
      </c>
      <c r="E981">
        <v>1.7894600000000001</v>
      </c>
      <c r="F981" t="s">
        <v>7084</v>
      </c>
      <c r="G981">
        <v>95</v>
      </c>
      <c r="H981" t="s">
        <v>7085</v>
      </c>
      <c r="I981">
        <v>5</v>
      </c>
      <c r="J981">
        <v>0.50345253019720215</v>
      </c>
      <c r="K981">
        <v>0</v>
      </c>
      <c r="M981">
        <v>0</v>
      </c>
      <c r="O981">
        <v>200000</v>
      </c>
      <c r="R981" t="s">
        <v>162</v>
      </c>
      <c r="S981">
        <v>1.2667493157894737E-3</v>
      </c>
      <c r="T981">
        <v>2.5639006151578947E-3</v>
      </c>
      <c r="U981" t="s">
        <v>176</v>
      </c>
      <c r="V981">
        <v>1.7734490421052632E-2</v>
      </c>
      <c r="W981">
        <v>0.52573136803621057</v>
      </c>
      <c r="X981" t="s">
        <v>177</v>
      </c>
      <c r="Y981">
        <v>3.1543882082172632E-2</v>
      </c>
      <c r="Z981">
        <v>0</v>
      </c>
      <c r="AA981" t="s">
        <v>178</v>
      </c>
      <c r="AB981">
        <v>6.3087764164345264E-2</v>
      </c>
      <c r="AC981">
        <v>0.62036301428272844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Q981" t="s">
        <v>262</v>
      </c>
      <c r="AR981" t="s">
        <v>263</v>
      </c>
      <c r="AS981">
        <v>0.50669972631578952</v>
      </c>
    </row>
    <row r="982" spans="1:45" x14ac:dyDescent="0.15">
      <c r="A982" s="4" t="str">
        <f>HYPERLINK("https://ibp.a2mac1.com/costing(costing:projects/details/9760/material/8755041)","PP-EPDM")</f>
        <v>PP-EPDM</v>
      </c>
      <c r="B982">
        <v>8755041</v>
      </c>
      <c r="C982">
        <v>12085372</v>
      </c>
      <c r="E982">
        <v>1.7894600000000001</v>
      </c>
      <c r="F982" t="s">
        <v>7084</v>
      </c>
      <c r="G982">
        <v>95</v>
      </c>
      <c r="H982" t="s">
        <v>7085</v>
      </c>
      <c r="I982">
        <v>5</v>
      </c>
      <c r="J982">
        <v>0.50345253019720215</v>
      </c>
      <c r="K982">
        <v>0</v>
      </c>
      <c r="M982">
        <v>0</v>
      </c>
      <c r="O982">
        <v>200000</v>
      </c>
      <c r="R982" t="s">
        <v>162</v>
      </c>
      <c r="S982">
        <v>1.2667493157894737E-3</v>
      </c>
      <c r="T982">
        <v>2.5639006151578947E-3</v>
      </c>
      <c r="U982" t="s">
        <v>176</v>
      </c>
      <c r="V982">
        <v>1.7734490421052632E-2</v>
      </c>
      <c r="W982">
        <v>0.52573136803621057</v>
      </c>
      <c r="X982" t="s">
        <v>177</v>
      </c>
      <c r="Y982">
        <v>3.1543882082172632E-2</v>
      </c>
      <c r="Z982">
        <v>0</v>
      </c>
      <c r="AA982" t="s">
        <v>178</v>
      </c>
      <c r="AB982">
        <v>6.3087764164345264E-2</v>
      </c>
      <c r="AC982">
        <v>0.62036301428272844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Q982" t="s">
        <v>262</v>
      </c>
      <c r="AR982" t="s">
        <v>263</v>
      </c>
      <c r="AS982">
        <v>0.50669972631578952</v>
      </c>
    </row>
    <row r="983" spans="1:45" x14ac:dyDescent="0.15">
      <c r="A983" s="4" t="str">
        <f>HYPERLINK("https://ibp.a2mac1.com/costing(costing:projects/details/9760/material/8754633)","PP-EPDM")</f>
        <v>PP-EPDM</v>
      </c>
      <c r="B983">
        <v>8754633</v>
      </c>
      <c r="C983">
        <v>12085135</v>
      </c>
      <c r="E983">
        <v>1.7894600000000001</v>
      </c>
      <c r="F983" t="s">
        <v>7093</v>
      </c>
      <c r="G983">
        <v>95</v>
      </c>
      <c r="H983" t="s">
        <v>7094</v>
      </c>
      <c r="I983">
        <v>5</v>
      </c>
      <c r="J983">
        <v>0.50345253019720215</v>
      </c>
      <c r="K983">
        <v>0</v>
      </c>
      <c r="M983">
        <v>0</v>
      </c>
      <c r="O983">
        <v>200000</v>
      </c>
      <c r="R983" t="s">
        <v>162</v>
      </c>
      <c r="S983">
        <v>8.3633709473684217E-3</v>
      </c>
      <c r="T983">
        <v>1.6927462797473685E-2</v>
      </c>
      <c r="U983" t="s">
        <v>176</v>
      </c>
      <c r="V983">
        <v>0.11708719326315789</v>
      </c>
      <c r="W983">
        <v>3.4709996640606318</v>
      </c>
      <c r="X983" t="s">
        <v>177</v>
      </c>
      <c r="Y983">
        <v>0.20825997984363789</v>
      </c>
      <c r="Z983">
        <v>0</v>
      </c>
      <c r="AA983" t="s">
        <v>178</v>
      </c>
      <c r="AB983">
        <v>0.41651995968727579</v>
      </c>
      <c r="AC983">
        <v>4.095779603591545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Q983" t="s">
        <v>262</v>
      </c>
      <c r="AR983" t="s">
        <v>263</v>
      </c>
      <c r="AS983">
        <v>3.3453483789473686</v>
      </c>
    </row>
    <row r="984" spans="1:45" x14ac:dyDescent="0.15">
      <c r="A984" s="4" t="str">
        <f>HYPERLINK("https://ibp.a2mac1.com/costing(costing:projects/details/9760/material/8754634)","PP-EPDM")</f>
        <v>PP-EPDM</v>
      </c>
      <c r="B984">
        <v>8754634</v>
      </c>
      <c r="C984">
        <v>12085136</v>
      </c>
      <c r="E984">
        <v>1.7894600000000001</v>
      </c>
      <c r="F984" t="s">
        <v>7098</v>
      </c>
      <c r="G984">
        <v>95</v>
      </c>
      <c r="H984" t="s">
        <v>7099</v>
      </c>
      <c r="I984">
        <v>5</v>
      </c>
      <c r="J984">
        <v>0.50345253019720215</v>
      </c>
      <c r="K984">
        <v>0</v>
      </c>
      <c r="M984">
        <v>0</v>
      </c>
      <c r="O984">
        <v>200000</v>
      </c>
      <c r="R984" t="s">
        <v>162</v>
      </c>
      <c r="S984">
        <v>8.2644797368421046E-3</v>
      </c>
      <c r="T984">
        <v>1.672730698736842E-2</v>
      </c>
      <c r="U984" t="s">
        <v>176</v>
      </c>
      <c r="V984">
        <v>0.11570271631578948</v>
      </c>
      <c r="W984">
        <v>3.4299574383031577</v>
      </c>
      <c r="X984" t="s">
        <v>177</v>
      </c>
      <c r="Y984">
        <v>0.20579744629818947</v>
      </c>
      <c r="Z984">
        <v>0</v>
      </c>
      <c r="AA984" t="s">
        <v>178</v>
      </c>
      <c r="AB984">
        <v>0.41159489259637894</v>
      </c>
      <c r="AC984">
        <v>4.0473497771977263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Q984" t="s">
        <v>262</v>
      </c>
      <c r="AR984" t="s">
        <v>263</v>
      </c>
      <c r="AS984">
        <v>3.3057918947368421</v>
      </c>
    </row>
    <row r="985" spans="1:45" x14ac:dyDescent="0.15">
      <c r="A985" s="4" t="str">
        <f>HYPERLINK("https://ibp.a2mac1.com/costing(costing:projects/details/9760/material/8755042)","PA")</f>
        <v>PA</v>
      </c>
      <c r="B985">
        <v>8755042</v>
      </c>
      <c r="C985">
        <v>12085373</v>
      </c>
      <c r="E985">
        <v>2.03416</v>
      </c>
      <c r="F985" t="s">
        <v>1627</v>
      </c>
      <c r="G985">
        <v>95</v>
      </c>
      <c r="H985" t="s">
        <v>7106</v>
      </c>
      <c r="I985">
        <v>5</v>
      </c>
      <c r="J985">
        <v>0.50345253019720215</v>
      </c>
      <c r="K985">
        <v>0</v>
      </c>
      <c r="M985">
        <v>0</v>
      </c>
      <c r="O985">
        <v>200000</v>
      </c>
      <c r="R985" t="s">
        <v>162</v>
      </c>
      <c r="S985">
        <v>1.6059157894736843E-5</v>
      </c>
      <c r="T985">
        <v>3.2503735578947366E-5</v>
      </c>
      <c r="U985" t="s">
        <v>176</v>
      </c>
      <c r="V985">
        <v>2.2482821052631578E-4</v>
      </c>
      <c r="W985">
        <v>6.664935946105263E-3</v>
      </c>
      <c r="X985" t="s">
        <v>177</v>
      </c>
      <c r="Y985">
        <v>3.9989615676631581E-4</v>
      </c>
      <c r="Z985">
        <v>0</v>
      </c>
      <c r="AA985" t="s">
        <v>178</v>
      </c>
      <c r="AB985">
        <v>7.9979231353263162E-4</v>
      </c>
      <c r="AC985">
        <v>7.8646244164042103E-3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Q985" t="s">
        <v>262</v>
      </c>
      <c r="AR985" t="s">
        <v>263</v>
      </c>
      <c r="AS985">
        <v>6.4236631578947368E-3</v>
      </c>
    </row>
    <row r="986" spans="1:45" x14ac:dyDescent="0.15">
      <c r="A986" s="4" t="str">
        <f>HYPERLINK("https://ibp.a2mac1.com/costing(costing:projects/details/9760/material/8754635)","PP-EPDM")</f>
        <v>PP-EPDM</v>
      </c>
      <c r="B986">
        <v>8754635</v>
      </c>
      <c r="C986">
        <v>12085137</v>
      </c>
      <c r="E986">
        <v>1.7894600000000001</v>
      </c>
      <c r="F986" t="s">
        <v>7111</v>
      </c>
      <c r="G986">
        <v>95</v>
      </c>
      <c r="H986" t="s">
        <v>7112</v>
      </c>
      <c r="I986">
        <v>5</v>
      </c>
      <c r="J986">
        <v>0.50345253019720215</v>
      </c>
      <c r="K986">
        <v>0</v>
      </c>
      <c r="M986">
        <v>0</v>
      </c>
      <c r="O986">
        <v>200000</v>
      </c>
      <c r="R986" t="s">
        <v>162</v>
      </c>
      <c r="S986">
        <v>2.9667363157894735E-4</v>
      </c>
      <c r="T986">
        <v>6.0046743031578944E-4</v>
      </c>
      <c r="U986" t="s">
        <v>176</v>
      </c>
      <c r="V986">
        <v>4.1534308421052627E-3</v>
      </c>
      <c r="W986">
        <v>0.12312667727242105</v>
      </c>
      <c r="X986" t="s">
        <v>177</v>
      </c>
      <c r="Y986">
        <v>7.3876006363452632E-3</v>
      </c>
      <c r="Z986">
        <v>0</v>
      </c>
      <c r="AA986" t="s">
        <v>178</v>
      </c>
      <c r="AB986">
        <v>1.4775201272690526E-2</v>
      </c>
      <c r="AC986">
        <v>0.14528947918145685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Q986" t="s">
        <v>262</v>
      </c>
      <c r="AR986" t="s">
        <v>263</v>
      </c>
      <c r="AS986">
        <v>0.11866945263157895</v>
      </c>
    </row>
    <row r="987" spans="1:45" x14ac:dyDescent="0.15">
      <c r="A987" s="4" t="str">
        <f>HYPERLINK("https://ibp.a2mac1.com/costing(costing:projects/details/9760/material/8754636)","PP-EPDM")</f>
        <v>PP-EPDM</v>
      </c>
      <c r="B987">
        <v>8754636</v>
      </c>
      <c r="C987">
        <v>12085138</v>
      </c>
      <c r="E987">
        <v>1.7894600000000001</v>
      </c>
      <c r="F987" t="s">
        <v>784</v>
      </c>
      <c r="G987">
        <v>95</v>
      </c>
      <c r="H987" t="s">
        <v>7116</v>
      </c>
      <c r="I987">
        <v>5</v>
      </c>
      <c r="J987">
        <v>0.50345253019720215</v>
      </c>
      <c r="K987">
        <v>0</v>
      </c>
      <c r="M987">
        <v>0</v>
      </c>
      <c r="O987">
        <v>200000</v>
      </c>
      <c r="R987" t="s">
        <v>162</v>
      </c>
      <c r="S987">
        <v>2.872554210526316E-4</v>
      </c>
      <c r="T987">
        <v>5.8140497221052627E-4</v>
      </c>
      <c r="U987" t="s">
        <v>176</v>
      </c>
      <c r="V987">
        <v>4.0215758947368422E-3</v>
      </c>
      <c r="W987">
        <v>0.11921789386694737</v>
      </c>
      <c r="X987" t="s">
        <v>177</v>
      </c>
      <c r="Y987">
        <v>7.1530736320168419E-3</v>
      </c>
      <c r="Z987">
        <v>0</v>
      </c>
      <c r="AA987" t="s">
        <v>178</v>
      </c>
      <c r="AB987">
        <v>1.4306147264033684E-2</v>
      </c>
      <c r="AC987">
        <v>0.14067711476299791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Q987" t="s">
        <v>262</v>
      </c>
      <c r="AR987" t="s">
        <v>263</v>
      </c>
      <c r="AS987">
        <v>0.11490216842105264</v>
      </c>
    </row>
    <row r="988" spans="1:45" x14ac:dyDescent="0.15">
      <c r="A988" s="4" t="str">
        <f>HYPERLINK("https://ibp.a2mac1.com/costing(costing:projects/details/9760/material/8755429)","&gt;Glass;Aluminium;pvc&lt;")</f>
        <v>&gt;Glass;Aluminium;pvc&lt;</v>
      </c>
      <c r="B988">
        <v>8755429</v>
      </c>
      <c r="C988">
        <v>12085800</v>
      </c>
      <c r="E988">
        <v>1.39</v>
      </c>
      <c r="F988" t="s">
        <v>7124</v>
      </c>
      <c r="G988">
        <v>80</v>
      </c>
      <c r="H988" t="s">
        <v>7125</v>
      </c>
      <c r="I988">
        <v>0</v>
      </c>
      <c r="J988">
        <v>0.50048257265952256</v>
      </c>
      <c r="K988">
        <v>0</v>
      </c>
      <c r="L988">
        <v>0</v>
      </c>
      <c r="M988">
        <v>0</v>
      </c>
      <c r="O988">
        <v>400000</v>
      </c>
      <c r="R988" t="s">
        <v>162</v>
      </c>
      <c r="S988">
        <v>0</v>
      </c>
      <c r="T988">
        <v>1.6587808249999999E-2</v>
      </c>
      <c r="U988" t="s">
        <v>176</v>
      </c>
      <c r="V988">
        <v>0.115422125</v>
      </c>
      <c r="W988">
        <v>3.4297849332500001</v>
      </c>
      <c r="X988" t="s">
        <v>177</v>
      </c>
      <c r="Y988">
        <v>0.205787095995</v>
      </c>
      <c r="Z988">
        <v>0</v>
      </c>
      <c r="AA988" t="s">
        <v>178</v>
      </c>
      <c r="AB988">
        <v>0.41157419199</v>
      </c>
      <c r="AC988">
        <v>4.0471462212349998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Q988" t="s">
        <v>9</v>
      </c>
      <c r="AR988" t="s">
        <v>263</v>
      </c>
      <c r="AS988">
        <v>3.2977750000000001</v>
      </c>
    </row>
    <row r="989" spans="1:45" x14ac:dyDescent="0.15">
      <c r="A989" s="4" t="str">
        <f>HYPERLINK("https://ibp.a2mac1.com/costing(costing:projects/details/9760/material/8755430)","Aluminum sheet (default, e.g. EN AW1050A)")</f>
        <v>Aluminum sheet (default, e.g. EN AW1050A)</v>
      </c>
      <c r="B989">
        <v>8755430</v>
      </c>
      <c r="C989">
        <v>12085801</v>
      </c>
      <c r="E989">
        <v>3.4857100000000001</v>
      </c>
      <c r="F989" t="s">
        <v>7130</v>
      </c>
      <c r="G989">
        <v>80</v>
      </c>
      <c r="H989" t="s">
        <v>7131</v>
      </c>
      <c r="I989">
        <v>30</v>
      </c>
      <c r="J989">
        <v>0.50048257265952256</v>
      </c>
      <c r="K989">
        <v>0</v>
      </c>
      <c r="M989">
        <v>0</v>
      </c>
      <c r="O989">
        <v>400000</v>
      </c>
      <c r="R989" t="s">
        <v>162</v>
      </c>
      <c r="S989">
        <v>3.4508529000000003E-2</v>
      </c>
      <c r="T989">
        <v>2.8929650145000001E-3</v>
      </c>
      <c r="U989" t="s">
        <v>176</v>
      </c>
      <c r="V989">
        <v>2.0129975250000001E-2</v>
      </c>
      <c r="W989">
        <v>0.56365656126450003</v>
      </c>
      <c r="X989" t="s">
        <v>177</v>
      </c>
      <c r="Y989">
        <v>3.3819393675870002E-2</v>
      </c>
      <c r="Z989">
        <v>0</v>
      </c>
      <c r="AA989" t="s">
        <v>178</v>
      </c>
      <c r="AB989">
        <v>6.7638787351740004E-2</v>
      </c>
      <c r="AC989">
        <v>0.66511474229210998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Q989" t="s">
        <v>262</v>
      </c>
      <c r="AR989" t="s">
        <v>263</v>
      </c>
      <c r="AS989">
        <v>0.57514215000000002</v>
      </c>
    </row>
    <row r="990" spans="1:45" x14ac:dyDescent="0.15">
      <c r="A990" s="4" t="str">
        <f>HYPERLINK("https://ibp.a2mac1.com/costing(costing:projects/details/9760/material/8755431)","Steel sheet (default)")</f>
        <v>Steel sheet (default)</v>
      </c>
      <c r="B990">
        <v>8755431</v>
      </c>
      <c r="C990">
        <v>12085802</v>
      </c>
      <c r="E990">
        <v>0.52766000000000002</v>
      </c>
      <c r="F990" t="s">
        <v>6069</v>
      </c>
      <c r="G990">
        <v>70</v>
      </c>
      <c r="H990" t="s">
        <v>7136</v>
      </c>
      <c r="I990">
        <v>30</v>
      </c>
      <c r="J990">
        <v>0.50048257265952256</v>
      </c>
      <c r="K990">
        <v>0</v>
      </c>
      <c r="M990">
        <v>0</v>
      </c>
      <c r="O990">
        <v>400000</v>
      </c>
      <c r="R990" t="s">
        <v>162</v>
      </c>
      <c r="S990">
        <v>5.664807E-3</v>
      </c>
      <c r="T990">
        <v>3.16599769E-4</v>
      </c>
      <c r="U990" t="s">
        <v>176</v>
      </c>
      <c r="V990">
        <v>2.2029805E-3</v>
      </c>
      <c r="W990">
        <v>5.9797073269000002E-2</v>
      </c>
      <c r="X990" t="s">
        <v>177</v>
      </c>
      <c r="Y990">
        <v>3.58782439614E-3</v>
      </c>
      <c r="Z990">
        <v>0</v>
      </c>
      <c r="AA990" t="s">
        <v>178</v>
      </c>
      <c r="AB990">
        <v>7.17564879228E-3</v>
      </c>
      <c r="AC990">
        <v>7.0560546457420006E-2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Q990" t="s">
        <v>262</v>
      </c>
      <c r="AR990" t="s">
        <v>263</v>
      </c>
      <c r="AS990">
        <v>6.2942300000000007E-2</v>
      </c>
    </row>
    <row r="991" spans="1:45" x14ac:dyDescent="0.15">
      <c r="A991" s="4" t="str">
        <f>HYPERLINK("https://ibp.a2mac1.com/costing(costing:projects/details/9760/material/8755432)","EPDM")</f>
        <v>EPDM</v>
      </c>
      <c r="B991">
        <v>8755432</v>
      </c>
      <c r="C991">
        <v>12085802</v>
      </c>
      <c r="E991">
        <v>2.78701</v>
      </c>
      <c r="F991" t="s">
        <v>6069</v>
      </c>
      <c r="G991">
        <v>95</v>
      </c>
      <c r="H991" t="s">
        <v>7138</v>
      </c>
      <c r="I991">
        <v>5</v>
      </c>
      <c r="J991">
        <v>0.50048257265952256</v>
      </c>
      <c r="K991">
        <v>0</v>
      </c>
      <c r="L991">
        <v>0</v>
      </c>
      <c r="M991">
        <v>0</v>
      </c>
      <c r="O991">
        <v>400000</v>
      </c>
      <c r="R991" t="s">
        <v>162</v>
      </c>
      <c r="S991">
        <v>6.1240877631578948E-4</v>
      </c>
      <c r="T991">
        <v>1.2321664579473684E-3</v>
      </c>
      <c r="U991" t="s">
        <v>176</v>
      </c>
      <c r="V991">
        <v>8.5737228684210527E-3</v>
      </c>
      <c r="W991">
        <v>0.25415699107636841</v>
      </c>
      <c r="X991" t="s">
        <v>177</v>
      </c>
      <c r="Y991">
        <v>1.5249419464582106E-2</v>
      </c>
      <c r="Z991">
        <v>0</v>
      </c>
      <c r="AA991" t="s">
        <v>178</v>
      </c>
      <c r="AB991">
        <v>3.0498838929164211E-2</v>
      </c>
      <c r="AC991">
        <v>0.29990524947011471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P991" t="s">
        <v>5378</v>
      </c>
      <c r="AQ991" t="s">
        <v>262</v>
      </c>
      <c r="AR991" t="s">
        <v>263</v>
      </c>
      <c r="AS991">
        <v>0.24496351052631579</v>
      </c>
    </row>
    <row r="992" spans="1:45" x14ac:dyDescent="0.15">
      <c r="A992" s="4" t="str">
        <f>HYPERLINK("https://ibp.a2mac1.com/costing(costing:projects/details/9760/material/8755433)","Aluminum sheet (default, e.g. EN AW1050A)")</f>
        <v>Aluminum sheet (default, e.g. EN AW1050A)</v>
      </c>
      <c r="B992">
        <v>8755433</v>
      </c>
      <c r="C992">
        <v>12085803</v>
      </c>
      <c r="E992">
        <v>3.4857100000000001</v>
      </c>
      <c r="F992" t="s">
        <v>7145</v>
      </c>
      <c r="G992">
        <v>80</v>
      </c>
      <c r="H992" t="s">
        <v>7146</v>
      </c>
      <c r="I992">
        <v>30</v>
      </c>
      <c r="J992">
        <v>0.50345253019720215</v>
      </c>
      <c r="K992">
        <v>0</v>
      </c>
      <c r="M992">
        <v>0</v>
      </c>
      <c r="O992">
        <v>200000</v>
      </c>
      <c r="R992" t="s">
        <v>162</v>
      </c>
      <c r="S992">
        <v>8.2794326775000003E-3</v>
      </c>
      <c r="T992">
        <v>6.9823215580250004E-4</v>
      </c>
      <c r="U992" t="s">
        <v>176</v>
      </c>
      <c r="V992">
        <v>4.8296690618749999E-3</v>
      </c>
      <c r="W992">
        <v>0.1352390131651775</v>
      </c>
      <c r="X992" t="s">
        <v>177</v>
      </c>
      <c r="Y992">
        <v>8.1143407899106502E-3</v>
      </c>
      <c r="Z992">
        <v>0</v>
      </c>
      <c r="AA992" t="s">
        <v>178</v>
      </c>
      <c r="AB992">
        <v>1.62286815798213E-2</v>
      </c>
      <c r="AC992">
        <v>0.15958203553490946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Q992" t="s">
        <v>262</v>
      </c>
      <c r="AR992" t="s">
        <v>263</v>
      </c>
      <c r="AS992">
        <v>0.13799054462499999</v>
      </c>
    </row>
    <row r="993" spans="1:45" x14ac:dyDescent="0.15">
      <c r="A993" s="4" t="str">
        <f>HYPERLINK("https://ibp.a2mac1.com/costing(costing:projects/details/9760/material/8755434)","PP")</f>
        <v>PP</v>
      </c>
      <c r="B993">
        <v>8755434</v>
      </c>
      <c r="C993">
        <v>12085803</v>
      </c>
      <c r="E993">
        <v>1.0113799999999999</v>
      </c>
      <c r="F993" t="s">
        <v>7145</v>
      </c>
      <c r="G993">
        <v>95</v>
      </c>
      <c r="H993" t="s">
        <v>7148</v>
      </c>
      <c r="I993">
        <v>5</v>
      </c>
      <c r="J993">
        <v>0.50345253019720215</v>
      </c>
      <c r="K993">
        <v>0</v>
      </c>
      <c r="M993">
        <v>0</v>
      </c>
      <c r="O993">
        <v>200000</v>
      </c>
      <c r="R993" t="s">
        <v>162</v>
      </c>
      <c r="S993">
        <v>8.4290538421052637E-5</v>
      </c>
      <c r="T993">
        <v>1.7060404976421053E-4</v>
      </c>
      <c r="U993" t="s">
        <v>176</v>
      </c>
      <c r="V993">
        <v>1.1800675378947369E-3</v>
      </c>
      <c r="W993">
        <v>3.4982596417658947E-2</v>
      </c>
      <c r="X993" t="s">
        <v>177</v>
      </c>
      <c r="Y993">
        <v>2.0989557850595369E-3</v>
      </c>
      <c r="Z993">
        <v>0</v>
      </c>
      <c r="AA993" t="s">
        <v>178</v>
      </c>
      <c r="AB993">
        <v>4.1979115701190738E-3</v>
      </c>
      <c r="AC993">
        <v>4.127946377283756E-2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Q993" t="s">
        <v>262</v>
      </c>
      <c r="AR993" t="s">
        <v>263</v>
      </c>
      <c r="AS993">
        <v>3.3716215368421051E-2</v>
      </c>
    </row>
    <row r="994" spans="1:45" x14ac:dyDescent="0.15">
      <c r="A994" s="4" t="str">
        <f>HYPERLINK("https://ibp.a2mac1.com/costing(costing:projects/details/9760/material/8755435)","TPE")</f>
        <v>TPE</v>
      </c>
      <c r="B994">
        <v>8755435</v>
      </c>
      <c r="C994">
        <v>12085803</v>
      </c>
      <c r="E994">
        <v>1.5073099999999999</v>
      </c>
      <c r="F994" t="s">
        <v>7145</v>
      </c>
      <c r="G994">
        <v>95</v>
      </c>
      <c r="H994" t="s">
        <v>7148</v>
      </c>
      <c r="I994">
        <v>5</v>
      </c>
      <c r="J994">
        <v>0.50345253019720215</v>
      </c>
      <c r="K994">
        <v>0</v>
      </c>
      <c r="M994">
        <v>0</v>
      </c>
      <c r="O994">
        <v>200000</v>
      </c>
      <c r="R994" t="s">
        <v>162</v>
      </c>
      <c r="S994">
        <v>1.2562238868421053E-4</v>
      </c>
      <c r="T994">
        <v>2.5425971469684208E-4</v>
      </c>
      <c r="U994" t="s">
        <v>176</v>
      </c>
      <c r="V994">
        <v>1.7587134415789473E-3</v>
      </c>
      <c r="W994">
        <v>5.2136306241275791E-2</v>
      </c>
      <c r="X994" t="s">
        <v>177</v>
      </c>
      <c r="Y994">
        <v>3.1281783744765475E-3</v>
      </c>
      <c r="Z994">
        <v>0</v>
      </c>
      <c r="AA994" t="s">
        <v>178</v>
      </c>
      <c r="AB994">
        <v>6.2563567489530951E-3</v>
      </c>
      <c r="AC994">
        <v>6.1520841364705432E-2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Q994" t="s">
        <v>262</v>
      </c>
      <c r="AR994" t="s">
        <v>263</v>
      </c>
      <c r="AS994">
        <v>5.0248955473684208E-2</v>
      </c>
    </row>
    <row r="995" spans="1:45" x14ac:dyDescent="0.15">
      <c r="A995" s="4" t="str">
        <f>HYPERLINK("https://ibp.a2mac1.com/costing(costing:projects/details/9760/material/8755436)","TPE")</f>
        <v>TPE</v>
      </c>
      <c r="B995">
        <v>8755436</v>
      </c>
      <c r="C995">
        <v>12085804</v>
      </c>
      <c r="E995">
        <v>1.5073099999999999</v>
      </c>
      <c r="F995" t="s">
        <v>7153</v>
      </c>
      <c r="G995">
        <v>95</v>
      </c>
      <c r="H995" t="s">
        <v>7154</v>
      </c>
      <c r="I995">
        <v>5</v>
      </c>
      <c r="J995">
        <v>0.50345253019720215</v>
      </c>
      <c r="K995">
        <v>0</v>
      </c>
      <c r="M995">
        <v>0</v>
      </c>
      <c r="O995">
        <v>200000</v>
      </c>
      <c r="R995" t="s">
        <v>162</v>
      </c>
      <c r="S995">
        <v>2.181632894736842E-4</v>
      </c>
      <c r="T995">
        <v>4.4156249789473683E-4</v>
      </c>
      <c r="U995" t="s">
        <v>176</v>
      </c>
      <c r="V995">
        <v>3.054286052631579E-3</v>
      </c>
      <c r="W995">
        <v>9.0543001050526317E-2</v>
      </c>
      <c r="X995" t="s">
        <v>177</v>
      </c>
      <c r="Y995">
        <v>5.4325800630315793E-3</v>
      </c>
      <c r="Z995">
        <v>0</v>
      </c>
      <c r="AA995" t="s">
        <v>178</v>
      </c>
      <c r="AB995">
        <v>1.0865160126063159E-2</v>
      </c>
      <c r="AC995">
        <v>0.10684074123962105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Q995" t="s">
        <v>262</v>
      </c>
      <c r="AR995" t="s">
        <v>263</v>
      </c>
      <c r="AS995">
        <v>8.7265315789473691E-2</v>
      </c>
    </row>
    <row r="996" spans="1:45" x14ac:dyDescent="0.15">
      <c r="A996" s="4" t="str">
        <f>HYPERLINK("https://ibp.a2mac1.com/costing(costing:projects/details/9760/material/8755437)","Glass (default, float glass)")</f>
        <v>Glass (default, float glass)</v>
      </c>
      <c r="B996">
        <v>8755437</v>
      </c>
      <c r="C996">
        <v>12085805</v>
      </c>
      <c r="E996">
        <v>0.76</v>
      </c>
      <c r="F996" t="s">
        <v>7160</v>
      </c>
      <c r="G996">
        <v>95</v>
      </c>
      <c r="H996" t="s">
        <v>7161</v>
      </c>
      <c r="I996">
        <v>0</v>
      </c>
      <c r="J996">
        <v>0.50345253019720215</v>
      </c>
      <c r="K996">
        <v>0</v>
      </c>
      <c r="L996">
        <v>0</v>
      </c>
      <c r="M996">
        <v>0</v>
      </c>
      <c r="O996">
        <v>200000</v>
      </c>
      <c r="R996" t="s">
        <v>162</v>
      </c>
      <c r="S996">
        <v>0</v>
      </c>
      <c r="T996">
        <v>1.8156332479999999E-2</v>
      </c>
      <c r="U996" t="s">
        <v>176</v>
      </c>
      <c r="V996">
        <v>0.12558728</v>
      </c>
      <c r="W996">
        <v>3.7319516124800001</v>
      </c>
      <c r="X996" t="s">
        <v>177</v>
      </c>
      <c r="Y996">
        <v>0.2239170967488</v>
      </c>
      <c r="Z996">
        <v>0</v>
      </c>
      <c r="AA996" t="s">
        <v>178</v>
      </c>
      <c r="AB996">
        <v>0.44783419349760001</v>
      </c>
      <c r="AC996">
        <v>4.4037029027264003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Q996" t="s">
        <v>262</v>
      </c>
      <c r="AR996" t="s">
        <v>263</v>
      </c>
      <c r="AS996">
        <v>3.5882079999999998</v>
      </c>
    </row>
    <row r="997" spans="1:45" x14ac:dyDescent="0.15">
      <c r="A997" s="4" t="str">
        <f>HYPERLINK("https://ibp.a2mac1.com/costing(costing:projects/details/9760/material/8755043)","Glass (default, float glass) adjusted (part)")</f>
        <v>Glass (default, float glass) adjusted (part)</v>
      </c>
      <c r="B997">
        <v>8755043</v>
      </c>
      <c r="C997">
        <v>12085374</v>
      </c>
      <c r="E997">
        <v>84.091800000000006</v>
      </c>
      <c r="F997" t="s">
        <v>478</v>
      </c>
      <c r="G997">
        <v>100</v>
      </c>
      <c r="H997" t="s">
        <v>479</v>
      </c>
      <c r="I997">
        <v>0</v>
      </c>
      <c r="J997">
        <v>0.50345253019720215</v>
      </c>
      <c r="K997">
        <v>0</v>
      </c>
      <c r="L997">
        <v>0</v>
      </c>
      <c r="M997">
        <v>0</v>
      </c>
      <c r="O997">
        <v>200000</v>
      </c>
      <c r="R997" t="s">
        <v>162</v>
      </c>
      <c r="S997">
        <v>0</v>
      </c>
      <c r="T997">
        <v>0.425504508</v>
      </c>
      <c r="U997" t="s">
        <v>176</v>
      </c>
      <c r="V997">
        <v>2.9432130000000001</v>
      </c>
      <c r="W997">
        <v>87.460517507999995</v>
      </c>
      <c r="X997" t="s">
        <v>177</v>
      </c>
      <c r="Y997">
        <v>5.2476310504799999</v>
      </c>
      <c r="Z997">
        <v>0</v>
      </c>
      <c r="AA997" t="s">
        <v>178</v>
      </c>
      <c r="AB997">
        <v>10.49526210096</v>
      </c>
      <c r="AC997">
        <v>103.20341065944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Q997" t="s">
        <v>262</v>
      </c>
      <c r="AR997" t="s">
        <v>263</v>
      </c>
      <c r="AS997">
        <v>84.091800000000006</v>
      </c>
    </row>
    <row r="998" spans="1:45" x14ac:dyDescent="0.15">
      <c r="A998" s="4" t="str">
        <f>HYPERLINK("https://ibp.a2mac1.com/costing(costing:projects/details/9760/material/8755044)","TPV")</f>
        <v>TPV</v>
      </c>
      <c r="B998">
        <v>8755044</v>
      </c>
      <c r="C998">
        <v>12085375</v>
      </c>
      <c r="E998">
        <v>1.8793299999999999</v>
      </c>
      <c r="F998" t="s">
        <v>7173</v>
      </c>
      <c r="G998">
        <v>95</v>
      </c>
      <c r="H998" t="s">
        <v>7174</v>
      </c>
      <c r="I998">
        <v>5</v>
      </c>
      <c r="J998">
        <v>0.50345253019720215</v>
      </c>
      <c r="K998">
        <v>0</v>
      </c>
      <c r="M998">
        <v>0</v>
      </c>
      <c r="O998">
        <v>200000</v>
      </c>
      <c r="R998" t="s">
        <v>162</v>
      </c>
      <c r="S998">
        <v>4.1543084210526318E-4</v>
      </c>
      <c r="T998">
        <v>8.4083202442105265E-4</v>
      </c>
      <c r="U998" t="s">
        <v>176</v>
      </c>
      <c r="V998">
        <v>5.8160317894736845E-3</v>
      </c>
      <c r="W998">
        <v>0.17241376981389472</v>
      </c>
      <c r="X998" t="s">
        <v>177</v>
      </c>
      <c r="Y998">
        <v>1.0344826188833684E-2</v>
      </c>
      <c r="Z998">
        <v>0</v>
      </c>
      <c r="AA998" t="s">
        <v>178</v>
      </c>
      <c r="AB998">
        <v>2.0689652377667369E-2</v>
      </c>
      <c r="AC998">
        <v>0.2034482483803958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Q998" t="s">
        <v>262</v>
      </c>
      <c r="AR998" t="s">
        <v>263</v>
      </c>
      <c r="AS998">
        <v>0.16617233684210525</v>
      </c>
    </row>
    <row r="999" spans="1:45" x14ac:dyDescent="0.15">
      <c r="A999" s="4" t="str">
        <f>HYPERLINK("https://ibp.a2mac1.com/costing(costing:projects/details/9760/material/8755045)","TPE")</f>
        <v>TPE</v>
      </c>
      <c r="B999">
        <v>8755045</v>
      </c>
      <c r="C999">
        <v>12085376</v>
      </c>
      <c r="E999">
        <v>1.5073099999999999</v>
      </c>
      <c r="F999" t="s">
        <v>4397</v>
      </c>
      <c r="G999">
        <v>95</v>
      </c>
      <c r="H999" t="s">
        <v>4401</v>
      </c>
      <c r="I999">
        <v>5</v>
      </c>
      <c r="J999">
        <v>0.50345253019720215</v>
      </c>
      <c r="K999">
        <v>0</v>
      </c>
      <c r="M999">
        <v>0</v>
      </c>
      <c r="O999">
        <v>200000</v>
      </c>
      <c r="R999" t="s">
        <v>162</v>
      </c>
      <c r="S999">
        <v>1.0313173684210526E-4</v>
      </c>
      <c r="T999">
        <v>2.0873863536842105E-4</v>
      </c>
      <c r="U999" t="s">
        <v>176</v>
      </c>
      <c r="V999">
        <v>1.4438443157894737E-3</v>
      </c>
      <c r="W999">
        <v>4.2802145951157895E-2</v>
      </c>
      <c r="X999" t="s">
        <v>177</v>
      </c>
      <c r="Y999">
        <v>2.5681287570694738E-3</v>
      </c>
      <c r="Z999">
        <v>0</v>
      </c>
      <c r="AA999" t="s">
        <v>178</v>
      </c>
      <c r="AB999">
        <v>5.1362575141389475E-3</v>
      </c>
      <c r="AC999">
        <v>5.0506532222366313E-2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Q999" t="s">
        <v>262</v>
      </c>
      <c r="AR999" t="s">
        <v>263</v>
      </c>
      <c r="AS999">
        <v>4.1252694736842108E-2</v>
      </c>
    </row>
    <row r="1000" spans="1:45" x14ac:dyDescent="0.15">
      <c r="A1000" s="4" t="str">
        <f>HYPERLINK("https://ibp.a2mac1.com/costing(costing:projects/details/9760/material/8754637)","Glass (default, float glass) adjusted (part)")</f>
        <v>Glass (default, float glass) adjusted (part)</v>
      </c>
      <c r="B1000">
        <v>8754637</v>
      </c>
      <c r="C1000">
        <v>12085139</v>
      </c>
      <c r="E1000">
        <v>18.905899999999999</v>
      </c>
      <c r="F1000" t="s">
        <v>478</v>
      </c>
      <c r="G1000">
        <v>100</v>
      </c>
      <c r="H1000" t="s">
        <v>479</v>
      </c>
      <c r="I1000">
        <v>0</v>
      </c>
      <c r="J1000">
        <v>0.50345253019720215</v>
      </c>
      <c r="K1000">
        <v>0</v>
      </c>
      <c r="L1000">
        <v>0</v>
      </c>
      <c r="M1000">
        <v>0</v>
      </c>
      <c r="O1000">
        <v>200000</v>
      </c>
      <c r="R1000" t="s">
        <v>162</v>
      </c>
      <c r="S1000">
        <v>0</v>
      </c>
      <c r="T1000">
        <v>9.5663854000000006E-2</v>
      </c>
      <c r="U1000" t="s">
        <v>176</v>
      </c>
      <c r="V1000">
        <v>0.66170649999999998</v>
      </c>
      <c r="W1000">
        <v>19.663270354000002</v>
      </c>
      <c r="X1000" t="s">
        <v>177</v>
      </c>
      <c r="Y1000">
        <v>1.1797962212399999</v>
      </c>
      <c r="Z1000">
        <v>0</v>
      </c>
      <c r="AA1000" t="s">
        <v>178</v>
      </c>
      <c r="AB1000">
        <v>2.3595924424799999</v>
      </c>
      <c r="AC1000">
        <v>23.202659017719999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Q1000" t="s">
        <v>262</v>
      </c>
      <c r="AR1000" t="s">
        <v>263</v>
      </c>
      <c r="AS1000">
        <v>18.905899999999999</v>
      </c>
    </row>
    <row r="1001" spans="1:45" x14ac:dyDescent="0.15">
      <c r="A1001" s="4" t="str">
        <f>HYPERLINK("https://ibp.a2mac1.com/costing(costing:projects/details/9760/material/8754638)","TPE")</f>
        <v>TPE</v>
      </c>
      <c r="B1001">
        <v>8754638</v>
      </c>
      <c r="C1001">
        <v>12085140</v>
      </c>
      <c r="E1001">
        <v>1.5073099999999999</v>
      </c>
      <c r="F1001" t="s">
        <v>5668</v>
      </c>
      <c r="G1001">
        <v>95</v>
      </c>
      <c r="H1001" t="s">
        <v>7187</v>
      </c>
      <c r="I1001">
        <v>5</v>
      </c>
      <c r="J1001">
        <v>0.50345253019720215</v>
      </c>
      <c r="K1001">
        <v>0</v>
      </c>
      <c r="M1001">
        <v>0</v>
      </c>
      <c r="O1001">
        <v>200000</v>
      </c>
      <c r="R1001" t="s">
        <v>162</v>
      </c>
      <c r="S1001">
        <v>2.0229686842105263E-4</v>
      </c>
      <c r="T1001">
        <v>4.094488616842105E-4</v>
      </c>
      <c r="U1001" t="s">
        <v>176</v>
      </c>
      <c r="V1001">
        <v>2.832156157894737E-3</v>
      </c>
      <c r="W1001">
        <v>8.3958055519578953E-2</v>
      </c>
      <c r="X1001" t="s">
        <v>177</v>
      </c>
      <c r="Y1001">
        <v>5.0374833311747367E-3</v>
      </c>
      <c r="Z1001">
        <v>0</v>
      </c>
      <c r="AA1001" t="s">
        <v>178</v>
      </c>
      <c r="AB1001">
        <v>1.0074966662349473E-2</v>
      </c>
      <c r="AC1001">
        <v>9.907050551310316E-2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Q1001" t="s">
        <v>262</v>
      </c>
      <c r="AR1001" t="s">
        <v>263</v>
      </c>
      <c r="AS1001">
        <v>8.0918747368421057E-2</v>
      </c>
    </row>
    <row r="1002" spans="1:45" x14ac:dyDescent="0.15">
      <c r="A1002" s="4" t="str">
        <f>HYPERLINK("https://ibp.a2mac1.com/costing(costing:projects/details/9760/material/8754639)","TPE")</f>
        <v>TPE</v>
      </c>
      <c r="B1002">
        <v>8754639</v>
      </c>
      <c r="C1002">
        <v>12085141</v>
      </c>
      <c r="E1002">
        <v>1.5073099999999999</v>
      </c>
      <c r="F1002" t="s">
        <v>3833</v>
      </c>
      <c r="G1002">
        <v>95</v>
      </c>
      <c r="H1002" t="s">
        <v>3834</v>
      </c>
      <c r="I1002">
        <v>5</v>
      </c>
      <c r="J1002">
        <v>0.50345253019720215</v>
      </c>
      <c r="K1002">
        <v>0</v>
      </c>
      <c r="M1002">
        <v>0</v>
      </c>
      <c r="O1002">
        <v>200000</v>
      </c>
      <c r="R1002" t="s">
        <v>162</v>
      </c>
      <c r="S1002">
        <v>1.4279778947368422E-4</v>
      </c>
      <c r="T1002">
        <v>2.8902272589473684E-4</v>
      </c>
      <c r="U1002" t="s">
        <v>176</v>
      </c>
      <c r="V1002">
        <v>1.9991690526315791E-3</v>
      </c>
      <c r="W1002">
        <v>5.9264509778526313E-2</v>
      </c>
      <c r="X1002" t="s">
        <v>177</v>
      </c>
      <c r="Y1002">
        <v>3.5558705867115791E-3</v>
      </c>
      <c r="Z1002">
        <v>0</v>
      </c>
      <c r="AA1002" t="s">
        <v>178</v>
      </c>
      <c r="AB1002">
        <v>7.1117411734231582E-3</v>
      </c>
      <c r="AC1002">
        <v>6.9932121538661046E-2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Q1002" t="s">
        <v>262</v>
      </c>
      <c r="AR1002" t="s">
        <v>263</v>
      </c>
      <c r="AS1002">
        <v>5.7119115789473686E-2</v>
      </c>
    </row>
    <row r="1003" spans="1:45" x14ac:dyDescent="0.15">
      <c r="A1003" s="4" t="str">
        <f>HYPERLINK("https://ibp.a2mac1.com/costing(costing:projects/details/9760/material/8755046)","PP-EPDM-MD35-TD20")</f>
        <v>PP-EPDM-MD35-TD20</v>
      </c>
      <c r="B1003">
        <v>8755046</v>
      </c>
      <c r="C1003">
        <v>12085377</v>
      </c>
      <c r="E1003">
        <v>1.07117</v>
      </c>
      <c r="F1003" t="s">
        <v>7197</v>
      </c>
      <c r="G1003">
        <v>95</v>
      </c>
      <c r="H1003" t="s">
        <v>7198</v>
      </c>
      <c r="I1003">
        <v>5</v>
      </c>
      <c r="J1003">
        <v>0.50345253019720215</v>
      </c>
      <c r="K1003">
        <v>0</v>
      </c>
      <c r="L1003">
        <v>0</v>
      </c>
      <c r="M1003">
        <v>0</v>
      </c>
      <c r="O1003">
        <v>200000</v>
      </c>
      <c r="R1003" t="s">
        <v>162</v>
      </c>
      <c r="S1003">
        <v>7.3910729999999997E-3</v>
      </c>
      <c r="T1003">
        <v>1.4959531752E-2</v>
      </c>
      <c r="U1003" t="s">
        <v>176</v>
      </c>
      <c r="V1003">
        <v>0.103475022</v>
      </c>
      <c r="W1003">
        <v>3.0674726807520001</v>
      </c>
      <c r="X1003" t="s">
        <v>177</v>
      </c>
      <c r="Y1003">
        <v>0.18404836084512</v>
      </c>
      <c r="Z1003">
        <v>0</v>
      </c>
      <c r="AA1003" t="s">
        <v>178</v>
      </c>
      <c r="AB1003">
        <v>0.36809672169023999</v>
      </c>
      <c r="AC1003">
        <v>3.6196177632873598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P1003" t="s">
        <v>5284</v>
      </c>
      <c r="AQ1003" t="s">
        <v>262</v>
      </c>
      <c r="AR1003" t="s">
        <v>263</v>
      </c>
      <c r="AS1003">
        <v>2.9564292000000001</v>
      </c>
    </row>
    <row r="1004" spans="1:45" x14ac:dyDescent="0.15">
      <c r="A1004" s="4" t="str">
        <f>HYPERLINK("https://ibp.a2mac1.com/costing(costing:projects/details/9760/material/8754641)","PET")</f>
        <v>PET</v>
      </c>
      <c r="B1004">
        <v>8754641</v>
      </c>
      <c r="C1004">
        <v>12085142</v>
      </c>
      <c r="E1004">
        <v>1.3260000000000001</v>
      </c>
      <c r="F1004" t="s">
        <v>7203</v>
      </c>
      <c r="G1004">
        <v>95</v>
      </c>
      <c r="H1004" t="s">
        <v>7204</v>
      </c>
      <c r="I1004">
        <v>5</v>
      </c>
      <c r="J1004">
        <v>0.50345253019720215</v>
      </c>
      <c r="K1004">
        <v>0</v>
      </c>
      <c r="M1004">
        <v>0</v>
      </c>
      <c r="O1004">
        <v>200000</v>
      </c>
      <c r="R1004" t="s">
        <v>162</v>
      </c>
      <c r="S1004">
        <v>4.3758E-3</v>
      </c>
      <c r="T1004">
        <v>8.8566192000000005E-3</v>
      </c>
      <c r="U1004" t="s">
        <v>176</v>
      </c>
      <c r="V1004">
        <v>6.1261200000000002E-2</v>
      </c>
      <c r="W1004">
        <v>1.8160620192000001</v>
      </c>
      <c r="X1004" t="s">
        <v>177</v>
      </c>
      <c r="Y1004">
        <v>0.108963721152</v>
      </c>
      <c r="Z1004">
        <v>0</v>
      </c>
      <c r="AA1004" t="s">
        <v>178</v>
      </c>
      <c r="AB1004">
        <v>0.21792744230399999</v>
      </c>
      <c r="AC1004">
        <v>2.142953182656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Q1004" t="s">
        <v>262</v>
      </c>
      <c r="AR1004" t="s">
        <v>263</v>
      </c>
      <c r="AS1004">
        <v>1.7503200000000001</v>
      </c>
    </row>
    <row r="1005" spans="1:45" x14ac:dyDescent="0.15">
      <c r="A1005" s="4" t="str">
        <f>HYPERLINK("https://ibp.a2mac1.com/costing(costing:projects/details/9760/material/8754642)","PET")</f>
        <v>PET</v>
      </c>
      <c r="B1005">
        <v>8754642</v>
      </c>
      <c r="C1005">
        <v>12085143</v>
      </c>
      <c r="E1005">
        <v>1.3260000000000001</v>
      </c>
      <c r="F1005" t="s">
        <v>7208</v>
      </c>
      <c r="G1005">
        <v>95</v>
      </c>
      <c r="H1005" t="s">
        <v>7209</v>
      </c>
      <c r="I1005">
        <v>5</v>
      </c>
      <c r="J1005">
        <v>0.50345253019720215</v>
      </c>
      <c r="K1005">
        <v>0</v>
      </c>
      <c r="M1005">
        <v>0</v>
      </c>
      <c r="O1005">
        <v>200000</v>
      </c>
      <c r="R1005" t="s">
        <v>162</v>
      </c>
      <c r="S1005">
        <v>1.1026736842105263E-3</v>
      </c>
      <c r="T1005">
        <v>2.2318115368421053E-3</v>
      </c>
      <c r="U1005" t="s">
        <v>176</v>
      </c>
      <c r="V1005">
        <v>1.5437431578947369E-2</v>
      </c>
      <c r="W1005">
        <v>0.45763604311578948</v>
      </c>
      <c r="X1005" t="s">
        <v>177</v>
      </c>
      <c r="Y1005">
        <v>2.7458162586947367E-2</v>
      </c>
      <c r="Z1005">
        <v>0</v>
      </c>
      <c r="AA1005" t="s">
        <v>178</v>
      </c>
      <c r="AB1005">
        <v>5.4916325173894734E-2</v>
      </c>
      <c r="AC1005">
        <v>0.54001053087663153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Q1005" t="s">
        <v>262</v>
      </c>
      <c r="AR1005" t="s">
        <v>263</v>
      </c>
      <c r="AS1005">
        <v>0.44106947368421051</v>
      </c>
    </row>
    <row r="1006" spans="1:45" x14ac:dyDescent="0.15">
      <c r="A1006" s="4" t="str">
        <f>HYPERLINK("https://ibp.a2mac1.com/costing(costing:projects/details/9760/material/8754643)","PET")</f>
        <v>PET</v>
      </c>
      <c r="B1006">
        <v>8754643</v>
      </c>
      <c r="C1006">
        <v>12085144</v>
      </c>
      <c r="E1006">
        <v>1.3260000000000001</v>
      </c>
      <c r="F1006" t="s">
        <v>7213</v>
      </c>
      <c r="G1006">
        <v>95</v>
      </c>
      <c r="H1006" t="s">
        <v>7214</v>
      </c>
      <c r="I1006">
        <v>5</v>
      </c>
      <c r="J1006">
        <v>0.50345253019720215</v>
      </c>
      <c r="K1006">
        <v>0</v>
      </c>
      <c r="M1006">
        <v>0</v>
      </c>
      <c r="O1006">
        <v>200000</v>
      </c>
      <c r="R1006" t="s">
        <v>162</v>
      </c>
      <c r="S1006">
        <v>8.8283684210526314E-4</v>
      </c>
      <c r="T1006">
        <v>1.7868617684210525E-3</v>
      </c>
      <c r="U1006" t="s">
        <v>176</v>
      </c>
      <c r="V1006">
        <v>1.2359715789473685E-2</v>
      </c>
      <c r="W1006">
        <v>0.36639847755789473</v>
      </c>
      <c r="X1006" t="s">
        <v>177</v>
      </c>
      <c r="Y1006">
        <v>2.1983908653473685E-2</v>
      </c>
      <c r="Z1006">
        <v>0</v>
      </c>
      <c r="AA1006" t="s">
        <v>178</v>
      </c>
      <c r="AB1006">
        <v>4.396781730694737E-2</v>
      </c>
      <c r="AC1006">
        <v>0.43235020351831577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Q1006" t="s">
        <v>262</v>
      </c>
      <c r="AR1006" t="s">
        <v>263</v>
      </c>
      <c r="AS1006">
        <v>0.35313473684210528</v>
      </c>
    </row>
    <row r="1007" spans="1:45" x14ac:dyDescent="0.15">
      <c r="A1007" s="4" t="str">
        <f>HYPERLINK("https://ibp.a2mac1.com/costing(costing:projects/details/9760/material/8754644)","PP")</f>
        <v>PP</v>
      </c>
      <c r="B1007">
        <v>8754644</v>
      </c>
      <c r="C1007">
        <v>12085145</v>
      </c>
      <c r="E1007">
        <v>1.0113799999999999</v>
      </c>
      <c r="F1007" t="s">
        <v>7218</v>
      </c>
      <c r="G1007">
        <v>95</v>
      </c>
      <c r="H1007" t="s">
        <v>7219</v>
      </c>
      <c r="I1007">
        <v>5</v>
      </c>
      <c r="J1007">
        <v>0.50345253019720215</v>
      </c>
      <c r="K1007">
        <v>0</v>
      </c>
      <c r="M1007">
        <v>0</v>
      </c>
      <c r="O1007">
        <v>200000</v>
      </c>
      <c r="R1007" t="s">
        <v>162</v>
      </c>
      <c r="S1007">
        <v>6.4595243684210527E-3</v>
      </c>
      <c r="T1007">
        <v>1.307407732168421E-2</v>
      </c>
      <c r="U1007" t="s">
        <v>176</v>
      </c>
      <c r="V1007">
        <v>9.0433341157894739E-2</v>
      </c>
      <c r="W1007">
        <v>2.6808576414795788</v>
      </c>
      <c r="X1007" t="s">
        <v>177</v>
      </c>
      <c r="Y1007">
        <v>0.16085145848877475</v>
      </c>
      <c r="Z1007">
        <v>0</v>
      </c>
      <c r="AA1007" t="s">
        <v>178</v>
      </c>
      <c r="AB1007">
        <v>0.32170291697754949</v>
      </c>
      <c r="AC1007">
        <v>3.163412016945903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Q1007" t="s">
        <v>262</v>
      </c>
      <c r="AR1007" t="s">
        <v>263</v>
      </c>
      <c r="AS1007">
        <v>2.583809747368421</v>
      </c>
    </row>
    <row r="1008" spans="1:45" x14ac:dyDescent="0.15">
      <c r="A1008" s="4" t="str">
        <f>HYPERLINK("https://ibp.a2mac1.com/costing(costing:projects/details/9760/material/8754645)","PP")</f>
        <v>PP</v>
      </c>
      <c r="B1008">
        <v>8754645</v>
      </c>
      <c r="C1008">
        <v>12085146</v>
      </c>
      <c r="E1008">
        <v>1.0113799999999999</v>
      </c>
      <c r="F1008" t="s">
        <v>7223</v>
      </c>
      <c r="G1008">
        <v>95</v>
      </c>
      <c r="H1008" t="s">
        <v>7224</v>
      </c>
      <c r="I1008">
        <v>5</v>
      </c>
      <c r="J1008">
        <v>0.50345253019720215</v>
      </c>
      <c r="K1008">
        <v>0</v>
      </c>
      <c r="M1008">
        <v>0</v>
      </c>
      <c r="O1008">
        <v>200000</v>
      </c>
      <c r="R1008" t="s">
        <v>162</v>
      </c>
      <c r="S1008">
        <v>4.5645176315789477E-3</v>
      </c>
      <c r="T1008">
        <v>9.2385836863157888E-3</v>
      </c>
      <c r="U1008" t="s">
        <v>176</v>
      </c>
      <c r="V1008">
        <v>6.3903246842105257E-2</v>
      </c>
      <c r="W1008">
        <v>1.8943843655284212</v>
      </c>
      <c r="X1008" t="s">
        <v>177</v>
      </c>
      <c r="Y1008">
        <v>0.11366306193170526</v>
      </c>
      <c r="Z1008">
        <v>0</v>
      </c>
      <c r="AA1008" t="s">
        <v>178</v>
      </c>
      <c r="AB1008">
        <v>0.22732612386341053</v>
      </c>
      <c r="AC1008">
        <v>2.2353735513235367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Q1008" t="s">
        <v>262</v>
      </c>
      <c r="AR1008" t="s">
        <v>263</v>
      </c>
      <c r="AS1008">
        <v>1.8258070526315791</v>
      </c>
    </row>
    <row r="1009" spans="1:45" x14ac:dyDescent="0.15">
      <c r="A1009" s="4" t="str">
        <f>HYPERLINK("https://ibp.a2mac1.com/costing(costing:projects/details/9760/material/8754646)","Steel sheet (default)")</f>
        <v>Steel sheet (default)</v>
      </c>
      <c r="B1009">
        <v>8754646</v>
      </c>
      <c r="C1009">
        <v>12085147</v>
      </c>
      <c r="E1009">
        <v>0.52766000000000002</v>
      </c>
      <c r="F1009" t="s">
        <v>5060</v>
      </c>
      <c r="G1009">
        <v>70</v>
      </c>
      <c r="H1009" t="s">
        <v>7228</v>
      </c>
      <c r="I1009">
        <v>30</v>
      </c>
      <c r="J1009">
        <v>0.50345253019720215</v>
      </c>
      <c r="K1009">
        <v>0</v>
      </c>
      <c r="M1009">
        <v>0</v>
      </c>
      <c r="O1009">
        <v>200000</v>
      </c>
      <c r="R1009" t="s">
        <v>162</v>
      </c>
      <c r="S1009">
        <v>3.0528899999999999E-3</v>
      </c>
      <c r="T1009">
        <v>1.7164025999999999E-4</v>
      </c>
      <c r="U1009" t="s">
        <v>176</v>
      </c>
      <c r="V1009">
        <v>1.187235E-3</v>
      </c>
      <c r="W1009">
        <v>3.222698526E-2</v>
      </c>
      <c r="X1009" t="s">
        <v>177</v>
      </c>
      <c r="Y1009">
        <v>1.9336191156E-3</v>
      </c>
      <c r="Z1009">
        <v>0</v>
      </c>
      <c r="AA1009" t="s">
        <v>178</v>
      </c>
      <c r="AB1009">
        <v>3.8672382312E-3</v>
      </c>
      <c r="AC1009">
        <v>3.8027842606799998E-2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Q1009" t="s">
        <v>262</v>
      </c>
      <c r="AR1009" t="s">
        <v>263</v>
      </c>
      <c r="AS1009">
        <v>3.3921E-2</v>
      </c>
    </row>
    <row r="1010" spans="1:45" x14ac:dyDescent="0.15">
      <c r="A1010" s="4" t="str">
        <f>HYPERLINK("https://ibp.a2mac1.com/costing(costing:projects/details/9760/material/8754647)","Steel sheet (default)")</f>
        <v>Steel sheet (default)</v>
      </c>
      <c r="B1010">
        <v>8754647</v>
      </c>
      <c r="C1010">
        <v>12085148</v>
      </c>
      <c r="E1010">
        <v>0.52766000000000002</v>
      </c>
      <c r="F1010" t="s">
        <v>7232</v>
      </c>
      <c r="G1010">
        <v>70</v>
      </c>
      <c r="H1010" t="s">
        <v>7233</v>
      </c>
      <c r="I1010">
        <v>30</v>
      </c>
      <c r="J1010">
        <v>0.50345253019720215</v>
      </c>
      <c r="K1010">
        <v>0</v>
      </c>
      <c r="M1010">
        <v>0</v>
      </c>
      <c r="O1010">
        <v>200000</v>
      </c>
      <c r="R1010" t="s">
        <v>162</v>
      </c>
      <c r="S1010">
        <v>1.2618612E-2</v>
      </c>
      <c r="T1010">
        <v>7.0944640799999997E-4</v>
      </c>
      <c r="U1010" t="s">
        <v>176</v>
      </c>
      <c r="V1010">
        <v>4.9072380000000004E-3</v>
      </c>
      <c r="W1010">
        <v>0.133204872408</v>
      </c>
      <c r="X1010" t="s">
        <v>177</v>
      </c>
      <c r="Y1010">
        <v>7.9922923444799999E-3</v>
      </c>
      <c r="Z1010">
        <v>0</v>
      </c>
      <c r="AA1010" t="s">
        <v>178</v>
      </c>
      <c r="AB1010">
        <v>1.598458468896E-2</v>
      </c>
      <c r="AC1010">
        <v>0.15718174944144001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Q1010" t="s">
        <v>262</v>
      </c>
      <c r="AR1010" t="s">
        <v>263</v>
      </c>
      <c r="AS1010">
        <v>0.14020679999999999</v>
      </c>
    </row>
    <row r="1011" spans="1:45" x14ac:dyDescent="0.15">
      <c r="A1011" s="4" t="str">
        <f>HYPERLINK("https://ibp.a2mac1.com/costing(costing:projects/details/9760/material/8754648)","Steel sheet (default)")</f>
        <v>Steel sheet (default)</v>
      </c>
      <c r="B1011">
        <v>8754648</v>
      </c>
      <c r="C1011">
        <v>12085149</v>
      </c>
      <c r="E1011">
        <v>0.52766000000000002</v>
      </c>
      <c r="F1011" t="s">
        <v>7237</v>
      </c>
      <c r="G1011">
        <v>70</v>
      </c>
      <c r="H1011" t="s">
        <v>7238</v>
      </c>
      <c r="I1011">
        <v>30</v>
      </c>
      <c r="J1011">
        <v>0.50345253019720215</v>
      </c>
      <c r="K1011">
        <v>0</v>
      </c>
      <c r="M1011">
        <v>0</v>
      </c>
      <c r="O1011">
        <v>200000</v>
      </c>
      <c r="R1011" t="s">
        <v>162</v>
      </c>
      <c r="S1011">
        <v>7.9375139999999997E-3</v>
      </c>
      <c r="T1011">
        <v>4.4626467599999999E-4</v>
      </c>
      <c r="U1011" t="s">
        <v>176</v>
      </c>
      <c r="V1011">
        <v>3.0868110000000001E-3</v>
      </c>
      <c r="W1011">
        <v>8.3790161675999994E-2</v>
      </c>
      <c r="X1011" t="s">
        <v>177</v>
      </c>
      <c r="Y1011">
        <v>5.0274097005599998E-3</v>
      </c>
      <c r="Z1011">
        <v>0</v>
      </c>
      <c r="AA1011" t="s">
        <v>178</v>
      </c>
      <c r="AB1011">
        <v>1.005481940112E-2</v>
      </c>
      <c r="AC1011">
        <v>9.8872390777679994E-2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Q1011" t="s">
        <v>262</v>
      </c>
      <c r="AR1011" t="s">
        <v>263</v>
      </c>
      <c r="AS1011">
        <v>8.8194599999999998E-2</v>
      </c>
    </row>
    <row r="1012" spans="1:45" x14ac:dyDescent="0.15">
      <c r="A1012" s="4" t="str">
        <f>HYPERLINK("https://ibp.a2mac1.com/costing(costing:projects/details/9760/material/8754649)","Steel sheet (default)")</f>
        <v>Steel sheet (default)</v>
      </c>
      <c r="B1012">
        <v>8754649</v>
      </c>
      <c r="C1012">
        <v>12085150</v>
      </c>
      <c r="E1012">
        <v>0.52766000000000002</v>
      </c>
      <c r="F1012" t="s">
        <v>7242</v>
      </c>
      <c r="G1012">
        <v>70</v>
      </c>
      <c r="H1012" t="s">
        <v>7243</v>
      </c>
      <c r="I1012">
        <v>30</v>
      </c>
      <c r="J1012">
        <v>0.50345253019720215</v>
      </c>
      <c r="K1012">
        <v>0</v>
      </c>
      <c r="M1012">
        <v>0</v>
      </c>
      <c r="O1012">
        <v>200000</v>
      </c>
      <c r="R1012" t="s">
        <v>162</v>
      </c>
      <c r="S1012">
        <v>7.80183E-3</v>
      </c>
      <c r="T1012">
        <v>4.3863621999999999E-4</v>
      </c>
      <c r="U1012" t="s">
        <v>176</v>
      </c>
      <c r="V1012">
        <v>3.034045E-3</v>
      </c>
      <c r="W1012">
        <v>8.235785122E-2</v>
      </c>
      <c r="X1012" t="s">
        <v>177</v>
      </c>
      <c r="Y1012">
        <v>4.9414710732000001E-3</v>
      </c>
      <c r="Z1012">
        <v>0</v>
      </c>
      <c r="AA1012" t="s">
        <v>178</v>
      </c>
      <c r="AB1012">
        <v>9.8829421464000002E-3</v>
      </c>
      <c r="AC1012">
        <v>9.71822644396E-2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Q1012" t="s">
        <v>262</v>
      </c>
      <c r="AR1012" t="s">
        <v>263</v>
      </c>
      <c r="AS1012">
        <v>8.6687E-2</v>
      </c>
    </row>
    <row r="1013" spans="1:45" x14ac:dyDescent="0.15">
      <c r="A1013" s="4" t="str">
        <f>HYPERLINK("https://ibp.a2mac1.com/costing(costing:projects/details/9760/material/8754650)","Steel sheet (default)")</f>
        <v>Steel sheet (default)</v>
      </c>
      <c r="B1013">
        <v>8754650</v>
      </c>
      <c r="C1013">
        <v>12085151</v>
      </c>
      <c r="E1013">
        <v>0.52766000000000002</v>
      </c>
      <c r="F1013" t="s">
        <v>4397</v>
      </c>
      <c r="G1013">
        <v>70</v>
      </c>
      <c r="H1013" t="s">
        <v>7247</v>
      </c>
      <c r="I1013">
        <v>30</v>
      </c>
      <c r="J1013">
        <v>0.50345253019720215</v>
      </c>
      <c r="K1013">
        <v>0</v>
      </c>
      <c r="M1013">
        <v>0</v>
      </c>
      <c r="O1013">
        <v>200000</v>
      </c>
      <c r="R1013" t="s">
        <v>162</v>
      </c>
      <c r="S1013">
        <v>1.763892E-3</v>
      </c>
      <c r="T1013">
        <v>9.9169928000000004E-5</v>
      </c>
      <c r="U1013" t="s">
        <v>176</v>
      </c>
      <c r="V1013">
        <v>6.8595799999999997E-4</v>
      </c>
      <c r="W1013">
        <v>1.8620035928E-2</v>
      </c>
      <c r="X1013" t="s">
        <v>177</v>
      </c>
      <c r="Y1013">
        <v>1.11720215568E-3</v>
      </c>
      <c r="Z1013">
        <v>0</v>
      </c>
      <c r="AA1013" t="s">
        <v>178</v>
      </c>
      <c r="AB1013">
        <v>2.23440431136E-3</v>
      </c>
      <c r="AC1013">
        <v>2.197164239504E-2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Q1013" t="s">
        <v>262</v>
      </c>
      <c r="AR1013" t="s">
        <v>263</v>
      </c>
      <c r="AS1013">
        <v>1.95988E-2</v>
      </c>
    </row>
    <row r="1014" spans="1:45" x14ac:dyDescent="0.15">
      <c r="A1014" s="4" t="str">
        <f>HYPERLINK("https://ibp.a2mac1.com/costing(costing:projects/details/9760/material/8754651)","Steel sheet (default)")</f>
        <v>Steel sheet (default)</v>
      </c>
      <c r="B1014">
        <v>8754651</v>
      </c>
      <c r="C1014">
        <v>12085152</v>
      </c>
      <c r="E1014">
        <v>0.52766000000000002</v>
      </c>
      <c r="F1014" t="s">
        <v>4397</v>
      </c>
      <c r="G1014">
        <v>70</v>
      </c>
      <c r="H1014" t="s">
        <v>7247</v>
      </c>
      <c r="I1014">
        <v>30</v>
      </c>
      <c r="J1014">
        <v>0.50345253019720215</v>
      </c>
      <c r="K1014">
        <v>0</v>
      </c>
      <c r="M1014">
        <v>0</v>
      </c>
      <c r="O1014">
        <v>200000</v>
      </c>
      <c r="R1014" t="s">
        <v>162</v>
      </c>
      <c r="S1014">
        <v>1.763892E-3</v>
      </c>
      <c r="T1014">
        <v>9.9169928000000004E-5</v>
      </c>
      <c r="U1014" t="s">
        <v>176</v>
      </c>
      <c r="V1014">
        <v>6.8595799999999997E-4</v>
      </c>
      <c r="W1014">
        <v>1.8620035928E-2</v>
      </c>
      <c r="X1014" t="s">
        <v>177</v>
      </c>
      <c r="Y1014">
        <v>1.11720215568E-3</v>
      </c>
      <c r="Z1014">
        <v>0</v>
      </c>
      <c r="AA1014" t="s">
        <v>178</v>
      </c>
      <c r="AB1014">
        <v>2.23440431136E-3</v>
      </c>
      <c r="AC1014">
        <v>2.197164239504E-2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Q1014" t="s">
        <v>262</v>
      </c>
      <c r="AR1014" t="s">
        <v>263</v>
      </c>
      <c r="AS1014">
        <v>1.95988E-2</v>
      </c>
    </row>
    <row r="1015" spans="1:45" x14ac:dyDescent="0.15">
      <c r="A1015" s="4" t="str">
        <f>HYPERLINK("https://ibp.a2mac1.com/costing(costing:projects/details/9760/material/8754652)","Steel sheet (default)")</f>
        <v>Steel sheet (default)</v>
      </c>
      <c r="B1015">
        <v>8754652</v>
      </c>
      <c r="C1015">
        <v>12085153</v>
      </c>
      <c r="E1015">
        <v>0.52766000000000002</v>
      </c>
      <c r="F1015" t="s">
        <v>7254</v>
      </c>
      <c r="G1015">
        <v>70</v>
      </c>
      <c r="H1015" t="s">
        <v>7255</v>
      </c>
      <c r="I1015">
        <v>30</v>
      </c>
      <c r="J1015">
        <v>0.50048257265952256</v>
      </c>
      <c r="K1015">
        <v>0</v>
      </c>
      <c r="M1015">
        <v>0</v>
      </c>
      <c r="O1015">
        <v>400000</v>
      </c>
      <c r="R1015" t="s">
        <v>162</v>
      </c>
      <c r="S1015">
        <v>3.8669939999999999E-3</v>
      </c>
      <c r="T1015">
        <v>2.16121998E-4</v>
      </c>
      <c r="U1015" t="s">
        <v>176</v>
      </c>
      <c r="V1015">
        <v>1.503831E-3</v>
      </c>
      <c r="W1015">
        <v>4.0819558998000001E-2</v>
      </c>
      <c r="X1015" t="s">
        <v>177</v>
      </c>
      <c r="Y1015">
        <v>2.4491735398799999E-3</v>
      </c>
      <c r="Z1015">
        <v>0</v>
      </c>
      <c r="AA1015" t="s">
        <v>178</v>
      </c>
      <c r="AB1015">
        <v>4.8983470797599998E-3</v>
      </c>
      <c r="AC1015">
        <v>4.8167079617640003E-2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Q1015" t="s">
        <v>262</v>
      </c>
      <c r="AR1015" t="s">
        <v>263</v>
      </c>
      <c r="AS1015">
        <v>4.2966600000000001E-2</v>
      </c>
    </row>
    <row r="1016" spans="1:45" x14ac:dyDescent="0.15">
      <c r="A1016" s="4" t="str">
        <f>HYPERLINK("https://ibp.a2mac1.com/costing(costing:projects/details/9760/material/8754653)","Steel sheet (default)")</f>
        <v>Steel sheet (default)</v>
      </c>
      <c r="B1016">
        <v>8754653</v>
      </c>
      <c r="C1016">
        <v>12085154</v>
      </c>
      <c r="E1016">
        <v>0.52766000000000002</v>
      </c>
      <c r="F1016" t="s">
        <v>947</v>
      </c>
      <c r="G1016">
        <v>70</v>
      </c>
      <c r="H1016" t="s">
        <v>7259</v>
      </c>
      <c r="I1016">
        <v>30</v>
      </c>
      <c r="J1016">
        <v>0.50345253019720215</v>
      </c>
      <c r="K1016">
        <v>0</v>
      </c>
      <c r="M1016">
        <v>0</v>
      </c>
      <c r="O1016">
        <v>200000</v>
      </c>
      <c r="R1016" t="s">
        <v>162</v>
      </c>
      <c r="S1016">
        <v>2.1709440000000002E-3</v>
      </c>
      <c r="T1016">
        <v>1.2205529600000001E-4</v>
      </c>
      <c r="U1016" t="s">
        <v>176</v>
      </c>
      <c r="V1016">
        <v>8.4425600000000004E-4</v>
      </c>
      <c r="W1016">
        <v>2.2916967295999999E-2</v>
      </c>
      <c r="X1016" t="s">
        <v>177</v>
      </c>
      <c r="Y1016">
        <v>1.37501803776E-3</v>
      </c>
      <c r="Z1016">
        <v>0</v>
      </c>
      <c r="AA1016" t="s">
        <v>178</v>
      </c>
      <c r="AB1016">
        <v>2.7500360755199999E-3</v>
      </c>
      <c r="AC1016">
        <v>2.7042021409280002E-2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Q1016" t="s">
        <v>262</v>
      </c>
      <c r="AR1016" t="s">
        <v>263</v>
      </c>
      <c r="AS1016">
        <v>2.41216E-2</v>
      </c>
    </row>
    <row r="1017" spans="1:45" x14ac:dyDescent="0.15">
      <c r="A1017" s="4" t="str">
        <f>HYPERLINK("https://ibp.a2mac1.com/costing(costing:projects/details/9760/material/8754654)","PP-GF40")</f>
        <v>PP-GF40</v>
      </c>
      <c r="B1017">
        <v>8754654</v>
      </c>
      <c r="C1017">
        <v>12085156</v>
      </c>
      <c r="E1017">
        <v>1.1950499999999999</v>
      </c>
      <c r="F1017" t="s">
        <v>7266</v>
      </c>
      <c r="G1017">
        <v>94</v>
      </c>
      <c r="H1017" t="s">
        <v>7267</v>
      </c>
      <c r="I1017">
        <v>30</v>
      </c>
      <c r="J1017">
        <v>0.20557651238448796</v>
      </c>
      <c r="K1017">
        <v>0</v>
      </c>
      <c r="M1017">
        <v>0</v>
      </c>
      <c r="O1017">
        <v>200000</v>
      </c>
      <c r="R1017" t="s">
        <v>162</v>
      </c>
      <c r="S1017">
        <v>3.6614297872340426E-2</v>
      </c>
      <c r="T1017">
        <v>4.1903029787234043E-3</v>
      </c>
      <c r="U1017" t="s">
        <v>176</v>
      </c>
      <c r="V1017">
        <v>7.1194468085106377E-2</v>
      </c>
      <c r="W1017">
        <v>2.0728981327659572</v>
      </c>
      <c r="X1017" t="s">
        <v>177</v>
      </c>
      <c r="Y1017">
        <v>0.12437388796595744</v>
      </c>
      <c r="Z1017">
        <v>0</v>
      </c>
      <c r="AA1017" t="s">
        <v>178</v>
      </c>
      <c r="AB1017">
        <v>0.24874777593191488</v>
      </c>
      <c r="AC1017">
        <v>2.4460197966638297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Q1017" t="s">
        <v>262</v>
      </c>
      <c r="AR1017" t="s">
        <v>263</v>
      </c>
      <c r="AS1017">
        <v>2.0341276595744682</v>
      </c>
    </row>
    <row r="1018" spans="1:45" x14ac:dyDescent="0.15">
      <c r="A1018" s="4" t="str">
        <f>HYPERLINK("https://ibp.a2mac1.com/costing(costing:projects/details/9760/material/8754655)","Steel sheet (default)")</f>
        <v>Steel sheet (default)</v>
      </c>
      <c r="B1018">
        <v>8754655</v>
      </c>
      <c r="C1018">
        <v>12085157</v>
      </c>
      <c r="E1018">
        <v>0.52766000000000002</v>
      </c>
      <c r="F1018" t="s">
        <v>7273</v>
      </c>
      <c r="G1018">
        <v>70</v>
      </c>
      <c r="H1018" t="s">
        <v>7274</v>
      </c>
      <c r="I1018">
        <v>30</v>
      </c>
      <c r="J1018">
        <v>0.50345253019720215</v>
      </c>
      <c r="K1018">
        <v>0</v>
      </c>
      <c r="M1018">
        <v>0</v>
      </c>
      <c r="O1018">
        <v>200000</v>
      </c>
      <c r="R1018" t="s">
        <v>162</v>
      </c>
      <c r="S1018">
        <v>1.1804508E-2</v>
      </c>
      <c r="T1018">
        <v>6.6367567199999999E-4</v>
      </c>
      <c r="U1018" t="s">
        <v>176</v>
      </c>
      <c r="V1018">
        <v>4.5906419999999998E-3</v>
      </c>
      <c r="W1018">
        <v>0.12461100967200001</v>
      </c>
      <c r="X1018" t="s">
        <v>177</v>
      </c>
      <c r="Y1018">
        <v>7.4766605803199999E-3</v>
      </c>
      <c r="Z1018">
        <v>0</v>
      </c>
      <c r="AA1018" t="s">
        <v>178</v>
      </c>
      <c r="AB1018">
        <v>1.495332116064E-2</v>
      </c>
      <c r="AC1018">
        <v>0.14704099141296001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Q1018" t="s">
        <v>262</v>
      </c>
      <c r="AR1018" t="s">
        <v>263</v>
      </c>
      <c r="AS1018">
        <v>0.13116120000000001</v>
      </c>
    </row>
    <row r="1019" spans="1:45" x14ac:dyDescent="0.15">
      <c r="A1019" s="4" t="str">
        <f>HYPERLINK("https://ibp.a2mac1.com/costing(costing:projects/details/9760/material/8754656)","Steel sheet (default)")</f>
        <v>Steel sheet (default)</v>
      </c>
      <c r="B1019">
        <v>8754656</v>
      </c>
      <c r="C1019">
        <v>12085158</v>
      </c>
      <c r="E1019">
        <v>0.52766000000000002</v>
      </c>
      <c r="F1019" t="s">
        <v>4352</v>
      </c>
      <c r="G1019">
        <v>70</v>
      </c>
      <c r="H1019" t="s">
        <v>7278</v>
      </c>
      <c r="I1019">
        <v>30</v>
      </c>
      <c r="J1019">
        <v>0.50345253019720215</v>
      </c>
      <c r="K1019">
        <v>0</v>
      </c>
      <c r="M1019">
        <v>0</v>
      </c>
      <c r="O1019">
        <v>200000</v>
      </c>
      <c r="R1019" t="s">
        <v>162</v>
      </c>
      <c r="S1019">
        <v>9.2943539999999995E-3</v>
      </c>
      <c r="T1019">
        <v>5.2254923600000001E-4</v>
      </c>
      <c r="U1019" t="s">
        <v>176</v>
      </c>
      <c r="V1019">
        <v>3.6144710000000002E-3</v>
      </c>
      <c r="W1019">
        <v>9.8113266236000002E-2</v>
      </c>
      <c r="X1019" t="s">
        <v>177</v>
      </c>
      <c r="Y1019">
        <v>5.8867959741600003E-3</v>
      </c>
      <c r="Z1019">
        <v>0</v>
      </c>
      <c r="AA1019" t="s">
        <v>178</v>
      </c>
      <c r="AB1019">
        <v>1.1773591948320001E-2</v>
      </c>
      <c r="AC1019">
        <v>0.11577365415848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Q1019" t="s">
        <v>262</v>
      </c>
      <c r="AR1019" t="s">
        <v>263</v>
      </c>
      <c r="AS1019">
        <v>0.1032706</v>
      </c>
    </row>
    <row r="1020" spans="1:45" x14ac:dyDescent="0.15">
      <c r="A1020" s="4" t="str">
        <f>HYPERLINK("https://ibp.a2mac1.com/costing(costing:projects/details/9760/material/8754657)","Steel sheet (default)")</f>
        <v>Steel sheet (default)</v>
      </c>
      <c r="B1020">
        <v>8754657</v>
      </c>
      <c r="C1020">
        <v>12085159</v>
      </c>
      <c r="E1020">
        <v>0.52766000000000002</v>
      </c>
      <c r="F1020" t="s">
        <v>4352</v>
      </c>
      <c r="G1020">
        <v>70</v>
      </c>
      <c r="H1020" t="s">
        <v>7278</v>
      </c>
      <c r="I1020">
        <v>30</v>
      </c>
      <c r="J1020">
        <v>0.50345253019720215</v>
      </c>
      <c r="K1020">
        <v>0</v>
      </c>
      <c r="M1020">
        <v>0</v>
      </c>
      <c r="O1020">
        <v>200000</v>
      </c>
      <c r="R1020" t="s">
        <v>162</v>
      </c>
      <c r="S1020">
        <v>9.2943539999999995E-3</v>
      </c>
      <c r="T1020">
        <v>5.2254923600000001E-4</v>
      </c>
      <c r="U1020" t="s">
        <v>176</v>
      </c>
      <c r="V1020">
        <v>3.6144710000000002E-3</v>
      </c>
      <c r="W1020">
        <v>9.8113266236000002E-2</v>
      </c>
      <c r="X1020" t="s">
        <v>177</v>
      </c>
      <c r="Y1020">
        <v>5.8867959741600003E-3</v>
      </c>
      <c r="Z1020">
        <v>0</v>
      </c>
      <c r="AA1020" t="s">
        <v>178</v>
      </c>
      <c r="AB1020">
        <v>1.1773591948320001E-2</v>
      </c>
      <c r="AC1020">
        <v>0.11577365415848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Q1020" t="s">
        <v>262</v>
      </c>
      <c r="AR1020" t="s">
        <v>263</v>
      </c>
      <c r="AS1020">
        <v>0.1032706</v>
      </c>
    </row>
    <row r="1021" spans="1:45" x14ac:dyDescent="0.15">
      <c r="A1021" s="4" t="str">
        <f>HYPERLINK("https://ibp.a2mac1.com/costing(costing:projects/details/9760/material/8754658)","Steel sheet (default)")</f>
        <v>Steel sheet (default)</v>
      </c>
      <c r="B1021">
        <v>8754658</v>
      </c>
      <c r="C1021">
        <v>12085160</v>
      </c>
      <c r="E1021">
        <v>0.52766000000000002</v>
      </c>
      <c r="F1021" t="s">
        <v>4695</v>
      </c>
      <c r="G1021">
        <v>70</v>
      </c>
      <c r="H1021" t="s">
        <v>7285</v>
      </c>
      <c r="I1021">
        <v>30</v>
      </c>
      <c r="J1021">
        <v>0.50345253019720215</v>
      </c>
      <c r="K1021">
        <v>0</v>
      </c>
      <c r="M1021">
        <v>0</v>
      </c>
      <c r="O1021">
        <v>200000</v>
      </c>
      <c r="R1021" t="s">
        <v>162</v>
      </c>
      <c r="S1021">
        <v>1.5128766E-2</v>
      </c>
      <c r="T1021">
        <v>8.5057284399999995E-4</v>
      </c>
      <c r="U1021" t="s">
        <v>176</v>
      </c>
      <c r="V1021">
        <v>5.883409E-3</v>
      </c>
      <c r="W1021">
        <v>0.159702615844</v>
      </c>
      <c r="X1021" t="s">
        <v>177</v>
      </c>
      <c r="Y1021">
        <v>9.5821569506400004E-3</v>
      </c>
      <c r="Z1021">
        <v>0</v>
      </c>
      <c r="AA1021" t="s">
        <v>178</v>
      </c>
      <c r="AB1021">
        <v>1.9164313901280001E-2</v>
      </c>
      <c r="AC1021">
        <v>0.18844908669592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Q1021" t="s">
        <v>262</v>
      </c>
      <c r="AR1021" t="s">
        <v>263</v>
      </c>
      <c r="AS1021">
        <v>0.16809740000000001</v>
      </c>
    </row>
    <row r="1022" spans="1:45" x14ac:dyDescent="0.15">
      <c r="A1022" s="4" t="str">
        <f>HYPERLINK("https://ibp.a2mac1.com/costing(costing:projects/details/9760/material/8754659)","Steel sheet (default)")</f>
        <v>Steel sheet (default)</v>
      </c>
      <c r="B1022">
        <v>8754659</v>
      </c>
      <c r="C1022">
        <v>12085161</v>
      </c>
      <c r="E1022">
        <v>0.52766000000000002</v>
      </c>
      <c r="F1022" t="s">
        <v>7289</v>
      </c>
      <c r="G1022">
        <v>70</v>
      </c>
      <c r="H1022" t="s">
        <v>7290</v>
      </c>
      <c r="I1022">
        <v>30</v>
      </c>
      <c r="J1022">
        <v>0.50345253019720215</v>
      </c>
      <c r="K1022">
        <v>0</v>
      </c>
      <c r="M1022">
        <v>0</v>
      </c>
      <c r="O1022">
        <v>200000</v>
      </c>
      <c r="R1022" t="s">
        <v>162</v>
      </c>
      <c r="S1022">
        <v>1.5196608E-2</v>
      </c>
      <c r="T1022">
        <v>8.54387072E-4</v>
      </c>
      <c r="U1022" t="s">
        <v>176</v>
      </c>
      <c r="V1022">
        <v>5.9097919999999996E-3</v>
      </c>
      <c r="W1022">
        <v>0.160418771072</v>
      </c>
      <c r="X1022" t="s">
        <v>177</v>
      </c>
      <c r="Y1022">
        <v>9.6251262643199994E-3</v>
      </c>
      <c r="Z1022">
        <v>0</v>
      </c>
      <c r="AA1022" t="s">
        <v>178</v>
      </c>
      <c r="AB1022">
        <v>1.9250252528639999E-2</v>
      </c>
      <c r="AC1022">
        <v>0.18929414986495999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Q1022" t="s">
        <v>262</v>
      </c>
      <c r="AR1022" t="s">
        <v>263</v>
      </c>
      <c r="AS1022">
        <v>0.16885120000000001</v>
      </c>
    </row>
    <row r="1023" spans="1:45" x14ac:dyDescent="0.15">
      <c r="A1023" s="4" t="str">
        <f>HYPERLINK("https://ibp.a2mac1.com/costing(costing:projects/details/9760/material/8756047)","Standard Structural Steel sheet")</f>
        <v>Standard Structural Steel sheet</v>
      </c>
      <c r="B1023">
        <v>8756047</v>
      </c>
      <c r="C1023">
        <v>12086444</v>
      </c>
      <c r="E1023">
        <v>0.61129999999999995</v>
      </c>
      <c r="F1023" t="s">
        <v>7322</v>
      </c>
      <c r="G1023">
        <v>60</v>
      </c>
      <c r="H1023" t="s">
        <v>7323</v>
      </c>
      <c r="I1023">
        <v>30</v>
      </c>
      <c r="J1023">
        <v>1.3998040274361589E-2</v>
      </c>
      <c r="K1023">
        <v>0</v>
      </c>
      <c r="L1023">
        <v>0</v>
      </c>
      <c r="M1023">
        <v>0</v>
      </c>
      <c r="O1023">
        <v>200000</v>
      </c>
      <c r="R1023" t="s">
        <v>162</v>
      </c>
      <c r="S1023">
        <v>0.29146783999999998</v>
      </c>
      <c r="T1023">
        <v>3.4004581333333333E-4</v>
      </c>
      <c r="U1023" t="s">
        <v>176</v>
      </c>
      <c r="V1023">
        <v>8.5011453333333334E-2</v>
      </c>
      <c r="W1023">
        <v>2.2227823258133332</v>
      </c>
      <c r="X1023" t="s">
        <v>177</v>
      </c>
      <c r="Y1023">
        <v>0.1333669395488</v>
      </c>
      <c r="Z1023">
        <v>0</v>
      </c>
      <c r="AA1023" t="s">
        <v>178</v>
      </c>
      <c r="AB1023">
        <v>0.26673387909759999</v>
      </c>
      <c r="AC1023">
        <v>2.6228831444597334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Q1023" t="s">
        <v>262</v>
      </c>
      <c r="AR1023" t="s">
        <v>263</v>
      </c>
      <c r="AS1023">
        <v>2.4288986666666665</v>
      </c>
    </row>
    <row r="1024" spans="1:45" x14ac:dyDescent="0.15">
      <c r="A1024" s="4" t="str">
        <f>HYPERLINK("https://ibp.a2mac1.com/costing(costing:projects/details/9760/material/8756048)","Standard Structural Steel sheet")</f>
        <v>Standard Structural Steel sheet</v>
      </c>
      <c r="B1024">
        <v>8756048</v>
      </c>
      <c r="C1024">
        <v>12086445</v>
      </c>
      <c r="E1024">
        <v>0.61129999999999995</v>
      </c>
      <c r="F1024" t="s">
        <v>7328</v>
      </c>
      <c r="G1024">
        <v>60</v>
      </c>
      <c r="H1024" t="s">
        <v>7329</v>
      </c>
      <c r="I1024">
        <v>30</v>
      </c>
      <c r="J1024">
        <v>1.3998040274361589E-2</v>
      </c>
      <c r="K1024">
        <v>0</v>
      </c>
      <c r="L1024">
        <v>0</v>
      </c>
      <c r="M1024">
        <v>0</v>
      </c>
      <c r="O1024">
        <v>200000</v>
      </c>
      <c r="R1024" t="s">
        <v>162</v>
      </c>
      <c r="S1024">
        <v>0.30467191999999998</v>
      </c>
      <c r="T1024">
        <v>3.5545057333333333E-4</v>
      </c>
      <c r="U1024" t="s">
        <v>176</v>
      </c>
      <c r="V1024">
        <v>8.8862643333333338E-2</v>
      </c>
      <c r="W1024">
        <v>2.3234788405733333</v>
      </c>
      <c r="X1024" t="s">
        <v>177</v>
      </c>
      <c r="Y1024">
        <v>0.1394087304344</v>
      </c>
      <c r="Z1024">
        <v>0</v>
      </c>
      <c r="AA1024" t="s">
        <v>178</v>
      </c>
      <c r="AB1024">
        <v>0.27881746086879999</v>
      </c>
      <c r="AC1024">
        <v>2.7417050318765335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Q1024" t="s">
        <v>262</v>
      </c>
      <c r="AR1024" t="s">
        <v>263</v>
      </c>
      <c r="AS1024">
        <v>2.5389326666666667</v>
      </c>
    </row>
    <row r="1025" spans="1:45" x14ac:dyDescent="0.15">
      <c r="A1025" s="4" t="str">
        <f>HYPERLINK("https://ibp.a2mac1.com/costing(costing:projects/details/9760/material/8756049)","Standard Structural Steel sheet")</f>
        <v>Standard Structural Steel sheet</v>
      </c>
      <c r="B1025">
        <v>8756049</v>
      </c>
      <c r="C1025">
        <v>12086446</v>
      </c>
      <c r="E1025">
        <v>0.61129999999999995</v>
      </c>
      <c r="F1025" t="s">
        <v>7335</v>
      </c>
      <c r="G1025">
        <v>65</v>
      </c>
      <c r="H1025" t="s">
        <v>7336</v>
      </c>
      <c r="I1025">
        <v>30</v>
      </c>
      <c r="J1025">
        <v>1.099879013308536E-2</v>
      </c>
      <c r="K1025">
        <v>0</v>
      </c>
      <c r="L1025">
        <v>0</v>
      </c>
      <c r="M1025">
        <v>0</v>
      </c>
      <c r="O1025">
        <v>400000</v>
      </c>
      <c r="R1025" t="s">
        <v>162</v>
      </c>
      <c r="S1025">
        <v>2.5477103076923076E-2</v>
      </c>
      <c r="T1025">
        <v>2.669029846153846E-5</v>
      </c>
      <c r="U1025" t="s">
        <v>176</v>
      </c>
      <c r="V1025">
        <v>8.4923676923076927E-3</v>
      </c>
      <c r="W1025">
        <v>0.22568103183692309</v>
      </c>
      <c r="X1025" t="s">
        <v>177</v>
      </c>
      <c r="Y1025">
        <v>1.3540861910215385E-2</v>
      </c>
      <c r="Z1025">
        <v>0</v>
      </c>
      <c r="AA1025" t="s">
        <v>178</v>
      </c>
      <c r="AB1025">
        <v>2.708172382043077E-2</v>
      </c>
      <c r="AC1025">
        <v>0.26630361756756921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Q1025" t="s">
        <v>262</v>
      </c>
      <c r="AR1025" t="s">
        <v>263</v>
      </c>
      <c r="AS1025">
        <v>0.24263907692307693</v>
      </c>
    </row>
    <row r="1026" spans="1:45" x14ac:dyDescent="0.15">
      <c r="A1026" s="4" t="str">
        <f>HYPERLINK("https://ibp.a2mac1.com/costing(costing:projects/details/9760/material/8756050)","Standard Structural Steel sheet")</f>
        <v>Standard Structural Steel sheet</v>
      </c>
      <c r="B1026">
        <v>8756050</v>
      </c>
      <c r="C1026">
        <v>12086447</v>
      </c>
      <c r="E1026">
        <v>0.61129999999999995</v>
      </c>
      <c r="F1026" t="s">
        <v>7342</v>
      </c>
      <c r="G1026">
        <v>65</v>
      </c>
      <c r="H1026" t="s">
        <v>7343</v>
      </c>
      <c r="I1026">
        <v>30</v>
      </c>
      <c r="J1026">
        <v>1.099879013308536E-2</v>
      </c>
      <c r="K1026">
        <v>0</v>
      </c>
      <c r="L1026">
        <v>0</v>
      </c>
      <c r="M1026">
        <v>0</v>
      </c>
      <c r="O1026">
        <v>400000</v>
      </c>
      <c r="R1026" t="s">
        <v>162</v>
      </c>
      <c r="S1026">
        <v>7.6925051538461534E-2</v>
      </c>
      <c r="T1026">
        <v>8.058814923076923E-5</v>
      </c>
      <c r="U1026" t="s">
        <v>176</v>
      </c>
      <c r="V1026">
        <v>2.5641683846153847E-2</v>
      </c>
      <c r="W1026">
        <v>0.68141675891846154</v>
      </c>
      <c r="X1026" t="s">
        <v>177</v>
      </c>
      <c r="Y1026">
        <v>4.0885005535107689E-2</v>
      </c>
      <c r="Z1026">
        <v>0</v>
      </c>
      <c r="AA1026" t="s">
        <v>178</v>
      </c>
      <c r="AB1026">
        <v>8.1770011070215379E-2</v>
      </c>
      <c r="AC1026">
        <v>0.80407177552378462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Q1026" t="s">
        <v>262</v>
      </c>
      <c r="AR1026" t="s">
        <v>263</v>
      </c>
      <c r="AS1026">
        <v>0.73261953846153849</v>
      </c>
    </row>
    <row r="1027" spans="1:45" x14ac:dyDescent="0.15">
      <c r="A1027" s="4" t="str">
        <f>HYPERLINK("https://ibp.a2mac1.com/costing(costing:projects/details/9760/material/8756051)","Standard Structural Steel sheet")</f>
        <v>Standard Structural Steel sheet</v>
      </c>
      <c r="B1027">
        <v>8756051</v>
      </c>
      <c r="C1027">
        <v>12086448</v>
      </c>
      <c r="E1027">
        <v>0.61129999999999995</v>
      </c>
      <c r="F1027" t="s">
        <v>7153</v>
      </c>
      <c r="G1027">
        <v>65</v>
      </c>
      <c r="H1027" t="s">
        <v>7349</v>
      </c>
      <c r="I1027">
        <v>30</v>
      </c>
      <c r="J1027">
        <v>1.099879013308536E-2</v>
      </c>
      <c r="K1027">
        <v>0</v>
      </c>
      <c r="L1027">
        <v>0</v>
      </c>
      <c r="M1027">
        <v>0</v>
      </c>
      <c r="O1027">
        <v>400000</v>
      </c>
      <c r="R1027" t="s">
        <v>162</v>
      </c>
      <c r="S1027">
        <v>5.4311653846153846E-3</v>
      </c>
      <c r="T1027">
        <v>5.6897923076923074E-6</v>
      </c>
      <c r="U1027" t="s">
        <v>176</v>
      </c>
      <c r="V1027">
        <v>1.8103884615384615E-3</v>
      </c>
      <c r="W1027">
        <v>4.8110297484615386E-2</v>
      </c>
      <c r="X1027" t="s">
        <v>177</v>
      </c>
      <c r="Y1027">
        <v>2.8866178490769231E-3</v>
      </c>
      <c r="Z1027">
        <v>0</v>
      </c>
      <c r="AA1027" t="s">
        <v>178</v>
      </c>
      <c r="AB1027">
        <v>5.7732356981538462E-3</v>
      </c>
      <c r="AC1027">
        <v>5.6770151031846156E-2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Q1027" t="s">
        <v>262</v>
      </c>
      <c r="AR1027" t="s">
        <v>263</v>
      </c>
      <c r="AS1027">
        <v>5.1725384615384618E-2</v>
      </c>
    </row>
    <row r="1028" spans="1:45" x14ac:dyDescent="0.15">
      <c r="A1028" s="4" t="str">
        <f>HYPERLINK("https://ibp.a2mac1.com/costing(costing:projects/details/9760/material/8756052)","Standard Structural Steel sheet")</f>
        <v>Standard Structural Steel sheet</v>
      </c>
      <c r="B1028">
        <v>8756052</v>
      </c>
      <c r="C1028">
        <v>12086449</v>
      </c>
      <c r="E1028">
        <v>0.61129999999999995</v>
      </c>
      <c r="F1028" t="s">
        <v>7357</v>
      </c>
      <c r="G1028">
        <v>75</v>
      </c>
      <c r="H1028" t="s">
        <v>7358</v>
      </c>
      <c r="I1028">
        <v>30</v>
      </c>
      <c r="J1028">
        <v>1.3998040274361589E-2</v>
      </c>
      <c r="K1028">
        <v>0</v>
      </c>
      <c r="L1028">
        <v>0</v>
      </c>
      <c r="M1028">
        <v>0</v>
      </c>
      <c r="O1028">
        <v>200000</v>
      </c>
      <c r="R1028" t="s">
        <v>162</v>
      </c>
      <c r="S1028">
        <v>6.0029659999999999E-2</v>
      </c>
      <c r="T1028">
        <v>1.1205536533333334E-4</v>
      </c>
      <c r="U1028" t="s">
        <v>176</v>
      </c>
      <c r="V1028">
        <v>2.8013841333333334E-2</v>
      </c>
      <c r="W1028">
        <v>0.76849170336533335</v>
      </c>
      <c r="X1028" t="s">
        <v>177</v>
      </c>
      <c r="Y1028">
        <v>4.6109502201919998E-2</v>
      </c>
      <c r="Z1028">
        <v>0</v>
      </c>
      <c r="AA1028" t="s">
        <v>178</v>
      </c>
      <c r="AB1028">
        <v>9.2219004403839996E-2</v>
      </c>
      <c r="AC1028">
        <v>0.90682020997109336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Q1028" t="s">
        <v>262</v>
      </c>
      <c r="AR1028" t="s">
        <v>263</v>
      </c>
      <c r="AS1028">
        <v>0.80039546666666672</v>
      </c>
    </row>
    <row r="1029" spans="1:45" x14ac:dyDescent="0.15">
      <c r="A1029" s="4" t="str">
        <f>HYPERLINK("https://ibp.a2mac1.com/costing(costing:projects/details/9760/material/8756053)","Standard Structural Steel sheet")</f>
        <v>Standard Structural Steel sheet</v>
      </c>
      <c r="B1029">
        <v>8756053</v>
      </c>
      <c r="C1029">
        <v>12086450</v>
      </c>
      <c r="E1029">
        <v>0.61129999999999995</v>
      </c>
      <c r="F1029" t="s">
        <v>7362</v>
      </c>
      <c r="G1029">
        <v>75</v>
      </c>
      <c r="H1029" t="s">
        <v>7363</v>
      </c>
      <c r="I1029">
        <v>30</v>
      </c>
      <c r="J1029">
        <v>1.3998040274361589E-2</v>
      </c>
      <c r="K1029">
        <v>0</v>
      </c>
      <c r="L1029">
        <v>0</v>
      </c>
      <c r="M1029">
        <v>0</v>
      </c>
      <c r="O1029">
        <v>200000</v>
      </c>
      <c r="R1029" t="s">
        <v>162</v>
      </c>
      <c r="S1029">
        <v>8.80272E-2</v>
      </c>
      <c r="T1029">
        <v>1.6431744000000001E-4</v>
      </c>
      <c r="U1029" t="s">
        <v>176</v>
      </c>
      <c r="V1029">
        <v>4.1079360000000002E-2</v>
      </c>
      <c r="W1029">
        <v>1.1269124774399999</v>
      </c>
      <c r="X1029" t="s">
        <v>177</v>
      </c>
      <c r="Y1029">
        <v>6.7614748646400005E-2</v>
      </c>
      <c r="Z1029">
        <v>0</v>
      </c>
      <c r="AA1029" t="s">
        <v>178</v>
      </c>
      <c r="AB1029">
        <v>0.13522949729280001</v>
      </c>
      <c r="AC1029">
        <v>1.3297567233792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Q1029" t="s">
        <v>262</v>
      </c>
      <c r="AR1029" t="s">
        <v>263</v>
      </c>
      <c r="AS1029">
        <v>1.1736960000000001</v>
      </c>
    </row>
    <row r="1030" spans="1:45" x14ac:dyDescent="0.15">
      <c r="A1030" s="4" t="str">
        <f>HYPERLINK("https://ibp.a2mac1.com/costing(costing:projects/details/9760/material/8756054)","Standard Structural Steel sheet")</f>
        <v>Standard Structural Steel sheet</v>
      </c>
      <c r="B1030">
        <v>8756054</v>
      </c>
      <c r="C1030">
        <v>12086451</v>
      </c>
      <c r="E1030">
        <v>0.61129999999999995</v>
      </c>
      <c r="F1030" t="s">
        <v>7369</v>
      </c>
      <c r="G1030">
        <v>70</v>
      </c>
      <c r="H1030" t="s">
        <v>7370</v>
      </c>
      <c r="I1030">
        <v>30</v>
      </c>
      <c r="J1030">
        <v>1.099879013308536E-2</v>
      </c>
      <c r="K1030">
        <v>0</v>
      </c>
      <c r="L1030">
        <v>0</v>
      </c>
      <c r="M1030">
        <v>0</v>
      </c>
      <c r="O1030">
        <v>400000</v>
      </c>
      <c r="R1030" t="s">
        <v>162</v>
      </c>
      <c r="S1030">
        <v>2.9944967142857142E-2</v>
      </c>
      <c r="T1030">
        <v>3.6599404285714288E-5</v>
      </c>
      <c r="U1030" t="s">
        <v>176</v>
      </c>
      <c r="V1030">
        <v>1.1645265E-2</v>
      </c>
      <c r="W1030">
        <v>0.31445875440428572</v>
      </c>
      <c r="X1030" t="s">
        <v>177</v>
      </c>
      <c r="Y1030">
        <v>1.8867525264257144E-2</v>
      </c>
      <c r="Z1030">
        <v>0</v>
      </c>
      <c r="AA1030" t="s">
        <v>178</v>
      </c>
      <c r="AB1030">
        <v>3.7735050528514287E-2</v>
      </c>
      <c r="AC1030">
        <v>0.37106133019705712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Q1030" t="s">
        <v>262</v>
      </c>
      <c r="AR1030" t="s">
        <v>263</v>
      </c>
      <c r="AS1030">
        <v>0.33272185714285712</v>
      </c>
    </row>
    <row r="1031" spans="1:45" x14ac:dyDescent="0.15">
      <c r="A1031" s="4" t="str">
        <f>HYPERLINK("https://ibp.a2mac1.com/costing(costing:projects/details/9760/material/8755779)","Standard Structural Steel sheet")</f>
        <v>Standard Structural Steel sheet</v>
      </c>
      <c r="B1031">
        <v>8755779</v>
      </c>
      <c r="C1031">
        <v>12086193</v>
      </c>
      <c r="E1031">
        <v>0.61129999999999995</v>
      </c>
      <c r="F1031" t="s">
        <v>7381</v>
      </c>
      <c r="G1031">
        <v>60</v>
      </c>
      <c r="H1031" t="s">
        <v>7382</v>
      </c>
      <c r="I1031">
        <v>30</v>
      </c>
      <c r="J1031">
        <v>1.3998040274361589E-2</v>
      </c>
      <c r="K1031">
        <v>0</v>
      </c>
      <c r="L1031">
        <v>0</v>
      </c>
      <c r="M1031">
        <v>0</v>
      </c>
      <c r="O1031">
        <v>200000</v>
      </c>
      <c r="R1031" t="s">
        <v>162</v>
      </c>
      <c r="S1031">
        <v>0.165051</v>
      </c>
      <c r="T1031">
        <v>1.9255950000000001E-4</v>
      </c>
      <c r="U1031" t="s">
        <v>176</v>
      </c>
      <c r="V1031">
        <v>4.8139874999999999E-2</v>
      </c>
      <c r="W1031">
        <v>1.2587064345000001</v>
      </c>
      <c r="X1031" t="s">
        <v>177</v>
      </c>
      <c r="Y1031">
        <v>7.5522386070000003E-2</v>
      </c>
      <c r="Z1031">
        <v>0</v>
      </c>
      <c r="AA1031" t="s">
        <v>178</v>
      </c>
      <c r="AB1031">
        <v>0.15104477214000001</v>
      </c>
      <c r="AC1031">
        <v>1.48527359271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Q1031" t="s">
        <v>262</v>
      </c>
      <c r="AR1031" t="s">
        <v>263</v>
      </c>
      <c r="AS1031">
        <v>1.3754249999999999</v>
      </c>
    </row>
    <row r="1032" spans="1:45" x14ac:dyDescent="0.15">
      <c r="A1032" s="4" t="str">
        <f>HYPERLINK("https://ibp.a2mac1.com/costing(costing:projects/details/9760/material/8755780)","Standard Structural Steel sheet")</f>
        <v>Standard Structural Steel sheet</v>
      </c>
      <c r="B1032">
        <v>8755780</v>
      </c>
      <c r="C1032">
        <v>12086194</v>
      </c>
      <c r="E1032">
        <v>0.61129999999999995</v>
      </c>
      <c r="F1032" t="s">
        <v>4878</v>
      </c>
      <c r="G1032">
        <v>70</v>
      </c>
      <c r="H1032" t="s">
        <v>7388</v>
      </c>
      <c r="I1032">
        <v>30</v>
      </c>
      <c r="J1032">
        <v>1.099879013308536E-2</v>
      </c>
      <c r="K1032">
        <v>0</v>
      </c>
      <c r="L1032">
        <v>0</v>
      </c>
      <c r="M1032">
        <v>0</v>
      </c>
      <c r="O1032">
        <v>400000</v>
      </c>
      <c r="R1032" t="s">
        <v>162</v>
      </c>
      <c r="S1032">
        <v>3.9297857142857147E-3</v>
      </c>
      <c r="T1032">
        <v>4.8030714285714287E-6</v>
      </c>
      <c r="U1032" t="s">
        <v>176</v>
      </c>
      <c r="V1032">
        <v>1.5282500000000001E-3</v>
      </c>
      <c r="W1032">
        <v>4.126755307142857E-2</v>
      </c>
      <c r="X1032" t="s">
        <v>177</v>
      </c>
      <c r="Y1032">
        <v>2.4760531842857145E-3</v>
      </c>
      <c r="Z1032">
        <v>0</v>
      </c>
      <c r="AA1032" t="s">
        <v>178</v>
      </c>
      <c r="AB1032">
        <v>4.952106368571429E-3</v>
      </c>
      <c r="AC1032">
        <v>4.8695712624285716E-2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Q1032" t="s">
        <v>262</v>
      </c>
      <c r="AR1032" t="s">
        <v>263</v>
      </c>
      <c r="AS1032">
        <v>4.3664285714285711E-2</v>
      </c>
    </row>
    <row r="1033" spans="1:45" x14ac:dyDescent="0.15">
      <c r="A1033" s="4" t="str">
        <f>HYPERLINK("https://ibp.a2mac1.com/costing(costing:projects/details/9760/material/8755781)","Standard Structural Steel sheet")</f>
        <v>Standard Structural Steel sheet</v>
      </c>
      <c r="B1033">
        <v>8755781</v>
      </c>
      <c r="C1033">
        <v>12086195</v>
      </c>
      <c r="E1033">
        <v>0.61129999999999995</v>
      </c>
      <c r="F1033" t="s">
        <v>4296</v>
      </c>
      <c r="G1033">
        <v>70</v>
      </c>
      <c r="H1033" t="s">
        <v>7394</v>
      </c>
      <c r="I1033">
        <v>30</v>
      </c>
      <c r="J1033">
        <v>1.3998040274361589E-2</v>
      </c>
      <c r="K1033">
        <v>0</v>
      </c>
      <c r="L1033">
        <v>0</v>
      </c>
      <c r="M1033">
        <v>0</v>
      </c>
      <c r="O1033">
        <v>200000</v>
      </c>
      <c r="R1033" t="s">
        <v>162</v>
      </c>
      <c r="S1033">
        <v>2.7665691428571428E-2</v>
      </c>
      <c r="T1033">
        <v>4.303552E-5</v>
      </c>
      <c r="U1033" t="s">
        <v>176</v>
      </c>
      <c r="V1033">
        <v>1.075888E-2</v>
      </c>
      <c r="W1033">
        <v>0.29053279552</v>
      </c>
      <c r="X1033" t="s">
        <v>177</v>
      </c>
      <c r="Y1033">
        <v>1.7431967731199999E-2</v>
      </c>
      <c r="Z1033">
        <v>0</v>
      </c>
      <c r="AA1033" t="s">
        <v>178</v>
      </c>
      <c r="AB1033">
        <v>3.4863935462399999E-2</v>
      </c>
      <c r="AC1033">
        <v>0.3428286987136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Q1033" t="s">
        <v>262</v>
      </c>
      <c r="AR1033" t="s">
        <v>263</v>
      </c>
      <c r="AS1033">
        <v>0.30739657142857141</v>
      </c>
    </row>
    <row r="1034" spans="1:45" x14ac:dyDescent="0.15">
      <c r="A1034" s="4" t="str">
        <f>HYPERLINK("https://ibp.a2mac1.com/costing(costing:projects/details/9760/material/8755782)","Standard Structural Steel sheet")</f>
        <v>Standard Structural Steel sheet</v>
      </c>
      <c r="B1034">
        <v>8755782</v>
      </c>
      <c r="C1034">
        <v>12086196</v>
      </c>
      <c r="E1034">
        <v>0.61129999999999995</v>
      </c>
      <c r="F1034" t="s">
        <v>7398</v>
      </c>
      <c r="G1034">
        <v>70</v>
      </c>
      <c r="H1034" t="s">
        <v>7399</v>
      </c>
      <c r="I1034">
        <v>30</v>
      </c>
      <c r="J1034">
        <v>1.099879013308536E-2</v>
      </c>
      <c r="K1034">
        <v>0</v>
      </c>
      <c r="L1034">
        <v>0</v>
      </c>
      <c r="M1034">
        <v>0</v>
      </c>
      <c r="O1034">
        <v>400000</v>
      </c>
      <c r="R1034" t="s">
        <v>162</v>
      </c>
      <c r="S1034">
        <v>2.3578714285714284E-3</v>
      </c>
      <c r="T1034">
        <v>2.8818428571428572E-6</v>
      </c>
      <c r="U1034" t="s">
        <v>176</v>
      </c>
      <c r="V1034">
        <v>9.1695000000000004E-4</v>
      </c>
      <c r="W1034">
        <v>2.4760531842857144E-2</v>
      </c>
      <c r="X1034" t="s">
        <v>177</v>
      </c>
      <c r="Y1034">
        <v>1.4856319105714286E-3</v>
      </c>
      <c r="Z1034">
        <v>0</v>
      </c>
      <c r="AA1034" t="s">
        <v>178</v>
      </c>
      <c r="AB1034">
        <v>2.9712638211428573E-3</v>
      </c>
      <c r="AC1034">
        <v>2.9217427574571429E-2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Q1034" t="s">
        <v>262</v>
      </c>
      <c r="AR1034" t="s">
        <v>263</v>
      </c>
      <c r="AS1034">
        <v>2.6198571428571429E-2</v>
      </c>
    </row>
    <row r="1035" spans="1:45" x14ac:dyDescent="0.15">
      <c r="A1035" s="4" t="str">
        <f>HYPERLINK("https://ibp.a2mac1.com/costing(costing:projects/details/9760/material/8755783)","Standard Structural Steel sheet")</f>
        <v>Standard Structural Steel sheet</v>
      </c>
      <c r="B1035">
        <v>8755783</v>
      </c>
      <c r="C1035">
        <v>12086197</v>
      </c>
      <c r="E1035">
        <v>0.61129999999999995</v>
      </c>
      <c r="F1035" t="s">
        <v>4559</v>
      </c>
      <c r="G1035">
        <v>70</v>
      </c>
      <c r="H1035" t="s">
        <v>7403</v>
      </c>
      <c r="I1035">
        <v>30</v>
      </c>
      <c r="J1035">
        <v>1.099879013308536E-2</v>
      </c>
      <c r="K1035">
        <v>0</v>
      </c>
      <c r="L1035">
        <v>0</v>
      </c>
      <c r="M1035">
        <v>0</v>
      </c>
      <c r="O1035">
        <v>400000</v>
      </c>
      <c r="R1035" t="s">
        <v>162</v>
      </c>
      <c r="S1035">
        <v>1.4147228571428571E-3</v>
      </c>
      <c r="T1035">
        <v>1.7291057142857142E-6</v>
      </c>
      <c r="U1035" t="s">
        <v>176</v>
      </c>
      <c r="V1035">
        <v>5.5017E-4</v>
      </c>
      <c r="W1035">
        <v>1.4856319105714286E-2</v>
      </c>
      <c r="X1035" t="s">
        <v>177</v>
      </c>
      <c r="Y1035">
        <v>8.9137914634285719E-4</v>
      </c>
      <c r="Z1035">
        <v>0</v>
      </c>
      <c r="AA1035" t="s">
        <v>178</v>
      </c>
      <c r="AB1035">
        <v>1.7827582926857144E-3</v>
      </c>
      <c r="AC1035">
        <v>1.7530456544742858E-2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Q1035" t="s">
        <v>262</v>
      </c>
      <c r="AR1035" t="s">
        <v>263</v>
      </c>
      <c r="AS1035">
        <v>1.5719142857142859E-2</v>
      </c>
    </row>
    <row r="1036" spans="1:45" x14ac:dyDescent="0.15">
      <c r="A1036" s="4" t="str">
        <f>HYPERLINK("https://ibp.a2mac1.com/costing(costing:projects/details/9760/material/8755784)","Standard Structural Steel sheet")</f>
        <v>Standard Structural Steel sheet</v>
      </c>
      <c r="B1036">
        <v>8755784</v>
      </c>
      <c r="C1036">
        <v>12086198</v>
      </c>
      <c r="E1036">
        <v>0.61129999999999995</v>
      </c>
      <c r="F1036" t="s">
        <v>4739</v>
      </c>
      <c r="G1036">
        <v>70</v>
      </c>
      <c r="H1036" t="s">
        <v>7407</v>
      </c>
      <c r="I1036">
        <v>30</v>
      </c>
      <c r="J1036">
        <v>1.099879013308536E-2</v>
      </c>
      <c r="K1036">
        <v>0</v>
      </c>
      <c r="L1036">
        <v>0</v>
      </c>
      <c r="M1036">
        <v>0</v>
      </c>
      <c r="O1036">
        <v>400000</v>
      </c>
      <c r="R1036" t="s">
        <v>162</v>
      </c>
      <c r="S1036">
        <v>3.4582114285714284E-3</v>
      </c>
      <c r="T1036">
        <v>4.2267028571428574E-6</v>
      </c>
      <c r="U1036" t="s">
        <v>176</v>
      </c>
      <c r="V1036">
        <v>1.34486E-3</v>
      </c>
      <c r="W1036">
        <v>3.6315446702857142E-2</v>
      </c>
      <c r="X1036" t="s">
        <v>177</v>
      </c>
      <c r="Y1036">
        <v>2.1789268021714285E-3</v>
      </c>
      <c r="Z1036">
        <v>0</v>
      </c>
      <c r="AA1036" t="s">
        <v>178</v>
      </c>
      <c r="AB1036">
        <v>4.3578536043428571E-3</v>
      </c>
      <c r="AC1036">
        <v>4.2852227109371428E-2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Q1036" t="s">
        <v>262</v>
      </c>
      <c r="AR1036" t="s">
        <v>263</v>
      </c>
      <c r="AS1036">
        <v>3.8424571428571426E-2</v>
      </c>
    </row>
    <row r="1037" spans="1:45" x14ac:dyDescent="0.15">
      <c r="A1037" s="4" t="str">
        <f>HYPERLINK("https://ibp.a2mac1.com/costing(costing:projects/details/9760/material/8755610)","Aluminum sheet body (default, e.g. EN-AW6063)")</f>
        <v>Aluminum sheet body (default, e.g. EN-AW6063)</v>
      </c>
      <c r="B1037">
        <v>8755610</v>
      </c>
      <c r="C1037">
        <v>12085997</v>
      </c>
      <c r="E1037">
        <v>3.79636</v>
      </c>
      <c r="F1037" t="s">
        <v>7416</v>
      </c>
      <c r="G1037">
        <v>70</v>
      </c>
      <c r="H1037" t="s">
        <v>7417</v>
      </c>
      <c r="I1037">
        <v>30</v>
      </c>
      <c r="J1037">
        <v>1.3998040274361589E-2</v>
      </c>
      <c r="K1037">
        <v>0</v>
      </c>
      <c r="L1037">
        <v>0</v>
      </c>
      <c r="M1037">
        <v>0</v>
      </c>
      <c r="O1037">
        <v>200000</v>
      </c>
      <c r="R1037" t="s">
        <v>162</v>
      </c>
      <c r="S1037">
        <v>0.68432100685714281</v>
      </c>
      <c r="T1037">
        <v>1.0644993439999999E-3</v>
      </c>
      <c r="U1037" t="s">
        <v>176</v>
      </c>
      <c r="V1037">
        <v>0.26612483599999998</v>
      </c>
      <c r="W1037">
        <v>7.1864350713440004</v>
      </c>
      <c r="X1037" t="s">
        <v>177</v>
      </c>
      <c r="Y1037">
        <v>0.43118610428064003</v>
      </c>
      <c r="Z1037">
        <v>0</v>
      </c>
      <c r="AA1037" t="s">
        <v>178</v>
      </c>
      <c r="AB1037">
        <v>0.86237220856128005</v>
      </c>
      <c r="AC1037">
        <v>8.4799933841859207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Q1037" t="s">
        <v>262</v>
      </c>
      <c r="AR1037" t="s">
        <v>263</v>
      </c>
      <c r="AS1037">
        <v>7.6035667428571427</v>
      </c>
    </row>
    <row r="1038" spans="1:45" x14ac:dyDescent="0.15">
      <c r="A1038" s="4" t="str">
        <f>HYPERLINK("https://ibp.a2mac1.com/costing(costing:projects/details/9760/material/8755611)","Standard Structural Steel sheet")</f>
        <v>Standard Structural Steel sheet</v>
      </c>
      <c r="B1038">
        <v>8755611</v>
      </c>
      <c r="C1038">
        <v>12085998</v>
      </c>
      <c r="E1038">
        <v>0.61129999999999995</v>
      </c>
      <c r="F1038" t="s">
        <v>7421</v>
      </c>
      <c r="G1038">
        <v>65</v>
      </c>
      <c r="H1038" t="s">
        <v>7422</v>
      </c>
      <c r="I1038">
        <v>30</v>
      </c>
      <c r="J1038">
        <v>1.099879013308536E-2</v>
      </c>
      <c r="K1038">
        <v>0</v>
      </c>
      <c r="L1038">
        <v>0</v>
      </c>
      <c r="M1038">
        <v>0</v>
      </c>
      <c r="O1038">
        <v>400000</v>
      </c>
      <c r="R1038" t="s">
        <v>162</v>
      </c>
      <c r="S1038">
        <v>5.0559212307692308E-2</v>
      </c>
      <c r="T1038">
        <v>5.2966793846153846E-5</v>
      </c>
      <c r="U1038" t="s">
        <v>176</v>
      </c>
      <c r="V1038">
        <v>1.6853070769230771E-2</v>
      </c>
      <c r="W1038">
        <v>0.44786313294769231</v>
      </c>
      <c r="X1038" t="s">
        <v>177</v>
      </c>
      <c r="Y1038">
        <v>2.6871787976861537E-2</v>
      </c>
      <c r="Z1038">
        <v>0</v>
      </c>
      <c r="AA1038" t="s">
        <v>178</v>
      </c>
      <c r="AB1038">
        <v>5.3743575953723075E-2</v>
      </c>
      <c r="AC1038">
        <v>0.52847849687827697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Q1038" t="s">
        <v>262</v>
      </c>
      <c r="AR1038" t="s">
        <v>263</v>
      </c>
      <c r="AS1038">
        <v>0.48151630769230769</v>
      </c>
    </row>
    <row r="1039" spans="1:45" x14ac:dyDescent="0.15">
      <c r="A1039" s="4" t="str">
        <f>HYPERLINK("https://ibp.a2mac1.com/costing(costing:projects/details/9760/material/8755612)","Standard Structural Steel sheet")</f>
        <v>Standard Structural Steel sheet</v>
      </c>
      <c r="B1039">
        <v>8755612</v>
      </c>
      <c r="C1039">
        <v>12085999</v>
      </c>
      <c r="E1039">
        <v>0.61129999999999995</v>
      </c>
      <c r="F1039" t="s">
        <v>6066</v>
      </c>
      <c r="G1039">
        <v>80</v>
      </c>
      <c r="H1039" t="s">
        <v>7428</v>
      </c>
      <c r="I1039">
        <v>30</v>
      </c>
      <c r="J1039">
        <v>1.099879013308536E-2</v>
      </c>
      <c r="K1039">
        <v>0</v>
      </c>
      <c r="L1039">
        <v>0</v>
      </c>
      <c r="M1039">
        <v>0</v>
      </c>
      <c r="O1039">
        <v>400000</v>
      </c>
      <c r="R1039" t="s">
        <v>162</v>
      </c>
      <c r="S1039">
        <v>7.6565325000000004E-3</v>
      </c>
      <c r="T1039">
        <v>1.403697625E-5</v>
      </c>
      <c r="U1039" t="s">
        <v>176</v>
      </c>
      <c r="V1039">
        <v>4.4663106249999999E-3</v>
      </c>
      <c r="W1039">
        <v>0.12443269010124999</v>
      </c>
      <c r="X1039" t="s">
        <v>177</v>
      </c>
      <c r="Y1039">
        <v>7.4659614060750001E-3</v>
      </c>
      <c r="Z1039">
        <v>0</v>
      </c>
      <c r="AA1039" t="s">
        <v>178</v>
      </c>
      <c r="AB1039">
        <v>1.493192281215E-2</v>
      </c>
      <c r="AC1039">
        <v>0.14683057431947499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Q1039" t="s">
        <v>262</v>
      </c>
      <c r="AR1039" t="s">
        <v>263</v>
      </c>
      <c r="AS1039">
        <v>0.12760887500000001</v>
      </c>
    </row>
    <row r="1040" spans="1:45" x14ac:dyDescent="0.15">
      <c r="A1040" s="4" t="str">
        <f>HYPERLINK("https://ibp.a2mac1.com/costing(costing:projects/details/9760/material/8755613)","Standard Structural Steel sheet")</f>
        <v>Standard Structural Steel sheet</v>
      </c>
      <c r="B1040">
        <v>8755613</v>
      </c>
      <c r="C1040">
        <v>12086000</v>
      </c>
      <c r="E1040">
        <v>0.61129999999999995</v>
      </c>
      <c r="F1040" t="s">
        <v>6052</v>
      </c>
      <c r="G1040">
        <v>65</v>
      </c>
      <c r="H1040" t="s">
        <v>7432</v>
      </c>
      <c r="I1040">
        <v>30</v>
      </c>
      <c r="J1040">
        <v>1.099879013308536E-2</v>
      </c>
      <c r="K1040">
        <v>0</v>
      </c>
      <c r="L1040">
        <v>0</v>
      </c>
      <c r="M1040">
        <v>0</v>
      </c>
      <c r="O1040">
        <v>400000</v>
      </c>
      <c r="R1040" t="s">
        <v>162</v>
      </c>
      <c r="S1040">
        <v>4.0486869230769232E-3</v>
      </c>
      <c r="T1040">
        <v>4.2414815384615386E-6</v>
      </c>
      <c r="U1040" t="s">
        <v>176</v>
      </c>
      <c r="V1040">
        <v>1.3495623076923077E-3</v>
      </c>
      <c r="W1040">
        <v>3.5864039943076922E-2</v>
      </c>
      <c r="X1040" t="s">
        <v>177</v>
      </c>
      <c r="Y1040">
        <v>2.1518423965846156E-3</v>
      </c>
      <c r="Z1040">
        <v>0</v>
      </c>
      <c r="AA1040" t="s">
        <v>178</v>
      </c>
      <c r="AB1040">
        <v>4.3036847931692311E-3</v>
      </c>
      <c r="AC1040">
        <v>4.231956713283077E-2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Q1040" t="s">
        <v>262</v>
      </c>
      <c r="AR1040" t="s">
        <v>263</v>
      </c>
      <c r="AS1040">
        <v>3.8558923076923074E-2</v>
      </c>
    </row>
    <row r="1041" spans="1:45" x14ac:dyDescent="0.15">
      <c r="A1041" s="4" t="str">
        <f>HYPERLINK("https://ibp.a2mac1.com/costing(costing:projects/details/9760/material/8755614)","Standard Structural Steel sheet")</f>
        <v>Standard Structural Steel sheet</v>
      </c>
      <c r="B1041">
        <v>8755614</v>
      </c>
      <c r="C1041">
        <v>12086001</v>
      </c>
      <c r="E1041">
        <v>0.61129999999999995</v>
      </c>
      <c r="F1041" t="s">
        <v>4117</v>
      </c>
      <c r="G1041">
        <v>65</v>
      </c>
      <c r="H1041" t="s">
        <v>7436</v>
      </c>
      <c r="I1041">
        <v>30</v>
      </c>
      <c r="J1041">
        <v>1.099879013308536E-2</v>
      </c>
      <c r="K1041">
        <v>0</v>
      </c>
      <c r="L1041">
        <v>0</v>
      </c>
      <c r="M1041">
        <v>0</v>
      </c>
      <c r="O1041">
        <v>400000</v>
      </c>
      <c r="R1041" t="s">
        <v>162</v>
      </c>
      <c r="S1041">
        <v>2.6958329999999999E-2</v>
      </c>
      <c r="T1041">
        <v>2.8242059999999999E-5</v>
      </c>
      <c r="U1041" t="s">
        <v>176</v>
      </c>
      <c r="V1041">
        <v>8.9861100000000003E-3</v>
      </c>
      <c r="W1041">
        <v>0.23880202206000001</v>
      </c>
      <c r="X1041" t="s">
        <v>177</v>
      </c>
      <c r="Y1041">
        <v>1.43281213236E-2</v>
      </c>
      <c r="Z1041">
        <v>0</v>
      </c>
      <c r="AA1041" t="s">
        <v>178</v>
      </c>
      <c r="AB1041">
        <v>2.86562426472E-2</v>
      </c>
      <c r="AC1041">
        <v>0.28178638603079997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Q1041" t="s">
        <v>262</v>
      </c>
      <c r="AR1041" t="s">
        <v>263</v>
      </c>
      <c r="AS1041">
        <v>0.25674599999999997</v>
      </c>
    </row>
    <row r="1042" spans="1:45" x14ac:dyDescent="0.15">
      <c r="A1042" s="4" t="str">
        <f>HYPERLINK("https://ibp.a2mac1.com/costing(costing:projects/details/9760/material/8755615)","Standard Structural Steel sheet")</f>
        <v>Standard Structural Steel sheet</v>
      </c>
      <c r="B1042">
        <v>8755615</v>
      </c>
      <c r="C1042">
        <v>12086002</v>
      </c>
      <c r="E1042">
        <v>0.61129999999999995</v>
      </c>
      <c r="F1042" t="s">
        <v>7442</v>
      </c>
      <c r="G1042">
        <v>60</v>
      </c>
      <c r="H1042" t="s">
        <v>7443</v>
      </c>
      <c r="I1042">
        <v>30</v>
      </c>
      <c r="J1042">
        <v>1.099879013308536E-2</v>
      </c>
      <c r="K1042">
        <v>0</v>
      </c>
      <c r="L1042">
        <v>0</v>
      </c>
      <c r="M1042">
        <v>0</v>
      </c>
      <c r="O1042">
        <v>400000</v>
      </c>
      <c r="R1042" t="s">
        <v>162</v>
      </c>
      <c r="S1042">
        <v>0.10832236000000001</v>
      </c>
      <c r="T1042">
        <v>9.929549666666666E-5</v>
      </c>
      <c r="U1042" t="s">
        <v>176</v>
      </c>
      <c r="V1042">
        <v>3.1594021666666666E-2</v>
      </c>
      <c r="W1042">
        <v>0.82605729049666665</v>
      </c>
      <c r="X1042" t="s">
        <v>177</v>
      </c>
      <c r="Y1042">
        <v>4.9563437429800003E-2</v>
      </c>
      <c r="Z1042">
        <v>0</v>
      </c>
      <c r="AA1042" t="s">
        <v>178</v>
      </c>
      <c r="AB1042">
        <v>9.9126874859600006E-2</v>
      </c>
      <c r="AC1042">
        <v>0.97474760278606665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Q1042" t="s">
        <v>262</v>
      </c>
      <c r="AR1042" t="s">
        <v>263</v>
      </c>
      <c r="AS1042">
        <v>0.90268633333333337</v>
      </c>
    </row>
    <row r="1043" spans="1:45" x14ac:dyDescent="0.15">
      <c r="A1043" s="4" t="str">
        <f>HYPERLINK("https://ibp.a2mac1.com/costing(costing:projects/details/9760/material/8755785)","Aluminum sheet body (default, e.g. EN-AW6063)")</f>
        <v>Aluminum sheet body (default, e.g. EN-AW6063)</v>
      </c>
      <c r="B1043">
        <v>8755785</v>
      </c>
      <c r="C1043">
        <v>12086199</v>
      </c>
      <c r="E1043">
        <v>3.79636</v>
      </c>
      <c r="F1043" t="s">
        <v>7450</v>
      </c>
      <c r="G1043">
        <v>70</v>
      </c>
      <c r="H1043" t="s">
        <v>7451</v>
      </c>
      <c r="I1043">
        <v>30</v>
      </c>
      <c r="J1043">
        <v>1.3998040274361589E-2</v>
      </c>
      <c r="K1043">
        <v>0</v>
      </c>
      <c r="L1043">
        <v>0</v>
      </c>
      <c r="M1043">
        <v>0</v>
      </c>
      <c r="O1043">
        <v>200000</v>
      </c>
      <c r="R1043" t="s">
        <v>162</v>
      </c>
      <c r="S1043">
        <v>0.26259964457142859</v>
      </c>
      <c r="T1043">
        <v>4.08488336E-4</v>
      </c>
      <c r="U1043" t="s">
        <v>176</v>
      </c>
      <c r="V1043">
        <v>0.102122084</v>
      </c>
      <c r="W1043">
        <v>2.757704756336</v>
      </c>
      <c r="X1043" t="s">
        <v>177</v>
      </c>
      <c r="Y1043">
        <v>0.16546228538016</v>
      </c>
      <c r="Z1043">
        <v>0</v>
      </c>
      <c r="AA1043" t="s">
        <v>178</v>
      </c>
      <c r="AB1043">
        <v>0.33092457076032</v>
      </c>
      <c r="AC1043">
        <v>3.25409161247648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Q1043" t="s">
        <v>262</v>
      </c>
      <c r="AR1043" t="s">
        <v>263</v>
      </c>
      <c r="AS1043">
        <v>2.9177738285714288</v>
      </c>
    </row>
    <row r="1044" spans="1:45" x14ac:dyDescent="0.15">
      <c r="A1044" s="4" t="str">
        <f>HYPERLINK("https://ibp.a2mac1.com/costing(costing:projects/details/9760/material/8755786)","Standard Structural Steel sheet")</f>
        <v>Standard Structural Steel sheet</v>
      </c>
      <c r="B1044">
        <v>8755786</v>
      </c>
      <c r="C1044">
        <v>12086200</v>
      </c>
      <c r="E1044">
        <v>0.61129999999999995</v>
      </c>
      <c r="F1044" t="s">
        <v>5844</v>
      </c>
      <c r="G1044">
        <v>70</v>
      </c>
      <c r="H1044" t="s">
        <v>7457</v>
      </c>
      <c r="I1044">
        <v>30</v>
      </c>
      <c r="J1044">
        <v>1.099879013308536E-2</v>
      </c>
      <c r="K1044">
        <v>0</v>
      </c>
      <c r="L1044">
        <v>0</v>
      </c>
      <c r="M1044">
        <v>0</v>
      </c>
      <c r="O1044">
        <v>400000</v>
      </c>
      <c r="R1044" t="s">
        <v>162</v>
      </c>
      <c r="S1044">
        <v>7.0736142857142853E-3</v>
      </c>
      <c r="T1044">
        <v>8.6455285714285708E-6</v>
      </c>
      <c r="U1044" t="s">
        <v>176</v>
      </c>
      <c r="V1044">
        <v>2.75085E-3</v>
      </c>
      <c r="W1044">
        <v>7.4281595528571429E-2</v>
      </c>
      <c r="X1044" t="s">
        <v>177</v>
      </c>
      <c r="Y1044">
        <v>4.4568957317142853E-3</v>
      </c>
      <c r="Z1044">
        <v>0</v>
      </c>
      <c r="AA1044" t="s">
        <v>178</v>
      </c>
      <c r="AB1044">
        <v>8.9137914634285706E-3</v>
      </c>
      <c r="AC1044">
        <v>8.7652282723714281E-2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Q1044" t="s">
        <v>262</v>
      </c>
      <c r="AR1044" t="s">
        <v>263</v>
      </c>
      <c r="AS1044">
        <v>7.8595714285714283E-2</v>
      </c>
    </row>
    <row r="1045" spans="1:45" x14ac:dyDescent="0.15">
      <c r="A1045" s="4" t="str">
        <f>HYPERLINK("https://ibp.a2mac1.com/costing(costing:projects/details/9760/material/8755787)","Standard Structural Steel sheet")</f>
        <v>Standard Structural Steel sheet</v>
      </c>
      <c r="B1045">
        <v>8755787</v>
      </c>
      <c r="C1045">
        <v>12086201</v>
      </c>
      <c r="E1045">
        <v>0.61129999999999995</v>
      </c>
      <c r="F1045" t="s">
        <v>3064</v>
      </c>
      <c r="G1045">
        <v>70</v>
      </c>
      <c r="H1045" t="s">
        <v>7465</v>
      </c>
      <c r="I1045">
        <v>30</v>
      </c>
      <c r="J1045">
        <v>1.3998040274361589E-2</v>
      </c>
      <c r="K1045">
        <v>0</v>
      </c>
      <c r="L1045">
        <v>0</v>
      </c>
      <c r="M1045">
        <v>0</v>
      </c>
      <c r="O1045">
        <v>200000</v>
      </c>
      <c r="R1045" t="s">
        <v>162</v>
      </c>
      <c r="S1045">
        <v>7.1522100000000005E-2</v>
      </c>
      <c r="T1045">
        <v>1.1125659999999999E-4</v>
      </c>
      <c r="U1045" t="s">
        <v>176</v>
      </c>
      <c r="V1045">
        <v>2.7814149999999999E-2</v>
      </c>
      <c r="W1045">
        <v>0.75109330659999995</v>
      </c>
      <c r="X1045" t="s">
        <v>177</v>
      </c>
      <c r="Y1045">
        <v>4.5065598396000002E-2</v>
      </c>
      <c r="Z1045">
        <v>0</v>
      </c>
      <c r="AA1045" t="s">
        <v>178</v>
      </c>
      <c r="AB1045">
        <v>9.0131196792000004E-2</v>
      </c>
      <c r="AC1045">
        <v>0.88629010178800005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Q1045" t="s">
        <v>262</v>
      </c>
      <c r="AR1045" t="s">
        <v>263</v>
      </c>
      <c r="AS1045">
        <v>0.79469000000000001</v>
      </c>
    </row>
    <row r="1046" spans="1:45" x14ac:dyDescent="0.15">
      <c r="A1046" s="4" t="str">
        <f>HYPERLINK("https://ibp.a2mac1.com/costing(costing:projects/details/9760/material/8755616)","Aluminum sheet body (default, e.g. EN-AW6063)")</f>
        <v>Aluminum sheet body (default, e.g. EN-AW6063)</v>
      </c>
      <c r="B1046">
        <v>8755616</v>
      </c>
      <c r="C1046">
        <v>12086027</v>
      </c>
      <c r="E1046">
        <v>3.79636</v>
      </c>
      <c r="F1046" t="s">
        <v>7472</v>
      </c>
      <c r="G1046">
        <v>65</v>
      </c>
      <c r="H1046" t="s">
        <v>7473</v>
      </c>
      <c r="I1046">
        <v>30</v>
      </c>
      <c r="J1046">
        <v>1.099879013308536E-2</v>
      </c>
      <c r="K1046">
        <v>0</v>
      </c>
      <c r="L1046">
        <v>0</v>
      </c>
      <c r="M1046">
        <v>0</v>
      </c>
      <c r="O1046">
        <v>400000</v>
      </c>
      <c r="R1046" t="s">
        <v>162</v>
      </c>
      <c r="S1046">
        <v>5.8872782769230768E-2</v>
      </c>
      <c r="T1046">
        <v>6.167624861538461E-5</v>
      </c>
      <c r="U1046" t="s">
        <v>176</v>
      </c>
      <c r="V1046">
        <v>1.9624260923076921E-2</v>
      </c>
      <c r="W1046">
        <v>0.52150632363323079</v>
      </c>
      <c r="X1046" t="s">
        <v>177</v>
      </c>
      <c r="Y1046">
        <v>3.1290379417993848E-2</v>
      </c>
      <c r="Z1046">
        <v>0</v>
      </c>
      <c r="AA1046" t="s">
        <v>178</v>
      </c>
      <c r="AB1046">
        <v>6.2580758835987696E-2</v>
      </c>
      <c r="AC1046">
        <v>0.61537746188721232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Q1046" t="s">
        <v>262</v>
      </c>
      <c r="AR1046" t="s">
        <v>263</v>
      </c>
      <c r="AS1046">
        <v>0.56069316923076928</v>
      </c>
    </row>
    <row r="1047" spans="1:45" x14ac:dyDescent="0.15">
      <c r="A1047" s="4" t="str">
        <f>HYPERLINK("https://ibp.a2mac1.com/costing(costing:projects/details/9760/material/8755617)","Standard Structural Steel sheet")</f>
        <v>Standard Structural Steel sheet</v>
      </c>
      <c r="B1047">
        <v>8755617</v>
      </c>
      <c r="C1047">
        <v>12086028</v>
      </c>
      <c r="E1047">
        <v>0.61129999999999995</v>
      </c>
      <c r="F1047" t="s">
        <v>5074</v>
      </c>
      <c r="G1047">
        <v>80</v>
      </c>
      <c r="H1047" t="s">
        <v>7477</v>
      </c>
      <c r="I1047">
        <v>30</v>
      </c>
      <c r="J1047">
        <v>1.099879013308536E-2</v>
      </c>
      <c r="K1047">
        <v>0</v>
      </c>
      <c r="L1047">
        <v>0</v>
      </c>
      <c r="M1047">
        <v>0</v>
      </c>
      <c r="O1047">
        <v>400000</v>
      </c>
      <c r="R1047" t="s">
        <v>162</v>
      </c>
      <c r="S1047">
        <v>5.1807674999999999E-3</v>
      </c>
      <c r="T1047">
        <v>9.4980737499999996E-6</v>
      </c>
      <c r="U1047" t="s">
        <v>176</v>
      </c>
      <c r="V1047">
        <v>3.022114375E-3</v>
      </c>
      <c r="W1047">
        <v>8.4196969948750006E-2</v>
      </c>
      <c r="X1047" t="s">
        <v>177</v>
      </c>
      <c r="Y1047">
        <v>5.0518181969250002E-3</v>
      </c>
      <c r="Z1047">
        <v>0</v>
      </c>
      <c r="AA1047" t="s">
        <v>178</v>
      </c>
      <c r="AB1047">
        <v>1.010363639385E-2</v>
      </c>
      <c r="AC1047">
        <v>9.9352424539525003E-2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Q1047" t="s">
        <v>262</v>
      </c>
      <c r="AR1047" t="s">
        <v>263</v>
      </c>
      <c r="AS1047">
        <v>8.6346124999999996E-2</v>
      </c>
    </row>
    <row r="1048" spans="1:45" x14ac:dyDescent="0.15">
      <c r="A1048" s="4" t="str">
        <f>HYPERLINK("https://ibp.a2mac1.com/costing(costing:projects/details/9760/material/8755618)","Standard Structural Steel sheet")</f>
        <v>Standard Structural Steel sheet</v>
      </c>
      <c r="B1048">
        <v>8755618</v>
      </c>
      <c r="C1048">
        <v>12086029</v>
      </c>
      <c r="E1048">
        <v>0.61129999999999995</v>
      </c>
      <c r="F1048" t="s">
        <v>4933</v>
      </c>
      <c r="G1048">
        <v>80</v>
      </c>
      <c r="H1048" t="s">
        <v>7481</v>
      </c>
      <c r="I1048">
        <v>30</v>
      </c>
      <c r="J1048">
        <v>1.099879013308536E-2</v>
      </c>
      <c r="K1048">
        <v>0</v>
      </c>
      <c r="L1048">
        <v>0</v>
      </c>
      <c r="M1048">
        <v>0</v>
      </c>
      <c r="O1048">
        <v>400000</v>
      </c>
      <c r="R1048" t="s">
        <v>162</v>
      </c>
      <c r="S1048">
        <v>2.475765E-3</v>
      </c>
      <c r="T1048">
        <v>4.5389025E-6</v>
      </c>
      <c r="U1048" t="s">
        <v>176</v>
      </c>
      <c r="V1048">
        <v>1.4441962500000001E-3</v>
      </c>
      <c r="W1048">
        <v>4.0235720152500001E-2</v>
      </c>
      <c r="X1048" t="s">
        <v>177</v>
      </c>
      <c r="Y1048">
        <v>2.4141432091499999E-3</v>
      </c>
      <c r="Z1048">
        <v>0</v>
      </c>
      <c r="AA1048" t="s">
        <v>178</v>
      </c>
      <c r="AB1048">
        <v>4.8282864182999999E-3</v>
      </c>
      <c r="AC1048">
        <v>4.7478149779949998E-2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Q1048" t="s">
        <v>262</v>
      </c>
      <c r="AR1048" t="s">
        <v>263</v>
      </c>
      <c r="AS1048">
        <v>4.1262750000000001E-2</v>
      </c>
    </row>
    <row r="1049" spans="1:45" x14ac:dyDescent="0.15">
      <c r="A1049" s="4" t="str">
        <f>HYPERLINK("https://ibp.a2mac1.com/costing(costing:projects/details/9760/material/8755619)","Standard Structural Steel sheet")</f>
        <v>Standard Structural Steel sheet</v>
      </c>
      <c r="B1049">
        <v>8755619</v>
      </c>
      <c r="C1049">
        <v>12086030</v>
      </c>
      <c r="E1049">
        <v>0.61129999999999995</v>
      </c>
      <c r="F1049" t="s">
        <v>4898</v>
      </c>
      <c r="G1049">
        <v>80</v>
      </c>
      <c r="H1049" t="s">
        <v>7485</v>
      </c>
      <c r="I1049">
        <v>30</v>
      </c>
      <c r="J1049">
        <v>1.099879013308536E-2</v>
      </c>
      <c r="K1049">
        <v>0</v>
      </c>
      <c r="L1049">
        <v>0</v>
      </c>
      <c r="M1049">
        <v>0</v>
      </c>
      <c r="O1049">
        <v>400000</v>
      </c>
      <c r="R1049" t="s">
        <v>162</v>
      </c>
      <c r="S1049">
        <v>6.4186500000000004E-4</v>
      </c>
      <c r="T1049">
        <v>1.1767525E-6</v>
      </c>
      <c r="U1049" t="s">
        <v>176</v>
      </c>
      <c r="V1049">
        <v>3.7442124999999998E-4</v>
      </c>
      <c r="W1049">
        <v>1.04314830025E-2</v>
      </c>
      <c r="X1049" t="s">
        <v>177</v>
      </c>
      <c r="Y1049">
        <v>6.2588898015000002E-4</v>
      </c>
      <c r="Z1049">
        <v>0</v>
      </c>
      <c r="AA1049" t="s">
        <v>178</v>
      </c>
      <c r="AB1049">
        <v>1.2517779603E-3</v>
      </c>
      <c r="AC1049">
        <v>1.2309149942949999E-2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Q1049" t="s">
        <v>262</v>
      </c>
      <c r="AR1049" t="s">
        <v>263</v>
      </c>
      <c r="AS1049">
        <v>1.0697750000000001E-2</v>
      </c>
    </row>
    <row r="1050" spans="1:45" x14ac:dyDescent="0.15">
      <c r="A1050" s="4" t="str">
        <f>HYPERLINK("https://ibp.a2mac1.com/costing(costing:projects/details/9760/material/8755620)","Standard Structural Steel sheet")</f>
        <v>Standard Structural Steel sheet</v>
      </c>
      <c r="B1050">
        <v>8755620</v>
      </c>
      <c r="C1050">
        <v>12086031</v>
      </c>
      <c r="E1050">
        <v>0.61129999999999995</v>
      </c>
      <c r="F1050" t="s">
        <v>7493</v>
      </c>
      <c r="G1050">
        <v>75</v>
      </c>
      <c r="H1050" t="s">
        <v>7494</v>
      </c>
      <c r="I1050">
        <v>30</v>
      </c>
      <c r="J1050">
        <v>1.3998040274361589E-2</v>
      </c>
      <c r="K1050">
        <v>0</v>
      </c>
      <c r="L1050">
        <v>0</v>
      </c>
      <c r="M1050">
        <v>0</v>
      </c>
      <c r="O1050">
        <v>200000</v>
      </c>
      <c r="R1050" t="s">
        <v>162</v>
      </c>
      <c r="S1050">
        <v>0.17691022000000001</v>
      </c>
      <c r="T1050">
        <v>3.3023241066666665E-4</v>
      </c>
      <c r="U1050" t="s">
        <v>176</v>
      </c>
      <c r="V1050">
        <v>8.2558102666666661E-2</v>
      </c>
      <c r="W1050">
        <v>2.2647810484106667</v>
      </c>
      <c r="X1050" t="s">
        <v>177</v>
      </c>
      <c r="Y1050">
        <v>0.13588686290464</v>
      </c>
      <c r="Z1050">
        <v>0</v>
      </c>
      <c r="AA1050" t="s">
        <v>178</v>
      </c>
      <c r="AB1050">
        <v>0.27177372580928</v>
      </c>
      <c r="AC1050">
        <v>2.6724416371245865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Q1050" t="s">
        <v>262</v>
      </c>
      <c r="AR1050" t="s">
        <v>263</v>
      </c>
      <c r="AS1050">
        <v>2.3588029333333331</v>
      </c>
    </row>
    <row r="1051" spans="1:45" x14ac:dyDescent="0.15">
      <c r="A1051" s="4" t="str">
        <f>HYPERLINK("https://ibp.a2mac1.com/costing(costing:projects/details/9760/material/8755621)","Standard Structural Steel sheet")</f>
        <v>Standard Structural Steel sheet</v>
      </c>
      <c r="B1051">
        <v>8755621</v>
      </c>
      <c r="C1051">
        <v>12086032</v>
      </c>
      <c r="E1051">
        <v>0.61129999999999995</v>
      </c>
      <c r="F1051" t="s">
        <v>7500</v>
      </c>
      <c r="G1051">
        <v>65</v>
      </c>
      <c r="H1051" t="s">
        <v>7501</v>
      </c>
      <c r="I1051">
        <v>30</v>
      </c>
      <c r="J1051">
        <v>1.3998040274361589E-2</v>
      </c>
      <c r="K1051">
        <v>0</v>
      </c>
      <c r="L1051">
        <v>0</v>
      </c>
      <c r="M1051">
        <v>0</v>
      </c>
      <c r="O1051">
        <v>200000</v>
      </c>
      <c r="R1051" t="s">
        <v>162</v>
      </c>
      <c r="S1051">
        <v>9.4601026153846149E-2</v>
      </c>
      <c r="T1051">
        <v>1.2613470153846154E-4</v>
      </c>
      <c r="U1051" t="s">
        <v>176</v>
      </c>
      <c r="V1051">
        <v>3.1533675384615385E-2</v>
      </c>
      <c r="W1051">
        <v>0.83802093777846154</v>
      </c>
      <c r="X1051" t="s">
        <v>177</v>
      </c>
      <c r="Y1051">
        <v>5.0281256266707694E-2</v>
      </c>
      <c r="Z1051">
        <v>0</v>
      </c>
      <c r="AA1051" t="s">
        <v>178</v>
      </c>
      <c r="AB1051">
        <v>0.10056251253341539</v>
      </c>
      <c r="AC1051">
        <v>0.98886470657858461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Q1051" t="s">
        <v>262</v>
      </c>
      <c r="AR1051" t="s">
        <v>263</v>
      </c>
      <c r="AS1051">
        <v>0.90096215384615386</v>
      </c>
    </row>
    <row r="1052" spans="1:45" x14ac:dyDescent="0.15">
      <c r="A1052" s="4" t="str">
        <f>HYPERLINK("https://ibp.a2mac1.com/costing(costing:projects/details/9760/material/8755622)","Standard Structural Steel sheet")</f>
        <v>Standard Structural Steel sheet</v>
      </c>
      <c r="B1052">
        <v>8755622</v>
      </c>
      <c r="C1052">
        <v>12086033</v>
      </c>
      <c r="E1052">
        <v>0.61129999999999995</v>
      </c>
      <c r="F1052" t="s">
        <v>7505</v>
      </c>
      <c r="G1052">
        <v>65</v>
      </c>
      <c r="H1052" t="s">
        <v>7506</v>
      </c>
      <c r="I1052">
        <v>30</v>
      </c>
      <c r="J1052">
        <v>1.099879013308536E-2</v>
      </c>
      <c r="K1052">
        <v>0</v>
      </c>
      <c r="L1052">
        <v>0</v>
      </c>
      <c r="M1052">
        <v>0</v>
      </c>
      <c r="O1052">
        <v>400000</v>
      </c>
      <c r="R1052" t="s">
        <v>162</v>
      </c>
      <c r="S1052">
        <v>5.8360340769230766E-2</v>
      </c>
      <c r="T1052">
        <v>6.1139404615384612E-5</v>
      </c>
      <c r="U1052" t="s">
        <v>176</v>
      </c>
      <c r="V1052">
        <v>1.9453446923076923E-2</v>
      </c>
      <c r="W1052">
        <v>0.51696701478923079</v>
      </c>
      <c r="X1052" t="s">
        <v>177</v>
      </c>
      <c r="Y1052">
        <v>3.1018020887353847E-2</v>
      </c>
      <c r="Z1052">
        <v>0</v>
      </c>
      <c r="AA1052" t="s">
        <v>178</v>
      </c>
      <c r="AB1052">
        <v>6.2036041774707694E-2</v>
      </c>
      <c r="AC1052">
        <v>0.6100210774512923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Q1052" t="s">
        <v>262</v>
      </c>
      <c r="AR1052" t="s">
        <v>263</v>
      </c>
      <c r="AS1052">
        <v>0.55581276923076928</v>
      </c>
    </row>
    <row r="1053" spans="1:45" x14ac:dyDescent="0.15">
      <c r="A1053" s="4" t="str">
        <f>HYPERLINK("https://ibp.a2mac1.com/costing(costing:projects/details/9760/material/8755623)","Standard Structural Steel sheet")</f>
        <v>Standard Structural Steel sheet</v>
      </c>
      <c r="B1053">
        <v>8755623</v>
      </c>
      <c r="C1053">
        <v>12086034</v>
      </c>
      <c r="E1053">
        <v>0.61129999999999995</v>
      </c>
      <c r="F1053" t="s">
        <v>7512</v>
      </c>
      <c r="G1053">
        <v>70</v>
      </c>
      <c r="H1053" t="s">
        <v>7513</v>
      </c>
      <c r="I1053">
        <v>30</v>
      </c>
      <c r="J1053">
        <v>1.3998040274361589E-2</v>
      </c>
      <c r="K1053">
        <v>0</v>
      </c>
      <c r="L1053">
        <v>0</v>
      </c>
      <c r="M1053">
        <v>0</v>
      </c>
      <c r="O1053">
        <v>200000</v>
      </c>
      <c r="R1053" t="s">
        <v>162</v>
      </c>
      <c r="S1053">
        <v>1.9177354285714286E-2</v>
      </c>
      <c r="T1053">
        <v>2.983144E-5</v>
      </c>
      <c r="U1053" t="s">
        <v>176</v>
      </c>
      <c r="V1053">
        <v>7.4578600000000002E-3</v>
      </c>
      <c r="W1053">
        <v>0.20139205144</v>
      </c>
      <c r="X1053" t="s">
        <v>177</v>
      </c>
      <c r="Y1053">
        <v>1.2083523086400001E-2</v>
      </c>
      <c r="Z1053">
        <v>0</v>
      </c>
      <c r="AA1053" t="s">
        <v>178</v>
      </c>
      <c r="AB1053">
        <v>2.4167046172800001E-2</v>
      </c>
      <c r="AC1053">
        <v>0.2376426206992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Q1053" t="s">
        <v>262</v>
      </c>
      <c r="AR1053" t="s">
        <v>263</v>
      </c>
      <c r="AS1053">
        <v>0.21308171428571429</v>
      </c>
    </row>
    <row r="1054" spans="1:45" x14ac:dyDescent="0.15">
      <c r="A1054" s="4" t="str">
        <f>HYPERLINK("https://ibp.a2mac1.com/costing(costing:projects/details/9760/material/8755624)","Standard Structural Steel sheet")</f>
        <v>Standard Structural Steel sheet</v>
      </c>
      <c r="B1054">
        <v>8755624</v>
      </c>
      <c r="C1054">
        <v>12086035</v>
      </c>
      <c r="E1054">
        <v>0.61129999999999995</v>
      </c>
      <c r="F1054" t="s">
        <v>4382</v>
      </c>
      <c r="G1054">
        <v>50</v>
      </c>
      <c r="H1054" t="s">
        <v>4398</v>
      </c>
      <c r="I1054">
        <v>30</v>
      </c>
      <c r="J1054">
        <v>1.3998040274361589E-2</v>
      </c>
      <c r="K1054">
        <v>0</v>
      </c>
      <c r="L1054">
        <v>0</v>
      </c>
      <c r="M1054">
        <v>0</v>
      </c>
      <c r="O1054">
        <v>200000</v>
      </c>
      <c r="R1054" t="s">
        <v>162</v>
      </c>
      <c r="S1054">
        <v>3.6678000000000001E-3</v>
      </c>
      <c r="T1054">
        <v>3.4232800000000002E-6</v>
      </c>
      <c r="U1054" t="s">
        <v>176</v>
      </c>
      <c r="V1054">
        <v>8.5581999999999997E-4</v>
      </c>
      <c r="W1054">
        <v>2.1643443280000001E-2</v>
      </c>
      <c r="X1054" t="s">
        <v>177</v>
      </c>
      <c r="Y1054">
        <v>1.2986065967999999E-3</v>
      </c>
      <c r="Z1054">
        <v>0</v>
      </c>
      <c r="AA1054" t="s">
        <v>178</v>
      </c>
      <c r="AB1054">
        <v>2.5972131935999999E-3</v>
      </c>
      <c r="AC1054">
        <v>2.5539263070400001E-2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Q1054" t="s">
        <v>262</v>
      </c>
      <c r="AR1054" t="s">
        <v>263</v>
      </c>
      <c r="AS1054">
        <v>2.4452000000000002E-2</v>
      </c>
    </row>
    <row r="1055" spans="1:45" x14ac:dyDescent="0.15">
      <c r="A1055" s="4" t="str">
        <f>HYPERLINK("https://ibp.a2mac1.com/costing(costing:projects/details/9760/material/8755625)","Standard Structural Steel sheet")</f>
        <v>Standard Structural Steel sheet</v>
      </c>
      <c r="B1055">
        <v>8755625</v>
      </c>
      <c r="C1055">
        <v>12086036</v>
      </c>
      <c r="E1055">
        <v>0.61129999999999995</v>
      </c>
      <c r="F1055" t="s">
        <v>5087</v>
      </c>
      <c r="G1055">
        <v>60</v>
      </c>
      <c r="H1055" t="s">
        <v>7522</v>
      </c>
      <c r="I1055">
        <v>30</v>
      </c>
      <c r="J1055">
        <v>1.099879013308536E-2</v>
      </c>
      <c r="K1055">
        <v>0</v>
      </c>
      <c r="L1055">
        <v>0</v>
      </c>
      <c r="M1055">
        <v>0</v>
      </c>
      <c r="O1055">
        <v>400000</v>
      </c>
      <c r="R1055" t="s">
        <v>162</v>
      </c>
      <c r="S1055">
        <v>4.1568400000000002E-3</v>
      </c>
      <c r="T1055">
        <v>3.8104366666666668E-6</v>
      </c>
      <c r="U1055" t="s">
        <v>176</v>
      </c>
      <c r="V1055">
        <v>1.2124116666666666E-3</v>
      </c>
      <c r="W1055">
        <v>3.1699715436666664E-2</v>
      </c>
      <c r="X1055" t="s">
        <v>177</v>
      </c>
      <c r="Y1055">
        <v>1.9019829261999999E-3</v>
      </c>
      <c r="Z1055">
        <v>0</v>
      </c>
      <c r="AA1055" t="s">
        <v>178</v>
      </c>
      <c r="AB1055">
        <v>3.8039658523999998E-3</v>
      </c>
      <c r="AC1055">
        <v>3.7405664215266664E-2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Q1055" t="s">
        <v>262</v>
      </c>
      <c r="AR1055" t="s">
        <v>263</v>
      </c>
      <c r="AS1055">
        <v>3.4640333333333335E-2</v>
      </c>
    </row>
    <row r="1056" spans="1:45" x14ac:dyDescent="0.15">
      <c r="A1056" s="4" t="str">
        <f>HYPERLINK("https://ibp.a2mac1.com/costing(costing:projects/details/9760/material/8755788)","Standard Structural Steel sheet")</f>
        <v>Standard Structural Steel sheet</v>
      </c>
      <c r="B1056">
        <v>8755788</v>
      </c>
      <c r="C1056">
        <v>12086202</v>
      </c>
      <c r="E1056">
        <v>0.61129999999999995</v>
      </c>
      <c r="F1056" t="s">
        <v>7531</v>
      </c>
      <c r="G1056">
        <v>35</v>
      </c>
      <c r="H1056" t="s">
        <v>7532</v>
      </c>
      <c r="I1056">
        <v>30</v>
      </c>
      <c r="J1056">
        <v>1.099879013308536E-2</v>
      </c>
      <c r="K1056">
        <v>0</v>
      </c>
      <c r="L1056">
        <v>0</v>
      </c>
      <c r="M1056">
        <v>0</v>
      </c>
      <c r="O1056">
        <v>400000</v>
      </c>
      <c r="R1056" t="s">
        <v>162</v>
      </c>
      <c r="S1056">
        <v>3.3080674157142855</v>
      </c>
      <c r="T1056">
        <v>1.8660893114285713E-3</v>
      </c>
      <c r="U1056" t="s">
        <v>176</v>
      </c>
      <c r="V1056">
        <v>0.59375568999999995</v>
      </c>
      <c r="W1056">
        <v>14.252002649311429</v>
      </c>
      <c r="X1056" t="s">
        <v>90</v>
      </c>
      <c r="Y1056">
        <v>0</v>
      </c>
      <c r="Z1056">
        <v>0</v>
      </c>
      <c r="AA1056" t="s">
        <v>90</v>
      </c>
      <c r="AB1056">
        <v>0</v>
      </c>
      <c r="AC1056">
        <v>14.252002649311429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Q1056" t="s">
        <v>262</v>
      </c>
      <c r="AR1056" t="s">
        <v>263</v>
      </c>
      <c r="AS1056">
        <v>16.964448285714287</v>
      </c>
    </row>
    <row r="1057" spans="1:45" x14ac:dyDescent="0.15">
      <c r="A1057" s="4" t="str">
        <f>HYPERLINK("https://ibp.a2mac1.com/costing(costing:projects/details/9760/material/8755789)","Standard Structural Steel sheet")</f>
        <v>Standard Structural Steel sheet</v>
      </c>
      <c r="B1057">
        <v>8755789</v>
      </c>
      <c r="C1057">
        <v>12086203</v>
      </c>
      <c r="E1057">
        <v>0.61129999999999995</v>
      </c>
      <c r="F1057" t="s">
        <v>7537</v>
      </c>
      <c r="G1057">
        <v>50</v>
      </c>
      <c r="H1057" t="s">
        <v>7538</v>
      </c>
      <c r="I1057">
        <v>30</v>
      </c>
      <c r="J1057">
        <v>1.099879013308536E-2</v>
      </c>
      <c r="K1057">
        <v>0</v>
      </c>
      <c r="L1057">
        <v>0</v>
      </c>
      <c r="M1057">
        <v>0</v>
      </c>
      <c r="O1057">
        <v>400000</v>
      </c>
      <c r="R1057" t="s">
        <v>162</v>
      </c>
      <c r="S1057">
        <v>0.15166352999999999</v>
      </c>
      <c r="T1057">
        <v>1.11219922E-4</v>
      </c>
      <c r="U1057" t="s">
        <v>176</v>
      </c>
      <c r="V1057">
        <v>3.5388157000000003E-2</v>
      </c>
      <c r="W1057">
        <v>0.89492604692199995</v>
      </c>
      <c r="X1057" t="s">
        <v>177</v>
      </c>
      <c r="Y1057">
        <v>5.3695562815320001E-2</v>
      </c>
      <c r="Z1057">
        <v>0</v>
      </c>
      <c r="AA1057" t="s">
        <v>178</v>
      </c>
      <c r="AB1057">
        <v>0.10739112563064</v>
      </c>
      <c r="AC1057">
        <v>1.05601273536796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Q1057" t="s">
        <v>262</v>
      </c>
      <c r="AR1057" t="s">
        <v>263</v>
      </c>
      <c r="AS1057">
        <v>1.0110901999999999</v>
      </c>
    </row>
    <row r="1058" spans="1:45" x14ac:dyDescent="0.15">
      <c r="A1058" s="4" t="str">
        <f>HYPERLINK("https://ibp.a2mac1.com/costing(costing:projects/details/9760/material/8755790)","Standard Structural Steel sheet")</f>
        <v>Standard Structural Steel sheet</v>
      </c>
      <c r="B1058">
        <v>8755790</v>
      </c>
      <c r="C1058">
        <v>12086204</v>
      </c>
      <c r="E1058">
        <v>0.61129999999999995</v>
      </c>
      <c r="F1058" t="s">
        <v>7542</v>
      </c>
      <c r="G1058">
        <v>55</v>
      </c>
      <c r="H1058" t="s">
        <v>7543</v>
      </c>
      <c r="I1058">
        <v>30</v>
      </c>
      <c r="J1058">
        <v>1.099879013308536E-2</v>
      </c>
      <c r="K1058">
        <v>0</v>
      </c>
      <c r="L1058">
        <v>0</v>
      </c>
      <c r="M1058">
        <v>0</v>
      </c>
      <c r="O1058">
        <v>400000</v>
      </c>
      <c r="R1058" t="s">
        <v>162</v>
      </c>
      <c r="S1058">
        <v>7.7874062727272722E-2</v>
      </c>
      <c r="T1058">
        <v>6.345294E-5</v>
      </c>
      <c r="U1058" t="s">
        <v>176</v>
      </c>
      <c r="V1058">
        <v>2.0189571818181817E-2</v>
      </c>
      <c r="W1058">
        <v>0.51922387112181823</v>
      </c>
      <c r="X1058" t="s">
        <v>177</v>
      </c>
      <c r="Y1058">
        <v>3.115343226730909E-2</v>
      </c>
      <c r="Z1058">
        <v>0</v>
      </c>
      <c r="AA1058" t="s">
        <v>178</v>
      </c>
      <c r="AB1058">
        <v>6.230686453461818E-2</v>
      </c>
      <c r="AC1058">
        <v>0.61268416792374547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Q1058" t="s">
        <v>262</v>
      </c>
      <c r="AR1058" t="s">
        <v>263</v>
      </c>
      <c r="AS1058">
        <v>0.57684490909090913</v>
      </c>
    </row>
    <row r="1059" spans="1:45" x14ac:dyDescent="0.15">
      <c r="A1059" s="4" t="str">
        <f>HYPERLINK("https://ibp.a2mac1.com/costing(costing:projects/details/9760/material/8755791)","Standard Structural Steel sheet")</f>
        <v>Standard Structural Steel sheet</v>
      </c>
      <c r="B1059">
        <v>8755791</v>
      </c>
      <c r="C1059">
        <v>12086205</v>
      </c>
      <c r="E1059">
        <v>0.61129999999999995</v>
      </c>
      <c r="F1059" t="s">
        <v>6076</v>
      </c>
      <c r="G1059">
        <v>50</v>
      </c>
      <c r="H1059" t="s">
        <v>7549</v>
      </c>
      <c r="I1059">
        <v>30</v>
      </c>
      <c r="J1059">
        <v>1.099879013308536E-2</v>
      </c>
      <c r="K1059">
        <v>0</v>
      </c>
      <c r="L1059">
        <v>0</v>
      </c>
      <c r="M1059">
        <v>0</v>
      </c>
      <c r="O1059">
        <v>400000</v>
      </c>
      <c r="R1059" t="s">
        <v>162</v>
      </c>
      <c r="S1059">
        <v>5.2082759999999999E-2</v>
      </c>
      <c r="T1059">
        <v>3.8194024E-5</v>
      </c>
      <c r="U1059" t="s">
        <v>176</v>
      </c>
      <c r="V1059">
        <v>1.2152644000000001E-2</v>
      </c>
      <c r="W1059">
        <v>0.30732647802399998</v>
      </c>
      <c r="X1059" t="s">
        <v>177</v>
      </c>
      <c r="Y1059">
        <v>1.8439588681440001E-2</v>
      </c>
      <c r="Z1059">
        <v>0</v>
      </c>
      <c r="AA1059" t="s">
        <v>178</v>
      </c>
      <c r="AB1059">
        <v>3.6879177362880003E-2</v>
      </c>
      <c r="AC1059">
        <v>0.36264524406831999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Q1059" t="s">
        <v>262</v>
      </c>
      <c r="AR1059" t="s">
        <v>263</v>
      </c>
      <c r="AS1059">
        <v>0.34721839999999998</v>
      </c>
    </row>
    <row r="1060" spans="1:45" x14ac:dyDescent="0.15">
      <c r="A1060" s="4" t="str">
        <f>HYPERLINK("https://ibp.a2mac1.com/costing(costing:projects/details/9760/material/8755792)","Standard Structural Steel sheet")</f>
        <v>Standard Structural Steel sheet</v>
      </c>
      <c r="B1060">
        <v>8755792</v>
      </c>
      <c r="C1060">
        <v>12086206</v>
      </c>
      <c r="E1060">
        <v>0.61129999999999995</v>
      </c>
      <c r="F1060" t="s">
        <v>5490</v>
      </c>
      <c r="G1060">
        <v>50</v>
      </c>
      <c r="H1060" t="s">
        <v>7555</v>
      </c>
      <c r="I1060">
        <v>30</v>
      </c>
      <c r="J1060">
        <v>1.099879013308536E-2</v>
      </c>
      <c r="K1060">
        <v>0</v>
      </c>
      <c r="L1060">
        <v>0</v>
      </c>
      <c r="M1060">
        <v>0</v>
      </c>
      <c r="O1060">
        <v>400000</v>
      </c>
      <c r="R1060" t="s">
        <v>162</v>
      </c>
      <c r="S1060">
        <v>1.7238659999999999E-2</v>
      </c>
      <c r="T1060">
        <v>1.2641683999999999E-5</v>
      </c>
      <c r="U1060" t="s">
        <v>176</v>
      </c>
      <c r="V1060">
        <v>4.0223539999999997E-3</v>
      </c>
      <c r="W1060">
        <v>0.101720735684</v>
      </c>
      <c r="X1060" t="s">
        <v>177</v>
      </c>
      <c r="Y1060">
        <v>6.1032441410399998E-3</v>
      </c>
      <c r="Z1060">
        <v>0</v>
      </c>
      <c r="AA1060" t="s">
        <v>178</v>
      </c>
      <c r="AB1060">
        <v>1.220648828208E-2</v>
      </c>
      <c r="AC1060">
        <v>0.12003046810711999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Q1060" t="s">
        <v>262</v>
      </c>
      <c r="AR1060" t="s">
        <v>263</v>
      </c>
      <c r="AS1060">
        <v>0.1149244</v>
      </c>
    </row>
    <row r="1061" spans="1:45" x14ac:dyDescent="0.15">
      <c r="A1061" s="4" t="str">
        <f>HYPERLINK("https://ibp.a2mac1.com/costing(costing:projects/details/9760/material/8755793)","Standard Structural Steel sheet")</f>
        <v>Standard Structural Steel sheet</v>
      </c>
      <c r="B1061">
        <v>8755793</v>
      </c>
      <c r="C1061">
        <v>12086207</v>
      </c>
      <c r="E1061">
        <v>0.61129999999999995</v>
      </c>
      <c r="F1061" t="s">
        <v>4249</v>
      </c>
      <c r="G1061">
        <v>70</v>
      </c>
      <c r="H1061" t="s">
        <v>4582</v>
      </c>
      <c r="I1061">
        <v>30</v>
      </c>
      <c r="J1061">
        <v>1.099879013308536E-2</v>
      </c>
      <c r="K1061">
        <v>0</v>
      </c>
      <c r="L1061">
        <v>0</v>
      </c>
      <c r="M1061">
        <v>0</v>
      </c>
      <c r="O1061">
        <v>400000</v>
      </c>
      <c r="R1061" t="s">
        <v>162</v>
      </c>
      <c r="S1061">
        <v>1.65051E-3</v>
      </c>
      <c r="T1061">
        <v>2.0172899999999999E-6</v>
      </c>
      <c r="U1061" t="s">
        <v>176</v>
      </c>
      <c r="V1061">
        <v>6.4186500000000004E-4</v>
      </c>
      <c r="W1061">
        <v>1.7332372289999998E-2</v>
      </c>
      <c r="X1061" t="s">
        <v>177</v>
      </c>
      <c r="Y1061">
        <v>1.0399423373999999E-3</v>
      </c>
      <c r="Z1061">
        <v>0</v>
      </c>
      <c r="AA1061" t="s">
        <v>178</v>
      </c>
      <c r="AB1061">
        <v>2.0798846747999999E-3</v>
      </c>
      <c r="AC1061">
        <v>2.0452199302199998E-2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Q1061" t="s">
        <v>262</v>
      </c>
      <c r="AR1061" t="s">
        <v>263</v>
      </c>
      <c r="AS1061">
        <v>1.8339000000000001E-2</v>
      </c>
    </row>
    <row r="1062" spans="1:45" x14ac:dyDescent="0.15">
      <c r="A1062" s="4" t="str">
        <f>HYPERLINK("https://ibp.a2mac1.com/costing(costing:projects/details/9760/material/8755794)","Standard Structural Steel sheet")</f>
        <v>Standard Structural Steel sheet</v>
      </c>
      <c r="B1062">
        <v>8755794</v>
      </c>
      <c r="C1062">
        <v>12086208</v>
      </c>
      <c r="E1062">
        <v>0.61129999999999995</v>
      </c>
      <c r="F1062" t="s">
        <v>4249</v>
      </c>
      <c r="G1062">
        <v>70</v>
      </c>
      <c r="H1062" t="s">
        <v>4582</v>
      </c>
      <c r="I1062">
        <v>30</v>
      </c>
      <c r="J1062">
        <v>1.099879013308536E-2</v>
      </c>
      <c r="K1062">
        <v>0</v>
      </c>
      <c r="L1062">
        <v>0</v>
      </c>
      <c r="M1062">
        <v>0</v>
      </c>
      <c r="O1062">
        <v>400000</v>
      </c>
      <c r="R1062" t="s">
        <v>162</v>
      </c>
      <c r="S1062">
        <v>1.65051E-3</v>
      </c>
      <c r="T1062">
        <v>2.0172899999999999E-6</v>
      </c>
      <c r="U1062" t="s">
        <v>176</v>
      </c>
      <c r="V1062">
        <v>6.4186500000000004E-4</v>
      </c>
      <c r="W1062">
        <v>1.7332372289999998E-2</v>
      </c>
      <c r="X1062" t="s">
        <v>177</v>
      </c>
      <c r="Y1062">
        <v>1.0399423373999999E-3</v>
      </c>
      <c r="Z1062">
        <v>0</v>
      </c>
      <c r="AA1062" t="s">
        <v>178</v>
      </c>
      <c r="AB1062">
        <v>2.0798846747999999E-3</v>
      </c>
      <c r="AC1062">
        <v>2.0452199302199998E-2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Q1062" t="s">
        <v>262</v>
      </c>
      <c r="AR1062" t="s">
        <v>263</v>
      </c>
      <c r="AS1062">
        <v>1.8339000000000001E-2</v>
      </c>
    </row>
    <row r="1063" spans="1:45" x14ac:dyDescent="0.15">
      <c r="A1063" s="4" t="str">
        <f>HYPERLINK("https://ibp.a2mac1.com/costing(costing:projects/details/9760/material/8755795)","Standard Structural Steel sheet")</f>
        <v>Standard Structural Steel sheet</v>
      </c>
      <c r="B1063">
        <v>8755795</v>
      </c>
      <c r="C1063">
        <v>12086209</v>
      </c>
      <c r="E1063">
        <v>0.61129999999999995</v>
      </c>
      <c r="F1063" t="s">
        <v>7232</v>
      </c>
      <c r="G1063">
        <v>50</v>
      </c>
      <c r="H1063" t="s">
        <v>7567</v>
      </c>
      <c r="I1063">
        <v>30</v>
      </c>
      <c r="J1063">
        <v>1.099879013308536E-2</v>
      </c>
      <c r="K1063">
        <v>0</v>
      </c>
      <c r="L1063">
        <v>0</v>
      </c>
      <c r="M1063">
        <v>0</v>
      </c>
      <c r="O1063">
        <v>400000</v>
      </c>
      <c r="R1063" t="s">
        <v>162</v>
      </c>
      <c r="S1063">
        <v>3.4110540000000002E-2</v>
      </c>
      <c r="T1063">
        <v>2.5014396000000001E-5</v>
      </c>
      <c r="U1063" t="s">
        <v>176</v>
      </c>
      <c r="V1063">
        <v>7.9591260000000004E-3</v>
      </c>
      <c r="W1063">
        <v>0.201277200396</v>
      </c>
      <c r="X1063" t="s">
        <v>177</v>
      </c>
      <c r="Y1063">
        <v>1.207663202376E-2</v>
      </c>
      <c r="Z1063">
        <v>0</v>
      </c>
      <c r="AA1063" t="s">
        <v>178</v>
      </c>
      <c r="AB1063">
        <v>2.4153264047519999E-2</v>
      </c>
      <c r="AC1063">
        <v>0.23750709646727999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Q1063" t="s">
        <v>262</v>
      </c>
      <c r="AR1063" t="s">
        <v>263</v>
      </c>
      <c r="AS1063">
        <v>0.22740360000000001</v>
      </c>
    </row>
    <row r="1064" spans="1:45" x14ac:dyDescent="0.15">
      <c r="A1064" s="4" t="str">
        <f>HYPERLINK("https://ibp.a2mac1.com/costing(costing:projects/details/9760/material/8755796)","Standard Structural Steel sheet")</f>
        <v>Standard Structural Steel sheet</v>
      </c>
      <c r="B1064">
        <v>8755796</v>
      </c>
      <c r="C1064">
        <v>12086210</v>
      </c>
      <c r="E1064">
        <v>0.61129999999999995</v>
      </c>
      <c r="F1064" t="s">
        <v>3833</v>
      </c>
      <c r="G1064">
        <v>80</v>
      </c>
      <c r="H1064" t="s">
        <v>7571</v>
      </c>
      <c r="I1064">
        <v>30</v>
      </c>
      <c r="J1064">
        <v>1.099879013308536E-2</v>
      </c>
      <c r="K1064">
        <v>0</v>
      </c>
      <c r="L1064">
        <v>0</v>
      </c>
      <c r="M1064">
        <v>0</v>
      </c>
      <c r="O1064">
        <v>400000</v>
      </c>
      <c r="R1064" t="s">
        <v>162</v>
      </c>
      <c r="S1064">
        <v>1.65051E-3</v>
      </c>
      <c r="T1064">
        <v>3.025935E-6</v>
      </c>
      <c r="U1064" t="s">
        <v>176</v>
      </c>
      <c r="V1064">
        <v>9.627975E-4</v>
      </c>
      <c r="W1064">
        <v>2.6823813435E-2</v>
      </c>
      <c r="X1064" t="s">
        <v>177</v>
      </c>
      <c r="Y1064">
        <v>1.6094288061000001E-3</v>
      </c>
      <c r="Z1064">
        <v>0</v>
      </c>
      <c r="AA1064" t="s">
        <v>178</v>
      </c>
      <c r="AB1064">
        <v>3.2188576122000002E-3</v>
      </c>
      <c r="AC1064">
        <v>3.1652099853300003E-2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Q1064" t="s">
        <v>262</v>
      </c>
      <c r="AR1064" t="s">
        <v>263</v>
      </c>
      <c r="AS1064">
        <v>2.7508500000000002E-2</v>
      </c>
    </row>
    <row r="1065" spans="1:45" x14ac:dyDescent="0.15">
      <c r="A1065" s="4" t="str">
        <f>HYPERLINK("https://ibp.a2mac1.com/costing(costing:projects/details/9760/material/8755797)","Steel sheet (Hot Forming Steel)")</f>
        <v>Steel sheet (Hot Forming Steel)</v>
      </c>
      <c r="B1065">
        <v>8755797</v>
      </c>
      <c r="C1065">
        <v>12086211</v>
      </c>
      <c r="E1065">
        <v>1.66818</v>
      </c>
      <c r="F1065" t="s">
        <v>7579</v>
      </c>
      <c r="G1065">
        <v>55</v>
      </c>
      <c r="H1065" t="s">
        <v>7580</v>
      </c>
      <c r="I1065">
        <v>30</v>
      </c>
      <c r="J1065">
        <v>1.099879013308536E-2</v>
      </c>
      <c r="K1065">
        <v>0</v>
      </c>
      <c r="L1065">
        <v>0</v>
      </c>
      <c r="M1065">
        <v>0</v>
      </c>
      <c r="O1065">
        <v>400000</v>
      </c>
      <c r="R1065" t="s">
        <v>162</v>
      </c>
      <c r="S1065">
        <v>2.0112791301818183</v>
      </c>
      <c r="T1065">
        <v>1.6388200319999999E-3</v>
      </c>
      <c r="U1065" t="s">
        <v>176</v>
      </c>
      <c r="V1065">
        <v>0.5214427374545455</v>
      </c>
      <c r="W1065">
        <v>13.410166354577454</v>
      </c>
      <c r="X1065" t="s">
        <v>177</v>
      </c>
      <c r="Y1065">
        <v>0.80460998127464722</v>
      </c>
      <c r="Z1065">
        <v>0</v>
      </c>
      <c r="AA1065" t="s">
        <v>178</v>
      </c>
      <c r="AB1065">
        <v>1.6092199625492944</v>
      </c>
      <c r="AC1065">
        <v>15.823996298401397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Q1065" t="s">
        <v>262</v>
      </c>
      <c r="AR1065" t="s">
        <v>263</v>
      </c>
      <c r="AS1065">
        <v>14.898363927272728</v>
      </c>
    </row>
    <row r="1066" spans="1:45" x14ac:dyDescent="0.15">
      <c r="A1066" s="4" t="str">
        <f>HYPERLINK("https://ibp.a2mac1.com/costing(costing:projects/details/9760/material/8755798)","Steel sheet (Hot Forming Steel)")</f>
        <v>Steel sheet (Hot Forming Steel)</v>
      </c>
      <c r="B1066">
        <v>8755798</v>
      </c>
      <c r="C1066">
        <v>12086212</v>
      </c>
      <c r="E1066">
        <v>1.66818</v>
      </c>
      <c r="F1066" t="s">
        <v>7586</v>
      </c>
      <c r="G1066">
        <v>55</v>
      </c>
      <c r="H1066" t="s">
        <v>7587</v>
      </c>
      <c r="I1066">
        <v>30</v>
      </c>
      <c r="J1066">
        <v>1.099879013308536E-2</v>
      </c>
      <c r="K1066">
        <v>0</v>
      </c>
      <c r="L1066">
        <v>0</v>
      </c>
      <c r="M1066">
        <v>0</v>
      </c>
      <c r="O1066">
        <v>400000</v>
      </c>
      <c r="R1066" t="s">
        <v>162</v>
      </c>
      <c r="S1066">
        <v>1.2771131121818182</v>
      </c>
      <c r="T1066">
        <v>1.0406106840000001E-3</v>
      </c>
      <c r="U1066" t="s">
        <v>176</v>
      </c>
      <c r="V1066">
        <v>0.33110339945454548</v>
      </c>
      <c r="W1066">
        <v>8.5151280252294548</v>
      </c>
      <c r="X1066" t="s">
        <v>177</v>
      </c>
      <c r="Y1066">
        <v>0.51090768151376731</v>
      </c>
      <c r="Z1066">
        <v>0</v>
      </c>
      <c r="AA1066" t="s">
        <v>178</v>
      </c>
      <c r="AB1066">
        <v>1.0218153630275346</v>
      </c>
      <c r="AC1066">
        <v>10.047851069770756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Q1066" t="s">
        <v>262</v>
      </c>
      <c r="AR1066" t="s">
        <v>263</v>
      </c>
      <c r="AS1066">
        <v>9.4600971272727268</v>
      </c>
    </row>
    <row r="1067" spans="1:45" x14ac:dyDescent="0.15">
      <c r="A1067" s="4" t="str">
        <f>HYPERLINK("https://ibp.a2mac1.com/costing(costing:projects/details/9760/material/8755799)","Standard Structural Steel sheet")</f>
        <v>Standard Structural Steel sheet</v>
      </c>
      <c r="B1067">
        <v>8755799</v>
      </c>
      <c r="C1067">
        <v>12086213</v>
      </c>
      <c r="E1067">
        <v>0.61129999999999995</v>
      </c>
      <c r="F1067" t="s">
        <v>4249</v>
      </c>
      <c r="G1067">
        <v>65</v>
      </c>
      <c r="H1067" t="s">
        <v>4250</v>
      </c>
      <c r="I1067">
        <v>30</v>
      </c>
      <c r="J1067">
        <v>1.099879013308536E-2</v>
      </c>
      <c r="K1067">
        <v>0</v>
      </c>
      <c r="L1067">
        <v>0</v>
      </c>
      <c r="M1067">
        <v>0</v>
      </c>
      <c r="O1067">
        <v>400000</v>
      </c>
      <c r="R1067" t="s">
        <v>162</v>
      </c>
      <c r="S1067">
        <v>2.0737176923076922E-3</v>
      </c>
      <c r="T1067">
        <v>2.172466153846154E-6</v>
      </c>
      <c r="U1067" t="s">
        <v>176</v>
      </c>
      <c r="V1067">
        <v>6.9123923076923072E-4</v>
      </c>
      <c r="W1067">
        <v>1.8369386312307692E-2</v>
      </c>
      <c r="X1067" t="s">
        <v>177</v>
      </c>
      <c r="Y1067">
        <v>1.1021631787384615E-3</v>
      </c>
      <c r="Z1067">
        <v>0</v>
      </c>
      <c r="AA1067" t="s">
        <v>178</v>
      </c>
      <c r="AB1067">
        <v>2.204326357476923E-3</v>
      </c>
      <c r="AC1067">
        <v>2.1675875848523075E-2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Q1067" t="s">
        <v>262</v>
      </c>
      <c r="AR1067" t="s">
        <v>263</v>
      </c>
      <c r="AS1067">
        <v>1.9749692307692308E-2</v>
      </c>
    </row>
    <row r="1068" spans="1:45" x14ac:dyDescent="0.15">
      <c r="A1068" s="4" t="str">
        <f>HYPERLINK("https://ibp.a2mac1.com/costing(costing:projects/details/9760/material/8755800)","Steel sheet (Hot Forming Steel)")</f>
        <v>Steel sheet (Hot Forming Steel)</v>
      </c>
      <c r="B1068">
        <v>8755800</v>
      </c>
      <c r="C1068">
        <v>12086214</v>
      </c>
      <c r="E1068">
        <v>1.66818</v>
      </c>
      <c r="F1068" t="s">
        <v>7600</v>
      </c>
      <c r="G1068">
        <v>50</v>
      </c>
      <c r="H1068" t="s">
        <v>7601</v>
      </c>
      <c r="I1068">
        <v>30</v>
      </c>
      <c r="J1068">
        <v>1.099879013308536E-2</v>
      </c>
      <c r="K1068">
        <v>0</v>
      </c>
      <c r="L1068">
        <v>0</v>
      </c>
      <c r="M1068">
        <v>0</v>
      </c>
      <c r="O1068">
        <v>400000</v>
      </c>
      <c r="R1068" t="s">
        <v>162</v>
      </c>
      <c r="S1068">
        <v>1.1565491939999999</v>
      </c>
      <c r="T1068">
        <v>8.4813607559999999E-4</v>
      </c>
      <c r="U1068" t="s">
        <v>176</v>
      </c>
      <c r="V1068">
        <v>0.26986147859999998</v>
      </c>
      <c r="W1068">
        <v>6.8244883806756</v>
      </c>
      <c r="X1068" t="s">
        <v>177</v>
      </c>
      <c r="Y1068">
        <v>0.40946930284053601</v>
      </c>
      <c r="Z1068">
        <v>0</v>
      </c>
      <c r="AA1068" t="s">
        <v>178</v>
      </c>
      <c r="AB1068">
        <v>0.81893860568107202</v>
      </c>
      <c r="AC1068">
        <v>8.0528962891972071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Q1068" t="s">
        <v>262</v>
      </c>
      <c r="AR1068" t="s">
        <v>263</v>
      </c>
      <c r="AS1068">
        <v>7.7103279599999999</v>
      </c>
    </row>
    <row r="1069" spans="1:45" x14ac:dyDescent="0.15">
      <c r="A1069" s="4" t="str">
        <f>HYPERLINK("https://ibp.a2mac1.com/costing(costing:projects/details/9760/material/8755801)","Standard Structural Steel sheet")</f>
        <v>Standard Structural Steel sheet</v>
      </c>
      <c r="B1069">
        <v>8755801</v>
      </c>
      <c r="C1069">
        <v>12086215</v>
      </c>
      <c r="E1069">
        <v>0.61129999999999995</v>
      </c>
      <c r="F1069" t="s">
        <v>7607</v>
      </c>
      <c r="G1069">
        <v>65</v>
      </c>
      <c r="H1069" t="s">
        <v>7608</v>
      </c>
      <c r="I1069">
        <v>30</v>
      </c>
      <c r="J1069">
        <v>1.099879013308536E-2</v>
      </c>
      <c r="K1069">
        <v>0</v>
      </c>
      <c r="L1069">
        <v>0</v>
      </c>
      <c r="M1069">
        <v>0</v>
      </c>
      <c r="O1069">
        <v>400000</v>
      </c>
      <c r="R1069" t="s">
        <v>162</v>
      </c>
      <c r="S1069">
        <v>2.2810894615384616E-2</v>
      </c>
      <c r="T1069">
        <v>2.3897127692307691E-5</v>
      </c>
      <c r="U1069" t="s">
        <v>176</v>
      </c>
      <c r="V1069">
        <v>7.6036315384615388E-3</v>
      </c>
      <c r="W1069">
        <v>0.20206324943538462</v>
      </c>
      <c r="X1069" t="s">
        <v>177</v>
      </c>
      <c r="Y1069">
        <v>1.2123794966123078E-2</v>
      </c>
      <c r="Z1069">
        <v>0</v>
      </c>
      <c r="AA1069" t="s">
        <v>178</v>
      </c>
      <c r="AB1069">
        <v>2.4247589932246155E-2</v>
      </c>
      <c r="AC1069">
        <v>0.23843463433375384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Q1069" t="s">
        <v>262</v>
      </c>
      <c r="AR1069" t="s">
        <v>263</v>
      </c>
      <c r="AS1069">
        <v>0.21724661538461537</v>
      </c>
    </row>
    <row r="1070" spans="1:45" x14ac:dyDescent="0.15">
      <c r="A1070" s="4" t="str">
        <f>HYPERLINK("https://ibp.a2mac1.com/costing(costing:projects/details/9760/material/8755802)","Standard Structural Steel sheet")</f>
        <v>Standard Structural Steel sheet</v>
      </c>
      <c r="B1070">
        <v>8755802</v>
      </c>
      <c r="C1070">
        <v>12086216</v>
      </c>
      <c r="E1070">
        <v>0.61129999999999995</v>
      </c>
      <c r="F1070" t="s">
        <v>4268</v>
      </c>
      <c r="G1070">
        <v>65</v>
      </c>
      <c r="H1070" t="s">
        <v>7612</v>
      </c>
      <c r="I1070">
        <v>30</v>
      </c>
      <c r="J1070">
        <v>1.099879013308536E-2</v>
      </c>
      <c r="K1070">
        <v>0</v>
      </c>
      <c r="L1070">
        <v>0</v>
      </c>
      <c r="M1070">
        <v>0</v>
      </c>
      <c r="O1070">
        <v>400000</v>
      </c>
      <c r="R1070" t="s">
        <v>162</v>
      </c>
      <c r="S1070">
        <v>1.7972220000000001E-2</v>
      </c>
      <c r="T1070">
        <v>1.8828039999999999E-5</v>
      </c>
      <c r="U1070" t="s">
        <v>176</v>
      </c>
      <c r="V1070">
        <v>5.9907399999999996E-3</v>
      </c>
      <c r="W1070">
        <v>0.15920134804</v>
      </c>
      <c r="X1070" t="s">
        <v>177</v>
      </c>
      <c r="Y1070">
        <v>9.5520808823999995E-3</v>
      </c>
      <c r="Z1070">
        <v>0</v>
      </c>
      <c r="AA1070" t="s">
        <v>178</v>
      </c>
      <c r="AB1070">
        <v>1.9104161764799999E-2</v>
      </c>
      <c r="AC1070">
        <v>0.18785759068720001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Q1070" t="s">
        <v>262</v>
      </c>
      <c r="AR1070" t="s">
        <v>263</v>
      </c>
      <c r="AS1070">
        <v>0.17116400000000001</v>
      </c>
    </row>
    <row r="1071" spans="1:45" x14ac:dyDescent="0.15">
      <c r="A1071" s="4" t="str">
        <f>HYPERLINK("https://ibp.a2mac1.com/costing(costing:projects/details/9760/material/8755803)","Standard Structural Steel sheet")</f>
        <v>Standard Structural Steel sheet</v>
      </c>
      <c r="B1071">
        <v>8755803</v>
      </c>
      <c r="C1071">
        <v>12086217</v>
      </c>
      <c r="E1071">
        <v>0.61129999999999995</v>
      </c>
      <c r="F1071" t="s">
        <v>5139</v>
      </c>
      <c r="G1071">
        <v>70</v>
      </c>
      <c r="H1071" t="s">
        <v>7618</v>
      </c>
      <c r="I1071">
        <v>30</v>
      </c>
      <c r="J1071">
        <v>1.099879013308536E-2</v>
      </c>
      <c r="K1071">
        <v>0</v>
      </c>
      <c r="L1071">
        <v>0</v>
      </c>
      <c r="M1071">
        <v>0</v>
      </c>
      <c r="O1071">
        <v>400000</v>
      </c>
      <c r="R1071" t="s">
        <v>162</v>
      </c>
      <c r="S1071">
        <v>8.1739542857142862E-3</v>
      </c>
      <c r="T1071">
        <v>9.990388571428571E-6</v>
      </c>
      <c r="U1071" t="s">
        <v>176</v>
      </c>
      <c r="V1071">
        <v>3.1787600000000001E-3</v>
      </c>
      <c r="W1071">
        <v>8.583651038857143E-2</v>
      </c>
      <c r="X1071" t="s">
        <v>177</v>
      </c>
      <c r="Y1071">
        <v>5.1501906233142854E-3</v>
      </c>
      <c r="Z1071">
        <v>0</v>
      </c>
      <c r="AA1071" t="s">
        <v>178</v>
      </c>
      <c r="AB1071">
        <v>1.0300381246628571E-2</v>
      </c>
      <c r="AC1071">
        <v>0.10128708225851428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Q1071" t="s">
        <v>262</v>
      </c>
      <c r="AR1071" t="s">
        <v>263</v>
      </c>
      <c r="AS1071">
        <v>9.0821714285714283E-2</v>
      </c>
    </row>
    <row r="1072" spans="1:45" x14ac:dyDescent="0.15">
      <c r="A1072" s="4" t="str">
        <f>HYPERLINK("https://ibp.a2mac1.com/costing(costing:projects/details/9760/material/8755804)","Steel sheet (Hot Forming Steel)")</f>
        <v>Steel sheet (Hot Forming Steel)</v>
      </c>
      <c r="B1072">
        <v>8755804</v>
      </c>
      <c r="C1072">
        <v>12086218</v>
      </c>
      <c r="E1072">
        <v>1.66818</v>
      </c>
      <c r="F1072" t="s">
        <v>7626</v>
      </c>
      <c r="G1072">
        <v>50</v>
      </c>
      <c r="H1072" t="s">
        <v>7627</v>
      </c>
      <c r="I1072">
        <v>30</v>
      </c>
      <c r="J1072">
        <v>1.099879013308536E-2</v>
      </c>
      <c r="K1072">
        <v>0</v>
      </c>
      <c r="L1072">
        <v>0</v>
      </c>
      <c r="M1072">
        <v>0</v>
      </c>
      <c r="O1072">
        <v>400000</v>
      </c>
      <c r="R1072" t="s">
        <v>162</v>
      </c>
      <c r="S1072">
        <v>2.0313427860000002</v>
      </c>
      <c r="T1072">
        <v>1.4896513764E-3</v>
      </c>
      <c r="U1072" t="s">
        <v>176</v>
      </c>
      <c r="V1072">
        <v>0.47397998340000003</v>
      </c>
      <c r="W1072">
        <v>11.986412088776399</v>
      </c>
      <c r="X1072" t="s">
        <v>177</v>
      </c>
      <c r="Y1072">
        <v>0.71918472532658395</v>
      </c>
      <c r="Z1072">
        <v>0</v>
      </c>
      <c r="AA1072" t="s">
        <v>178</v>
      </c>
      <c r="AB1072">
        <v>1.4383694506531679</v>
      </c>
      <c r="AC1072">
        <v>14.143966264756152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Q1072" t="s">
        <v>262</v>
      </c>
      <c r="AR1072" t="s">
        <v>263</v>
      </c>
      <c r="AS1072">
        <v>13.54228524</v>
      </c>
    </row>
    <row r="1073" spans="1:45" x14ac:dyDescent="0.15">
      <c r="A1073" s="4" t="str">
        <f>HYPERLINK("https://ibp.a2mac1.com/costing(costing:projects/details/9760/material/8755805)","Steel sheet (Hot Forming Steel)")</f>
        <v>Steel sheet (Hot Forming Steel)</v>
      </c>
      <c r="B1073">
        <v>8755805</v>
      </c>
      <c r="C1073">
        <v>12086219</v>
      </c>
      <c r="E1073">
        <v>1.66818</v>
      </c>
      <c r="F1073" t="s">
        <v>7633</v>
      </c>
      <c r="G1073">
        <v>55</v>
      </c>
      <c r="H1073" t="s">
        <v>7634</v>
      </c>
      <c r="I1073">
        <v>30</v>
      </c>
      <c r="J1073">
        <v>1.099879013308536E-2</v>
      </c>
      <c r="K1073">
        <v>0</v>
      </c>
      <c r="L1073">
        <v>0</v>
      </c>
      <c r="M1073">
        <v>0</v>
      </c>
      <c r="O1073">
        <v>400000</v>
      </c>
      <c r="R1073" t="s">
        <v>162</v>
      </c>
      <c r="S1073">
        <v>1.0695156938181818</v>
      </c>
      <c r="T1073">
        <v>8.7145723200000001E-4</v>
      </c>
      <c r="U1073" t="s">
        <v>176</v>
      </c>
      <c r="V1073">
        <v>0.27728184654545457</v>
      </c>
      <c r="W1073">
        <v>7.1309760826865451</v>
      </c>
      <c r="X1073" t="s">
        <v>177</v>
      </c>
      <c r="Y1073">
        <v>0.42785856496119273</v>
      </c>
      <c r="Z1073">
        <v>0</v>
      </c>
      <c r="AA1073" t="s">
        <v>178</v>
      </c>
      <c r="AB1073">
        <v>0.85571712992238547</v>
      </c>
      <c r="AC1073">
        <v>8.4145517775701233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Q1073" t="s">
        <v>262</v>
      </c>
      <c r="AR1073" t="s">
        <v>263</v>
      </c>
      <c r="AS1073">
        <v>7.9223384727272723</v>
      </c>
    </row>
    <row r="1074" spans="1:45" x14ac:dyDescent="0.15">
      <c r="A1074" s="4" t="str">
        <f>HYPERLINK("https://ibp.a2mac1.com/costing(costing:projects/details/9760/material/8755806)","Standard Structural Steel sheet")</f>
        <v>Standard Structural Steel sheet</v>
      </c>
      <c r="B1074">
        <v>8755806</v>
      </c>
      <c r="C1074">
        <v>12086220</v>
      </c>
      <c r="E1074">
        <v>0.61129999999999995</v>
      </c>
      <c r="F1074" t="s">
        <v>5049</v>
      </c>
      <c r="G1074">
        <v>50</v>
      </c>
      <c r="H1074" t="s">
        <v>7640</v>
      </c>
      <c r="I1074">
        <v>30</v>
      </c>
      <c r="J1074">
        <v>1.099879013308536E-2</v>
      </c>
      <c r="K1074">
        <v>0</v>
      </c>
      <c r="L1074">
        <v>0</v>
      </c>
      <c r="M1074">
        <v>0</v>
      </c>
      <c r="O1074">
        <v>400000</v>
      </c>
      <c r="R1074" t="s">
        <v>162</v>
      </c>
      <c r="S1074">
        <v>2.9709180000000002E-2</v>
      </c>
      <c r="T1074">
        <v>2.1786732E-5</v>
      </c>
      <c r="U1074" t="s">
        <v>176</v>
      </c>
      <c r="V1074">
        <v>6.9321419999999996E-3</v>
      </c>
      <c r="W1074">
        <v>0.17530594873200001</v>
      </c>
      <c r="X1074" t="s">
        <v>177</v>
      </c>
      <c r="Y1074">
        <v>1.0518356923920001E-2</v>
      </c>
      <c r="Z1074">
        <v>0</v>
      </c>
      <c r="AA1074" t="s">
        <v>178</v>
      </c>
      <c r="AB1074">
        <v>2.1036713847840002E-2</v>
      </c>
      <c r="AC1074">
        <v>0.20686101950376001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Q1074" t="s">
        <v>262</v>
      </c>
      <c r="AR1074" t="s">
        <v>263</v>
      </c>
      <c r="AS1074">
        <v>0.19806119999999999</v>
      </c>
    </row>
    <row r="1075" spans="1:45" x14ac:dyDescent="0.15">
      <c r="A1075" s="4" t="str">
        <f>HYPERLINK("https://ibp.a2mac1.com/costing(costing:projects/details/9760/material/8755807)","Standard Structural Steel sheet")</f>
        <v>Standard Structural Steel sheet</v>
      </c>
      <c r="B1075">
        <v>8755807</v>
      </c>
      <c r="C1075">
        <v>12086221</v>
      </c>
      <c r="E1075">
        <v>0.61129999999999995</v>
      </c>
      <c r="F1075" t="s">
        <v>4739</v>
      </c>
      <c r="G1075">
        <v>70</v>
      </c>
      <c r="H1075" t="s">
        <v>7407</v>
      </c>
      <c r="I1075">
        <v>30</v>
      </c>
      <c r="J1075">
        <v>1.099879013308536E-2</v>
      </c>
      <c r="K1075">
        <v>0</v>
      </c>
      <c r="L1075">
        <v>0</v>
      </c>
      <c r="M1075">
        <v>0</v>
      </c>
      <c r="O1075">
        <v>400000</v>
      </c>
      <c r="R1075" t="s">
        <v>162</v>
      </c>
      <c r="S1075">
        <v>3.4582114285714284E-3</v>
      </c>
      <c r="T1075">
        <v>4.2267028571428574E-6</v>
      </c>
      <c r="U1075" t="s">
        <v>176</v>
      </c>
      <c r="V1075">
        <v>1.34486E-3</v>
      </c>
      <c r="W1075">
        <v>3.6315446702857142E-2</v>
      </c>
      <c r="X1075" t="s">
        <v>177</v>
      </c>
      <c r="Y1075">
        <v>2.1789268021714285E-3</v>
      </c>
      <c r="Z1075">
        <v>0</v>
      </c>
      <c r="AA1075" t="s">
        <v>178</v>
      </c>
      <c r="AB1075">
        <v>4.3578536043428571E-3</v>
      </c>
      <c r="AC1075">
        <v>4.2852227109371428E-2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Q1075" t="s">
        <v>262</v>
      </c>
      <c r="AR1075" t="s">
        <v>263</v>
      </c>
      <c r="AS1075">
        <v>3.8424571428571426E-2</v>
      </c>
    </row>
    <row r="1076" spans="1:45" x14ac:dyDescent="0.15">
      <c r="A1076" s="4" t="str">
        <f>HYPERLINK("https://ibp.a2mac1.com/costing(costing:projects/details/9760/material/8755808)","Standard Structural Steel sheet")</f>
        <v>Standard Structural Steel sheet</v>
      </c>
      <c r="B1076">
        <v>8755808</v>
      </c>
      <c r="C1076">
        <v>12086222</v>
      </c>
      <c r="E1076">
        <v>0.61129999999999995</v>
      </c>
      <c r="F1076" t="s">
        <v>7649</v>
      </c>
      <c r="G1076">
        <v>80</v>
      </c>
      <c r="H1076" t="s">
        <v>7650</v>
      </c>
      <c r="I1076">
        <v>30</v>
      </c>
      <c r="J1076">
        <v>1.099879013308536E-2</v>
      </c>
      <c r="K1076">
        <v>0</v>
      </c>
      <c r="L1076">
        <v>0</v>
      </c>
      <c r="M1076">
        <v>0</v>
      </c>
      <c r="O1076">
        <v>400000</v>
      </c>
      <c r="R1076" t="s">
        <v>162</v>
      </c>
      <c r="S1076">
        <v>1.7880525E-3</v>
      </c>
      <c r="T1076">
        <v>3.2780962500000002E-6</v>
      </c>
      <c r="U1076" t="s">
        <v>176</v>
      </c>
      <c r="V1076">
        <v>1.043030625E-3</v>
      </c>
      <c r="W1076">
        <v>2.9059131221249999E-2</v>
      </c>
      <c r="X1076" t="s">
        <v>177</v>
      </c>
      <c r="Y1076">
        <v>1.7435478732750001E-3</v>
      </c>
      <c r="Z1076">
        <v>0</v>
      </c>
      <c r="AA1076" t="s">
        <v>178</v>
      </c>
      <c r="AB1076">
        <v>3.4870957465500002E-3</v>
      </c>
      <c r="AC1076">
        <v>3.4289774841075003E-2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Q1076" t="s">
        <v>262</v>
      </c>
      <c r="AR1076" t="s">
        <v>263</v>
      </c>
      <c r="AS1076">
        <v>2.9800875000000001E-2</v>
      </c>
    </row>
    <row r="1077" spans="1:45" x14ac:dyDescent="0.15">
      <c r="A1077" s="4" t="str">
        <f>HYPERLINK("https://ibp.a2mac1.com/costing(costing:projects/details/9760/material/8755809)","Standard Structural Steel sheet")</f>
        <v>Standard Structural Steel sheet</v>
      </c>
      <c r="B1077">
        <v>8755809</v>
      </c>
      <c r="C1077">
        <v>12086223</v>
      </c>
      <c r="E1077">
        <v>0.61129999999999995</v>
      </c>
      <c r="F1077" t="s">
        <v>6217</v>
      </c>
      <c r="G1077">
        <v>50</v>
      </c>
      <c r="H1077" t="s">
        <v>7654</v>
      </c>
      <c r="I1077">
        <v>30</v>
      </c>
      <c r="J1077">
        <v>1.099879013308536E-2</v>
      </c>
      <c r="K1077">
        <v>0</v>
      </c>
      <c r="L1077">
        <v>0</v>
      </c>
      <c r="M1077">
        <v>0</v>
      </c>
      <c r="O1077">
        <v>400000</v>
      </c>
      <c r="R1077" t="s">
        <v>162</v>
      </c>
      <c r="S1077">
        <v>4.2179699999999997E-3</v>
      </c>
      <c r="T1077">
        <v>3.0931780000000001E-6</v>
      </c>
      <c r="U1077" t="s">
        <v>176</v>
      </c>
      <c r="V1077">
        <v>9.8419299999999996E-4</v>
      </c>
      <c r="W1077">
        <v>2.4889116177999999E-2</v>
      </c>
      <c r="X1077" t="s">
        <v>177</v>
      </c>
      <c r="Y1077">
        <v>1.4933469706799999E-3</v>
      </c>
      <c r="Z1077">
        <v>0</v>
      </c>
      <c r="AA1077" t="s">
        <v>178</v>
      </c>
      <c r="AB1077">
        <v>2.9866939413599998E-3</v>
      </c>
      <c r="AC1077">
        <v>2.936915709004E-2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Q1077" t="s">
        <v>262</v>
      </c>
      <c r="AR1077" t="s">
        <v>263</v>
      </c>
      <c r="AS1077">
        <v>2.81198E-2</v>
      </c>
    </row>
    <row r="1078" spans="1:45" x14ac:dyDescent="0.15">
      <c r="A1078" s="4" t="str">
        <f>HYPERLINK("https://ibp.a2mac1.com/costing(costing:projects/details/9760/material/8755810)","Standard Structural Steel sheet")</f>
        <v>Standard Structural Steel sheet</v>
      </c>
      <c r="B1078">
        <v>8755810</v>
      </c>
      <c r="C1078">
        <v>12086224</v>
      </c>
      <c r="E1078">
        <v>0.61129999999999995</v>
      </c>
      <c r="F1078" t="s">
        <v>7662</v>
      </c>
      <c r="G1078">
        <v>45</v>
      </c>
      <c r="H1078" t="s">
        <v>7663</v>
      </c>
      <c r="I1078">
        <v>30</v>
      </c>
      <c r="J1078">
        <v>1.099879013308536E-2</v>
      </c>
      <c r="K1078">
        <v>0</v>
      </c>
      <c r="L1078">
        <v>0</v>
      </c>
      <c r="M1078">
        <v>0</v>
      </c>
      <c r="O1078">
        <v>400000</v>
      </c>
      <c r="R1078" t="s">
        <v>162</v>
      </c>
      <c r="S1078">
        <v>0.47944259</v>
      </c>
      <c r="T1078">
        <v>3.1962839333333332E-4</v>
      </c>
      <c r="U1078" t="s">
        <v>176</v>
      </c>
      <c r="V1078">
        <v>0.10169994333333333</v>
      </c>
      <c r="W1078">
        <v>2.5282896483933333</v>
      </c>
      <c r="X1078" t="s">
        <v>177</v>
      </c>
      <c r="Y1078">
        <v>0.15169737890359999</v>
      </c>
      <c r="Z1078">
        <v>0</v>
      </c>
      <c r="AA1078" t="s">
        <v>178</v>
      </c>
      <c r="AB1078">
        <v>0.30339475780719999</v>
      </c>
      <c r="AC1078">
        <v>2.9833817851041333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Q1078" t="s">
        <v>262</v>
      </c>
      <c r="AR1078" t="s">
        <v>263</v>
      </c>
      <c r="AS1078">
        <v>2.9057126666666666</v>
      </c>
    </row>
    <row r="1079" spans="1:45" x14ac:dyDescent="0.15">
      <c r="A1079" s="4" t="str">
        <f>HYPERLINK("https://ibp.a2mac1.com/costing(costing:projects/details/9760/material/8755811)","Standard Structural Steel sheet")</f>
        <v>Standard Structural Steel sheet</v>
      </c>
      <c r="B1079">
        <v>8755811</v>
      </c>
      <c r="C1079">
        <v>12086225</v>
      </c>
      <c r="E1079">
        <v>0.61129999999999995</v>
      </c>
      <c r="F1079" t="s">
        <v>7667</v>
      </c>
      <c r="G1079">
        <v>50</v>
      </c>
      <c r="H1079" t="s">
        <v>7668</v>
      </c>
      <c r="I1079">
        <v>30</v>
      </c>
      <c r="J1079">
        <v>1.099879013308536E-2</v>
      </c>
      <c r="K1079">
        <v>0</v>
      </c>
      <c r="L1079">
        <v>0</v>
      </c>
      <c r="M1079">
        <v>0</v>
      </c>
      <c r="O1079">
        <v>400000</v>
      </c>
      <c r="R1079" t="s">
        <v>162</v>
      </c>
      <c r="S1079">
        <v>3.9795629999999999E-2</v>
      </c>
      <c r="T1079">
        <v>2.9183461999999999E-5</v>
      </c>
      <c r="U1079" t="s">
        <v>176</v>
      </c>
      <c r="V1079">
        <v>9.2856469999999993E-3</v>
      </c>
      <c r="W1079">
        <v>0.23482340046200001</v>
      </c>
      <c r="X1079" t="s">
        <v>177</v>
      </c>
      <c r="Y1079">
        <v>1.408940402772E-2</v>
      </c>
      <c r="Z1079">
        <v>0</v>
      </c>
      <c r="AA1079" t="s">
        <v>178</v>
      </c>
      <c r="AB1079">
        <v>2.8178808055439999E-2</v>
      </c>
      <c r="AC1079">
        <v>0.27709161254516002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Q1079" t="s">
        <v>262</v>
      </c>
      <c r="AR1079" t="s">
        <v>263</v>
      </c>
      <c r="AS1079">
        <v>0.26530419999999999</v>
      </c>
    </row>
    <row r="1080" spans="1:45" x14ac:dyDescent="0.15">
      <c r="A1080" s="4" t="str">
        <f>HYPERLINK("https://ibp.a2mac1.com/costing(costing:projects/details/9760/material/8755812)","Standard Structural Steel sheet")</f>
        <v>Standard Structural Steel sheet</v>
      </c>
      <c r="B1080">
        <v>8755812</v>
      </c>
      <c r="C1080">
        <v>12086226</v>
      </c>
      <c r="E1080">
        <v>0.61129999999999995</v>
      </c>
      <c r="F1080" t="s">
        <v>5755</v>
      </c>
      <c r="G1080">
        <v>70</v>
      </c>
      <c r="H1080" t="s">
        <v>7672</v>
      </c>
      <c r="I1080">
        <v>30</v>
      </c>
      <c r="J1080">
        <v>1.099879013308536E-2</v>
      </c>
      <c r="K1080">
        <v>0</v>
      </c>
      <c r="L1080">
        <v>0</v>
      </c>
      <c r="M1080">
        <v>0</v>
      </c>
      <c r="O1080">
        <v>400000</v>
      </c>
      <c r="R1080" t="s">
        <v>162</v>
      </c>
      <c r="S1080">
        <v>1.3990037142857143E-2</v>
      </c>
      <c r="T1080">
        <v>1.7098934285714286E-5</v>
      </c>
      <c r="U1080" t="s">
        <v>176</v>
      </c>
      <c r="V1080">
        <v>5.4405699999999996E-3</v>
      </c>
      <c r="W1080">
        <v>0.14691248893428571</v>
      </c>
      <c r="X1080" t="s">
        <v>177</v>
      </c>
      <c r="Y1080">
        <v>8.8147493360571424E-3</v>
      </c>
      <c r="Z1080">
        <v>0</v>
      </c>
      <c r="AA1080" t="s">
        <v>178</v>
      </c>
      <c r="AB1080">
        <v>1.7629498672114285E-2</v>
      </c>
      <c r="AC1080">
        <v>0.17335673694245715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Q1080" t="s">
        <v>262</v>
      </c>
      <c r="AR1080" t="s">
        <v>263</v>
      </c>
      <c r="AS1080">
        <v>0.15544485714285713</v>
      </c>
    </row>
    <row r="1081" spans="1:45" x14ac:dyDescent="0.15">
      <c r="A1081" s="4" t="str">
        <f>HYPERLINK("https://ibp.a2mac1.com/costing(costing:projects/details/9760/material/8755813)","Standard Structural Steel sheet")</f>
        <v>Standard Structural Steel sheet</v>
      </c>
      <c r="B1081">
        <v>8755813</v>
      </c>
      <c r="C1081">
        <v>12086227</v>
      </c>
      <c r="E1081">
        <v>0.61129999999999995</v>
      </c>
      <c r="F1081" t="s">
        <v>7678</v>
      </c>
      <c r="G1081">
        <v>70</v>
      </c>
      <c r="H1081" t="s">
        <v>7679</v>
      </c>
      <c r="I1081">
        <v>30</v>
      </c>
      <c r="J1081">
        <v>1.099879013308536E-2</v>
      </c>
      <c r="K1081">
        <v>0</v>
      </c>
      <c r="L1081">
        <v>0</v>
      </c>
      <c r="M1081">
        <v>0</v>
      </c>
      <c r="O1081">
        <v>400000</v>
      </c>
      <c r="R1081" t="s">
        <v>162</v>
      </c>
      <c r="S1081">
        <v>8.2682691428571431E-2</v>
      </c>
      <c r="T1081">
        <v>1.0105662285714286E-4</v>
      </c>
      <c r="U1081" t="s">
        <v>176</v>
      </c>
      <c r="V1081">
        <v>3.2154380000000003E-2</v>
      </c>
      <c r="W1081">
        <v>0.86826931662285711</v>
      </c>
      <c r="X1081" t="s">
        <v>177</v>
      </c>
      <c r="Y1081">
        <v>5.2096158997371432E-2</v>
      </c>
      <c r="Z1081">
        <v>0</v>
      </c>
      <c r="AA1081" t="s">
        <v>178</v>
      </c>
      <c r="AB1081">
        <v>0.10419231799474286</v>
      </c>
      <c r="AC1081">
        <v>1.0245577936149715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Q1081" t="s">
        <v>262</v>
      </c>
      <c r="AR1081" t="s">
        <v>263</v>
      </c>
      <c r="AS1081">
        <v>0.91869657142857142</v>
      </c>
    </row>
    <row r="1082" spans="1:45" x14ac:dyDescent="0.15">
      <c r="A1082" s="4" t="str">
        <f>HYPERLINK("https://ibp.a2mac1.com/costing(costing:projects/details/9760/material/8755814)","Standard Structural Steel sheet")</f>
        <v>Standard Structural Steel sheet</v>
      </c>
      <c r="B1082">
        <v>8755814</v>
      </c>
      <c r="C1082">
        <v>12086228</v>
      </c>
      <c r="E1082">
        <v>0.61129999999999995</v>
      </c>
      <c r="F1082" t="s">
        <v>7683</v>
      </c>
      <c r="G1082">
        <v>50</v>
      </c>
      <c r="H1082" t="s">
        <v>7684</v>
      </c>
      <c r="I1082">
        <v>30</v>
      </c>
      <c r="J1082">
        <v>1.099879013308536E-2</v>
      </c>
      <c r="K1082">
        <v>0</v>
      </c>
      <c r="L1082">
        <v>0</v>
      </c>
      <c r="M1082">
        <v>0</v>
      </c>
      <c r="O1082">
        <v>400000</v>
      </c>
      <c r="R1082" t="s">
        <v>162</v>
      </c>
      <c r="S1082">
        <v>8.6743470000000003E-2</v>
      </c>
      <c r="T1082">
        <v>6.3611878E-5</v>
      </c>
      <c r="U1082" t="s">
        <v>176</v>
      </c>
      <c r="V1082">
        <v>2.0240142999999999E-2</v>
      </c>
      <c r="W1082">
        <v>0.51185008487799999</v>
      </c>
      <c r="X1082" t="s">
        <v>177</v>
      </c>
      <c r="Y1082">
        <v>3.0711005092679999E-2</v>
      </c>
      <c r="Z1082">
        <v>0</v>
      </c>
      <c r="AA1082" t="s">
        <v>178</v>
      </c>
      <c r="AB1082">
        <v>6.1422010185359997E-2</v>
      </c>
      <c r="AC1082">
        <v>0.60398310015603995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Q1082" t="s">
        <v>262</v>
      </c>
      <c r="AR1082" t="s">
        <v>263</v>
      </c>
      <c r="AS1082">
        <v>0.57828979999999996</v>
      </c>
    </row>
    <row r="1083" spans="1:45" x14ac:dyDescent="0.15">
      <c r="A1083" s="4" t="str">
        <f>HYPERLINK("https://ibp.a2mac1.com/costing(costing:projects/details/9760/material/8755815)","Standard Structural Steel sheet")</f>
        <v>Standard Structural Steel sheet</v>
      </c>
      <c r="B1083">
        <v>8755815</v>
      </c>
      <c r="C1083">
        <v>12086229</v>
      </c>
      <c r="E1083">
        <v>0.61129999999999995</v>
      </c>
      <c r="F1083" t="s">
        <v>7688</v>
      </c>
      <c r="G1083">
        <v>60</v>
      </c>
      <c r="H1083" t="s">
        <v>7689</v>
      </c>
      <c r="I1083">
        <v>30</v>
      </c>
      <c r="J1083">
        <v>1.099879013308536E-2</v>
      </c>
      <c r="K1083">
        <v>0</v>
      </c>
      <c r="L1083">
        <v>0</v>
      </c>
      <c r="M1083">
        <v>0</v>
      </c>
      <c r="O1083">
        <v>400000</v>
      </c>
      <c r="R1083" t="s">
        <v>162</v>
      </c>
      <c r="S1083">
        <v>0.20392968</v>
      </c>
      <c r="T1083">
        <v>1.8693554000000001E-4</v>
      </c>
      <c r="U1083" t="s">
        <v>176</v>
      </c>
      <c r="V1083">
        <v>5.9479490000000003E-2</v>
      </c>
      <c r="W1083">
        <v>1.55515074554</v>
      </c>
      <c r="X1083" t="s">
        <v>177</v>
      </c>
      <c r="Y1083">
        <v>9.3309044732399996E-2</v>
      </c>
      <c r="Z1083">
        <v>0</v>
      </c>
      <c r="AA1083" t="s">
        <v>178</v>
      </c>
      <c r="AB1083">
        <v>0.18661808946479999</v>
      </c>
      <c r="AC1083">
        <v>1.8350778797372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Q1083" t="s">
        <v>262</v>
      </c>
      <c r="AR1083" t="s">
        <v>263</v>
      </c>
      <c r="AS1083">
        <v>1.699414</v>
      </c>
    </row>
    <row r="1084" spans="1:45" x14ac:dyDescent="0.15">
      <c r="A1084" s="4" t="str">
        <f>HYPERLINK("https://ibp.a2mac1.com/costing(costing:projects/details/9760/material/8755816)","Standard Structural Steel sheet")</f>
        <v>Standard Structural Steel sheet</v>
      </c>
      <c r="B1084">
        <v>8755816</v>
      </c>
      <c r="C1084">
        <v>12086230</v>
      </c>
      <c r="E1084">
        <v>0.61129999999999995</v>
      </c>
      <c r="F1084" t="s">
        <v>7693</v>
      </c>
      <c r="G1084">
        <v>55</v>
      </c>
      <c r="H1084" t="s">
        <v>7694</v>
      </c>
      <c r="I1084">
        <v>30</v>
      </c>
      <c r="J1084">
        <v>1.099879013308536E-2</v>
      </c>
      <c r="K1084">
        <v>0</v>
      </c>
      <c r="L1084">
        <v>0</v>
      </c>
      <c r="M1084">
        <v>0</v>
      </c>
      <c r="O1084">
        <v>400000</v>
      </c>
      <c r="R1084" t="s">
        <v>162</v>
      </c>
      <c r="S1084">
        <v>0.10158138818181818</v>
      </c>
      <c r="T1084">
        <v>8.2770019999999997E-5</v>
      </c>
      <c r="U1084" t="s">
        <v>176</v>
      </c>
      <c r="V1084">
        <v>2.6335915454545455E-2</v>
      </c>
      <c r="W1084">
        <v>0.67729202456545456</v>
      </c>
      <c r="X1084" t="s">
        <v>177</v>
      </c>
      <c r="Y1084">
        <v>4.0637521473927275E-2</v>
      </c>
      <c r="Z1084">
        <v>0</v>
      </c>
      <c r="AA1084" t="s">
        <v>178</v>
      </c>
      <c r="AB1084">
        <v>8.1275042947854551E-2</v>
      </c>
      <c r="AC1084">
        <v>0.79920458898723634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Q1084" t="s">
        <v>262</v>
      </c>
      <c r="AR1084" t="s">
        <v>263</v>
      </c>
      <c r="AS1084">
        <v>0.75245472727272722</v>
      </c>
    </row>
    <row r="1085" spans="1:45" x14ac:dyDescent="0.15">
      <c r="A1085" s="4" t="str">
        <f>HYPERLINK("https://ibp.a2mac1.com/costing(costing:projects/details/9760/material/8755817)","Standard Structural Steel sheet")</f>
        <v>Standard Structural Steel sheet</v>
      </c>
      <c r="B1085">
        <v>8755817</v>
      </c>
      <c r="C1085">
        <v>12086231</v>
      </c>
      <c r="E1085">
        <v>0.61129999999999995</v>
      </c>
      <c r="F1085" t="s">
        <v>7700</v>
      </c>
      <c r="G1085">
        <v>70</v>
      </c>
      <c r="H1085" t="s">
        <v>7701</v>
      </c>
      <c r="I1085">
        <v>30</v>
      </c>
      <c r="J1085">
        <v>1.099879013308536E-2</v>
      </c>
      <c r="K1085">
        <v>0</v>
      </c>
      <c r="L1085">
        <v>0</v>
      </c>
      <c r="M1085">
        <v>0</v>
      </c>
      <c r="O1085">
        <v>400000</v>
      </c>
      <c r="R1085" t="s">
        <v>162</v>
      </c>
      <c r="S1085">
        <v>0.10689017142857143</v>
      </c>
      <c r="T1085">
        <v>1.3064354285714287E-4</v>
      </c>
      <c r="U1085" t="s">
        <v>176</v>
      </c>
      <c r="V1085">
        <v>4.1568399999999998E-2</v>
      </c>
      <c r="W1085">
        <v>1.1224774435428571</v>
      </c>
      <c r="X1085" t="s">
        <v>177</v>
      </c>
      <c r="Y1085">
        <v>6.7348646612571422E-2</v>
      </c>
      <c r="Z1085">
        <v>0</v>
      </c>
      <c r="AA1085" t="s">
        <v>178</v>
      </c>
      <c r="AB1085">
        <v>0.13469729322514284</v>
      </c>
      <c r="AC1085">
        <v>1.3245233833805714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Q1085" t="s">
        <v>262</v>
      </c>
      <c r="AR1085" t="s">
        <v>263</v>
      </c>
      <c r="AS1085">
        <v>1.1876685714285715</v>
      </c>
    </row>
    <row r="1086" spans="1:45" x14ac:dyDescent="0.15">
      <c r="A1086" s="4" t="str">
        <f>HYPERLINK("https://ibp.a2mac1.com/costing(costing:projects/details/9760/material/8755818)","Standard Structural Steel sheet")</f>
        <v>Standard Structural Steel sheet</v>
      </c>
      <c r="B1086">
        <v>8755818</v>
      </c>
      <c r="C1086">
        <v>12086232</v>
      </c>
      <c r="E1086">
        <v>0.61129999999999995</v>
      </c>
      <c r="F1086" t="s">
        <v>7705</v>
      </c>
      <c r="G1086">
        <v>70</v>
      </c>
      <c r="H1086" t="s">
        <v>7706</v>
      </c>
      <c r="I1086">
        <v>30</v>
      </c>
      <c r="J1086">
        <v>1.099879013308536E-2</v>
      </c>
      <c r="K1086">
        <v>0</v>
      </c>
      <c r="L1086">
        <v>0</v>
      </c>
      <c r="M1086">
        <v>0</v>
      </c>
      <c r="O1086">
        <v>400000</v>
      </c>
      <c r="R1086" t="s">
        <v>162</v>
      </c>
      <c r="S1086">
        <v>4.5192535714285713E-2</v>
      </c>
      <c r="T1086">
        <v>5.5235321428571431E-5</v>
      </c>
      <c r="U1086" t="s">
        <v>176</v>
      </c>
      <c r="V1086">
        <v>1.7574875E-2</v>
      </c>
      <c r="W1086">
        <v>0.4745768603214286</v>
      </c>
      <c r="X1086" t="s">
        <v>177</v>
      </c>
      <c r="Y1086">
        <v>2.8474611619285713E-2</v>
      </c>
      <c r="Z1086">
        <v>0</v>
      </c>
      <c r="AA1086" t="s">
        <v>178</v>
      </c>
      <c r="AB1086">
        <v>5.6949223238571427E-2</v>
      </c>
      <c r="AC1086">
        <v>0.56000069517928575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Q1086" t="s">
        <v>262</v>
      </c>
      <c r="AR1086" t="s">
        <v>263</v>
      </c>
      <c r="AS1086">
        <v>0.50213928571428568</v>
      </c>
    </row>
    <row r="1087" spans="1:45" x14ac:dyDescent="0.15">
      <c r="A1087" s="4" t="str">
        <f>HYPERLINK("https://ibp.a2mac1.com/costing(costing:projects/details/9760/material/8755819)","Standard Structural Steel sheet")</f>
        <v>Standard Structural Steel sheet</v>
      </c>
      <c r="B1087">
        <v>8755819</v>
      </c>
      <c r="C1087">
        <v>12086233</v>
      </c>
      <c r="E1087">
        <v>0.61129999999999995</v>
      </c>
      <c r="F1087" t="s">
        <v>7710</v>
      </c>
      <c r="G1087">
        <v>70</v>
      </c>
      <c r="H1087" t="s">
        <v>7711</v>
      </c>
      <c r="I1087">
        <v>30</v>
      </c>
      <c r="J1087">
        <v>1.099879013308536E-2</v>
      </c>
      <c r="K1087">
        <v>0</v>
      </c>
      <c r="L1087">
        <v>0</v>
      </c>
      <c r="M1087">
        <v>0</v>
      </c>
      <c r="O1087">
        <v>400000</v>
      </c>
      <c r="R1087" t="s">
        <v>162</v>
      </c>
      <c r="S1087">
        <v>0.11805076285714286</v>
      </c>
      <c r="T1087">
        <v>1.442842657142857E-4</v>
      </c>
      <c r="U1087" t="s">
        <v>176</v>
      </c>
      <c r="V1087">
        <v>4.5908629999999999E-2</v>
      </c>
      <c r="W1087">
        <v>1.2396772942657144</v>
      </c>
      <c r="X1087" t="s">
        <v>177</v>
      </c>
      <c r="Y1087">
        <v>7.4380637655942855E-2</v>
      </c>
      <c r="Z1087">
        <v>0</v>
      </c>
      <c r="AA1087" t="s">
        <v>178</v>
      </c>
      <c r="AB1087">
        <v>0.14876127531188571</v>
      </c>
      <c r="AC1087">
        <v>1.4628192072335429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Q1087" t="s">
        <v>262</v>
      </c>
      <c r="AR1087" t="s">
        <v>263</v>
      </c>
      <c r="AS1087">
        <v>1.3116751428571429</v>
      </c>
    </row>
    <row r="1088" spans="1:45" x14ac:dyDescent="0.15">
      <c r="A1088" s="4" t="str">
        <f>HYPERLINK("https://ibp.a2mac1.com/costing(costing:projects/details/9760/material/8755820)","Standard Structural Steel sheet")</f>
        <v>Standard Structural Steel sheet</v>
      </c>
      <c r="B1088">
        <v>8755820</v>
      </c>
      <c r="C1088">
        <v>12086234</v>
      </c>
      <c r="E1088">
        <v>0.61129999999999995</v>
      </c>
      <c r="F1088" t="s">
        <v>7715</v>
      </c>
      <c r="G1088">
        <v>60</v>
      </c>
      <c r="H1088" t="s">
        <v>7716</v>
      </c>
      <c r="I1088">
        <v>30</v>
      </c>
      <c r="J1088">
        <v>1.099879013308536E-2</v>
      </c>
      <c r="K1088">
        <v>0</v>
      </c>
      <c r="L1088">
        <v>0</v>
      </c>
      <c r="M1088">
        <v>0</v>
      </c>
      <c r="O1088">
        <v>400000</v>
      </c>
      <c r="R1088" t="s">
        <v>162</v>
      </c>
      <c r="S1088">
        <v>0.12873978</v>
      </c>
      <c r="T1088">
        <v>1.18011465E-4</v>
      </c>
      <c r="U1088" t="s">
        <v>176</v>
      </c>
      <c r="V1088">
        <v>3.7549102500000001E-2</v>
      </c>
      <c r="W1088">
        <v>0.98175883396499997</v>
      </c>
      <c r="X1088" t="s">
        <v>177</v>
      </c>
      <c r="Y1088">
        <v>5.89055300379E-2</v>
      </c>
      <c r="Z1088">
        <v>0</v>
      </c>
      <c r="AA1088" t="s">
        <v>178</v>
      </c>
      <c r="AB1088">
        <v>0.1178110600758</v>
      </c>
      <c r="AC1088">
        <v>1.1584754240787001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Q1088" t="s">
        <v>262</v>
      </c>
      <c r="AR1088" t="s">
        <v>263</v>
      </c>
      <c r="AS1088">
        <v>1.0728314999999999</v>
      </c>
    </row>
    <row r="1089" spans="1:45" x14ac:dyDescent="0.15">
      <c r="A1089" s="4" t="str">
        <f>HYPERLINK("https://ibp.a2mac1.com/costing(costing:projects/details/9760/material/8755821)","Standard Structural Steel sheet")</f>
        <v>Standard Structural Steel sheet</v>
      </c>
      <c r="B1089">
        <v>8755821</v>
      </c>
      <c r="C1089">
        <v>12086235</v>
      </c>
      <c r="E1089">
        <v>0.61129999999999995</v>
      </c>
      <c r="F1089" t="s">
        <v>7722</v>
      </c>
      <c r="G1089">
        <v>65</v>
      </c>
      <c r="H1089" t="s">
        <v>7723</v>
      </c>
      <c r="I1089">
        <v>30</v>
      </c>
      <c r="J1089">
        <v>1.099879013308536E-2</v>
      </c>
      <c r="K1089">
        <v>0</v>
      </c>
      <c r="L1089">
        <v>0</v>
      </c>
      <c r="M1089">
        <v>0</v>
      </c>
      <c r="O1089">
        <v>400000</v>
      </c>
      <c r="R1089" t="s">
        <v>162</v>
      </c>
      <c r="S1089">
        <v>3.3278231538461538E-2</v>
      </c>
      <c r="T1089">
        <v>3.4862909230769233E-5</v>
      </c>
      <c r="U1089" t="s">
        <v>176</v>
      </c>
      <c r="V1089">
        <v>1.1092743846153845E-2</v>
      </c>
      <c r="W1089">
        <v>0.29478491367846155</v>
      </c>
      <c r="X1089" t="s">
        <v>177</v>
      </c>
      <c r="Y1089">
        <v>1.7687094820707693E-2</v>
      </c>
      <c r="Z1089">
        <v>0</v>
      </c>
      <c r="AA1089" t="s">
        <v>178</v>
      </c>
      <c r="AB1089">
        <v>3.5374189641415386E-2</v>
      </c>
      <c r="AC1089">
        <v>0.34784619814058459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Q1089" t="s">
        <v>262</v>
      </c>
      <c r="AR1089" t="s">
        <v>263</v>
      </c>
      <c r="AS1089">
        <v>0.31693553846153844</v>
      </c>
    </row>
    <row r="1090" spans="1:45" x14ac:dyDescent="0.15">
      <c r="A1090" s="4" t="str">
        <f>HYPERLINK("https://ibp.a2mac1.com/costing(costing:projects/details/9760/material/8755822)","Standard Structural Steel sheet")</f>
        <v>Standard Structural Steel sheet</v>
      </c>
      <c r="B1090">
        <v>8755822</v>
      </c>
      <c r="C1090">
        <v>12086236</v>
      </c>
      <c r="E1090">
        <v>0.61129999999999995</v>
      </c>
      <c r="F1090" t="s">
        <v>865</v>
      </c>
      <c r="G1090">
        <v>55</v>
      </c>
      <c r="H1090" t="s">
        <v>7727</v>
      </c>
      <c r="I1090">
        <v>30</v>
      </c>
      <c r="J1090">
        <v>1.099879013308536E-2</v>
      </c>
      <c r="K1090">
        <v>0</v>
      </c>
      <c r="L1090">
        <v>0</v>
      </c>
      <c r="M1090">
        <v>0</v>
      </c>
      <c r="O1090">
        <v>400000</v>
      </c>
      <c r="R1090" t="s">
        <v>162</v>
      </c>
      <c r="S1090">
        <v>5.7017618181818179E-3</v>
      </c>
      <c r="T1090">
        <v>4.6458800000000001E-6</v>
      </c>
      <c r="U1090" t="s">
        <v>176</v>
      </c>
      <c r="V1090">
        <v>1.4782345454545454E-3</v>
      </c>
      <c r="W1090">
        <v>3.8016391334545457E-2</v>
      </c>
      <c r="X1090" t="s">
        <v>177</v>
      </c>
      <c r="Y1090">
        <v>2.2809834800727271E-3</v>
      </c>
      <c r="Z1090">
        <v>0</v>
      </c>
      <c r="AA1090" t="s">
        <v>178</v>
      </c>
      <c r="AB1090">
        <v>4.5619669601454542E-3</v>
      </c>
      <c r="AC1090">
        <v>4.4859341774763639E-2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Q1090" t="s">
        <v>262</v>
      </c>
      <c r="AR1090" t="s">
        <v>263</v>
      </c>
      <c r="AS1090">
        <v>4.2235272727272725E-2</v>
      </c>
    </row>
    <row r="1091" spans="1:45" x14ac:dyDescent="0.15">
      <c r="A1091" s="4" t="str">
        <f>HYPERLINK("https://ibp.a2mac1.com/costing(costing:projects/details/9760/material/8755823)","Standard Structural Steel sheet")</f>
        <v>Standard Structural Steel sheet</v>
      </c>
      <c r="B1091">
        <v>8755823</v>
      </c>
      <c r="C1091">
        <v>12086237</v>
      </c>
      <c r="E1091">
        <v>0.61129999999999995</v>
      </c>
      <c r="F1091" t="s">
        <v>7731</v>
      </c>
      <c r="G1091">
        <v>70</v>
      </c>
      <c r="H1091" t="s">
        <v>7732</v>
      </c>
      <c r="I1091">
        <v>30</v>
      </c>
      <c r="J1091">
        <v>1.099879013308536E-2</v>
      </c>
      <c r="K1091">
        <v>0</v>
      </c>
      <c r="L1091">
        <v>0</v>
      </c>
      <c r="M1091">
        <v>0</v>
      </c>
      <c r="O1091">
        <v>400000</v>
      </c>
      <c r="R1091" t="s">
        <v>162</v>
      </c>
      <c r="S1091">
        <v>2.0434885714285714E-2</v>
      </c>
      <c r="T1091">
        <v>2.4975971428571427E-5</v>
      </c>
      <c r="U1091" t="s">
        <v>176</v>
      </c>
      <c r="V1091">
        <v>7.9468999999999998E-3</v>
      </c>
      <c r="W1091">
        <v>0.21459127597142857</v>
      </c>
      <c r="X1091" t="s">
        <v>177</v>
      </c>
      <c r="Y1091">
        <v>1.2875476558285715E-2</v>
      </c>
      <c r="Z1091">
        <v>0</v>
      </c>
      <c r="AA1091" t="s">
        <v>178</v>
      </c>
      <c r="AB1091">
        <v>2.575095311657143E-2</v>
      </c>
      <c r="AC1091">
        <v>0.25321770564628571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Q1091" t="s">
        <v>262</v>
      </c>
      <c r="AR1091" t="s">
        <v>263</v>
      </c>
      <c r="AS1091">
        <v>0.22705428571428571</v>
      </c>
    </row>
    <row r="1092" spans="1:45" x14ac:dyDescent="0.15">
      <c r="A1092" s="4" t="str">
        <f>HYPERLINK("https://ibp.a2mac1.com/costing(costing:projects/details/9760/material/8755824)","Standard Structural Steel sheet")</f>
        <v>Standard Structural Steel sheet</v>
      </c>
      <c r="B1092">
        <v>8755824</v>
      </c>
      <c r="C1092">
        <v>12086238</v>
      </c>
      <c r="E1092">
        <v>0.61129999999999995</v>
      </c>
      <c r="F1092" t="s">
        <v>6066</v>
      </c>
      <c r="G1092">
        <v>60</v>
      </c>
      <c r="H1092" t="s">
        <v>7736</v>
      </c>
      <c r="I1092">
        <v>30</v>
      </c>
      <c r="J1092">
        <v>1.099879013308536E-2</v>
      </c>
      <c r="K1092">
        <v>0</v>
      </c>
      <c r="L1092">
        <v>0</v>
      </c>
      <c r="M1092">
        <v>0</v>
      </c>
      <c r="O1092">
        <v>400000</v>
      </c>
      <c r="R1092" t="s">
        <v>162</v>
      </c>
      <c r="S1092">
        <v>2.0417419999999999E-2</v>
      </c>
      <c r="T1092">
        <v>1.8715968333333334E-5</v>
      </c>
      <c r="U1092" t="s">
        <v>176</v>
      </c>
      <c r="V1092">
        <v>5.9550808333333335E-3</v>
      </c>
      <c r="W1092">
        <v>0.15570154346833334</v>
      </c>
      <c r="X1092" t="s">
        <v>177</v>
      </c>
      <c r="Y1092">
        <v>9.3420926081000007E-3</v>
      </c>
      <c r="Z1092">
        <v>0</v>
      </c>
      <c r="AA1092" t="s">
        <v>178</v>
      </c>
      <c r="AB1092">
        <v>1.8684185216200001E-2</v>
      </c>
      <c r="AC1092">
        <v>0.18372782129263332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Q1092" t="s">
        <v>262</v>
      </c>
      <c r="AR1092" t="s">
        <v>263</v>
      </c>
      <c r="AS1092">
        <v>0.17014516666666665</v>
      </c>
    </row>
    <row r="1093" spans="1:45" x14ac:dyDescent="0.15">
      <c r="A1093" s="4" t="str">
        <f>HYPERLINK("https://ibp.a2mac1.com/costing(costing:projects/details/9760/material/8755825)","Standard Structural Steel sheet")</f>
        <v>Standard Structural Steel sheet</v>
      </c>
      <c r="B1093">
        <v>8755825</v>
      </c>
      <c r="C1093">
        <v>12086239</v>
      </c>
      <c r="E1093">
        <v>0.61129999999999995</v>
      </c>
      <c r="F1093" t="s">
        <v>5387</v>
      </c>
      <c r="G1093">
        <v>80</v>
      </c>
      <c r="H1093" t="s">
        <v>7742</v>
      </c>
      <c r="I1093">
        <v>30</v>
      </c>
      <c r="J1093">
        <v>1.099879013308536E-2</v>
      </c>
      <c r="K1093">
        <v>0</v>
      </c>
      <c r="L1093">
        <v>0</v>
      </c>
      <c r="M1093">
        <v>0</v>
      </c>
      <c r="O1093">
        <v>400000</v>
      </c>
      <c r="R1093" t="s">
        <v>162</v>
      </c>
      <c r="S1093">
        <v>1.07741625E-2</v>
      </c>
      <c r="T1093">
        <v>1.9752631249999998E-5</v>
      </c>
      <c r="U1093" t="s">
        <v>176</v>
      </c>
      <c r="V1093">
        <v>6.2849281250000003E-3</v>
      </c>
      <c r="W1093">
        <v>0.17509989325625</v>
      </c>
      <c r="X1093" t="s">
        <v>177</v>
      </c>
      <c r="Y1093">
        <v>1.0505993595374999E-2</v>
      </c>
      <c r="Z1093">
        <v>0</v>
      </c>
      <c r="AA1093" t="s">
        <v>178</v>
      </c>
      <c r="AB1093">
        <v>2.1011987190749998E-2</v>
      </c>
      <c r="AC1093">
        <v>0.206617874042375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Q1093" t="s">
        <v>262</v>
      </c>
      <c r="AR1093" t="s">
        <v>263</v>
      </c>
      <c r="AS1093">
        <v>0.179569375</v>
      </c>
    </row>
    <row r="1094" spans="1:45" x14ac:dyDescent="0.15">
      <c r="A1094" s="4" t="str">
        <f>HYPERLINK("https://ibp.a2mac1.com/costing(costing:projects/details/9760/material/8755826)","Standard Structural Steel sheet")</f>
        <v>Standard Structural Steel sheet</v>
      </c>
      <c r="B1094">
        <v>8755826</v>
      </c>
      <c r="C1094">
        <v>12086240</v>
      </c>
      <c r="E1094">
        <v>0.61129999999999995</v>
      </c>
      <c r="F1094" t="s">
        <v>7746</v>
      </c>
      <c r="G1094">
        <v>75</v>
      </c>
      <c r="H1094" t="s">
        <v>7747</v>
      </c>
      <c r="I1094">
        <v>30</v>
      </c>
      <c r="J1094">
        <v>1.099879013308536E-2</v>
      </c>
      <c r="K1094">
        <v>0</v>
      </c>
      <c r="L1094">
        <v>0</v>
      </c>
      <c r="M1094">
        <v>0</v>
      </c>
      <c r="O1094">
        <v>400000</v>
      </c>
      <c r="R1094" t="s">
        <v>162</v>
      </c>
      <c r="S1094">
        <v>3.23989E-3</v>
      </c>
      <c r="T1094">
        <v>4.7518386666666669E-6</v>
      </c>
      <c r="U1094" t="s">
        <v>176</v>
      </c>
      <c r="V1094">
        <v>1.5119486666666667E-3</v>
      </c>
      <c r="W1094">
        <v>4.1475343838666669E-2</v>
      </c>
      <c r="X1094" t="s">
        <v>177</v>
      </c>
      <c r="Y1094">
        <v>2.4885206303199999E-3</v>
      </c>
      <c r="Z1094">
        <v>0</v>
      </c>
      <c r="AA1094" t="s">
        <v>178</v>
      </c>
      <c r="AB1094">
        <v>4.9770412606399998E-3</v>
      </c>
      <c r="AC1094">
        <v>4.8940905729626664E-2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Q1094" t="s">
        <v>262</v>
      </c>
      <c r="AR1094" t="s">
        <v>263</v>
      </c>
      <c r="AS1094">
        <v>4.319853333333333E-2</v>
      </c>
    </row>
    <row r="1095" spans="1:45" x14ac:dyDescent="0.15">
      <c r="A1095" s="4" t="str">
        <f>HYPERLINK("https://ibp.a2mac1.com/costing(costing:projects/details/9760/material/8755827)","Standard Structural Steel sheet")</f>
        <v>Standard Structural Steel sheet</v>
      </c>
      <c r="B1095">
        <v>8755827</v>
      </c>
      <c r="C1095">
        <v>12086241</v>
      </c>
      <c r="E1095">
        <v>0.61129999999999995</v>
      </c>
      <c r="F1095" t="s">
        <v>7751</v>
      </c>
      <c r="G1095">
        <v>75</v>
      </c>
      <c r="H1095" t="s">
        <v>7752</v>
      </c>
      <c r="I1095">
        <v>30</v>
      </c>
      <c r="J1095">
        <v>1.099879013308536E-2</v>
      </c>
      <c r="K1095">
        <v>0</v>
      </c>
      <c r="L1095">
        <v>0</v>
      </c>
      <c r="M1095">
        <v>0</v>
      </c>
      <c r="O1095">
        <v>400000</v>
      </c>
      <c r="R1095" t="s">
        <v>162</v>
      </c>
      <c r="S1095">
        <v>4.3402299999999996E-3</v>
      </c>
      <c r="T1095">
        <v>6.3656706666666666E-6</v>
      </c>
      <c r="U1095" t="s">
        <v>176</v>
      </c>
      <c r="V1095">
        <v>2.0254406666666666E-3</v>
      </c>
      <c r="W1095">
        <v>5.5561309670666664E-2</v>
      </c>
      <c r="X1095" t="s">
        <v>177</v>
      </c>
      <c r="Y1095">
        <v>3.3336785802399998E-3</v>
      </c>
      <c r="Z1095">
        <v>0</v>
      </c>
      <c r="AA1095" t="s">
        <v>178</v>
      </c>
      <c r="AB1095">
        <v>6.6673571604799996E-3</v>
      </c>
      <c r="AC1095">
        <v>6.5562345411386669E-2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Q1095" t="s">
        <v>262</v>
      </c>
      <c r="AR1095" t="s">
        <v>263</v>
      </c>
      <c r="AS1095">
        <v>5.7869733333333333E-2</v>
      </c>
    </row>
    <row r="1096" spans="1:45" x14ac:dyDescent="0.15">
      <c r="A1096" s="4" t="str">
        <f>HYPERLINK("https://ibp.a2mac1.com/costing(costing:projects/details/9760/material/8755828)","Standard Structural Steel sheet")</f>
        <v>Standard Structural Steel sheet</v>
      </c>
      <c r="B1096">
        <v>8755828</v>
      </c>
      <c r="C1096">
        <v>12086242</v>
      </c>
      <c r="E1096">
        <v>0.61129999999999995</v>
      </c>
      <c r="F1096" t="s">
        <v>6217</v>
      </c>
      <c r="G1096">
        <v>50</v>
      </c>
      <c r="H1096" t="s">
        <v>7654</v>
      </c>
      <c r="I1096">
        <v>30</v>
      </c>
      <c r="J1096">
        <v>1.099879013308536E-2</v>
      </c>
      <c r="K1096">
        <v>0</v>
      </c>
      <c r="L1096">
        <v>0</v>
      </c>
      <c r="M1096">
        <v>0</v>
      </c>
      <c r="O1096">
        <v>400000</v>
      </c>
      <c r="R1096" t="s">
        <v>162</v>
      </c>
      <c r="S1096">
        <v>4.2179699999999997E-3</v>
      </c>
      <c r="T1096">
        <v>3.0931780000000001E-6</v>
      </c>
      <c r="U1096" t="s">
        <v>176</v>
      </c>
      <c r="V1096">
        <v>9.8419299999999996E-4</v>
      </c>
      <c r="W1096">
        <v>2.4889116177999999E-2</v>
      </c>
      <c r="X1096" t="s">
        <v>177</v>
      </c>
      <c r="Y1096">
        <v>1.4933469706799999E-3</v>
      </c>
      <c r="Z1096">
        <v>0</v>
      </c>
      <c r="AA1096" t="s">
        <v>178</v>
      </c>
      <c r="AB1096">
        <v>2.9866939413599998E-3</v>
      </c>
      <c r="AC1096">
        <v>2.936915709004E-2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Q1096" t="s">
        <v>262</v>
      </c>
      <c r="AR1096" t="s">
        <v>263</v>
      </c>
      <c r="AS1096">
        <v>2.81198E-2</v>
      </c>
    </row>
    <row r="1097" spans="1:45" x14ac:dyDescent="0.15">
      <c r="A1097" s="4" t="str">
        <f>HYPERLINK("https://ibp.a2mac1.com/costing(costing:projects/details/9760/material/8755829)","Standard Structural Steel sheet")</f>
        <v>Standard Structural Steel sheet</v>
      </c>
      <c r="B1097">
        <v>8755829</v>
      </c>
      <c r="C1097">
        <v>12086243</v>
      </c>
      <c r="E1097">
        <v>0.61129999999999995</v>
      </c>
      <c r="F1097" t="s">
        <v>7761</v>
      </c>
      <c r="G1097">
        <v>50</v>
      </c>
      <c r="H1097" t="s">
        <v>7762</v>
      </c>
      <c r="I1097">
        <v>30</v>
      </c>
      <c r="J1097">
        <v>1.099879013308536E-2</v>
      </c>
      <c r="K1097">
        <v>0</v>
      </c>
      <c r="L1097">
        <v>0</v>
      </c>
      <c r="M1097">
        <v>0</v>
      </c>
      <c r="O1097">
        <v>400000</v>
      </c>
      <c r="R1097" t="s">
        <v>162</v>
      </c>
      <c r="S1097">
        <v>9.1511609999999993E-2</v>
      </c>
      <c r="T1097">
        <v>6.7108514000000001E-5</v>
      </c>
      <c r="U1097" t="s">
        <v>176</v>
      </c>
      <c r="V1097">
        <v>2.1352709000000001E-2</v>
      </c>
      <c r="W1097">
        <v>0.53998560751400004</v>
      </c>
      <c r="X1097" t="s">
        <v>177</v>
      </c>
      <c r="Y1097">
        <v>3.2399136450839999E-2</v>
      </c>
      <c r="Z1097">
        <v>0</v>
      </c>
      <c r="AA1097" t="s">
        <v>178</v>
      </c>
      <c r="AB1097">
        <v>6.4798272901679999E-2</v>
      </c>
      <c r="AC1097">
        <v>0.63718301686652001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Q1097" t="s">
        <v>262</v>
      </c>
      <c r="AR1097" t="s">
        <v>263</v>
      </c>
      <c r="AS1097">
        <v>0.61007739999999999</v>
      </c>
    </row>
    <row r="1098" spans="1:45" x14ac:dyDescent="0.15">
      <c r="A1098" s="4" t="str">
        <f>HYPERLINK("https://ibp.a2mac1.com/costing(costing:projects/details/9760/material/8755830)","Standard Structural Steel sheet")</f>
        <v>Standard Structural Steel sheet</v>
      </c>
      <c r="B1098">
        <v>8755830</v>
      </c>
      <c r="C1098">
        <v>12086244</v>
      </c>
      <c r="E1098">
        <v>0.61129999999999995</v>
      </c>
      <c r="F1098" t="s">
        <v>1667</v>
      </c>
      <c r="G1098">
        <v>80</v>
      </c>
      <c r="H1098" t="s">
        <v>4487</v>
      </c>
      <c r="I1098">
        <v>30</v>
      </c>
      <c r="J1098">
        <v>1.099879013308536E-2</v>
      </c>
      <c r="K1098">
        <v>0</v>
      </c>
      <c r="L1098">
        <v>0</v>
      </c>
      <c r="M1098">
        <v>0</v>
      </c>
      <c r="O1098">
        <v>400000</v>
      </c>
      <c r="R1098" t="s">
        <v>162</v>
      </c>
      <c r="S1098">
        <v>7.3355999999999996E-4</v>
      </c>
      <c r="T1098">
        <v>1.34486E-6</v>
      </c>
      <c r="U1098" t="s">
        <v>176</v>
      </c>
      <c r="V1098">
        <v>4.2790999999999999E-4</v>
      </c>
      <c r="W1098">
        <v>1.192169486E-2</v>
      </c>
      <c r="X1098" t="s">
        <v>177</v>
      </c>
      <c r="Y1098">
        <v>7.1530169160000003E-4</v>
      </c>
      <c r="Z1098">
        <v>0</v>
      </c>
      <c r="AA1098" t="s">
        <v>178</v>
      </c>
      <c r="AB1098">
        <v>1.4306033832000001E-3</v>
      </c>
      <c r="AC1098">
        <v>1.40675999348E-2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Q1098" t="s">
        <v>262</v>
      </c>
      <c r="AR1098" t="s">
        <v>263</v>
      </c>
      <c r="AS1098">
        <v>1.2226000000000001E-2</v>
      </c>
    </row>
    <row r="1099" spans="1:45" x14ac:dyDescent="0.15">
      <c r="A1099" s="4" t="str">
        <f>HYPERLINK("https://ibp.a2mac1.com/costing(costing:projects/details/9760/material/8755831)","Standard Structural Steel sheet")</f>
        <v>Standard Structural Steel sheet</v>
      </c>
      <c r="B1099">
        <v>8755831</v>
      </c>
      <c r="C1099">
        <v>12086245</v>
      </c>
      <c r="E1099">
        <v>0.61129999999999995</v>
      </c>
      <c r="F1099" t="s">
        <v>7769</v>
      </c>
      <c r="G1099">
        <v>80</v>
      </c>
      <c r="H1099" t="s">
        <v>7770</v>
      </c>
      <c r="I1099">
        <v>30</v>
      </c>
      <c r="J1099">
        <v>1.099879013308536E-2</v>
      </c>
      <c r="K1099">
        <v>0</v>
      </c>
      <c r="L1099">
        <v>0</v>
      </c>
      <c r="M1099">
        <v>0</v>
      </c>
      <c r="O1099">
        <v>400000</v>
      </c>
      <c r="R1099" t="s">
        <v>162</v>
      </c>
      <c r="S1099">
        <v>1.4854590000000001E-2</v>
      </c>
      <c r="T1099">
        <v>2.7233415E-5</v>
      </c>
      <c r="U1099" t="s">
        <v>176</v>
      </c>
      <c r="V1099">
        <v>8.6651774999999993E-3</v>
      </c>
      <c r="W1099">
        <v>0.24141432091500001</v>
      </c>
      <c r="X1099" t="s">
        <v>177</v>
      </c>
      <c r="Y1099">
        <v>1.44848592549E-2</v>
      </c>
      <c r="Z1099">
        <v>0</v>
      </c>
      <c r="AA1099" t="s">
        <v>178</v>
      </c>
      <c r="AB1099">
        <v>2.8969718509799999E-2</v>
      </c>
      <c r="AC1099">
        <v>0.2848688986797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Q1099" t="s">
        <v>262</v>
      </c>
      <c r="AR1099" t="s">
        <v>263</v>
      </c>
      <c r="AS1099">
        <v>0.2475765</v>
      </c>
    </row>
    <row r="1100" spans="1:45" x14ac:dyDescent="0.15">
      <c r="A1100" s="4" t="str">
        <f>HYPERLINK("https://ibp.a2mac1.com/costing(costing:projects/details/9760/material/8755832)","Standard Structural Steel sheet")</f>
        <v>Standard Structural Steel sheet</v>
      </c>
      <c r="B1100">
        <v>8755832</v>
      </c>
      <c r="C1100">
        <v>12086246</v>
      </c>
      <c r="E1100">
        <v>0.61129999999999995</v>
      </c>
      <c r="F1100" t="s">
        <v>4382</v>
      </c>
      <c r="G1100">
        <v>80</v>
      </c>
      <c r="H1100" t="s">
        <v>5923</v>
      </c>
      <c r="I1100">
        <v>30</v>
      </c>
      <c r="J1100">
        <v>1.099879013308536E-2</v>
      </c>
      <c r="K1100">
        <v>0</v>
      </c>
      <c r="L1100">
        <v>0</v>
      </c>
      <c r="M1100">
        <v>0</v>
      </c>
      <c r="O1100">
        <v>400000</v>
      </c>
      <c r="R1100" t="s">
        <v>162</v>
      </c>
      <c r="S1100">
        <v>9.1695000000000004E-4</v>
      </c>
      <c r="T1100">
        <v>1.681075E-6</v>
      </c>
      <c r="U1100" t="s">
        <v>176</v>
      </c>
      <c r="V1100">
        <v>5.3488750000000001E-4</v>
      </c>
      <c r="W1100">
        <v>1.4902118575E-2</v>
      </c>
      <c r="X1100" t="s">
        <v>177</v>
      </c>
      <c r="Y1100">
        <v>8.9412711449999996E-4</v>
      </c>
      <c r="Z1100">
        <v>0</v>
      </c>
      <c r="AA1100" t="s">
        <v>178</v>
      </c>
      <c r="AB1100">
        <v>1.7882542289999999E-3</v>
      </c>
      <c r="AC1100">
        <v>1.7584499918500002E-2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Q1100" t="s">
        <v>262</v>
      </c>
      <c r="AR1100" t="s">
        <v>263</v>
      </c>
      <c r="AS1100">
        <v>1.5282499999999999E-2</v>
      </c>
    </row>
    <row r="1101" spans="1:45" x14ac:dyDescent="0.15">
      <c r="A1101" s="4" t="str">
        <f>HYPERLINK("https://ibp.a2mac1.com/costing(costing:projects/details/9760/material/8755854)","Standard Structural Steel sheet")</f>
        <v>Standard Structural Steel sheet</v>
      </c>
      <c r="B1101">
        <v>8755854</v>
      </c>
      <c r="C1101">
        <v>12086247</v>
      </c>
      <c r="E1101">
        <v>0.61129999999999995</v>
      </c>
      <c r="F1101" t="s">
        <v>5174</v>
      </c>
      <c r="G1101">
        <v>80</v>
      </c>
      <c r="H1101" t="s">
        <v>7777</v>
      </c>
      <c r="I1101">
        <v>30</v>
      </c>
      <c r="J1101">
        <v>1.099879013308536E-2</v>
      </c>
      <c r="K1101">
        <v>0</v>
      </c>
      <c r="L1101">
        <v>0</v>
      </c>
      <c r="M1101">
        <v>0</v>
      </c>
      <c r="O1101">
        <v>400000</v>
      </c>
      <c r="R1101" t="s">
        <v>162</v>
      </c>
      <c r="S1101">
        <v>5.9601749999999996E-4</v>
      </c>
      <c r="T1101">
        <v>1.0926987500000001E-6</v>
      </c>
      <c r="U1101" t="s">
        <v>176</v>
      </c>
      <c r="V1101">
        <v>3.4767687500000002E-4</v>
      </c>
      <c r="W1101">
        <v>9.6863770737500004E-3</v>
      </c>
      <c r="X1101" t="s">
        <v>177</v>
      </c>
      <c r="Y1101">
        <v>5.8118262442499995E-4</v>
      </c>
      <c r="Z1101">
        <v>0</v>
      </c>
      <c r="AA1101" t="s">
        <v>178</v>
      </c>
      <c r="AB1101">
        <v>1.1623652488499999E-3</v>
      </c>
      <c r="AC1101">
        <v>1.1429924947024999E-2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Q1101" t="s">
        <v>262</v>
      </c>
      <c r="AR1101" t="s">
        <v>263</v>
      </c>
      <c r="AS1101">
        <v>9.9336249999999997E-3</v>
      </c>
    </row>
    <row r="1102" spans="1:45" x14ac:dyDescent="0.15">
      <c r="A1102" s="4" t="str">
        <f>HYPERLINK("https://ibp.a2mac1.com/costing(costing:projects/details/9760/material/8755855)","Standard Structural Steel sheet")</f>
        <v>Standard Structural Steel sheet</v>
      </c>
      <c r="B1102">
        <v>8755855</v>
      </c>
      <c r="C1102">
        <v>12086248</v>
      </c>
      <c r="E1102">
        <v>0.61129999999999995</v>
      </c>
      <c r="F1102" t="s">
        <v>7785</v>
      </c>
      <c r="G1102">
        <v>65</v>
      </c>
      <c r="H1102" t="s">
        <v>7786</v>
      </c>
      <c r="I1102">
        <v>30</v>
      </c>
      <c r="J1102">
        <v>1.099879013308536E-2</v>
      </c>
      <c r="K1102">
        <v>0</v>
      </c>
      <c r="L1102">
        <v>0</v>
      </c>
      <c r="M1102">
        <v>0</v>
      </c>
      <c r="O1102">
        <v>400000</v>
      </c>
      <c r="R1102" t="s">
        <v>162</v>
      </c>
      <c r="S1102">
        <v>0.1866345923076923</v>
      </c>
      <c r="T1102">
        <v>1.9552195384615385E-4</v>
      </c>
      <c r="U1102" t="s">
        <v>176</v>
      </c>
      <c r="V1102">
        <v>6.221153076923077E-2</v>
      </c>
      <c r="W1102">
        <v>1.6532447681076923</v>
      </c>
      <c r="X1102" t="s">
        <v>177</v>
      </c>
      <c r="Y1102">
        <v>9.9194686086461537E-2</v>
      </c>
      <c r="Z1102">
        <v>0</v>
      </c>
      <c r="AA1102" t="s">
        <v>178</v>
      </c>
      <c r="AB1102">
        <v>0.19838937217292307</v>
      </c>
      <c r="AC1102">
        <v>1.950828826367077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Q1102" t="s">
        <v>262</v>
      </c>
      <c r="AR1102" t="s">
        <v>263</v>
      </c>
      <c r="AS1102">
        <v>1.7774723076923078</v>
      </c>
    </row>
    <row r="1103" spans="1:45" x14ac:dyDescent="0.15">
      <c r="A1103" s="4" t="str">
        <f>HYPERLINK("https://ibp.a2mac1.com/costing(costing:projects/details/9760/material/8755856)","Standard Structural Steel sheet")</f>
        <v>Standard Structural Steel sheet</v>
      </c>
      <c r="B1103">
        <v>8755856</v>
      </c>
      <c r="C1103">
        <v>12086249</v>
      </c>
      <c r="E1103">
        <v>0.61129999999999995</v>
      </c>
      <c r="F1103" t="s">
        <v>4431</v>
      </c>
      <c r="G1103">
        <v>65</v>
      </c>
      <c r="H1103" t="s">
        <v>7792</v>
      </c>
      <c r="I1103">
        <v>30</v>
      </c>
      <c r="J1103">
        <v>1.099879013308536E-2</v>
      </c>
      <c r="K1103">
        <v>0</v>
      </c>
      <c r="L1103">
        <v>0</v>
      </c>
      <c r="M1103">
        <v>0</v>
      </c>
      <c r="O1103">
        <v>400000</v>
      </c>
      <c r="R1103" t="s">
        <v>162</v>
      </c>
      <c r="S1103">
        <v>7.3073861538461536E-3</v>
      </c>
      <c r="T1103">
        <v>7.6553569230769234E-6</v>
      </c>
      <c r="U1103" t="s">
        <v>176</v>
      </c>
      <c r="V1103">
        <v>2.4357953846153848E-3</v>
      </c>
      <c r="W1103">
        <v>6.4730218433846159E-2</v>
      </c>
      <c r="X1103" t="s">
        <v>177</v>
      </c>
      <c r="Y1103">
        <v>3.8838131060307691E-3</v>
      </c>
      <c r="Z1103">
        <v>0</v>
      </c>
      <c r="AA1103" t="s">
        <v>178</v>
      </c>
      <c r="AB1103">
        <v>7.7676262120615382E-3</v>
      </c>
      <c r="AC1103">
        <v>7.6381657751938462E-2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Q1103" t="s">
        <v>262</v>
      </c>
      <c r="AR1103" t="s">
        <v>263</v>
      </c>
      <c r="AS1103">
        <v>6.9594153846153847E-2</v>
      </c>
    </row>
    <row r="1104" spans="1:45" x14ac:dyDescent="0.15">
      <c r="A1104" s="4" t="str">
        <f>HYPERLINK("https://ibp.a2mac1.com/costing(costing:projects/details/9760/material/8755857)","Standard Structural Steel sheet")</f>
        <v>Standard Structural Steel sheet</v>
      </c>
      <c r="B1104">
        <v>8755857</v>
      </c>
      <c r="C1104">
        <v>12086250</v>
      </c>
      <c r="E1104">
        <v>0.61129999999999995</v>
      </c>
      <c r="F1104" t="s">
        <v>7798</v>
      </c>
      <c r="G1104">
        <v>70</v>
      </c>
      <c r="H1104" t="s">
        <v>7799</v>
      </c>
      <c r="I1104">
        <v>30</v>
      </c>
      <c r="J1104">
        <v>1.099879013308536E-2</v>
      </c>
      <c r="K1104">
        <v>0</v>
      </c>
      <c r="L1104">
        <v>0</v>
      </c>
      <c r="M1104">
        <v>0</v>
      </c>
      <c r="O1104">
        <v>400000</v>
      </c>
      <c r="R1104" t="s">
        <v>162</v>
      </c>
      <c r="S1104">
        <v>2.6172372857142856E-2</v>
      </c>
      <c r="T1104">
        <v>3.1988455714285717E-5</v>
      </c>
      <c r="U1104" t="s">
        <v>176</v>
      </c>
      <c r="V1104">
        <v>1.0178145E-2</v>
      </c>
      <c r="W1104">
        <v>0.2748419034557143</v>
      </c>
      <c r="X1104" t="s">
        <v>177</v>
      </c>
      <c r="Y1104">
        <v>1.6490514207342856E-2</v>
      </c>
      <c r="Z1104">
        <v>0</v>
      </c>
      <c r="AA1104" t="s">
        <v>178</v>
      </c>
      <c r="AB1104">
        <v>3.2981028414685712E-2</v>
      </c>
      <c r="AC1104">
        <v>0.32431344607774287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Q1104" t="s">
        <v>262</v>
      </c>
      <c r="AR1104" t="s">
        <v>263</v>
      </c>
      <c r="AS1104">
        <v>0.29080414285714284</v>
      </c>
    </row>
    <row r="1105" spans="1:45" x14ac:dyDescent="0.15">
      <c r="A1105" s="4" t="str">
        <f>HYPERLINK("https://ibp.a2mac1.com/costing(costing:projects/details/9760/material/8755858)","Standard Structural Steel sheet")</f>
        <v>Standard Structural Steel sheet</v>
      </c>
      <c r="B1105">
        <v>8755858</v>
      </c>
      <c r="C1105">
        <v>12086251</v>
      </c>
      <c r="E1105">
        <v>0.61129999999999995</v>
      </c>
      <c r="F1105" t="s">
        <v>7273</v>
      </c>
      <c r="G1105">
        <v>75</v>
      </c>
      <c r="H1105" t="s">
        <v>7803</v>
      </c>
      <c r="I1105">
        <v>30</v>
      </c>
      <c r="J1105">
        <v>1.099879013308536E-2</v>
      </c>
      <c r="K1105">
        <v>0</v>
      </c>
      <c r="L1105">
        <v>0</v>
      </c>
      <c r="M1105">
        <v>0</v>
      </c>
      <c r="O1105">
        <v>400000</v>
      </c>
      <c r="R1105" t="s">
        <v>162</v>
      </c>
      <c r="S1105">
        <v>1.0636619999999999E-2</v>
      </c>
      <c r="T1105">
        <v>1.5600376000000002E-5</v>
      </c>
      <c r="U1105" t="s">
        <v>176</v>
      </c>
      <c r="V1105">
        <v>4.9637559999999997E-3</v>
      </c>
      <c r="W1105">
        <v>0.13616433637600001</v>
      </c>
      <c r="X1105" t="s">
        <v>177</v>
      </c>
      <c r="Y1105">
        <v>8.1698601825599994E-3</v>
      </c>
      <c r="Z1105">
        <v>0</v>
      </c>
      <c r="AA1105" t="s">
        <v>178</v>
      </c>
      <c r="AB1105">
        <v>1.6339720365119999E-2</v>
      </c>
      <c r="AC1105">
        <v>0.16067391692367999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Q1105" t="s">
        <v>262</v>
      </c>
      <c r="AR1105" t="s">
        <v>263</v>
      </c>
      <c r="AS1105">
        <v>0.14182159999999999</v>
      </c>
    </row>
    <row r="1106" spans="1:45" x14ac:dyDescent="0.15">
      <c r="A1106" s="4" t="str">
        <f>HYPERLINK("https://ibp.a2mac1.com/costing(costing:projects/details/9760/material/8755859)","Standard Structural Steel sheet")</f>
        <v>Standard Structural Steel sheet</v>
      </c>
      <c r="B1106">
        <v>8755859</v>
      </c>
      <c r="C1106">
        <v>12086252</v>
      </c>
      <c r="E1106">
        <v>0.61129999999999995</v>
      </c>
      <c r="F1106" t="s">
        <v>7807</v>
      </c>
      <c r="G1106">
        <v>50</v>
      </c>
      <c r="H1106" t="s">
        <v>7808</v>
      </c>
      <c r="I1106">
        <v>30</v>
      </c>
      <c r="J1106">
        <v>1.099879013308536E-2</v>
      </c>
      <c r="K1106">
        <v>0</v>
      </c>
      <c r="L1106">
        <v>0</v>
      </c>
      <c r="M1106">
        <v>0</v>
      </c>
      <c r="O1106">
        <v>400000</v>
      </c>
      <c r="R1106" t="s">
        <v>162</v>
      </c>
      <c r="S1106">
        <v>4.3830210000000001E-2</v>
      </c>
      <c r="T1106">
        <v>3.2142153999999999E-5</v>
      </c>
      <c r="U1106" t="s">
        <v>176</v>
      </c>
      <c r="V1106">
        <v>1.0227049E-2</v>
      </c>
      <c r="W1106">
        <v>0.258630381154</v>
      </c>
      <c r="X1106" t="s">
        <v>177</v>
      </c>
      <c r="Y1106">
        <v>1.551782286924E-2</v>
      </c>
      <c r="Z1106">
        <v>0</v>
      </c>
      <c r="AA1106" t="s">
        <v>178</v>
      </c>
      <c r="AB1106">
        <v>3.103564573848E-2</v>
      </c>
      <c r="AC1106">
        <v>0.30518384976172003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Q1106" t="s">
        <v>262</v>
      </c>
      <c r="AR1106" t="s">
        <v>263</v>
      </c>
      <c r="AS1106">
        <v>0.2922014</v>
      </c>
    </row>
    <row r="1107" spans="1:45" x14ac:dyDescent="0.15">
      <c r="A1107" s="4" t="str">
        <f>HYPERLINK("https://ibp.a2mac1.com/costing(costing:projects/details/9760/material/8755860)","Standard Structural Steel sheet")</f>
        <v>Standard Structural Steel sheet</v>
      </c>
      <c r="B1107">
        <v>8755860</v>
      </c>
      <c r="C1107">
        <v>12086253</v>
      </c>
      <c r="E1107">
        <v>0.61129999999999995</v>
      </c>
      <c r="F1107" t="s">
        <v>7111</v>
      </c>
      <c r="G1107">
        <v>70</v>
      </c>
      <c r="H1107" t="s">
        <v>7812</v>
      </c>
      <c r="I1107">
        <v>30</v>
      </c>
      <c r="J1107">
        <v>1.099879013308536E-2</v>
      </c>
      <c r="K1107">
        <v>0</v>
      </c>
      <c r="L1107">
        <v>0</v>
      </c>
      <c r="M1107">
        <v>0</v>
      </c>
      <c r="O1107">
        <v>400000</v>
      </c>
      <c r="R1107" t="s">
        <v>162</v>
      </c>
      <c r="S1107">
        <v>4.95153E-3</v>
      </c>
      <c r="T1107">
        <v>6.05187E-6</v>
      </c>
      <c r="U1107" t="s">
        <v>176</v>
      </c>
      <c r="V1107">
        <v>1.925595E-3</v>
      </c>
      <c r="W1107">
        <v>5.1997116869999999E-2</v>
      </c>
      <c r="X1107" t="s">
        <v>177</v>
      </c>
      <c r="Y1107">
        <v>3.1198270122000001E-3</v>
      </c>
      <c r="Z1107">
        <v>0</v>
      </c>
      <c r="AA1107" t="s">
        <v>178</v>
      </c>
      <c r="AB1107">
        <v>6.2396540244000001E-3</v>
      </c>
      <c r="AC1107">
        <v>6.1356597906600002E-2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Q1107" t="s">
        <v>262</v>
      </c>
      <c r="AR1107" t="s">
        <v>263</v>
      </c>
      <c r="AS1107">
        <v>5.5017000000000003E-2</v>
      </c>
    </row>
    <row r="1108" spans="1:45" x14ac:dyDescent="0.15">
      <c r="A1108" s="4" t="str">
        <f>HYPERLINK("https://ibp.a2mac1.com/costing(costing:projects/details/9760/material/8755861)","Standard Structural Steel sheet")</f>
        <v>Standard Structural Steel sheet</v>
      </c>
      <c r="B1108">
        <v>8755861</v>
      </c>
      <c r="C1108">
        <v>12086254</v>
      </c>
      <c r="E1108">
        <v>0.61129999999999995</v>
      </c>
      <c r="F1108" t="s">
        <v>5848</v>
      </c>
      <c r="G1108">
        <v>75</v>
      </c>
      <c r="H1108" t="s">
        <v>7816</v>
      </c>
      <c r="I1108">
        <v>30</v>
      </c>
      <c r="J1108">
        <v>1.099879013308536E-2</v>
      </c>
      <c r="K1108">
        <v>0</v>
      </c>
      <c r="L1108">
        <v>0</v>
      </c>
      <c r="M1108">
        <v>0</v>
      </c>
      <c r="O1108">
        <v>400000</v>
      </c>
      <c r="R1108" t="s">
        <v>162</v>
      </c>
      <c r="S1108">
        <v>4.2791000000000001E-3</v>
      </c>
      <c r="T1108">
        <v>6.2760133333333334E-6</v>
      </c>
      <c r="U1108" t="s">
        <v>176</v>
      </c>
      <c r="V1108">
        <v>1.9969133333333335E-3</v>
      </c>
      <c r="W1108">
        <v>5.4778756013333332E-2</v>
      </c>
      <c r="X1108" t="s">
        <v>177</v>
      </c>
      <c r="Y1108">
        <v>3.2867253608E-3</v>
      </c>
      <c r="Z1108">
        <v>0</v>
      </c>
      <c r="AA1108" t="s">
        <v>178</v>
      </c>
      <c r="AB1108">
        <v>6.5734507216E-3</v>
      </c>
      <c r="AC1108">
        <v>6.4638932095733334E-2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Q1108" t="s">
        <v>262</v>
      </c>
      <c r="AR1108" t="s">
        <v>263</v>
      </c>
      <c r="AS1108">
        <v>5.7054666666666663E-2</v>
      </c>
    </row>
    <row r="1109" spans="1:45" x14ac:dyDescent="0.15">
      <c r="A1109" s="4" t="str">
        <f>HYPERLINK("https://ibp.a2mac1.com/costing(costing:projects/details/9760/material/8755862)","Standard Structural Steel sheet")</f>
        <v>Standard Structural Steel sheet</v>
      </c>
      <c r="B1109">
        <v>8755862</v>
      </c>
      <c r="C1109">
        <v>12086255</v>
      </c>
      <c r="E1109">
        <v>0.61129999999999995</v>
      </c>
      <c r="F1109" t="s">
        <v>6189</v>
      </c>
      <c r="G1109">
        <v>65</v>
      </c>
      <c r="H1109" t="s">
        <v>7820</v>
      </c>
      <c r="I1109">
        <v>30</v>
      </c>
      <c r="J1109">
        <v>1.099879013308536E-2</v>
      </c>
      <c r="K1109">
        <v>0</v>
      </c>
      <c r="L1109">
        <v>0</v>
      </c>
      <c r="M1109">
        <v>0</v>
      </c>
      <c r="O1109">
        <v>400000</v>
      </c>
      <c r="R1109" t="s">
        <v>162</v>
      </c>
      <c r="S1109">
        <v>3.9499384615384612E-3</v>
      </c>
      <c r="T1109">
        <v>4.1380307692307692E-6</v>
      </c>
      <c r="U1109" t="s">
        <v>176</v>
      </c>
      <c r="V1109">
        <v>1.3166461538461538E-3</v>
      </c>
      <c r="W1109">
        <v>3.4989307261538462E-2</v>
      </c>
      <c r="X1109" t="s">
        <v>177</v>
      </c>
      <c r="Y1109">
        <v>2.0993584356923077E-3</v>
      </c>
      <c r="Z1109">
        <v>0</v>
      </c>
      <c r="AA1109" t="s">
        <v>178</v>
      </c>
      <c r="AB1109">
        <v>4.1987168713846154E-3</v>
      </c>
      <c r="AC1109">
        <v>4.1287382568615381E-2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Q1109" t="s">
        <v>262</v>
      </c>
      <c r="AR1109" t="s">
        <v>263</v>
      </c>
      <c r="AS1109">
        <v>3.7618461538461538E-2</v>
      </c>
    </row>
    <row r="1110" spans="1:45" x14ac:dyDescent="0.15">
      <c r="A1110" s="4" t="str">
        <f>HYPERLINK("https://ibp.a2mac1.com/costing(costing:projects/details/9760/material/8755863)","Standard Structural Steel sheet")</f>
        <v>Standard Structural Steel sheet</v>
      </c>
      <c r="B1110">
        <v>8755863</v>
      </c>
      <c r="C1110">
        <v>12086256</v>
      </c>
      <c r="E1110">
        <v>0.61129999999999995</v>
      </c>
      <c r="F1110" t="s">
        <v>6189</v>
      </c>
      <c r="G1110">
        <v>70</v>
      </c>
      <c r="H1110" t="s">
        <v>7824</v>
      </c>
      <c r="I1110">
        <v>30</v>
      </c>
      <c r="J1110">
        <v>1.099879013308536E-2</v>
      </c>
      <c r="K1110">
        <v>0</v>
      </c>
      <c r="L1110">
        <v>0</v>
      </c>
      <c r="M1110">
        <v>0</v>
      </c>
      <c r="O1110">
        <v>400000</v>
      </c>
      <c r="R1110" t="s">
        <v>162</v>
      </c>
      <c r="S1110">
        <v>3.1438285714285715E-3</v>
      </c>
      <c r="T1110">
        <v>3.8424571428571429E-6</v>
      </c>
      <c r="U1110" t="s">
        <v>176</v>
      </c>
      <c r="V1110">
        <v>1.2225999999999999E-3</v>
      </c>
      <c r="W1110">
        <v>3.3014042457142859E-2</v>
      </c>
      <c r="X1110" t="s">
        <v>177</v>
      </c>
      <c r="Y1110">
        <v>1.9808425474285712E-3</v>
      </c>
      <c r="Z1110">
        <v>0</v>
      </c>
      <c r="AA1110" t="s">
        <v>178</v>
      </c>
      <c r="AB1110">
        <v>3.9616850948571425E-3</v>
      </c>
      <c r="AC1110">
        <v>3.8956570099428572E-2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Q1110" t="s">
        <v>262</v>
      </c>
      <c r="AR1110" t="s">
        <v>263</v>
      </c>
      <c r="AS1110">
        <v>3.4931428571428572E-2</v>
      </c>
    </row>
    <row r="1111" spans="1:45" x14ac:dyDescent="0.15">
      <c r="A1111" s="4" t="str">
        <f>HYPERLINK("https://ibp.a2mac1.com/costing(costing:projects/details/9760/material/8756055)","Standard Structural Steel sheet")</f>
        <v>Standard Structural Steel sheet</v>
      </c>
      <c r="B1111">
        <v>8756055</v>
      </c>
      <c r="C1111">
        <v>12086452</v>
      </c>
      <c r="E1111">
        <v>0.61129999999999995</v>
      </c>
      <c r="F1111" t="s">
        <v>7837</v>
      </c>
      <c r="G1111">
        <v>60</v>
      </c>
      <c r="H1111" t="s">
        <v>7838</v>
      </c>
      <c r="I1111">
        <v>30</v>
      </c>
      <c r="J1111">
        <v>1.099879013308536E-2</v>
      </c>
      <c r="K1111">
        <v>0</v>
      </c>
      <c r="L1111">
        <v>0</v>
      </c>
      <c r="M1111">
        <v>0</v>
      </c>
      <c r="O1111">
        <v>400000</v>
      </c>
      <c r="R1111" t="s">
        <v>162</v>
      </c>
      <c r="S1111">
        <v>0.18265644</v>
      </c>
      <c r="T1111">
        <v>1.6743507E-4</v>
      </c>
      <c r="U1111" t="s">
        <v>176</v>
      </c>
      <c r="V1111">
        <v>5.3274795E-2</v>
      </c>
      <c r="W1111">
        <v>1.3929227900700001</v>
      </c>
      <c r="X1111" t="s">
        <v>177</v>
      </c>
      <c r="Y1111">
        <v>8.3575367404200004E-2</v>
      </c>
      <c r="Z1111">
        <v>0</v>
      </c>
      <c r="AA1111" t="s">
        <v>178</v>
      </c>
      <c r="AB1111">
        <v>0.16715073480840001</v>
      </c>
      <c r="AC1111">
        <v>1.6436488922826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Q1111" t="s">
        <v>262</v>
      </c>
      <c r="AR1111" t="s">
        <v>263</v>
      </c>
      <c r="AS1111">
        <v>1.5221370000000001</v>
      </c>
    </row>
    <row r="1112" spans="1:45" x14ac:dyDescent="0.15">
      <c r="A1112" s="4" t="str">
        <f>HYPERLINK("https://ibp.a2mac1.com/costing(costing:projects/details/9760/material/8756056)","Standard Structural Steel sheet")</f>
        <v>Standard Structural Steel sheet</v>
      </c>
      <c r="B1112">
        <v>8756056</v>
      </c>
      <c r="C1112">
        <v>12086453</v>
      </c>
      <c r="E1112">
        <v>0.61129999999999995</v>
      </c>
      <c r="F1112" t="s">
        <v>7842</v>
      </c>
      <c r="G1112">
        <v>65</v>
      </c>
      <c r="H1112" t="s">
        <v>7843</v>
      </c>
      <c r="I1112">
        <v>30</v>
      </c>
      <c r="J1112">
        <v>1.099879013308536E-2</v>
      </c>
      <c r="K1112">
        <v>0</v>
      </c>
      <c r="L1112">
        <v>0</v>
      </c>
      <c r="M1112">
        <v>0</v>
      </c>
      <c r="O1112">
        <v>400000</v>
      </c>
      <c r="R1112" t="s">
        <v>162</v>
      </c>
      <c r="S1112">
        <v>1.8959704615384616E-2</v>
      </c>
      <c r="T1112">
        <v>1.9862547692307692E-5</v>
      </c>
      <c r="U1112" t="s">
        <v>176</v>
      </c>
      <c r="V1112">
        <v>6.3199015384615385E-3</v>
      </c>
      <c r="W1112">
        <v>0.16794867485538462</v>
      </c>
      <c r="X1112" t="s">
        <v>177</v>
      </c>
      <c r="Y1112">
        <v>1.0076920491323077E-2</v>
      </c>
      <c r="Z1112">
        <v>0</v>
      </c>
      <c r="AA1112" t="s">
        <v>178</v>
      </c>
      <c r="AB1112">
        <v>2.0153840982646155E-2</v>
      </c>
      <c r="AC1112">
        <v>0.19817943632935384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Q1112" t="s">
        <v>262</v>
      </c>
      <c r="AR1112" t="s">
        <v>263</v>
      </c>
      <c r="AS1112">
        <v>0.18056861538461538</v>
      </c>
    </row>
    <row r="1113" spans="1:45" x14ac:dyDescent="0.15">
      <c r="A1113" s="4" t="str">
        <f>HYPERLINK("https://ibp.a2mac1.com/costing(costing:projects/details/9760/material/8756057)","Aluminum sheet body (default, e.g. EN-AW6063)")</f>
        <v>Aluminum sheet body (default, e.g. EN-AW6063)</v>
      </c>
      <c r="B1113">
        <v>8756057</v>
      </c>
      <c r="C1113">
        <v>12086454</v>
      </c>
      <c r="E1113">
        <v>3.79636</v>
      </c>
      <c r="F1113" t="s">
        <v>7851</v>
      </c>
      <c r="G1113">
        <v>80</v>
      </c>
      <c r="H1113" t="s">
        <v>7852</v>
      </c>
      <c r="I1113">
        <v>30</v>
      </c>
      <c r="J1113">
        <v>1.099879013308536E-2</v>
      </c>
      <c r="K1113">
        <v>0</v>
      </c>
      <c r="L1113">
        <v>0</v>
      </c>
      <c r="M1113">
        <v>0</v>
      </c>
      <c r="O1113">
        <v>400000</v>
      </c>
      <c r="R1113" t="s">
        <v>162</v>
      </c>
      <c r="S1113">
        <v>1.2519446190000001</v>
      </c>
      <c r="T1113">
        <v>2.2952318015000001E-3</v>
      </c>
      <c r="U1113" t="s">
        <v>176</v>
      </c>
      <c r="V1113">
        <v>0.73030102775000005</v>
      </c>
      <c r="W1113">
        <v>20.346395290551499</v>
      </c>
      <c r="X1113" t="s">
        <v>177</v>
      </c>
      <c r="Y1113">
        <v>1.22078371743309</v>
      </c>
      <c r="Z1113">
        <v>0</v>
      </c>
      <c r="AA1113" t="s">
        <v>178</v>
      </c>
      <c r="AB1113">
        <v>2.44156743486618</v>
      </c>
      <c r="AC1113">
        <v>24.008746442850772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Q1113" t="s">
        <v>262</v>
      </c>
      <c r="AR1113" t="s">
        <v>263</v>
      </c>
      <c r="AS1113">
        <v>20.865743649999999</v>
      </c>
    </row>
    <row r="1114" spans="1:45" x14ac:dyDescent="0.15">
      <c r="A1114" s="4" t="str">
        <f>HYPERLINK("https://ibp.a2mac1.com/costing(costing:projects/details/9760/material/8755864)","Steel sheet (Hot Forming Steel)")</f>
        <v>Steel sheet (Hot Forming Steel)</v>
      </c>
      <c r="B1114">
        <v>8755864</v>
      </c>
      <c r="C1114">
        <v>12086257</v>
      </c>
      <c r="E1114">
        <v>1.66818</v>
      </c>
      <c r="F1114" t="s">
        <v>7861</v>
      </c>
      <c r="G1114">
        <v>55</v>
      </c>
      <c r="H1114" t="s">
        <v>7862</v>
      </c>
      <c r="I1114">
        <v>30</v>
      </c>
      <c r="J1114">
        <v>1.099879013308536E-2</v>
      </c>
      <c r="K1114">
        <v>0</v>
      </c>
      <c r="L1114">
        <v>0</v>
      </c>
      <c r="M1114">
        <v>0</v>
      </c>
      <c r="O1114">
        <v>400000</v>
      </c>
      <c r="R1114" t="s">
        <v>162</v>
      </c>
      <c r="S1114">
        <v>0.94135397399999998</v>
      </c>
      <c r="T1114">
        <v>7.6702916400000001E-4</v>
      </c>
      <c r="U1114" t="s">
        <v>176</v>
      </c>
      <c r="V1114">
        <v>0.244054734</v>
      </c>
      <c r="W1114">
        <v>6.2764601891640002</v>
      </c>
      <c r="X1114" t="s">
        <v>177</v>
      </c>
      <c r="Y1114">
        <v>0.37658761134983998</v>
      </c>
      <c r="Z1114">
        <v>0</v>
      </c>
      <c r="AA1114" t="s">
        <v>178</v>
      </c>
      <c r="AB1114">
        <v>0.75317522269967996</v>
      </c>
      <c r="AC1114">
        <v>7.4062230232135198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Q1114" t="s">
        <v>262</v>
      </c>
      <c r="AR1114" t="s">
        <v>263</v>
      </c>
      <c r="AS1114">
        <v>6.9729923999999999</v>
      </c>
    </row>
    <row r="1115" spans="1:45" x14ac:dyDescent="0.15">
      <c r="A1115" s="4" t="str">
        <f>HYPERLINK("https://ibp.a2mac1.com/costing(costing:projects/details/9760/material/8755865)","Standard Structural Steel sheet")</f>
        <v>Standard Structural Steel sheet</v>
      </c>
      <c r="B1115">
        <v>8755865</v>
      </c>
      <c r="C1115">
        <v>12086258</v>
      </c>
      <c r="E1115">
        <v>0.61129999999999995</v>
      </c>
      <c r="F1115" t="s">
        <v>7866</v>
      </c>
      <c r="G1115">
        <v>65</v>
      </c>
      <c r="H1115" t="s">
        <v>7867</v>
      </c>
      <c r="I1115">
        <v>30</v>
      </c>
      <c r="J1115">
        <v>1.099879013308536E-2</v>
      </c>
      <c r="K1115">
        <v>0</v>
      </c>
      <c r="L1115">
        <v>0</v>
      </c>
      <c r="M1115">
        <v>0</v>
      </c>
      <c r="O1115">
        <v>400000</v>
      </c>
      <c r="R1115" t="s">
        <v>162</v>
      </c>
      <c r="S1115">
        <v>0.28893799846153845</v>
      </c>
      <c r="T1115">
        <v>3.0269695076923079E-4</v>
      </c>
      <c r="U1115" t="s">
        <v>176</v>
      </c>
      <c r="V1115">
        <v>9.6312666153846149E-2</v>
      </c>
      <c r="W1115">
        <v>2.5594678261815385</v>
      </c>
      <c r="X1115" t="s">
        <v>177</v>
      </c>
      <c r="Y1115">
        <v>0.15356806957089231</v>
      </c>
      <c r="Z1115">
        <v>0</v>
      </c>
      <c r="AA1115" t="s">
        <v>178</v>
      </c>
      <c r="AB1115">
        <v>0.30713613914178461</v>
      </c>
      <c r="AC1115">
        <v>3.0201720348942156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Q1115" t="s">
        <v>262</v>
      </c>
      <c r="AR1115" t="s">
        <v>263</v>
      </c>
      <c r="AS1115">
        <v>2.7517904615384614</v>
      </c>
    </row>
    <row r="1116" spans="1:45" x14ac:dyDescent="0.15">
      <c r="A1116" s="4" t="str">
        <f>HYPERLINK("https://ibp.a2mac1.com/costing(costing:projects/details/9760/material/8755866)","Standard Structural Steel sheet")</f>
        <v>Standard Structural Steel sheet</v>
      </c>
      <c r="B1116">
        <v>8755866</v>
      </c>
      <c r="C1116">
        <v>12086259</v>
      </c>
      <c r="E1116">
        <v>0.61129999999999995</v>
      </c>
      <c r="F1116" t="s">
        <v>7871</v>
      </c>
      <c r="G1116">
        <v>65</v>
      </c>
      <c r="H1116" t="s">
        <v>7872</v>
      </c>
      <c r="I1116">
        <v>30</v>
      </c>
      <c r="J1116">
        <v>1.099879013308536E-2</v>
      </c>
      <c r="K1116">
        <v>0</v>
      </c>
      <c r="L1116">
        <v>0</v>
      </c>
      <c r="M1116">
        <v>0</v>
      </c>
      <c r="O1116">
        <v>400000</v>
      </c>
      <c r="R1116" t="s">
        <v>162</v>
      </c>
      <c r="S1116">
        <v>0.15365260615384616</v>
      </c>
      <c r="T1116">
        <v>1.6096939692307694E-4</v>
      </c>
      <c r="U1116" t="s">
        <v>176</v>
      </c>
      <c r="V1116">
        <v>5.1217535384615383E-2</v>
      </c>
      <c r="W1116">
        <v>1.3610840524738461</v>
      </c>
      <c r="X1116" t="s">
        <v>177</v>
      </c>
      <c r="Y1116">
        <v>8.1665043148430774E-2</v>
      </c>
      <c r="Z1116">
        <v>0</v>
      </c>
      <c r="AA1116" t="s">
        <v>178</v>
      </c>
      <c r="AB1116">
        <v>0.16333008629686155</v>
      </c>
      <c r="AC1116">
        <v>1.6060791819191385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Q1116" t="s">
        <v>262</v>
      </c>
      <c r="AR1116" t="s">
        <v>263</v>
      </c>
      <c r="AS1116">
        <v>1.4633581538461538</v>
      </c>
    </row>
    <row r="1117" spans="1:45" x14ac:dyDescent="0.15">
      <c r="A1117" s="4" t="str">
        <f>HYPERLINK("https://ibp.a2mac1.com/costing(costing:projects/details/9760/material/8755867)","Standard Structural Steel sheet")</f>
        <v>Standard Structural Steel sheet</v>
      </c>
      <c r="B1117">
        <v>8755867</v>
      </c>
      <c r="C1117">
        <v>12086260</v>
      </c>
      <c r="E1117">
        <v>0.61129999999999995</v>
      </c>
      <c r="F1117" t="s">
        <v>7876</v>
      </c>
      <c r="G1117">
        <v>80</v>
      </c>
      <c r="H1117" t="s">
        <v>7877</v>
      </c>
      <c r="I1117">
        <v>30</v>
      </c>
      <c r="J1117">
        <v>1.3998040274361589E-2</v>
      </c>
      <c r="K1117">
        <v>0</v>
      </c>
      <c r="L1117">
        <v>0</v>
      </c>
      <c r="M1117">
        <v>0</v>
      </c>
      <c r="O1117">
        <v>200000</v>
      </c>
      <c r="R1117" t="s">
        <v>162</v>
      </c>
      <c r="S1117">
        <v>6.0060225000000002E-2</v>
      </c>
      <c r="T1117">
        <v>1.4014052500000001E-4</v>
      </c>
      <c r="U1117" t="s">
        <v>176</v>
      </c>
      <c r="V1117">
        <v>3.5035131249999997E-2</v>
      </c>
      <c r="W1117">
        <v>0.97611879677500002</v>
      </c>
      <c r="X1117" t="s">
        <v>177</v>
      </c>
      <c r="Y1117">
        <v>5.8567127806500002E-2</v>
      </c>
      <c r="Z1117">
        <v>0</v>
      </c>
      <c r="AA1117" t="s">
        <v>178</v>
      </c>
      <c r="AB1117">
        <v>0.117134255613</v>
      </c>
      <c r="AC1117">
        <v>1.1518201801945001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Q1117" t="s">
        <v>262</v>
      </c>
      <c r="AR1117" t="s">
        <v>263</v>
      </c>
      <c r="AS1117">
        <v>1.00100375</v>
      </c>
    </row>
    <row r="1118" spans="1:45" x14ac:dyDescent="0.15">
      <c r="A1118" s="4" t="str">
        <f>HYPERLINK("https://ibp.a2mac1.com/costing(costing:projects/details/9760/material/8755868)","Steel sheet (Hot Forming Steel)")</f>
        <v>Steel sheet (Hot Forming Steel)</v>
      </c>
      <c r="B1118">
        <v>8755868</v>
      </c>
      <c r="C1118">
        <v>12086261</v>
      </c>
      <c r="E1118">
        <v>1.66818</v>
      </c>
      <c r="F1118" t="s">
        <v>7883</v>
      </c>
      <c r="G1118">
        <v>60</v>
      </c>
      <c r="H1118" t="s">
        <v>7884</v>
      </c>
      <c r="I1118">
        <v>30</v>
      </c>
      <c r="J1118">
        <v>1.099879013308536E-2</v>
      </c>
      <c r="K1118">
        <v>0</v>
      </c>
      <c r="L1118">
        <v>0</v>
      </c>
      <c r="M1118">
        <v>0</v>
      </c>
      <c r="O1118">
        <v>400000</v>
      </c>
      <c r="R1118" t="s">
        <v>162</v>
      </c>
      <c r="S1118">
        <v>0.54983212800000003</v>
      </c>
      <c r="T1118">
        <v>5.0401278399999998E-4</v>
      </c>
      <c r="U1118" t="s">
        <v>176</v>
      </c>
      <c r="V1118">
        <v>0.160367704</v>
      </c>
      <c r="W1118">
        <v>4.1929739887839999</v>
      </c>
      <c r="X1118" t="s">
        <v>177</v>
      </c>
      <c r="Y1118">
        <v>0.25157843932703999</v>
      </c>
      <c r="Z1118">
        <v>0</v>
      </c>
      <c r="AA1118" t="s">
        <v>178</v>
      </c>
      <c r="AB1118">
        <v>0.50315687865407999</v>
      </c>
      <c r="AC1118">
        <v>4.9477093067651197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Q1118" t="s">
        <v>262</v>
      </c>
      <c r="AR1118" t="s">
        <v>263</v>
      </c>
      <c r="AS1118">
        <v>4.5819343999999997</v>
      </c>
    </row>
    <row r="1119" spans="1:45" x14ac:dyDescent="0.15">
      <c r="A1119" s="4" t="str">
        <f>HYPERLINK("https://ibp.a2mac1.com/costing(costing:projects/details/9760/material/8755869)","Standard Structural Steel sheet")</f>
        <v>Standard Structural Steel sheet</v>
      </c>
      <c r="B1119">
        <v>8755869</v>
      </c>
      <c r="C1119">
        <v>12086262</v>
      </c>
      <c r="E1119">
        <v>0.61129999999999995</v>
      </c>
      <c r="F1119" t="s">
        <v>4347</v>
      </c>
      <c r="G1119">
        <v>70</v>
      </c>
      <c r="H1119" t="s">
        <v>7888</v>
      </c>
      <c r="I1119">
        <v>30</v>
      </c>
      <c r="J1119">
        <v>1.099879013308536E-2</v>
      </c>
      <c r="K1119">
        <v>0</v>
      </c>
      <c r="L1119">
        <v>0</v>
      </c>
      <c r="M1119">
        <v>0</v>
      </c>
      <c r="O1119">
        <v>400000</v>
      </c>
      <c r="R1119" t="s">
        <v>162</v>
      </c>
      <c r="S1119">
        <v>5.0301257142857147E-3</v>
      </c>
      <c r="T1119">
        <v>6.1479314285714289E-6</v>
      </c>
      <c r="U1119" t="s">
        <v>176</v>
      </c>
      <c r="V1119">
        <v>1.9561600000000002E-3</v>
      </c>
      <c r="W1119">
        <v>5.2822467931428571E-2</v>
      </c>
      <c r="X1119" t="s">
        <v>177</v>
      </c>
      <c r="Y1119">
        <v>3.1693480758857142E-3</v>
      </c>
      <c r="Z1119">
        <v>0</v>
      </c>
      <c r="AA1119" t="s">
        <v>178</v>
      </c>
      <c r="AB1119">
        <v>6.3386961517714283E-3</v>
      </c>
      <c r="AC1119">
        <v>6.2330512159085714E-2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Q1119" t="s">
        <v>262</v>
      </c>
      <c r="AR1119" t="s">
        <v>263</v>
      </c>
      <c r="AS1119">
        <v>5.5890285714285712E-2</v>
      </c>
    </row>
    <row r="1120" spans="1:45" x14ac:dyDescent="0.15">
      <c r="A1120" s="4" t="str">
        <f>HYPERLINK("https://ibp.a2mac1.com/costing(costing:projects/details/9760/material/8755870)","Standard Structural Steel sheet")</f>
        <v>Standard Structural Steel sheet</v>
      </c>
      <c r="B1120">
        <v>8755870</v>
      </c>
      <c r="C1120">
        <v>12086263</v>
      </c>
      <c r="E1120">
        <v>0.61129999999999995</v>
      </c>
      <c r="F1120" t="s">
        <v>4389</v>
      </c>
      <c r="G1120">
        <v>70</v>
      </c>
      <c r="H1120" t="s">
        <v>7892</v>
      </c>
      <c r="I1120">
        <v>30</v>
      </c>
      <c r="J1120">
        <v>1.099879013308536E-2</v>
      </c>
      <c r="K1120">
        <v>0</v>
      </c>
      <c r="L1120">
        <v>0</v>
      </c>
      <c r="M1120">
        <v>0</v>
      </c>
      <c r="O1120">
        <v>400000</v>
      </c>
      <c r="R1120" t="s">
        <v>162</v>
      </c>
      <c r="S1120">
        <v>5.2659128571428569E-3</v>
      </c>
      <c r="T1120">
        <v>6.4361157142857145E-6</v>
      </c>
      <c r="U1120" t="s">
        <v>176</v>
      </c>
      <c r="V1120">
        <v>2.0478549999999999E-3</v>
      </c>
      <c r="W1120">
        <v>5.5298521115714289E-2</v>
      </c>
      <c r="X1120" t="s">
        <v>177</v>
      </c>
      <c r="Y1120">
        <v>3.3179112669428574E-3</v>
      </c>
      <c r="Z1120">
        <v>0</v>
      </c>
      <c r="AA1120" t="s">
        <v>178</v>
      </c>
      <c r="AB1120">
        <v>6.6358225338857147E-3</v>
      </c>
      <c r="AC1120">
        <v>6.5252254916542851E-2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Q1120" t="s">
        <v>262</v>
      </c>
      <c r="AR1120" t="s">
        <v>263</v>
      </c>
      <c r="AS1120">
        <v>5.8510142857142858E-2</v>
      </c>
    </row>
    <row r="1121" spans="1:45" x14ac:dyDescent="0.15">
      <c r="A1121" s="4" t="str">
        <f>HYPERLINK("https://ibp.a2mac1.com/costing(costing:projects/details/9760/material/8755871)","Standard Structural Steel sheet")</f>
        <v>Standard Structural Steel sheet</v>
      </c>
      <c r="B1121">
        <v>8755871</v>
      </c>
      <c r="C1121">
        <v>12086264</v>
      </c>
      <c r="E1121">
        <v>0.61129999999999995</v>
      </c>
      <c r="F1121" t="s">
        <v>7896</v>
      </c>
      <c r="G1121">
        <v>75</v>
      </c>
      <c r="H1121" t="s">
        <v>7897</v>
      </c>
      <c r="I1121">
        <v>30</v>
      </c>
      <c r="J1121">
        <v>1.099879013308536E-2</v>
      </c>
      <c r="K1121">
        <v>0</v>
      </c>
      <c r="L1121">
        <v>0</v>
      </c>
      <c r="M1121">
        <v>0</v>
      </c>
      <c r="O1121">
        <v>400000</v>
      </c>
      <c r="R1121" t="s">
        <v>162</v>
      </c>
      <c r="S1121">
        <v>2.1334369999999998E-2</v>
      </c>
      <c r="T1121">
        <v>3.1290409333333336E-5</v>
      </c>
      <c r="U1121" t="s">
        <v>176</v>
      </c>
      <c r="V1121">
        <v>9.956039333333333E-3</v>
      </c>
      <c r="W1121">
        <v>0.27311122640933333</v>
      </c>
      <c r="X1121" t="s">
        <v>177</v>
      </c>
      <c r="Y1121">
        <v>1.6386673584559999E-2</v>
      </c>
      <c r="Z1121">
        <v>0</v>
      </c>
      <c r="AA1121" t="s">
        <v>178</v>
      </c>
      <c r="AB1121">
        <v>3.2773347169119997E-2</v>
      </c>
      <c r="AC1121">
        <v>0.32227124716301331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Q1121" t="s">
        <v>262</v>
      </c>
      <c r="AR1121" t="s">
        <v>263</v>
      </c>
      <c r="AS1121">
        <v>0.28445826666666668</v>
      </c>
    </row>
    <row r="1122" spans="1:45" x14ac:dyDescent="0.15">
      <c r="A1122" s="4" t="str">
        <f>HYPERLINK("https://ibp.a2mac1.com/costing(costing:projects/details/9760/material/8755872)","Standard Structural Steel sheet")</f>
        <v>Standard Structural Steel sheet</v>
      </c>
      <c r="B1122">
        <v>8755872</v>
      </c>
      <c r="C1122">
        <v>12086265</v>
      </c>
      <c r="E1122">
        <v>0.61129999999999995</v>
      </c>
      <c r="F1122" t="s">
        <v>7901</v>
      </c>
      <c r="G1122">
        <v>65</v>
      </c>
      <c r="H1122" t="s">
        <v>7902</v>
      </c>
      <c r="I1122">
        <v>30</v>
      </c>
      <c r="J1122">
        <v>1.099879013308536E-2</v>
      </c>
      <c r="K1122">
        <v>0</v>
      </c>
      <c r="L1122">
        <v>0</v>
      </c>
      <c r="M1122">
        <v>0</v>
      </c>
      <c r="O1122">
        <v>400000</v>
      </c>
      <c r="R1122" t="s">
        <v>162</v>
      </c>
      <c r="S1122">
        <v>2.3995876153846154E-2</v>
      </c>
      <c r="T1122">
        <v>2.5138536923076924E-5</v>
      </c>
      <c r="U1122" t="s">
        <v>176</v>
      </c>
      <c r="V1122">
        <v>7.9986253846153852E-3</v>
      </c>
      <c r="W1122">
        <v>0.21256004161384615</v>
      </c>
      <c r="X1122" t="s">
        <v>177</v>
      </c>
      <c r="Y1122">
        <v>1.2753602496830769E-2</v>
      </c>
      <c r="Z1122">
        <v>0</v>
      </c>
      <c r="AA1122" t="s">
        <v>178</v>
      </c>
      <c r="AB1122">
        <v>2.5507204993661537E-2</v>
      </c>
      <c r="AC1122">
        <v>0.25082084910433844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Q1122" t="s">
        <v>262</v>
      </c>
      <c r="AR1122" t="s">
        <v>263</v>
      </c>
      <c r="AS1122">
        <v>0.22853215384615386</v>
      </c>
    </row>
    <row r="1123" spans="1:45" x14ac:dyDescent="0.15">
      <c r="A1123" s="4" t="str">
        <f>HYPERLINK("https://ibp.a2mac1.com/costing(costing:projects/details/9760/material/8755873)","Standard Structural Steel sheet")</f>
        <v>Standard Structural Steel sheet</v>
      </c>
      <c r="B1123">
        <v>8755873</v>
      </c>
      <c r="C1123">
        <v>12086266</v>
      </c>
      <c r="E1123">
        <v>0.61129999999999995</v>
      </c>
      <c r="F1123" t="s">
        <v>6669</v>
      </c>
      <c r="G1123">
        <v>75</v>
      </c>
      <c r="H1123" t="s">
        <v>7906</v>
      </c>
      <c r="I1123">
        <v>30</v>
      </c>
      <c r="J1123">
        <v>1.099879013308536E-2</v>
      </c>
      <c r="K1123">
        <v>0</v>
      </c>
      <c r="L1123">
        <v>0</v>
      </c>
      <c r="M1123">
        <v>0</v>
      </c>
      <c r="O1123">
        <v>400000</v>
      </c>
      <c r="R1123" t="s">
        <v>162</v>
      </c>
      <c r="S1123">
        <v>3.79006E-3</v>
      </c>
      <c r="T1123">
        <v>5.5587546666666663E-6</v>
      </c>
      <c r="U1123" t="s">
        <v>176</v>
      </c>
      <c r="V1123">
        <v>1.7686946666666667E-3</v>
      </c>
      <c r="W1123">
        <v>4.851832675466667E-2</v>
      </c>
      <c r="X1123" t="s">
        <v>177</v>
      </c>
      <c r="Y1123">
        <v>2.9110996052800001E-3</v>
      </c>
      <c r="Z1123">
        <v>0</v>
      </c>
      <c r="AA1123" t="s">
        <v>178</v>
      </c>
      <c r="AB1123">
        <v>5.8221992105600001E-3</v>
      </c>
      <c r="AC1123">
        <v>5.725162557050667E-2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Q1123" t="s">
        <v>262</v>
      </c>
      <c r="AR1123" t="s">
        <v>263</v>
      </c>
      <c r="AS1123">
        <v>5.0534133333333335E-2</v>
      </c>
    </row>
    <row r="1124" spans="1:45" x14ac:dyDescent="0.15">
      <c r="A1124" s="4" t="str">
        <f>HYPERLINK("https://ibp.a2mac1.com/costing(costing:projects/details/9760/material/8755874)","Standard Structural Steel sheet")</f>
        <v>Standard Structural Steel sheet</v>
      </c>
      <c r="B1124">
        <v>8755874</v>
      </c>
      <c r="C1124">
        <v>12086267</v>
      </c>
      <c r="E1124">
        <v>0.61129999999999995</v>
      </c>
      <c r="F1124" t="s">
        <v>7910</v>
      </c>
      <c r="G1124">
        <v>60</v>
      </c>
      <c r="H1124" t="s">
        <v>7911</v>
      </c>
      <c r="I1124">
        <v>30</v>
      </c>
      <c r="J1124">
        <v>1.099879013308536E-2</v>
      </c>
      <c r="K1124">
        <v>0</v>
      </c>
      <c r="L1124">
        <v>0</v>
      </c>
      <c r="M1124">
        <v>0</v>
      </c>
      <c r="O1124">
        <v>400000</v>
      </c>
      <c r="R1124" t="s">
        <v>162</v>
      </c>
      <c r="S1124">
        <v>6.9932720000000004E-2</v>
      </c>
      <c r="T1124">
        <v>6.4104993333333334E-5</v>
      </c>
      <c r="U1124" t="s">
        <v>176</v>
      </c>
      <c r="V1124">
        <v>2.0397043333333333E-2</v>
      </c>
      <c r="W1124">
        <v>0.53330109499333334</v>
      </c>
      <c r="X1124" t="s">
        <v>177</v>
      </c>
      <c r="Y1124">
        <v>3.1998065699600002E-2</v>
      </c>
      <c r="Z1124">
        <v>0</v>
      </c>
      <c r="AA1124" t="s">
        <v>178</v>
      </c>
      <c r="AB1124">
        <v>6.3996131399200004E-2</v>
      </c>
      <c r="AC1124">
        <v>0.62929529209213331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Q1124" t="s">
        <v>262</v>
      </c>
      <c r="AR1124" t="s">
        <v>263</v>
      </c>
      <c r="AS1124">
        <v>0.58277266666666672</v>
      </c>
    </row>
    <row r="1125" spans="1:45" x14ac:dyDescent="0.15">
      <c r="A1125" s="4" t="str">
        <f>HYPERLINK("https://ibp.a2mac1.com/costing(costing:projects/details/9760/material/8755875)","Standard Structural Steel sheet")</f>
        <v>Standard Structural Steel sheet</v>
      </c>
      <c r="B1125">
        <v>8755875</v>
      </c>
      <c r="C1125">
        <v>12086268</v>
      </c>
      <c r="E1125">
        <v>0.61129999999999995</v>
      </c>
      <c r="F1125" t="s">
        <v>7915</v>
      </c>
      <c r="G1125">
        <v>65</v>
      </c>
      <c r="H1125" t="s">
        <v>7916</v>
      </c>
      <c r="I1125">
        <v>30</v>
      </c>
      <c r="J1125">
        <v>1.099879013308536E-2</v>
      </c>
      <c r="K1125">
        <v>0</v>
      </c>
      <c r="L1125">
        <v>0</v>
      </c>
      <c r="M1125">
        <v>0</v>
      </c>
      <c r="O1125">
        <v>400000</v>
      </c>
      <c r="R1125" t="s">
        <v>162</v>
      </c>
      <c r="S1125">
        <v>6.5766475384615386E-2</v>
      </c>
      <c r="T1125">
        <v>6.8898212307692304E-5</v>
      </c>
      <c r="U1125" t="s">
        <v>176</v>
      </c>
      <c r="V1125">
        <v>2.1922158461538461E-2</v>
      </c>
      <c r="W1125">
        <v>0.58257196590461535</v>
      </c>
      <c r="X1125" t="s">
        <v>177</v>
      </c>
      <c r="Y1125">
        <v>3.495431795427692E-2</v>
      </c>
      <c r="Z1125">
        <v>0</v>
      </c>
      <c r="AA1125" t="s">
        <v>178</v>
      </c>
      <c r="AB1125">
        <v>6.990863590855384E-2</v>
      </c>
      <c r="AC1125">
        <v>0.6874349197674462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Q1125" t="s">
        <v>262</v>
      </c>
      <c r="AR1125" t="s">
        <v>263</v>
      </c>
      <c r="AS1125">
        <v>0.62634738461538464</v>
      </c>
    </row>
    <row r="1126" spans="1:45" x14ac:dyDescent="0.15">
      <c r="A1126" s="4" t="str">
        <f>HYPERLINK("https://ibp.a2mac1.com/costing(costing:projects/details/9760/material/8755876)","Standard Structural Steel sheet")</f>
        <v>Standard Structural Steel sheet</v>
      </c>
      <c r="B1126">
        <v>8755876</v>
      </c>
      <c r="C1126">
        <v>12086269</v>
      </c>
      <c r="E1126">
        <v>0.61129999999999995</v>
      </c>
      <c r="F1126" t="s">
        <v>7920</v>
      </c>
      <c r="G1126">
        <v>60</v>
      </c>
      <c r="H1126" t="s">
        <v>7921</v>
      </c>
      <c r="I1126">
        <v>30</v>
      </c>
      <c r="J1126">
        <v>1.099879013308536E-2</v>
      </c>
      <c r="K1126">
        <v>0</v>
      </c>
      <c r="L1126">
        <v>0</v>
      </c>
      <c r="M1126">
        <v>0</v>
      </c>
      <c r="O1126">
        <v>400000</v>
      </c>
      <c r="R1126" t="s">
        <v>162</v>
      </c>
      <c r="S1126">
        <v>1.9561599999999998E-2</v>
      </c>
      <c r="T1126">
        <v>1.7931466666666666E-5</v>
      </c>
      <c r="U1126" t="s">
        <v>176</v>
      </c>
      <c r="V1126">
        <v>5.7054666666666665E-3</v>
      </c>
      <c r="W1126">
        <v>0.14917513146666667</v>
      </c>
      <c r="X1126" t="s">
        <v>177</v>
      </c>
      <c r="Y1126">
        <v>8.9505078879999998E-3</v>
      </c>
      <c r="Z1126">
        <v>0</v>
      </c>
      <c r="AA1126" t="s">
        <v>178</v>
      </c>
      <c r="AB1126">
        <v>1.7901015776E-2</v>
      </c>
      <c r="AC1126">
        <v>0.17602665513066668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Q1126" t="s">
        <v>262</v>
      </c>
      <c r="AR1126" t="s">
        <v>263</v>
      </c>
      <c r="AS1126">
        <v>0.16301333333333334</v>
      </c>
    </row>
    <row r="1127" spans="1:45" x14ac:dyDescent="0.15">
      <c r="A1127" s="4" t="str">
        <f>HYPERLINK("https://ibp.a2mac1.com/costing(costing:projects/details/9760/material/8755877)","Standard Structural Steel sheet")</f>
        <v>Standard Structural Steel sheet</v>
      </c>
      <c r="B1127">
        <v>8755877</v>
      </c>
      <c r="C1127">
        <v>12086270</v>
      </c>
      <c r="E1127">
        <v>0.61129999999999995</v>
      </c>
      <c r="F1127" t="s">
        <v>7173</v>
      </c>
      <c r="G1127">
        <v>75</v>
      </c>
      <c r="H1127" t="s">
        <v>7925</v>
      </c>
      <c r="I1127">
        <v>30</v>
      </c>
      <c r="J1127">
        <v>1.099879013308536E-2</v>
      </c>
      <c r="K1127">
        <v>0</v>
      </c>
      <c r="L1127">
        <v>0</v>
      </c>
      <c r="M1127">
        <v>0</v>
      </c>
      <c r="O1127">
        <v>400000</v>
      </c>
      <c r="R1127" t="s">
        <v>162</v>
      </c>
      <c r="S1127">
        <v>5.1349200000000003E-3</v>
      </c>
      <c r="T1127">
        <v>7.5312159999999996E-6</v>
      </c>
      <c r="U1127" t="s">
        <v>176</v>
      </c>
      <c r="V1127">
        <v>2.396296E-3</v>
      </c>
      <c r="W1127">
        <v>6.5734507215999993E-2</v>
      </c>
      <c r="X1127" t="s">
        <v>177</v>
      </c>
      <c r="Y1127">
        <v>3.9440704329600004E-3</v>
      </c>
      <c r="Z1127">
        <v>0</v>
      </c>
      <c r="AA1127" t="s">
        <v>178</v>
      </c>
      <c r="AB1127">
        <v>7.8881408659200007E-3</v>
      </c>
      <c r="AC1127">
        <v>7.7566718514880006E-2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Q1127" t="s">
        <v>262</v>
      </c>
      <c r="AR1127" t="s">
        <v>263</v>
      </c>
      <c r="AS1127">
        <v>6.8465600000000001E-2</v>
      </c>
    </row>
    <row r="1128" spans="1:45" x14ac:dyDescent="0.15">
      <c r="A1128" s="4" t="str">
        <f>HYPERLINK("https://ibp.a2mac1.com/costing(costing:projects/details/9760/material/8755878)","Standard Structural Steel sheet")</f>
        <v>Standard Structural Steel sheet</v>
      </c>
      <c r="B1128">
        <v>8755878</v>
      </c>
      <c r="C1128">
        <v>12086271</v>
      </c>
      <c r="E1128">
        <v>0.61129999999999995</v>
      </c>
      <c r="F1128" t="s">
        <v>7929</v>
      </c>
      <c r="G1128">
        <v>70</v>
      </c>
      <c r="H1128" t="s">
        <v>7930</v>
      </c>
      <c r="I1128">
        <v>30</v>
      </c>
      <c r="J1128">
        <v>1.099879013308536E-2</v>
      </c>
      <c r="K1128">
        <v>0</v>
      </c>
      <c r="L1128">
        <v>0</v>
      </c>
      <c r="M1128">
        <v>0</v>
      </c>
      <c r="O1128">
        <v>400000</v>
      </c>
      <c r="R1128" t="s">
        <v>162</v>
      </c>
      <c r="S1128">
        <v>8.4883371428571431E-3</v>
      </c>
      <c r="T1128">
        <v>1.0374634285714286E-5</v>
      </c>
      <c r="U1128" t="s">
        <v>176</v>
      </c>
      <c r="V1128">
        <v>3.30102E-3</v>
      </c>
      <c r="W1128">
        <v>8.913791463428572E-2</v>
      </c>
      <c r="X1128" t="s">
        <v>177</v>
      </c>
      <c r="Y1128">
        <v>5.3482748780571427E-3</v>
      </c>
      <c r="Z1128">
        <v>0</v>
      </c>
      <c r="AA1128" t="s">
        <v>178</v>
      </c>
      <c r="AB1128">
        <v>1.0696549756114285E-2</v>
      </c>
      <c r="AC1128">
        <v>0.10518273926845714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Q1128" t="s">
        <v>262</v>
      </c>
      <c r="AR1128" t="s">
        <v>263</v>
      </c>
      <c r="AS1128">
        <v>9.4314857142857145E-2</v>
      </c>
    </row>
    <row r="1129" spans="1:45" x14ac:dyDescent="0.15">
      <c r="A1129" s="4" t="str">
        <f>HYPERLINK("https://ibp.a2mac1.com/costing(costing:projects/details/9760/material/8755879)","Standard Structural Steel sheet")</f>
        <v>Standard Structural Steel sheet</v>
      </c>
      <c r="B1129">
        <v>8755879</v>
      </c>
      <c r="C1129">
        <v>12086272</v>
      </c>
      <c r="E1129">
        <v>0.61129999999999995</v>
      </c>
      <c r="F1129" t="s">
        <v>7934</v>
      </c>
      <c r="G1129">
        <v>70</v>
      </c>
      <c r="H1129" t="s">
        <v>7935</v>
      </c>
      <c r="I1129">
        <v>30</v>
      </c>
      <c r="J1129">
        <v>1.099879013308536E-2</v>
      </c>
      <c r="K1129">
        <v>0</v>
      </c>
      <c r="L1129">
        <v>0</v>
      </c>
      <c r="M1129">
        <v>0</v>
      </c>
      <c r="O1129">
        <v>400000</v>
      </c>
      <c r="R1129" t="s">
        <v>162</v>
      </c>
      <c r="S1129">
        <v>9.8244642857142853E-3</v>
      </c>
      <c r="T1129">
        <v>1.2007678571428572E-5</v>
      </c>
      <c r="U1129" t="s">
        <v>176</v>
      </c>
      <c r="V1129">
        <v>3.8206249999999998E-3</v>
      </c>
      <c r="W1129">
        <v>0.10316888267857142</v>
      </c>
      <c r="X1129" t="s">
        <v>177</v>
      </c>
      <c r="Y1129">
        <v>6.190132960714286E-3</v>
      </c>
      <c r="Z1129">
        <v>0</v>
      </c>
      <c r="AA1129" t="s">
        <v>178</v>
      </c>
      <c r="AB1129">
        <v>1.2380265921428572E-2</v>
      </c>
      <c r="AC1129">
        <v>0.12173928156071429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Q1129" t="s">
        <v>262</v>
      </c>
      <c r="AR1129" t="s">
        <v>263</v>
      </c>
      <c r="AS1129">
        <v>0.10916071428571429</v>
      </c>
    </row>
    <row r="1130" spans="1:45" x14ac:dyDescent="0.15">
      <c r="A1130" s="4" t="str">
        <f>HYPERLINK("https://ibp.a2mac1.com/costing(costing:projects/details/9760/material/8755880)","Standard Structural Steel sheet")</f>
        <v>Standard Structural Steel sheet</v>
      </c>
      <c r="B1130">
        <v>8755880</v>
      </c>
      <c r="C1130">
        <v>12086273</v>
      </c>
      <c r="E1130">
        <v>0.61129999999999995</v>
      </c>
      <c r="F1130" t="s">
        <v>7941</v>
      </c>
      <c r="G1130">
        <v>60</v>
      </c>
      <c r="H1130" t="s">
        <v>7942</v>
      </c>
      <c r="I1130">
        <v>30</v>
      </c>
      <c r="J1130">
        <v>1.099879013308536E-2</v>
      </c>
      <c r="K1130">
        <v>0</v>
      </c>
      <c r="L1130">
        <v>0</v>
      </c>
      <c r="M1130">
        <v>0</v>
      </c>
      <c r="O1130">
        <v>400000</v>
      </c>
      <c r="R1130" t="s">
        <v>162</v>
      </c>
      <c r="S1130">
        <v>3.3743759999999998E-2</v>
      </c>
      <c r="T1130">
        <v>3.0931779999999999E-5</v>
      </c>
      <c r="U1130" t="s">
        <v>176</v>
      </c>
      <c r="V1130">
        <v>9.8419300000000005E-3</v>
      </c>
      <c r="W1130">
        <v>0.25732710178000001</v>
      </c>
      <c r="X1130" t="s">
        <v>177</v>
      </c>
      <c r="Y1130">
        <v>1.5439626106800001E-2</v>
      </c>
      <c r="Z1130">
        <v>0</v>
      </c>
      <c r="AA1130" t="s">
        <v>178</v>
      </c>
      <c r="AB1130">
        <v>3.0879252213600002E-2</v>
      </c>
      <c r="AC1130">
        <v>0.3036459801004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Q1130" t="s">
        <v>262</v>
      </c>
      <c r="AR1130" t="s">
        <v>263</v>
      </c>
      <c r="AS1130">
        <v>0.281198</v>
      </c>
    </row>
    <row r="1131" spans="1:45" x14ac:dyDescent="0.15">
      <c r="A1131" s="4" t="str">
        <f>HYPERLINK("https://ibp.a2mac1.com/costing(costing:projects/details/9760/material/8755881)","Standard Structural Steel sheet")</f>
        <v>Standard Structural Steel sheet</v>
      </c>
      <c r="B1131">
        <v>8755881</v>
      </c>
      <c r="C1131">
        <v>12086274</v>
      </c>
      <c r="E1131">
        <v>0.61129999999999995</v>
      </c>
      <c r="F1131" t="s">
        <v>7946</v>
      </c>
      <c r="G1131">
        <v>70</v>
      </c>
      <c r="H1131" t="s">
        <v>7947</v>
      </c>
      <c r="I1131">
        <v>30</v>
      </c>
      <c r="J1131">
        <v>1.099879013308536E-2</v>
      </c>
      <c r="K1131">
        <v>0</v>
      </c>
      <c r="L1131">
        <v>0</v>
      </c>
      <c r="M1131">
        <v>0</v>
      </c>
      <c r="O1131">
        <v>400000</v>
      </c>
      <c r="R1131" t="s">
        <v>162</v>
      </c>
      <c r="S1131">
        <v>2.9237605714285714E-2</v>
      </c>
      <c r="T1131">
        <v>3.5734851428571426E-5</v>
      </c>
      <c r="U1131" t="s">
        <v>176</v>
      </c>
      <c r="V1131">
        <v>1.1370180000000001E-2</v>
      </c>
      <c r="W1131">
        <v>0.30703059485142858</v>
      </c>
      <c r="X1131" t="s">
        <v>177</v>
      </c>
      <c r="Y1131">
        <v>1.8421835691085714E-2</v>
      </c>
      <c r="Z1131">
        <v>0</v>
      </c>
      <c r="AA1131" t="s">
        <v>178</v>
      </c>
      <c r="AB1131">
        <v>3.6843671382171428E-2</v>
      </c>
      <c r="AC1131">
        <v>0.3622961019246857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Q1131" t="s">
        <v>262</v>
      </c>
      <c r="AR1131" t="s">
        <v>263</v>
      </c>
      <c r="AS1131">
        <v>0.32486228571428571</v>
      </c>
    </row>
    <row r="1132" spans="1:45" x14ac:dyDescent="0.15">
      <c r="A1132" s="4" t="str">
        <f>HYPERLINK("https://ibp.a2mac1.com/costing(costing:projects/details/9760/material/8755882)","Standard Structural Steel sheet")</f>
        <v>Standard Structural Steel sheet</v>
      </c>
      <c r="B1132">
        <v>8755882</v>
      </c>
      <c r="C1132">
        <v>12086275</v>
      </c>
      <c r="E1132">
        <v>0.61129999999999995</v>
      </c>
      <c r="F1132" t="s">
        <v>4313</v>
      </c>
      <c r="G1132">
        <v>75</v>
      </c>
      <c r="H1132" t="s">
        <v>7951</v>
      </c>
      <c r="I1132">
        <v>30</v>
      </c>
      <c r="J1132">
        <v>1.099879013308536E-2</v>
      </c>
      <c r="K1132">
        <v>0</v>
      </c>
      <c r="L1132">
        <v>0</v>
      </c>
      <c r="M1132">
        <v>0</v>
      </c>
      <c r="O1132">
        <v>400000</v>
      </c>
      <c r="R1132" t="s">
        <v>162</v>
      </c>
      <c r="S1132">
        <v>1.65051E-3</v>
      </c>
      <c r="T1132">
        <v>2.420748E-6</v>
      </c>
      <c r="U1132" t="s">
        <v>176</v>
      </c>
      <c r="V1132">
        <v>7.7023800000000002E-4</v>
      </c>
      <c r="W1132">
        <v>2.1128948748E-2</v>
      </c>
      <c r="X1132" t="s">
        <v>177</v>
      </c>
      <c r="Y1132">
        <v>1.2677369248800001E-3</v>
      </c>
      <c r="Z1132">
        <v>0</v>
      </c>
      <c r="AA1132" t="s">
        <v>178</v>
      </c>
      <c r="AB1132">
        <v>2.5354738497600001E-3</v>
      </c>
      <c r="AC1132">
        <v>2.493215952264E-2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Q1132" t="s">
        <v>262</v>
      </c>
      <c r="AR1132" t="s">
        <v>263</v>
      </c>
      <c r="AS1132">
        <v>2.20068E-2</v>
      </c>
    </row>
    <row r="1133" spans="1:45" x14ac:dyDescent="0.15">
      <c r="A1133" s="4" t="str">
        <f>HYPERLINK("https://ibp.a2mac1.com/costing(costing:projects/details/9760/material/8755883)","Standard Structural Steel sheet")</f>
        <v>Standard Structural Steel sheet</v>
      </c>
      <c r="B1133">
        <v>8755883</v>
      </c>
      <c r="C1133">
        <v>12086276</v>
      </c>
      <c r="E1133">
        <v>0.61129999999999995</v>
      </c>
      <c r="F1133" t="s">
        <v>4010</v>
      </c>
      <c r="G1133">
        <v>80</v>
      </c>
      <c r="H1133" t="s">
        <v>7955</v>
      </c>
      <c r="I1133">
        <v>30</v>
      </c>
      <c r="J1133">
        <v>1.099879013308536E-2</v>
      </c>
      <c r="K1133">
        <v>0</v>
      </c>
      <c r="L1133">
        <v>0</v>
      </c>
      <c r="M1133">
        <v>0</v>
      </c>
      <c r="O1133">
        <v>400000</v>
      </c>
      <c r="R1133" t="s">
        <v>162</v>
      </c>
      <c r="S1133">
        <v>1.5129675E-3</v>
      </c>
      <c r="T1133">
        <v>2.7737737499999999E-6</v>
      </c>
      <c r="U1133" t="s">
        <v>176</v>
      </c>
      <c r="V1133">
        <v>8.8256437499999998E-4</v>
      </c>
      <c r="W1133">
        <v>2.458849564875E-2</v>
      </c>
      <c r="X1133" t="s">
        <v>177</v>
      </c>
      <c r="Y1133">
        <v>1.4753097389249999E-3</v>
      </c>
      <c r="Z1133">
        <v>0</v>
      </c>
      <c r="AA1133" t="s">
        <v>178</v>
      </c>
      <c r="AB1133">
        <v>2.9506194778499998E-3</v>
      </c>
      <c r="AC1133">
        <v>2.9014424865524999E-2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Q1133" t="s">
        <v>262</v>
      </c>
      <c r="AR1133" t="s">
        <v>263</v>
      </c>
      <c r="AS1133">
        <v>2.5216124999999999E-2</v>
      </c>
    </row>
    <row r="1134" spans="1:45" x14ac:dyDescent="0.15">
      <c r="A1134" s="4" t="str">
        <f>HYPERLINK("https://ibp.a2mac1.com/costing(costing:projects/details/9760/material/8755884)","Aluminum sheet body (default, e.g. EN-AW6063)")</f>
        <v>Aluminum sheet body (default, e.g. EN-AW6063)</v>
      </c>
      <c r="B1134">
        <v>8755884</v>
      </c>
      <c r="C1134">
        <v>12086277</v>
      </c>
      <c r="E1134">
        <v>3.79636</v>
      </c>
      <c r="F1134" t="s">
        <v>5213</v>
      </c>
      <c r="G1134">
        <v>80</v>
      </c>
      <c r="H1134" t="s">
        <v>7959</v>
      </c>
      <c r="I1134">
        <v>30</v>
      </c>
      <c r="J1134">
        <v>1.099879013308536E-2</v>
      </c>
      <c r="K1134">
        <v>0</v>
      </c>
      <c r="L1134">
        <v>0</v>
      </c>
      <c r="M1134">
        <v>0</v>
      </c>
      <c r="O1134">
        <v>400000</v>
      </c>
      <c r="R1134" t="s">
        <v>162</v>
      </c>
      <c r="S1134">
        <v>3.5306148000000002E-2</v>
      </c>
      <c r="T1134">
        <v>6.4727937999999998E-5</v>
      </c>
      <c r="U1134" t="s">
        <v>176</v>
      </c>
      <c r="V1134">
        <v>2.0595253000000001E-2</v>
      </c>
      <c r="W1134">
        <v>0.573789632938</v>
      </c>
      <c r="X1134" t="s">
        <v>177</v>
      </c>
      <c r="Y1134">
        <v>3.4427377976280003E-2</v>
      </c>
      <c r="Z1134">
        <v>0</v>
      </c>
      <c r="AA1134" t="s">
        <v>178</v>
      </c>
      <c r="AB1134">
        <v>6.8854755952560007E-2</v>
      </c>
      <c r="AC1134">
        <v>0.67707176686684001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Q1134" t="s">
        <v>262</v>
      </c>
      <c r="AR1134" t="s">
        <v>263</v>
      </c>
      <c r="AS1134">
        <v>0.58843579999999995</v>
      </c>
    </row>
    <row r="1135" spans="1:45" x14ac:dyDescent="0.15">
      <c r="A1135" s="4" t="str">
        <f>HYPERLINK("https://ibp.a2mac1.com/costing(costing:projects/details/9760/material/8755885)","Standard Structural Steel sheet")</f>
        <v>Standard Structural Steel sheet</v>
      </c>
      <c r="B1135">
        <v>8755885</v>
      </c>
      <c r="C1135">
        <v>12086278</v>
      </c>
      <c r="E1135">
        <v>0.61129999999999995</v>
      </c>
      <c r="F1135" t="s">
        <v>7963</v>
      </c>
      <c r="G1135">
        <v>70</v>
      </c>
      <c r="H1135" t="s">
        <v>7964</v>
      </c>
      <c r="I1135">
        <v>30</v>
      </c>
      <c r="J1135">
        <v>1.099879013308536E-2</v>
      </c>
      <c r="K1135">
        <v>0</v>
      </c>
      <c r="L1135">
        <v>0</v>
      </c>
      <c r="M1135">
        <v>0</v>
      </c>
      <c r="O1135">
        <v>400000</v>
      </c>
      <c r="R1135" t="s">
        <v>162</v>
      </c>
      <c r="S1135">
        <v>1.5326164285714285E-2</v>
      </c>
      <c r="T1135">
        <v>1.8731978571428571E-5</v>
      </c>
      <c r="U1135" t="s">
        <v>176</v>
      </c>
      <c r="V1135">
        <v>5.9601749999999998E-3</v>
      </c>
      <c r="W1135">
        <v>0.16094345697857143</v>
      </c>
      <c r="X1135" t="s">
        <v>177</v>
      </c>
      <c r="Y1135">
        <v>9.6566074187142865E-3</v>
      </c>
      <c r="Z1135">
        <v>0</v>
      </c>
      <c r="AA1135" t="s">
        <v>178</v>
      </c>
      <c r="AB1135">
        <v>1.9313214837428573E-2</v>
      </c>
      <c r="AC1135">
        <v>0.18991327923471429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Q1135" t="s">
        <v>262</v>
      </c>
      <c r="AR1135" t="s">
        <v>263</v>
      </c>
      <c r="AS1135">
        <v>0.1702907142857143</v>
      </c>
    </row>
    <row r="1136" spans="1:45" x14ac:dyDescent="0.15">
      <c r="A1136" s="4" t="str">
        <f>HYPERLINK("https://ibp.a2mac1.com/costing(costing:projects/details/9760/material/8755886)","Standard Structural Steel sheet")</f>
        <v>Standard Structural Steel sheet</v>
      </c>
      <c r="B1136">
        <v>8755886</v>
      </c>
      <c r="C1136">
        <v>12086279</v>
      </c>
      <c r="E1136">
        <v>0.61129999999999995</v>
      </c>
      <c r="F1136" t="s">
        <v>7968</v>
      </c>
      <c r="G1136">
        <v>80</v>
      </c>
      <c r="H1136" t="s">
        <v>7969</v>
      </c>
      <c r="I1136">
        <v>30</v>
      </c>
      <c r="J1136">
        <v>1.099879013308536E-2</v>
      </c>
      <c r="K1136">
        <v>0</v>
      </c>
      <c r="L1136">
        <v>0</v>
      </c>
      <c r="M1136">
        <v>0</v>
      </c>
      <c r="O1136">
        <v>400000</v>
      </c>
      <c r="R1136" t="s">
        <v>162</v>
      </c>
      <c r="S1136">
        <v>3.025935E-3</v>
      </c>
      <c r="T1136">
        <v>5.5475474999999998E-6</v>
      </c>
      <c r="U1136" t="s">
        <v>176</v>
      </c>
      <c r="V1136">
        <v>1.76512875E-3</v>
      </c>
      <c r="W1136">
        <v>4.91769912975E-2</v>
      </c>
      <c r="X1136" t="s">
        <v>177</v>
      </c>
      <c r="Y1136">
        <v>2.9506194778499998E-3</v>
      </c>
      <c r="Z1136">
        <v>0</v>
      </c>
      <c r="AA1136" t="s">
        <v>178</v>
      </c>
      <c r="AB1136">
        <v>5.9012389556999997E-3</v>
      </c>
      <c r="AC1136">
        <v>5.8028849731049999E-2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Q1136" t="s">
        <v>262</v>
      </c>
      <c r="AR1136" t="s">
        <v>263</v>
      </c>
      <c r="AS1136">
        <v>5.0432249999999998E-2</v>
      </c>
    </row>
    <row r="1137" spans="1:45" x14ac:dyDescent="0.15">
      <c r="A1137" s="4" t="str">
        <f>HYPERLINK("https://ibp.a2mac1.com/costing(costing:projects/details/9760/material/8755887)","Standard Structural Steel sheet")</f>
        <v>Standard Structural Steel sheet</v>
      </c>
      <c r="B1137">
        <v>8755887</v>
      </c>
      <c r="C1137">
        <v>12086280</v>
      </c>
      <c r="E1137">
        <v>0.61129999999999995</v>
      </c>
      <c r="F1137" t="s">
        <v>7977</v>
      </c>
      <c r="G1137">
        <v>65</v>
      </c>
      <c r="H1137" t="s">
        <v>7978</v>
      </c>
      <c r="I1137">
        <v>30</v>
      </c>
      <c r="J1137">
        <v>1.3998040274361589E-2</v>
      </c>
      <c r="K1137">
        <v>0</v>
      </c>
      <c r="L1137">
        <v>0</v>
      </c>
      <c r="M1137">
        <v>0</v>
      </c>
      <c r="O1137">
        <v>200000</v>
      </c>
      <c r="R1137" t="s">
        <v>162</v>
      </c>
      <c r="S1137">
        <v>0.36457931999999998</v>
      </c>
      <c r="T1137">
        <v>4.8610576000000002E-4</v>
      </c>
      <c r="U1137" t="s">
        <v>176</v>
      </c>
      <c r="V1137">
        <v>0.12152644</v>
      </c>
      <c r="W1137">
        <v>3.2296172257600002</v>
      </c>
      <c r="X1137" t="s">
        <v>177</v>
      </c>
      <c r="Y1137">
        <v>0.1937770335456</v>
      </c>
      <c r="Z1137">
        <v>0</v>
      </c>
      <c r="AA1137" t="s">
        <v>178</v>
      </c>
      <c r="AB1137">
        <v>0.38755406709119999</v>
      </c>
      <c r="AC1137">
        <v>3.8109483263968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Q1137" t="s">
        <v>262</v>
      </c>
      <c r="AR1137" t="s">
        <v>263</v>
      </c>
      <c r="AS1137">
        <v>3.4721839999999999</v>
      </c>
    </row>
    <row r="1138" spans="1:45" x14ac:dyDescent="0.15">
      <c r="A1138" s="4" t="str">
        <f>HYPERLINK("https://ibp.a2mac1.com/costing(costing:projects/details/9760/material/8755888)","Standard Structural Steel sheet")</f>
        <v>Standard Structural Steel sheet</v>
      </c>
      <c r="B1138">
        <v>8755888</v>
      </c>
      <c r="C1138">
        <v>12086281</v>
      </c>
      <c r="E1138">
        <v>0.61129999999999995</v>
      </c>
      <c r="F1138" t="s">
        <v>7982</v>
      </c>
      <c r="G1138">
        <v>60</v>
      </c>
      <c r="H1138" t="s">
        <v>7983</v>
      </c>
      <c r="I1138">
        <v>30</v>
      </c>
      <c r="J1138">
        <v>1.3998040274361589E-2</v>
      </c>
      <c r="K1138">
        <v>0</v>
      </c>
      <c r="L1138">
        <v>0</v>
      </c>
      <c r="M1138">
        <v>0</v>
      </c>
      <c r="O1138">
        <v>200000</v>
      </c>
      <c r="R1138" t="s">
        <v>162</v>
      </c>
      <c r="S1138">
        <v>0.39832308</v>
      </c>
      <c r="T1138">
        <v>4.6471026000000001E-4</v>
      </c>
      <c r="U1138" t="s">
        <v>176</v>
      </c>
      <c r="V1138">
        <v>0.116177565</v>
      </c>
      <c r="W1138">
        <v>3.0376781952599998</v>
      </c>
      <c r="X1138" t="s">
        <v>177</v>
      </c>
      <c r="Y1138">
        <v>0.1822606917156</v>
      </c>
      <c r="Z1138">
        <v>0</v>
      </c>
      <c r="AA1138" t="s">
        <v>178</v>
      </c>
      <c r="AB1138">
        <v>0.3645213834312</v>
      </c>
      <c r="AC1138">
        <v>3.5844602704068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Q1138" t="s">
        <v>262</v>
      </c>
      <c r="AR1138" t="s">
        <v>263</v>
      </c>
      <c r="AS1138">
        <v>3.3193589999999999</v>
      </c>
    </row>
    <row r="1139" spans="1:45" x14ac:dyDescent="0.15">
      <c r="A1139" s="4" t="str">
        <f>HYPERLINK("https://ibp.a2mac1.com/costing(costing:projects/details/9760/material/8755889)","Steel sheet (Hot Forming Steel)")</f>
        <v>Steel sheet (Hot Forming Steel)</v>
      </c>
      <c r="B1139">
        <v>8755889</v>
      </c>
      <c r="C1139">
        <v>12086282</v>
      </c>
      <c r="E1139">
        <v>1.66818</v>
      </c>
      <c r="F1139" t="s">
        <v>7989</v>
      </c>
      <c r="G1139">
        <v>60</v>
      </c>
      <c r="H1139" t="s">
        <v>7990</v>
      </c>
      <c r="I1139">
        <v>30</v>
      </c>
      <c r="J1139">
        <v>1.099879013308536E-2</v>
      </c>
      <c r="K1139">
        <v>0</v>
      </c>
      <c r="L1139">
        <v>0</v>
      </c>
      <c r="M1139">
        <v>0</v>
      </c>
      <c r="O1139">
        <v>400000</v>
      </c>
      <c r="R1139" t="s">
        <v>162</v>
      </c>
      <c r="S1139">
        <v>0.51480034799999996</v>
      </c>
      <c r="T1139">
        <v>4.71900319E-4</v>
      </c>
      <c r="U1139" t="s">
        <v>176</v>
      </c>
      <c r="V1139">
        <v>0.15015010149999999</v>
      </c>
      <c r="W1139">
        <v>3.925824553819</v>
      </c>
      <c r="X1139" t="s">
        <v>177</v>
      </c>
      <c r="Y1139">
        <v>0.23554947322913999</v>
      </c>
      <c r="Z1139">
        <v>0</v>
      </c>
      <c r="AA1139" t="s">
        <v>178</v>
      </c>
      <c r="AB1139">
        <v>0.47109894645827999</v>
      </c>
      <c r="AC1139">
        <v>4.6324729735064203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Q1139" t="s">
        <v>262</v>
      </c>
      <c r="AR1139" t="s">
        <v>263</v>
      </c>
      <c r="AS1139">
        <v>4.2900029000000002</v>
      </c>
    </row>
    <row r="1140" spans="1:45" x14ac:dyDescent="0.15">
      <c r="A1140" s="4" t="str">
        <f>HYPERLINK("https://ibp.a2mac1.com/costing(costing:projects/details/9760/material/8755890)","Standard Structural Steel sheet")</f>
        <v>Standard Structural Steel sheet</v>
      </c>
      <c r="B1140">
        <v>8755890</v>
      </c>
      <c r="C1140">
        <v>12086292</v>
      </c>
      <c r="E1140">
        <v>0.61129999999999995</v>
      </c>
      <c r="F1140" t="s">
        <v>7994</v>
      </c>
      <c r="G1140">
        <v>65</v>
      </c>
      <c r="H1140" t="s">
        <v>7995</v>
      </c>
      <c r="I1140">
        <v>30</v>
      </c>
      <c r="J1140">
        <v>1.099879013308536E-2</v>
      </c>
      <c r="K1140">
        <v>0</v>
      </c>
      <c r="L1140">
        <v>0</v>
      </c>
      <c r="M1140">
        <v>0</v>
      </c>
      <c r="O1140">
        <v>400000</v>
      </c>
      <c r="R1140" t="s">
        <v>162</v>
      </c>
      <c r="S1140">
        <v>7.2086376923076928E-2</v>
      </c>
      <c r="T1140">
        <v>7.5519061538461535E-5</v>
      </c>
      <c r="U1140" t="s">
        <v>176</v>
      </c>
      <c r="V1140">
        <v>2.4028792307692309E-2</v>
      </c>
      <c r="W1140">
        <v>0.63855485752307695</v>
      </c>
      <c r="X1140" t="s">
        <v>177</v>
      </c>
      <c r="Y1140">
        <v>3.8313291451384617E-2</v>
      </c>
      <c r="Z1140">
        <v>0</v>
      </c>
      <c r="AA1140" t="s">
        <v>178</v>
      </c>
      <c r="AB1140">
        <v>7.6626582902769233E-2</v>
      </c>
      <c r="AC1140">
        <v>0.75349473187723082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Q1140" t="s">
        <v>262</v>
      </c>
      <c r="AR1140" t="s">
        <v>263</v>
      </c>
      <c r="AS1140">
        <v>0.68653692307692304</v>
      </c>
    </row>
    <row r="1141" spans="1:45" x14ac:dyDescent="0.15">
      <c r="A1141" s="4" t="str">
        <f>HYPERLINK("https://ibp.a2mac1.com/costing(costing:projects/details/9760/material/8756058)","Steel sheet (Hot Forming Steel)")</f>
        <v>Steel sheet (Hot Forming Steel)</v>
      </c>
      <c r="B1141">
        <v>8756058</v>
      </c>
      <c r="C1141">
        <v>12086455</v>
      </c>
      <c r="E1141">
        <v>1.66818</v>
      </c>
      <c r="F1141" t="s">
        <v>8002</v>
      </c>
      <c r="G1141">
        <v>65</v>
      </c>
      <c r="H1141" t="s">
        <v>8003</v>
      </c>
      <c r="I1141">
        <v>30</v>
      </c>
      <c r="J1141">
        <v>1.3998040274361589E-2</v>
      </c>
      <c r="K1141">
        <v>0</v>
      </c>
      <c r="L1141">
        <v>0</v>
      </c>
      <c r="M1141">
        <v>0</v>
      </c>
      <c r="O1141">
        <v>200000</v>
      </c>
      <c r="R1141" t="s">
        <v>162</v>
      </c>
      <c r="S1141">
        <v>1.0687387652307692</v>
      </c>
      <c r="T1141">
        <v>1.4249850203076923E-3</v>
      </c>
      <c r="U1141" t="s">
        <v>176</v>
      </c>
      <c r="V1141">
        <v>0.35624625507692309</v>
      </c>
      <c r="W1141">
        <v>9.4673969056356917</v>
      </c>
      <c r="X1141" t="s">
        <v>177</v>
      </c>
      <c r="Y1141">
        <v>0.56804381433814155</v>
      </c>
      <c r="Z1141">
        <v>0</v>
      </c>
      <c r="AA1141" t="s">
        <v>178</v>
      </c>
      <c r="AB1141">
        <v>1.1360876286762831</v>
      </c>
      <c r="AC1141">
        <v>11.171528348650117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Q1141" t="s">
        <v>262</v>
      </c>
      <c r="AR1141" t="s">
        <v>263</v>
      </c>
      <c r="AS1141">
        <v>10.17846443076923</v>
      </c>
    </row>
    <row r="1142" spans="1:45" x14ac:dyDescent="0.15">
      <c r="A1142" s="4" t="str">
        <f>HYPERLINK("https://ibp.a2mac1.com/costing(costing:projects/details/9760/material/8755891)","Steel sheet (Hot Forming Steel)")</f>
        <v>Steel sheet (Hot Forming Steel)</v>
      </c>
      <c r="B1142">
        <v>8755891</v>
      </c>
      <c r="C1142">
        <v>12086293</v>
      </c>
      <c r="E1142">
        <v>1.66818</v>
      </c>
      <c r="F1142" t="s">
        <v>8009</v>
      </c>
      <c r="G1142">
        <v>60</v>
      </c>
      <c r="H1142" t="s">
        <v>8010</v>
      </c>
      <c r="I1142">
        <v>30</v>
      </c>
      <c r="J1142">
        <v>1.099879013308536E-2</v>
      </c>
      <c r="K1142">
        <v>0</v>
      </c>
      <c r="L1142">
        <v>0</v>
      </c>
      <c r="M1142">
        <v>0</v>
      </c>
      <c r="O1142">
        <v>400000</v>
      </c>
      <c r="R1142" t="s">
        <v>162</v>
      </c>
      <c r="S1142">
        <v>0.27391515599999999</v>
      </c>
      <c r="T1142">
        <v>2.5108889300000002E-4</v>
      </c>
      <c r="U1142" t="s">
        <v>176</v>
      </c>
      <c r="V1142">
        <v>7.9891920500000005E-2</v>
      </c>
      <c r="W1142">
        <v>2.0888541533930001</v>
      </c>
      <c r="X1142" t="s">
        <v>177</v>
      </c>
      <c r="Y1142">
        <v>0.12533124920357999</v>
      </c>
      <c r="Z1142">
        <v>0</v>
      </c>
      <c r="AA1142" t="s">
        <v>178</v>
      </c>
      <c r="AB1142">
        <v>0.25066249840715998</v>
      </c>
      <c r="AC1142">
        <v>2.4648479010037398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Q1142" t="s">
        <v>262</v>
      </c>
      <c r="AR1142" t="s">
        <v>263</v>
      </c>
      <c r="AS1142">
        <v>2.2826263</v>
      </c>
    </row>
    <row r="1143" spans="1:45" x14ac:dyDescent="0.15">
      <c r="A1143" s="4" t="str">
        <f>HYPERLINK("https://ibp.a2mac1.com/costing(costing:projects/details/9760/material/8755892)","Standard Structural Steel sheet")</f>
        <v>Standard Structural Steel sheet</v>
      </c>
      <c r="B1143">
        <v>8755892</v>
      </c>
      <c r="C1143">
        <v>12086294</v>
      </c>
      <c r="E1143">
        <v>0.61129999999999995</v>
      </c>
      <c r="F1143" t="s">
        <v>7130</v>
      </c>
      <c r="G1143">
        <v>75</v>
      </c>
      <c r="H1143" t="s">
        <v>8016</v>
      </c>
      <c r="I1143">
        <v>30</v>
      </c>
      <c r="J1143">
        <v>1.099879013308536E-2</v>
      </c>
      <c r="K1143">
        <v>0</v>
      </c>
      <c r="L1143">
        <v>0</v>
      </c>
      <c r="M1143">
        <v>0</v>
      </c>
      <c r="O1143">
        <v>400000</v>
      </c>
      <c r="R1143" t="s">
        <v>162</v>
      </c>
      <c r="S1143">
        <v>8.0691600000000006E-3</v>
      </c>
      <c r="T1143">
        <v>1.1834768E-5</v>
      </c>
      <c r="U1143" t="s">
        <v>176</v>
      </c>
      <c r="V1143">
        <v>3.7656080000000001E-3</v>
      </c>
      <c r="W1143">
        <v>0.103297082768</v>
      </c>
      <c r="X1143" t="s">
        <v>177</v>
      </c>
      <c r="Y1143">
        <v>6.1978249660800001E-3</v>
      </c>
      <c r="Z1143">
        <v>0</v>
      </c>
      <c r="AA1143" t="s">
        <v>178</v>
      </c>
      <c r="AB1143">
        <v>1.239564993216E-2</v>
      </c>
      <c r="AC1143">
        <v>0.12189055766624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Q1143" t="s">
        <v>262</v>
      </c>
      <c r="AR1143" t="s">
        <v>263</v>
      </c>
      <c r="AS1143">
        <v>0.1075888</v>
      </c>
    </row>
    <row r="1144" spans="1:45" x14ac:dyDescent="0.15">
      <c r="A1144" s="4" t="str">
        <f>HYPERLINK("https://ibp.a2mac1.com/costing(costing:projects/details/9760/material/8755893)","Standard Structural Steel sheet")</f>
        <v>Standard Structural Steel sheet</v>
      </c>
      <c r="B1144">
        <v>8755893</v>
      </c>
      <c r="C1144">
        <v>12086295</v>
      </c>
      <c r="E1144">
        <v>0.61129999999999995</v>
      </c>
      <c r="F1144" t="s">
        <v>7472</v>
      </c>
      <c r="G1144">
        <v>70</v>
      </c>
      <c r="H1144" t="s">
        <v>8020</v>
      </c>
      <c r="I1144">
        <v>30</v>
      </c>
      <c r="J1144">
        <v>1.099879013308536E-2</v>
      </c>
      <c r="K1144">
        <v>0</v>
      </c>
      <c r="L1144">
        <v>0</v>
      </c>
      <c r="M1144">
        <v>0</v>
      </c>
      <c r="O1144">
        <v>400000</v>
      </c>
      <c r="R1144" t="s">
        <v>162</v>
      </c>
      <c r="S1144">
        <v>7.5451885714285715E-3</v>
      </c>
      <c r="T1144">
        <v>9.221897142857142E-6</v>
      </c>
      <c r="U1144" t="s">
        <v>176</v>
      </c>
      <c r="V1144">
        <v>2.9342399999999999E-3</v>
      </c>
      <c r="W1144">
        <v>7.9233701897142864E-2</v>
      </c>
      <c r="X1144" t="s">
        <v>177</v>
      </c>
      <c r="Y1144">
        <v>4.7540221138285717E-3</v>
      </c>
      <c r="Z1144">
        <v>0</v>
      </c>
      <c r="AA1144" t="s">
        <v>178</v>
      </c>
      <c r="AB1144">
        <v>9.5080442276571434E-3</v>
      </c>
      <c r="AC1144">
        <v>9.3495768238628568E-2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Q1144" t="s">
        <v>262</v>
      </c>
      <c r="AR1144" t="s">
        <v>263</v>
      </c>
      <c r="AS1144">
        <v>8.3835428571428575E-2</v>
      </c>
    </row>
    <row r="1145" spans="1:45" x14ac:dyDescent="0.15">
      <c r="A1145" s="4" t="str">
        <f>HYPERLINK("https://ibp.a2mac1.com/costing(costing:projects/details/9760/material/8755894)","Steel sheet (Hot Forming Steel)")</f>
        <v>Steel sheet (Hot Forming Steel)</v>
      </c>
      <c r="B1145">
        <v>8755894</v>
      </c>
      <c r="C1145">
        <v>12086296</v>
      </c>
      <c r="E1145">
        <v>1.66818</v>
      </c>
      <c r="F1145" t="s">
        <v>8028</v>
      </c>
      <c r="G1145">
        <v>60</v>
      </c>
      <c r="H1145" t="s">
        <v>8029</v>
      </c>
      <c r="I1145">
        <v>30</v>
      </c>
      <c r="J1145">
        <v>1.099879013308536E-2</v>
      </c>
      <c r="K1145">
        <v>0</v>
      </c>
      <c r="L1145">
        <v>0</v>
      </c>
      <c r="M1145">
        <v>0</v>
      </c>
      <c r="O1145">
        <v>400000</v>
      </c>
      <c r="R1145" t="s">
        <v>162</v>
      </c>
      <c r="S1145">
        <v>0.87646177199999997</v>
      </c>
      <c r="T1145">
        <v>8.0342329099999997E-4</v>
      </c>
      <c r="U1145" t="s">
        <v>176</v>
      </c>
      <c r="V1145">
        <v>0.25563468350000002</v>
      </c>
      <c r="W1145">
        <v>6.6838244347910001</v>
      </c>
      <c r="X1145" t="s">
        <v>177</v>
      </c>
      <c r="Y1145">
        <v>0.40102946608745998</v>
      </c>
      <c r="Z1145">
        <v>0</v>
      </c>
      <c r="AA1145" t="s">
        <v>178</v>
      </c>
      <c r="AB1145">
        <v>0.80205893217491997</v>
      </c>
      <c r="AC1145">
        <v>7.8869128330533798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Q1145" t="s">
        <v>262</v>
      </c>
      <c r="AR1145" t="s">
        <v>263</v>
      </c>
      <c r="AS1145">
        <v>7.3038480999999997</v>
      </c>
    </row>
    <row r="1146" spans="1:45" x14ac:dyDescent="0.15">
      <c r="A1146" s="4" t="str">
        <f>HYPERLINK("https://ibp.a2mac1.com/costing(costing:projects/details/9760/material/8755895)","Standard Structural Steel sheet")</f>
        <v>Standard Structural Steel sheet</v>
      </c>
      <c r="B1146">
        <v>8755895</v>
      </c>
      <c r="C1146">
        <v>12086297</v>
      </c>
      <c r="E1146">
        <v>0.61129999999999995</v>
      </c>
      <c r="F1146" t="s">
        <v>8033</v>
      </c>
      <c r="G1146">
        <v>70</v>
      </c>
      <c r="H1146" t="s">
        <v>5043</v>
      </c>
      <c r="I1146">
        <v>30</v>
      </c>
      <c r="J1146">
        <v>1.099879013308536E-2</v>
      </c>
      <c r="K1146">
        <v>0</v>
      </c>
      <c r="L1146">
        <v>0</v>
      </c>
      <c r="M1146">
        <v>0</v>
      </c>
      <c r="O1146">
        <v>400000</v>
      </c>
      <c r="R1146" t="s">
        <v>162</v>
      </c>
      <c r="S1146">
        <v>2.0906460000000002E-2</v>
      </c>
      <c r="T1146">
        <v>2.5552339999999999E-5</v>
      </c>
      <c r="U1146" t="s">
        <v>176</v>
      </c>
      <c r="V1146">
        <v>8.1302900000000001E-3</v>
      </c>
      <c r="W1146">
        <v>0.21954338234000001</v>
      </c>
      <c r="X1146" t="s">
        <v>177</v>
      </c>
      <c r="Y1146">
        <v>1.3172602940399999E-2</v>
      </c>
      <c r="Z1146">
        <v>0</v>
      </c>
      <c r="AA1146" t="s">
        <v>178</v>
      </c>
      <c r="AB1146">
        <v>2.6345205880799999E-2</v>
      </c>
      <c r="AC1146">
        <v>0.25906119116120002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Q1146" t="s">
        <v>262</v>
      </c>
      <c r="AR1146" t="s">
        <v>263</v>
      </c>
      <c r="AS1146">
        <v>0.232294</v>
      </c>
    </row>
    <row r="1147" spans="1:45" x14ac:dyDescent="0.15">
      <c r="A1147" s="4" t="str">
        <f>HYPERLINK("https://ibp.a2mac1.com/costing(costing:projects/details/9760/material/8755938)","Standard Structural Steel sheet")</f>
        <v>Standard Structural Steel sheet</v>
      </c>
      <c r="B1147">
        <v>8755938</v>
      </c>
      <c r="C1147">
        <v>12086298</v>
      </c>
      <c r="E1147">
        <v>0.61129999999999995</v>
      </c>
      <c r="F1147" t="s">
        <v>8039</v>
      </c>
      <c r="G1147">
        <v>65</v>
      </c>
      <c r="H1147" t="s">
        <v>8040</v>
      </c>
      <c r="I1147">
        <v>30</v>
      </c>
      <c r="J1147">
        <v>1.099879013308536E-2</v>
      </c>
      <c r="K1147">
        <v>0</v>
      </c>
      <c r="L1147">
        <v>0</v>
      </c>
      <c r="M1147">
        <v>0</v>
      </c>
      <c r="O1147">
        <v>400000</v>
      </c>
      <c r="R1147" t="s">
        <v>162</v>
      </c>
      <c r="S1147">
        <v>2.2514649230769231E-2</v>
      </c>
      <c r="T1147">
        <v>2.3586775384615385E-5</v>
      </c>
      <c r="U1147" t="s">
        <v>176</v>
      </c>
      <c r="V1147">
        <v>7.5048830769230768E-3</v>
      </c>
      <c r="W1147">
        <v>0.19943905139076923</v>
      </c>
      <c r="X1147" t="s">
        <v>177</v>
      </c>
      <c r="Y1147">
        <v>1.1966343083446154E-2</v>
      </c>
      <c r="Z1147">
        <v>0</v>
      </c>
      <c r="AA1147" t="s">
        <v>178</v>
      </c>
      <c r="AB1147">
        <v>2.3932686166892307E-2</v>
      </c>
      <c r="AC1147">
        <v>0.2353380806411077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Q1147" t="s">
        <v>262</v>
      </c>
      <c r="AR1147" t="s">
        <v>263</v>
      </c>
      <c r="AS1147">
        <v>0.21442523076923076</v>
      </c>
    </row>
    <row r="1148" spans="1:45" x14ac:dyDescent="0.15">
      <c r="A1148" s="4" t="str">
        <f>HYPERLINK("https://ibp.a2mac1.com/costing(costing:projects/details/9760/material/8755939)","Standard Structural Steel sheet")</f>
        <v>Standard Structural Steel sheet</v>
      </c>
      <c r="B1148">
        <v>8755939</v>
      </c>
      <c r="C1148">
        <v>12086299</v>
      </c>
      <c r="E1148">
        <v>0.61129999999999995</v>
      </c>
      <c r="F1148" t="s">
        <v>8044</v>
      </c>
      <c r="G1148">
        <v>65</v>
      </c>
      <c r="H1148" t="s">
        <v>8045</v>
      </c>
      <c r="I1148">
        <v>30</v>
      </c>
      <c r="J1148">
        <v>1.099879013308536E-2</v>
      </c>
      <c r="K1148">
        <v>0</v>
      </c>
      <c r="L1148">
        <v>0</v>
      </c>
      <c r="M1148">
        <v>0</v>
      </c>
      <c r="O1148">
        <v>400000</v>
      </c>
      <c r="R1148" t="s">
        <v>162</v>
      </c>
      <c r="S1148">
        <v>3.5055703846153849E-2</v>
      </c>
      <c r="T1148">
        <v>3.6725023076923075E-5</v>
      </c>
      <c r="U1148" t="s">
        <v>176</v>
      </c>
      <c r="V1148">
        <v>1.1685234615384616E-2</v>
      </c>
      <c r="W1148">
        <v>0.31053010194615382</v>
      </c>
      <c r="X1148" t="s">
        <v>177</v>
      </c>
      <c r="Y1148">
        <v>1.863180611676923E-2</v>
      </c>
      <c r="Z1148">
        <v>0</v>
      </c>
      <c r="AA1148" t="s">
        <v>178</v>
      </c>
      <c r="AB1148">
        <v>3.7263612233538461E-2</v>
      </c>
      <c r="AC1148">
        <v>0.36642552029646153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Q1148" t="s">
        <v>262</v>
      </c>
      <c r="AR1148" t="s">
        <v>263</v>
      </c>
      <c r="AS1148">
        <v>0.33386384615384618</v>
      </c>
    </row>
    <row r="1149" spans="1:45" x14ac:dyDescent="0.15">
      <c r="A1149" s="4" t="str">
        <f>HYPERLINK("https://ibp.a2mac1.com/costing(costing:projects/details/9760/material/8755940)","Standard Structural Steel sheet")</f>
        <v>Standard Structural Steel sheet</v>
      </c>
      <c r="B1149">
        <v>8755940</v>
      </c>
      <c r="C1149">
        <v>12086300</v>
      </c>
      <c r="E1149">
        <v>0.61129999999999995</v>
      </c>
      <c r="F1149" t="s">
        <v>4412</v>
      </c>
      <c r="G1149">
        <v>70</v>
      </c>
      <c r="H1149" t="s">
        <v>8051</v>
      </c>
      <c r="I1149">
        <v>30</v>
      </c>
      <c r="J1149">
        <v>1.099879013308536E-2</v>
      </c>
      <c r="K1149">
        <v>0</v>
      </c>
      <c r="L1149">
        <v>0</v>
      </c>
      <c r="M1149">
        <v>0</v>
      </c>
      <c r="O1149">
        <v>400000</v>
      </c>
      <c r="R1149" t="s">
        <v>162</v>
      </c>
      <c r="S1149">
        <v>1.0924804285714285E-2</v>
      </c>
      <c r="T1149">
        <v>1.3352538571428571E-5</v>
      </c>
      <c r="U1149" t="s">
        <v>176</v>
      </c>
      <c r="V1149">
        <v>4.2485350000000003E-3</v>
      </c>
      <c r="W1149">
        <v>0.11472379753857143</v>
      </c>
      <c r="X1149" t="s">
        <v>177</v>
      </c>
      <c r="Y1149">
        <v>6.8834278523142861E-3</v>
      </c>
      <c r="Z1149">
        <v>0</v>
      </c>
      <c r="AA1149" t="s">
        <v>178</v>
      </c>
      <c r="AB1149">
        <v>1.3766855704628572E-2</v>
      </c>
      <c r="AC1149">
        <v>0.1353740810955143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Q1149" t="s">
        <v>262</v>
      </c>
      <c r="AR1149" t="s">
        <v>263</v>
      </c>
      <c r="AS1149">
        <v>0.12138671428571429</v>
      </c>
    </row>
    <row r="1150" spans="1:45" x14ac:dyDescent="0.15">
      <c r="A1150" s="4" t="str">
        <f>HYPERLINK("https://ibp.a2mac1.com/costing(costing:projects/details/9760/material/8755941)","Standard Structural Steel sheet")</f>
        <v>Standard Structural Steel sheet</v>
      </c>
      <c r="B1150">
        <v>8755941</v>
      </c>
      <c r="C1150">
        <v>12086301</v>
      </c>
      <c r="E1150">
        <v>0.61129999999999995</v>
      </c>
      <c r="F1150" t="s">
        <v>8055</v>
      </c>
      <c r="G1150">
        <v>60</v>
      </c>
      <c r="H1150" t="s">
        <v>8056</v>
      </c>
      <c r="I1150">
        <v>30</v>
      </c>
      <c r="J1150">
        <v>1.099879013308536E-2</v>
      </c>
      <c r="K1150">
        <v>0</v>
      </c>
      <c r="L1150">
        <v>0</v>
      </c>
      <c r="M1150">
        <v>0</v>
      </c>
      <c r="O1150">
        <v>400000</v>
      </c>
      <c r="R1150" t="s">
        <v>162</v>
      </c>
      <c r="S1150">
        <v>6.8465600000000001E-2</v>
      </c>
      <c r="T1150">
        <v>6.2760133333333336E-5</v>
      </c>
      <c r="U1150" t="s">
        <v>176</v>
      </c>
      <c r="V1150">
        <v>1.9969133333333333E-2</v>
      </c>
      <c r="W1150">
        <v>0.5221129601333333</v>
      </c>
      <c r="X1150" t="s">
        <v>177</v>
      </c>
      <c r="Y1150">
        <v>3.1326777607999998E-2</v>
      </c>
      <c r="Z1150">
        <v>0</v>
      </c>
      <c r="AA1150" t="s">
        <v>178</v>
      </c>
      <c r="AB1150">
        <v>6.2653555215999995E-2</v>
      </c>
      <c r="AC1150">
        <v>0.61609329295733328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Q1150" t="s">
        <v>262</v>
      </c>
      <c r="AR1150" t="s">
        <v>263</v>
      </c>
      <c r="AS1150">
        <v>0.57054666666666665</v>
      </c>
    </row>
    <row r="1151" spans="1:45" x14ac:dyDescent="0.15">
      <c r="A1151" s="4" t="str">
        <f>HYPERLINK("https://ibp.a2mac1.com/costing(costing:projects/details/9760/material/8756059)","Standard Structural Steel sheet")</f>
        <v>Standard Structural Steel sheet</v>
      </c>
      <c r="B1151">
        <v>8756059</v>
      </c>
      <c r="C1151">
        <v>12086456</v>
      </c>
      <c r="E1151">
        <v>0.61129999999999995</v>
      </c>
      <c r="F1151" t="s">
        <v>8065</v>
      </c>
      <c r="G1151">
        <v>60</v>
      </c>
      <c r="H1151" t="s">
        <v>8066</v>
      </c>
      <c r="I1151">
        <v>30</v>
      </c>
      <c r="J1151">
        <v>1.099879013308536E-2</v>
      </c>
      <c r="K1151">
        <v>0</v>
      </c>
      <c r="L1151">
        <v>0</v>
      </c>
      <c r="M1151">
        <v>0</v>
      </c>
      <c r="O1151">
        <v>400000</v>
      </c>
      <c r="R1151" t="s">
        <v>162</v>
      </c>
      <c r="S1151">
        <v>0.1002532</v>
      </c>
      <c r="T1151">
        <v>9.1898766666666668E-5</v>
      </c>
      <c r="U1151" t="s">
        <v>176</v>
      </c>
      <c r="V1151">
        <v>2.9240516666666667E-2</v>
      </c>
      <c r="W1151">
        <v>0.7645225487666667</v>
      </c>
      <c r="X1151" t="s">
        <v>177</v>
      </c>
      <c r="Y1151">
        <v>4.5871352926000003E-2</v>
      </c>
      <c r="Z1151">
        <v>0</v>
      </c>
      <c r="AA1151" t="s">
        <v>178</v>
      </c>
      <c r="AB1151">
        <v>9.1742705852000006E-2</v>
      </c>
      <c r="AC1151">
        <v>0.90213660754466662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Q1151" t="s">
        <v>262</v>
      </c>
      <c r="AR1151" t="s">
        <v>263</v>
      </c>
      <c r="AS1151">
        <v>0.83544333333333332</v>
      </c>
    </row>
    <row r="1152" spans="1:45" x14ac:dyDescent="0.15">
      <c r="A1152" s="4" t="str">
        <f>HYPERLINK("https://ibp.a2mac1.com/costing(costing:projects/details/9760/material/8756060)","Standard Structural Steel sheet")</f>
        <v>Standard Structural Steel sheet</v>
      </c>
      <c r="B1152">
        <v>8756060</v>
      </c>
      <c r="C1152">
        <v>12086457</v>
      </c>
      <c r="E1152">
        <v>0.61129999999999995</v>
      </c>
      <c r="F1152" t="s">
        <v>8070</v>
      </c>
      <c r="G1152">
        <v>70</v>
      </c>
      <c r="H1152" t="s">
        <v>8071</v>
      </c>
      <c r="I1152">
        <v>30</v>
      </c>
      <c r="J1152">
        <v>1.099879013308536E-2</v>
      </c>
      <c r="K1152">
        <v>0</v>
      </c>
      <c r="L1152">
        <v>0</v>
      </c>
      <c r="M1152">
        <v>0</v>
      </c>
      <c r="O1152">
        <v>400000</v>
      </c>
      <c r="R1152" t="s">
        <v>162</v>
      </c>
      <c r="S1152">
        <v>3.080952E-2</v>
      </c>
      <c r="T1152">
        <v>3.7656079999999999E-5</v>
      </c>
      <c r="U1152" t="s">
        <v>176</v>
      </c>
      <c r="V1152">
        <v>1.1981479999999999E-2</v>
      </c>
      <c r="W1152">
        <v>0.32353761607999998</v>
      </c>
      <c r="X1152" t="s">
        <v>177</v>
      </c>
      <c r="Y1152">
        <v>1.94122569648E-2</v>
      </c>
      <c r="Z1152">
        <v>0</v>
      </c>
      <c r="AA1152" t="s">
        <v>178</v>
      </c>
      <c r="AB1152">
        <v>3.8824513929599999E-2</v>
      </c>
      <c r="AC1152">
        <v>0.38177438697440003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Q1152" t="s">
        <v>262</v>
      </c>
      <c r="AR1152" t="s">
        <v>263</v>
      </c>
      <c r="AS1152">
        <v>0.34232800000000002</v>
      </c>
    </row>
    <row r="1153" spans="1:45" x14ac:dyDescent="0.15">
      <c r="A1153" s="4" t="str">
        <f>HYPERLINK("https://ibp.a2mac1.com/costing(costing:projects/details/9760/material/8756061)","Standard Structural Steel sheet")</f>
        <v>Standard Structural Steel sheet</v>
      </c>
      <c r="B1153">
        <v>8756061</v>
      </c>
      <c r="C1153">
        <v>12086458</v>
      </c>
      <c r="E1153">
        <v>0.61129999999999995</v>
      </c>
      <c r="F1153" t="s">
        <v>8077</v>
      </c>
      <c r="G1153">
        <v>65</v>
      </c>
      <c r="H1153" t="s">
        <v>8078</v>
      </c>
      <c r="I1153">
        <v>30</v>
      </c>
      <c r="J1153">
        <v>1.099879013308536E-2</v>
      </c>
      <c r="K1153">
        <v>0</v>
      </c>
      <c r="L1153">
        <v>0</v>
      </c>
      <c r="M1153">
        <v>0</v>
      </c>
      <c r="O1153">
        <v>400000</v>
      </c>
      <c r="R1153" t="s">
        <v>162</v>
      </c>
      <c r="S1153">
        <v>1.4318526923076924E-2</v>
      </c>
      <c r="T1153">
        <v>1.5000361538461538E-5</v>
      </c>
      <c r="U1153" t="s">
        <v>176</v>
      </c>
      <c r="V1153">
        <v>4.7728423076923076E-3</v>
      </c>
      <c r="W1153">
        <v>0.12683623882307693</v>
      </c>
      <c r="X1153" t="s">
        <v>177</v>
      </c>
      <c r="Y1153">
        <v>7.610174329384615E-3</v>
      </c>
      <c r="Z1153">
        <v>0</v>
      </c>
      <c r="AA1153" t="s">
        <v>178</v>
      </c>
      <c r="AB1153">
        <v>1.522034865876923E-2</v>
      </c>
      <c r="AC1153">
        <v>0.14966676181123076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Q1153" t="s">
        <v>262</v>
      </c>
      <c r="AR1153" t="s">
        <v>263</v>
      </c>
      <c r="AS1153">
        <v>0.13636692307692308</v>
      </c>
    </row>
    <row r="1154" spans="1:45" x14ac:dyDescent="0.15">
      <c r="A1154" s="4" t="str">
        <f>HYPERLINK("https://ibp.a2mac1.com/costing(costing:projects/details/9760/material/8756062)","Standard Structural Steel sheet")</f>
        <v>Standard Structural Steel sheet</v>
      </c>
      <c r="B1154">
        <v>8756062</v>
      </c>
      <c r="C1154">
        <v>12086459</v>
      </c>
      <c r="E1154">
        <v>0.61129999999999995</v>
      </c>
      <c r="F1154" t="s">
        <v>8084</v>
      </c>
      <c r="G1154">
        <v>75</v>
      </c>
      <c r="H1154" t="s">
        <v>8085</v>
      </c>
      <c r="I1154">
        <v>30</v>
      </c>
      <c r="J1154">
        <v>1.099879013308536E-2</v>
      </c>
      <c r="K1154">
        <v>0</v>
      </c>
      <c r="L1154">
        <v>0</v>
      </c>
      <c r="M1154">
        <v>0</v>
      </c>
      <c r="O1154">
        <v>400000</v>
      </c>
      <c r="R1154" t="s">
        <v>162</v>
      </c>
      <c r="S1154">
        <v>1.2409389999999999E-2</v>
      </c>
      <c r="T1154">
        <v>1.8200438666666666E-5</v>
      </c>
      <c r="U1154" t="s">
        <v>176</v>
      </c>
      <c r="V1154">
        <v>5.7910486666666663E-3</v>
      </c>
      <c r="W1154">
        <v>0.15885839243866667</v>
      </c>
      <c r="X1154" t="s">
        <v>177</v>
      </c>
      <c r="Y1154">
        <v>9.5315035463199999E-3</v>
      </c>
      <c r="Z1154">
        <v>0</v>
      </c>
      <c r="AA1154" t="s">
        <v>178</v>
      </c>
      <c r="AB1154">
        <v>1.906300709264E-2</v>
      </c>
      <c r="AC1154">
        <v>0.18745290307762666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Q1154" t="s">
        <v>262</v>
      </c>
      <c r="AR1154" t="s">
        <v>263</v>
      </c>
      <c r="AS1154">
        <v>0.16545853333333332</v>
      </c>
    </row>
    <row r="1155" spans="1:45" x14ac:dyDescent="0.15">
      <c r="A1155" s="4" t="str">
        <f>HYPERLINK("https://ibp.a2mac1.com/costing(costing:projects/details/9760/material/8756063)","Standard Structural Steel sheet")</f>
        <v>Standard Structural Steel sheet</v>
      </c>
      <c r="B1155">
        <v>8756063</v>
      </c>
      <c r="C1155">
        <v>12086460</v>
      </c>
      <c r="E1155">
        <v>0.61129999999999995</v>
      </c>
      <c r="F1155" t="s">
        <v>1667</v>
      </c>
      <c r="G1155">
        <v>80</v>
      </c>
      <c r="H1155" t="s">
        <v>4487</v>
      </c>
      <c r="I1155">
        <v>30</v>
      </c>
      <c r="J1155">
        <v>1.099879013308536E-2</v>
      </c>
      <c r="K1155">
        <v>0</v>
      </c>
      <c r="L1155">
        <v>0</v>
      </c>
      <c r="M1155">
        <v>0</v>
      </c>
      <c r="O1155">
        <v>400000</v>
      </c>
      <c r="R1155" t="s">
        <v>162</v>
      </c>
      <c r="S1155">
        <v>7.3355999999999996E-4</v>
      </c>
      <c r="T1155">
        <v>1.34486E-6</v>
      </c>
      <c r="U1155" t="s">
        <v>176</v>
      </c>
      <c r="V1155">
        <v>4.2790999999999999E-4</v>
      </c>
      <c r="W1155">
        <v>1.192169486E-2</v>
      </c>
      <c r="X1155" t="s">
        <v>177</v>
      </c>
      <c r="Y1155">
        <v>7.1530169160000003E-4</v>
      </c>
      <c r="Z1155">
        <v>0</v>
      </c>
      <c r="AA1155" t="s">
        <v>178</v>
      </c>
      <c r="AB1155">
        <v>1.4306033832000001E-3</v>
      </c>
      <c r="AC1155">
        <v>1.40675999348E-2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Q1155" t="s">
        <v>262</v>
      </c>
      <c r="AR1155" t="s">
        <v>263</v>
      </c>
      <c r="AS1155">
        <v>1.2226000000000001E-2</v>
      </c>
    </row>
    <row r="1156" spans="1:45" x14ac:dyDescent="0.15">
      <c r="A1156" s="4" t="str">
        <f>HYPERLINK("https://ibp.a2mac1.com/costing(costing:projects/details/9760/material/8756064)","Standard Structural Steel sheet")</f>
        <v>Standard Structural Steel sheet</v>
      </c>
      <c r="B1156">
        <v>8756064</v>
      </c>
      <c r="C1156">
        <v>12086461</v>
      </c>
      <c r="E1156">
        <v>0.61129999999999995</v>
      </c>
      <c r="F1156" t="s">
        <v>8092</v>
      </c>
      <c r="G1156">
        <v>80</v>
      </c>
      <c r="H1156" t="s">
        <v>8093</v>
      </c>
      <c r="I1156">
        <v>30</v>
      </c>
      <c r="J1156">
        <v>1.099879013308536E-2</v>
      </c>
      <c r="K1156">
        <v>0</v>
      </c>
      <c r="L1156">
        <v>0</v>
      </c>
      <c r="M1156">
        <v>0</v>
      </c>
      <c r="O1156">
        <v>400000</v>
      </c>
      <c r="R1156" t="s">
        <v>162</v>
      </c>
      <c r="S1156">
        <v>5.4558525000000004E-3</v>
      </c>
      <c r="T1156">
        <v>1.0002396250000001E-5</v>
      </c>
      <c r="U1156" t="s">
        <v>176</v>
      </c>
      <c r="V1156">
        <v>3.1825806250000001E-3</v>
      </c>
      <c r="W1156">
        <v>8.8667605521249998E-2</v>
      </c>
      <c r="X1156" t="s">
        <v>177</v>
      </c>
      <c r="Y1156">
        <v>5.3200563312749997E-3</v>
      </c>
      <c r="Z1156">
        <v>0</v>
      </c>
      <c r="AA1156" t="s">
        <v>178</v>
      </c>
      <c r="AB1156">
        <v>1.0640112662549999E-2</v>
      </c>
      <c r="AC1156">
        <v>0.104627774515075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Q1156" t="s">
        <v>262</v>
      </c>
      <c r="AR1156" t="s">
        <v>263</v>
      </c>
      <c r="AS1156">
        <v>9.0930874999999994E-2</v>
      </c>
    </row>
    <row r="1157" spans="1:45" x14ac:dyDescent="0.15">
      <c r="A1157" s="4" t="str">
        <f>HYPERLINK("https://ibp.a2mac1.com/costing(costing:projects/details/9760/material/8755942)","Aluminum sheet body (default, e.g. EN-AW6063)")</f>
        <v>Aluminum sheet body (default, e.g. EN-AW6063)</v>
      </c>
      <c r="B1157">
        <v>8755942</v>
      </c>
      <c r="C1157">
        <v>12086302</v>
      </c>
      <c r="E1157">
        <v>3.79636</v>
      </c>
      <c r="F1157" t="s">
        <v>8104</v>
      </c>
      <c r="G1157">
        <v>80</v>
      </c>
      <c r="H1157" t="s">
        <v>8105</v>
      </c>
      <c r="I1157">
        <v>30</v>
      </c>
      <c r="J1157">
        <v>1.099879013308536E-2</v>
      </c>
      <c r="K1157">
        <v>0</v>
      </c>
      <c r="L1157">
        <v>0</v>
      </c>
      <c r="M1157">
        <v>0</v>
      </c>
      <c r="O1157">
        <v>400000</v>
      </c>
      <c r="R1157" t="s">
        <v>162</v>
      </c>
      <c r="S1157">
        <v>4.5163396740000001</v>
      </c>
      <c r="T1157">
        <v>8.2799560689999999E-3</v>
      </c>
      <c r="U1157" t="s">
        <v>176</v>
      </c>
      <c r="V1157">
        <v>2.6345314764999999</v>
      </c>
      <c r="W1157">
        <v>73.398799658569004</v>
      </c>
      <c r="X1157" t="s">
        <v>177</v>
      </c>
      <c r="Y1157">
        <v>4.4039279795141404</v>
      </c>
      <c r="Z1157">
        <v>0</v>
      </c>
      <c r="AA1157" t="s">
        <v>178</v>
      </c>
      <c r="AB1157">
        <v>8.8078559590282808</v>
      </c>
      <c r="AC1157">
        <v>86.610583597111415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Q1157" t="s">
        <v>262</v>
      </c>
      <c r="AR1157" t="s">
        <v>263</v>
      </c>
      <c r="AS1157">
        <v>75.272327899999993</v>
      </c>
    </row>
    <row r="1158" spans="1:45" x14ac:dyDescent="0.15">
      <c r="A1158" s="4" t="str">
        <f>HYPERLINK("https://ibp.a2mac1.com/costing(costing:projects/details/9760/material/8755943)","Standard Structural Steel sheet")</f>
        <v>Standard Structural Steel sheet</v>
      </c>
      <c r="B1158">
        <v>8755943</v>
      </c>
      <c r="C1158">
        <v>12086303</v>
      </c>
      <c r="E1158">
        <v>0.61129999999999995</v>
      </c>
      <c r="F1158" t="s">
        <v>8111</v>
      </c>
      <c r="G1158">
        <v>80</v>
      </c>
      <c r="H1158" t="s">
        <v>8112</v>
      </c>
      <c r="I1158">
        <v>30</v>
      </c>
      <c r="J1158">
        <v>1.099879013308536E-2</v>
      </c>
      <c r="K1158">
        <v>0</v>
      </c>
      <c r="L1158">
        <v>0</v>
      </c>
      <c r="M1158">
        <v>0</v>
      </c>
      <c r="O1158">
        <v>400000</v>
      </c>
      <c r="R1158" t="s">
        <v>162</v>
      </c>
      <c r="S1158">
        <v>4.7589705000000003E-2</v>
      </c>
      <c r="T1158">
        <v>8.7247792500000005E-5</v>
      </c>
      <c r="U1158" t="s">
        <v>176</v>
      </c>
      <c r="V1158">
        <v>2.7760661249999999E-2</v>
      </c>
      <c r="W1158">
        <v>0.77341995404249997</v>
      </c>
      <c r="X1158" t="s">
        <v>177</v>
      </c>
      <c r="Y1158">
        <v>4.6405197242550003E-2</v>
      </c>
      <c r="Z1158">
        <v>0</v>
      </c>
      <c r="AA1158" t="s">
        <v>178</v>
      </c>
      <c r="AB1158">
        <v>9.2810394485100006E-2</v>
      </c>
      <c r="AC1158">
        <v>0.91263554577015005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Q1158" t="s">
        <v>262</v>
      </c>
      <c r="AR1158" t="s">
        <v>263</v>
      </c>
      <c r="AS1158">
        <v>0.79316175</v>
      </c>
    </row>
    <row r="1159" spans="1:45" x14ac:dyDescent="0.15">
      <c r="A1159" s="4" t="str">
        <f>HYPERLINK("https://ibp.a2mac1.com/costing(costing:projects/details/9760/material/8755944)","Standard Structural Steel sheet")</f>
        <v>Standard Structural Steel sheet</v>
      </c>
      <c r="B1159">
        <v>8755944</v>
      </c>
      <c r="C1159">
        <v>12086304</v>
      </c>
      <c r="E1159">
        <v>0.61129999999999995</v>
      </c>
      <c r="F1159" t="s">
        <v>5220</v>
      </c>
      <c r="G1159">
        <v>70</v>
      </c>
      <c r="H1159" t="s">
        <v>8116</v>
      </c>
      <c r="I1159">
        <v>30</v>
      </c>
      <c r="J1159">
        <v>1.099879013308536E-2</v>
      </c>
      <c r="K1159">
        <v>0</v>
      </c>
      <c r="L1159">
        <v>0</v>
      </c>
      <c r="M1159">
        <v>0</v>
      </c>
      <c r="O1159">
        <v>400000</v>
      </c>
      <c r="R1159" t="s">
        <v>162</v>
      </c>
      <c r="S1159">
        <v>6.2876571428571431E-3</v>
      </c>
      <c r="T1159">
        <v>7.6849142857142859E-6</v>
      </c>
      <c r="U1159" t="s">
        <v>176</v>
      </c>
      <c r="V1159">
        <v>2.4451999999999998E-3</v>
      </c>
      <c r="W1159">
        <v>6.6028084914285717E-2</v>
      </c>
      <c r="X1159" t="s">
        <v>177</v>
      </c>
      <c r="Y1159">
        <v>3.9616850948571425E-3</v>
      </c>
      <c r="Z1159">
        <v>0</v>
      </c>
      <c r="AA1159" t="s">
        <v>178</v>
      </c>
      <c r="AB1159">
        <v>7.923370189714285E-3</v>
      </c>
      <c r="AC1159">
        <v>7.7913140198857145E-2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Q1159" t="s">
        <v>262</v>
      </c>
      <c r="AR1159" t="s">
        <v>263</v>
      </c>
      <c r="AS1159">
        <v>6.9862857142857143E-2</v>
      </c>
    </row>
    <row r="1160" spans="1:45" x14ac:dyDescent="0.15">
      <c r="A1160" s="4" t="str">
        <f>HYPERLINK("https://ibp.a2mac1.com/costing(costing:projects/details/9760/material/8755945)","Standard Structural Steel sheet")</f>
        <v>Standard Structural Steel sheet</v>
      </c>
      <c r="B1160">
        <v>8755945</v>
      </c>
      <c r="C1160">
        <v>12086305</v>
      </c>
      <c r="E1160">
        <v>0.61129999999999995</v>
      </c>
      <c r="F1160" t="s">
        <v>5094</v>
      </c>
      <c r="G1160">
        <v>80</v>
      </c>
      <c r="H1160" t="s">
        <v>8120</v>
      </c>
      <c r="I1160">
        <v>30</v>
      </c>
      <c r="J1160">
        <v>1.099879013308536E-2</v>
      </c>
      <c r="K1160">
        <v>0</v>
      </c>
      <c r="L1160">
        <v>0</v>
      </c>
      <c r="M1160">
        <v>0</v>
      </c>
      <c r="O1160">
        <v>400000</v>
      </c>
      <c r="R1160" t="s">
        <v>162</v>
      </c>
      <c r="S1160">
        <v>4.2638175000000002E-3</v>
      </c>
      <c r="T1160">
        <v>7.8169987499999998E-6</v>
      </c>
      <c r="U1160" t="s">
        <v>176</v>
      </c>
      <c r="V1160">
        <v>2.4872268749999999E-3</v>
      </c>
      <c r="W1160">
        <v>6.9294851373749994E-2</v>
      </c>
      <c r="X1160" t="s">
        <v>177</v>
      </c>
      <c r="Y1160">
        <v>4.1576910824249998E-3</v>
      </c>
      <c r="Z1160">
        <v>0</v>
      </c>
      <c r="AA1160" t="s">
        <v>178</v>
      </c>
      <c r="AB1160">
        <v>8.3153821648499996E-3</v>
      </c>
      <c r="AC1160">
        <v>8.1767924621025001E-2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Q1160" t="s">
        <v>262</v>
      </c>
      <c r="AR1160" t="s">
        <v>263</v>
      </c>
      <c r="AS1160">
        <v>7.1063625000000005E-2</v>
      </c>
    </row>
    <row r="1161" spans="1:45" x14ac:dyDescent="0.15">
      <c r="A1161" s="4" t="str">
        <f>HYPERLINK("https://ibp.a2mac1.com/costing(costing:projects/details/9760/material/8755946)","Standard Structural Steel sheet")</f>
        <v>Standard Structural Steel sheet</v>
      </c>
      <c r="B1161">
        <v>8755946</v>
      </c>
      <c r="C1161">
        <v>12086306</v>
      </c>
      <c r="E1161">
        <v>0.61129999999999995</v>
      </c>
      <c r="F1161" t="s">
        <v>8126</v>
      </c>
      <c r="G1161">
        <v>60</v>
      </c>
      <c r="H1161" t="s">
        <v>8127</v>
      </c>
      <c r="I1161">
        <v>30</v>
      </c>
      <c r="J1161">
        <v>1.099879013308536E-2</v>
      </c>
      <c r="K1161">
        <v>0</v>
      </c>
      <c r="L1161">
        <v>0</v>
      </c>
      <c r="M1161">
        <v>0</v>
      </c>
      <c r="O1161">
        <v>400000</v>
      </c>
      <c r="R1161" t="s">
        <v>162</v>
      </c>
      <c r="S1161">
        <v>0.14206611999999999</v>
      </c>
      <c r="T1161">
        <v>1.3022727666666667E-4</v>
      </c>
      <c r="U1161" t="s">
        <v>176</v>
      </c>
      <c r="V1161">
        <v>4.1435951666666665E-2</v>
      </c>
      <c r="W1161">
        <v>1.0833843922766666</v>
      </c>
      <c r="X1161" t="s">
        <v>177</v>
      </c>
      <c r="Y1161">
        <v>6.50030635366E-2</v>
      </c>
      <c r="Z1161">
        <v>0</v>
      </c>
      <c r="AA1161" t="s">
        <v>178</v>
      </c>
      <c r="AB1161">
        <v>0.1300061270732</v>
      </c>
      <c r="AC1161">
        <v>1.2783935828864668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Q1161" t="s">
        <v>262</v>
      </c>
      <c r="AR1161" t="s">
        <v>263</v>
      </c>
      <c r="AS1161">
        <v>1.1838843333333333</v>
      </c>
    </row>
    <row r="1162" spans="1:45" x14ac:dyDescent="0.15">
      <c r="A1162" s="4" t="str">
        <f>HYPERLINK("https://ibp.a2mac1.com/costing(costing:projects/details/9760/material/8755947)","Standard Structural Steel sheet")</f>
        <v>Standard Structural Steel sheet</v>
      </c>
      <c r="B1162">
        <v>8755947</v>
      </c>
      <c r="C1162">
        <v>12086307</v>
      </c>
      <c r="E1162">
        <v>0.61129999999999995</v>
      </c>
      <c r="F1162" t="s">
        <v>8131</v>
      </c>
      <c r="G1162">
        <v>55</v>
      </c>
      <c r="H1162" t="s">
        <v>8132</v>
      </c>
      <c r="I1162">
        <v>30</v>
      </c>
      <c r="J1162">
        <v>1.099879013308536E-2</v>
      </c>
      <c r="K1162">
        <v>0</v>
      </c>
      <c r="L1162">
        <v>0</v>
      </c>
      <c r="M1162">
        <v>0</v>
      </c>
      <c r="O1162">
        <v>400000</v>
      </c>
      <c r="R1162" t="s">
        <v>162</v>
      </c>
      <c r="S1162">
        <v>2.265700090909091E-2</v>
      </c>
      <c r="T1162">
        <v>1.8461259999999999E-5</v>
      </c>
      <c r="U1162" t="s">
        <v>176</v>
      </c>
      <c r="V1162">
        <v>5.8740372727272725E-3</v>
      </c>
      <c r="W1162">
        <v>0.15106513398727273</v>
      </c>
      <c r="X1162" t="s">
        <v>177</v>
      </c>
      <c r="Y1162">
        <v>9.0639080392363632E-3</v>
      </c>
      <c r="Z1162">
        <v>0</v>
      </c>
      <c r="AA1162" t="s">
        <v>178</v>
      </c>
      <c r="AB1162">
        <v>1.8127816078472726E-2</v>
      </c>
      <c r="AC1162">
        <v>0.17825685810498182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Q1162" t="s">
        <v>262</v>
      </c>
      <c r="AR1162" t="s">
        <v>263</v>
      </c>
      <c r="AS1162">
        <v>0.16782963636363638</v>
      </c>
    </row>
    <row r="1163" spans="1:45" x14ac:dyDescent="0.15">
      <c r="A1163" s="4" t="str">
        <f>HYPERLINK("https://ibp.a2mac1.com/costing(costing:projects/details/9760/material/8755948)","Standard Structural Steel sheet")</f>
        <v>Standard Structural Steel sheet</v>
      </c>
      <c r="B1163">
        <v>8755948</v>
      </c>
      <c r="C1163">
        <v>12086308</v>
      </c>
      <c r="E1163">
        <v>0.61129999999999995</v>
      </c>
      <c r="F1163" t="s">
        <v>7232</v>
      </c>
      <c r="G1163">
        <v>55</v>
      </c>
      <c r="H1163" t="s">
        <v>8136</v>
      </c>
      <c r="I1163">
        <v>30</v>
      </c>
      <c r="J1163">
        <v>1.099879013308536E-2</v>
      </c>
      <c r="K1163">
        <v>0</v>
      </c>
      <c r="L1163">
        <v>0</v>
      </c>
      <c r="M1163">
        <v>0</v>
      </c>
      <c r="O1163">
        <v>400000</v>
      </c>
      <c r="R1163" t="s">
        <v>162</v>
      </c>
      <c r="S1163">
        <v>2.7908623636363636E-2</v>
      </c>
      <c r="T1163">
        <v>2.2740360000000001E-5</v>
      </c>
      <c r="U1163" t="s">
        <v>176</v>
      </c>
      <c r="V1163">
        <v>7.2355690909090909E-3</v>
      </c>
      <c r="W1163">
        <v>0.1860802312690909</v>
      </c>
      <c r="X1163" t="s">
        <v>177</v>
      </c>
      <c r="Y1163">
        <v>1.1164813876145454E-2</v>
      </c>
      <c r="Z1163">
        <v>0</v>
      </c>
      <c r="AA1163" t="s">
        <v>178</v>
      </c>
      <c r="AB1163">
        <v>2.2329627752290908E-2</v>
      </c>
      <c r="AC1163">
        <v>0.21957467289752727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Q1163" t="s">
        <v>262</v>
      </c>
      <c r="AR1163" t="s">
        <v>263</v>
      </c>
      <c r="AS1163">
        <v>0.20673054545454544</v>
      </c>
    </row>
    <row r="1164" spans="1:45" x14ac:dyDescent="0.15">
      <c r="A1164" s="4" t="str">
        <f>HYPERLINK("https://ibp.a2mac1.com/costing(costing:projects/details/9760/material/8755949)","Aluminum sheet body (default, e.g. EN-AW6063)")</f>
        <v>Aluminum sheet body (default, e.g. EN-AW6063)</v>
      </c>
      <c r="B1164">
        <v>8755949</v>
      </c>
      <c r="C1164">
        <v>12086309</v>
      </c>
      <c r="E1164">
        <v>3.79636</v>
      </c>
      <c r="F1164" t="s">
        <v>791</v>
      </c>
      <c r="G1164">
        <v>80</v>
      </c>
      <c r="H1164" t="s">
        <v>8140</v>
      </c>
      <c r="I1164">
        <v>30</v>
      </c>
      <c r="J1164">
        <v>1.099879013308536E-2</v>
      </c>
      <c r="K1164">
        <v>0</v>
      </c>
      <c r="L1164">
        <v>0</v>
      </c>
      <c r="M1164">
        <v>0</v>
      </c>
      <c r="O1164">
        <v>400000</v>
      </c>
      <c r="R1164" t="s">
        <v>162</v>
      </c>
      <c r="S1164">
        <v>0.104210082</v>
      </c>
      <c r="T1164">
        <v>1.9105181700000001E-4</v>
      </c>
      <c r="U1164" t="s">
        <v>176</v>
      </c>
      <c r="V1164">
        <v>6.0789214500000001E-2</v>
      </c>
      <c r="W1164">
        <v>1.693604884317</v>
      </c>
      <c r="X1164" t="s">
        <v>177</v>
      </c>
      <c r="Y1164">
        <v>0.10161629305901999</v>
      </c>
      <c r="Z1164">
        <v>0</v>
      </c>
      <c r="AA1164" t="s">
        <v>178</v>
      </c>
      <c r="AB1164">
        <v>0.20323258611803999</v>
      </c>
      <c r="AC1164">
        <v>1.99845376349406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Q1164" t="s">
        <v>262</v>
      </c>
      <c r="AR1164" t="s">
        <v>263</v>
      </c>
      <c r="AS1164">
        <v>1.7368347</v>
      </c>
    </row>
    <row r="1165" spans="1:45" x14ac:dyDescent="0.15">
      <c r="A1165" s="4" t="str">
        <f>HYPERLINK("https://ibp.a2mac1.com/costing(costing:projects/details/9760/material/8755950)","Standard Structural Steel sheet")</f>
        <v>Standard Structural Steel sheet</v>
      </c>
      <c r="B1165">
        <v>8755950</v>
      </c>
      <c r="C1165">
        <v>12086310</v>
      </c>
      <c r="E1165">
        <v>0.61129999999999995</v>
      </c>
      <c r="F1165" t="s">
        <v>4449</v>
      </c>
      <c r="G1165">
        <v>65</v>
      </c>
      <c r="H1165" t="s">
        <v>8144</v>
      </c>
      <c r="I1165">
        <v>30</v>
      </c>
      <c r="J1165">
        <v>1.099879013308536E-2</v>
      </c>
      <c r="K1165">
        <v>0</v>
      </c>
      <c r="L1165">
        <v>0</v>
      </c>
      <c r="M1165">
        <v>0</v>
      </c>
      <c r="O1165">
        <v>400000</v>
      </c>
      <c r="R1165" t="s">
        <v>162</v>
      </c>
      <c r="S1165">
        <v>2.1724661538461538E-3</v>
      </c>
      <c r="T1165">
        <v>2.2759169230769231E-6</v>
      </c>
      <c r="U1165" t="s">
        <v>176</v>
      </c>
      <c r="V1165">
        <v>7.2415538461538466E-4</v>
      </c>
      <c r="W1165">
        <v>1.9244118993846152E-2</v>
      </c>
      <c r="X1165" t="s">
        <v>177</v>
      </c>
      <c r="Y1165">
        <v>1.1546471396307692E-3</v>
      </c>
      <c r="Z1165">
        <v>0</v>
      </c>
      <c r="AA1165" t="s">
        <v>178</v>
      </c>
      <c r="AB1165">
        <v>2.3092942792615383E-3</v>
      </c>
      <c r="AC1165">
        <v>2.270806041273846E-2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Q1165" t="s">
        <v>262</v>
      </c>
      <c r="AR1165" t="s">
        <v>263</v>
      </c>
      <c r="AS1165">
        <v>2.0690153846153848E-2</v>
      </c>
    </row>
    <row r="1166" spans="1:45" x14ac:dyDescent="0.15">
      <c r="A1166" s="4" t="str">
        <f>HYPERLINK("https://ibp.a2mac1.com/costing(costing:projects/details/9760/material/8755951)","Aluminum sheet body (default, e.g. EN-AW6063)")</f>
        <v>Aluminum sheet body (default, e.g. EN-AW6063)</v>
      </c>
      <c r="B1166">
        <v>8755951</v>
      </c>
      <c r="C1166">
        <v>12086311</v>
      </c>
      <c r="E1166">
        <v>3.79636</v>
      </c>
      <c r="F1166" t="s">
        <v>4010</v>
      </c>
      <c r="G1166">
        <v>80</v>
      </c>
      <c r="H1166" t="s">
        <v>7955</v>
      </c>
      <c r="I1166">
        <v>30</v>
      </c>
      <c r="J1166">
        <v>1.099879013308536E-2</v>
      </c>
      <c r="K1166">
        <v>0</v>
      </c>
      <c r="L1166">
        <v>0</v>
      </c>
      <c r="M1166">
        <v>0</v>
      </c>
      <c r="O1166">
        <v>400000</v>
      </c>
      <c r="R1166" t="s">
        <v>162</v>
      </c>
      <c r="S1166">
        <v>9.3959909999999994E-3</v>
      </c>
      <c r="T1166">
        <v>1.7225983499999999E-5</v>
      </c>
      <c r="U1166" t="s">
        <v>176</v>
      </c>
      <c r="V1166">
        <v>5.4809947499999999E-3</v>
      </c>
      <c r="W1166">
        <v>0.1527020797335</v>
      </c>
      <c r="X1166" t="s">
        <v>177</v>
      </c>
      <c r="Y1166">
        <v>9.1621247840099999E-3</v>
      </c>
      <c r="Z1166">
        <v>0</v>
      </c>
      <c r="AA1166" t="s">
        <v>178</v>
      </c>
      <c r="AB1166">
        <v>1.832424956802E-2</v>
      </c>
      <c r="AC1166">
        <v>0.18018845408553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Q1166" t="s">
        <v>262</v>
      </c>
      <c r="AR1166" t="s">
        <v>263</v>
      </c>
      <c r="AS1166">
        <v>0.15659985000000001</v>
      </c>
    </row>
    <row r="1167" spans="1:45" x14ac:dyDescent="0.15">
      <c r="A1167" s="4" t="str">
        <f>HYPERLINK("https://ibp.a2mac1.com/costing(costing:projects/details/9760/material/8755952)","Standard Structural Steel sheet")</f>
        <v>Standard Structural Steel sheet</v>
      </c>
      <c r="B1167">
        <v>8755952</v>
      </c>
      <c r="C1167">
        <v>12086312</v>
      </c>
      <c r="E1167">
        <v>0.61129999999999995</v>
      </c>
      <c r="F1167" t="s">
        <v>4449</v>
      </c>
      <c r="G1167">
        <v>65</v>
      </c>
      <c r="H1167" t="s">
        <v>8144</v>
      </c>
      <c r="I1167">
        <v>30</v>
      </c>
      <c r="J1167">
        <v>1.099879013308536E-2</v>
      </c>
      <c r="K1167">
        <v>0</v>
      </c>
      <c r="L1167">
        <v>0</v>
      </c>
      <c r="M1167">
        <v>0</v>
      </c>
      <c r="O1167">
        <v>400000</v>
      </c>
      <c r="R1167" t="s">
        <v>162</v>
      </c>
      <c r="S1167">
        <v>2.1724661538461538E-3</v>
      </c>
      <c r="T1167">
        <v>2.2759169230769231E-6</v>
      </c>
      <c r="U1167" t="s">
        <v>176</v>
      </c>
      <c r="V1167">
        <v>7.2415538461538466E-4</v>
      </c>
      <c r="W1167">
        <v>1.9244118993846152E-2</v>
      </c>
      <c r="X1167" t="s">
        <v>177</v>
      </c>
      <c r="Y1167">
        <v>1.1546471396307692E-3</v>
      </c>
      <c r="Z1167">
        <v>0</v>
      </c>
      <c r="AA1167" t="s">
        <v>178</v>
      </c>
      <c r="AB1167">
        <v>2.3092942792615383E-3</v>
      </c>
      <c r="AC1167">
        <v>2.270806041273846E-2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Q1167" t="s">
        <v>262</v>
      </c>
      <c r="AR1167" t="s">
        <v>263</v>
      </c>
      <c r="AS1167">
        <v>2.0690153846153848E-2</v>
      </c>
    </row>
    <row r="1168" spans="1:45" x14ac:dyDescent="0.15">
      <c r="A1168" s="4" t="str">
        <f>HYPERLINK("https://ibp.a2mac1.com/costing(costing:projects/details/9760/material/8755953)","Standard Structural Steel sheet")</f>
        <v>Standard Structural Steel sheet</v>
      </c>
      <c r="B1168">
        <v>8755953</v>
      </c>
      <c r="C1168">
        <v>12086313</v>
      </c>
      <c r="E1168">
        <v>0.61129999999999995</v>
      </c>
      <c r="F1168" t="s">
        <v>4449</v>
      </c>
      <c r="G1168">
        <v>65</v>
      </c>
      <c r="H1168" t="s">
        <v>8144</v>
      </c>
      <c r="I1168">
        <v>30</v>
      </c>
      <c r="J1168">
        <v>1.099879013308536E-2</v>
      </c>
      <c r="K1168">
        <v>0</v>
      </c>
      <c r="L1168">
        <v>0</v>
      </c>
      <c r="M1168">
        <v>0</v>
      </c>
      <c r="O1168">
        <v>400000</v>
      </c>
      <c r="R1168" t="s">
        <v>162</v>
      </c>
      <c r="S1168">
        <v>2.1724661538461538E-3</v>
      </c>
      <c r="T1168">
        <v>2.2759169230769231E-6</v>
      </c>
      <c r="U1168" t="s">
        <v>176</v>
      </c>
      <c r="V1168">
        <v>7.2415538461538466E-4</v>
      </c>
      <c r="W1168">
        <v>1.9244118993846152E-2</v>
      </c>
      <c r="X1168" t="s">
        <v>177</v>
      </c>
      <c r="Y1168">
        <v>1.1546471396307692E-3</v>
      </c>
      <c r="Z1168">
        <v>0</v>
      </c>
      <c r="AA1168" t="s">
        <v>178</v>
      </c>
      <c r="AB1168">
        <v>2.3092942792615383E-3</v>
      </c>
      <c r="AC1168">
        <v>2.270806041273846E-2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Q1168" t="s">
        <v>262</v>
      </c>
      <c r="AR1168" t="s">
        <v>263</v>
      </c>
      <c r="AS1168">
        <v>2.0690153846153848E-2</v>
      </c>
    </row>
    <row r="1169" spans="1:45" x14ac:dyDescent="0.15">
      <c r="A1169" s="4" t="str">
        <f>HYPERLINK("https://ibp.a2mac1.com/costing(costing:projects/details/9760/material/8755954)","Standard Structural Steel sheet")</f>
        <v>Standard Structural Steel sheet</v>
      </c>
      <c r="B1169">
        <v>8755954</v>
      </c>
      <c r="C1169">
        <v>12086314</v>
      </c>
      <c r="E1169">
        <v>0.61129999999999995</v>
      </c>
      <c r="F1169" t="s">
        <v>4449</v>
      </c>
      <c r="G1169">
        <v>65</v>
      </c>
      <c r="H1169" t="s">
        <v>8144</v>
      </c>
      <c r="I1169">
        <v>30</v>
      </c>
      <c r="J1169">
        <v>1.099879013308536E-2</v>
      </c>
      <c r="K1169">
        <v>0</v>
      </c>
      <c r="L1169">
        <v>0</v>
      </c>
      <c r="M1169">
        <v>0</v>
      </c>
      <c r="O1169">
        <v>400000</v>
      </c>
      <c r="R1169" t="s">
        <v>162</v>
      </c>
      <c r="S1169">
        <v>2.1724661538461538E-3</v>
      </c>
      <c r="T1169">
        <v>2.2759169230769231E-6</v>
      </c>
      <c r="U1169" t="s">
        <v>176</v>
      </c>
      <c r="V1169">
        <v>7.2415538461538466E-4</v>
      </c>
      <c r="W1169">
        <v>1.9244118993846152E-2</v>
      </c>
      <c r="X1169" t="s">
        <v>177</v>
      </c>
      <c r="Y1169">
        <v>1.1546471396307692E-3</v>
      </c>
      <c r="Z1169">
        <v>0</v>
      </c>
      <c r="AA1169" t="s">
        <v>178</v>
      </c>
      <c r="AB1169">
        <v>2.3092942792615383E-3</v>
      </c>
      <c r="AC1169">
        <v>2.270806041273846E-2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Q1169" t="s">
        <v>262</v>
      </c>
      <c r="AR1169" t="s">
        <v>263</v>
      </c>
      <c r="AS1169">
        <v>2.0690153846153848E-2</v>
      </c>
    </row>
    <row r="1170" spans="1:45" x14ac:dyDescent="0.15">
      <c r="A1170" s="4" t="str">
        <f>HYPERLINK("https://ibp.a2mac1.com/costing(costing:projects/details/9760/material/8755955)","Standard Structural Steel sheet")</f>
        <v>Standard Structural Steel sheet</v>
      </c>
      <c r="B1170">
        <v>8755955</v>
      </c>
      <c r="C1170">
        <v>12086315</v>
      </c>
      <c r="E1170">
        <v>0.61129999999999995</v>
      </c>
      <c r="F1170" t="s">
        <v>4801</v>
      </c>
      <c r="G1170">
        <v>60</v>
      </c>
      <c r="H1170" t="s">
        <v>8160</v>
      </c>
      <c r="I1170">
        <v>30</v>
      </c>
      <c r="J1170">
        <v>1.099879013308536E-2</v>
      </c>
      <c r="K1170">
        <v>0</v>
      </c>
      <c r="L1170">
        <v>0</v>
      </c>
      <c r="M1170">
        <v>0</v>
      </c>
      <c r="O1170">
        <v>400000</v>
      </c>
      <c r="R1170" t="s">
        <v>162</v>
      </c>
      <c r="S1170">
        <v>1.3081819999999999E-2</v>
      </c>
      <c r="T1170">
        <v>1.1991668333333333E-5</v>
      </c>
      <c r="U1170" t="s">
        <v>176</v>
      </c>
      <c r="V1170">
        <v>3.8155308333333335E-3</v>
      </c>
      <c r="W1170">
        <v>9.9760869168333335E-2</v>
      </c>
      <c r="X1170" t="s">
        <v>177</v>
      </c>
      <c r="Y1170">
        <v>5.9856521501000003E-3</v>
      </c>
      <c r="Z1170">
        <v>0</v>
      </c>
      <c r="AA1170" t="s">
        <v>178</v>
      </c>
      <c r="AB1170">
        <v>1.1971304300200001E-2</v>
      </c>
      <c r="AC1170">
        <v>0.11771782561863334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Q1170" t="s">
        <v>262</v>
      </c>
      <c r="AR1170" t="s">
        <v>263</v>
      </c>
      <c r="AS1170">
        <v>0.10901516666666666</v>
      </c>
    </row>
    <row r="1171" spans="1:45" x14ac:dyDescent="0.15">
      <c r="A1171" s="4" t="str">
        <f>HYPERLINK("https://ibp.a2mac1.com/costing(costing:projects/details/9760/material/8755956)","Standard Structural Steel sheet")</f>
        <v>Standard Structural Steel sheet</v>
      </c>
      <c r="B1171">
        <v>8755956</v>
      </c>
      <c r="C1171">
        <v>12086316</v>
      </c>
      <c r="E1171">
        <v>0.61129999999999995</v>
      </c>
      <c r="F1171" t="s">
        <v>4801</v>
      </c>
      <c r="G1171">
        <v>60</v>
      </c>
      <c r="H1171" t="s">
        <v>8160</v>
      </c>
      <c r="I1171">
        <v>30</v>
      </c>
      <c r="J1171">
        <v>1.099879013308536E-2</v>
      </c>
      <c r="K1171">
        <v>0</v>
      </c>
      <c r="L1171">
        <v>0</v>
      </c>
      <c r="M1171">
        <v>0</v>
      </c>
      <c r="O1171">
        <v>400000</v>
      </c>
      <c r="R1171" t="s">
        <v>162</v>
      </c>
      <c r="S1171">
        <v>1.3081819999999999E-2</v>
      </c>
      <c r="T1171">
        <v>1.1991668333333333E-5</v>
      </c>
      <c r="U1171" t="s">
        <v>176</v>
      </c>
      <c r="V1171">
        <v>3.8155308333333335E-3</v>
      </c>
      <c r="W1171">
        <v>9.9760869168333335E-2</v>
      </c>
      <c r="X1171" t="s">
        <v>177</v>
      </c>
      <c r="Y1171">
        <v>5.9856521501000003E-3</v>
      </c>
      <c r="Z1171">
        <v>0</v>
      </c>
      <c r="AA1171" t="s">
        <v>178</v>
      </c>
      <c r="AB1171">
        <v>1.1971304300200001E-2</v>
      </c>
      <c r="AC1171">
        <v>0.11771782561863334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Q1171" t="s">
        <v>262</v>
      </c>
      <c r="AR1171" t="s">
        <v>263</v>
      </c>
      <c r="AS1171">
        <v>0.10901516666666666</v>
      </c>
    </row>
    <row r="1172" spans="1:45" x14ac:dyDescent="0.15">
      <c r="A1172" s="4" t="str">
        <f>HYPERLINK("https://ibp.a2mac1.com/costing(costing:projects/details/9760/material/8755957)","Standard Structural Steel sheet")</f>
        <v>Standard Structural Steel sheet</v>
      </c>
      <c r="B1172">
        <v>8755957</v>
      </c>
      <c r="C1172">
        <v>12086317</v>
      </c>
      <c r="E1172">
        <v>0.61129999999999995</v>
      </c>
      <c r="F1172" t="s">
        <v>5436</v>
      </c>
      <c r="G1172">
        <v>50</v>
      </c>
      <c r="H1172" t="s">
        <v>8167</v>
      </c>
      <c r="I1172">
        <v>30</v>
      </c>
      <c r="J1172">
        <v>1.099879013308536E-2</v>
      </c>
      <c r="K1172">
        <v>0</v>
      </c>
      <c r="L1172">
        <v>0</v>
      </c>
      <c r="M1172">
        <v>0</v>
      </c>
      <c r="O1172">
        <v>400000</v>
      </c>
      <c r="R1172" t="s">
        <v>162</v>
      </c>
      <c r="S1172">
        <v>1.2470520000000001E-2</v>
      </c>
      <c r="T1172">
        <v>9.1450479999999993E-6</v>
      </c>
      <c r="U1172" t="s">
        <v>176</v>
      </c>
      <c r="V1172">
        <v>2.909788E-3</v>
      </c>
      <c r="W1172">
        <v>7.3585213048000003E-2</v>
      </c>
      <c r="X1172" t="s">
        <v>177</v>
      </c>
      <c r="Y1172">
        <v>4.4151127828800001E-3</v>
      </c>
      <c r="Z1172">
        <v>0</v>
      </c>
      <c r="AA1172" t="s">
        <v>178</v>
      </c>
      <c r="AB1172">
        <v>8.8302255657600002E-3</v>
      </c>
      <c r="AC1172">
        <v>8.6830551396640004E-2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Q1172" t="s">
        <v>262</v>
      </c>
      <c r="AR1172" t="s">
        <v>263</v>
      </c>
      <c r="AS1172">
        <v>8.3136799999999997E-2</v>
      </c>
    </row>
    <row r="1173" spans="1:45" x14ac:dyDescent="0.15">
      <c r="A1173" s="4" t="str">
        <f>HYPERLINK("https://ibp.a2mac1.com/costing(costing:projects/details/9760/material/8755958)","Standard Structural Steel sheet")</f>
        <v>Standard Structural Steel sheet</v>
      </c>
      <c r="B1173">
        <v>8755958</v>
      </c>
      <c r="C1173">
        <v>12086318</v>
      </c>
      <c r="E1173">
        <v>0.61129999999999995</v>
      </c>
      <c r="F1173" t="s">
        <v>8171</v>
      </c>
      <c r="G1173">
        <v>50</v>
      </c>
      <c r="H1173" t="s">
        <v>8172</v>
      </c>
      <c r="I1173">
        <v>30</v>
      </c>
      <c r="J1173">
        <v>1.099879013308536E-2</v>
      </c>
      <c r="K1173">
        <v>0</v>
      </c>
      <c r="L1173">
        <v>0</v>
      </c>
      <c r="M1173">
        <v>0</v>
      </c>
      <c r="O1173">
        <v>400000</v>
      </c>
      <c r="R1173" t="s">
        <v>162</v>
      </c>
      <c r="S1173">
        <v>2.2373580000000001E-2</v>
      </c>
      <c r="T1173">
        <v>1.6407291999999999E-5</v>
      </c>
      <c r="U1173" t="s">
        <v>176</v>
      </c>
      <c r="V1173">
        <v>5.2205020000000001E-3</v>
      </c>
      <c r="W1173">
        <v>0.13202052929200001</v>
      </c>
      <c r="X1173" t="s">
        <v>177</v>
      </c>
      <c r="Y1173">
        <v>7.9212317575200007E-3</v>
      </c>
      <c r="Z1173">
        <v>0</v>
      </c>
      <c r="AA1173" t="s">
        <v>178</v>
      </c>
      <c r="AB1173">
        <v>1.5842463515040001E-2</v>
      </c>
      <c r="AC1173">
        <v>0.15578422456456001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Q1173" t="s">
        <v>262</v>
      </c>
      <c r="AR1173" t="s">
        <v>263</v>
      </c>
      <c r="AS1173">
        <v>0.14915719999999999</v>
      </c>
    </row>
    <row r="1174" spans="1:45" x14ac:dyDescent="0.15">
      <c r="A1174" s="4" t="str">
        <f>HYPERLINK("https://ibp.a2mac1.com/costing(costing:projects/details/9760/material/8756065)","Standard Structural Steel sheet")</f>
        <v>Standard Structural Steel sheet</v>
      </c>
      <c r="B1174">
        <v>8756065</v>
      </c>
      <c r="C1174">
        <v>12086462</v>
      </c>
      <c r="E1174">
        <v>0.61129999999999995</v>
      </c>
      <c r="F1174" t="s">
        <v>8183</v>
      </c>
      <c r="G1174">
        <v>80</v>
      </c>
      <c r="H1174" t="s">
        <v>8184</v>
      </c>
      <c r="I1174">
        <v>30</v>
      </c>
      <c r="J1174">
        <v>1.099879013308536E-2</v>
      </c>
      <c r="K1174">
        <v>0</v>
      </c>
      <c r="L1174">
        <v>0</v>
      </c>
      <c r="M1174">
        <v>0</v>
      </c>
      <c r="O1174">
        <v>400000</v>
      </c>
      <c r="R1174" t="s">
        <v>162</v>
      </c>
      <c r="S1174">
        <v>1.9943662500000001E-2</v>
      </c>
      <c r="T1174">
        <v>3.6563381250000003E-5</v>
      </c>
      <c r="U1174" t="s">
        <v>176</v>
      </c>
      <c r="V1174">
        <v>1.1633803125E-2</v>
      </c>
      <c r="W1174">
        <v>0.32412107900624998</v>
      </c>
      <c r="X1174" t="s">
        <v>177</v>
      </c>
      <c r="Y1174">
        <v>1.9447264740375E-2</v>
      </c>
      <c r="Z1174">
        <v>0</v>
      </c>
      <c r="AA1174" t="s">
        <v>178</v>
      </c>
      <c r="AB1174">
        <v>3.8894529480749999E-2</v>
      </c>
      <c r="AC1174">
        <v>0.38246287322737499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Q1174" t="s">
        <v>262</v>
      </c>
      <c r="AR1174" t="s">
        <v>263</v>
      </c>
      <c r="AS1174">
        <v>0.33239437500000002</v>
      </c>
    </row>
    <row r="1175" spans="1:45" x14ac:dyDescent="0.15">
      <c r="A1175" s="4" t="str">
        <f>HYPERLINK("https://ibp.a2mac1.com/costing(costing:projects/details/9760/material/8756066)","Standard Structural Steel sheet")</f>
        <v>Standard Structural Steel sheet</v>
      </c>
      <c r="B1175">
        <v>8756066</v>
      </c>
      <c r="C1175">
        <v>12086463</v>
      </c>
      <c r="E1175">
        <v>0.61129999999999995</v>
      </c>
      <c r="F1175" t="s">
        <v>4382</v>
      </c>
      <c r="G1175">
        <v>80</v>
      </c>
      <c r="H1175" t="s">
        <v>5923</v>
      </c>
      <c r="I1175">
        <v>30</v>
      </c>
      <c r="J1175">
        <v>1.099879013308536E-2</v>
      </c>
      <c r="K1175">
        <v>0</v>
      </c>
      <c r="L1175">
        <v>0</v>
      </c>
      <c r="M1175">
        <v>0</v>
      </c>
      <c r="O1175">
        <v>400000</v>
      </c>
      <c r="R1175" t="s">
        <v>162</v>
      </c>
      <c r="S1175">
        <v>9.1695000000000004E-4</v>
      </c>
      <c r="T1175">
        <v>1.681075E-6</v>
      </c>
      <c r="U1175" t="s">
        <v>176</v>
      </c>
      <c r="V1175">
        <v>5.3488750000000001E-4</v>
      </c>
      <c r="W1175">
        <v>1.4902118575E-2</v>
      </c>
      <c r="X1175" t="s">
        <v>177</v>
      </c>
      <c r="Y1175">
        <v>8.9412711449999996E-4</v>
      </c>
      <c r="Z1175">
        <v>0</v>
      </c>
      <c r="AA1175" t="s">
        <v>178</v>
      </c>
      <c r="AB1175">
        <v>1.7882542289999999E-3</v>
      </c>
      <c r="AC1175">
        <v>1.7584499918500002E-2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Q1175" t="s">
        <v>262</v>
      </c>
      <c r="AR1175" t="s">
        <v>263</v>
      </c>
      <c r="AS1175">
        <v>1.5282499999999999E-2</v>
      </c>
    </row>
    <row r="1176" spans="1:45" x14ac:dyDescent="0.15">
      <c r="A1176" s="4" t="str">
        <f>HYPERLINK("https://ibp.a2mac1.com/costing(costing:projects/details/9760/material/8755959)","Aluminum sheet body (default, e.g. EN-AW6063)")</f>
        <v>Aluminum sheet body (default, e.g. EN-AW6063)</v>
      </c>
      <c r="B1176">
        <v>8755959</v>
      </c>
      <c r="C1176">
        <v>12086319</v>
      </c>
      <c r="E1176">
        <v>3.79636</v>
      </c>
      <c r="F1176" t="s">
        <v>8198</v>
      </c>
      <c r="G1176">
        <v>80</v>
      </c>
      <c r="H1176" t="s">
        <v>8199</v>
      </c>
      <c r="I1176">
        <v>30</v>
      </c>
      <c r="J1176">
        <v>1.3998040274361589E-2</v>
      </c>
      <c r="K1176">
        <v>0</v>
      </c>
      <c r="L1176">
        <v>0</v>
      </c>
      <c r="M1176">
        <v>0</v>
      </c>
      <c r="O1176">
        <v>200000</v>
      </c>
      <c r="R1176" t="s">
        <v>162</v>
      </c>
      <c r="S1176">
        <v>15.81373758</v>
      </c>
      <c r="T1176">
        <v>3.6898721019999997E-2</v>
      </c>
      <c r="U1176" t="s">
        <v>176</v>
      </c>
      <c r="V1176">
        <v>9.2246802550000009</v>
      </c>
      <c r="W1176">
        <v>257.01013439602002</v>
      </c>
      <c r="X1176" t="s">
        <v>90</v>
      </c>
      <c r="Y1176">
        <v>0</v>
      </c>
      <c r="Z1176">
        <v>0</v>
      </c>
      <c r="AA1176" t="s">
        <v>90</v>
      </c>
      <c r="AB1176">
        <v>0</v>
      </c>
      <c r="AC1176">
        <v>257.01013439602002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Q1176" t="s">
        <v>262</v>
      </c>
      <c r="AR1176" t="s">
        <v>263</v>
      </c>
      <c r="AS1176">
        <v>263.56229300000001</v>
      </c>
    </row>
    <row r="1177" spans="1:45" x14ac:dyDescent="0.15">
      <c r="A1177" s="4" t="str">
        <f>HYPERLINK("https://ibp.a2mac1.com/costing(costing:projects/details/9760/material/8755960)","Aluminum sheet body (default, e.g. EN-AW6063)")</f>
        <v>Aluminum sheet body (default, e.g. EN-AW6063)</v>
      </c>
      <c r="B1177">
        <v>8755960</v>
      </c>
      <c r="C1177">
        <v>12086320</v>
      </c>
      <c r="E1177">
        <v>3.79636</v>
      </c>
      <c r="F1177" t="s">
        <v>8203</v>
      </c>
      <c r="G1177">
        <v>80</v>
      </c>
      <c r="H1177" t="s">
        <v>8204</v>
      </c>
      <c r="I1177">
        <v>30</v>
      </c>
      <c r="J1177">
        <v>1.099879013308536E-2</v>
      </c>
      <c r="K1177">
        <v>0</v>
      </c>
      <c r="L1177">
        <v>0</v>
      </c>
      <c r="M1177">
        <v>0</v>
      </c>
      <c r="O1177">
        <v>400000</v>
      </c>
      <c r="R1177" t="s">
        <v>162</v>
      </c>
      <c r="S1177">
        <v>0.331137501</v>
      </c>
      <c r="T1177">
        <v>6.070854185E-4</v>
      </c>
      <c r="U1177" t="s">
        <v>176</v>
      </c>
      <c r="V1177">
        <v>0.19316354224999999</v>
      </c>
      <c r="W1177">
        <v>5.3815914766684996</v>
      </c>
      <c r="X1177" t="s">
        <v>177</v>
      </c>
      <c r="Y1177">
        <v>0.32289548860011003</v>
      </c>
      <c r="Z1177">
        <v>0</v>
      </c>
      <c r="AA1177" t="s">
        <v>178</v>
      </c>
      <c r="AB1177">
        <v>0.64579097720022005</v>
      </c>
      <c r="AC1177">
        <v>6.3502779424688303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Q1177" t="s">
        <v>262</v>
      </c>
      <c r="AR1177" t="s">
        <v>263</v>
      </c>
      <c r="AS1177">
        <v>5.5189583500000001</v>
      </c>
    </row>
    <row r="1178" spans="1:45" x14ac:dyDescent="0.15">
      <c r="A1178" s="4" t="str">
        <f>HYPERLINK("https://ibp.a2mac1.com/costing(costing:projects/details/9760/material/8755961)","Aluminum sheet body (default, e.g. EN-AW6063)")</f>
        <v>Aluminum sheet body (default, e.g. EN-AW6063)</v>
      </c>
      <c r="B1178">
        <v>8755961</v>
      </c>
      <c r="C1178">
        <v>12086321</v>
      </c>
      <c r="E1178">
        <v>3.79636</v>
      </c>
      <c r="F1178" t="s">
        <v>7074</v>
      </c>
      <c r="G1178">
        <v>50</v>
      </c>
      <c r="H1178" t="s">
        <v>8210</v>
      </c>
      <c r="I1178">
        <v>30</v>
      </c>
      <c r="J1178">
        <v>1.099879013308536E-2</v>
      </c>
      <c r="K1178">
        <v>0</v>
      </c>
      <c r="L1178">
        <v>0</v>
      </c>
      <c r="M1178">
        <v>0</v>
      </c>
      <c r="O1178">
        <v>400000</v>
      </c>
      <c r="R1178" t="s">
        <v>162</v>
      </c>
      <c r="S1178">
        <v>0.30067171199999998</v>
      </c>
      <c r="T1178">
        <v>2.204925888E-4</v>
      </c>
      <c r="U1178" t="s">
        <v>176</v>
      </c>
      <c r="V1178">
        <v>7.0156732799999996E-2</v>
      </c>
      <c r="W1178">
        <v>1.7741835933887999</v>
      </c>
      <c r="X1178" t="s">
        <v>177</v>
      </c>
      <c r="Y1178">
        <v>0.10645101560332799</v>
      </c>
      <c r="Z1178">
        <v>0</v>
      </c>
      <c r="AA1178" t="s">
        <v>178</v>
      </c>
      <c r="AB1178">
        <v>0.21290203120665599</v>
      </c>
      <c r="AC1178">
        <v>2.093536640198784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Q1178" t="s">
        <v>262</v>
      </c>
      <c r="AR1178" t="s">
        <v>263</v>
      </c>
      <c r="AS1178">
        <v>2.0044780800000002</v>
      </c>
    </row>
    <row r="1179" spans="1:45" x14ac:dyDescent="0.15">
      <c r="A1179" s="4" t="str">
        <f>HYPERLINK("https://ibp.a2mac1.com/costing(costing:projects/details/9760/material/8754459)","Cast Steel (default, e.g. 42CrMo4 / 4140)")</f>
        <v>Cast Steel (default, e.g. 42CrMo4 / 4140)</v>
      </c>
      <c r="B1179">
        <v>8754459</v>
      </c>
      <c r="C1179">
        <v>12085067</v>
      </c>
      <c r="E1179">
        <v>0.52</v>
      </c>
      <c r="F1179" t="s">
        <v>8226</v>
      </c>
      <c r="G1179">
        <v>95.238100000000003</v>
      </c>
      <c r="H1179" t="s">
        <v>8227</v>
      </c>
      <c r="I1179">
        <v>40</v>
      </c>
      <c r="J1179">
        <v>0.71090988522181187</v>
      </c>
      <c r="K1179">
        <v>0</v>
      </c>
      <c r="M1179">
        <v>0</v>
      </c>
      <c r="O1179">
        <v>200000</v>
      </c>
      <c r="R1179" t="s">
        <v>162</v>
      </c>
      <c r="S1179">
        <v>5.2207945181602742E-3</v>
      </c>
      <c r="T1179">
        <v>1.9624986218750688E-3</v>
      </c>
      <c r="U1179" t="s">
        <v>176</v>
      </c>
      <c r="V1179">
        <v>9.5932195203390237E-3</v>
      </c>
      <c r="W1179">
        <v>0.28042690991945451</v>
      </c>
      <c r="X1179" t="s">
        <v>177</v>
      </c>
      <c r="Y1179">
        <v>1.6825614595167269E-2</v>
      </c>
      <c r="Z1179">
        <v>0</v>
      </c>
      <c r="AA1179" t="s">
        <v>178</v>
      </c>
      <c r="AB1179">
        <v>3.3651229190334538E-2</v>
      </c>
      <c r="AC1179">
        <v>0.33090375370495634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Q1179" t="s">
        <v>262</v>
      </c>
      <c r="AR1179" t="s">
        <v>263</v>
      </c>
      <c r="AS1179">
        <v>0.27409198629540066</v>
      </c>
    </row>
    <row r="1180" spans="1:45" x14ac:dyDescent="0.15">
      <c r="A1180" s="4" t="str">
        <f>HYPERLINK("https://ibp.a2mac1.com/costing(costing:projects/details/9760/material/8754460)","Cast Steel (default, e.g. 42CrMo4 / 4140)")</f>
        <v>Cast Steel (default, e.g. 42CrMo4 / 4140)</v>
      </c>
      <c r="B1180">
        <v>8754460</v>
      </c>
      <c r="C1180">
        <v>12085074</v>
      </c>
      <c r="E1180">
        <v>0.52</v>
      </c>
      <c r="F1180" t="s">
        <v>8226</v>
      </c>
      <c r="G1180">
        <v>95.238100000000003</v>
      </c>
      <c r="H1180" t="s">
        <v>8227</v>
      </c>
      <c r="I1180">
        <v>40</v>
      </c>
      <c r="J1180">
        <v>0.71090988522181187</v>
      </c>
      <c r="K1180">
        <v>0</v>
      </c>
      <c r="M1180">
        <v>0</v>
      </c>
      <c r="O1180">
        <v>200000</v>
      </c>
      <c r="R1180" t="s">
        <v>162</v>
      </c>
      <c r="S1180">
        <v>5.2207945181602742E-3</v>
      </c>
      <c r="T1180">
        <v>1.9624986218750688E-3</v>
      </c>
      <c r="U1180" t="s">
        <v>176</v>
      </c>
      <c r="V1180">
        <v>9.5932195203390237E-3</v>
      </c>
      <c r="W1180">
        <v>0.28042690991945451</v>
      </c>
      <c r="X1180" t="s">
        <v>177</v>
      </c>
      <c r="Y1180">
        <v>1.6825614595167269E-2</v>
      </c>
      <c r="Z1180">
        <v>0</v>
      </c>
      <c r="AA1180" t="s">
        <v>178</v>
      </c>
      <c r="AB1180">
        <v>3.3651229190334538E-2</v>
      </c>
      <c r="AC1180">
        <v>0.33090375370495634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Q1180" t="s">
        <v>262</v>
      </c>
      <c r="AR1180" t="s">
        <v>263</v>
      </c>
      <c r="AS1180">
        <v>0.27409198629540066</v>
      </c>
    </row>
    <row r="1181" spans="1:45" x14ac:dyDescent="0.15">
      <c r="A1181" s="4" t="str">
        <f>HYPERLINK("https://ibp.a2mac1.com/costing(costing:projects/details/9760/material/8755047)","Standard Structural Steel sheet")</f>
        <v>Standard Structural Steel sheet</v>
      </c>
      <c r="B1181">
        <v>8755047</v>
      </c>
      <c r="C1181">
        <v>12085378</v>
      </c>
      <c r="E1181">
        <v>0.61129999999999995</v>
      </c>
      <c r="F1181" t="s">
        <v>8250</v>
      </c>
      <c r="G1181">
        <v>80</v>
      </c>
      <c r="H1181" t="s">
        <v>8251</v>
      </c>
      <c r="I1181">
        <v>30</v>
      </c>
      <c r="J1181">
        <v>1.9999600007999841E-3</v>
      </c>
      <c r="K1181">
        <v>0</v>
      </c>
      <c r="M1181">
        <v>0</v>
      </c>
      <c r="O1181">
        <v>200000</v>
      </c>
      <c r="R1181" t="s">
        <v>162</v>
      </c>
      <c r="S1181">
        <v>4.1446139999999999E-2</v>
      </c>
      <c r="T1181">
        <v>1.381538E-5</v>
      </c>
      <c r="U1181" t="s">
        <v>176</v>
      </c>
      <c r="V1181">
        <v>2.4176915E-2</v>
      </c>
      <c r="W1181">
        <v>0.67351359038000003</v>
      </c>
      <c r="X1181" t="s">
        <v>90</v>
      </c>
      <c r="Y1181">
        <v>0</v>
      </c>
      <c r="Z1181">
        <v>0</v>
      </c>
      <c r="AA1181" t="s">
        <v>90</v>
      </c>
      <c r="AB1181">
        <v>0</v>
      </c>
      <c r="AC1181">
        <v>0.67351359038000003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Q1181" t="s">
        <v>262</v>
      </c>
      <c r="AR1181" t="s">
        <v>263</v>
      </c>
      <c r="AS1181">
        <v>0.69076899999999997</v>
      </c>
    </row>
    <row r="1182" spans="1:45" x14ac:dyDescent="0.15">
      <c r="A1182" s="4" t="str">
        <f>HYPERLINK("https://ibp.a2mac1.com/costing(costing:projects/details/9760/material/8755048)","Standard Structural Steel sheet")</f>
        <v>Standard Structural Steel sheet</v>
      </c>
      <c r="B1182">
        <v>8755048</v>
      </c>
      <c r="C1182">
        <v>12085379</v>
      </c>
      <c r="E1182">
        <v>0.61129999999999995</v>
      </c>
      <c r="F1182" t="s">
        <v>5460</v>
      </c>
      <c r="G1182">
        <v>80</v>
      </c>
      <c r="H1182" t="s">
        <v>8254</v>
      </c>
      <c r="I1182">
        <v>30</v>
      </c>
      <c r="J1182">
        <v>1.9999600007999841E-3</v>
      </c>
      <c r="K1182">
        <v>0</v>
      </c>
      <c r="M1182">
        <v>0</v>
      </c>
      <c r="O1182">
        <v>200000</v>
      </c>
      <c r="R1182" t="s">
        <v>162</v>
      </c>
      <c r="S1182">
        <v>1.2837299999999999E-2</v>
      </c>
      <c r="T1182">
        <v>4.2791000000000002E-6</v>
      </c>
      <c r="U1182" t="s">
        <v>176</v>
      </c>
      <c r="V1182">
        <v>7.4884249999999999E-3</v>
      </c>
      <c r="W1182">
        <v>0.20861040410000001</v>
      </c>
      <c r="X1182" t="s">
        <v>90</v>
      </c>
      <c r="Y1182">
        <v>0</v>
      </c>
      <c r="Z1182">
        <v>0</v>
      </c>
      <c r="AA1182" t="s">
        <v>90</v>
      </c>
      <c r="AB1182">
        <v>0</v>
      </c>
      <c r="AC1182">
        <v>0.20861040410000001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Q1182" t="s">
        <v>262</v>
      </c>
      <c r="AR1182" t="s">
        <v>263</v>
      </c>
      <c r="AS1182">
        <v>0.21395500000000001</v>
      </c>
    </row>
    <row r="1183" spans="1:45" x14ac:dyDescent="0.15">
      <c r="A1183" s="4" t="str">
        <f>HYPERLINK("https://ibp.a2mac1.com/costing(costing:projects/details/9760/material/8755049)","Standard Structural Steel sheet")</f>
        <v>Standard Structural Steel sheet</v>
      </c>
      <c r="B1183">
        <v>8755049</v>
      </c>
      <c r="C1183">
        <v>12085380</v>
      </c>
      <c r="E1183">
        <v>0.61129999999999995</v>
      </c>
      <c r="F1183" t="s">
        <v>7041</v>
      </c>
      <c r="G1183">
        <v>80</v>
      </c>
      <c r="H1183" t="s">
        <v>8257</v>
      </c>
      <c r="I1183">
        <v>30</v>
      </c>
      <c r="J1183">
        <v>1.9999600007999841E-3</v>
      </c>
      <c r="K1183">
        <v>0</v>
      </c>
      <c r="M1183">
        <v>0</v>
      </c>
      <c r="O1183">
        <v>200000</v>
      </c>
      <c r="R1183" t="s">
        <v>162</v>
      </c>
      <c r="S1183">
        <v>5.9601749999999998E-3</v>
      </c>
      <c r="T1183">
        <v>1.986725E-6</v>
      </c>
      <c r="U1183" t="s">
        <v>176</v>
      </c>
      <c r="V1183">
        <v>3.4767687499999999E-3</v>
      </c>
      <c r="W1183">
        <v>9.6854830475000001E-2</v>
      </c>
      <c r="X1183" t="s">
        <v>90</v>
      </c>
      <c r="Y1183">
        <v>0</v>
      </c>
      <c r="Z1183">
        <v>0</v>
      </c>
      <c r="AA1183" t="s">
        <v>90</v>
      </c>
      <c r="AB1183">
        <v>0</v>
      </c>
      <c r="AC1183">
        <v>9.6854830475000001E-2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Q1183" t="s">
        <v>262</v>
      </c>
      <c r="AR1183" t="s">
        <v>263</v>
      </c>
      <c r="AS1183">
        <v>9.9336250000000001E-2</v>
      </c>
    </row>
    <row r="1184" spans="1:45" x14ac:dyDescent="0.15">
      <c r="A1184" s="4" t="str">
        <f>HYPERLINK("https://ibp.a2mac1.com/costing(costing:projects/details/9760/material/8755050)","Standard Structural Steel sheet")</f>
        <v>Standard Structural Steel sheet</v>
      </c>
      <c r="B1184">
        <v>8755050</v>
      </c>
      <c r="C1184">
        <v>12085381</v>
      </c>
      <c r="E1184">
        <v>0.61129999999999995</v>
      </c>
      <c r="F1184" t="s">
        <v>4397</v>
      </c>
      <c r="G1184">
        <v>80</v>
      </c>
      <c r="H1184" t="s">
        <v>8260</v>
      </c>
      <c r="I1184">
        <v>30</v>
      </c>
      <c r="J1184">
        <v>1.9999600007999841E-3</v>
      </c>
      <c r="K1184">
        <v>0</v>
      </c>
      <c r="M1184">
        <v>0</v>
      </c>
      <c r="O1184">
        <v>200000</v>
      </c>
      <c r="R1184" t="s">
        <v>162</v>
      </c>
      <c r="S1184">
        <v>1.1920349999999999E-3</v>
      </c>
      <c r="T1184">
        <v>3.9734500000000002E-7</v>
      </c>
      <c r="U1184" t="s">
        <v>176</v>
      </c>
      <c r="V1184">
        <v>6.9535375000000005E-4</v>
      </c>
      <c r="W1184">
        <v>1.9370966095000001E-2</v>
      </c>
      <c r="X1184" t="s">
        <v>90</v>
      </c>
      <c r="Y1184">
        <v>0</v>
      </c>
      <c r="Z1184">
        <v>0</v>
      </c>
      <c r="AA1184" t="s">
        <v>90</v>
      </c>
      <c r="AB1184">
        <v>0</v>
      </c>
      <c r="AC1184">
        <v>1.9370966095000001E-2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Q1184" t="s">
        <v>262</v>
      </c>
      <c r="AR1184" t="s">
        <v>263</v>
      </c>
      <c r="AS1184">
        <v>1.9867249999999999E-2</v>
      </c>
    </row>
    <row r="1185" spans="1:45" x14ac:dyDescent="0.15">
      <c r="A1185" s="4" t="str">
        <f>HYPERLINK("https://ibp.a2mac1.com/costing(costing:projects/details/9760/material/8755051)","Standard Structural Steel sheet")</f>
        <v>Standard Structural Steel sheet</v>
      </c>
      <c r="B1185">
        <v>8755051</v>
      </c>
      <c r="C1185">
        <v>12085382</v>
      </c>
      <c r="E1185">
        <v>0.61129999999999995</v>
      </c>
      <c r="F1185" t="s">
        <v>8263</v>
      </c>
      <c r="G1185">
        <v>80</v>
      </c>
      <c r="H1185" t="s">
        <v>8264</v>
      </c>
      <c r="I1185">
        <v>30</v>
      </c>
      <c r="J1185">
        <v>1.9999600007999841E-3</v>
      </c>
      <c r="K1185">
        <v>0</v>
      </c>
      <c r="M1185">
        <v>0</v>
      </c>
      <c r="O1185">
        <v>200000</v>
      </c>
      <c r="R1185" t="s">
        <v>162</v>
      </c>
      <c r="S1185">
        <v>7.0146675000000002E-3</v>
      </c>
      <c r="T1185">
        <v>2.3382225000000002E-6</v>
      </c>
      <c r="U1185" t="s">
        <v>176</v>
      </c>
      <c r="V1185">
        <v>4.0918893750000003E-3</v>
      </c>
      <c r="W1185">
        <v>0.1139906850975</v>
      </c>
      <c r="X1185" t="s">
        <v>90</v>
      </c>
      <c r="Y1185">
        <v>0</v>
      </c>
      <c r="Z1185">
        <v>0</v>
      </c>
      <c r="AA1185" t="s">
        <v>90</v>
      </c>
      <c r="AB1185">
        <v>0</v>
      </c>
      <c r="AC1185">
        <v>0.1139906850975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Q1185" t="s">
        <v>262</v>
      </c>
      <c r="AR1185" t="s">
        <v>263</v>
      </c>
      <c r="AS1185">
        <v>0.116911125</v>
      </c>
    </row>
    <row r="1186" spans="1:45" x14ac:dyDescent="0.15">
      <c r="A1186" s="4" t="str">
        <f>HYPERLINK("https://ibp.a2mac1.com/costing(costing:projects/details/9760/material/8755052)","Standard Structural Steel sheet")</f>
        <v>Standard Structural Steel sheet</v>
      </c>
      <c r="B1186">
        <v>8755052</v>
      </c>
      <c r="C1186">
        <v>12085383</v>
      </c>
      <c r="E1186">
        <v>0.61129999999999995</v>
      </c>
      <c r="F1186" t="s">
        <v>4739</v>
      </c>
      <c r="G1186">
        <v>80</v>
      </c>
      <c r="H1186" t="s">
        <v>8267</v>
      </c>
      <c r="I1186">
        <v>30</v>
      </c>
      <c r="J1186">
        <v>1.9999600007999841E-3</v>
      </c>
      <c r="K1186">
        <v>0</v>
      </c>
      <c r="M1186">
        <v>0</v>
      </c>
      <c r="O1186">
        <v>200000</v>
      </c>
      <c r="R1186" t="s">
        <v>162</v>
      </c>
      <c r="S1186">
        <v>2.0172900000000001E-3</v>
      </c>
      <c r="T1186">
        <v>6.7242999999999999E-7</v>
      </c>
      <c r="U1186" t="s">
        <v>176</v>
      </c>
      <c r="V1186">
        <v>1.1767525E-3</v>
      </c>
      <c r="W1186">
        <v>3.2781634929999998E-2</v>
      </c>
      <c r="X1186" t="s">
        <v>90</v>
      </c>
      <c r="Y1186">
        <v>0</v>
      </c>
      <c r="Z1186">
        <v>0</v>
      </c>
      <c r="AA1186" t="s">
        <v>90</v>
      </c>
      <c r="AB1186">
        <v>0</v>
      </c>
      <c r="AC1186">
        <v>3.2781634929999998E-2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Q1186" t="s">
        <v>262</v>
      </c>
      <c r="AR1186" t="s">
        <v>263</v>
      </c>
      <c r="AS1186">
        <v>3.3621499999999999E-2</v>
      </c>
    </row>
    <row r="1187" spans="1:45" x14ac:dyDescent="0.15">
      <c r="A1187" s="4" t="str">
        <f>HYPERLINK("https://ibp.a2mac1.com/costing(costing:projects/details/9760/material/8755053)","Standard Structural Steel sheet")</f>
        <v>Standard Structural Steel sheet</v>
      </c>
      <c r="B1187">
        <v>8755053</v>
      </c>
      <c r="C1187">
        <v>12085384</v>
      </c>
      <c r="E1187">
        <v>0.61129999999999995</v>
      </c>
      <c r="F1187" t="s">
        <v>8270</v>
      </c>
      <c r="G1187">
        <v>80</v>
      </c>
      <c r="H1187" t="s">
        <v>8271</v>
      </c>
      <c r="I1187">
        <v>30</v>
      </c>
      <c r="J1187">
        <v>1.9999600007999841E-3</v>
      </c>
      <c r="K1187">
        <v>0</v>
      </c>
      <c r="M1187">
        <v>0</v>
      </c>
      <c r="O1187">
        <v>200000</v>
      </c>
      <c r="R1187" t="s">
        <v>162</v>
      </c>
      <c r="S1187">
        <v>9.26577975E-2</v>
      </c>
      <c r="T1187">
        <v>3.0885932500000001E-5</v>
      </c>
      <c r="U1187" t="s">
        <v>176</v>
      </c>
      <c r="V1187">
        <v>5.4050381874999998E-2</v>
      </c>
      <c r="W1187">
        <v>1.5057200953075001</v>
      </c>
      <c r="X1187" t="s">
        <v>90</v>
      </c>
      <c r="Y1187">
        <v>0</v>
      </c>
      <c r="Z1187">
        <v>0</v>
      </c>
      <c r="AA1187" t="s">
        <v>90</v>
      </c>
      <c r="AB1187">
        <v>0</v>
      </c>
      <c r="AC1187">
        <v>1.5057200953075001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Q1187" t="s">
        <v>262</v>
      </c>
      <c r="AR1187" t="s">
        <v>263</v>
      </c>
      <c r="AS1187">
        <v>1.5442966250000001</v>
      </c>
    </row>
    <row r="1188" spans="1:45" x14ac:dyDescent="0.15">
      <c r="A1188" s="4" t="str">
        <f>HYPERLINK("https://ibp.a2mac1.com/costing(costing:projects/details/9760/material/8754660)","Paint - Base")</f>
        <v>Paint - Base</v>
      </c>
      <c r="B1188">
        <v>8754660</v>
      </c>
      <c r="C1188">
        <v>12085163</v>
      </c>
      <c r="E1188">
        <v>11.26986</v>
      </c>
      <c r="F1188" t="s">
        <v>3740</v>
      </c>
      <c r="G1188">
        <v>98</v>
      </c>
      <c r="H1188" t="s">
        <v>8273</v>
      </c>
      <c r="I1188">
        <v>0</v>
      </c>
      <c r="J1188">
        <v>1.117373677444873</v>
      </c>
      <c r="K1188">
        <v>0</v>
      </c>
      <c r="L1188">
        <v>0</v>
      </c>
      <c r="M1188">
        <v>0</v>
      </c>
      <c r="O1188">
        <v>200000</v>
      </c>
      <c r="R1188" t="s">
        <v>162</v>
      </c>
      <c r="S1188">
        <v>0</v>
      </c>
      <c r="T1188">
        <v>1.9492257857142857E-3</v>
      </c>
      <c r="U1188" t="s">
        <v>176</v>
      </c>
      <c r="V1188">
        <v>6.0374249999999999E-3</v>
      </c>
      <c r="W1188">
        <v>0.18048450792857143</v>
      </c>
      <c r="X1188" t="s">
        <v>90</v>
      </c>
      <c r="Y1188">
        <v>0</v>
      </c>
      <c r="Z1188">
        <v>0</v>
      </c>
      <c r="AA1188" t="s">
        <v>90</v>
      </c>
      <c r="AB1188">
        <v>0</v>
      </c>
      <c r="AC1188">
        <v>0.18048450792857143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Q1188" t="s">
        <v>9</v>
      </c>
      <c r="AR1188" t="s">
        <v>263</v>
      </c>
      <c r="AS1188">
        <v>0.17249785714285715</v>
      </c>
    </row>
    <row r="1189" spans="1:45" x14ac:dyDescent="0.15">
      <c r="A1189" s="4" t="str">
        <f>HYPERLINK("https://ibp.a2mac1.com/costing(costing:projects/details/9760/material/8754661)","Paint - Primer")</f>
        <v>Paint - Primer</v>
      </c>
      <c r="B1189">
        <v>8754661</v>
      </c>
      <c r="C1189">
        <v>12085163</v>
      </c>
      <c r="E1189">
        <v>6.9600200000000001</v>
      </c>
      <c r="F1189" t="s">
        <v>3740</v>
      </c>
      <c r="G1189">
        <v>95</v>
      </c>
      <c r="H1189" t="s">
        <v>3741</v>
      </c>
      <c r="I1189">
        <v>0</v>
      </c>
      <c r="J1189">
        <v>1.117373677444873</v>
      </c>
      <c r="K1189">
        <v>0</v>
      </c>
      <c r="L1189">
        <v>0</v>
      </c>
      <c r="M1189">
        <v>0</v>
      </c>
      <c r="O1189">
        <v>200000</v>
      </c>
      <c r="R1189" t="s">
        <v>162</v>
      </c>
      <c r="S1189">
        <v>0</v>
      </c>
      <c r="T1189">
        <v>1.241814094736842E-3</v>
      </c>
      <c r="U1189" t="s">
        <v>176</v>
      </c>
      <c r="V1189">
        <v>3.8463268421052633E-3</v>
      </c>
      <c r="W1189">
        <v>0.11498319356842106</v>
      </c>
      <c r="X1189" t="s">
        <v>90</v>
      </c>
      <c r="Y1189">
        <v>0</v>
      </c>
      <c r="Z1189">
        <v>0</v>
      </c>
      <c r="AA1189" t="s">
        <v>90</v>
      </c>
      <c r="AB1189">
        <v>0</v>
      </c>
      <c r="AC1189">
        <v>0.11498319356842106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Q1189" t="s">
        <v>9</v>
      </c>
      <c r="AR1189" t="s">
        <v>263</v>
      </c>
      <c r="AS1189">
        <v>0.10989505263157895</v>
      </c>
    </row>
    <row r="1190" spans="1:45" x14ac:dyDescent="0.15">
      <c r="A1190" s="4" t="str">
        <f>HYPERLINK("https://ibp.a2mac1.com/costing(costing:projects/details/9760/material/8754662)","Paint - Clear Coat")</f>
        <v>Paint - Clear Coat</v>
      </c>
      <c r="B1190">
        <v>8754662</v>
      </c>
      <c r="C1190">
        <v>12085163</v>
      </c>
      <c r="E1190">
        <v>9.0699199999999998</v>
      </c>
      <c r="F1190" t="s">
        <v>3740</v>
      </c>
      <c r="G1190">
        <v>98</v>
      </c>
      <c r="H1190" t="s">
        <v>8273</v>
      </c>
      <c r="I1190">
        <v>0</v>
      </c>
      <c r="J1190">
        <v>1.117373677444873</v>
      </c>
      <c r="K1190">
        <v>0</v>
      </c>
      <c r="L1190">
        <v>0</v>
      </c>
      <c r="M1190">
        <v>0</v>
      </c>
      <c r="O1190">
        <v>200000</v>
      </c>
      <c r="R1190" t="s">
        <v>162</v>
      </c>
      <c r="S1190">
        <v>0</v>
      </c>
      <c r="T1190">
        <v>1.5687259591836734E-3</v>
      </c>
      <c r="U1190" t="s">
        <v>176</v>
      </c>
      <c r="V1190">
        <v>4.8588857142857142E-3</v>
      </c>
      <c r="W1190">
        <v>0.14525291779591837</v>
      </c>
      <c r="X1190" t="s">
        <v>90</v>
      </c>
      <c r="Y1190">
        <v>0</v>
      </c>
      <c r="Z1190">
        <v>0</v>
      </c>
      <c r="AA1190" t="s">
        <v>90</v>
      </c>
      <c r="AB1190">
        <v>0</v>
      </c>
      <c r="AC1190">
        <v>0.14525291779591837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Q1190" t="s">
        <v>9</v>
      </c>
      <c r="AR1190" t="s">
        <v>263</v>
      </c>
      <c r="AS1190">
        <v>0.13882530612244898</v>
      </c>
    </row>
    <row r="1191" spans="1:45" x14ac:dyDescent="0.15">
      <c r="A1191" s="4" t="str">
        <f>HYPERLINK("https://ibp.a2mac1.com/costing(costing:projects/details/9760/material/8755054)","Standard Structural Steel sheet")</f>
        <v>Standard Structural Steel sheet</v>
      </c>
      <c r="B1191">
        <v>8755054</v>
      </c>
      <c r="C1191">
        <v>12085385</v>
      </c>
      <c r="E1191">
        <v>0.61129999999999995</v>
      </c>
      <c r="F1191" t="s">
        <v>8250</v>
      </c>
      <c r="G1191">
        <v>80</v>
      </c>
      <c r="H1191" t="s">
        <v>8251</v>
      </c>
      <c r="I1191">
        <v>30</v>
      </c>
      <c r="J1191">
        <v>1.9999600007999841E-3</v>
      </c>
      <c r="K1191">
        <v>0</v>
      </c>
      <c r="M1191">
        <v>0</v>
      </c>
      <c r="O1191">
        <v>200000</v>
      </c>
      <c r="R1191" t="s">
        <v>162</v>
      </c>
      <c r="S1191">
        <v>4.1446139999999999E-2</v>
      </c>
      <c r="T1191">
        <v>1.381538E-5</v>
      </c>
      <c r="U1191" t="s">
        <v>176</v>
      </c>
      <c r="V1191">
        <v>2.4176915E-2</v>
      </c>
      <c r="W1191">
        <v>0.67351359038000003</v>
      </c>
      <c r="X1191" t="s">
        <v>90</v>
      </c>
      <c r="Y1191">
        <v>0</v>
      </c>
      <c r="Z1191">
        <v>0</v>
      </c>
      <c r="AA1191" t="s">
        <v>90</v>
      </c>
      <c r="AB1191">
        <v>0</v>
      </c>
      <c r="AC1191">
        <v>0.67351359038000003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Q1191" t="s">
        <v>262</v>
      </c>
      <c r="AR1191" t="s">
        <v>263</v>
      </c>
      <c r="AS1191">
        <v>0.69076899999999997</v>
      </c>
    </row>
    <row r="1192" spans="1:45" x14ac:dyDescent="0.15">
      <c r="A1192" s="4" t="str">
        <f>HYPERLINK("https://ibp.a2mac1.com/costing(costing:projects/details/9760/material/8755055)","Standard Structural Steel sheet")</f>
        <v>Standard Structural Steel sheet</v>
      </c>
      <c r="B1192">
        <v>8755055</v>
      </c>
      <c r="C1192">
        <v>12085386</v>
      </c>
      <c r="E1192">
        <v>0.61129999999999995</v>
      </c>
      <c r="F1192" t="s">
        <v>5460</v>
      </c>
      <c r="G1192">
        <v>80</v>
      </c>
      <c r="H1192" t="s">
        <v>8254</v>
      </c>
      <c r="I1192">
        <v>30</v>
      </c>
      <c r="J1192">
        <v>1.9999600007999841E-3</v>
      </c>
      <c r="K1192">
        <v>0</v>
      </c>
      <c r="M1192">
        <v>0</v>
      </c>
      <c r="O1192">
        <v>200000</v>
      </c>
      <c r="R1192" t="s">
        <v>162</v>
      </c>
      <c r="S1192">
        <v>1.2837299999999999E-2</v>
      </c>
      <c r="T1192">
        <v>4.2791000000000002E-6</v>
      </c>
      <c r="U1192" t="s">
        <v>176</v>
      </c>
      <c r="V1192">
        <v>7.4884249999999999E-3</v>
      </c>
      <c r="W1192">
        <v>0.20861040410000001</v>
      </c>
      <c r="X1192" t="s">
        <v>90</v>
      </c>
      <c r="Y1192">
        <v>0</v>
      </c>
      <c r="Z1192">
        <v>0</v>
      </c>
      <c r="AA1192" t="s">
        <v>90</v>
      </c>
      <c r="AB1192">
        <v>0</v>
      </c>
      <c r="AC1192">
        <v>0.20861040410000001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Q1192" t="s">
        <v>262</v>
      </c>
      <c r="AR1192" t="s">
        <v>263</v>
      </c>
      <c r="AS1192">
        <v>0.21395500000000001</v>
      </c>
    </row>
    <row r="1193" spans="1:45" x14ac:dyDescent="0.15">
      <c r="A1193" s="4" t="str">
        <f>HYPERLINK("https://ibp.a2mac1.com/costing(costing:projects/details/9760/material/8755056)","Standard Structural Steel sheet")</f>
        <v>Standard Structural Steel sheet</v>
      </c>
      <c r="B1193">
        <v>8755056</v>
      </c>
      <c r="C1193">
        <v>12085387</v>
      </c>
      <c r="E1193">
        <v>0.61129999999999995</v>
      </c>
      <c r="F1193" t="s">
        <v>7041</v>
      </c>
      <c r="G1193">
        <v>80</v>
      </c>
      <c r="H1193" t="s">
        <v>8257</v>
      </c>
      <c r="I1193">
        <v>30</v>
      </c>
      <c r="J1193">
        <v>1.9999600007999841E-3</v>
      </c>
      <c r="K1193">
        <v>0</v>
      </c>
      <c r="M1193">
        <v>0</v>
      </c>
      <c r="O1193">
        <v>200000</v>
      </c>
      <c r="R1193" t="s">
        <v>162</v>
      </c>
      <c r="S1193">
        <v>5.9601749999999998E-3</v>
      </c>
      <c r="T1193">
        <v>1.986725E-6</v>
      </c>
      <c r="U1193" t="s">
        <v>176</v>
      </c>
      <c r="V1193">
        <v>3.4767687499999999E-3</v>
      </c>
      <c r="W1193">
        <v>9.6854830475000001E-2</v>
      </c>
      <c r="X1193" t="s">
        <v>90</v>
      </c>
      <c r="Y1193">
        <v>0</v>
      </c>
      <c r="Z1193">
        <v>0</v>
      </c>
      <c r="AA1193" t="s">
        <v>90</v>
      </c>
      <c r="AB1193">
        <v>0</v>
      </c>
      <c r="AC1193">
        <v>9.6854830475000001E-2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Q1193" t="s">
        <v>262</v>
      </c>
      <c r="AR1193" t="s">
        <v>263</v>
      </c>
      <c r="AS1193">
        <v>9.9336250000000001E-2</v>
      </c>
    </row>
    <row r="1194" spans="1:45" x14ac:dyDescent="0.15">
      <c r="A1194" s="4" t="str">
        <f>HYPERLINK("https://ibp.a2mac1.com/costing(costing:projects/details/9760/material/8755057)","Standard Structural Steel sheet")</f>
        <v>Standard Structural Steel sheet</v>
      </c>
      <c r="B1194">
        <v>8755057</v>
      </c>
      <c r="C1194">
        <v>12085388</v>
      </c>
      <c r="E1194">
        <v>0.61129999999999995</v>
      </c>
      <c r="F1194" t="s">
        <v>4397</v>
      </c>
      <c r="G1194">
        <v>80</v>
      </c>
      <c r="H1194" t="s">
        <v>8260</v>
      </c>
      <c r="I1194">
        <v>30</v>
      </c>
      <c r="J1194">
        <v>1.9999600007999841E-3</v>
      </c>
      <c r="K1194">
        <v>0</v>
      </c>
      <c r="M1194">
        <v>0</v>
      </c>
      <c r="O1194">
        <v>200000</v>
      </c>
      <c r="R1194" t="s">
        <v>162</v>
      </c>
      <c r="S1194">
        <v>1.1920349999999999E-3</v>
      </c>
      <c r="T1194">
        <v>3.9734500000000002E-7</v>
      </c>
      <c r="U1194" t="s">
        <v>176</v>
      </c>
      <c r="V1194">
        <v>6.9535375000000005E-4</v>
      </c>
      <c r="W1194">
        <v>1.9370966095000001E-2</v>
      </c>
      <c r="X1194" t="s">
        <v>90</v>
      </c>
      <c r="Y1194">
        <v>0</v>
      </c>
      <c r="Z1194">
        <v>0</v>
      </c>
      <c r="AA1194" t="s">
        <v>90</v>
      </c>
      <c r="AB1194">
        <v>0</v>
      </c>
      <c r="AC1194">
        <v>1.9370966095000001E-2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Q1194" t="s">
        <v>262</v>
      </c>
      <c r="AR1194" t="s">
        <v>263</v>
      </c>
      <c r="AS1194">
        <v>1.9867249999999999E-2</v>
      </c>
    </row>
    <row r="1195" spans="1:45" x14ac:dyDescent="0.15">
      <c r="A1195" s="4" t="str">
        <f>HYPERLINK("https://ibp.a2mac1.com/costing(costing:projects/details/9760/material/8755058)","Standard Structural Steel sheet")</f>
        <v>Standard Structural Steel sheet</v>
      </c>
      <c r="B1195">
        <v>8755058</v>
      </c>
      <c r="C1195">
        <v>12085389</v>
      </c>
      <c r="E1195">
        <v>0.61129999999999995</v>
      </c>
      <c r="F1195" t="s">
        <v>8263</v>
      </c>
      <c r="G1195">
        <v>80</v>
      </c>
      <c r="H1195" t="s">
        <v>8264</v>
      </c>
      <c r="I1195">
        <v>30</v>
      </c>
      <c r="J1195">
        <v>1.9999600007999841E-3</v>
      </c>
      <c r="K1195">
        <v>0</v>
      </c>
      <c r="M1195">
        <v>0</v>
      </c>
      <c r="O1195">
        <v>200000</v>
      </c>
      <c r="R1195" t="s">
        <v>162</v>
      </c>
      <c r="S1195">
        <v>7.0146675000000002E-3</v>
      </c>
      <c r="T1195">
        <v>2.3382225000000002E-6</v>
      </c>
      <c r="U1195" t="s">
        <v>176</v>
      </c>
      <c r="V1195">
        <v>4.0918893750000003E-3</v>
      </c>
      <c r="W1195">
        <v>0.1139906850975</v>
      </c>
      <c r="X1195" t="s">
        <v>90</v>
      </c>
      <c r="Y1195">
        <v>0</v>
      </c>
      <c r="Z1195">
        <v>0</v>
      </c>
      <c r="AA1195" t="s">
        <v>90</v>
      </c>
      <c r="AB1195">
        <v>0</v>
      </c>
      <c r="AC1195">
        <v>0.1139906850975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Q1195" t="s">
        <v>262</v>
      </c>
      <c r="AR1195" t="s">
        <v>263</v>
      </c>
      <c r="AS1195">
        <v>0.116911125</v>
      </c>
    </row>
    <row r="1196" spans="1:45" x14ac:dyDescent="0.15">
      <c r="A1196" s="4" t="str">
        <f>HYPERLINK("https://ibp.a2mac1.com/costing(costing:projects/details/9760/material/8755059)","Standard Structural Steel sheet")</f>
        <v>Standard Structural Steel sheet</v>
      </c>
      <c r="B1196">
        <v>8755059</v>
      </c>
      <c r="C1196">
        <v>12085390</v>
      </c>
      <c r="E1196">
        <v>0.61129999999999995</v>
      </c>
      <c r="F1196" t="s">
        <v>4739</v>
      </c>
      <c r="G1196">
        <v>80</v>
      </c>
      <c r="H1196" t="s">
        <v>8267</v>
      </c>
      <c r="I1196">
        <v>30</v>
      </c>
      <c r="J1196">
        <v>1.9999600007999841E-3</v>
      </c>
      <c r="K1196">
        <v>0</v>
      </c>
      <c r="M1196">
        <v>0</v>
      </c>
      <c r="O1196">
        <v>200000</v>
      </c>
      <c r="R1196" t="s">
        <v>162</v>
      </c>
      <c r="S1196">
        <v>2.0172900000000001E-3</v>
      </c>
      <c r="T1196">
        <v>6.7242999999999999E-7</v>
      </c>
      <c r="U1196" t="s">
        <v>176</v>
      </c>
      <c r="V1196">
        <v>1.1767525E-3</v>
      </c>
      <c r="W1196">
        <v>3.2781634929999998E-2</v>
      </c>
      <c r="X1196" t="s">
        <v>90</v>
      </c>
      <c r="Y1196">
        <v>0</v>
      </c>
      <c r="Z1196">
        <v>0</v>
      </c>
      <c r="AA1196" t="s">
        <v>90</v>
      </c>
      <c r="AB1196">
        <v>0</v>
      </c>
      <c r="AC1196">
        <v>3.2781634929999998E-2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Q1196" t="s">
        <v>262</v>
      </c>
      <c r="AR1196" t="s">
        <v>263</v>
      </c>
      <c r="AS1196">
        <v>3.3621499999999999E-2</v>
      </c>
    </row>
    <row r="1197" spans="1:45" x14ac:dyDescent="0.15">
      <c r="A1197" s="4" t="str">
        <f>HYPERLINK("https://ibp.a2mac1.com/costing(costing:projects/details/9760/material/8755060)","Standard Structural Steel sheet")</f>
        <v>Standard Structural Steel sheet</v>
      </c>
      <c r="B1197">
        <v>8755060</v>
      </c>
      <c r="C1197">
        <v>12085391</v>
      </c>
      <c r="E1197">
        <v>0.61129999999999995</v>
      </c>
      <c r="F1197" t="s">
        <v>8270</v>
      </c>
      <c r="G1197">
        <v>80</v>
      </c>
      <c r="H1197" t="s">
        <v>8271</v>
      </c>
      <c r="I1197">
        <v>30</v>
      </c>
      <c r="J1197">
        <v>1.9999600007999841E-3</v>
      </c>
      <c r="K1197">
        <v>0</v>
      </c>
      <c r="M1197">
        <v>0</v>
      </c>
      <c r="O1197">
        <v>200000</v>
      </c>
      <c r="R1197" t="s">
        <v>162</v>
      </c>
      <c r="S1197">
        <v>9.26577975E-2</v>
      </c>
      <c r="T1197">
        <v>3.0885932500000001E-5</v>
      </c>
      <c r="U1197" t="s">
        <v>176</v>
      </c>
      <c r="V1197">
        <v>5.4050381874999998E-2</v>
      </c>
      <c r="W1197">
        <v>1.5057200953075001</v>
      </c>
      <c r="X1197" t="s">
        <v>90</v>
      </c>
      <c r="Y1197">
        <v>0</v>
      </c>
      <c r="Z1197">
        <v>0</v>
      </c>
      <c r="AA1197" t="s">
        <v>90</v>
      </c>
      <c r="AB1197">
        <v>0</v>
      </c>
      <c r="AC1197">
        <v>1.5057200953075001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Q1197" t="s">
        <v>262</v>
      </c>
      <c r="AR1197" t="s">
        <v>263</v>
      </c>
      <c r="AS1197">
        <v>1.5442966250000001</v>
      </c>
    </row>
    <row r="1198" spans="1:45" x14ac:dyDescent="0.15">
      <c r="A1198" s="4" t="str">
        <f>HYPERLINK("https://ibp.a2mac1.com/costing(costing:projects/details/9760/material/8754663)","Paint - Base")</f>
        <v>Paint - Base</v>
      </c>
      <c r="B1198">
        <v>8754663</v>
      </c>
      <c r="C1198">
        <v>12085164</v>
      </c>
      <c r="E1198">
        <v>11.26986</v>
      </c>
      <c r="F1198" t="s">
        <v>3740</v>
      </c>
      <c r="G1198">
        <v>98</v>
      </c>
      <c r="H1198" t="s">
        <v>8273</v>
      </c>
      <c r="I1198">
        <v>0</v>
      </c>
      <c r="J1198">
        <v>1.117373677444873</v>
      </c>
      <c r="K1198">
        <v>0</v>
      </c>
      <c r="L1198">
        <v>0</v>
      </c>
      <c r="M1198">
        <v>0</v>
      </c>
      <c r="O1198">
        <v>200000</v>
      </c>
      <c r="R1198" t="s">
        <v>162</v>
      </c>
      <c r="S1198">
        <v>0</v>
      </c>
      <c r="T1198">
        <v>1.9492257857142857E-3</v>
      </c>
      <c r="U1198" t="s">
        <v>176</v>
      </c>
      <c r="V1198">
        <v>6.0374249999999999E-3</v>
      </c>
      <c r="W1198">
        <v>0.18048450792857143</v>
      </c>
      <c r="X1198" t="s">
        <v>90</v>
      </c>
      <c r="Y1198">
        <v>0</v>
      </c>
      <c r="Z1198">
        <v>0</v>
      </c>
      <c r="AA1198" t="s">
        <v>90</v>
      </c>
      <c r="AB1198">
        <v>0</v>
      </c>
      <c r="AC1198">
        <v>0.18048450792857143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Q1198" t="s">
        <v>9</v>
      </c>
      <c r="AR1198" t="s">
        <v>263</v>
      </c>
      <c r="AS1198">
        <v>0.17249785714285715</v>
      </c>
    </row>
    <row r="1199" spans="1:45" x14ac:dyDescent="0.15">
      <c r="A1199" s="4" t="str">
        <f>HYPERLINK("https://ibp.a2mac1.com/costing(costing:projects/details/9760/material/8754664)","Paint - Primer")</f>
        <v>Paint - Primer</v>
      </c>
      <c r="B1199">
        <v>8754664</v>
      </c>
      <c r="C1199">
        <v>12085164</v>
      </c>
      <c r="E1199">
        <v>6.9600200000000001</v>
      </c>
      <c r="F1199" t="s">
        <v>3740</v>
      </c>
      <c r="G1199">
        <v>95</v>
      </c>
      <c r="H1199" t="s">
        <v>3741</v>
      </c>
      <c r="I1199">
        <v>0</v>
      </c>
      <c r="J1199">
        <v>1.117373677444873</v>
      </c>
      <c r="K1199">
        <v>0</v>
      </c>
      <c r="L1199">
        <v>0</v>
      </c>
      <c r="M1199">
        <v>0</v>
      </c>
      <c r="O1199">
        <v>200000</v>
      </c>
      <c r="R1199" t="s">
        <v>162</v>
      </c>
      <c r="S1199">
        <v>0</v>
      </c>
      <c r="T1199">
        <v>1.241814094736842E-3</v>
      </c>
      <c r="U1199" t="s">
        <v>176</v>
      </c>
      <c r="V1199">
        <v>3.8463268421052633E-3</v>
      </c>
      <c r="W1199">
        <v>0.11498319356842106</v>
      </c>
      <c r="X1199" t="s">
        <v>90</v>
      </c>
      <c r="Y1199">
        <v>0</v>
      </c>
      <c r="Z1199">
        <v>0</v>
      </c>
      <c r="AA1199" t="s">
        <v>90</v>
      </c>
      <c r="AB1199">
        <v>0</v>
      </c>
      <c r="AC1199">
        <v>0.11498319356842106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Q1199" t="s">
        <v>9</v>
      </c>
      <c r="AR1199" t="s">
        <v>263</v>
      </c>
      <c r="AS1199">
        <v>0.10989505263157895</v>
      </c>
    </row>
    <row r="1200" spans="1:45" x14ac:dyDescent="0.15">
      <c r="A1200" s="4" t="str">
        <f>HYPERLINK("https://ibp.a2mac1.com/costing(costing:projects/details/9760/material/8754665)","Paint - Clear Coat")</f>
        <v>Paint - Clear Coat</v>
      </c>
      <c r="B1200">
        <v>8754665</v>
      </c>
      <c r="C1200">
        <v>12085164</v>
      </c>
      <c r="E1200">
        <v>9.0699199999999998</v>
      </c>
      <c r="F1200" t="s">
        <v>3740</v>
      </c>
      <c r="G1200">
        <v>98</v>
      </c>
      <c r="H1200" t="s">
        <v>8273</v>
      </c>
      <c r="I1200">
        <v>0</v>
      </c>
      <c r="J1200">
        <v>1.117373677444873</v>
      </c>
      <c r="K1200">
        <v>0</v>
      </c>
      <c r="L1200">
        <v>0</v>
      </c>
      <c r="M1200">
        <v>0</v>
      </c>
      <c r="O1200">
        <v>200000</v>
      </c>
      <c r="R1200" t="s">
        <v>162</v>
      </c>
      <c r="S1200">
        <v>0</v>
      </c>
      <c r="T1200">
        <v>1.5687259591836734E-3</v>
      </c>
      <c r="U1200" t="s">
        <v>176</v>
      </c>
      <c r="V1200">
        <v>4.8588857142857142E-3</v>
      </c>
      <c r="W1200">
        <v>0.14525291779591837</v>
      </c>
      <c r="X1200" t="s">
        <v>90</v>
      </c>
      <c r="Y1200">
        <v>0</v>
      </c>
      <c r="Z1200">
        <v>0</v>
      </c>
      <c r="AA1200" t="s">
        <v>90</v>
      </c>
      <c r="AB1200">
        <v>0</v>
      </c>
      <c r="AC1200">
        <v>0.14525291779591837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Q1200" t="s">
        <v>9</v>
      </c>
      <c r="AR1200" t="s">
        <v>263</v>
      </c>
      <c r="AS1200">
        <v>0.13882530612244898</v>
      </c>
    </row>
    <row r="1201" spans="1:45" x14ac:dyDescent="0.15">
      <c r="A1201" s="4" t="str">
        <f>HYPERLINK("https://ibp.a2mac1.com/costing(costing:projects/details/9760/material/8755061)","Standard Structural Steel sheet")</f>
        <v>Standard Structural Steel sheet</v>
      </c>
      <c r="B1201">
        <v>8755061</v>
      </c>
      <c r="C1201">
        <v>12085392</v>
      </c>
      <c r="E1201">
        <v>0.61129999999999995</v>
      </c>
      <c r="F1201" t="s">
        <v>4085</v>
      </c>
      <c r="G1201">
        <v>80</v>
      </c>
      <c r="H1201" t="s">
        <v>8298</v>
      </c>
      <c r="I1201">
        <v>30</v>
      </c>
      <c r="J1201">
        <v>1.9999600007999841E-3</v>
      </c>
      <c r="K1201">
        <v>0</v>
      </c>
      <c r="L1201">
        <v>0</v>
      </c>
      <c r="M1201">
        <v>0</v>
      </c>
      <c r="O1201">
        <v>200000</v>
      </c>
      <c r="R1201" t="s">
        <v>162</v>
      </c>
      <c r="S1201">
        <v>8.6193299999999997E-3</v>
      </c>
      <c r="T1201">
        <v>2.8731099999999999E-6</v>
      </c>
      <c r="U1201" t="s">
        <v>176</v>
      </c>
      <c r="V1201">
        <v>5.0279425000000003E-3</v>
      </c>
      <c r="W1201">
        <v>0.14006698561</v>
      </c>
      <c r="X1201" t="s">
        <v>90</v>
      </c>
      <c r="Y1201">
        <v>0</v>
      </c>
      <c r="Z1201">
        <v>0</v>
      </c>
      <c r="AA1201" t="s">
        <v>90</v>
      </c>
      <c r="AB1201">
        <v>0</v>
      </c>
      <c r="AC1201">
        <v>0.14006698561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Q1201" t="s">
        <v>262</v>
      </c>
      <c r="AR1201" t="s">
        <v>263</v>
      </c>
      <c r="AS1201">
        <v>0.14365549999999999</v>
      </c>
    </row>
    <row r="1202" spans="1:45" x14ac:dyDescent="0.15">
      <c r="A1202" s="4" t="str">
        <f>HYPERLINK("https://ibp.a2mac1.com/costing(costing:projects/details/9760/material/8755062)","Standard Structural Steel sheet")</f>
        <v>Standard Structural Steel sheet</v>
      </c>
      <c r="B1202">
        <v>8755062</v>
      </c>
      <c r="C1202">
        <v>12085393</v>
      </c>
      <c r="E1202">
        <v>0.61129999999999995</v>
      </c>
      <c r="F1202" t="s">
        <v>4382</v>
      </c>
      <c r="G1202">
        <v>80</v>
      </c>
      <c r="H1202" t="s">
        <v>5923</v>
      </c>
      <c r="I1202">
        <v>30</v>
      </c>
      <c r="J1202">
        <v>1.9999600007999841E-3</v>
      </c>
      <c r="K1202">
        <v>0</v>
      </c>
      <c r="L1202">
        <v>0</v>
      </c>
      <c r="M1202">
        <v>0</v>
      </c>
      <c r="O1202">
        <v>200000</v>
      </c>
      <c r="R1202" t="s">
        <v>162</v>
      </c>
      <c r="S1202">
        <v>9.1695000000000004E-4</v>
      </c>
      <c r="T1202">
        <v>3.0564999999999999E-7</v>
      </c>
      <c r="U1202" t="s">
        <v>176</v>
      </c>
      <c r="V1202">
        <v>5.3488750000000001E-4</v>
      </c>
      <c r="W1202">
        <v>1.490074315E-2</v>
      </c>
      <c r="X1202" t="s">
        <v>90</v>
      </c>
      <c r="Y1202">
        <v>0</v>
      </c>
      <c r="Z1202">
        <v>0</v>
      </c>
      <c r="AA1202" t="s">
        <v>90</v>
      </c>
      <c r="AB1202">
        <v>0</v>
      </c>
      <c r="AC1202">
        <v>1.490074315E-2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Q1202" t="s">
        <v>262</v>
      </c>
      <c r="AR1202" t="s">
        <v>263</v>
      </c>
      <c r="AS1202">
        <v>1.5282499999999999E-2</v>
      </c>
    </row>
    <row r="1203" spans="1:45" x14ac:dyDescent="0.15">
      <c r="A1203" s="4" t="str">
        <f>HYPERLINK("https://ibp.a2mac1.com/costing(costing:projects/details/9760/material/8755063)","Standard Structural Steel sheet")</f>
        <v>Standard Structural Steel sheet</v>
      </c>
      <c r="B1203">
        <v>8755063</v>
      </c>
      <c r="C1203">
        <v>12085394</v>
      </c>
      <c r="E1203">
        <v>0.61129999999999995</v>
      </c>
      <c r="F1203" t="s">
        <v>4085</v>
      </c>
      <c r="G1203">
        <v>80</v>
      </c>
      <c r="H1203" t="s">
        <v>8298</v>
      </c>
      <c r="I1203">
        <v>30</v>
      </c>
      <c r="J1203">
        <v>1.9999600007999841E-3</v>
      </c>
      <c r="K1203">
        <v>0</v>
      </c>
      <c r="L1203">
        <v>0</v>
      </c>
      <c r="M1203">
        <v>0</v>
      </c>
      <c r="O1203">
        <v>200000</v>
      </c>
      <c r="R1203" t="s">
        <v>162</v>
      </c>
      <c r="S1203">
        <v>8.6193299999999997E-3</v>
      </c>
      <c r="T1203">
        <v>2.8731099999999999E-6</v>
      </c>
      <c r="U1203" t="s">
        <v>176</v>
      </c>
      <c r="V1203">
        <v>5.0279425000000003E-3</v>
      </c>
      <c r="W1203">
        <v>0.14006698561</v>
      </c>
      <c r="X1203" t="s">
        <v>90</v>
      </c>
      <c r="Y1203">
        <v>0</v>
      </c>
      <c r="Z1203">
        <v>0</v>
      </c>
      <c r="AA1203" t="s">
        <v>90</v>
      </c>
      <c r="AB1203">
        <v>0</v>
      </c>
      <c r="AC1203">
        <v>0.14006698561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Q1203" t="s">
        <v>262</v>
      </c>
      <c r="AR1203" t="s">
        <v>263</v>
      </c>
      <c r="AS1203">
        <v>0.14365549999999999</v>
      </c>
    </row>
    <row r="1204" spans="1:45" x14ac:dyDescent="0.15">
      <c r="A1204" s="4" t="str">
        <f>HYPERLINK("https://ibp.a2mac1.com/costing(costing:projects/details/9760/material/8755064)","Standard Structural Steel sheet")</f>
        <v>Standard Structural Steel sheet</v>
      </c>
      <c r="B1204">
        <v>8755064</v>
      </c>
      <c r="C1204">
        <v>12085395</v>
      </c>
      <c r="E1204">
        <v>0.61129999999999995</v>
      </c>
      <c r="F1204" t="s">
        <v>4382</v>
      </c>
      <c r="G1204">
        <v>80</v>
      </c>
      <c r="H1204" t="s">
        <v>5923</v>
      </c>
      <c r="I1204">
        <v>30</v>
      </c>
      <c r="J1204">
        <v>1.9999600007999841E-3</v>
      </c>
      <c r="K1204">
        <v>0</v>
      </c>
      <c r="L1204">
        <v>0</v>
      </c>
      <c r="M1204">
        <v>0</v>
      </c>
      <c r="O1204">
        <v>200000</v>
      </c>
      <c r="R1204" t="s">
        <v>162</v>
      </c>
      <c r="S1204">
        <v>9.1695000000000004E-4</v>
      </c>
      <c r="T1204">
        <v>3.0564999999999999E-7</v>
      </c>
      <c r="U1204" t="s">
        <v>176</v>
      </c>
      <c r="V1204">
        <v>5.3488750000000001E-4</v>
      </c>
      <c r="W1204">
        <v>1.490074315E-2</v>
      </c>
      <c r="X1204" t="s">
        <v>90</v>
      </c>
      <c r="Y1204">
        <v>0</v>
      </c>
      <c r="Z1204">
        <v>0</v>
      </c>
      <c r="AA1204" t="s">
        <v>90</v>
      </c>
      <c r="AB1204">
        <v>0</v>
      </c>
      <c r="AC1204">
        <v>1.490074315E-2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Q1204" t="s">
        <v>262</v>
      </c>
      <c r="AR1204" t="s">
        <v>263</v>
      </c>
      <c r="AS1204">
        <v>1.5282499999999999E-2</v>
      </c>
    </row>
    <row r="1205" spans="1:45" x14ac:dyDescent="0.15">
      <c r="A1205" s="4" t="str">
        <f>HYPERLINK("https://ibp.a2mac1.com/costing(costing:projects/details/9760/material/8754666)","PP-EPDM-TD25")</f>
        <v>PP-EPDM-TD25</v>
      </c>
      <c r="B1205">
        <v>8754666</v>
      </c>
      <c r="C1205">
        <v>12085167</v>
      </c>
      <c r="E1205">
        <v>1.59324</v>
      </c>
      <c r="F1205" t="s">
        <v>8310</v>
      </c>
      <c r="G1205">
        <v>97</v>
      </c>
      <c r="H1205" t="s">
        <v>8311</v>
      </c>
      <c r="I1205">
        <v>5</v>
      </c>
      <c r="J1205">
        <v>0.20258874484795864</v>
      </c>
      <c r="K1205">
        <v>0</v>
      </c>
      <c r="L1205">
        <v>0</v>
      </c>
      <c r="M1205">
        <v>0</v>
      </c>
      <c r="O1205">
        <v>400000</v>
      </c>
      <c r="R1205" t="s">
        <v>162</v>
      </c>
      <c r="S1205">
        <v>2.4391354639175257E-4</v>
      </c>
      <c r="T1205">
        <v>3.3009633278350517E-4</v>
      </c>
      <c r="U1205" t="s">
        <v>176</v>
      </c>
      <c r="V1205">
        <v>5.6913160824742272E-3</v>
      </c>
      <c r="W1205">
        <v>0.16838652979670102</v>
      </c>
      <c r="X1205" t="s">
        <v>177</v>
      </c>
      <c r="Y1205">
        <v>1.0103191787802062E-2</v>
      </c>
      <c r="Z1205">
        <v>0</v>
      </c>
      <c r="AA1205" t="s">
        <v>178</v>
      </c>
      <c r="AB1205">
        <v>2.0206383575604125E-2</v>
      </c>
      <c r="AC1205">
        <v>0.19869610516010722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Q1205" t="s">
        <v>262</v>
      </c>
      <c r="AR1205" t="s">
        <v>263</v>
      </c>
      <c r="AS1205">
        <v>0.16260903092783505</v>
      </c>
    </row>
    <row r="1206" spans="1:45" x14ac:dyDescent="0.15">
      <c r="A1206" s="4" t="str">
        <f>HYPERLINK("https://ibp.a2mac1.com/costing(costing:projects/details/9760/material/8754667)","PP-EPDM-MD35-TD20")</f>
        <v>PP-EPDM-MD35-TD20</v>
      </c>
      <c r="B1206">
        <v>8754667</v>
      </c>
      <c r="C1206">
        <v>12085168</v>
      </c>
      <c r="E1206">
        <v>1.07117</v>
      </c>
      <c r="F1206" t="s">
        <v>8318</v>
      </c>
      <c r="G1206">
        <v>97</v>
      </c>
      <c r="H1206" t="s">
        <v>8319</v>
      </c>
      <c r="I1206">
        <v>5</v>
      </c>
      <c r="J1206">
        <v>0.20258874484795864</v>
      </c>
      <c r="K1206">
        <v>0</v>
      </c>
      <c r="M1206">
        <v>0</v>
      </c>
      <c r="O1206">
        <v>400000</v>
      </c>
      <c r="R1206" t="s">
        <v>162</v>
      </c>
      <c r="S1206">
        <v>2.9319137628865978E-4</v>
      </c>
      <c r="T1206">
        <v>3.9678566257731959E-4</v>
      </c>
      <c r="U1206" t="s">
        <v>176</v>
      </c>
      <c r="V1206">
        <v>6.8411321134020618E-3</v>
      </c>
      <c r="W1206">
        <v>0.20240564392546392</v>
      </c>
      <c r="X1206" t="s">
        <v>177</v>
      </c>
      <c r="Y1206">
        <v>1.2144338635527835E-2</v>
      </c>
      <c r="Z1206">
        <v>0</v>
      </c>
      <c r="AA1206" t="s">
        <v>178</v>
      </c>
      <c r="AB1206">
        <v>2.4288677271055669E-2</v>
      </c>
      <c r="AC1206">
        <v>0.23883865983204741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Q1206" t="s">
        <v>262</v>
      </c>
      <c r="AR1206" t="s">
        <v>263</v>
      </c>
      <c r="AS1206">
        <v>0.19546091752577319</v>
      </c>
    </row>
    <row r="1207" spans="1:45" x14ac:dyDescent="0.15">
      <c r="A1207" s="4" t="str">
        <f>HYPERLINK("https://ibp.a2mac1.com/costing(costing:projects/details/9760/material/8754671)","PP-EPDM-TD25")</f>
        <v>PP-EPDM-TD25</v>
      </c>
      <c r="B1207">
        <v>8754671</v>
      </c>
      <c r="C1207">
        <v>12085172</v>
      </c>
      <c r="E1207">
        <v>1.59324</v>
      </c>
      <c r="F1207" t="s">
        <v>8325</v>
      </c>
      <c r="G1207">
        <v>97</v>
      </c>
      <c r="H1207" t="s">
        <v>8326</v>
      </c>
      <c r="I1207">
        <v>5</v>
      </c>
      <c r="J1207">
        <v>1.2023671912820968</v>
      </c>
      <c r="K1207">
        <v>0</v>
      </c>
      <c r="M1207">
        <v>0</v>
      </c>
      <c r="O1207">
        <v>400000</v>
      </c>
      <c r="R1207" t="s">
        <v>162</v>
      </c>
      <c r="S1207">
        <v>1.0064513505154639E-3</v>
      </c>
      <c r="T1207">
        <v>8.1656752905154631E-3</v>
      </c>
      <c r="U1207" t="s">
        <v>176</v>
      </c>
      <c r="V1207">
        <v>2.3483864845360823E-2</v>
      </c>
      <c r="W1207">
        <v>0.70161065579567006</v>
      </c>
      <c r="X1207" t="s">
        <v>177</v>
      </c>
      <c r="Y1207">
        <v>4.2096639347740203E-2</v>
      </c>
      <c r="Z1207">
        <v>0</v>
      </c>
      <c r="AA1207" t="s">
        <v>178</v>
      </c>
      <c r="AB1207">
        <v>8.4193278695480406E-2</v>
      </c>
      <c r="AC1207">
        <v>0.82790057383889071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Q1207" t="s">
        <v>262</v>
      </c>
      <c r="AR1207" t="s">
        <v>263</v>
      </c>
      <c r="AS1207">
        <v>0.67096756701030924</v>
      </c>
    </row>
    <row r="1208" spans="1:45" x14ac:dyDescent="0.15">
      <c r="A1208" s="4" t="str">
        <f>HYPERLINK("https://ibp.a2mac1.com/costing(costing:projects/details/9760/material/8754668)","Paint - Base")</f>
        <v>Paint - Base</v>
      </c>
      <c r="B1208">
        <v>8754668</v>
      </c>
      <c r="C1208">
        <v>12085170</v>
      </c>
      <c r="E1208">
        <v>11.26986</v>
      </c>
      <c r="F1208" t="s">
        <v>3740</v>
      </c>
      <c r="G1208">
        <v>98</v>
      </c>
      <c r="H1208" t="s">
        <v>8273</v>
      </c>
      <c r="I1208">
        <v>0</v>
      </c>
      <c r="J1208">
        <v>1.0028412184570303</v>
      </c>
      <c r="K1208">
        <v>0</v>
      </c>
      <c r="L1208">
        <v>0</v>
      </c>
      <c r="M1208">
        <v>0</v>
      </c>
      <c r="O1208">
        <v>400000</v>
      </c>
      <c r="R1208" t="s">
        <v>162</v>
      </c>
      <c r="S1208">
        <v>0</v>
      </c>
      <c r="T1208">
        <v>1.7474032928571429E-3</v>
      </c>
      <c r="U1208" t="s">
        <v>176</v>
      </c>
      <c r="V1208">
        <v>6.0374249999999999E-3</v>
      </c>
      <c r="W1208">
        <v>0.1802826854357143</v>
      </c>
      <c r="X1208" t="s">
        <v>177</v>
      </c>
      <c r="Y1208">
        <v>1.0816961126142857E-2</v>
      </c>
      <c r="Z1208">
        <v>0</v>
      </c>
      <c r="AA1208" t="s">
        <v>178</v>
      </c>
      <c r="AB1208">
        <v>2.1633922252285713E-2</v>
      </c>
      <c r="AC1208">
        <v>0.21273356881414285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Q1208" t="s">
        <v>9</v>
      </c>
      <c r="AR1208" t="s">
        <v>263</v>
      </c>
      <c r="AS1208">
        <v>0.17249785714285715</v>
      </c>
    </row>
    <row r="1209" spans="1:45" x14ac:dyDescent="0.15">
      <c r="A1209" s="4" t="str">
        <f>HYPERLINK("https://ibp.a2mac1.com/costing(costing:projects/details/9760/material/8754669)","Paint - Primer")</f>
        <v>Paint - Primer</v>
      </c>
      <c r="B1209">
        <v>8754669</v>
      </c>
      <c r="C1209">
        <v>12085170</v>
      </c>
      <c r="E1209">
        <v>6.9600200000000001</v>
      </c>
      <c r="F1209" t="s">
        <v>3740</v>
      </c>
      <c r="G1209">
        <v>95</v>
      </c>
      <c r="H1209" t="s">
        <v>3741</v>
      </c>
      <c r="I1209">
        <v>0</v>
      </c>
      <c r="J1209">
        <v>1.0028412184570303</v>
      </c>
      <c r="K1209">
        <v>0</v>
      </c>
      <c r="L1209">
        <v>0</v>
      </c>
      <c r="M1209">
        <v>0</v>
      </c>
      <c r="O1209">
        <v>400000</v>
      </c>
      <c r="R1209" t="s">
        <v>162</v>
      </c>
      <c r="S1209">
        <v>0</v>
      </c>
      <c r="T1209">
        <v>1.1132368831578948E-3</v>
      </c>
      <c r="U1209" t="s">
        <v>176</v>
      </c>
      <c r="V1209">
        <v>3.8463268421052633E-3</v>
      </c>
      <c r="W1209">
        <v>0.1148546163568421</v>
      </c>
      <c r="X1209" t="s">
        <v>177</v>
      </c>
      <c r="Y1209">
        <v>6.8912769814105266E-3</v>
      </c>
      <c r="Z1209">
        <v>0</v>
      </c>
      <c r="AA1209" t="s">
        <v>178</v>
      </c>
      <c r="AB1209">
        <v>1.3782553962821053E-2</v>
      </c>
      <c r="AC1209">
        <v>0.13552844730107369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Q1209" t="s">
        <v>9</v>
      </c>
      <c r="AR1209" t="s">
        <v>263</v>
      </c>
      <c r="AS1209">
        <v>0.10989505263157895</v>
      </c>
    </row>
    <row r="1210" spans="1:45" x14ac:dyDescent="0.15">
      <c r="A1210" s="4" t="str">
        <f>HYPERLINK("https://ibp.a2mac1.com/costing(costing:projects/details/9760/material/8754670)","Paint - Clear Coat")</f>
        <v>Paint - Clear Coat</v>
      </c>
      <c r="B1210">
        <v>8754670</v>
      </c>
      <c r="C1210">
        <v>12085170</v>
      </c>
      <c r="E1210">
        <v>9.0699199999999998</v>
      </c>
      <c r="F1210" t="s">
        <v>3740</v>
      </c>
      <c r="G1210">
        <v>98</v>
      </c>
      <c r="H1210" t="s">
        <v>8273</v>
      </c>
      <c r="I1210">
        <v>0</v>
      </c>
      <c r="J1210">
        <v>1.0028412184570303</v>
      </c>
      <c r="K1210">
        <v>0</v>
      </c>
      <c r="L1210">
        <v>0</v>
      </c>
      <c r="M1210">
        <v>0</v>
      </c>
      <c r="O1210">
        <v>400000</v>
      </c>
      <c r="R1210" t="s">
        <v>162</v>
      </c>
      <c r="S1210">
        <v>0</v>
      </c>
      <c r="T1210">
        <v>1.4063003510204081E-3</v>
      </c>
      <c r="U1210" t="s">
        <v>176</v>
      </c>
      <c r="V1210">
        <v>4.8588857142857142E-3</v>
      </c>
      <c r="W1210">
        <v>0.1450904921877551</v>
      </c>
      <c r="X1210" t="s">
        <v>177</v>
      </c>
      <c r="Y1210">
        <v>8.7054295312653067E-3</v>
      </c>
      <c r="Z1210">
        <v>0</v>
      </c>
      <c r="AA1210" t="s">
        <v>178</v>
      </c>
      <c r="AB1210">
        <v>1.7410859062530613E-2</v>
      </c>
      <c r="AC1210">
        <v>0.17120678078155102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Q1210" t="s">
        <v>9</v>
      </c>
      <c r="AR1210" t="s">
        <v>263</v>
      </c>
      <c r="AS1210">
        <v>0.13882530612244898</v>
      </c>
    </row>
    <row r="1211" spans="1:45" x14ac:dyDescent="0.15">
      <c r="A1211" s="4" t="str">
        <f>HYPERLINK("https://ibp.a2mac1.com/costing(costing:projects/details/9760/material/8754672)","PP-GF20")</f>
        <v>PP-GF20</v>
      </c>
      <c r="B1211">
        <v>8754672</v>
      </c>
      <c r="C1211">
        <v>12085173</v>
      </c>
      <c r="E1211">
        <v>1.3471</v>
      </c>
      <c r="F1211" t="s">
        <v>8333</v>
      </c>
      <c r="G1211">
        <v>97</v>
      </c>
      <c r="H1211" t="s">
        <v>8334</v>
      </c>
      <c r="I1211">
        <v>30</v>
      </c>
      <c r="J1211">
        <v>0.20258874484795864</v>
      </c>
      <c r="K1211">
        <v>0</v>
      </c>
      <c r="M1211">
        <v>0</v>
      </c>
      <c r="O1211">
        <v>400000</v>
      </c>
      <c r="R1211" t="s">
        <v>162</v>
      </c>
      <c r="S1211">
        <v>1.7435918041237113E-3</v>
      </c>
      <c r="T1211">
        <v>3.9327681804123709E-4</v>
      </c>
      <c r="U1211" t="s">
        <v>176</v>
      </c>
      <c r="V1211">
        <v>6.7806347938144333E-3</v>
      </c>
      <c r="W1211">
        <v>0.19916274248814433</v>
      </c>
      <c r="X1211" t="s">
        <v>177</v>
      </c>
      <c r="Y1211">
        <v>1.194976454928866E-2</v>
      </c>
      <c r="Z1211">
        <v>0</v>
      </c>
      <c r="AA1211" t="s">
        <v>178</v>
      </c>
      <c r="AB1211">
        <v>2.3899529098577319E-2</v>
      </c>
      <c r="AC1211">
        <v>0.23501203613601032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Q1211" t="s">
        <v>262</v>
      </c>
      <c r="AR1211" t="s">
        <v>263</v>
      </c>
      <c r="AS1211">
        <v>0.19373242268041238</v>
      </c>
    </row>
    <row r="1212" spans="1:45" x14ac:dyDescent="0.15">
      <c r="A1212" s="4" t="str">
        <f>HYPERLINK("https://ibp.a2mac1.com/costing(costing:projects/details/9760/material/8755438)","PP-EPDM-MD35-TD20")</f>
        <v>PP-EPDM-MD35-TD20</v>
      </c>
      <c r="B1212">
        <v>8755438</v>
      </c>
      <c r="C1212">
        <v>12085806</v>
      </c>
      <c r="E1212">
        <v>1.07117</v>
      </c>
      <c r="F1212" t="s">
        <v>8349</v>
      </c>
      <c r="G1212">
        <v>95</v>
      </c>
      <c r="H1212" t="s">
        <v>8350</v>
      </c>
      <c r="I1212">
        <v>5</v>
      </c>
      <c r="J1212">
        <v>0.50345253019720215</v>
      </c>
      <c r="K1212">
        <v>0</v>
      </c>
      <c r="L1212">
        <v>0</v>
      </c>
      <c r="M1212">
        <v>0</v>
      </c>
      <c r="O1212">
        <v>200000</v>
      </c>
      <c r="R1212" t="s">
        <v>162</v>
      </c>
      <c r="S1212">
        <v>3.5545930789473686E-3</v>
      </c>
      <c r="T1212">
        <v>7.194496391789474E-3</v>
      </c>
      <c r="U1212" t="s">
        <v>176</v>
      </c>
      <c r="V1212">
        <v>4.9764303105263155E-2</v>
      </c>
      <c r="W1212">
        <v>1.4752414379970527</v>
      </c>
      <c r="X1212" t="s">
        <v>90</v>
      </c>
      <c r="Y1212">
        <v>0</v>
      </c>
      <c r="Z1212">
        <v>0</v>
      </c>
      <c r="AA1212" t="s">
        <v>90</v>
      </c>
      <c r="AB1212">
        <v>0</v>
      </c>
      <c r="AC1212">
        <v>1.4752414379970527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P1212" t="s">
        <v>5284</v>
      </c>
      <c r="AQ1212" t="s">
        <v>262</v>
      </c>
      <c r="AR1212" t="s">
        <v>263</v>
      </c>
      <c r="AS1212">
        <v>1.4218372315789474</v>
      </c>
    </row>
    <row r="1213" spans="1:45" x14ac:dyDescent="0.15">
      <c r="A1213" s="4" t="str">
        <f>HYPERLINK("https://ibp.a2mac1.com/costing(costing:projects/details/9760/material/8755439)","PMMA-ASA")</f>
        <v>PMMA-ASA</v>
      </c>
      <c r="B1213">
        <v>8755439</v>
      </c>
      <c r="C1213">
        <v>12085807</v>
      </c>
      <c r="E1213">
        <v>2.6603300000000001</v>
      </c>
      <c r="F1213" t="s">
        <v>8354</v>
      </c>
      <c r="G1213">
        <v>95</v>
      </c>
      <c r="H1213" t="s">
        <v>8355</v>
      </c>
      <c r="I1213">
        <v>5</v>
      </c>
      <c r="J1213">
        <v>0.50345253019720215</v>
      </c>
      <c r="K1213">
        <v>0</v>
      </c>
      <c r="M1213">
        <v>0</v>
      </c>
      <c r="O1213">
        <v>200000</v>
      </c>
      <c r="R1213" t="s">
        <v>162</v>
      </c>
      <c r="S1213">
        <v>5.1106339473684214E-4</v>
      </c>
      <c r="T1213">
        <v>1.0343923109473684E-3</v>
      </c>
      <c r="U1213" t="s">
        <v>176</v>
      </c>
      <c r="V1213">
        <v>7.1548875263157891E-3</v>
      </c>
      <c r="W1213">
        <v>0.21210357433726315</v>
      </c>
      <c r="X1213" t="s">
        <v>90</v>
      </c>
      <c r="Y1213">
        <v>0</v>
      </c>
      <c r="Z1213">
        <v>0</v>
      </c>
      <c r="AA1213" t="s">
        <v>90</v>
      </c>
      <c r="AB1213">
        <v>0</v>
      </c>
      <c r="AC1213">
        <v>0.21210357433726315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Q1213" t="s">
        <v>262</v>
      </c>
      <c r="AR1213" t="s">
        <v>263</v>
      </c>
      <c r="AS1213">
        <v>0.20442535789473684</v>
      </c>
    </row>
    <row r="1214" spans="1:45" x14ac:dyDescent="0.15">
      <c r="A1214" s="4" t="str">
        <f>HYPERLINK("https://ibp.a2mac1.com/costing(costing:projects/details/9760/material/8755440)","PMMA-ASA")</f>
        <v>PMMA-ASA</v>
      </c>
      <c r="B1214">
        <v>8755440</v>
      </c>
      <c r="C1214">
        <v>12085808</v>
      </c>
      <c r="E1214">
        <v>2.6603300000000001</v>
      </c>
      <c r="F1214" t="s">
        <v>8354</v>
      </c>
      <c r="G1214">
        <v>95</v>
      </c>
      <c r="H1214" t="s">
        <v>8355</v>
      </c>
      <c r="I1214">
        <v>5</v>
      </c>
      <c r="J1214">
        <v>0.50345253019720215</v>
      </c>
      <c r="K1214">
        <v>0</v>
      </c>
      <c r="M1214">
        <v>0</v>
      </c>
      <c r="O1214">
        <v>200000</v>
      </c>
      <c r="R1214" t="s">
        <v>162</v>
      </c>
      <c r="S1214">
        <v>5.1106339473684214E-4</v>
      </c>
      <c r="T1214">
        <v>1.0343923109473684E-3</v>
      </c>
      <c r="U1214" t="s">
        <v>176</v>
      </c>
      <c r="V1214">
        <v>7.1548875263157891E-3</v>
      </c>
      <c r="W1214">
        <v>0.21210357433726315</v>
      </c>
      <c r="X1214" t="s">
        <v>90</v>
      </c>
      <c r="Y1214">
        <v>0</v>
      </c>
      <c r="Z1214">
        <v>0</v>
      </c>
      <c r="AA1214" t="s">
        <v>90</v>
      </c>
      <c r="AB1214">
        <v>0</v>
      </c>
      <c r="AC1214">
        <v>0.21210357433726315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Q1214" t="s">
        <v>262</v>
      </c>
      <c r="AR1214" t="s">
        <v>263</v>
      </c>
      <c r="AS1214">
        <v>0.20442535789473684</v>
      </c>
    </row>
    <row r="1215" spans="1:45" x14ac:dyDescent="0.15">
      <c r="A1215" s="4" t="str">
        <f>HYPERLINK("https://ibp.a2mac1.com/costing(costing:projects/details/9760/material/8755441)","PP-EPDM-MD35-TD20")</f>
        <v>PP-EPDM-MD35-TD20</v>
      </c>
      <c r="B1215">
        <v>8755441</v>
      </c>
      <c r="C1215">
        <v>12085809</v>
      </c>
      <c r="E1215">
        <v>1.07117</v>
      </c>
      <c r="F1215" t="s">
        <v>4999</v>
      </c>
      <c r="G1215">
        <v>95</v>
      </c>
      <c r="H1215" t="s">
        <v>8362</v>
      </c>
      <c r="I1215">
        <v>5</v>
      </c>
      <c r="J1215">
        <v>0.50345253019720215</v>
      </c>
      <c r="K1215">
        <v>0</v>
      </c>
      <c r="L1215">
        <v>0</v>
      </c>
      <c r="M1215">
        <v>0</v>
      </c>
      <c r="O1215">
        <v>200000</v>
      </c>
      <c r="R1215" t="s">
        <v>162</v>
      </c>
      <c r="S1215">
        <v>2.4524155263157895E-4</v>
      </c>
      <c r="T1215">
        <v>4.963689025263158E-4</v>
      </c>
      <c r="U1215" t="s">
        <v>176</v>
      </c>
      <c r="V1215">
        <v>3.4333817368421052E-3</v>
      </c>
      <c r="W1215">
        <v>0.10178113013936842</v>
      </c>
      <c r="X1215" t="s">
        <v>90</v>
      </c>
      <c r="Y1215">
        <v>0</v>
      </c>
      <c r="Z1215">
        <v>0</v>
      </c>
      <c r="AA1215" t="s">
        <v>90</v>
      </c>
      <c r="AB1215">
        <v>0</v>
      </c>
      <c r="AC1215">
        <v>0.10178113013936842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P1215" t="s">
        <v>5284</v>
      </c>
      <c r="AQ1215" t="s">
        <v>262</v>
      </c>
      <c r="AR1215" t="s">
        <v>263</v>
      </c>
      <c r="AS1215">
        <v>9.8096621052631575E-2</v>
      </c>
    </row>
    <row r="1216" spans="1:45" x14ac:dyDescent="0.15">
      <c r="A1216" s="4" t="str">
        <f>HYPERLINK("https://ibp.a2mac1.com/costing(costing:projects/details/9760/material/8755442)","PP-EPDM-MD35-TD20")</f>
        <v>PP-EPDM-MD35-TD20</v>
      </c>
      <c r="B1216">
        <v>8755442</v>
      </c>
      <c r="C1216">
        <v>12085810</v>
      </c>
      <c r="E1216">
        <v>1.07117</v>
      </c>
      <c r="F1216" t="s">
        <v>6038</v>
      </c>
      <c r="G1216">
        <v>95</v>
      </c>
      <c r="H1216" t="s">
        <v>6039</v>
      </c>
      <c r="I1216">
        <v>5</v>
      </c>
      <c r="J1216">
        <v>0.50345253019720215</v>
      </c>
      <c r="K1216">
        <v>0</v>
      </c>
      <c r="L1216">
        <v>0</v>
      </c>
      <c r="M1216">
        <v>0</v>
      </c>
      <c r="O1216">
        <v>200000</v>
      </c>
      <c r="R1216" t="s">
        <v>162</v>
      </c>
      <c r="S1216">
        <v>2.4242268421052632E-4</v>
      </c>
      <c r="T1216">
        <v>4.9066351284210528E-4</v>
      </c>
      <c r="U1216" t="s">
        <v>176</v>
      </c>
      <c r="V1216">
        <v>3.3939175789473685E-3</v>
      </c>
      <c r="W1216">
        <v>0.10061123209178947</v>
      </c>
      <c r="X1216" t="s">
        <v>90</v>
      </c>
      <c r="Y1216">
        <v>0</v>
      </c>
      <c r="Z1216">
        <v>0</v>
      </c>
      <c r="AA1216" t="s">
        <v>90</v>
      </c>
      <c r="AB1216">
        <v>0</v>
      </c>
      <c r="AC1216">
        <v>0.10061123209178947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P1216" t="s">
        <v>5284</v>
      </c>
      <c r="AQ1216" t="s">
        <v>262</v>
      </c>
      <c r="AR1216" t="s">
        <v>263</v>
      </c>
      <c r="AS1216">
        <v>9.6969073684210524E-2</v>
      </c>
    </row>
    <row r="1217" spans="1:45" x14ac:dyDescent="0.15">
      <c r="A1217" s="4" t="str">
        <f>HYPERLINK("https://ibp.a2mac1.com/costing(costing:projects/details/9760/material/8755443)","PP")</f>
        <v>PP</v>
      </c>
      <c r="B1217">
        <v>8755443</v>
      </c>
      <c r="C1217">
        <v>12085811</v>
      </c>
      <c r="E1217">
        <v>1.0113799999999999</v>
      </c>
      <c r="F1217" t="s">
        <v>4243</v>
      </c>
      <c r="G1217">
        <v>95</v>
      </c>
      <c r="H1217" t="s">
        <v>4244</v>
      </c>
      <c r="I1217">
        <v>5</v>
      </c>
      <c r="J1217">
        <v>0.50345253019720215</v>
      </c>
      <c r="K1217">
        <v>0</v>
      </c>
      <c r="L1217">
        <v>0</v>
      </c>
      <c r="M1217">
        <v>0</v>
      </c>
      <c r="O1217">
        <v>200000</v>
      </c>
      <c r="R1217" t="s">
        <v>162</v>
      </c>
      <c r="S1217">
        <v>1.3839936842105263E-4</v>
      </c>
      <c r="T1217">
        <v>2.8012032168421054E-4</v>
      </c>
      <c r="U1217" t="s">
        <v>176</v>
      </c>
      <c r="V1217">
        <v>1.9375911578947368E-3</v>
      </c>
      <c r="W1217">
        <v>5.7439059479578947E-2</v>
      </c>
      <c r="X1217" t="s">
        <v>90</v>
      </c>
      <c r="Y1217">
        <v>0</v>
      </c>
      <c r="Z1217">
        <v>0</v>
      </c>
      <c r="AA1217" t="s">
        <v>90</v>
      </c>
      <c r="AB1217">
        <v>0</v>
      </c>
      <c r="AC1217">
        <v>5.7439059479578947E-2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Q1217" t="s">
        <v>262</v>
      </c>
      <c r="AR1217" t="s">
        <v>263</v>
      </c>
      <c r="AS1217">
        <v>5.5359747368421051E-2</v>
      </c>
    </row>
    <row r="1218" spans="1:45" x14ac:dyDescent="0.15">
      <c r="A1218" s="4" t="str">
        <f>HYPERLINK("https://ibp.a2mac1.com/costing(costing:projects/details/9760/material/8755444)","PP")</f>
        <v>PP</v>
      </c>
      <c r="B1218">
        <v>8755444</v>
      </c>
      <c r="C1218">
        <v>12085812</v>
      </c>
      <c r="E1218">
        <v>1.0113799999999999</v>
      </c>
      <c r="F1218" t="s">
        <v>4243</v>
      </c>
      <c r="G1218">
        <v>95</v>
      </c>
      <c r="H1218" t="s">
        <v>4244</v>
      </c>
      <c r="I1218">
        <v>5</v>
      </c>
      <c r="J1218">
        <v>0.50345253019720215</v>
      </c>
      <c r="K1218">
        <v>0</v>
      </c>
      <c r="M1218">
        <v>0</v>
      </c>
      <c r="O1218">
        <v>200000</v>
      </c>
      <c r="R1218" t="s">
        <v>162</v>
      </c>
      <c r="S1218">
        <v>1.3839936842105263E-4</v>
      </c>
      <c r="T1218">
        <v>2.8012032168421054E-4</v>
      </c>
      <c r="U1218" t="s">
        <v>176</v>
      </c>
      <c r="V1218">
        <v>1.9375911578947368E-3</v>
      </c>
      <c r="W1218">
        <v>5.7439059479578947E-2</v>
      </c>
      <c r="X1218" t="s">
        <v>90</v>
      </c>
      <c r="Y1218">
        <v>0</v>
      </c>
      <c r="Z1218">
        <v>0</v>
      </c>
      <c r="AA1218" t="s">
        <v>90</v>
      </c>
      <c r="AB1218">
        <v>0</v>
      </c>
      <c r="AC1218">
        <v>5.7439059479578947E-2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Q1218" t="s">
        <v>262</v>
      </c>
      <c r="AR1218" t="s">
        <v>263</v>
      </c>
      <c r="AS1218">
        <v>5.5359747368421051E-2</v>
      </c>
    </row>
    <row r="1219" spans="1:45" x14ac:dyDescent="0.15">
      <c r="A1219" s="4" t="str">
        <f>HYPERLINK("https://ibp.a2mac1.com/costing(costing:projects/details/9760/material/8755445)","PP-EPDM-MD35-TD20")</f>
        <v>PP-EPDM-MD35-TD20</v>
      </c>
      <c r="B1219">
        <v>8755445</v>
      </c>
      <c r="C1219">
        <v>12085813</v>
      </c>
      <c r="E1219">
        <v>1.07117</v>
      </c>
      <c r="F1219" t="s">
        <v>6217</v>
      </c>
      <c r="G1219">
        <v>95</v>
      </c>
      <c r="H1219" t="s">
        <v>8379</v>
      </c>
      <c r="I1219">
        <v>5</v>
      </c>
      <c r="J1219">
        <v>0.50345253019720215</v>
      </c>
      <c r="K1219">
        <v>0</v>
      </c>
      <c r="L1219">
        <v>0</v>
      </c>
      <c r="M1219">
        <v>0</v>
      </c>
      <c r="O1219">
        <v>200000</v>
      </c>
      <c r="R1219" t="s">
        <v>162</v>
      </c>
      <c r="S1219">
        <v>6.4833973684210524E-5</v>
      </c>
      <c r="T1219">
        <v>1.312239627368421E-4</v>
      </c>
      <c r="U1219" t="s">
        <v>176</v>
      </c>
      <c r="V1219">
        <v>9.0767563157894738E-4</v>
      </c>
      <c r="W1219">
        <v>2.690765509431579E-2</v>
      </c>
      <c r="X1219" t="s">
        <v>90</v>
      </c>
      <c r="Y1219">
        <v>0</v>
      </c>
      <c r="Z1219">
        <v>0</v>
      </c>
      <c r="AA1219" t="s">
        <v>90</v>
      </c>
      <c r="AB1219">
        <v>0</v>
      </c>
      <c r="AC1219">
        <v>2.690765509431579E-2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P1219" t="s">
        <v>5284</v>
      </c>
      <c r="AQ1219" t="s">
        <v>262</v>
      </c>
      <c r="AR1219" t="s">
        <v>263</v>
      </c>
      <c r="AS1219">
        <v>2.593358947368421E-2</v>
      </c>
    </row>
    <row r="1220" spans="1:45" x14ac:dyDescent="0.15">
      <c r="A1220" s="4" t="str">
        <f>HYPERLINK("https://ibp.a2mac1.com/costing(costing:projects/details/9760/material/8755446)","PP-EPDM-MD35-TD20")</f>
        <v>PP-EPDM-MD35-TD20</v>
      </c>
      <c r="B1220">
        <v>8755446</v>
      </c>
      <c r="C1220">
        <v>12085814</v>
      </c>
      <c r="E1220">
        <v>1.07117</v>
      </c>
      <c r="F1220" t="s">
        <v>6217</v>
      </c>
      <c r="G1220">
        <v>95</v>
      </c>
      <c r="H1220" t="s">
        <v>8379</v>
      </c>
      <c r="I1220">
        <v>5</v>
      </c>
      <c r="J1220">
        <v>0.50345253019720215</v>
      </c>
      <c r="K1220">
        <v>0</v>
      </c>
      <c r="L1220">
        <v>0</v>
      </c>
      <c r="M1220">
        <v>0</v>
      </c>
      <c r="O1220">
        <v>200000</v>
      </c>
      <c r="R1220" t="s">
        <v>162</v>
      </c>
      <c r="S1220">
        <v>6.4833973684210524E-5</v>
      </c>
      <c r="T1220">
        <v>1.312239627368421E-4</v>
      </c>
      <c r="U1220" t="s">
        <v>176</v>
      </c>
      <c r="V1220">
        <v>9.0767563157894738E-4</v>
      </c>
      <c r="W1220">
        <v>2.690765509431579E-2</v>
      </c>
      <c r="X1220" t="s">
        <v>90</v>
      </c>
      <c r="Y1220">
        <v>0</v>
      </c>
      <c r="Z1220">
        <v>0</v>
      </c>
      <c r="AA1220" t="s">
        <v>90</v>
      </c>
      <c r="AB1220">
        <v>0</v>
      </c>
      <c r="AC1220">
        <v>2.690765509431579E-2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P1220" t="s">
        <v>5284</v>
      </c>
      <c r="AQ1220" t="s">
        <v>262</v>
      </c>
      <c r="AR1220" t="s">
        <v>263</v>
      </c>
      <c r="AS1220">
        <v>2.593358947368421E-2</v>
      </c>
    </row>
    <row r="1221" spans="1:45" x14ac:dyDescent="0.15">
      <c r="A1221" s="4" t="str">
        <f>HYPERLINK("https://ibp.a2mac1.com/costing(costing:projects/details/9760/material/8755447)","PP")</f>
        <v>PP</v>
      </c>
      <c r="B1221">
        <v>8755447</v>
      </c>
      <c r="C1221">
        <v>12085815</v>
      </c>
      <c r="E1221">
        <v>1.0113799999999999</v>
      </c>
      <c r="F1221" t="s">
        <v>8388</v>
      </c>
      <c r="G1221">
        <v>95</v>
      </c>
      <c r="H1221" t="s">
        <v>8389</v>
      </c>
      <c r="I1221">
        <v>5</v>
      </c>
      <c r="J1221">
        <v>0.50345253019720215</v>
      </c>
      <c r="K1221">
        <v>0</v>
      </c>
      <c r="M1221">
        <v>0</v>
      </c>
      <c r="O1221">
        <v>200000</v>
      </c>
      <c r="R1221" t="s">
        <v>162</v>
      </c>
      <c r="S1221">
        <v>7.2393515789473688E-4</v>
      </c>
      <c r="T1221">
        <v>1.4652447595789474E-3</v>
      </c>
      <c r="U1221" t="s">
        <v>176</v>
      </c>
      <c r="V1221">
        <v>1.0135092210526315E-2</v>
      </c>
      <c r="W1221">
        <v>0.30045046497010525</v>
      </c>
      <c r="X1221" t="s">
        <v>90</v>
      </c>
      <c r="Y1221">
        <v>0</v>
      </c>
      <c r="Z1221">
        <v>0</v>
      </c>
      <c r="AA1221" t="s">
        <v>90</v>
      </c>
      <c r="AB1221">
        <v>0</v>
      </c>
      <c r="AC1221">
        <v>0.30045046497010525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Q1221" t="s">
        <v>262</v>
      </c>
      <c r="AR1221" t="s">
        <v>263</v>
      </c>
      <c r="AS1221">
        <v>0.28957406315789475</v>
      </c>
    </row>
    <row r="1222" spans="1:45" x14ac:dyDescent="0.15">
      <c r="A1222" s="4" t="str">
        <f>HYPERLINK("https://ibp.a2mac1.com/costing(costing:projects/details/9760/material/8755448)","PP-EPDM-MD35-TD20")</f>
        <v>PP-EPDM-MD35-TD20</v>
      </c>
      <c r="B1222">
        <v>8755448</v>
      </c>
      <c r="C1222">
        <v>12085816</v>
      </c>
      <c r="E1222">
        <v>1.07117</v>
      </c>
      <c r="F1222" t="s">
        <v>8393</v>
      </c>
      <c r="G1222">
        <v>95</v>
      </c>
      <c r="H1222" t="s">
        <v>8394</v>
      </c>
      <c r="I1222">
        <v>5</v>
      </c>
      <c r="J1222">
        <v>0.50345253019720215</v>
      </c>
      <c r="K1222">
        <v>0</v>
      </c>
      <c r="L1222">
        <v>0</v>
      </c>
      <c r="M1222">
        <v>0</v>
      </c>
      <c r="O1222">
        <v>200000</v>
      </c>
      <c r="R1222" t="s">
        <v>162</v>
      </c>
      <c r="S1222">
        <v>5.0739631578947369E-4</v>
      </c>
      <c r="T1222">
        <v>1.0269701431578947E-3</v>
      </c>
      <c r="U1222" t="s">
        <v>176</v>
      </c>
      <c r="V1222">
        <v>7.1035484210526315E-3</v>
      </c>
      <c r="W1222">
        <v>0.21058164856421052</v>
      </c>
      <c r="X1222" t="s">
        <v>90</v>
      </c>
      <c r="Y1222">
        <v>0</v>
      </c>
      <c r="Z1222">
        <v>0</v>
      </c>
      <c r="AA1222" t="s">
        <v>90</v>
      </c>
      <c r="AB1222">
        <v>0</v>
      </c>
      <c r="AC1222">
        <v>0.21058164856421052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P1222" t="s">
        <v>5284</v>
      </c>
      <c r="AQ1222" t="s">
        <v>262</v>
      </c>
      <c r="AR1222" t="s">
        <v>263</v>
      </c>
      <c r="AS1222">
        <v>0.20295852631578948</v>
      </c>
    </row>
    <row r="1223" spans="1:45" x14ac:dyDescent="0.15">
      <c r="A1223" s="4" t="str">
        <f>HYPERLINK("https://ibp.a2mac1.com/costing(costing:projects/details/9760/material/8755449)","PP")</f>
        <v>PP</v>
      </c>
      <c r="B1223">
        <v>8755449</v>
      </c>
      <c r="C1223">
        <v>12085817</v>
      </c>
      <c r="E1223">
        <v>1.0113799999999999</v>
      </c>
      <c r="F1223" t="s">
        <v>8398</v>
      </c>
      <c r="G1223">
        <v>95</v>
      </c>
      <c r="H1223" t="s">
        <v>8399</v>
      </c>
      <c r="I1223">
        <v>5</v>
      </c>
      <c r="J1223">
        <v>0.50345253019720215</v>
      </c>
      <c r="K1223">
        <v>0</v>
      </c>
      <c r="M1223">
        <v>0</v>
      </c>
      <c r="O1223">
        <v>200000</v>
      </c>
      <c r="R1223" t="s">
        <v>162</v>
      </c>
      <c r="S1223">
        <v>7.2127363157894738E-4</v>
      </c>
      <c r="T1223">
        <v>1.4598578303157894E-3</v>
      </c>
      <c r="U1223" t="s">
        <v>176</v>
      </c>
      <c r="V1223">
        <v>1.0097830842105263E-2</v>
      </c>
      <c r="W1223">
        <v>0.29934586767242105</v>
      </c>
      <c r="X1223" t="s">
        <v>90</v>
      </c>
      <c r="Y1223">
        <v>0</v>
      </c>
      <c r="Z1223">
        <v>0</v>
      </c>
      <c r="AA1223" t="s">
        <v>90</v>
      </c>
      <c r="AB1223">
        <v>0</v>
      </c>
      <c r="AC1223">
        <v>0.29934586767242105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Q1223" t="s">
        <v>262</v>
      </c>
      <c r="AR1223" t="s">
        <v>263</v>
      </c>
      <c r="AS1223">
        <v>0.28850945263157896</v>
      </c>
    </row>
    <row r="1224" spans="1:45" x14ac:dyDescent="0.15">
      <c r="A1224" s="4" t="str">
        <f>HYPERLINK("https://ibp.a2mac1.com/costing(costing:projects/details/9760/material/8755450)","PP-EPDM-MD35-TD20")</f>
        <v>PP-EPDM-MD35-TD20</v>
      </c>
      <c r="B1224">
        <v>8755450</v>
      </c>
      <c r="C1224">
        <v>12085818</v>
      </c>
      <c r="E1224">
        <v>1.07117</v>
      </c>
      <c r="F1224" t="s">
        <v>8393</v>
      </c>
      <c r="G1224">
        <v>95</v>
      </c>
      <c r="H1224" t="s">
        <v>8394</v>
      </c>
      <c r="I1224">
        <v>5</v>
      </c>
      <c r="J1224">
        <v>0.50345253019720215</v>
      </c>
      <c r="K1224">
        <v>0</v>
      </c>
      <c r="L1224">
        <v>0</v>
      </c>
      <c r="M1224">
        <v>0</v>
      </c>
      <c r="O1224">
        <v>200000</v>
      </c>
      <c r="R1224" t="s">
        <v>162</v>
      </c>
      <c r="S1224">
        <v>5.0739631578947369E-4</v>
      </c>
      <c r="T1224">
        <v>1.0269701431578947E-3</v>
      </c>
      <c r="U1224" t="s">
        <v>176</v>
      </c>
      <c r="V1224">
        <v>7.1035484210526315E-3</v>
      </c>
      <c r="W1224">
        <v>0.21058164856421052</v>
      </c>
      <c r="X1224" t="s">
        <v>90</v>
      </c>
      <c r="Y1224">
        <v>0</v>
      </c>
      <c r="Z1224">
        <v>0</v>
      </c>
      <c r="AA1224" t="s">
        <v>90</v>
      </c>
      <c r="AB1224">
        <v>0</v>
      </c>
      <c r="AC1224">
        <v>0.21058164856421052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P1224" t="s">
        <v>5284</v>
      </c>
      <c r="AQ1224" t="s">
        <v>262</v>
      </c>
      <c r="AR1224" t="s">
        <v>263</v>
      </c>
      <c r="AS1224">
        <v>0.20295852631578948</v>
      </c>
    </row>
    <row r="1225" spans="1:45" x14ac:dyDescent="0.15">
      <c r="A1225" s="4" t="str">
        <f>HYPERLINK("https://ibp.a2mac1.com/costing(costing:projects/details/9760/material/8755065)","PP-EPDM-MD35-TD20")</f>
        <v>PP-EPDM-MD35-TD20</v>
      </c>
      <c r="B1225">
        <v>8755065</v>
      </c>
      <c r="C1225">
        <v>12085396</v>
      </c>
      <c r="E1225">
        <v>1.07117</v>
      </c>
      <c r="F1225" t="s">
        <v>8407</v>
      </c>
      <c r="G1225">
        <v>95</v>
      </c>
      <c r="H1225" t="s">
        <v>8408</v>
      </c>
      <c r="I1225">
        <v>5</v>
      </c>
      <c r="J1225">
        <v>0.50345253019720215</v>
      </c>
      <c r="K1225">
        <v>0</v>
      </c>
      <c r="L1225">
        <v>0</v>
      </c>
      <c r="M1225">
        <v>0</v>
      </c>
      <c r="O1225">
        <v>200000</v>
      </c>
      <c r="R1225" t="s">
        <v>162</v>
      </c>
      <c r="S1225">
        <v>8.3353939210526317E-3</v>
      </c>
      <c r="T1225">
        <v>1.6870837296210528E-2</v>
      </c>
      <c r="U1225" t="s">
        <v>176</v>
      </c>
      <c r="V1225">
        <v>0.11669551489473684</v>
      </c>
      <c r="W1225">
        <v>3.4593885266909474</v>
      </c>
      <c r="X1225" t="s">
        <v>90</v>
      </c>
      <c r="Y1225">
        <v>0</v>
      </c>
      <c r="Z1225">
        <v>0</v>
      </c>
      <c r="AA1225" t="s">
        <v>90</v>
      </c>
      <c r="AB1225">
        <v>0</v>
      </c>
      <c r="AC1225">
        <v>3.4593885266909474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P1225" t="s">
        <v>5284</v>
      </c>
      <c r="AQ1225" t="s">
        <v>262</v>
      </c>
      <c r="AR1225" t="s">
        <v>263</v>
      </c>
      <c r="AS1225">
        <v>3.3341575684210527</v>
      </c>
    </row>
    <row r="1226" spans="1:45" x14ac:dyDescent="0.15">
      <c r="A1226" s="4" t="str">
        <f>HYPERLINK("https://ibp.a2mac1.com/costing(costing:projects/details/9760/material/8755066)","PP-EPDM-MD35-TD20")</f>
        <v>PP-EPDM-MD35-TD20</v>
      </c>
      <c r="B1226">
        <v>8755066</v>
      </c>
      <c r="C1226">
        <v>12085397</v>
      </c>
      <c r="E1226">
        <v>1.07117</v>
      </c>
      <c r="F1226" t="s">
        <v>8412</v>
      </c>
      <c r="G1226">
        <v>95</v>
      </c>
      <c r="H1226" t="s">
        <v>8413</v>
      </c>
      <c r="I1226">
        <v>5</v>
      </c>
      <c r="J1226">
        <v>0.50345253019720215</v>
      </c>
      <c r="K1226">
        <v>0</v>
      </c>
      <c r="L1226">
        <v>0</v>
      </c>
      <c r="M1226">
        <v>0</v>
      </c>
      <c r="O1226">
        <v>200000</v>
      </c>
      <c r="R1226" t="s">
        <v>162</v>
      </c>
      <c r="S1226">
        <v>3.9830610789473682E-3</v>
      </c>
      <c r="T1226">
        <v>8.0617156237894737E-3</v>
      </c>
      <c r="U1226" t="s">
        <v>176</v>
      </c>
      <c r="V1226">
        <v>5.5762855105263159E-2</v>
      </c>
      <c r="W1226">
        <v>1.6530659412290527</v>
      </c>
      <c r="X1226" t="s">
        <v>177</v>
      </c>
      <c r="Y1226">
        <v>9.9183956473743159E-2</v>
      </c>
      <c r="Z1226">
        <v>0</v>
      </c>
      <c r="AA1226" t="s">
        <v>178</v>
      </c>
      <c r="AB1226">
        <v>0.19836791294748632</v>
      </c>
      <c r="AC1226">
        <v>1.9506178106502821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P1226" t="s">
        <v>5284</v>
      </c>
      <c r="AQ1226" t="s">
        <v>262</v>
      </c>
      <c r="AR1226" t="s">
        <v>263</v>
      </c>
      <c r="AS1226">
        <v>1.5932244315789474</v>
      </c>
    </row>
    <row r="1227" spans="1:45" x14ac:dyDescent="0.15">
      <c r="A1227" s="4" t="str">
        <f>HYPERLINK("https://ibp.a2mac1.com/costing(costing:projects/details/9760/material/8755067)","PP-EPDM-MD35-TD20")</f>
        <v>PP-EPDM-MD35-TD20</v>
      </c>
      <c r="B1227">
        <v>8755067</v>
      </c>
      <c r="C1227">
        <v>12085398</v>
      </c>
      <c r="E1227">
        <v>1.07117</v>
      </c>
      <c r="F1227" t="s">
        <v>3487</v>
      </c>
      <c r="G1227">
        <v>95</v>
      </c>
      <c r="H1227" t="s">
        <v>8417</v>
      </c>
      <c r="I1227">
        <v>5</v>
      </c>
      <c r="J1227">
        <v>0.50345253019720215</v>
      </c>
      <c r="K1227">
        <v>0</v>
      </c>
      <c r="L1227">
        <v>0</v>
      </c>
      <c r="M1227">
        <v>0</v>
      </c>
      <c r="O1227">
        <v>200000</v>
      </c>
      <c r="R1227" t="s">
        <v>162</v>
      </c>
      <c r="S1227">
        <v>6.0605671052631584E-4</v>
      </c>
      <c r="T1227">
        <v>1.2266587821052632E-3</v>
      </c>
      <c r="U1227" t="s">
        <v>176</v>
      </c>
      <c r="V1227">
        <v>8.4847939473684207E-3</v>
      </c>
      <c r="W1227">
        <v>0.25152808022947371</v>
      </c>
      <c r="X1227" t="s">
        <v>177</v>
      </c>
      <c r="Y1227">
        <v>1.5091684813768422E-2</v>
      </c>
      <c r="Z1227">
        <v>0</v>
      </c>
      <c r="AA1227" t="s">
        <v>178</v>
      </c>
      <c r="AB1227">
        <v>3.0183369627536843E-2</v>
      </c>
      <c r="AC1227">
        <v>0.29680313467077896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P1227" t="s">
        <v>5284</v>
      </c>
      <c r="AQ1227" t="s">
        <v>262</v>
      </c>
      <c r="AR1227" t="s">
        <v>263</v>
      </c>
      <c r="AS1227">
        <v>0.24242268421052632</v>
      </c>
    </row>
    <row r="1228" spans="1:45" x14ac:dyDescent="0.15">
      <c r="A1228" s="4" t="str">
        <f>HYPERLINK("https://ibp.a2mac1.com/costing(costing:projects/details/9760/material/8755068)","PP")</f>
        <v>PP</v>
      </c>
      <c r="B1228">
        <v>8755068</v>
      </c>
      <c r="C1228">
        <v>12085399</v>
      </c>
      <c r="E1228">
        <v>1.0113799999999999</v>
      </c>
      <c r="F1228" t="s">
        <v>5224</v>
      </c>
      <c r="G1228">
        <v>95</v>
      </c>
      <c r="H1228" t="s">
        <v>5251</v>
      </c>
      <c r="I1228">
        <v>5</v>
      </c>
      <c r="J1228">
        <v>0.50345253019720215</v>
      </c>
      <c r="K1228">
        <v>0</v>
      </c>
      <c r="L1228">
        <v>0</v>
      </c>
      <c r="M1228">
        <v>0</v>
      </c>
      <c r="O1228">
        <v>200000</v>
      </c>
      <c r="R1228" t="s">
        <v>162</v>
      </c>
      <c r="S1228">
        <v>2.6615263157894735E-5</v>
      </c>
      <c r="T1228">
        <v>5.3869292631578951E-5</v>
      </c>
      <c r="U1228" t="s">
        <v>176</v>
      </c>
      <c r="V1228">
        <v>3.7261368421052634E-4</v>
      </c>
      <c r="W1228">
        <v>1.1045972976842105E-2</v>
      </c>
      <c r="X1228" t="s">
        <v>90</v>
      </c>
      <c r="Y1228">
        <v>0</v>
      </c>
      <c r="Z1228">
        <v>0</v>
      </c>
      <c r="AA1228" t="s">
        <v>90</v>
      </c>
      <c r="AB1228">
        <v>0</v>
      </c>
      <c r="AC1228">
        <v>1.1045972976842105E-2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P1228" t="s">
        <v>8421</v>
      </c>
      <c r="AQ1228" t="s">
        <v>262</v>
      </c>
      <c r="AR1228" t="s">
        <v>263</v>
      </c>
      <c r="AS1228">
        <v>1.0646105263157894E-2</v>
      </c>
    </row>
    <row r="1229" spans="1:45" x14ac:dyDescent="0.15">
      <c r="A1229" s="4" t="str">
        <f>HYPERLINK("https://ibp.a2mac1.com/costing(costing:projects/details/9760/material/8755451)","PP-PET")</f>
        <v>PP-PET</v>
      </c>
      <c r="B1229">
        <v>8755451</v>
      </c>
      <c r="C1229">
        <v>12085819</v>
      </c>
      <c r="E1229">
        <v>1.9480500000000001</v>
      </c>
      <c r="F1229" t="s">
        <v>8433</v>
      </c>
      <c r="G1229">
        <v>95</v>
      </c>
      <c r="H1229" t="s">
        <v>8434</v>
      </c>
      <c r="I1229">
        <v>5</v>
      </c>
      <c r="J1229">
        <v>0.50345253019720215</v>
      </c>
      <c r="K1229">
        <v>0</v>
      </c>
      <c r="M1229">
        <v>0</v>
      </c>
      <c r="O1229">
        <v>200000</v>
      </c>
      <c r="R1229" t="s">
        <v>162</v>
      </c>
      <c r="S1229">
        <v>5.3366317105263154E-3</v>
      </c>
      <c r="T1229">
        <v>1.0801342582105264E-2</v>
      </c>
      <c r="U1229" t="s">
        <v>176</v>
      </c>
      <c r="V1229">
        <v>7.4712843947368421E-2</v>
      </c>
      <c r="W1229">
        <v>2.2148302390294736</v>
      </c>
      <c r="X1229" t="s">
        <v>177</v>
      </c>
      <c r="Y1229">
        <v>0.13288981434176841</v>
      </c>
      <c r="Z1229">
        <v>0</v>
      </c>
      <c r="AA1229" t="s">
        <v>178</v>
      </c>
      <c r="AB1229">
        <v>0.26577962868353683</v>
      </c>
      <c r="AC1229">
        <v>2.6134996820547789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Q1229" t="s">
        <v>262</v>
      </c>
      <c r="AR1229" t="s">
        <v>263</v>
      </c>
      <c r="AS1229">
        <v>2.1346526842105265</v>
      </c>
    </row>
    <row r="1230" spans="1:45" x14ac:dyDescent="0.15">
      <c r="A1230" s="4" t="str">
        <f>HYPERLINK("https://ibp.a2mac1.com/costing(costing:projects/details/9760/material/8755452)","PP-PET")</f>
        <v>PP-PET</v>
      </c>
      <c r="B1230">
        <v>8755452</v>
      </c>
      <c r="C1230">
        <v>12085820</v>
      </c>
      <c r="E1230">
        <v>1.9480500000000001</v>
      </c>
      <c r="F1230" t="s">
        <v>8442</v>
      </c>
      <c r="G1230">
        <v>95</v>
      </c>
      <c r="H1230" t="s">
        <v>8443</v>
      </c>
      <c r="I1230">
        <v>5</v>
      </c>
      <c r="J1230">
        <v>0.50345253019720215</v>
      </c>
      <c r="K1230">
        <v>0</v>
      </c>
      <c r="L1230">
        <v>0</v>
      </c>
      <c r="M1230">
        <v>0</v>
      </c>
      <c r="O1230">
        <v>200000</v>
      </c>
      <c r="R1230" t="s">
        <v>162</v>
      </c>
      <c r="S1230">
        <v>4.9829068421052627E-3</v>
      </c>
      <c r="T1230">
        <v>1.0085403448421053E-2</v>
      </c>
      <c r="U1230" t="s">
        <v>176</v>
      </c>
      <c r="V1230">
        <v>6.9760695789473678E-2</v>
      </c>
      <c r="W1230">
        <v>2.0680259292378946</v>
      </c>
      <c r="X1230" t="s">
        <v>177</v>
      </c>
      <c r="Y1230">
        <v>0.12408155575427368</v>
      </c>
      <c r="Z1230">
        <v>0</v>
      </c>
      <c r="AA1230" t="s">
        <v>178</v>
      </c>
      <c r="AB1230">
        <v>0.24816311150854736</v>
      </c>
      <c r="AC1230">
        <v>2.4402705965007159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Q1230" t="s">
        <v>262</v>
      </c>
      <c r="AR1230" t="s">
        <v>263</v>
      </c>
      <c r="AS1230">
        <v>1.9931627368421052</v>
      </c>
    </row>
    <row r="1231" spans="1:45" x14ac:dyDescent="0.15">
      <c r="A1231" s="4" t="str">
        <f>HYPERLINK("https://ibp.a2mac1.com/costing(costing:projects/details/9760/material/8755069)","PP-EPDM-MD35-TD20")</f>
        <v>PP-EPDM-MD35-TD20</v>
      </c>
      <c r="B1231">
        <v>8755069</v>
      </c>
      <c r="C1231">
        <v>12085401</v>
      </c>
      <c r="E1231">
        <v>1.07117</v>
      </c>
      <c r="F1231" t="s">
        <v>8448</v>
      </c>
      <c r="G1231">
        <v>95</v>
      </c>
      <c r="H1231" t="s">
        <v>8449</v>
      </c>
      <c r="I1231">
        <v>5</v>
      </c>
      <c r="J1231">
        <v>0.50345253019720215</v>
      </c>
      <c r="K1231">
        <v>0</v>
      </c>
      <c r="L1231">
        <v>0</v>
      </c>
      <c r="M1231">
        <v>0</v>
      </c>
      <c r="O1231">
        <v>200000</v>
      </c>
      <c r="R1231" t="s">
        <v>162</v>
      </c>
      <c r="S1231">
        <v>3.4672081578947369E-4</v>
      </c>
      <c r="T1231">
        <v>7.0176293115789469E-4</v>
      </c>
      <c r="U1231" t="s">
        <v>176</v>
      </c>
      <c r="V1231">
        <v>4.8540914210526316E-3</v>
      </c>
      <c r="W1231">
        <v>0.14389745985221053</v>
      </c>
      <c r="X1231" t="s">
        <v>90</v>
      </c>
      <c r="Y1231">
        <v>0</v>
      </c>
      <c r="Z1231">
        <v>0</v>
      </c>
      <c r="AA1231" t="s">
        <v>90</v>
      </c>
      <c r="AB1231">
        <v>0</v>
      </c>
      <c r="AC1231">
        <v>0.14389745985221053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P1231" t="s">
        <v>5284</v>
      </c>
      <c r="AQ1231" t="s">
        <v>262</v>
      </c>
      <c r="AR1231" t="s">
        <v>263</v>
      </c>
      <c r="AS1231">
        <v>0.13868832631578948</v>
      </c>
    </row>
    <row r="1232" spans="1:45" x14ac:dyDescent="0.15">
      <c r="A1232" s="4" t="str">
        <f>HYPERLINK("https://ibp.a2mac1.com/costing(costing:projects/details/9760/material/8755070)","PP-EPDM-MD35-TD20")</f>
        <v>PP-EPDM-MD35-TD20</v>
      </c>
      <c r="B1232">
        <v>8755070</v>
      </c>
      <c r="C1232">
        <v>12085402</v>
      </c>
      <c r="E1232">
        <v>1.07117</v>
      </c>
      <c r="F1232" t="s">
        <v>7934</v>
      </c>
      <c r="G1232">
        <v>95</v>
      </c>
      <c r="H1232" t="s">
        <v>8453</v>
      </c>
      <c r="I1232">
        <v>5</v>
      </c>
      <c r="J1232">
        <v>0.50345253019720215</v>
      </c>
      <c r="K1232">
        <v>0</v>
      </c>
      <c r="L1232">
        <v>0</v>
      </c>
      <c r="M1232">
        <v>0</v>
      </c>
      <c r="O1232">
        <v>200000</v>
      </c>
      <c r="R1232" t="s">
        <v>162</v>
      </c>
      <c r="S1232">
        <v>3.5235855263157894E-4</v>
      </c>
      <c r="T1232">
        <v>7.1317371052631584E-4</v>
      </c>
      <c r="U1232" t="s">
        <v>176</v>
      </c>
      <c r="V1232">
        <v>4.933019736842105E-3</v>
      </c>
      <c r="W1232">
        <v>0.14623725594736842</v>
      </c>
      <c r="X1232" t="s">
        <v>90</v>
      </c>
      <c r="Y1232">
        <v>0</v>
      </c>
      <c r="Z1232">
        <v>0</v>
      </c>
      <c r="AA1232" t="s">
        <v>90</v>
      </c>
      <c r="AB1232">
        <v>0</v>
      </c>
      <c r="AC1232">
        <v>0.14623725594736842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P1232" t="s">
        <v>5284</v>
      </c>
      <c r="AQ1232" t="s">
        <v>262</v>
      </c>
      <c r="AR1232" t="s">
        <v>263</v>
      </c>
      <c r="AS1232">
        <v>0.14094342105263158</v>
      </c>
    </row>
    <row r="1233" spans="1:45" x14ac:dyDescent="0.15">
      <c r="A1233" s="4" t="str">
        <f>HYPERLINK("https://ibp.a2mac1.com/costing(costing:projects/details/9760/material/8755071)","EPP")</f>
        <v>EPP</v>
      </c>
      <c r="B1233">
        <v>8755071</v>
      </c>
      <c r="C1233">
        <v>12085404</v>
      </c>
      <c r="E1233">
        <v>2.5973999999999999</v>
      </c>
      <c r="F1233" t="s">
        <v>8459</v>
      </c>
      <c r="G1233">
        <v>97</v>
      </c>
      <c r="H1233" t="s">
        <v>8460</v>
      </c>
      <c r="I1233">
        <v>5</v>
      </c>
      <c r="J1233">
        <v>2.001136786813273</v>
      </c>
      <c r="K1233">
        <v>0</v>
      </c>
      <c r="L1233">
        <v>0</v>
      </c>
      <c r="M1233">
        <v>0</v>
      </c>
      <c r="O1233">
        <v>200000</v>
      </c>
      <c r="R1233" t="s">
        <v>162</v>
      </c>
      <c r="S1233">
        <v>9.1176773195876287E-4</v>
      </c>
      <c r="T1233">
        <v>1.2412198057731959E-2</v>
      </c>
      <c r="U1233" t="s">
        <v>176</v>
      </c>
      <c r="V1233">
        <v>2.1274580412371135E-2</v>
      </c>
      <c r="W1233">
        <v>0.64062016537731958</v>
      </c>
      <c r="X1233" t="s">
        <v>177</v>
      </c>
      <c r="Y1233">
        <v>3.8437209922639173E-2</v>
      </c>
      <c r="Z1233">
        <v>0</v>
      </c>
      <c r="AA1233" t="s">
        <v>178</v>
      </c>
      <c r="AB1233">
        <v>7.6874419845278347E-2</v>
      </c>
      <c r="AC1233">
        <v>0.75593179514523712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Q1233" t="s">
        <v>262</v>
      </c>
      <c r="AR1233" t="s">
        <v>263</v>
      </c>
      <c r="AS1233">
        <v>0.60784515463917521</v>
      </c>
    </row>
    <row r="1234" spans="1:45" x14ac:dyDescent="0.15">
      <c r="A1234" s="4" t="str">
        <f>HYPERLINK("https://ibp.a2mac1.com/costing(costing:projects/details/9760/material/8755073)","Aluminum for extrusion (default, e.g. EN-AW6016)")</f>
        <v>Aluminum for extrusion (default, e.g. EN-AW6016)</v>
      </c>
      <c r="B1234">
        <v>8755073</v>
      </c>
      <c r="C1234">
        <v>12085406</v>
      </c>
      <c r="E1234">
        <v>2.3603000000000001</v>
      </c>
      <c r="F1234" t="s">
        <v>8467</v>
      </c>
      <c r="G1234">
        <v>94.546000000000006</v>
      </c>
      <c r="H1234" t="s">
        <v>8468</v>
      </c>
      <c r="I1234">
        <v>30</v>
      </c>
      <c r="J1234">
        <v>0.20557651238448796</v>
      </c>
      <c r="K1234">
        <v>0</v>
      </c>
      <c r="L1234">
        <v>0</v>
      </c>
      <c r="M1234">
        <v>0</v>
      </c>
      <c r="O1234">
        <v>200000</v>
      </c>
      <c r="R1234" t="s">
        <v>162</v>
      </c>
      <c r="S1234">
        <v>0.2057056197296554</v>
      </c>
      <c r="T1234">
        <v>2.5898641770143633E-2</v>
      </c>
      <c r="U1234" t="s">
        <v>176</v>
      </c>
      <c r="V1234">
        <v>0.44002546696845979</v>
      </c>
      <c r="W1234">
        <v>12.8323746881078</v>
      </c>
      <c r="X1234" t="s">
        <v>177</v>
      </c>
      <c r="Y1234">
        <v>0.76994248128646792</v>
      </c>
      <c r="Z1234">
        <v>0</v>
      </c>
      <c r="AA1234" t="s">
        <v>178</v>
      </c>
      <c r="AB1234">
        <v>1.5398849625729358</v>
      </c>
      <c r="AC1234">
        <v>15.142202131967203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Q1234" t="s">
        <v>262</v>
      </c>
      <c r="AR1234" t="s">
        <v>263</v>
      </c>
      <c r="AS1234">
        <v>12.572156199098851</v>
      </c>
    </row>
    <row r="1235" spans="1:45" x14ac:dyDescent="0.15">
      <c r="A1235" s="4" t="str">
        <f>HYPERLINK("https://ibp.a2mac1.com/costing(costing:projects/details/9760/material/8755072)","Aluminum for extrusion (default, e.g. EN-AW6016)")</f>
        <v>Aluminum for extrusion (default, e.g. EN-AW6016)</v>
      </c>
      <c r="B1235">
        <v>8755072</v>
      </c>
      <c r="C1235">
        <v>12085405</v>
      </c>
      <c r="E1235">
        <v>2.3603000000000001</v>
      </c>
      <c r="F1235" t="s">
        <v>5099</v>
      </c>
      <c r="G1235">
        <v>94.590199999999996</v>
      </c>
      <c r="H1235" t="s">
        <v>8471</v>
      </c>
      <c r="I1235">
        <v>30</v>
      </c>
      <c r="J1235">
        <v>0.1008980929261446</v>
      </c>
      <c r="K1235">
        <v>0</v>
      </c>
      <c r="M1235">
        <v>0</v>
      </c>
      <c r="O1235">
        <v>800000</v>
      </c>
      <c r="R1235" t="s">
        <v>162</v>
      </c>
      <c r="S1235">
        <v>1.4983913284251434E-3</v>
      </c>
      <c r="T1235">
        <v>9.3248995139031318E-5</v>
      </c>
      <c r="U1235" t="s">
        <v>176</v>
      </c>
      <c r="V1235">
        <v>3.2314008216496001E-3</v>
      </c>
      <c r="W1235">
        <v>9.4151996249780628E-2</v>
      </c>
      <c r="X1235" t="s">
        <v>177</v>
      </c>
      <c r="Y1235">
        <v>5.6491197749868379E-3</v>
      </c>
      <c r="Z1235">
        <v>0</v>
      </c>
      <c r="AA1235" t="s">
        <v>178</v>
      </c>
      <c r="AB1235">
        <v>1.1298239549973676E-2</v>
      </c>
      <c r="AC1235">
        <v>0.11109935557474114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Q1235" t="s">
        <v>262</v>
      </c>
      <c r="AR1235" t="s">
        <v>263</v>
      </c>
      <c r="AS1235">
        <v>9.2325737761417143E-2</v>
      </c>
    </row>
    <row r="1236" spans="1:45" x14ac:dyDescent="0.15">
      <c r="A1236" s="4" t="str">
        <f>HYPERLINK("https://ibp.a2mac1.com/costing(costing:projects/details/9760/material/8755076)","Aluminum for extrusion (default, e.g. EN-AW6016)")</f>
        <v>Aluminum for extrusion (default, e.g. EN-AW6016)</v>
      </c>
      <c r="B1236">
        <v>8755076</v>
      </c>
      <c r="C1236">
        <v>12085409</v>
      </c>
      <c r="E1236">
        <v>2.3603000000000001</v>
      </c>
      <c r="F1236" t="s">
        <v>8475</v>
      </c>
      <c r="G1236">
        <v>94.593699999999998</v>
      </c>
      <c r="H1236" t="s">
        <v>8476</v>
      </c>
      <c r="I1236">
        <v>30</v>
      </c>
      <c r="J1236">
        <v>0.30705427283965386</v>
      </c>
      <c r="K1236">
        <v>0</v>
      </c>
      <c r="L1236">
        <v>0</v>
      </c>
      <c r="M1236">
        <v>0</v>
      </c>
      <c r="O1236">
        <v>200000</v>
      </c>
      <c r="R1236" t="s">
        <v>162</v>
      </c>
      <c r="S1236">
        <v>6.1553904084595483E-2</v>
      </c>
      <c r="T1236">
        <v>1.1689203619268514E-2</v>
      </c>
      <c r="U1236" t="s">
        <v>176</v>
      </c>
      <c r="V1236">
        <v>0.13283185930986946</v>
      </c>
      <c r="W1236">
        <v>3.8781631391265274</v>
      </c>
      <c r="X1236" t="s">
        <v>177</v>
      </c>
      <c r="Y1236">
        <v>0.23268978834759166</v>
      </c>
      <c r="Z1236">
        <v>0</v>
      </c>
      <c r="AA1236" t="s">
        <v>178</v>
      </c>
      <c r="AB1236">
        <v>0.46537957669518332</v>
      </c>
      <c r="AC1236">
        <v>4.5762325041693028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Q1236" t="s">
        <v>262</v>
      </c>
      <c r="AR1236" t="s">
        <v>263</v>
      </c>
      <c r="AS1236">
        <v>3.795195980281985</v>
      </c>
    </row>
    <row r="1237" spans="1:45" x14ac:dyDescent="0.15">
      <c r="A1237" s="4" t="str">
        <f>HYPERLINK("https://ibp.a2mac1.com/costing(costing:projects/details/9760/material/8755075)","Aluminum for extrusion (default, e.g. EN-AW6016)")</f>
        <v>Aluminum for extrusion (default, e.g. EN-AW6016)</v>
      </c>
      <c r="B1237">
        <v>8755075</v>
      </c>
      <c r="C1237">
        <v>12085408</v>
      </c>
      <c r="E1237">
        <v>2.3603000000000001</v>
      </c>
      <c r="F1237" t="s">
        <v>4257</v>
      </c>
      <c r="G1237">
        <v>94.578500000000005</v>
      </c>
      <c r="H1237" t="s">
        <v>8478</v>
      </c>
      <c r="I1237">
        <v>30</v>
      </c>
      <c r="J1237">
        <v>0.20557651238448796</v>
      </c>
      <c r="K1237">
        <v>0</v>
      </c>
      <c r="M1237">
        <v>0</v>
      </c>
      <c r="O1237">
        <v>200000</v>
      </c>
      <c r="R1237" t="s">
        <v>162</v>
      </c>
      <c r="S1237">
        <v>3.2512324237908195E-2</v>
      </c>
      <c r="T1237">
        <v>4.1178879111003026E-3</v>
      </c>
      <c r="U1237" t="s">
        <v>176</v>
      </c>
      <c r="V1237">
        <v>6.9964114994422621E-2</v>
      </c>
      <c r="W1237">
        <v>2.0405443927939753</v>
      </c>
      <c r="X1237" t="s">
        <v>177</v>
      </c>
      <c r="Y1237">
        <v>0.12243266356763852</v>
      </c>
      <c r="Z1237">
        <v>0</v>
      </c>
      <c r="AA1237" t="s">
        <v>178</v>
      </c>
      <c r="AB1237">
        <v>0.24486532713527703</v>
      </c>
      <c r="AC1237">
        <v>2.4078423834968907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Q1237" t="s">
        <v>262</v>
      </c>
      <c r="AR1237" t="s">
        <v>263</v>
      </c>
      <c r="AS1237">
        <v>1.9989747141263607</v>
      </c>
    </row>
    <row r="1238" spans="1:45" x14ac:dyDescent="0.15">
      <c r="A1238" s="4" t="str">
        <f>HYPERLINK("https://ibp.a2mac1.com/costing(costing:projects/details/9760/material/8755074)","Aluminum sheet (default, e.g. EN AW1050A)")</f>
        <v>Aluminum sheet (default, e.g. EN AW1050A)</v>
      </c>
      <c r="B1238">
        <v>8755074</v>
      </c>
      <c r="C1238">
        <v>12085407</v>
      </c>
      <c r="E1238">
        <v>3.4857100000000001</v>
      </c>
      <c r="F1238" t="s">
        <v>8480</v>
      </c>
      <c r="G1238">
        <v>80</v>
      </c>
      <c r="H1238" t="s">
        <v>8481</v>
      </c>
      <c r="I1238">
        <v>30</v>
      </c>
      <c r="J1238">
        <v>0.1008980929261446</v>
      </c>
      <c r="K1238">
        <v>0</v>
      </c>
      <c r="M1238">
        <v>0</v>
      </c>
      <c r="O1238">
        <v>400000</v>
      </c>
      <c r="R1238" t="s">
        <v>162</v>
      </c>
      <c r="S1238">
        <v>1.09799865E-2</v>
      </c>
      <c r="T1238">
        <v>1.8482977274999999E-4</v>
      </c>
      <c r="U1238" t="s">
        <v>176</v>
      </c>
      <c r="V1238">
        <v>6.4049921249999999E-3</v>
      </c>
      <c r="W1238">
        <v>0.17860961039775</v>
      </c>
      <c r="X1238" t="s">
        <v>177</v>
      </c>
      <c r="Y1238">
        <v>1.0716576623865E-2</v>
      </c>
      <c r="Z1238">
        <v>0</v>
      </c>
      <c r="AA1238" t="s">
        <v>178</v>
      </c>
      <c r="AB1238">
        <v>2.143315324773E-2</v>
      </c>
      <c r="AC1238">
        <v>0.21075934026934501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Q1238" t="s">
        <v>262</v>
      </c>
      <c r="AR1238" t="s">
        <v>263</v>
      </c>
      <c r="AS1238">
        <v>0.182999775</v>
      </c>
    </row>
    <row r="1239" spans="1:45" x14ac:dyDescent="0.15">
      <c r="A1239" s="4" t="str">
        <f>HYPERLINK("https://ibp.a2mac1.com/costing(costing:projects/details/9760/material/8755077)","Aluminum for extrusion (default, e.g. EN-AW6016)")</f>
        <v>Aluminum for extrusion (default, e.g. EN-AW6016)</v>
      </c>
      <c r="B1239">
        <v>8755077</v>
      </c>
      <c r="C1239">
        <v>12085410</v>
      </c>
      <c r="E1239">
        <v>2.3603000000000001</v>
      </c>
      <c r="F1239" t="s">
        <v>8475</v>
      </c>
      <c r="G1239">
        <v>94.593699999999998</v>
      </c>
      <c r="H1239" t="s">
        <v>8476</v>
      </c>
      <c r="I1239">
        <v>30</v>
      </c>
      <c r="J1239">
        <v>0.30705427283965386</v>
      </c>
      <c r="K1239">
        <v>0</v>
      </c>
      <c r="L1239">
        <v>0</v>
      </c>
      <c r="M1239">
        <v>0</v>
      </c>
      <c r="O1239">
        <v>200000</v>
      </c>
      <c r="R1239" t="s">
        <v>162</v>
      </c>
      <c r="S1239">
        <v>6.1553904084595483E-2</v>
      </c>
      <c r="T1239">
        <v>1.1689203619268514E-2</v>
      </c>
      <c r="U1239" t="s">
        <v>176</v>
      </c>
      <c r="V1239">
        <v>0.13283185930986946</v>
      </c>
      <c r="W1239">
        <v>3.8781631391265274</v>
      </c>
      <c r="X1239" t="s">
        <v>177</v>
      </c>
      <c r="Y1239">
        <v>0.23268978834759166</v>
      </c>
      <c r="Z1239">
        <v>0</v>
      </c>
      <c r="AA1239" t="s">
        <v>178</v>
      </c>
      <c r="AB1239">
        <v>0.46537957669518332</v>
      </c>
      <c r="AC1239">
        <v>4.5762325041693028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Q1239" t="s">
        <v>262</v>
      </c>
      <c r="AR1239" t="s">
        <v>263</v>
      </c>
      <c r="AS1239">
        <v>3.795195980281985</v>
      </c>
    </row>
    <row r="1240" spans="1:45" x14ac:dyDescent="0.15">
      <c r="A1240" s="4" t="str">
        <f>HYPERLINK("https://ibp.a2mac1.com/costing(costing:projects/details/9760/material/8755078)","Aluminum for extrusion (default, e.g. EN-AW6016)")</f>
        <v>Aluminum for extrusion (default, e.g. EN-AW6016)</v>
      </c>
      <c r="B1240">
        <v>8755078</v>
      </c>
      <c r="C1240">
        <v>12085411</v>
      </c>
      <c r="E1240">
        <v>2.3603000000000001</v>
      </c>
      <c r="F1240" t="s">
        <v>4257</v>
      </c>
      <c r="G1240">
        <v>94.578500000000005</v>
      </c>
      <c r="H1240" t="s">
        <v>8478</v>
      </c>
      <c r="I1240">
        <v>30</v>
      </c>
      <c r="J1240">
        <v>0.20557651238448796</v>
      </c>
      <c r="K1240">
        <v>0</v>
      </c>
      <c r="M1240">
        <v>0</v>
      </c>
      <c r="O1240">
        <v>200000</v>
      </c>
      <c r="R1240" t="s">
        <v>162</v>
      </c>
      <c r="S1240">
        <v>3.2512324237908195E-2</v>
      </c>
      <c r="T1240">
        <v>4.1178879111003026E-3</v>
      </c>
      <c r="U1240" t="s">
        <v>176</v>
      </c>
      <c r="V1240">
        <v>6.9964114994422621E-2</v>
      </c>
      <c r="W1240">
        <v>2.0405443927939753</v>
      </c>
      <c r="X1240" t="s">
        <v>177</v>
      </c>
      <c r="Y1240">
        <v>0.12243266356763852</v>
      </c>
      <c r="Z1240">
        <v>0</v>
      </c>
      <c r="AA1240" t="s">
        <v>178</v>
      </c>
      <c r="AB1240">
        <v>0.24486532713527703</v>
      </c>
      <c r="AC1240">
        <v>2.4078423834968907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Q1240" t="s">
        <v>262</v>
      </c>
      <c r="AR1240" t="s">
        <v>263</v>
      </c>
      <c r="AS1240">
        <v>1.9989747141263607</v>
      </c>
    </row>
    <row r="1241" spans="1:45" x14ac:dyDescent="0.15">
      <c r="A1241" s="4" t="str">
        <f>HYPERLINK("https://ibp.a2mac1.com/costing(costing:projects/details/9760/material/8755079)","Aluminum sheet (default, e.g. EN AW1050A)")</f>
        <v>Aluminum sheet (default, e.g. EN AW1050A)</v>
      </c>
      <c r="B1241">
        <v>8755079</v>
      </c>
      <c r="C1241">
        <v>12085412</v>
      </c>
      <c r="E1241">
        <v>3.4857100000000001</v>
      </c>
      <c r="F1241" t="s">
        <v>8480</v>
      </c>
      <c r="G1241">
        <v>80</v>
      </c>
      <c r="H1241" t="s">
        <v>8481</v>
      </c>
      <c r="I1241">
        <v>30</v>
      </c>
      <c r="J1241">
        <v>0.1008980929261446</v>
      </c>
      <c r="K1241">
        <v>0</v>
      </c>
      <c r="M1241">
        <v>0</v>
      </c>
      <c r="O1241">
        <v>400000</v>
      </c>
      <c r="R1241" t="s">
        <v>162</v>
      </c>
      <c r="S1241">
        <v>1.09799865E-2</v>
      </c>
      <c r="T1241">
        <v>1.8482977274999999E-4</v>
      </c>
      <c r="U1241" t="s">
        <v>176</v>
      </c>
      <c r="V1241">
        <v>6.4049921249999999E-3</v>
      </c>
      <c r="W1241">
        <v>0.17860961039775</v>
      </c>
      <c r="X1241" t="s">
        <v>177</v>
      </c>
      <c r="Y1241">
        <v>1.0716576623865E-2</v>
      </c>
      <c r="Z1241">
        <v>0</v>
      </c>
      <c r="AA1241" t="s">
        <v>178</v>
      </c>
      <c r="AB1241">
        <v>2.143315324773E-2</v>
      </c>
      <c r="AC1241">
        <v>0.21075934026934501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Q1241" t="s">
        <v>262</v>
      </c>
      <c r="AR1241" t="s">
        <v>263</v>
      </c>
      <c r="AS1241">
        <v>0.182999775</v>
      </c>
    </row>
    <row r="1242" spans="1:45" x14ac:dyDescent="0.15">
      <c r="A1242" s="4" t="str">
        <f>HYPERLINK("https://ibp.a2mac1.com/costing(costing:projects/details/9760/material/8755080)","POM")</f>
        <v>POM</v>
      </c>
      <c r="B1242">
        <v>8755080</v>
      </c>
      <c r="C1242">
        <v>12085413</v>
      </c>
      <c r="E1242">
        <v>2.12338</v>
      </c>
      <c r="F1242" t="s">
        <v>7934</v>
      </c>
      <c r="G1242">
        <v>95</v>
      </c>
      <c r="H1242" t="s">
        <v>8453</v>
      </c>
      <c r="I1242">
        <v>5</v>
      </c>
      <c r="J1242">
        <v>0.50048257265952256</v>
      </c>
      <c r="K1242">
        <v>0</v>
      </c>
      <c r="M1242">
        <v>0</v>
      </c>
      <c r="O1242">
        <v>400000</v>
      </c>
      <c r="R1242" t="s">
        <v>162</v>
      </c>
      <c r="S1242">
        <v>6.9848026315789469E-4</v>
      </c>
      <c r="T1242">
        <v>1.4053422894736841E-3</v>
      </c>
      <c r="U1242" t="s">
        <v>176</v>
      </c>
      <c r="V1242">
        <v>9.7787236842105264E-3</v>
      </c>
      <c r="W1242">
        <v>0.28987769097368421</v>
      </c>
      <c r="X1242" t="s">
        <v>177</v>
      </c>
      <c r="Y1242">
        <v>1.7392661458421051E-2</v>
      </c>
      <c r="Z1242">
        <v>0</v>
      </c>
      <c r="AA1242" t="s">
        <v>178</v>
      </c>
      <c r="AB1242">
        <v>3.4785322916842103E-2</v>
      </c>
      <c r="AC1242">
        <v>0.34205567534894737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Q1242" t="s">
        <v>262</v>
      </c>
      <c r="AR1242" t="s">
        <v>263</v>
      </c>
      <c r="AS1242">
        <v>0.27939210526315789</v>
      </c>
    </row>
    <row r="1243" spans="1:45" x14ac:dyDescent="0.15">
      <c r="A1243" s="4" t="str">
        <f>HYPERLINK("https://ibp.a2mac1.com/costing(costing:projects/details/9760/material/8755081)","PP")</f>
        <v>PP</v>
      </c>
      <c r="B1243">
        <v>8755081</v>
      </c>
      <c r="C1243">
        <v>12085414</v>
      </c>
      <c r="E1243">
        <v>1.0113799999999999</v>
      </c>
      <c r="F1243" t="s">
        <v>8495</v>
      </c>
      <c r="G1243">
        <v>95</v>
      </c>
      <c r="H1243" t="s">
        <v>8496</v>
      </c>
      <c r="I1243">
        <v>5</v>
      </c>
      <c r="J1243">
        <v>0.50345253019720215</v>
      </c>
      <c r="K1243">
        <v>0</v>
      </c>
      <c r="M1243">
        <v>0</v>
      </c>
      <c r="O1243">
        <v>200000</v>
      </c>
      <c r="R1243" t="s">
        <v>162</v>
      </c>
      <c r="S1243">
        <v>1.2429327894736841E-3</v>
      </c>
      <c r="T1243">
        <v>2.5156959658947367E-3</v>
      </c>
      <c r="U1243" t="s">
        <v>176</v>
      </c>
      <c r="V1243">
        <v>1.740105905263158E-2</v>
      </c>
      <c r="W1243">
        <v>0.51584693801852632</v>
      </c>
      <c r="X1243" t="s">
        <v>177</v>
      </c>
      <c r="Y1243">
        <v>3.0950816281111578E-2</v>
      </c>
      <c r="Z1243">
        <v>0</v>
      </c>
      <c r="AA1243" t="s">
        <v>178</v>
      </c>
      <c r="AB1243">
        <v>6.1901632562223155E-2</v>
      </c>
      <c r="AC1243">
        <v>0.60869938686186109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Q1243" t="s">
        <v>262</v>
      </c>
      <c r="AR1243" t="s">
        <v>263</v>
      </c>
      <c r="AS1243">
        <v>0.49717311578947371</v>
      </c>
    </row>
    <row r="1244" spans="1:45" x14ac:dyDescent="0.15">
      <c r="A1244" s="4" t="str">
        <f>HYPERLINK("https://ibp.a2mac1.com/costing(costing:projects/details/9760/material/8755082)","POM")</f>
        <v>POM</v>
      </c>
      <c r="B1244">
        <v>8755082</v>
      </c>
      <c r="C1244">
        <v>12085415</v>
      </c>
      <c r="E1244">
        <v>2.12338</v>
      </c>
      <c r="F1244" t="s">
        <v>4010</v>
      </c>
      <c r="G1244">
        <v>95</v>
      </c>
      <c r="H1244" t="s">
        <v>4011</v>
      </c>
      <c r="I1244">
        <v>5</v>
      </c>
      <c r="J1244">
        <v>0.50048257265952256</v>
      </c>
      <c r="K1244">
        <v>0</v>
      </c>
      <c r="M1244">
        <v>0</v>
      </c>
      <c r="O1244">
        <v>400000</v>
      </c>
      <c r="R1244" t="s">
        <v>162</v>
      </c>
      <c r="S1244">
        <v>1.8439878947368421E-4</v>
      </c>
      <c r="T1244">
        <v>3.7101036442105265E-4</v>
      </c>
      <c r="U1244" t="s">
        <v>176</v>
      </c>
      <c r="V1244">
        <v>2.5815830526315789E-3</v>
      </c>
      <c r="W1244">
        <v>7.6527710417052627E-2</v>
      </c>
      <c r="X1244" t="s">
        <v>90</v>
      </c>
      <c r="Y1244">
        <v>0</v>
      </c>
      <c r="Z1244">
        <v>0</v>
      </c>
      <c r="AA1244" t="s">
        <v>90</v>
      </c>
      <c r="AB1244">
        <v>0</v>
      </c>
      <c r="AC1244">
        <v>7.6527710417052627E-2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Q1244" t="s">
        <v>262</v>
      </c>
      <c r="AR1244" t="s">
        <v>263</v>
      </c>
      <c r="AS1244">
        <v>7.3759515789473679E-2</v>
      </c>
    </row>
    <row r="1245" spans="1:45" x14ac:dyDescent="0.15">
      <c r="A1245" s="4" t="str">
        <f>HYPERLINK("https://ibp.a2mac1.com/costing(costing:projects/details/9760/material/8755083)","Aluminum for extrusion (default, e.g. EN-AW6016)")</f>
        <v>Aluminum for extrusion (default, e.g. EN-AW6016)</v>
      </c>
      <c r="B1245">
        <v>8755083</v>
      </c>
      <c r="C1245">
        <v>12085416</v>
      </c>
      <c r="E1245">
        <v>2.3603000000000001</v>
      </c>
      <c r="F1245" t="s">
        <v>3552</v>
      </c>
      <c r="G1245">
        <v>94.468599999999995</v>
      </c>
      <c r="H1245" t="s">
        <v>8507</v>
      </c>
      <c r="I1245">
        <v>30</v>
      </c>
      <c r="J1245">
        <v>0.10389195236953569</v>
      </c>
      <c r="K1245">
        <v>0</v>
      </c>
      <c r="L1245">
        <v>0</v>
      </c>
      <c r="M1245">
        <v>0</v>
      </c>
      <c r="O1245">
        <v>200000</v>
      </c>
      <c r="R1245" t="s">
        <v>162</v>
      </c>
      <c r="S1245">
        <v>6.5259054192864083E-2</v>
      </c>
      <c r="T1245">
        <v>4.0899480758685956E-3</v>
      </c>
      <c r="U1245" t="s">
        <v>176</v>
      </c>
      <c r="V1245">
        <v>0.13764248332250081</v>
      </c>
      <c r="W1245">
        <v>4.0091157578483854</v>
      </c>
      <c r="X1245" t="s">
        <v>177</v>
      </c>
      <c r="Y1245">
        <v>0.24054694547090313</v>
      </c>
      <c r="Z1245">
        <v>0</v>
      </c>
      <c r="AA1245" t="s">
        <v>178</v>
      </c>
      <c r="AB1245">
        <v>0.48109389094180627</v>
      </c>
      <c r="AC1245">
        <v>4.730756594261095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Q1245" t="s">
        <v>262</v>
      </c>
      <c r="AR1245" t="s">
        <v>263</v>
      </c>
      <c r="AS1245">
        <v>3.9326423806428803</v>
      </c>
    </row>
    <row r="1246" spans="1:45" x14ac:dyDescent="0.15">
      <c r="A1246" s="4" t="str">
        <f>HYPERLINK("https://ibp.a2mac1.com/costing(costing:projects/details/9760/material/8755084)","Aluminum for extrusion (default, e.g. EN-AW6016)")</f>
        <v>Aluminum for extrusion (default, e.g. EN-AW6016)</v>
      </c>
      <c r="B1246">
        <v>8755084</v>
      </c>
      <c r="C1246">
        <v>12085417</v>
      </c>
      <c r="E1246">
        <v>2.3603000000000001</v>
      </c>
      <c r="F1246" t="s">
        <v>4252</v>
      </c>
      <c r="G1246">
        <v>94.5946</v>
      </c>
      <c r="H1246" t="s">
        <v>8510</v>
      </c>
      <c r="I1246">
        <v>30</v>
      </c>
      <c r="J1246">
        <v>0.1008980929261446</v>
      </c>
      <c r="K1246">
        <v>0</v>
      </c>
      <c r="L1246">
        <v>0</v>
      </c>
      <c r="M1246">
        <v>0</v>
      </c>
      <c r="O1246">
        <v>400000</v>
      </c>
      <c r="R1246" t="s">
        <v>162</v>
      </c>
      <c r="S1246">
        <v>1.0843881107885651E-2</v>
      </c>
      <c r="T1246">
        <v>6.7539373706321498E-4</v>
      </c>
      <c r="U1246" t="s">
        <v>176</v>
      </c>
      <c r="V1246">
        <v>2.340473346258666E-2</v>
      </c>
      <c r="W1246">
        <v>0.68194291645138305</v>
      </c>
      <c r="X1246" t="s">
        <v>177</v>
      </c>
      <c r="Y1246">
        <v>4.0916574987082982E-2</v>
      </c>
      <c r="Z1246">
        <v>0</v>
      </c>
      <c r="AA1246" t="s">
        <v>178</v>
      </c>
      <c r="AB1246">
        <v>8.1833149974165964E-2</v>
      </c>
      <c r="AC1246">
        <v>0.80469264141263197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Q1246" t="s">
        <v>262</v>
      </c>
      <c r="AR1246" t="s">
        <v>263</v>
      </c>
      <c r="AS1246">
        <v>0.66870667035961884</v>
      </c>
    </row>
    <row r="1247" spans="1:45" x14ac:dyDescent="0.15">
      <c r="A1247" s="4" t="str">
        <f>HYPERLINK("https://ibp.a2mac1.com/costing(costing:projects/details/9760/material/8755085)","Aluminum sheet (default, e.g. EN AW1050A)")</f>
        <v>Aluminum sheet (default, e.g. EN AW1050A)</v>
      </c>
      <c r="B1247">
        <v>8755085</v>
      </c>
      <c r="C1247">
        <v>12085418</v>
      </c>
      <c r="E1247">
        <v>3.4857100000000001</v>
      </c>
      <c r="F1247" t="s">
        <v>4308</v>
      </c>
      <c r="G1247">
        <v>80</v>
      </c>
      <c r="H1247" t="s">
        <v>8513</v>
      </c>
      <c r="I1247">
        <v>30</v>
      </c>
      <c r="J1247">
        <v>0.1008980929261446</v>
      </c>
      <c r="K1247">
        <v>0</v>
      </c>
      <c r="L1247">
        <v>0</v>
      </c>
      <c r="M1247">
        <v>0</v>
      </c>
      <c r="O1247">
        <v>400000</v>
      </c>
      <c r="R1247" t="s">
        <v>162</v>
      </c>
      <c r="S1247">
        <v>2.9018535750000001E-2</v>
      </c>
      <c r="T1247">
        <v>4.8847868512500001E-4</v>
      </c>
      <c r="U1247" t="s">
        <v>176</v>
      </c>
      <c r="V1247">
        <v>1.69274791875E-2</v>
      </c>
      <c r="W1247">
        <v>0.47203968462262502</v>
      </c>
      <c r="X1247" t="s">
        <v>177</v>
      </c>
      <c r="Y1247">
        <v>2.83223810773575E-2</v>
      </c>
      <c r="Z1247">
        <v>0</v>
      </c>
      <c r="AA1247" t="s">
        <v>178</v>
      </c>
      <c r="AB1247">
        <v>5.6644762154714999E-2</v>
      </c>
      <c r="AC1247">
        <v>0.55700682785469746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Q1247" t="s">
        <v>262</v>
      </c>
      <c r="AR1247" t="s">
        <v>263</v>
      </c>
      <c r="AS1247">
        <v>0.48364226249999998</v>
      </c>
    </row>
    <row r="1248" spans="1:45" x14ac:dyDescent="0.15">
      <c r="A1248" s="4" t="str">
        <f>HYPERLINK("https://ibp.a2mac1.com/costing(costing:projects/details/9760/material/8754685)","Aluminum for casting (default, e.g. A380/ADC10/EN-AC46500)")</f>
        <v>Aluminum for casting (default, e.g. A380/ADC10/EN-AC46500)</v>
      </c>
      <c r="B1248">
        <v>8754685</v>
      </c>
      <c r="C1248">
        <v>12085175</v>
      </c>
      <c r="E1248">
        <v>2.4518200000000001</v>
      </c>
      <c r="F1248" t="s">
        <v>8515</v>
      </c>
      <c r="G1248">
        <v>100</v>
      </c>
      <c r="H1248" t="s">
        <v>8516</v>
      </c>
      <c r="I1248">
        <v>50</v>
      </c>
      <c r="J1248">
        <v>0.32891458187979666</v>
      </c>
      <c r="K1248">
        <v>0</v>
      </c>
      <c r="L1248">
        <v>0</v>
      </c>
      <c r="M1248">
        <v>0</v>
      </c>
      <c r="O1248">
        <v>200000</v>
      </c>
      <c r="R1248" t="s">
        <v>162</v>
      </c>
      <c r="S1248">
        <v>0</v>
      </c>
      <c r="T1248">
        <v>1.9021955106000001E-2</v>
      </c>
      <c r="U1248" t="s">
        <v>176</v>
      </c>
      <c r="V1248">
        <v>0.20174800870000001</v>
      </c>
      <c r="W1248">
        <v>5.9849987838059997</v>
      </c>
      <c r="X1248" t="s">
        <v>90</v>
      </c>
      <c r="Y1248">
        <v>0</v>
      </c>
      <c r="Z1248">
        <v>0</v>
      </c>
      <c r="AA1248" t="s">
        <v>90</v>
      </c>
      <c r="AB1248">
        <v>0</v>
      </c>
      <c r="AC1248">
        <v>5.9849987838059997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Q1248" t="s">
        <v>262</v>
      </c>
      <c r="AR1248" t="s">
        <v>263</v>
      </c>
      <c r="AS1248">
        <v>5.7642288199999996</v>
      </c>
    </row>
    <row r="1249" spans="1:45" x14ac:dyDescent="0.15">
      <c r="A1249" s="4" t="str">
        <f>HYPERLINK("https://ibp.a2mac1.com/costing(costing:projects/details/9760/material/8755453)","PP-EPDM")</f>
        <v>PP-EPDM</v>
      </c>
      <c r="B1249">
        <v>8755453</v>
      </c>
      <c r="C1249">
        <v>12085821</v>
      </c>
      <c r="E1249">
        <v>1.7894600000000001</v>
      </c>
      <c r="F1249" t="s">
        <v>5436</v>
      </c>
      <c r="G1249">
        <v>95</v>
      </c>
      <c r="H1249" t="s">
        <v>8524</v>
      </c>
      <c r="I1249">
        <v>5</v>
      </c>
      <c r="J1249">
        <v>0.50345253019720215</v>
      </c>
      <c r="K1249">
        <v>0</v>
      </c>
      <c r="M1249">
        <v>0</v>
      </c>
      <c r="O1249">
        <v>200000</v>
      </c>
      <c r="R1249" t="s">
        <v>162</v>
      </c>
      <c r="S1249">
        <v>3.2021915789473684E-4</v>
      </c>
      <c r="T1249">
        <v>6.4812357557894737E-4</v>
      </c>
      <c r="U1249" t="s">
        <v>176</v>
      </c>
      <c r="V1249">
        <v>4.4830682105263158E-3</v>
      </c>
      <c r="W1249">
        <v>0.13289863578610525</v>
      </c>
      <c r="X1249" t="s">
        <v>90</v>
      </c>
      <c r="Y1249">
        <v>0</v>
      </c>
      <c r="Z1249">
        <v>0</v>
      </c>
      <c r="AA1249" t="s">
        <v>90</v>
      </c>
      <c r="AB1249">
        <v>0</v>
      </c>
      <c r="AC1249">
        <v>0.13289863578610525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Q1249" t="s">
        <v>262</v>
      </c>
      <c r="AR1249" t="s">
        <v>263</v>
      </c>
      <c r="AS1249">
        <v>0.12808766315789474</v>
      </c>
    </row>
    <row r="1250" spans="1:45" x14ac:dyDescent="0.15">
      <c r="A1250" s="4" t="str">
        <f>HYPERLINK("https://ibp.a2mac1.com/costing(costing:projects/details/9760/material/8755454)","PP-EPDM")</f>
        <v>PP-EPDM</v>
      </c>
      <c r="B1250">
        <v>8755454</v>
      </c>
      <c r="C1250">
        <v>12085822</v>
      </c>
      <c r="E1250">
        <v>1.7894600000000001</v>
      </c>
      <c r="F1250" t="s">
        <v>4389</v>
      </c>
      <c r="G1250">
        <v>95</v>
      </c>
      <c r="H1250" t="s">
        <v>4390</v>
      </c>
      <c r="I1250">
        <v>5</v>
      </c>
      <c r="J1250">
        <v>0.50345253019720215</v>
      </c>
      <c r="K1250">
        <v>0</v>
      </c>
      <c r="M1250">
        <v>0</v>
      </c>
      <c r="O1250">
        <v>200000</v>
      </c>
      <c r="R1250" t="s">
        <v>162</v>
      </c>
      <c r="S1250">
        <v>3.1551005263157897E-4</v>
      </c>
      <c r="T1250">
        <v>6.3859234652631578E-4</v>
      </c>
      <c r="U1250" t="s">
        <v>176</v>
      </c>
      <c r="V1250">
        <v>4.4171407368421055E-3</v>
      </c>
      <c r="W1250">
        <v>0.13094424408336841</v>
      </c>
      <c r="X1250" t="s">
        <v>90</v>
      </c>
      <c r="Y1250">
        <v>0</v>
      </c>
      <c r="Z1250">
        <v>0</v>
      </c>
      <c r="AA1250" t="s">
        <v>90</v>
      </c>
      <c r="AB1250">
        <v>0</v>
      </c>
      <c r="AC1250">
        <v>0.13094424408336841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Q1250" t="s">
        <v>262</v>
      </c>
      <c r="AR1250" t="s">
        <v>263</v>
      </c>
      <c r="AS1250">
        <v>0.12620402105263157</v>
      </c>
    </row>
    <row r="1251" spans="1:45" x14ac:dyDescent="0.15">
      <c r="A1251" s="4" t="str">
        <f>HYPERLINK("https://ibp.a2mac1.com/costing(costing:projects/details/9760/material/8755455)","PP-EPDM")</f>
        <v>PP-EPDM</v>
      </c>
      <c r="B1251">
        <v>8755455</v>
      </c>
      <c r="C1251">
        <v>12085823</v>
      </c>
      <c r="E1251">
        <v>1.7894600000000001</v>
      </c>
      <c r="F1251" t="s">
        <v>3487</v>
      </c>
      <c r="G1251">
        <v>95</v>
      </c>
      <c r="H1251" t="s">
        <v>8417</v>
      </c>
      <c r="I1251">
        <v>5</v>
      </c>
      <c r="J1251">
        <v>0.50345253019720215</v>
      </c>
      <c r="K1251">
        <v>0</v>
      </c>
      <c r="M1251">
        <v>0</v>
      </c>
      <c r="O1251">
        <v>200000</v>
      </c>
      <c r="R1251" t="s">
        <v>162</v>
      </c>
      <c r="S1251">
        <v>1.0124576315789474E-3</v>
      </c>
      <c r="T1251">
        <v>2.0492142463157895E-3</v>
      </c>
      <c r="U1251" t="s">
        <v>176</v>
      </c>
      <c r="V1251">
        <v>1.4174406842105263E-2</v>
      </c>
      <c r="W1251">
        <v>0.42019421608842106</v>
      </c>
      <c r="X1251" t="s">
        <v>90</v>
      </c>
      <c r="Y1251">
        <v>0</v>
      </c>
      <c r="Z1251">
        <v>0</v>
      </c>
      <c r="AA1251" t="s">
        <v>90</v>
      </c>
      <c r="AB1251">
        <v>0</v>
      </c>
      <c r="AC1251">
        <v>0.42019421608842106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Q1251" t="s">
        <v>262</v>
      </c>
      <c r="AR1251" t="s">
        <v>263</v>
      </c>
      <c r="AS1251">
        <v>0.40498305263157897</v>
      </c>
    </row>
    <row r="1252" spans="1:45" x14ac:dyDescent="0.15">
      <c r="A1252" s="4" t="str">
        <f>HYPERLINK("https://ibp.a2mac1.com/costing(costing:projects/details/9760/material/8755456)","PP-EPDM")</f>
        <v>PP-EPDM</v>
      </c>
      <c r="B1252">
        <v>8755456</v>
      </c>
      <c r="C1252">
        <v>12085824</v>
      </c>
      <c r="E1252">
        <v>1.7894600000000001</v>
      </c>
      <c r="F1252" t="s">
        <v>3487</v>
      </c>
      <c r="G1252">
        <v>95</v>
      </c>
      <c r="H1252" t="s">
        <v>8417</v>
      </c>
      <c r="I1252">
        <v>5</v>
      </c>
      <c r="J1252">
        <v>0.50345253019720215</v>
      </c>
      <c r="K1252">
        <v>0</v>
      </c>
      <c r="M1252">
        <v>0</v>
      </c>
      <c r="O1252">
        <v>200000</v>
      </c>
      <c r="R1252" t="s">
        <v>162</v>
      </c>
      <c r="S1252">
        <v>1.0124576315789474E-3</v>
      </c>
      <c r="T1252">
        <v>2.0492142463157895E-3</v>
      </c>
      <c r="U1252" t="s">
        <v>176</v>
      </c>
      <c r="V1252">
        <v>1.4174406842105263E-2</v>
      </c>
      <c r="W1252">
        <v>0.42019421608842106</v>
      </c>
      <c r="X1252" t="s">
        <v>90</v>
      </c>
      <c r="Y1252">
        <v>0</v>
      </c>
      <c r="Z1252">
        <v>0</v>
      </c>
      <c r="AA1252" t="s">
        <v>90</v>
      </c>
      <c r="AB1252">
        <v>0</v>
      </c>
      <c r="AC1252">
        <v>0.42019421608842106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Q1252" t="s">
        <v>262</v>
      </c>
      <c r="AR1252" t="s">
        <v>263</v>
      </c>
      <c r="AS1252">
        <v>0.40498305263157897</v>
      </c>
    </row>
    <row r="1253" spans="1:45" x14ac:dyDescent="0.15">
      <c r="A1253" s="4" t="str">
        <f>HYPERLINK("https://ibp.a2mac1.com/costing(costing:projects/details/9760/material/8755457)","PP-EPDM")</f>
        <v>PP-EPDM</v>
      </c>
      <c r="B1253">
        <v>8755457</v>
      </c>
      <c r="C1253">
        <v>12085825</v>
      </c>
      <c r="E1253">
        <v>1.7894600000000001</v>
      </c>
      <c r="F1253" t="s">
        <v>8539</v>
      </c>
      <c r="G1253">
        <v>95</v>
      </c>
      <c r="H1253" t="s">
        <v>8540</v>
      </c>
      <c r="I1253">
        <v>5</v>
      </c>
      <c r="J1253">
        <v>0.50345253019720215</v>
      </c>
      <c r="K1253">
        <v>0</v>
      </c>
      <c r="M1253">
        <v>0</v>
      </c>
      <c r="O1253">
        <v>200000</v>
      </c>
      <c r="R1253" t="s">
        <v>162</v>
      </c>
      <c r="S1253">
        <v>3.1127185789473683E-3</v>
      </c>
      <c r="T1253">
        <v>6.300142403789474E-3</v>
      </c>
      <c r="U1253" t="s">
        <v>176</v>
      </c>
      <c r="V1253">
        <v>4.3578060105263161E-2</v>
      </c>
      <c r="W1253">
        <v>1.2918529155090526</v>
      </c>
      <c r="X1253" t="s">
        <v>90</v>
      </c>
      <c r="Y1253">
        <v>0</v>
      </c>
      <c r="Z1253">
        <v>0</v>
      </c>
      <c r="AA1253" t="s">
        <v>90</v>
      </c>
      <c r="AB1253">
        <v>0</v>
      </c>
      <c r="AC1253">
        <v>1.2918529155090526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Q1253" t="s">
        <v>262</v>
      </c>
      <c r="AR1253" t="s">
        <v>263</v>
      </c>
      <c r="AS1253">
        <v>1.2450874315789473</v>
      </c>
    </row>
    <row r="1254" spans="1:45" x14ac:dyDescent="0.15">
      <c r="A1254" s="4" t="str">
        <f>HYPERLINK("https://ibp.a2mac1.com/costing(costing:projects/details/9760/material/8755458)","PP-EPDM")</f>
        <v>PP-EPDM</v>
      </c>
      <c r="B1254">
        <v>8755458</v>
      </c>
      <c r="C1254">
        <v>12085826</v>
      </c>
      <c r="E1254">
        <v>1.7894600000000001</v>
      </c>
      <c r="F1254" t="s">
        <v>8544</v>
      </c>
      <c r="G1254">
        <v>95</v>
      </c>
      <c r="H1254" t="s">
        <v>8545</v>
      </c>
      <c r="I1254">
        <v>5</v>
      </c>
      <c r="J1254">
        <v>0.50345253019720215</v>
      </c>
      <c r="K1254">
        <v>0</v>
      </c>
      <c r="M1254">
        <v>0</v>
      </c>
      <c r="O1254">
        <v>200000</v>
      </c>
      <c r="R1254" t="s">
        <v>162</v>
      </c>
      <c r="S1254">
        <v>1.2427328789473684E-2</v>
      </c>
      <c r="T1254">
        <v>2.5152913469894737E-2</v>
      </c>
      <c r="U1254" t="s">
        <v>176</v>
      </c>
      <c r="V1254">
        <v>0.17398260305263158</v>
      </c>
      <c r="W1254">
        <v>5.1576397035225261</v>
      </c>
      <c r="X1254" t="s">
        <v>90</v>
      </c>
      <c r="Y1254">
        <v>0</v>
      </c>
      <c r="Z1254">
        <v>0</v>
      </c>
      <c r="AA1254" t="s">
        <v>90</v>
      </c>
      <c r="AB1254">
        <v>0</v>
      </c>
      <c r="AC1254">
        <v>5.1576397035225261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Q1254" t="s">
        <v>262</v>
      </c>
      <c r="AR1254" t="s">
        <v>263</v>
      </c>
      <c r="AS1254">
        <v>4.9709315157894736</v>
      </c>
    </row>
    <row r="1255" spans="1:45" x14ac:dyDescent="0.15">
      <c r="A1255" s="4" t="str">
        <f>HYPERLINK("https://ibp.a2mac1.com/costing(costing:projects/details/9760/material/8755086)","PP-EPDM-MD35-TD20")</f>
        <v>PP-EPDM-MD35-TD20</v>
      </c>
      <c r="B1255">
        <v>8755086</v>
      </c>
      <c r="C1255">
        <v>12085419</v>
      </c>
      <c r="E1255">
        <v>1.07117</v>
      </c>
      <c r="F1255" t="s">
        <v>8550</v>
      </c>
      <c r="G1255">
        <v>95</v>
      </c>
      <c r="H1255" t="s">
        <v>8551</v>
      </c>
      <c r="I1255">
        <v>5</v>
      </c>
      <c r="J1255">
        <v>0.50345253019720215</v>
      </c>
      <c r="K1255">
        <v>0</v>
      </c>
      <c r="L1255">
        <v>0</v>
      </c>
      <c r="M1255">
        <v>0</v>
      </c>
      <c r="O1255">
        <v>200000</v>
      </c>
      <c r="R1255" t="s">
        <v>162</v>
      </c>
      <c r="S1255">
        <v>7.3572465789473688E-3</v>
      </c>
      <c r="T1255">
        <v>1.4891067075789475E-2</v>
      </c>
      <c r="U1255" t="s">
        <v>176</v>
      </c>
      <c r="V1255">
        <v>0.10300145210526315</v>
      </c>
      <c r="W1255">
        <v>3.0534339041810528</v>
      </c>
      <c r="X1255" t="s">
        <v>90</v>
      </c>
      <c r="Y1255">
        <v>0</v>
      </c>
      <c r="Z1255">
        <v>0</v>
      </c>
      <c r="AA1255" t="s">
        <v>90</v>
      </c>
      <c r="AB1255">
        <v>0</v>
      </c>
      <c r="AC1255">
        <v>3.0534339041810528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P1255" t="s">
        <v>5284</v>
      </c>
      <c r="AQ1255" t="s">
        <v>262</v>
      </c>
      <c r="AR1255" t="s">
        <v>263</v>
      </c>
      <c r="AS1255">
        <v>2.9428986315789474</v>
      </c>
    </row>
    <row r="1256" spans="1:45" x14ac:dyDescent="0.15">
      <c r="A1256" s="4" t="str">
        <f>HYPERLINK("https://ibp.a2mac1.com/costing(costing:projects/details/9760/material/8755087)","PP-EPDM")</f>
        <v>PP-EPDM</v>
      </c>
      <c r="B1256">
        <v>8755087</v>
      </c>
      <c r="C1256">
        <v>12085421</v>
      </c>
      <c r="E1256">
        <v>1.7894600000000001</v>
      </c>
      <c r="F1256" t="s">
        <v>8092</v>
      </c>
      <c r="G1256">
        <v>95</v>
      </c>
      <c r="H1256" t="s">
        <v>8558</v>
      </c>
      <c r="I1256">
        <v>5</v>
      </c>
      <c r="J1256">
        <v>0.50345253019720215</v>
      </c>
      <c r="K1256">
        <v>0</v>
      </c>
      <c r="M1256">
        <v>0</v>
      </c>
      <c r="O1256">
        <v>200000</v>
      </c>
      <c r="R1256" t="s">
        <v>162</v>
      </c>
      <c r="S1256">
        <v>5.6038352631578947E-4</v>
      </c>
      <c r="T1256">
        <v>1.134216257263158E-3</v>
      </c>
      <c r="U1256" t="s">
        <v>176</v>
      </c>
      <c r="V1256">
        <v>7.845369368421052E-3</v>
      </c>
      <c r="W1256">
        <v>0.23257261262568421</v>
      </c>
      <c r="X1256" t="s">
        <v>90</v>
      </c>
      <c r="Y1256">
        <v>0</v>
      </c>
      <c r="Z1256">
        <v>0</v>
      </c>
      <c r="AA1256" t="s">
        <v>90</v>
      </c>
      <c r="AB1256">
        <v>0</v>
      </c>
      <c r="AC1256">
        <v>0.23257261262568421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Q1256" t="s">
        <v>262</v>
      </c>
      <c r="AR1256" t="s">
        <v>263</v>
      </c>
      <c r="AS1256">
        <v>0.22415341052631579</v>
      </c>
    </row>
    <row r="1257" spans="1:45" x14ac:dyDescent="0.15">
      <c r="A1257" s="4" t="str">
        <f>HYPERLINK("https://ibp.a2mac1.com/costing(costing:projects/details/9760/material/8755088)","PP-EPDM")</f>
        <v>PP-EPDM</v>
      </c>
      <c r="B1257">
        <v>8755088</v>
      </c>
      <c r="C1257">
        <v>12085422</v>
      </c>
      <c r="E1257">
        <v>1.7894600000000001</v>
      </c>
      <c r="F1257" t="s">
        <v>8448</v>
      </c>
      <c r="G1257">
        <v>95</v>
      </c>
      <c r="H1257" t="s">
        <v>8449</v>
      </c>
      <c r="I1257">
        <v>5</v>
      </c>
      <c r="J1257">
        <v>0.50345253019720215</v>
      </c>
      <c r="K1257">
        <v>0</v>
      </c>
      <c r="M1257">
        <v>0</v>
      </c>
      <c r="O1257">
        <v>200000</v>
      </c>
      <c r="R1257" t="s">
        <v>162</v>
      </c>
      <c r="S1257">
        <v>5.7921994736842108E-4</v>
      </c>
      <c r="T1257">
        <v>1.1723411734736841E-3</v>
      </c>
      <c r="U1257" t="s">
        <v>176</v>
      </c>
      <c r="V1257">
        <v>8.1090792631578947E-3</v>
      </c>
      <c r="W1257">
        <v>0.24039017943663157</v>
      </c>
      <c r="X1257" t="s">
        <v>90</v>
      </c>
      <c r="Y1257">
        <v>0</v>
      </c>
      <c r="Z1257">
        <v>0</v>
      </c>
      <c r="AA1257" t="s">
        <v>90</v>
      </c>
      <c r="AB1257">
        <v>0</v>
      </c>
      <c r="AC1257">
        <v>0.24039017943663157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Q1257" t="s">
        <v>262</v>
      </c>
      <c r="AR1257" t="s">
        <v>263</v>
      </c>
      <c r="AS1257">
        <v>0.23168797894736842</v>
      </c>
    </row>
    <row r="1258" spans="1:45" x14ac:dyDescent="0.15">
      <c r="A1258" s="4" t="str">
        <f>HYPERLINK("https://ibp.a2mac1.com/costing(costing:projects/details/9760/material/8755089)","PP")</f>
        <v>PP</v>
      </c>
      <c r="B1258">
        <v>8755089</v>
      </c>
      <c r="C1258">
        <v>12085423</v>
      </c>
      <c r="E1258">
        <v>1.0113799999999999</v>
      </c>
      <c r="F1258" t="s">
        <v>8567</v>
      </c>
      <c r="G1258">
        <v>95</v>
      </c>
      <c r="H1258" t="s">
        <v>8568</v>
      </c>
      <c r="I1258">
        <v>5</v>
      </c>
      <c r="J1258">
        <v>0.50345253019720215</v>
      </c>
      <c r="K1258">
        <v>0</v>
      </c>
      <c r="M1258">
        <v>0</v>
      </c>
      <c r="O1258">
        <v>200000</v>
      </c>
      <c r="R1258" t="s">
        <v>162</v>
      </c>
      <c r="S1258">
        <v>4.4181336842105261E-4</v>
      </c>
      <c r="T1258">
        <v>8.9423025768421054E-4</v>
      </c>
      <c r="U1258" t="s">
        <v>176</v>
      </c>
      <c r="V1258">
        <v>6.1853871578947369E-3</v>
      </c>
      <c r="W1258">
        <v>0.18336315141557893</v>
      </c>
      <c r="X1258" t="s">
        <v>177</v>
      </c>
      <c r="Y1258">
        <v>1.1001789084934736E-2</v>
      </c>
      <c r="Z1258">
        <v>0</v>
      </c>
      <c r="AA1258" t="s">
        <v>178</v>
      </c>
      <c r="AB1258">
        <v>2.2003578169869472E-2</v>
      </c>
      <c r="AC1258">
        <v>0.21636851867038315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Q1258" t="s">
        <v>262</v>
      </c>
      <c r="AR1258" t="s">
        <v>263</v>
      </c>
      <c r="AS1258">
        <v>0.17672534736842105</v>
      </c>
    </row>
    <row r="1259" spans="1:45" x14ac:dyDescent="0.15">
      <c r="A1259" s="4" t="str">
        <f>HYPERLINK("https://ibp.a2mac1.com/costing(costing:projects/details/9760/material/8755090)","PP")</f>
        <v>PP</v>
      </c>
      <c r="B1259">
        <v>8755090</v>
      </c>
      <c r="C1259">
        <v>12085424</v>
      </c>
      <c r="E1259">
        <v>1.0113799999999999</v>
      </c>
      <c r="F1259" t="s">
        <v>8572</v>
      </c>
      <c r="G1259">
        <v>95</v>
      </c>
      <c r="H1259" t="s">
        <v>8573</v>
      </c>
      <c r="I1259">
        <v>5</v>
      </c>
      <c r="J1259">
        <v>0.50345253019720215</v>
      </c>
      <c r="K1259">
        <v>0</v>
      </c>
      <c r="M1259">
        <v>0</v>
      </c>
      <c r="O1259">
        <v>200000</v>
      </c>
      <c r="R1259" t="s">
        <v>162</v>
      </c>
      <c r="S1259">
        <v>4.3649031578947366E-4</v>
      </c>
      <c r="T1259">
        <v>8.8345639915789469E-4</v>
      </c>
      <c r="U1259" t="s">
        <v>176</v>
      </c>
      <c r="V1259">
        <v>6.1108644210526317E-3</v>
      </c>
      <c r="W1259">
        <v>0.18115395682021052</v>
      </c>
      <c r="X1259" t="s">
        <v>177</v>
      </c>
      <c r="Y1259">
        <v>1.0869237409212631E-2</v>
      </c>
      <c r="Z1259">
        <v>0</v>
      </c>
      <c r="AA1259" t="s">
        <v>178</v>
      </c>
      <c r="AB1259">
        <v>2.1738474818425262E-2</v>
      </c>
      <c r="AC1259">
        <v>0.21376166904784843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Q1259" t="s">
        <v>262</v>
      </c>
      <c r="AR1259" t="s">
        <v>263</v>
      </c>
      <c r="AS1259">
        <v>0.17459612631578947</v>
      </c>
    </row>
    <row r="1260" spans="1:45" x14ac:dyDescent="0.15">
      <c r="A1260" s="4" t="str">
        <f>HYPERLINK("https://ibp.a2mac1.com/costing(costing:projects/details/9760/material/8755091)","PP")</f>
        <v>PP</v>
      </c>
      <c r="B1260">
        <v>8755091</v>
      </c>
      <c r="C1260">
        <v>12085425</v>
      </c>
      <c r="E1260">
        <v>1.0113799999999999</v>
      </c>
      <c r="F1260" t="s">
        <v>8577</v>
      </c>
      <c r="G1260">
        <v>95</v>
      </c>
      <c r="H1260" t="s">
        <v>8578</v>
      </c>
      <c r="I1260">
        <v>5</v>
      </c>
      <c r="J1260">
        <v>0.50345253019720215</v>
      </c>
      <c r="K1260">
        <v>0</v>
      </c>
      <c r="M1260">
        <v>0</v>
      </c>
      <c r="O1260">
        <v>200000</v>
      </c>
      <c r="R1260" t="s">
        <v>162</v>
      </c>
      <c r="S1260">
        <v>5.4561289473684213E-4</v>
      </c>
      <c r="T1260">
        <v>1.1043204989473684E-3</v>
      </c>
      <c r="U1260" t="s">
        <v>176</v>
      </c>
      <c r="V1260">
        <v>7.6385805263157894E-3</v>
      </c>
      <c r="W1260">
        <v>0.22644244602526314</v>
      </c>
      <c r="X1260" t="s">
        <v>177</v>
      </c>
      <c r="Y1260">
        <v>1.3586546761515789E-2</v>
      </c>
      <c r="Z1260">
        <v>0</v>
      </c>
      <c r="AA1260" t="s">
        <v>178</v>
      </c>
      <c r="AB1260">
        <v>2.7173093523031579E-2</v>
      </c>
      <c r="AC1260">
        <v>0.26720208630981052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Q1260" t="s">
        <v>262</v>
      </c>
      <c r="AR1260" t="s">
        <v>263</v>
      </c>
      <c r="AS1260">
        <v>0.21824515789473684</v>
      </c>
    </row>
    <row r="1261" spans="1:45" x14ac:dyDescent="0.15">
      <c r="A1261" s="4" t="str">
        <f>HYPERLINK("https://ibp.a2mac1.com/costing(costing:projects/details/9760/material/8755092)","PP")</f>
        <v>PP</v>
      </c>
      <c r="B1261">
        <v>8755092</v>
      </c>
      <c r="C1261">
        <v>12085426</v>
      </c>
      <c r="E1261">
        <v>1.0113799999999999</v>
      </c>
      <c r="F1261" t="s">
        <v>8582</v>
      </c>
      <c r="G1261">
        <v>95</v>
      </c>
      <c r="H1261" t="s">
        <v>8583</v>
      </c>
      <c r="I1261">
        <v>5</v>
      </c>
      <c r="J1261">
        <v>0.50345253019720215</v>
      </c>
      <c r="K1261">
        <v>0</v>
      </c>
      <c r="M1261">
        <v>0</v>
      </c>
      <c r="O1261">
        <v>200000</v>
      </c>
      <c r="R1261" t="s">
        <v>162</v>
      </c>
      <c r="S1261">
        <v>8.5168842105263153E-4</v>
      </c>
      <c r="T1261">
        <v>1.7238173642105264E-3</v>
      </c>
      <c r="U1261" t="s">
        <v>176</v>
      </c>
      <c r="V1261">
        <v>1.1923637894736843E-2</v>
      </c>
      <c r="W1261">
        <v>0.35347113525894736</v>
      </c>
      <c r="X1261" t="s">
        <v>177</v>
      </c>
      <c r="Y1261">
        <v>2.1208268115536843E-2</v>
      </c>
      <c r="Z1261">
        <v>0</v>
      </c>
      <c r="AA1261" t="s">
        <v>178</v>
      </c>
      <c r="AB1261">
        <v>4.2416536231073686E-2</v>
      </c>
      <c r="AC1261">
        <v>0.41709593960555791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Q1261" t="s">
        <v>262</v>
      </c>
      <c r="AR1261" t="s">
        <v>263</v>
      </c>
      <c r="AS1261">
        <v>0.34067536842105262</v>
      </c>
    </row>
    <row r="1262" spans="1:45" x14ac:dyDescent="0.15">
      <c r="A1262" s="4" t="str">
        <f>HYPERLINK("https://ibp.a2mac1.com/costing(costing:projects/details/9760/material/8755093)","PP")</f>
        <v>PP</v>
      </c>
      <c r="B1262">
        <v>8755093</v>
      </c>
      <c r="C1262">
        <v>12085427</v>
      </c>
      <c r="E1262">
        <v>1.0113799999999999</v>
      </c>
      <c r="F1262" t="s">
        <v>8587</v>
      </c>
      <c r="G1262">
        <v>95</v>
      </c>
      <c r="H1262" t="s">
        <v>8588</v>
      </c>
      <c r="I1262">
        <v>5</v>
      </c>
      <c r="J1262">
        <v>0.50345253019720215</v>
      </c>
      <c r="K1262">
        <v>0</v>
      </c>
      <c r="M1262">
        <v>0</v>
      </c>
      <c r="O1262">
        <v>200000</v>
      </c>
      <c r="R1262" t="s">
        <v>162</v>
      </c>
      <c r="S1262">
        <v>8.5701147368421053E-4</v>
      </c>
      <c r="T1262">
        <v>1.7345912227368422E-3</v>
      </c>
      <c r="U1262" t="s">
        <v>176</v>
      </c>
      <c r="V1262">
        <v>1.1998160631578948E-2</v>
      </c>
      <c r="W1262">
        <v>0.3556803298543158</v>
      </c>
      <c r="X1262" t="s">
        <v>90</v>
      </c>
      <c r="Y1262">
        <v>0</v>
      </c>
      <c r="Z1262">
        <v>0</v>
      </c>
      <c r="AA1262" t="s">
        <v>90</v>
      </c>
      <c r="AB1262">
        <v>0</v>
      </c>
      <c r="AC1262">
        <v>0.3556803298543158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Q1262" t="s">
        <v>262</v>
      </c>
      <c r="AR1262" t="s">
        <v>263</v>
      </c>
      <c r="AS1262">
        <v>0.3428045894736842</v>
      </c>
    </row>
    <row r="1263" spans="1:45" x14ac:dyDescent="0.15">
      <c r="A1263" s="4" t="str">
        <f>HYPERLINK("https://ibp.a2mac1.com/costing(costing:projects/details/9760/material/8755459)","PP-PET")</f>
        <v>PP-PET</v>
      </c>
      <c r="B1263">
        <v>8755459</v>
      </c>
      <c r="C1263">
        <v>12085827</v>
      </c>
      <c r="E1263">
        <v>1.9480500000000001</v>
      </c>
      <c r="F1263" t="s">
        <v>8595</v>
      </c>
      <c r="G1263">
        <v>95</v>
      </c>
      <c r="H1263" t="s">
        <v>8596</v>
      </c>
      <c r="I1263">
        <v>5</v>
      </c>
      <c r="J1263">
        <v>0.50345253019720215</v>
      </c>
      <c r="K1263">
        <v>0</v>
      </c>
      <c r="M1263">
        <v>0</v>
      </c>
      <c r="O1263">
        <v>200000</v>
      </c>
      <c r="R1263" t="s">
        <v>162</v>
      </c>
      <c r="S1263">
        <v>4.5471588157894741E-3</v>
      </c>
      <c r="T1263">
        <v>9.2034494431578948E-3</v>
      </c>
      <c r="U1263" t="s">
        <v>176</v>
      </c>
      <c r="V1263">
        <v>6.3660223421052625E-2</v>
      </c>
      <c r="W1263">
        <v>1.8871800403642105</v>
      </c>
      <c r="X1263" t="s">
        <v>177</v>
      </c>
      <c r="Y1263">
        <v>0.11323080242185263</v>
      </c>
      <c r="Z1263">
        <v>0</v>
      </c>
      <c r="AA1263" t="s">
        <v>178</v>
      </c>
      <c r="AB1263">
        <v>0.22646160484370526</v>
      </c>
      <c r="AC1263">
        <v>2.2268724476297685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Q1263" t="s">
        <v>262</v>
      </c>
      <c r="AR1263" t="s">
        <v>263</v>
      </c>
      <c r="AS1263">
        <v>1.8188635263157895</v>
      </c>
    </row>
    <row r="1264" spans="1:45" x14ac:dyDescent="0.15">
      <c r="A1264" s="4" t="str">
        <f>HYPERLINK("https://ibp.a2mac1.com/costing(costing:projects/details/9760/material/8755460)","PP-PET")</f>
        <v>PP-PET</v>
      </c>
      <c r="B1264">
        <v>8755460</v>
      </c>
      <c r="C1264">
        <v>12085828</v>
      </c>
      <c r="E1264">
        <v>1.9480500000000001</v>
      </c>
      <c r="F1264" t="s">
        <v>8602</v>
      </c>
      <c r="G1264">
        <v>95</v>
      </c>
      <c r="H1264" t="s">
        <v>8603</v>
      </c>
      <c r="I1264">
        <v>5</v>
      </c>
      <c r="J1264">
        <v>0.50345253019720215</v>
      </c>
      <c r="K1264">
        <v>0</v>
      </c>
      <c r="M1264">
        <v>0</v>
      </c>
      <c r="O1264">
        <v>200000</v>
      </c>
      <c r="R1264" t="s">
        <v>162</v>
      </c>
      <c r="S1264">
        <v>4.5112736842105264E-3</v>
      </c>
      <c r="T1264">
        <v>9.130817936842105E-3</v>
      </c>
      <c r="U1264" t="s">
        <v>176</v>
      </c>
      <c r="V1264">
        <v>6.3157831578947374E-2</v>
      </c>
      <c r="W1264">
        <v>1.8722868495157894</v>
      </c>
      <c r="X1264" t="s">
        <v>177</v>
      </c>
      <c r="Y1264">
        <v>0.11233721097094737</v>
      </c>
      <c r="Z1264">
        <v>0</v>
      </c>
      <c r="AA1264" t="s">
        <v>178</v>
      </c>
      <c r="AB1264">
        <v>0.22467442194189474</v>
      </c>
      <c r="AC1264">
        <v>2.2092984824286317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Q1264" t="s">
        <v>262</v>
      </c>
      <c r="AR1264" t="s">
        <v>263</v>
      </c>
      <c r="AS1264">
        <v>1.8045094736842104</v>
      </c>
    </row>
    <row r="1265" spans="1:45" x14ac:dyDescent="0.15">
      <c r="A1265" s="4" t="str">
        <f>HYPERLINK("https://ibp.a2mac1.com/costing(costing:projects/details/9760/material/8755094)","PP-EPDM")</f>
        <v>PP-EPDM</v>
      </c>
      <c r="B1265">
        <v>8755094</v>
      </c>
      <c r="C1265">
        <v>12085428</v>
      </c>
      <c r="E1265">
        <v>1.7894600000000001</v>
      </c>
      <c r="F1265" t="s">
        <v>8608</v>
      </c>
      <c r="G1265">
        <v>95</v>
      </c>
      <c r="H1265" t="s">
        <v>8609</v>
      </c>
      <c r="I1265">
        <v>5</v>
      </c>
      <c r="J1265">
        <v>0.50345253019720215</v>
      </c>
      <c r="K1265">
        <v>0</v>
      </c>
      <c r="M1265">
        <v>0</v>
      </c>
      <c r="O1265">
        <v>200000</v>
      </c>
      <c r="R1265" t="s">
        <v>162</v>
      </c>
      <c r="S1265">
        <v>3.0609184210526316E-4</v>
      </c>
      <c r="T1265">
        <v>6.1952988842105261E-4</v>
      </c>
      <c r="U1265" t="s">
        <v>176</v>
      </c>
      <c r="V1265">
        <v>4.2852857894736841E-3</v>
      </c>
      <c r="W1265">
        <v>0.12703546067789473</v>
      </c>
      <c r="X1265" t="s">
        <v>177</v>
      </c>
      <c r="Y1265">
        <v>7.6221276406736845E-3</v>
      </c>
      <c r="Z1265">
        <v>0</v>
      </c>
      <c r="AA1265" t="s">
        <v>178</v>
      </c>
      <c r="AB1265">
        <v>1.5244255281347369E-2</v>
      </c>
      <c r="AC1265">
        <v>0.14990184359991579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Q1265" t="s">
        <v>262</v>
      </c>
      <c r="AR1265" t="s">
        <v>263</v>
      </c>
      <c r="AS1265">
        <v>0.12243673684210526</v>
      </c>
    </row>
    <row r="1266" spans="1:45" x14ac:dyDescent="0.15">
      <c r="A1266" s="4" t="str">
        <f>HYPERLINK("https://ibp.a2mac1.com/costing(costing:projects/details/9760/material/8755095)","TPV")</f>
        <v>TPV</v>
      </c>
      <c r="B1266">
        <v>8755095</v>
      </c>
      <c r="C1266">
        <v>12085428</v>
      </c>
      <c r="E1266">
        <v>1.8793299999999999</v>
      </c>
      <c r="F1266" t="s">
        <v>8608</v>
      </c>
      <c r="G1266">
        <v>95</v>
      </c>
      <c r="H1266" t="s">
        <v>8609</v>
      </c>
      <c r="I1266">
        <v>5</v>
      </c>
      <c r="J1266">
        <v>0.50345253019720215</v>
      </c>
      <c r="K1266">
        <v>0</v>
      </c>
      <c r="M1266">
        <v>0</v>
      </c>
      <c r="O1266">
        <v>200000</v>
      </c>
      <c r="R1266" t="s">
        <v>162</v>
      </c>
      <c r="S1266">
        <v>3.2146434210526316E-4</v>
      </c>
      <c r="T1266">
        <v>6.5064382842105258E-4</v>
      </c>
      <c r="U1266" t="s">
        <v>176</v>
      </c>
      <c r="V1266">
        <v>4.5005007894736845E-3</v>
      </c>
      <c r="W1266">
        <v>0.13341541711789473</v>
      </c>
      <c r="X1266" t="s">
        <v>177</v>
      </c>
      <c r="Y1266">
        <v>8.0049250270736848E-3</v>
      </c>
      <c r="Z1266">
        <v>0</v>
      </c>
      <c r="AA1266" t="s">
        <v>178</v>
      </c>
      <c r="AB1266">
        <v>1.600985005414737E-2</v>
      </c>
      <c r="AC1266">
        <v>0.15743019219911578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Q1266" t="s">
        <v>262</v>
      </c>
      <c r="AR1266" t="s">
        <v>263</v>
      </c>
      <c r="AS1266">
        <v>0.12858573684210525</v>
      </c>
    </row>
    <row r="1267" spans="1:45" x14ac:dyDescent="0.15">
      <c r="A1267" s="4" t="str">
        <f>HYPERLINK("https://ibp.a2mac1.com/costing(costing:projects/details/9760/material/8755096)","PP-EPDM")</f>
        <v>PP-EPDM</v>
      </c>
      <c r="B1267">
        <v>8755096</v>
      </c>
      <c r="C1267">
        <v>12085429</v>
      </c>
      <c r="E1267">
        <v>1.7894600000000001</v>
      </c>
      <c r="F1267" t="s">
        <v>4347</v>
      </c>
      <c r="G1267">
        <v>95</v>
      </c>
      <c r="H1267" t="s">
        <v>4348</v>
      </c>
      <c r="I1267">
        <v>5</v>
      </c>
      <c r="J1267">
        <v>0.50345253019720215</v>
      </c>
      <c r="K1267">
        <v>0</v>
      </c>
      <c r="M1267">
        <v>0</v>
      </c>
      <c r="O1267">
        <v>200000</v>
      </c>
      <c r="R1267" t="s">
        <v>162</v>
      </c>
      <c r="S1267">
        <v>3.0138273684210528E-4</v>
      </c>
      <c r="T1267">
        <v>6.0999865936842102E-4</v>
      </c>
      <c r="U1267" t="s">
        <v>176</v>
      </c>
      <c r="V1267">
        <v>4.2193583157894739E-3</v>
      </c>
      <c r="W1267">
        <v>0.12508106897515789</v>
      </c>
      <c r="X1267" t="s">
        <v>90</v>
      </c>
      <c r="Y1267">
        <v>0</v>
      </c>
      <c r="Z1267">
        <v>0</v>
      </c>
      <c r="AA1267" t="s">
        <v>90</v>
      </c>
      <c r="AB1267">
        <v>0</v>
      </c>
      <c r="AC1267">
        <v>0.12508106897515789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Q1267" t="s">
        <v>262</v>
      </c>
      <c r="AR1267" t="s">
        <v>263</v>
      </c>
      <c r="AS1267">
        <v>0.1205530947368421</v>
      </c>
    </row>
    <row r="1268" spans="1:45" x14ac:dyDescent="0.15">
      <c r="A1268" s="4" t="str">
        <f>HYPERLINK("https://ibp.a2mac1.com/costing(costing:projects/details/9760/material/8755097)","TPV")</f>
        <v>TPV</v>
      </c>
      <c r="B1268">
        <v>8755097</v>
      </c>
      <c r="C1268">
        <v>12085429</v>
      </c>
      <c r="E1268">
        <v>1.8793299999999999</v>
      </c>
      <c r="F1268" t="s">
        <v>4347</v>
      </c>
      <c r="G1268">
        <v>95</v>
      </c>
      <c r="H1268" t="s">
        <v>4348</v>
      </c>
      <c r="I1268">
        <v>5</v>
      </c>
      <c r="J1268">
        <v>0.50345253019720215</v>
      </c>
      <c r="K1268">
        <v>0</v>
      </c>
      <c r="M1268">
        <v>0</v>
      </c>
      <c r="O1268">
        <v>200000</v>
      </c>
      <c r="R1268" t="s">
        <v>162</v>
      </c>
      <c r="S1268">
        <v>3.1651873684210524E-4</v>
      </c>
      <c r="T1268">
        <v>6.4063392336842105E-4</v>
      </c>
      <c r="U1268" t="s">
        <v>176</v>
      </c>
      <c r="V1268">
        <v>4.4312623157894736E-3</v>
      </c>
      <c r="W1268">
        <v>0.13136287223915791</v>
      </c>
      <c r="X1268" t="s">
        <v>90</v>
      </c>
      <c r="Y1268">
        <v>0</v>
      </c>
      <c r="Z1268">
        <v>0</v>
      </c>
      <c r="AA1268" t="s">
        <v>90</v>
      </c>
      <c r="AB1268">
        <v>0</v>
      </c>
      <c r="AC1268">
        <v>0.13136287223915791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Q1268" t="s">
        <v>262</v>
      </c>
      <c r="AR1268" t="s">
        <v>263</v>
      </c>
      <c r="AS1268">
        <v>0.1266074947368421</v>
      </c>
    </row>
    <row r="1269" spans="1:45" x14ac:dyDescent="0.15">
      <c r="A1269" s="4" t="str">
        <f>HYPERLINK("https://ibp.a2mac1.com/costing(costing:projects/details/9760/material/8755098)","Aluminum for casting (default, e.g. A380/ADC10/EN-AC46500)")</f>
        <v>Aluminum for casting (default, e.g. A380/ADC10/EN-AC46500)</v>
      </c>
      <c r="B1269">
        <v>8755098</v>
      </c>
      <c r="C1269">
        <v>12085439</v>
      </c>
      <c r="E1269">
        <v>2.4518200000000001</v>
      </c>
      <c r="F1269" t="s">
        <v>7705</v>
      </c>
      <c r="G1269">
        <v>95</v>
      </c>
      <c r="H1269" t="s">
        <v>8702</v>
      </c>
      <c r="I1269">
        <v>50</v>
      </c>
      <c r="J1269">
        <v>0.30705427283965386</v>
      </c>
      <c r="K1269">
        <v>0</v>
      </c>
      <c r="M1269">
        <v>0</v>
      </c>
      <c r="O1269">
        <v>200000</v>
      </c>
      <c r="R1269" t="s">
        <v>162</v>
      </c>
      <c r="S1269">
        <v>3.7099907894736842E-2</v>
      </c>
      <c r="T1269">
        <v>4.5707086526315787E-3</v>
      </c>
      <c r="U1269" t="s">
        <v>176</v>
      </c>
      <c r="V1269">
        <v>5.1939871052631578E-2</v>
      </c>
      <c r="W1269">
        <v>1.5034069876</v>
      </c>
      <c r="X1269" t="s">
        <v>177</v>
      </c>
      <c r="Y1269">
        <v>9.0204419256000007E-2</v>
      </c>
      <c r="Z1269">
        <v>0</v>
      </c>
      <c r="AA1269" t="s">
        <v>178</v>
      </c>
      <c r="AB1269">
        <v>0.18040883851200001</v>
      </c>
      <c r="AC1269">
        <v>1.7740202453680001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Q1269" t="s">
        <v>262</v>
      </c>
      <c r="AR1269" t="s">
        <v>263</v>
      </c>
      <c r="AS1269">
        <v>1.4839963157894738</v>
      </c>
    </row>
    <row r="1270" spans="1:45" x14ac:dyDescent="0.15">
      <c r="A1270" s="4" t="str">
        <f>HYPERLINK("https://ibp.a2mac1.com/costing(costing:projects/details/9760/material/8755099)","Steel sheet (default)")</f>
        <v>Steel sheet (default)</v>
      </c>
      <c r="B1270">
        <v>8755099</v>
      </c>
      <c r="C1270">
        <v>12085442</v>
      </c>
      <c r="E1270">
        <v>0.52766000000000002</v>
      </c>
      <c r="F1270" t="s">
        <v>8707</v>
      </c>
      <c r="G1270">
        <v>80</v>
      </c>
      <c r="H1270" t="s">
        <v>8708</v>
      </c>
      <c r="I1270">
        <v>30</v>
      </c>
      <c r="J1270">
        <v>0.30705427283965386</v>
      </c>
      <c r="K1270">
        <v>0</v>
      </c>
      <c r="M1270">
        <v>0</v>
      </c>
      <c r="O1270">
        <v>200000</v>
      </c>
      <c r="R1270" t="s">
        <v>162</v>
      </c>
      <c r="S1270">
        <v>7.9149000000000008E-3</v>
      </c>
      <c r="T1270">
        <v>4.0629819999999999E-4</v>
      </c>
      <c r="U1270" t="s">
        <v>176</v>
      </c>
      <c r="V1270">
        <v>4.6170250000000003E-3</v>
      </c>
      <c r="W1270">
        <v>0.12902342319999999</v>
      </c>
      <c r="X1270" t="s">
        <v>177</v>
      </c>
      <c r="Y1270">
        <v>7.741405392E-3</v>
      </c>
      <c r="Z1270">
        <v>0</v>
      </c>
      <c r="AA1270" t="s">
        <v>178</v>
      </c>
      <c r="AB1270">
        <v>1.5482810784E-2</v>
      </c>
      <c r="AC1270">
        <v>0.152247639376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Q1270" t="s">
        <v>262</v>
      </c>
      <c r="AR1270" t="s">
        <v>263</v>
      </c>
      <c r="AS1270">
        <v>0.131915</v>
      </c>
    </row>
    <row r="1271" spans="1:45" x14ac:dyDescent="0.15">
      <c r="A1271" s="4" t="str">
        <f>HYPERLINK("https://ibp.a2mac1.com/costing(costing:projects/details/9760/material/8755100)","Steel sheet (default)")</f>
        <v>Steel sheet (default)</v>
      </c>
      <c r="B1271">
        <v>8755100</v>
      </c>
      <c r="C1271">
        <v>12085443</v>
      </c>
      <c r="E1271">
        <v>0.52766000000000002</v>
      </c>
      <c r="F1271" t="s">
        <v>8713</v>
      </c>
      <c r="G1271">
        <v>80</v>
      </c>
      <c r="H1271" t="s">
        <v>8714</v>
      </c>
      <c r="I1271">
        <v>30</v>
      </c>
      <c r="J1271">
        <v>0.30705427283965386</v>
      </c>
      <c r="K1271">
        <v>0</v>
      </c>
      <c r="M1271">
        <v>0</v>
      </c>
      <c r="O1271">
        <v>200000</v>
      </c>
      <c r="R1271" t="s">
        <v>162</v>
      </c>
      <c r="S1271">
        <v>5.9361750000000001E-3</v>
      </c>
      <c r="T1271">
        <v>3.0472365000000002E-4</v>
      </c>
      <c r="U1271" t="s">
        <v>176</v>
      </c>
      <c r="V1271">
        <v>3.4627687499999998E-3</v>
      </c>
      <c r="W1271">
        <v>9.6767567400000004E-2</v>
      </c>
      <c r="X1271" t="s">
        <v>177</v>
      </c>
      <c r="Y1271">
        <v>5.8060540440000004E-3</v>
      </c>
      <c r="Z1271">
        <v>0</v>
      </c>
      <c r="AA1271" t="s">
        <v>178</v>
      </c>
      <c r="AB1271">
        <v>1.1612108088000001E-2</v>
      </c>
      <c r="AC1271">
        <v>0.114185729532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Q1271" t="s">
        <v>262</v>
      </c>
      <c r="AR1271" t="s">
        <v>263</v>
      </c>
      <c r="AS1271">
        <v>9.8936250000000003E-2</v>
      </c>
    </row>
    <row r="1272" spans="1:45" x14ac:dyDescent="0.15">
      <c r="A1272" s="4" t="str">
        <f>HYPERLINK("https://ibp.a2mac1.com/costing(costing:projects/details/9760/material/8755101)","Steel sheet (default)")</f>
        <v>Steel sheet (default)</v>
      </c>
      <c r="B1272">
        <v>8755101</v>
      </c>
      <c r="C1272">
        <v>12085446</v>
      </c>
      <c r="E1272">
        <v>0.52766000000000002</v>
      </c>
      <c r="F1272" t="s">
        <v>4878</v>
      </c>
      <c r="G1272">
        <v>80</v>
      </c>
      <c r="H1272" t="s">
        <v>7046</v>
      </c>
      <c r="I1272">
        <v>30</v>
      </c>
      <c r="J1272">
        <v>0.30705427283965386</v>
      </c>
      <c r="K1272">
        <v>0</v>
      </c>
      <c r="M1272">
        <v>0</v>
      </c>
      <c r="O1272">
        <v>200000</v>
      </c>
      <c r="R1272" t="s">
        <v>162</v>
      </c>
      <c r="S1272">
        <v>1.9787250000000002E-3</v>
      </c>
      <c r="T1272">
        <v>1.0157455E-4</v>
      </c>
      <c r="U1272" t="s">
        <v>176</v>
      </c>
      <c r="V1272">
        <v>1.1542562500000001E-3</v>
      </c>
      <c r="W1272">
        <v>3.2255855799999997E-2</v>
      </c>
      <c r="X1272" t="s">
        <v>177</v>
      </c>
      <c r="Y1272">
        <v>1.935351348E-3</v>
      </c>
      <c r="Z1272">
        <v>0</v>
      </c>
      <c r="AA1272" t="s">
        <v>178</v>
      </c>
      <c r="AB1272">
        <v>3.870702696E-3</v>
      </c>
      <c r="AC1272">
        <v>3.8061909844E-2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Q1272" t="s">
        <v>262</v>
      </c>
      <c r="AR1272" t="s">
        <v>263</v>
      </c>
      <c r="AS1272">
        <v>3.2978750000000001E-2</v>
      </c>
    </row>
    <row r="1273" spans="1:45" x14ac:dyDescent="0.15">
      <c r="A1273" s="4" t="str">
        <f>HYPERLINK("https://ibp.a2mac1.com/costing(costing:projects/details/9760/material/8755102)","Steel sheet (default)")</f>
        <v>Steel sheet (default)</v>
      </c>
      <c r="B1273">
        <v>8755102</v>
      </c>
      <c r="C1273">
        <v>12085449</v>
      </c>
      <c r="E1273">
        <v>0.52766000000000002</v>
      </c>
      <c r="F1273" t="s">
        <v>4878</v>
      </c>
      <c r="G1273">
        <v>80</v>
      </c>
      <c r="H1273" t="s">
        <v>7046</v>
      </c>
      <c r="I1273">
        <v>30</v>
      </c>
      <c r="J1273">
        <v>0.30705427283965386</v>
      </c>
      <c r="K1273">
        <v>0</v>
      </c>
      <c r="M1273">
        <v>0</v>
      </c>
      <c r="O1273">
        <v>200000</v>
      </c>
      <c r="R1273" t="s">
        <v>162</v>
      </c>
      <c r="S1273">
        <v>1.9787250000000002E-3</v>
      </c>
      <c r="T1273">
        <v>1.0157455E-4</v>
      </c>
      <c r="U1273" t="s">
        <v>176</v>
      </c>
      <c r="V1273">
        <v>1.1542562500000001E-3</v>
      </c>
      <c r="W1273">
        <v>3.2255855799999997E-2</v>
      </c>
      <c r="X1273" t="s">
        <v>177</v>
      </c>
      <c r="Y1273">
        <v>1.935351348E-3</v>
      </c>
      <c r="Z1273">
        <v>0</v>
      </c>
      <c r="AA1273" t="s">
        <v>178</v>
      </c>
      <c r="AB1273">
        <v>3.870702696E-3</v>
      </c>
      <c r="AC1273">
        <v>3.8061909844E-2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Q1273" t="s">
        <v>262</v>
      </c>
      <c r="AR1273" t="s">
        <v>263</v>
      </c>
      <c r="AS1273">
        <v>3.2978750000000001E-2</v>
      </c>
    </row>
    <row r="1274" spans="1:45" x14ac:dyDescent="0.15">
      <c r="A1274" s="4" t="str">
        <f>HYPERLINK("https://ibp.a2mac1.com/costing(costing:projects/details/9760/material/8755103)","Steel sheet (default)")</f>
        <v>Steel sheet (default)</v>
      </c>
      <c r="B1274">
        <v>8755103</v>
      </c>
      <c r="C1274">
        <v>12085452</v>
      </c>
      <c r="E1274">
        <v>0.52766000000000002</v>
      </c>
      <c r="F1274" t="s">
        <v>4454</v>
      </c>
      <c r="G1274">
        <v>80</v>
      </c>
      <c r="H1274" t="s">
        <v>8727</v>
      </c>
      <c r="I1274">
        <v>30</v>
      </c>
      <c r="J1274">
        <v>0.30705427283965386</v>
      </c>
      <c r="K1274">
        <v>0</v>
      </c>
      <c r="M1274">
        <v>0</v>
      </c>
      <c r="O1274">
        <v>200000</v>
      </c>
      <c r="R1274" t="s">
        <v>162</v>
      </c>
      <c r="S1274">
        <v>9.8936250000000009E-4</v>
      </c>
      <c r="T1274">
        <v>5.0787274999999999E-5</v>
      </c>
      <c r="U1274" t="s">
        <v>176</v>
      </c>
      <c r="V1274">
        <v>5.7712812500000004E-4</v>
      </c>
      <c r="W1274">
        <v>1.6127927899999998E-2</v>
      </c>
      <c r="X1274" t="s">
        <v>177</v>
      </c>
      <c r="Y1274">
        <v>9.67675674E-4</v>
      </c>
      <c r="Z1274">
        <v>0</v>
      </c>
      <c r="AA1274" t="s">
        <v>178</v>
      </c>
      <c r="AB1274">
        <v>1.935351348E-3</v>
      </c>
      <c r="AC1274">
        <v>1.9030954922E-2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Q1274" t="s">
        <v>262</v>
      </c>
      <c r="AR1274" t="s">
        <v>263</v>
      </c>
      <c r="AS1274">
        <v>1.6489375000000001E-2</v>
      </c>
    </row>
    <row r="1275" spans="1:45" x14ac:dyDescent="0.15">
      <c r="A1275" s="4" t="str">
        <f>HYPERLINK("https://ibp.a2mac1.com/costing(costing:projects/details/9760/material/8754705)","PP")</f>
        <v>PP</v>
      </c>
      <c r="B1275">
        <v>8754705</v>
      </c>
      <c r="C1275">
        <v>12085182</v>
      </c>
      <c r="E1275">
        <v>1.0113799999999999</v>
      </c>
      <c r="F1275" t="s">
        <v>8753</v>
      </c>
      <c r="G1275">
        <v>95</v>
      </c>
      <c r="H1275" t="s">
        <v>8754</v>
      </c>
      <c r="I1275">
        <v>5</v>
      </c>
      <c r="J1275">
        <v>0.50345253019720215</v>
      </c>
      <c r="K1275">
        <v>0</v>
      </c>
      <c r="L1275">
        <v>0</v>
      </c>
      <c r="M1275">
        <v>0</v>
      </c>
      <c r="O1275">
        <v>200000</v>
      </c>
      <c r="R1275" t="s">
        <v>162</v>
      </c>
      <c r="S1275">
        <v>1.3227785789473685E-3</v>
      </c>
      <c r="T1275">
        <v>2.6773038437894739E-3</v>
      </c>
      <c r="U1275" t="s">
        <v>176</v>
      </c>
      <c r="V1275">
        <v>1.8518900105263157E-2</v>
      </c>
      <c r="W1275">
        <v>0.54898485694905264</v>
      </c>
      <c r="X1275" t="s">
        <v>177</v>
      </c>
      <c r="Y1275">
        <v>3.2939091416943157E-2</v>
      </c>
      <c r="Z1275">
        <v>0</v>
      </c>
      <c r="AA1275" t="s">
        <v>178</v>
      </c>
      <c r="AB1275">
        <v>6.5878182833886315E-2</v>
      </c>
      <c r="AC1275">
        <v>0.64780213119988206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Q1275" t="s">
        <v>262</v>
      </c>
      <c r="AR1275" t="s">
        <v>263</v>
      </c>
      <c r="AS1275">
        <v>0.52911143157894736</v>
      </c>
    </row>
    <row r="1276" spans="1:45" x14ac:dyDescent="0.15">
      <c r="A1276" s="4" t="str">
        <f>HYPERLINK("https://ibp.a2mac1.com/costing(costing:projects/details/9760/material/8754706)","PE")</f>
        <v>PE</v>
      </c>
      <c r="B1276">
        <v>8754706</v>
      </c>
      <c r="C1276">
        <v>12085183</v>
      </c>
      <c r="E1276">
        <v>1.2665</v>
      </c>
      <c r="F1276" t="s">
        <v>4372</v>
      </c>
      <c r="G1276">
        <v>95</v>
      </c>
      <c r="H1276" t="s">
        <v>4373</v>
      </c>
      <c r="I1276">
        <v>5</v>
      </c>
      <c r="J1276">
        <v>0.50345253019720215</v>
      </c>
      <c r="K1276">
        <v>0</v>
      </c>
      <c r="M1276">
        <v>0</v>
      </c>
      <c r="O1276">
        <v>200000</v>
      </c>
      <c r="R1276" t="s">
        <v>162</v>
      </c>
      <c r="S1276">
        <v>1.0331973684210527E-4</v>
      </c>
      <c r="T1276">
        <v>2.0911914736842106E-4</v>
      </c>
      <c r="U1276" t="s">
        <v>176</v>
      </c>
      <c r="V1276">
        <v>1.4464763157894737E-3</v>
      </c>
      <c r="W1276">
        <v>4.2880170463157896E-2</v>
      </c>
      <c r="X1276" t="s">
        <v>177</v>
      </c>
      <c r="Y1276">
        <v>2.5728102277894735E-3</v>
      </c>
      <c r="Z1276">
        <v>0</v>
      </c>
      <c r="AA1276" t="s">
        <v>178</v>
      </c>
      <c r="AB1276">
        <v>5.145620455578947E-3</v>
      </c>
      <c r="AC1276">
        <v>5.0598601146526319E-2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Q1276" t="s">
        <v>262</v>
      </c>
      <c r="AR1276" t="s">
        <v>263</v>
      </c>
      <c r="AS1276">
        <v>4.1327894736842105E-2</v>
      </c>
    </row>
    <row r="1277" spans="1:45" x14ac:dyDescent="0.15">
      <c r="A1277" s="4" t="str">
        <f>HYPERLINK("https://ibp.a2mac1.com/costing(costing:projects/details/9760/material/8754707)","PP")</f>
        <v>PP</v>
      </c>
      <c r="B1277">
        <v>8754707</v>
      </c>
      <c r="C1277">
        <v>12085184</v>
      </c>
      <c r="E1277">
        <v>1.0113799999999999</v>
      </c>
      <c r="F1277" t="s">
        <v>6189</v>
      </c>
      <c r="G1277">
        <v>95</v>
      </c>
      <c r="H1277" t="s">
        <v>6190</v>
      </c>
      <c r="I1277">
        <v>5</v>
      </c>
      <c r="J1277">
        <v>0.50345253019720215</v>
      </c>
      <c r="K1277">
        <v>0</v>
      </c>
      <c r="M1277">
        <v>0</v>
      </c>
      <c r="O1277">
        <v>200000</v>
      </c>
      <c r="R1277" t="s">
        <v>162</v>
      </c>
      <c r="S1277">
        <v>1.0646105263157894E-4</v>
      </c>
      <c r="T1277">
        <v>2.154771705263158E-4</v>
      </c>
      <c r="U1277" t="s">
        <v>176</v>
      </c>
      <c r="V1277">
        <v>1.4904547368421053E-3</v>
      </c>
      <c r="W1277">
        <v>4.4183891907368419E-2</v>
      </c>
      <c r="X1277" t="s">
        <v>177</v>
      </c>
      <c r="Y1277">
        <v>2.6510335144421054E-3</v>
      </c>
      <c r="Z1277">
        <v>0</v>
      </c>
      <c r="AA1277" t="s">
        <v>178</v>
      </c>
      <c r="AB1277">
        <v>5.3020670288842107E-3</v>
      </c>
      <c r="AC1277">
        <v>5.2136992450694739E-2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Q1277" t="s">
        <v>262</v>
      </c>
      <c r="AR1277" t="s">
        <v>263</v>
      </c>
      <c r="AS1277">
        <v>4.2584421052631577E-2</v>
      </c>
    </row>
    <row r="1278" spans="1:45" x14ac:dyDescent="0.15">
      <c r="A1278" s="4" t="str">
        <f>HYPERLINK("https://ibp.a2mac1.com/costing(costing:projects/details/9760/material/8754708)","POM")</f>
        <v>POM</v>
      </c>
      <c r="B1278">
        <v>8754708</v>
      </c>
      <c r="C1278">
        <v>12085185</v>
      </c>
      <c r="E1278">
        <v>2.12338</v>
      </c>
      <c r="F1278" t="s">
        <v>4592</v>
      </c>
      <c r="G1278">
        <v>95</v>
      </c>
      <c r="H1278" t="s">
        <v>4593</v>
      </c>
      <c r="I1278">
        <v>5</v>
      </c>
      <c r="J1278">
        <v>0.50048257265952256</v>
      </c>
      <c r="K1278">
        <v>0</v>
      </c>
      <c r="M1278">
        <v>0</v>
      </c>
      <c r="O1278">
        <v>400000</v>
      </c>
      <c r="R1278" t="s">
        <v>162</v>
      </c>
      <c r="S1278">
        <v>4.4702736842105262E-5</v>
      </c>
      <c r="T1278">
        <v>8.994190652631579E-5</v>
      </c>
      <c r="U1278" t="s">
        <v>176</v>
      </c>
      <c r="V1278">
        <v>6.2583831578947365E-4</v>
      </c>
      <c r="W1278">
        <v>1.8552172222315789E-2</v>
      </c>
      <c r="X1278" t="s">
        <v>177</v>
      </c>
      <c r="Y1278">
        <v>1.1131303333389473E-3</v>
      </c>
      <c r="Z1278">
        <v>0</v>
      </c>
      <c r="AA1278" t="s">
        <v>178</v>
      </c>
      <c r="AB1278">
        <v>2.2262606666778946E-3</v>
      </c>
      <c r="AC1278">
        <v>2.1891563222332631E-2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Q1278" t="s">
        <v>262</v>
      </c>
      <c r="AR1278" t="s">
        <v>263</v>
      </c>
      <c r="AS1278">
        <v>1.7881094736842105E-2</v>
      </c>
    </row>
    <row r="1279" spans="1:45" x14ac:dyDescent="0.15">
      <c r="A1279" s="4" t="str">
        <f>HYPERLINK("https://ibp.a2mac1.com/costing(costing:projects/details/9760/material/8754709)","EPDM")</f>
        <v>EPDM</v>
      </c>
      <c r="B1279">
        <v>8754709</v>
      </c>
      <c r="C1279">
        <v>12085186</v>
      </c>
      <c r="E1279">
        <v>2.78701</v>
      </c>
      <c r="F1279" t="s">
        <v>4249</v>
      </c>
      <c r="G1279">
        <v>95</v>
      </c>
      <c r="H1279" t="s">
        <v>4533</v>
      </c>
      <c r="I1279">
        <v>5</v>
      </c>
      <c r="J1279">
        <v>0.50345253019720215</v>
      </c>
      <c r="K1279">
        <v>0</v>
      </c>
      <c r="M1279">
        <v>0</v>
      </c>
      <c r="O1279">
        <v>200000</v>
      </c>
      <c r="R1279" t="s">
        <v>162</v>
      </c>
      <c r="S1279">
        <v>1.5401897368421053E-4</v>
      </c>
      <c r="T1279">
        <v>3.1173440273684212E-4</v>
      </c>
      <c r="U1279" t="s">
        <v>176</v>
      </c>
      <c r="V1279">
        <v>2.1562656315789472E-3</v>
      </c>
      <c r="W1279">
        <v>6.3921570534315783E-2</v>
      </c>
      <c r="X1279" t="s">
        <v>177</v>
      </c>
      <c r="Y1279">
        <v>3.8352942320589475E-3</v>
      </c>
      <c r="Z1279">
        <v>0</v>
      </c>
      <c r="AA1279" t="s">
        <v>178</v>
      </c>
      <c r="AB1279">
        <v>7.670588464117895E-3</v>
      </c>
      <c r="AC1279">
        <v>7.542745323049263E-2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Q1279" t="s">
        <v>262</v>
      </c>
      <c r="AR1279" t="s">
        <v>263</v>
      </c>
      <c r="AS1279">
        <v>6.1607589473684207E-2</v>
      </c>
    </row>
    <row r="1280" spans="1:45" x14ac:dyDescent="0.15">
      <c r="A1280" s="4" t="str">
        <f>HYPERLINK("https://ibp.a2mac1.com/costing(costing:projects/details/9760/material/8754710)","EPDM")</f>
        <v>EPDM</v>
      </c>
      <c r="B1280">
        <v>8754710</v>
      </c>
      <c r="C1280">
        <v>12085187</v>
      </c>
      <c r="E1280">
        <v>2.78701</v>
      </c>
      <c r="F1280" t="s">
        <v>4454</v>
      </c>
      <c r="G1280">
        <v>95</v>
      </c>
      <c r="H1280" t="s">
        <v>4455</v>
      </c>
      <c r="I1280">
        <v>5</v>
      </c>
      <c r="J1280">
        <v>0.50345253019720215</v>
      </c>
      <c r="K1280">
        <v>0</v>
      </c>
      <c r="M1280">
        <v>0</v>
      </c>
      <c r="O1280">
        <v>200000</v>
      </c>
      <c r="R1280" t="s">
        <v>162</v>
      </c>
      <c r="S1280">
        <v>1.8335592105263158E-4</v>
      </c>
      <c r="T1280">
        <v>3.7111238421052629E-4</v>
      </c>
      <c r="U1280" t="s">
        <v>176</v>
      </c>
      <c r="V1280">
        <v>2.5669828947368421E-3</v>
      </c>
      <c r="W1280">
        <v>7.6097107778947362E-2</v>
      </c>
      <c r="X1280" t="s">
        <v>177</v>
      </c>
      <c r="Y1280">
        <v>4.5658264667368421E-3</v>
      </c>
      <c r="Z1280">
        <v>0</v>
      </c>
      <c r="AA1280" t="s">
        <v>178</v>
      </c>
      <c r="AB1280">
        <v>9.1316529334736843E-3</v>
      </c>
      <c r="AC1280">
        <v>8.9794587179157892E-2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Q1280" t="s">
        <v>262</v>
      </c>
      <c r="AR1280" t="s">
        <v>263</v>
      </c>
      <c r="AS1280">
        <v>7.3342368421052628E-2</v>
      </c>
    </row>
    <row r="1281" spans="1:45" x14ac:dyDescent="0.15">
      <c r="A1281" s="4" t="str">
        <f>HYPERLINK("https://ibp.a2mac1.com/costing(costing:projects/details/9760/material/8754711)","EPDM")</f>
        <v>EPDM</v>
      </c>
      <c r="B1281">
        <v>8754711</v>
      </c>
      <c r="C1281">
        <v>12085188</v>
      </c>
      <c r="E1281">
        <v>2.78701</v>
      </c>
      <c r="F1281" t="s">
        <v>4243</v>
      </c>
      <c r="G1281">
        <v>95</v>
      </c>
      <c r="H1281" t="s">
        <v>4244</v>
      </c>
      <c r="I1281">
        <v>5</v>
      </c>
      <c r="J1281">
        <v>0.50345253019720215</v>
      </c>
      <c r="K1281">
        <v>0</v>
      </c>
      <c r="M1281">
        <v>0</v>
      </c>
      <c r="O1281">
        <v>200000</v>
      </c>
      <c r="R1281" t="s">
        <v>162</v>
      </c>
      <c r="S1281">
        <v>3.8138031578947368E-4</v>
      </c>
      <c r="T1281">
        <v>7.7191375915789469E-4</v>
      </c>
      <c r="U1281" t="s">
        <v>176</v>
      </c>
      <c r="V1281">
        <v>5.3393244210526315E-3</v>
      </c>
      <c r="W1281">
        <v>0.15828198418021053</v>
      </c>
      <c r="X1281" t="s">
        <v>177</v>
      </c>
      <c r="Y1281">
        <v>9.4969190508126314E-3</v>
      </c>
      <c r="Z1281">
        <v>0</v>
      </c>
      <c r="AA1281" t="s">
        <v>178</v>
      </c>
      <c r="AB1281">
        <v>1.8993838101625263E-2</v>
      </c>
      <c r="AC1281">
        <v>0.18677274133264843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Q1281" t="s">
        <v>262</v>
      </c>
      <c r="AR1281" t="s">
        <v>263</v>
      </c>
      <c r="AS1281">
        <v>0.15255212631578946</v>
      </c>
    </row>
    <row r="1282" spans="1:45" x14ac:dyDescent="0.15">
      <c r="A1282" s="4" t="str">
        <f>HYPERLINK("https://ibp.a2mac1.com/costing(costing:projects/details/9760/material/8754712)","PP")</f>
        <v>PP</v>
      </c>
      <c r="B1282">
        <v>8754712</v>
      </c>
      <c r="C1282">
        <v>12085189</v>
      </c>
      <c r="E1282">
        <v>1.0113799999999999</v>
      </c>
      <c r="F1282" t="s">
        <v>1460</v>
      </c>
      <c r="G1282">
        <v>95</v>
      </c>
      <c r="H1282" t="s">
        <v>1461</v>
      </c>
      <c r="I1282">
        <v>5</v>
      </c>
      <c r="J1282">
        <v>0.50345253019720215</v>
      </c>
      <c r="K1282">
        <v>0</v>
      </c>
      <c r="M1282">
        <v>0</v>
      </c>
      <c r="O1282">
        <v>200000</v>
      </c>
      <c r="R1282" t="s">
        <v>162</v>
      </c>
      <c r="S1282">
        <v>1.8630684210526316E-5</v>
      </c>
      <c r="T1282">
        <v>3.7708504842105266E-5</v>
      </c>
      <c r="U1282" t="s">
        <v>176</v>
      </c>
      <c r="V1282">
        <v>2.6082957894736842E-4</v>
      </c>
      <c r="W1282">
        <v>7.7321810837894739E-3</v>
      </c>
      <c r="X1282" t="s">
        <v>177</v>
      </c>
      <c r="Y1282">
        <v>4.639308650273684E-4</v>
      </c>
      <c r="Z1282">
        <v>0</v>
      </c>
      <c r="AA1282" t="s">
        <v>178</v>
      </c>
      <c r="AB1282">
        <v>9.2786173005473681E-4</v>
      </c>
      <c r="AC1282">
        <v>9.1239736788715792E-3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Q1282" t="s">
        <v>262</v>
      </c>
      <c r="AR1282" t="s">
        <v>263</v>
      </c>
      <c r="AS1282">
        <v>7.4522736842105265E-3</v>
      </c>
    </row>
  </sheetData>
  <mergeCells count="12">
    <mergeCell ref="A1:R2"/>
    <mergeCell ref="S1:AC1"/>
    <mergeCell ref="U3:V3"/>
    <mergeCell ref="S2:W2"/>
    <mergeCell ref="X3:Y3"/>
    <mergeCell ref="AA3:AB3"/>
    <mergeCell ref="X2:AB2"/>
    <mergeCell ref="AD1:AH1"/>
    <mergeCell ref="AD2:AG2"/>
    <mergeCell ref="AI1:AK2"/>
    <mergeCell ref="AL1:AP2"/>
    <mergeCell ref="AQ1:A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6453-795D-4935-9134-101929DEB0DC}">
  <dimension ref="A1:X765"/>
  <sheetViews>
    <sheetView workbookViewId="0"/>
  </sheetViews>
  <sheetFormatPr baseColWidth="10" defaultColWidth="8.83203125" defaultRowHeight="13" x14ac:dyDescent="0.15"/>
  <cols>
    <col min="1" max="1" width="6.5" customWidth="1"/>
    <col min="2" max="2" width="3.1640625" customWidth="1"/>
    <col min="3" max="3" width="17.1640625" customWidth="1"/>
    <col min="4" max="4" width="33.33203125" customWidth="1"/>
    <col min="5" max="5" width="8.6640625" customWidth="1"/>
    <col min="6" max="6" width="11.5" customWidth="1"/>
    <col min="7" max="7" width="19" customWidth="1"/>
    <col min="8" max="8" width="13.83203125" customWidth="1"/>
    <col min="9" max="9" width="31.83203125" customWidth="1"/>
    <col min="10" max="10" width="12" customWidth="1"/>
    <col min="11" max="11" width="12.6640625" customWidth="1"/>
    <col min="12" max="12" width="11.6640625" customWidth="1"/>
    <col min="13" max="13" width="12.33203125" customWidth="1"/>
    <col min="14" max="14" width="15.33203125" customWidth="1"/>
    <col min="15" max="15" width="11.5" customWidth="1"/>
    <col min="16" max="16" width="6.83203125" customWidth="1"/>
    <col min="17" max="17" width="17.33203125" customWidth="1"/>
    <col min="18" max="18" width="18.5" customWidth="1"/>
    <col min="19" max="19" width="12.6640625" customWidth="1"/>
    <col min="20" max="20" width="18.6640625" customWidth="1"/>
    <col min="21" max="21" width="13.83203125" customWidth="1"/>
    <col min="22" max="22" width="17.83203125" customWidth="1"/>
    <col min="23" max="23" width="14.33203125" customWidth="1"/>
    <col min="24" max="24" width="13.5" customWidth="1"/>
  </cols>
  <sheetData>
    <row r="1" spans="1:24" x14ac:dyDescent="0.15">
      <c r="A1" s="6" t="s">
        <v>302</v>
      </c>
      <c r="B1" s="6"/>
      <c r="C1" s="6"/>
      <c r="D1" s="6"/>
      <c r="E1" s="6"/>
      <c r="F1" s="6"/>
      <c r="G1" s="6"/>
      <c r="H1" s="6"/>
      <c r="I1" s="6"/>
      <c r="J1" s="6"/>
      <c r="K1" s="6" t="s">
        <v>304</v>
      </c>
      <c r="L1" s="6"/>
      <c r="M1" s="6"/>
      <c r="N1" s="6"/>
      <c r="O1" s="6"/>
      <c r="P1" s="6"/>
      <c r="Q1" s="6"/>
      <c r="R1" s="6" t="s">
        <v>64</v>
      </c>
      <c r="S1" s="6"/>
      <c r="T1" s="6"/>
      <c r="U1" s="6"/>
      <c r="V1" s="6"/>
      <c r="W1" s="6"/>
      <c r="X1" s="6"/>
    </row>
    <row r="2" spans="1:24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15">
      <c r="A3" s="1" t="s">
        <v>4</v>
      </c>
      <c r="B3" s="1" t="s">
        <v>12</v>
      </c>
      <c r="C3" s="1" t="s">
        <v>115</v>
      </c>
      <c r="D3" s="1" t="s">
        <v>298</v>
      </c>
      <c r="E3" s="1" t="s">
        <v>299</v>
      </c>
      <c r="F3" s="1" t="s">
        <v>14</v>
      </c>
      <c r="G3" s="1" t="s">
        <v>300</v>
      </c>
      <c r="H3" s="1" t="s">
        <v>301</v>
      </c>
      <c r="I3" s="1" t="s">
        <v>52</v>
      </c>
      <c r="J3" s="1" t="s">
        <v>63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237</v>
      </c>
      <c r="Q3" s="1" t="s">
        <v>303</v>
      </c>
      <c r="R3" s="1" t="s">
        <v>305</v>
      </c>
      <c r="S3" s="1" t="s">
        <v>306</v>
      </c>
      <c r="T3" s="1" t="s">
        <v>307</v>
      </c>
      <c r="U3" s="1" t="s">
        <v>308</v>
      </c>
      <c r="V3" s="1" t="s">
        <v>309</v>
      </c>
      <c r="W3" s="1" t="s">
        <v>70</v>
      </c>
      <c r="X3" s="1" t="s">
        <v>257</v>
      </c>
    </row>
    <row r="4" spans="1:24" x14ac:dyDescent="0.15">
      <c r="A4" s="4" t="str">
        <f>HYPERLINK("https://ibp.a2mac1.com/costing(costing:projects/details/9760/component/8751737)","Flange Nut M6")</f>
        <v>Flange Nut M6</v>
      </c>
      <c r="B4">
        <v>8751737</v>
      </c>
      <c r="D4">
        <v>0</v>
      </c>
      <c r="E4">
        <v>4.2169999999999999E-2</v>
      </c>
      <c r="F4" t="s">
        <v>310</v>
      </c>
      <c r="H4">
        <v>1</v>
      </c>
      <c r="I4">
        <v>200000</v>
      </c>
      <c r="J4" t="s">
        <v>76</v>
      </c>
      <c r="K4">
        <v>0</v>
      </c>
      <c r="L4">
        <v>0</v>
      </c>
      <c r="M4">
        <v>0</v>
      </c>
      <c r="N4">
        <v>0</v>
      </c>
      <c r="O4">
        <v>3.4499999999999999E-3</v>
      </c>
      <c r="Q4">
        <v>0</v>
      </c>
      <c r="R4">
        <v>0</v>
      </c>
      <c r="S4">
        <v>4.2169999999999999E-2</v>
      </c>
      <c r="T4">
        <v>8410908</v>
      </c>
    </row>
    <row r="5" spans="1:24" x14ac:dyDescent="0.15">
      <c r="A5" s="4" t="str">
        <f>HYPERLINK("https://ibp.a2mac1.com/costing(costing:projects/details/9760/component/8751738)","Flange Nut M6")</f>
        <v>Flange Nut M6</v>
      </c>
      <c r="B5">
        <v>8751738</v>
      </c>
      <c r="D5">
        <v>0</v>
      </c>
      <c r="E5">
        <v>4.2169999999999999E-2</v>
      </c>
      <c r="F5" t="s">
        <v>310</v>
      </c>
      <c r="H5">
        <v>1</v>
      </c>
      <c r="I5">
        <v>200000</v>
      </c>
      <c r="J5" t="s">
        <v>76</v>
      </c>
      <c r="K5">
        <v>0</v>
      </c>
      <c r="L5">
        <v>0</v>
      </c>
      <c r="M5">
        <v>0</v>
      </c>
      <c r="N5">
        <v>0</v>
      </c>
      <c r="O5">
        <v>3.4499999999999999E-3</v>
      </c>
      <c r="Q5">
        <v>0</v>
      </c>
      <c r="R5">
        <v>0</v>
      </c>
      <c r="S5">
        <v>4.2169999999999999E-2</v>
      </c>
      <c r="T5">
        <v>8410908</v>
      </c>
    </row>
    <row r="6" spans="1:24" x14ac:dyDescent="0.15">
      <c r="A6" s="4" t="str">
        <f>HYPERLINK("https://ibp.a2mac1.com/costing(costing:projects/details/9760/component/8751739)","Hex-head Bolt M6x20")</f>
        <v>Hex-head Bolt M6x20</v>
      </c>
      <c r="B6">
        <v>8751739</v>
      </c>
      <c r="D6">
        <v>0</v>
      </c>
      <c r="E6">
        <v>4.6039999999999998E-2</v>
      </c>
      <c r="F6" t="s">
        <v>312</v>
      </c>
      <c r="H6">
        <v>1</v>
      </c>
      <c r="I6">
        <v>200000</v>
      </c>
      <c r="J6" t="s">
        <v>76</v>
      </c>
      <c r="K6">
        <v>0</v>
      </c>
      <c r="L6">
        <v>0</v>
      </c>
      <c r="M6">
        <v>0</v>
      </c>
      <c r="N6">
        <v>0</v>
      </c>
      <c r="O6">
        <v>6.7400000000000003E-3</v>
      </c>
      <c r="Q6">
        <v>0</v>
      </c>
      <c r="R6">
        <v>0</v>
      </c>
      <c r="S6">
        <v>4.6039999999999998E-2</v>
      </c>
      <c r="T6">
        <v>8410908</v>
      </c>
    </row>
    <row r="7" spans="1:24" x14ac:dyDescent="0.15">
      <c r="A7" s="4" t="str">
        <f>HYPERLINK("https://ibp.a2mac1.com/costing(costing:projects/details/9760/component/8751753)","Copper")</f>
        <v>Copper</v>
      </c>
      <c r="B7">
        <v>8751753</v>
      </c>
      <c r="D7">
        <v>0</v>
      </c>
      <c r="E7">
        <v>49.888800000000003</v>
      </c>
      <c r="H7">
        <v>1</v>
      </c>
      <c r="I7">
        <v>200000</v>
      </c>
      <c r="J7" t="s">
        <v>76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49.888800000000003</v>
      </c>
      <c r="T7">
        <v>8410925</v>
      </c>
    </row>
    <row r="8" spans="1:24" x14ac:dyDescent="0.15">
      <c r="A8" s="4" t="str">
        <f>HYPERLINK("https://ibp.a2mac1.com/costing(costing:projects/details/9760/component/8751754)","Material")</f>
        <v>Material</v>
      </c>
      <c r="B8">
        <v>8751754</v>
      </c>
      <c r="D8">
        <v>0</v>
      </c>
      <c r="E8">
        <v>172.39429999999999</v>
      </c>
      <c r="F8" t="s">
        <v>319</v>
      </c>
      <c r="H8">
        <v>1</v>
      </c>
      <c r="I8">
        <v>200000</v>
      </c>
      <c r="J8" t="s">
        <v>76</v>
      </c>
      <c r="K8">
        <v>0</v>
      </c>
      <c r="L8">
        <v>0</v>
      </c>
      <c r="M8">
        <v>0</v>
      </c>
      <c r="N8">
        <v>0</v>
      </c>
      <c r="O8">
        <v>0</v>
      </c>
      <c r="P8" t="s">
        <v>320</v>
      </c>
      <c r="Q8">
        <v>0</v>
      </c>
      <c r="R8">
        <v>0</v>
      </c>
      <c r="S8">
        <v>169.3152680277156</v>
      </c>
      <c r="T8">
        <v>8410925</v>
      </c>
    </row>
    <row r="9" spans="1:24" x14ac:dyDescent="0.15">
      <c r="A9" s="4" t="str">
        <f>HYPERLINK("https://ibp.a2mac1.com/costing(costing:projects/details/9760/component/8751755)","Material")</f>
        <v>Material</v>
      </c>
      <c r="B9">
        <v>8751755</v>
      </c>
      <c r="D9">
        <v>0</v>
      </c>
      <c r="E9">
        <v>59.460700000000003</v>
      </c>
      <c r="F9" t="s">
        <v>319</v>
      </c>
      <c r="H9">
        <v>1</v>
      </c>
      <c r="I9">
        <v>200000</v>
      </c>
      <c r="J9" t="s">
        <v>76</v>
      </c>
      <c r="K9">
        <v>0</v>
      </c>
      <c r="L9">
        <v>0</v>
      </c>
      <c r="M9">
        <v>0</v>
      </c>
      <c r="N9">
        <v>0</v>
      </c>
      <c r="O9">
        <v>0</v>
      </c>
      <c r="P9" t="s">
        <v>320</v>
      </c>
      <c r="Q9">
        <v>0</v>
      </c>
      <c r="R9">
        <v>0</v>
      </c>
      <c r="S9">
        <v>58.39870783207791</v>
      </c>
      <c r="T9">
        <v>8410926</v>
      </c>
    </row>
    <row r="10" spans="1:24" x14ac:dyDescent="0.15">
      <c r="A10" s="4" t="str">
        <f>HYPERLINK("https://ibp.a2mac1.com/costing(costing:projects/details/9760/component/8751756)","Copper")</f>
        <v>Copper</v>
      </c>
      <c r="B10">
        <v>8751756</v>
      </c>
      <c r="D10">
        <v>0</v>
      </c>
      <c r="E10">
        <v>10.7666</v>
      </c>
      <c r="H10">
        <v>1</v>
      </c>
      <c r="I10">
        <v>200000</v>
      </c>
      <c r="J10" t="s">
        <v>76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10.7666</v>
      </c>
      <c r="T10">
        <v>8410926</v>
      </c>
    </row>
    <row r="11" spans="1:24" x14ac:dyDescent="0.15">
      <c r="A11" s="4" t="str">
        <f>HYPERLINK("https://ibp.a2mac1.com/costing(costing:projects/details/9760/component/8751757)","Material")</f>
        <v>Material</v>
      </c>
      <c r="B11">
        <v>8751757</v>
      </c>
      <c r="D11">
        <v>0</v>
      </c>
      <c r="E11">
        <v>1.1375</v>
      </c>
      <c r="F11" t="s">
        <v>319</v>
      </c>
      <c r="H11">
        <v>1</v>
      </c>
      <c r="I11">
        <v>200000</v>
      </c>
      <c r="J11" t="s">
        <v>76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320</v>
      </c>
      <c r="Q11">
        <v>0</v>
      </c>
      <c r="R11">
        <v>0</v>
      </c>
      <c r="S11">
        <v>1.1171837896121073</v>
      </c>
      <c r="T11">
        <v>8410927</v>
      </c>
    </row>
    <row r="12" spans="1:24" x14ac:dyDescent="0.15">
      <c r="A12" s="4" t="str">
        <f>HYPERLINK("https://ibp.a2mac1.com/costing(costing:projects/details/9760/component/8751758)","Copper")</f>
        <v>Copper</v>
      </c>
      <c r="B12">
        <v>8751758</v>
      </c>
      <c r="D12">
        <v>0</v>
      </c>
      <c r="E12">
        <v>7.8E-2</v>
      </c>
      <c r="H12">
        <v>1</v>
      </c>
      <c r="I12">
        <v>200000</v>
      </c>
      <c r="J12" t="s">
        <v>76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7.8E-2</v>
      </c>
      <c r="T12">
        <v>8410927</v>
      </c>
    </row>
    <row r="13" spans="1:24" x14ac:dyDescent="0.15">
      <c r="A13" s="4" t="str">
        <f>HYPERLINK("https://ibp.a2mac1.com/costing(costing:projects/details/9760/component/8751759)","Copper")</f>
        <v>Copper</v>
      </c>
      <c r="B13">
        <v>8751759</v>
      </c>
      <c r="D13">
        <v>0</v>
      </c>
      <c r="E13">
        <v>1.2323999999999999</v>
      </c>
      <c r="H13">
        <v>1</v>
      </c>
      <c r="I13">
        <v>200000</v>
      </c>
      <c r="J13" t="s">
        <v>76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1.2323999999999999</v>
      </c>
      <c r="T13">
        <v>8410928</v>
      </c>
    </row>
    <row r="14" spans="1:24" x14ac:dyDescent="0.15">
      <c r="A14" s="4" t="str">
        <f>HYPERLINK("https://ibp.a2mac1.com/costing(costing:projects/details/9760/component/8751760)","Material")</f>
        <v>Material</v>
      </c>
      <c r="B14">
        <v>8751760</v>
      </c>
      <c r="D14">
        <v>0</v>
      </c>
      <c r="E14">
        <v>6.2777000000000003</v>
      </c>
      <c r="F14" t="s">
        <v>319</v>
      </c>
      <c r="H14">
        <v>1</v>
      </c>
      <c r="I14">
        <v>200000</v>
      </c>
      <c r="J14" t="s">
        <v>76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320</v>
      </c>
      <c r="Q14">
        <v>0</v>
      </c>
      <c r="R14">
        <v>0</v>
      </c>
      <c r="S14">
        <v>6.1655777371849894</v>
      </c>
      <c r="T14">
        <v>8410928</v>
      </c>
    </row>
    <row r="15" spans="1:24" x14ac:dyDescent="0.15">
      <c r="A15" s="4" t="str">
        <f>HYPERLINK("https://ibp.a2mac1.com/costing(costing:projects/details/9760/component/8751761)","Material")</f>
        <v>Material</v>
      </c>
      <c r="B15">
        <v>8751761</v>
      </c>
      <c r="D15">
        <v>0</v>
      </c>
      <c r="E15">
        <v>10.784800000000001</v>
      </c>
      <c r="F15" t="s">
        <v>319</v>
      </c>
      <c r="H15">
        <v>1</v>
      </c>
      <c r="I15">
        <v>200000</v>
      </c>
      <c r="J15" t="s">
        <v>76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320</v>
      </c>
      <c r="Q15">
        <v>0</v>
      </c>
      <c r="R15">
        <v>0</v>
      </c>
      <c r="S15">
        <v>10.592179106996619</v>
      </c>
      <c r="T15">
        <v>8410929</v>
      </c>
    </row>
    <row r="16" spans="1:24" x14ac:dyDescent="0.15">
      <c r="A16" s="4" t="str">
        <f>HYPERLINK("https://ibp.a2mac1.com/costing(costing:projects/details/9760/component/8751762)","Copper")</f>
        <v>Copper</v>
      </c>
      <c r="B16">
        <v>8751762</v>
      </c>
      <c r="D16">
        <v>0</v>
      </c>
      <c r="E16">
        <v>1.1141000000000001</v>
      </c>
      <c r="H16">
        <v>1</v>
      </c>
      <c r="I16">
        <v>200000</v>
      </c>
      <c r="J16" t="s">
        <v>76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1.1141000000000001</v>
      </c>
      <c r="T16">
        <v>8410929</v>
      </c>
    </row>
    <row r="17" spans="1:20" x14ac:dyDescent="0.15">
      <c r="A17" s="4" t="str">
        <f>HYPERLINK("https://ibp.a2mac1.com/costing(costing:projects/details/9760/component/8751763)","Material")</f>
        <v>Material</v>
      </c>
      <c r="B17">
        <v>8751763</v>
      </c>
      <c r="D17">
        <v>0</v>
      </c>
      <c r="E17">
        <v>1.9123000000000001</v>
      </c>
      <c r="F17" t="s">
        <v>319</v>
      </c>
      <c r="H17">
        <v>1</v>
      </c>
      <c r="I17">
        <v>400000</v>
      </c>
      <c r="J17" t="s">
        <v>76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320</v>
      </c>
      <c r="Q17">
        <v>0</v>
      </c>
      <c r="R17">
        <v>0</v>
      </c>
      <c r="S17">
        <v>1.8446011083802472</v>
      </c>
      <c r="T17">
        <v>8410930</v>
      </c>
    </row>
    <row r="18" spans="1:20" x14ac:dyDescent="0.15">
      <c r="A18" s="4" t="str">
        <f>HYPERLINK("https://ibp.a2mac1.com/costing(costing:projects/details/9760/component/8751764)","Copper")</f>
        <v>Copper</v>
      </c>
      <c r="B18">
        <v>8751764</v>
      </c>
      <c r="D18">
        <v>0</v>
      </c>
      <c r="E18">
        <v>0.28079999999999999</v>
      </c>
      <c r="H18">
        <v>1</v>
      </c>
      <c r="I18">
        <v>400000</v>
      </c>
      <c r="J18" t="s">
        <v>76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0.28079999999999999</v>
      </c>
      <c r="T18">
        <v>8410930</v>
      </c>
    </row>
    <row r="19" spans="1:20" x14ac:dyDescent="0.15">
      <c r="A19" s="4" t="str">
        <f>HYPERLINK("https://ibp.a2mac1.com/costing(costing:projects/details/9760/component/8751765)","Material")</f>
        <v>Material</v>
      </c>
      <c r="B19">
        <v>8751765</v>
      </c>
      <c r="D19">
        <v>0</v>
      </c>
      <c r="E19">
        <v>3.5204</v>
      </c>
      <c r="F19" t="s">
        <v>319</v>
      </c>
      <c r="H19">
        <v>1</v>
      </c>
      <c r="I19">
        <v>200000</v>
      </c>
      <c r="J19" t="s">
        <v>76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320</v>
      </c>
      <c r="Q19">
        <v>0</v>
      </c>
      <c r="R19">
        <v>0</v>
      </c>
      <c r="S19">
        <v>3.4575242311652419</v>
      </c>
      <c r="T19">
        <v>8410931</v>
      </c>
    </row>
    <row r="20" spans="1:20" x14ac:dyDescent="0.15">
      <c r="A20" s="4" t="str">
        <f>HYPERLINK("https://ibp.a2mac1.com/costing(costing:projects/details/9760/component/8751766)","Copper")</f>
        <v>Copper</v>
      </c>
      <c r="B20">
        <v>8751766</v>
      </c>
      <c r="D20">
        <v>0</v>
      </c>
      <c r="E20">
        <v>0.35749999999999998</v>
      </c>
      <c r="H20">
        <v>1</v>
      </c>
      <c r="I20">
        <v>200000</v>
      </c>
      <c r="J20" t="s">
        <v>76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0.35749999999999998</v>
      </c>
      <c r="T20">
        <v>8410931</v>
      </c>
    </row>
    <row r="21" spans="1:20" x14ac:dyDescent="0.15">
      <c r="A21" s="4" t="str">
        <f>HYPERLINK("https://ibp.a2mac1.com/costing(costing:projects/details/9760/component/8751767)","Material")</f>
        <v>Material</v>
      </c>
      <c r="B21">
        <v>8751767</v>
      </c>
      <c r="D21">
        <v>0</v>
      </c>
      <c r="E21">
        <v>9.3886000000000003</v>
      </c>
      <c r="F21" t="s">
        <v>319</v>
      </c>
      <c r="H21">
        <v>1</v>
      </c>
      <c r="I21">
        <v>200000</v>
      </c>
      <c r="J21" t="s">
        <v>76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320</v>
      </c>
      <c r="Q21">
        <v>0</v>
      </c>
      <c r="R21">
        <v>0</v>
      </c>
      <c r="S21">
        <v>9.2209158040898735</v>
      </c>
      <c r="T21">
        <v>8410932</v>
      </c>
    </row>
    <row r="22" spans="1:20" x14ac:dyDescent="0.15">
      <c r="A22" s="4" t="str">
        <f>HYPERLINK("https://ibp.a2mac1.com/costing(costing:projects/details/9760/component/8751768)","Copper")</f>
        <v>Copper</v>
      </c>
      <c r="B22">
        <v>8751768</v>
      </c>
      <c r="D22">
        <v>0</v>
      </c>
      <c r="E22">
        <v>2.5558000000000001</v>
      </c>
      <c r="H22">
        <v>1</v>
      </c>
      <c r="I22">
        <v>200000</v>
      </c>
      <c r="J22" t="s">
        <v>76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2.5558000000000001</v>
      </c>
      <c r="T22">
        <v>8410932</v>
      </c>
    </row>
    <row r="23" spans="1:20" x14ac:dyDescent="0.15">
      <c r="A23" s="4" t="str">
        <f>HYPERLINK("https://ibp.a2mac1.com/costing(costing:projects/details/9760/component/8751769)","Material")</f>
        <v>Material</v>
      </c>
      <c r="B23">
        <v>8751769</v>
      </c>
      <c r="D23">
        <v>0</v>
      </c>
      <c r="E23">
        <v>2.8197000000000001</v>
      </c>
      <c r="F23" t="s">
        <v>319</v>
      </c>
      <c r="H23">
        <v>1</v>
      </c>
      <c r="I23">
        <v>400000</v>
      </c>
      <c r="J23" t="s">
        <v>76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320</v>
      </c>
      <c r="Q23">
        <v>0</v>
      </c>
      <c r="R23">
        <v>0</v>
      </c>
      <c r="S23">
        <v>2.7198775010718941</v>
      </c>
      <c r="T23">
        <v>8410933</v>
      </c>
    </row>
    <row r="24" spans="1:20" x14ac:dyDescent="0.15">
      <c r="A24" s="4" t="str">
        <f>HYPERLINK("https://ibp.a2mac1.com/costing(costing:projects/details/9760/component/8751770)","Copper")</f>
        <v>Copper</v>
      </c>
      <c r="B24">
        <v>8751770</v>
      </c>
      <c r="D24">
        <v>0</v>
      </c>
      <c r="E24">
        <v>0.15210000000000001</v>
      </c>
      <c r="H24">
        <v>1</v>
      </c>
      <c r="I24">
        <v>400000</v>
      </c>
      <c r="J24" t="s">
        <v>76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0.15210000000000001</v>
      </c>
      <c r="T24">
        <v>8410933</v>
      </c>
    </row>
    <row r="25" spans="1:20" x14ac:dyDescent="0.15">
      <c r="A25" s="4" t="str">
        <f>HYPERLINK("https://ibp.a2mac1.com/costing(costing:projects/details/9760/component/8751771)","Material")</f>
        <v>Material</v>
      </c>
      <c r="B25">
        <v>8751771</v>
      </c>
      <c r="D25">
        <v>0</v>
      </c>
      <c r="E25">
        <v>2.4921000000000002</v>
      </c>
      <c r="F25" t="s">
        <v>319</v>
      </c>
      <c r="H25">
        <v>1</v>
      </c>
      <c r="I25">
        <v>200000</v>
      </c>
      <c r="J25" t="s">
        <v>76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320</v>
      </c>
      <c r="Q25">
        <v>0</v>
      </c>
      <c r="R25">
        <v>0</v>
      </c>
      <c r="S25">
        <v>2.4475900853558965</v>
      </c>
      <c r="T25">
        <v>8410934</v>
      </c>
    </row>
    <row r="26" spans="1:20" x14ac:dyDescent="0.15">
      <c r="A26" s="4" t="str">
        <f>HYPERLINK("https://ibp.a2mac1.com/costing(costing:projects/details/9760/component/8751772)","Copper")</f>
        <v>Copper</v>
      </c>
      <c r="B26">
        <v>8751772</v>
      </c>
      <c r="D26">
        <v>0</v>
      </c>
      <c r="E26">
        <v>0.15210000000000001</v>
      </c>
      <c r="H26">
        <v>1</v>
      </c>
      <c r="I26">
        <v>200000</v>
      </c>
      <c r="J26" t="s">
        <v>76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0.15210000000000001</v>
      </c>
      <c r="T26">
        <v>8410934</v>
      </c>
    </row>
    <row r="27" spans="1:20" x14ac:dyDescent="0.15">
      <c r="A27" s="4" t="str">
        <f>HYPERLINK("https://ibp.a2mac1.com/costing(costing:projects/details/9760/component/8751773)","Material")</f>
        <v>Material</v>
      </c>
      <c r="B27">
        <v>8751773</v>
      </c>
      <c r="D27">
        <v>0</v>
      </c>
      <c r="E27">
        <v>4.4733000000000001</v>
      </c>
      <c r="F27" t="s">
        <v>319</v>
      </c>
      <c r="H27">
        <v>1</v>
      </c>
      <c r="I27">
        <v>200000</v>
      </c>
      <c r="J27" t="s">
        <v>76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320</v>
      </c>
      <c r="Q27">
        <v>0</v>
      </c>
      <c r="R27">
        <v>0</v>
      </c>
      <c r="S27">
        <v>4.3934050514917269</v>
      </c>
      <c r="T27">
        <v>8410935</v>
      </c>
    </row>
    <row r="28" spans="1:20" x14ac:dyDescent="0.15">
      <c r="A28" s="4" t="str">
        <f>HYPERLINK("https://ibp.a2mac1.com/costing(costing:projects/details/9760/component/8751774)","Copper")</f>
        <v>Copper</v>
      </c>
      <c r="B28">
        <v>8751774</v>
      </c>
      <c r="D28">
        <v>0</v>
      </c>
      <c r="E28">
        <v>0.60189999999999999</v>
      </c>
      <c r="H28">
        <v>1</v>
      </c>
      <c r="I28">
        <v>200000</v>
      </c>
      <c r="J28" t="s">
        <v>76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0.60189999999999999</v>
      </c>
      <c r="T28">
        <v>8410935</v>
      </c>
    </row>
    <row r="29" spans="1:20" x14ac:dyDescent="0.15">
      <c r="A29" s="4" t="str">
        <f>HYPERLINK("https://ibp.a2mac1.com/costing(costing:projects/details/9760/component/8751775)","Mechanics")</f>
        <v>Mechanics</v>
      </c>
      <c r="B29">
        <v>8751775</v>
      </c>
      <c r="D29">
        <v>0</v>
      </c>
      <c r="E29">
        <v>0.11</v>
      </c>
      <c r="F29" t="s">
        <v>361</v>
      </c>
      <c r="H29">
        <v>1</v>
      </c>
      <c r="I29">
        <v>200000</v>
      </c>
      <c r="J29" t="s">
        <v>76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362</v>
      </c>
      <c r="Q29">
        <v>0</v>
      </c>
      <c r="R29">
        <v>0</v>
      </c>
      <c r="S29">
        <v>0.10801733000752411</v>
      </c>
      <c r="T29">
        <v>8410937</v>
      </c>
    </row>
    <row r="30" spans="1:20" x14ac:dyDescent="0.15">
      <c r="A30" s="4" t="str">
        <f>HYPERLINK("https://ibp.a2mac1.com/costing(costing:projects/details/9760/component/8751776)","Electronics")</f>
        <v>Electronics</v>
      </c>
      <c r="B30">
        <v>8751776</v>
      </c>
      <c r="D30">
        <v>0</v>
      </c>
      <c r="E30">
        <v>6.55</v>
      </c>
      <c r="F30" t="s">
        <v>363</v>
      </c>
      <c r="H30">
        <v>1</v>
      </c>
      <c r="I30">
        <v>200000</v>
      </c>
      <c r="J30" t="s">
        <v>76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364</v>
      </c>
      <c r="Q30">
        <v>0</v>
      </c>
      <c r="R30">
        <v>0</v>
      </c>
      <c r="S30">
        <v>6.1466816969653015</v>
      </c>
      <c r="T30">
        <v>8410937</v>
      </c>
    </row>
    <row r="31" spans="1:20" x14ac:dyDescent="0.15">
      <c r="A31" s="4" t="str">
        <f>HYPERLINK("https://ibp.a2mac1.com/costing(costing:projects/details/9760/component/8751795)","Mechanics")</f>
        <v>Mechanics</v>
      </c>
      <c r="B31">
        <v>8751795</v>
      </c>
      <c r="D31">
        <v>0</v>
      </c>
      <c r="E31">
        <v>2.09</v>
      </c>
      <c r="F31" t="s">
        <v>361</v>
      </c>
      <c r="H31">
        <v>1</v>
      </c>
      <c r="I31">
        <v>200000</v>
      </c>
      <c r="J31" t="s">
        <v>76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362</v>
      </c>
      <c r="Q31">
        <v>0</v>
      </c>
      <c r="R31">
        <v>0</v>
      </c>
      <c r="S31">
        <v>2.0523292701429581</v>
      </c>
      <c r="T31">
        <v>8410995</v>
      </c>
    </row>
    <row r="32" spans="1:20" x14ac:dyDescent="0.15">
      <c r="A32" s="4" t="str">
        <f>HYPERLINK("https://ibp.a2mac1.com/costing(costing:projects/details/9760/component/8751796)","Electronics")</f>
        <v>Electronics</v>
      </c>
      <c r="B32">
        <v>8751796</v>
      </c>
      <c r="D32">
        <v>0</v>
      </c>
      <c r="E32">
        <v>56</v>
      </c>
      <c r="F32" t="s">
        <v>363</v>
      </c>
      <c r="H32">
        <v>1</v>
      </c>
      <c r="I32">
        <v>200000</v>
      </c>
      <c r="J32" t="s">
        <v>76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364</v>
      </c>
      <c r="Q32">
        <v>0</v>
      </c>
      <c r="R32">
        <v>0</v>
      </c>
      <c r="S32">
        <v>52.551782447336933</v>
      </c>
      <c r="T32">
        <v>8410995</v>
      </c>
    </row>
    <row r="33" spans="1:20" x14ac:dyDescent="0.15">
      <c r="A33" s="4" t="str">
        <f>HYPERLINK("https://ibp.a2mac1.com/costing(costing:projects/details/9760/component/8751797)","Electronics")</f>
        <v>Electronics</v>
      </c>
      <c r="B33">
        <v>8751797</v>
      </c>
      <c r="D33">
        <v>0</v>
      </c>
      <c r="E33">
        <v>56.49</v>
      </c>
      <c r="F33" t="s">
        <v>363</v>
      </c>
      <c r="H33">
        <v>1</v>
      </c>
      <c r="I33">
        <v>200000</v>
      </c>
      <c r="J33" t="s">
        <v>76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364</v>
      </c>
      <c r="Q33">
        <v>0</v>
      </c>
      <c r="R33">
        <v>0</v>
      </c>
      <c r="S33">
        <v>53.011610543751125</v>
      </c>
      <c r="T33">
        <v>8410996</v>
      </c>
    </row>
    <row r="34" spans="1:20" x14ac:dyDescent="0.15">
      <c r="A34" s="4" t="str">
        <f>HYPERLINK("https://ibp.a2mac1.com/costing(costing:projects/details/9760/component/8751798)","Mechanics")</f>
        <v>Mechanics</v>
      </c>
      <c r="B34">
        <v>8751798</v>
      </c>
      <c r="D34">
        <v>0</v>
      </c>
      <c r="E34">
        <v>2.12</v>
      </c>
      <c r="F34" t="s">
        <v>361</v>
      </c>
      <c r="H34">
        <v>1</v>
      </c>
      <c r="I34">
        <v>200000</v>
      </c>
      <c r="J34" t="s">
        <v>76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362</v>
      </c>
      <c r="Q34">
        <v>0</v>
      </c>
      <c r="R34">
        <v>0</v>
      </c>
      <c r="S34">
        <v>2.0817885419631921</v>
      </c>
      <c r="T34">
        <v>8410996</v>
      </c>
    </row>
    <row r="35" spans="1:20" x14ac:dyDescent="0.15">
      <c r="A35" s="4" t="str">
        <f>HYPERLINK("https://ibp.a2mac1.com/costing(costing:projects/details/9760/component/8751799)","Electronics")</f>
        <v>Electronics</v>
      </c>
      <c r="B35">
        <v>8751799</v>
      </c>
      <c r="D35">
        <v>0</v>
      </c>
      <c r="E35">
        <v>75.040000000000006</v>
      </c>
      <c r="F35" t="s">
        <v>363</v>
      </c>
      <c r="H35">
        <v>1</v>
      </c>
      <c r="I35">
        <v>200000</v>
      </c>
      <c r="J35" t="s">
        <v>76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364</v>
      </c>
      <c r="Q35">
        <v>0</v>
      </c>
      <c r="R35">
        <v>0</v>
      </c>
      <c r="S35">
        <v>70.41938847943149</v>
      </c>
      <c r="T35">
        <v>8410997</v>
      </c>
    </row>
    <row r="36" spans="1:20" x14ac:dyDescent="0.15">
      <c r="A36" s="4" t="str">
        <f>HYPERLINK("https://ibp.a2mac1.com/costing(costing:projects/details/9760/component/8751800)","Mechanics")</f>
        <v>Mechanics</v>
      </c>
      <c r="B36">
        <v>8751800</v>
      </c>
      <c r="D36">
        <v>0</v>
      </c>
      <c r="E36">
        <v>9.27</v>
      </c>
      <c r="F36" t="s">
        <v>361</v>
      </c>
      <c r="H36">
        <v>1</v>
      </c>
      <c r="I36">
        <v>200000</v>
      </c>
      <c r="J36" t="s">
        <v>76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362</v>
      </c>
      <c r="Q36">
        <v>0</v>
      </c>
      <c r="R36">
        <v>0</v>
      </c>
      <c r="S36">
        <v>9.1029149924522592</v>
      </c>
      <c r="T36">
        <v>8410997</v>
      </c>
    </row>
    <row r="37" spans="1:20" x14ac:dyDescent="0.15">
      <c r="A37" s="4" t="str">
        <f>HYPERLINK("https://ibp.a2mac1.com/costing(costing:projects/details/9760/component/8751777)","Hex Nut M6")</f>
        <v>Hex Nut M6</v>
      </c>
      <c r="B37">
        <v>8751777</v>
      </c>
      <c r="D37">
        <v>0</v>
      </c>
      <c r="E37">
        <v>3.9989999999999998E-2</v>
      </c>
      <c r="F37" t="s">
        <v>377</v>
      </c>
      <c r="H37">
        <v>1</v>
      </c>
      <c r="I37">
        <v>200000</v>
      </c>
      <c r="J37" t="s">
        <v>76</v>
      </c>
      <c r="K37">
        <v>0</v>
      </c>
      <c r="L37">
        <v>0</v>
      </c>
      <c r="M37">
        <v>0</v>
      </c>
      <c r="N37">
        <v>0</v>
      </c>
      <c r="O37">
        <v>3.0300000000000001E-3</v>
      </c>
      <c r="Q37">
        <v>0</v>
      </c>
      <c r="R37">
        <v>0</v>
      </c>
      <c r="S37">
        <v>3.9989999999999998E-2</v>
      </c>
      <c r="T37">
        <v>8410938</v>
      </c>
    </row>
    <row r="38" spans="1:20" x14ac:dyDescent="0.15">
      <c r="A38" s="4" t="str">
        <f>HYPERLINK("https://ibp.a2mac1.com/costing(costing:projects/details/9760/component/8751778)","Round head Screw M6x18")</f>
        <v>Round head Screw M6x18</v>
      </c>
      <c r="B38">
        <v>8751778</v>
      </c>
      <c r="D38">
        <v>0</v>
      </c>
      <c r="E38">
        <v>3.7109999999999997E-2</v>
      </c>
      <c r="F38" t="s">
        <v>378</v>
      </c>
      <c r="H38">
        <v>1</v>
      </c>
      <c r="I38">
        <v>200000</v>
      </c>
      <c r="J38" t="s">
        <v>76</v>
      </c>
      <c r="K38">
        <v>0</v>
      </c>
      <c r="L38">
        <v>0</v>
      </c>
      <c r="M38">
        <v>0</v>
      </c>
      <c r="N38">
        <v>0</v>
      </c>
      <c r="O38">
        <v>4.5599999999999998E-3</v>
      </c>
      <c r="Q38">
        <v>0</v>
      </c>
      <c r="R38">
        <v>0</v>
      </c>
      <c r="S38">
        <v>3.7109999999999997E-2</v>
      </c>
      <c r="T38">
        <v>8410938</v>
      </c>
    </row>
    <row r="39" spans="1:20" x14ac:dyDescent="0.15">
      <c r="A39" s="4" t="str">
        <f>HYPERLINK("https://ibp.a2mac1.com/costing(costing:projects/details/9760/component/8751779)","Round head Screw M6x18")</f>
        <v>Round head Screw M6x18</v>
      </c>
      <c r="B39">
        <v>8751779</v>
      </c>
      <c r="D39">
        <v>0</v>
      </c>
      <c r="E39">
        <v>3.7109999999999997E-2</v>
      </c>
      <c r="F39" t="s">
        <v>378</v>
      </c>
      <c r="H39">
        <v>1</v>
      </c>
      <c r="I39">
        <v>200000</v>
      </c>
      <c r="J39" t="s">
        <v>76</v>
      </c>
      <c r="K39">
        <v>0</v>
      </c>
      <c r="L39">
        <v>0</v>
      </c>
      <c r="M39">
        <v>0</v>
      </c>
      <c r="N39">
        <v>0</v>
      </c>
      <c r="O39">
        <v>4.5599999999999998E-3</v>
      </c>
      <c r="Q39">
        <v>0</v>
      </c>
      <c r="R39">
        <v>0</v>
      </c>
      <c r="S39">
        <v>3.7109999999999997E-2</v>
      </c>
      <c r="T39">
        <v>8410938</v>
      </c>
    </row>
    <row r="40" spans="1:20" x14ac:dyDescent="0.15">
      <c r="A40" s="4" t="str">
        <f>HYPERLINK("https://ibp.a2mac1.com/costing(costing:projects/details/9760/component/8751801)","Electronics")</f>
        <v>Electronics</v>
      </c>
      <c r="B40">
        <v>8751801</v>
      </c>
      <c r="D40">
        <v>0</v>
      </c>
      <c r="E40">
        <v>77.8</v>
      </c>
      <c r="F40" t="s">
        <v>363</v>
      </c>
      <c r="H40">
        <v>1</v>
      </c>
      <c r="I40">
        <v>200000</v>
      </c>
      <c r="J40" t="s">
        <v>76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364</v>
      </c>
      <c r="Q40">
        <v>0</v>
      </c>
      <c r="R40">
        <v>0</v>
      </c>
      <c r="S40">
        <v>73.009440614335944</v>
      </c>
      <c r="T40">
        <v>8410998</v>
      </c>
    </row>
    <row r="41" spans="1:20" x14ac:dyDescent="0.15">
      <c r="A41" s="4" t="str">
        <f>HYPERLINK("https://ibp.a2mac1.com/costing(costing:projects/details/9760/component/8751802)","Mechanics")</f>
        <v>Mechanics</v>
      </c>
      <c r="B41">
        <v>8751802</v>
      </c>
      <c r="D41">
        <v>0</v>
      </c>
      <c r="E41">
        <v>7.6</v>
      </c>
      <c r="F41" t="s">
        <v>383</v>
      </c>
      <c r="H41">
        <v>1</v>
      </c>
      <c r="I41">
        <v>200000</v>
      </c>
      <c r="J41" t="s">
        <v>76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362</v>
      </c>
      <c r="Q41">
        <v>0</v>
      </c>
      <c r="R41">
        <v>0</v>
      </c>
      <c r="S41">
        <v>7.4630155277925754</v>
      </c>
      <c r="T41">
        <v>8410998</v>
      </c>
    </row>
    <row r="42" spans="1:20" x14ac:dyDescent="0.15">
      <c r="A42" s="4" t="str">
        <f>HYPERLINK("https://ibp.a2mac1.com/costing(costing:projects/details/9760/component/8751780)","Flange Nut M6")</f>
        <v>Flange Nut M6</v>
      </c>
      <c r="B42">
        <v>8751780</v>
      </c>
      <c r="D42">
        <v>0</v>
      </c>
      <c r="E42">
        <v>4.2169999999999999E-2</v>
      </c>
      <c r="F42" t="s">
        <v>310</v>
      </c>
      <c r="H42">
        <v>1</v>
      </c>
      <c r="I42">
        <v>200000</v>
      </c>
      <c r="J42" t="s">
        <v>76</v>
      </c>
      <c r="K42">
        <v>0</v>
      </c>
      <c r="L42">
        <v>0</v>
      </c>
      <c r="M42">
        <v>0</v>
      </c>
      <c r="N42">
        <v>0</v>
      </c>
      <c r="O42">
        <v>3.4499999999999999E-3</v>
      </c>
      <c r="Q42">
        <v>0</v>
      </c>
      <c r="R42">
        <v>0</v>
      </c>
      <c r="S42">
        <v>4.2169999999999999E-2</v>
      </c>
      <c r="T42">
        <v>8410939</v>
      </c>
    </row>
    <row r="43" spans="1:20" x14ac:dyDescent="0.15">
      <c r="A43" s="4" t="str">
        <f>HYPERLINK("https://ibp.a2mac1.com/costing(costing:projects/details/9760/component/8751803)","Electronics")</f>
        <v>Electronics</v>
      </c>
      <c r="B43">
        <v>8751803</v>
      </c>
      <c r="D43">
        <v>0</v>
      </c>
      <c r="E43">
        <v>7.85</v>
      </c>
      <c r="F43" t="s">
        <v>363</v>
      </c>
      <c r="H43">
        <v>1</v>
      </c>
      <c r="I43">
        <v>200000</v>
      </c>
      <c r="J43" t="s">
        <v>76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364</v>
      </c>
      <c r="Q43">
        <v>0</v>
      </c>
      <c r="R43">
        <v>0</v>
      </c>
      <c r="S43">
        <v>7.3666337894927665</v>
      </c>
      <c r="T43">
        <v>8410999</v>
      </c>
    </row>
    <row r="44" spans="1:20" x14ac:dyDescent="0.15">
      <c r="A44" s="4" t="str">
        <f>HYPERLINK("https://ibp.a2mac1.com/costing(costing:projects/details/9760/component/8751804)","Mechanics")</f>
        <v>Mechanics</v>
      </c>
      <c r="B44">
        <v>8751804</v>
      </c>
      <c r="D44">
        <v>0</v>
      </c>
      <c r="E44">
        <v>0.25</v>
      </c>
      <c r="F44" t="s">
        <v>361</v>
      </c>
      <c r="H44">
        <v>1</v>
      </c>
      <c r="I44">
        <v>200000</v>
      </c>
      <c r="J44" t="s">
        <v>76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362</v>
      </c>
      <c r="Q44">
        <v>0</v>
      </c>
      <c r="R44">
        <v>0</v>
      </c>
      <c r="S44">
        <v>0.24549393183528209</v>
      </c>
      <c r="T44">
        <v>8410999</v>
      </c>
    </row>
    <row r="45" spans="1:20" x14ac:dyDescent="0.15">
      <c r="A45" s="4" t="str">
        <f>HYPERLINK("https://ibp.a2mac1.com/costing(costing:projects/details/9760/component/8751781)","Hex Nut M12")</f>
        <v>Hex Nut M12</v>
      </c>
      <c r="B45">
        <v>8751781</v>
      </c>
      <c r="D45">
        <v>0</v>
      </c>
      <c r="E45">
        <v>0.1158</v>
      </c>
      <c r="F45" t="s">
        <v>390</v>
      </c>
      <c r="H45">
        <v>1</v>
      </c>
      <c r="I45">
        <v>200000</v>
      </c>
      <c r="J45" t="s">
        <v>76</v>
      </c>
      <c r="K45">
        <v>0</v>
      </c>
      <c r="L45">
        <v>0</v>
      </c>
      <c r="M45">
        <v>0</v>
      </c>
      <c r="N45">
        <v>0</v>
      </c>
      <c r="O45">
        <v>1.7729999999999999E-2</v>
      </c>
      <c r="Q45">
        <v>0</v>
      </c>
      <c r="R45">
        <v>0</v>
      </c>
      <c r="S45">
        <v>0.1158</v>
      </c>
      <c r="T45">
        <v>8410940</v>
      </c>
    </row>
    <row r="46" spans="1:20" x14ac:dyDescent="0.15">
      <c r="A46" s="4" t="str">
        <f>HYPERLINK("https://ibp.a2mac1.com/costing(costing:projects/details/9760/component/8751805)","Mechanics")</f>
        <v>Mechanics</v>
      </c>
      <c r="B46">
        <v>8751805</v>
      </c>
      <c r="D46">
        <v>0</v>
      </c>
      <c r="E46">
        <v>25.8</v>
      </c>
      <c r="F46" t="s">
        <v>395</v>
      </c>
      <c r="H46">
        <v>1</v>
      </c>
      <c r="I46">
        <v>200000</v>
      </c>
      <c r="J46" t="s">
        <v>76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362</v>
      </c>
      <c r="Q46">
        <v>0</v>
      </c>
      <c r="R46">
        <v>0</v>
      </c>
      <c r="S46">
        <v>25.334973765401113</v>
      </c>
      <c r="T46">
        <v>8411000</v>
      </c>
    </row>
    <row r="47" spans="1:20" x14ac:dyDescent="0.15">
      <c r="A47" s="4" t="str">
        <f>HYPERLINK("https://ibp.a2mac1.com/costing(costing:projects/details/9760/component/8751806)","Electronics")</f>
        <v>Electronics</v>
      </c>
      <c r="B47">
        <v>8751806</v>
      </c>
      <c r="D47">
        <v>0</v>
      </c>
      <c r="E47">
        <v>942.7</v>
      </c>
      <c r="F47" t="s">
        <v>363</v>
      </c>
      <c r="H47">
        <v>1</v>
      </c>
      <c r="I47">
        <v>200000</v>
      </c>
      <c r="J47" t="s">
        <v>76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364</v>
      </c>
      <c r="Q47">
        <v>0</v>
      </c>
      <c r="R47">
        <v>0</v>
      </c>
      <c r="S47">
        <v>884.65295201972367</v>
      </c>
      <c r="T47">
        <v>8411000</v>
      </c>
    </row>
    <row r="48" spans="1:20" x14ac:dyDescent="0.15">
      <c r="A48" s="4" t="str">
        <f>HYPERLINK("https://ibp.a2mac1.com/costing(costing:projects/details/9760/component/8751807)","Electronics")</f>
        <v>Electronics</v>
      </c>
      <c r="B48">
        <v>8751807</v>
      </c>
      <c r="D48">
        <v>0</v>
      </c>
      <c r="E48">
        <v>6.16</v>
      </c>
      <c r="F48" t="s">
        <v>363</v>
      </c>
      <c r="H48">
        <v>1</v>
      </c>
      <c r="I48">
        <v>200000</v>
      </c>
      <c r="J48" t="s">
        <v>76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364</v>
      </c>
      <c r="Q48">
        <v>0</v>
      </c>
      <c r="R48">
        <v>0</v>
      </c>
      <c r="S48">
        <v>5.7806960692070621</v>
      </c>
      <c r="T48">
        <v>8411006</v>
      </c>
    </row>
    <row r="49" spans="1:20" x14ac:dyDescent="0.15">
      <c r="A49" s="4" t="str">
        <f>HYPERLINK("https://ibp.a2mac1.com/costing(costing:projects/details/9760/component/8751782)","Round head Screw M4x12")</f>
        <v>Round head Screw M4x12</v>
      </c>
      <c r="B49">
        <v>8751782</v>
      </c>
      <c r="D49">
        <v>0</v>
      </c>
      <c r="E49">
        <v>2.4039999999999999E-2</v>
      </c>
      <c r="F49" t="s">
        <v>414</v>
      </c>
      <c r="H49">
        <v>1</v>
      </c>
      <c r="I49">
        <v>200000</v>
      </c>
      <c r="J49" t="s">
        <v>76</v>
      </c>
      <c r="K49">
        <v>0</v>
      </c>
      <c r="L49">
        <v>0</v>
      </c>
      <c r="M49">
        <v>0</v>
      </c>
      <c r="N49">
        <v>0</v>
      </c>
      <c r="O49">
        <v>1.3799999999999999E-3</v>
      </c>
      <c r="Q49">
        <v>0</v>
      </c>
      <c r="R49">
        <v>0</v>
      </c>
      <c r="S49">
        <v>2.4039999999999999E-2</v>
      </c>
      <c r="T49">
        <v>8410942</v>
      </c>
    </row>
    <row r="50" spans="1:20" x14ac:dyDescent="0.15">
      <c r="A50" s="4" t="str">
        <f>HYPERLINK("https://ibp.a2mac1.com/costing(costing:projects/details/9760/component/8751783)","Round head Screw M3.5x10")</f>
        <v>Round head Screw M3.5x10</v>
      </c>
      <c r="B50">
        <v>8751783</v>
      </c>
      <c r="D50">
        <v>0</v>
      </c>
      <c r="E50">
        <v>2.1999999999999999E-2</v>
      </c>
      <c r="F50" t="s">
        <v>415</v>
      </c>
      <c r="H50">
        <v>1</v>
      </c>
      <c r="I50">
        <v>200000</v>
      </c>
      <c r="J50" t="s">
        <v>76</v>
      </c>
      <c r="K50">
        <v>0</v>
      </c>
      <c r="L50">
        <v>0</v>
      </c>
      <c r="M50">
        <v>0</v>
      </c>
      <c r="N50">
        <v>0</v>
      </c>
      <c r="O50">
        <v>8.8000000000000003E-4</v>
      </c>
      <c r="Q50">
        <v>0</v>
      </c>
      <c r="R50">
        <v>0</v>
      </c>
      <c r="S50">
        <v>2.1999999999999999E-2</v>
      </c>
      <c r="T50">
        <v>8410942</v>
      </c>
    </row>
    <row r="51" spans="1:20" x14ac:dyDescent="0.15">
      <c r="A51" s="4" t="str">
        <f>HYPERLINK("https://ibp.a2mac1.com/costing(costing:projects/details/9760/component/8751784)","Material")</f>
        <v>Material</v>
      </c>
      <c r="B51">
        <v>8751784</v>
      </c>
      <c r="D51">
        <v>0</v>
      </c>
      <c r="E51">
        <v>1.3078000000000001</v>
      </c>
      <c r="F51" t="s">
        <v>319</v>
      </c>
      <c r="H51">
        <v>1</v>
      </c>
      <c r="I51">
        <v>200000</v>
      </c>
      <c r="J51" t="s">
        <v>76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320</v>
      </c>
      <c r="Q51">
        <v>0</v>
      </c>
      <c r="R51">
        <v>0</v>
      </c>
      <c r="S51">
        <v>1.2844421626854627</v>
      </c>
      <c r="T51">
        <v>8410943</v>
      </c>
    </row>
    <row r="52" spans="1:20" x14ac:dyDescent="0.15">
      <c r="A52" s="4" t="str">
        <f>HYPERLINK("https://ibp.a2mac1.com/costing(costing:projects/details/9760/component/8751785)","Copper")</f>
        <v>Copper</v>
      </c>
      <c r="B52">
        <v>8751785</v>
      </c>
      <c r="D52">
        <v>0</v>
      </c>
      <c r="E52">
        <v>2.9523000000000001</v>
      </c>
      <c r="H52">
        <v>1</v>
      </c>
      <c r="I52">
        <v>200000</v>
      </c>
      <c r="J52" t="s">
        <v>76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2.9523000000000001</v>
      </c>
      <c r="T52">
        <v>8410943</v>
      </c>
    </row>
    <row r="53" spans="1:20" x14ac:dyDescent="0.15">
      <c r="A53" s="4" t="str">
        <f>HYPERLINK("https://ibp.a2mac1.com/costing(costing:projects/details/9760/component/8751740)","Flange Nut M6")</f>
        <v>Flange Nut M6</v>
      </c>
      <c r="B53">
        <v>8751740</v>
      </c>
      <c r="D53">
        <v>0</v>
      </c>
      <c r="E53">
        <v>4.2169999999999999E-2</v>
      </c>
      <c r="F53" t="s">
        <v>310</v>
      </c>
      <c r="H53">
        <v>1</v>
      </c>
      <c r="I53">
        <v>200000</v>
      </c>
      <c r="J53" t="s">
        <v>76</v>
      </c>
      <c r="K53">
        <v>0</v>
      </c>
      <c r="L53">
        <v>0</v>
      </c>
      <c r="M53">
        <v>0</v>
      </c>
      <c r="N53">
        <v>0</v>
      </c>
      <c r="O53">
        <v>3.4499999999999999E-3</v>
      </c>
      <c r="Q53">
        <v>0</v>
      </c>
      <c r="R53">
        <v>0</v>
      </c>
      <c r="S53">
        <v>4.2169999999999999E-2</v>
      </c>
      <c r="T53">
        <v>8410911</v>
      </c>
    </row>
    <row r="54" spans="1:20" x14ac:dyDescent="0.15">
      <c r="A54" s="4" t="str">
        <f>HYPERLINK("https://ibp.a2mac1.com/costing(costing:projects/details/9760/component/8751786)","Material")</f>
        <v>Material</v>
      </c>
      <c r="B54">
        <v>8751786</v>
      </c>
      <c r="D54">
        <v>0</v>
      </c>
      <c r="E54">
        <v>1.3078000000000001</v>
      </c>
      <c r="F54" t="s">
        <v>319</v>
      </c>
      <c r="H54">
        <v>1</v>
      </c>
      <c r="I54">
        <v>200000</v>
      </c>
      <c r="J54" t="s">
        <v>76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320</v>
      </c>
      <c r="Q54">
        <v>0</v>
      </c>
      <c r="R54">
        <v>0</v>
      </c>
      <c r="S54">
        <v>1.2844421626854627</v>
      </c>
      <c r="T54">
        <v>8410944</v>
      </c>
    </row>
    <row r="55" spans="1:20" x14ac:dyDescent="0.15">
      <c r="A55" s="4" t="str">
        <f>HYPERLINK("https://ibp.a2mac1.com/costing(costing:projects/details/9760/component/8751787)","Copper")</f>
        <v>Copper</v>
      </c>
      <c r="B55">
        <v>8751787</v>
      </c>
      <c r="D55">
        <v>0</v>
      </c>
      <c r="E55">
        <v>2.9523000000000001</v>
      </c>
      <c r="H55">
        <v>1</v>
      </c>
      <c r="I55">
        <v>200000</v>
      </c>
      <c r="J55" t="s">
        <v>76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2.9523000000000001</v>
      </c>
      <c r="T55">
        <v>8410944</v>
      </c>
    </row>
    <row r="56" spans="1:20" x14ac:dyDescent="0.15">
      <c r="A56" s="4" t="str">
        <f>HYPERLINK("https://ibp.a2mac1.com/costing(costing:projects/details/9760/component/8751788)","Material")</f>
        <v>Material</v>
      </c>
      <c r="B56">
        <v>8751788</v>
      </c>
      <c r="D56">
        <v>0</v>
      </c>
      <c r="E56">
        <v>0.3679</v>
      </c>
      <c r="F56" t="s">
        <v>319</v>
      </c>
      <c r="H56">
        <v>1</v>
      </c>
      <c r="I56">
        <v>200000</v>
      </c>
      <c r="J56" t="s">
        <v>76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320</v>
      </c>
      <c r="Q56">
        <v>0</v>
      </c>
      <c r="R56">
        <v>0</v>
      </c>
      <c r="S56">
        <v>0.36132915709740154</v>
      </c>
      <c r="T56">
        <v>8410945</v>
      </c>
    </row>
    <row r="57" spans="1:20" x14ac:dyDescent="0.15">
      <c r="A57" s="4" t="str">
        <f>HYPERLINK("https://ibp.a2mac1.com/costing(costing:projects/details/9760/component/8751789)","Copper")</f>
        <v>Copper</v>
      </c>
      <c r="B57">
        <v>8751789</v>
      </c>
      <c r="D57">
        <v>0</v>
      </c>
      <c r="E57">
        <v>0</v>
      </c>
      <c r="H57">
        <v>1</v>
      </c>
      <c r="I57">
        <v>200000</v>
      </c>
      <c r="J57" t="s">
        <v>76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8410945</v>
      </c>
    </row>
    <row r="58" spans="1:20" x14ac:dyDescent="0.15">
      <c r="A58" s="4" t="str">
        <f>HYPERLINK("https://ibp.a2mac1.com/costing(costing:projects/details/9760/component/8751741)","Round head Screw M6x18")</f>
        <v>Round head Screw M6x18</v>
      </c>
      <c r="B58">
        <v>8751741</v>
      </c>
      <c r="D58">
        <v>0</v>
      </c>
      <c r="E58">
        <v>3.7109999999999997E-2</v>
      </c>
      <c r="F58" t="s">
        <v>378</v>
      </c>
      <c r="H58">
        <v>1</v>
      </c>
      <c r="I58">
        <v>200000</v>
      </c>
      <c r="J58" t="s">
        <v>76</v>
      </c>
      <c r="K58">
        <v>0</v>
      </c>
      <c r="L58">
        <v>0</v>
      </c>
      <c r="M58">
        <v>0</v>
      </c>
      <c r="N58">
        <v>0</v>
      </c>
      <c r="O58">
        <v>4.5599999999999998E-3</v>
      </c>
      <c r="Q58">
        <v>0</v>
      </c>
      <c r="R58">
        <v>0</v>
      </c>
      <c r="S58">
        <v>3.7109999999999997E-2</v>
      </c>
      <c r="T58">
        <v>8410912</v>
      </c>
    </row>
    <row r="59" spans="1:20" x14ac:dyDescent="0.15">
      <c r="A59" s="4" t="str">
        <f>HYPERLINK("https://ibp.a2mac1.com/costing(costing:projects/details/9760/component/8751742)","Round head Screw M6x16")</f>
        <v>Round head Screw M6x16</v>
      </c>
      <c r="B59">
        <v>8751742</v>
      </c>
      <c r="D59">
        <v>0</v>
      </c>
      <c r="E59">
        <v>3.5680000000000003E-2</v>
      </c>
      <c r="F59" t="s">
        <v>431</v>
      </c>
      <c r="H59">
        <v>1</v>
      </c>
      <c r="I59">
        <v>200000</v>
      </c>
      <c r="J59" t="s">
        <v>76</v>
      </c>
      <c r="K59">
        <v>0</v>
      </c>
      <c r="L59">
        <v>0</v>
      </c>
      <c r="M59">
        <v>0</v>
      </c>
      <c r="N59">
        <v>0</v>
      </c>
      <c r="O59">
        <v>4.2199999999999998E-3</v>
      </c>
      <c r="Q59">
        <v>0</v>
      </c>
      <c r="R59">
        <v>0</v>
      </c>
      <c r="S59">
        <v>3.5680000000000003E-2</v>
      </c>
      <c r="T59">
        <v>8410912</v>
      </c>
    </row>
    <row r="60" spans="1:20" x14ac:dyDescent="0.15">
      <c r="A60" s="4" t="str">
        <f>HYPERLINK("https://ibp.a2mac1.com/costing(costing:projects/details/9760/component/8751790)","Round head Screw M6x10")</f>
        <v>Round head Screw M6x10</v>
      </c>
      <c r="B60">
        <v>8751790</v>
      </c>
      <c r="D60">
        <v>0</v>
      </c>
      <c r="E60">
        <v>3.1379999999999998E-2</v>
      </c>
      <c r="F60" t="s">
        <v>437</v>
      </c>
      <c r="H60">
        <v>1</v>
      </c>
      <c r="I60">
        <v>200000</v>
      </c>
      <c r="J60" t="s">
        <v>76</v>
      </c>
      <c r="K60">
        <v>0</v>
      </c>
      <c r="L60">
        <v>0</v>
      </c>
      <c r="M60">
        <v>0</v>
      </c>
      <c r="N60">
        <v>0</v>
      </c>
      <c r="O60">
        <v>3.1700000000000001E-3</v>
      </c>
      <c r="Q60">
        <v>0</v>
      </c>
      <c r="R60">
        <v>0</v>
      </c>
      <c r="S60">
        <v>3.1379999999999998E-2</v>
      </c>
      <c r="T60">
        <v>8410946</v>
      </c>
    </row>
    <row r="61" spans="1:20" x14ac:dyDescent="0.15">
      <c r="A61" s="4" t="str">
        <f>HYPERLINK("https://ibp.a2mac1.com/costing(costing:projects/details/9760/component/8751791)","Screw &gt; Hexagon screw with flange")</f>
        <v>Screw &gt; Hexagon screw with flange</v>
      </c>
      <c r="B61">
        <v>8751791</v>
      </c>
      <c r="D61">
        <v>0</v>
      </c>
      <c r="E61">
        <v>0</v>
      </c>
      <c r="H61">
        <v>3</v>
      </c>
      <c r="I61">
        <v>600000</v>
      </c>
      <c r="J61" t="s">
        <v>76</v>
      </c>
      <c r="K61">
        <v>6</v>
      </c>
      <c r="L61">
        <v>10</v>
      </c>
      <c r="M61">
        <v>5</v>
      </c>
      <c r="O61">
        <v>8.0000000000000002E-3</v>
      </c>
      <c r="Q61">
        <v>0</v>
      </c>
      <c r="R61">
        <v>0</v>
      </c>
      <c r="S61">
        <v>0</v>
      </c>
      <c r="T61">
        <v>8410954</v>
      </c>
    </row>
    <row r="62" spans="1:20" x14ac:dyDescent="0.15">
      <c r="A62" s="4" t="str">
        <f>HYPERLINK("https://ibp.a2mac1.com/costing(costing:projects/details/9760/component/8751792)","Nut &gt; Hexagonal nut with collar")</f>
        <v>Nut &gt; Hexagonal nut with collar</v>
      </c>
      <c r="B62">
        <v>8751792</v>
      </c>
      <c r="D62">
        <v>0</v>
      </c>
      <c r="E62">
        <v>0</v>
      </c>
      <c r="H62">
        <v>1</v>
      </c>
      <c r="I62">
        <v>200000</v>
      </c>
      <c r="J62" t="s">
        <v>76</v>
      </c>
      <c r="K62">
        <v>6</v>
      </c>
      <c r="L62">
        <v>10</v>
      </c>
      <c r="M62">
        <v>5</v>
      </c>
      <c r="O62">
        <v>3.0000000000000001E-3</v>
      </c>
      <c r="Q62">
        <v>0</v>
      </c>
      <c r="R62">
        <v>0</v>
      </c>
      <c r="S62">
        <v>0</v>
      </c>
      <c r="T62">
        <v>8410954</v>
      </c>
    </row>
    <row r="63" spans="1:20" x14ac:dyDescent="0.15">
      <c r="A63" s="4" t="str">
        <f>HYPERLINK("https://ibp.a2mac1.com/costing(costing:projects/details/9760/component/8751793)","Screw &gt; Hexagon screw with flange")</f>
        <v>Screw &gt; Hexagon screw with flange</v>
      </c>
      <c r="B63">
        <v>8751793</v>
      </c>
      <c r="D63">
        <v>0</v>
      </c>
      <c r="E63">
        <v>0</v>
      </c>
      <c r="H63">
        <v>1</v>
      </c>
      <c r="I63">
        <v>200000</v>
      </c>
      <c r="J63" t="s">
        <v>76</v>
      </c>
      <c r="K63">
        <v>20</v>
      </c>
      <c r="L63">
        <v>10</v>
      </c>
      <c r="M63">
        <v>6</v>
      </c>
      <c r="O63">
        <v>8.0000000000000002E-3</v>
      </c>
      <c r="Q63">
        <v>0</v>
      </c>
      <c r="R63">
        <v>0</v>
      </c>
      <c r="S63">
        <v>0</v>
      </c>
      <c r="T63">
        <v>8410955</v>
      </c>
    </row>
    <row r="64" spans="1:20" x14ac:dyDescent="0.15">
      <c r="A64" s="4" t="str">
        <f>HYPERLINK("https://ibp.a2mac1.com/costing(costing:projects/details/9760/component/8751794)","Screw &gt; Torx screw with flange")</f>
        <v>Screw &gt; Torx screw with flange</v>
      </c>
      <c r="B64">
        <v>8751794</v>
      </c>
      <c r="D64">
        <v>0</v>
      </c>
      <c r="E64">
        <v>0</v>
      </c>
      <c r="H64">
        <v>1</v>
      </c>
      <c r="I64">
        <v>200000</v>
      </c>
      <c r="J64" t="s">
        <v>76</v>
      </c>
      <c r="K64">
        <v>16</v>
      </c>
      <c r="L64">
        <v>10</v>
      </c>
      <c r="M64">
        <v>6</v>
      </c>
      <c r="O64">
        <v>7.0000000000000001E-3</v>
      </c>
      <c r="Q64">
        <v>0</v>
      </c>
      <c r="R64">
        <v>0</v>
      </c>
      <c r="S64">
        <v>0</v>
      </c>
      <c r="T64">
        <v>8410955</v>
      </c>
    </row>
    <row r="65" spans="1:20" x14ac:dyDescent="0.15">
      <c r="A65" s="4" t="str">
        <f>HYPERLINK("https://ibp.a2mac1.com/costing(costing:projects/details/9760/component/8751743)","Round head Screw M6x16")</f>
        <v>Round head Screw M6x16</v>
      </c>
      <c r="B65">
        <v>8751743</v>
      </c>
      <c r="D65">
        <v>0</v>
      </c>
      <c r="E65">
        <v>3.5680000000000003E-2</v>
      </c>
      <c r="F65" t="s">
        <v>431</v>
      </c>
      <c r="H65">
        <v>1</v>
      </c>
      <c r="I65">
        <v>200000</v>
      </c>
      <c r="J65" t="s">
        <v>76</v>
      </c>
      <c r="K65">
        <v>0</v>
      </c>
      <c r="L65">
        <v>0</v>
      </c>
      <c r="M65">
        <v>0</v>
      </c>
      <c r="N65">
        <v>0</v>
      </c>
      <c r="O65">
        <v>4.2199999999999998E-3</v>
      </c>
      <c r="Q65">
        <v>0</v>
      </c>
      <c r="R65">
        <v>0</v>
      </c>
      <c r="S65">
        <v>3.5680000000000003E-2</v>
      </c>
      <c r="T65">
        <v>8410914</v>
      </c>
    </row>
    <row r="66" spans="1:20" x14ac:dyDescent="0.15">
      <c r="A66" s="4" t="str">
        <f>HYPERLINK("https://ibp.a2mac1.com/costing(costing:projects/details/9760/component/8751744)","Round head Screw M6x16")</f>
        <v>Round head Screw M6x16</v>
      </c>
      <c r="B66">
        <v>8751744</v>
      </c>
      <c r="D66">
        <v>0</v>
      </c>
      <c r="E66">
        <v>3.5680000000000003E-2</v>
      </c>
      <c r="F66" t="s">
        <v>431</v>
      </c>
      <c r="H66">
        <v>1</v>
      </c>
      <c r="I66">
        <v>200000</v>
      </c>
      <c r="J66" t="s">
        <v>76</v>
      </c>
      <c r="K66">
        <v>0</v>
      </c>
      <c r="L66">
        <v>0</v>
      </c>
      <c r="M66">
        <v>0</v>
      </c>
      <c r="N66">
        <v>0</v>
      </c>
      <c r="O66">
        <v>4.2199999999999998E-3</v>
      </c>
      <c r="Q66">
        <v>0</v>
      </c>
      <c r="R66">
        <v>0</v>
      </c>
      <c r="S66">
        <v>3.5680000000000003E-2</v>
      </c>
      <c r="T66">
        <v>8410914</v>
      </c>
    </row>
    <row r="67" spans="1:20" x14ac:dyDescent="0.15">
      <c r="A67" s="4" t="str">
        <f>HYPERLINK("https://ibp.a2mac1.com/costing(costing:projects/details/9760/component/8751745)","Round head Screw M6x12")</f>
        <v>Round head Screw M6x12</v>
      </c>
      <c r="B67">
        <v>8751745</v>
      </c>
      <c r="D67">
        <v>0</v>
      </c>
      <c r="E67">
        <v>3.2820000000000002E-2</v>
      </c>
      <c r="F67" t="s">
        <v>458</v>
      </c>
      <c r="H67">
        <v>1</v>
      </c>
      <c r="I67">
        <v>200000</v>
      </c>
      <c r="J67" t="s">
        <v>76</v>
      </c>
      <c r="K67">
        <v>0</v>
      </c>
      <c r="L67">
        <v>0</v>
      </c>
      <c r="M67">
        <v>0</v>
      </c>
      <c r="N67">
        <v>0</v>
      </c>
      <c r="O67">
        <v>3.5200000000000001E-3</v>
      </c>
      <c r="Q67">
        <v>0</v>
      </c>
      <c r="R67">
        <v>0</v>
      </c>
      <c r="S67">
        <v>3.2820000000000002E-2</v>
      </c>
      <c r="T67">
        <v>8410914</v>
      </c>
    </row>
    <row r="68" spans="1:20" x14ac:dyDescent="0.15">
      <c r="A68" s="4" t="str">
        <f>HYPERLINK("https://ibp.a2mac1.com/costing(costing:projects/details/9760/component/8751746)","Round head Screw M6x12")</f>
        <v>Round head Screw M6x12</v>
      </c>
      <c r="B68">
        <v>8751746</v>
      </c>
      <c r="D68">
        <v>0</v>
      </c>
      <c r="E68">
        <v>3.2820000000000002E-2</v>
      </c>
      <c r="F68" t="s">
        <v>458</v>
      </c>
      <c r="H68">
        <v>1</v>
      </c>
      <c r="I68">
        <v>200000</v>
      </c>
      <c r="J68" t="s">
        <v>76</v>
      </c>
      <c r="K68">
        <v>0</v>
      </c>
      <c r="L68">
        <v>0</v>
      </c>
      <c r="M68">
        <v>0</v>
      </c>
      <c r="N68">
        <v>0</v>
      </c>
      <c r="O68">
        <v>3.5200000000000001E-3</v>
      </c>
      <c r="Q68">
        <v>0</v>
      </c>
      <c r="R68">
        <v>0</v>
      </c>
      <c r="S68">
        <v>3.2820000000000002E-2</v>
      </c>
      <c r="T68">
        <v>8410914</v>
      </c>
    </row>
    <row r="69" spans="1:20" x14ac:dyDescent="0.15">
      <c r="A69" s="4" t="str">
        <f>HYPERLINK("https://ibp.a2mac1.com/costing(costing:projects/details/9760/component/8751747)","Round head Screw M6x16")</f>
        <v>Round head Screw M6x16</v>
      </c>
      <c r="B69">
        <v>8751747</v>
      </c>
      <c r="D69">
        <v>0</v>
      </c>
      <c r="E69">
        <v>3.5680000000000003E-2</v>
      </c>
      <c r="F69" t="s">
        <v>431</v>
      </c>
      <c r="H69">
        <v>1</v>
      </c>
      <c r="I69">
        <v>200000</v>
      </c>
      <c r="J69" t="s">
        <v>76</v>
      </c>
      <c r="K69">
        <v>0</v>
      </c>
      <c r="L69">
        <v>0</v>
      </c>
      <c r="M69">
        <v>0</v>
      </c>
      <c r="N69">
        <v>0</v>
      </c>
      <c r="O69">
        <v>4.2199999999999998E-3</v>
      </c>
      <c r="Q69">
        <v>0</v>
      </c>
      <c r="R69">
        <v>0</v>
      </c>
      <c r="S69">
        <v>3.5680000000000003E-2</v>
      </c>
      <c r="T69">
        <v>8410914</v>
      </c>
    </row>
    <row r="70" spans="1:20" x14ac:dyDescent="0.15">
      <c r="A70" s="4" t="str">
        <f>HYPERLINK("https://ibp.a2mac1.com/costing(costing:projects/details/9760/component/8751748)","Round head Screw M6x16")</f>
        <v>Round head Screw M6x16</v>
      </c>
      <c r="B70">
        <v>8751748</v>
      </c>
      <c r="D70">
        <v>0</v>
      </c>
      <c r="E70">
        <v>3.5680000000000003E-2</v>
      </c>
      <c r="F70" t="s">
        <v>431</v>
      </c>
      <c r="H70">
        <v>1</v>
      </c>
      <c r="I70">
        <v>200000</v>
      </c>
      <c r="J70" t="s">
        <v>76</v>
      </c>
      <c r="K70">
        <v>0</v>
      </c>
      <c r="L70">
        <v>0</v>
      </c>
      <c r="M70">
        <v>0</v>
      </c>
      <c r="N70">
        <v>0</v>
      </c>
      <c r="O70">
        <v>4.2199999999999998E-3</v>
      </c>
      <c r="Q70">
        <v>0</v>
      </c>
      <c r="R70">
        <v>0</v>
      </c>
      <c r="S70">
        <v>3.5680000000000003E-2</v>
      </c>
      <c r="T70">
        <v>8410914</v>
      </c>
    </row>
    <row r="71" spans="1:20" x14ac:dyDescent="0.15">
      <c r="A71" s="4" t="str">
        <f>HYPERLINK("https://ibp.a2mac1.com/costing(costing:projects/details/9760/component/8751749)","Flange Nut M6")</f>
        <v>Flange Nut M6</v>
      </c>
      <c r="B71">
        <v>8751749</v>
      </c>
      <c r="D71">
        <v>0</v>
      </c>
      <c r="E71">
        <v>4.2169999999999999E-2</v>
      </c>
      <c r="F71" t="s">
        <v>310</v>
      </c>
      <c r="H71">
        <v>1</v>
      </c>
      <c r="I71">
        <v>200000</v>
      </c>
      <c r="J71" t="s">
        <v>76</v>
      </c>
      <c r="K71">
        <v>0</v>
      </c>
      <c r="L71">
        <v>0</v>
      </c>
      <c r="M71">
        <v>0</v>
      </c>
      <c r="N71">
        <v>0</v>
      </c>
      <c r="O71">
        <v>3.4499999999999999E-3</v>
      </c>
      <c r="Q71">
        <v>0</v>
      </c>
      <c r="R71">
        <v>0</v>
      </c>
      <c r="S71">
        <v>4.2169999999999999E-2</v>
      </c>
      <c r="T71">
        <v>8410915</v>
      </c>
    </row>
    <row r="72" spans="1:20" x14ac:dyDescent="0.15">
      <c r="A72" s="4" t="str">
        <f>HYPERLINK("https://ibp.a2mac1.com/costing(costing:projects/details/9760/component/8751750)","Flange Nut M6")</f>
        <v>Flange Nut M6</v>
      </c>
      <c r="B72">
        <v>8751750</v>
      </c>
      <c r="D72">
        <v>0</v>
      </c>
      <c r="E72">
        <v>4.2169999999999999E-2</v>
      </c>
      <c r="F72" t="s">
        <v>310</v>
      </c>
      <c r="H72">
        <v>1</v>
      </c>
      <c r="I72">
        <v>200000</v>
      </c>
      <c r="J72" t="s">
        <v>76</v>
      </c>
      <c r="K72">
        <v>0</v>
      </c>
      <c r="L72">
        <v>0</v>
      </c>
      <c r="M72">
        <v>0</v>
      </c>
      <c r="N72">
        <v>0</v>
      </c>
      <c r="O72">
        <v>3.4499999999999999E-3</v>
      </c>
      <c r="Q72">
        <v>0</v>
      </c>
      <c r="R72">
        <v>0</v>
      </c>
      <c r="S72">
        <v>4.2169999999999999E-2</v>
      </c>
      <c r="T72">
        <v>8410915</v>
      </c>
    </row>
    <row r="73" spans="1:20" x14ac:dyDescent="0.15">
      <c r="A73" s="4" t="str">
        <f>HYPERLINK("https://ibp.a2mac1.com/costing(costing:projects/details/9760/component/8751751)","Round head Screw M6x16")</f>
        <v>Round head Screw M6x16</v>
      </c>
      <c r="B73">
        <v>8751751</v>
      </c>
      <c r="D73">
        <v>0</v>
      </c>
      <c r="E73">
        <v>3.5680000000000003E-2</v>
      </c>
      <c r="F73" t="s">
        <v>431</v>
      </c>
      <c r="H73">
        <v>1</v>
      </c>
      <c r="I73">
        <v>200000</v>
      </c>
      <c r="J73" t="s">
        <v>76</v>
      </c>
      <c r="K73">
        <v>0</v>
      </c>
      <c r="L73">
        <v>0</v>
      </c>
      <c r="M73">
        <v>0</v>
      </c>
      <c r="N73">
        <v>0</v>
      </c>
      <c r="O73">
        <v>4.2199999999999998E-3</v>
      </c>
      <c r="Q73">
        <v>0</v>
      </c>
      <c r="R73">
        <v>0</v>
      </c>
      <c r="S73">
        <v>3.5680000000000003E-2</v>
      </c>
      <c r="T73">
        <v>8410915</v>
      </c>
    </row>
    <row r="74" spans="1:20" x14ac:dyDescent="0.15">
      <c r="A74" s="4" t="str">
        <f>HYPERLINK("https://ibp.a2mac1.com/costing(costing:projects/details/9760/component/8751752)","Round head Screw M4x12")</f>
        <v>Round head Screw M4x12</v>
      </c>
      <c r="B74">
        <v>8751752</v>
      </c>
      <c r="D74">
        <v>0</v>
      </c>
      <c r="E74">
        <v>2.4039999999999999E-2</v>
      </c>
      <c r="F74" t="s">
        <v>414</v>
      </c>
      <c r="H74">
        <v>1</v>
      </c>
      <c r="I74">
        <v>200000</v>
      </c>
      <c r="J74" t="s">
        <v>76</v>
      </c>
      <c r="K74">
        <v>0</v>
      </c>
      <c r="L74">
        <v>0</v>
      </c>
      <c r="M74">
        <v>0</v>
      </c>
      <c r="N74">
        <v>0</v>
      </c>
      <c r="O74">
        <v>1.3799999999999999E-3</v>
      </c>
      <c r="Q74">
        <v>0</v>
      </c>
      <c r="R74">
        <v>0</v>
      </c>
      <c r="S74">
        <v>2.4039999999999999E-2</v>
      </c>
      <c r="T74">
        <v>8410916</v>
      </c>
    </row>
    <row r="75" spans="1:20" x14ac:dyDescent="0.15">
      <c r="A75" s="4" t="str">
        <f>HYPERLINK("https://ibp.a2mac1.com/costing(costing:projects/details/9760/component/8751907)","Mechanics")</f>
        <v>Mechanics</v>
      </c>
      <c r="B75">
        <v>8751907</v>
      </c>
      <c r="D75">
        <v>0</v>
      </c>
      <c r="E75">
        <v>0.5</v>
      </c>
      <c r="F75" t="s">
        <v>361</v>
      </c>
      <c r="H75">
        <v>1</v>
      </c>
      <c r="I75">
        <v>200000</v>
      </c>
      <c r="J75" t="s">
        <v>76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362</v>
      </c>
      <c r="Q75">
        <v>0</v>
      </c>
      <c r="R75">
        <v>0</v>
      </c>
      <c r="S75">
        <v>0.49098786367056418</v>
      </c>
      <c r="T75">
        <v>8411147</v>
      </c>
    </row>
    <row r="76" spans="1:20" x14ac:dyDescent="0.15">
      <c r="A76" s="4" t="str">
        <f>HYPERLINK("https://ibp.a2mac1.com/costing(costing:projects/details/9760/component/8751908)","Electronics")</f>
        <v>Electronics</v>
      </c>
      <c r="B76">
        <v>8751908</v>
      </c>
      <c r="D76">
        <v>0</v>
      </c>
      <c r="E76">
        <v>14.53</v>
      </c>
      <c r="F76" t="s">
        <v>363</v>
      </c>
      <c r="H76">
        <v>1</v>
      </c>
      <c r="I76">
        <v>200000</v>
      </c>
      <c r="J76" t="s">
        <v>76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364</v>
      </c>
      <c r="Q76">
        <v>0</v>
      </c>
      <c r="R76">
        <v>0</v>
      </c>
      <c r="S76">
        <v>13.635310695710814</v>
      </c>
      <c r="T76">
        <v>8411147</v>
      </c>
    </row>
    <row r="77" spans="1:20" x14ac:dyDescent="0.15">
      <c r="A77" s="4" t="str">
        <f>HYPERLINK("https://ibp.a2mac1.com/costing(costing:projects/details/9760/component/8751883)","Hex-head Bolt M6x20")</f>
        <v>Hex-head Bolt M6x20</v>
      </c>
      <c r="B77">
        <v>8751883</v>
      </c>
      <c r="D77">
        <v>0</v>
      </c>
      <c r="E77">
        <v>4.6039999999999998E-2</v>
      </c>
      <c r="F77" t="s">
        <v>312</v>
      </c>
      <c r="H77">
        <v>1</v>
      </c>
      <c r="I77">
        <v>200000</v>
      </c>
      <c r="J77" t="s">
        <v>76</v>
      </c>
      <c r="K77">
        <v>0</v>
      </c>
      <c r="L77">
        <v>0</v>
      </c>
      <c r="M77">
        <v>0</v>
      </c>
      <c r="N77">
        <v>0</v>
      </c>
      <c r="O77">
        <v>6.7400000000000003E-3</v>
      </c>
      <c r="Q77">
        <v>0</v>
      </c>
      <c r="R77">
        <v>0</v>
      </c>
      <c r="S77">
        <v>4.6039999999999998E-2</v>
      </c>
      <c r="T77">
        <v>8411108</v>
      </c>
    </row>
    <row r="78" spans="1:20" x14ac:dyDescent="0.15">
      <c r="A78" s="4" t="str">
        <f>HYPERLINK("https://ibp.a2mac1.com/costing(costing:projects/details/9760/component/8751909)","Nut &gt; Hexagonal nut with collar")</f>
        <v>Nut &gt; Hexagonal nut with collar</v>
      </c>
      <c r="B78">
        <v>8751909</v>
      </c>
      <c r="D78">
        <v>0</v>
      </c>
      <c r="E78">
        <v>3.5000000000000003E-2</v>
      </c>
      <c r="H78">
        <v>4</v>
      </c>
      <c r="I78">
        <v>800000</v>
      </c>
      <c r="J78" t="s">
        <v>76</v>
      </c>
      <c r="K78">
        <v>6</v>
      </c>
      <c r="L78">
        <v>8</v>
      </c>
      <c r="M78">
        <v>5</v>
      </c>
      <c r="O78">
        <v>2E-3</v>
      </c>
      <c r="Q78">
        <v>0</v>
      </c>
      <c r="R78">
        <v>0</v>
      </c>
      <c r="S78">
        <v>0.14000000000000001</v>
      </c>
      <c r="T78">
        <v>8411148</v>
      </c>
    </row>
    <row r="79" spans="1:20" x14ac:dyDescent="0.15">
      <c r="A79" s="4" t="str">
        <f>HYPERLINK("https://ibp.a2mac1.com/costing(costing:projects/details/9760/component/8751910)","Pin clip &gt; Axle pin")</f>
        <v>Pin clip &gt; Axle pin</v>
      </c>
      <c r="B79">
        <v>8751910</v>
      </c>
      <c r="D79">
        <v>0</v>
      </c>
      <c r="E79">
        <v>0.06</v>
      </c>
      <c r="H79">
        <v>1</v>
      </c>
      <c r="I79">
        <v>200000</v>
      </c>
      <c r="J79" t="s">
        <v>76</v>
      </c>
      <c r="K79">
        <v>111</v>
      </c>
      <c r="L79">
        <v>108</v>
      </c>
      <c r="M79">
        <v>79</v>
      </c>
      <c r="O79">
        <v>7.0000000000000001E-3</v>
      </c>
      <c r="Q79">
        <v>0</v>
      </c>
      <c r="R79">
        <v>0</v>
      </c>
      <c r="S79">
        <v>0.06</v>
      </c>
      <c r="T79">
        <v>8411148</v>
      </c>
    </row>
    <row r="80" spans="1:20" x14ac:dyDescent="0.15">
      <c r="A80" s="4" t="str">
        <f>HYPERLINK("https://ibp.a2mac1.com/costing(costing:projects/details/9760/component/8751911)","Screw &gt; Hexagon screw with captive washer")</f>
        <v>Screw &gt; Hexagon screw with captive washer</v>
      </c>
      <c r="B80">
        <v>8751911</v>
      </c>
      <c r="D80">
        <v>0</v>
      </c>
      <c r="E80">
        <v>6.6000000000000003E-2</v>
      </c>
      <c r="H80">
        <v>1</v>
      </c>
      <c r="I80">
        <v>200000</v>
      </c>
      <c r="J80" t="s">
        <v>76</v>
      </c>
      <c r="K80">
        <v>15</v>
      </c>
      <c r="L80">
        <v>10</v>
      </c>
      <c r="M80">
        <v>6</v>
      </c>
      <c r="O80">
        <v>8.0000000000000002E-3</v>
      </c>
      <c r="Q80">
        <v>0</v>
      </c>
      <c r="R80">
        <v>0</v>
      </c>
      <c r="S80">
        <v>6.6000000000000003E-2</v>
      </c>
      <c r="T80">
        <v>8411149</v>
      </c>
    </row>
    <row r="81" spans="1:20" x14ac:dyDescent="0.15">
      <c r="A81" s="4" t="str">
        <f>HYPERLINK("https://ibp.a2mac1.com/costing(costing:projects/details/9760/component/8751912)","Nut &gt; Hexagonal nut with collar")</f>
        <v>Nut &gt; Hexagonal nut with collar</v>
      </c>
      <c r="B81">
        <v>8751912</v>
      </c>
      <c r="D81">
        <v>0</v>
      </c>
      <c r="E81">
        <v>4.2000000000000003E-2</v>
      </c>
      <c r="H81">
        <v>4</v>
      </c>
      <c r="I81">
        <v>800000</v>
      </c>
      <c r="J81" t="s">
        <v>76</v>
      </c>
      <c r="K81">
        <v>6</v>
      </c>
      <c r="L81">
        <v>10</v>
      </c>
      <c r="M81">
        <v>6</v>
      </c>
      <c r="O81">
        <v>3.5000000000000001E-3</v>
      </c>
      <c r="Q81">
        <v>0</v>
      </c>
      <c r="R81">
        <v>0</v>
      </c>
      <c r="S81">
        <v>0.16800000000000001</v>
      </c>
      <c r="T81">
        <v>8411149</v>
      </c>
    </row>
    <row r="82" spans="1:20" x14ac:dyDescent="0.15">
      <c r="A82" s="4" t="str">
        <f>HYPERLINK("https://ibp.a2mac1.com/costing(costing:projects/details/9760/component/8751913)","Nut &gt; Hexagonal nut with captive washer")</f>
        <v>Nut &gt; Hexagonal nut with captive washer</v>
      </c>
      <c r="B82">
        <v>8751913</v>
      </c>
      <c r="D82">
        <v>0</v>
      </c>
      <c r="E82">
        <v>5.8000000000000003E-2</v>
      </c>
      <c r="H82">
        <v>6</v>
      </c>
      <c r="I82">
        <v>1200000</v>
      </c>
      <c r="J82" t="s">
        <v>76</v>
      </c>
      <c r="K82">
        <v>10</v>
      </c>
      <c r="L82">
        <v>10</v>
      </c>
      <c r="M82">
        <v>6</v>
      </c>
      <c r="O82">
        <v>6.4999999999999997E-3</v>
      </c>
      <c r="Q82">
        <v>0</v>
      </c>
      <c r="R82">
        <v>0</v>
      </c>
      <c r="S82">
        <v>0.34799999999999998</v>
      </c>
      <c r="T82">
        <v>8411149</v>
      </c>
    </row>
    <row r="83" spans="1:20" x14ac:dyDescent="0.15">
      <c r="A83" s="4" t="str">
        <f>HYPERLINK("https://ibp.a2mac1.com/costing(costing:projects/details/9760/component/8751914)","Tube/cluster support &gt; Tube/cluster beribboned support in hole")</f>
        <v>Tube/cluster support &gt; Tube/cluster beribboned support in hole</v>
      </c>
      <c r="B83">
        <v>8751914</v>
      </c>
      <c r="D83">
        <v>0</v>
      </c>
      <c r="E83">
        <v>0.02</v>
      </c>
      <c r="H83">
        <v>1</v>
      </c>
      <c r="I83">
        <v>200000</v>
      </c>
      <c r="J83" t="s">
        <v>76</v>
      </c>
      <c r="K83">
        <v>6</v>
      </c>
      <c r="L83">
        <v>6</v>
      </c>
      <c r="M83">
        <v>40</v>
      </c>
      <c r="O83">
        <v>1E-3</v>
      </c>
      <c r="Q83">
        <v>0</v>
      </c>
      <c r="R83">
        <v>0</v>
      </c>
      <c r="S83">
        <v>0.02</v>
      </c>
      <c r="T83">
        <v>8411150</v>
      </c>
    </row>
    <row r="84" spans="1:20" x14ac:dyDescent="0.15">
      <c r="A84" s="4" t="str">
        <f>HYPERLINK("https://ibp.a2mac1.com/costing(costing:projects/details/9760/component/8751915)","Tube connector &gt; Collar")</f>
        <v>Tube connector &gt; Collar</v>
      </c>
      <c r="B84">
        <v>8751915</v>
      </c>
      <c r="D84">
        <v>0</v>
      </c>
      <c r="E84">
        <v>0.08</v>
      </c>
      <c r="H84">
        <v>2</v>
      </c>
      <c r="I84">
        <v>400000</v>
      </c>
      <c r="J84" t="s">
        <v>76</v>
      </c>
      <c r="L84">
        <v>36</v>
      </c>
      <c r="M84">
        <v>30</v>
      </c>
      <c r="O84">
        <v>0.01</v>
      </c>
      <c r="Q84">
        <v>0</v>
      </c>
      <c r="R84">
        <v>0</v>
      </c>
      <c r="S84">
        <v>0.16</v>
      </c>
      <c r="T84">
        <v>8411150</v>
      </c>
    </row>
    <row r="85" spans="1:20" x14ac:dyDescent="0.15">
      <c r="A85" s="4" t="str">
        <f>HYPERLINK("https://ibp.a2mac1.com/costing(costing:projects/details/9760/component/8751916)","Screw &gt; Hexagon screw with captive washer")</f>
        <v>Screw &gt; Hexagon screw with captive washer</v>
      </c>
      <c r="B85">
        <v>8751916</v>
      </c>
      <c r="D85">
        <v>0</v>
      </c>
      <c r="E85">
        <v>0.08</v>
      </c>
      <c r="H85">
        <v>1</v>
      </c>
      <c r="I85">
        <v>200000</v>
      </c>
      <c r="J85" t="s">
        <v>76</v>
      </c>
      <c r="K85">
        <v>23</v>
      </c>
      <c r="L85">
        <v>10</v>
      </c>
      <c r="M85">
        <v>6</v>
      </c>
      <c r="O85">
        <v>0.01</v>
      </c>
      <c r="Q85">
        <v>0</v>
      </c>
      <c r="R85">
        <v>0</v>
      </c>
      <c r="S85">
        <v>0.08</v>
      </c>
      <c r="T85">
        <v>8411150</v>
      </c>
    </row>
    <row r="86" spans="1:20" x14ac:dyDescent="0.15">
      <c r="A86" s="4" t="str">
        <f>HYPERLINK("https://ibp.a2mac1.com/costing(costing:projects/details/9760/component/8751917)","Tube/cluster support &gt; Tube/cluster beribboned support in hole")</f>
        <v>Tube/cluster support &gt; Tube/cluster beribboned support in hole</v>
      </c>
      <c r="B86">
        <v>8751917</v>
      </c>
      <c r="D86">
        <v>0</v>
      </c>
      <c r="E86">
        <v>0.02</v>
      </c>
      <c r="H86">
        <v>1</v>
      </c>
      <c r="I86">
        <v>200000</v>
      </c>
      <c r="J86" t="s">
        <v>76</v>
      </c>
      <c r="K86">
        <v>6</v>
      </c>
      <c r="L86">
        <v>6</v>
      </c>
      <c r="M86">
        <v>40</v>
      </c>
      <c r="O86">
        <v>1E-3</v>
      </c>
      <c r="Q86">
        <v>0</v>
      </c>
      <c r="R86">
        <v>0</v>
      </c>
      <c r="S86">
        <v>0.02</v>
      </c>
      <c r="T86">
        <v>8411150</v>
      </c>
    </row>
    <row r="87" spans="1:20" x14ac:dyDescent="0.15">
      <c r="A87" s="4" t="str">
        <f>HYPERLINK("https://ibp.a2mac1.com/costing(costing:projects/details/9760/component/8751918)","Tube connector &gt; Collar")</f>
        <v>Tube connector &gt; Collar</v>
      </c>
      <c r="B87">
        <v>8751918</v>
      </c>
      <c r="D87">
        <v>0</v>
      </c>
      <c r="E87">
        <v>0.08</v>
      </c>
      <c r="H87">
        <v>2</v>
      </c>
      <c r="I87">
        <v>400000</v>
      </c>
      <c r="J87" t="s">
        <v>76</v>
      </c>
      <c r="L87">
        <v>36</v>
      </c>
      <c r="M87">
        <v>30</v>
      </c>
      <c r="O87">
        <v>0.01</v>
      </c>
      <c r="Q87">
        <v>0</v>
      </c>
      <c r="R87">
        <v>0</v>
      </c>
      <c r="S87">
        <v>0.16</v>
      </c>
      <c r="T87">
        <v>8411150</v>
      </c>
    </row>
    <row r="88" spans="1:20" x14ac:dyDescent="0.15">
      <c r="A88" s="4" t="str">
        <f>HYPERLINK("https://ibp.a2mac1.com/costing(costing:projects/details/9760/component/8751919)","Screw &gt; Hexagon screw with captive washer")</f>
        <v>Screw &gt; Hexagon screw with captive washer</v>
      </c>
      <c r="B88">
        <v>8751919</v>
      </c>
      <c r="D88">
        <v>0</v>
      </c>
      <c r="E88">
        <v>0.08</v>
      </c>
      <c r="H88">
        <v>1</v>
      </c>
      <c r="I88">
        <v>200000</v>
      </c>
      <c r="J88" t="s">
        <v>76</v>
      </c>
      <c r="K88">
        <v>23</v>
      </c>
      <c r="L88">
        <v>10</v>
      </c>
      <c r="M88">
        <v>6</v>
      </c>
      <c r="O88">
        <v>0.01</v>
      </c>
      <c r="Q88">
        <v>0</v>
      </c>
      <c r="R88">
        <v>0</v>
      </c>
      <c r="S88">
        <v>0.08</v>
      </c>
      <c r="T88">
        <v>8411150</v>
      </c>
    </row>
    <row r="89" spans="1:20" x14ac:dyDescent="0.15">
      <c r="A89" s="4" t="str">
        <f>HYPERLINK("https://ibp.a2mac1.com/costing(costing:projects/details/9760/component/8751884)","Flange Nut M10")</f>
        <v>Flange Nut M10</v>
      </c>
      <c r="B89">
        <v>8751884</v>
      </c>
      <c r="D89">
        <v>0</v>
      </c>
      <c r="E89">
        <v>8.1500000000000003E-2</v>
      </c>
      <c r="F89" t="s">
        <v>836</v>
      </c>
      <c r="H89">
        <v>1</v>
      </c>
      <c r="I89">
        <v>200000</v>
      </c>
      <c r="J89" t="s">
        <v>76</v>
      </c>
      <c r="K89">
        <v>0</v>
      </c>
      <c r="L89">
        <v>0</v>
      </c>
      <c r="M89">
        <v>0</v>
      </c>
      <c r="N89">
        <v>0</v>
      </c>
      <c r="O89">
        <v>1.108E-2</v>
      </c>
      <c r="Q89">
        <v>0</v>
      </c>
      <c r="R89">
        <v>0</v>
      </c>
      <c r="S89">
        <v>8.1500000000000003E-2</v>
      </c>
      <c r="T89">
        <v>8411112</v>
      </c>
    </row>
    <row r="90" spans="1:20" x14ac:dyDescent="0.15">
      <c r="A90" s="4" t="str">
        <f>HYPERLINK("https://ibp.a2mac1.com/costing(costing:projects/details/9760/component/8751885)","Flange Nut M10")</f>
        <v>Flange Nut M10</v>
      </c>
      <c r="B90">
        <v>8751885</v>
      </c>
      <c r="D90">
        <v>0</v>
      </c>
      <c r="E90">
        <v>8.1500000000000003E-2</v>
      </c>
      <c r="F90" t="s">
        <v>836</v>
      </c>
      <c r="H90">
        <v>1</v>
      </c>
      <c r="I90">
        <v>200000</v>
      </c>
      <c r="J90" t="s">
        <v>76</v>
      </c>
      <c r="K90">
        <v>0</v>
      </c>
      <c r="L90">
        <v>0</v>
      </c>
      <c r="M90">
        <v>0</v>
      </c>
      <c r="N90">
        <v>0</v>
      </c>
      <c r="O90">
        <v>1.108E-2</v>
      </c>
      <c r="Q90">
        <v>0</v>
      </c>
      <c r="R90">
        <v>0</v>
      </c>
      <c r="S90">
        <v>8.1500000000000003E-2</v>
      </c>
      <c r="T90">
        <v>8411112</v>
      </c>
    </row>
    <row r="91" spans="1:20" x14ac:dyDescent="0.15">
      <c r="A91" s="4" t="str">
        <f>HYPERLINK("https://ibp.a2mac1.com/costing(costing:projects/details/9760/component/8751886)","Washer &gt; Plate washer")</f>
        <v>Washer &gt; Plate washer</v>
      </c>
      <c r="B91">
        <v>8751886</v>
      </c>
      <c r="D91">
        <v>0</v>
      </c>
      <c r="E91">
        <v>4.4999999999999998E-2</v>
      </c>
      <c r="H91">
        <v>1</v>
      </c>
      <c r="I91">
        <v>200000</v>
      </c>
      <c r="J91" t="s">
        <v>76</v>
      </c>
      <c r="K91">
        <v>3</v>
      </c>
      <c r="L91">
        <v>19</v>
      </c>
      <c r="M91">
        <v>11</v>
      </c>
      <c r="O91">
        <v>4.0000000000000001E-3</v>
      </c>
      <c r="Q91">
        <v>0</v>
      </c>
      <c r="R91">
        <v>0</v>
      </c>
      <c r="S91">
        <v>4.4999999999999998E-2</v>
      </c>
      <c r="T91">
        <v>8411113</v>
      </c>
    </row>
    <row r="92" spans="1:20" x14ac:dyDescent="0.15">
      <c r="A92" s="4" t="str">
        <f>HYPERLINK("https://ibp.a2mac1.com/costing(costing:projects/details/9760/component/8751887)","Screw &gt; Torx socket head cap screw")</f>
        <v>Screw &gt; Torx socket head cap screw</v>
      </c>
      <c r="B92">
        <v>8751887</v>
      </c>
      <c r="D92">
        <v>0</v>
      </c>
      <c r="E92">
        <v>7.5999999999999998E-2</v>
      </c>
      <c r="H92">
        <v>1</v>
      </c>
      <c r="I92">
        <v>200000</v>
      </c>
      <c r="J92" t="s">
        <v>76</v>
      </c>
      <c r="K92">
        <v>15</v>
      </c>
      <c r="L92">
        <v>9</v>
      </c>
      <c r="M92">
        <v>11</v>
      </c>
      <c r="O92">
        <v>0.03</v>
      </c>
      <c r="Q92">
        <v>0</v>
      </c>
      <c r="R92">
        <v>0</v>
      </c>
      <c r="S92">
        <v>7.5999999999999998E-2</v>
      </c>
      <c r="T92">
        <v>8411113</v>
      </c>
    </row>
    <row r="93" spans="1:20" x14ac:dyDescent="0.15">
      <c r="A93" s="4" t="str">
        <f>HYPERLINK("https://ibp.a2mac1.com/costing(costing:projects/details/9760/component/8751920)","Screw &gt; Hexagon screw with flange")</f>
        <v>Screw &gt; Hexagon screw with flange</v>
      </c>
      <c r="B93">
        <v>8751920</v>
      </c>
      <c r="D93">
        <v>0</v>
      </c>
      <c r="E93">
        <v>0.06</v>
      </c>
      <c r="H93">
        <v>1</v>
      </c>
      <c r="I93">
        <v>200000</v>
      </c>
      <c r="J93" t="s">
        <v>76</v>
      </c>
      <c r="K93">
        <v>14</v>
      </c>
      <c r="L93">
        <v>10</v>
      </c>
      <c r="M93">
        <v>6</v>
      </c>
      <c r="O93">
        <v>7.0000000000000001E-3</v>
      </c>
      <c r="Q93">
        <v>0</v>
      </c>
      <c r="R93">
        <v>0</v>
      </c>
      <c r="S93">
        <v>0.06</v>
      </c>
      <c r="T93">
        <v>8411163</v>
      </c>
    </row>
    <row r="94" spans="1:20" x14ac:dyDescent="0.15">
      <c r="A94" s="4" t="str">
        <f>HYPERLINK("https://ibp.a2mac1.com/costing(costing:projects/details/9760/component/8751888)","Screw &gt; Hexagon screw with flange")</f>
        <v>Screw &gt; Hexagon screw with flange</v>
      </c>
      <c r="B94">
        <v>8751888</v>
      </c>
      <c r="D94">
        <v>0</v>
      </c>
      <c r="E94">
        <v>7.5999999999999998E-2</v>
      </c>
      <c r="H94">
        <v>1</v>
      </c>
      <c r="I94">
        <v>200000</v>
      </c>
      <c r="J94" t="s">
        <v>76</v>
      </c>
      <c r="K94">
        <v>25</v>
      </c>
      <c r="L94">
        <v>15</v>
      </c>
      <c r="M94">
        <v>10</v>
      </c>
      <c r="O94">
        <v>0.03</v>
      </c>
      <c r="Q94">
        <v>0</v>
      </c>
      <c r="R94">
        <v>0</v>
      </c>
      <c r="S94">
        <v>7.5999999999999998E-2</v>
      </c>
      <c r="T94">
        <v>8411114</v>
      </c>
    </row>
    <row r="95" spans="1:20" x14ac:dyDescent="0.15">
      <c r="A95" s="4" t="str">
        <f>HYPERLINK("https://ibp.a2mac1.com/costing(costing:projects/details/9760/component/8751889)","Washer &gt; Lock interior washer")</f>
        <v>Washer &gt; Lock interior washer</v>
      </c>
      <c r="B95">
        <v>8751889</v>
      </c>
      <c r="D95">
        <v>0</v>
      </c>
      <c r="E95">
        <v>0.02</v>
      </c>
      <c r="H95">
        <v>1</v>
      </c>
      <c r="I95">
        <v>200000</v>
      </c>
      <c r="J95" t="s">
        <v>76</v>
      </c>
      <c r="K95">
        <v>1</v>
      </c>
      <c r="L95">
        <v>22</v>
      </c>
      <c r="M95">
        <v>10</v>
      </c>
      <c r="O95">
        <v>1E-3</v>
      </c>
      <c r="Q95">
        <v>0</v>
      </c>
      <c r="R95">
        <v>0</v>
      </c>
      <c r="S95">
        <v>0.02</v>
      </c>
      <c r="T95">
        <v>8411114</v>
      </c>
    </row>
    <row r="96" spans="1:20" x14ac:dyDescent="0.15">
      <c r="A96" s="4" t="str">
        <f>HYPERLINK("https://ibp.a2mac1.com/costing(costing:projects/details/9760/component/8751890)","Washer &gt; Lock interior washer")</f>
        <v>Washer &gt; Lock interior washer</v>
      </c>
      <c r="B96">
        <v>8751890</v>
      </c>
      <c r="D96">
        <v>0</v>
      </c>
      <c r="E96">
        <v>0.03</v>
      </c>
      <c r="H96">
        <v>1</v>
      </c>
      <c r="I96">
        <v>200000</v>
      </c>
      <c r="J96" t="s">
        <v>76</v>
      </c>
      <c r="K96">
        <v>1</v>
      </c>
      <c r="L96">
        <v>22</v>
      </c>
      <c r="M96">
        <v>10</v>
      </c>
      <c r="O96">
        <v>1E-3</v>
      </c>
      <c r="Q96">
        <v>0</v>
      </c>
      <c r="R96">
        <v>0</v>
      </c>
      <c r="S96">
        <v>0.03</v>
      </c>
      <c r="T96">
        <v>8411115</v>
      </c>
    </row>
    <row r="97" spans="1:20" x14ac:dyDescent="0.15">
      <c r="A97" s="4" t="str">
        <f>HYPERLINK("https://ibp.a2mac1.com/costing(costing:projects/details/9760/component/8751891)","Screw &gt; Hexagon screw with flange")</f>
        <v>Screw &gt; Hexagon screw with flange</v>
      </c>
      <c r="B97">
        <v>8751891</v>
      </c>
      <c r="D97">
        <v>0</v>
      </c>
      <c r="E97">
        <v>4.4999999999999998E-2</v>
      </c>
      <c r="H97">
        <v>1</v>
      </c>
      <c r="I97">
        <v>200000</v>
      </c>
      <c r="J97" t="s">
        <v>76</v>
      </c>
      <c r="K97">
        <v>38</v>
      </c>
      <c r="L97">
        <v>15</v>
      </c>
      <c r="M97">
        <v>11</v>
      </c>
      <c r="O97">
        <v>4.1000000000000002E-2</v>
      </c>
      <c r="Q97">
        <v>0</v>
      </c>
      <c r="R97">
        <v>0</v>
      </c>
      <c r="S97">
        <v>4.4999999999999998E-2</v>
      </c>
      <c r="T97">
        <v>8411115</v>
      </c>
    </row>
    <row r="98" spans="1:20" x14ac:dyDescent="0.15">
      <c r="A98" s="4" t="str">
        <f>HYPERLINK("https://ibp.a2mac1.com/costing(costing:projects/details/9760/component/8751921)","Washer &gt; Lock interior washer")</f>
        <v>Washer &gt; Lock interior washer</v>
      </c>
      <c r="B98">
        <v>8751921</v>
      </c>
      <c r="D98">
        <v>0</v>
      </c>
      <c r="E98">
        <v>0.02</v>
      </c>
      <c r="H98">
        <v>2</v>
      </c>
      <c r="I98">
        <v>400000</v>
      </c>
      <c r="J98" t="s">
        <v>76</v>
      </c>
      <c r="K98">
        <v>1</v>
      </c>
      <c r="L98">
        <v>20</v>
      </c>
      <c r="M98">
        <v>11</v>
      </c>
      <c r="O98">
        <v>5.0000000000000001E-4</v>
      </c>
      <c r="Q98">
        <v>0</v>
      </c>
      <c r="R98">
        <v>0</v>
      </c>
      <c r="S98">
        <v>0.04</v>
      </c>
      <c r="T98">
        <v>8411171</v>
      </c>
    </row>
    <row r="99" spans="1:20" x14ac:dyDescent="0.15">
      <c r="A99" s="4" t="str">
        <f>HYPERLINK("https://ibp.a2mac1.com/costing(costing:projects/details/9760/component/8751892)","Screw &gt; Hexagon screw with flange")</f>
        <v>Screw &gt; Hexagon screw with flange</v>
      </c>
      <c r="B99">
        <v>8751892</v>
      </c>
      <c r="D99">
        <v>0</v>
      </c>
      <c r="E99">
        <v>0.45</v>
      </c>
      <c r="H99">
        <v>1</v>
      </c>
      <c r="I99">
        <v>200000</v>
      </c>
      <c r="J99" t="s">
        <v>76</v>
      </c>
      <c r="K99">
        <v>38</v>
      </c>
      <c r="L99">
        <v>15</v>
      </c>
      <c r="M99">
        <v>11</v>
      </c>
      <c r="O99">
        <v>0.04</v>
      </c>
      <c r="Q99">
        <v>0</v>
      </c>
      <c r="R99">
        <v>0</v>
      </c>
      <c r="S99">
        <v>0.45</v>
      </c>
      <c r="T99">
        <v>8411116</v>
      </c>
    </row>
    <row r="100" spans="1:20" x14ac:dyDescent="0.15">
      <c r="A100" s="4" t="str">
        <f>HYPERLINK("https://ibp.a2mac1.com/costing(costing:projects/details/9760/component/8751893)","Nut &gt; Hexagonal nut with collar")</f>
        <v>Nut &gt; Hexagonal nut with collar</v>
      </c>
      <c r="B100">
        <v>8751893</v>
      </c>
      <c r="D100">
        <v>0</v>
      </c>
      <c r="E100">
        <v>8.5999999999999993E-2</v>
      </c>
      <c r="H100">
        <v>1</v>
      </c>
      <c r="I100">
        <v>200000</v>
      </c>
      <c r="J100" t="s">
        <v>76</v>
      </c>
      <c r="K100">
        <v>11</v>
      </c>
      <c r="L100">
        <v>15</v>
      </c>
      <c r="M100">
        <v>9</v>
      </c>
      <c r="O100">
        <v>1.2E-2</v>
      </c>
      <c r="Q100">
        <v>0</v>
      </c>
      <c r="R100">
        <v>0</v>
      </c>
      <c r="S100">
        <v>8.5999999999999993E-2</v>
      </c>
      <c r="T100">
        <v>8411116</v>
      </c>
    </row>
    <row r="101" spans="1:20" x14ac:dyDescent="0.15">
      <c r="A101" s="4" t="str">
        <f>HYPERLINK("https://ibp.a2mac1.com/costing(costing:projects/details/9760/component/8751922)","Washer &gt; Lock interior washer")</f>
        <v>Washer &gt; Lock interior washer</v>
      </c>
      <c r="B101">
        <v>8751922</v>
      </c>
      <c r="D101">
        <v>0</v>
      </c>
      <c r="E101">
        <v>0.03</v>
      </c>
      <c r="H101">
        <v>1</v>
      </c>
      <c r="I101">
        <v>200000</v>
      </c>
      <c r="J101" t="s">
        <v>76</v>
      </c>
      <c r="K101">
        <v>1</v>
      </c>
      <c r="L101">
        <v>22</v>
      </c>
      <c r="M101">
        <v>10</v>
      </c>
      <c r="O101">
        <v>1E-3</v>
      </c>
      <c r="Q101">
        <v>0</v>
      </c>
      <c r="R101">
        <v>0</v>
      </c>
      <c r="S101">
        <v>0.03</v>
      </c>
      <c r="T101">
        <v>8411175</v>
      </c>
    </row>
    <row r="102" spans="1:20" x14ac:dyDescent="0.15">
      <c r="A102" s="4" t="str">
        <f>HYPERLINK("https://ibp.a2mac1.com/costing(costing:projects/details/9760/component/8751894)","Screw &gt; Hexagon screw with flange")</f>
        <v>Screw &gt; Hexagon screw with flange</v>
      </c>
      <c r="B102">
        <v>8751894</v>
      </c>
      <c r="D102">
        <v>0</v>
      </c>
      <c r="E102">
        <v>4.4999999999999998E-2</v>
      </c>
      <c r="H102">
        <v>1</v>
      </c>
      <c r="I102">
        <v>200000</v>
      </c>
      <c r="J102" t="s">
        <v>76</v>
      </c>
      <c r="K102">
        <v>25</v>
      </c>
      <c r="L102">
        <v>15</v>
      </c>
      <c r="M102">
        <v>10</v>
      </c>
      <c r="O102">
        <v>3.1E-2</v>
      </c>
      <c r="Q102">
        <v>0</v>
      </c>
      <c r="R102">
        <v>0</v>
      </c>
      <c r="S102">
        <v>4.4999999999999998E-2</v>
      </c>
      <c r="T102">
        <v>8411117</v>
      </c>
    </row>
    <row r="103" spans="1:20" x14ac:dyDescent="0.15">
      <c r="A103" s="4" t="str">
        <f>HYPERLINK("https://ibp.a2mac1.com/costing(costing:projects/details/9760/component/8751808)","Hex-head Bolt M6x10")</f>
        <v>Hex-head Bolt M6x10</v>
      </c>
      <c r="B103">
        <v>8751808</v>
      </c>
      <c r="D103">
        <v>0</v>
      </c>
      <c r="E103">
        <v>3.7719999999999997E-2</v>
      </c>
      <c r="F103" t="s">
        <v>942</v>
      </c>
      <c r="H103">
        <v>1</v>
      </c>
      <c r="I103">
        <v>200000</v>
      </c>
      <c r="J103" t="s">
        <v>76</v>
      </c>
      <c r="K103">
        <v>0</v>
      </c>
      <c r="L103">
        <v>0</v>
      </c>
      <c r="M103">
        <v>0</v>
      </c>
      <c r="N103">
        <v>0</v>
      </c>
      <c r="O103">
        <v>4.7099999999999998E-3</v>
      </c>
      <c r="Q103">
        <v>0</v>
      </c>
      <c r="R103">
        <v>0</v>
      </c>
      <c r="S103">
        <v>3.7719999999999997E-2</v>
      </c>
      <c r="T103">
        <v>8411063</v>
      </c>
    </row>
    <row r="104" spans="1:20" x14ac:dyDescent="0.15">
      <c r="A104" s="4" t="str">
        <f>HYPERLINK("https://ibp.a2mac1.com/costing(costing:projects/details/9760/component/8751809)","Hex-head Bolt M6x20")</f>
        <v>Hex-head Bolt M6x20</v>
      </c>
      <c r="B104">
        <v>8751809</v>
      </c>
      <c r="D104">
        <v>0</v>
      </c>
      <c r="E104">
        <v>4.6039999999999998E-2</v>
      </c>
      <c r="F104" t="s">
        <v>312</v>
      </c>
      <c r="H104">
        <v>1</v>
      </c>
      <c r="I104">
        <v>200000</v>
      </c>
      <c r="J104" t="s">
        <v>76</v>
      </c>
      <c r="K104">
        <v>0</v>
      </c>
      <c r="L104">
        <v>0</v>
      </c>
      <c r="M104">
        <v>0</v>
      </c>
      <c r="N104">
        <v>0</v>
      </c>
      <c r="O104">
        <v>6.7400000000000003E-3</v>
      </c>
      <c r="Q104">
        <v>0</v>
      </c>
      <c r="R104">
        <v>0</v>
      </c>
      <c r="S104">
        <v>4.6039999999999998E-2</v>
      </c>
      <c r="T104">
        <v>8411063</v>
      </c>
    </row>
    <row r="105" spans="1:20" x14ac:dyDescent="0.15">
      <c r="A105" s="4" t="str">
        <f>HYPERLINK("https://ibp.a2mac1.com/costing(costing:projects/details/9760/component/8751810)","Hex-head Bolt M6x10")</f>
        <v>Hex-head Bolt M6x10</v>
      </c>
      <c r="B105">
        <v>8751810</v>
      </c>
      <c r="D105">
        <v>0</v>
      </c>
      <c r="E105">
        <v>3.7719999999999997E-2</v>
      </c>
      <c r="F105" t="s">
        <v>942</v>
      </c>
      <c r="H105">
        <v>1</v>
      </c>
      <c r="I105">
        <v>200000</v>
      </c>
      <c r="J105" t="s">
        <v>76</v>
      </c>
      <c r="K105">
        <v>0</v>
      </c>
      <c r="L105">
        <v>0</v>
      </c>
      <c r="M105">
        <v>0</v>
      </c>
      <c r="N105">
        <v>0</v>
      </c>
      <c r="O105">
        <v>4.7099999999999998E-3</v>
      </c>
      <c r="Q105">
        <v>0</v>
      </c>
      <c r="R105">
        <v>0</v>
      </c>
      <c r="S105">
        <v>3.7719999999999997E-2</v>
      </c>
      <c r="T105">
        <v>8411063</v>
      </c>
    </row>
    <row r="106" spans="1:20" x14ac:dyDescent="0.15">
      <c r="A106" s="4" t="str">
        <f>HYPERLINK("https://ibp.a2mac1.com/costing(costing:projects/details/9760/component/8751811)","Hex-head Bolt M6x12")</f>
        <v>Hex-head Bolt M6x12</v>
      </c>
      <c r="B106">
        <v>8751811</v>
      </c>
      <c r="D106">
        <v>0</v>
      </c>
      <c r="E106">
        <v>3.9379999999999998E-2</v>
      </c>
      <c r="F106" t="s">
        <v>943</v>
      </c>
      <c r="H106">
        <v>1</v>
      </c>
      <c r="I106">
        <v>200000</v>
      </c>
      <c r="J106" t="s">
        <v>76</v>
      </c>
      <c r="K106">
        <v>0</v>
      </c>
      <c r="L106">
        <v>0</v>
      </c>
      <c r="M106">
        <v>0</v>
      </c>
      <c r="N106">
        <v>0</v>
      </c>
      <c r="O106">
        <v>5.1200000000000004E-3</v>
      </c>
      <c r="Q106">
        <v>0</v>
      </c>
      <c r="R106">
        <v>0</v>
      </c>
      <c r="S106">
        <v>3.9379999999999998E-2</v>
      </c>
      <c r="T106">
        <v>8411063</v>
      </c>
    </row>
    <row r="107" spans="1:20" x14ac:dyDescent="0.15">
      <c r="A107" s="4" t="str">
        <f>HYPERLINK("https://ibp.a2mac1.com/costing(costing:projects/details/9760/component/8751812)","Flange Nut M10")</f>
        <v>Flange Nut M10</v>
      </c>
      <c r="B107">
        <v>8751812</v>
      </c>
      <c r="D107">
        <v>0</v>
      </c>
      <c r="E107">
        <v>8.1500000000000003E-2</v>
      </c>
      <c r="F107" t="s">
        <v>836</v>
      </c>
      <c r="H107">
        <v>1</v>
      </c>
      <c r="I107">
        <v>200000</v>
      </c>
      <c r="J107" t="s">
        <v>76</v>
      </c>
      <c r="K107">
        <v>0</v>
      </c>
      <c r="L107">
        <v>0</v>
      </c>
      <c r="M107">
        <v>0</v>
      </c>
      <c r="N107">
        <v>0</v>
      </c>
      <c r="O107">
        <v>1.108E-2</v>
      </c>
      <c r="Q107">
        <v>0</v>
      </c>
      <c r="R107">
        <v>0</v>
      </c>
      <c r="S107">
        <v>8.1500000000000003E-2</v>
      </c>
      <c r="T107">
        <v>8411065</v>
      </c>
    </row>
    <row r="108" spans="1:20" x14ac:dyDescent="0.15">
      <c r="A108" s="4" t="str">
        <f>HYPERLINK("https://ibp.a2mac1.com/costing(costing:projects/details/9760/component/8751975)","Mechanics")</f>
        <v>Mechanics</v>
      </c>
      <c r="B108">
        <v>8751975</v>
      </c>
      <c r="D108">
        <v>0</v>
      </c>
      <c r="E108">
        <v>0.9</v>
      </c>
      <c r="F108" t="s">
        <v>361</v>
      </c>
      <c r="H108">
        <v>1</v>
      </c>
      <c r="I108">
        <v>200000</v>
      </c>
      <c r="J108" t="s">
        <v>76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362</v>
      </c>
      <c r="Q108">
        <v>0</v>
      </c>
      <c r="R108">
        <v>0</v>
      </c>
      <c r="S108">
        <v>0.88377815460701548</v>
      </c>
      <c r="T108">
        <v>8411447</v>
      </c>
    </row>
    <row r="109" spans="1:20" x14ac:dyDescent="0.15">
      <c r="A109" s="4" t="str">
        <f>HYPERLINK("https://ibp.a2mac1.com/costing(costing:projects/details/9760/component/8751976)","Electronics")</f>
        <v>Electronics</v>
      </c>
      <c r="B109">
        <v>8751976</v>
      </c>
      <c r="D109">
        <v>0</v>
      </c>
      <c r="E109">
        <v>10.1</v>
      </c>
      <c r="F109" t="s">
        <v>363</v>
      </c>
      <c r="H109">
        <v>1</v>
      </c>
      <c r="I109">
        <v>200000</v>
      </c>
      <c r="J109" t="s">
        <v>76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364</v>
      </c>
      <c r="Q109">
        <v>0</v>
      </c>
      <c r="R109">
        <v>0</v>
      </c>
      <c r="S109">
        <v>9.4780893342518393</v>
      </c>
      <c r="T109">
        <v>8411447</v>
      </c>
    </row>
    <row r="110" spans="1:20" x14ac:dyDescent="0.15">
      <c r="A110" s="4" t="str">
        <f>HYPERLINK("https://ibp.a2mac1.com/costing(costing:projects/details/9760/component/8752062)","Mechanics")</f>
        <v>Mechanics</v>
      </c>
      <c r="B110">
        <v>8752062</v>
      </c>
      <c r="D110">
        <v>0</v>
      </c>
      <c r="E110">
        <v>0.21</v>
      </c>
      <c r="F110" t="s">
        <v>1331</v>
      </c>
      <c r="H110">
        <v>1</v>
      </c>
      <c r="I110">
        <v>200000</v>
      </c>
      <c r="J110" t="s">
        <v>76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362</v>
      </c>
      <c r="Q110">
        <v>0</v>
      </c>
      <c r="R110">
        <v>0</v>
      </c>
      <c r="S110">
        <v>0.20621490274163695</v>
      </c>
      <c r="T110">
        <v>8411468</v>
      </c>
    </row>
    <row r="111" spans="1:20" x14ac:dyDescent="0.15">
      <c r="A111" s="4" t="str">
        <f>HYPERLINK("https://ibp.a2mac1.com/costing(costing:projects/details/9760/component/8752063)","Electronics")</f>
        <v>Electronics</v>
      </c>
      <c r="B111">
        <v>8752063</v>
      </c>
      <c r="D111">
        <v>0</v>
      </c>
      <c r="E111">
        <v>5.44</v>
      </c>
      <c r="F111" t="s">
        <v>363</v>
      </c>
      <c r="H111">
        <v>1</v>
      </c>
      <c r="I111">
        <v>200000</v>
      </c>
      <c r="J111" t="s">
        <v>76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364</v>
      </c>
      <c r="Q111">
        <v>0</v>
      </c>
      <c r="R111">
        <v>0</v>
      </c>
      <c r="S111">
        <v>5.105030294884159</v>
      </c>
      <c r="T111">
        <v>8411468</v>
      </c>
    </row>
    <row r="112" spans="1:20" x14ac:dyDescent="0.15">
      <c r="A112" s="4" t="str">
        <f>HYPERLINK("https://ibp.a2mac1.com/costing(costing:projects/details/9760/component/8752108)","Mechanics")</f>
        <v>Mechanics</v>
      </c>
      <c r="B112">
        <v>8752108</v>
      </c>
      <c r="D112">
        <v>0</v>
      </c>
      <c r="E112">
        <v>1.91</v>
      </c>
      <c r="F112" t="s">
        <v>1335</v>
      </c>
      <c r="H112">
        <v>1</v>
      </c>
      <c r="I112">
        <v>200000</v>
      </c>
      <c r="J112" t="s">
        <v>76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362</v>
      </c>
      <c r="Q112">
        <v>0</v>
      </c>
      <c r="R112">
        <v>0</v>
      </c>
      <c r="S112">
        <v>1.8755736392215552</v>
      </c>
      <c r="T112">
        <v>8411469</v>
      </c>
    </row>
    <row r="113" spans="1:20" x14ac:dyDescent="0.15">
      <c r="A113" s="4" t="str">
        <f>HYPERLINK("https://ibp.a2mac1.com/costing(costing:projects/details/9760/component/8752109)","Electronics")</f>
        <v>Electronics</v>
      </c>
      <c r="B113">
        <v>8752109</v>
      </c>
      <c r="D113">
        <v>0</v>
      </c>
      <c r="E113">
        <v>16.6187</v>
      </c>
      <c r="F113" t="s">
        <v>363</v>
      </c>
      <c r="H113">
        <v>1</v>
      </c>
      <c r="I113">
        <v>200000</v>
      </c>
      <c r="J113" t="s">
        <v>76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364</v>
      </c>
      <c r="Q113">
        <v>0</v>
      </c>
      <c r="R113">
        <v>0</v>
      </c>
      <c r="S113">
        <v>15.595398338527826</v>
      </c>
      <c r="T113">
        <v>8411469</v>
      </c>
    </row>
    <row r="114" spans="1:20" x14ac:dyDescent="0.15">
      <c r="A114" s="4" t="str">
        <f>HYPERLINK("https://ibp.a2mac1.com/costing(costing:projects/details/9760/component/8751977)","Hex Nut M6")</f>
        <v>Hex Nut M6</v>
      </c>
      <c r="B114">
        <v>8751977</v>
      </c>
      <c r="D114">
        <v>0</v>
      </c>
      <c r="E114">
        <v>3.9989999999999998E-2</v>
      </c>
      <c r="F114" t="s">
        <v>377</v>
      </c>
      <c r="H114">
        <v>1</v>
      </c>
      <c r="I114">
        <v>200000</v>
      </c>
      <c r="J114" t="s">
        <v>76</v>
      </c>
      <c r="K114">
        <v>0</v>
      </c>
      <c r="L114">
        <v>0</v>
      </c>
      <c r="M114">
        <v>0</v>
      </c>
      <c r="N114">
        <v>0</v>
      </c>
      <c r="O114">
        <v>3.0300000000000001E-3</v>
      </c>
      <c r="Q114">
        <v>0</v>
      </c>
      <c r="R114">
        <v>0</v>
      </c>
      <c r="S114">
        <v>3.9989999999999998E-2</v>
      </c>
      <c r="T114">
        <v>8411448</v>
      </c>
    </row>
    <row r="115" spans="1:20" x14ac:dyDescent="0.15">
      <c r="A115" s="4" t="str">
        <f>HYPERLINK("https://ibp.a2mac1.com/costing(costing:projects/details/9760/component/8752110)","Mechanics")</f>
        <v>Mechanics</v>
      </c>
      <c r="B115">
        <v>8752110</v>
      </c>
      <c r="D115">
        <v>0</v>
      </c>
      <c r="E115">
        <v>0.75</v>
      </c>
      <c r="F115" t="s">
        <v>383</v>
      </c>
      <c r="H115">
        <v>1</v>
      </c>
      <c r="I115">
        <v>200000</v>
      </c>
      <c r="J115" t="s">
        <v>76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362</v>
      </c>
      <c r="Q115">
        <v>0</v>
      </c>
      <c r="R115">
        <v>0</v>
      </c>
      <c r="S115">
        <v>0.73648179550584625</v>
      </c>
      <c r="T115">
        <v>8411477</v>
      </c>
    </row>
    <row r="116" spans="1:20" x14ac:dyDescent="0.15">
      <c r="A116" s="4" t="str">
        <f>HYPERLINK("https://ibp.a2mac1.com/costing(costing:projects/details/9760/component/8752111)","Electronics")</f>
        <v>Electronics</v>
      </c>
      <c r="B116">
        <v>8752111</v>
      </c>
      <c r="D116">
        <v>0</v>
      </c>
      <c r="E116">
        <v>4.33</v>
      </c>
      <c r="F116" t="s">
        <v>363</v>
      </c>
      <c r="H116">
        <v>1</v>
      </c>
      <c r="I116">
        <v>200000</v>
      </c>
      <c r="J116" t="s">
        <v>76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364</v>
      </c>
      <c r="Q116">
        <v>0</v>
      </c>
      <c r="R116">
        <v>0</v>
      </c>
      <c r="S116">
        <v>4.0633788928030166</v>
      </c>
      <c r="T116">
        <v>8411477</v>
      </c>
    </row>
    <row r="117" spans="1:20" x14ac:dyDescent="0.15">
      <c r="A117" s="4" t="str">
        <f>HYPERLINK("https://ibp.a2mac1.com/costing(costing:projects/details/9760/component/8752112)","Electronics")</f>
        <v>Electronics</v>
      </c>
      <c r="B117">
        <v>8752112</v>
      </c>
      <c r="D117">
        <v>0</v>
      </c>
      <c r="E117">
        <v>12.92</v>
      </c>
      <c r="F117" t="s">
        <v>363</v>
      </c>
      <c r="H117">
        <v>1</v>
      </c>
      <c r="I117">
        <v>200000</v>
      </c>
      <c r="J117" t="s">
        <v>76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364</v>
      </c>
      <c r="Q117">
        <v>0</v>
      </c>
      <c r="R117">
        <v>0</v>
      </c>
      <c r="S117">
        <v>12.124446950349878</v>
      </c>
      <c r="T117">
        <v>8411478</v>
      </c>
    </row>
    <row r="118" spans="1:20" x14ac:dyDescent="0.15">
      <c r="A118" s="4" t="str">
        <f>HYPERLINK("https://ibp.a2mac1.com/costing(costing:projects/details/9760/component/8752113)","Mechanics")</f>
        <v>Mechanics</v>
      </c>
      <c r="B118">
        <v>8752113</v>
      </c>
      <c r="D118">
        <v>0</v>
      </c>
      <c r="E118">
        <v>1.8</v>
      </c>
      <c r="F118" t="s">
        <v>383</v>
      </c>
      <c r="H118">
        <v>1</v>
      </c>
      <c r="I118">
        <v>200000</v>
      </c>
      <c r="J118" t="s">
        <v>76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362</v>
      </c>
      <c r="Q118">
        <v>0</v>
      </c>
      <c r="R118">
        <v>0</v>
      </c>
      <c r="S118">
        <v>1.767556309214031</v>
      </c>
      <c r="T118">
        <v>8411478</v>
      </c>
    </row>
    <row r="119" spans="1:20" x14ac:dyDescent="0.15">
      <c r="A119" s="4" t="str">
        <f>HYPERLINK("https://ibp.a2mac1.com/costing(costing:projects/details/9760/component/8751978)","Flange Nut M10")</f>
        <v>Flange Nut M10</v>
      </c>
      <c r="B119">
        <v>8751978</v>
      </c>
      <c r="D119">
        <v>0</v>
      </c>
      <c r="E119">
        <v>8.1500000000000003E-2</v>
      </c>
      <c r="F119" t="s">
        <v>836</v>
      </c>
      <c r="H119">
        <v>1</v>
      </c>
      <c r="I119">
        <v>200000</v>
      </c>
      <c r="J119" t="s">
        <v>76</v>
      </c>
      <c r="K119">
        <v>0</v>
      </c>
      <c r="L119">
        <v>0</v>
      </c>
      <c r="M119">
        <v>0</v>
      </c>
      <c r="N119">
        <v>0</v>
      </c>
      <c r="O119">
        <v>1.108E-2</v>
      </c>
      <c r="Q119">
        <v>0</v>
      </c>
      <c r="R119">
        <v>0</v>
      </c>
      <c r="S119">
        <v>8.1500000000000003E-2</v>
      </c>
      <c r="T119">
        <v>8411449</v>
      </c>
    </row>
    <row r="120" spans="1:20" x14ac:dyDescent="0.15">
      <c r="A120" s="4" t="str">
        <f>HYPERLINK("https://ibp.a2mac1.com/costing(costing:projects/details/9760/component/8751979)","Flange Nut M5")</f>
        <v>Flange Nut M5</v>
      </c>
      <c r="B120">
        <v>8751979</v>
      </c>
      <c r="D120">
        <v>0</v>
      </c>
      <c r="E120">
        <v>3.1559999999999998E-2</v>
      </c>
      <c r="F120" t="s">
        <v>1367</v>
      </c>
      <c r="H120">
        <v>1</v>
      </c>
      <c r="I120">
        <v>200000</v>
      </c>
      <c r="J120" t="s">
        <v>76</v>
      </c>
      <c r="K120">
        <v>0</v>
      </c>
      <c r="L120">
        <v>0</v>
      </c>
      <c r="M120">
        <v>0</v>
      </c>
      <c r="N120">
        <v>0</v>
      </c>
      <c r="O120">
        <v>1.39E-3</v>
      </c>
      <c r="Q120">
        <v>0</v>
      </c>
      <c r="R120">
        <v>0</v>
      </c>
      <c r="S120">
        <v>3.1559999999999998E-2</v>
      </c>
      <c r="T120">
        <v>8411449</v>
      </c>
    </row>
    <row r="121" spans="1:20" x14ac:dyDescent="0.15">
      <c r="A121" s="4" t="str">
        <f>HYPERLINK("https://ibp.a2mac1.com/costing(costing:projects/details/9760/component/8751980)","Panel holder &gt; Clips in rectangular hole")</f>
        <v>Panel holder &gt; Clips in rectangular hole</v>
      </c>
      <c r="B121">
        <v>8751980</v>
      </c>
      <c r="D121">
        <v>0</v>
      </c>
      <c r="E121">
        <v>0.2</v>
      </c>
      <c r="H121">
        <v>6</v>
      </c>
      <c r="I121">
        <v>1200000</v>
      </c>
      <c r="J121" t="s">
        <v>76</v>
      </c>
      <c r="K121">
        <v>2</v>
      </c>
      <c r="L121">
        <v>16</v>
      </c>
      <c r="M121">
        <v>7</v>
      </c>
      <c r="O121">
        <v>8.0000000000000004E-4</v>
      </c>
      <c r="Q121">
        <v>0</v>
      </c>
      <c r="R121">
        <v>0</v>
      </c>
      <c r="S121">
        <v>1.2</v>
      </c>
      <c r="T121">
        <v>8411449</v>
      </c>
    </row>
    <row r="122" spans="1:20" x14ac:dyDescent="0.15">
      <c r="A122" s="4" t="str">
        <f>HYPERLINK("https://ibp.a2mac1.com/costing(costing:projects/details/9760/component/8752114)","Electronics")</f>
        <v>Electronics</v>
      </c>
      <c r="B122">
        <v>8752114</v>
      </c>
      <c r="D122">
        <v>0</v>
      </c>
      <c r="E122">
        <v>4.37</v>
      </c>
      <c r="F122" t="s">
        <v>363</v>
      </c>
      <c r="H122">
        <v>1</v>
      </c>
      <c r="I122">
        <v>200000</v>
      </c>
      <c r="J122" t="s">
        <v>76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364</v>
      </c>
      <c r="Q122">
        <v>0</v>
      </c>
      <c r="R122">
        <v>0</v>
      </c>
      <c r="S122">
        <v>4.1009158802653998</v>
      </c>
      <c r="T122">
        <v>8411489</v>
      </c>
    </row>
    <row r="123" spans="1:20" x14ac:dyDescent="0.15">
      <c r="A123" s="4" t="str">
        <f>HYPERLINK("https://ibp.a2mac1.com/costing(costing:projects/details/9760/component/8752115)","Mechanics")</f>
        <v>Mechanics</v>
      </c>
      <c r="B123">
        <v>8752115</v>
      </c>
      <c r="D123">
        <v>0</v>
      </c>
      <c r="E123">
        <v>1</v>
      </c>
      <c r="F123" t="s">
        <v>1387</v>
      </c>
      <c r="H123">
        <v>1</v>
      </c>
      <c r="I123">
        <v>200000</v>
      </c>
      <c r="J123" t="s">
        <v>76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362</v>
      </c>
      <c r="Q123">
        <v>0</v>
      </c>
      <c r="R123">
        <v>0</v>
      </c>
      <c r="S123">
        <v>0.98197572734112837</v>
      </c>
      <c r="T123">
        <v>8411489</v>
      </c>
    </row>
    <row r="124" spans="1:20" x14ac:dyDescent="0.15">
      <c r="A124" s="4" t="str">
        <f>HYPERLINK("https://ibp.a2mac1.com/costing(costing:projects/details/9760/component/8752247)","Electronics")</f>
        <v>Electronics</v>
      </c>
      <c r="B124">
        <v>8752247</v>
      </c>
      <c r="D124">
        <v>0</v>
      </c>
      <c r="E124">
        <v>52.2</v>
      </c>
      <c r="F124" t="s">
        <v>363</v>
      </c>
      <c r="H124">
        <v>1</v>
      </c>
      <c r="I124">
        <v>200000</v>
      </c>
      <c r="J124" t="s">
        <v>76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364</v>
      </c>
      <c r="Q124">
        <v>0</v>
      </c>
      <c r="R124">
        <v>0</v>
      </c>
      <c r="S124">
        <v>48.985768638410498</v>
      </c>
      <c r="T124">
        <v>8411562</v>
      </c>
    </row>
    <row r="125" spans="1:20" x14ac:dyDescent="0.15">
      <c r="A125" s="4" t="str">
        <f>HYPERLINK("https://ibp.a2mac1.com/costing(costing:projects/details/9760/component/8752248)","Mechanics")</f>
        <v>Mechanics</v>
      </c>
      <c r="B125">
        <v>8752248</v>
      </c>
      <c r="D125">
        <v>0</v>
      </c>
      <c r="E125">
        <v>6.1</v>
      </c>
      <c r="F125" t="s">
        <v>383</v>
      </c>
      <c r="H125">
        <v>1</v>
      </c>
      <c r="I125">
        <v>200000</v>
      </c>
      <c r="J125" t="s">
        <v>76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362</v>
      </c>
      <c r="Q125">
        <v>0</v>
      </c>
      <c r="R125">
        <v>0</v>
      </c>
      <c r="S125">
        <v>5.9900519367808833</v>
      </c>
      <c r="T125">
        <v>8411562</v>
      </c>
    </row>
    <row r="126" spans="1:20" x14ac:dyDescent="0.15">
      <c r="A126" s="4" t="str">
        <f>HYPERLINK("https://ibp.a2mac1.com/costing(costing:projects/details/9760/component/8752116)","Screw &gt; Cross recessed screw with flange")</f>
        <v>Screw &gt; Cross recessed screw with flange</v>
      </c>
      <c r="B126">
        <v>8752116</v>
      </c>
      <c r="D126">
        <v>0</v>
      </c>
      <c r="E126">
        <v>0</v>
      </c>
      <c r="H126">
        <v>5</v>
      </c>
      <c r="I126">
        <v>1000000</v>
      </c>
      <c r="J126" t="s">
        <v>76</v>
      </c>
      <c r="K126">
        <v>11</v>
      </c>
      <c r="L126">
        <v>9</v>
      </c>
      <c r="M126">
        <v>5</v>
      </c>
      <c r="O126">
        <v>3.0000000000000001E-3</v>
      </c>
      <c r="Q126">
        <v>0</v>
      </c>
      <c r="R126">
        <v>0</v>
      </c>
      <c r="S126">
        <v>0</v>
      </c>
      <c r="T126">
        <v>8411490</v>
      </c>
    </row>
    <row r="127" spans="1:20" x14ac:dyDescent="0.15">
      <c r="A127" s="4" t="str">
        <f>HYPERLINK("https://ibp.a2mac1.com/costing(costing:projects/details/9760/component/8752117)","Screw &gt; Hexagon screw with flange")</f>
        <v>Screw &gt; Hexagon screw with flange</v>
      </c>
      <c r="B127">
        <v>8752117</v>
      </c>
      <c r="D127">
        <v>0</v>
      </c>
      <c r="E127">
        <v>0</v>
      </c>
      <c r="H127">
        <v>1</v>
      </c>
      <c r="I127">
        <v>200000</v>
      </c>
      <c r="J127" t="s">
        <v>76</v>
      </c>
      <c r="K127">
        <v>12</v>
      </c>
      <c r="L127">
        <v>10</v>
      </c>
      <c r="M127">
        <v>6</v>
      </c>
      <c r="O127">
        <v>7.0000000000000001E-3</v>
      </c>
      <c r="Q127">
        <v>0</v>
      </c>
      <c r="R127">
        <v>0</v>
      </c>
      <c r="S127">
        <v>0</v>
      </c>
      <c r="T127">
        <v>8411490</v>
      </c>
    </row>
    <row r="128" spans="1:20" x14ac:dyDescent="0.15">
      <c r="A128" s="4" t="str">
        <f>HYPERLINK("https://ibp.a2mac1.com/costing(costing:projects/details/9760/component/8752118)","Nut &gt; Hexagonal nut with captive washer")</f>
        <v>Nut &gt; Hexagonal nut with captive washer</v>
      </c>
      <c r="B128">
        <v>8752118</v>
      </c>
      <c r="D128">
        <v>0</v>
      </c>
      <c r="E128">
        <v>0</v>
      </c>
      <c r="H128">
        <v>2</v>
      </c>
      <c r="I128">
        <v>400000</v>
      </c>
      <c r="J128" t="s">
        <v>76</v>
      </c>
      <c r="K128">
        <v>10</v>
      </c>
      <c r="L128">
        <v>10</v>
      </c>
      <c r="M128">
        <v>5</v>
      </c>
      <c r="O128">
        <v>6.0000000000000001E-3</v>
      </c>
      <c r="Q128">
        <v>0</v>
      </c>
      <c r="R128">
        <v>0</v>
      </c>
      <c r="S128">
        <v>0</v>
      </c>
      <c r="T128">
        <v>8411490</v>
      </c>
    </row>
    <row r="129" spans="1:20" x14ac:dyDescent="0.15">
      <c r="A129" s="4" t="str">
        <f>HYPERLINK("https://ibp.a2mac1.com/costing(costing:projects/details/9760/component/8752119)","Nut &gt; Hexagonal nut with captive washer")</f>
        <v>Nut &gt; Hexagonal nut with captive washer</v>
      </c>
      <c r="B129">
        <v>8752119</v>
      </c>
      <c r="D129">
        <v>0</v>
      </c>
      <c r="E129">
        <v>0</v>
      </c>
      <c r="H129">
        <v>4</v>
      </c>
      <c r="I129">
        <v>800000</v>
      </c>
      <c r="J129" t="s">
        <v>76</v>
      </c>
      <c r="K129">
        <v>7</v>
      </c>
      <c r="L129">
        <v>10</v>
      </c>
      <c r="M129">
        <v>5</v>
      </c>
      <c r="O129">
        <v>5.4999999999999997E-3</v>
      </c>
      <c r="Q129">
        <v>0</v>
      </c>
      <c r="R129">
        <v>0</v>
      </c>
      <c r="S129">
        <v>0</v>
      </c>
      <c r="T129">
        <v>8411491</v>
      </c>
    </row>
    <row r="130" spans="1:20" x14ac:dyDescent="0.15">
      <c r="A130" s="4" t="str">
        <f>HYPERLINK("https://ibp.a2mac1.com/costing(costing:projects/details/9760/component/8752249)","Electronics")</f>
        <v>Electronics</v>
      </c>
      <c r="B130">
        <v>8752249</v>
      </c>
      <c r="D130">
        <v>0</v>
      </c>
      <c r="E130">
        <v>370</v>
      </c>
      <c r="F130" t="s">
        <v>363</v>
      </c>
      <c r="H130">
        <v>1</v>
      </c>
      <c r="I130">
        <v>200000</v>
      </c>
      <c r="J130" t="s">
        <v>76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364</v>
      </c>
      <c r="Q130">
        <v>0</v>
      </c>
      <c r="R130">
        <v>0</v>
      </c>
      <c r="S130">
        <v>347.21713402704756</v>
      </c>
      <c r="T130">
        <v>8411567</v>
      </c>
    </row>
    <row r="131" spans="1:20" x14ac:dyDescent="0.15">
      <c r="A131" s="4" t="str">
        <f>HYPERLINK("https://ibp.a2mac1.com/costing(costing:projects/details/9760/component/8752250)","Mechanics")</f>
        <v>Mechanics</v>
      </c>
      <c r="B131">
        <v>8752250</v>
      </c>
      <c r="D131">
        <v>0</v>
      </c>
      <c r="E131">
        <v>8.5299999999999994</v>
      </c>
      <c r="F131" t="s">
        <v>1404</v>
      </c>
      <c r="H131">
        <v>1</v>
      </c>
      <c r="I131">
        <v>200000</v>
      </c>
      <c r="J131" t="s">
        <v>76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362</v>
      </c>
      <c r="Q131">
        <v>0</v>
      </c>
      <c r="R131">
        <v>0</v>
      </c>
      <c r="S131">
        <v>8.3762529542198241</v>
      </c>
      <c r="T131">
        <v>8411567</v>
      </c>
    </row>
    <row r="132" spans="1:20" x14ac:dyDescent="0.15">
      <c r="A132" s="4" t="str">
        <f>HYPERLINK("https://ibp.a2mac1.com/costing(costing:projects/details/9760/component/8752120)","Screw &gt; Torx socket head cap screw")</f>
        <v>Screw &gt; Torx socket head cap screw</v>
      </c>
      <c r="B132">
        <v>8752120</v>
      </c>
      <c r="D132">
        <v>0</v>
      </c>
      <c r="E132">
        <v>0</v>
      </c>
      <c r="H132">
        <v>3</v>
      </c>
      <c r="I132">
        <v>600000</v>
      </c>
      <c r="J132" t="s">
        <v>76</v>
      </c>
      <c r="K132">
        <v>12</v>
      </c>
      <c r="L132">
        <v>3</v>
      </c>
      <c r="M132">
        <v>3</v>
      </c>
      <c r="O132">
        <v>6.9999999999999999E-4</v>
      </c>
      <c r="Q132">
        <v>0</v>
      </c>
      <c r="R132">
        <v>0</v>
      </c>
      <c r="S132">
        <v>0</v>
      </c>
      <c r="T132">
        <v>8411492</v>
      </c>
    </row>
    <row r="133" spans="1:20" x14ac:dyDescent="0.15">
      <c r="A133" s="4" t="str">
        <f>HYPERLINK("https://ibp.a2mac1.com/costing(costing:projects/details/9760/component/8752121)","Screw &gt; Hexagon screw with flange")</f>
        <v>Screw &gt; Hexagon screw with flange</v>
      </c>
      <c r="B133">
        <v>8752121</v>
      </c>
      <c r="D133">
        <v>0</v>
      </c>
      <c r="E133">
        <v>0</v>
      </c>
      <c r="H133">
        <v>1</v>
      </c>
      <c r="I133">
        <v>200000</v>
      </c>
      <c r="J133" t="s">
        <v>76</v>
      </c>
      <c r="K133">
        <v>16</v>
      </c>
      <c r="L133">
        <v>10</v>
      </c>
      <c r="M133">
        <v>6</v>
      </c>
      <c r="O133">
        <v>8.0000000000000002E-3</v>
      </c>
      <c r="Q133">
        <v>0</v>
      </c>
      <c r="R133">
        <v>0</v>
      </c>
      <c r="S133">
        <v>0</v>
      </c>
      <c r="T133">
        <v>8411492</v>
      </c>
    </row>
    <row r="134" spans="1:20" x14ac:dyDescent="0.15">
      <c r="A134" s="4" t="str">
        <f>HYPERLINK("https://ibp.a2mac1.com/costing(costing:projects/details/9760/component/8752122)","Screw &gt; Hexagon screw with flange")</f>
        <v>Screw &gt; Hexagon screw with flange</v>
      </c>
      <c r="B134">
        <v>8752122</v>
      </c>
      <c r="D134">
        <v>0</v>
      </c>
      <c r="E134">
        <v>0</v>
      </c>
      <c r="H134">
        <v>1</v>
      </c>
      <c r="I134">
        <v>200000</v>
      </c>
      <c r="J134" t="s">
        <v>76</v>
      </c>
      <c r="K134">
        <v>16</v>
      </c>
      <c r="L134">
        <v>10</v>
      </c>
      <c r="M134">
        <v>6</v>
      </c>
      <c r="O134">
        <v>8.0000000000000002E-3</v>
      </c>
      <c r="Q134">
        <v>0</v>
      </c>
      <c r="R134">
        <v>0</v>
      </c>
      <c r="S134">
        <v>0</v>
      </c>
      <c r="T134">
        <v>8411492</v>
      </c>
    </row>
    <row r="135" spans="1:20" x14ac:dyDescent="0.15">
      <c r="A135" s="4" t="str">
        <f>HYPERLINK("https://ibp.a2mac1.com/costing(costing:projects/details/9760/component/8752123)","Screw &gt; Hexagon screw with flange")</f>
        <v>Screw &gt; Hexagon screw with flange</v>
      </c>
      <c r="B135">
        <v>8752123</v>
      </c>
      <c r="D135">
        <v>0</v>
      </c>
      <c r="E135">
        <v>0</v>
      </c>
      <c r="H135">
        <v>1</v>
      </c>
      <c r="I135">
        <v>200000</v>
      </c>
      <c r="J135" t="s">
        <v>76</v>
      </c>
      <c r="K135">
        <v>16</v>
      </c>
      <c r="L135">
        <v>10</v>
      </c>
      <c r="M135">
        <v>6</v>
      </c>
      <c r="O135">
        <v>8.0000000000000002E-3</v>
      </c>
      <c r="Q135">
        <v>0</v>
      </c>
      <c r="R135">
        <v>0</v>
      </c>
      <c r="S135">
        <v>0</v>
      </c>
      <c r="T135">
        <v>8411492</v>
      </c>
    </row>
    <row r="136" spans="1:20" x14ac:dyDescent="0.15">
      <c r="A136" s="4" t="str">
        <f>HYPERLINK("https://ibp.a2mac1.com/costing(costing:projects/details/9760/component/8751981)","Hex Nut M5")</f>
        <v>Hex Nut M5</v>
      </c>
      <c r="B136">
        <v>8751981</v>
      </c>
      <c r="D136">
        <v>0</v>
      </c>
      <c r="E136">
        <v>3.3259999999999998E-2</v>
      </c>
      <c r="F136" t="s">
        <v>1410</v>
      </c>
      <c r="H136">
        <v>1</v>
      </c>
      <c r="I136">
        <v>200000</v>
      </c>
      <c r="J136" t="s">
        <v>76</v>
      </c>
      <c r="K136">
        <v>0</v>
      </c>
      <c r="L136">
        <v>0</v>
      </c>
      <c r="M136">
        <v>0</v>
      </c>
      <c r="N136">
        <v>0</v>
      </c>
      <c r="O136">
        <v>1.72E-3</v>
      </c>
      <c r="Q136">
        <v>0</v>
      </c>
      <c r="R136">
        <v>0</v>
      </c>
      <c r="S136">
        <v>3.3259999999999998E-2</v>
      </c>
      <c r="T136">
        <v>8411451</v>
      </c>
    </row>
    <row r="137" spans="1:20" x14ac:dyDescent="0.15">
      <c r="A137" s="4" t="str">
        <f>HYPERLINK("https://ibp.a2mac1.com/costing(costing:projects/details/9760/component/8751982)","Round head Screw M5x10")</f>
        <v>Round head Screw M5x10</v>
      </c>
      <c r="B137">
        <v>8751982</v>
      </c>
      <c r="D137">
        <v>0</v>
      </c>
      <c r="E137">
        <v>2.6880000000000001E-2</v>
      </c>
      <c r="F137" t="s">
        <v>1414</v>
      </c>
      <c r="H137">
        <v>1</v>
      </c>
      <c r="I137">
        <v>200000</v>
      </c>
      <c r="J137" t="s">
        <v>76</v>
      </c>
      <c r="K137">
        <v>0</v>
      </c>
      <c r="L137">
        <v>0</v>
      </c>
      <c r="M137">
        <v>0</v>
      </c>
      <c r="N137">
        <v>0</v>
      </c>
      <c r="O137">
        <v>2.0699999999999998E-3</v>
      </c>
      <c r="Q137">
        <v>0</v>
      </c>
      <c r="R137">
        <v>0</v>
      </c>
      <c r="S137">
        <v>2.6880000000000001E-2</v>
      </c>
      <c r="T137">
        <v>8411452</v>
      </c>
    </row>
    <row r="138" spans="1:20" x14ac:dyDescent="0.15">
      <c r="A138" s="4" t="str">
        <f>HYPERLINK("https://ibp.a2mac1.com/costing(costing:projects/details/9760/component/8752124)","Electronics")</f>
        <v>Electronics</v>
      </c>
      <c r="B138">
        <v>8752124</v>
      </c>
      <c r="D138">
        <v>0</v>
      </c>
      <c r="E138">
        <v>83.4</v>
      </c>
      <c r="F138" t="s">
        <v>1419</v>
      </c>
      <c r="H138">
        <v>1</v>
      </c>
      <c r="I138">
        <v>200000</v>
      </c>
      <c r="J138" t="s">
        <v>76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364</v>
      </c>
      <c r="Q138">
        <v>0</v>
      </c>
      <c r="R138">
        <v>0</v>
      </c>
      <c r="S138">
        <v>78.264618859069643</v>
      </c>
      <c r="T138">
        <v>8411496</v>
      </c>
    </row>
    <row r="139" spans="1:20" x14ac:dyDescent="0.15">
      <c r="A139" s="4" t="str">
        <f>HYPERLINK("https://ibp.a2mac1.com/costing(costing:projects/details/9760/component/8752125)","Mechanics")</f>
        <v>Mechanics</v>
      </c>
      <c r="B139">
        <v>8752125</v>
      </c>
      <c r="D139">
        <v>0</v>
      </c>
      <c r="E139">
        <v>3.64</v>
      </c>
      <c r="F139" t="s">
        <v>1420</v>
      </c>
      <c r="H139">
        <v>1</v>
      </c>
      <c r="I139">
        <v>200000</v>
      </c>
      <c r="J139" t="s">
        <v>76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362</v>
      </c>
      <c r="Q139">
        <v>0</v>
      </c>
      <c r="R139">
        <v>0</v>
      </c>
      <c r="S139">
        <v>3.5743916475217072</v>
      </c>
      <c r="T139">
        <v>8411496</v>
      </c>
    </row>
    <row r="140" spans="1:20" x14ac:dyDescent="0.15">
      <c r="A140" s="4" t="str">
        <f>HYPERLINK("https://ibp.a2mac1.com/costing(costing:projects/details/9760/component/8752126)","Electronics")</f>
        <v>Electronics</v>
      </c>
      <c r="B140">
        <v>8752126</v>
      </c>
      <c r="D140">
        <v>0</v>
      </c>
      <c r="E140">
        <v>15.71</v>
      </c>
      <c r="F140" t="s">
        <v>363</v>
      </c>
      <c r="H140">
        <v>1</v>
      </c>
      <c r="I140">
        <v>200000</v>
      </c>
      <c r="J140" t="s">
        <v>76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364</v>
      </c>
      <c r="Q140">
        <v>0</v>
      </c>
      <c r="R140">
        <v>0</v>
      </c>
      <c r="S140">
        <v>14.742651825851128</v>
      </c>
      <c r="T140">
        <v>8411499</v>
      </c>
    </row>
    <row r="141" spans="1:20" x14ac:dyDescent="0.15">
      <c r="A141" s="4" t="str">
        <f>HYPERLINK("https://ibp.a2mac1.com/costing(costing:projects/details/9760/component/8752127)","Mechanics")</f>
        <v>Mechanics</v>
      </c>
      <c r="B141">
        <v>8752127</v>
      </c>
      <c r="D141">
        <v>0</v>
      </c>
      <c r="E141">
        <v>7.56</v>
      </c>
      <c r="F141" t="s">
        <v>1424</v>
      </c>
      <c r="H141">
        <v>1</v>
      </c>
      <c r="I141">
        <v>200000</v>
      </c>
      <c r="J141" t="s">
        <v>76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362</v>
      </c>
      <c r="Q141">
        <v>0</v>
      </c>
      <c r="R141">
        <v>0</v>
      </c>
      <c r="S141">
        <v>7.42373649869893</v>
      </c>
      <c r="T141">
        <v>8411499</v>
      </c>
    </row>
    <row r="142" spans="1:20" x14ac:dyDescent="0.15">
      <c r="A142" s="4" t="str">
        <f>HYPERLINK("https://ibp.a2mac1.com/costing(costing:projects/details/9760/component/8752128)","Electronics")</f>
        <v>Electronics</v>
      </c>
      <c r="B142">
        <v>8752128</v>
      </c>
      <c r="D142">
        <v>0</v>
      </c>
      <c r="E142">
        <v>5.49</v>
      </c>
      <c r="F142" t="s">
        <v>363</v>
      </c>
      <c r="H142">
        <v>1</v>
      </c>
      <c r="I142">
        <v>200000</v>
      </c>
      <c r="J142" t="s">
        <v>76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364</v>
      </c>
      <c r="Q142">
        <v>0</v>
      </c>
      <c r="R142">
        <v>0</v>
      </c>
      <c r="S142">
        <v>5.1519515292121385</v>
      </c>
      <c r="T142">
        <v>8411501</v>
      </c>
    </row>
    <row r="143" spans="1:20" x14ac:dyDescent="0.15">
      <c r="A143" s="4" t="str">
        <f>HYPERLINK("https://ibp.a2mac1.com/costing(costing:projects/details/9760/component/8752129)","Mechanics")</f>
        <v>Mechanics</v>
      </c>
      <c r="B143">
        <v>8752129</v>
      </c>
      <c r="D143">
        <v>0</v>
      </c>
      <c r="E143">
        <v>2.41</v>
      </c>
      <c r="F143" t="s">
        <v>1428</v>
      </c>
      <c r="H143">
        <v>1</v>
      </c>
      <c r="I143">
        <v>200000</v>
      </c>
      <c r="J143" t="s">
        <v>76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362</v>
      </c>
      <c r="Q143">
        <v>0</v>
      </c>
      <c r="R143">
        <v>0</v>
      </c>
      <c r="S143">
        <v>2.3665615028921194</v>
      </c>
      <c r="T143">
        <v>8411501</v>
      </c>
    </row>
    <row r="144" spans="1:20" x14ac:dyDescent="0.15">
      <c r="A144" s="4" t="str">
        <f>HYPERLINK("https://ibp.a2mac1.com/costing(costing:projects/details/9760/component/8751983)","Round head Screw M4x13")</f>
        <v>Round head Screw M4x13</v>
      </c>
      <c r="B144">
        <v>8751983</v>
      </c>
      <c r="D144">
        <v>0</v>
      </c>
      <c r="E144">
        <v>2.435E-2</v>
      </c>
      <c r="F144" t="s">
        <v>1436</v>
      </c>
      <c r="H144">
        <v>1</v>
      </c>
      <c r="I144">
        <v>200000</v>
      </c>
      <c r="J144" t="s">
        <v>76</v>
      </c>
      <c r="K144">
        <v>0</v>
      </c>
      <c r="L144">
        <v>0</v>
      </c>
      <c r="M144">
        <v>0</v>
      </c>
      <c r="N144">
        <v>0</v>
      </c>
      <c r="O144">
        <v>1.4499999999999999E-3</v>
      </c>
      <c r="Q144">
        <v>0</v>
      </c>
      <c r="R144">
        <v>0</v>
      </c>
      <c r="S144">
        <v>2.435E-2</v>
      </c>
      <c r="T144">
        <v>8411453</v>
      </c>
    </row>
    <row r="145" spans="1:20" x14ac:dyDescent="0.15">
      <c r="A145" s="4" t="str">
        <f>HYPERLINK("https://ibp.a2mac1.com/costing(costing:projects/details/9760/component/8751984)","Round head Screw M4x13")</f>
        <v>Round head Screw M4x13</v>
      </c>
      <c r="B145">
        <v>8751984</v>
      </c>
      <c r="D145">
        <v>0</v>
      </c>
      <c r="E145">
        <v>2.435E-2</v>
      </c>
      <c r="F145" t="s">
        <v>1436</v>
      </c>
      <c r="H145">
        <v>1</v>
      </c>
      <c r="I145">
        <v>200000</v>
      </c>
      <c r="J145" t="s">
        <v>76</v>
      </c>
      <c r="K145">
        <v>0</v>
      </c>
      <c r="L145">
        <v>0</v>
      </c>
      <c r="M145">
        <v>0</v>
      </c>
      <c r="N145">
        <v>0</v>
      </c>
      <c r="O145">
        <v>1.4499999999999999E-3</v>
      </c>
      <c r="Q145">
        <v>0</v>
      </c>
      <c r="R145">
        <v>0</v>
      </c>
      <c r="S145">
        <v>2.435E-2</v>
      </c>
      <c r="T145">
        <v>8411453</v>
      </c>
    </row>
    <row r="146" spans="1:20" x14ac:dyDescent="0.15">
      <c r="A146" s="4" t="str">
        <f>HYPERLINK("https://ibp.a2mac1.com/costing(costing:projects/details/9760/component/8751985)","Hex Nut M5")</f>
        <v>Hex Nut M5</v>
      </c>
      <c r="B146">
        <v>8751985</v>
      </c>
      <c r="D146">
        <v>0</v>
      </c>
      <c r="E146">
        <v>3.3259999999999998E-2</v>
      </c>
      <c r="F146" t="s">
        <v>1410</v>
      </c>
      <c r="H146">
        <v>1</v>
      </c>
      <c r="I146">
        <v>200000</v>
      </c>
      <c r="J146" t="s">
        <v>76</v>
      </c>
      <c r="K146">
        <v>0</v>
      </c>
      <c r="L146">
        <v>0</v>
      </c>
      <c r="M146">
        <v>0</v>
      </c>
      <c r="N146">
        <v>0</v>
      </c>
      <c r="O146">
        <v>1.72E-3</v>
      </c>
      <c r="Q146">
        <v>0</v>
      </c>
      <c r="R146">
        <v>0</v>
      </c>
      <c r="S146">
        <v>3.3259999999999998E-2</v>
      </c>
      <c r="T146">
        <v>8411453</v>
      </c>
    </row>
    <row r="147" spans="1:20" x14ac:dyDescent="0.15">
      <c r="A147" s="4" t="str">
        <f>HYPERLINK("https://ibp.a2mac1.com/costing(costing:projects/details/9760/component/8751986)","Round head Screw M4x12")</f>
        <v>Round head Screw M4x12</v>
      </c>
      <c r="B147">
        <v>8751986</v>
      </c>
      <c r="D147">
        <v>0</v>
      </c>
      <c r="E147">
        <v>2.4039999999999999E-2</v>
      </c>
      <c r="F147" t="s">
        <v>414</v>
      </c>
      <c r="H147">
        <v>1</v>
      </c>
      <c r="I147">
        <v>200000</v>
      </c>
      <c r="J147" t="s">
        <v>76</v>
      </c>
      <c r="K147">
        <v>0</v>
      </c>
      <c r="L147">
        <v>0</v>
      </c>
      <c r="M147">
        <v>0</v>
      </c>
      <c r="N147">
        <v>0</v>
      </c>
      <c r="O147">
        <v>1.3799999999999999E-3</v>
      </c>
      <c r="Q147">
        <v>0</v>
      </c>
      <c r="R147">
        <v>0</v>
      </c>
      <c r="S147">
        <v>2.4039999999999999E-2</v>
      </c>
      <c r="T147">
        <v>8411453</v>
      </c>
    </row>
    <row r="148" spans="1:20" x14ac:dyDescent="0.15">
      <c r="A148" s="4" t="str">
        <f>HYPERLINK("https://ibp.a2mac1.com/costing(costing:projects/details/9760/component/8751987)","Round head Screw M4x12")</f>
        <v>Round head Screw M4x12</v>
      </c>
      <c r="B148">
        <v>8751987</v>
      </c>
      <c r="D148">
        <v>0</v>
      </c>
      <c r="E148">
        <v>2.4039999999999999E-2</v>
      </c>
      <c r="F148" t="s">
        <v>414</v>
      </c>
      <c r="H148">
        <v>1</v>
      </c>
      <c r="I148">
        <v>200000</v>
      </c>
      <c r="J148" t="s">
        <v>76</v>
      </c>
      <c r="K148">
        <v>0</v>
      </c>
      <c r="L148">
        <v>0</v>
      </c>
      <c r="M148">
        <v>0</v>
      </c>
      <c r="N148">
        <v>0</v>
      </c>
      <c r="O148">
        <v>1.3799999999999999E-3</v>
      </c>
      <c r="Q148">
        <v>0</v>
      </c>
      <c r="R148">
        <v>0</v>
      </c>
      <c r="S148">
        <v>2.4039999999999999E-2</v>
      </c>
      <c r="T148">
        <v>8411453</v>
      </c>
    </row>
    <row r="149" spans="1:20" x14ac:dyDescent="0.15">
      <c r="A149" s="4" t="str">
        <f>HYPERLINK("https://ibp.a2mac1.com/costing(costing:projects/details/9760/component/8751988)","Round head Screw M4x12")</f>
        <v>Round head Screw M4x12</v>
      </c>
      <c r="B149">
        <v>8751988</v>
      </c>
      <c r="D149">
        <v>0</v>
      </c>
      <c r="E149">
        <v>2.4039999999999999E-2</v>
      </c>
      <c r="F149" t="s">
        <v>414</v>
      </c>
      <c r="H149">
        <v>1</v>
      </c>
      <c r="I149">
        <v>200000</v>
      </c>
      <c r="J149" t="s">
        <v>76</v>
      </c>
      <c r="K149">
        <v>0</v>
      </c>
      <c r="L149">
        <v>0</v>
      </c>
      <c r="M149">
        <v>0</v>
      </c>
      <c r="N149">
        <v>0</v>
      </c>
      <c r="O149">
        <v>1.3799999999999999E-3</v>
      </c>
      <c r="Q149">
        <v>0</v>
      </c>
      <c r="R149">
        <v>0</v>
      </c>
      <c r="S149">
        <v>2.4039999999999999E-2</v>
      </c>
      <c r="T149">
        <v>8411453</v>
      </c>
    </row>
    <row r="150" spans="1:20" x14ac:dyDescent="0.15">
      <c r="A150" s="4" t="str">
        <f>HYPERLINK("https://ibp.a2mac1.com/costing(costing:projects/details/9760/component/8752130)","Round head Screw M5x12")</f>
        <v>Round head Screw M5x12</v>
      </c>
      <c r="B150">
        <v>8752130</v>
      </c>
      <c r="D150">
        <v>0</v>
      </c>
      <c r="E150">
        <v>2.7879999999999999E-2</v>
      </c>
      <c r="F150" t="s">
        <v>1446</v>
      </c>
      <c r="H150">
        <v>1</v>
      </c>
      <c r="I150">
        <v>200000</v>
      </c>
      <c r="J150" t="s">
        <v>76</v>
      </c>
      <c r="K150">
        <v>0</v>
      </c>
      <c r="L150">
        <v>0</v>
      </c>
      <c r="M150">
        <v>0</v>
      </c>
      <c r="N150">
        <v>0</v>
      </c>
      <c r="O150">
        <v>2.31E-3</v>
      </c>
      <c r="Q150">
        <v>0</v>
      </c>
      <c r="R150">
        <v>0</v>
      </c>
      <c r="S150">
        <v>2.7879999999999999E-2</v>
      </c>
      <c r="T150">
        <v>8411502</v>
      </c>
    </row>
    <row r="151" spans="1:20" x14ac:dyDescent="0.15">
      <c r="A151" s="4" t="str">
        <f>HYPERLINK("https://ibp.a2mac1.com/costing(costing:projects/details/9760/component/8752131)","Round head Screw M5x12")</f>
        <v>Round head Screw M5x12</v>
      </c>
      <c r="B151">
        <v>8752131</v>
      </c>
      <c r="D151">
        <v>0</v>
      </c>
      <c r="E151">
        <v>2.7879999999999999E-2</v>
      </c>
      <c r="F151" t="s">
        <v>1446</v>
      </c>
      <c r="H151">
        <v>1</v>
      </c>
      <c r="I151">
        <v>200000</v>
      </c>
      <c r="J151" t="s">
        <v>76</v>
      </c>
      <c r="K151">
        <v>0</v>
      </c>
      <c r="L151">
        <v>0</v>
      </c>
      <c r="M151">
        <v>0</v>
      </c>
      <c r="N151">
        <v>0</v>
      </c>
      <c r="O151">
        <v>2.31E-3</v>
      </c>
      <c r="Q151">
        <v>0</v>
      </c>
      <c r="R151">
        <v>0</v>
      </c>
      <c r="S151">
        <v>2.7879999999999999E-2</v>
      </c>
      <c r="T151">
        <v>8411502</v>
      </c>
    </row>
    <row r="152" spans="1:20" x14ac:dyDescent="0.15">
      <c r="A152" s="4" t="str">
        <f>HYPERLINK("https://ibp.a2mac1.com/costing(costing:projects/details/9760/component/8752132)","Round head Screw M4x10")</f>
        <v>Round head Screw M4x10</v>
      </c>
      <c r="B152">
        <v>8752132</v>
      </c>
      <c r="D152">
        <v>0</v>
      </c>
      <c r="E152">
        <v>2.341E-2</v>
      </c>
      <c r="F152" t="s">
        <v>1447</v>
      </c>
      <c r="H152">
        <v>1</v>
      </c>
      <c r="I152">
        <v>200000</v>
      </c>
      <c r="J152" t="s">
        <v>76</v>
      </c>
      <c r="K152">
        <v>0</v>
      </c>
      <c r="L152">
        <v>0</v>
      </c>
      <c r="M152">
        <v>0</v>
      </c>
      <c r="N152">
        <v>0</v>
      </c>
      <c r="O152">
        <v>1.2199999999999999E-3</v>
      </c>
      <c r="Q152">
        <v>0</v>
      </c>
      <c r="R152">
        <v>0</v>
      </c>
      <c r="S152">
        <v>2.341E-2</v>
      </c>
      <c r="T152">
        <v>8411502</v>
      </c>
    </row>
    <row r="153" spans="1:20" x14ac:dyDescent="0.15">
      <c r="A153" s="4" t="str">
        <f>HYPERLINK("https://ibp.a2mac1.com/costing(costing:projects/details/9760/component/8752133)","Round head Screw M4x10")</f>
        <v>Round head Screw M4x10</v>
      </c>
      <c r="B153">
        <v>8752133</v>
      </c>
      <c r="D153">
        <v>0</v>
      </c>
      <c r="E153">
        <v>2.341E-2</v>
      </c>
      <c r="F153" t="s">
        <v>1447</v>
      </c>
      <c r="H153">
        <v>1</v>
      </c>
      <c r="I153">
        <v>200000</v>
      </c>
      <c r="J153" t="s">
        <v>76</v>
      </c>
      <c r="K153">
        <v>0</v>
      </c>
      <c r="L153">
        <v>0</v>
      </c>
      <c r="M153">
        <v>0</v>
      </c>
      <c r="N153">
        <v>0</v>
      </c>
      <c r="O153">
        <v>1.2199999999999999E-3</v>
      </c>
      <c r="Q153">
        <v>0</v>
      </c>
      <c r="R153">
        <v>0</v>
      </c>
      <c r="S153">
        <v>2.341E-2</v>
      </c>
      <c r="T153">
        <v>8411502</v>
      </c>
    </row>
    <row r="154" spans="1:20" x14ac:dyDescent="0.15">
      <c r="A154" s="4" t="str">
        <f>HYPERLINK("https://ibp.a2mac1.com/costing(costing:projects/details/9760/component/8751989)","Round head Screw M4x16")</f>
        <v>Round head Screw M4x16</v>
      </c>
      <c r="B154">
        <v>8751989</v>
      </c>
      <c r="D154">
        <v>0</v>
      </c>
      <c r="E154">
        <v>2.529E-2</v>
      </c>
      <c r="F154" t="s">
        <v>1452</v>
      </c>
      <c r="H154">
        <v>1</v>
      </c>
      <c r="I154">
        <v>200000</v>
      </c>
      <c r="J154" t="s">
        <v>76</v>
      </c>
      <c r="K154">
        <v>0</v>
      </c>
      <c r="L154">
        <v>0</v>
      </c>
      <c r="M154">
        <v>0</v>
      </c>
      <c r="N154">
        <v>0</v>
      </c>
      <c r="O154">
        <v>1.6800000000000001E-3</v>
      </c>
      <c r="Q154">
        <v>0</v>
      </c>
      <c r="R154">
        <v>0</v>
      </c>
      <c r="S154">
        <v>2.529E-2</v>
      </c>
      <c r="T154">
        <v>8411455</v>
      </c>
    </row>
    <row r="155" spans="1:20" x14ac:dyDescent="0.15">
      <c r="A155" s="4" t="str">
        <f>HYPERLINK("https://ibp.a2mac1.com/costing(costing:projects/details/9760/component/8752134)","Electronics")</f>
        <v>Electronics</v>
      </c>
      <c r="B155">
        <v>8752134</v>
      </c>
      <c r="D155">
        <v>0</v>
      </c>
      <c r="E155">
        <v>5.26</v>
      </c>
      <c r="H155">
        <v>1</v>
      </c>
      <c r="I155">
        <v>200000</v>
      </c>
      <c r="J155" t="s">
        <v>76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364</v>
      </c>
      <c r="Q155">
        <v>0</v>
      </c>
      <c r="R155">
        <v>0</v>
      </c>
      <c r="S155">
        <v>4.9361138513034328</v>
      </c>
      <c r="T155">
        <v>8411507</v>
      </c>
    </row>
    <row r="156" spans="1:20" x14ac:dyDescent="0.15">
      <c r="A156" s="4" t="str">
        <f>HYPERLINK("https://ibp.a2mac1.com/costing(costing:projects/details/9760/component/8752135)","Mechanics")</f>
        <v>Mechanics</v>
      </c>
      <c r="B156">
        <v>8752135</v>
      </c>
      <c r="D156">
        <v>0</v>
      </c>
      <c r="E156">
        <v>0.29399999999999998</v>
      </c>
      <c r="H156">
        <v>1</v>
      </c>
      <c r="I156">
        <v>200000</v>
      </c>
      <c r="J156" t="s">
        <v>76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362</v>
      </c>
      <c r="Q156">
        <v>0</v>
      </c>
      <c r="R156">
        <v>0</v>
      </c>
      <c r="S156">
        <v>0.28870086383829174</v>
      </c>
      <c r="T156">
        <v>8411507</v>
      </c>
    </row>
    <row r="157" spans="1:20" x14ac:dyDescent="0.15">
      <c r="A157" s="4" t="str">
        <f>HYPERLINK("https://ibp.a2mac1.com/costing(costing:projects/details/9760/component/8752136)","Electronics")</f>
        <v>Electronics</v>
      </c>
      <c r="B157">
        <v>8752136</v>
      </c>
      <c r="D157">
        <v>0</v>
      </c>
      <c r="E157">
        <v>3.9</v>
      </c>
      <c r="H157">
        <v>1</v>
      </c>
      <c r="I157">
        <v>200000</v>
      </c>
      <c r="J157" t="s">
        <v>76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364</v>
      </c>
      <c r="Q157">
        <v>0</v>
      </c>
      <c r="R157">
        <v>0</v>
      </c>
      <c r="S157">
        <v>3.6598562775823935</v>
      </c>
      <c r="T157">
        <v>8411528</v>
      </c>
    </row>
    <row r="158" spans="1:20" x14ac:dyDescent="0.15">
      <c r="A158" s="4" t="str">
        <f>HYPERLINK("https://ibp.a2mac1.com/costing(costing:projects/details/9760/component/8752137)","Mechanics")</f>
        <v>Mechanics</v>
      </c>
      <c r="B158">
        <v>8752137</v>
      </c>
      <c r="D158">
        <v>0</v>
      </c>
      <c r="E158">
        <v>0.31</v>
      </c>
      <c r="H158">
        <v>1</v>
      </c>
      <c r="I158">
        <v>200000</v>
      </c>
      <c r="J158" t="s">
        <v>76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362</v>
      </c>
      <c r="Q158">
        <v>0</v>
      </c>
      <c r="R158">
        <v>0</v>
      </c>
      <c r="S158">
        <v>0.30441247547574979</v>
      </c>
      <c r="T158">
        <v>8411528</v>
      </c>
    </row>
    <row r="159" spans="1:20" x14ac:dyDescent="0.15">
      <c r="A159" s="4" t="str">
        <f>HYPERLINK("https://ibp.a2mac1.com/costing(costing:projects/details/9760/component/8751990)","Round head Screw M4x12")</f>
        <v>Round head Screw M4x12</v>
      </c>
      <c r="B159">
        <v>8751990</v>
      </c>
      <c r="D159">
        <v>0</v>
      </c>
      <c r="E159">
        <v>2.4039999999999999E-2</v>
      </c>
      <c r="F159" t="s">
        <v>414</v>
      </c>
      <c r="H159">
        <v>1</v>
      </c>
      <c r="I159">
        <v>200000</v>
      </c>
      <c r="J159" t="s">
        <v>76</v>
      </c>
      <c r="K159">
        <v>0</v>
      </c>
      <c r="L159">
        <v>0</v>
      </c>
      <c r="M159">
        <v>0</v>
      </c>
      <c r="N159">
        <v>0</v>
      </c>
      <c r="O159">
        <v>1.3799999999999999E-3</v>
      </c>
      <c r="Q159">
        <v>0</v>
      </c>
      <c r="R159">
        <v>0</v>
      </c>
      <c r="S159">
        <v>2.4039999999999999E-2</v>
      </c>
      <c r="T159">
        <v>8411458</v>
      </c>
    </row>
    <row r="160" spans="1:20" x14ac:dyDescent="0.15">
      <c r="A160" s="4" t="str">
        <f>HYPERLINK("https://ibp.a2mac1.com/costing(costing:projects/details/9760/component/8751991)","Round head Screw M6x28")</f>
        <v>Round head Screw M6x28</v>
      </c>
      <c r="B160">
        <v>8751991</v>
      </c>
      <c r="D160">
        <v>0</v>
      </c>
      <c r="E160">
        <v>4.428E-2</v>
      </c>
      <c r="F160" t="s">
        <v>1486</v>
      </c>
      <c r="H160">
        <v>1</v>
      </c>
      <c r="I160">
        <v>200000</v>
      </c>
      <c r="J160" t="s">
        <v>76</v>
      </c>
      <c r="K160">
        <v>0</v>
      </c>
      <c r="L160">
        <v>0</v>
      </c>
      <c r="M160">
        <v>0</v>
      </c>
      <c r="N160">
        <v>0</v>
      </c>
      <c r="O160">
        <v>6.3099999999999996E-3</v>
      </c>
      <c r="Q160">
        <v>0</v>
      </c>
      <c r="R160">
        <v>0</v>
      </c>
      <c r="S160">
        <v>4.428E-2</v>
      </c>
      <c r="T160">
        <v>8411459</v>
      </c>
    </row>
    <row r="161" spans="1:20" x14ac:dyDescent="0.15">
      <c r="A161" s="4" t="str">
        <f>HYPERLINK("https://ibp.a2mac1.com/costing(costing:projects/details/9760/component/8752256)","Mechanics")</f>
        <v>Mechanics</v>
      </c>
      <c r="B161">
        <v>8752256</v>
      </c>
      <c r="D161">
        <v>0</v>
      </c>
      <c r="E161">
        <v>7.3</v>
      </c>
      <c r="F161" t="s">
        <v>1493</v>
      </c>
      <c r="H161">
        <v>1</v>
      </c>
      <c r="I161">
        <v>200000</v>
      </c>
      <c r="J161" t="s">
        <v>76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362</v>
      </c>
      <c r="Q161">
        <v>0</v>
      </c>
      <c r="R161">
        <v>0</v>
      </c>
      <c r="S161">
        <v>7.1684228095902371</v>
      </c>
      <c r="T161">
        <v>8411633</v>
      </c>
    </row>
    <row r="162" spans="1:20" x14ac:dyDescent="0.15">
      <c r="A162" s="4" t="str">
        <f>HYPERLINK("https://ibp.a2mac1.com/costing(costing:projects/details/9760/component/8752257)","Electronics")</f>
        <v>Electronics</v>
      </c>
      <c r="B162">
        <v>8752257</v>
      </c>
      <c r="D162">
        <v>0</v>
      </c>
      <c r="E162">
        <v>16</v>
      </c>
      <c r="F162" t="s">
        <v>363</v>
      </c>
      <c r="H162">
        <v>1</v>
      </c>
      <c r="I162">
        <v>200000</v>
      </c>
      <c r="J162" t="s">
        <v>76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364</v>
      </c>
      <c r="Q162">
        <v>0</v>
      </c>
      <c r="R162">
        <v>0</v>
      </c>
      <c r="S162">
        <v>15.014794984953408</v>
      </c>
      <c r="T162">
        <v>8411633</v>
      </c>
    </row>
    <row r="163" spans="1:20" x14ac:dyDescent="0.15">
      <c r="A163" s="4" t="str">
        <f>HYPERLINK("https://ibp.a2mac1.com/costing(costing:projects/details/9760/component/8752258)","Mechanics")</f>
        <v>Mechanics</v>
      </c>
      <c r="B163">
        <v>8752258</v>
      </c>
      <c r="D163">
        <v>0</v>
      </c>
      <c r="E163">
        <v>7.3</v>
      </c>
      <c r="F163" t="s">
        <v>1493</v>
      </c>
      <c r="H163">
        <v>1</v>
      </c>
      <c r="I163">
        <v>200000</v>
      </c>
      <c r="J163" t="s">
        <v>76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362</v>
      </c>
      <c r="Q163">
        <v>0</v>
      </c>
      <c r="R163">
        <v>0</v>
      </c>
      <c r="S163">
        <v>7.1684228095902371</v>
      </c>
      <c r="T163">
        <v>8411636</v>
      </c>
    </row>
    <row r="164" spans="1:20" x14ac:dyDescent="0.15">
      <c r="A164" s="4" t="str">
        <f>HYPERLINK("https://ibp.a2mac1.com/costing(costing:projects/details/9760/component/8752259)","Electronics")</f>
        <v>Electronics</v>
      </c>
      <c r="B164">
        <v>8752259</v>
      </c>
      <c r="D164">
        <v>0</v>
      </c>
      <c r="E164">
        <v>16</v>
      </c>
      <c r="F164" t="s">
        <v>363</v>
      </c>
      <c r="H164">
        <v>1</v>
      </c>
      <c r="I164">
        <v>200000</v>
      </c>
      <c r="J164" t="s">
        <v>76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364</v>
      </c>
      <c r="Q164">
        <v>0</v>
      </c>
      <c r="R164">
        <v>0</v>
      </c>
      <c r="S164">
        <v>15.014794984953408</v>
      </c>
      <c r="T164">
        <v>8411636</v>
      </c>
    </row>
    <row r="165" spans="1:20" x14ac:dyDescent="0.15">
      <c r="A165" s="4" t="str">
        <f>HYPERLINK("https://ibp.a2mac1.com/costing(costing:projects/details/9760/component/8752138)","Mechanics")</f>
        <v>Mechanics</v>
      </c>
      <c r="B165">
        <v>8752138</v>
      </c>
      <c r="D165">
        <v>0</v>
      </c>
      <c r="E165">
        <v>8.07</v>
      </c>
      <c r="F165" t="s">
        <v>1524</v>
      </c>
      <c r="H165">
        <v>1</v>
      </c>
      <c r="I165">
        <v>200000</v>
      </c>
      <c r="J165" t="s">
        <v>76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362</v>
      </c>
      <c r="Q165">
        <v>0</v>
      </c>
      <c r="R165">
        <v>0</v>
      </c>
      <c r="S165">
        <v>7.9245441196429054</v>
      </c>
      <c r="T165">
        <v>8411533</v>
      </c>
    </row>
    <row r="166" spans="1:20" x14ac:dyDescent="0.15">
      <c r="A166" s="4" t="str">
        <f>HYPERLINK("https://ibp.a2mac1.com/costing(costing:projects/details/9760/component/8752139)","Electronics")</f>
        <v>Electronics</v>
      </c>
      <c r="B166">
        <v>8752139</v>
      </c>
      <c r="D166">
        <v>0</v>
      </c>
      <c r="E166">
        <v>15.91</v>
      </c>
      <c r="F166" t="s">
        <v>363</v>
      </c>
      <c r="H166">
        <v>1</v>
      </c>
      <c r="I166">
        <v>200000</v>
      </c>
      <c r="J166" t="s">
        <v>76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364</v>
      </c>
      <c r="Q166">
        <v>0</v>
      </c>
      <c r="R166">
        <v>0</v>
      </c>
      <c r="S166">
        <v>14.930336763163046</v>
      </c>
      <c r="T166">
        <v>8411533</v>
      </c>
    </row>
    <row r="167" spans="1:20" x14ac:dyDescent="0.15">
      <c r="A167" s="4" t="str">
        <f>HYPERLINK("https://ibp.a2mac1.com/costing(costing:projects/details/9760/component/8752140)","Electronics")</f>
        <v>Electronics</v>
      </c>
      <c r="B167">
        <v>8752140</v>
      </c>
      <c r="D167">
        <v>0</v>
      </c>
      <c r="E167">
        <v>16</v>
      </c>
      <c r="F167" t="s">
        <v>363</v>
      </c>
      <c r="H167">
        <v>1</v>
      </c>
      <c r="I167">
        <v>200000</v>
      </c>
      <c r="J167" t="s">
        <v>76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364</v>
      </c>
      <c r="Q167">
        <v>0</v>
      </c>
      <c r="R167">
        <v>0</v>
      </c>
      <c r="S167">
        <v>15.014794984953408</v>
      </c>
      <c r="T167">
        <v>8411535</v>
      </c>
    </row>
    <row r="168" spans="1:20" x14ac:dyDescent="0.15">
      <c r="A168" s="4" t="str">
        <f>HYPERLINK("https://ibp.a2mac1.com/costing(costing:projects/details/9760/component/8752141)","Mechanics")</f>
        <v>Mechanics</v>
      </c>
      <c r="B168">
        <v>8752141</v>
      </c>
      <c r="D168">
        <v>0</v>
      </c>
      <c r="E168">
        <v>7.3</v>
      </c>
      <c r="F168" t="s">
        <v>1493</v>
      </c>
      <c r="H168">
        <v>1</v>
      </c>
      <c r="I168">
        <v>200000</v>
      </c>
      <c r="J168" t="s">
        <v>76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362</v>
      </c>
      <c r="Q168">
        <v>0</v>
      </c>
      <c r="R168">
        <v>0</v>
      </c>
      <c r="S168">
        <v>7.1684228095902371</v>
      </c>
      <c r="T168">
        <v>8411535</v>
      </c>
    </row>
    <row r="169" spans="1:20" x14ac:dyDescent="0.15">
      <c r="A169" s="4" t="str">
        <f>HYPERLINK("https://ibp.a2mac1.com/costing(costing:projects/details/9760/component/8752142)","Mechanics")</f>
        <v>Mechanics</v>
      </c>
      <c r="B169">
        <v>8752142</v>
      </c>
      <c r="D169">
        <v>0</v>
      </c>
      <c r="E169">
        <v>7.3</v>
      </c>
      <c r="F169" t="s">
        <v>1493</v>
      </c>
      <c r="H169">
        <v>1</v>
      </c>
      <c r="I169">
        <v>200000</v>
      </c>
      <c r="J169" t="s">
        <v>76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362</v>
      </c>
      <c r="Q169">
        <v>0</v>
      </c>
      <c r="R169">
        <v>0</v>
      </c>
      <c r="S169">
        <v>7.1684228095902371</v>
      </c>
      <c r="T169">
        <v>8411537</v>
      </c>
    </row>
    <row r="170" spans="1:20" x14ac:dyDescent="0.15">
      <c r="A170" s="4" t="str">
        <f>HYPERLINK("https://ibp.a2mac1.com/costing(costing:projects/details/9760/component/8752143)","Electronics")</f>
        <v>Electronics</v>
      </c>
      <c r="B170">
        <v>8752143</v>
      </c>
      <c r="D170">
        <v>0</v>
      </c>
      <c r="E170">
        <v>16</v>
      </c>
      <c r="F170" t="s">
        <v>363</v>
      </c>
      <c r="H170">
        <v>1</v>
      </c>
      <c r="I170">
        <v>200000</v>
      </c>
      <c r="J170" t="s">
        <v>76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364</v>
      </c>
      <c r="Q170">
        <v>0</v>
      </c>
      <c r="R170">
        <v>0</v>
      </c>
      <c r="S170">
        <v>15.014794984953408</v>
      </c>
      <c r="T170">
        <v>8411537</v>
      </c>
    </row>
    <row r="171" spans="1:20" x14ac:dyDescent="0.15">
      <c r="A171" s="4" t="str">
        <f>HYPERLINK("https://ibp.a2mac1.com/costing(costing:projects/details/9760/component/8752144)","Electronics")</f>
        <v>Electronics</v>
      </c>
      <c r="B171">
        <v>8752144</v>
      </c>
      <c r="D171">
        <v>0</v>
      </c>
      <c r="E171">
        <v>38.03</v>
      </c>
      <c r="F171" t="s">
        <v>363</v>
      </c>
      <c r="H171">
        <v>1</v>
      </c>
      <c r="I171">
        <v>200000</v>
      </c>
      <c r="J171" t="s">
        <v>76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364</v>
      </c>
      <c r="Q171">
        <v>0</v>
      </c>
      <c r="R171">
        <v>0</v>
      </c>
      <c r="S171">
        <v>35.688290829861131</v>
      </c>
      <c r="T171">
        <v>8411539</v>
      </c>
    </row>
    <row r="172" spans="1:20" x14ac:dyDescent="0.15">
      <c r="A172" s="4" t="str">
        <f>HYPERLINK("https://ibp.a2mac1.com/costing(costing:projects/details/9760/component/8752145)","Mechanics")</f>
        <v>Mechanics</v>
      </c>
      <c r="B172">
        <v>8752145</v>
      </c>
      <c r="D172">
        <v>0</v>
      </c>
      <c r="E172">
        <v>19.29</v>
      </c>
      <c r="F172" t="s">
        <v>1493</v>
      </c>
      <c r="H172">
        <v>1</v>
      </c>
      <c r="I172">
        <v>200000</v>
      </c>
      <c r="J172" t="s">
        <v>76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362</v>
      </c>
      <c r="Q172">
        <v>0</v>
      </c>
      <c r="R172">
        <v>0</v>
      </c>
      <c r="S172">
        <v>18.942311780410368</v>
      </c>
      <c r="T172">
        <v>8411539</v>
      </c>
    </row>
    <row r="173" spans="1:20" x14ac:dyDescent="0.15">
      <c r="A173" s="4" t="str">
        <f>HYPERLINK("https://ibp.a2mac1.com/costing(costing:projects/details/9760/component/8752146)","Mechanics")</f>
        <v>Mechanics</v>
      </c>
      <c r="B173">
        <v>8752146</v>
      </c>
      <c r="D173">
        <v>0</v>
      </c>
      <c r="E173">
        <v>8.07</v>
      </c>
      <c r="F173" t="s">
        <v>1544</v>
      </c>
      <c r="H173">
        <v>1</v>
      </c>
      <c r="I173">
        <v>400000</v>
      </c>
      <c r="J173" t="s">
        <v>76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362</v>
      </c>
      <c r="Q173">
        <v>0</v>
      </c>
      <c r="R173">
        <v>0</v>
      </c>
      <c r="S173">
        <v>7.7507071471446292</v>
      </c>
      <c r="T173">
        <v>8411540</v>
      </c>
    </row>
    <row r="174" spans="1:20" x14ac:dyDescent="0.15">
      <c r="A174" s="4" t="str">
        <f>HYPERLINK("https://ibp.a2mac1.com/costing(costing:projects/details/9760/component/8752147)","Electronics")</f>
        <v>Electronics</v>
      </c>
      <c r="B174">
        <v>8752147</v>
      </c>
      <c r="D174">
        <v>0</v>
      </c>
      <c r="E174">
        <v>15.91</v>
      </c>
      <c r="F174" t="s">
        <v>363</v>
      </c>
      <c r="H174">
        <v>1</v>
      </c>
      <c r="I174">
        <v>400000</v>
      </c>
      <c r="J174" t="s">
        <v>76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364</v>
      </c>
      <c r="Q174">
        <v>0</v>
      </c>
      <c r="R174">
        <v>0</v>
      </c>
      <c r="S174">
        <v>14.173997569246715</v>
      </c>
      <c r="T174">
        <v>8411540</v>
      </c>
    </row>
    <row r="175" spans="1:20" x14ac:dyDescent="0.15">
      <c r="A175" s="4" t="str">
        <f>HYPERLINK("https://ibp.a2mac1.com/costing(costing:projects/details/9760/component/8752148)","Mechanics")</f>
        <v>Mechanics</v>
      </c>
      <c r="B175">
        <v>8752148</v>
      </c>
      <c r="D175">
        <v>0</v>
      </c>
      <c r="E175">
        <v>7.3</v>
      </c>
      <c r="F175" t="s">
        <v>1493</v>
      </c>
      <c r="H175">
        <v>1</v>
      </c>
      <c r="I175">
        <v>400000</v>
      </c>
      <c r="J175" t="s">
        <v>76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362</v>
      </c>
      <c r="Q175">
        <v>0</v>
      </c>
      <c r="R175">
        <v>0</v>
      </c>
      <c r="S175">
        <v>7.0111725122869633</v>
      </c>
      <c r="T175">
        <v>8411541</v>
      </c>
    </row>
    <row r="176" spans="1:20" x14ac:dyDescent="0.15">
      <c r="A176" s="4" t="str">
        <f>HYPERLINK("https://ibp.a2mac1.com/costing(costing:projects/details/9760/component/8752149)","Electronics")</f>
        <v>Electronics</v>
      </c>
      <c r="B176">
        <v>8752149</v>
      </c>
      <c r="D176">
        <v>0</v>
      </c>
      <c r="E176">
        <v>16</v>
      </c>
      <c r="F176" t="s">
        <v>363</v>
      </c>
      <c r="H176">
        <v>1</v>
      </c>
      <c r="I176">
        <v>400000</v>
      </c>
      <c r="J176" t="s">
        <v>76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364</v>
      </c>
      <c r="Q176">
        <v>0</v>
      </c>
      <c r="R176">
        <v>0</v>
      </c>
      <c r="S176">
        <v>14.254177316652887</v>
      </c>
      <c r="T176">
        <v>8411541</v>
      </c>
    </row>
    <row r="177" spans="1:21" x14ac:dyDescent="0.15">
      <c r="A177" s="4" t="str">
        <f>HYPERLINK("https://ibp.a2mac1.com/costing(costing:projects/details/9760/component/8752150)","Electronics")</f>
        <v>Electronics</v>
      </c>
      <c r="B177">
        <v>8752150</v>
      </c>
      <c r="D177">
        <v>0</v>
      </c>
      <c r="E177">
        <v>16</v>
      </c>
      <c r="F177" t="s">
        <v>363</v>
      </c>
      <c r="H177">
        <v>1</v>
      </c>
      <c r="I177">
        <v>200000</v>
      </c>
      <c r="J177" t="s">
        <v>76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364</v>
      </c>
      <c r="Q177">
        <v>0</v>
      </c>
      <c r="R177">
        <v>0</v>
      </c>
      <c r="S177">
        <v>15.014794984953408</v>
      </c>
      <c r="T177">
        <v>8411544</v>
      </c>
    </row>
    <row r="178" spans="1:21" x14ac:dyDescent="0.15">
      <c r="A178" s="4" t="str">
        <f>HYPERLINK("https://ibp.a2mac1.com/costing(costing:projects/details/9760/component/8752151)","Mechanics")</f>
        <v>Mechanics</v>
      </c>
      <c r="B178">
        <v>8752151</v>
      </c>
      <c r="D178">
        <v>0</v>
      </c>
      <c r="E178">
        <v>7.3</v>
      </c>
      <c r="F178" t="s">
        <v>1493</v>
      </c>
      <c r="H178">
        <v>1</v>
      </c>
      <c r="I178">
        <v>200000</v>
      </c>
      <c r="J178" t="s">
        <v>76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362</v>
      </c>
      <c r="Q178">
        <v>0</v>
      </c>
      <c r="R178">
        <v>0</v>
      </c>
      <c r="S178">
        <v>7.1684228095902371</v>
      </c>
      <c r="T178">
        <v>8411544</v>
      </c>
    </row>
    <row r="179" spans="1:21" x14ac:dyDescent="0.15">
      <c r="A179" s="4" t="str">
        <f>HYPERLINK("https://ibp.a2mac1.com/costing(costing:projects/details/9760/component/8752152)","Mechanics")</f>
        <v>Mechanics</v>
      </c>
      <c r="B179">
        <v>8752152</v>
      </c>
      <c r="D179">
        <v>0</v>
      </c>
      <c r="E179">
        <v>35.049999999999997</v>
      </c>
      <c r="F179" t="s">
        <v>1560</v>
      </c>
      <c r="H179">
        <v>1</v>
      </c>
      <c r="I179">
        <v>200000</v>
      </c>
      <c r="J179" t="s">
        <v>76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362</v>
      </c>
      <c r="Q179">
        <v>0</v>
      </c>
      <c r="R179">
        <v>0</v>
      </c>
      <c r="S179">
        <v>34.418249243306548</v>
      </c>
      <c r="T179">
        <v>8411546</v>
      </c>
    </row>
    <row r="180" spans="1:21" x14ac:dyDescent="0.15">
      <c r="A180" s="4" t="str">
        <f>HYPERLINK("https://ibp.a2mac1.com/costing(costing:projects/details/9760/component/8752153)","Electronics")</f>
        <v>Electronics</v>
      </c>
      <c r="B180">
        <v>8752153</v>
      </c>
      <c r="D180">
        <v>0</v>
      </c>
      <c r="E180">
        <v>282.39</v>
      </c>
      <c r="F180" t="s">
        <v>363</v>
      </c>
      <c r="H180">
        <v>1</v>
      </c>
      <c r="I180">
        <v>200000</v>
      </c>
      <c r="J180" t="s">
        <v>76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364</v>
      </c>
      <c r="Q180">
        <v>0</v>
      </c>
      <c r="R180">
        <v>0</v>
      </c>
      <c r="S180">
        <v>265.00174723756209</v>
      </c>
      <c r="T180">
        <v>8411546</v>
      </c>
    </row>
    <row r="181" spans="1:21" x14ac:dyDescent="0.15">
      <c r="A181" s="4" t="str">
        <f>HYPERLINK("https://ibp.a2mac1.com/costing(costing:projects/details/9760/component/8752154)","Electronics")</f>
        <v>Electronics</v>
      </c>
      <c r="B181">
        <v>8752154</v>
      </c>
      <c r="D181">
        <v>0</v>
      </c>
      <c r="E181">
        <v>9.0299999999999994</v>
      </c>
      <c r="F181" t="s">
        <v>363</v>
      </c>
      <c r="H181">
        <v>1</v>
      </c>
      <c r="I181">
        <v>200000</v>
      </c>
      <c r="J181" t="s">
        <v>76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364</v>
      </c>
      <c r="Q181">
        <v>0</v>
      </c>
      <c r="R181">
        <v>0</v>
      </c>
      <c r="S181">
        <v>8.4739749196330791</v>
      </c>
      <c r="T181">
        <v>8411548</v>
      </c>
    </row>
    <row r="182" spans="1:21" x14ac:dyDescent="0.15">
      <c r="A182" s="4" t="str">
        <f>HYPERLINK("https://ibp.a2mac1.com/costing(costing:projects/details/9760/component/8752155)","Mechanics")</f>
        <v>Mechanics</v>
      </c>
      <c r="B182">
        <v>8752155</v>
      </c>
      <c r="D182">
        <v>0</v>
      </c>
      <c r="E182">
        <v>4.58</v>
      </c>
      <c r="F182" t="s">
        <v>1493</v>
      </c>
      <c r="H182">
        <v>1</v>
      </c>
      <c r="I182">
        <v>200000</v>
      </c>
      <c r="J182" t="s">
        <v>76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362</v>
      </c>
      <c r="Q182">
        <v>0</v>
      </c>
      <c r="R182">
        <v>0</v>
      </c>
      <c r="S182">
        <v>4.4974488312223677</v>
      </c>
      <c r="T182">
        <v>8411548</v>
      </c>
    </row>
    <row r="183" spans="1:21" x14ac:dyDescent="0.15">
      <c r="A183" s="4" t="str">
        <f>HYPERLINK("https://ibp.a2mac1.com/costing(costing:projects/details/9760/component/8751992)","Flange Nut M6")</f>
        <v>Flange Nut M6</v>
      </c>
      <c r="B183">
        <v>8751992</v>
      </c>
      <c r="D183">
        <v>0</v>
      </c>
      <c r="E183">
        <v>4.2169999999999999E-2</v>
      </c>
      <c r="F183" t="s">
        <v>310</v>
      </c>
      <c r="H183">
        <v>1</v>
      </c>
      <c r="I183">
        <v>200000</v>
      </c>
      <c r="J183" t="s">
        <v>76</v>
      </c>
      <c r="K183">
        <v>0</v>
      </c>
      <c r="L183">
        <v>0</v>
      </c>
      <c r="M183">
        <v>0</v>
      </c>
      <c r="N183">
        <v>0</v>
      </c>
      <c r="O183">
        <v>3.4499999999999999E-3</v>
      </c>
      <c r="Q183">
        <v>0</v>
      </c>
      <c r="R183">
        <v>0</v>
      </c>
      <c r="S183">
        <v>4.2169999999999999E-2</v>
      </c>
      <c r="T183">
        <v>8411464</v>
      </c>
    </row>
    <row r="184" spans="1:21" x14ac:dyDescent="0.15">
      <c r="A184" s="4" t="str">
        <f>HYPERLINK("https://ibp.a2mac1.com/costing(costing:projects/details/9760/component/8751993)","Flange Nut M6")</f>
        <v>Flange Nut M6</v>
      </c>
      <c r="B184">
        <v>8751993</v>
      </c>
      <c r="D184">
        <v>0</v>
      </c>
      <c r="E184">
        <v>4.2169999999999999E-2</v>
      </c>
      <c r="F184" t="s">
        <v>310</v>
      </c>
      <c r="H184">
        <v>1</v>
      </c>
      <c r="I184">
        <v>200000</v>
      </c>
      <c r="J184" t="s">
        <v>76</v>
      </c>
      <c r="K184">
        <v>0</v>
      </c>
      <c r="L184">
        <v>0</v>
      </c>
      <c r="M184">
        <v>0</v>
      </c>
      <c r="N184">
        <v>0</v>
      </c>
      <c r="O184">
        <v>3.4499999999999999E-3</v>
      </c>
      <c r="Q184">
        <v>0</v>
      </c>
      <c r="R184">
        <v>0</v>
      </c>
      <c r="S184">
        <v>4.2169999999999999E-2</v>
      </c>
      <c r="T184">
        <v>8411464</v>
      </c>
    </row>
    <row r="185" spans="1:21" x14ac:dyDescent="0.15">
      <c r="A185" s="4" t="str">
        <f>HYPERLINK("https://ibp.a2mac1.com/costing(costing:projects/details/9760/component/8751994)","Round head Screw M4x20")</f>
        <v>Round head Screw M4x20</v>
      </c>
      <c r="B185">
        <v>8751994</v>
      </c>
      <c r="D185">
        <v>0</v>
      </c>
      <c r="E185">
        <v>2.6550000000000001E-2</v>
      </c>
      <c r="F185" t="s">
        <v>1570</v>
      </c>
      <c r="H185">
        <v>1</v>
      </c>
      <c r="I185">
        <v>200000</v>
      </c>
      <c r="J185" t="s">
        <v>76</v>
      </c>
      <c r="K185">
        <v>0</v>
      </c>
      <c r="L185">
        <v>0</v>
      </c>
      <c r="M185">
        <v>0</v>
      </c>
      <c r="N185">
        <v>0</v>
      </c>
      <c r="O185">
        <v>1.99E-3</v>
      </c>
      <c r="Q185">
        <v>0</v>
      </c>
      <c r="R185">
        <v>0</v>
      </c>
      <c r="S185">
        <v>2.6550000000000001E-2</v>
      </c>
      <c r="T185">
        <v>8411464</v>
      </c>
    </row>
    <row r="186" spans="1:21" x14ac:dyDescent="0.15">
      <c r="A186" s="4" t="str">
        <f>HYPERLINK("https://ibp.a2mac1.com/costing(costing:projects/details/9760/component/8752156)","Electronics")</f>
        <v>Electronics</v>
      </c>
      <c r="B186">
        <v>8752156</v>
      </c>
      <c r="D186">
        <v>0</v>
      </c>
      <c r="E186">
        <v>16</v>
      </c>
      <c r="F186" t="s">
        <v>363</v>
      </c>
      <c r="H186">
        <v>1</v>
      </c>
      <c r="I186">
        <v>200000</v>
      </c>
      <c r="J186" t="s">
        <v>76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364</v>
      </c>
      <c r="Q186">
        <v>0</v>
      </c>
      <c r="R186">
        <v>0</v>
      </c>
      <c r="S186">
        <v>15.014794984953408</v>
      </c>
      <c r="T186">
        <v>8411551</v>
      </c>
    </row>
    <row r="187" spans="1:21" x14ac:dyDescent="0.15">
      <c r="A187" s="4" t="str">
        <f>HYPERLINK("https://ibp.a2mac1.com/costing(costing:projects/details/9760/component/8752157)","Mechanics")</f>
        <v>Mechanics</v>
      </c>
      <c r="B187">
        <v>8752157</v>
      </c>
      <c r="D187">
        <v>0</v>
      </c>
      <c r="E187">
        <v>7.3</v>
      </c>
      <c r="F187" t="s">
        <v>1493</v>
      </c>
      <c r="H187">
        <v>1</v>
      </c>
      <c r="I187">
        <v>200000</v>
      </c>
      <c r="J187" t="s">
        <v>76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362</v>
      </c>
      <c r="Q187">
        <v>0</v>
      </c>
      <c r="R187">
        <v>0</v>
      </c>
      <c r="S187">
        <v>7.1684228095902371</v>
      </c>
      <c r="T187">
        <v>8411551</v>
      </c>
    </row>
    <row r="188" spans="1:21" x14ac:dyDescent="0.15">
      <c r="A188" s="4" t="str">
        <f>HYPERLINK("https://ibp.a2mac1.com/costing(costing:projects/details/9760/component/8752238)","Hub/Boss")</f>
        <v>Hub/Boss</v>
      </c>
      <c r="B188">
        <v>8752238</v>
      </c>
      <c r="D188">
        <v>0</v>
      </c>
      <c r="E188">
        <v>0.8</v>
      </c>
      <c r="H188">
        <v>1</v>
      </c>
      <c r="I188">
        <v>200000</v>
      </c>
      <c r="J188" t="s">
        <v>162</v>
      </c>
      <c r="K188">
        <v>0</v>
      </c>
      <c r="L188">
        <v>0</v>
      </c>
      <c r="M188">
        <v>0</v>
      </c>
      <c r="N188">
        <v>0</v>
      </c>
      <c r="Q188">
        <v>0</v>
      </c>
      <c r="R188">
        <v>0</v>
      </c>
      <c r="S188">
        <v>0.8</v>
      </c>
      <c r="U188">
        <v>8411610</v>
      </c>
    </row>
    <row r="189" spans="1:21" x14ac:dyDescent="0.15">
      <c r="A189" s="4" t="str">
        <f>HYPERLINK("https://ibp.a2mac1.com/costing(costing:projects/details/9760/component/8752064)","Screw &gt; Hexagon screw with flange")</f>
        <v>Screw &gt; Hexagon screw with flange</v>
      </c>
      <c r="B189">
        <v>8752064</v>
      </c>
      <c r="E189">
        <v>0</v>
      </c>
      <c r="F189" t="s">
        <v>1612</v>
      </c>
      <c r="H189">
        <v>0</v>
      </c>
      <c r="I189">
        <v>200000</v>
      </c>
      <c r="J189" t="s">
        <v>76</v>
      </c>
      <c r="K189">
        <v>25</v>
      </c>
      <c r="L189">
        <v>18</v>
      </c>
      <c r="M189">
        <v>12</v>
      </c>
      <c r="O189">
        <v>5.1999999999999998E-2</v>
      </c>
      <c r="Q189">
        <v>0</v>
      </c>
      <c r="R189">
        <v>0</v>
      </c>
      <c r="S189">
        <v>0</v>
      </c>
      <c r="T189">
        <v>8411592</v>
      </c>
    </row>
    <row r="190" spans="1:21" x14ac:dyDescent="0.15">
      <c r="A190" s="4" t="str">
        <f>HYPERLINK("https://ibp.a2mac1.com/costing(costing:projects/details/9760/component/8752065)","Fasteners")</f>
        <v>Fasteners</v>
      </c>
      <c r="B190">
        <v>8752065</v>
      </c>
      <c r="D190">
        <v>0</v>
      </c>
      <c r="E190">
        <v>0.13</v>
      </c>
      <c r="H190">
        <v>1</v>
      </c>
      <c r="I190">
        <v>200000</v>
      </c>
      <c r="J190" t="s">
        <v>76</v>
      </c>
      <c r="K190">
        <v>0</v>
      </c>
      <c r="L190">
        <v>0</v>
      </c>
      <c r="M190">
        <v>0</v>
      </c>
      <c r="N190">
        <v>0</v>
      </c>
      <c r="Q190">
        <v>0</v>
      </c>
      <c r="R190">
        <v>0</v>
      </c>
      <c r="S190">
        <v>0.13</v>
      </c>
      <c r="T190">
        <v>8411592</v>
      </c>
    </row>
    <row r="191" spans="1:21" x14ac:dyDescent="0.15">
      <c r="A191" s="4" t="str">
        <f>HYPERLINK("https://ibp.a2mac1.com/costing(costing:projects/details/9760/component/8752239)","Fasteners")</f>
        <v>Fasteners</v>
      </c>
      <c r="B191">
        <v>8752239</v>
      </c>
      <c r="D191">
        <v>0</v>
      </c>
      <c r="E191">
        <v>2.5000000000000001E-2</v>
      </c>
      <c r="H191">
        <v>1</v>
      </c>
      <c r="I191">
        <v>200000</v>
      </c>
      <c r="J191" t="s">
        <v>162</v>
      </c>
      <c r="K191">
        <v>0</v>
      </c>
      <c r="L191">
        <v>0</v>
      </c>
      <c r="M191">
        <v>0</v>
      </c>
      <c r="N191">
        <v>0</v>
      </c>
      <c r="Q191">
        <v>0</v>
      </c>
      <c r="R191">
        <v>0</v>
      </c>
      <c r="S191">
        <v>2.5000000000000001E-2</v>
      </c>
      <c r="U191">
        <v>8411613</v>
      </c>
    </row>
    <row r="192" spans="1:21" x14ac:dyDescent="0.15">
      <c r="A192" s="4" t="str">
        <f>HYPERLINK("https://ibp.a2mac1.com/costing(costing:projects/details/9760/component/8752240)","Screw &gt; Cross recessed screw")</f>
        <v>Screw &gt; Cross recessed screw</v>
      </c>
      <c r="B192">
        <v>8752240</v>
      </c>
      <c r="E192">
        <v>0</v>
      </c>
      <c r="F192" t="s">
        <v>1612</v>
      </c>
      <c r="H192">
        <v>0</v>
      </c>
      <c r="I192">
        <v>200000</v>
      </c>
      <c r="J192" t="s">
        <v>162</v>
      </c>
      <c r="K192">
        <v>16</v>
      </c>
      <c r="L192">
        <v>8</v>
      </c>
      <c r="M192">
        <v>4</v>
      </c>
      <c r="O192">
        <v>1.8E-3</v>
      </c>
      <c r="Q192">
        <v>0</v>
      </c>
      <c r="R192">
        <v>0</v>
      </c>
      <c r="S192">
        <v>0</v>
      </c>
      <c r="U192">
        <v>8411615</v>
      </c>
    </row>
    <row r="193" spans="1:21" x14ac:dyDescent="0.15">
      <c r="A193" s="4" t="str">
        <f>HYPERLINK("https://ibp.a2mac1.com/costing(costing:projects/details/9760/component/8752241)","Fasteners")</f>
        <v>Fasteners</v>
      </c>
      <c r="B193">
        <v>8752241</v>
      </c>
      <c r="D193">
        <v>0</v>
      </c>
      <c r="E193">
        <v>1.7500000000000002E-2</v>
      </c>
      <c r="H193">
        <v>1</v>
      </c>
      <c r="I193">
        <v>200000</v>
      </c>
      <c r="J193" t="s">
        <v>162</v>
      </c>
      <c r="K193">
        <v>0</v>
      </c>
      <c r="L193">
        <v>0</v>
      </c>
      <c r="M193">
        <v>0</v>
      </c>
      <c r="N193">
        <v>0</v>
      </c>
      <c r="Q193">
        <v>0</v>
      </c>
      <c r="R193">
        <v>0</v>
      </c>
      <c r="S193">
        <v>1.7500000000000002E-2</v>
      </c>
      <c r="U193">
        <v>8411615</v>
      </c>
    </row>
    <row r="194" spans="1:21" x14ac:dyDescent="0.15">
      <c r="A194" s="4" t="str">
        <f>HYPERLINK("https://ibp.a2mac1.com/costing(costing:projects/details/9760/component/8752242)","Screw &gt; Cross recessed screw")</f>
        <v>Screw &gt; Cross recessed screw</v>
      </c>
      <c r="B194">
        <v>8752242</v>
      </c>
      <c r="E194">
        <v>0</v>
      </c>
      <c r="F194" t="s">
        <v>1612</v>
      </c>
      <c r="H194">
        <v>0</v>
      </c>
      <c r="I194">
        <v>200000</v>
      </c>
      <c r="J194" t="s">
        <v>162</v>
      </c>
      <c r="K194">
        <v>16</v>
      </c>
      <c r="L194">
        <v>8</v>
      </c>
      <c r="M194">
        <v>4</v>
      </c>
      <c r="O194">
        <v>2E-3</v>
      </c>
      <c r="Q194">
        <v>0</v>
      </c>
      <c r="R194">
        <v>0</v>
      </c>
      <c r="S194">
        <v>0</v>
      </c>
      <c r="U194">
        <v>8411616</v>
      </c>
    </row>
    <row r="195" spans="1:21" x14ac:dyDescent="0.15">
      <c r="A195" s="4" t="str">
        <f>HYPERLINK("https://ibp.a2mac1.com/costing(costing:projects/details/9760/component/8752243)","Fasteners")</f>
        <v>Fasteners</v>
      </c>
      <c r="B195">
        <v>8752243</v>
      </c>
      <c r="D195">
        <v>0</v>
      </c>
      <c r="E195">
        <v>0.01</v>
      </c>
      <c r="H195">
        <v>1</v>
      </c>
      <c r="I195">
        <v>200000</v>
      </c>
      <c r="J195" t="s">
        <v>162</v>
      </c>
      <c r="K195">
        <v>0</v>
      </c>
      <c r="L195">
        <v>0</v>
      </c>
      <c r="M195">
        <v>0</v>
      </c>
      <c r="N195">
        <v>0</v>
      </c>
      <c r="Q195">
        <v>0</v>
      </c>
      <c r="R195">
        <v>0</v>
      </c>
      <c r="S195">
        <v>0.01</v>
      </c>
      <c r="U195">
        <v>8411616</v>
      </c>
    </row>
    <row r="196" spans="1:21" x14ac:dyDescent="0.15">
      <c r="A196" s="4" t="str">
        <f>HYPERLINK("https://ibp.a2mac1.com/costing(costing:projects/details/9760/component/8752019)","Screw &gt; Hexagon screw with flange")</f>
        <v>Screw &gt; Hexagon screw with flange</v>
      </c>
      <c r="B196">
        <v>8752019</v>
      </c>
      <c r="D196">
        <v>0</v>
      </c>
      <c r="E196">
        <v>0.3</v>
      </c>
      <c r="H196">
        <v>1</v>
      </c>
      <c r="I196">
        <v>200000</v>
      </c>
      <c r="J196" t="s">
        <v>76</v>
      </c>
      <c r="K196">
        <v>25</v>
      </c>
      <c r="L196">
        <v>18</v>
      </c>
      <c r="M196">
        <v>12</v>
      </c>
      <c r="O196">
        <v>5.1999999999999998E-2</v>
      </c>
      <c r="Q196">
        <v>0</v>
      </c>
      <c r="R196">
        <v>0</v>
      </c>
      <c r="S196">
        <v>0.3</v>
      </c>
      <c r="T196">
        <v>8411554</v>
      </c>
    </row>
    <row r="197" spans="1:21" x14ac:dyDescent="0.15">
      <c r="A197" s="4" t="str">
        <f>HYPERLINK("https://ibp.a2mac1.com/costing(costing:projects/details/9760/component/8752318)","Hex-head Bolt M10x25")</f>
        <v>Hex-head Bolt M10x25</v>
      </c>
      <c r="B197">
        <v>8752318</v>
      </c>
      <c r="D197">
        <v>0</v>
      </c>
      <c r="E197">
        <v>0.12180000000000001</v>
      </c>
      <c r="F197" t="s">
        <v>1791</v>
      </c>
      <c r="H197">
        <v>14</v>
      </c>
      <c r="I197">
        <v>2800000</v>
      </c>
      <c r="J197" t="s">
        <v>76</v>
      </c>
      <c r="K197">
        <v>0</v>
      </c>
      <c r="L197">
        <v>0</v>
      </c>
      <c r="M197">
        <v>0</v>
      </c>
      <c r="N197">
        <v>0</v>
      </c>
      <c r="O197">
        <v>2.5219999999999999E-2</v>
      </c>
      <c r="Q197">
        <v>0</v>
      </c>
      <c r="R197">
        <v>0</v>
      </c>
      <c r="S197">
        <v>1.7052</v>
      </c>
      <c r="T197">
        <v>8411656</v>
      </c>
    </row>
    <row r="198" spans="1:21" x14ac:dyDescent="0.15">
      <c r="A198" s="4" t="str">
        <f>HYPERLINK("https://ibp.a2mac1.com/costing(costing:projects/details/9760/component/8752319)","Hex-head Bolt M6x20")</f>
        <v>Hex-head Bolt M6x20</v>
      </c>
      <c r="B198">
        <v>8752319</v>
      </c>
      <c r="D198">
        <v>0</v>
      </c>
      <c r="E198">
        <v>4.6039999999999998E-2</v>
      </c>
      <c r="F198" t="s">
        <v>312</v>
      </c>
      <c r="H198">
        <v>2</v>
      </c>
      <c r="I198">
        <v>400000</v>
      </c>
      <c r="J198" t="s">
        <v>76</v>
      </c>
      <c r="K198">
        <v>0</v>
      </c>
      <c r="L198">
        <v>0</v>
      </c>
      <c r="M198">
        <v>0</v>
      </c>
      <c r="N198">
        <v>0</v>
      </c>
      <c r="O198">
        <v>6.7400000000000003E-3</v>
      </c>
      <c r="Q198">
        <v>0</v>
      </c>
      <c r="R198">
        <v>0</v>
      </c>
      <c r="S198">
        <v>9.2079999999999995E-2</v>
      </c>
      <c r="T198">
        <v>8411659</v>
      </c>
    </row>
    <row r="199" spans="1:21" x14ac:dyDescent="0.15">
      <c r="A199" s="4" t="str">
        <f>HYPERLINK("https://ibp.a2mac1.com/costing(costing:projects/details/9760/component/8752320)","Round head Screw M6x16")</f>
        <v>Round head Screw M6x16</v>
      </c>
      <c r="B199">
        <v>8752320</v>
      </c>
      <c r="D199">
        <v>0</v>
      </c>
      <c r="E199">
        <v>3.5680000000000003E-2</v>
      </c>
      <c r="F199" t="s">
        <v>431</v>
      </c>
      <c r="H199">
        <v>1</v>
      </c>
      <c r="I199">
        <v>200000</v>
      </c>
      <c r="J199" t="s">
        <v>76</v>
      </c>
      <c r="K199">
        <v>0</v>
      </c>
      <c r="L199">
        <v>0</v>
      </c>
      <c r="M199">
        <v>0</v>
      </c>
      <c r="N199">
        <v>0</v>
      </c>
      <c r="O199">
        <v>4.2199999999999998E-3</v>
      </c>
      <c r="Q199">
        <v>0</v>
      </c>
      <c r="R199">
        <v>0</v>
      </c>
      <c r="S199">
        <v>3.5680000000000003E-2</v>
      </c>
      <c r="T199">
        <v>8411659</v>
      </c>
    </row>
    <row r="200" spans="1:21" x14ac:dyDescent="0.15">
      <c r="A200" s="4" t="str">
        <f>HYPERLINK("https://ibp.a2mac1.com/costing(costing:projects/details/9760/component/8752321)","Round head Screw M6x16")</f>
        <v>Round head Screw M6x16</v>
      </c>
      <c r="B200">
        <v>8752321</v>
      </c>
      <c r="D200">
        <v>0</v>
      </c>
      <c r="E200">
        <v>3.5680000000000003E-2</v>
      </c>
      <c r="F200" t="s">
        <v>431</v>
      </c>
      <c r="H200">
        <v>1</v>
      </c>
      <c r="I200">
        <v>200000</v>
      </c>
      <c r="J200" t="s">
        <v>76</v>
      </c>
      <c r="K200">
        <v>0</v>
      </c>
      <c r="L200">
        <v>0</v>
      </c>
      <c r="M200">
        <v>0</v>
      </c>
      <c r="N200">
        <v>0</v>
      </c>
      <c r="O200">
        <v>4.2199999999999998E-3</v>
      </c>
      <c r="Q200">
        <v>0</v>
      </c>
      <c r="R200">
        <v>0</v>
      </c>
      <c r="S200">
        <v>3.5680000000000003E-2</v>
      </c>
      <c r="T200">
        <v>8411659</v>
      </c>
    </row>
    <row r="201" spans="1:21" x14ac:dyDescent="0.15">
      <c r="A201" s="4" t="str">
        <f>HYPERLINK("https://ibp.a2mac1.com/costing(costing:projects/details/9760/component/8752322)","Round head Screw M6x16")</f>
        <v>Round head Screw M6x16</v>
      </c>
      <c r="B201">
        <v>8752322</v>
      </c>
      <c r="D201">
        <v>0</v>
      </c>
      <c r="E201">
        <v>3.5680000000000003E-2</v>
      </c>
      <c r="F201" t="s">
        <v>431</v>
      </c>
      <c r="H201">
        <v>2</v>
      </c>
      <c r="I201">
        <v>400000</v>
      </c>
      <c r="J201" t="s">
        <v>76</v>
      </c>
      <c r="K201">
        <v>0</v>
      </c>
      <c r="L201">
        <v>0</v>
      </c>
      <c r="M201">
        <v>0</v>
      </c>
      <c r="N201">
        <v>0</v>
      </c>
      <c r="O201">
        <v>4.2199999999999998E-3</v>
      </c>
      <c r="Q201">
        <v>0</v>
      </c>
      <c r="R201">
        <v>0</v>
      </c>
      <c r="S201">
        <v>7.1360000000000007E-2</v>
      </c>
      <c r="T201">
        <v>8411659</v>
      </c>
    </row>
    <row r="202" spans="1:21" x14ac:dyDescent="0.15">
      <c r="A202" s="4" t="str">
        <f>HYPERLINK("https://ibp.a2mac1.com/costing(costing:projects/details/9760/component/8752323)","Round head Screw M6x16")</f>
        <v>Round head Screw M6x16</v>
      </c>
      <c r="B202">
        <v>8752323</v>
      </c>
      <c r="D202">
        <v>0</v>
      </c>
      <c r="E202">
        <v>3.5680000000000003E-2</v>
      </c>
      <c r="F202" t="s">
        <v>431</v>
      </c>
      <c r="H202">
        <v>3</v>
      </c>
      <c r="I202">
        <v>600000</v>
      </c>
      <c r="J202" t="s">
        <v>76</v>
      </c>
      <c r="K202">
        <v>0</v>
      </c>
      <c r="L202">
        <v>0</v>
      </c>
      <c r="M202">
        <v>0</v>
      </c>
      <c r="N202">
        <v>0</v>
      </c>
      <c r="O202">
        <v>4.2199999999999998E-3</v>
      </c>
      <c r="Q202">
        <v>0</v>
      </c>
      <c r="R202">
        <v>0</v>
      </c>
      <c r="S202">
        <v>0.10704</v>
      </c>
      <c r="T202">
        <v>8411659</v>
      </c>
    </row>
    <row r="203" spans="1:21" x14ac:dyDescent="0.15">
      <c r="A203" s="4" t="str">
        <f>HYPERLINK("https://ibp.a2mac1.com/costing(costing:projects/details/9760/component/8752324)","Socket Screw M5x20")</f>
        <v>Socket Screw M5x20</v>
      </c>
      <c r="B203">
        <v>8752324</v>
      </c>
      <c r="D203">
        <v>0</v>
      </c>
      <c r="E203">
        <v>3.635E-2</v>
      </c>
      <c r="F203" t="s">
        <v>1850</v>
      </c>
      <c r="H203">
        <v>5</v>
      </c>
      <c r="I203">
        <v>1000000</v>
      </c>
      <c r="J203" t="s">
        <v>76</v>
      </c>
      <c r="K203">
        <v>0</v>
      </c>
      <c r="L203">
        <v>0</v>
      </c>
      <c r="M203">
        <v>0</v>
      </c>
      <c r="N203">
        <v>0</v>
      </c>
      <c r="O203">
        <v>4.3800000000000002E-3</v>
      </c>
      <c r="Q203">
        <v>0</v>
      </c>
      <c r="R203">
        <v>0</v>
      </c>
      <c r="S203">
        <v>0.18174999999999999</v>
      </c>
      <c r="T203">
        <v>8411660</v>
      </c>
    </row>
    <row r="204" spans="1:21" x14ac:dyDescent="0.15">
      <c r="A204" s="4" t="str">
        <f>HYPERLINK("https://ibp.a2mac1.com/costing(costing:projects/details/9760/component/8752325)","Hex-head Bolt M8x40")</f>
        <v>Hex-head Bolt M8x40</v>
      </c>
      <c r="B204">
        <v>8752325</v>
      </c>
      <c r="D204">
        <v>0</v>
      </c>
      <c r="E204">
        <v>0.10478999999999999</v>
      </c>
      <c r="F204" t="s">
        <v>1851</v>
      </c>
      <c r="H204">
        <v>18</v>
      </c>
      <c r="I204">
        <v>3600000</v>
      </c>
      <c r="J204" t="s">
        <v>76</v>
      </c>
      <c r="K204">
        <v>0</v>
      </c>
      <c r="L204">
        <v>0</v>
      </c>
      <c r="M204">
        <v>0</v>
      </c>
      <c r="N204">
        <v>0</v>
      </c>
      <c r="O204">
        <v>2.1069999999999998E-2</v>
      </c>
      <c r="Q204">
        <v>0</v>
      </c>
      <c r="R204">
        <v>0</v>
      </c>
      <c r="S204">
        <v>1.88622</v>
      </c>
      <c r="T204">
        <v>8411660</v>
      </c>
    </row>
    <row r="205" spans="1:21" x14ac:dyDescent="0.15">
      <c r="A205" s="4" t="str">
        <f>HYPERLINK("https://ibp.a2mac1.com/costing(costing:projects/details/9760/component/8752326)","Hex-head Bolt M14x130")</f>
        <v>Hex-head Bolt M14x130</v>
      </c>
      <c r="B205">
        <v>8752326</v>
      </c>
      <c r="D205">
        <v>0</v>
      </c>
      <c r="E205">
        <v>0.75680999999999998</v>
      </c>
      <c r="F205" t="s">
        <v>1852</v>
      </c>
      <c r="H205">
        <v>1</v>
      </c>
      <c r="I205">
        <v>200000</v>
      </c>
      <c r="J205" t="s">
        <v>76</v>
      </c>
      <c r="K205">
        <v>0</v>
      </c>
      <c r="L205">
        <v>0</v>
      </c>
      <c r="M205">
        <v>0</v>
      </c>
      <c r="N205">
        <v>0</v>
      </c>
      <c r="O205">
        <v>0.18010000000000001</v>
      </c>
      <c r="Q205">
        <v>0</v>
      </c>
      <c r="R205">
        <v>0</v>
      </c>
      <c r="S205">
        <v>0.75680999999999998</v>
      </c>
      <c r="T205">
        <v>8411660</v>
      </c>
    </row>
    <row r="206" spans="1:21" x14ac:dyDescent="0.15">
      <c r="A206" s="4" t="str">
        <f>HYPERLINK("https://ibp.a2mac1.com/costing(costing:projects/details/9760/component/8752327)","Hex-head Bolt M12x25")</f>
        <v>Hex-head Bolt M12x25</v>
      </c>
      <c r="B206">
        <v>8752327</v>
      </c>
      <c r="D206">
        <v>0</v>
      </c>
      <c r="E206">
        <v>0.16952999999999999</v>
      </c>
      <c r="F206" t="s">
        <v>1888</v>
      </c>
      <c r="H206">
        <v>14</v>
      </c>
      <c r="I206">
        <v>2800000</v>
      </c>
      <c r="J206" t="s">
        <v>76</v>
      </c>
      <c r="K206">
        <v>0</v>
      </c>
      <c r="L206">
        <v>0</v>
      </c>
      <c r="M206">
        <v>0</v>
      </c>
      <c r="N206">
        <v>0</v>
      </c>
      <c r="O206">
        <v>3.6859999999999997E-2</v>
      </c>
      <c r="Q206">
        <v>0</v>
      </c>
      <c r="R206">
        <v>0</v>
      </c>
      <c r="S206">
        <v>2.3734199999999999</v>
      </c>
      <c r="T206">
        <v>8411670</v>
      </c>
    </row>
    <row r="207" spans="1:21" x14ac:dyDescent="0.15">
      <c r="A207" s="4" t="str">
        <f>HYPERLINK("https://ibp.a2mac1.com/costing(costing:projects/details/9760/component/8752328)","Round head Screw M6x16")</f>
        <v>Round head Screw M6x16</v>
      </c>
      <c r="B207">
        <v>8752328</v>
      </c>
      <c r="D207">
        <v>0</v>
      </c>
      <c r="E207">
        <v>3.5680000000000003E-2</v>
      </c>
      <c r="F207" t="s">
        <v>431</v>
      </c>
      <c r="H207">
        <v>1</v>
      </c>
      <c r="I207">
        <v>200000</v>
      </c>
      <c r="J207" t="s">
        <v>76</v>
      </c>
      <c r="K207">
        <v>0</v>
      </c>
      <c r="L207">
        <v>0</v>
      </c>
      <c r="M207">
        <v>0</v>
      </c>
      <c r="N207">
        <v>0</v>
      </c>
      <c r="O207">
        <v>4.2199999999999998E-3</v>
      </c>
      <c r="Q207">
        <v>0</v>
      </c>
      <c r="R207">
        <v>0</v>
      </c>
      <c r="S207">
        <v>3.5680000000000003E-2</v>
      </c>
      <c r="T207">
        <v>8411673</v>
      </c>
    </row>
    <row r="208" spans="1:21" x14ac:dyDescent="0.15">
      <c r="A208" s="4" t="str">
        <f>HYPERLINK("https://ibp.a2mac1.com/costing(costing:projects/details/9760/component/8752329)","Hex-head Bolt M6x20")</f>
        <v>Hex-head Bolt M6x20</v>
      </c>
      <c r="B208">
        <v>8752329</v>
      </c>
      <c r="D208">
        <v>0</v>
      </c>
      <c r="E208">
        <v>4.6039999999999998E-2</v>
      </c>
      <c r="F208" t="s">
        <v>312</v>
      </c>
      <c r="H208">
        <v>2</v>
      </c>
      <c r="I208">
        <v>400000</v>
      </c>
      <c r="J208" t="s">
        <v>76</v>
      </c>
      <c r="K208">
        <v>0</v>
      </c>
      <c r="L208">
        <v>0</v>
      </c>
      <c r="M208">
        <v>0</v>
      </c>
      <c r="N208">
        <v>0</v>
      </c>
      <c r="O208">
        <v>6.7400000000000003E-3</v>
      </c>
      <c r="Q208">
        <v>0</v>
      </c>
      <c r="R208">
        <v>0</v>
      </c>
      <c r="S208">
        <v>9.2079999999999995E-2</v>
      </c>
      <c r="T208">
        <v>8411673</v>
      </c>
    </row>
    <row r="209" spans="1:20" x14ac:dyDescent="0.15">
      <c r="A209" s="4" t="str">
        <f>HYPERLINK("https://ibp.a2mac1.com/costing(costing:projects/details/9760/component/8752330)","Round head Screw M6x16")</f>
        <v>Round head Screw M6x16</v>
      </c>
      <c r="B209">
        <v>8752330</v>
      </c>
      <c r="D209">
        <v>0</v>
      </c>
      <c r="E209">
        <v>3.5680000000000003E-2</v>
      </c>
      <c r="F209" t="s">
        <v>431</v>
      </c>
      <c r="H209">
        <v>2</v>
      </c>
      <c r="I209">
        <v>400000</v>
      </c>
      <c r="J209" t="s">
        <v>76</v>
      </c>
      <c r="K209">
        <v>0</v>
      </c>
      <c r="L209">
        <v>0</v>
      </c>
      <c r="M209">
        <v>0</v>
      </c>
      <c r="N209">
        <v>0</v>
      </c>
      <c r="O209">
        <v>4.2199999999999998E-3</v>
      </c>
      <c r="Q209">
        <v>0</v>
      </c>
      <c r="R209">
        <v>0</v>
      </c>
      <c r="S209">
        <v>7.1360000000000007E-2</v>
      </c>
      <c r="T209">
        <v>8411673</v>
      </c>
    </row>
    <row r="210" spans="1:20" x14ac:dyDescent="0.15">
      <c r="A210" s="4" t="str">
        <f>HYPERLINK("https://ibp.a2mac1.com/costing(costing:projects/details/9760/component/8752331)","Round head Screw M6x16")</f>
        <v>Round head Screw M6x16</v>
      </c>
      <c r="B210">
        <v>8752331</v>
      </c>
      <c r="D210">
        <v>0</v>
      </c>
      <c r="E210">
        <v>3.5680000000000003E-2</v>
      </c>
      <c r="F210" t="s">
        <v>431</v>
      </c>
      <c r="H210">
        <v>3</v>
      </c>
      <c r="I210">
        <v>600000</v>
      </c>
      <c r="J210" t="s">
        <v>76</v>
      </c>
      <c r="K210">
        <v>0</v>
      </c>
      <c r="L210">
        <v>0</v>
      </c>
      <c r="M210">
        <v>0</v>
      </c>
      <c r="N210">
        <v>0</v>
      </c>
      <c r="O210">
        <v>4.2199999999999998E-3</v>
      </c>
      <c r="Q210">
        <v>0</v>
      </c>
      <c r="R210">
        <v>0</v>
      </c>
      <c r="S210">
        <v>0.10704</v>
      </c>
      <c r="T210">
        <v>8411673</v>
      </c>
    </row>
    <row r="211" spans="1:20" x14ac:dyDescent="0.15">
      <c r="A211" s="4" t="str">
        <f>HYPERLINK("https://ibp.a2mac1.com/costing(costing:projects/details/9760/component/8752332)","Round head Screw M6x16")</f>
        <v>Round head Screw M6x16</v>
      </c>
      <c r="B211">
        <v>8752332</v>
      </c>
      <c r="D211">
        <v>0</v>
      </c>
      <c r="E211">
        <v>3.5680000000000003E-2</v>
      </c>
      <c r="F211" t="s">
        <v>431</v>
      </c>
      <c r="H211">
        <v>1</v>
      </c>
      <c r="I211">
        <v>200000</v>
      </c>
      <c r="J211" t="s">
        <v>76</v>
      </c>
      <c r="K211">
        <v>0</v>
      </c>
      <c r="L211">
        <v>0</v>
      </c>
      <c r="M211">
        <v>0</v>
      </c>
      <c r="N211">
        <v>0</v>
      </c>
      <c r="O211">
        <v>4.2199999999999998E-3</v>
      </c>
      <c r="Q211">
        <v>0</v>
      </c>
      <c r="R211">
        <v>0</v>
      </c>
      <c r="S211">
        <v>3.5680000000000003E-2</v>
      </c>
      <c r="T211">
        <v>8411673</v>
      </c>
    </row>
    <row r="212" spans="1:20" x14ac:dyDescent="0.15">
      <c r="A212" s="4" t="str">
        <f>HYPERLINK("https://ibp.a2mac1.com/costing(costing:projects/details/9760/component/8752333)","Socket Screw M5x20")</f>
        <v>Socket Screw M5x20</v>
      </c>
      <c r="B212">
        <v>8752333</v>
      </c>
      <c r="D212">
        <v>0</v>
      </c>
      <c r="E212">
        <v>3.635E-2</v>
      </c>
      <c r="F212" t="s">
        <v>1850</v>
      </c>
      <c r="H212">
        <v>5</v>
      </c>
      <c r="I212">
        <v>1000000</v>
      </c>
      <c r="J212" t="s">
        <v>76</v>
      </c>
      <c r="K212">
        <v>0</v>
      </c>
      <c r="L212">
        <v>0</v>
      </c>
      <c r="M212">
        <v>0</v>
      </c>
      <c r="N212">
        <v>0</v>
      </c>
      <c r="O212">
        <v>4.3800000000000002E-3</v>
      </c>
      <c r="Q212">
        <v>0</v>
      </c>
      <c r="R212">
        <v>0</v>
      </c>
      <c r="S212">
        <v>0.18174999999999999</v>
      </c>
      <c r="T212">
        <v>8411674</v>
      </c>
    </row>
    <row r="213" spans="1:20" x14ac:dyDescent="0.15">
      <c r="A213" s="4" t="str">
        <f>HYPERLINK("https://ibp.a2mac1.com/costing(costing:projects/details/9760/component/8752334)","Hex-head Bolt M14x130")</f>
        <v>Hex-head Bolt M14x130</v>
      </c>
      <c r="B213">
        <v>8752334</v>
      </c>
      <c r="D213">
        <v>0</v>
      </c>
      <c r="E213">
        <v>0.75680999999999998</v>
      </c>
      <c r="F213" t="s">
        <v>1852</v>
      </c>
      <c r="H213">
        <v>1</v>
      </c>
      <c r="I213">
        <v>200000</v>
      </c>
      <c r="J213" t="s">
        <v>76</v>
      </c>
      <c r="K213">
        <v>0</v>
      </c>
      <c r="L213">
        <v>0</v>
      </c>
      <c r="M213">
        <v>0</v>
      </c>
      <c r="N213">
        <v>0</v>
      </c>
      <c r="O213">
        <v>0.18010000000000001</v>
      </c>
      <c r="Q213">
        <v>0</v>
      </c>
      <c r="R213">
        <v>0</v>
      </c>
      <c r="S213">
        <v>0.75680999999999998</v>
      </c>
      <c r="T213">
        <v>8411674</v>
      </c>
    </row>
    <row r="214" spans="1:20" x14ac:dyDescent="0.15">
      <c r="A214" s="4" t="str">
        <f>HYPERLINK("https://ibp.a2mac1.com/costing(costing:projects/details/9760/component/8752335)","Hex-head Bolt M8x40")</f>
        <v>Hex-head Bolt M8x40</v>
      </c>
      <c r="B214">
        <v>8752335</v>
      </c>
      <c r="D214">
        <v>0</v>
      </c>
      <c r="E214">
        <v>0.10478999999999999</v>
      </c>
      <c r="F214" t="s">
        <v>1851</v>
      </c>
      <c r="H214">
        <v>18</v>
      </c>
      <c r="I214">
        <v>3600000</v>
      </c>
      <c r="J214" t="s">
        <v>76</v>
      </c>
      <c r="K214">
        <v>0</v>
      </c>
      <c r="L214">
        <v>0</v>
      </c>
      <c r="M214">
        <v>0</v>
      </c>
      <c r="N214">
        <v>0</v>
      </c>
      <c r="O214">
        <v>2.1069999999999998E-2</v>
      </c>
      <c r="Q214">
        <v>0</v>
      </c>
      <c r="R214">
        <v>0</v>
      </c>
      <c r="S214">
        <v>1.88622</v>
      </c>
      <c r="T214">
        <v>8411674</v>
      </c>
    </row>
    <row r="215" spans="1:20" x14ac:dyDescent="0.15">
      <c r="A215" s="4" t="str">
        <f>HYPERLINK("https://ibp.a2mac1.com/costing(costing:projects/details/9760/component/8752725)","Electronics")</f>
        <v>Electronics</v>
      </c>
      <c r="B215">
        <v>8752725</v>
      </c>
      <c r="D215">
        <v>0</v>
      </c>
      <c r="E215">
        <v>8.5648</v>
      </c>
      <c r="F215" t="s">
        <v>363</v>
      </c>
      <c r="H215">
        <v>1</v>
      </c>
      <c r="I215">
        <v>200000</v>
      </c>
      <c r="J215" t="s">
        <v>76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364</v>
      </c>
      <c r="Q215">
        <v>0</v>
      </c>
      <c r="R215">
        <v>0</v>
      </c>
      <c r="S215">
        <v>8.0374197554455602</v>
      </c>
      <c r="T215">
        <v>8412727</v>
      </c>
    </row>
    <row r="216" spans="1:20" x14ac:dyDescent="0.15">
      <c r="A216" s="4" t="str">
        <f>HYPERLINK("https://ibp.a2mac1.com/costing(costing:projects/details/9760/component/8752726)","Mechanics")</f>
        <v>Mechanics</v>
      </c>
      <c r="B216">
        <v>8752726</v>
      </c>
      <c r="D216">
        <v>0</v>
      </c>
      <c r="E216">
        <v>4.9976000000000003</v>
      </c>
      <c r="F216" t="s">
        <v>2179</v>
      </c>
      <c r="H216">
        <v>1</v>
      </c>
      <c r="I216">
        <v>200000</v>
      </c>
      <c r="J216" t="s">
        <v>76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362</v>
      </c>
      <c r="Q216">
        <v>0</v>
      </c>
      <c r="R216">
        <v>0</v>
      </c>
      <c r="S216">
        <v>4.9075218949600234</v>
      </c>
      <c r="T216">
        <v>8412727</v>
      </c>
    </row>
    <row r="217" spans="1:20" x14ac:dyDescent="0.15">
      <c r="A217" s="4" t="str">
        <f>HYPERLINK("https://ibp.a2mac1.com/costing(costing:projects/details/9760/component/8752619)","Material")</f>
        <v>Material</v>
      </c>
      <c r="B217">
        <v>8752619</v>
      </c>
      <c r="D217">
        <v>0</v>
      </c>
      <c r="E217">
        <v>11.73</v>
      </c>
      <c r="F217" t="s">
        <v>319</v>
      </c>
      <c r="H217">
        <v>1</v>
      </c>
      <c r="I217">
        <v>200000</v>
      </c>
      <c r="J217" t="s">
        <v>76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320</v>
      </c>
      <c r="Q217">
        <v>0</v>
      </c>
      <c r="R217">
        <v>0</v>
      </c>
      <c r="S217">
        <v>11.520497452439576</v>
      </c>
      <c r="T217">
        <v>8412562</v>
      </c>
    </row>
    <row r="218" spans="1:20" x14ac:dyDescent="0.15">
      <c r="A218" s="4" t="str">
        <f>HYPERLINK("https://ibp.a2mac1.com/costing(costing:projects/details/9760/component/8752620)","Copper")</f>
        <v>Copper</v>
      </c>
      <c r="B218">
        <v>8752620</v>
      </c>
      <c r="D218">
        <v>0</v>
      </c>
      <c r="E218">
        <v>2.86</v>
      </c>
      <c r="H218">
        <v>1</v>
      </c>
      <c r="I218">
        <v>200000</v>
      </c>
      <c r="J218" t="s">
        <v>76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2.86</v>
      </c>
      <c r="T218">
        <v>8412562</v>
      </c>
    </row>
    <row r="219" spans="1:20" x14ac:dyDescent="0.15">
      <c r="A219" s="4" t="str">
        <f>HYPERLINK("https://ibp.a2mac1.com/costing(costing:projects/details/9760/component/8752621)","Material")</f>
        <v>Material</v>
      </c>
      <c r="B219">
        <v>8752621</v>
      </c>
      <c r="D219">
        <v>0</v>
      </c>
      <c r="E219">
        <v>7.11</v>
      </c>
      <c r="F219" t="s">
        <v>319</v>
      </c>
      <c r="H219">
        <v>1</v>
      </c>
      <c r="I219">
        <v>200000</v>
      </c>
      <c r="J219" t="s">
        <v>76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320</v>
      </c>
      <c r="Q219">
        <v>0</v>
      </c>
      <c r="R219">
        <v>0</v>
      </c>
      <c r="S219">
        <v>6.98301252232271</v>
      </c>
      <c r="T219">
        <v>8412564</v>
      </c>
    </row>
    <row r="220" spans="1:20" x14ac:dyDescent="0.15">
      <c r="A220" s="4" t="str">
        <f>HYPERLINK("https://ibp.a2mac1.com/costing(costing:projects/details/9760/component/8752622)","Copper")</f>
        <v>Copper</v>
      </c>
      <c r="B220">
        <v>8752622</v>
      </c>
      <c r="D220">
        <v>0</v>
      </c>
      <c r="E220">
        <v>1.83</v>
      </c>
      <c r="H220">
        <v>1</v>
      </c>
      <c r="I220">
        <v>200000</v>
      </c>
      <c r="J220" t="s">
        <v>76</v>
      </c>
      <c r="K220">
        <v>0</v>
      </c>
      <c r="L220">
        <v>0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1.83</v>
      </c>
      <c r="T220">
        <v>8412564</v>
      </c>
    </row>
    <row r="221" spans="1:20" x14ac:dyDescent="0.15">
      <c r="A221" s="4" t="str">
        <f>HYPERLINK("https://ibp.a2mac1.com/costing(costing:projects/details/9760/component/8752626)","Material")</f>
        <v>Material</v>
      </c>
      <c r="B221">
        <v>8752626</v>
      </c>
      <c r="D221">
        <v>0</v>
      </c>
      <c r="E221">
        <v>2.85</v>
      </c>
      <c r="F221" t="s">
        <v>319</v>
      </c>
      <c r="H221">
        <v>1</v>
      </c>
      <c r="I221">
        <v>200000</v>
      </c>
      <c r="J221" t="s">
        <v>76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320</v>
      </c>
      <c r="Q221">
        <v>0</v>
      </c>
      <c r="R221">
        <v>0</v>
      </c>
      <c r="S221">
        <v>2.7990978465006644</v>
      </c>
      <c r="T221">
        <v>8412691</v>
      </c>
    </row>
    <row r="222" spans="1:20" x14ac:dyDescent="0.15">
      <c r="A222" s="4" t="str">
        <f>HYPERLINK("https://ibp.a2mac1.com/costing(costing:projects/details/9760/component/8752627)","Copper")</f>
        <v>Copper</v>
      </c>
      <c r="B222">
        <v>8752627</v>
      </c>
      <c r="D222">
        <v>0</v>
      </c>
      <c r="E222">
        <v>0.57999999999999996</v>
      </c>
      <c r="H222">
        <v>1</v>
      </c>
      <c r="I222">
        <v>200000</v>
      </c>
      <c r="J222" t="s">
        <v>76</v>
      </c>
      <c r="K222">
        <v>0</v>
      </c>
      <c r="L222">
        <v>0</v>
      </c>
      <c r="M222">
        <v>0</v>
      </c>
      <c r="N222">
        <v>0</v>
      </c>
      <c r="O222">
        <v>0</v>
      </c>
      <c r="Q222">
        <v>0</v>
      </c>
      <c r="R222">
        <v>0</v>
      </c>
      <c r="S222">
        <v>0.57999999999999996</v>
      </c>
      <c r="T222">
        <v>8412691</v>
      </c>
    </row>
    <row r="223" spans="1:20" x14ac:dyDescent="0.15">
      <c r="A223" s="4" t="str">
        <f>HYPERLINK("https://ibp.a2mac1.com/costing(costing:projects/details/9760/component/8752935)","Screw &gt; Hexagon screw with flange")</f>
        <v>Screw &gt; Hexagon screw with flange</v>
      </c>
      <c r="B223">
        <v>8752935</v>
      </c>
      <c r="D223">
        <v>0</v>
      </c>
      <c r="E223">
        <v>0.19</v>
      </c>
      <c r="H223">
        <v>2</v>
      </c>
      <c r="I223">
        <v>400000</v>
      </c>
      <c r="J223" t="s">
        <v>76</v>
      </c>
      <c r="K223">
        <v>30</v>
      </c>
      <c r="L223">
        <v>15</v>
      </c>
      <c r="M223">
        <v>10</v>
      </c>
      <c r="O223">
        <v>3.2000000000000001E-2</v>
      </c>
      <c r="Q223">
        <v>0</v>
      </c>
      <c r="R223">
        <v>0</v>
      </c>
      <c r="S223">
        <v>0.38</v>
      </c>
      <c r="T223">
        <v>8412886</v>
      </c>
    </row>
    <row r="224" spans="1:20" x14ac:dyDescent="0.15">
      <c r="A224" s="4" t="str">
        <f>HYPERLINK("https://ibp.a2mac1.com/costing(costing:projects/details/9760/component/8752936)","Screw &gt; Hexagon screw with flange")</f>
        <v>Screw &gt; Hexagon screw with flange</v>
      </c>
      <c r="B224">
        <v>8752936</v>
      </c>
      <c r="D224">
        <v>0</v>
      </c>
      <c r="E224">
        <v>0.19</v>
      </c>
      <c r="H224">
        <v>3</v>
      </c>
      <c r="I224">
        <v>600000</v>
      </c>
      <c r="J224" t="s">
        <v>76</v>
      </c>
      <c r="K224">
        <v>30</v>
      </c>
      <c r="L224">
        <v>15</v>
      </c>
      <c r="M224">
        <v>10</v>
      </c>
      <c r="O224">
        <v>3.2300000000000002E-2</v>
      </c>
      <c r="Q224">
        <v>0</v>
      </c>
      <c r="R224">
        <v>0</v>
      </c>
      <c r="S224">
        <v>0.56999999999999995</v>
      </c>
      <c r="T224">
        <v>8412886</v>
      </c>
    </row>
    <row r="225" spans="1:20" x14ac:dyDescent="0.15">
      <c r="A225" s="4" t="str">
        <f>HYPERLINK("https://ibp.a2mac1.com/costing(costing:projects/details/9760/component/8752937)","Screw &gt; Hexagon screw with flange")</f>
        <v>Screw &gt; Hexagon screw with flange</v>
      </c>
      <c r="B225">
        <v>8752937</v>
      </c>
      <c r="D225">
        <v>0</v>
      </c>
      <c r="E225">
        <v>0.19</v>
      </c>
      <c r="H225">
        <v>2</v>
      </c>
      <c r="I225">
        <v>400000</v>
      </c>
      <c r="J225" t="s">
        <v>76</v>
      </c>
      <c r="K225">
        <v>30</v>
      </c>
      <c r="L225">
        <v>15</v>
      </c>
      <c r="M225">
        <v>10</v>
      </c>
      <c r="O225">
        <v>3.2500000000000001E-2</v>
      </c>
      <c r="Q225">
        <v>0</v>
      </c>
      <c r="R225">
        <v>0</v>
      </c>
      <c r="S225">
        <v>0.38</v>
      </c>
      <c r="T225">
        <v>8412886</v>
      </c>
    </row>
    <row r="226" spans="1:20" x14ac:dyDescent="0.15">
      <c r="A226" s="4" t="str">
        <f>HYPERLINK("https://ibp.a2mac1.com/costing(costing:projects/details/9760/component/8752938)","Screw &gt; Hexagon screw with flange")</f>
        <v>Screw &gt; Hexagon screw with flange</v>
      </c>
      <c r="B226">
        <v>8752938</v>
      </c>
      <c r="D226">
        <v>0</v>
      </c>
      <c r="E226">
        <v>0.19</v>
      </c>
      <c r="H226">
        <v>2</v>
      </c>
      <c r="I226">
        <v>400000</v>
      </c>
      <c r="J226" t="s">
        <v>76</v>
      </c>
      <c r="K226">
        <v>30</v>
      </c>
      <c r="L226">
        <v>15</v>
      </c>
      <c r="M226">
        <v>10</v>
      </c>
      <c r="O226">
        <v>3.2000000000000001E-2</v>
      </c>
      <c r="Q226">
        <v>0</v>
      </c>
      <c r="R226">
        <v>0</v>
      </c>
      <c r="S226">
        <v>0.38</v>
      </c>
      <c r="T226">
        <v>8412886</v>
      </c>
    </row>
    <row r="227" spans="1:20" x14ac:dyDescent="0.15">
      <c r="A227" s="4" t="str">
        <f>HYPERLINK("https://ibp.a2mac1.com/costing(costing:projects/details/9760/component/8752972)","Electronic Parts")</f>
        <v>Electronic Parts</v>
      </c>
      <c r="B227">
        <v>8752972</v>
      </c>
      <c r="D227">
        <v>0</v>
      </c>
      <c r="E227">
        <v>45.2881</v>
      </c>
      <c r="F227" t="s">
        <v>364</v>
      </c>
      <c r="H227">
        <v>1</v>
      </c>
      <c r="I227">
        <v>200000</v>
      </c>
      <c r="J227" t="s">
        <v>76</v>
      </c>
      <c r="Q227">
        <v>0</v>
      </c>
      <c r="R227">
        <v>0</v>
      </c>
      <c r="S227">
        <v>45.2881</v>
      </c>
      <c r="T227">
        <v>8413246</v>
      </c>
    </row>
    <row r="228" spans="1:20" x14ac:dyDescent="0.15">
      <c r="A228" s="4" t="str">
        <f>HYPERLINK("https://ibp.a2mac1.com/costing(costing:projects/details/9760/component/8752973)","Mechanical Parts")</f>
        <v>Mechanical Parts</v>
      </c>
      <c r="B228">
        <v>8752973</v>
      </c>
      <c r="D228">
        <v>0</v>
      </c>
      <c r="E228">
        <v>4.6500000000000004</v>
      </c>
      <c r="F228" t="s">
        <v>3047</v>
      </c>
      <c r="H228">
        <v>1</v>
      </c>
      <c r="I228">
        <v>200000</v>
      </c>
      <c r="J228" t="s">
        <v>76</v>
      </c>
      <c r="Q228">
        <v>0</v>
      </c>
      <c r="R228">
        <v>0</v>
      </c>
      <c r="S228">
        <v>4.6500000000000004</v>
      </c>
      <c r="T228">
        <v>8413246</v>
      </c>
    </row>
    <row r="229" spans="1:20" x14ac:dyDescent="0.15">
      <c r="A229" s="4" t="str">
        <f>HYPERLINK("https://ibp.a2mac1.com/costing(costing:projects/details/9760/component/8752974)","Mechanical Parts")</f>
        <v>Mechanical Parts</v>
      </c>
      <c r="B229">
        <v>8752974</v>
      </c>
      <c r="D229">
        <v>0</v>
      </c>
      <c r="E229">
        <v>1.76</v>
      </c>
      <c r="F229" t="s">
        <v>3047</v>
      </c>
      <c r="H229">
        <v>1</v>
      </c>
      <c r="I229">
        <v>200000</v>
      </c>
      <c r="J229" t="s">
        <v>76</v>
      </c>
      <c r="Q229">
        <v>0</v>
      </c>
      <c r="R229">
        <v>0</v>
      </c>
      <c r="S229">
        <v>1.76</v>
      </c>
      <c r="T229">
        <v>8413247</v>
      </c>
    </row>
    <row r="230" spans="1:20" x14ac:dyDescent="0.15">
      <c r="A230" s="4" t="str">
        <f>HYPERLINK("https://ibp.a2mac1.com/costing(costing:projects/details/9760/component/8752975)","Electronic Parts")</f>
        <v>Electronic Parts</v>
      </c>
      <c r="B230">
        <v>8752975</v>
      </c>
      <c r="D230">
        <v>0</v>
      </c>
      <c r="E230">
        <v>23.016500000000001</v>
      </c>
      <c r="F230" t="s">
        <v>364</v>
      </c>
      <c r="H230">
        <v>1</v>
      </c>
      <c r="I230">
        <v>200000</v>
      </c>
      <c r="J230" t="s">
        <v>76</v>
      </c>
      <c r="Q230">
        <v>0</v>
      </c>
      <c r="R230">
        <v>0</v>
      </c>
      <c r="S230">
        <v>23.016500000000001</v>
      </c>
      <c r="T230">
        <v>8413247</v>
      </c>
    </row>
    <row r="231" spans="1:20" x14ac:dyDescent="0.15">
      <c r="A231" s="4" t="str">
        <f>HYPERLINK("https://ibp.a2mac1.com/costing(costing:projects/details/9760/component/8752976)","Electronic Parts")</f>
        <v>Electronic Parts</v>
      </c>
      <c r="B231">
        <v>8752976</v>
      </c>
      <c r="D231">
        <v>0</v>
      </c>
      <c r="E231">
        <v>6.4584000000000001</v>
      </c>
      <c r="F231" t="s">
        <v>364</v>
      </c>
      <c r="H231">
        <v>1</v>
      </c>
      <c r="I231">
        <v>200000</v>
      </c>
      <c r="J231" t="s">
        <v>76</v>
      </c>
      <c r="Q231">
        <v>0</v>
      </c>
      <c r="R231">
        <v>0</v>
      </c>
      <c r="S231">
        <v>6.4584000000000001</v>
      </c>
      <c r="T231">
        <v>8413249</v>
      </c>
    </row>
    <row r="232" spans="1:20" x14ac:dyDescent="0.15">
      <c r="A232" s="4" t="str">
        <f>HYPERLINK("https://ibp.a2mac1.com/costing(costing:projects/details/9760/component/8752977)","Mechanical Parts")</f>
        <v>Mechanical Parts</v>
      </c>
      <c r="B232">
        <v>8752977</v>
      </c>
      <c r="D232">
        <v>0</v>
      </c>
      <c r="E232">
        <v>0.27429999999999999</v>
      </c>
      <c r="F232" t="s">
        <v>3047</v>
      </c>
      <c r="H232">
        <v>1</v>
      </c>
      <c r="I232">
        <v>200000</v>
      </c>
      <c r="J232" t="s">
        <v>76</v>
      </c>
      <c r="Q232">
        <v>0</v>
      </c>
      <c r="R232">
        <v>0</v>
      </c>
      <c r="S232">
        <v>0.27429999999999999</v>
      </c>
      <c r="T232">
        <v>8413249</v>
      </c>
    </row>
    <row r="233" spans="1:20" x14ac:dyDescent="0.15">
      <c r="A233" s="4" t="str">
        <f>HYPERLINK("https://ibp.a2mac1.com/costing(costing:projects/details/9760/component/8752978)","Mechanical Parts")</f>
        <v>Mechanical Parts</v>
      </c>
      <c r="B233">
        <v>8752978</v>
      </c>
      <c r="D233">
        <v>0</v>
      </c>
      <c r="E233">
        <v>1.76</v>
      </c>
      <c r="F233" t="s">
        <v>3047</v>
      </c>
      <c r="H233">
        <v>1</v>
      </c>
      <c r="I233">
        <v>400000</v>
      </c>
      <c r="J233" t="s">
        <v>76</v>
      </c>
      <c r="Q233">
        <v>0</v>
      </c>
      <c r="R233">
        <v>0</v>
      </c>
      <c r="S233">
        <v>1.76</v>
      </c>
      <c r="T233">
        <v>8413252</v>
      </c>
    </row>
    <row r="234" spans="1:20" x14ac:dyDescent="0.15">
      <c r="A234" s="4" t="str">
        <f>HYPERLINK("https://ibp.a2mac1.com/costing(costing:projects/details/9760/component/8752979)","Electronic Parts")</f>
        <v>Electronic Parts</v>
      </c>
      <c r="B234">
        <v>8752979</v>
      </c>
      <c r="D234">
        <v>0</v>
      </c>
      <c r="E234">
        <v>23.016500000000001</v>
      </c>
      <c r="F234" t="s">
        <v>3157</v>
      </c>
      <c r="H234">
        <v>1</v>
      </c>
      <c r="I234">
        <v>400000</v>
      </c>
      <c r="J234" t="s">
        <v>76</v>
      </c>
      <c r="Q234">
        <v>0</v>
      </c>
      <c r="R234">
        <v>0</v>
      </c>
      <c r="S234">
        <v>23.016500000000001</v>
      </c>
      <c r="T234">
        <v>8413252</v>
      </c>
    </row>
    <row r="235" spans="1:20" x14ac:dyDescent="0.15">
      <c r="A235" s="4" t="str">
        <f>HYPERLINK("https://ibp.a2mac1.com/costing(costing:projects/details/9760/component/8752930)","Screw &gt; Hexagon screw with flange")</f>
        <v>Screw &gt; Hexagon screw with flange</v>
      </c>
      <c r="B235">
        <v>8752930</v>
      </c>
      <c r="D235">
        <v>0</v>
      </c>
      <c r="E235">
        <v>0.1</v>
      </c>
      <c r="H235">
        <v>6</v>
      </c>
      <c r="I235">
        <v>1200000</v>
      </c>
      <c r="J235" t="s">
        <v>76</v>
      </c>
      <c r="K235">
        <v>20</v>
      </c>
      <c r="L235">
        <v>13</v>
      </c>
      <c r="M235">
        <v>8</v>
      </c>
      <c r="O235">
        <v>1.6299999999999999E-2</v>
      </c>
      <c r="Q235">
        <v>0</v>
      </c>
      <c r="R235">
        <v>0</v>
      </c>
      <c r="S235">
        <v>0.6</v>
      </c>
      <c r="T235">
        <v>8412866</v>
      </c>
    </row>
    <row r="236" spans="1:20" x14ac:dyDescent="0.15">
      <c r="A236" s="4" t="str">
        <f>HYPERLINK("https://ibp.a2mac1.com/costing(costing:projects/details/9760/component/8752931)","Screw &gt; Hexagon screw with flange")</f>
        <v>Screw &gt; Hexagon screw with flange</v>
      </c>
      <c r="B236">
        <v>8752931</v>
      </c>
      <c r="D236">
        <v>0</v>
      </c>
      <c r="E236">
        <v>0.1</v>
      </c>
      <c r="H236">
        <v>6</v>
      </c>
      <c r="I236">
        <v>1200000</v>
      </c>
      <c r="J236" t="s">
        <v>76</v>
      </c>
      <c r="K236">
        <v>20</v>
      </c>
      <c r="L236">
        <v>13</v>
      </c>
      <c r="M236">
        <v>8</v>
      </c>
      <c r="O236">
        <v>1.6299999999999999E-2</v>
      </c>
      <c r="Q236">
        <v>0</v>
      </c>
      <c r="R236">
        <v>0</v>
      </c>
      <c r="S236">
        <v>0.6</v>
      </c>
      <c r="T236">
        <v>8412866</v>
      </c>
    </row>
    <row r="237" spans="1:20" x14ac:dyDescent="0.15">
      <c r="A237" s="4" t="str">
        <f>HYPERLINK("https://ibp.a2mac1.com/costing(costing:projects/details/9760/component/8752932)","Screw &gt; Hexagon screw with flange")</f>
        <v>Screw &gt; Hexagon screw with flange</v>
      </c>
      <c r="B237">
        <v>8752932</v>
      </c>
      <c r="D237">
        <v>0</v>
      </c>
      <c r="E237">
        <v>0.1</v>
      </c>
      <c r="H237">
        <v>1</v>
      </c>
      <c r="I237">
        <v>200000</v>
      </c>
      <c r="J237" t="s">
        <v>76</v>
      </c>
      <c r="K237">
        <v>20</v>
      </c>
      <c r="L237">
        <v>13</v>
      </c>
      <c r="M237">
        <v>8</v>
      </c>
      <c r="O237">
        <v>1.6E-2</v>
      </c>
      <c r="Q237">
        <v>0</v>
      </c>
      <c r="R237">
        <v>0</v>
      </c>
      <c r="S237">
        <v>0.1</v>
      </c>
      <c r="T237">
        <v>8412866</v>
      </c>
    </row>
    <row r="238" spans="1:20" x14ac:dyDescent="0.15">
      <c r="A238" s="4" t="str">
        <f>HYPERLINK("https://ibp.a2mac1.com/costing(costing:projects/details/9760/component/8752933)","Tube/cluster support &gt; Tube/cluster strap support in hole")</f>
        <v>Tube/cluster support &gt; Tube/cluster strap support in hole</v>
      </c>
      <c r="B238">
        <v>8752933</v>
      </c>
      <c r="D238">
        <v>0</v>
      </c>
      <c r="E238">
        <v>0.03</v>
      </c>
      <c r="H238">
        <v>1</v>
      </c>
      <c r="I238">
        <v>200000</v>
      </c>
      <c r="J238" t="s">
        <v>76</v>
      </c>
      <c r="K238">
        <v>8</v>
      </c>
      <c r="L238">
        <v>8</v>
      </c>
      <c r="M238">
        <v>4</v>
      </c>
      <c r="O238">
        <v>1E-3</v>
      </c>
      <c r="Q238">
        <v>0</v>
      </c>
      <c r="R238">
        <v>0</v>
      </c>
      <c r="S238">
        <v>0.03</v>
      </c>
      <c r="T238">
        <v>8412866</v>
      </c>
    </row>
    <row r="239" spans="1:20" x14ac:dyDescent="0.15">
      <c r="A239" s="4" t="str">
        <f>HYPERLINK("https://ibp.a2mac1.com/costing(costing:projects/details/9760/component/8752934)","Screw &gt; Hexagon screw with captive washer")</f>
        <v>Screw &gt; Hexagon screw with captive washer</v>
      </c>
      <c r="B239">
        <v>8752934</v>
      </c>
      <c r="D239">
        <v>0</v>
      </c>
      <c r="E239">
        <v>0.16</v>
      </c>
      <c r="H239">
        <v>4</v>
      </c>
      <c r="I239">
        <v>800000</v>
      </c>
      <c r="J239" t="s">
        <v>76</v>
      </c>
      <c r="K239">
        <v>42</v>
      </c>
      <c r="L239">
        <v>13</v>
      </c>
      <c r="M239">
        <v>8</v>
      </c>
      <c r="O239">
        <v>2.6200000000000001E-2</v>
      </c>
      <c r="Q239">
        <v>0</v>
      </c>
      <c r="R239">
        <v>0</v>
      </c>
      <c r="S239">
        <v>0.64</v>
      </c>
      <c r="T239">
        <v>8412866</v>
      </c>
    </row>
    <row r="240" spans="1:20" x14ac:dyDescent="0.15">
      <c r="A240" s="4" t="str">
        <f>HYPERLINK("https://ibp.a2mac1.com/costing(costing:projects/details/9760/component/8752984)","Pressfit Pin")</f>
        <v>Pressfit Pin</v>
      </c>
      <c r="B240">
        <v>8752984</v>
      </c>
      <c r="C240">
        <v>12084072</v>
      </c>
      <c r="D240">
        <v>0</v>
      </c>
      <c r="E240">
        <v>8.0000000000000002E-3</v>
      </c>
      <c r="F240" t="s">
        <v>3367</v>
      </c>
      <c r="H240">
        <v>3</v>
      </c>
      <c r="I240">
        <v>600000</v>
      </c>
      <c r="J240" t="s">
        <v>162</v>
      </c>
      <c r="Q240">
        <v>0</v>
      </c>
      <c r="R240">
        <v>0</v>
      </c>
      <c r="S240">
        <v>2.4000480000000001E-2</v>
      </c>
    </row>
    <row r="241" spans="1:20" x14ac:dyDescent="0.15">
      <c r="A241" s="4" t="str">
        <f>HYPERLINK("https://ibp.a2mac1.com/costing(costing:projects/details/9760/component/8752985)","Bowl Plug")</f>
        <v>Bowl Plug</v>
      </c>
      <c r="B241">
        <v>8752985</v>
      </c>
      <c r="C241">
        <v>12084072</v>
      </c>
      <c r="D241">
        <v>0</v>
      </c>
      <c r="E241">
        <v>7.0000000000000007E-2</v>
      </c>
      <c r="F241" t="s">
        <v>3369</v>
      </c>
      <c r="H241">
        <v>2</v>
      </c>
      <c r="I241">
        <v>400000</v>
      </c>
      <c r="J241" t="s">
        <v>162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0.14000280000000001</v>
      </c>
    </row>
    <row r="242" spans="1:20" x14ac:dyDescent="0.15">
      <c r="A242" s="4" t="str">
        <f>HYPERLINK("https://ibp.a2mac1.com/costing(costing:projects/details/9760/component/8752986)","Threaded plug")</f>
        <v>Threaded plug</v>
      </c>
      <c r="B242">
        <v>8752986</v>
      </c>
      <c r="C242">
        <v>12084072</v>
      </c>
      <c r="D242">
        <v>0</v>
      </c>
      <c r="E242">
        <v>0.2</v>
      </c>
      <c r="F242" t="s">
        <v>3370</v>
      </c>
      <c r="H242">
        <v>2</v>
      </c>
      <c r="I242">
        <v>400000</v>
      </c>
      <c r="J242" t="s">
        <v>162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0.40000799999999997</v>
      </c>
    </row>
    <row r="243" spans="1:20" x14ac:dyDescent="0.15">
      <c r="A243" s="4" t="str">
        <f>HYPERLINK("https://ibp.a2mac1.com/costing(costing:projects/details/9760/component/8752988)","Pressfit Pin")</f>
        <v>Pressfit Pin</v>
      </c>
      <c r="B243">
        <v>8752988</v>
      </c>
      <c r="C243">
        <v>12084073</v>
      </c>
      <c r="D243">
        <v>0</v>
      </c>
      <c r="E243">
        <v>8.0000000000000002E-3</v>
      </c>
      <c r="F243" t="s">
        <v>3376</v>
      </c>
      <c r="H243">
        <v>1</v>
      </c>
      <c r="I243">
        <v>200000</v>
      </c>
      <c r="J243" t="s">
        <v>162</v>
      </c>
      <c r="Q243">
        <v>0</v>
      </c>
      <c r="R243">
        <v>0</v>
      </c>
      <c r="S243">
        <v>8.0001599999999992E-3</v>
      </c>
    </row>
    <row r="244" spans="1:20" x14ac:dyDescent="0.15">
      <c r="A244" s="4" t="str">
        <f>HYPERLINK("https://ibp.a2mac1.com/costing(costing:projects/details/9760/component/8752989)","Bowl Plug")</f>
        <v>Bowl Plug</v>
      </c>
      <c r="B244">
        <v>8752989</v>
      </c>
      <c r="C244">
        <v>12084073</v>
      </c>
      <c r="D244">
        <v>0</v>
      </c>
      <c r="E244">
        <v>7.0000000000000007E-2</v>
      </c>
      <c r="F244" t="s">
        <v>3369</v>
      </c>
      <c r="H244">
        <v>1</v>
      </c>
      <c r="I244">
        <v>200000</v>
      </c>
      <c r="J244" t="s">
        <v>162</v>
      </c>
      <c r="K244">
        <v>0</v>
      </c>
      <c r="L244">
        <v>0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7.0001400000000005E-2</v>
      </c>
    </row>
    <row r="245" spans="1:20" x14ac:dyDescent="0.15">
      <c r="A245" s="4" t="str">
        <f>HYPERLINK("https://ibp.a2mac1.com/costing(costing:projects/details/9760/component/8752947)","Socket Screw M6x16")</f>
        <v>Socket Screw M6x16</v>
      </c>
      <c r="B245">
        <v>8752947</v>
      </c>
      <c r="D245">
        <v>0</v>
      </c>
      <c r="E245">
        <v>4.2840000000000003E-2</v>
      </c>
      <c r="F245" t="s">
        <v>3382</v>
      </c>
      <c r="H245">
        <v>4</v>
      </c>
      <c r="I245">
        <v>800000</v>
      </c>
      <c r="J245" t="s">
        <v>76</v>
      </c>
      <c r="K245">
        <v>0</v>
      </c>
      <c r="L245">
        <v>0</v>
      </c>
      <c r="M245">
        <v>0</v>
      </c>
      <c r="N245">
        <v>0</v>
      </c>
      <c r="O245">
        <v>5.96E-3</v>
      </c>
      <c r="Q245">
        <v>0</v>
      </c>
      <c r="R245">
        <v>0</v>
      </c>
      <c r="S245">
        <v>0.17136000000000001</v>
      </c>
      <c r="T245">
        <v>8413055</v>
      </c>
    </row>
    <row r="246" spans="1:20" x14ac:dyDescent="0.15">
      <c r="A246" s="4" t="str">
        <f>HYPERLINK("https://ibp.a2mac1.com/costing(costing:projects/details/9760/component/8752948)","Round head Screw M5x13")</f>
        <v>Round head Screw M5x13</v>
      </c>
      <c r="B246">
        <v>8752948</v>
      </c>
      <c r="D246">
        <v>0</v>
      </c>
      <c r="E246">
        <v>2.8379999999999999E-2</v>
      </c>
      <c r="F246" t="s">
        <v>3383</v>
      </c>
      <c r="H246">
        <v>18</v>
      </c>
      <c r="I246">
        <v>3600000</v>
      </c>
      <c r="J246" t="s">
        <v>76</v>
      </c>
      <c r="K246">
        <v>0</v>
      </c>
      <c r="L246">
        <v>0</v>
      </c>
      <c r="M246">
        <v>0</v>
      </c>
      <c r="N246">
        <v>0</v>
      </c>
      <c r="O246">
        <v>2.4399999999999999E-3</v>
      </c>
      <c r="Q246">
        <v>0</v>
      </c>
      <c r="R246">
        <v>0</v>
      </c>
      <c r="S246">
        <v>0.51083999999999996</v>
      </c>
      <c r="T246">
        <v>8413055</v>
      </c>
    </row>
    <row r="247" spans="1:20" x14ac:dyDescent="0.15">
      <c r="A247" s="4" t="str">
        <f>HYPERLINK("https://ibp.a2mac1.com/costing(costing:projects/details/9760/component/8752949)","Hex-head Bolt M8x40")</f>
        <v>Hex-head Bolt M8x40</v>
      </c>
      <c r="B247">
        <v>8752949</v>
      </c>
      <c r="D247">
        <v>0</v>
      </c>
      <c r="E247">
        <v>0.10478999999999999</v>
      </c>
      <c r="F247" t="s">
        <v>3384</v>
      </c>
      <c r="H247">
        <v>11</v>
      </c>
      <c r="I247">
        <v>2200000</v>
      </c>
      <c r="J247" t="s">
        <v>76</v>
      </c>
      <c r="K247">
        <v>0</v>
      </c>
      <c r="L247">
        <v>0</v>
      </c>
      <c r="M247">
        <v>0</v>
      </c>
      <c r="N247">
        <v>0</v>
      </c>
      <c r="O247">
        <v>2.1069999999999998E-2</v>
      </c>
      <c r="Q247">
        <v>0</v>
      </c>
      <c r="R247">
        <v>0</v>
      </c>
      <c r="S247">
        <v>1.15269</v>
      </c>
      <c r="T247">
        <v>8413055</v>
      </c>
    </row>
    <row r="248" spans="1:20" x14ac:dyDescent="0.15">
      <c r="A248" s="4" t="str">
        <f>HYPERLINK("https://ibp.a2mac1.com/costing(costing:projects/details/9760/component/8752950)","Socket Screw M5x12")</f>
        <v>Socket Screw M5x12</v>
      </c>
      <c r="B248">
        <v>8752950</v>
      </c>
      <c r="D248">
        <v>0</v>
      </c>
      <c r="E248">
        <v>3.2300000000000002E-2</v>
      </c>
      <c r="F248" t="s">
        <v>3406</v>
      </c>
      <c r="H248">
        <v>12</v>
      </c>
      <c r="I248">
        <v>2400000</v>
      </c>
      <c r="J248" t="s">
        <v>76</v>
      </c>
      <c r="K248">
        <v>0</v>
      </c>
      <c r="L248">
        <v>0</v>
      </c>
      <c r="M248">
        <v>0</v>
      </c>
      <c r="N248">
        <v>0</v>
      </c>
      <c r="O248">
        <v>3.3899999999999998E-3</v>
      </c>
      <c r="Q248">
        <v>0</v>
      </c>
      <c r="R248">
        <v>0</v>
      </c>
      <c r="S248">
        <v>0.3876</v>
      </c>
      <c r="T248">
        <v>8413056</v>
      </c>
    </row>
    <row r="249" spans="1:20" x14ac:dyDescent="0.15">
      <c r="A249" s="4" t="str">
        <f>HYPERLINK("https://ibp.a2mac1.com/costing(costing:projects/details/9760/component/8752951)","Spacer / bushing / washer; steel; &lt;=1g")</f>
        <v>Spacer / bushing / washer; steel; &lt;=1g</v>
      </c>
      <c r="B249">
        <v>8752951</v>
      </c>
      <c r="D249">
        <v>0</v>
      </c>
      <c r="E249">
        <v>2.6460000000000001E-2</v>
      </c>
      <c r="F249" t="s">
        <v>3407</v>
      </c>
      <c r="H249">
        <v>11</v>
      </c>
      <c r="I249">
        <v>2200000</v>
      </c>
      <c r="J249" t="s">
        <v>76</v>
      </c>
      <c r="K249">
        <v>0</v>
      </c>
      <c r="L249">
        <v>0</v>
      </c>
      <c r="M249">
        <v>0</v>
      </c>
      <c r="N249">
        <v>0</v>
      </c>
      <c r="O249">
        <v>4.0000000000000002E-4</v>
      </c>
      <c r="Q249">
        <v>0</v>
      </c>
      <c r="R249">
        <v>0</v>
      </c>
      <c r="S249">
        <v>0.29105999999999999</v>
      </c>
      <c r="T249">
        <v>8413056</v>
      </c>
    </row>
    <row r="250" spans="1:20" x14ac:dyDescent="0.15">
      <c r="A250" s="4" t="str">
        <f>HYPERLINK("https://ibp.a2mac1.com/costing(costing:projects/details/9760/component/8752952)","Hex-head Bolt M8x16")</f>
        <v>Hex-head Bolt M8x16</v>
      </c>
      <c r="B250">
        <v>8752952</v>
      </c>
      <c r="D250">
        <v>0</v>
      </c>
      <c r="E250">
        <v>6.5839999999999996E-2</v>
      </c>
      <c r="F250" t="s">
        <v>3408</v>
      </c>
      <c r="H250">
        <v>1</v>
      </c>
      <c r="I250">
        <v>200000</v>
      </c>
      <c r="J250" t="s">
        <v>76</v>
      </c>
      <c r="K250">
        <v>0</v>
      </c>
      <c r="L250">
        <v>0</v>
      </c>
      <c r="M250">
        <v>0</v>
      </c>
      <c r="N250">
        <v>0</v>
      </c>
      <c r="O250">
        <v>1.157E-2</v>
      </c>
      <c r="Q250">
        <v>0</v>
      </c>
      <c r="R250">
        <v>0</v>
      </c>
      <c r="S250">
        <v>6.5839999999999996E-2</v>
      </c>
      <c r="T250">
        <v>8413056</v>
      </c>
    </row>
    <row r="251" spans="1:20" x14ac:dyDescent="0.15">
      <c r="A251" s="4" t="str">
        <f>HYPERLINK("https://ibp.a2mac1.com/costing(costing:projects/details/9760/component/8752953)","Socket Screw M4x8")</f>
        <v>Socket Screw M4x8</v>
      </c>
      <c r="B251">
        <v>8752953</v>
      </c>
      <c r="D251">
        <v>0</v>
      </c>
      <c r="E251">
        <v>2.537E-2</v>
      </c>
      <c r="F251" t="s">
        <v>3409</v>
      </c>
      <c r="H251">
        <v>5</v>
      </c>
      <c r="I251">
        <v>1000000</v>
      </c>
      <c r="J251" t="s">
        <v>76</v>
      </c>
      <c r="K251">
        <v>0</v>
      </c>
      <c r="L251">
        <v>0</v>
      </c>
      <c r="M251">
        <v>0</v>
      </c>
      <c r="N251">
        <v>0</v>
      </c>
      <c r="O251">
        <v>1.6999999999999999E-3</v>
      </c>
      <c r="Q251">
        <v>0</v>
      </c>
      <c r="R251">
        <v>0</v>
      </c>
      <c r="S251">
        <v>0.12684999999999999</v>
      </c>
      <c r="T251">
        <v>8413056</v>
      </c>
    </row>
    <row r="252" spans="1:20" x14ac:dyDescent="0.15">
      <c r="A252" s="4" t="str">
        <f>HYPERLINK("https://ibp.a2mac1.com/costing(costing:projects/details/9760/component/8752954)","Flange Nut M6")</f>
        <v>Flange Nut M6</v>
      </c>
      <c r="B252">
        <v>8752954</v>
      </c>
      <c r="D252">
        <v>0</v>
      </c>
      <c r="E252">
        <v>4.2169999999999999E-2</v>
      </c>
      <c r="F252" t="s">
        <v>3410</v>
      </c>
      <c r="H252">
        <v>1</v>
      </c>
      <c r="I252">
        <v>200000</v>
      </c>
      <c r="J252" t="s">
        <v>76</v>
      </c>
      <c r="K252">
        <v>0</v>
      </c>
      <c r="L252">
        <v>0</v>
      </c>
      <c r="M252">
        <v>0</v>
      </c>
      <c r="N252">
        <v>0</v>
      </c>
      <c r="O252">
        <v>3.4499999999999999E-3</v>
      </c>
      <c r="Q252">
        <v>0</v>
      </c>
      <c r="R252">
        <v>0</v>
      </c>
      <c r="S252">
        <v>4.2169999999999999E-2</v>
      </c>
      <c r="T252">
        <v>8413056</v>
      </c>
    </row>
    <row r="253" spans="1:20" x14ac:dyDescent="0.15">
      <c r="A253" s="4" t="str">
        <f>HYPERLINK("https://ibp.a2mac1.com/costing(costing:projects/details/9760/component/8752955)","Hex-head Bolt M6x20")</f>
        <v>Hex-head Bolt M6x20</v>
      </c>
      <c r="B253">
        <v>8752955</v>
      </c>
      <c r="D253">
        <v>0</v>
      </c>
      <c r="E253">
        <v>4.6039999999999998E-2</v>
      </c>
      <c r="F253" t="s">
        <v>3411</v>
      </c>
      <c r="H253">
        <v>4</v>
      </c>
      <c r="I253">
        <v>800000</v>
      </c>
      <c r="J253" t="s">
        <v>76</v>
      </c>
      <c r="K253">
        <v>0</v>
      </c>
      <c r="L253">
        <v>0</v>
      </c>
      <c r="M253">
        <v>0</v>
      </c>
      <c r="N253">
        <v>0</v>
      </c>
      <c r="O253">
        <v>6.7400000000000003E-3</v>
      </c>
      <c r="Q253">
        <v>0</v>
      </c>
      <c r="R253">
        <v>0</v>
      </c>
      <c r="S253">
        <v>0.18415999999999999</v>
      </c>
      <c r="T253">
        <v>8413056</v>
      </c>
    </row>
    <row r="254" spans="1:20" x14ac:dyDescent="0.15">
      <c r="A254" s="4" t="str">
        <f>HYPERLINK("https://ibp.a2mac1.com/costing(costing:projects/details/9760/component/8752966)","Threaded plug")</f>
        <v>Threaded plug</v>
      </c>
      <c r="B254">
        <v>8752966</v>
      </c>
      <c r="C254">
        <v>12084067</v>
      </c>
      <c r="D254">
        <v>0</v>
      </c>
      <c r="E254">
        <v>0.2</v>
      </c>
      <c r="H254">
        <v>7</v>
      </c>
      <c r="I254">
        <v>1400000</v>
      </c>
      <c r="J254" t="s">
        <v>162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1.4</v>
      </c>
    </row>
    <row r="255" spans="1:20" x14ac:dyDescent="0.15">
      <c r="A255" s="4" t="str">
        <f>HYPERLINK("https://ibp.a2mac1.com/costing(costing:projects/details/9760/component/8752956)","Round head Screw M5x13")</f>
        <v>Round head Screw M5x13</v>
      </c>
      <c r="B255">
        <v>8752956</v>
      </c>
      <c r="D255">
        <v>0</v>
      </c>
      <c r="E255">
        <v>2.8379999999999999E-2</v>
      </c>
      <c r="F255" t="s">
        <v>3450</v>
      </c>
      <c r="H255">
        <v>20</v>
      </c>
      <c r="I255">
        <v>4000000</v>
      </c>
      <c r="J255" t="s">
        <v>76</v>
      </c>
      <c r="K255">
        <v>0</v>
      </c>
      <c r="L255">
        <v>0</v>
      </c>
      <c r="M255">
        <v>0</v>
      </c>
      <c r="N255">
        <v>0</v>
      </c>
      <c r="O255">
        <v>2.4399999999999999E-3</v>
      </c>
      <c r="Q255">
        <v>0</v>
      </c>
      <c r="R255">
        <v>0</v>
      </c>
      <c r="S255">
        <v>0.56759999999999999</v>
      </c>
      <c r="T255">
        <v>8413059</v>
      </c>
    </row>
    <row r="256" spans="1:20" x14ac:dyDescent="0.15">
      <c r="A256" s="4" t="str">
        <f>HYPERLINK("https://ibp.a2mac1.com/costing(costing:projects/details/9760/component/8752957)","Hex-head Bolt M8x40")</f>
        <v>Hex-head Bolt M8x40</v>
      </c>
      <c r="B256">
        <v>8752957</v>
      </c>
      <c r="D256">
        <v>0</v>
      </c>
      <c r="E256">
        <v>0.10478999999999999</v>
      </c>
      <c r="F256" t="s">
        <v>3451</v>
      </c>
      <c r="H256">
        <v>13</v>
      </c>
      <c r="I256">
        <v>2600000</v>
      </c>
      <c r="J256" t="s">
        <v>76</v>
      </c>
      <c r="K256">
        <v>0</v>
      </c>
      <c r="L256">
        <v>0</v>
      </c>
      <c r="M256">
        <v>0</v>
      </c>
      <c r="N256">
        <v>0</v>
      </c>
      <c r="O256">
        <v>2.1069999999999998E-2</v>
      </c>
      <c r="Q256">
        <v>0</v>
      </c>
      <c r="R256">
        <v>0</v>
      </c>
      <c r="S256">
        <v>1.3622700000000001</v>
      </c>
      <c r="T256">
        <v>8413059</v>
      </c>
    </row>
    <row r="257" spans="1:24" x14ac:dyDescent="0.15">
      <c r="A257" s="4" t="str">
        <f>HYPERLINK("https://ibp.a2mac1.com/costing(costing:projects/details/9760/component/8752958)","Socket Screw M5x12")</f>
        <v>Socket Screw M5x12</v>
      </c>
      <c r="B257">
        <v>8752958</v>
      </c>
      <c r="D257">
        <v>0</v>
      </c>
      <c r="E257">
        <v>3.2300000000000002E-2</v>
      </c>
      <c r="F257" t="s">
        <v>3468</v>
      </c>
      <c r="H257">
        <v>8</v>
      </c>
      <c r="I257">
        <v>1600000</v>
      </c>
      <c r="J257" t="s">
        <v>76</v>
      </c>
      <c r="K257">
        <v>0</v>
      </c>
      <c r="L257">
        <v>0</v>
      </c>
      <c r="M257">
        <v>0</v>
      </c>
      <c r="N257">
        <v>0</v>
      </c>
      <c r="O257">
        <v>3.3899999999999998E-3</v>
      </c>
      <c r="Q257">
        <v>0</v>
      </c>
      <c r="R257">
        <v>0</v>
      </c>
      <c r="S257">
        <v>0.25840000000000002</v>
      </c>
      <c r="T257">
        <v>8413060</v>
      </c>
    </row>
    <row r="258" spans="1:24" x14ac:dyDescent="0.15">
      <c r="A258" s="4" t="str">
        <f>HYPERLINK("https://ibp.a2mac1.com/costing(costing:projects/details/9760/component/8752959)","Socket Screw M5x10")</f>
        <v>Socket Screw M5x10</v>
      </c>
      <c r="B258">
        <v>8752959</v>
      </c>
      <c r="D258">
        <v>0</v>
      </c>
      <c r="E258">
        <v>3.1320000000000001E-2</v>
      </c>
      <c r="F258" t="s">
        <v>3469</v>
      </c>
      <c r="H258">
        <v>2</v>
      </c>
      <c r="I258">
        <v>400000</v>
      </c>
      <c r="J258" t="s">
        <v>76</v>
      </c>
      <c r="K258">
        <v>0</v>
      </c>
      <c r="L258">
        <v>0</v>
      </c>
      <c r="M258">
        <v>0</v>
      </c>
      <c r="N258">
        <v>0</v>
      </c>
      <c r="O258">
        <v>3.15E-3</v>
      </c>
      <c r="Q258">
        <v>0</v>
      </c>
      <c r="R258">
        <v>0</v>
      </c>
      <c r="S258">
        <v>6.2640000000000001E-2</v>
      </c>
      <c r="T258">
        <v>8413060</v>
      </c>
    </row>
    <row r="259" spans="1:24" x14ac:dyDescent="0.15">
      <c r="A259" s="4" t="str">
        <f>HYPERLINK("https://ibp.a2mac1.com/costing(costing:projects/details/9760/component/8752960)","Socket Screw M6x12")</f>
        <v>Socket Screw M6x12</v>
      </c>
      <c r="B259">
        <v>8752960</v>
      </c>
      <c r="D259">
        <v>0</v>
      </c>
      <c r="E259">
        <v>3.993E-2</v>
      </c>
      <c r="F259" t="s">
        <v>3470</v>
      </c>
      <c r="H259">
        <v>3</v>
      </c>
      <c r="I259">
        <v>600000</v>
      </c>
      <c r="J259" t="s">
        <v>76</v>
      </c>
      <c r="K259">
        <v>0</v>
      </c>
      <c r="L259">
        <v>0</v>
      </c>
      <c r="M259">
        <v>0</v>
      </c>
      <c r="N259">
        <v>0</v>
      </c>
      <c r="O259">
        <v>5.2500000000000003E-3</v>
      </c>
      <c r="Q259">
        <v>0</v>
      </c>
      <c r="R259">
        <v>0</v>
      </c>
      <c r="S259">
        <v>0.11978999999999999</v>
      </c>
      <c r="T259">
        <v>8413060</v>
      </c>
    </row>
    <row r="260" spans="1:24" x14ac:dyDescent="0.15">
      <c r="A260" s="4" t="str">
        <f>HYPERLINK("https://ibp.a2mac1.com/costing(costing:projects/details/9760/component/8752961)","Spacer / bushing / washer; steel; &lt;=1g")</f>
        <v>Spacer / bushing / washer; steel; &lt;=1g</v>
      </c>
      <c r="B260">
        <v>8752961</v>
      </c>
      <c r="D260">
        <v>0</v>
      </c>
      <c r="E260">
        <v>2.6460000000000001E-2</v>
      </c>
      <c r="F260" t="s">
        <v>3471</v>
      </c>
      <c r="H260">
        <v>8</v>
      </c>
      <c r="I260">
        <v>1600000</v>
      </c>
      <c r="J260" t="s">
        <v>76</v>
      </c>
      <c r="K260">
        <v>0</v>
      </c>
      <c r="L260">
        <v>0</v>
      </c>
      <c r="M260">
        <v>0</v>
      </c>
      <c r="N260">
        <v>0</v>
      </c>
      <c r="O260">
        <v>4.0000000000000002E-4</v>
      </c>
      <c r="Q260">
        <v>0</v>
      </c>
      <c r="R260">
        <v>0</v>
      </c>
      <c r="S260">
        <v>0.21168000000000001</v>
      </c>
      <c r="T260">
        <v>8413060</v>
      </c>
    </row>
    <row r="261" spans="1:24" x14ac:dyDescent="0.15">
      <c r="A261" s="4" t="str">
        <f>HYPERLINK("https://ibp.a2mac1.com/costing(costing:projects/details/9760/component/8752962)","Hex-head Bolt M8x16")</f>
        <v>Hex-head Bolt M8x16</v>
      </c>
      <c r="B261">
        <v>8752962</v>
      </c>
      <c r="D261">
        <v>0</v>
      </c>
      <c r="E261">
        <v>6.5839999999999996E-2</v>
      </c>
      <c r="F261" t="s">
        <v>3408</v>
      </c>
      <c r="H261">
        <v>1</v>
      </c>
      <c r="I261">
        <v>200000</v>
      </c>
      <c r="J261" t="s">
        <v>76</v>
      </c>
      <c r="K261">
        <v>0</v>
      </c>
      <c r="L261">
        <v>0</v>
      </c>
      <c r="M261">
        <v>0</v>
      </c>
      <c r="N261">
        <v>0</v>
      </c>
      <c r="O261">
        <v>1.157E-2</v>
      </c>
      <c r="Q261">
        <v>0</v>
      </c>
      <c r="R261">
        <v>0</v>
      </c>
      <c r="S261">
        <v>6.5839999999999996E-2</v>
      </c>
      <c r="T261">
        <v>8413060</v>
      </c>
    </row>
    <row r="262" spans="1:24" x14ac:dyDescent="0.15">
      <c r="A262" s="4" t="str">
        <f>HYPERLINK("https://ibp.a2mac1.com/costing(costing:projects/details/9760/component/8752963)","Flange Nut M8")</f>
        <v>Flange Nut M8</v>
      </c>
      <c r="B262">
        <v>8752963</v>
      </c>
      <c r="D262">
        <v>0</v>
      </c>
      <c r="E262">
        <v>6.0780000000000001E-2</v>
      </c>
      <c r="F262" t="s">
        <v>3472</v>
      </c>
      <c r="H262">
        <v>1</v>
      </c>
      <c r="I262">
        <v>200000</v>
      </c>
      <c r="J262" t="s">
        <v>76</v>
      </c>
      <c r="K262">
        <v>0</v>
      </c>
      <c r="L262">
        <v>0</v>
      </c>
      <c r="M262">
        <v>0</v>
      </c>
      <c r="N262">
        <v>0</v>
      </c>
      <c r="O262">
        <v>7.0600000000000003E-3</v>
      </c>
      <c r="Q262">
        <v>0</v>
      </c>
      <c r="R262">
        <v>0</v>
      </c>
      <c r="S262">
        <v>6.0780000000000001E-2</v>
      </c>
      <c r="T262">
        <v>8413060</v>
      </c>
    </row>
    <row r="263" spans="1:24" x14ac:dyDescent="0.15">
      <c r="A263" s="4" t="str">
        <f>HYPERLINK("https://ibp.a2mac1.com/costing(costing:projects/details/9760/component/8752964)","Socket Screw M4x8")</f>
        <v>Socket Screw M4x8</v>
      </c>
      <c r="B263">
        <v>8752964</v>
      </c>
      <c r="D263">
        <v>0</v>
      </c>
      <c r="E263">
        <v>2.537E-2</v>
      </c>
      <c r="F263" t="s">
        <v>3409</v>
      </c>
      <c r="H263">
        <v>5</v>
      </c>
      <c r="I263">
        <v>1000000</v>
      </c>
      <c r="J263" t="s">
        <v>76</v>
      </c>
      <c r="K263">
        <v>0</v>
      </c>
      <c r="L263">
        <v>0</v>
      </c>
      <c r="M263">
        <v>0</v>
      </c>
      <c r="N263">
        <v>0</v>
      </c>
      <c r="O263">
        <v>1.6999999999999999E-3</v>
      </c>
      <c r="Q263">
        <v>0</v>
      </c>
      <c r="R263">
        <v>0</v>
      </c>
      <c r="S263">
        <v>0.12684999999999999</v>
      </c>
      <c r="T263">
        <v>8413060</v>
      </c>
    </row>
    <row r="264" spans="1:24" x14ac:dyDescent="0.15">
      <c r="A264" s="4" t="str">
        <f>HYPERLINK("https://ibp.a2mac1.com/costing(costing:projects/details/9760/component/8752965)","Hex-head Bolt M6x20")</f>
        <v>Hex-head Bolt M6x20</v>
      </c>
      <c r="B264">
        <v>8752965</v>
      </c>
      <c r="D264">
        <v>0</v>
      </c>
      <c r="E264">
        <v>4.6039999999999998E-2</v>
      </c>
      <c r="F264" t="s">
        <v>3411</v>
      </c>
      <c r="H264">
        <v>4</v>
      </c>
      <c r="I264">
        <v>800000</v>
      </c>
      <c r="J264" t="s">
        <v>76</v>
      </c>
      <c r="K264">
        <v>0</v>
      </c>
      <c r="L264">
        <v>0</v>
      </c>
      <c r="M264">
        <v>0</v>
      </c>
      <c r="N264">
        <v>0</v>
      </c>
      <c r="O264">
        <v>6.7400000000000003E-3</v>
      </c>
      <c r="Q264">
        <v>0</v>
      </c>
      <c r="R264">
        <v>0</v>
      </c>
      <c r="S264">
        <v>0.18415999999999999</v>
      </c>
      <c r="T264">
        <v>8413060</v>
      </c>
    </row>
    <row r="265" spans="1:24" x14ac:dyDescent="0.15">
      <c r="A265" s="4" t="str">
        <f>HYPERLINK("https://ibp.a2mac1.com/costing(costing:projects/details/9760/component/8753003)","Y2 Capacitor")</f>
        <v>Y2 Capacitor</v>
      </c>
      <c r="B265">
        <v>8753003</v>
      </c>
      <c r="C265">
        <v>12084087</v>
      </c>
      <c r="D265">
        <v>0</v>
      </c>
      <c r="E265">
        <v>0.2</v>
      </c>
      <c r="H265">
        <v>4</v>
      </c>
      <c r="I265">
        <v>800000</v>
      </c>
      <c r="J265" t="s">
        <v>162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3485</v>
      </c>
      <c r="Q265">
        <v>0</v>
      </c>
      <c r="R265">
        <v>0</v>
      </c>
      <c r="S265">
        <v>0.69164361764199289</v>
      </c>
      <c r="X265" t="s">
        <v>9</v>
      </c>
    </row>
    <row r="266" spans="1:24" x14ac:dyDescent="0.15">
      <c r="A266" s="4" t="str">
        <f>HYPERLINK("https://ibp.a2mac1.com/costing(costing:projects/details/9760/component/8753008)","Y2 Capacitor")</f>
        <v>Y2 Capacitor</v>
      </c>
      <c r="B266">
        <v>8753008</v>
      </c>
      <c r="C266">
        <v>12084089</v>
      </c>
      <c r="D266">
        <v>0</v>
      </c>
      <c r="E266">
        <v>0.2</v>
      </c>
      <c r="H266">
        <v>4</v>
      </c>
      <c r="I266">
        <v>800000</v>
      </c>
      <c r="J266" t="s">
        <v>162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3485</v>
      </c>
      <c r="Q266">
        <v>0</v>
      </c>
      <c r="R266">
        <v>0</v>
      </c>
      <c r="S266">
        <v>0.69164361764199289</v>
      </c>
      <c r="X266" t="s">
        <v>9</v>
      </c>
    </row>
    <row r="267" spans="1:24" x14ac:dyDescent="0.15">
      <c r="A267" s="4" t="str">
        <f>HYPERLINK("https://ibp.a2mac1.com/costing(costing:projects/details/9760/component/8752939)","Hex-head Bolt M12x65")</f>
        <v>Hex-head Bolt M12x65</v>
      </c>
      <c r="B267">
        <v>8752939</v>
      </c>
      <c r="D267">
        <v>0</v>
      </c>
      <c r="E267">
        <v>0.31356000000000001</v>
      </c>
      <c r="F267" t="s">
        <v>3707</v>
      </c>
      <c r="H267">
        <v>4</v>
      </c>
      <c r="I267">
        <v>800000</v>
      </c>
      <c r="J267" t="s">
        <v>162</v>
      </c>
      <c r="K267">
        <v>0</v>
      </c>
      <c r="L267">
        <v>0</v>
      </c>
      <c r="M267">
        <v>0</v>
      </c>
      <c r="N267">
        <v>0</v>
      </c>
      <c r="O267">
        <v>7.1989999999999998E-2</v>
      </c>
      <c r="Q267">
        <v>0</v>
      </c>
      <c r="R267">
        <v>0</v>
      </c>
      <c r="S267">
        <v>1.25424</v>
      </c>
      <c r="U267">
        <v>8412969</v>
      </c>
    </row>
    <row r="268" spans="1:24" x14ac:dyDescent="0.15">
      <c r="A268" s="4" t="str">
        <f>HYPERLINK("https://ibp.a2mac1.com/costing(costing:projects/details/9760/component/8752940)","Hex-head Bolt M14x130")</f>
        <v>Hex-head Bolt M14x130</v>
      </c>
      <c r="B268">
        <v>8752940</v>
      </c>
      <c r="D268">
        <v>0</v>
      </c>
      <c r="E268">
        <v>0.75680999999999998</v>
      </c>
      <c r="F268" t="s">
        <v>1852</v>
      </c>
      <c r="H268">
        <v>1</v>
      </c>
      <c r="I268">
        <v>200000</v>
      </c>
      <c r="J268" t="s">
        <v>162</v>
      </c>
      <c r="K268">
        <v>0</v>
      </c>
      <c r="L268">
        <v>0</v>
      </c>
      <c r="M268">
        <v>0</v>
      </c>
      <c r="N268">
        <v>0</v>
      </c>
      <c r="O268">
        <v>0.18010000000000001</v>
      </c>
      <c r="Q268">
        <v>0</v>
      </c>
      <c r="R268">
        <v>0</v>
      </c>
      <c r="S268">
        <v>0.75680999999999998</v>
      </c>
      <c r="U268">
        <v>8412969</v>
      </c>
    </row>
    <row r="269" spans="1:24" x14ac:dyDescent="0.15">
      <c r="A269" s="4" t="str">
        <f>HYPERLINK("https://ibp.a2mac1.com/costing(costing:projects/details/9760/component/8752941)","Hex-head Bolt M14x130")</f>
        <v>Hex-head Bolt M14x130</v>
      </c>
      <c r="B269">
        <v>8752941</v>
      </c>
      <c r="D269">
        <v>0</v>
      </c>
      <c r="E269">
        <v>0.75680999999999998</v>
      </c>
      <c r="F269" t="s">
        <v>1852</v>
      </c>
      <c r="H269">
        <v>1</v>
      </c>
      <c r="I269">
        <v>200000</v>
      </c>
      <c r="J269" t="s">
        <v>162</v>
      </c>
      <c r="K269">
        <v>0</v>
      </c>
      <c r="L269">
        <v>0</v>
      </c>
      <c r="M269">
        <v>0</v>
      </c>
      <c r="N269">
        <v>0</v>
      </c>
      <c r="O269">
        <v>0.18010000000000001</v>
      </c>
      <c r="Q269">
        <v>0</v>
      </c>
      <c r="R269">
        <v>0</v>
      </c>
      <c r="S269">
        <v>0.75680999999999998</v>
      </c>
      <c r="U269">
        <v>8412970</v>
      </c>
    </row>
    <row r="270" spans="1:24" x14ac:dyDescent="0.15">
      <c r="A270" s="4" t="str">
        <f>HYPERLINK("https://ibp.a2mac1.com/costing(costing:projects/details/9760/component/8752942)","Hex-head Bolt M12x65")</f>
        <v>Hex-head Bolt M12x65</v>
      </c>
      <c r="B270">
        <v>8752942</v>
      </c>
      <c r="D270">
        <v>0</v>
      </c>
      <c r="E270">
        <v>0.31356000000000001</v>
      </c>
      <c r="F270" t="s">
        <v>3707</v>
      </c>
      <c r="H270">
        <v>4</v>
      </c>
      <c r="I270">
        <v>800000</v>
      </c>
      <c r="J270" t="s">
        <v>162</v>
      </c>
      <c r="K270">
        <v>0</v>
      </c>
      <c r="L270">
        <v>0</v>
      </c>
      <c r="M270">
        <v>0</v>
      </c>
      <c r="N270">
        <v>0</v>
      </c>
      <c r="O270">
        <v>7.1989999999999998E-2</v>
      </c>
      <c r="Q270">
        <v>0</v>
      </c>
      <c r="R270">
        <v>0</v>
      </c>
      <c r="S270">
        <v>1.25424</v>
      </c>
      <c r="U270">
        <v>8412970</v>
      </c>
    </row>
    <row r="271" spans="1:24" x14ac:dyDescent="0.15">
      <c r="A271" s="4" t="str">
        <f>HYPERLINK("https://ibp.a2mac1.com/costing(costing:projects/details/9760/component/8752943)","Hex-head Bolt M12x65")</f>
        <v>Hex-head Bolt M12x65</v>
      </c>
      <c r="B271">
        <v>8752943</v>
      </c>
      <c r="D271">
        <v>0</v>
      </c>
      <c r="E271">
        <v>0.31356000000000001</v>
      </c>
      <c r="F271" t="s">
        <v>3707</v>
      </c>
      <c r="H271">
        <v>3</v>
      </c>
      <c r="I271">
        <v>600000</v>
      </c>
      <c r="J271" t="s">
        <v>162</v>
      </c>
      <c r="K271">
        <v>0</v>
      </c>
      <c r="L271">
        <v>0</v>
      </c>
      <c r="M271">
        <v>0</v>
      </c>
      <c r="N271">
        <v>0</v>
      </c>
      <c r="O271">
        <v>7.1989999999999998E-2</v>
      </c>
      <c r="Q271">
        <v>0</v>
      </c>
      <c r="R271">
        <v>0</v>
      </c>
      <c r="S271">
        <v>0.94067999999999996</v>
      </c>
      <c r="U271">
        <v>8412971</v>
      </c>
    </row>
    <row r="272" spans="1:24" x14ac:dyDescent="0.15">
      <c r="A272" s="4" t="str">
        <f>HYPERLINK("https://ibp.a2mac1.com/costing(costing:projects/details/9760/component/8752944)","Hex-head Bolt M14x130")</f>
        <v>Hex-head Bolt M14x130</v>
      </c>
      <c r="B272">
        <v>8752944</v>
      </c>
      <c r="D272">
        <v>0</v>
      </c>
      <c r="E272">
        <v>0.75680999999999998</v>
      </c>
      <c r="F272" t="s">
        <v>1852</v>
      </c>
      <c r="H272">
        <v>1</v>
      </c>
      <c r="I272">
        <v>200000</v>
      </c>
      <c r="J272" t="s">
        <v>162</v>
      </c>
      <c r="K272">
        <v>0</v>
      </c>
      <c r="L272">
        <v>0</v>
      </c>
      <c r="M272">
        <v>0</v>
      </c>
      <c r="N272">
        <v>0</v>
      </c>
      <c r="O272">
        <v>0.18010000000000001</v>
      </c>
      <c r="Q272">
        <v>0</v>
      </c>
      <c r="R272">
        <v>0</v>
      </c>
      <c r="S272">
        <v>0.75680999999999998</v>
      </c>
      <c r="U272">
        <v>8412971</v>
      </c>
    </row>
    <row r="273" spans="1:21" x14ac:dyDescent="0.15">
      <c r="A273" s="4" t="str">
        <f>HYPERLINK("https://ibp.a2mac1.com/costing(costing:projects/details/9760/component/8752945)","Hex-head Bolt M8x25")</f>
        <v>Hex-head Bolt M8x25</v>
      </c>
      <c r="B273">
        <v>8752945</v>
      </c>
      <c r="D273">
        <v>0</v>
      </c>
      <c r="E273">
        <v>7.9240000000000005E-2</v>
      </c>
      <c r="F273" t="s">
        <v>3715</v>
      </c>
      <c r="H273">
        <v>3</v>
      </c>
      <c r="I273">
        <v>600000</v>
      </c>
      <c r="J273" t="s">
        <v>162</v>
      </c>
      <c r="K273">
        <v>0</v>
      </c>
      <c r="L273">
        <v>0</v>
      </c>
      <c r="M273">
        <v>0</v>
      </c>
      <c r="N273">
        <v>0</v>
      </c>
      <c r="O273">
        <v>1.4840000000000001E-2</v>
      </c>
      <c r="Q273">
        <v>0</v>
      </c>
      <c r="R273">
        <v>0</v>
      </c>
      <c r="S273">
        <v>0.23771999999999999</v>
      </c>
      <c r="U273">
        <v>8412972</v>
      </c>
    </row>
    <row r="274" spans="1:21" x14ac:dyDescent="0.15">
      <c r="A274" s="4" t="str">
        <f>HYPERLINK("https://ibp.a2mac1.com/costing(costing:projects/details/9760/component/8754080)","Copper")</f>
        <v>Copper</v>
      </c>
      <c r="B274">
        <v>8754080</v>
      </c>
      <c r="D274">
        <v>0</v>
      </c>
      <c r="E274">
        <v>0.26</v>
      </c>
      <c r="H274">
        <v>1</v>
      </c>
      <c r="I274">
        <v>200000</v>
      </c>
      <c r="J274" t="s">
        <v>76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0.26</v>
      </c>
      <c r="T274">
        <v>8415088</v>
      </c>
    </row>
    <row r="275" spans="1:21" x14ac:dyDescent="0.15">
      <c r="A275" s="4" t="str">
        <f>HYPERLINK("https://ibp.a2mac1.com/costing(costing:projects/details/9760/component/8754081)","Material")</f>
        <v>Material</v>
      </c>
      <c r="B275">
        <v>8754081</v>
      </c>
      <c r="D275">
        <v>0</v>
      </c>
      <c r="E275">
        <v>1.63</v>
      </c>
      <c r="F275" t="s">
        <v>319</v>
      </c>
      <c r="H275">
        <v>1</v>
      </c>
      <c r="I275">
        <v>200000</v>
      </c>
      <c r="J275" t="s">
        <v>76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320</v>
      </c>
      <c r="Q275">
        <v>0</v>
      </c>
      <c r="R275">
        <v>0</v>
      </c>
      <c r="S275">
        <v>1.6008875402793272</v>
      </c>
      <c r="T275">
        <v>8415088</v>
      </c>
    </row>
    <row r="276" spans="1:21" x14ac:dyDescent="0.15">
      <c r="A276" s="4" t="str">
        <f>HYPERLINK("https://ibp.a2mac1.com/costing(costing:projects/details/9760/component/8753903)","Mechanics")</f>
        <v>Mechanics</v>
      </c>
      <c r="B276">
        <v>8753903</v>
      </c>
      <c r="D276">
        <v>0</v>
      </c>
      <c r="E276">
        <v>2.16</v>
      </c>
      <c r="F276" t="s">
        <v>3881</v>
      </c>
      <c r="H276">
        <v>1</v>
      </c>
      <c r="I276">
        <v>200000</v>
      </c>
      <c r="J276" t="s">
        <v>76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362</v>
      </c>
      <c r="Q276">
        <v>0</v>
      </c>
      <c r="R276">
        <v>0</v>
      </c>
      <c r="S276">
        <v>2.1210675710568374</v>
      </c>
      <c r="T276">
        <v>8414976</v>
      </c>
    </row>
    <row r="277" spans="1:21" x14ac:dyDescent="0.15">
      <c r="A277" s="4" t="str">
        <f>HYPERLINK("https://ibp.a2mac1.com/costing(costing:projects/details/9760/component/8753904)","Electronics")</f>
        <v>Electronics</v>
      </c>
      <c r="B277">
        <v>8753904</v>
      </c>
      <c r="D277">
        <v>0</v>
      </c>
      <c r="E277">
        <v>20.47</v>
      </c>
      <c r="F277" t="s">
        <v>3882</v>
      </c>
      <c r="H277">
        <v>1</v>
      </c>
      <c r="I277">
        <v>200000</v>
      </c>
      <c r="J277" t="s">
        <v>76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364</v>
      </c>
      <c r="Q277">
        <v>0</v>
      </c>
      <c r="R277">
        <v>0</v>
      </c>
      <c r="S277">
        <v>19.209553333874766</v>
      </c>
      <c r="T277">
        <v>8414976</v>
      </c>
    </row>
    <row r="278" spans="1:21" x14ac:dyDescent="0.15">
      <c r="A278" s="4" t="str">
        <f>HYPERLINK("https://ibp.a2mac1.com/costing(costing:projects/details/9760/component/8753905)","Electronics")</f>
        <v>Electronics</v>
      </c>
      <c r="B278">
        <v>8753905</v>
      </c>
      <c r="D278">
        <v>0</v>
      </c>
      <c r="E278">
        <v>7.13</v>
      </c>
      <c r="F278" t="s">
        <v>363</v>
      </c>
      <c r="H278">
        <v>1</v>
      </c>
      <c r="I278">
        <v>200000</v>
      </c>
      <c r="J278" t="s">
        <v>76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364</v>
      </c>
      <c r="Q278">
        <v>0</v>
      </c>
      <c r="R278">
        <v>0</v>
      </c>
      <c r="S278">
        <v>6.6909680151698625</v>
      </c>
      <c r="T278">
        <v>8414979</v>
      </c>
    </row>
    <row r="279" spans="1:21" x14ac:dyDescent="0.15">
      <c r="A279" s="4" t="str">
        <f>HYPERLINK("https://ibp.a2mac1.com/costing(costing:projects/details/9760/component/8753906)","Mechanics")</f>
        <v>Mechanics</v>
      </c>
      <c r="B279">
        <v>8753906</v>
      </c>
      <c r="D279">
        <v>0</v>
      </c>
      <c r="E279">
        <v>4.8499999999999996</v>
      </c>
      <c r="F279" t="s">
        <v>3886</v>
      </c>
      <c r="H279">
        <v>1</v>
      </c>
      <c r="I279">
        <v>200000</v>
      </c>
      <c r="J279" t="s">
        <v>76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362</v>
      </c>
      <c r="Q279">
        <v>0</v>
      </c>
      <c r="R279">
        <v>0</v>
      </c>
      <c r="S279">
        <v>4.7625822776044728</v>
      </c>
      <c r="T279">
        <v>8414979</v>
      </c>
    </row>
    <row r="280" spans="1:21" x14ac:dyDescent="0.15">
      <c r="A280" s="4" t="str">
        <f>HYPERLINK("https://ibp.a2mac1.com/costing(costing:projects/details/9760/component/8753907)","Electronics")</f>
        <v>Electronics</v>
      </c>
      <c r="B280">
        <v>8753907</v>
      </c>
      <c r="D280">
        <v>0</v>
      </c>
      <c r="E280">
        <v>246.81</v>
      </c>
      <c r="F280" t="s">
        <v>3908</v>
      </c>
      <c r="H280">
        <v>1</v>
      </c>
      <c r="I280">
        <v>200000</v>
      </c>
      <c r="J280" t="s">
        <v>76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364</v>
      </c>
      <c r="Q280">
        <v>0</v>
      </c>
      <c r="R280">
        <v>0</v>
      </c>
      <c r="S280">
        <v>231.61259688977194</v>
      </c>
      <c r="T280">
        <v>8414981</v>
      </c>
    </row>
    <row r="281" spans="1:21" x14ac:dyDescent="0.15">
      <c r="A281" s="4" t="str">
        <f>HYPERLINK("https://ibp.a2mac1.com/costing(costing:projects/details/9760/component/8753908)","Mechanics")</f>
        <v>Mechanics</v>
      </c>
      <c r="B281">
        <v>8753908</v>
      </c>
      <c r="D281">
        <v>0</v>
      </c>
      <c r="E281">
        <v>11</v>
      </c>
      <c r="F281" t="s">
        <v>3909</v>
      </c>
      <c r="H281">
        <v>1</v>
      </c>
      <c r="I281">
        <v>200000</v>
      </c>
      <c r="J281" t="s">
        <v>76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362</v>
      </c>
      <c r="Q281">
        <v>0</v>
      </c>
      <c r="R281">
        <v>0</v>
      </c>
      <c r="S281">
        <v>10.801733000752412</v>
      </c>
      <c r="T281">
        <v>8414981</v>
      </c>
    </row>
    <row r="282" spans="1:21" x14ac:dyDescent="0.15">
      <c r="A282" s="4" t="str">
        <f>HYPERLINK("https://ibp.a2mac1.com/costing(costing:projects/details/9760/component/8753909)","Mechanics")</f>
        <v>Mechanics</v>
      </c>
      <c r="B282">
        <v>8753909</v>
      </c>
      <c r="D282">
        <v>0</v>
      </c>
      <c r="E282">
        <v>3.46</v>
      </c>
      <c r="F282" t="s">
        <v>361</v>
      </c>
      <c r="H282">
        <v>1</v>
      </c>
      <c r="I282">
        <v>200000</v>
      </c>
      <c r="J282" t="s">
        <v>76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362</v>
      </c>
      <c r="Q282">
        <v>0</v>
      </c>
      <c r="R282">
        <v>0</v>
      </c>
      <c r="S282">
        <v>3.3976360166003041</v>
      </c>
      <c r="T282">
        <v>8414987</v>
      </c>
    </row>
    <row r="283" spans="1:21" x14ac:dyDescent="0.15">
      <c r="A283" s="4" t="str">
        <f>HYPERLINK("https://ibp.a2mac1.com/costing(costing:projects/details/9760/component/8753910)","Electronics")</f>
        <v>Electronics</v>
      </c>
      <c r="B283">
        <v>8753910</v>
      </c>
      <c r="D283">
        <v>0</v>
      </c>
      <c r="E283">
        <v>9.1159999999999997</v>
      </c>
      <c r="F283" t="s">
        <v>363</v>
      </c>
      <c r="H283">
        <v>1</v>
      </c>
      <c r="I283">
        <v>200000</v>
      </c>
      <c r="J283" t="s">
        <v>76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364</v>
      </c>
      <c r="Q283">
        <v>0</v>
      </c>
      <c r="R283">
        <v>0</v>
      </c>
      <c r="S283">
        <v>8.5546794426772053</v>
      </c>
      <c r="T283">
        <v>8414987</v>
      </c>
    </row>
    <row r="284" spans="1:21" x14ac:dyDescent="0.15">
      <c r="A284" s="4" t="str">
        <f>HYPERLINK("https://ibp.a2mac1.com/costing(costing:projects/details/9760/component/8753911)","Electronics")</f>
        <v>Electronics</v>
      </c>
      <c r="B284">
        <v>8753911</v>
      </c>
      <c r="D284">
        <v>0</v>
      </c>
      <c r="E284">
        <v>14.36</v>
      </c>
      <c r="F284" t="s">
        <v>3908</v>
      </c>
      <c r="H284">
        <v>1</v>
      </c>
      <c r="I284">
        <v>200000</v>
      </c>
      <c r="J284" t="s">
        <v>76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364</v>
      </c>
      <c r="Q284">
        <v>0</v>
      </c>
      <c r="R284">
        <v>0</v>
      </c>
      <c r="S284">
        <v>13.475778498995684</v>
      </c>
      <c r="T284">
        <v>8414988</v>
      </c>
    </row>
    <row r="285" spans="1:21" x14ac:dyDescent="0.15">
      <c r="A285" s="4" t="str">
        <f>HYPERLINK("https://ibp.a2mac1.com/costing(costing:projects/details/9760/component/8753912)","Mechanics")</f>
        <v>Mechanics</v>
      </c>
      <c r="B285">
        <v>8753912</v>
      </c>
      <c r="D285">
        <v>0</v>
      </c>
      <c r="E285">
        <v>0.67</v>
      </c>
      <c r="F285" t="s">
        <v>361</v>
      </c>
      <c r="H285">
        <v>1</v>
      </c>
      <c r="I285">
        <v>200000</v>
      </c>
      <c r="J285" t="s">
        <v>76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362</v>
      </c>
      <c r="Q285">
        <v>0</v>
      </c>
      <c r="R285">
        <v>0</v>
      </c>
      <c r="S285">
        <v>0.65792373731855602</v>
      </c>
      <c r="T285">
        <v>8414988</v>
      </c>
    </row>
    <row r="286" spans="1:21" x14ac:dyDescent="0.15">
      <c r="A286" s="4" t="str">
        <f>HYPERLINK("https://ibp.a2mac1.com/costing(costing:projects/details/9760/component/8753913)","Electronics")</f>
        <v>Electronics</v>
      </c>
      <c r="B286">
        <v>8753913</v>
      </c>
      <c r="D286">
        <v>0</v>
      </c>
      <c r="E286">
        <v>5.43</v>
      </c>
      <c r="F286" t="s">
        <v>363</v>
      </c>
      <c r="H286">
        <v>1</v>
      </c>
      <c r="I286">
        <v>200000</v>
      </c>
      <c r="J286" t="s">
        <v>76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364</v>
      </c>
      <c r="Q286">
        <v>0</v>
      </c>
      <c r="R286">
        <v>0</v>
      </c>
      <c r="S286">
        <v>5.0956460480185628</v>
      </c>
      <c r="T286">
        <v>8414989</v>
      </c>
    </row>
    <row r="287" spans="1:21" x14ac:dyDescent="0.15">
      <c r="A287" s="4" t="str">
        <f>HYPERLINK("https://ibp.a2mac1.com/costing(costing:projects/details/9760/component/8753914)","Mechanics")</f>
        <v>Mechanics</v>
      </c>
      <c r="B287">
        <v>8753914</v>
      </c>
      <c r="D287">
        <v>0</v>
      </c>
      <c r="E287">
        <v>2.61</v>
      </c>
      <c r="F287" t="s">
        <v>361</v>
      </c>
      <c r="H287">
        <v>1</v>
      </c>
      <c r="I287">
        <v>200000</v>
      </c>
      <c r="J287" t="s">
        <v>76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362</v>
      </c>
      <c r="Q287">
        <v>0</v>
      </c>
      <c r="R287">
        <v>0</v>
      </c>
      <c r="S287">
        <v>2.5629566483603452</v>
      </c>
      <c r="T287">
        <v>8414989</v>
      </c>
    </row>
    <row r="288" spans="1:21" x14ac:dyDescent="0.15">
      <c r="A288" s="4" t="str">
        <f>HYPERLINK("https://ibp.a2mac1.com/costing(costing:projects/details/9760/component/8753915)","Electronics")</f>
        <v>Electronics</v>
      </c>
      <c r="B288">
        <v>8753915</v>
      </c>
      <c r="D288">
        <v>0</v>
      </c>
      <c r="E288">
        <v>25.76</v>
      </c>
      <c r="F288" t="s">
        <v>363</v>
      </c>
      <c r="H288">
        <v>1</v>
      </c>
      <c r="I288">
        <v>200000</v>
      </c>
      <c r="J288" t="s">
        <v>76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364</v>
      </c>
      <c r="Q288">
        <v>0</v>
      </c>
      <c r="R288">
        <v>0</v>
      </c>
      <c r="S288">
        <v>24.173819925774989</v>
      </c>
      <c r="T288">
        <v>8414992</v>
      </c>
    </row>
    <row r="289" spans="1:21" x14ac:dyDescent="0.15">
      <c r="A289" s="4" t="str">
        <f>HYPERLINK("https://ibp.a2mac1.com/costing(costing:projects/details/9760/component/8753916)","Mechanics")</f>
        <v>Mechanics</v>
      </c>
      <c r="B289">
        <v>8753916</v>
      </c>
      <c r="D289">
        <v>0</v>
      </c>
      <c r="E289">
        <v>38.9</v>
      </c>
      <c r="F289" t="s">
        <v>3950</v>
      </c>
      <c r="H289">
        <v>1</v>
      </c>
      <c r="I289">
        <v>200000</v>
      </c>
      <c r="J289" t="s">
        <v>76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362</v>
      </c>
      <c r="Q289">
        <v>0</v>
      </c>
      <c r="R289">
        <v>0</v>
      </c>
      <c r="S289">
        <v>38.198855793569891</v>
      </c>
      <c r="T289">
        <v>8414992</v>
      </c>
    </row>
    <row r="290" spans="1:21" x14ac:dyDescent="0.15">
      <c r="A290" s="4" t="str">
        <f>HYPERLINK("https://ibp.a2mac1.com/costing(costing:projects/details/9760/component/8753801)","Panel holder &gt; Clips on stud")</f>
        <v>Panel holder &gt; Clips on stud</v>
      </c>
      <c r="B290">
        <v>8753801</v>
      </c>
      <c r="D290">
        <v>0</v>
      </c>
      <c r="E290">
        <v>0.01</v>
      </c>
      <c r="H290">
        <v>1</v>
      </c>
      <c r="I290">
        <v>200000</v>
      </c>
      <c r="J290" t="s">
        <v>76</v>
      </c>
      <c r="K290">
        <v>27</v>
      </c>
      <c r="L290">
        <v>7</v>
      </c>
      <c r="M290">
        <v>26</v>
      </c>
      <c r="O290">
        <v>1E-3</v>
      </c>
      <c r="Q290">
        <v>0</v>
      </c>
      <c r="R290">
        <v>0</v>
      </c>
      <c r="S290">
        <v>0.01</v>
      </c>
      <c r="T290">
        <v>8414761</v>
      </c>
    </row>
    <row r="291" spans="1:21" x14ac:dyDescent="0.15">
      <c r="A291" s="4" t="str">
        <f>HYPERLINK("https://ibp.a2mac1.com/costing(costing:projects/details/9760/component/8753802)","Panel holder &gt; Clips on stud")</f>
        <v>Panel holder &gt; Clips on stud</v>
      </c>
      <c r="B291">
        <v>8753802</v>
      </c>
      <c r="D291">
        <v>0</v>
      </c>
      <c r="E291">
        <v>0.01</v>
      </c>
      <c r="H291">
        <v>1</v>
      </c>
      <c r="I291">
        <v>200000</v>
      </c>
      <c r="J291" t="s">
        <v>76</v>
      </c>
      <c r="K291">
        <v>27</v>
      </c>
      <c r="L291">
        <v>7</v>
      </c>
      <c r="M291">
        <v>26</v>
      </c>
      <c r="O291">
        <v>1E-3</v>
      </c>
      <c r="Q291">
        <v>0</v>
      </c>
      <c r="R291">
        <v>0</v>
      </c>
      <c r="S291">
        <v>0.01</v>
      </c>
      <c r="T291">
        <v>8414761</v>
      </c>
    </row>
    <row r="292" spans="1:21" x14ac:dyDescent="0.15">
      <c r="A292" s="4" t="str">
        <f>HYPERLINK("https://ibp.a2mac1.com/costing(costing:projects/details/9760/component/8753798)","Panel holder &gt; Clips on stud")</f>
        <v>Panel holder &gt; Clips on stud</v>
      </c>
      <c r="B292">
        <v>8753798</v>
      </c>
      <c r="D292">
        <v>0</v>
      </c>
      <c r="E292">
        <v>0.02</v>
      </c>
      <c r="H292">
        <v>8</v>
      </c>
      <c r="I292">
        <v>1600000</v>
      </c>
      <c r="J292" t="s">
        <v>162</v>
      </c>
      <c r="K292">
        <v>9</v>
      </c>
      <c r="L292">
        <v>5</v>
      </c>
      <c r="M292">
        <v>25</v>
      </c>
      <c r="O292">
        <v>1.2999999999999999E-3</v>
      </c>
      <c r="Q292">
        <v>0</v>
      </c>
      <c r="R292">
        <v>0</v>
      </c>
      <c r="S292">
        <v>0.16</v>
      </c>
      <c r="U292">
        <v>8414747</v>
      </c>
    </row>
    <row r="293" spans="1:21" x14ac:dyDescent="0.15">
      <c r="A293" s="4" t="str">
        <f>HYPERLINK("https://ibp.a2mac1.com/costing(costing:projects/details/9760/component/8753799)","Washer &gt; Lock interior washer")</f>
        <v>Washer &gt; Lock interior washer</v>
      </c>
      <c r="B293">
        <v>8753799</v>
      </c>
      <c r="D293">
        <v>0</v>
      </c>
      <c r="E293">
        <v>0.03</v>
      </c>
      <c r="H293">
        <v>5</v>
      </c>
      <c r="I293">
        <v>1000000</v>
      </c>
      <c r="J293" t="s">
        <v>162</v>
      </c>
      <c r="K293">
        <v>1</v>
      </c>
      <c r="L293">
        <v>30</v>
      </c>
      <c r="M293">
        <v>4</v>
      </c>
      <c r="O293">
        <v>2.3999999999999998E-3</v>
      </c>
      <c r="Q293">
        <v>0</v>
      </c>
      <c r="R293">
        <v>0</v>
      </c>
      <c r="S293">
        <v>0.15</v>
      </c>
      <c r="U293">
        <v>8414748</v>
      </c>
    </row>
    <row r="294" spans="1:21" x14ac:dyDescent="0.15">
      <c r="A294" s="4" t="str">
        <f>HYPERLINK("https://ibp.a2mac1.com/costing(costing:projects/details/9760/component/8753800)","Washer &gt; Lock interior washer")</f>
        <v>Washer &gt; Lock interior washer</v>
      </c>
      <c r="B294">
        <v>8753800</v>
      </c>
      <c r="D294">
        <v>0</v>
      </c>
      <c r="E294">
        <v>0.01</v>
      </c>
      <c r="H294">
        <v>8</v>
      </c>
      <c r="I294">
        <v>1600000</v>
      </c>
      <c r="J294" t="s">
        <v>76</v>
      </c>
      <c r="K294">
        <v>1</v>
      </c>
      <c r="L294">
        <v>18</v>
      </c>
      <c r="M294">
        <v>6</v>
      </c>
      <c r="O294">
        <v>8.0000000000000004E-4</v>
      </c>
      <c r="Q294">
        <v>0</v>
      </c>
      <c r="R294">
        <v>0</v>
      </c>
      <c r="S294">
        <v>0.08</v>
      </c>
      <c r="U294">
        <v>8414758</v>
      </c>
    </row>
    <row r="295" spans="1:21" x14ac:dyDescent="0.15">
      <c r="A295" s="4" t="str">
        <f>HYPERLINK("https://ibp.a2mac1.com/costing(costing:projects/details/9760/component/8753803)","Screw &gt; Hexagon screw with captive washer")</f>
        <v>Screw &gt; Hexagon screw with captive washer</v>
      </c>
      <c r="B295">
        <v>8753803</v>
      </c>
      <c r="D295">
        <v>0</v>
      </c>
      <c r="E295">
        <v>0.06</v>
      </c>
      <c r="H295">
        <v>6</v>
      </c>
      <c r="I295">
        <v>1200000</v>
      </c>
      <c r="J295" t="s">
        <v>76</v>
      </c>
      <c r="K295">
        <v>24</v>
      </c>
      <c r="L295">
        <v>10</v>
      </c>
      <c r="M295">
        <v>6</v>
      </c>
      <c r="O295">
        <v>6.3E-3</v>
      </c>
      <c r="Q295">
        <v>0</v>
      </c>
      <c r="R295">
        <v>0</v>
      </c>
      <c r="S295">
        <v>0.36</v>
      </c>
      <c r="T295">
        <v>8414772</v>
      </c>
    </row>
    <row r="296" spans="1:21" x14ac:dyDescent="0.15">
      <c r="A296" s="4" t="str">
        <f>HYPERLINK("https://ibp.a2mac1.com/costing(costing:projects/details/9760/component/8753804)","Panel holder &gt; Clips in rectangular hole")</f>
        <v>Panel holder &gt; Clips in rectangular hole</v>
      </c>
      <c r="B296">
        <v>8753804</v>
      </c>
      <c r="D296">
        <v>0</v>
      </c>
      <c r="E296">
        <v>0.03</v>
      </c>
      <c r="H296">
        <v>3</v>
      </c>
      <c r="I296">
        <v>600000</v>
      </c>
      <c r="J296" t="s">
        <v>76</v>
      </c>
      <c r="K296">
        <v>2</v>
      </c>
      <c r="L296">
        <v>16</v>
      </c>
      <c r="M296">
        <v>6</v>
      </c>
      <c r="O296">
        <v>1E-3</v>
      </c>
      <c r="Q296">
        <v>0</v>
      </c>
      <c r="R296">
        <v>0</v>
      </c>
      <c r="S296">
        <v>0.09</v>
      </c>
      <c r="T296">
        <v>8414772</v>
      </c>
    </row>
    <row r="297" spans="1:21" x14ac:dyDescent="0.15">
      <c r="A297" s="4" t="str">
        <f>HYPERLINK("https://ibp.a2mac1.com/costing(costing:projects/details/9760/component/8753805)","Panel holder &gt; Clips in rectangular hole")</f>
        <v>Panel holder &gt; Clips in rectangular hole</v>
      </c>
      <c r="B297">
        <v>8753805</v>
      </c>
      <c r="D297">
        <v>0</v>
      </c>
      <c r="E297">
        <v>0.03</v>
      </c>
      <c r="H297">
        <v>14</v>
      </c>
      <c r="I297">
        <v>2800000</v>
      </c>
      <c r="J297" t="s">
        <v>76</v>
      </c>
      <c r="K297">
        <v>2</v>
      </c>
      <c r="L297">
        <v>16</v>
      </c>
      <c r="M297">
        <v>6</v>
      </c>
      <c r="O297">
        <v>1E-3</v>
      </c>
      <c r="Q297">
        <v>0</v>
      </c>
      <c r="R297">
        <v>0</v>
      </c>
      <c r="S297">
        <v>0.42</v>
      </c>
      <c r="T297">
        <v>8414772</v>
      </c>
    </row>
    <row r="298" spans="1:21" x14ac:dyDescent="0.15">
      <c r="A298" s="4" t="str">
        <f>HYPERLINK("https://ibp.a2mac1.com/costing(costing:projects/details/9760/component/8753806)","Screw &gt; Torx socket head cap screw with flange")</f>
        <v>Screw &gt; Torx socket head cap screw with flange</v>
      </c>
      <c r="B298">
        <v>8753806</v>
      </c>
      <c r="D298">
        <v>0</v>
      </c>
      <c r="E298">
        <v>0.03</v>
      </c>
      <c r="H298">
        <v>2</v>
      </c>
      <c r="I298">
        <v>400000</v>
      </c>
      <c r="J298" t="s">
        <v>76</v>
      </c>
      <c r="K298">
        <v>12</v>
      </c>
      <c r="L298">
        <v>4</v>
      </c>
      <c r="M298">
        <v>4</v>
      </c>
      <c r="O298">
        <v>1.5E-3</v>
      </c>
      <c r="Q298">
        <v>0</v>
      </c>
      <c r="R298">
        <v>0</v>
      </c>
      <c r="S298">
        <v>0.06</v>
      </c>
      <c r="T298">
        <v>8414772</v>
      </c>
    </row>
    <row r="299" spans="1:21" x14ac:dyDescent="0.15">
      <c r="A299" s="4" t="str">
        <f>HYPERLINK("https://ibp.a2mac1.com/costing(costing:projects/details/9760/component/8753866)","Screw &gt; Torx socket head cap screw with flange")</f>
        <v>Screw &gt; Torx socket head cap screw with flange</v>
      </c>
      <c r="B299">
        <v>8753866</v>
      </c>
      <c r="D299">
        <v>0</v>
      </c>
      <c r="E299">
        <v>0.03</v>
      </c>
      <c r="H299">
        <v>5</v>
      </c>
      <c r="I299">
        <v>1000000</v>
      </c>
      <c r="J299" t="s">
        <v>76</v>
      </c>
      <c r="K299">
        <v>12</v>
      </c>
      <c r="L299">
        <v>4</v>
      </c>
      <c r="M299">
        <v>4</v>
      </c>
      <c r="O299">
        <v>1.6000000000000001E-3</v>
      </c>
      <c r="Q299">
        <v>0</v>
      </c>
      <c r="R299">
        <v>0</v>
      </c>
      <c r="S299">
        <v>0.15</v>
      </c>
      <c r="T299">
        <v>8414864</v>
      </c>
    </row>
    <row r="300" spans="1:21" x14ac:dyDescent="0.15">
      <c r="A300" s="4" t="str">
        <f>HYPERLINK("https://ibp.a2mac1.com/costing(costing:projects/details/9760/component/8753867)","Panel holder &gt; Clips in rectangular hole")</f>
        <v>Panel holder &gt; Clips in rectangular hole</v>
      </c>
      <c r="B300">
        <v>8753867</v>
      </c>
      <c r="D300">
        <v>0</v>
      </c>
      <c r="E300">
        <v>0.03</v>
      </c>
      <c r="H300">
        <v>11</v>
      </c>
      <c r="I300">
        <v>2200000</v>
      </c>
      <c r="J300" t="s">
        <v>76</v>
      </c>
      <c r="K300">
        <v>2</v>
      </c>
      <c r="L300">
        <v>16</v>
      </c>
      <c r="M300">
        <v>6</v>
      </c>
      <c r="O300">
        <v>1E-3</v>
      </c>
      <c r="Q300">
        <v>0</v>
      </c>
      <c r="R300">
        <v>0</v>
      </c>
      <c r="S300">
        <v>0.33</v>
      </c>
      <c r="T300">
        <v>8414864</v>
      </c>
    </row>
    <row r="301" spans="1:21" x14ac:dyDescent="0.15">
      <c r="A301" s="4" t="str">
        <f>HYPERLINK("https://ibp.a2mac1.com/costing(costing:projects/details/9760/component/8753868)","Panel holder &gt; Clips in rectangular hole")</f>
        <v>Panel holder &gt; Clips in rectangular hole</v>
      </c>
      <c r="B301">
        <v>8753868</v>
      </c>
      <c r="D301">
        <v>0</v>
      </c>
      <c r="E301">
        <v>0.03</v>
      </c>
      <c r="H301">
        <v>2</v>
      </c>
      <c r="I301">
        <v>400000</v>
      </c>
      <c r="J301" t="s">
        <v>76</v>
      </c>
      <c r="K301">
        <v>2</v>
      </c>
      <c r="L301">
        <v>15</v>
      </c>
      <c r="M301">
        <v>4</v>
      </c>
      <c r="O301">
        <v>1E-3</v>
      </c>
      <c r="Q301">
        <v>0</v>
      </c>
      <c r="R301">
        <v>0</v>
      </c>
      <c r="S301">
        <v>0.06</v>
      </c>
      <c r="T301">
        <v>8414864</v>
      </c>
    </row>
    <row r="302" spans="1:21" x14ac:dyDescent="0.15">
      <c r="A302" s="4" t="str">
        <f>HYPERLINK("https://ibp.a2mac1.com/costing(costing:projects/details/9760/component/8753869)","Panel holder &gt; Clips in rectangular hole")</f>
        <v>Panel holder &gt; Clips in rectangular hole</v>
      </c>
      <c r="B302">
        <v>8753869</v>
      </c>
      <c r="D302">
        <v>0</v>
      </c>
      <c r="E302">
        <v>0.03</v>
      </c>
      <c r="H302">
        <v>7</v>
      </c>
      <c r="I302">
        <v>1400000</v>
      </c>
      <c r="J302" t="s">
        <v>76</v>
      </c>
      <c r="K302">
        <v>2</v>
      </c>
      <c r="L302">
        <v>16</v>
      </c>
      <c r="M302">
        <v>6</v>
      </c>
      <c r="O302">
        <v>1E-3</v>
      </c>
      <c r="Q302">
        <v>0</v>
      </c>
      <c r="R302">
        <v>0</v>
      </c>
      <c r="S302">
        <v>0.21</v>
      </c>
      <c r="T302">
        <v>8414865</v>
      </c>
    </row>
    <row r="303" spans="1:21" x14ac:dyDescent="0.15">
      <c r="A303" s="4" t="str">
        <f>HYPERLINK("https://ibp.a2mac1.com/costing(costing:projects/details/9760/component/8753870)","Panel holder &gt; Clips in rectangular hole")</f>
        <v>Panel holder &gt; Clips in rectangular hole</v>
      </c>
      <c r="B303">
        <v>8753870</v>
      </c>
      <c r="D303">
        <v>0</v>
      </c>
      <c r="E303">
        <v>0.03</v>
      </c>
      <c r="H303">
        <v>10</v>
      </c>
      <c r="I303">
        <v>2000000</v>
      </c>
      <c r="J303" t="s">
        <v>76</v>
      </c>
      <c r="K303">
        <v>2</v>
      </c>
      <c r="L303">
        <v>16</v>
      </c>
      <c r="M303">
        <v>6</v>
      </c>
      <c r="O303">
        <v>1E-3</v>
      </c>
      <c r="Q303">
        <v>0</v>
      </c>
      <c r="R303">
        <v>0</v>
      </c>
      <c r="S303">
        <v>0.3</v>
      </c>
      <c r="T303">
        <v>8414865</v>
      </c>
    </row>
    <row r="304" spans="1:21" x14ac:dyDescent="0.15">
      <c r="A304" s="4" t="str">
        <f>HYPERLINK("https://ibp.a2mac1.com/costing(costing:projects/details/9760/component/8753871)","Panel holder &gt; Clips in rectangular hole")</f>
        <v>Panel holder &gt; Clips in rectangular hole</v>
      </c>
      <c r="B304">
        <v>8753871</v>
      </c>
      <c r="D304">
        <v>0</v>
      </c>
      <c r="E304">
        <v>0.03</v>
      </c>
      <c r="H304">
        <v>4</v>
      </c>
      <c r="I304">
        <v>800000</v>
      </c>
      <c r="J304" t="s">
        <v>76</v>
      </c>
      <c r="K304">
        <v>2</v>
      </c>
      <c r="L304">
        <v>16</v>
      </c>
      <c r="M304">
        <v>4</v>
      </c>
      <c r="O304">
        <v>5.0000000000000001E-4</v>
      </c>
      <c r="Q304">
        <v>0</v>
      </c>
      <c r="R304">
        <v>0</v>
      </c>
      <c r="S304">
        <v>0.12</v>
      </c>
      <c r="T304">
        <v>8414865</v>
      </c>
    </row>
    <row r="305" spans="1:20" x14ac:dyDescent="0.15">
      <c r="A305" s="4" t="str">
        <f>HYPERLINK("https://ibp.a2mac1.com/costing(costing:projects/details/9760/component/8753807)","Nut &gt; Hexagonal nut with captive washer")</f>
        <v>Nut &gt; Hexagonal nut with captive washer</v>
      </c>
      <c r="B305">
        <v>8753807</v>
      </c>
      <c r="D305">
        <v>0</v>
      </c>
      <c r="E305">
        <v>0.05</v>
      </c>
      <c r="H305">
        <v>4</v>
      </c>
      <c r="I305">
        <v>800000</v>
      </c>
      <c r="J305" t="s">
        <v>76</v>
      </c>
      <c r="K305">
        <v>7</v>
      </c>
      <c r="L305">
        <v>10</v>
      </c>
      <c r="M305">
        <v>6</v>
      </c>
      <c r="O305">
        <v>5.7000000000000002E-3</v>
      </c>
      <c r="Q305">
        <v>0</v>
      </c>
      <c r="R305">
        <v>0</v>
      </c>
      <c r="S305">
        <v>0.2</v>
      </c>
      <c r="T305">
        <v>8414774</v>
      </c>
    </row>
    <row r="306" spans="1:20" x14ac:dyDescent="0.15">
      <c r="A306" s="4" t="str">
        <f>HYPERLINK("https://ibp.a2mac1.com/costing(costing:projects/details/9760/component/8753808)","Round head Screw M4x12")</f>
        <v>Round head Screw M4x12</v>
      </c>
      <c r="B306">
        <v>8753808</v>
      </c>
      <c r="D306">
        <v>0</v>
      </c>
      <c r="E306">
        <v>2.4039999999999999E-2</v>
      </c>
      <c r="F306" t="s">
        <v>414</v>
      </c>
      <c r="H306">
        <v>1</v>
      </c>
      <c r="I306">
        <v>200000</v>
      </c>
      <c r="J306" t="s">
        <v>76</v>
      </c>
      <c r="K306">
        <v>0</v>
      </c>
      <c r="L306">
        <v>0</v>
      </c>
      <c r="M306">
        <v>0</v>
      </c>
      <c r="N306">
        <v>0</v>
      </c>
      <c r="O306">
        <v>1.3799999999999999E-3</v>
      </c>
      <c r="Q306">
        <v>0</v>
      </c>
      <c r="R306">
        <v>0</v>
      </c>
      <c r="S306">
        <v>2.4039999999999999E-2</v>
      </c>
      <c r="T306">
        <v>8414775</v>
      </c>
    </row>
    <row r="307" spans="1:20" x14ac:dyDescent="0.15">
      <c r="A307" s="4" t="str">
        <f>HYPERLINK("https://ibp.a2mac1.com/costing(costing:projects/details/9760/component/8753809)","Screw &gt; Torx socket head cap screw with flange")</f>
        <v>Screw &gt; Torx socket head cap screw with flange</v>
      </c>
      <c r="B307">
        <v>8753809</v>
      </c>
      <c r="D307">
        <v>0</v>
      </c>
      <c r="E307">
        <v>0.03</v>
      </c>
      <c r="H307">
        <v>4</v>
      </c>
      <c r="I307">
        <v>800000</v>
      </c>
      <c r="J307" t="s">
        <v>76</v>
      </c>
      <c r="K307">
        <v>12</v>
      </c>
      <c r="L307">
        <v>4</v>
      </c>
      <c r="M307">
        <v>4</v>
      </c>
      <c r="O307">
        <v>1.2999999999999999E-3</v>
      </c>
      <c r="Q307">
        <v>0</v>
      </c>
      <c r="R307">
        <v>0</v>
      </c>
      <c r="S307">
        <v>0.12</v>
      </c>
      <c r="T307">
        <v>8414776</v>
      </c>
    </row>
    <row r="308" spans="1:20" x14ac:dyDescent="0.15">
      <c r="A308" s="4" t="str">
        <f>HYPERLINK("https://ibp.a2mac1.com/costing(costing:projects/details/9760/component/8753810)","Screw &gt; Torx socket head cap screw with flange")</f>
        <v>Screw &gt; Torx socket head cap screw with flange</v>
      </c>
      <c r="B308">
        <v>8753810</v>
      </c>
      <c r="D308">
        <v>0</v>
      </c>
      <c r="E308">
        <v>0.03</v>
      </c>
      <c r="H308">
        <v>2</v>
      </c>
      <c r="I308">
        <v>400000</v>
      </c>
      <c r="J308" t="s">
        <v>76</v>
      </c>
      <c r="K308">
        <v>12</v>
      </c>
      <c r="L308">
        <v>4</v>
      </c>
      <c r="M308">
        <v>4</v>
      </c>
      <c r="O308">
        <v>1.5E-3</v>
      </c>
      <c r="Q308">
        <v>0</v>
      </c>
      <c r="R308">
        <v>0</v>
      </c>
      <c r="S308">
        <v>0.06</v>
      </c>
      <c r="T308">
        <v>8414777</v>
      </c>
    </row>
    <row r="309" spans="1:20" x14ac:dyDescent="0.15">
      <c r="A309" s="4" t="str">
        <f>HYPERLINK("https://ibp.a2mac1.com/costing(costing:projects/details/9760/component/8753811)","Other fastener &gt; Attachment")</f>
        <v>Other fastener &gt; Attachment</v>
      </c>
      <c r="B309">
        <v>8753811</v>
      </c>
      <c r="D309">
        <v>0</v>
      </c>
      <c r="E309">
        <v>0.04</v>
      </c>
      <c r="H309">
        <v>1</v>
      </c>
      <c r="I309">
        <v>200000</v>
      </c>
      <c r="J309" t="s">
        <v>76</v>
      </c>
      <c r="K309">
        <v>13</v>
      </c>
      <c r="L309">
        <v>14</v>
      </c>
      <c r="M309">
        <v>18</v>
      </c>
      <c r="O309">
        <v>3.0000000000000001E-3</v>
      </c>
      <c r="Q309">
        <v>0</v>
      </c>
      <c r="R309">
        <v>0</v>
      </c>
      <c r="S309">
        <v>0.04</v>
      </c>
      <c r="T309">
        <v>8414778</v>
      </c>
    </row>
    <row r="310" spans="1:20" x14ac:dyDescent="0.15">
      <c r="A310" s="4" t="str">
        <f>HYPERLINK("https://ibp.a2mac1.com/costing(costing:projects/details/9760/component/8753812)","Nut &gt; Pinching nut for metal sheet screw")</f>
        <v>Nut &gt; Pinching nut for metal sheet screw</v>
      </c>
      <c r="B310">
        <v>8753812</v>
      </c>
      <c r="D310">
        <v>0</v>
      </c>
      <c r="E310">
        <v>0.03</v>
      </c>
      <c r="H310">
        <v>2</v>
      </c>
      <c r="I310">
        <v>400000</v>
      </c>
      <c r="J310" t="s">
        <v>76</v>
      </c>
      <c r="K310">
        <v>1</v>
      </c>
      <c r="L310">
        <v>4</v>
      </c>
      <c r="M310">
        <v>9</v>
      </c>
      <c r="O310">
        <v>1.5E-3</v>
      </c>
      <c r="Q310">
        <v>0</v>
      </c>
      <c r="R310">
        <v>0</v>
      </c>
      <c r="S310">
        <v>0.06</v>
      </c>
      <c r="T310">
        <v>8414778</v>
      </c>
    </row>
    <row r="311" spans="1:20" x14ac:dyDescent="0.15">
      <c r="A311" s="4" t="str">
        <f>HYPERLINK("https://ibp.a2mac1.com/costing(costing:projects/details/9760/component/8753813)","Pin clip &gt; Dowel pin")</f>
        <v>Pin clip &gt; Dowel pin</v>
      </c>
      <c r="B311">
        <v>8753813</v>
      </c>
      <c r="D311">
        <v>0</v>
      </c>
      <c r="E311">
        <v>0.09</v>
      </c>
      <c r="H311">
        <v>1</v>
      </c>
      <c r="I311">
        <v>200000</v>
      </c>
      <c r="J311" t="s">
        <v>76</v>
      </c>
      <c r="L311">
        <v>120</v>
      </c>
      <c r="M311">
        <v>4</v>
      </c>
      <c r="O311">
        <v>1.2E-2</v>
      </c>
      <c r="Q311">
        <v>0</v>
      </c>
      <c r="R311">
        <v>0</v>
      </c>
      <c r="S311">
        <v>0.09</v>
      </c>
      <c r="T311">
        <v>8414778</v>
      </c>
    </row>
    <row r="312" spans="1:20" x14ac:dyDescent="0.15">
      <c r="A312" s="4" t="str">
        <f>HYPERLINK("https://ibp.a2mac1.com/costing(costing:projects/details/9760/component/8753814)","Nut &gt; Pinching nut for metal sheet screw")</f>
        <v>Nut &gt; Pinching nut for metal sheet screw</v>
      </c>
      <c r="B312">
        <v>8753814</v>
      </c>
      <c r="D312">
        <v>0</v>
      </c>
      <c r="E312">
        <v>0.03</v>
      </c>
      <c r="H312">
        <v>4</v>
      </c>
      <c r="I312">
        <v>800000</v>
      </c>
      <c r="J312" t="s">
        <v>76</v>
      </c>
      <c r="K312">
        <v>2</v>
      </c>
      <c r="L312">
        <v>4</v>
      </c>
      <c r="M312">
        <v>9</v>
      </c>
      <c r="O312">
        <v>1.5E-3</v>
      </c>
      <c r="Q312">
        <v>0</v>
      </c>
      <c r="R312">
        <v>0</v>
      </c>
      <c r="S312">
        <v>0.12</v>
      </c>
      <c r="T312">
        <v>8414778</v>
      </c>
    </row>
    <row r="313" spans="1:20" x14ac:dyDescent="0.15">
      <c r="A313" s="4" t="str">
        <f>HYPERLINK("https://ibp.a2mac1.com/costing(costing:projects/details/9760/component/8753815)","Screw &gt; Torx socket head cap screw with flange")</f>
        <v>Screw &gt; Torx socket head cap screw with flange</v>
      </c>
      <c r="B313">
        <v>8753815</v>
      </c>
      <c r="D313">
        <v>0</v>
      </c>
      <c r="E313">
        <v>0.03</v>
      </c>
      <c r="H313">
        <v>2</v>
      </c>
      <c r="I313">
        <v>400000</v>
      </c>
      <c r="J313" t="s">
        <v>76</v>
      </c>
      <c r="K313">
        <v>12</v>
      </c>
      <c r="L313">
        <v>4</v>
      </c>
      <c r="M313">
        <v>4</v>
      </c>
      <c r="O313">
        <v>1.5E-3</v>
      </c>
      <c r="Q313">
        <v>0</v>
      </c>
      <c r="R313">
        <v>0</v>
      </c>
      <c r="S313">
        <v>0.06</v>
      </c>
      <c r="T313">
        <v>8414778</v>
      </c>
    </row>
    <row r="314" spans="1:20" x14ac:dyDescent="0.15">
      <c r="A314" s="4" t="str">
        <f>HYPERLINK("https://ibp.a2mac1.com/costing(costing:projects/details/9760/component/8753816)","Screw &gt; Torx socket head cap screw with flange")</f>
        <v>Screw &gt; Torx socket head cap screw with flange</v>
      </c>
      <c r="B314">
        <v>8753816</v>
      </c>
      <c r="D314">
        <v>0</v>
      </c>
      <c r="E314">
        <v>0.03</v>
      </c>
      <c r="H314">
        <v>4</v>
      </c>
      <c r="I314">
        <v>800000</v>
      </c>
      <c r="J314" t="s">
        <v>76</v>
      </c>
      <c r="K314">
        <v>8</v>
      </c>
      <c r="L314">
        <v>4</v>
      </c>
      <c r="M314">
        <v>4</v>
      </c>
      <c r="O314">
        <v>1.2999999999999999E-3</v>
      </c>
      <c r="Q314">
        <v>0</v>
      </c>
      <c r="R314">
        <v>0</v>
      </c>
      <c r="S314">
        <v>0.12</v>
      </c>
      <c r="T314">
        <v>8414779</v>
      </c>
    </row>
    <row r="315" spans="1:20" x14ac:dyDescent="0.15">
      <c r="A315" s="4" t="str">
        <f>HYPERLINK("https://ibp.a2mac1.com/costing(costing:projects/details/9760/component/8753817)","Screw &gt; Various shape screw with flange")</f>
        <v>Screw &gt; Various shape screw with flange</v>
      </c>
      <c r="B315">
        <v>8753817</v>
      </c>
      <c r="D315">
        <v>0</v>
      </c>
      <c r="E315">
        <v>0.03</v>
      </c>
      <c r="H315">
        <v>4</v>
      </c>
      <c r="I315">
        <v>800000</v>
      </c>
      <c r="J315" t="s">
        <v>76</v>
      </c>
      <c r="K315">
        <v>12</v>
      </c>
      <c r="L315">
        <v>4</v>
      </c>
      <c r="M315">
        <v>4</v>
      </c>
      <c r="O315">
        <v>1.5E-3</v>
      </c>
      <c r="Q315">
        <v>0</v>
      </c>
      <c r="R315">
        <v>0</v>
      </c>
      <c r="S315">
        <v>0.12</v>
      </c>
      <c r="T315">
        <v>8414779</v>
      </c>
    </row>
    <row r="316" spans="1:20" x14ac:dyDescent="0.15">
      <c r="A316" s="4" t="str">
        <f>HYPERLINK("https://ibp.a2mac1.com/costing(costing:projects/details/9760/component/8753818)","Panel holder &gt; Clips in rectangular hole")</f>
        <v>Panel holder &gt; Clips in rectangular hole</v>
      </c>
      <c r="B316">
        <v>8753818</v>
      </c>
      <c r="D316">
        <v>0</v>
      </c>
      <c r="E316">
        <v>0.03</v>
      </c>
      <c r="H316">
        <v>11</v>
      </c>
      <c r="I316">
        <v>2200000</v>
      </c>
      <c r="J316" t="s">
        <v>76</v>
      </c>
      <c r="K316">
        <v>1</v>
      </c>
      <c r="L316">
        <v>16</v>
      </c>
      <c r="M316">
        <v>6</v>
      </c>
      <c r="O316">
        <v>1E-3</v>
      </c>
      <c r="Q316">
        <v>0</v>
      </c>
      <c r="R316">
        <v>0</v>
      </c>
      <c r="S316">
        <v>0.33</v>
      </c>
      <c r="T316">
        <v>8414780</v>
      </c>
    </row>
    <row r="317" spans="1:20" x14ac:dyDescent="0.15">
      <c r="A317" s="4" t="str">
        <f>HYPERLINK("https://ibp.a2mac1.com/costing(costing:projects/details/9760/component/8753819)","Screw &gt; Torx socket head cap screw with flange")</f>
        <v>Screw &gt; Torx socket head cap screw with flange</v>
      </c>
      <c r="B317">
        <v>8753819</v>
      </c>
      <c r="D317">
        <v>0</v>
      </c>
      <c r="E317">
        <v>0.03</v>
      </c>
      <c r="H317">
        <v>1</v>
      </c>
      <c r="I317">
        <v>200000</v>
      </c>
      <c r="J317" t="s">
        <v>76</v>
      </c>
      <c r="K317">
        <v>12</v>
      </c>
      <c r="L317">
        <v>4</v>
      </c>
      <c r="M317">
        <v>4</v>
      </c>
      <c r="O317">
        <v>1E-3</v>
      </c>
      <c r="Q317">
        <v>0</v>
      </c>
      <c r="R317">
        <v>0</v>
      </c>
      <c r="S317">
        <v>0.03</v>
      </c>
      <c r="T317">
        <v>8414780</v>
      </c>
    </row>
    <row r="318" spans="1:20" x14ac:dyDescent="0.15">
      <c r="A318" s="4" t="str">
        <f>HYPERLINK("https://ibp.a2mac1.com/costing(costing:projects/details/9760/component/8753820)","Screw &gt; Torx socket head cap screw with flange")</f>
        <v>Screw &gt; Torx socket head cap screw with flange</v>
      </c>
      <c r="B318">
        <v>8753820</v>
      </c>
      <c r="D318">
        <v>0</v>
      </c>
      <c r="E318">
        <v>0.03</v>
      </c>
      <c r="H318">
        <v>2</v>
      </c>
      <c r="I318">
        <v>400000</v>
      </c>
      <c r="J318" t="s">
        <v>76</v>
      </c>
      <c r="K318">
        <v>12</v>
      </c>
      <c r="L318">
        <v>4</v>
      </c>
      <c r="M318">
        <v>4</v>
      </c>
      <c r="O318">
        <v>1E-3</v>
      </c>
      <c r="Q318">
        <v>0</v>
      </c>
      <c r="R318">
        <v>0</v>
      </c>
      <c r="S318">
        <v>0.06</v>
      </c>
      <c r="T318">
        <v>8414781</v>
      </c>
    </row>
    <row r="319" spans="1:20" x14ac:dyDescent="0.15">
      <c r="A319" s="4" t="str">
        <f>HYPERLINK("https://ibp.a2mac1.com/costing(costing:projects/details/9760/component/8753821)","Screw &gt; Torx socket head cap screw with flange")</f>
        <v>Screw &gt; Torx socket head cap screw with flange</v>
      </c>
      <c r="B319">
        <v>8753821</v>
      </c>
      <c r="D319">
        <v>0</v>
      </c>
      <c r="E319">
        <v>0.03</v>
      </c>
      <c r="H319">
        <v>4</v>
      </c>
      <c r="I319">
        <v>800000</v>
      </c>
      <c r="J319" t="s">
        <v>76</v>
      </c>
      <c r="K319">
        <v>12</v>
      </c>
      <c r="L319">
        <v>4</v>
      </c>
      <c r="M319">
        <v>4</v>
      </c>
      <c r="O319">
        <v>1.5E-3</v>
      </c>
      <c r="Q319">
        <v>0</v>
      </c>
      <c r="R319">
        <v>0</v>
      </c>
      <c r="S319">
        <v>0.12</v>
      </c>
      <c r="T319">
        <v>8414781</v>
      </c>
    </row>
    <row r="320" spans="1:20" x14ac:dyDescent="0.15">
      <c r="A320" s="4" t="str">
        <f>HYPERLINK("https://ibp.a2mac1.com/costing(costing:projects/details/9760/component/8753872)","Screw &gt; Torx socket head cap screw with flange")</f>
        <v>Screw &gt; Torx socket head cap screw with flange</v>
      </c>
      <c r="B320">
        <v>8753872</v>
      </c>
      <c r="D320">
        <v>0</v>
      </c>
      <c r="E320">
        <v>0.03</v>
      </c>
      <c r="H320">
        <v>3</v>
      </c>
      <c r="I320">
        <v>600000</v>
      </c>
      <c r="J320" t="s">
        <v>76</v>
      </c>
      <c r="K320">
        <v>12</v>
      </c>
      <c r="L320">
        <v>4</v>
      </c>
      <c r="M320">
        <v>4</v>
      </c>
      <c r="O320">
        <v>2.3E-3</v>
      </c>
      <c r="Q320">
        <v>0</v>
      </c>
      <c r="R320">
        <v>0</v>
      </c>
      <c r="S320">
        <v>0.09</v>
      </c>
      <c r="T320">
        <v>8414894</v>
      </c>
    </row>
    <row r="321" spans="1:20" x14ac:dyDescent="0.15">
      <c r="A321" s="4" t="str">
        <f>HYPERLINK("https://ibp.a2mac1.com/costing(costing:projects/details/9760/component/8753873)","Panel holder &gt; Clips in rectangular hole")</f>
        <v>Panel holder &gt; Clips in rectangular hole</v>
      </c>
      <c r="B321">
        <v>8753873</v>
      </c>
      <c r="D321">
        <v>0</v>
      </c>
      <c r="E321">
        <v>0.03</v>
      </c>
      <c r="H321">
        <v>1</v>
      </c>
      <c r="I321">
        <v>200000</v>
      </c>
      <c r="J321" t="s">
        <v>76</v>
      </c>
      <c r="K321">
        <v>2</v>
      </c>
      <c r="L321">
        <v>16</v>
      </c>
      <c r="M321">
        <v>6</v>
      </c>
      <c r="O321">
        <v>1E-3</v>
      </c>
      <c r="Q321">
        <v>0</v>
      </c>
      <c r="R321">
        <v>0</v>
      </c>
      <c r="S321">
        <v>0.03</v>
      </c>
      <c r="T321">
        <v>8414894</v>
      </c>
    </row>
    <row r="322" spans="1:20" x14ac:dyDescent="0.15">
      <c r="A322" s="4" t="str">
        <f>HYPERLINK("https://ibp.a2mac1.com/costing(costing:projects/details/9760/component/8753822)","Round head Screw M4x12")</f>
        <v>Round head Screw M4x12</v>
      </c>
      <c r="B322">
        <v>8753822</v>
      </c>
      <c r="D322">
        <v>0</v>
      </c>
      <c r="E322">
        <v>2.4039999999999999E-2</v>
      </c>
      <c r="F322" t="s">
        <v>414</v>
      </c>
      <c r="H322">
        <v>1</v>
      </c>
      <c r="I322">
        <v>200000</v>
      </c>
      <c r="J322" t="s">
        <v>76</v>
      </c>
      <c r="K322">
        <v>0</v>
      </c>
      <c r="L322">
        <v>0</v>
      </c>
      <c r="M322">
        <v>0</v>
      </c>
      <c r="N322">
        <v>0</v>
      </c>
      <c r="O322">
        <v>1.3799999999999999E-3</v>
      </c>
      <c r="Q322">
        <v>0</v>
      </c>
      <c r="R322">
        <v>0</v>
      </c>
      <c r="S322">
        <v>2.4039999999999999E-2</v>
      </c>
      <c r="T322">
        <v>8414783</v>
      </c>
    </row>
    <row r="323" spans="1:20" x14ac:dyDescent="0.15">
      <c r="A323" s="4" t="str">
        <f>HYPERLINK("https://ibp.a2mac1.com/costing(costing:projects/details/9760/component/8753874)","Electronics")</f>
        <v>Electronics</v>
      </c>
      <c r="B323">
        <v>8753874</v>
      </c>
      <c r="D323">
        <v>0</v>
      </c>
      <c r="E323">
        <v>1.2</v>
      </c>
      <c r="F323" t="s">
        <v>363</v>
      </c>
      <c r="H323">
        <v>1</v>
      </c>
      <c r="I323">
        <v>200000</v>
      </c>
      <c r="J323" t="s">
        <v>76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364</v>
      </c>
      <c r="Q323">
        <v>0</v>
      </c>
      <c r="R323">
        <v>0</v>
      </c>
      <c r="S323">
        <v>1.1261096238715056</v>
      </c>
      <c r="T323">
        <v>8414917</v>
      </c>
    </row>
    <row r="324" spans="1:20" x14ac:dyDescent="0.15">
      <c r="A324" s="4" t="str">
        <f>HYPERLINK("https://ibp.a2mac1.com/costing(costing:projects/details/9760/component/8753875)","Mechanics")</f>
        <v>Mechanics</v>
      </c>
      <c r="B324">
        <v>8753875</v>
      </c>
      <c r="D324">
        <v>0</v>
      </c>
      <c r="E324">
        <v>9.09</v>
      </c>
      <c r="F324" t="s">
        <v>4469</v>
      </c>
      <c r="H324">
        <v>1</v>
      </c>
      <c r="I324">
        <v>200000</v>
      </c>
      <c r="J324" t="s">
        <v>76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362</v>
      </c>
      <c r="Q324">
        <v>0</v>
      </c>
      <c r="R324">
        <v>0</v>
      </c>
      <c r="S324">
        <v>8.926159361530857</v>
      </c>
      <c r="T324">
        <v>8414917</v>
      </c>
    </row>
    <row r="325" spans="1:20" x14ac:dyDescent="0.15">
      <c r="A325" s="4" t="str">
        <f>HYPERLINK("https://ibp.a2mac1.com/costing(costing:projects/details/9760/component/8753823)","Screw &gt; Torx socket head cap screw with flange")</f>
        <v>Screw &gt; Torx socket head cap screw with flange</v>
      </c>
      <c r="B325">
        <v>8753823</v>
      </c>
      <c r="D325">
        <v>0</v>
      </c>
      <c r="E325">
        <v>0.03</v>
      </c>
      <c r="H325">
        <v>4</v>
      </c>
      <c r="I325">
        <v>800000</v>
      </c>
      <c r="J325" t="s">
        <v>76</v>
      </c>
      <c r="K325">
        <v>12</v>
      </c>
      <c r="L325">
        <v>4</v>
      </c>
      <c r="M325">
        <v>4</v>
      </c>
      <c r="O325">
        <v>1.5E-3</v>
      </c>
      <c r="Q325">
        <v>0</v>
      </c>
      <c r="R325">
        <v>0</v>
      </c>
      <c r="S325">
        <v>0.12</v>
      </c>
      <c r="T325">
        <v>8414784</v>
      </c>
    </row>
    <row r="326" spans="1:20" x14ac:dyDescent="0.15">
      <c r="A326" s="4" t="str">
        <f>HYPERLINK("https://ibp.a2mac1.com/costing(costing:projects/details/9760/component/8753824)","Screw &gt; Cross recessed screw")</f>
        <v>Screw &gt; Cross recessed screw</v>
      </c>
      <c r="B326">
        <v>8753824</v>
      </c>
      <c r="D326">
        <v>0</v>
      </c>
      <c r="E326">
        <v>0.03</v>
      </c>
      <c r="H326">
        <v>6</v>
      </c>
      <c r="I326">
        <v>1200000</v>
      </c>
      <c r="J326" t="s">
        <v>76</v>
      </c>
      <c r="K326">
        <v>10</v>
      </c>
      <c r="L326">
        <v>7</v>
      </c>
      <c r="M326">
        <v>3</v>
      </c>
      <c r="O326">
        <v>8.0000000000000004E-4</v>
      </c>
      <c r="Q326">
        <v>0</v>
      </c>
      <c r="R326">
        <v>0</v>
      </c>
      <c r="S326">
        <v>0.18</v>
      </c>
      <c r="T326">
        <v>8414784</v>
      </c>
    </row>
    <row r="327" spans="1:20" x14ac:dyDescent="0.15">
      <c r="A327" s="4" t="str">
        <f>HYPERLINK("https://ibp.a2mac1.com/costing(costing:projects/details/9760/component/8753825)","Pin clip &gt; Dowel pin")</f>
        <v>Pin clip &gt; Dowel pin</v>
      </c>
      <c r="B327">
        <v>8753825</v>
      </c>
      <c r="D327">
        <v>0</v>
      </c>
      <c r="E327">
        <v>7.0000000000000007E-2</v>
      </c>
      <c r="H327">
        <v>2</v>
      </c>
      <c r="I327">
        <v>400000</v>
      </c>
      <c r="J327" t="s">
        <v>76</v>
      </c>
      <c r="L327">
        <v>57</v>
      </c>
      <c r="M327">
        <v>5</v>
      </c>
      <c r="O327">
        <v>8.5000000000000006E-3</v>
      </c>
      <c r="Q327">
        <v>0</v>
      </c>
      <c r="R327">
        <v>0</v>
      </c>
      <c r="S327">
        <v>0.14000000000000001</v>
      </c>
      <c r="T327">
        <v>8414784</v>
      </c>
    </row>
    <row r="328" spans="1:20" x14ac:dyDescent="0.15">
      <c r="A328" s="4" t="str">
        <f>HYPERLINK("https://ibp.a2mac1.com/costing(costing:projects/details/9760/component/8753826)","Screw &gt; Cross recessed screw")</f>
        <v>Screw &gt; Cross recessed screw</v>
      </c>
      <c r="B328">
        <v>8753826</v>
      </c>
      <c r="D328">
        <v>0</v>
      </c>
      <c r="E328">
        <v>0.04</v>
      </c>
      <c r="H328">
        <v>4</v>
      </c>
      <c r="I328">
        <v>800000</v>
      </c>
      <c r="J328" t="s">
        <v>76</v>
      </c>
      <c r="K328">
        <v>42</v>
      </c>
      <c r="L328">
        <v>7</v>
      </c>
      <c r="M328">
        <v>4</v>
      </c>
      <c r="O328">
        <v>2.7000000000000001E-3</v>
      </c>
      <c r="Q328">
        <v>0</v>
      </c>
      <c r="R328">
        <v>0</v>
      </c>
      <c r="S328">
        <v>0.16</v>
      </c>
      <c r="T328">
        <v>8414784</v>
      </c>
    </row>
    <row r="329" spans="1:20" x14ac:dyDescent="0.15">
      <c r="A329" s="4" t="str">
        <f>HYPERLINK("https://ibp.a2mac1.com/costing(costing:projects/details/9760/component/8753827)","Other fastener &gt; Attachment")</f>
        <v>Other fastener &gt; Attachment</v>
      </c>
      <c r="B329">
        <v>8753827</v>
      </c>
      <c r="D329">
        <v>0</v>
      </c>
      <c r="E329">
        <v>0.03</v>
      </c>
      <c r="H329">
        <v>4</v>
      </c>
      <c r="I329">
        <v>800000</v>
      </c>
      <c r="J329" t="s">
        <v>76</v>
      </c>
      <c r="K329">
        <v>9</v>
      </c>
      <c r="L329">
        <v>10</v>
      </c>
      <c r="M329">
        <v>9</v>
      </c>
      <c r="O329">
        <v>5.0000000000000001E-4</v>
      </c>
      <c r="Q329">
        <v>0</v>
      </c>
      <c r="R329">
        <v>0</v>
      </c>
      <c r="S329">
        <v>0.12</v>
      </c>
      <c r="T329">
        <v>8414784</v>
      </c>
    </row>
    <row r="330" spans="1:20" x14ac:dyDescent="0.15">
      <c r="A330" s="4" t="str">
        <f>HYPERLINK("https://ibp.a2mac1.com/costing(costing:projects/details/9760/component/8753828)","Screw &gt; Torx socket head cap screw with flange")</f>
        <v>Screw &gt; Torx socket head cap screw with flange</v>
      </c>
      <c r="B330">
        <v>8753828</v>
      </c>
      <c r="D330">
        <v>0</v>
      </c>
      <c r="E330">
        <v>0.03</v>
      </c>
      <c r="H330">
        <v>2</v>
      </c>
      <c r="I330">
        <v>400000</v>
      </c>
      <c r="J330" t="s">
        <v>76</v>
      </c>
      <c r="K330">
        <v>12</v>
      </c>
      <c r="L330">
        <v>4</v>
      </c>
      <c r="M330">
        <v>4</v>
      </c>
      <c r="O330">
        <v>1.5E-3</v>
      </c>
      <c r="Q330">
        <v>0</v>
      </c>
      <c r="R330">
        <v>0</v>
      </c>
      <c r="S330">
        <v>0.06</v>
      </c>
      <c r="T330">
        <v>8414784</v>
      </c>
    </row>
    <row r="331" spans="1:20" x14ac:dyDescent="0.15">
      <c r="A331" s="4" t="str">
        <f>HYPERLINK("https://ibp.a2mac1.com/costing(costing:projects/details/9760/component/8753829)","Screw &gt; Various shape screw with flange")</f>
        <v>Screw &gt; Various shape screw with flange</v>
      </c>
      <c r="B331">
        <v>8753829</v>
      </c>
      <c r="D331">
        <v>0</v>
      </c>
      <c r="E331">
        <v>0.03</v>
      </c>
      <c r="H331">
        <v>4</v>
      </c>
      <c r="I331">
        <v>800000</v>
      </c>
      <c r="J331" t="s">
        <v>76</v>
      </c>
      <c r="K331">
        <v>6</v>
      </c>
      <c r="L331">
        <v>4</v>
      </c>
      <c r="M331">
        <v>4</v>
      </c>
      <c r="O331">
        <v>2E-3</v>
      </c>
      <c r="Q331">
        <v>0</v>
      </c>
      <c r="R331">
        <v>0</v>
      </c>
      <c r="S331">
        <v>0.12</v>
      </c>
      <c r="T331">
        <v>8414784</v>
      </c>
    </row>
    <row r="332" spans="1:20" x14ac:dyDescent="0.15">
      <c r="A332" s="4" t="str">
        <f>HYPERLINK("https://ibp.a2mac1.com/costing(costing:projects/details/9760/component/8753830)","Nut &gt; Pinching nut for metal sheet screw")</f>
        <v>Nut &gt; Pinching nut for metal sheet screw</v>
      </c>
      <c r="B332">
        <v>8753830</v>
      </c>
      <c r="D332">
        <v>0</v>
      </c>
      <c r="E332">
        <v>0.03</v>
      </c>
      <c r="H332">
        <v>2</v>
      </c>
      <c r="I332">
        <v>400000</v>
      </c>
      <c r="J332" t="s">
        <v>76</v>
      </c>
      <c r="K332">
        <v>2</v>
      </c>
      <c r="L332">
        <v>4</v>
      </c>
      <c r="M332">
        <v>6</v>
      </c>
      <c r="O332">
        <v>2E-3</v>
      </c>
      <c r="Q332">
        <v>0</v>
      </c>
      <c r="R332">
        <v>0</v>
      </c>
      <c r="S332">
        <v>0.06</v>
      </c>
      <c r="T332">
        <v>8414784</v>
      </c>
    </row>
    <row r="333" spans="1:20" x14ac:dyDescent="0.15">
      <c r="A333" s="4" t="str">
        <f>HYPERLINK("https://ibp.a2mac1.com/costing(costing:projects/details/9760/component/8753831)","Screw &gt; Torx socket head cap screw with flange")</f>
        <v>Screw &gt; Torx socket head cap screw with flange</v>
      </c>
      <c r="B333">
        <v>8753831</v>
      </c>
      <c r="D333">
        <v>0</v>
      </c>
      <c r="E333">
        <v>0.04</v>
      </c>
      <c r="H333">
        <v>2</v>
      </c>
      <c r="I333">
        <v>400000</v>
      </c>
      <c r="J333" t="s">
        <v>76</v>
      </c>
      <c r="K333">
        <v>8</v>
      </c>
      <c r="L333">
        <v>4</v>
      </c>
      <c r="M333">
        <v>4</v>
      </c>
      <c r="O333">
        <v>2.5000000000000001E-3</v>
      </c>
      <c r="Q333">
        <v>0</v>
      </c>
      <c r="R333">
        <v>0</v>
      </c>
      <c r="S333">
        <v>0.08</v>
      </c>
      <c r="T333">
        <v>8414784</v>
      </c>
    </row>
    <row r="334" spans="1:20" x14ac:dyDescent="0.15">
      <c r="A334" s="4" t="str">
        <f>HYPERLINK("https://ibp.a2mac1.com/costing(costing:projects/details/9760/component/8753832)","Screw &gt; Torx socket head cap screw with flange")</f>
        <v>Screw &gt; Torx socket head cap screw with flange</v>
      </c>
      <c r="B334">
        <v>8753832</v>
      </c>
      <c r="D334">
        <v>0</v>
      </c>
      <c r="E334">
        <v>0.03</v>
      </c>
      <c r="H334">
        <v>2</v>
      </c>
      <c r="I334">
        <v>400000</v>
      </c>
      <c r="J334" t="s">
        <v>76</v>
      </c>
      <c r="K334">
        <v>12</v>
      </c>
      <c r="L334">
        <v>4</v>
      </c>
      <c r="M334">
        <v>4</v>
      </c>
      <c r="O334">
        <v>1.5E-3</v>
      </c>
      <c r="Q334">
        <v>0</v>
      </c>
      <c r="R334">
        <v>0</v>
      </c>
      <c r="S334">
        <v>0.06</v>
      </c>
      <c r="T334">
        <v>8414784</v>
      </c>
    </row>
    <row r="335" spans="1:20" x14ac:dyDescent="0.15">
      <c r="A335" s="4" t="str">
        <f>HYPERLINK("https://ibp.a2mac1.com/costing(costing:projects/details/9760/component/8753833)","Nut &gt; Pinching nut for metal sheet screw")</f>
        <v>Nut &gt; Pinching nut for metal sheet screw</v>
      </c>
      <c r="B335">
        <v>8753833</v>
      </c>
      <c r="D335">
        <v>0</v>
      </c>
      <c r="E335">
        <v>0.03</v>
      </c>
      <c r="H335">
        <v>1</v>
      </c>
      <c r="I335">
        <v>200000</v>
      </c>
      <c r="J335" t="s">
        <v>76</v>
      </c>
      <c r="K335">
        <v>2</v>
      </c>
      <c r="L335">
        <v>4</v>
      </c>
      <c r="M335">
        <v>9</v>
      </c>
      <c r="O335">
        <v>1E-3</v>
      </c>
      <c r="Q335">
        <v>0</v>
      </c>
      <c r="R335">
        <v>0</v>
      </c>
      <c r="S335">
        <v>0.03</v>
      </c>
      <c r="T335">
        <v>8414784</v>
      </c>
    </row>
    <row r="336" spans="1:20" x14ac:dyDescent="0.15">
      <c r="A336" s="4" t="str">
        <f>HYPERLINK("https://ibp.a2mac1.com/costing(costing:projects/details/9760/component/8753834)","Screw &gt; Hexagon screw with flange")</f>
        <v>Screw &gt; Hexagon screw with flange</v>
      </c>
      <c r="B336">
        <v>8753834</v>
      </c>
      <c r="D336">
        <v>0</v>
      </c>
      <c r="E336">
        <v>0.03</v>
      </c>
      <c r="H336">
        <v>2</v>
      </c>
      <c r="I336">
        <v>400000</v>
      </c>
      <c r="J336" t="s">
        <v>76</v>
      </c>
      <c r="K336">
        <v>16</v>
      </c>
      <c r="L336">
        <v>6</v>
      </c>
      <c r="M336">
        <v>4</v>
      </c>
      <c r="O336">
        <v>1.5E-3</v>
      </c>
      <c r="Q336">
        <v>0</v>
      </c>
      <c r="R336">
        <v>0</v>
      </c>
      <c r="S336">
        <v>0.06</v>
      </c>
      <c r="T336">
        <v>8414784</v>
      </c>
    </row>
    <row r="337" spans="1:21" x14ac:dyDescent="0.15">
      <c r="A337" s="4" t="str">
        <f>HYPERLINK("https://ibp.a2mac1.com/costing(costing:projects/details/9760/component/8753835)","Screw &gt; Torx socket head cap screw with flange")</f>
        <v>Screw &gt; Torx socket head cap screw with flange</v>
      </c>
      <c r="B337">
        <v>8753835</v>
      </c>
      <c r="D337">
        <v>0</v>
      </c>
      <c r="E337">
        <v>0.03</v>
      </c>
      <c r="H337">
        <v>2</v>
      </c>
      <c r="I337">
        <v>400000</v>
      </c>
      <c r="J337" t="s">
        <v>76</v>
      </c>
      <c r="K337">
        <v>25</v>
      </c>
      <c r="L337">
        <v>4</v>
      </c>
      <c r="M337">
        <v>4</v>
      </c>
      <c r="O337">
        <v>2.5000000000000001E-3</v>
      </c>
      <c r="Q337">
        <v>0</v>
      </c>
      <c r="R337">
        <v>0</v>
      </c>
      <c r="S337">
        <v>0.06</v>
      </c>
      <c r="T337">
        <v>8414784</v>
      </c>
    </row>
    <row r="338" spans="1:21" x14ac:dyDescent="0.15">
      <c r="A338" s="4" t="str">
        <f>HYPERLINK("https://ibp.a2mac1.com/costing(costing:projects/details/9760/component/8753836)","Screw &gt; Torx socket head cap screw with flange")</f>
        <v>Screw &gt; Torx socket head cap screw with flange</v>
      </c>
      <c r="B338">
        <v>8753836</v>
      </c>
      <c r="D338">
        <v>0</v>
      </c>
      <c r="E338">
        <v>0.03</v>
      </c>
      <c r="H338">
        <v>16</v>
      </c>
      <c r="I338">
        <v>3200000</v>
      </c>
      <c r="J338" t="s">
        <v>76</v>
      </c>
      <c r="K338">
        <v>12</v>
      </c>
      <c r="L338">
        <v>4</v>
      </c>
      <c r="M338">
        <v>4</v>
      </c>
      <c r="O338">
        <v>1.6000000000000001E-3</v>
      </c>
      <c r="Q338">
        <v>0</v>
      </c>
      <c r="R338">
        <v>0</v>
      </c>
      <c r="S338">
        <v>0.48</v>
      </c>
      <c r="T338">
        <v>8414784</v>
      </c>
    </row>
    <row r="339" spans="1:21" x14ac:dyDescent="0.15">
      <c r="A339" s="4" t="str">
        <f>HYPERLINK("https://ibp.a2mac1.com/costing(costing:projects/details/9760/component/8753837)","Screw &gt; Cross recessed screw")</f>
        <v>Screw &gt; Cross recessed screw</v>
      </c>
      <c r="B339">
        <v>8753837</v>
      </c>
      <c r="D339">
        <v>0</v>
      </c>
      <c r="E339">
        <v>0.03</v>
      </c>
      <c r="H339">
        <v>2</v>
      </c>
      <c r="I339">
        <v>400000</v>
      </c>
      <c r="J339" t="s">
        <v>76</v>
      </c>
      <c r="K339">
        <v>6</v>
      </c>
      <c r="L339">
        <v>3</v>
      </c>
      <c r="M339">
        <v>2</v>
      </c>
      <c r="O339">
        <v>5.0000000000000001E-4</v>
      </c>
      <c r="Q339">
        <v>0</v>
      </c>
      <c r="R339">
        <v>0</v>
      </c>
      <c r="S339">
        <v>0.06</v>
      </c>
      <c r="T339">
        <v>8414784</v>
      </c>
    </row>
    <row r="340" spans="1:21" x14ac:dyDescent="0.15">
      <c r="A340" s="4" t="str">
        <f>HYPERLINK("https://ibp.a2mac1.com/costing(costing:projects/details/9760/component/8753838)","Screw &gt; Torx socket head cap screw with flange")</f>
        <v>Screw &gt; Torx socket head cap screw with flange</v>
      </c>
      <c r="B340">
        <v>8753838</v>
      </c>
      <c r="D340">
        <v>0</v>
      </c>
      <c r="E340">
        <v>0.03</v>
      </c>
      <c r="H340">
        <v>4</v>
      </c>
      <c r="I340">
        <v>800000</v>
      </c>
      <c r="J340" t="s">
        <v>76</v>
      </c>
      <c r="K340">
        <v>12</v>
      </c>
      <c r="L340">
        <v>4</v>
      </c>
      <c r="M340">
        <v>4</v>
      </c>
      <c r="O340">
        <v>1.5E-3</v>
      </c>
      <c r="Q340">
        <v>0</v>
      </c>
      <c r="R340">
        <v>0</v>
      </c>
      <c r="S340">
        <v>0.12</v>
      </c>
      <c r="T340">
        <v>8414784</v>
      </c>
    </row>
    <row r="341" spans="1:21" x14ac:dyDescent="0.15">
      <c r="A341" s="4" t="str">
        <f>HYPERLINK("https://ibp.a2mac1.com/costing(costing:projects/details/9760/component/8753839)","Screw &gt; Cross recessed screw with captive washer")</f>
        <v>Screw &gt; Cross recessed screw with captive washer</v>
      </c>
      <c r="B341">
        <v>8753839</v>
      </c>
      <c r="D341">
        <v>0</v>
      </c>
      <c r="E341">
        <v>0.03</v>
      </c>
      <c r="H341">
        <v>8</v>
      </c>
      <c r="I341">
        <v>1600000</v>
      </c>
      <c r="J341" t="s">
        <v>76</v>
      </c>
      <c r="K341">
        <v>15</v>
      </c>
      <c r="L341">
        <v>8</v>
      </c>
      <c r="M341">
        <v>4</v>
      </c>
      <c r="O341">
        <v>2.0999999999999999E-3</v>
      </c>
      <c r="Q341">
        <v>0</v>
      </c>
      <c r="R341">
        <v>0</v>
      </c>
      <c r="S341">
        <v>0.24</v>
      </c>
      <c r="T341">
        <v>8414784</v>
      </c>
    </row>
    <row r="342" spans="1:21" x14ac:dyDescent="0.15">
      <c r="A342" s="4" t="str">
        <f>HYPERLINK("https://ibp.a2mac1.com/costing(costing:projects/details/9760/component/8753795)","Screw &gt; Torx socket head cap screw with flange")</f>
        <v>Screw &gt; Torx socket head cap screw with flange</v>
      </c>
      <c r="B342">
        <v>8753795</v>
      </c>
      <c r="D342">
        <v>0</v>
      </c>
      <c r="E342">
        <v>0.03</v>
      </c>
      <c r="H342">
        <v>4</v>
      </c>
      <c r="I342">
        <v>800000</v>
      </c>
      <c r="J342" t="s">
        <v>76</v>
      </c>
      <c r="K342">
        <v>12</v>
      </c>
      <c r="L342">
        <v>4</v>
      </c>
      <c r="M342">
        <v>4</v>
      </c>
      <c r="O342">
        <v>2E-3</v>
      </c>
      <c r="Q342">
        <v>0</v>
      </c>
      <c r="R342">
        <v>0</v>
      </c>
      <c r="S342">
        <v>0.12</v>
      </c>
      <c r="T342">
        <v>8414735</v>
      </c>
    </row>
    <row r="343" spans="1:21" x14ac:dyDescent="0.15">
      <c r="A343" s="4" t="str">
        <f>HYPERLINK("https://ibp.a2mac1.com/costing(costing:projects/details/9760/component/8753796)","Panel holder &gt; Clips in rectangular hole")</f>
        <v>Panel holder &gt; Clips in rectangular hole</v>
      </c>
      <c r="B343">
        <v>8753796</v>
      </c>
      <c r="D343">
        <v>0</v>
      </c>
      <c r="E343">
        <v>0.03</v>
      </c>
      <c r="H343">
        <v>1</v>
      </c>
      <c r="I343">
        <v>200000</v>
      </c>
      <c r="J343" t="s">
        <v>76</v>
      </c>
      <c r="K343">
        <v>1</v>
      </c>
      <c r="L343">
        <v>18</v>
      </c>
      <c r="M343">
        <v>6</v>
      </c>
      <c r="O343">
        <v>2E-3</v>
      </c>
      <c r="Q343">
        <v>0</v>
      </c>
      <c r="R343">
        <v>0</v>
      </c>
      <c r="S343">
        <v>0.03</v>
      </c>
      <c r="T343">
        <v>8414735</v>
      </c>
    </row>
    <row r="344" spans="1:21" x14ac:dyDescent="0.15">
      <c r="A344" s="4" t="str">
        <f>HYPERLINK("https://ibp.a2mac1.com/costing(costing:projects/details/9760/component/8753797)","Nut &gt; Pinching nut for metal sheet screw")</f>
        <v>Nut &gt; Pinching nut for metal sheet screw</v>
      </c>
      <c r="B344">
        <v>8753797</v>
      </c>
      <c r="D344">
        <v>0</v>
      </c>
      <c r="E344">
        <v>0.03</v>
      </c>
      <c r="H344">
        <v>2</v>
      </c>
      <c r="I344">
        <v>400000</v>
      </c>
      <c r="J344" t="s">
        <v>76</v>
      </c>
      <c r="K344">
        <v>2</v>
      </c>
      <c r="L344">
        <v>4</v>
      </c>
      <c r="M344">
        <v>9</v>
      </c>
      <c r="O344">
        <v>1E-3</v>
      </c>
      <c r="Q344">
        <v>0</v>
      </c>
      <c r="R344">
        <v>0</v>
      </c>
      <c r="S344">
        <v>0.06</v>
      </c>
      <c r="T344">
        <v>8414735</v>
      </c>
    </row>
    <row r="345" spans="1:21" x14ac:dyDescent="0.15">
      <c r="A345" s="4" t="str">
        <f>HYPERLINK("https://ibp.a2mac1.com/costing(costing:projects/details/9760/component/8753876)","Panel holder &gt; Clips in round hole")</f>
        <v>Panel holder &gt; Clips in round hole</v>
      </c>
      <c r="B345">
        <v>8753876</v>
      </c>
      <c r="D345">
        <v>0</v>
      </c>
      <c r="E345">
        <v>0.02</v>
      </c>
      <c r="H345">
        <v>2</v>
      </c>
      <c r="I345">
        <v>400000</v>
      </c>
      <c r="J345" t="s">
        <v>162</v>
      </c>
      <c r="K345">
        <v>8</v>
      </c>
      <c r="L345">
        <v>13</v>
      </c>
      <c r="M345">
        <v>5</v>
      </c>
      <c r="O345">
        <v>1.5E-3</v>
      </c>
      <c r="Q345">
        <v>0</v>
      </c>
      <c r="R345">
        <v>0</v>
      </c>
      <c r="S345">
        <v>0.04</v>
      </c>
      <c r="U345">
        <v>8414925</v>
      </c>
    </row>
    <row r="346" spans="1:21" x14ac:dyDescent="0.15">
      <c r="A346" s="4" t="str">
        <f>HYPERLINK("https://ibp.a2mac1.com/costing(costing:projects/details/9760/component/8753877)","Other Fastener &gt; Attachment")</f>
        <v>Other Fastener &gt; Attachment</v>
      </c>
      <c r="B346">
        <v>8753877</v>
      </c>
      <c r="D346">
        <v>0</v>
      </c>
      <c r="E346">
        <v>0.25</v>
      </c>
      <c r="H346">
        <v>4</v>
      </c>
      <c r="I346">
        <v>800000</v>
      </c>
      <c r="J346" t="s">
        <v>162</v>
      </c>
      <c r="O346">
        <v>8.0000000000000002E-3</v>
      </c>
      <c r="Q346">
        <v>0</v>
      </c>
      <c r="R346">
        <v>0</v>
      </c>
      <c r="S346">
        <v>1</v>
      </c>
      <c r="U346">
        <v>8414925</v>
      </c>
    </row>
    <row r="347" spans="1:21" x14ac:dyDescent="0.15">
      <c r="A347" s="4" t="str">
        <f>HYPERLINK("https://ibp.a2mac1.com/costing(costing:projects/details/9760/component/8753879)","Screw &gt; Torx socket head cap screw")</f>
        <v>Screw &gt; Torx socket head cap screw</v>
      </c>
      <c r="B347">
        <v>8753879</v>
      </c>
      <c r="D347">
        <v>0</v>
      </c>
      <c r="E347">
        <v>0.05</v>
      </c>
      <c r="H347">
        <v>1</v>
      </c>
      <c r="I347">
        <v>200000</v>
      </c>
      <c r="J347" t="s">
        <v>76</v>
      </c>
      <c r="K347">
        <v>14</v>
      </c>
      <c r="L347">
        <v>5</v>
      </c>
      <c r="M347">
        <v>6</v>
      </c>
      <c r="O347">
        <v>5.0000000000000001E-3</v>
      </c>
      <c r="Q347">
        <v>0</v>
      </c>
      <c r="R347">
        <v>0</v>
      </c>
      <c r="S347">
        <v>0.05</v>
      </c>
      <c r="T347">
        <v>8414928</v>
      </c>
    </row>
    <row r="348" spans="1:21" x14ac:dyDescent="0.15">
      <c r="A348" s="4" t="str">
        <f>HYPERLINK("https://ibp.a2mac1.com/costing(costing:projects/details/9760/component/8753880)","Screw &gt; Hexagon socket head cap screw")</f>
        <v>Screw &gt; Hexagon socket head cap screw</v>
      </c>
      <c r="B348">
        <v>8753880</v>
      </c>
      <c r="D348">
        <v>0</v>
      </c>
      <c r="E348">
        <v>0.05</v>
      </c>
      <c r="H348">
        <v>1</v>
      </c>
      <c r="I348">
        <v>200000</v>
      </c>
      <c r="J348" t="s">
        <v>76</v>
      </c>
      <c r="K348">
        <v>14</v>
      </c>
      <c r="L348">
        <v>5</v>
      </c>
      <c r="M348">
        <v>6</v>
      </c>
      <c r="O348">
        <v>5.0000000000000001E-3</v>
      </c>
      <c r="Q348">
        <v>0</v>
      </c>
      <c r="R348">
        <v>0</v>
      </c>
      <c r="S348">
        <v>0.05</v>
      </c>
      <c r="T348">
        <v>8414928</v>
      </c>
    </row>
    <row r="349" spans="1:21" x14ac:dyDescent="0.15">
      <c r="A349" s="4" t="str">
        <f>HYPERLINK("https://ibp.a2mac1.com/costing(costing:projects/details/9760/component/8754006)","Screw &gt; Torx socket head cap screw")</f>
        <v>Screw &gt; Torx socket head cap screw</v>
      </c>
      <c r="B349">
        <v>8754006</v>
      </c>
      <c r="D349">
        <v>0</v>
      </c>
      <c r="E349">
        <v>0.09</v>
      </c>
      <c r="H349">
        <v>2</v>
      </c>
      <c r="I349">
        <v>400000</v>
      </c>
      <c r="J349" t="s">
        <v>162</v>
      </c>
      <c r="K349">
        <v>17</v>
      </c>
      <c r="L349">
        <v>5</v>
      </c>
      <c r="M349">
        <v>6</v>
      </c>
      <c r="O349">
        <v>1.2999999999999999E-2</v>
      </c>
      <c r="Q349">
        <v>0</v>
      </c>
      <c r="R349">
        <v>0</v>
      </c>
      <c r="S349">
        <v>0.18</v>
      </c>
      <c r="U349">
        <v>8415023</v>
      </c>
    </row>
    <row r="350" spans="1:21" x14ac:dyDescent="0.15">
      <c r="A350" s="4" t="str">
        <f>HYPERLINK("https://ibp.a2mac1.com/costing(costing:projects/details/9760/component/8754007)","Other Plastics")</f>
        <v>Other Plastics</v>
      </c>
      <c r="B350">
        <v>8754007</v>
      </c>
      <c r="D350">
        <v>0</v>
      </c>
      <c r="E350">
        <v>0.04</v>
      </c>
      <c r="H350">
        <v>2</v>
      </c>
      <c r="I350">
        <v>400000</v>
      </c>
      <c r="J350" t="s">
        <v>162</v>
      </c>
      <c r="K350">
        <v>0</v>
      </c>
      <c r="L350">
        <v>0</v>
      </c>
      <c r="M350">
        <v>0</v>
      </c>
      <c r="O350">
        <v>2.5000000000000001E-3</v>
      </c>
      <c r="Q350">
        <v>0</v>
      </c>
      <c r="R350">
        <v>0</v>
      </c>
      <c r="S350">
        <v>0.08</v>
      </c>
      <c r="U350">
        <v>8415023</v>
      </c>
    </row>
    <row r="351" spans="1:21" x14ac:dyDescent="0.15">
      <c r="A351" s="4" t="str">
        <f>HYPERLINK("https://ibp.a2mac1.com/costing(costing:projects/details/9760/component/8754008)","Washer &gt; Lock interior washer")</f>
        <v>Washer &gt; Lock interior washer</v>
      </c>
      <c r="B351">
        <v>8754008</v>
      </c>
      <c r="D351">
        <v>0</v>
      </c>
      <c r="E351">
        <v>0.01</v>
      </c>
      <c r="H351">
        <v>4</v>
      </c>
      <c r="I351">
        <v>800000</v>
      </c>
      <c r="J351" t="s">
        <v>162</v>
      </c>
      <c r="K351">
        <v>0</v>
      </c>
      <c r="L351">
        <v>0</v>
      </c>
      <c r="M351">
        <v>0</v>
      </c>
      <c r="O351">
        <v>2.9999999999999997E-4</v>
      </c>
      <c r="Q351">
        <v>0</v>
      </c>
      <c r="R351">
        <v>0</v>
      </c>
      <c r="S351">
        <v>0.04</v>
      </c>
      <c r="U351">
        <v>8415023</v>
      </c>
    </row>
    <row r="352" spans="1:21" x14ac:dyDescent="0.15">
      <c r="A352" s="4" t="str">
        <f>HYPERLINK("https://ibp.a2mac1.com/costing(costing:projects/details/9760/component/8754009)","Screw &gt; Torx socket head cap screw")</f>
        <v>Screw &gt; Torx socket head cap screw</v>
      </c>
      <c r="B352">
        <v>8754009</v>
      </c>
      <c r="D352">
        <v>0</v>
      </c>
      <c r="E352">
        <v>0.09</v>
      </c>
      <c r="H352">
        <v>2</v>
      </c>
      <c r="I352">
        <v>800000</v>
      </c>
      <c r="J352" t="s">
        <v>162</v>
      </c>
      <c r="K352">
        <v>17</v>
      </c>
      <c r="L352">
        <v>5</v>
      </c>
      <c r="M352">
        <v>6</v>
      </c>
      <c r="O352">
        <v>1.2699999999999999E-2</v>
      </c>
      <c r="Q352">
        <v>0</v>
      </c>
      <c r="R352">
        <v>0</v>
      </c>
      <c r="S352">
        <v>0.18</v>
      </c>
      <c r="U352">
        <v>8415024</v>
      </c>
    </row>
    <row r="353" spans="1:21" x14ac:dyDescent="0.15">
      <c r="A353" s="4" t="str">
        <f>HYPERLINK("https://ibp.a2mac1.com/costing(costing:projects/details/9760/component/8754010)","Washer &gt; Lock interior washer")</f>
        <v>Washer &gt; Lock interior washer</v>
      </c>
      <c r="B353">
        <v>8754010</v>
      </c>
      <c r="D353">
        <v>0</v>
      </c>
      <c r="E353">
        <v>0.01</v>
      </c>
      <c r="H353">
        <v>4</v>
      </c>
      <c r="I353">
        <v>1600000</v>
      </c>
      <c r="J353" t="s">
        <v>162</v>
      </c>
      <c r="K353">
        <v>0</v>
      </c>
      <c r="L353">
        <v>0</v>
      </c>
      <c r="M353">
        <v>0</v>
      </c>
      <c r="O353">
        <v>2.9999999999999997E-4</v>
      </c>
      <c r="Q353">
        <v>0</v>
      </c>
      <c r="R353">
        <v>0</v>
      </c>
      <c r="S353">
        <v>0.04</v>
      </c>
      <c r="U353">
        <v>8415024</v>
      </c>
    </row>
    <row r="354" spans="1:21" x14ac:dyDescent="0.15">
      <c r="A354" s="4" t="str">
        <f>HYPERLINK("https://ibp.a2mac1.com/costing(costing:projects/details/9760/component/8754011)","Other Plastics")</f>
        <v>Other Plastics</v>
      </c>
      <c r="B354">
        <v>8754011</v>
      </c>
      <c r="D354">
        <v>0</v>
      </c>
      <c r="E354">
        <v>0.04</v>
      </c>
      <c r="H354">
        <v>2</v>
      </c>
      <c r="I354">
        <v>800000</v>
      </c>
      <c r="J354" t="s">
        <v>162</v>
      </c>
      <c r="K354">
        <v>0</v>
      </c>
      <c r="L354">
        <v>0</v>
      </c>
      <c r="M354">
        <v>0</v>
      </c>
      <c r="O354">
        <v>2.5000000000000001E-3</v>
      </c>
      <c r="Q354">
        <v>0</v>
      </c>
      <c r="R354">
        <v>0</v>
      </c>
      <c r="S354">
        <v>0.08</v>
      </c>
      <c r="U354">
        <v>8415024</v>
      </c>
    </row>
    <row r="355" spans="1:21" x14ac:dyDescent="0.15">
      <c r="A355" s="4" t="str">
        <f>HYPERLINK("https://ibp.a2mac1.com/costing(costing:projects/details/9760/component/8754012)","Screw &gt; Hexagon screw with flange")</f>
        <v>Screw &gt; Hexagon screw with flange</v>
      </c>
      <c r="B355">
        <v>8754012</v>
      </c>
      <c r="D355">
        <v>0</v>
      </c>
      <c r="E355">
        <v>6.3E-2</v>
      </c>
      <c r="H355">
        <v>2</v>
      </c>
      <c r="I355">
        <v>400000</v>
      </c>
      <c r="J355" t="s">
        <v>162</v>
      </c>
      <c r="K355">
        <v>16</v>
      </c>
      <c r="L355">
        <v>10</v>
      </c>
      <c r="M355">
        <v>6</v>
      </c>
      <c r="O355">
        <v>7.4999999999999997E-3</v>
      </c>
      <c r="Q355">
        <v>0</v>
      </c>
      <c r="R355">
        <v>0</v>
      </c>
      <c r="S355">
        <v>0.126</v>
      </c>
      <c r="U355">
        <v>8415025</v>
      </c>
    </row>
    <row r="356" spans="1:21" x14ac:dyDescent="0.15">
      <c r="A356" s="4" t="str">
        <f>HYPERLINK("https://ibp.a2mac1.com/costing(costing:projects/details/9760/component/8754013)","Insert Stud")</f>
        <v>Insert Stud</v>
      </c>
      <c r="B356">
        <v>8754013</v>
      </c>
      <c r="D356">
        <v>0</v>
      </c>
      <c r="E356">
        <v>0.03</v>
      </c>
      <c r="H356">
        <v>2</v>
      </c>
      <c r="I356">
        <v>400000</v>
      </c>
      <c r="J356" t="s">
        <v>162</v>
      </c>
      <c r="K356">
        <v>0</v>
      </c>
      <c r="L356">
        <v>0</v>
      </c>
      <c r="M356">
        <v>0</v>
      </c>
      <c r="O356">
        <v>0</v>
      </c>
      <c r="Q356">
        <v>0</v>
      </c>
      <c r="R356">
        <v>0</v>
      </c>
      <c r="S356">
        <v>0.06</v>
      </c>
      <c r="U356">
        <v>8415025</v>
      </c>
    </row>
    <row r="357" spans="1:21" x14ac:dyDescent="0.15">
      <c r="A357" s="4" t="str">
        <f>HYPERLINK("https://ibp.a2mac1.com/costing(costing:projects/details/9760/component/8754014)","Screw &gt; Hexagon screw with flange")</f>
        <v>Screw &gt; Hexagon screw with flange</v>
      </c>
      <c r="B357">
        <v>8754014</v>
      </c>
      <c r="D357">
        <v>0</v>
      </c>
      <c r="E357">
        <v>6.3E-2</v>
      </c>
      <c r="H357">
        <v>2</v>
      </c>
      <c r="I357">
        <v>800000</v>
      </c>
      <c r="J357" t="s">
        <v>162</v>
      </c>
      <c r="K357">
        <v>16</v>
      </c>
      <c r="L357">
        <v>10</v>
      </c>
      <c r="M357">
        <v>6</v>
      </c>
      <c r="O357">
        <v>7.4999999999999997E-3</v>
      </c>
      <c r="Q357">
        <v>0</v>
      </c>
      <c r="R357">
        <v>0</v>
      </c>
      <c r="S357">
        <v>0.126</v>
      </c>
      <c r="U357">
        <v>8415026</v>
      </c>
    </row>
    <row r="358" spans="1:21" x14ac:dyDescent="0.15">
      <c r="A358" s="4" t="str">
        <f>HYPERLINK("https://ibp.a2mac1.com/costing(costing:projects/details/9760/component/8754015)","Insert Stud")</f>
        <v>Insert Stud</v>
      </c>
      <c r="B358">
        <v>8754015</v>
      </c>
      <c r="D358">
        <v>0</v>
      </c>
      <c r="E358">
        <v>0.03</v>
      </c>
      <c r="H358">
        <v>2</v>
      </c>
      <c r="I358">
        <v>800000</v>
      </c>
      <c r="J358" t="s">
        <v>162</v>
      </c>
      <c r="K358">
        <v>0</v>
      </c>
      <c r="L358">
        <v>0</v>
      </c>
      <c r="M358">
        <v>0</v>
      </c>
      <c r="O358">
        <v>0</v>
      </c>
      <c r="Q358">
        <v>0</v>
      </c>
      <c r="R358">
        <v>0</v>
      </c>
      <c r="S358">
        <v>0.06</v>
      </c>
      <c r="U358">
        <v>8415026</v>
      </c>
    </row>
    <row r="359" spans="1:21" x14ac:dyDescent="0.15">
      <c r="A359" s="4" t="str">
        <f>HYPERLINK("https://ibp.a2mac1.com/costing(costing:projects/details/9760/component/8754016)","Electronics")</f>
        <v>Electronics</v>
      </c>
      <c r="B359">
        <v>8754016</v>
      </c>
      <c r="D359">
        <v>0</v>
      </c>
      <c r="E359">
        <v>3.22</v>
      </c>
      <c r="F359" t="s">
        <v>363</v>
      </c>
      <c r="H359">
        <v>1</v>
      </c>
      <c r="I359">
        <v>200000</v>
      </c>
      <c r="J359" t="s">
        <v>76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364</v>
      </c>
      <c r="Q359">
        <v>0</v>
      </c>
      <c r="R359">
        <v>0</v>
      </c>
      <c r="S359">
        <v>3.0217274907218736</v>
      </c>
      <c r="T359">
        <v>8415027</v>
      </c>
    </row>
    <row r="360" spans="1:21" x14ac:dyDescent="0.15">
      <c r="A360" s="4" t="str">
        <f>HYPERLINK("https://ibp.a2mac1.com/costing(costing:projects/details/9760/component/8754017)","Mechanics")</f>
        <v>Mechanics</v>
      </c>
      <c r="B360">
        <v>8754017</v>
      </c>
      <c r="D360">
        <v>0</v>
      </c>
      <c r="E360">
        <v>1.25</v>
      </c>
      <c r="F360" t="s">
        <v>1493</v>
      </c>
      <c r="H360">
        <v>1</v>
      </c>
      <c r="I360">
        <v>200000</v>
      </c>
      <c r="J360" t="s">
        <v>76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362</v>
      </c>
      <c r="Q360">
        <v>0</v>
      </c>
      <c r="R360">
        <v>0</v>
      </c>
      <c r="S360">
        <v>1.2274696591764105</v>
      </c>
      <c r="T360">
        <v>8415027</v>
      </c>
    </row>
    <row r="361" spans="1:21" x14ac:dyDescent="0.15">
      <c r="A361" s="4" t="str">
        <f>HYPERLINK("https://ibp.a2mac1.com/costing(costing:projects/details/9760/component/8753881)","Panel holder &gt; Clips in rectangular hole")</f>
        <v>Panel holder &gt; Clips in rectangular hole</v>
      </c>
      <c r="B361">
        <v>8753881</v>
      </c>
      <c r="D361">
        <v>0</v>
      </c>
      <c r="E361">
        <v>1.95E-2</v>
      </c>
      <c r="H361">
        <v>2</v>
      </c>
      <c r="I361">
        <v>400000</v>
      </c>
      <c r="J361" t="s">
        <v>76</v>
      </c>
      <c r="K361">
        <v>1</v>
      </c>
      <c r="L361">
        <v>12</v>
      </c>
      <c r="M361">
        <v>6</v>
      </c>
      <c r="O361">
        <v>1E-3</v>
      </c>
      <c r="Q361">
        <v>0</v>
      </c>
      <c r="R361">
        <v>0</v>
      </c>
      <c r="S361">
        <v>3.9E-2</v>
      </c>
      <c r="T361">
        <v>8414930</v>
      </c>
    </row>
    <row r="362" spans="1:21" x14ac:dyDescent="0.15">
      <c r="A362" s="4" t="str">
        <f>HYPERLINK("https://ibp.a2mac1.com/costing(costing:projects/details/9760/component/8753878)","Screw &gt; Torx socket head cap screw")</f>
        <v>Screw &gt; Torx socket head cap screw</v>
      </c>
      <c r="B362">
        <v>8753878</v>
      </c>
      <c r="D362">
        <v>0</v>
      </c>
      <c r="E362">
        <v>0.02</v>
      </c>
      <c r="H362">
        <v>2</v>
      </c>
      <c r="I362">
        <v>800000</v>
      </c>
      <c r="J362" t="s">
        <v>76</v>
      </c>
      <c r="K362">
        <v>12</v>
      </c>
      <c r="L362">
        <v>4</v>
      </c>
      <c r="M362">
        <v>4</v>
      </c>
      <c r="O362">
        <v>1.5E-3</v>
      </c>
      <c r="Q362">
        <v>0</v>
      </c>
      <c r="R362">
        <v>0</v>
      </c>
      <c r="S362">
        <v>0.04</v>
      </c>
      <c r="U362">
        <v>8414926</v>
      </c>
    </row>
    <row r="363" spans="1:21" x14ac:dyDescent="0.15">
      <c r="A363" s="4" t="str">
        <f>HYPERLINK("https://ibp.a2mac1.com/costing(costing:projects/details/9760/component/8754133)","Panel holder &gt; Clips in rectangular hole")</f>
        <v>Panel holder &gt; Clips in rectangular hole</v>
      </c>
      <c r="B363">
        <v>8754133</v>
      </c>
      <c r="D363">
        <v>0</v>
      </c>
      <c r="E363">
        <v>0.02</v>
      </c>
      <c r="H363">
        <v>3</v>
      </c>
      <c r="I363">
        <v>600000</v>
      </c>
      <c r="J363" t="s">
        <v>162</v>
      </c>
      <c r="K363">
        <v>2</v>
      </c>
      <c r="L363">
        <v>9</v>
      </c>
      <c r="M363">
        <v>3</v>
      </c>
      <c r="O363">
        <v>1E-3</v>
      </c>
      <c r="Q363">
        <v>0</v>
      </c>
      <c r="R363">
        <v>0</v>
      </c>
      <c r="S363">
        <v>0.06</v>
      </c>
      <c r="U363">
        <v>8415105</v>
      </c>
    </row>
    <row r="364" spans="1:21" x14ac:dyDescent="0.15">
      <c r="A364" s="4" t="str">
        <f>HYPERLINK("https://ibp.a2mac1.com/costing(costing:projects/details/9760/component/8754134)","Panel holder &gt; Clips in rectangular hole")</f>
        <v>Panel holder &gt; Clips in rectangular hole</v>
      </c>
      <c r="B364">
        <v>8754134</v>
      </c>
      <c r="D364">
        <v>0</v>
      </c>
      <c r="E364">
        <v>0.02</v>
      </c>
      <c r="H364">
        <v>1</v>
      </c>
      <c r="I364">
        <v>200000</v>
      </c>
      <c r="J364" t="s">
        <v>162</v>
      </c>
      <c r="K364">
        <v>0</v>
      </c>
      <c r="L364">
        <v>0</v>
      </c>
      <c r="M364">
        <v>0</v>
      </c>
      <c r="N364">
        <v>0</v>
      </c>
      <c r="O364">
        <v>0</v>
      </c>
      <c r="Q364">
        <v>0</v>
      </c>
      <c r="R364">
        <v>0</v>
      </c>
      <c r="S364">
        <v>0.02</v>
      </c>
      <c r="U364">
        <v>8415105</v>
      </c>
    </row>
    <row r="365" spans="1:21" x14ac:dyDescent="0.15">
      <c r="A365" s="4" t="str">
        <f>HYPERLINK("https://ibp.a2mac1.com/costing(costing:projects/details/9760/component/8754135)","Panel holder &gt; Clips in rectangular hole")</f>
        <v>Panel holder &gt; Clips in rectangular hole</v>
      </c>
      <c r="B365">
        <v>8754135</v>
      </c>
      <c r="D365">
        <v>0</v>
      </c>
      <c r="E365">
        <v>2.5000000000000001E-2</v>
      </c>
      <c r="H365">
        <v>2</v>
      </c>
      <c r="I365">
        <v>400000</v>
      </c>
      <c r="J365" t="s">
        <v>162</v>
      </c>
      <c r="K365">
        <v>0</v>
      </c>
      <c r="L365">
        <v>0</v>
      </c>
      <c r="M365">
        <v>0</v>
      </c>
      <c r="N365">
        <v>0</v>
      </c>
      <c r="O365">
        <v>0</v>
      </c>
      <c r="Q365">
        <v>0</v>
      </c>
      <c r="R365">
        <v>0</v>
      </c>
      <c r="S365">
        <v>0.05</v>
      </c>
      <c r="U365">
        <v>8415105</v>
      </c>
    </row>
    <row r="366" spans="1:21" x14ac:dyDescent="0.15">
      <c r="A366" s="4" t="str">
        <f>HYPERLINK("https://ibp.a2mac1.com/costing(costing:projects/details/9760/component/8754018)","Other fastener &gt; Attachment")</f>
        <v>Other fastener &gt; Attachment</v>
      </c>
      <c r="B366">
        <v>8754018</v>
      </c>
      <c r="D366">
        <v>0</v>
      </c>
      <c r="E366">
        <v>0.05</v>
      </c>
      <c r="H366">
        <v>1</v>
      </c>
      <c r="I366">
        <v>200000</v>
      </c>
      <c r="J366" t="s">
        <v>162</v>
      </c>
      <c r="K366">
        <v>17</v>
      </c>
      <c r="L366">
        <v>23</v>
      </c>
      <c r="M366">
        <v>37</v>
      </c>
      <c r="O366">
        <v>8.9999999999999993E-3</v>
      </c>
      <c r="Q366">
        <v>0</v>
      </c>
      <c r="R366">
        <v>0</v>
      </c>
      <c r="S366">
        <v>0.05</v>
      </c>
      <c r="U366">
        <v>8415029</v>
      </c>
    </row>
    <row r="367" spans="1:21" x14ac:dyDescent="0.15">
      <c r="A367" s="4" t="str">
        <f>HYPERLINK("https://ibp.a2mac1.com/costing(costing:projects/details/9760/component/8754019)","Panel holder &gt; Clips in rectangular hole")</f>
        <v>Panel holder &gt; Clips in rectangular hole</v>
      </c>
      <c r="B367">
        <v>8754019</v>
      </c>
      <c r="D367">
        <v>0</v>
      </c>
      <c r="E367">
        <v>0.01</v>
      </c>
      <c r="H367">
        <v>2</v>
      </c>
      <c r="I367">
        <v>400000</v>
      </c>
      <c r="J367" t="s">
        <v>162</v>
      </c>
      <c r="Q367">
        <v>0</v>
      </c>
      <c r="R367">
        <v>0</v>
      </c>
      <c r="S367">
        <v>0.02</v>
      </c>
      <c r="U367">
        <v>8415029</v>
      </c>
    </row>
    <row r="368" spans="1:21" x14ac:dyDescent="0.15">
      <c r="A368" s="4" t="str">
        <f>HYPERLINK("https://ibp.a2mac1.com/costing(costing:projects/details/9760/component/8754020)","Panel holder &gt; Clips in rectangular hole")</f>
        <v>Panel holder &gt; Clips in rectangular hole</v>
      </c>
      <c r="B368">
        <v>8754020</v>
      </c>
      <c r="D368">
        <v>0</v>
      </c>
      <c r="E368">
        <v>0.02</v>
      </c>
      <c r="H368">
        <v>3</v>
      </c>
      <c r="I368">
        <v>600000</v>
      </c>
      <c r="J368" t="s">
        <v>162</v>
      </c>
      <c r="K368">
        <v>1</v>
      </c>
      <c r="L368">
        <v>12</v>
      </c>
      <c r="M368">
        <v>6</v>
      </c>
      <c r="O368">
        <v>1.6999999999999999E-3</v>
      </c>
      <c r="Q368">
        <v>0</v>
      </c>
      <c r="R368">
        <v>0</v>
      </c>
      <c r="S368">
        <v>0.06</v>
      </c>
      <c r="U368">
        <v>8415030</v>
      </c>
    </row>
    <row r="369" spans="1:21" x14ac:dyDescent="0.15">
      <c r="A369" s="4" t="str">
        <f>HYPERLINK("https://ibp.a2mac1.com/costing(costing:projects/details/9760/component/8754021)","Rivet &gt; Push in Rivet")</f>
        <v>Rivet &gt; Push in Rivet</v>
      </c>
      <c r="B369">
        <v>8754021</v>
      </c>
      <c r="D369">
        <v>0</v>
      </c>
      <c r="E369">
        <v>0.01</v>
      </c>
      <c r="H369">
        <v>1</v>
      </c>
      <c r="I369">
        <v>200000</v>
      </c>
      <c r="J369" t="s">
        <v>162</v>
      </c>
      <c r="Q369">
        <v>0</v>
      </c>
      <c r="R369">
        <v>0</v>
      </c>
      <c r="S369">
        <v>0.01</v>
      </c>
      <c r="U369">
        <v>8415030</v>
      </c>
    </row>
    <row r="370" spans="1:21" x14ac:dyDescent="0.15">
      <c r="A370" s="4" t="str">
        <f>HYPERLINK("https://ibp.a2mac1.com/costing(costing:projects/details/9760/component/8754022)","Panel holder &gt; Clips in rectangular hole")</f>
        <v>Panel holder &gt; Clips in rectangular hole</v>
      </c>
      <c r="B370">
        <v>8754022</v>
      </c>
      <c r="D370">
        <v>0</v>
      </c>
      <c r="E370">
        <v>0.02</v>
      </c>
      <c r="H370">
        <v>6</v>
      </c>
      <c r="I370">
        <v>1200000</v>
      </c>
      <c r="J370" t="s">
        <v>162</v>
      </c>
      <c r="K370">
        <v>1</v>
      </c>
      <c r="L370">
        <v>12</v>
      </c>
      <c r="M370">
        <v>6</v>
      </c>
      <c r="O370">
        <v>1.5E-3</v>
      </c>
      <c r="Q370">
        <v>0</v>
      </c>
      <c r="R370">
        <v>0</v>
      </c>
      <c r="S370">
        <v>0.12</v>
      </c>
      <c r="U370">
        <v>8415032</v>
      </c>
    </row>
    <row r="371" spans="1:21" x14ac:dyDescent="0.15">
      <c r="A371" s="4" t="str">
        <f>HYPERLINK("https://ibp.a2mac1.com/costing(costing:projects/details/9760/component/8754023)","Panel holder &gt; Clips in rectangular hole")</f>
        <v>Panel holder &gt; Clips in rectangular hole</v>
      </c>
      <c r="B371">
        <v>8754023</v>
      </c>
      <c r="D371">
        <v>0</v>
      </c>
      <c r="E371">
        <v>0.02</v>
      </c>
      <c r="H371">
        <v>1</v>
      </c>
      <c r="I371">
        <v>200000</v>
      </c>
      <c r="J371" t="s">
        <v>162</v>
      </c>
      <c r="K371">
        <v>2</v>
      </c>
      <c r="L371">
        <v>9</v>
      </c>
      <c r="M371">
        <v>6</v>
      </c>
      <c r="O371">
        <v>1E-3</v>
      </c>
      <c r="Q371">
        <v>0</v>
      </c>
      <c r="R371">
        <v>0</v>
      </c>
      <c r="S371">
        <v>0.02</v>
      </c>
      <c r="U371">
        <v>8415033</v>
      </c>
    </row>
    <row r="372" spans="1:21" x14ac:dyDescent="0.15">
      <c r="A372" s="4" t="str">
        <f>HYPERLINK("https://ibp.a2mac1.com/costing(costing:projects/details/9760/component/8754024)","Panel holder &gt; Clips in rectangular hole")</f>
        <v>Panel holder &gt; Clips in rectangular hole</v>
      </c>
      <c r="B372">
        <v>8754024</v>
      </c>
      <c r="D372">
        <v>0</v>
      </c>
      <c r="E372">
        <v>0.02</v>
      </c>
      <c r="H372">
        <v>4</v>
      </c>
      <c r="I372">
        <v>800000</v>
      </c>
      <c r="J372" t="s">
        <v>162</v>
      </c>
      <c r="K372">
        <v>1</v>
      </c>
      <c r="L372">
        <v>12</v>
      </c>
      <c r="M372">
        <v>6</v>
      </c>
      <c r="O372">
        <v>1.5E-3</v>
      </c>
      <c r="Q372">
        <v>0</v>
      </c>
      <c r="R372">
        <v>0</v>
      </c>
      <c r="S372">
        <v>0.08</v>
      </c>
      <c r="U372">
        <v>8415035</v>
      </c>
    </row>
    <row r="373" spans="1:21" x14ac:dyDescent="0.15">
      <c r="A373" s="4" t="str">
        <f>HYPERLINK("https://ibp.a2mac1.com/costing(costing:projects/details/9760/component/8754025)","Panel holder &gt; Clips in rectangular hole")</f>
        <v>Panel holder &gt; Clips in rectangular hole</v>
      </c>
      <c r="B373">
        <v>8754025</v>
      </c>
      <c r="D373">
        <v>0</v>
      </c>
      <c r="E373">
        <v>0.02</v>
      </c>
      <c r="H373">
        <v>1</v>
      </c>
      <c r="I373">
        <v>200000</v>
      </c>
      <c r="J373" t="s">
        <v>162</v>
      </c>
      <c r="K373">
        <v>1</v>
      </c>
      <c r="L373">
        <v>12</v>
      </c>
      <c r="M373">
        <v>6</v>
      </c>
      <c r="O373">
        <v>1E-3</v>
      </c>
      <c r="Q373">
        <v>0</v>
      </c>
      <c r="R373">
        <v>0</v>
      </c>
      <c r="S373">
        <v>0.02</v>
      </c>
      <c r="U373">
        <v>8415036</v>
      </c>
    </row>
    <row r="374" spans="1:21" x14ac:dyDescent="0.15">
      <c r="A374" s="4" t="str">
        <f>HYPERLINK("https://ibp.a2mac1.com/costing(costing:projects/details/9760/component/8754026)","Panel holder &gt; Clips in round hole")</f>
        <v>Panel holder &gt; Clips in round hole</v>
      </c>
      <c r="B374">
        <v>8754026</v>
      </c>
      <c r="D374">
        <v>0</v>
      </c>
      <c r="E374">
        <v>0.01</v>
      </c>
      <c r="H374">
        <v>6</v>
      </c>
      <c r="I374">
        <v>1200000</v>
      </c>
      <c r="J374" t="s">
        <v>162</v>
      </c>
      <c r="K374">
        <v>8</v>
      </c>
      <c r="L374">
        <v>13</v>
      </c>
      <c r="M374">
        <v>5</v>
      </c>
      <c r="O374">
        <v>6.9999999999999999E-4</v>
      </c>
      <c r="Q374">
        <v>0</v>
      </c>
      <c r="R374">
        <v>0</v>
      </c>
      <c r="S374">
        <v>0.06</v>
      </c>
      <c r="U374">
        <v>8415037</v>
      </c>
    </row>
    <row r="375" spans="1:21" x14ac:dyDescent="0.15">
      <c r="A375" s="4" t="str">
        <f>HYPERLINK("https://ibp.a2mac1.com/costing(costing:projects/details/9760/component/8754027)","Screw &gt; Torx socket head cap screw")</f>
        <v>Screw &gt; Torx socket head cap screw</v>
      </c>
      <c r="B375">
        <v>8754027</v>
      </c>
      <c r="D375">
        <v>0</v>
      </c>
      <c r="E375">
        <v>0.02</v>
      </c>
      <c r="H375">
        <v>1</v>
      </c>
      <c r="I375">
        <v>200000</v>
      </c>
      <c r="J375" t="s">
        <v>162</v>
      </c>
      <c r="K375">
        <v>16</v>
      </c>
      <c r="L375">
        <v>4</v>
      </c>
      <c r="M375">
        <v>5</v>
      </c>
      <c r="O375">
        <v>2E-3</v>
      </c>
      <c r="Q375">
        <v>0</v>
      </c>
      <c r="R375">
        <v>0</v>
      </c>
      <c r="S375">
        <v>0.02</v>
      </c>
      <c r="U375">
        <v>8415039</v>
      </c>
    </row>
    <row r="376" spans="1:21" x14ac:dyDescent="0.15">
      <c r="A376" s="4" t="str">
        <f>HYPERLINK("https://ibp.a2mac1.com/costing(costing:projects/details/9760/component/8754028)","Nut &gt; Clipping nut for soft materials screw")</f>
        <v>Nut &gt; Clipping nut for soft materials screw</v>
      </c>
      <c r="B376">
        <v>8754028</v>
      </c>
      <c r="D376">
        <v>0</v>
      </c>
      <c r="E376">
        <v>0.02</v>
      </c>
      <c r="H376">
        <v>1</v>
      </c>
      <c r="I376">
        <v>200000</v>
      </c>
      <c r="J376" t="s">
        <v>162</v>
      </c>
      <c r="K376">
        <v>0</v>
      </c>
      <c r="L376">
        <v>0</v>
      </c>
      <c r="M376">
        <v>0</v>
      </c>
      <c r="N376">
        <v>0</v>
      </c>
      <c r="O376">
        <v>0</v>
      </c>
      <c r="Q376">
        <v>0</v>
      </c>
      <c r="R376">
        <v>0</v>
      </c>
      <c r="S376">
        <v>0.02</v>
      </c>
      <c r="U376">
        <v>8415039</v>
      </c>
    </row>
    <row r="377" spans="1:21" x14ac:dyDescent="0.15">
      <c r="A377" s="4" t="str">
        <f>HYPERLINK("https://ibp.a2mac1.com/costing(costing:projects/details/9760/component/8754029)","Screw &gt; Cross recessed screw")</f>
        <v>Screw &gt; Cross recessed screw</v>
      </c>
      <c r="B377">
        <v>8754029</v>
      </c>
      <c r="D377">
        <v>0</v>
      </c>
      <c r="E377">
        <v>0.02</v>
      </c>
      <c r="H377">
        <v>1</v>
      </c>
      <c r="I377">
        <v>200000</v>
      </c>
      <c r="J377" t="s">
        <v>162</v>
      </c>
      <c r="Q377">
        <v>0</v>
      </c>
      <c r="R377">
        <v>0</v>
      </c>
      <c r="S377">
        <v>0.02</v>
      </c>
      <c r="U377">
        <v>8415041</v>
      </c>
    </row>
    <row r="378" spans="1:21" x14ac:dyDescent="0.15">
      <c r="A378" s="4" t="str">
        <f>HYPERLINK("https://ibp.a2mac1.com/costing(costing:projects/details/9760/component/8754030)","Nut &gt; Clipping nut for soft materials screw")</f>
        <v>Nut &gt; Clipping nut for soft materials screw</v>
      </c>
      <c r="B378">
        <v>8754030</v>
      </c>
      <c r="D378">
        <v>0</v>
      </c>
      <c r="E378">
        <v>0.02</v>
      </c>
      <c r="H378">
        <v>1</v>
      </c>
      <c r="I378">
        <v>200000</v>
      </c>
      <c r="J378" t="s">
        <v>162</v>
      </c>
      <c r="Q378">
        <v>0</v>
      </c>
      <c r="R378">
        <v>0</v>
      </c>
      <c r="S378">
        <v>0.02</v>
      </c>
      <c r="U378">
        <v>8415041</v>
      </c>
    </row>
    <row r="379" spans="1:21" x14ac:dyDescent="0.15">
      <c r="A379" s="4" t="str">
        <f>HYPERLINK("https://ibp.a2mac1.com/costing(costing:projects/details/9760/component/8754031)","Other fastener &gt; Attachment")</f>
        <v>Other fastener &gt; Attachment</v>
      </c>
      <c r="B379">
        <v>8754031</v>
      </c>
      <c r="D379">
        <v>0</v>
      </c>
      <c r="E379">
        <v>0.02</v>
      </c>
      <c r="H379">
        <v>1</v>
      </c>
      <c r="I379">
        <v>200000</v>
      </c>
      <c r="J379" t="s">
        <v>162</v>
      </c>
      <c r="Q379">
        <v>0</v>
      </c>
      <c r="R379">
        <v>0</v>
      </c>
      <c r="S379">
        <v>0.02</v>
      </c>
      <c r="U379">
        <v>8415041</v>
      </c>
    </row>
    <row r="380" spans="1:21" x14ac:dyDescent="0.15">
      <c r="A380" s="4" t="str">
        <f>HYPERLINK("https://ibp.a2mac1.com/costing(costing:projects/details/9760/component/8754032)","Panel holder &gt; Clips in rectangular hole")</f>
        <v>Panel holder &gt; Clips in rectangular hole</v>
      </c>
      <c r="B380">
        <v>8754032</v>
      </c>
      <c r="D380">
        <v>0</v>
      </c>
      <c r="E380">
        <v>0.02</v>
      </c>
      <c r="H380">
        <v>2</v>
      </c>
      <c r="I380">
        <v>400000</v>
      </c>
      <c r="J380" t="s">
        <v>162</v>
      </c>
      <c r="Q380">
        <v>0</v>
      </c>
      <c r="R380">
        <v>0</v>
      </c>
      <c r="S380">
        <v>0.04</v>
      </c>
      <c r="U380">
        <v>8415041</v>
      </c>
    </row>
    <row r="381" spans="1:21" x14ac:dyDescent="0.15">
      <c r="A381" s="4" t="str">
        <f>HYPERLINK("https://ibp.a2mac1.com/costing(costing:projects/details/9760/component/8754033)","Plug")</f>
        <v>Plug</v>
      </c>
      <c r="B381">
        <v>8754033</v>
      </c>
      <c r="D381">
        <v>0</v>
      </c>
      <c r="E381">
        <v>0.04</v>
      </c>
      <c r="H381">
        <v>1</v>
      </c>
      <c r="I381">
        <v>200000</v>
      </c>
      <c r="J381" t="s">
        <v>162</v>
      </c>
      <c r="Q381">
        <v>0</v>
      </c>
      <c r="R381">
        <v>0</v>
      </c>
      <c r="S381">
        <v>0.04</v>
      </c>
      <c r="U381">
        <v>8415041</v>
      </c>
    </row>
    <row r="382" spans="1:21" x14ac:dyDescent="0.15">
      <c r="A382" s="4" t="str">
        <f>HYPERLINK("https://ibp.a2mac1.com/costing(costing:projects/details/9760/component/8753882)","Screw &gt; Hexagon screw with flange")</f>
        <v>Screw &gt; Hexagon screw with flange</v>
      </c>
      <c r="B382">
        <v>8753882</v>
      </c>
      <c r="D382">
        <v>0</v>
      </c>
      <c r="E382">
        <v>0.06</v>
      </c>
      <c r="H382">
        <v>1</v>
      </c>
      <c r="I382">
        <v>200000</v>
      </c>
      <c r="J382" t="s">
        <v>76</v>
      </c>
      <c r="K382">
        <v>18</v>
      </c>
      <c r="L382">
        <v>10</v>
      </c>
      <c r="M382">
        <v>6</v>
      </c>
      <c r="O382">
        <v>8.0000000000000002E-3</v>
      </c>
      <c r="Q382">
        <v>0</v>
      </c>
      <c r="R382">
        <v>0</v>
      </c>
      <c r="S382">
        <v>0.06</v>
      </c>
      <c r="T382">
        <v>8414931</v>
      </c>
    </row>
    <row r="383" spans="1:21" x14ac:dyDescent="0.15">
      <c r="A383" s="4" t="str">
        <f>HYPERLINK("https://ibp.a2mac1.com/costing(costing:projects/details/9760/component/8754139)","Panel holder &gt; Clips on stud")</f>
        <v>Panel holder &gt; Clips on stud</v>
      </c>
      <c r="B383">
        <v>8754139</v>
      </c>
      <c r="D383">
        <v>0</v>
      </c>
      <c r="E383">
        <v>0.02</v>
      </c>
      <c r="H383">
        <v>3</v>
      </c>
      <c r="I383">
        <v>600000</v>
      </c>
      <c r="J383" t="s">
        <v>162</v>
      </c>
      <c r="K383">
        <v>15</v>
      </c>
      <c r="L383">
        <v>8</v>
      </c>
      <c r="M383">
        <v>18</v>
      </c>
      <c r="O383">
        <v>6.9999999999999999E-4</v>
      </c>
      <c r="Q383">
        <v>0</v>
      </c>
      <c r="R383">
        <v>0</v>
      </c>
      <c r="S383">
        <v>0.06</v>
      </c>
      <c r="U383">
        <v>8415106</v>
      </c>
    </row>
    <row r="384" spans="1:21" x14ac:dyDescent="0.15">
      <c r="A384" s="4" t="str">
        <f>HYPERLINK("https://ibp.a2mac1.com/costing(costing:projects/details/9760/component/8754140)","EPP Foam")</f>
        <v>EPP Foam</v>
      </c>
      <c r="B384">
        <v>8754140</v>
      </c>
      <c r="D384">
        <v>0</v>
      </c>
      <c r="E384">
        <v>0.6</v>
      </c>
      <c r="H384">
        <v>1</v>
      </c>
      <c r="I384">
        <v>200000</v>
      </c>
      <c r="J384" t="s">
        <v>162</v>
      </c>
      <c r="K384">
        <v>0</v>
      </c>
      <c r="L384">
        <v>0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0.6</v>
      </c>
      <c r="U384">
        <v>8415106</v>
      </c>
    </row>
    <row r="385" spans="1:21" x14ac:dyDescent="0.15">
      <c r="A385" s="4" t="str">
        <f>HYPERLINK("https://ibp.a2mac1.com/costing(costing:projects/details/9760/component/8754141)","PU Foam")</f>
        <v>PU Foam</v>
      </c>
      <c r="B385">
        <v>8754141</v>
      </c>
      <c r="D385">
        <v>0</v>
      </c>
      <c r="E385">
        <v>0.1</v>
      </c>
      <c r="H385">
        <v>1</v>
      </c>
      <c r="I385">
        <v>200000</v>
      </c>
      <c r="J385" t="s">
        <v>162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0.1</v>
      </c>
      <c r="U385">
        <v>8415106</v>
      </c>
    </row>
    <row r="386" spans="1:21" x14ac:dyDescent="0.15">
      <c r="A386" s="4" t="str">
        <f>HYPERLINK("https://ibp.a2mac1.com/costing(costing:projects/details/9760/component/8754142)","Plastic Fixings")</f>
        <v>Plastic Fixings</v>
      </c>
      <c r="B386">
        <v>8754142</v>
      </c>
      <c r="D386">
        <v>0</v>
      </c>
      <c r="E386">
        <v>0.2</v>
      </c>
      <c r="H386">
        <v>1</v>
      </c>
      <c r="I386">
        <v>200000</v>
      </c>
      <c r="J386" t="s">
        <v>162</v>
      </c>
      <c r="K386">
        <v>0</v>
      </c>
      <c r="L386">
        <v>0</v>
      </c>
      <c r="M386">
        <v>0</v>
      </c>
      <c r="N386">
        <v>0</v>
      </c>
      <c r="O386">
        <v>0</v>
      </c>
      <c r="Q386">
        <v>0</v>
      </c>
      <c r="R386">
        <v>0</v>
      </c>
      <c r="S386">
        <v>0.2</v>
      </c>
      <c r="U386">
        <v>8415106</v>
      </c>
    </row>
    <row r="387" spans="1:21" x14ac:dyDescent="0.15">
      <c r="A387" s="4" t="str">
        <f>HYPERLINK("https://ibp.a2mac1.com/costing(costing:projects/details/9760/component/8754143)","Panel holder &gt; Clips in round hole")</f>
        <v>Panel holder &gt; Clips in round hole</v>
      </c>
      <c r="B387">
        <v>8754143</v>
      </c>
      <c r="D387">
        <v>0</v>
      </c>
      <c r="E387">
        <v>0.02</v>
      </c>
      <c r="H387">
        <v>2</v>
      </c>
      <c r="I387">
        <v>400000</v>
      </c>
      <c r="J387" t="s">
        <v>162</v>
      </c>
      <c r="O387">
        <v>1E-3</v>
      </c>
      <c r="Q387">
        <v>0</v>
      </c>
      <c r="R387">
        <v>0</v>
      </c>
      <c r="S387">
        <v>0.04</v>
      </c>
      <c r="U387">
        <v>8415106</v>
      </c>
    </row>
    <row r="388" spans="1:21" x14ac:dyDescent="0.15">
      <c r="A388" s="4" t="str">
        <f>HYPERLINK("https://ibp.a2mac1.com/costing(costing:projects/details/9760/component/8754149)","Tube/cluster support &gt; Tube/cluster clipped support in hole")</f>
        <v>Tube/cluster support &gt; Tube/cluster clipped support in hole</v>
      </c>
      <c r="B388">
        <v>8754149</v>
      </c>
      <c r="D388">
        <v>0</v>
      </c>
      <c r="E388">
        <v>0.02</v>
      </c>
      <c r="H388">
        <v>2</v>
      </c>
      <c r="I388">
        <v>400000</v>
      </c>
      <c r="J388" t="s">
        <v>76</v>
      </c>
      <c r="K388">
        <v>0</v>
      </c>
      <c r="L388">
        <v>0</v>
      </c>
      <c r="M388">
        <v>0</v>
      </c>
      <c r="N388">
        <v>0</v>
      </c>
      <c r="O388">
        <v>4.0000000000000001E-3</v>
      </c>
      <c r="Q388">
        <v>0</v>
      </c>
      <c r="R388">
        <v>0</v>
      </c>
      <c r="S388">
        <v>0.04</v>
      </c>
      <c r="T388">
        <v>8415109</v>
      </c>
    </row>
    <row r="389" spans="1:21" x14ac:dyDescent="0.15">
      <c r="A389" s="4" t="str">
        <f>HYPERLINK("https://ibp.a2mac1.com/costing(costing:projects/details/9760/component/8754150)","Rivet &gt; Push-in rivet")</f>
        <v>Rivet &gt; Push-in rivet</v>
      </c>
      <c r="B389">
        <v>8754150</v>
      </c>
      <c r="D389">
        <v>0</v>
      </c>
      <c r="E389">
        <v>0.02</v>
      </c>
      <c r="H389">
        <v>2</v>
      </c>
      <c r="I389">
        <v>400000</v>
      </c>
      <c r="J389" t="s">
        <v>76</v>
      </c>
      <c r="L389">
        <v>15</v>
      </c>
      <c r="M389">
        <v>14</v>
      </c>
      <c r="O389">
        <v>5.0000000000000001E-4</v>
      </c>
      <c r="Q389">
        <v>0</v>
      </c>
      <c r="R389">
        <v>0</v>
      </c>
      <c r="S389">
        <v>0.04</v>
      </c>
      <c r="T389">
        <v>8415109</v>
      </c>
    </row>
    <row r="390" spans="1:21" x14ac:dyDescent="0.15">
      <c r="A390" s="4" t="str">
        <f>HYPERLINK("https://ibp.a2mac1.com/costing(costing:projects/details/9760/component/8754144)","Panel holder &gt; Clips in round hole")</f>
        <v>Panel holder &gt; Clips in round hole</v>
      </c>
      <c r="B390">
        <v>8754144</v>
      </c>
      <c r="D390">
        <v>0</v>
      </c>
      <c r="E390">
        <v>0.02</v>
      </c>
      <c r="H390">
        <v>2</v>
      </c>
      <c r="I390">
        <v>400000</v>
      </c>
      <c r="J390" t="s">
        <v>162</v>
      </c>
      <c r="K390">
        <v>8</v>
      </c>
      <c r="L390">
        <v>13</v>
      </c>
      <c r="M390">
        <v>5</v>
      </c>
      <c r="O390">
        <v>5.0000000000000001E-4</v>
      </c>
      <c r="Q390">
        <v>0</v>
      </c>
      <c r="R390">
        <v>0</v>
      </c>
      <c r="S390">
        <v>0.04</v>
      </c>
      <c r="U390">
        <v>8415108</v>
      </c>
    </row>
    <row r="391" spans="1:21" x14ac:dyDescent="0.15">
      <c r="A391" s="4" t="str">
        <f>HYPERLINK("https://ibp.a2mac1.com/costing(costing:projects/details/9760/component/8754145)","Panel holder &gt; Clips on stud")</f>
        <v>Panel holder &gt; Clips on stud</v>
      </c>
      <c r="B391">
        <v>8754145</v>
      </c>
      <c r="D391">
        <v>0</v>
      </c>
      <c r="E391">
        <v>0.02</v>
      </c>
      <c r="H391">
        <v>2</v>
      </c>
      <c r="I391">
        <v>400000</v>
      </c>
      <c r="J391" t="s">
        <v>162</v>
      </c>
      <c r="K391">
        <v>15</v>
      </c>
      <c r="L391">
        <v>8</v>
      </c>
      <c r="M391">
        <v>18</v>
      </c>
      <c r="O391">
        <v>6.9999999999999999E-4</v>
      </c>
      <c r="Q391">
        <v>0</v>
      </c>
      <c r="R391">
        <v>0</v>
      </c>
      <c r="S391">
        <v>0.04</v>
      </c>
      <c r="U391">
        <v>8415108</v>
      </c>
    </row>
    <row r="392" spans="1:21" x14ac:dyDescent="0.15">
      <c r="A392" s="4" t="str">
        <f>HYPERLINK("https://ibp.a2mac1.com/costing(costing:projects/details/9760/component/8754146)","EPP Foam")</f>
        <v>EPP Foam</v>
      </c>
      <c r="B392">
        <v>8754146</v>
      </c>
      <c r="D392">
        <v>0</v>
      </c>
      <c r="E392">
        <v>0.5</v>
      </c>
      <c r="H392">
        <v>1</v>
      </c>
      <c r="I392">
        <v>200000</v>
      </c>
      <c r="J392" t="s">
        <v>162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0</v>
      </c>
      <c r="R392">
        <v>0</v>
      </c>
      <c r="S392">
        <v>0.5</v>
      </c>
      <c r="U392">
        <v>8415108</v>
      </c>
    </row>
    <row r="393" spans="1:21" x14ac:dyDescent="0.15">
      <c r="A393" s="4" t="str">
        <f>HYPERLINK("https://ibp.a2mac1.com/costing(costing:projects/details/9760/component/8754147)","PU Foam")</f>
        <v>PU Foam</v>
      </c>
      <c r="B393">
        <v>8754147</v>
      </c>
      <c r="D393">
        <v>0</v>
      </c>
      <c r="E393">
        <v>0.2</v>
      </c>
      <c r="H393">
        <v>1</v>
      </c>
      <c r="I393">
        <v>200000</v>
      </c>
      <c r="J393" t="s">
        <v>162</v>
      </c>
      <c r="K393">
        <v>0</v>
      </c>
      <c r="L393">
        <v>0</v>
      </c>
      <c r="M393">
        <v>0</v>
      </c>
      <c r="N393">
        <v>0</v>
      </c>
      <c r="O393">
        <v>0</v>
      </c>
      <c r="Q393">
        <v>0</v>
      </c>
      <c r="R393">
        <v>0</v>
      </c>
      <c r="S393">
        <v>0.2</v>
      </c>
      <c r="U393">
        <v>8415108</v>
      </c>
    </row>
    <row r="394" spans="1:21" x14ac:dyDescent="0.15">
      <c r="A394" s="4" t="str">
        <f>HYPERLINK("https://ibp.a2mac1.com/costing(costing:projects/details/9760/component/8754148)","Plastic Fixings")</f>
        <v>Plastic Fixings</v>
      </c>
      <c r="B394">
        <v>8754148</v>
      </c>
      <c r="D394">
        <v>0</v>
      </c>
      <c r="E394">
        <v>0.1</v>
      </c>
      <c r="H394">
        <v>1</v>
      </c>
      <c r="I394">
        <v>200000</v>
      </c>
      <c r="J394" t="s">
        <v>162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0.1</v>
      </c>
      <c r="U394">
        <v>8415108</v>
      </c>
    </row>
    <row r="395" spans="1:21" x14ac:dyDescent="0.15">
      <c r="A395" s="4" t="str">
        <f>HYPERLINK("https://ibp.a2mac1.com/costing(costing:projects/details/9760/component/8753883)","Panel holder &gt; Clips in round hole")</f>
        <v>Panel holder &gt; Clips in round hole</v>
      </c>
      <c r="B395">
        <v>8753883</v>
      </c>
      <c r="D395">
        <v>0</v>
      </c>
      <c r="E395">
        <v>0.02</v>
      </c>
      <c r="H395">
        <v>4</v>
      </c>
      <c r="I395">
        <v>800000</v>
      </c>
      <c r="J395" t="s">
        <v>76</v>
      </c>
      <c r="K395">
        <v>8</v>
      </c>
      <c r="L395">
        <v>13</v>
      </c>
      <c r="M395">
        <v>5</v>
      </c>
      <c r="O395">
        <v>1E-3</v>
      </c>
      <c r="Q395">
        <v>0</v>
      </c>
      <c r="R395">
        <v>0</v>
      </c>
      <c r="S395">
        <v>0.08</v>
      </c>
      <c r="T395">
        <v>8414932</v>
      </c>
    </row>
    <row r="396" spans="1:21" x14ac:dyDescent="0.15">
      <c r="A396" s="4" t="str">
        <f>HYPERLINK("https://ibp.a2mac1.com/costing(costing:projects/details/9760/component/8754161)","Panel holder &gt; Clips in rectangular hole")</f>
        <v>Panel holder &gt; Clips in rectangular hole</v>
      </c>
      <c r="B396">
        <v>8754161</v>
      </c>
      <c r="D396">
        <v>0</v>
      </c>
      <c r="E396">
        <v>0.02</v>
      </c>
      <c r="H396">
        <v>3</v>
      </c>
      <c r="I396">
        <v>600000</v>
      </c>
      <c r="J396" t="s">
        <v>162</v>
      </c>
      <c r="K396">
        <v>2</v>
      </c>
      <c r="L396">
        <v>9</v>
      </c>
      <c r="M396">
        <v>3</v>
      </c>
      <c r="O396">
        <v>1E-3</v>
      </c>
      <c r="Q396">
        <v>0</v>
      </c>
      <c r="R396">
        <v>0</v>
      </c>
      <c r="S396">
        <v>0.06</v>
      </c>
      <c r="U396">
        <v>8415110</v>
      </c>
    </row>
    <row r="397" spans="1:21" x14ac:dyDescent="0.15">
      <c r="A397" s="4" t="str">
        <f>HYPERLINK("https://ibp.a2mac1.com/costing(costing:projects/details/9760/component/8754162)","Panel holder &gt; Clips in rectangular hole")</f>
        <v>Panel holder &gt; Clips in rectangular hole</v>
      </c>
      <c r="B397">
        <v>8754162</v>
      </c>
      <c r="D397">
        <v>0</v>
      </c>
      <c r="E397">
        <v>2.5000000000000001E-2</v>
      </c>
      <c r="H397">
        <v>2</v>
      </c>
      <c r="I397">
        <v>400000</v>
      </c>
      <c r="J397" t="s">
        <v>162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0</v>
      </c>
      <c r="R397">
        <v>0</v>
      </c>
      <c r="S397">
        <v>0.05</v>
      </c>
      <c r="U397">
        <v>8415110</v>
      </c>
    </row>
    <row r="398" spans="1:21" x14ac:dyDescent="0.15">
      <c r="A398" s="4" t="str">
        <f>HYPERLINK("https://ibp.a2mac1.com/costing(costing:projects/details/9760/component/8754163)","Panel holder &gt; Clips in rectangular hole")</f>
        <v>Panel holder &gt; Clips in rectangular hole</v>
      </c>
      <c r="B398">
        <v>8754163</v>
      </c>
      <c r="D398">
        <v>0</v>
      </c>
      <c r="E398">
        <v>0.02</v>
      </c>
      <c r="H398">
        <v>1</v>
      </c>
      <c r="I398">
        <v>200000</v>
      </c>
      <c r="J398" t="s">
        <v>162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0</v>
      </c>
      <c r="R398">
        <v>0</v>
      </c>
      <c r="S398">
        <v>0.02</v>
      </c>
      <c r="U398">
        <v>8415110</v>
      </c>
    </row>
    <row r="399" spans="1:21" x14ac:dyDescent="0.15">
      <c r="A399" s="4" t="str">
        <f>HYPERLINK("https://ibp.a2mac1.com/costing(costing:projects/details/9760/component/8754034)","Other fastener &gt; Attachment")</f>
        <v>Other fastener &gt; Attachment</v>
      </c>
      <c r="B399">
        <v>8754034</v>
      </c>
      <c r="D399">
        <v>0</v>
      </c>
      <c r="E399">
        <v>0.05</v>
      </c>
      <c r="H399">
        <v>1</v>
      </c>
      <c r="I399">
        <v>200000</v>
      </c>
      <c r="J399" t="s">
        <v>162</v>
      </c>
      <c r="K399">
        <v>17</v>
      </c>
      <c r="L399">
        <v>23</v>
      </c>
      <c r="M399">
        <v>37</v>
      </c>
      <c r="O399">
        <v>8.9999999999999993E-3</v>
      </c>
      <c r="Q399">
        <v>0</v>
      </c>
      <c r="R399">
        <v>0</v>
      </c>
      <c r="S399">
        <v>0.05</v>
      </c>
      <c r="U399">
        <v>8415046</v>
      </c>
    </row>
    <row r="400" spans="1:21" x14ac:dyDescent="0.15">
      <c r="A400" s="4" t="str">
        <f>HYPERLINK("https://ibp.a2mac1.com/costing(costing:projects/details/9760/component/8754035)","Panel holder &gt; Clips in rectangular hole")</f>
        <v>Panel holder &gt; Clips in rectangular hole</v>
      </c>
      <c r="B400">
        <v>8754035</v>
      </c>
      <c r="D400">
        <v>0</v>
      </c>
      <c r="E400">
        <v>0.01</v>
      </c>
      <c r="H400">
        <v>2</v>
      </c>
      <c r="I400">
        <v>400000</v>
      </c>
      <c r="J400" t="s">
        <v>162</v>
      </c>
      <c r="Q400">
        <v>0</v>
      </c>
      <c r="R400">
        <v>0</v>
      </c>
      <c r="S400">
        <v>0.02</v>
      </c>
      <c r="U400">
        <v>8415046</v>
      </c>
    </row>
    <row r="401" spans="1:21" x14ac:dyDescent="0.15">
      <c r="A401" s="4" t="str">
        <f>HYPERLINK("https://ibp.a2mac1.com/costing(costing:projects/details/9760/component/8754036)","Panel holder &gt; Clips in rectangular hole")</f>
        <v>Panel holder &gt; Clips in rectangular hole</v>
      </c>
      <c r="B401">
        <v>8754036</v>
      </c>
      <c r="D401">
        <v>0</v>
      </c>
      <c r="E401">
        <v>0.02</v>
      </c>
      <c r="H401">
        <v>3</v>
      </c>
      <c r="I401">
        <v>600000</v>
      </c>
      <c r="J401" t="s">
        <v>162</v>
      </c>
      <c r="K401">
        <v>1</v>
      </c>
      <c r="L401">
        <v>12</v>
      </c>
      <c r="M401">
        <v>6</v>
      </c>
      <c r="O401">
        <v>1.6999999999999999E-3</v>
      </c>
      <c r="Q401">
        <v>0</v>
      </c>
      <c r="R401">
        <v>0</v>
      </c>
      <c r="S401">
        <v>0.06</v>
      </c>
      <c r="U401">
        <v>8415047</v>
      </c>
    </row>
    <row r="402" spans="1:21" x14ac:dyDescent="0.15">
      <c r="A402" s="4" t="str">
        <f>HYPERLINK("https://ibp.a2mac1.com/costing(costing:projects/details/9760/component/8754037)","Rivet &gt; Push in Rivet")</f>
        <v>Rivet &gt; Push in Rivet</v>
      </c>
      <c r="B402">
        <v>8754037</v>
      </c>
      <c r="D402">
        <v>0</v>
      </c>
      <c r="E402">
        <v>0.01</v>
      </c>
      <c r="H402">
        <v>1</v>
      </c>
      <c r="I402">
        <v>200000</v>
      </c>
      <c r="J402" t="s">
        <v>162</v>
      </c>
      <c r="Q402">
        <v>0</v>
      </c>
      <c r="R402">
        <v>0</v>
      </c>
      <c r="S402">
        <v>0.01</v>
      </c>
      <c r="U402">
        <v>8415047</v>
      </c>
    </row>
    <row r="403" spans="1:21" x14ac:dyDescent="0.15">
      <c r="A403" s="4" t="str">
        <f>HYPERLINK("https://ibp.a2mac1.com/costing(costing:projects/details/9760/component/8754038)","Panel holder &gt; Clips in rectangular hole")</f>
        <v>Panel holder &gt; Clips in rectangular hole</v>
      </c>
      <c r="B403">
        <v>8754038</v>
      </c>
      <c r="D403">
        <v>0</v>
      </c>
      <c r="E403">
        <v>0.02</v>
      </c>
      <c r="H403">
        <v>6</v>
      </c>
      <c r="I403">
        <v>1200000</v>
      </c>
      <c r="J403" t="s">
        <v>162</v>
      </c>
      <c r="K403">
        <v>1</v>
      </c>
      <c r="L403">
        <v>12</v>
      </c>
      <c r="M403">
        <v>6</v>
      </c>
      <c r="O403">
        <v>1.5E-3</v>
      </c>
      <c r="Q403">
        <v>0</v>
      </c>
      <c r="R403">
        <v>0</v>
      </c>
      <c r="S403">
        <v>0.12</v>
      </c>
      <c r="U403">
        <v>8415049</v>
      </c>
    </row>
    <row r="404" spans="1:21" x14ac:dyDescent="0.15">
      <c r="A404" s="4" t="str">
        <f>HYPERLINK("https://ibp.a2mac1.com/costing(costing:projects/details/9760/component/8754039)","Panel holder &gt; Clips in rectangular hole")</f>
        <v>Panel holder &gt; Clips in rectangular hole</v>
      </c>
      <c r="B404">
        <v>8754039</v>
      </c>
      <c r="D404">
        <v>0</v>
      </c>
      <c r="E404">
        <v>0.02</v>
      </c>
      <c r="H404">
        <v>1</v>
      </c>
      <c r="I404">
        <v>200000</v>
      </c>
      <c r="J404" t="s">
        <v>162</v>
      </c>
      <c r="K404">
        <v>2</v>
      </c>
      <c r="L404">
        <v>9</v>
      </c>
      <c r="M404">
        <v>6</v>
      </c>
      <c r="O404">
        <v>1E-3</v>
      </c>
      <c r="Q404">
        <v>0</v>
      </c>
      <c r="R404">
        <v>0</v>
      </c>
      <c r="S404">
        <v>0.02</v>
      </c>
      <c r="U404">
        <v>8415050</v>
      </c>
    </row>
    <row r="405" spans="1:21" x14ac:dyDescent="0.15">
      <c r="A405" s="4" t="str">
        <f>HYPERLINK("https://ibp.a2mac1.com/costing(costing:projects/details/9760/component/8754040)","Panel holder &gt; Clips in rectangular hole")</f>
        <v>Panel holder &gt; Clips in rectangular hole</v>
      </c>
      <c r="B405">
        <v>8754040</v>
      </c>
      <c r="D405">
        <v>0</v>
      </c>
      <c r="E405">
        <v>0.02</v>
      </c>
      <c r="H405">
        <v>4</v>
      </c>
      <c r="I405">
        <v>800000</v>
      </c>
      <c r="J405" t="s">
        <v>162</v>
      </c>
      <c r="K405">
        <v>1</v>
      </c>
      <c r="L405">
        <v>12</v>
      </c>
      <c r="M405">
        <v>6</v>
      </c>
      <c r="O405">
        <v>1.5E-3</v>
      </c>
      <c r="Q405">
        <v>0</v>
      </c>
      <c r="R405">
        <v>0</v>
      </c>
      <c r="S405">
        <v>0.08</v>
      </c>
      <c r="U405">
        <v>8415052</v>
      </c>
    </row>
    <row r="406" spans="1:21" x14ac:dyDescent="0.15">
      <c r="A406" s="4" t="str">
        <f>HYPERLINK("https://ibp.a2mac1.com/costing(costing:projects/details/9760/component/8754041)","Panel holder &gt; Clips in rectangular hole")</f>
        <v>Panel holder &gt; Clips in rectangular hole</v>
      </c>
      <c r="B406">
        <v>8754041</v>
      </c>
      <c r="D406">
        <v>0</v>
      </c>
      <c r="E406">
        <v>0.02</v>
      </c>
      <c r="H406">
        <v>1</v>
      </c>
      <c r="I406">
        <v>200000</v>
      </c>
      <c r="J406" t="s">
        <v>162</v>
      </c>
      <c r="K406">
        <v>1</v>
      </c>
      <c r="L406">
        <v>12</v>
      </c>
      <c r="M406">
        <v>6</v>
      </c>
      <c r="O406">
        <v>1E-3</v>
      </c>
      <c r="Q406">
        <v>0</v>
      </c>
      <c r="R406">
        <v>0</v>
      </c>
      <c r="S406">
        <v>0.02</v>
      </c>
      <c r="U406">
        <v>8415053</v>
      </c>
    </row>
    <row r="407" spans="1:21" x14ac:dyDescent="0.15">
      <c r="A407" s="4" t="str">
        <f>HYPERLINK("https://ibp.a2mac1.com/costing(costing:projects/details/9760/component/8754042)","Panel holder &gt; Clips in round hole")</f>
        <v>Panel holder &gt; Clips in round hole</v>
      </c>
      <c r="B407">
        <v>8754042</v>
      </c>
      <c r="D407">
        <v>0</v>
      </c>
      <c r="E407">
        <v>0.01</v>
      </c>
      <c r="H407">
        <v>6</v>
      </c>
      <c r="I407">
        <v>1200000</v>
      </c>
      <c r="J407" t="s">
        <v>162</v>
      </c>
      <c r="K407">
        <v>8</v>
      </c>
      <c r="L407">
        <v>13</v>
      </c>
      <c r="M407">
        <v>5</v>
      </c>
      <c r="O407">
        <v>6.9999999999999999E-4</v>
      </c>
      <c r="Q407">
        <v>0</v>
      </c>
      <c r="R407">
        <v>0</v>
      </c>
      <c r="S407">
        <v>0.06</v>
      </c>
      <c r="U407">
        <v>8415054</v>
      </c>
    </row>
    <row r="408" spans="1:21" x14ac:dyDescent="0.15">
      <c r="A408" s="4" t="str">
        <f>HYPERLINK("https://ibp.a2mac1.com/costing(costing:projects/details/9760/component/8754043)","Screw &gt; Torx socket head cap screw")</f>
        <v>Screw &gt; Torx socket head cap screw</v>
      </c>
      <c r="B408">
        <v>8754043</v>
      </c>
      <c r="D408">
        <v>0</v>
      </c>
      <c r="E408">
        <v>0.02</v>
      </c>
      <c r="H408">
        <v>1</v>
      </c>
      <c r="I408">
        <v>200000</v>
      </c>
      <c r="J408" t="s">
        <v>162</v>
      </c>
      <c r="K408">
        <v>16</v>
      </c>
      <c r="L408">
        <v>4</v>
      </c>
      <c r="M408">
        <v>5</v>
      </c>
      <c r="O408">
        <v>2E-3</v>
      </c>
      <c r="Q408">
        <v>0</v>
      </c>
      <c r="R408">
        <v>0</v>
      </c>
      <c r="S408">
        <v>0.02</v>
      </c>
      <c r="U408">
        <v>8415055</v>
      </c>
    </row>
    <row r="409" spans="1:21" x14ac:dyDescent="0.15">
      <c r="A409" s="4" t="str">
        <f>HYPERLINK("https://ibp.a2mac1.com/costing(costing:projects/details/9760/component/8754044)","Nut &gt; Clipping nut for soft materials screw")</f>
        <v>Nut &gt; Clipping nut for soft materials screw</v>
      </c>
      <c r="B409">
        <v>8754044</v>
      </c>
      <c r="D409">
        <v>0</v>
      </c>
      <c r="E409">
        <v>0.02</v>
      </c>
      <c r="H409">
        <v>1</v>
      </c>
      <c r="I409">
        <v>200000</v>
      </c>
      <c r="J409" t="s">
        <v>162</v>
      </c>
      <c r="K409">
        <v>0</v>
      </c>
      <c r="L409">
        <v>0</v>
      </c>
      <c r="M409">
        <v>0</v>
      </c>
      <c r="N409">
        <v>0</v>
      </c>
      <c r="O409">
        <v>0</v>
      </c>
      <c r="Q409">
        <v>0</v>
      </c>
      <c r="R409">
        <v>0</v>
      </c>
      <c r="S409">
        <v>0.02</v>
      </c>
      <c r="U409">
        <v>8415055</v>
      </c>
    </row>
    <row r="410" spans="1:21" x14ac:dyDescent="0.15">
      <c r="A410" s="4" t="str">
        <f>HYPERLINK("https://ibp.a2mac1.com/costing(costing:projects/details/9760/component/8754045)","Screw &gt; Cross recessed screw")</f>
        <v>Screw &gt; Cross recessed screw</v>
      </c>
      <c r="B410">
        <v>8754045</v>
      </c>
      <c r="D410">
        <v>0</v>
      </c>
      <c r="E410">
        <v>0.02</v>
      </c>
      <c r="H410">
        <v>1</v>
      </c>
      <c r="I410">
        <v>200000</v>
      </c>
      <c r="J410" t="s">
        <v>162</v>
      </c>
      <c r="Q410">
        <v>0</v>
      </c>
      <c r="R410">
        <v>0</v>
      </c>
      <c r="S410">
        <v>0.02</v>
      </c>
      <c r="U410">
        <v>8415057</v>
      </c>
    </row>
    <row r="411" spans="1:21" x14ac:dyDescent="0.15">
      <c r="A411" s="4" t="str">
        <f>HYPERLINK("https://ibp.a2mac1.com/costing(costing:projects/details/9760/component/8754046)","Nut &gt; Clipping nut for soft materials screw")</f>
        <v>Nut &gt; Clipping nut for soft materials screw</v>
      </c>
      <c r="B411">
        <v>8754046</v>
      </c>
      <c r="D411">
        <v>0</v>
      </c>
      <c r="E411">
        <v>0.02</v>
      </c>
      <c r="H411">
        <v>1</v>
      </c>
      <c r="I411">
        <v>200000</v>
      </c>
      <c r="J411" t="s">
        <v>162</v>
      </c>
      <c r="Q411">
        <v>0</v>
      </c>
      <c r="R411">
        <v>0</v>
      </c>
      <c r="S411">
        <v>0.02</v>
      </c>
      <c r="U411">
        <v>8415057</v>
      </c>
    </row>
    <row r="412" spans="1:21" x14ac:dyDescent="0.15">
      <c r="A412" s="4" t="str">
        <f>HYPERLINK("https://ibp.a2mac1.com/costing(costing:projects/details/9760/component/8754047)","Other fastener &gt; Attachment")</f>
        <v>Other fastener &gt; Attachment</v>
      </c>
      <c r="B412">
        <v>8754047</v>
      </c>
      <c r="D412">
        <v>0</v>
      </c>
      <c r="E412">
        <v>0.02</v>
      </c>
      <c r="H412">
        <v>1</v>
      </c>
      <c r="I412">
        <v>200000</v>
      </c>
      <c r="J412" t="s">
        <v>162</v>
      </c>
      <c r="Q412">
        <v>0</v>
      </c>
      <c r="R412">
        <v>0</v>
      </c>
      <c r="S412">
        <v>0.02</v>
      </c>
      <c r="U412">
        <v>8415057</v>
      </c>
    </row>
    <row r="413" spans="1:21" x14ac:dyDescent="0.15">
      <c r="A413" s="4" t="str">
        <f>HYPERLINK("https://ibp.a2mac1.com/costing(costing:projects/details/9760/component/8754048)","Panel holder &gt; Clips in rectangular hole")</f>
        <v>Panel holder &gt; Clips in rectangular hole</v>
      </c>
      <c r="B413">
        <v>8754048</v>
      </c>
      <c r="D413">
        <v>0</v>
      </c>
      <c r="E413">
        <v>0.02</v>
      </c>
      <c r="H413">
        <v>2</v>
      </c>
      <c r="I413">
        <v>400000</v>
      </c>
      <c r="J413" t="s">
        <v>162</v>
      </c>
      <c r="Q413">
        <v>0</v>
      </c>
      <c r="R413">
        <v>0</v>
      </c>
      <c r="S413">
        <v>0.04</v>
      </c>
      <c r="U413">
        <v>8415057</v>
      </c>
    </row>
    <row r="414" spans="1:21" x14ac:dyDescent="0.15">
      <c r="A414" s="4" t="str">
        <f>HYPERLINK("https://ibp.a2mac1.com/costing(costing:projects/details/9760/component/8754049)","Plug")</f>
        <v>Plug</v>
      </c>
      <c r="B414">
        <v>8754049</v>
      </c>
      <c r="D414">
        <v>0</v>
      </c>
      <c r="E414">
        <v>0.04</v>
      </c>
      <c r="H414">
        <v>1</v>
      </c>
      <c r="I414">
        <v>200000</v>
      </c>
      <c r="J414" t="s">
        <v>162</v>
      </c>
      <c r="Q414">
        <v>0</v>
      </c>
      <c r="R414">
        <v>0</v>
      </c>
      <c r="S414">
        <v>0.04</v>
      </c>
      <c r="U414">
        <v>8415057</v>
      </c>
    </row>
    <row r="415" spans="1:21" x14ac:dyDescent="0.15">
      <c r="A415" s="4" t="str">
        <f>HYPERLINK("https://ibp.a2mac1.com/costing(costing:projects/details/9760/component/8753884)","Screw &gt; Hexagon screw with flange")</f>
        <v>Screw &gt; Hexagon screw with flange</v>
      </c>
      <c r="B415">
        <v>8753884</v>
      </c>
      <c r="D415">
        <v>0</v>
      </c>
      <c r="E415">
        <v>0.06</v>
      </c>
      <c r="H415">
        <v>1</v>
      </c>
      <c r="I415">
        <v>200000</v>
      </c>
      <c r="J415" t="s">
        <v>76</v>
      </c>
      <c r="K415">
        <v>18</v>
      </c>
      <c r="L415">
        <v>10</v>
      </c>
      <c r="M415">
        <v>6</v>
      </c>
      <c r="O415">
        <v>8.0000000000000002E-3</v>
      </c>
      <c r="Q415">
        <v>0</v>
      </c>
      <c r="R415">
        <v>0</v>
      </c>
      <c r="S415">
        <v>0.06</v>
      </c>
      <c r="T415">
        <v>8414933</v>
      </c>
    </row>
    <row r="416" spans="1:21" x14ac:dyDescent="0.15">
      <c r="A416" s="4" t="str">
        <f>HYPERLINK("https://ibp.a2mac1.com/costing(costing:projects/details/9760/component/8753840)","Screw &gt; Cross recessed screw")</f>
        <v>Screw &gt; Cross recessed screw</v>
      </c>
      <c r="B416">
        <v>8753840</v>
      </c>
      <c r="D416">
        <v>0</v>
      </c>
      <c r="E416">
        <v>0.03</v>
      </c>
      <c r="H416">
        <v>4</v>
      </c>
      <c r="I416">
        <v>800000</v>
      </c>
      <c r="J416" t="s">
        <v>76</v>
      </c>
      <c r="K416">
        <v>12</v>
      </c>
      <c r="L416">
        <v>12</v>
      </c>
      <c r="M416">
        <v>6</v>
      </c>
      <c r="O416">
        <v>5.0000000000000001E-3</v>
      </c>
      <c r="Q416">
        <v>0</v>
      </c>
      <c r="R416">
        <v>0</v>
      </c>
      <c r="S416">
        <v>0.12</v>
      </c>
      <c r="T416">
        <v>8414788</v>
      </c>
    </row>
    <row r="417" spans="1:21" x14ac:dyDescent="0.15">
      <c r="A417" s="4" t="str">
        <f>HYPERLINK("https://ibp.a2mac1.com/costing(costing:projects/details/9760/component/8753841)","Screw &gt; Hexagon socket head cap screw with flange")</f>
        <v>Screw &gt; Hexagon socket head cap screw with flange</v>
      </c>
      <c r="B417">
        <v>8753841</v>
      </c>
      <c r="D417">
        <v>0</v>
      </c>
      <c r="E417">
        <v>0.03</v>
      </c>
      <c r="H417">
        <v>1</v>
      </c>
      <c r="I417">
        <v>200000</v>
      </c>
      <c r="J417" t="s">
        <v>76</v>
      </c>
      <c r="K417">
        <v>10</v>
      </c>
      <c r="L417">
        <v>4</v>
      </c>
      <c r="M417">
        <v>5</v>
      </c>
      <c r="O417">
        <v>3.0000000000000001E-3</v>
      </c>
      <c r="Q417">
        <v>0</v>
      </c>
      <c r="R417">
        <v>0</v>
      </c>
      <c r="S417">
        <v>0.03</v>
      </c>
      <c r="T417">
        <v>8414788</v>
      </c>
    </row>
    <row r="418" spans="1:21" x14ac:dyDescent="0.15">
      <c r="A418" s="4" t="str">
        <f>HYPERLINK("https://ibp.a2mac1.com/costing(costing:projects/details/9760/component/8753842)","Panel holder &gt; Clips in rectangular hole")</f>
        <v>Panel holder &gt; Clips in rectangular hole</v>
      </c>
      <c r="B418">
        <v>8753842</v>
      </c>
      <c r="D418">
        <v>0</v>
      </c>
      <c r="E418">
        <v>0.01</v>
      </c>
      <c r="H418">
        <v>2</v>
      </c>
      <c r="I418">
        <v>400000</v>
      </c>
      <c r="J418" t="s">
        <v>76</v>
      </c>
      <c r="K418">
        <v>1</v>
      </c>
      <c r="L418">
        <v>9</v>
      </c>
      <c r="M418">
        <v>3</v>
      </c>
      <c r="O418">
        <v>1E-3</v>
      </c>
      <c r="Q418">
        <v>0</v>
      </c>
      <c r="R418">
        <v>0</v>
      </c>
      <c r="S418">
        <v>0.02</v>
      </c>
      <c r="T418">
        <v>8414788</v>
      </c>
    </row>
    <row r="419" spans="1:21" x14ac:dyDescent="0.15">
      <c r="A419" s="4" t="str">
        <f>HYPERLINK("https://ibp.a2mac1.com/costing(costing:projects/details/9760/component/8753843)","Other fastener &gt; Attachment")</f>
        <v>Other fastener &gt; Attachment</v>
      </c>
      <c r="B419">
        <v>8753843</v>
      </c>
      <c r="D419">
        <v>0</v>
      </c>
      <c r="E419">
        <v>0.03</v>
      </c>
      <c r="H419">
        <v>1</v>
      </c>
      <c r="I419">
        <v>200000</v>
      </c>
      <c r="J419" t="s">
        <v>76</v>
      </c>
      <c r="K419">
        <v>21</v>
      </c>
      <c r="L419">
        <v>10</v>
      </c>
      <c r="M419">
        <v>25</v>
      </c>
      <c r="O419">
        <v>4.0000000000000001E-3</v>
      </c>
      <c r="Q419">
        <v>0</v>
      </c>
      <c r="R419">
        <v>0</v>
      </c>
      <c r="S419">
        <v>0.03</v>
      </c>
      <c r="T419">
        <v>8414788</v>
      </c>
    </row>
    <row r="420" spans="1:21" x14ac:dyDescent="0.15">
      <c r="A420" s="4" t="str">
        <f>HYPERLINK("https://ibp.a2mac1.com/costing(costing:projects/details/9760/component/8753844)","Panel holder &gt; Clips on stud")</f>
        <v>Panel holder &gt; Clips on stud</v>
      </c>
      <c r="B420">
        <v>8753844</v>
      </c>
      <c r="D420">
        <v>0</v>
      </c>
      <c r="E420">
        <v>0.01</v>
      </c>
      <c r="H420">
        <v>4</v>
      </c>
      <c r="I420">
        <v>800000</v>
      </c>
      <c r="J420" t="s">
        <v>76</v>
      </c>
      <c r="K420">
        <v>23</v>
      </c>
      <c r="L420">
        <v>8</v>
      </c>
      <c r="M420">
        <v>18</v>
      </c>
      <c r="O420">
        <v>8.0000000000000004E-4</v>
      </c>
      <c r="Q420">
        <v>0</v>
      </c>
      <c r="R420">
        <v>0</v>
      </c>
      <c r="S420">
        <v>0.04</v>
      </c>
      <c r="T420">
        <v>8414789</v>
      </c>
    </row>
    <row r="421" spans="1:21" x14ac:dyDescent="0.15">
      <c r="A421" s="4" t="str">
        <f>HYPERLINK("https://ibp.a2mac1.com/costing(costing:projects/details/9760/component/8753889)","Screw &gt; Various shape screw with captive washer")</f>
        <v>Screw &gt; Various shape screw with captive washer</v>
      </c>
      <c r="B421">
        <v>8753889</v>
      </c>
      <c r="D421">
        <v>0</v>
      </c>
      <c r="E421">
        <v>7.1999999999999995E-2</v>
      </c>
      <c r="H421">
        <v>6</v>
      </c>
      <c r="I421">
        <v>1200000</v>
      </c>
      <c r="J421" t="s">
        <v>76</v>
      </c>
      <c r="K421">
        <v>18</v>
      </c>
      <c r="L421">
        <v>8</v>
      </c>
      <c r="M421">
        <v>6</v>
      </c>
      <c r="O421">
        <v>9.1999999999999998E-3</v>
      </c>
      <c r="Q421">
        <v>0</v>
      </c>
      <c r="R421">
        <v>0</v>
      </c>
      <c r="S421">
        <v>0.432</v>
      </c>
      <c r="T421">
        <v>8414944</v>
      </c>
    </row>
    <row r="422" spans="1:21" x14ac:dyDescent="0.15">
      <c r="A422" s="4" t="str">
        <f>HYPERLINK("https://ibp.a2mac1.com/costing(costing:projects/details/9760/component/8753890)","Rivet &gt; Push in Rivet")</f>
        <v>Rivet &gt; Push in Rivet</v>
      </c>
      <c r="B422">
        <v>8753890</v>
      </c>
      <c r="D422">
        <v>0</v>
      </c>
      <c r="E422">
        <v>0.01</v>
      </c>
      <c r="H422">
        <v>4</v>
      </c>
      <c r="I422">
        <v>800000</v>
      </c>
      <c r="J422" t="s">
        <v>76</v>
      </c>
      <c r="K422">
        <v>0</v>
      </c>
      <c r="L422">
        <v>0</v>
      </c>
      <c r="M422">
        <v>0</v>
      </c>
      <c r="N422">
        <v>0</v>
      </c>
      <c r="O422">
        <v>8.0000000000000004E-4</v>
      </c>
      <c r="Q422">
        <v>0</v>
      </c>
      <c r="R422">
        <v>0</v>
      </c>
      <c r="S422">
        <v>0.04</v>
      </c>
      <c r="T422">
        <v>8414944</v>
      </c>
    </row>
    <row r="423" spans="1:21" x14ac:dyDescent="0.15">
      <c r="A423" s="4" t="str">
        <f>HYPERLINK("https://ibp.a2mac1.com/costing(costing:projects/details/9760/component/8753891)","Rivet &gt; Head Rivet")</f>
        <v>Rivet &gt; Head Rivet</v>
      </c>
      <c r="B423">
        <v>8753891</v>
      </c>
      <c r="D423">
        <v>0</v>
      </c>
      <c r="E423">
        <v>0.02</v>
      </c>
      <c r="H423">
        <v>6</v>
      </c>
      <c r="I423">
        <v>1200000</v>
      </c>
      <c r="J423" t="s">
        <v>76</v>
      </c>
      <c r="K423">
        <v>0</v>
      </c>
      <c r="L423">
        <v>0</v>
      </c>
      <c r="M423">
        <v>0</v>
      </c>
      <c r="N423">
        <v>0</v>
      </c>
      <c r="O423">
        <v>1E-3</v>
      </c>
      <c r="Q423">
        <v>0</v>
      </c>
      <c r="R423">
        <v>0</v>
      </c>
      <c r="S423">
        <v>0.12</v>
      </c>
      <c r="T423">
        <v>8414944</v>
      </c>
    </row>
    <row r="424" spans="1:21" x14ac:dyDescent="0.15">
      <c r="A424" s="4" t="str">
        <f>HYPERLINK("https://ibp.a2mac1.com/costing(costing:projects/details/9760/component/8753885)","Panel holder &gt; Clips in round hole")</f>
        <v>Panel holder &gt; Clips in round hole</v>
      </c>
      <c r="B424">
        <v>8753885</v>
      </c>
      <c r="D424">
        <v>0</v>
      </c>
      <c r="E424">
        <v>0.01</v>
      </c>
      <c r="H424">
        <v>2</v>
      </c>
      <c r="I424">
        <v>400000</v>
      </c>
      <c r="J424" t="s">
        <v>162</v>
      </c>
      <c r="K424">
        <v>8</v>
      </c>
      <c r="L424">
        <v>13</v>
      </c>
      <c r="M424">
        <v>5</v>
      </c>
      <c r="O424">
        <v>1E-3</v>
      </c>
      <c r="Q424">
        <v>0</v>
      </c>
      <c r="R424">
        <v>0</v>
      </c>
      <c r="S424">
        <v>0.02</v>
      </c>
      <c r="U424">
        <v>8414941</v>
      </c>
    </row>
    <row r="425" spans="1:21" x14ac:dyDescent="0.15">
      <c r="A425" s="4" t="str">
        <f>HYPERLINK("https://ibp.a2mac1.com/costing(costing:projects/details/9760/component/8753886)","Screw &gt; Hexagon screw with captive washer")</f>
        <v>Screw &gt; Hexagon screw with captive washer</v>
      </c>
      <c r="B425">
        <v>8753886</v>
      </c>
      <c r="D425">
        <v>0</v>
      </c>
      <c r="E425">
        <v>6.8000000000000005E-2</v>
      </c>
      <c r="H425">
        <v>1</v>
      </c>
      <c r="I425">
        <v>200000</v>
      </c>
      <c r="J425" t="s">
        <v>162</v>
      </c>
      <c r="K425">
        <v>0</v>
      </c>
      <c r="L425">
        <v>0</v>
      </c>
      <c r="M425">
        <v>0</v>
      </c>
      <c r="O425">
        <v>8.5000000000000006E-3</v>
      </c>
      <c r="Q425">
        <v>0</v>
      </c>
      <c r="R425">
        <v>0</v>
      </c>
      <c r="S425">
        <v>6.8000000000000005E-2</v>
      </c>
      <c r="U425">
        <v>8414941</v>
      </c>
    </row>
    <row r="426" spans="1:21" x14ac:dyDescent="0.15">
      <c r="A426" s="4" t="str">
        <f>HYPERLINK("https://ibp.a2mac1.com/costing(costing:projects/details/9760/component/8753887)","Panel holder &gt; Clips in round hole")</f>
        <v>Panel holder &gt; Clips in round hole</v>
      </c>
      <c r="B426">
        <v>8753887</v>
      </c>
      <c r="D426">
        <v>0</v>
      </c>
      <c r="E426">
        <v>0.01</v>
      </c>
      <c r="H426">
        <v>2</v>
      </c>
      <c r="I426">
        <v>400000</v>
      </c>
      <c r="J426" t="s">
        <v>162</v>
      </c>
      <c r="K426">
        <v>8</v>
      </c>
      <c r="L426">
        <v>13</v>
      </c>
      <c r="M426">
        <v>5</v>
      </c>
      <c r="O426">
        <v>1E-3</v>
      </c>
      <c r="Q426">
        <v>0</v>
      </c>
      <c r="R426">
        <v>0</v>
      </c>
      <c r="S426">
        <v>0.02</v>
      </c>
      <c r="U426">
        <v>8414942</v>
      </c>
    </row>
    <row r="427" spans="1:21" x14ac:dyDescent="0.15">
      <c r="A427" s="4" t="str">
        <f>HYPERLINK("https://ibp.a2mac1.com/costing(costing:projects/details/9760/component/8753888)","Screw &gt; Hexagon screw with captive washer")</f>
        <v>Screw &gt; Hexagon screw with captive washer</v>
      </c>
      <c r="B427">
        <v>8753888</v>
      </c>
      <c r="D427">
        <v>0</v>
      </c>
      <c r="E427">
        <v>6.8000000000000005E-2</v>
      </c>
      <c r="H427">
        <v>1</v>
      </c>
      <c r="I427">
        <v>200000</v>
      </c>
      <c r="J427" t="s">
        <v>162</v>
      </c>
      <c r="K427">
        <v>0</v>
      </c>
      <c r="L427">
        <v>0</v>
      </c>
      <c r="M427">
        <v>0</v>
      </c>
      <c r="O427">
        <v>8.5000000000000006E-3</v>
      </c>
      <c r="Q427">
        <v>0</v>
      </c>
      <c r="R427">
        <v>0</v>
      </c>
      <c r="S427">
        <v>6.8000000000000005E-2</v>
      </c>
      <c r="U427">
        <v>8414942</v>
      </c>
    </row>
    <row r="428" spans="1:21" x14ac:dyDescent="0.15">
      <c r="A428" s="4" t="str">
        <f>HYPERLINK("https://ibp.a2mac1.com/costing(costing:projects/details/9760/component/8754057)","Panel holder &gt; Clips on stud")</f>
        <v>Panel holder &gt; Clips on stud</v>
      </c>
      <c r="B428">
        <v>8754057</v>
      </c>
      <c r="D428">
        <v>0</v>
      </c>
      <c r="E428">
        <v>0.02</v>
      </c>
      <c r="H428">
        <v>3</v>
      </c>
      <c r="I428">
        <v>600000</v>
      </c>
      <c r="J428" t="s">
        <v>162</v>
      </c>
      <c r="K428">
        <v>28</v>
      </c>
      <c r="L428">
        <v>7</v>
      </c>
      <c r="M428">
        <v>16</v>
      </c>
      <c r="O428">
        <v>1E-3</v>
      </c>
      <c r="Q428">
        <v>0</v>
      </c>
      <c r="R428">
        <v>0</v>
      </c>
      <c r="S428">
        <v>0.06</v>
      </c>
      <c r="U428">
        <v>8415061</v>
      </c>
    </row>
    <row r="429" spans="1:21" x14ac:dyDescent="0.15">
      <c r="A429" s="4" t="str">
        <f>HYPERLINK("https://ibp.a2mac1.com/costing(costing:projects/details/9760/component/8754058)","Washer &gt; Lock interior washer")</f>
        <v>Washer &gt; Lock interior washer</v>
      </c>
      <c r="B429">
        <v>8754058</v>
      </c>
      <c r="D429">
        <v>0</v>
      </c>
      <c r="E429">
        <v>0.01</v>
      </c>
      <c r="H429">
        <v>6</v>
      </c>
      <c r="I429">
        <v>1200000</v>
      </c>
      <c r="J429" t="s">
        <v>162</v>
      </c>
      <c r="K429">
        <v>1</v>
      </c>
      <c r="L429">
        <v>16</v>
      </c>
      <c r="M429">
        <v>6</v>
      </c>
      <c r="O429">
        <v>5.0000000000000001E-4</v>
      </c>
      <c r="Q429">
        <v>0</v>
      </c>
      <c r="R429">
        <v>0</v>
      </c>
      <c r="S429">
        <v>0.06</v>
      </c>
      <c r="U429">
        <v>8415063</v>
      </c>
    </row>
    <row r="430" spans="1:21" x14ac:dyDescent="0.15">
      <c r="A430" s="4" t="str">
        <f>HYPERLINK("https://ibp.a2mac1.com/costing(costing:projects/details/9760/component/8754174)","Panel holder &gt; Clips in rectangular hole")</f>
        <v>Panel holder &gt; Clips in rectangular hole</v>
      </c>
      <c r="B430">
        <v>8754174</v>
      </c>
      <c r="D430">
        <v>0</v>
      </c>
      <c r="E430">
        <v>0.02</v>
      </c>
      <c r="H430">
        <v>2</v>
      </c>
      <c r="I430">
        <v>400000</v>
      </c>
      <c r="J430" t="s">
        <v>162</v>
      </c>
      <c r="K430">
        <v>1</v>
      </c>
      <c r="L430">
        <v>16</v>
      </c>
      <c r="M430">
        <v>6</v>
      </c>
      <c r="O430">
        <v>1E-3</v>
      </c>
      <c r="Q430">
        <v>0</v>
      </c>
      <c r="R430">
        <v>0</v>
      </c>
      <c r="S430">
        <v>0.04</v>
      </c>
      <c r="U430">
        <v>8415115</v>
      </c>
    </row>
    <row r="431" spans="1:21" x14ac:dyDescent="0.15">
      <c r="A431" s="4" t="str">
        <f>HYPERLINK("https://ibp.a2mac1.com/costing(costing:projects/details/9760/component/8753892)","Screw &gt; Torx socket head cap screw")</f>
        <v>Screw &gt; Torx socket head cap screw</v>
      </c>
      <c r="B431">
        <v>8753892</v>
      </c>
      <c r="D431">
        <v>0</v>
      </c>
      <c r="E431">
        <v>0.02</v>
      </c>
      <c r="H431">
        <v>4</v>
      </c>
      <c r="I431">
        <v>800000</v>
      </c>
      <c r="J431" t="s">
        <v>76</v>
      </c>
      <c r="K431">
        <v>12</v>
      </c>
      <c r="L431">
        <v>3</v>
      </c>
      <c r="M431">
        <v>4</v>
      </c>
      <c r="O431">
        <v>1E-3</v>
      </c>
      <c r="Q431">
        <v>0</v>
      </c>
      <c r="R431">
        <v>0</v>
      </c>
      <c r="S431">
        <v>0.08</v>
      </c>
      <c r="T431">
        <v>8414948</v>
      </c>
    </row>
    <row r="432" spans="1:21" x14ac:dyDescent="0.15">
      <c r="A432" s="4" t="str">
        <f>HYPERLINK("https://ibp.a2mac1.com/costing(costing:projects/details/9760/component/8753893)","Screw &gt; Cross recessed screw")</f>
        <v>Screw &gt; Cross recessed screw</v>
      </c>
      <c r="B432">
        <v>8753893</v>
      </c>
      <c r="D432">
        <v>0</v>
      </c>
      <c r="E432">
        <v>0.05</v>
      </c>
      <c r="H432">
        <v>2</v>
      </c>
      <c r="I432">
        <v>400000</v>
      </c>
      <c r="J432" t="s">
        <v>76</v>
      </c>
      <c r="K432">
        <v>13</v>
      </c>
      <c r="L432">
        <v>9</v>
      </c>
      <c r="M432">
        <v>5</v>
      </c>
      <c r="O432">
        <v>5.0000000000000001E-3</v>
      </c>
      <c r="Q432">
        <v>0</v>
      </c>
      <c r="R432">
        <v>0</v>
      </c>
      <c r="S432">
        <v>0.1</v>
      </c>
      <c r="T432">
        <v>8414949</v>
      </c>
    </row>
    <row r="433" spans="1:20" x14ac:dyDescent="0.15">
      <c r="A433" s="4" t="str">
        <f>HYPERLINK("https://ibp.a2mac1.com/costing(costing:projects/details/9760/component/8754512)","Screw &gt; Torx socket head cap screw with flange")</f>
        <v>Screw &gt; Torx socket head cap screw with flange</v>
      </c>
      <c r="B433">
        <v>8754512</v>
      </c>
      <c r="D433">
        <v>0</v>
      </c>
      <c r="E433">
        <v>0.03</v>
      </c>
      <c r="H433">
        <v>2</v>
      </c>
      <c r="I433">
        <v>400000</v>
      </c>
      <c r="J433" t="s">
        <v>76</v>
      </c>
      <c r="K433">
        <v>16</v>
      </c>
      <c r="L433">
        <v>4</v>
      </c>
      <c r="M433">
        <v>5</v>
      </c>
      <c r="O433">
        <v>2E-3</v>
      </c>
      <c r="Q433">
        <v>0</v>
      </c>
      <c r="R433">
        <v>0</v>
      </c>
      <c r="S433">
        <v>0.06</v>
      </c>
      <c r="T433">
        <v>8415823</v>
      </c>
    </row>
    <row r="434" spans="1:20" x14ac:dyDescent="0.15">
      <c r="A434" s="4" t="str">
        <f>HYPERLINK("https://ibp.a2mac1.com/costing(costing:projects/details/9760/component/8754513)","Panel holder &gt; Clips in rectangular hole")</f>
        <v>Panel holder &gt; Clips in rectangular hole</v>
      </c>
      <c r="B434">
        <v>8754513</v>
      </c>
      <c r="D434">
        <v>0</v>
      </c>
      <c r="E434">
        <v>0.03</v>
      </c>
      <c r="H434">
        <v>4</v>
      </c>
      <c r="I434">
        <v>800000</v>
      </c>
      <c r="J434" t="s">
        <v>76</v>
      </c>
      <c r="K434">
        <v>2</v>
      </c>
      <c r="L434">
        <v>13</v>
      </c>
      <c r="M434">
        <v>6</v>
      </c>
      <c r="O434">
        <v>1.2999999999999999E-3</v>
      </c>
      <c r="Q434">
        <v>0</v>
      </c>
      <c r="R434">
        <v>0</v>
      </c>
      <c r="S434">
        <v>0.12</v>
      </c>
      <c r="T434">
        <v>8415823</v>
      </c>
    </row>
    <row r="435" spans="1:20" x14ac:dyDescent="0.15">
      <c r="A435" s="4" t="str">
        <f>HYPERLINK("https://ibp.a2mac1.com/costing(costing:projects/details/9760/component/8754514)","Screw &gt; Cross recessed screw with flange")</f>
        <v>Screw &gt; Cross recessed screw with flange</v>
      </c>
      <c r="B435">
        <v>8754514</v>
      </c>
      <c r="D435">
        <v>0</v>
      </c>
      <c r="E435">
        <v>0.03</v>
      </c>
      <c r="H435">
        <v>8</v>
      </c>
      <c r="I435">
        <v>1600000</v>
      </c>
      <c r="J435" t="s">
        <v>76</v>
      </c>
      <c r="K435">
        <v>10</v>
      </c>
      <c r="L435">
        <v>6</v>
      </c>
      <c r="M435">
        <v>4</v>
      </c>
      <c r="O435">
        <v>1.9E-3</v>
      </c>
      <c r="Q435">
        <v>0</v>
      </c>
      <c r="R435">
        <v>0</v>
      </c>
      <c r="S435">
        <v>0.24</v>
      </c>
      <c r="T435">
        <v>8415823</v>
      </c>
    </row>
    <row r="436" spans="1:20" x14ac:dyDescent="0.15">
      <c r="A436" s="4" t="str">
        <f>HYPERLINK("https://ibp.a2mac1.com/costing(costing:projects/details/9760/component/8754374)","Other fastener &gt; Attachment")</f>
        <v>Other fastener &gt; Attachment</v>
      </c>
      <c r="B436">
        <v>8754374</v>
      </c>
      <c r="D436">
        <v>0</v>
      </c>
      <c r="E436">
        <v>0.05</v>
      </c>
      <c r="H436">
        <v>1</v>
      </c>
      <c r="I436">
        <v>200000</v>
      </c>
      <c r="J436" t="s">
        <v>76</v>
      </c>
      <c r="K436">
        <v>31</v>
      </c>
      <c r="L436">
        <v>4</v>
      </c>
      <c r="M436">
        <v>52</v>
      </c>
      <c r="O436">
        <v>5.0000000000000001E-3</v>
      </c>
      <c r="Q436">
        <v>0</v>
      </c>
      <c r="R436">
        <v>0</v>
      </c>
      <c r="S436">
        <v>0.05</v>
      </c>
      <c r="T436">
        <v>8415622</v>
      </c>
    </row>
    <row r="437" spans="1:20" x14ac:dyDescent="0.15">
      <c r="A437" s="4" t="str">
        <f>HYPERLINK("https://ibp.a2mac1.com/costing(costing:projects/details/9760/component/8754375)","Screw &gt; Cross recessed screw with flange")</f>
        <v>Screw &gt; Cross recessed screw with flange</v>
      </c>
      <c r="B437">
        <v>8754375</v>
      </c>
      <c r="D437">
        <v>0</v>
      </c>
      <c r="E437">
        <v>0.03</v>
      </c>
      <c r="H437">
        <v>5</v>
      </c>
      <c r="I437">
        <v>1000000</v>
      </c>
      <c r="J437" t="s">
        <v>76</v>
      </c>
      <c r="K437">
        <v>10</v>
      </c>
      <c r="L437">
        <v>6</v>
      </c>
      <c r="M437">
        <v>4</v>
      </c>
      <c r="O437">
        <v>1.8E-3</v>
      </c>
      <c r="Q437">
        <v>0</v>
      </c>
      <c r="R437">
        <v>0</v>
      </c>
      <c r="S437">
        <v>0.15</v>
      </c>
      <c r="T437">
        <v>8415622</v>
      </c>
    </row>
    <row r="438" spans="1:20" x14ac:dyDescent="0.15">
      <c r="A438" s="4" t="str">
        <f>HYPERLINK("https://ibp.a2mac1.com/costing(costing:projects/details/9760/component/8754376)","Screw &gt; Cross recessed screw with flange")</f>
        <v>Screw &gt; Cross recessed screw with flange</v>
      </c>
      <c r="B438">
        <v>8754376</v>
      </c>
      <c r="D438">
        <v>0</v>
      </c>
      <c r="E438">
        <v>0.03</v>
      </c>
      <c r="H438">
        <v>4</v>
      </c>
      <c r="I438">
        <v>800000</v>
      </c>
      <c r="J438" t="s">
        <v>76</v>
      </c>
      <c r="K438">
        <v>11</v>
      </c>
      <c r="L438">
        <v>6</v>
      </c>
      <c r="M438">
        <v>4</v>
      </c>
      <c r="O438">
        <v>8.0000000000000004E-4</v>
      </c>
      <c r="Q438">
        <v>0</v>
      </c>
      <c r="R438">
        <v>0</v>
      </c>
      <c r="S438">
        <v>0.12</v>
      </c>
      <c r="T438">
        <v>8415622</v>
      </c>
    </row>
    <row r="439" spans="1:20" x14ac:dyDescent="0.15">
      <c r="A439" s="4" t="str">
        <f>HYPERLINK("https://ibp.a2mac1.com/costing(costing:projects/details/9760/component/8754377)","Screw &gt; Cross recessed screw with flange")</f>
        <v>Screw &gt; Cross recessed screw with flange</v>
      </c>
      <c r="B439">
        <v>8754377</v>
      </c>
      <c r="D439">
        <v>0</v>
      </c>
      <c r="E439">
        <v>0.03</v>
      </c>
      <c r="H439">
        <v>3</v>
      </c>
      <c r="I439">
        <v>600000</v>
      </c>
      <c r="J439" t="s">
        <v>76</v>
      </c>
      <c r="K439">
        <v>10</v>
      </c>
      <c r="L439">
        <v>7</v>
      </c>
      <c r="M439">
        <v>4</v>
      </c>
      <c r="O439">
        <v>2E-3</v>
      </c>
      <c r="Q439">
        <v>0</v>
      </c>
      <c r="R439">
        <v>0</v>
      </c>
      <c r="S439">
        <v>0.09</v>
      </c>
      <c r="T439">
        <v>8415622</v>
      </c>
    </row>
    <row r="440" spans="1:20" x14ac:dyDescent="0.15">
      <c r="A440" s="4" t="str">
        <f>HYPERLINK("https://ibp.a2mac1.com/costing(costing:projects/details/9760/component/8754378)","Other fastener &gt; Attachment")</f>
        <v>Other fastener &gt; Attachment</v>
      </c>
      <c r="B440">
        <v>8754378</v>
      </c>
      <c r="D440">
        <v>0</v>
      </c>
      <c r="E440">
        <v>0.03</v>
      </c>
      <c r="H440">
        <v>1</v>
      </c>
      <c r="I440">
        <v>200000</v>
      </c>
      <c r="J440" t="s">
        <v>76</v>
      </c>
      <c r="K440">
        <v>21</v>
      </c>
      <c r="L440">
        <v>19</v>
      </c>
      <c r="M440">
        <v>26</v>
      </c>
      <c r="O440">
        <v>2E-3</v>
      </c>
      <c r="Q440">
        <v>0</v>
      </c>
      <c r="R440">
        <v>0</v>
      </c>
      <c r="S440">
        <v>0.03</v>
      </c>
      <c r="T440">
        <v>8415622</v>
      </c>
    </row>
    <row r="441" spans="1:20" x14ac:dyDescent="0.15">
      <c r="A441" s="4" t="str">
        <f>HYPERLINK("https://ibp.a2mac1.com/costing(costing:projects/details/9760/component/8754379)","Round head Screw M4x10")</f>
        <v>Round head Screw M4x10</v>
      </c>
      <c r="B441">
        <v>8754379</v>
      </c>
      <c r="D441">
        <v>0</v>
      </c>
      <c r="E441">
        <v>2.341E-2</v>
      </c>
      <c r="F441" t="s">
        <v>1447</v>
      </c>
      <c r="H441">
        <v>1</v>
      </c>
      <c r="I441">
        <v>200000</v>
      </c>
      <c r="J441" t="s">
        <v>76</v>
      </c>
      <c r="K441">
        <v>0</v>
      </c>
      <c r="L441">
        <v>0</v>
      </c>
      <c r="M441">
        <v>0</v>
      </c>
      <c r="N441">
        <v>0</v>
      </c>
      <c r="O441">
        <v>1.2199999999999999E-3</v>
      </c>
      <c r="Q441">
        <v>0</v>
      </c>
      <c r="R441">
        <v>0</v>
      </c>
      <c r="S441">
        <v>2.341E-2</v>
      </c>
      <c r="T441">
        <v>8415624</v>
      </c>
    </row>
    <row r="442" spans="1:20" x14ac:dyDescent="0.15">
      <c r="A442" s="4" t="str">
        <f>HYPERLINK("https://ibp.a2mac1.com/costing(costing:projects/details/9760/component/8754380)","Round head Screw M4x18")</f>
        <v>Round head Screw M4x18</v>
      </c>
      <c r="B442">
        <v>8754380</v>
      </c>
      <c r="D442">
        <v>0</v>
      </c>
      <c r="E442">
        <v>2.5919999999999999E-2</v>
      </c>
      <c r="F442" t="s">
        <v>5189</v>
      </c>
      <c r="H442">
        <v>1</v>
      </c>
      <c r="I442">
        <v>200000</v>
      </c>
      <c r="J442" t="s">
        <v>76</v>
      </c>
      <c r="K442">
        <v>0</v>
      </c>
      <c r="L442">
        <v>0</v>
      </c>
      <c r="M442">
        <v>0</v>
      </c>
      <c r="N442">
        <v>0</v>
      </c>
      <c r="O442">
        <v>1.83E-3</v>
      </c>
      <c r="Q442">
        <v>0</v>
      </c>
      <c r="R442">
        <v>0</v>
      </c>
      <c r="S442">
        <v>2.5919999999999999E-2</v>
      </c>
      <c r="T442">
        <v>8415624</v>
      </c>
    </row>
    <row r="443" spans="1:20" x14ac:dyDescent="0.15">
      <c r="A443" s="4" t="str">
        <f>HYPERLINK("https://ibp.a2mac1.com/costing(costing:projects/details/9760/component/8754783)","Electronics")</f>
        <v>Electronics</v>
      </c>
      <c r="B443">
        <v>8754783</v>
      </c>
      <c r="D443">
        <v>0</v>
      </c>
      <c r="E443">
        <v>1.41</v>
      </c>
      <c r="H443">
        <v>1</v>
      </c>
      <c r="I443">
        <v>200000</v>
      </c>
      <c r="J443" t="s">
        <v>76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364</v>
      </c>
      <c r="Q443">
        <v>0</v>
      </c>
      <c r="R443">
        <v>0</v>
      </c>
      <c r="S443">
        <v>1.3231788080490192</v>
      </c>
      <c r="T443">
        <v>8416188</v>
      </c>
    </row>
    <row r="444" spans="1:20" x14ac:dyDescent="0.15">
      <c r="A444" s="4" t="str">
        <f>HYPERLINK("https://ibp.a2mac1.com/costing(costing:projects/details/9760/component/8754784)","Mechanics")</f>
        <v>Mechanics</v>
      </c>
      <c r="B444">
        <v>8754784</v>
      </c>
      <c r="D444">
        <v>0</v>
      </c>
      <c r="E444">
        <v>5.84</v>
      </c>
      <c r="H444">
        <v>1</v>
      </c>
      <c r="I444">
        <v>200000</v>
      </c>
      <c r="J444" t="s">
        <v>76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362</v>
      </c>
      <c r="Q444">
        <v>0</v>
      </c>
      <c r="R444">
        <v>0</v>
      </c>
      <c r="S444">
        <v>5.7347382476721895</v>
      </c>
      <c r="T444">
        <v>8416188</v>
      </c>
    </row>
    <row r="445" spans="1:20" x14ac:dyDescent="0.15">
      <c r="A445" s="4" t="str">
        <f>HYPERLINK("https://ibp.a2mac1.com/costing(costing:projects/details/9760/component/8754785)","Electronics")</f>
        <v>Electronics</v>
      </c>
      <c r="B445">
        <v>8754785</v>
      </c>
      <c r="D445">
        <v>0</v>
      </c>
      <c r="E445">
        <v>16</v>
      </c>
      <c r="F445" t="s">
        <v>363</v>
      </c>
      <c r="H445">
        <v>1</v>
      </c>
      <c r="I445">
        <v>200000</v>
      </c>
      <c r="J445" t="s">
        <v>76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364</v>
      </c>
      <c r="Q445">
        <v>0</v>
      </c>
      <c r="R445">
        <v>0</v>
      </c>
      <c r="S445">
        <v>15.014794984953408</v>
      </c>
      <c r="T445">
        <v>8416190</v>
      </c>
    </row>
    <row r="446" spans="1:20" x14ac:dyDescent="0.15">
      <c r="A446" s="4" t="str">
        <f>HYPERLINK("https://ibp.a2mac1.com/costing(costing:projects/details/9760/component/8754786)","Mechanics")</f>
        <v>Mechanics</v>
      </c>
      <c r="B446">
        <v>8754786</v>
      </c>
      <c r="D446">
        <v>0</v>
      </c>
      <c r="E446">
        <v>7.3</v>
      </c>
      <c r="F446" t="s">
        <v>1493</v>
      </c>
      <c r="H446">
        <v>1</v>
      </c>
      <c r="I446">
        <v>200000</v>
      </c>
      <c r="J446" t="s">
        <v>76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362</v>
      </c>
      <c r="Q446">
        <v>0</v>
      </c>
      <c r="R446">
        <v>0</v>
      </c>
      <c r="S446">
        <v>7.1684228095902371</v>
      </c>
      <c r="T446">
        <v>8416190</v>
      </c>
    </row>
    <row r="447" spans="1:20" x14ac:dyDescent="0.15">
      <c r="A447" s="4" t="str">
        <f>HYPERLINK("https://ibp.a2mac1.com/costing(costing:projects/details/9760/component/8754515)","Screw &gt; Torx socket head cap screw")</f>
        <v>Screw &gt; Torx socket head cap screw</v>
      </c>
      <c r="B447">
        <v>8754515</v>
      </c>
      <c r="D447">
        <v>0</v>
      </c>
      <c r="E447">
        <v>0.05</v>
      </c>
      <c r="H447">
        <v>1</v>
      </c>
      <c r="I447">
        <v>200000</v>
      </c>
      <c r="J447" t="s">
        <v>76</v>
      </c>
      <c r="K447">
        <v>8</v>
      </c>
      <c r="L447">
        <v>3</v>
      </c>
      <c r="M447">
        <v>3</v>
      </c>
      <c r="O447">
        <v>1E-3</v>
      </c>
      <c r="Q447">
        <v>0</v>
      </c>
      <c r="R447">
        <v>0</v>
      </c>
      <c r="S447">
        <v>0.05</v>
      </c>
      <c r="T447">
        <v>8415831</v>
      </c>
    </row>
    <row r="448" spans="1:20" x14ac:dyDescent="0.15">
      <c r="A448" s="4" t="str">
        <f>HYPERLINK("https://ibp.a2mac1.com/costing(costing:projects/details/9760/component/8754516)","Tube/cluster support &gt; Tube/cluster beribboned support in hole")</f>
        <v>Tube/cluster support &gt; Tube/cluster beribboned support in hole</v>
      </c>
      <c r="B448">
        <v>8754516</v>
      </c>
      <c r="D448">
        <v>0</v>
      </c>
      <c r="E448">
        <v>0.05</v>
      </c>
      <c r="H448">
        <v>1</v>
      </c>
      <c r="I448">
        <v>200000</v>
      </c>
      <c r="J448" t="s">
        <v>76</v>
      </c>
      <c r="K448">
        <v>6</v>
      </c>
      <c r="L448">
        <v>10</v>
      </c>
      <c r="M448">
        <v>10</v>
      </c>
      <c r="O448">
        <v>2E-3</v>
      </c>
      <c r="Q448">
        <v>0</v>
      </c>
      <c r="R448">
        <v>0</v>
      </c>
      <c r="S448">
        <v>0.05</v>
      </c>
      <c r="T448">
        <v>8415831</v>
      </c>
    </row>
    <row r="449" spans="1:21" x14ac:dyDescent="0.15">
      <c r="A449" s="4" t="str">
        <f>HYPERLINK("https://ibp.a2mac1.com/costing(costing:projects/details/9760/component/8754517)","Screw &gt; Hexagon socket head cap screw with flange")</f>
        <v>Screw &gt; Hexagon socket head cap screw with flange</v>
      </c>
      <c r="B449">
        <v>8754517</v>
      </c>
      <c r="D449">
        <v>0</v>
      </c>
      <c r="E449">
        <v>0.05</v>
      </c>
      <c r="H449">
        <v>1</v>
      </c>
      <c r="I449">
        <v>200000</v>
      </c>
      <c r="J449" t="s">
        <v>76</v>
      </c>
      <c r="K449">
        <v>13</v>
      </c>
      <c r="L449">
        <v>3</v>
      </c>
      <c r="M449">
        <v>4</v>
      </c>
      <c r="O449">
        <v>1E-3</v>
      </c>
      <c r="Q449">
        <v>0</v>
      </c>
      <c r="R449">
        <v>0</v>
      </c>
      <c r="S449">
        <v>0.05</v>
      </c>
      <c r="T449">
        <v>8415831</v>
      </c>
    </row>
    <row r="450" spans="1:21" x14ac:dyDescent="0.15">
      <c r="A450" s="4" t="str">
        <f>HYPERLINK("https://ibp.a2mac1.com/costing(costing:projects/details/9760/component/8754518)","Screw &gt; Torx socket head cap screw")</f>
        <v>Screw &gt; Torx socket head cap screw</v>
      </c>
      <c r="B450">
        <v>8754518</v>
      </c>
      <c r="D450">
        <v>0</v>
      </c>
      <c r="E450">
        <v>0.05</v>
      </c>
      <c r="H450">
        <v>2</v>
      </c>
      <c r="I450">
        <v>400000</v>
      </c>
      <c r="J450" t="s">
        <v>76</v>
      </c>
      <c r="K450">
        <v>12</v>
      </c>
      <c r="L450">
        <v>3</v>
      </c>
      <c r="M450">
        <v>3</v>
      </c>
      <c r="O450">
        <v>5.0000000000000001E-4</v>
      </c>
      <c r="Q450">
        <v>0</v>
      </c>
      <c r="R450">
        <v>0</v>
      </c>
      <c r="S450">
        <v>0.1</v>
      </c>
      <c r="T450">
        <v>8415831</v>
      </c>
    </row>
    <row r="451" spans="1:21" x14ac:dyDescent="0.15">
      <c r="A451" s="4" t="str">
        <f>HYPERLINK("https://ibp.a2mac1.com/costing(costing:projects/details/9760/component/8754519)","Screw &gt; Torx socket head cap screw")</f>
        <v>Screw &gt; Torx socket head cap screw</v>
      </c>
      <c r="B451">
        <v>8754519</v>
      </c>
      <c r="D451">
        <v>0</v>
      </c>
      <c r="E451">
        <v>0.05</v>
      </c>
      <c r="H451">
        <v>2</v>
      </c>
      <c r="I451">
        <v>400000</v>
      </c>
      <c r="J451" t="s">
        <v>76</v>
      </c>
      <c r="K451">
        <v>12</v>
      </c>
      <c r="L451">
        <v>3</v>
      </c>
      <c r="M451">
        <v>3</v>
      </c>
      <c r="O451">
        <v>5.0000000000000001E-4</v>
      </c>
      <c r="Q451">
        <v>0</v>
      </c>
      <c r="R451">
        <v>0</v>
      </c>
      <c r="S451">
        <v>0.1</v>
      </c>
      <c r="T451">
        <v>8415831</v>
      </c>
    </row>
    <row r="452" spans="1:21" x14ac:dyDescent="0.15">
      <c r="A452" s="4" t="str">
        <f>HYPERLINK("https://ibp.a2mac1.com/costing(costing:projects/details/9760/component/8754520)","Screw &gt; Torx socket head cap screw with captive washer")</f>
        <v>Screw &gt; Torx socket head cap screw with captive washer</v>
      </c>
      <c r="B452">
        <v>8754520</v>
      </c>
      <c r="D452">
        <v>0</v>
      </c>
      <c r="E452">
        <v>0.05</v>
      </c>
      <c r="H452">
        <v>3</v>
      </c>
      <c r="I452">
        <v>600000</v>
      </c>
      <c r="J452" t="s">
        <v>76</v>
      </c>
      <c r="K452">
        <v>13</v>
      </c>
      <c r="L452">
        <v>4</v>
      </c>
      <c r="M452">
        <v>4</v>
      </c>
      <c r="O452">
        <v>2E-3</v>
      </c>
      <c r="Q452">
        <v>0</v>
      </c>
      <c r="R452">
        <v>0</v>
      </c>
      <c r="S452">
        <v>0.15</v>
      </c>
      <c r="T452">
        <v>8415831</v>
      </c>
    </row>
    <row r="453" spans="1:21" x14ac:dyDescent="0.15">
      <c r="A453" s="4" t="str">
        <f>HYPERLINK("https://ibp.a2mac1.com/costing(costing:projects/details/9760/component/8754521)","Screw &gt; Torx socket head cap screw")</f>
        <v>Screw &gt; Torx socket head cap screw</v>
      </c>
      <c r="B453">
        <v>8754521</v>
      </c>
      <c r="D453">
        <v>0</v>
      </c>
      <c r="E453">
        <v>0.05</v>
      </c>
      <c r="H453">
        <v>2</v>
      </c>
      <c r="I453">
        <v>400000</v>
      </c>
      <c r="J453" t="s">
        <v>76</v>
      </c>
      <c r="K453">
        <v>6</v>
      </c>
      <c r="L453">
        <v>2</v>
      </c>
      <c r="M453">
        <v>2</v>
      </c>
      <c r="O453">
        <v>5.0000000000000001E-4</v>
      </c>
      <c r="Q453">
        <v>0</v>
      </c>
      <c r="R453">
        <v>0</v>
      </c>
      <c r="S453">
        <v>0.1</v>
      </c>
      <c r="T453">
        <v>8415831</v>
      </c>
    </row>
    <row r="454" spans="1:21" x14ac:dyDescent="0.15">
      <c r="A454" s="4" t="str">
        <f>HYPERLINK("https://ibp.a2mac1.com/costing(costing:projects/details/9760/component/8754522)","Screw &gt; Torx socket head cap screw")</f>
        <v>Screw &gt; Torx socket head cap screw</v>
      </c>
      <c r="B454">
        <v>8754522</v>
      </c>
      <c r="D454">
        <v>0</v>
      </c>
      <c r="E454">
        <v>0.05</v>
      </c>
      <c r="H454">
        <v>2</v>
      </c>
      <c r="I454">
        <v>400000</v>
      </c>
      <c r="J454" t="s">
        <v>76</v>
      </c>
      <c r="K454">
        <v>10</v>
      </c>
      <c r="L454">
        <v>4</v>
      </c>
      <c r="M454">
        <v>4</v>
      </c>
      <c r="O454">
        <v>1.5E-3</v>
      </c>
      <c r="Q454">
        <v>0</v>
      </c>
      <c r="R454">
        <v>0</v>
      </c>
      <c r="S454">
        <v>0.1</v>
      </c>
      <c r="T454">
        <v>8415831</v>
      </c>
    </row>
    <row r="455" spans="1:21" x14ac:dyDescent="0.15">
      <c r="A455" s="4" t="str">
        <f>HYPERLINK("https://ibp.a2mac1.com/costing(costing:projects/details/9760/component/8754523)","Screw &gt; Torx socket head cap screw")</f>
        <v>Screw &gt; Torx socket head cap screw</v>
      </c>
      <c r="B455">
        <v>8754523</v>
      </c>
      <c r="D455">
        <v>0</v>
      </c>
      <c r="E455">
        <v>0.05</v>
      </c>
      <c r="H455">
        <v>2</v>
      </c>
      <c r="I455">
        <v>400000</v>
      </c>
      <c r="J455" t="s">
        <v>76</v>
      </c>
      <c r="K455">
        <v>6</v>
      </c>
      <c r="L455">
        <v>1</v>
      </c>
      <c r="M455">
        <v>2</v>
      </c>
      <c r="O455">
        <v>5.0000000000000001E-4</v>
      </c>
      <c r="Q455">
        <v>0</v>
      </c>
      <c r="R455">
        <v>0</v>
      </c>
      <c r="S455">
        <v>0.1</v>
      </c>
      <c r="T455">
        <v>8415831</v>
      </c>
    </row>
    <row r="456" spans="1:21" x14ac:dyDescent="0.15">
      <c r="A456" s="4" t="str">
        <f>HYPERLINK("https://ibp.a2mac1.com/costing(costing:projects/details/9760/component/8754381)","Screw &gt; Torx socket head cap screw with flange")</f>
        <v>Screw &gt; Torx socket head cap screw with flange</v>
      </c>
      <c r="B456">
        <v>8754381</v>
      </c>
      <c r="D456">
        <v>0</v>
      </c>
      <c r="E456">
        <v>0.05</v>
      </c>
      <c r="H456">
        <v>1</v>
      </c>
      <c r="I456">
        <v>200000</v>
      </c>
      <c r="J456" t="s">
        <v>76</v>
      </c>
      <c r="K456">
        <v>12</v>
      </c>
      <c r="L456">
        <v>4</v>
      </c>
      <c r="M456">
        <v>4</v>
      </c>
      <c r="O456">
        <v>2E-3</v>
      </c>
      <c r="Q456">
        <v>0</v>
      </c>
      <c r="R456">
        <v>0</v>
      </c>
      <c r="S456">
        <v>0.05</v>
      </c>
      <c r="T456">
        <v>8415626</v>
      </c>
    </row>
    <row r="457" spans="1:21" x14ac:dyDescent="0.15">
      <c r="A457" s="4" t="str">
        <f>HYPERLINK("https://ibp.a2mac1.com/costing(costing:projects/details/9760/component/8754524)","Copper")</f>
        <v>Copper</v>
      </c>
      <c r="B457">
        <v>8754524</v>
      </c>
      <c r="D457">
        <v>0</v>
      </c>
      <c r="E457">
        <v>1.99</v>
      </c>
      <c r="H457">
        <v>1</v>
      </c>
      <c r="I457">
        <v>200000</v>
      </c>
      <c r="J457" t="s">
        <v>162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>
        <v>1.99</v>
      </c>
      <c r="U457">
        <v>8415834</v>
      </c>
    </row>
    <row r="458" spans="1:21" x14ac:dyDescent="0.15">
      <c r="A458" s="4" t="str">
        <f>HYPERLINK("https://ibp.a2mac1.com/costing(costing:projects/details/9760/component/8754525)","Material")</f>
        <v>Material</v>
      </c>
      <c r="B458">
        <v>8754525</v>
      </c>
      <c r="D458">
        <v>0</v>
      </c>
      <c r="E458">
        <v>8.5</v>
      </c>
      <c r="H458">
        <v>1</v>
      </c>
      <c r="I458">
        <v>200000</v>
      </c>
      <c r="J458" t="s">
        <v>162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>
        <v>8.5</v>
      </c>
      <c r="U458">
        <v>8415834</v>
      </c>
    </row>
    <row r="459" spans="1:21" x14ac:dyDescent="0.15">
      <c r="A459" s="4" t="str">
        <f>HYPERLINK("https://ibp.a2mac1.com/costing(costing:projects/details/9760/component/8754382)","Tube/cluster support &gt; Tube/cluster strap support in hole")</f>
        <v>Tube/cluster support &gt; Tube/cluster strap support in hole</v>
      </c>
      <c r="B459">
        <v>8754382</v>
      </c>
      <c r="D459">
        <v>0</v>
      </c>
      <c r="E459">
        <v>0.05</v>
      </c>
      <c r="H459">
        <v>3</v>
      </c>
      <c r="I459">
        <v>600000</v>
      </c>
      <c r="J459" t="s">
        <v>76</v>
      </c>
      <c r="K459">
        <v>6</v>
      </c>
      <c r="L459">
        <v>13</v>
      </c>
      <c r="M459">
        <v>6</v>
      </c>
      <c r="O459">
        <v>2.9999999999999997E-4</v>
      </c>
      <c r="Q459">
        <v>0</v>
      </c>
      <c r="R459">
        <v>0</v>
      </c>
      <c r="S459">
        <v>0.15</v>
      </c>
      <c r="T459">
        <v>8415627</v>
      </c>
    </row>
    <row r="460" spans="1:21" x14ac:dyDescent="0.15">
      <c r="A460" s="4" t="str">
        <f>HYPERLINK("https://ibp.a2mac1.com/costing(costing:projects/details/9760/component/8754526)","Screw &gt; Hexagon screw with flange")</f>
        <v>Screw &gt; Hexagon screw with flange</v>
      </c>
      <c r="B460">
        <v>8754526</v>
      </c>
      <c r="D460">
        <v>0</v>
      </c>
      <c r="E460">
        <v>0.05</v>
      </c>
      <c r="H460">
        <v>2</v>
      </c>
      <c r="I460">
        <v>400000</v>
      </c>
      <c r="J460" t="s">
        <v>76</v>
      </c>
      <c r="K460">
        <v>25</v>
      </c>
      <c r="L460">
        <v>13</v>
      </c>
      <c r="M460">
        <v>8</v>
      </c>
      <c r="O460">
        <v>0.01</v>
      </c>
      <c r="Q460">
        <v>0</v>
      </c>
      <c r="R460">
        <v>0</v>
      </c>
      <c r="S460">
        <v>0.1</v>
      </c>
      <c r="T460">
        <v>8415840</v>
      </c>
    </row>
    <row r="461" spans="1:21" x14ac:dyDescent="0.15">
      <c r="A461" s="4" t="str">
        <f>HYPERLINK("https://ibp.a2mac1.com/costing(costing:projects/details/9760/component/8754527)","Screw &gt; Hexagon screw with flange")</f>
        <v>Screw &gt; Hexagon screw with flange</v>
      </c>
      <c r="B461">
        <v>8754527</v>
      </c>
      <c r="D461">
        <v>0</v>
      </c>
      <c r="E461">
        <v>0.05</v>
      </c>
      <c r="H461">
        <v>1</v>
      </c>
      <c r="I461">
        <v>200000</v>
      </c>
      <c r="J461" t="s">
        <v>76</v>
      </c>
      <c r="K461">
        <v>40</v>
      </c>
      <c r="L461">
        <v>15</v>
      </c>
      <c r="M461">
        <v>10</v>
      </c>
      <c r="O461">
        <v>3.2000000000000001E-2</v>
      </c>
      <c r="Q461">
        <v>0</v>
      </c>
      <c r="R461">
        <v>0</v>
      </c>
      <c r="S461">
        <v>0.05</v>
      </c>
      <c r="T461">
        <v>8415840</v>
      </c>
    </row>
    <row r="462" spans="1:21" x14ac:dyDescent="0.15">
      <c r="A462" s="4" t="str">
        <f>HYPERLINK("https://ibp.a2mac1.com/costing(costing:projects/details/9760/component/8754528)","Screw &gt; Hexagon screw with flange")</f>
        <v>Screw &gt; Hexagon screw with flange</v>
      </c>
      <c r="B462">
        <v>8754528</v>
      </c>
      <c r="D462">
        <v>0</v>
      </c>
      <c r="E462">
        <v>0.05</v>
      </c>
      <c r="H462">
        <v>2</v>
      </c>
      <c r="I462">
        <v>400000</v>
      </c>
      <c r="J462" t="s">
        <v>76</v>
      </c>
      <c r="K462">
        <v>25</v>
      </c>
      <c r="L462">
        <v>13</v>
      </c>
      <c r="M462">
        <v>8</v>
      </c>
      <c r="O462">
        <v>2.0500000000000001E-2</v>
      </c>
      <c r="Q462">
        <v>0</v>
      </c>
      <c r="R462">
        <v>0</v>
      </c>
      <c r="S462">
        <v>0.1</v>
      </c>
      <c r="T462">
        <v>8415841</v>
      </c>
    </row>
    <row r="463" spans="1:21" x14ac:dyDescent="0.15">
      <c r="A463" s="4" t="str">
        <f>HYPERLINK("https://ibp.a2mac1.com/costing(costing:projects/details/9760/component/8754529)","Screw &gt; Hexagon screw with flange")</f>
        <v>Screw &gt; Hexagon screw with flange</v>
      </c>
      <c r="B463">
        <v>8754529</v>
      </c>
      <c r="D463">
        <v>0</v>
      </c>
      <c r="E463">
        <v>0.05</v>
      </c>
      <c r="H463">
        <v>1</v>
      </c>
      <c r="I463">
        <v>200000</v>
      </c>
      <c r="J463" t="s">
        <v>76</v>
      </c>
      <c r="K463">
        <v>40</v>
      </c>
      <c r="L463">
        <v>15</v>
      </c>
      <c r="M463">
        <v>10</v>
      </c>
      <c r="O463">
        <v>3.2000000000000001E-2</v>
      </c>
      <c r="Q463">
        <v>0</v>
      </c>
      <c r="R463">
        <v>0</v>
      </c>
      <c r="S463">
        <v>0.05</v>
      </c>
      <c r="T463">
        <v>8415841</v>
      </c>
    </row>
    <row r="464" spans="1:21" x14ac:dyDescent="0.15">
      <c r="A464" s="4" t="str">
        <f>HYPERLINK("https://ibp.a2mac1.com/costing(costing:projects/details/9760/component/8754383)","Screw &gt; Torx socket head cap screw")</f>
        <v>Screw &gt; Torx socket head cap screw</v>
      </c>
      <c r="B464">
        <v>8754383</v>
      </c>
      <c r="D464">
        <v>0</v>
      </c>
      <c r="E464">
        <v>0.05</v>
      </c>
      <c r="H464">
        <v>1</v>
      </c>
      <c r="I464">
        <v>200000</v>
      </c>
      <c r="J464" t="s">
        <v>76</v>
      </c>
      <c r="K464">
        <v>20</v>
      </c>
      <c r="L464">
        <v>8</v>
      </c>
      <c r="M464">
        <v>8</v>
      </c>
      <c r="O464">
        <v>1.2999999999999999E-2</v>
      </c>
      <c r="Q464">
        <v>0</v>
      </c>
      <c r="R464">
        <v>0</v>
      </c>
      <c r="S464">
        <v>0.05</v>
      </c>
      <c r="T464">
        <v>8415628</v>
      </c>
    </row>
    <row r="465" spans="1:20" x14ac:dyDescent="0.15">
      <c r="A465" s="4" t="str">
        <f>HYPERLINK("https://ibp.a2mac1.com/costing(costing:projects/details/9760/component/8754530)","Panel holder &gt; Clips in rectangular hole")</f>
        <v>Panel holder &gt; Clips in rectangular hole</v>
      </c>
      <c r="B465">
        <v>8754530</v>
      </c>
      <c r="D465">
        <v>0</v>
      </c>
      <c r="E465">
        <v>0.05</v>
      </c>
      <c r="H465">
        <v>22</v>
      </c>
      <c r="I465">
        <v>4400000</v>
      </c>
      <c r="J465" t="s">
        <v>76</v>
      </c>
      <c r="K465">
        <v>2</v>
      </c>
      <c r="L465">
        <v>5</v>
      </c>
      <c r="M465">
        <v>6</v>
      </c>
      <c r="O465">
        <v>2.0000000000000001E-4</v>
      </c>
      <c r="Q465">
        <v>0</v>
      </c>
      <c r="R465">
        <v>0</v>
      </c>
      <c r="S465">
        <v>1.1000000000000001</v>
      </c>
      <c r="T465">
        <v>8415845</v>
      </c>
    </row>
    <row r="466" spans="1:20" x14ac:dyDescent="0.15">
      <c r="A466" s="4" t="str">
        <f>HYPERLINK("https://ibp.a2mac1.com/costing(costing:projects/details/9760/component/8754531)","Mechanics")</f>
        <v>Mechanics</v>
      </c>
      <c r="B466">
        <v>8754531</v>
      </c>
      <c r="D466">
        <v>0</v>
      </c>
      <c r="E466">
        <v>5.96</v>
      </c>
      <c r="H466">
        <v>1</v>
      </c>
      <c r="I466">
        <v>200000</v>
      </c>
      <c r="J466" t="s">
        <v>76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362</v>
      </c>
      <c r="Q466">
        <v>0</v>
      </c>
      <c r="R466">
        <v>0</v>
      </c>
      <c r="S466">
        <v>5.8525753349531247</v>
      </c>
      <c r="T466">
        <v>8415847</v>
      </c>
    </row>
    <row r="467" spans="1:20" x14ac:dyDescent="0.15">
      <c r="A467" s="4" t="str">
        <f>HYPERLINK("https://ibp.a2mac1.com/costing(costing:projects/details/9760/component/8754532)","Electronics")</f>
        <v>Electronics</v>
      </c>
      <c r="B467">
        <v>8754532</v>
      </c>
      <c r="D467">
        <v>0</v>
      </c>
      <c r="E467">
        <v>1.03</v>
      </c>
      <c r="H467">
        <v>1</v>
      </c>
      <c r="I467">
        <v>200000</v>
      </c>
      <c r="J467" t="s">
        <v>76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364</v>
      </c>
      <c r="Q467">
        <v>0</v>
      </c>
      <c r="R467">
        <v>0</v>
      </c>
      <c r="S467">
        <v>0.96657742715637562</v>
      </c>
      <c r="T467">
        <v>8415847</v>
      </c>
    </row>
    <row r="468" spans="1:20" x14ac:dyDescent="0.15">
      <c r="A468" s="4" t="str">
        <f>HYPERLINK("https://ibp.a2mac1.com/costing(costing:projects/details/9760/component/8754384)","Screw &gt; Hexagon screw with flange")</f>
        <v>Screw &gt; Hexagon screw with flange</v>
      </c>
      <c r="B468">
        <v>8754384</v>
      </c>
      <c r="D468">
        <v>0</v>
      </c>
      <c r="E468">
        <v>0.05</v>
      </c>
      <c r="H468">
        <v>1</v>
      </c>
      <c r="I468">
        <v>200000</v>
      </c>
      <c r="J468" t="s">
        <v>76</v>
      </c>
      <c r="K468">
        <v>18</v>
      </c>
      <c r="L468">
        <v>13</v>
      </c>
      <c r="M468">
        <v>8</v>
      </c>
      <c r="O468">
        <v>1.7999999999999999E-2</v>
      </c>
      <c r="Q468">
        <v>0</v>
      </c>
      <c r="R468">
        <v>0</v>
      </c>
      <c r="S468">
        <v>0.05</v>
      </c>
      <c r="T468">
        <v>8415630</v>
      </c>
    </row>
    <row r="469" spans="1:20" x14ac:dyDescent="0.15">
      <c r="A469" s="4" t="str">
        <f>HYPERLINK("https://ibp.a2mac1.com/costing(costing:projects/details/9760/component/8754385)","Nut &gt; Hexagonal nut with collar")</f>
        <v>Nut &gt; Hexagonal nut with collar</v>
      </c>
      <c r="B469">
        <v>8754385</v>
      </c>
      <c r="D469">
        <v>0</v>
      </c>
      <c r="E469">
        <v>0.05</v>
      </c>
      <c r="H469">
        <v>4</v>
      </c>
      <c r="I469">
        <v>800000</v>
      </c>
      <c r="J469" t="s">
        <v>76</v>
      </c>
      <c r="K469">
        <v>8</v>
      </c>
      <c r="L469">
        <v>13</v>
      </c>
      <c r="M469">
        <v>7</v>
      </c>
      <c r="O469">
        <v>6.4999999999999997E-3</v>
      </c>
      <c r="Q469">
        <v>0</v>
      </c>
      <c r="R469">
        <v>0</v>
      </c>
      <c r="S469">
        <v>0.2</v>
      </c>
      <c r="T469">
        <v>8415630</v>
      </c>
    </row>
    <row r="470" spans="1:20" x14ac:dyDescent="0.15">
      <c r="A470" s="4" t="str">
        <f>HYPERLINK("https://ibp.a2mac1.com/costing(costing:projects/details/9760/component/8754386)","Screw &gt; Torx socket head cap screw with flange")</f>
        <v>Screw &gt; Torx socket head cap screw with flange</v>
      </c>
      <c r="B470">
        <v>8754386</v>
      </c>
      <c r="D470">
        <v>0</v>
      </c>
      <c r="E470">
        <v>0.05</v>
      </c>
      <c r="H470">
        <v>3</v>
      </c>
      <c r="I470">
        <v>600000</v>
      </c>
      <c r="J470" t="s">
        <v>76</v>
      </c>
      <c r="K470">
        <v>22</v>
      </c>
      <c r="L470">
        <v>4</v>
      </c>
      <c r="M470">
        <v>5</v>
      </c>
      <c r="O470">
        <v>3.3E-3</v>
      </c>
      <c r="Q470">
        <v>0</v>
      </c>
      <c r="R470">
        <v>0</v>
      </c>
      <c r="S470">
        <v>0.15</v>
      </c>
      <c r="T470">
        <v>8415630</v>
      </c>
    </row>
    <row r="471" spans="1:20" x14ac:dyDescent="0.15">
      <c r="A471" s="4" t="str">
        <f>HYPERLINK("https://ibp.a2mac1.com/costing(costing:projects/details/9760/component/8754533)","Pin clip &gt; Dowel pin")</f>
        <v>Pin clip &gt; Dowel pin</v>
      </c>
      <c r="B471">
        <v>8754533</v>
      </c>
      <c r="D471">
        <v>0</v>
      </c>
      <c r="E471">
        <v>0.1</v>
      </c>
      <c r="H471">
        <v>1</v>
      </c>
      <c r="I471">
        <v>200000</v>
      </c>
      <c r="J471" t="s">
        <v>76</v>
      </c>
      <c r="L471">
        <v>42</v>
      </c>
      <c r="M471">
        <v>4</v>
      </c>
      <c r="O471">
        <v>3.0000000000000001E-3</v>
      </c>
      <c r="Q471">
        <v>0</v>
      </c>
      <c r="R471">
        <v>0</v>
      </c>
      <c r="S471">
        <v>0.1</v>
      </c>
      <c r="T471">
        <v>8415853</v>
      </c>
    </row>
    <row r="472" spans="1:20" x14ac:dyDescent="0.15">
      <c r="A472" s="4" t="str">
        <f>HYPERLINK("https://ibp.a2mac1.com/costing(costing:projects/details/9760/component/8754534)","Screw &gt; Cross recessed screw with flange")</f>
        <v>Screw &gt; Cross recessed screw with flange</v>
      </c>
      <c r="B472">
        <v>8754534</v>
      </c>
      <c r="D472">
        <v>0</v>
      </c>
      <c r="E472">
        <v>0.05</v>
      </c>
      <c r="H472">
        <v>4</v>
      </c>
      <c r="I472">
        <v>800000</v>
      </c>
      <c r="J472" t="s">
        <v>76</v>
      </c>
      <c r="K472">
        <v>11</v>
      </c>
      <c r="L472">
        <v>6</v>
      </c>
      <c r="M472">
        <v>7</v>
      </c>
      <c r="O472">
        <v>2E-3</v>
      </c>
      <c r="Q472">
        <v>0</v>
      </c>
      <c r="R472">
        <v>0</v>
      </c>
      <c r="S472">
        <v>0.2</v>
      </c>
      <c r="T472">
        <v>8415853</v>
      </c>
    </row>
    <row r="473" spans="1:20" x14ac:dyDescent="0.15">
      <c r="A473" s="4" t="str">
        <f>HYPERLINK("https://ibp.a2mac1.com/costing(costing:projects/details/9760/component/8754535)","Pin clip &gt; Dowel pin")</f>
        <v>Pin clip &gt; Dowel pin</v>
      </c>
      <c r="B473">
        <v>8754535</v>
      </c>
      <c r="D473">
        <v>0</v>
      </c>
      <c r="E473">
        <v>0.1</v>
      </c>
      <c r="H473">
        <v>2</v>
      </c>
      <c r="I473">
        <v>400000</v>
      </c>
      <c r="J473" t="s">
        <v>76</v>
      </c>
      <c r="L473">
        <v>30</v>
      </c>
      <c r="M473">
        <v>7</v>
      </c>
      <c r="O473">
        <v>5.0000000000000001E-3</v>
      </c>
      <c r="Q473">
        <v>0</v>
      </c>
      <c r="R473">
        <v>0</v>
      </c>
      <c r="S473">
        <v>0.2</v>
      </c>
      <c r="T473">
        <v>8415854</v>
      </c>
    </row>
    <row r="474" spans="1:20" x14ac:dyDescent="0.15">
      <c r="A474" s="4" t="str">
        <f>HYPERLINK("https://ibp.a2mac1.com/costing(costing:projects/details/9760/component/8754536)","Screw &gt; Hexagon screw with flange")</f>
        <v>Screw &gt; Hexagon screw with flange</v>
      </c>
      <c r="B474">
        <v>8754536</v>
      </c>
      <c r="D474">
        <v>0</v>
      </c>
      <c r="E474">
        <v>0.05</v>
      </c>
      <c r="H474">
        <v>1</v>
      </c>
      <c r="I474">
        <v>200000</v>
      </c>
      <c r="J474" t="s">
        <v>76</v>
      </c>
      <c r="K474">
        <v>15</v>
      </c>
      <c r="L474">
        <v>10</v>
      </c>
      <c r="M474">
        <v>6</v>
      </c>
      <c r="O474">
        <v>2.5999999999999999E-2</v>
      </c>
      <c r="Q474">
        <v>0</v>
      </c>
      <c r="R474">
        <v>0</v>
      </c>
      <c r="S474">
        <v>0.05</v>
      </c>
      <c r="T474">
        <v>8415854</v>
      </c>
    </row>
    <row r="475" spans="1:20" x14ac:dyDescent="0.15">
      <c r="A475" s="4" t="str">
        <f>HYPERLINK("https://ibp.a2mac1.com/costing(costing:projects/details/9760/component/8754387)","Other fastener &gt; Attachment")</f>
        <v>Other fastener &gt; Attachment</v>
      </c>
      <c r="B475">
        <v>8754387</v>
      </c>
      <c r="D475">
        <v>0</v>
      </c>
      <c r="E475">
        <v>0.05</v>
      </c>
      <c r="H475">
        <v>3</v>
      </c>
      <c r="I475">
        <v>600000</v>
      </c>
      <c r="J475" t="s">
        <v>76</v>
      </c>
      <c r="K475">
        <v>21</v>
      </c>
      <c r="L475">
        <v>35</v>
      </c>
      <c r="M475">
        <v>24</v>
      </c>
      <c r="O475">
        <v>7.0000000000000001E-3</v>
      </c>
      <c r="Q475">
        <v>0</v>
      </c>
      <c r="R475">
        <v>0</v>
      </c>
      <c r="S475">
        <v>0.15</v>
      </c>
      <c r="T475">
        <v>8415631</v>
      </c>
    </row>
    <row r="476" spans="1:20" x14ac:dyDescent="0.15">
      <c r="A476" s="4" t="str">
        <f>HYPERLINK("https://ibp.a2mac1.com/costing(costing:projects/details/9760/component/8754388)","Screw &gt; Torx socket head cap screw")</f>
        <v>Screw &gt; Torx socket head cap screw</v>
      </c>
      <c r="B476">
        <v>8754388</v>
      </c>
      <c r="D476">
        <v>0</v>
      </c>
      <c r="E476">
        <v>0.05</v>
      </c>
      <c r="H476">
        <v>2</v>
      </c>
      <c r="I476">
        <v>400000</v>
      </c>
      <c r="J476" t="s">
        <v>76</v>
      </c>
      <c r="K476">
        <v>20</v>
      </c>
      <c r="L476">
        <v>6</v>
      </c>
      <c r="M476">
        <v>8</v>
      </c>
      <c r="O476">
        <v>0.01</v>
      </c>
      <c r="Q476">
        <v>0</v>
      </c>
      <c r="R476">
        <v>0</v>
      </c>
      <c r="S476">
        <v>0.1</v>
      </c>
      <c r="T476">
        <v>8415631</v>
      </c>
    </row>
    <row r="477" spans="1:20" x14ac:dyDescent="0.15">
      <c r="A477" s="4" t="str">
        <f>HYPERLINK("https://ibp.a2mac1.com/costing(costing:projects/details/9760/component/8754389)","Screw &gt; Hexagon socket head cap screw with flange")</f>
        <v>Screw &gt; Hexagon socket head cap screw with flange</v>
      </c>
      <c r="B477">
        <v>8754389</v>
      </c>
      <c r="D477">
        <v>0</v>
      </c>
      <c r="E477">
        <v>0.05</v>
      </c>
      <c r="H477">
        <v>3</v>
      </c>
      <c r="I477">
        <v>600000</v>
      </c>
      <c r="J477" t="s">
        <v>76</v>
      </c>
      <c r="K477">
        <v>15</v>
      </c>
      <c r="L477">
        <v>5</v>
      </c>
      <c r="M477">
        <v>6</v>
      </c>
      <c r="O477">
        <v>6.0000000000000001E-3</v>
      </c>
      <c r="Q477">
        <v>0</v>
      </c>
      <c r="R477">
        <v>0</v>
      </c>
      <c r="S477">
        <v>0.15</v>
      </c>
      <c r="T477">
        <v>8415631</v>
      </c>
    </row>
    <row r="478" spans="1:20" x14ac:dyDescent="0.15">
      <c r="A478" s="4" t="str">
        <f>HYPERLINK("https://ibp.a2mac1.com/costing(costing:projects/details/9760/component/8754303)","Hole plug &gt; Round hole")</f>
        <v>Hole plug &gt; Round hole</v>
      </c>
      <c r="B478">
        <v>8754303</v>
      </c>
      <c r="D478">
        <v>0</v>
      </c>
      <c r="E478">
        <v>0.1</v>
      </c>
      <c r="H478">
        <v>1</v>
      </c>
      <c r="I478">
        <v>200000</v>
      </c>
      <c r="J478" t="s">
        <v>76</v>
      </c>
      <c r="K478">
        <v>8</v>
      </c>
      <c r="M478">
        <v>29</v>
      </c>
      <c r="O478">
        <v>2E-3</v>
      </c>
      <c r="Q478">
        <v>0</v>
      </c>
      <c r="R478">
        <v>0</v>
      </c>
      <c r="S478">
        <v>0.1</v>
      </c>
      <c r="T478">
        <v>8415582</v>
      </c>
    </row>
    <row r="479" spans="1:20" x14ac:dyDescent="0.15">
      <c r="A479" s="4" t="str">
        <f>HYPERLINK("https://ibp.a2mac1.com/costing(costing:projects/details/9760/component/8754304)","Screw &gt; Torx screw")</f>
        <v>Screw &gt; Torx screw</v>
      </c>
      <c r="B479">
        <v>8754304</v>
      </c>
      <c r="D479">
        <v>0</v>
      </c>
      <c r="E479">
        <v>0.05</v>
      </c>
      <c r="H479">
        <v>2</v>
      </c>
      <c r="I479">
        <v>400000</v>
      </c>
      <c r="J479" t="s">
        <v>76</v>
      </c>
      <c r="K479">
        <v>7</v>
      </c>
      <c r="L479">
        <v>5</v>
      </c>
      <c r="M479">
        <v>8</v>
      </c>
      <c r="O479">
        <v>4.0000000000000001E-3</v>
      </c>
      <c r="Q479">
        <v>0</v>
      </c>
      <c r="R479">
        <v>0</v>
      </c>
      <c r="S479">
        <v>0.1</v>
      </c>
      <c r="T479">
        <v>8415582</v>
      </c>
    </row>
    <row r="480" spans="1:20" x14ac:dyDescent="0.15">
      <c r="A480" s="4" t="str">
        <f>HYPERLINK("https://ibp.a2mac1.com/costing(costing:projects/details/9760/component/8754390)","Screw &gt; Hexagon screw with flange")</f>
        <v>Screw &gt; Hexagon screw with flange</v>
      </c>
      <c r="B480">
        <v>8754390</v>
      </c>
      <c r="D480">
        <v>0</v>
      </c>
      <c r="E480">
        <v>0.05</v>
      </c>
      <c r="H480">
        <v>2</v>
      </c>
      <c r="I480">
        <v>400000</v>
      </c>
      <c r="J480" t="s">
        <v>76</v>
      </c>
      <c r="K480">
        <v>25</v>
      </c>
      <c r="L480">
        <v>13</v>
      </c>
      <c r="M480">
        <v>8</v>
      </c>
      <c r="O480">
        <v>2.0500000000000001E-2</v>
      </c>
      <c r="Q480">
        <v>0</v>
      </c>
      <c r="R480">
        <v>0</v>
      </c>
      <c r="S480">
        <v>0.1</v>
      </c>
      <c r="T480">
        <v>8415634</v>
      </c>
    </row>
    <row r="481" spans="1:20" x14ac:dyDescent="0.15">
      <c r="A481" s="4" t="str">
        <f>HYPERLINK("https://ibp.a2mac1.com/costing(costing:projects/details/9760/component/8754391)","Screw &gt; Hexagon screw with flange")</f>
        <v>Screw &gt; Hexagon screw with flange</v>
      </c>
      <c r="B481">
        <v>8754391</v>
      </c>
      <c r="D481">
        <v>0</v>
      </c>
      <c r="E481">
        <v>0.05</v>
      </c>
      <c r="H481">
        <v>2</v>
      </c>
      <c r="I481">
        <v>400000</v>
      </c>
      <c r="J481" t="s">
        <v>76</v>
      </c>
      <c r="K481">
        <v>25</v>
      </c>
      <c r="L481">
        <v>13</v>
      </c>
      <c r="M481">
        <v>8</v>
      </c>
      <c r="O481">
        <v>2.0500000000000001E-2</v>
      </c>
      <c r="Q481">
        <v>0</v>
      </c>
      <c r="R481">
        <v>0</v>
      </c>
      <c r="S481">
        <v>0.1</v>
      </c>
      <c r="T481">
        <v>8415634</v>
      </c>
    </row>
    <row r="482" spans="1:20" x14ac:dyDescent="0.15">
      <c r="A482" s="4" t="str">
        <f>HYPERLINK("https://ibp.a2mac1.com/costing(costing:projects/details/9760/component/8754392)","Screw &gt; Hexagon screw with captive washer")</f>
        <v>Screw &gt; Hexagon screw with captive washer</v>
      </c>
      <c r="B482">
        <v>8754392</v>
      </c>
      <c r="D482">
        <v>0</v>
      </c>
      <c r="E482">
        <v>0.05</v>
      </c>
      <c r="H482">
        <v>2</v>
      </c>
      <c r="I482">
        <v>400000</v>
      </c>
      <c r="J482" t="s">
        <v>76</v>
      </c>
      <c r="K482">
        <v>23</v>
      </c>
      <c r="L482">
        <v>10</v>
      </c>
      <c r="M482">
        <v>6</v>
      </c>
      <c r="O482">
        <v>9.4999999999999998E-3</v>
      </c>
      <c r="Q482">
        <v>0</v>
      </c>
      <c r="R482">
        <v>0</v>
      </c>
      <c r="S482">
        <v>0.1</v>
      </c>
      <c r="T482">
        <v>8415635</v>
      </c>
    </row>
    <row r="483" spans="1:20" x14ac:dyDescent="0.15">
      <c r="A483" s="4" t="str">
        <f>HYPERLINK("https://ibp.a2mac1.com/costing(costing:projects/details/9760/component/8754393)","Tube/cluster support &gt; Tube/cluster strap support in hole")</f>
        <v>Tube/cluster support &gt; Tube/cluster strap support in hole</v>
      </c>
      <c r="B483">
        <v>8754393</v>
      </c>
      <c r="D483">
        <v>0</v>
      </c>
      <c r="E483">
        <v>0.02</v>
      </c>
      <c r="H483">
        <v>1</v>
      </c>
      <c r="I483">
        <v>200000</v>
      </c>
      <c r="J483" t="s">
        <v>76</v>
      </c>
      <c r="K483">
        <v>8</v>
      </c>
      <c r="L483">
        <v>8</v>
      </c>
      <c r="M483">
        <v>5</v>
      </c>
      <c r="O483">
        <v>1E-3</v>
      </c>
      <c r="Q483">
        <v>0</v>
      </c>
      <c r="R483">
        <v>0</v>
      </c>
      <c r="S483">
        <v>0.02</v>
      </c>
      <c r="T483">
        <v>8415635</v>
      </c>
    </row>
    <row r="484" spans="1:20" x14ac:dyDescent="0.15">
      <c r="A484" s="4" t="str">
        <f>HYPERLINK("https://ibp.a2mac1.com/costing(costing:projects/details/9760/component/8754394)","Screw &gt; Torx socket head cap screw")</f>
        <v>Screw &gt; Torx socket head cap screw</v>
      </c>
      <c r="B484">
        <v>8754394</v>
      </c>
      <c r="D484">
        <v>0</v>
      </c>
      <c r="E484">
        <v>0.05</v>
      </c>
      <c r="H484">
        <v>1</v>
      </c>
      <c r="I484">
        <v>200000</v>
      </c>
      <c r="J484" t="s">
        <v>76</v>
      </c>
      <c r="K484">
        <v>9</v>
      </c>
      <c r="L484">
        <v>2</v>
      </c>
      <c r="M484">
        <v>3</v>
      </c>
      <c r="O484">
        <v>1E-3</v>
      </c>
      <c r="Q484">
        <v>0</v>
      </c>
      <c r="R484">
        <v>0</v>
      </c>
      <c r="S484">
        <v>0.05</v>
      </c>
      <c r="T484">
        <v>8415635</v>
      </c>
    </row>
    <row r="485" spans="1:20" x14ac:dyDescent="0.15">
      <c r="A485" s="4" t="str">
        <f>HYPERLINK("https://ibp.a2mac1.com/costing(costing:projects/details/9760/component/8754395)","Panel holder &gt; Clips in round hole")</f>
        <v>Panel holder &gt; Clips in round hole</v>
      </c>
      <c r="B485">
        <v>8754395</v>
      </c>
      <c r="D485">
        <v>0</v>
      </c>
      <c r="E485">
        <v>0.02</v>
      </c>
      <c r="H485">
        <v>2</v>
      </c>
      <c r="I485">
        <v>400000</v>
      </c>
      <c r="J485" t="s">
        <v>76</v>
      </c>
      <c r="K485">
        <v>8</v>
      </c>
      <c r="L485">
        <v>20</v>
      </c>
      <c r="O485">
        <v>1E-3</v>
      </c>
      <c r="Q485">
        <v>0</v>
      </c>
      <c r="R485">
        <v>0</v>
      </c>
      <c r="S485">
        <v>0.04</v>
      </c>
      <c r="T485">
        <v>8415635</v>
      </c>
    </row>
    <row r="486" spans="1:20" x14ac:dyDescent="0.15">
      <c r="A486" s="4" t="str">
        <f>HYPERLINK("https://ibp.a2mac1.com/costing(costing:projects/details/9760/component/8754396)","Screw &gt; Torx socket head cap screw")</f>
        <v>Screw &gt; Torx socket head cap screw</v>
      </c>
      <c r="B486">
        <v>8754396</v>
      </c>
      <c r="D486">
        <v>0</v>
      </c>
      <c r="E486">
        <v>0.05</v>
      </c>
      <c r="H486">
        <v>2</v>
      </c>
      <c r="I486">
        <v>400000</v>
      </c>
      <c r="J486" t="s">
        <v>76</v>
      </c>
      <c r="K486">
        <v>13</v>
      </c>
      <c r="L486">
        <v>3</v>
      </c>
      <c r="M486">
        <v>3</v>
      </c>
      <c r="O486">
        <v>1E-3</v>
      </c>
      <c r="Q486">
        <v>0</v>
      </c>
      <c r="R486">
        <v>0</v>
      </c>
      <c r="S486">
        <v>0.1</v>
      </c>
      <c r="T486">
        <v>8415635</v>
      </c>
    </row>
    <row r="487" spans="1:20" x14ac:dyDescent="0.15">
      <c r="A487" s="4" t="str">
        <f>HYPERLINK("https://ibp.a2mac1.com/costing(costing:projects/details/9760/component/8754397)","Screw &gt; Hexagon screw with captive washer")</f>
        <v>Screw &gt; Hexagon screw with captive washer</v>
      </c>
      <c r="B487">
        <v>8754397</v>
      </c>
      <c r="D487">
        <v>0</v>
      </c>
      <c r="E487">
        <v>0.05</v>
      </c>
      <c r="H487">
        <v>2</v>
      </c>
      <c r="I487">
        <v>400000</v>
      </c>
      <c r="J487" t="s">
        <v>76</v>
      </c>
      <c r="K487">
        <v>18</v>
      </c>
      <c r="L487">
        <v>10</v>
      </c>
      <c r="M487">
        <v>6</v>
      </c>
      <c r="O487">
        <v>8.5000000000000006E-3</v>
      </c>
      <c r="Q487">
        <v>0</v>
      </c>
      <c r="R487">
        <v>0</v>
      </c>
      <c r="S487">
        <v>0.1</v>
      </c>
      <c r="T487">
        <v>8415635</v>
      </c>
    </row>
    <row r="488" spans="1:20" x14ac:dyDescent="0.15">
      <c r="A488" s="4" t="str">
        <f>HYPERLINK("https://ibp.a2mac1.com/costing(costing:projects/details/9760/component/8754398)","Pin clip &gt; Axle pin")</f>
        <v>Pin clip &gt; Axle pin</v>
      </c>
      <c r="B488">
        <v>8754398</v>
      </c>
      <c r="D488">
        <v>0</v>
      </c>
      <c r="E488">
        <v>0.05</v>
      </c>
      <c r="H488">
        <v>4</v>
      </c>
      <c r="I488">
        <v>800000</v>
      </c>
      <c r="J488" t="s">
        <v>76</v>
      </c>
      <c r="K488">
        <v>16</v>
      </c>
      <c r="L488">
        <v>9</v>
      </c>
      <c r="M488">
        <v>15</v>
      </c>
      <c r="O488">
        <v>1.2999999999999999E-3</v>
      </c>
      <c r="Q488">
        <v>0</v>
      </c>
      <c r="R488">
        <v>0</v>
      </c>
      <c r="S488">
        <v>0.2</v>
      </c>
      <c r="T488">
        <v>8415636</v>
      </c>
    </row>
    <row r="489" spans="1:20" x14ac:dyDescent="0.15">
      <c r="A489" s="4" t="str">
        <f>HYPERLINK("https://ibp.a2mac1.com/costing(costing:projects/details/9760/component/8754305)","Hole plug &gt; Round hole")</f>
        <v>Hole plug &gt; Round hole</v>
      </c>
      <c r="B489">
        <v>8754305</v>
      </c>
      <c r="D489">
        <v>0</v>
      </c>
      <c r="E489">
        <v>0.05</v>
      </c>
      <c r="H489">
        <v>4</v>
      </c>
      <c r="I489">
        <v>800000</v>
      </c>
      <c r="J489" t="s">
        <v>76</v>
      </c>
      <c r="K489">
        <v>9</v>
      </c>
      <c r="M489">
        <v>28</v>
      </c>
      <c r="O489">
        <v>1.5E-3</v>
      </c>
      <c r="Q489">
        <v>0</v>
      </c>
      <c r="R489">
        <v>0</v>
      </c>
      <c r="S489">
        <v>0.2</v>
      </c>
      <c r="T489">
        <v>8415583</v>
      </c>
    </row>
    <row r="490" spans="1:20" x14ac:dyDescent="0.15">
      <c r="A490" s="4" t="str">
        <f>HYPERLINK("https://ibp.a2mac1.com/costing(costing:projects/details/9760/component/8754306)","Nut &gt; Hexagonal nut with collar")</f>
        <v>Nut &gt; Hexagonal nut with collar</v>
      </c>
      <c r="B490">
        <v>8754306</v>
      </c>
      <c r="D490">
        <v>0</v>
      </c>
      <c r="E490">
        <v>0.05</v>
      </c>
      <c r="H490">
        <v>4</v>
      </c>
      <c r="I490">
        <v>800000</v>
      </c>
      <c r="J490" t="s">
        <v>76</v>
      </c>
      <c r="K490">
        <v>8</v>
      </c>
      <c r="L490">
        <v>12</v>
      </c>
      <c r="M490">
        <v>7</v>
      </c>
      <c r="O490">
        <v>9.4999999999999998E-3</v>
      </c>
      <c r="Q490">
        <v>0</v>
      </c>
      <c r="R490">
        <v>0</v>
      </c>
      <c r="S490">
        <v>0.2</v>
      </c>
      <c r="T490">
        <v>8415583</v>
      </c>
    </row>
    <row r="491" spans="1:20" x14ac:dyDescent="0.15">
      <c r="A491" s="4" t="str">
        <f>HYPERLINK("https://ibp.a2mac1.com/costing(costing:projects/details/9760/component/8754399)","Screw &gt; Hexagon screw with flange")</f>
        <v>Screw &gt; Hexagon screw with flange</v>
      </c>
      <c r="B491">
        <v>8754399</v>
      </c>
      <c r="D491">
        <v>0</v>
      </c>
      <c r="E491">
        <v>0.05</v>
      </c>
      <c r="H491">
        <v>2</v>
      </c>
      <c r="I491">
        <v>400000</v>
      </c>
      <c r="J491" t="s">
        <v>76</v>
      </c>
      <c r="K491">
        <v>22</v>
      </c>
      <c r="L491">
        <v>13</v>
      </c>
      <c r="M491">
        <v>8</v>
      </c>
      <c r="O491">
        <v>1.95E-2</v>
      </c>
      <c r="Q491">
        <v>0</v>
      </c>
      <c r="R491">
        <v>0</v>
      </c>
      <c r="S491">
        <v>0.1</v>
      </c>
      <c r="T491">
        <v>8415645</v>
      </c>
    </row>
    <row r="492" spans="1:20" x14ac:dyDescent="0.15">
      <c r="A492" s="4" t="str">
        <f>HYPERLINK("https://ibp.a2mac1.com/costing(costing:projects/details/9760/component/8754400)","Screw &gt; Hexagon screw")</f>
        <v>Screw &gt; Hexagon screw</v>
      </c>
      <c r="B492">
        <v>8754400</v>
      </c>
      <c r="D492">
        <v>0</v>
      </c>
      <c r="E492">
        <v>0.05</v>
      </c>
      <c r="H492">
        <v>1</v>
      </c>
      <c r="I492">
        <v>200000</v>
      </c>
      <c r="J492" t="s">
        <v>76</v>
      </c>
      <c r="K492">
        <v>47</v>
      </c>
      <c r="L492">
        <v>18</v>
      </c>
      <c r="M492">
        <v>8</v>
      </c>
      <c r="O492">
        <v>2.5000000000000001E-2</v>
      </c>
      <c r="Q492">
        <v>0</v>
      </c>
      <c r="R492">
        <v>0</v>
      </c>
      <c r="S492">
        <v>0.05</v>
      </c>
      <c r="T492">
        <v>8415645</v>
      </c>
    </row>
    <row r="493" spans="1:20" x14ac:dyDescent="0.15">
      <c r="A493" s="4" t="str">
        <f>HYPERLINK("https://ibp.a2mac1.com/costing(costing:projects/details/9760/component/8754401)","Rivet &gt; Push-in rivet")</f>
        <v>Rivet &gt; Push-in rivet</v>
      </c>
      <c r="B493">
        <v>8754401</v>
      </c>
      <c r="D493">
        <v>0</v>
      </c>
      <c r="E493">
        <v>0.1</v>
      </c>
      <c r="H493">
        <v>2</v>
      </c>
      <c r="I493">
        <v>400000</v>
      </c>
      <c r="J493" t="s">
        <v>76</v>
      </c>
      <c r="L493">
        <v>10</v>
      </c>
      <c r="M493">
        <v>8</v>
      </c>
      <c r="O493">
        <v>5.0000000000000001E-4</v>
      </c>
      <c r="Q493">
        <v>0</v>
      </c>
      <c r="R493">
        <v>0</v>
      </c>
      <c r="S493">
        <v>0.2</v>
      </c>
      <c r="T493">
        <v>8415645</v>
      </c>
    </row>
    <row r="494" spans="1:20" x14ac:dyDescent="0.15">
      <c r="A494" s="4" t="str">
        <f>HYPERLINK("https://ibp.a2mac1.com/costing(costing:projects/details/9760/component/8754402)","Rivet &gt; Push-in rivet")</f>
        <v>Rivet &gt; Push-in rivet</v>
      </c>
      <c r="B494">
        <v>8754402</v>
      </c>
      <c r="D494">
        <v>0</v>
      </c>
      <c r="E494">
        <v>0.1</v>
      </c>
      <c r="H494">
        <v>2</v>
      </c>
      <c r="I494">
        <v>400000</v>
      </c>
      <c r="J494" t="s">
        <v>76</v>
      </c>
      <c r="L494">
        <v>10</v>
      </c>
      <c r="M494">
        <v>8</v>
      </c>
      <c r="O494">
        <v>1E-3</v>
      </c>
      <c r="Q494">
        <v>0</v>
      </c>
      <c r="R494">
        <v>0</v>
      </c>
      <c r="S494">
        <v>0.2</v>
      </c>
      <c r="T494">
        <v>8415645</v>
      </c>
    </row>
    <row r="495" spans="1:20" x14ac:dyDescent="0.15">
      <c r="A495" s="4" t="str">
        <f>HYPERLINK("https://ibp.a2mac1.com/costing(costing:projects/details/9760/component/8754403)","Screw &gt; Hexagon screw with flange")</f>
        <v>Screw &gt; Hexagon screw with flange</v>
      </c>
      <c r="B495">
        <v>8754403</v>
      </c>
      <c r="D495">
        <v>0</v>
      </c>
      <c r="E495">
        <v>0.05</v>
      </c>
      <c r="H495">
        <v>8</v>
      </c>
      <c r="I495">
        <v>1600000</v>
      </c>
      <c r="J495" t="s">
        <v>76</v>
      </c>
      <c r="K495">
        <v>22</v>
      </c>
      <c r="L495">
        <v>13</v>
      </c>
      <c r="M495">
        <v>8</v>
      </c>
      <c r="O495">
        <v>1.95E-2</v>
      </c>
      <c r="Q495">
        <v>0</v>
      </c>
      <c r="R495">
        <v>0</v>
      </c>
      <c r="S495">
        <v>0.4</v>
      </c>
      <c r="T495">
        <v>8415645</v>
      </c>
    </row>
    <row r="496" spans="1:20" x14ac:dyDescent="0.15">
      <c r="A496" s="4" t="str">
        <f>HYPERLINK("https://ibp.a2mac1.com/costing(costing:projects/details/9760/component/8754545)","Nut &gt; Clipping nut for soft materials screw")</f>
        <v>Nut &gt; Clipping nut for soft materials screw</v>
      </c>
      <c r="B496">
        <v>8754545</v>
      </c>
      <c r="D496">
        <v>0</v>
      </c>
      <c r="E496">
        <v>0.05</v>
      </c>
      <c r="H496">
        <v>2</v>
      </c>
      <c r="I496">
        <v>400000</v>
      </c>
      <c r="J496" t="s">
        <v>76</v>
      </c>
      <c r="K496">
        <v>17</v>
      </c>
      <c r="L496">
        <v>4</v>
      </c>
      <c r="M496">
        <v>7</v>
      </c>
      <c r="O496">
        <v>1E-3</v>
      </c>
      <c r="Q496">
        <v>0</v>
      </c>
      <c r="R496">
        <v>0</v>
      </c>
      <c r="S496">
        <v>0.1</v>
      </c>
      <c r="T496">
        <v>8415889</v>
      </c>
    </row>
    <row r="497" spans="1:20" x14ac:dyDescent="0.15">
      <c r="A497" s="4" t="str">
        <f>HYPERLINK("https://ibp.a2mac1.com/costing(costing:projects/details/9760/component/8754404)","Screw &gt; Torx socket head cap screw")</f>
        <v>Screw &gt; Torx socket head cap screw</v>
      </c>
      <c r="B497">
        <v>8754404</v>
      </c>
      <c r="D497">
        <v>0</v>
      </c>
      <c r="E497">
        <v>0.05</v>
      </c>
      <c r="H497">
        <v>2</v>
      </c>
      <c r="I497">
        <v>400000</v>
      </c>
      <c r="J497" t="s">
        <v>76</v>
      </c>
      <c r="K497">
        <v>20</v>
      </c>
      <c r="L497">
        <v>5</v>
      </c>
      <c r="M497">
        <v>8</v>
      </c>
      <c r="O497">
        <v>0.01</v>
      </c>
      <c r="Q497">
        <v>0</v>
      </c>
      <c r="R497">
        <v>0</v>
      </c>
      <c r="S497">
        <v>0.1</v>
      </c>
      <c r="T497">
        <v>8415647</v>
      </c>
    </row>
    <row r="498" spans="1:20" x14ac:dyDescent="0.15">
      <c r="A498" s="4" t="str">
        <f>HYPERLINK("https://ibp.a2mac1.com/costing(costing:projects/details/9760/component/8754405)","Screw &gt; Hexagon screw with flange")</f>
        <v>Screw &gt; Hexagon screw with flange</v>
      </c>
      <c r="B498">
        <v>8754405</v>
      </c>
      <c r="D498">
        <v>0</v>
      </c>
      <c r="E498">
        <v>0.05</v>
      </c>
      <c r="H498">
        <v>2</v>
      </c>
      <c r="I498">
        <v>400000</v>
      </c>
      <c r="J498" t="s">
        <v>76</v>
      </c>
      <c r="K498">
        <v>16</v>
      </c>
      <c r="L498">
        <v>13</v>
      </c>
      <c r="M498">
        <v>8</v>
      </c>
      <c r="O498">
        <v>1.4500000000000001E-2</v>
      </c>
      <c r="Q498">
        <v>0</v>
      </c>
      <c r="R498">
        <v>0</v>
      </c>
      <c r="S498">
        <v>0.1</v>
      </c>
      <c r="T498">
        <v>8415647</v>
      </c>
    </row>
    <row r="499" spans="1:20" x14ac:dyDescent="0.15">
      <c r="A499" s="4" t="str">
        <f>HYPERLINK("https://ibp.a2mac1.com/costing(costing:projects/details/9760/component/8754406)","Pin clip &gt; Axle pin")</f>
        <v>Pin clip &gt; Axle pin</v>
      </c>
      <c r="B499">
        <v>8754406</v>
      </c>
      <c r="D499">
        <v>0</v>
      </c>
      <c r="E499">
        <v>0.05</v>
      </c>
      <c r="H499">
        <v>2</v>
      </c>
      <c r="I499">
        <v>400000</v>
      </c>
      <c r="J499" t="s">
        <v>76</v>
      </c>
      <c r="K499">
        <v>17</v>
      </c>
      <c r="L499">
        <v>8</v>
      </c>
      <c r="M499">
        <v>17</v>
      </c>
      <c r="O499">
        <v>1.5E-3</v>
      </c>
      <c r="Q499">
        <v>0</v>
      </c>
      <c r="R499">
        <v>0</v>
      </c>
      <c r="S499">
        <v>0.1</v>
      </c>
      <c r="T499">
        <v>8415648</v>
      </c>
    </row>
    <row r="500" spans="1:20" x14ac:dyDescent="0.15">
      <c r="A500" s="4" t="str">
        <f>HYPERLINK("https://ibp.a2mac1.com/costing(costing:projects/details/9760/component/8754407)","Screw &gt; Torx socket head cap screw")</f>
        <v>Screw &gt; Torx socket head cap screw</v>
      </c>
      <c r="B500">
        <v>8754407</v>
      </c>
      <c r="D500">
        <v>0</v>
      </c>
      <c r="E500">
        <v>0.05</v>
      </c>
      <c r="H500">
        <v>2</v>
      </c>
      <c r="I500">
        <v>400000</v>
      </c>
      <c r="J500" t="s">
        <v>76</v>
      </c>
      <c r="K500">
        <v>20</v>
      </c>
      <c r="L500">
        <v>5</v>
      </c>
      <c r="M500">
        <v>6</v>
      </c>
      <c r="O500">
        <v>6.0000000000000001E-3</v>
      </c>
      <c r="Q500">
        <v>0</v>
      </c>
      <c r="R500">
        <v>0</v>
      </c>
      <c r="S500">
        <v>0.1</v>
      </c>
      <c r="T500">
        <v>8415649</v>
      </c>
    </row>
    <row r="501" spans="1:20" x14ac:dyDescent="0.15">
      <c r="A501" s="4" t="str">
        <f>HYPERLINK("https://ibp.a2mac1.com/costing(costing:projects/details/9760/component/8754408)","Screw &gt; Torx socket head cap screw")</f>
        <v>Screw &gt; Torx socket head cap screw</v>
      </c>
      <c r="B501">
        <v>8754408</v>
      </c>
      <c r="D501">
        <v>0</v>
      </c>
      <c r="E501">
        <v>0.05</v>
      </c>
      <c r="H501">
        <v>2</v>
      </c>
      <c r="I501">
        <v>400000</v>
      </c>
      <c r="J501" t="s">
        <v>76</v>
      </c>
      <c r="K501">
        <v>20</v>
      </c>
      <c r="L501">
        <v>5</v>
      </c>
      <c r="M501">
        <v>16</v>
      </c>
      <c r="O501">
        <v>6.0000000000000001E-3</v>
      </c>
      <c r="Q501">
        <v>0</v>
      </c>
      <c r="R501">
        <v>0</v>
      </c>
      <c r="S501">
        <v>0.1</v>
      </c>
      <c r="T501">
        <v>8415649</v>
      </c>
    </row>
    <row r="502" spans="1:20" x14ac:dyDescent="0.15">
      <c r="A502" s="4" t="str">
        <f>HYPERLINK("https://ibp.a2mac1.com/costing(costing:projects/details/9760/component/8754546)","Electronics")</f>
        <v>Electronics</v>
      </c>
      <c r="B502">
        <v>8754546</v>
      </c>
      <c r="D502">
        <v>0</v>
      </c>
      <c r="E502">
        <v>0.33</v>
      </c>
      <c r="H502">
        <v>1</v>
      </c>
      <c r="I502">
        <v>200000</v>
      </c>
      <c r="J502" t="s">
        <v>76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364</v>
      </c>
      <c r="Q502">
        <v>0</v>
      </c>
      <c r="R502">
        <v>0</v>
      </c>
      <c r="S502">
        <v>0.30968014656466403</v>
      </c>
      <c r="T502">
        <v>8415908</v>
      </c>
    </row>
    <row r="503" spans="1:20" x14ac:dyDescent="0.15">
      <c r="A503" s="4" t="str">
        <f>HYPERLINK("https://ibp.a2mac1.com/costing(costing:projects/details/9760/component/8754547)","Mechanics")</f>
        <v>Mechanics</v>
      </c>
      <c r="B503">
        <v>8754547</v>
      </c>
      <c r="D503">
        <v>0</v>
      </c>
      <c r="E503">
        <v>7.87</v>
      </c>
      <c r="H503">
        <v>1</v>
      </c>
      <c r="I503">
        <v>200000</v>
      </c>
      <c r="J503" t="s">
        <v>76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362</v>
      </c>
      <c r="Q503">
        <v>0</v>
      </c>
      <c r="R503">
        <v>0</v>
      </c>
      <c r="S503">
        <v>7.7281489741746805</v>
      </c>
      <c r="T503">
        <v>8415908</v>
      </c>
    </row>
    <row r="504" spans="1:20" x14ac:dyDescent="0.15">
      <c r="A504" s="4" t="str">
        <f>HYPERLINK("https://ibp.a2mac1.com/costing(costing:projects/details/9760/component/8754409)","Screw &gt; Hexagon screw with flange")</f>
        <v>Screw &gt; Hexagon screw with flange</v>
      </c>
      <c r="B504">
        <v>8754409</v>
      </c>
      <c r="D504">
        <v>0</v>
      </c>
      <c r="E504">
        <v>0.05</v>
      </c>
      <c r="H504">
        <v>4</v>
      </c>
      <c r="I504">
        <v>800000</v>
      </c>
      <c r="J504" t="s">
        <v>76</v>
      </c>
      <c r="K504">
        <v>13</v>
      </c>
      <c r="L504">
        <v>10</v>
      </c>
      <c r="M504">
        <v>6</v>
      </c>
      <c r="O504">
        <v>8.5000000000000006E-3</v>
      </c>
      <c r="Q504">
        <v>0</v>
      </c>
      <c r="R504">
        <v>0</v>
      </c>
      <c r="S504">
        <v>0.2</v>
      </c>
      <c r="T504">
        <v>8415650</v>
      </c>
    </row>
    <row r="505" spans="1:20" x14ac:dyDescent="0.15">
      <c r="A505" s="4" t="str">
        <f>HYPERLINK("https://ibp.a2mac1.com/costing(costing:projects/details/9760/component/8754410)","Washer &gt; Plate washer")</f>
        <v>Washer &gt; Plate washer</v>
      </c>
      <c r="B505">
        <v>8754410</v>
      </c>
      <c r="D505">
        <v>0</v>
      </c>
      <c r="E505">
        <v>0.05</v>
      </c>
      <c r="H505">
        <v>2</v>
      </c>
      <c r="I505">
        <v>400000</v>
      </c>
      <c r="J505" t="s">
        <v>76</v>
      </c>
      <c r="K505">
        <v>1</v>
      </c>
      <c r="L505">
        <v>14</v>
      </c>
      <c r="M505">
        <v>6</v>
      </c>
      <c r="O505">
        <v>2E-3</v>
      </c>
      <c r="Q505">
        <v>0</v>
      </c>
      <c r="R505">
        <v>0</v>
      </c>
      <c r="S505">
        <v>0.1</v>
      </c>
      <c r="T505">
        <v>8415650</v>
      </c>
    </row>
    <row r="506" spans="1:20" x14ac:dyDescent="0.15">
      <c r="A506" s="4" t="str">
        <f>HYPERLINK("https://ibp.a2mac1.com/costing(costing:projects/details/9760/component/8754411)","Screw &gt; Torx socket head cap screw with flange")</f>
        <v>Screw &gt; Torx socket head cap screw with flange</v>
      </c>
      <c r="B506">
        <v>8754411</v>
      </c>
      <c r="D506">
        <v>0</v>
      </c>
      <c r="E506">
        <v>0.05</v>
      </c>
      <c r="H506">
        <v>2</v>
      </c>
      <c r="I506">
        <v>400000</v>
      </c>
      <c r="J506" t="s">
        <v>76</v>
      </c>
      <c r="K506">
        <v>12</v>
      </c>
      <c r="L506">
        <v>3</v>
      </c>
      <c r="M506">
        <v>3</v>
      </c>
      <c r="O506">
        <v>5.0000000000000001E-4</v>
      </c>
      <c r="Q506">
        <v>0</v>
      </c>
      <c r="R506">
        <v>0</v>
      </c>
      <c r="S506">
        <v>0.1</v>
      </c>
      <c r="T506">
        <v>8415650</v>
      </c>
    </row>
    <row r="507" spans="1:20" x14ac:dyDescent="0.15">
      <c r="A507" s="4" t="str">
        <f>HYPERLINK("https://ibp.a2mac1.com/costing(costing:projects/details/9760/component/8754412)","Other fastener &gt; Colson")</f>
        <v>Other fastener &gt; Colson</v>
      </c>
      <c r="B507">
        <v>8754412</v>
      </c>
      <c r="D507">
        <v>0</v>
      </c>
      <c r="E507">
        <v>2.5000000000000001E-2</v>
      </c>
      <c r="H507">
        <v>2</v>
      </c>
      <c r="I507">
        <v>400000</v>
      </c>
      <c r="J507" t="s">
        <v>76</v>
      </c>
      <c r="O507">
        <v>5.0000000000000001E-4</v>
      </c>
      <c r="Q507">
        <v>0</v>
      </c>
      <c r="R507">
        <v>0</v>
      </c>
      <c r="S507">
        <v>0.05</v>
      </c>
      <c r="T507">
        <v>8415650</v>
      </c>
    </row>
    <row r="508" spans="1:20" x14ac:dyDescent="0.15">
      <c r="A508" s="4" t="str">
        <f>HYPERLINK("https://ibp.a2mac1.com/costing(costing:projects/details/9760/component/8754413)","Spacer/Axle &gt; Silentbloc")</f>
        <v>Spacer/Axle &gt; Silentbloc</v>
      </c>
      <c r="B508">
        <v>8754413</v>
      </c>
      <c r="D508">
        <v>0</v>
      </c>
      <c r="E508">
        <v>0.05</v>
      </c>
      <c r="H508">
        <v>4</v>
      </c>
      <c r="I508">
        <v>800000</v>
      </c>
      <c r="J508" t="s">
        <v>76</v>
      </c>
      <c r="L508">
        <v>35</v>
      </c>
      <c r="M508">
        <v>14</v>
      </c>
      <c r="O508">
        <v>9.1999999999999998E-3</v>
      </c>
      <c r="Q508">
        <v>0</v>
      </c>
      <c r="R508">
        <v>0</v>
      </c>
      <c r="S508">
        <v>0.2</v>
      </c>
      <c r="T508">
        <v>8415650</v>
      </c>
    </row>
    <row r="509" spans="1:20" x14ac:dyDescent="0.15">
      <c r="A509" s="4" t="str">
        <f>HYPERLINK("https://ibp.a2mac1.com/costing(costing:projects/details/9760/component/8754414)","Nut &gt; Hexagonal nut with captive washer")</f>
        <v>Nut &gt; Hexagonal nut with captive washer</v>
      </c>
      <c r="B509">
        <v>8754414</v>
      </c>
      <c r="D509">
        <v>0</v>
      </c>
      <c r="E509">
        <v>0.05</v>
      </c>
      <c r="H509">
        <v>15</v>
      </c>
      <c r="I509">
        <v>3000000</v>
      </c>
      <c r="J509" t="s">
        <v>76</v>
      </c>
      <c r="K509">
        <v>10</v>
      </c>
      <c r="L509">
        <v>8</v>
      </c>
      <c r="M509">
        <v>5</v>
      </c>
      <c r="O509">
        <v>6.7999999999999996E-3</v>
      </c>
      <c r="Q509">
        <v>0</v>
      </c>
      <c r="R509">
        <v>0</v>
      </c>
      <c r="S509">
        <v>0.75</v>
      </c>
      <c r="T509">
        <v>8415650</v>
      </c>
    </row>
    <row r="510" spans="1:20" x14ac:dyDescent="0.15">
      <c r="A510" s="4" t="str">
        <f>HYPERLINK("https://ibp.a2mac1.com/costing(costing:projects/details/9760/component/8754415)","Screw &gt; Hexagon screw with flange and captive washer")</f>
        <v>Screw &gt; Hexagon screw with flange and captive washer</v>
      </c>
      <c r="B510">
        <v>8754415</v>
      </c>
      <c r="D510">
        <v>0</v>
      </c>
      <c r="E510">
        <v>0.05</v>
      </c>
      <c r="H510">
        <v>3</v>
      </c>
      <c r="I510">
        <v>600000</v>
      </c>
      <c r="J510" t="s">
        <v>76</v>
      </c>
      <c r="K510">
        <v>9</v>
      </c>
      <c r="L510">
        <v>8</v>
      </c>
      <c r="M510">
        <v>5</v>
      </c>
      <c r="O510">
        <v>4.7000000000000002E-3</v>
      </c>
      <c r="Q510">
        <v>0</v>
      </c>
      <c r="R510">
        <v>0</v>
      </c>
      <c r="S510">
        <v>0.15</v>
      </c>
      <c r="T510">
        <v>8415650</v>
      </c>
    </row>
    <row r="511" spans="1:20" x14ac:dyDescent="0.15">
      <c r="A511" s="4" t="str">
        <f>HYPERLINK("https://ibp.a2mac1.com/costing(costing:projects/details/9760/component/8754416)","Screw &gt; Hexagon screw with flange and captive washer")</f>
        <v>Screw &gt; Hexagon screw with flange and captive washer</v>
      </c>
      <c r="B511">
        <v>8754416</v>
      </c>
      <c r="D511">
        <v>0</v>
      </c>
      <c r="E511">
        <v>0.05</v>
      </c>
      <c r="H511">
        <v>3</v>
      </c>
      <c r="I511">
        <v>600000</v>
      </c>
      <c r="J511" t="s">
        <v>76</v>
      </c>
      <c r="K511">
        <v>9</v>
      </c>
      <c r="L511">
        <v>8</v>
      </c>
      <c r="M511">
        <v>5</v>
      </c>
      <c r="O511">
        <v>4.7000000000000002E-3</v>
      </c>
      <c r="Q511">
        <v>0</v>
      </c>
      <c r="R511">
        <v>0</v>
      </c>
      <c r="S511">
        <v>0.15</v>
      </c>
      <c r="T511">
        <v>8415650</v>
      </c>
    </row>
    <row r="512" spans="1:20" x14ac:dyDescent="0.15">
      <c r="A512" s="4" t="str">
        <f>HYPERLINK("https://ibp.a2mac1.com/costing(costing:projects/details/9760/component/8754307)","Other fastener &gt; Glue")</f>
        <v>Other fastener &gt; Glue</v>
      </c>
      <c r="B512">
        <v>8754307</v>
      </c>
      <c r="D512">
        <v>0</v>
      </c>
      <c r="E512">
        <v>2.5000000000000001E-2</v>
      </c>
      <c r="H512">
        <v>1</v>
      </c>
      <c r="I512">
        <v>200000</v>
      </c>
      <c r="J512" t="s">
        <v>76</v>
      </c>
      <c r="O512">
        <v>8.3000000000000004E-2</v>
      </c>
      <c r="Q512">
        <v>0</v>
      </c>
      <c r="R512">
        <v>0</v>
      </c>
      <c r="S512">
        <v>2.5000000000000001E-2</v>
      </c>
      <c r="T512">
        <v>8415584</v>
      </c>
    </row>
    <row r="513" spans="1:20" x14ac:dyDescent="0.15">
      <c r="A513" s="4" t="str">
        <f>HYPERLINK("https://ibp.a2mac1.com/costing(costing:projects/details/9760/component/8754308)","Panel holder &gt; Clips in round hole")</f>
        <v>Panel holder &gt; Clips in round hole</v>
      </c>
      <c r="B513">
        <v>8754308</v>
      </c>
      <c r="D513">
        <v>0</v>
      </c>
      <c r="E513">
        <v>0.05</v>
      </c>
      <c r="H513">
        <v>4</v>
      </c>
      <c r="I513">
        <v>800000</v>
      </c>
      <c r="J513" t="s">
        <v>76</v>
      </c>
      <c r="K513">
        <v>8</v>
      </c>
      <c r="L513">
        <v>13</v>
      </c>
      <c r="M513">
        <v>6</v>
      </c>
      <c r="O513">
        <v>2.7000000000000001E-3</v>
      </c>
      <c r="Q513">
        <v>0</v>
      </c>
      <c r="R513">
        <v>0</v>
      </c>
      <c r="S513">
        <v>0.2</v>
      </c>
      <c r="T513">
        <v>8415584</v>
      </c>
    </row>
    <row r="514" spans="1:20" x14ac:dyDescent="0.15">
      <c r="A514" s="4" t="str">
        <f>HYPERLINK("https://ibp.a2mac1.com/costing(costing:projects/details/9760/component/8754548)","Screw &gt; Cross recessed screw with flange")</f>
        <v>Screw &gt; Cross recessed screw with flange</v>
      </c>
      <c r="B514">
        <v>8754548</v>
      </c>
      <c r="D514">
        <v>0</v>
      </c>
      <c r="E514">
        <v>0.03</v>
      </c>
      <c r="H514">
        <v>8</v>
      </c>
      <c r="I514">
        <v>1600000</v>
      </c>
      <c r="J514" t="s">
        <v>76</v>
      </c>
      <c r="K514">
        <v>10</v>
      </c>
      <c r="L514">
        <v>6</v>
      </c>
      <c r="M514">
        <v>4</v>
      </c>
      <c r="O514">
        <v>1.9E-3</v>
      </c>
      <c r="Q514">
        <v>0</v>
      </c>
      <c r="R514">
        <v>0</v>
      </c>
      <c r="S514">
        <v>0.24</v>
      </c>
      <c r="T514">
        <v>8415926</v>
      </c>
    </row>
    <row r="515" spans="1:20" x14ac:dyDescent="0.15">
      <c r="A515" s="4" t="str">
        <f>HYPERLINK("https://ibp.a2mac1.com/costing(costing:projects/details/9760/component/8754549)","Panel holder &gt; Clips in rectangular hole")</f>
        <v>Panel holder &gt; Clips in rectangular hole</v>
      </c>
      <c r="B515">
        <v>8754549</v>
      </c>
      <c r="D515">
        <v>0</v>
      </c>
      <c r="E515">
        <v>0.03</v>
      </c>
      <c r="H515">
        <v>5</v>
      </c>
      <c r="I515">
        <v>1000000</v>
      </c>
      <c r="J515" t="s">
        <v>76</v>
      </c>
      <c r="K515">
        <v>2</v>
      </c>
      <c r="L515">
        <v>7</v>
      </c>
      <c r="M515">
        <v>5</v>
      </c>
      <c r="O515">
        <v>1E-3</v>
      </c>
      <c r="Q515">
        <v>0</v>
      </c>
      <c r="R515">
        <v>0</v>
      </c>
      <c r="S515">
        <v>0.15</v>
      </c>
      <c r="T515">
        <v>8415926</v>
      </c>
    </row>
    <row r="516" spans="1:20" x14ac:dyDescent="0.15">
      <c r="A516" s="4" t="str">
        <f>HYPERLINK("https://ibp.a2mac1.com/costing(costing:projects/details/9760/component/8754417)","Other fastener &gt; Attachment")</f>
        <v>Other fastener &gt; Attachment</v>
      </c>
      <c r="B516">
        <v>8754417</v>
      </c>
      <c r="D516">
        <v>0</v>
      </c>
      <c r="E516">
        <v>0.05</v>
      </c>
      <c r="H516">
        <v>1</v>
      </c>
      <c r="I516">
        <v>200000</v>
      </c>
      <c r="J516" t="s">
        <v>76</v>
      </c>
      <c r="K516">
        <v>22</v>
      </c>
      <c r="L516">
        <v>23</v>
      </c>
      <c r="M516">
        <v>23</v>
      </c>
      <c r="O516">
        <v>4.0000000000000001E-3</v>
      </c>
      <c r="Q516">
        <v>0</v>
      </c>
      <c r="R516">
        <v>0</v>
      </c>
      <c r="S516">
        <v>0.05</v>
      </c>
      <c r="T516">
        <v>8415652</v>
      </c>
    </row>
    <row r="517" spans="1:20" x14ac:dyDescent="0.15">
      <c r="A517" s="4" t="str">
        <f>HYPERLINK("https://ibp.a2mac1.com/costing(costing:projects/details/9760/component/8754418)","Screw &gt; Cross recessed screw with flange")</f>
        <v>Screw &gt; Cross recessed screw with flange</v>
      </c>
      <c r="B517">
        <v>8754418</v>
      </c>
      <c r="D517">
        <v>0</v>
      </c>
      <c r="E517">
        <v>0.03</v>
      </c>
      <c r="H517">
        <v>2</v>
      </c>
      <c r="I517">
        <v>400000</v>
      </c>
      <c r="J517" t="s">
        <v>76</v>
      </c>
      <c r="K517">
        <v>10</v>
      </c>
      <c r="L517">
        <v>7</v>
      </c>
      <c r="M517">
        <v>4</v>
      </c>
      <c r="O517">
        <v>2E-3</v>
      </c>
      <c r="Q517">
        <v>0</v>
      </c>
      <c r="R517">
        <v>0</v>
      </c>
      <c r="S517">
        <v>0.06</v>
      </c>
      <c r="T517">
        <v>8415652</v>
      </c>
    </row>
    <row r="518" spans="1:20" x14ac:dyDescent="0.15">
      <c r="A518" s="4" t="str">
        <f>HYPERLINK("https://ibp.a2mac1.com/costing(costing:projects/details/9760/component/8754419)","Screw &gt; Cross recessed screw with flange")</f>
        <v>Screw &gt; Cross recessed screw with flange</v>
      </c>
      <c r="B518">
        <v>8754419</v>
      </c>
      <c r="D518">
        <v>0</v>
      </c>
      <c r="E518">
        <v>0.03</v>
      </c>
      <c r="H518">
        <v>4</v>
      </c>
      <c r="I518">
        <v>800000</v>
      </c>
      <c r="J518" t="s">
        <v>76</v>
      </c>
      <c r="K518">
        <v>11</v>
      </c>
      <c r="L518">
        <v>6</v>
      </c>
      <c r="M518">
        <v>4</v>
      </c>
      <c r="O518">
        <v>2E-3</v>
      </c>
      <c r="Q518">
        <v>0</v>
      </c>
      <c r="R518">
        <v>0</v>
      </c>
      <c r="S518">
        <v>0.12</v>
      </c>
      <c r="T518">
        <v>8415652</v>
      </c>
    </row>
    <row r="519" spans="1:20" x14ac:dyDescent="0.15">
      <c r="A519" s="4" t="str">
        <f>HYPERLINK("https://ibp.a2mac1.com/costing(costing:projects/details/9760/component/8754550)","Pin clip &gt; Dowel pin")</f>
        <v>Pin clip &gt; Dowel pin</v>
      </c>
      <c r="B519">
        <v>8754550</v>
      </c>
      <c r="D519">
        <v>0</v>
      </c>
      <c r="E519">
        <v>0.1</v>
      </c>
      <c r="H519">
        <v>1</v>
      </c>
      <c r="I519">
        <v>200000</v>
      </c>
      <c r="J519" t="s">
        <v>76</v>
      </c>
      <c r="L519">
        <v>42</v>
      </c>
      <c r="M519">
        <v>4</v>
      </c>
      <c r="O519">
        <v>4.0000000000000001E-3</v>
      </c>
      <c r="Q519">
        <v>0</v>
      </c>
      <c r="R519">
        <v>0</v>
      </c>
      <c r="S519">
        <v>0.1</v>
      </c>
      <c r="T519">
        <v>8415930</v>
      </c>
    </row>
    <row r="520" spans="1:20" x14ac:dyDescent="0.15">
      <c r="A520" s="4" t="str">
        <f>HYPERLINK("https://ibp.a2mac1.com/costing(costing:projects/details/9760/component/8754551)","Nut &gt; Pinching nut for metal sheet screw")</f>
        <v>Nut &gt; Pinching nut for metal sheet screw</v>
      </c>
      <c r="B520">
        <v>8754551</v>
      </c>
      <c r="D520">
        <v>0</v>
      </c>
      <c r="E520">
        <v>0.05</v>
      </c>
      <c r="H520">
        <v>2</v>
      </c>
      <c r="I520">
        <v>400000</v>
      </c>
      <c r="J520" t="s">
        <v>76</v>
      </c>
      <c r="K520">
        <v>2</v>
      </c>
      <c r="L520">
        <v>5</v>
      </c>
      <c r="M520">
        <v>11</v>
      </c>
      <c r="O520">
        <v>1.5E-3</v>
      </c>
      <c r="Q520">
        <v>0</v>
      </c>
      <c r="R520">
        <v>0</v>
      </c>
      <c r="S520">
        <v>0.1</v>
      </c>
      <c r="T520">
        <v>8415930</v>
      </c>
    </row>
    <row r="521" spans="1:20" x14ac:dyDescent="0.15">
      <c r="A521" s="4" t="str">
        <f>HYPERLINK("https://ibp.a2mac1.com/costing(costing:projects/details/9760/component/8754552)","Screw &gt; Torx socket head cap screw with flange")</f>
        <v>Screw &gt; Torx socket head cap screw with flange</v>
      </c>
      <c r="B521">
        <v>8754552</v>
      </c>
      <c r="D521">
        <v>0</v>
      </c>
      <c r="E521">
        <v>0.05</v>
      </c>
      <c r="H521">
        <v>2</v>
      </c>
      <c r="I521">
        <v>400000</v>
      </c>
      <c r="J521" t="s">
        <v>76</v>
      </c>
      <c r="K521">
        <v>13</v>
      </c>
      <c r="L521">
        <v>4</v>
      </c>
      <c r="M521">
        <v>5</v>
      </c>
      <c r="O521">
        <v>4.0000000000000001E-3</v>
      </c>
      <c r="Q521">
        <v>0</v>
      </c>
      <c r="R521">
        <v>0</v>
      </c>
      <c r="S521">
        <v>0.1</v>
      </c>
      <c r="T521">
        <v>8415931</v>
      </c>
    </row>
    <row r="522" spans="1:20" x14ac:dyDescent="0.15">
      <c r="A522" s="4" t="str">
        <f>HYPERLINK("https://ibp.a2mac1.com/costing(costing:projects/details/9760/component/8754553)","Screw &gt; Hexagon screw with flange")</f>
        <v>Screw &gt; Hexagon screw with flange</v>
      </c>
      <c r="B522">
        <v>8754553</v>
      </c>
      <c r="D522">
        <v>0</v>
      </c>
      <c r="E522">
        <v>0.05</v>
      </c>
      <c r="H522">
        <v>3</v>
      </c>
      <c r="I522">
        <v>600000</v>
      </c>
      <c r="J522" t="s">
        <v>76</v>
      </c>
      <c r="K522">
        <v>15</v>
      </c>
      <c r="L522">
        <v>10</v>
      </c>
      <c r="M522">
        <v>6</v>
      </c>
      <c r="O522">
        <v>8.6999999999999994E-3</v>
      </c>
      <c r="Q522">
        <v>0</v>
      </c>
      <c r="R522">
        <v>0</v>
      </c>
      <c r="S522">
        <v>0.15</v>
      </c>
      <c r="T522">
        <v>8415931</v>
      </c>
    </row>
    <row r="523" spans="1:20" x14ac:dyDescent="0.15">
      <c r="A523" s="4" t="str">
        <f>HYPERLINK("https://ibp.a2mac1.com/costing(costing:projects/details/9760/component/8754554)","Other fastener &gt; Attachment")</f>
        <v>Other fastener &gt; Attachment</v>
      </c>
      <c r="B523">
        <v>8754554</v>
      </c>
      <c r="D523">
        <v>0</v>
      </c>
      <c r="E523">
        <v>0.05</v>
      </c>
      <c r="H523">
        <v>3</v>
      </c>
      <c r="I523">
        <v>600000</v>
      </c>
      <c r="J523" t="s">
        <v>76</v>
      </c>
      <c r="K523">
        <v>21</v>
      </c>
      <c r="L523">
        <v>35</v>
      </c>
      <c r="M523">
        <v>24</v>
      </c>
      <c r="O523">
        <v>7.3000000000000001E-3</v>
      </c>
      <c r="Q523">
        <v>0</v>
      </c>
      <c r="R523">
        <v>0</v>
      </c>
      <c r="S523">
        <v>0.15</v>
      </c>
      <c r="T523">
        <v>8415932</v>
      </c>
    </row>
    <row r="524" spans="1:20" x14ac:dyDescent="0.15">
      <c r="A524" s="4" t="str">
        <f>HYPERLINK("https://ibp.a2mac1.com/costing(costing:projects/details/9760/component/8754420)","Screw &gt; Torx socket head cap screw with flange and captive washer")</f>
        <v>Screw &gt; Torx socket head cap screw with flange and captive washer</v>
      </c>
      <c r="B524">
        <v>8754420</v>
      </c>
      <c r="D524">
        <v>0</v>
      </c>
      <c r="E524">
        <v>0.05</v>
      </c>
      <c r="H524">
        <v>3</v>
      </c>
      <c r="I524">
        <v>600000</v>
      </c>
      <c r="J524" t="s">
        <v>76</v>
      </c>
      <c r="K524">
        <v>15</v>
      </c>
      <c r="L524">
        <v>5</v>
      </c>
      <c r="M524">
        <v>6</v>
      </c>
      <c r="O524">
        <v>6.0000000000000001E-3</v>
      </c>
      <c r="Q524">
        <v>0</v>
      </c>
      <c r="R524">
        <v>0</v>
      </c>
      <c r="S524">
        <v>0.15</v>
      </c>
      <c r="T524">
        <v>8415653</v>
      </c>
    </row>
    <row r="525" spans="1:20" x14ac:dyDescent="0.15">
      <c r="A525" s="4" t="str">
        <f>HYPERLINK("https://ibp.a2mac1.com/costing(costing:projects/details/9760/component/8754421)","Screw &gt; Torx socket head cap screw")</f>
        <v>Screw &gt; Torx socket head cap screw</v>
      </c>
      <c r="B525">
        <v>8754421</v>
      </c>
      <c r="D525">
        <v>0</v>
      </c>
      <c r="E525">
        <v>0.05</v>
      </c>
      <c r="H525">
        <v>2</v>
      </c>
      <c r="I525">
        <v>400000</v>
      </c>
      <c r="J525" t="s">
        <v>76</v>
      </c>
      <c r="K525">
        <v>20</v>
      </c>
      <c r="L525">
        <v>6</v>
      </c>
      <c r="M525">
        <v>8</v>
      </c>
      <c r="O525">
        <v>0.01</v>
      </c>
      <c r="Q525">
        <v>0</v>
      </c>
      <c r="R525">
        <v>0</v>
      </c>
      <c r="S525">
        <v>0.1</v>
      </c>
      <c r="T525">
        <v>8415653</v>
      </c>
    </row>
    <row r="526" spans="1:20" x14ac:dyDescent="0.15">
      <c r="A526" s="4" t="str">
        <f>HYPERLINK("https://ibp.a2mac1.com/costing(costing:projects/details/9760/component/8754555)","Electronics")</f>
        <v>Electronics</v>
      </c>
      <c r="B526">
        <v>8754555</v>
      </c>
      <c r="D526">
        <v>0</v>
      </c>
      <c r="E526">
        <v>1.03</v>
      </c>
      <c r="H526">
        <v>1</v>
      </c>
      <c r="I526">
        <v>200000</v>
      </c>
      <c r="J526" t="s">
        <v>76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364</v>
      </c>
      <c r="Q526">
        <v>0</v>
      </c>
      <c r="R526">
        <v>0</v>
      </c>
      <c r="S526">
        <v>0.96657742715637562</v>
      </c>
      <c r="T526">
        <v>8415934</v>
      </c>
    </row>
    <row r="527" spans="1:20" x14ac:dyDescent="0.15">
      <c r="A527" s="4" t="str">
        <f>HYPERLINK("https://ibp.a2mac1.com/costing(costing:projects/details/9760/component/8754556)","Mechanics")</f>
        <v>Mechanics</v>
      </c>
      <c r="B527">
        <v>8754556</v>
      </c>
      <c r="D527">
        <v>0</v>
      </c>
      <c r="E527">
        <v>5.96</v>
      </c>
      <c r="H527">
        <v>1</v>
      </c>
      <c r="I527">
        <v>200000</v>
      </c>
      <c r="J527" t="s">
        <v>76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362</v>
      </c>
      <c r="Q527">
        <v>0</v>
      </c>
      <c r="R527">
        <v>0</v>
      </c>
      <c r="S527">
        <v>5.8525753349531247</v>
      </c>
      <c r="T527">
        <v>8415934</v>
      </c>
    </row>
    <row r="528" spans="1:20" x14ac:dyDescent="0.15">
      <c r="A528" s="4" t="str">
        <f>HYPERLINK("https://ibp.a2mac1.com/costing(costing:projects/details/9760/component/8754422)","Screw &gt; Hexagon screw with flange")</f>
        <v>Screw &gt; Hexagon screw with flange</v>
      </c>
      <c r="B528">
        <v>8754422</v>
      </c>
      <c r="D528">
        <v>0</v>
      </c>
      <c r="E528">
        <v>0.05</v>
      </c>
      <c r="H528">
        <v>2</v>
      </c>
      <c r="I528">
        <v>400000</v>
      </c>
      <c r="J528" t="s">
        <v>76</v>
      </c>
      <c r="K528">
        <v>18</v>
      </c>
      <c r="L528">
        <v>13</v>
      </c>
      <c r="M528">
        <v>8</v>
      </c>
      <c r="O528">
        <v>1.7999999999999999E-2</v>
      </c>
      <c r="Q528">
        <v>0</v>
      </c>
      <c r="R528">
        <v>0</v>
      </c>
      <c r="S528">
        <v>0.1</v>
      </c>
      <c r="T528">
        <v>8415654</v>
      </c>
    </row>
    <row r="529" spans="1:21" x14ac:dyDescent="0.15">
      <c r="A529" s="4" t="str">
        <f>HYPERLINK("https://ibp.a2mac1.com/costing(costing:projects/details/9760/component/8754423)","Stud &gt; Threaded screwed up dowel")</f>
        <v>Stud &gt; Threaded screwed up dowel</v>
      </c>
      <c r="B529">
        <v>8754423</v>
      </c>
      <c r="D529">
        <v>0</v>
      </c>
      <c r="E529">
        <v>0.05</v>
      </c>
      <c r="H529">
        <v>2</v>
      </c>
      <c r="I529">
        <v>400000</v>
      </c>
      <c r="J529" t="s">
        <v>76</v>
      </c>
      <c r="K529">
        <v>30</v>
      </c>
      <c r="L529">
        <v>8</v>
      </c>
      <c r="M529">
        <v>8</v>
      </c>
      <c r="O529">
        <v>1.4999999999999999E-2</v>
      </c>
      <c r="Q529">
        <v>0</v>
      </c>
      <c r="R529">
        <v>0</v>
      </c>
      <c r="S529">
        <v>0.1</v>
      </c>
      <c r="T529">
        <v>8415654</v>
      </c>
    </row>
    <row r="530" spans="1:21" x14ac:dyDescent="0.15">
      <c r="A530" s="4" t="str">
        <f>HYPERLINK("https://ibp.a2mac1.com/costing(costing:projects/details/9760/component/8754424)","Screw &gt; Torx socket head cap screw with flange")</f>
        <v>Screw &gt; Torx socket head cap screw with flange</v>
      </c>
      <c r="B530">
        <v>8754424</v>
      </c>
      <c r="D530">
        <v>0</v>
      </c>
      <c r="E530">
        <v>0.05</v>
      </c>
      <c r="H530">
        <v>3</v>
      </c>
      <c r="I530">
        <v>600000</v>
      </c>
      <c r="J530" t="s">
        <v>76</v>
      </c>
      <c r="K530">
        <v>22</v>
      </c>
      <c r="L530">
        <v>4</v>
      </c>
      <c r="M530">
        <v>5</v>
      </c>
      <c r="O530">
        <v>3.3E-3</v>
      </c>
      <c r="Q530">
        <v>0</v>
      </c>
      <c r="R530">
        <v>0</v>
      </c>
      <c r="S530">
        <v>0.15</v>
      </c>
      <c r="T530">
        <v>8415654</v>
      </c>
    </row>
    <row r="531" spans="1:21" x14ac:dyDescent="0.15">
      <c r="A531" s="4" t="str">
        <f>HYPERLINK("https://ibp.a2mac1.com/costing(costing:projects/details/9760/component/8754557)","Panel holder &gt; Clips in rectangular hole")</f>
        <v>Panel holder &gt; Clips in rectangular hole</v>
      </c>
      <c r="B531">
        <v>8754557</v>
      </c>
      <c r="D531">
        <v>0</v>
      </c>
      <c r="E531">
        <v>0.05</v>
      </c>
      <c r="H531">
        <v>22</v>
      </c>
      <c r="I531">
        <v>4400000</v>
      </c>
      <c r="J531" t="s">
        <v>76</v>
      </c>
      <c r="K531">
        <v>2</v>
      </c>
      <c r="L531">
        <v>5</v>
      </c>
      <c r="M531">
        <v>6</v>
      </c>
      <c r="O531">
        <v>2.9999999999999997E-4</v>
      </c>
      <c r="Q531">
        <v>0</v>
      </c>
      <c r="R531">
        <v>0</v>
      </c>
      <c r="S531">
        <v>1.1000000000000001</v>
      </c>
      <c r="T531">
        <v>8415939</v>
      </c>
    </row>
    <row r="532" spans="1:21" x14ac:dyDescent="0.15">
      <c r="A532" s="4" t="str">
        <f>HYPERLINK("https://ibp.a2mac1.com/costing(costing:projects/details/9760/component/8754425)","Tube/cluster support &gt; Tube/cluster strap support in hole")</f>
        <v>Tube/cluster support &gt; Tube/cluster strap support in hole</v>
      </c>
      <c r="B532">
        <v>8754425</v>
      </c>
      <c r="D532">
        <v>0</v>
      </c>
      <c r="E532">
        <v>0.05</v>
      </c>
      <c r="H532">
        <v>2</v>
      </c>
      <c r="I532">
        <v>400000</v>
      </c>
      <c r="J532" t="s">
        <v>76</v>
      </c>
      <c r="K532">
        <v>6</v>
      </c>
      <c r="L532">
        <v>13</v>
      </c>
      <c r="M532">
        <v>6</v>
      </c>
      <c r="O532">
        <v>1E-3</v>
      </c>
      <c r="Q532">
        <v>0</v>
      </c>
      <c r="R532">
        <v>0</v>
      </c>
      <c r="S532">
        <v>0.1</v>
      </c>
      <c r="T532">
        <v>8415656</v>
      </c>
    </row>
    <row r="533" spans="1:21" x14ac:dyDescent="0.15">
      <c r="A533" s="4" t="str">
        <f>HYPERLINK("https://ibp.a2mac1.com/costing(costing:projects/details/9760/component/8754426)","Round head Screw M4x18")</f>
        <v>Round head Screw M4x18</v>
      </c>
      <c r="B533">
        <v>8754426</v>
      </c>
      <c r="D533">
        <v>0</v>
      </c>
      <c r="E533">
        <v>2.5919999999999999E-2</v>
      </c>
      <c r="F533" t="s">
        <v>5189</v>
      </c>
      <c r="H533">
        <v>1</v>
      </c>
      <c r="I533">
        <v>200000</v>
      </c>
      <c r="J533" t="s">
        <v>76</v>
      </c>
      <c r="K533">
        <v>0</v>
      </c>
      <c r="L533">
        <v>0</v>
      </c>
      <c r="M533">
        <v>0</v>
      </c>
      <c r="N533">
        <v>0</v>
      </c>
      <c r="O533">
        <v>1.83E-3</v>
      </c>
      <c r="Q533">
        <v>0</v>
      </c>
      <c r="R533">
        <v>0</v>
      </c>
      <c r="S533">
        <v>2.5919999999999999E-2</v>
      </c>
      <c r="T533">
        <v>8415658</v>
      </c>
    </row>
    <row r="534" spans="1:21" x14ac:dyDescent="0.15">
      <c r="A534" s="4" t="str">
        <f>HYPERLINK("https://ibp.a2mac1.com/costing(costing:projects/details/9760/component/8754427)","Round head Screw M4x10")</f>
        <v>Round head Screw M4x10</v>
      </c>
      <c r="B534">
        <v>8754427</v>
      </c>
      <c r="D534">
        <v>0</v>
      </c>
      <c r="E534">
        <v>2.341E-2</v>
      </c>
      <c r="F534" t="s">
        <v>1447</v>
      </c>
      <c r="H534">
        <v>1</v>
      </c>
      <c r="I534">
        <v>200000</v>
      </c>
      <c r="J534" t="s">
        <v>76</v>
      </c>
      <c r="K534">
        <v>0</v>
      </c>
      <c r="L534">
        <v>0</v>
      </c>
      <c r="M534">
        <v>0</v>
      </c>
      <c r="N534">
        <v>0</v>
      </c>
      <c r="O534">
        <v>1.2199999999999999E-3</v>
      </c>
      <c r="Q534">
        <v>0</v>
      </c>
      <c r="R534">
        <v>0</v>
      </c>
      <c r="S534">
        <v>2.341E-2</v>
      </c>
      <c r="T534">
        <v>8415658</v>
      </c>
    </row>
    <row r="535" spans="1:21" x14ac:dyDescent="0.15">
      <c r="A535" s="4" t="str">
        <f>HYPERLINK("https://ibp.a2mac1.com/costing(costing:projects/details/9760/component/8754559)","Screw &gt; Hexagon screw with flange")</f>
        <v>Screw &gt; Hexagon screw with flange</v>
      </c>
      <c r="B535">
        <v>8754559</v>
      </c>
      <c r="D535">
        <v>0</v>
      </c>
      <c r="E535">
        <v>0.05</v>
      </c>
      <c r="H535">
        <v>2</v>
      </c>
      <c r="I535">
        <v>400000</v>
      </c>
      <c r="J535" t="s">
        <v>76</v>
      </c>
      <c r="K535">
        <v>25</v>
      </c>
      <c r="L535">
        <v>13</v>
      </c>
      <c r="M535">
        <v>8</v>
      </c>
      <c r="O535">
        <v>0.01</v>
      </c>
      <c r="Q535">
        <v>0</v>
      </c>
      <c r="R535">
        <v>0</v>
      </c>
      <c r="S535">
        <v>0.1</v>
      </c>
      <c r="T535">
        <v>8415950</v>
      </c>
    </row>
    <row r="536" spans="1:21" x14ac:dyDescent="0.15">
      <c r="A536" s="4" t="str">
        <f>HYPERLINK("https://ibp.a2mac1.com/costing(costing:projects/details/9760/component/8754560)","Screw &gt; Hexagon screw with flange")</f>
        <v>Screw &gt; Hexagon screw with flange</v>
      </c>
      <c r="B536">
        <v>8754560</v>
      </c>
      <c r="D536">
        <v>0</v>
      </c>
      <c r="E536">
        <v>0.05</v>
      </c>
      <c r="H536">
        <v>1</v>
      </c>
      <c r="I536">
        <v>200000</v>
      </c>
      <c r="J536" t="s">
        <v>76</v>
      </c>
      <c r="K536">
        <v>40</v>
      </c>
      <c r="L536">
        <v>15</v>
      </c>
      <c r="M536">
        <v>10</v>
      </c>
      <c r="O536">
        <v>3.2000000000000001E-2</v>
      </c>
      <c r="Q536">
        <v>0</v>
      </c>
      <c r="R536">
        <v>0</v>
      </c>
      <c r="S536">
        <v>0.05</v>
      </c>
      <c r="T536">
        <v>8415950</v>
      </c>
    </row>
    <row r="537" spans="1:21" x14ac:dyDescent="0.15">
      <c r="A537" s="4" t="str">
        <f>HYPERLINK("https://ibp.a2mac1.com/costing(costing:projects/details/9760/component/8754561)","Screw &gt; Hexagon screw with flange")</f>
        <v>Screw &gt; Hexagon screw with flange</v>
      </c>
      <c r="B537">
        <v>8754561</v>
      </c>
      <c r="D537">
        <v>0</v>
      </c>
      <c r="E537">
        <v>0.05</v>
      </c>
      <c r="H537">
        <v>2</v>
      </c>
      <c r="I537">
        <v>400000</v>
      </c>
      <c r="J537" t="s">
        <v>76</v>
      </c>
      <c r="K537">
        <v>25</v>
      </c>
      <c r="L537">
        <v>13</v>
      </c>
      <c r="M537">
        <v>8</v>
      </c>
      <c r="O537">
        <v>2.0500000000000001E-2</v>
      </c>
      <c r="Q537">
        <v>0</v>
      </c>
      <c r="R537">
        <v>0</v>
      </c>
      <c r="S537">
        <v>0.1</v>
      </c>
      <c r="T537">
        <v>8415951</v>
      </c>
    </row>
    <row r="538" spans="1:21" x14ac:dyDescent="0.15">
      <c r="A538" s="4" t="str">
        <f>HYPERLINK("https://ibp.a2mac1.com/costing(costing:projects/details/9760/component/8754562)","Screw &gt; Hexagon screw with flange")</f>
        <v>Screw &gt; Hexagon screw with flange</v>
      </c>
      <c r="B538">
        <v>8754562</v>
      </c>
      <c r="D538">
        <v>0</v>
      </c>
      <c r="E538">
        <v>0.05</v>
      </c>
      <c r="H538">
        <v>1</v>
      </c>
      <c r="I538">
        <v>200000</v>
      </c>
      <c r="J538" t="s">
        <v>76</v>
      </c>
      <c r="K538">
        <v>40</v>
      </c>
      <c r="L538">
        <v>15</v>
      </c>
      <c r="M538">
        <v>10</v>
      </c>
      <c r="O538">
        <v>3.2000000000000001E-2</v>
      </c>
      <c r="Q538">
        <v>0</v>
      </c>
      <c r="R538">
        <v>0</v>
      </c>
      <c r="S538">
        <v>0.05</v>
      </c>
      <c r="T538">
        <v>8415951</v>
      </c>
    </row>
    <row r="539" spans="1:21" x14ac:dyDescent="0.15">
      <c r="A539" s="4" t="str">
        <f>HYPERLINK("https://ibp.a2mac1.com/costing(costing:projects/details/9760/component/8754429)","Screw &gt; Torx socket head cap screw")</f>
        <v>Screw &gt; Torx socket head cap screw</v>
      </c>
      <c r="B539">
        <v>8754429</v>
      </c>
      <c r="D539">
        <v>0</v>
      </c>
      <c r="E539">
        <v>0.05</v>
      </c>
      <c r="H539">
        <v>1</v>
      </c>
      <c r="I539">
        <v>200000</v>
      </c>
      <c r="J539" t="s">
        <v>76</v>
      </c>
      <c r="K539">
        <v>20</v>
      </c>
      <c r="L539">
        <v>8</v>
      </c>
      <c r="M539">
        <v>8</v>
      </c>
      <c r="O539">
        <v>1.2999999999999999E-2</v>
      </c>
      <c r="Q539">
        <v>0</v>
      </c>
      <c r="R539">
        <v>0</v>
      </c>
      <c r="S539">
        <v>0.05</v>
      </c>
      <c r="T539">
        <v>8415663</v>
      </c>
    </row>
    <row r="540" spans="1:21" x14ac:dyDescent="0.15">
      <c r="A540" s="4" t="str">
        <f>HYPERLINK("https://ibp.a2mac1.com/costing(costing:projects/details/9760/component/8754428)","Inserts")</f>
        <v>Inserts</v>
      </c>
      <c r="B540">
        <v>8754428</v>
      </c>
      <c r="D540">
        <v>0</v>
      </c>
      <c r="E540">
        <v>2.5000000000000001E-2</v>
      </c>
      <c r="H540">
        <v>10</v>
      </c>
      <c r="I540">
        <v>2000000</v>
      </c>
      <c r="J540" t="s">
        <v>162</v>
      </c>
      <c r="K540">
        <v>0</v>
      </c>
      <c r="L540">
        <v>0</v>
      </c>
      <c r="M540">
        <v>0</v>
      </c>
      <c r="N540">
        <v>0</v>
      </c>
      <c r="O540">
        <v>0</v>
      </c>
      <c r="Q540">
        <v>0</v>
      </c>
      <c r="R540">
        <v>0</v>
      </c>
      <c r="S540">
        <v>0.25</v>
      </c>
      <c r="U540">
        <v>8415660</v>
      </c>
    </row>
    <row r="541" spans="1:21" x14ac:dyDescent="0.15">
      <c r="A541" s="4" t="str">
        <f>HYPERLINK("https://ibp.a2mac1.com/costing(costing:projects/details/9760/component/8754309)","Hole plug &gt; Round hole ")</f>
        <v xml:space="preserve">Hole plug &gt; Round hole </v>
      </c>
      <c r="B541">
        <v>8754309</v>
      </c>
      <c r="D541">
        <v>0</v>
      </c>
      <c r="E541">
        <v>0.05</v>
      </c>
      <c r="H541">
        <v>6</v>
      </c>
      <c r="I541">
        <v>1200000</v>
      </c>
      <c r="J541" t="s">
        <v>76</v>
      </c>
      <c r="K541">
        <v>8</v>
      </c>
      <c r="M541">
        <v>28</v>
      </c>
      <c r="O541">
        <v>1.2999999999999999E-3</v>
      </c>
      <c r="Q541">
        <v>0</v>
      </c>
      <c r="R541">
        <v>0</v>
      </c>
      <c r="S541">
        <v>0.3</v>
      </c>
      <c r="T541">
        <v>8415585</v>
      </c>
    </row>
    <row r="542" spans="1:21" x14ac:dyDescent="0.15">
      <c r="A542" s="4" t="str">
        <f>HYPERLINK("https://ibp.a2mac1.com/costing(costing:projects/details/9760/component/8754310)","Hole plug &gt; Round hole")</f>
        <v>Hole plug &gt; Round hole</v>
      </c>
      <c r="B542">
        <v>8754310</v>
      </c>
      <c r="D542">
        <v>0</v>
      </c>
      <c r="E542">
        <v>0.05</v>
      </c>
      <c r="H542">
        <v>2</v>
      </c>
      <c r="I542">
        <v>400000</v>
      </c>
      <c r="J542" t="s">
        <v>76</v>
      </c>
      <c r="K542">
        <v>8</v>
      </c>
      <c r="M542">
        <v>38</v>
      </c>
      <c r="O542">
        <v>2.5000000000000001E-3</v>
      </c>
      <c r="Q542">
        <v>0</v>
      </c>
      <c r="R542">
        <v>0</v>
      </c>
      <c r="S542">
        <v>0.1</v>
      </c>
      <c r="T542">
        <v>8415585</v>
      </c>
    </row>
    <row r="543" spans="1:21" x14ac:dyDescent="0.15">
      <c r="A543" s="4" t="str">
        <f>HYPERLINK("https://ibp.a2mac1.com/costing(costing:projects/details/9760/component/8754311)","Screw &gt; Hexagon screw with captive washer")</f>
        <v>Screw &gt; Hexagon screw with captive washer</v>
      </c>
      <c r="B543">
        <v>8754311</v>
      </c>
      <c r="D543">
        <v>0</v>
      </c>
      <c r="E543">
        <v>0.05</v>
      </c>
      <c r="H543">
        <v>10</v>
      </c>
      <c r="I543">
        <v>2000000</v>
      </c>
      <c r="J543" t="s">
        <v>76</v>
      </c>
      <c r="K543">
        <v>14</v>
      </c>
      <c r="L543">
        <v>8</v>
      </c>
      <c r="M543">
        <v>5</v>
      </c>
      <c r="O543">
        <v>4.3E-3</v>
      </c>
      <c r="Q543">
        <v>0</v>
      </c>
      <c r="R543">
        <v>0</v>
      </c>
      <c r="S543">
        <v>0.5</v>
      </c>
      <c r="T543">
        <v>8415585</v>
      </c>
    </row>
    <row r="544" spans="1:21" x14ac:dyDescent="0.15">
      <c r="A544" s="4" t="str">
        <f>HYPERLINK("https://ibp.a2mac1.com/costing(costing:projects/details/9760/component/8754312)","Screw &gt; Torx screw")</f>
        <v>Screw &gt; Torx screw</v>
      </c>
      <c r="B544">
        <v>8754312</v>
      </c>
      <c r="D544">
        <v>0</v>
      </c>
      <c r="E544">
        <v>0.05</v>
      </c>
      <c r="H544">
        <v>2</v>
      </c>
      <c r="I544">
        <v>400000</v>
      </c>
      <c r="J544" t="s">
        <v>76</v>
      </c>
      <c r="K544">
        <v>7</v>
      </c>
      <c r="L544">
        <v>5</v>
      </c>
      <c r="M544">
        <v>8</v>
      </c>
      <c r="O544">
        <v>3.5000000000000001E-3</v>
      </c>
      <c r="Q544">
        <v>0</v>
      </c>
      <c r="R544">
        <v>0</v>
      </c>
      <c r="S544">
        <v>0.1</v>
      </c>
      <c r="T544">
        <v>8415585</v>
      </c>
    </row>
    <row r="545" spans="1:20" x14ac:dyDescent="0.15">
      <c r="A545" s="4" t="str">
        <f>HYPERLINK("https://ibp.a2mac1.com/costing(costing:projects/details/9760/component/8754430)","Round head Screw M4x10")</f>
        <v>Round head Screw M4x10</v>
      </c>
      <c r="B545">
        <v>8754430</v>
      </c>
      <c r="D545">
        <v>0</v>
      </c>
      <c r="E545">
        <v>2.341E-2</v>
      </c>
      <c r="F545" t="s">
        <v>1447</v>
      </c>
      <c r="H545">
        <v>1</v>
      </c>
      <c r="I545">
        <v>200000</v>
      </c>
      <c r="J545" t="s">
        <v>76</v>
      </c>
      <c r="K545">
        <v>0</v>
      </c>
      <c r="L545">
        <v>0</v>
      </c>
      <c r="M545">
        <v>0</v>
      </c>
      <c r="N545">
        <v>0</v>
      </c>
      <c r="O545">
        <v>1.2199999999999999E-3</v>
      </c>
      <c r="Q545">
        <v>0</v>
      </c>
      <c r="R545">
        <v>0</v>
      </c>
      <c r="S545">
        <v>2.341E-2</v>
      </c>
      <c r="T545">
        <v>8415664</v>
      </c>
    </row>
    <row r="546" spans="1:20" x14ac:dyDescent="0.15">
      <c r="A546" s="4" t="str">
        <f>HYPERLINK("https://ibp.a2mac1.com/costing(costing:projects/details/9760/component/8754431)","Round head Screw M4x18")</f>
        <v>Round head Screw M4x18</v>
      </c>
      <c r="B546">
        <v>8754431</v>
      </c>
      <c r="D546">
        <v>0</v>
      </c>
      <c r="E546">
        <v>2.5919999999999999E-2</v>
      </c>
      <c r="F546" t="s">
        <v>5189</v>
      </c>
      <c r="H546">
        <v>1</v>
      </c>
      <c r="I546">
        <v>200000</v>
      </c>
      <c r="J546" t="s">
        <v>76</v>
      </c>
      <c r="K546">
        <v>0</v>
      </c>
      <c r="L546">
        <v>0</v>
      </c>
      <c r="M546">
        <v>0</v>
      </c>
      <c r="N546">
        <v>0</v>
      </c>
      <c r="O546">
        <v>1.83E-3</v>
      </c>
      <c r="Q546">
        <v>0</v>
      </c>
      <c r="R546">
        <v>0</v>
      </c>
      <c r="S546">
        <v>2.5919999999999999E-2</v>
      </c>
      <c r="T546">
        <v>8415664</v>
      </c>
    </row>
    <row r="547" spans="1:20" x14ac:dyDescent="0.15">
      <c r="A547" s="4" t="str">
        <f>HYPERLINK("https://ibp.a2mac1.com/costing(costing:projects/details/9760/component/8754563)","Screw &gt; Hexagon screw with flange")</f>
        <v>Screw &gt; Hexagon screw with flange</v>
      </c>
      <c r="B547">
        <v>8754563</v>
      </c>
      <c r="D547">
        <v>0</v>
      </c>
      <c r="E547">
        <v>0.05</v>
      </c>
      <c r="H547">
        <v>2</v>
      </c>
      <c r="I547">
        <v>400000</v>
      </c>
      <c r="J547" t="s">
        <v>76</v>
      </c>
      <c r="K547">
        <v>25</v>
      </c>
      <c r="L547">
        <v>13</v>
      </c>
      <c r="M547">
        <v>8</v>
      </c>
      <c r="O547">
        <v>0.01</v>
      </c>
      <c r="Q547">
        <v>0</v>
      </c>
      <c r="R547">
        <v>0</v>
      </c>
      <c r="S547">
        <v>0.1</v>
      </c>
      <c r="T547">
        <v>8415958</v>
      </c>
    </row>
    <row r="548" spans="1:20" x14ac:dyDescent="0.15">
      <c r="A548" s="4" t="str">
        <f>HYPERLINK("https://ibp.a2mac1.com/costing(costing:projects/details/9760/component/8754564)","Screw &gt; Hexagon screw with flange")</f>
        <v>Screw &gt; Hexagon screw with flange</v>
      </c>
      <c r="B548">
        <v>8754564</v>
      </c>
      <c r="D548">
        <v>0</v>
      </c>
      <c r="E548">
        <v>0.05</v>
      </c>
      <c r="H548">
        <v>1</v>
      </c>
      <c r="I548">
        <v>200000</v>
      </c>
      <c r="J548" t="s">
        <v>76</v>
      </c>
      <c r="K548">
        <v>40</v>
      </c>
      <c r="L548">
        <v>15</v>
      </c>
      <c r="M548">
        <v>10</v>
      </c>
      <c r="O548">
        <v>3.2000000000000001E-2</v>
      </c>
      <c r="Q548">
        <v>0</v>
      </c>
      <c r="R548">
        <v>0</v>
      </c>
      <c r="S548">
        <v>0.05</v>
      </c>
      <c r="T548">
        <v>8415958</v>
      </c>
    </row>
    <row r="549" spans="1:20" x14ac:dyDescent="0.15">
      <c r="A549" s="4" t="str">
        <f>HYPERLINK("https://ibp.a2mac1.com/costing(costing:projects/details/9760/component/8754565)","Screw &gt; Hexagon screw with flange")</f>
        <v>Screw &gt; Hexagon screw with flange</v>
      </c>
      <c r="B549">
        <v>8754565</v>
      </c>
      <c r="D549">
        <v>0</v>
      </c>
      <c r="E549">
        <v>0.05</v>
      </c>
      <c r="H549">
        <v>2</v>
      </c>
      <c r="I549">
        <v>400000</v>
      </c>
      <c r="J549" t="s">
        <v>76</v>
      </c>
      <c r="K549">
        <v>25</v>
      </c>
      <c r="L549">
        <v>13</v>
      </c>
      <c r="M549">
        <v>8</v>
      </c>
      <c r="O549">
        <v>2.0500000000000001E-2</v>
      </c>
      <c r="Q549">
        <v>0</v>
      </c>
      <c r="R549">
        <v>0</v>
      </c>
      <c r="S549">
        <v>0.1</v>
      </c>
      <c r="T549">
        <v>8415959</v>
      </c>
    </row>
    <row r="550" spans="1:20" x14ac:dyDescent="0.15">
      <c r="A550" s="4" t="str">
        <f>HYPERLINK("https://ibp.a2mac1.com/costing(costing:projects/details/9760/component/8754566)","Screw &gt; Hexagon screw with flange")</f>
        <v>Screw &gt; Hexagon screw with flange</v>
      </c>
      <c r="B550">
        <v>8754566</v>
      </c>
      <c r="D550">
        <v>0</v>
      </c>
      <c r="E550">
        <v>0.05</v>
      </c>
      <c r="H550">
        <v>1</v>
      </c>
      <c r="I550">
        <v>200000</v>
      </c>
      <c r="J550" t="s">
        <v>76</v>
      </c>
      <c r="K550">
        <v>40</v>
      </c>
      <c r="L550">
        <v>15</v>
      </c>
      <c r="M550">
        <v>10</v>
      </c>
      <c r="O550">
        <v>3.2000000000000001E-2</v>
      </c>
      <c r="Q550">
        <v>0</v>
      </c>
      <c r="R550">
        <v>0</v>
      </c>
      <c r="S550">
        <v>0.05</v>
      </c>
      <c r="T550">
        <v>8415959</v>
      </c>
    </row>
    <row r="551" spans="1:20" x14ac:dyDescent="0.15">
      <c r="A551" s="4" t="str">
        <f>HYPERLINK("https://ibp.a2mac1.com/costing(costing:projects/details/9760/component/8754432)","Screw &gt; Torx socket head cap screw")</f>
        <v>Screw &gt; Torx socket head cap screw</v>
      </c>
      <c r="B551">
        <v>8754432</v>
      </c>
      <c r="D551">
        <v>0</v>
      </c>
      <c r="E551">
        <v>0.05</v>
      </c>
      <c r="H551">
        <v>1</v>
      </c>
      <c r="I551">
        <v>200000</v>
      </c>
      <c r="J551" t="s">
        <v>76</v>
      </c>
      <c r="K551">
        <v>20</v>
      </c>
      <c r="L551">
        <v>8</v>
      </c>
      <c r="M551">
        <v>8</v>
      </c>
      <c r="O551">
        <v>1.2999999999999999E-2</v>
      </c>
      <c r="Q551">
        <v>0</v>
      </c>
      <c r="R551">
        <v>0</v>
      </c>
      <c r="S551">
        <v>0.05</v>
      </c>
      <c r="T551">
        <v>8415666</v>
      </c>
    </row>
    <row r="552" spans="1:20" x14ac:dyDescent="0.15">
      <c r="A552" s="4" t="str">
        <f>HYPERLINK("https://ibp.a2mac1.com/costing(costing:projects/details/9760/component/8754433)","Tube/cluster support &gt; Tube/cluster strap support in hole")</f>
        <v>Tube/cluster support &gt; Tube/cluster strap support in hole</v>
      </c>
      <c r="B552">
        <v>8754433</v>
      </c>
      <c r="D552">
        <v>0</v>
      </c>
      <c r="E552">
        <v>0.05</v>
      </c>
      <c r="H552">
        <v>2</v>
      </c>
      <c r="I552">
        <v>400000</v>
      </c>
      <c r="J552" t="s">
        <v>76</v>
      </c>
      <c r="K552">
        <v>6</v>
      </c>
      <c r="L552">
        <v>13</v>
      </c>
      <c r="M552">
        <v>6</v>
      </c>
      <c r="O552">
        <v>1E-3</v>
      </c>
      <c r="Q552">
        <v>0</v>
      </c>
      <c r="R552">
        <v>0</v>
      </c>
      <c r="S552">
        <v>0.1</v>
      </c>
      <c r="T552">
        <v>8415668</v>
      </c>
    </row>
    <row r="553" spans="1:20" x14ac:dyDescent="0.15">
      <c r="A553" s="4" t="str">
        <f>HYPERLINK("https://ibp.a2mac1.com/costing(costing:projects/details/9760/component/8754567)","Panel holder &gt; Clips in rectangular hole")</f>
        <v>Panel holder &gt; Clips in rectangular hole</v>
      </c>
      <c r="B553">
        <v>8754567</v>
      </c>
      <c r="D553">
        <v>0</v>
      </c>
      <c r="E553">
        <v>0.05</v>
      </c>
      <c r="H553">
        <v>22</v>
      </c>
      <c r="I553">
        <v>4400000</v>
      </c>
      <c r="J553" t="s">
        <v>76</v>
      </c>
      <c r="K553">
        <v>2</v>
      </c>
      <c r="L553">
        <v>5</v>
      </c>
      <c r="M553">
        <v>6</v>
      </c>
      <c r="O553">
        <v>2.9999999999999997E-4</v>
      </c>
      <c r="Q553">
        <v>0</v>
      </c>
      <c r="R553">
        <v>0</v>
      </c>
      <c r="S553">
        <v>1.1000000000000001</v>
      </c>
      <c r="T553">
        <v>8415968</v>
      </c>
    </row>
    <row r="554" spans="1:20" x14ac:dyDescent="0.15">
      <c r="A554" s="4" t="str">
        <f>HYPERLINK("https://ibp.a2mac1.com/costing(costing:projects/details/9760/component/8754568)","Electronics")</f>
        <v>Electronics</v>
      </c>
      <c r="B554">
        <v>8754568</v>
      </c>
      <c r="D554">
        <v>0</v>
      </c>
      <c r="E554">
        <v>1.03</v>
      </c>
      <c r="H554">
        <v>1</v>
      </c>
      <c r="I554">
        <v>200000</v>
      </c>
      <c r="J554" t="s">
        <v>76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364</v>
      </c>
      <c r="Q554">
        <v>0</v>
      </c>
      <c r="R554">
        <v>0</v>
      </c>
      <c r="S554">
        <v>0.96657742715637562</v>
      </c>
      <c r="T554">
        <v>8415970</v>
      </c>
    </row>
    <row r="555" spans="1:20" x14ac:dyDescent="0.15">
      <c r="A555" s="4" t="str">
        <f>HYPERLINK("https://ibp.a2mac1.com/costing(costing:projects/details/9760/component/8754569)","Mechanics")</f>
        <v>Mechanics</v>
      </c>
      <c r="B555">
        <v>8754569</v>
      </c>
      <c r="D555">
        <v>0</v>
      </c>
      <c r="E555">
        <v>5.96</v>
      </c>
      <c r="H555">
        <v>1</v>
      </c>
      <c r="I555">
        <v>200000</v>
      </c>
      <c r="J555" t="s">
        <v>76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362</v>
      </c>
      <c r="Q555">
        <v>0</v>
      </c>
      <c r="R555">
        <v>0</v>
      </c>
      <c r="S555">
        <v>5.8525753349531247</v>
      </c>
      <c r="T555">
        <v>8415970</v>
      </c>
    </row>
    <row r="556" spans="1:20" x14ac:dyDescent="0.15">
      <c r="A556" s="4" t="str">
        <f>HYPERLINK("https://ibp.a2mac1.com/costing(costing:projects/details/9760/component/8754434)","Screw &gt; Torx socket head cap screw with flange")</f>
        <v>Screw &gt; Torx socket head cap screw with flange</v>
      </c>
      <c r="B556">
        <v>8754434</v>
      </c>
      <c r="D556">
        <v>0</v>
      </c>
      <c r="E556">
        <v>0.05</v>
      </c>
      <c r="H556">
        <v>3</v>
      </c>
      <c r="I556">
        <v>600000</v>
      </c>
      <c r="J556" t="s">
        <v>76</v>
      </c>
      <c r="K556">
        <v>22</v>
      </c>
      <c r="L556">
        <v>4</v>
      </c>
      <c r="M556">
        <v>5</v>
      </c>
      <c r="O556">
        <v>3.3E-3</v>
      </c>
      <c r="Q556">
        <v>0</v>
      </c>
      <c r="R556">
        <v>0</v>
      </c>
      <c r="S556">
        <v>0.15</v>
      </c>
      <c r="T556">
        <v>8415670</v>
      </c>
    </row>
    <row r="557" spans="1:20" x14ac:dyDescent="0.15">
      <c r="A557" s="4" t="str">
        <f>HYPERLINK("https://ibp.a2mac1.com/costing(costing:projects/details/9760/component/8754435)","Stud &gt; Threaded screwed up dowel")</f>
        <v>Stud &gt; Threaded screwed up dowel</v>
      </c>
      <c r="B557">
        <v>8754435</v>
      </c>
      <c r="D557">
        <v>0</v>
      </c>
      <c r="E557">
        <v>0.05</v>
      </c>
      <c r="H557">
        <v>2</v>
      </c>
      <c r="I557">
        <v>400000</v>
      </c>
      <c r="J557" t="s">
        <v>76</v>
      </c>
      <c r="K557">
        <v>30</v>
      </c>
      <c r="L557">
        <v>8</v>
      </c>
      <c r="M557">
        <v>8</v>
      </c>
      <c r="O557">
        <v>1.4999999999999999E-2</v>
      </c>
      <c r="Q557">
        <v>0</v>
      </c>
      <c r="R557">
        <v>0</v>
      </c>
      <c r="S557">
        <v>0.1</v>
      </c>
      <c r="T557">
        <v>8415670</v>
      </c>
    </row>
    <row r="558" spans="1:20" x14ac:dyDescent="0.15">
      <c r="A558" s="4" t="str">
        <f>HYPERLINK("https://ibp.a2mac1.com/costing(costing:projects/details/9760/component/8754436)","Screw &gt; Hexagon screw with flange")</f>
        <v>Screw &gt; Hexagon screw with flange</v>
      </c>
      <c r="B558">
        <v>8754436</v>
      </c>
      <c r="D558">
        <v>0</v>
      </c>
      <c r="E558">
        <v>0.05</v>
      </c>
      <c r="H558">
        <v>2</v>
      </c>
      <c r="I558">
        <v>400000</v>
      </c>
      <c r="J558" t="s">
        <v>76</v>
      </c>
      <c r="K558">
        <v>18</v>
      </c>
      <c r="L558">
        <v>13</v>
      </c>
      <c r="M558">
        <v>8</v>
      </c>
      <c r="O558">
        <v>1.7999999999999999E-2</v>
      </c>
      <c r="Q558">
        <v>0</v>
      </c>
      <c r="R558">
        <v>0</v>
      </c>
      <c r="S558">
        <v>0.1</v>
      </c>
      <c r="T558">
        <v>8415670</v>
      </c>
    </row>
    <row r="559" spans="1:20" x14ac:dyDescent="0.15">
      <c r="A559" s="4" t="str">
        <f>HYPERLINK("https://ibp.a2mac1.com/costing(costing:projects/details/9760/component/8754570)","Pin clip &gt; Dowel pin")</f>
        <v>Pin clip &gt; Dowel pin</v>
      </c>
      <c r="B559">
        <v>8754570</v>
      </c>
      <c r="D559">
        <v>0</v>
      </c>
      <c r="E559">
        <v>0.1</v>
      </c>
      <c r="H559">
        <v>1</v>
      </c>
      <c r="I559">
        <v>200000</v>
      </c>
      <c r="J559" t="s">
        <v>76</v>
      </c>
      <c r="L559">
        <v>42</v>
      </c>
      <c r="M559">
        <v>4</v>
      </c>
      <c r="O559">
        <v>4.0000000000000001E-3</v>
      </c>
      <c r="Q559">
        <v>0</v>
      </c>
      <c r="R559">
        <v>0</v>
      </c>
      <c r="S559">
        <v>0.1</v>
      </c>
      <c r="T559">
        <v>8415974</v>
      </c>
    </row>
    <row r="560" spans="1:20" x14ac:dyDescent="0.15">
      <c r="A560" s="4" t="str">
        <f>HYPERLINK("https://ibp.a2mac1.com/costing(costing:projects/details/9760/component/8754571)","Nut &gt; Pinching nut for metal sheet screw")</f>
        <v>Nut &gt; Pinching nut for metal sheet screw</v>
      </c>
      <c r="B560">
        <v>8754571</v>
      </c>
      <c r="D560">
        <v>0</v>
      </c>
      <c r="E560">
        <v>0.05</v>
      </c>
      <c r="H560">
        <v>2</v>
      </c>
      <c r="I560">
        <v>400000</v>
      </c>
      <c r="J560" t="s">
        <v>76</v>
      </c>
      <c r="K560">
        <v>2</v>
      </c>
      <c r="L560">
        <v>5</v>
      </c>
      <c r="M560">
        <v>11</v>
      </c>
      <c r="O560">
        <v>1.5E-3</v>
      </c>
      <c r="Q560">
        <v>0</v>
      </c>
      <c r="R560">
        <v>0</v>
      </c>
      <c r="S560">
        <v>0.1</v>
      </c>
      <c r="T560">
        <v>8415974</v>
      </c>
    </row>
    <row r="561" spans="1:21" x14ac:dyDescent="0.15">
      <c r="A561" s="4" t="str">
        <f>HYPERLINK("https://ibp.a2mac1.com/costing(costing:projects/details/9760/component/8754572)","Screw &gt; Torx socket head cap screw with flange")</f>
        <v>Screw &gt; Torx socket head cap screw with flange</v>
      </c>
      <c r="B561">
        <v>8754572</v>
      </c>
      <c r="D561">
        <v>0</v>
      </c>
      <c r="E561">
        <v>0.05</v>
      </c>
      <c r="H561">
        <v>2</v>
      </c>
      <c r="I561">
        <v>400000</v>
      </c>
      <c r="J561" t="s">
        <v>76</v>
      </c>
      <c r="K561">
        <v>13</v>
      </c>
      <c r="L561">
        <v>4</v>
      </c>
      <c r="M561">
        <v>5</v>
      </c>
      <c r="O561">
        <v>4.0000000000000001E-3</v>
      </c>
      <c r="Q561">
        <v>0</v>
      </c>
      <c r="R561">
        <v>0</v>
      </c>
      <c r="S561">
        <v>0.1</v>
      </c>
      <c r="T561">
        <v>8415975</v>
      </c>
    </row>
    <row r="562" spans="1:21" x14ac:dyDescent="0.15">
      <c r="A562" s="4" t="str">
        <f>HYPERLINK("https://ibp.a2mac1.com/costing(costing:projects/details/9760/component/8754573)","Screw &gt; Hexagon screw with flange")</f>
        <v>Screw &gt; Hexagon screw with flange</v>
      </c>
      <c r="B562">
        <v>8754573</v>
      </c>
      <c r="D562">
        <v>0</v>
      </c>
      <c r="E562">
        <v>0.05</v>
      </c>
      <c r="H562">
        <v>3</v>
      </c>
      <c r="I562">
        <v>600000</v>
      </c>
      <c r="J562" t="s">
        <v>76</v>
      </c>
      <c r="K562">
        <v>15</v>
      </c>
      <c r="L562">
        <v>10</v>
      </c>
      <c r="M562">
        <v>6</v>
      </c>
      <c r="O562">
        <v>8.6999999999999994E-3</v>
      </c>
      <c r="Q562">
        <v>0</v>
      </c>
      <c r="R562">
        <v>0</v>
      </c>
      <c r="S562">
        <v>0.15</v>
      </c>
      <c r="T562">
        <v>8415975</v>
      </c>
    </row>
    <row r="563" spans="1:21" x14ac:dyDescent="0.15">
      <c r="A563" s="4" t="str">
        <f>HYPERLINK("https://ibp.a2mac1.com/costing(costing:projects/details/9760/component/8754574)","Other fastener &gt; Attachment")</f>
        <v>Other fastener &gt; Attachment</v>
      </c>
      <c r="B563">
        <v>8754574</v>
      </c>
      <c r="D563">
        <v>0</v>
      </c>
      <c r="E563">
        <v>0.05</v>
      </c>
      <c r="H563">
        <v>3</v>
      </c>
      <c r="I563">
        <v>600000</v>
      </c>
      <c r="J563" t="s">
        <v>76</v>
      </c>
      <c r="K563">
        <v>21</v>
      </c>
      <c r="L563">
        <v>35</v>
      </c>
      <c r="M563">
        <v>24</v>
      </c>
      <c r="O563">
        <v>7.3000000000000001E-3</v>
      </c>
      <c r="Q563">
        <v>0</v>
      </c>
      <c r="R563">
        <v>0</v>
      </c>
      <c r="S563">
        <v>0.15</v>
      </c>
      <c r="T563">
        <v>8415976</v>
      </c>
    </row>
    <row r="564" spans="1:21" x14ac:dyDescent="0.15">
      <c r="A564" s="4" t="str">
        <f>HYPERLINK("https://ibp.a2mac1.com/costing(costing:projects/details/9760/component/8754437)","Screw &gt; Torx socket head cap screw with flange and captive washer")</f>
        <v>Screw &gt; Torx socket head cap screw with flange and captive washer</v>
      </c>
      <c r="B564">
        <v>8754437</v>
      </c>
      <c r="D564">
        <v>0</v>
      </c>
      <c r="E564">
        <v>0.05</v>
      </c>
      <c r="H564">
        <v>3</v>
      </c>
      <c r="I564">
        <v>600000</v>
      </c>
      <c r="J564" t="s">
        <v>76</v>
      </c>
      <c r="K564">
        <v>15</v>
      </c>
      <c r="L564">
        <v>5</v>
      </c>
      <c r="M564">
        <v>6</v>
      </c>
      <c r="O564">
        <v>6.0000000000000001E-3</v>
      </c>
      <c r="Q564">
        <v>0</v>
      </c>
      <c r="R564">
        <v>0</v>
      </c>
      <c r="S564">
        <v>0.15</v>
      </c>
      <c r="T564">
        <v>8415671</v>
      </c>
    </row>
    <row r="565" spans="1:21" x14ac:dyDescent="0.15">
      <c r="A565" s="4" t="str">
        <f>HYPERLINK("https://ibp.a2mac1.com/costing(costing:projects/details/9760/component/8754438)","Screw &gt; Torx socket head cap screw")</f>
        <v>Screw &gt; Torx socket head cap screw</v>
      </c>
      <c r="B565">
        <v>8754438</v>
      </c>
      <c r="D565">
        <v>0</v>
      </c>
      <c r="E565">
        <v>0.05</v>
      </c>
      <c r="H565">
        <v>2</v>
      </c>
      <c r="I565">
        <v>400000</v>
      </c>
      <c r="J565" t="s">
        <v>76</v>
      </c>
      <c r="K565">
        <v>20</v>
      </c>
      <c r="L565">
        <v>6</v>
      </c>
      <c r="M565">
        <v>8</v>
      </c>
      <c r="O565">
        <v>0.01</v>
      </c>
      <c r="Q565">
        <v>0</v>
      </c>
      <c r="R565">
        <v>0</v>
      </c>
      <c r="S565">
        <v>0.1</v>
      </c>
      <c r="T565">
        <v>8415671</v>
      </c>
    </row>
    <row r="566" spans="1:21" x14ac:dyDescent="0.15">
      <c r="A566" s="4" t="str">
        <f>HYPERLINK("https://ibp.a2mac1.com/costing(costing:projects/details/9760/component/8754575)","Screw &gt; Cross recessed screw with flange")</f>
        <v>Screw &gt; Cross recessed screw with flange</v>
      </c>
      <c r="B566">
        <v>8754575</v>
      </c>
      <c r="D566">
        <v>0</v>
      </c>
      <c r="E566">
        <v>0.03</v>
      </c>
      <c r="H566">
        <v>8</v>
      </c>
      <c r="I566">
        <v>1600000</v>
      </c>
      <c r="J566" t="s">
        <v>76</v>
      </c>
      <c r="K566">
        <v>10</v>
      </c>
      <c r="L566">
        <v>6</v>
      </c>
      <c r="M566">
        <v>4</v>
      </c>
      <c r="O566">
        <v>1.9E-3</v>
      </c>
      <c r="Q566">
        <v>0</v>
      </c>
      <c r="R566">
        <v>0</v>
      </c>
      <c r="S566">
        <v>0.24</v>
      </c>
      <c r="T566">
        <v>8415986</v>
      </c>
    </row>
    <row r="567" spans="1:21" x14ac:dyDescent="0.15">
      <c r="A567" s="4" t="str">
        <f>HYPERLINK("https://ibp.a2mac1.com/costing(costing:projects/details/9760/component/8754576)","Panel holder &gt; Clips in rectangular hole")</f>
        <v>Panel holder &gt; Clips in rectangular hole</v>
      </c>
      <c r="B567">
        <v>8754576</v>
      </c>
      <c r="D567">
        <v>0</v>
      </c>
      <c r="E567">
        <v>0.03</v>
      </c>
      <c r="H567">
        <v>5</v>
      </c>
      <c r="I567">
        <v>1000000</v>
      </c>
      <c r="J567" t="s">
        <v>76</v>
      </c>
      <c r="K567">
        <v>2</v>
      </c>
      <c r="L567">
        <v>7</v>
      </c>
      <c r="M567">
        <v>5</v>
      </c>
      <c r="O567">
        <v>1E-3</v>
      </c>
      <c r="Q567">
        <v>0</v>
      </c>
      <c r="R567">
        <v>0</v>
      </c>
      <c r="S567">
        <v>0.15</v>
      </c>
      <c r="T567">
        <v>8415986</v>
      </c>
    </row>
    <row r="568" spans="1:21" x14ac:dyDescent="0.15">
      <c r="A568" s="4" t="str">
        <f>HYPERLINK("https://ibp.a2mac1.com/costing(costing:projects/details/9760/component/8754439)","Other fastener &gt; Attachment")</f>
        <v>Other fastener &gt; Attachment</v>
      </c>
      <c r="B568">
        <v>8754439</v>
      </c>
      <c r="D568">
        <v>0</v>
      </c>
      <c r="E568">
        <v>0.05</v>
      </c>
      <c r="H568">
        <v>1</v>
      </c>
      <c r="I568">
        <v>200000</v>
      </c>
      <c r="J568" t="s">
        <v>76</v>
      </c>
      <c r="K568">
        <v>22</v>
      </c>
      <c r="L568">
        <v>23</v>
      </c>
      <c r="M568">
        <v>23</v>
      </c>
      <c r="O568">
        <v>4.0000000000000001E-3</v>
      </c>
      <c r="Q568">
        <v>0</v>
      </c>
      <c r="R568">
        <v>0</v>
      </c>
      <c r="S568">
        <v>0.05</v>
      </c>
      <c r="T568">
        <v>8415672</v>
      </c>
    </row>
    <row r="569" spans="1:21" x14ac:dyDescent="0.15">
      <c r="A569" s="4" t="str">
        <f>HYPERLINK("https://ibp.a2mac1.com/costing(costing:projects/details/9760/component/8754440)","Screw &gt; Cross recessed screw with flange")</f>
        <v>Screw &gt; Cross recessed screw with flange</v>
      </c>
      <c r="B569">
        <v>8754440</v>
      </c>
      <c r="D569">
        <v>0</v>
      </c>
      <c r="E569">
        <v>0.03</v>
      </c>
      <c r="H569">
        <v>2</v>
      </c>
      <c r="I569">
        <v>400000</v>
      </c>
      <c r="J569" t="s">
        <v>76</v>
      </c>
      <c r="K569">
        <v>10</v>
      </c>
      <c r="L569">
        <v>7</v>
      </c>
      <c r="M569">
        <v>4</v>
      </c>
      <c r="O569">
        <v>2E-3</v>
      </c>
      <c r="Q569">
        <v>0</v>
      </c>
      <c r="R569">
        <v>0</v>
      </c>
      <c r="S569">
        <v>0.06</v>
      </c>
      <c r="T569">
        <v>8415672</v>
      </c>
    </row>
    <row r="570" spans="1:21" x14ac:dyDescent="0.15">
      <c r="A570" s="4" t="str">
        <f>HYPERLINK("https://ibp.a2mac1.com/costing(costing:projects/details/9760/component/8754441)","Screw &gt; Cross recessed screw with flange")</f>
        <v>Screw &gt; Cross recessed screw with flange</v>
      </c>
      <c r="B570">
        <v>8754441</v>
      </c>
      <c r="D570">
        <v>0</v>
      </c>
      <c r="E570">
        <v>0.03</v>
      </c>
      <c r="H570">
        <v>4</v>
      </c>
      <c r="I570">
        <v>800000</v>
      </c>
      <c r="J570" t="s">
        <v>76</v>
      </c>
      <c r="K570">
        <v>11</v>
      </c>
      <c r="L570">
        <v>6</v>
      </c>
      <c r="M570">
        <v>4</v>
      </c>
      <c r="O570">
        <v>2E-3</v>
      </c>
      <c r="Q570">
        <v>0</v>
      </c>
      <c r="R570">
        <v>0</v>
      </c>
      <c r="S570">
        <v>0.12</v>
      </c>
      <c r="T570">
        <v>8415672</v>
      </c>
    </row>
    <row r="571" spans="1:21" x14ac:dyDescent="0.15">
      <c r="A571" s="4" t="str">
        <f>HYPERLINK("https://ibp.a2mac1.com/costing(costing:projects/details/9760/component/8754442)","Inserts")</f>
        <v>Inserts</v>
      </c>
      <c r="B571">
        <v>8754442</v>
      </c>
      <c r="D571">
        <v>0</v>
      </c>
      <c r="E571">
        <v>2.5000000000000001E-2</v>
      </c>
      <c r="H571">
        <v>10</v>
      </c>
      <c r="I571">
        <v>2000000</v>
      </c>
      <c r="J571" t="s">
        <v>162</v>
      </c>
      <c r="K571">
        <v>0</v>
      </c>
      <c r="L571">
        <v>0</v>
      </c>
      <c r="M571">
        <v>0</v>
      </c>
      <c r="N571">
        <v>0</v>
      </c>
      <c r="O571">
        <v>0</v>
      </c>
      <c r="Q571">
        <v>0</v>
      </c>
      <c r="R571">
        <v>0</v>
      </c>
      <c r="S571">
        <v>0.25</v>
      </c>
      <c r="U571">
        <v>8415675</v>
      </c>
    </row>
    <row r="572" spans="1:21" x14ac:dyDescent="0.15">
      <c r="A572" s="4" t="str">
        <f>HYPERLINK("https://ibp.a2mac1.com/costing(costing:projects/details/9760/component/8754313)","Hole plug &gt; Round hole")</f>
        <v>Hole plug &gt; Round hole</v>
      </c>
      <c r="B572">
        <v>8754313</v>
      </c>
      <c r="D572">
        <v>0</v>
      </c>
      <c r="E572">
        <v>0.05</v>
      </c>
      <c r="H572">
        <v>6</v>
      </c>
      <c r="I572">
        <v>1200000</v>
      </c>
      <c r="J572" t="s">
        <v>76</v>
      </c>
      <c r="K572">
        <v>8</v>
      </c>
      <c r="M572">
        <v>28</v>
      </c>
      <c r="O572">
        <v>1.2999999999999999E-3</v>
      </c>
      <c r="Q572">
        <v>0</v>
      </c>
      <c r="R572">
        <v>0</v>
      </c>
      <c r="S572">
        <v>0.3</v>
      </c>
      <c r="T572">
        <v>8415586</v>
      </c>
    </row>
    <row r="573" spans="1:21" x14ac:dyDescent="0.15">
      <c r="A573" s="4" t="str">
        <f>HYPERLINK("https://ibp.a2mac1.com/costing(costing:projects/details/9760/component/8754314)","Hole plug &gt; Round hole")</f>
        <v>Hole plug &gt; Round hole</v>
      </c>
      <c r="B573">
        <v>8754314</v>
      </c>
      <c r="D573">
        <v>0</v>
      </c>
      <c r="E573">
        <v>0.05</v>
      </c>
      <c r="H573">
        <v>2</v>
      </c>
      <c r="I573">
        <v>400000</v>
      </c>
      <c r="J573" t="s">
        <v>76</v>
      </c>
      <c r="K573">
        <v>8</v>
      </c>
      <c r="M573">
        <v>38</v>
      </c>
      <c r="O573">
        <v>2.5000000000000001E-3</v>
      </c>
      <c r="Q573">
        <v>0</v>
      </c>
      <c r="R573">
        <v>0</v>
      </c>
      <c r="S573">
        <v>0.1</v>
      </c>
      <c r="T573">
        <v>8415586</v>
      </c>
    </row>
    <row r="574" spans="1:21" x14ac:dyDescent="0.15">
      <c r="A574" s="4" t="str">
        <f>HYPERLINK("https://ibp.a2mac1.com/costing(costing:projects/details/9760/component/8754315)","Screw &gt; Hexagon screw with captive washer")</f>
        <v>Screw &gt; Hexagon screw with captive washer</v>
      </c>
      <c r="B574">
        <v>8754315</v>
      </c>
      <c r="D574">
        <v>0</v>
      </c>
      <c r="E574">
        <v>0.05</v>
      </c>
      <c r="H574">
        <v>10</v>
      </c>
      <c r="I574">
        <v>2000000</v>
      </c>
      <c r="J574" t="s">
        <v>76</v>
      </c>
      <c r="K574">
        <v>14</v>
      </c>
      <c r="L574">
        <v>8</v>
      </c>
      <c r="M574">
        <v>5</v>
      </c>
      <c r="O574">
        <v>4.3E-3</v>
      </c>
      <c r="Q574">
        <v>0</v>
      </c>
      <c r="R574">
        <v>0</v>
      </c>
      <c r="S574">
        <v>0.5</v>
      </c>
      <c r="T574">
        <v>8415586</v>
      </c>
    </row>
    <row r="575" spans="1:21" x14ac:dyDescent="0.15">
      <c r="A575" s="4" t="str">
        <f>HYPERLINK("https://ibp.a2mac1.com/costing(costing:projects/details/9760/component/8754316)","Screw &gt; Torx screw")</f>
        <v>Screw &gt; Torx screw</v>
      </c>
      <c r="B575">
        <v>8754316</v>
      </c>
      <c r="D575">
        <v>0</v>
      </c>
      <c r="E575">
        <v>0.05</v>
      </c>
      <c r="H575">
        <v>2</v>
      </c>
      <c r="I575">
        <v>400000</v>
      </c>
      <c r="J575" t="s">
        <v>76</v>
      </c>
      <c r="K575">
        <v>7</v>
      </c>
      <c r="L575">
        <v>5</v>
      </c>
      <c r="M575">
        <v>8</v>
      </c>
      <c r="O575">
        <v>3.5000000000000001E-3</v>
      </c>
      <c r="Q575">
        <v>0</v>
      </c>
      <c r="R575">
        <v>0</v>
      </c>
      <c r="S575">
        <v>0.1</v>
      </c>
      <c r="T575">
        <v>8415586</v>
      </c>
    </row>
    <row r="576" spans="1:21" x14ac:dyDescent="0.15">
      <c r="A576" s="4" t="str">
        <f>HYPERLINK("https://ibp.a2mac1.com/costing(costing:projects/details/9760/component/8754578)","Screw &gt; Cross recessed screw with flange")</f>
        <v>Screw &gt; Cross recessed screw with flange</v>
      </c>
      <c r="B576">
        <v>8754578</v>
      </c>
      <c r="D576">
        <v>0</v>
      </c>
      <c r="E576">
        <v>0.03</v>
      </c>
      <c r="H576">
        <v>8</v>
      </c>
      <c r="I576">
        <v>1600000</v>
      </c>
      <c r="J576" t="s">
        <v>76</v>
      </c>
      <c r="K576">
        <v>10</v>
      </c>
      <c r="L576">
        <v>6</v>
      </c>
      <c r="M576">
        <v>4</v>
      </c>
      <c r="O576">
        <v>1.9E-3</v>
      </c>
      <c r="Q576">
        <v>0</v>
      </c>
      <c r="R576">
        <v>0</v>
      </c>
      <c r="S576">
        <v>0.24</v>
      </c>
      <c r="T576">
        <v>8416009</v>
      </c>
    </row>
    <row r="577" spans="1:20" x14ac:dyDescent="0.15">
      <c r="A577" s="4" t="str">
        <f>HYPERLINK("https://ibp.a2mac1.com/costing(costing:projects/details/9760/component/8754579)","Panel holder &gt; Clips in rectangular hole")</f>
        <v>Panel holder &gt; Clips in rectangular hole</v>
      </c>
      <c r="B577">
        <v>8754579</v>
      </c>
      <c r="D577">
        <v>0</v>
      </c>
      <c r="E577">
        <v>0.03</v>
      </c>
      <c r="H577">
        <v>4</v>
      </c>
      <c r="I577">
        <v>800000</v>
      </c>
      <c r="J577" t="s">
        <v>76</v>
      </c>
      <c r="K577">
        <v>2</v>
      </c>
      <c r="L577">
        <v>13</v>
      </c>
      <c r="M577">
        <v>6</v>
      </c>
      <c r="O577">
        <v>1.2999999999999999E-3</v>
      </c>
      <c r="Q577">
        <v>0</v>
      </c>
      <c r="R577">
        <v>0</v>
      </c>
      <c r="S577">
        <v>0.12</v>
      </c>
      <c r="T577">
        <v>8416009</v>
      </c>
    </row>
    <row r="578" spans="1:20" x14ac:dyDescent="0.15">
      <c r="A578" s="4" t="str">
        <f>HYPERLINK("https://ibp.a2mac1.com/costing(costing:projects/details/9760/component/8754580)","Screw &gt; Torx socket head cap screw with flange")</f>
        <v>Screw &gt; Torx socket head cap screw with flange</v>
      </c>
      <c r="B578">
        <v>8754580</v>
      </c>
      <c r="D578">
        <v>0</v>
      </c>
      <c r="E578">
        <v>0.03</v>
      </c>
      <c r="H578">
        <v>2</v>
      </c>
      <c r="I578">
        <v>400000</v>
      </c>
      <c r="J578" t="s">
        <v>76</v>
      </c>
      <c r="K578">
        <v>16</v>
      </c>
      <c r="L578">
        <v>4</v>
      </c>
      <c r="M578">
        <v>5</v>
      </c>
      <c r="O578">
        <v>2E-3</v>
      </c>
      <c r="Q578">
        <v>0</v>
      </c>
      <c r="R578">
        <v>0</v>
      </c>
      <c r="S578">
        <v>0.06</v>
      </c>
      <c r="T578">
        <v>8416009</v>
      </c>
    </row>
    <row r="579" spans="1:20" x14ac:dyDescent="0.15">
      <c r="A579" s="4" t="str">
        <f>HYPERLINK("https://ibp.a2mac1.com/costing(costing:projects/details/9760/component/8754443)","Other fastener &gt; Attachment")</f>
        <v>Other fastener &gt; Attachment</v>
      </c>
      <c r="B579">
        <v>8754443</v>
      </c>
      <c r="D579">
        <v>0</v>
      </c>
      <c r="E579">
        <v>0.03</v>
      </c>
      <c r="H579">
        <v>1</v>
      </c>
      <c r="I579">
        <v>200000</v>
      </c>
      <c r="J579" t="s">
        <v>76</v>
      </c>
      <c r="K579">
        <v>21</v>
      </c>
      <c r="L579">
        <v>19</v>
      </c>
      <c r="M579">
        <v>26</v>
      </c>
      <c r="O579">
        <v>2E-3</v>
      </c>
      <c r="Q579">
        <v>0</v>
      </c>
      <c r="R579">
        <v>0</v>
      </c>
      <c r="S579">
        <v>0.03</v>
      </c>
      <c r="T579">
        <v>8415678</v>
      </c>
    </row>
    <row r="580" spans="1:20" x14ac:dyDescent="0.15">
      <c r="A580" s="4" t="str">
        <f>HYPERLINK("https://ibp.a2mac1.com/costing(costing:projects/details/9760/component/8754444)","Screw &gt; Cross recessed screw with flange")</f>
        <v>Screw &gt; Cross recessed screw with flange</v>
      </c>
      <c r="B580">
        <v>8754444</v>
      </c>
      <c r="D580">
        <v>0</v>
      </c>
      <c r="E580">
        <v>0.03</v>
      </c>
      <c r="H580">
        <v>3</v>
      </c>
      <c r="I580">
        <v>600000</v>
      </c>
      <c r="J580" t="s">
        <v>76</v>
      </c>
      <c r="K580">
        <v>10</v>
      </c>
      <c r="L580">
        <v>7</v>
      </c>
      <c r="M580">
        <v>4</v>
      </c>
      <c r="O580">
        <v>2E-3</v>
      </c>
      <c r="Q580">
        <v>0</v>
      </c>
      <c r="R580">
        <v>0</v>
      </c>
      <c r="S580">
        <v>0.09</v>
      </c>
      <c r="T580">
        <v>8415678</v>
      </c>
    </row>
    <row r="581" spans="1:20" x14ac:dyDescent="0.15">
      <c r="A581" s="4" t="str">
        <f>HYPERLINK("https://ibp.a2mac1.com/costing(costing:projects/details/9760/component/8754445)","Screw &gt; Cross recessed screw with flange")</f>
        <v>Screw &gt; Cross recessed screw with flange</v>
      </c>
      <c r="B581">
        <v>8754445</v>
      </c>
      <c r="D581">
        <v>0</v>
      </c>
      <c r="E581">
        <v>0.03</v>
      </c>
      <c r="H581">
        <v>4</v>
      </c>
      <c r="I581">
        <v>800000</v>
      </c>
      <c r="J581" t="s">
        <v>76</v>
      </c>
      <c r="K581">
        <v>11</v>
      </c>
      <c r="L581">
        <v>6</v>
      </c>
      <c r="M581">
        <v>4</v>
      </c>
      <c r="O581">
        <v>8.0000000000000004E-4</v>
      </c>
      <c r="Q581">
        <v>0</v>
      </c>
      <c r="R581">
        <v>0</v>
      </c>
      <c r="S581">
        <v>0.12</v>
      </c>
      <c r="T581">
        <v>8415678</v>
      </c>
    </row>
    <row r="582" spans="1:20" x14ac:dyDescent="0.15">
      <c r="A582" s="4" t="str">
        <f>HYPERLINK("https://ibp.a2mac1.com/costing(costing:projects/details/9760/component/8754446)","Screw &gt; Cross recessed screw with flange")</f>
        <v>Screw &gt; Cross recessed screw with flange</v>
      </c>
      <c r="B582">
        <v>8754446</v>
      </c>
      <c r="D582">
        <v>0</v>
      </c>
      <c r="E582">
        <v>0.03</v>
      </c>
      <c r="H582">
        <v>5</v>
      </c>
      <c r="I582">
        <v>1000000</v>
      </c>
      <c r="J582" t="s">
        <v>76</v>
      </c>
      <c r="K582">
        <v>10</v>
      </c>
      <c r="L582">
        <v>6</v>
      </c>
      <c r="M582">
        <v>4</v>
      </c>
      <c r="O582">
        <v>1.8E-3</v>
      </c>
      <c r="Q582">
        <v>0</v>
      </c>
      <c r="R582">
        <v>0</v>
      </c>
      <c r="S582">
        <v>0.15</v>
      </c>
      <c r="T582">
        <v>8415678</v>
      </c>
    </row>
    <row r="583" spans="1:20" x14ac:dyDescent="0.15">
      <c r="A583" s="4" t="str">
        <f>HYPERLINK("https://ibp.a2mac1.com/costing(costing:projects/details/9760/component/8754447)","Other fastener &gt; Attachment")</f>
        <v>Other fastener &gt; Attachment</v>
      </c>
      <c r="B583">
        <v>8754447</v>
      </c>
      <c r="D583">
        <v>0</v>
      </c>
      <c r="E583">
        <v>0.05</v>
      </c>
      <c r="H583">
        <v>1</v>
      </c>
      <c r="I583">
        <v>200000</v>
      </c>
      <c r="J583" t="s">
        <v>76</v>
      </c>
      <c r="K583">
        <v>31</v>
      </c>
      <c r="L583">
        <v>4</v>
      </c>
      <c r="M583">
        <v>52</v>
      </c>
      <c r="O583">
        <v>5.0000000000000001E-3</v>
      </c>
      <c r="Q583">
        <v>0</v>
      </c>
      <c r="R583">
        <v>0</v>
      </c>
      <c r="S583">
        <v>0.05</v>
      </c>
      <c r="T583">
        <v>8415678</v>
      </c>
    </row>
    <row r="584" spans="1:20" x14ac:dyDescent="0.15">
      <c r="A584" s="4" t="str">
        <f>HYPERLINK("https://ibp.a2mac1.com/costing(costing:projects/details/9760/component/8754581)","Pin clip &gt; Dowel pin")</f>
        <v>Pin clip &gt; Dowel pin</v>
      </c>
      <c r="B584">
        <v>8754581</v>
      </c>
      <c r="D584">
        <v>0</v>
      </c>
      <c r="E584">
        <v>0.1</v>
      </c>
      <c r="H584">
        <v>1</v>
      </c>
      <c r="I584">
        <v>200000</v>
      </c>
      <c r="J584" t="s">
        <v>76</v>
      </c>
      <c r="L584">
        <v>42</v>
      </c>
      <c r="M584">
        <v>4</v>
      </c>
      <c r="O584">
        <v>3.0000000000000001E-3</v>
      </c>
      <c r="Q584">
        <v>0</v>
      </c>
      <c r="R584">
        <v>0</v>
      </c>
      <c r="S584">
        <v>0.1</v>
      </c>
      <c r="T584">
        <v>8416017</v>
      </c>
    </row>
    <row r="585" spans="1:20" x14ac:dyDescent="0.15">
      <c r="A585" s="4" t="str">
        <f>HYPERLINK("https://ibp.a2mac1.com/costing(costing:projects/details/9760/component/8754582)","Screw &gt; Cross recessed screw with flange")</f>
        <v>Screw &gt; Cross recessed screw with flange</v>
      </c>
      <c r="B585">
        <v>8754582</v>
      </c>
      <c r="D585">
        <v>0</v>
      </c>
      <c r="E585">
        <v>0.05</v>
      </c>
      <c r="H585">
        <v>4</v>
      </c>
      <c r="I585">
        <v>800000</v>
      </c>
      <c r="J585" t="s">
        <v>76</v>
      </c>
      <c r="K585">
        <v>11</v>
      </c>
      <c r="L585">
        <v>6</v>
      </c>
      <c r="M585">
        <v>7</v>
      </c>
      <c r="O585">
        <v>2E-3</v>
      </c>
      <c r="Q585">
        <v>0</v>
      </c>
      <c r="R585">
        <v>0</v>
      </c>
      <c r="S585">
        <v>0.2</v>
      </c>
      <c r="T585">
        <v>8416017</v>
      </c>
    </row>
    <row r="586" spans="1:20" x14ac:dyDescent="0.15">
      <c r="A586" s="4" t="str">
        <f>HYPERLINK("https://ibp.a2mac1.com/costing(costing:projects/details/9760/component/8754583)","Pin clip &gt; Dowel pin")</f>
        <v>Pin clip &gt; Dowel pin</v>
      </c>
      <c r="B586">
        <v>8754583</v>
      </c>
      <c r="D586">
        <v>0</v>
      </c>
      <c r="E586">
        <v>0.1</v>
      </c>
      <c r="H586">
        <v>2</v>
      </c>
      <c r="I586">
        <v>400000</v>
      </c>
      <c r="J586" t="s">
        <v>76</v>
      </c>
      <c r="L586">
        <v>30</v>
      </c>
      <c r="M586">
        <v>7</v>
      </c>
      <c r="O586">
        <v>5.0000000000000001E-3</v>
      </c>
      <c r="Q586">
        <v>0</v>
      </c>
      <c r="R586">
        <v>0</v>
      </c>
      <c r="S586">
        <v>0.2</v>
      </c>
      <c r="T586">
        <v>8416018</v>
      </c>
    </row>
    <row r="587" spans="1:20" x14ac:dyDescent="0.15">
      <c r="A587" s="4" t="str">
        <f>HYPERLINK("https://ibp.a2mac1.com/costing(costing:projects/details/9760/component/8754584)","Screw &gt; Hexagon screw with flange")</f>
        <v>Screw &gt; Hexagon screw with flange</v>
      </c>
      <c r="B587">
        <v>8754584</v>
      </c>
      <c r="D587">
        <v>0</v>
      </c>
      <c r="E587">
        <v>0.05</v>
      </c>
      <c r="H587">
        <v>1</v>
      </c>
      <c r="I587">
        <v>200000</v>
      </c>
      <c r="J587" t="s">
        <v>76</v>
      </c>
      <c r="K587">
        <v>15</v>
      </c>
      <c r="L587">
        <v>10</v>
      </c>
      <c r="M587">
        <v>6</v>
      </c>
      <c r="O587">
        <v>2.5999999999999999E-2</v>
      </c>
      <c r="Q587">
        <v>0</v>
      </c>
      <c r="R587">
        <v>0</v>
      </c>
      <c r="S587">
        <v>0.05</v>
      </c>
      <c r="T587">
        <v>8416018</v>
      </c>
    </row>
    <row r="588" spans="1:20" x14ac:dyDescent="0.15">
      <c r="A588" s="4" t="str">
        <f>HYPERLINK("https://ibp.a2mac1.com/costing(costing:projects/details/9760/component/8754448)","Screw &gt; Hexagon socket head cap screw with flange")</f>
        <v>Screw &gt; Hexagon socket head cap screw with flange</v>
      </c>
      <c r="B588">
        <v>8754448</v>
      </c>
      <c r="D588">
        <v>0</v>
      </c>
      <c r="E588">
        <v>0.05</v>
      </c>
      <c r="H588">
        <v>3</v>
      </c>
      <c r="I588">
        <v>600000</v>
      </c>
      <c r="J588" t="s">
        <v>76</v>
      </c>
      <c r="K588">
        <v>15</v>
      </c>
      <c r="L588">
        <v>5</v>
      </c>
      <c r="M588">
        <v>6</v>
      </c>
      <c r="O588">
        <v>6.0000000000000001E-3</v>
      </c>
      <c r="Q588">
        <v>0</v>
      </c>
      <c r="R588">
        <v>0</v>
      </c>
      <c r="S588">
        <v>0.15</v>
      </c>
      <c r="T588">
        <v>8415679</v>
      </c>
    </row>
    <row r="589" spans="1:20" x14ac:dyDescent="0.15">
      <c r="A589" s="4" t="str">
        <f>HYPERLINK("https://ibp.a2mac1.com/costing(costing:projects/details/9760/component/8754449)","Screw &gt; Torx socket head cap screw")</f>
        <v>Screw &gt; Torx socket head cap screw</v>
      </c>
      <c r="B589">
        <v>8754449</v>
      </c>
      <c r="D589">
        <v>0</v>
      </c>
      <c r="E589">
        <v>0.05</v>
      </c>
      <c r="H589">
        <v>2</v>
      </c>
      <c r="I589">
        <v>400000</v>
      </c>
      <c r="J589" t="s">
        <v>76</v>
      </c>
      <c r="K589">
        <v>20</v>
      </c>
      <c r="L589">
        <v>6</v>
      </c>
      <c r="M589">
        <v>8</v>
      </c>
      <c r="O589">
        <v>0.01</v>
      </c>
      <c r="Q589">
        <v>0</v>
      </c>
      <c r="R589">
        <v>0</v>
      </c>
      <c r="S589">
        <v>0.1</v>
      </c>
      <c r="T589">
        <v>8415679</v>
      </c>
    </row>
    <row r="590" spans="1:20" x14ac:dyDescent="0.15">
      <c r="A590" s="4" t="str">
        <f>HYPERLINK("https://ibp.a2mac1.com/costing(costing:projects/details/9760/component/8754450)","Other fastener &gt; Attachment")</f>
        <v>Other fastener &gt; Attachment</v>
      </c>
      <c r="B590">
        <v>8754450</v>
      </c>
      <c r="D590">
        <v>0</v>
      </c>
      <c r="E590">
        <v>0.05</v>
      </c>
      <c r="H590">
        <v>3</v>
      </c>
      <c r="I590">
        <v>600000</v>
      </c>
      <c r="J590" t="s">
        <v>76</v>
      </c>
      <c r="K590">
        <v>21</v>
      </c>
      <c r="L590">
        <v>35</v>
      </c>
      <c r="M590">
        <v>24</v>
      </c>
      <c r="O590">
        <v>7.0000000000000001E-3</v>
      </c>
      <c r="Q590">
        <v>0</v>
      </c>
      <c r="R590">
        <v>0</v>
      </c>
      <c r="S590">
        <v>0.15</v>
      </c>
      <c r="T590">
        <v>8415679</v>
      </c>
    </row>
    <row r="591" spans="1:20" x14ac:dyDescent="0.15">
      <c r="A591" s="4" t="str">
        <f>HYPERLINK("https://ibp.a2mac1.com/costing(costing:projects/details/9760/component/8754585)","Mechanics")</f>
        <v>Mechanics</v>
      </c>
      <c r="B591">
        <v>8754585</v>
      </c>
      <c r="D591">
        <v>0</v>
      </c>
      <c r="E591">
        <v>5.96</v>
      </c>
      <c r="H591">
        <v>1</v>
      </c>
      <c r="I591">
        <v>200000</v>
      </c>
      <c r="J591" t="s">
        <v>76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362</v>
      </c>
      <c r="Q591">
        <v>0</v>
      </c>
      <c r="R591">
        <v>0</v>
      </c>
      <c r="S591">
        <v>5.8525753349531247</v>
      </c>
      <c r="T591">
        <v>8416020</v>
      </c>
    </row>
    <row r="592" spans="1:20" x14ac:dyDescent="0.15">
      <c r="A592" s="4" t="str">
        <f>HYPERLINK("https://ibp.a2mac1.com/costing(costing:projects/details/9760/component/8754586)","Electronics")</f>
        <v>Electronics</v>
      </c>
      <c r="B592">
        <v>8754586</v>
      </c>
      <c r="D592">
        <v>0</v>
      </c>
      <c r="E592">
        <v>1.03</v>
      </c>
      <c r="H592">
        <v>1</v>
      </c>
      <c r="I592">
        <v>200000</v>
      </c>
      <c r="J592" t="s">
        <v>76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364</v>
      </c>
      <c r="Q592">
        <v>0</v>
      </c>
      <c r="R592">
        <v>0</v>
      </c>
      <c r="S592">
        <v>0.96657742715637562</v>
      </c>
      <c r="T592">
        <v>8416020</v>
      </c>
    </row>
    <row r="593" spans="1:21" x14ac:dyDescent="0.15">
      <c r="A593" s="4" t="str">
        <f>HYPERLINK("https://ibp.a2mac1.com/costing(costing:projects/details/9760/component/8754451)","Screw &gt; Hexagon screw with flange")</f>
        <v>Screw &gt; Hexagon screw with flange</v>
      </c>
      <c r="B593">
        <v>8754451</v>
      </c>
      <c r="D593">
        <v>0</v>
      </c>
      <c r="E593">
        <v>0.05</v>
      </c>
      <c r="H593">
        <v>1</v>
      </c>
      <c r="I593">
        <v>200000</v>
      </c>
      <c r="J593" t="s">
        <v>76</v>
      </c>
      <c r="K593">
        <v>18</v>
      </c>
      <c r="L593">
        <v>13</v>
      </c>
      <c r="M593">
        <v>8</v>
      </c>
      <c r="O593">
        <v>1.7999999999999999E-2</v>
      </c>
      <c r="Q593">
        <v>0</v>
      </c>
      <c r="R593">
        <v>0</v>
      </c>
      <c r="S593">
        <v>0.05</v>
      </c>
      <c r="T593">
        <v>8415680</v>
      </c>
    </row>
    <row r="594" spans="1:21" x14ac:dyDescent="0.15">
      <c r="A594" s="4" t="str">
        <f>HYPERLINK("https://ibp.a2mac1.com/costing(costing:projects/details/9760/component/8754452)","Nut &gt; Hexagonal nut with collar")</f>
        <v>Nut &gt; Hexagonal nut with collar</v>
      </c>
      <c r="B594">
        <v>8754452</v>
      </c>
      <c r="D594">
        <v>0</v>
      </c>
      <c r="E594">
        <v>0.05</v>
      </c>
      <c r="H594">
        <v>4</v>
      </c>
      <c r="I594">
        <v>800000</v>
      </c>
      <c r="J594" t="s">
        <v>76</v>
      </c>
      <c r="K594">
        <v>8</v>
      </c>
      <c r="L594">
        <v>13</v>
      </c>
      <c r="M594">
        <v>7</v>
      </c>
      <c r="O594">
        <v>6.4999999999999997E-3</v>
      </c>
      <c r="Q594">
        <v>0</v>
      </c>
      <c r="R594">
        <v>0</v>
      </c>
      <c r="S594">
        <v>0.2</v>
      </c>
      <c r="T594">
        <v>8415680</v>
      </c>
    </row>
    <row r="595" spans="1:21" x14ac:dyDescent="0.15">
      <c r="A595" s="4" t="str">
        <f>HYPERLINK("https://ibp.a2mac1.com/costing(costing:projects/details/9760/component/8754453)","Screw &gt; Torx socket head cap screw with flange")</f>
        <v>Screw &gt; Torx socket head cap screw with flange</v>
      </c>
      <c r="B595">
        <v>8754453</v>
      </c>
      <c r="D595">
        <v>0</v>
      </c>
      <c r="E595">
        <v>0.05</v>
      </c>
      <c r="H595">
        <v>3</v>
      </c>
      <c r="I595">
        <v>600000</v>
      </c>
      <c r="J595" t="s">
        <v>76</v>
      </c>
      <c r="K595">
        <v>22</v>
      </c>
      <c r="L595">
        <v>4</v>
      </c>
      <c r="M595">
        <v>5</v>
      </c>
      <c r="O595">
        <v>3.3E-3</v>
      </c>
      <c r="Q595">
        <v>0</v>
      </c>
      <c r="R595">
        <v>0</v>
      </c>
      <c r="S595">
        <v>0.15</v>
      </c>
      <c r="T595">
        <v>8415680</v>
      </c>
    </row>
    <row r="596" spans="1:21" x14ac:dyDescent="0.15">
      <c r="A596" s="4" t="str">
        <f>HYPERLINK("https://ibp.a2mac1.com/costing(costing:projects/details/9760/component/8754587)","Panel holder &gt; Clips in rectangular hole")</f>
        <v>Panel holder &gt; Clips in rectangular hole</v>
      </c>
      <c r="B596">
        <v>8754587</v>
      </c>
      <c r="D596">
        <v>0</v>
      </c>
      <c r="E596">
        <v>0.05</v>
      </c>
      <c r="H596">
        <v>22</v>
      </c>
      <c r="I596">
        <v>4400000</v>
      </c>
      <c r="J596" t="s">
        <v>76</v>
      </c>
      <c r="K596">
        <v>2</v>
      </c>
      <c r="L596">
        <v>5</v>
      </c>
      <c r="M596">
        <v>6</v>
      </c>
      <c r="O596">
        <v>2.0000000000000001E-4</v>
      </c>
      <c r="Q596">
        <v>0</v>
      </c>
      <c r="R596">
        <v>0</v>
      </c>
      <c r="S596">
        <v>1.1000000000000001</v>
      </c>
      <c r="T596">
        <v>8416025</v>
      </c>
    </row>
    <row r="597" spans="1:21" x14ac:dyDescent="0.15">
      <c r="A597" s="4" t="str">
        <f>HYPERLINK("https://ibp.a2mac1.com/costing(costing:projects/details/9760/component/8754588)","Screw &gt; Hexagon screw with flange")</f>
        <v>Screw &gt; Hexagon screw with flange</v>
      </c>
      <c r="B597">
        <v>8754588</v>
      </c>
      <c r="D597">
        <v>0</v>
      </c>
      <c r="E597">
        <v>0.05</v>
      </c>
      <c r="H597">
        <v>2</v>
      </c>
      <c r="I597">
        <v>400000</v>
      </c>
      <c r="J597" t="s">
        <v>76</v>
      </c>
      <c r="K597">
        <v>25</v>
      </c>
      <c r="L597">
        <v>13</v>
      </c>
      <c r="M597">
        <v>8</v>
      </c>
      <c r="O597">
        <v>0.01</v>
      </c>
      <c r="Q597">
        <v>0</v>
      </c>
      <c r="R597">
        <v>0</v>
      </c>
      <c r="S597">
        <v>0.1</v>
      </c>
      <c r="T597">
        <v>8416028</v>
      </c>
    </row>
    <row r="598" spans="1:21" x14ac:dyDescent="0.15">
      <c r="A598" s="4" t="str">
        <f>HYPERLINK("https://ibp.a2mac1.com/costing(costing:projects/details/9760/component/8754589)","Screw &gt; Hexagon screw with flange")</f>
        <v>Screw &gt; Hexagon screw with flange</v>
      </c>
      <c r="B598">
        <v>8754589</v>
      </c>
      <c r="D598">
        <v>0</v>
      </c>
      <c r="E598">
        <v>0.05</v>
      </c>
      <c r="H598">
        <v>1</v>
      </c>
      <c r="I598">
        <v>200000</v>
      </c>
      <c r="J598" t="s">
        <v>76</v>
      </c>
      <c r="K598">
        <v>40</v>
      </c>
      <c r="L598">
        <v>15</v>
      </c>
      <c r="M598">
        <v>10</v>
      </c>
      <c r="O598">
        <v>3.2000000000000001E-2</v>
      </c>
      <c r="Q598">
        <v>0</v>
      </c>
      <c r="R598">
        <v>0</v>
      </c>
      <c r="S598">
        <v>0.05</v>
      </c>
      <c r="T598">
        <v>8416028</v>
      </c>
    </row>
    <row r="599" spans="1:21" x14ac:dyDescent="0.15">
      <c r="A599" s="4" t="str">
        <f>HYPERLINK("https://ibp.a2mac1.com/costing(costing:projects/details/9760/component/8754590)","Screw &gt; Hexagon screw with flange")</f>
        <v>Screw &gt; Hexagon screw with flange</v>
      </c>
      <c r="B599">
        <v>8754590</v>
      </c>
      <c r="D599">
        <v>0</v>
      </c>
      <c r="E599">
        <v>0.05</v>
      </c>
      <c r="H599">
        <v>2</v>
      </c>
      <c r="I599">
        <v>400000</v>
      </c>
      <c r="J599" t="s">
        <v>76</v>
      </c>
      <c r="K599">
        <v>25</v>
      </c>
      <c r="L599">
        <v>13</v>
      </c>
      <c r="M599">
        <v>8</v>
      </c>
      <c r="O599">
        <v>2.0500000000000001E-2</v>
      </c>
      <c r="Q599">
        <v>0</v>
      </c>
      <c r="R599">
        <v>0</v>
      </c>
      <c r="S599">
        <v>0.1</v>
      </c>
      <c r="T599">
        <v>8416029</v>
      </c>
    </row>
    <row r="600" spans="1:21" x14ac:dyDescent="0.15">
      <c r="A600" s="4" t="str">
        <f>HYPERLINK("https://ibp.a2mac1.com/costing(costing:projects/details/9760/component/8754591)","Screw &gt; Hexagon screw with flange")</f>
        <v>Screw &gt; Hexagon screw with flange</v>
      </c>
      <c r="B600">
        <v>8754591</v>
      </c>
      <c r="D600">
        <v>0</v>
      </c>
      <c r="E600">
        <v>0.05</v>
      </c>
      <c r="H600">
        <v>1</v>
      </c>
      <c r="I600">
        <v>200000</v>
      </c>
      <c r="J600" t="s">
        <v>76</v>
      </c>
      <c r="K600">
        <v>40</v>
      </c>
      <c r="L600">
        <v>15</v>
      </c>
      <c r="M600">
        <v>10</v>
      </c>
      <c r="O600">
        <v>3.2000000000000001E-2</v>
      </c>
      <c r="Q600">
        <v>0</v>
      </c>
      <c r="R600">
        <v>0</v>
      </c>
      <c r="S600">
        <v>0.05</v>
      </c>
      <c r="T600">
        <v>8416029</v>
      </c>
    </row>
    <row r="601" spans="1:21" x14ac:dyDescent="0.15">
      <c r="A601" s="4" t="str">
        <f>HYPERLINK("https://ibp.a2mac1.com/costing(costing:projects/details/9760/component/8754454)","Screw &gt; Torx socket head cap screw")</f>
        <v>Screw &gt; Torx socket head cap screw</v>
      </c>
      <c r="B601">
        <v>8754454</v>
      </c>
      <c r="D601">
        <v>0</v>
      </c>
      <c r="E601">
        <v>0.05</v>
      </c>
      <c r="H601">
        <v>1</v>
      </c>
      <c r="I601">
        <v>200000</v>
      </c>
      <c r="J601" t="s">
        <v>76</v>
      </c>
      <c r="K601">
        <v>20</v>
      </c>
      <c r="L601">
        <v>8</v>
      </c>
      <c r="M601">
        <v>8</v>
      </c>
      <c r="O601">
        <v>1.2999999999999999E-2</v>
      </c>
      <c r="Q601">
        <v>0</v>
      </c>
      <c r="R601">
        <v>0</v>
      </c>
      <c r="S601">
        <v>0.05</v>
      </c>
      <c r="T601">
        <v>8415682</v>
      </c>
    </row>
    <row r="602" spans="1:21" x14ac:dyDescent="0.15">
      <c r="A602" s="4" t="str">
        <f>HYPERLINK("https://ibp.a2mac1.com/costing(costing:projects/details/9760/component/8754592)","Material")</f>
        <v>Material</v>
      </c>
      <c r="B602">
        <v>8754592</v>
      </c>
      <c r="D602">
        <v>0</v>
      </c>
      <c r="E602">
        <v>8.5</v>
      </c>
      <c r="H602">
        <v>1</v>
      </c>
      <c r="I602">
        <v>200000</v>
      </c>
      <c r="J602" t="s">
        <v>162</v>
      </c>
      <c r="K602">
        <v>0</v>
      </c>
      <c r="L602">
        <v>0</v>
      </c>
      <c r="M602">
        <v>0</v>
      </c>
      <c r="N602">
        <v>0</v>
      </c>
      <c r="O602">
        <v>0</v>
      </c>
      <c r="Q602">
        <v>0</v>
      </c>
      <c r="R602">
        <v>0</v>
      </c>
      <c r="S602">
        <v>8.5</v>
      </c>
      <c r="U602">
        <v>8416030</v>
      </c>
    </row>
    <row r="603" spans="1:21" x14ac:dyDescent="0.15">
      <c r="A603" s="4" t="str">
        <f>HYPERLINK("https://ibp.a2mac1.com/costing(costing:projects/details/9760/component/8754593)","Copper")</f>
        <v>Copper</v>
      </c>
      <c r="B603">
        <v>8754593</v>
      </c>
      <c r="D603">
        <v>0</v>
      </c>
      <c r="E603">
        <v>1.99</v>
      </c>
      <c r="H603">
        <v>1</v>
      </c>
      <c r="I603">
        <v>200000</v>
      </c>
      <c r="J603" t="s">
        <v>162</v>
      </c>
      <c r="K603">
        <v>0</v>
      </c>
      <c r="L603">
        <v>0</v>
      </c>
      <c r="M603">
        <v>0</v>
      </c>
      <c r="N603">
        <v>0</v>
      </c>
      <c r="O603">
        <v>0</v>
      </c>
      <c r="Q603">
        <v>0</v>
      </c>
      <c r="R603">
        <v>0</v>
      </c>
      <c r="S603">
        <v>1.99</v>
      </c>
      <c r="U603">
        <v>8416030</v>
      </c>
    </row>
    <row r="604" spans="1:21" x14ac:dyDescent="0.15">
      <c r="A604" s="4" t="str">
        <f>HYPERLINK("https://ibp.a2mac1.com/costing(costing:projects/details/9760/component/8754455)","Tube/cluster support &gt; Tube/cluster strap support in hole")</f>
        <v>Tube/cluster support &gt; Tube/cluster strap support in hole</v>
      </c>
      <c r="B604">
        <v>8754455</v>
      </c>
      <c r="D604">
        <v>0</v>
      </c>
      <c r="E604">
        <v>0.05</v>
      </c>
      <c r="H604">
        <v>3</v>
      </c>
      <c r="I604">
        <v>600000</v>
      </c>
      <c r="J604" t="s">
        <v>76</v>
      </c>
      <c r="K604">
        <v>6</v>
      </c>
      <c r="L604">
        <v>13</v>
      </c>
      <c r="M604">
        <v>6</v>
      </c>
      <c r="O604">
        <v>2.9999999999999997E-4</v>
      </c>
      <c r="Q604">
        <v>0</v>
      </c>
      <c r="R604">
        <v>0</v>
      </c>
      <c r="S604">
        <v>0.15</v>
      </c>
      <c r="T604">
        <v>8415683</v>
      </c>
    </row>
    <row r="605" spans="1:21" x14ac:dyDescent="0.15">
      <c r="A605" s="4" t="str">
        <f>HYPERLINK("https://ibp.a2mac1.com/costing(costing:projects/details/9760/component/8754456)","Screw &gt; Torx socket head cap screw with flange")</f>
        <v>Screw &gt; Torx socket head cap screw with flange</v>
      </c>
      <c r="B605">
        <v>8754456</v>
      </c>
      <c r="D605">
        <v>0</v>
      </c>
      <c r="E605">
        <v>0.05</v>
      </c>
      <c r="H605">
        <v>1</v>
      </c>
      <c r="I605">
        <v>200000</v>
      </c>
      <c r="J605" t="s">
        <v>76</v>
      </c>
      <c r="K605">
        <v>12</v>
      </c>
      <c r="L605">
        <v>4</v>
      </c>
      <c r="M605">
        <v>4</v>
      </c>
      <c r="O605">
        <v>2E-3</v>
      </c>
      <c r="Q605">
        <v>0</v>
      </c>
      <c r="R605">
        <v>0</v>
      </c>
      <c r="S605">
        <v>0.05</v>
      </c>
      <c r="T605">
        <v>8415684</v>
      </c>
    </row>
    <row r="606" spans="1:21" x14ac:dyDescent="0.15">
      <c r="A606" s="4" t="str">
        <f>HYPERLINK("https://ibp.a2mac1.com/costing(costing:projects/details/9760/component/8755027)","Electronics")</f>
        <v>Electronics</v>
      </c>
      <c r="B606">
        <v>8755027</v>
      </c>
      <c r="D606">
        <v>0</v>
      </c>
      <c r="E606">
        <v>1.41</v>
      </c>
      <c r="H606">
        <v>1</v>
      </c>
      <c r="I606">
        <v>200000</v>
      </c>
      <c r="J606" t="s">
        <v>76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364</v>
      </c>
      <c r="Q606">
        <v>0</v>
      </c>
      <c r="R606">
        <v>0</v>
      </c>
      <c r="S606">
        <v>1.3231788080490192</v>
      </c>
      <c r="T606">
        <v>8416382</v>
      </c>
    </row>
    <row r="607" spans="1:21" x14ac:dyDescent="0.15">
      <c r="A607" s="4" t="str">
        <f>HYPERLINK("https://ibp.a2mac1.com/costing(costing:projects/details/9760/component/8755028)","Mechanics")</f>
        <v>Mechanics</v>
      </c>
      <c r="B607">
        <v>8755028</v>
      </c>
      <c r="D607">
        <v>0</v>
      </c>
      <c r="E607">
        <v>5.84</v>
      </c>
      <c r="H607">
        <v>1</v>
      </c>
      <c r="I607">
        <v>200000</v>
      </c>
      <c r="J607" t="s">
        <v>76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362</v>
      </c>
      <c r="Q607">
        <v>0</v>
      </c>
      <c r="R607">
        <v>0</v>
      </c>
      <c r="S607">
        <v>5.7347382476721895</v>
      </c>
      <c r="T607">
        <v>8416382</v>
      </c>
    </row>
    <row r="608" spans="1:21" x14ac:dyDescent="0.15">
      <c r="A608" s="4" t="str">
        <f>HYPERLINK("https://ibp.a2mac1.com/costing(costing:projects/details/9760/component/8755029)","Electronics")</f>
        <v>Electronics</v>
      </c>
      <c r="B608">
        <v>8755029</v>
      </c>
      <c r="D608">
        <v>0</v>
      </c>
      <c r="E608">
        <v>16</v>
      </c>
      <c r="F608" t="s">
        <v>363</v>
      </c>
      <c r="H608">
        <v>1</v>
      </c>
      <c r="I608">
        <v>200000</v>
      </c>
      <c r="J608" t="s">
        <v>76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364</v>
      </c>
      <c r="Q608">
        <v>0</v>
      </c>
      <c r="R608">
        <v>0</v>
      </c>
      <c r="S608">
        <v>15.014794984953408</v>
      </c>
      <c r="T608">
        <v>8416384</v>
      </c>
    </row>
    <row r="609" spans="1:20" x14ac:dyDescent="0.15">
      <c r="A609" s="4" t="str">
        <f>HYPERLINK("https://ibp.a2mac1.com/costing(costing:projects/details/9760/component/8755030)","Mechanics")</f>
        <v>Mechanics</v>
      </c>
      <c r="B609">
        <v>8755030</v>
      </c>
      <c r="D609">
        <v>0</v>
      </c>
      <c r="E609">
        <v>7.3</v>
      </c>
      <c r="F609" t="s">
        <v>1493</v>
      </c>
      <c r="H609">
        <v>1</v>
      </c>
      <c r="I609">
        <v>200000</v>
      </c>
      <c r="J609" t="s">
        <v>76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362</v>
      </c>
      <c r="Q609">
        <v>0</v>
      </c>
      <c r="R609">
        <v>0</v>
      </c>
      <c r="S609">
        <v>7.1684228095902371</v>
      </c>
      <c r="T609">
        <v>8416384</v>
      </c>
    </row>
    <row r="610" spans="1:20" x14ac:dyDescent="0.15">
      <c r="A610" s="4" t="str">
        <f>HYPERLINK("https://ibp.a2mac1.com/costing(costing:projects/details/9760/component/8754594)","Screw &gt; Torx socket head cap screw")</f>
        <v>Screw &gt; Torx socket head cap screw</v>
      </c>
      <c r="B610">
        <v>8754594</v>
      </c>
      <c r="D610">
        <v>0</v>
      </c>
      <c r="E610">
        <v>0.05</v>
      </c>
      <c r="H610">
        <v>1</v>
      </c>
      <c r="I610">
        <v>200000</v>
      </c>
      <c r="J610" t="s">
        <v>76</v>
      </c>
      <c r="K610">
        <v>8</v>
      </c>
      <c r="L610">
        <v>3</v>
      </c>
      <c r="M610">
        <v>3</v>
      </c>
      <c r="O610">
        <v>1E-3</v>
      </c>
      <c r="Q610">
        <v>0</v>
      </c>
      <c r="R610">
        <v>0</v>
      </c>
      <c r="S610">
        <v>0.05</v>
      </c>
      <c r="T610">
        <v>8416039</v>
      </c>
    </row>
    <row r="611" spans="1:20" x14ac:dyDescent="0.15">
      <c r="A611" s="4" t="str">
        <f>HYPERLINK("https://ibp.a2mac1.com/costing(costing:projects/details/9760/component/8754595)","Tube/cluster support &gt; Tube/cluster beribboned support in hole")</f>
        <v>Tube/cluster support &gt; Tube/cluster beribboned support in hole</v>
      </c>
      <c r="B611">
        <v>8754595</v>
      </c>
      <c r="D611">
        <v>0</v>
      </c>
      <c r="E611">
        <v>0.05</v>
      </c>
      <c r="H611">
        <v>1</v>
      </c>
      <c r="I611">
        <v>200000</v>
      </c>
      <c r="J611" t="s">
        <v>76</v>
      </c>
      <c r="K611">
        <v>6</v>
      </c>
      <c r="L611">
        <v>10</v>
      </c>
      <c r="M611">
        <v>10</v>
      </c>
      <c r="O611">
        <v>2E-3</v>
      </c>
      <c r="Q611">
        <v>0</v>
      </c>
      <c r="R611">
        <v>0</v>
      </c>
      <c r="S611">
        <v>0.05</v>
      </c>
      <c r="T611">
        <v>8416039</v>
      </c>
    </row>
    <row r="612" spans="1:20" x14ac:dyDescent="0.15">
      <c r="A612" s="4" t="str">
        <f>HYPERLINK("https://ibp.a2mac1.com/costing(costing:projects/details/9760/component/8754596)","Screw &gt; Hexagon socket head cap screw with flange")</f>
        <v>Screw &gt; Hexagon socket head cap screw with flange</v>
      </c>
      <c r="B612">
        <v>8754596</v>
      </c>
      <c r="D612">
        <v>0</v>
      </c>
      <c r="E612">
        <v>0.05</v>
      </c>
      <c r="H612">
        <v>1</v>
      </c>
      <c r="I612">
        <v>200000</v>
      </c>
      <c r="J612" t="s">
        <v>76</v>
      </c>
      <c r="K612">
        <v>13</v>
      </c>
      <c r="L612">
        <v>3</v>
      </c>
      <c r="M612">
        <v>4</v>
      </c>
      <c r="O612">
        <v>1E-3</v>
      </c>
      <c r="Q612">
        <v>0</v>
      </c>
      <c r="R612">
        <v>0</v>
      </c>
      <c r="S612">
        <v>0.05</v>
      </c>
      <c r="T612">
        <v>8416039</v>
      </c>
    </row>
    <row r="613" spans="1:20" x14ac:dyDescent="0.15">
      <c r="A613" s="4" t="str">
        <f>HYPERLINK("https://ibp.a2mac1.com/costing(costing:projects/details/9760/component/8754597)","Screw &gt; Torx socket head cap screw")</f>
        <v>Screw &gt; Torx socket head cap screw</v>
      </c>
      <c r="B613">
        <v>8754597</v>
      </c>
      <c r="D613">
        <v>0</v>
      </c>
      <c r="E613">
        <v>0.05</v>
      </c>
      <c r="H613">
        <v>2</v>
      </c>
      <c r="I613">
        <v>400000</v>
      </c>
      <c r="J613" t="s">
        <v>76</v>
      </c>
      <c r="K613">
        <v>12</v>
      </c>
      <c r="L613">
        <v>3</v>
      </c>
      <c r="M613">
        <v>3</v>
      </c>
      <c r="O613">
        <v>5.0000000000000001E-4</v>
      </c>
      <c r="Q613">
        <v>0</v>
      </c>
      <c r="R613">
        <v>0</v>
      </c>
      <c r="S613">
        <v>0.1</v>
      </c>
      <c r="T613">
        <v>8416039</v>
      </c>
    </row>
    <row r="614" spans="1:20" x14ac:dyDescent="0.15">
      <c r="A614" s="4" t="str">
        <f>HYPERLINK("https://ibp.a2mac1.com/costing(costing:projects/details/9760/component/8754598)","Screw &gt; Torx socket head cap screw")</f>
        <v>Screw &gt; Torx socket head cap screw</v>
      </c>
      <c r="B614">
        <v>8754598</v>
      </c>
      <c r="D614">
        <v>0</v>
      </c>
      <c r="E614">
        <v>0.05</v>
      </c>
      <c r="H614">
        <v>2</v>
      </c>
      <c r="I614">
        <v>400000</v>
      </c>
      <c r="J614" t="s">
        <v>76</v>
      </c>
      <c r="K614">
        <v>12</v>
      </c>
      <c r="L614">
        <v>3</v>
      </c>
      <c r="M614">
        <v>3</v>
      </c>
      <c r="O614">
        <v>5.0000000000000001E-4</v>
      </c>
      <c r="Q614">
        <v>0</v>
      </c>
      <c r="R614">
        <v>0</v>
      </c>
      <c r="S614">
        <v>0.1</v>
      </c>
      <c r="T614">
        <v>8416039</v>
      </c>
    </row>
    <row r="615" spans="1:20" x14ac:dyDescent="0.15">
      <c r="A615" s="4" t="str">
        <f>HYPERLINK("https://ibp.a2mac1.com/costing(costing:projects/details/9760/component/8754599)","Screw &gt; Torx socket head cap screw with captive washer")</f>
        <v>Screw &gt; Torx socket head cap screw with captive washer</v>
      </c>
      <c r="B615">
        <v>8754599</v>
      </c>
      <c r="D615">
        <v>0</v>
      </c>
      <c r="E615">
        <v>0.05</v>
      </c>
      <c r="H615">
        <v>3</v>
      </c>
      <c r="I615">
        <v>600000</v>
      </c>
      <c r="J615" t="s">
        <v>76</v>
      </c>
      <c r="K615">
        <v>13</v>
      </c>
      <c r="L615">
        <v>4</v>
      </c>
      <c r="M615">
        <v>4</v>
      </c>
      <c r="O615">
        <v>2E-3</v>
      </c>
      <c r="Q615">
        <v>0</v>
      </c>
      <c r="R615">
        <v>0</v>
      </c>
      <c r="S615">
        <v>0.15</v>
      </c>
      <c r="T615">
        <v>8416039</v>
      </c>
    </row>
    <row r="616" spans="1:20" x14ac:dyDescent="0.15">
      <c r="A616" s="4" t="str">
        <f>HYPERLINK("https://ibp.a2mac1.com/costing(costing:projects/details/9760/component/8754600)","Screw &gt; Torx socket head cap screw")</f>
        <v>Screw &gt; Torx socket head cap screw</v>
      </c>
      <c r="B616">
        <v>8754600</v>
      </c>
      <c r="D616">
        <v>0</v>
      </c>
      <c r="E616">
        <v>0.05</v>
      </c>
      <c r="H616">
        <v>2</v>
      </c>
      <c r="I616">
        <v>400000</v>
      </c>
      <c r="J616" t="s">
        <v>76</v>
      </c>
      <c r="K616">
        <v>6</v>
      </c>
      <c r="L616">
        <v>2</v>
      </c>
      <c r="M616">
        <v>2</v>
      </c>
      <c r="O616">
        <v>5.0000000000000001E-4</v>
      </c>
      <c r="Q616">
        <v>0</v>
      </c>
      <c r="R616">
        <v>0</v>
      </c>
      <c r="S616">
        <v>0.1</v>
      </c>
      <c r="T616">
        <v>8416039</v>
      </c>
    </row>
    <row r="617" spans="1:20" x14ac:dyDescent="0.15">
      <c r="A617" s="4" t="str">
        <f>HYPERLINK("https://ibp.a2mac1.com/costing(costing:projects/details/9760/component/8754601)","Screw &gt; Torx socket head cap screw")</f>
        <v>Screw &gt; Torx socket head cap screw</v>
      </c>
      <c r="B617">
        <v>8754601</v>
      </c>
      <c r="D617">
        <v>0</v>
      </c>
      <c r="E617">
        <v>0.05</v>
      </c>
      <c r="H617">
        <v>2</v>
      </c>
      <c r="I617">
        <v>400000</v>
      </c>
      <c r="J617" t="s">
        <v>76</v>
      </c>
      <c r="K617">
        <v>10</v>
      </c>
      <c r="L617">
        <v>4</v>
      </c>
      <c r="M617">
        <v>4</v>
      </c>
      <c r="O617">
        <v>1.5E-3</v>
      </c>
      <c r="Q617">
        <v>0</v>
      </c>
      <c r="R617">
        <v>0</v>
      </c>
      <c r="S617">
        <v>0.1</v>
      </c>
      <c r="T617">
        <v>8416039</v>
      </c>
    </row>
    <row r="618" spans="1:20" x14ac:dyDescent="0.15">
      <c r="A618" s="4" t="str">
        <f>HYPERLINK("https://ibp.a2mac1.com/costing(costing:projects/details/9760/component/8754602)","Screw &gt; Torx socket head cap screw")</f>
        <v>Screw &gt; Torx socket head cap screw</v>
      </c>
      <c r="B618">
        <v>8754602</v>
      </c>
      <c r="D618">
        <v>0</v>
      </c>
      <c r="E618">
        <v>0.05</v>
      </c>
      <c r="H618">
        <v>2</v>
      </c>
      <c r="I618">
        <v>400000</v>
      </c>
      <c r="J618" t="s">
        <v>76</v>
      </c>
      <c r="K618">
        <v>6</v>
      </c>
      <c r="L618">
        <v>1</v>
      </c>
      <c r="M618">
        <v>2</v>
      </c>
      <c r="O618">
        <v>5.0000000000000001E-4</v>
      </c>
      <c r="Q618">
        <v>0</v>
      </c>
      <c r="R618">
        <v>0</v>
      </c>
      <c r="S618">
        <v>0.1</v>
      </c>
      <c r="T618">
        <v>8416039</v>
      </c>
    </row>
    <row r="619" spans="1:20" x14ac:dyDescent="0.15">
      <c r="A619" s="4" t="str">
        <f>HYPERLINK("https://ibp.a2mac1.com/costing(costing:projects/details/9760/component/8754457)","Round head Screw M4x18")</f>
        <v>Round head Screw M4x18</v>
      </c>
      <c r="B619">
        <v>8754457</v>
      </c>
      <c r="D619">
        <v>0</v>
      </c>
      <c r="E619">
        <v>2.5919999999999999E-2</v>
      </c>
      <c r="F619" t="s">
        <v>5189</v>
      </c>
      <c r="H619">
        <v>1</v>
      </c>
      <c r="I619">
        <v>200000</v>
      </c>
      <c r="J619" t="s">
        <v>76</v>
      </c>
      <c r="K619">
        <v>0</v>
      </c>
      <c r="L619">
        <v>0</v>
      </c>
      <c r="M619">
        <v>0</v>
      </c>
      <c r="N619">
        <v>0</v>
      </c>
      <c r="O619">
        <v>1.83E-3</v>
      </c>
      <c r="Q619">
        <v>0</v>
      </c>
      <c r="R619">
        <v>0</v>
      </c>
      <c r="S619">
        <v>2.5919999999999999E-2</v>
      </c>
      <c r="T619">
        <v>8415687</v>
      </c>
    </row>
    <row r="620" spans="1:20" x14ac:dyDescent="0.15">
      <c r="A620" s="4" t="str">
        <f>HYPERLINK("https://ibp.a2mac1.com/costing(costing:projects/details/9760/component/8754458)","Round head Screw M4x10")</f>
        <v>Round head Screw M4x10</v>
      </c>
      <c r="B620">
        <v>8754458</v>
      </c>
      <c r="D620">
        <v>0</v>
      </c>
      <c r="E620">
        <v>2.341E-2</v>
      </c>
      <c r="F620" t="s">
        <v>1447</v>
      </c>
      <c r="H620">
        <v>1</v>
      </c>
      <c r="I620">
        <v>200000</v>
      </c>
      <c r="J620" t="s">
        <v>76</v>
      </c>
      <c r="K620">
        <v>0</v>
      </c>
      <c r="L620">
        <v>0</v>
      </c>
      <c r="M620">
        <v>0</v>
      </c>
      <c r="N620">
        <v>0</v>
      </c>
      <c r="O620">
        <v>1.2199999999999999E-3</v>
      </c>
      <c r="Q620">
        <v>0</v>
      </c>
      <c r="R620">
        <v>0</v>
      </c>
      <c r="S620">
        <v>2.341E-2</v>
      </c>
      <c r="T620">
        <v>8415687</v>
      </c>
    </row>
    <row r="621" spans="1:20" x14ac:dyDescent="0.15">
      <c r="A621" s="4" t="str">
        <f>HYPERLINK("https://ibp.a2mac1.com/costing(costing:projects/details/9760/component/8754317)","Hole plug &gt; Round hole")</f>
        <v>Hole plug &gt; Round hole</v>
      </c>
      <c r="B621">
        <v>8754317</v>
      </c>
      <c r="D621">
        <v>0</v>
      </c>
      <c r="E621">
        <v>0.1</v>
      </c>
      <c r="H621">
        <v>1</v>
      </c>
      <c r="I621">
        <v>200000</v>
      </c>
      <c r="J621" t="s">
        <v>76</v>
      </c>
      <c r="K621">
        <v>8</v>
      </c>
      <c r="M621">
        <v>29</v>
      </c>
      <c r="O621">
        <v>2E-3</v>
      </c>
      <c r="Q621">
        <v>0</v>
      </c>
      <c r="R621">
        <v>0</v>
      </c>
      <c r="S621">
        <v>0.1</v>
      </c>
      <c r="T621">
        <v>8415587</v>
      </c>
    </row>
    <row r="622" spans="1:20" x14ac:dyDescent="0.15">
      <c r="A622" s="4" t="str">
        <f>HYPERLINK("https://ibp.a2mac1.com/costing(costing:projects/details/9760/component/8754318)","Screw &gt; Torx screw")</f>
        <v>Screw &gt; Torx screw</v>
      </c>
      <c r="B622">
        <v>8754318</v>
      </c>
      <c r="D622">
        <v>0</v>
      </c>
      <c r="E622">
        <v>0.05</v>
      </c>
      <c r="H622">
        <v>2</v>
      </c>
      <c r="I622">
        <v>400000</v>
      </c>
      <c r="J622" t="s">
        <v>76</v>
      </c>
      <c r="K622">
        <v>7</v>
      </c>
      <c r="L622">
        <v>5</v>
      </c>
      <c r="M622">
        <v>8</v>
      </c>
      <c r="O622">
        <v>4.0000000000000001E-3</v>
      </c>
      <c r="Q622">
        <v>0</v>
      </c>
      <c r="R622">
        <v>0</v>
      </c>
      <c r="S622">
        <v>0.1</v>
      </c>
      <c r="T622">
        <v>8415587</v>
      </c>
    </row>
    <row r="623" spans="1:20" x14ac:dyDescent="0.15">
      <c r="A623" s="4" t="str">
        <f>HYPERLINK("https://ibp.a2mac1.com/costing(costing:projects/details/9760/component/8754319)","Rivet &gt; Head rivet")</f>
        <v>Rivet &gt; Head rivet</v>
      </c>
      <c r="B623">
        <v>8754319</v>
      </c>
      <c r="D623">
        <v>0</v>
      </c>
      <c r="E623">
        <v>0.03</v>
      </c>
      <c r="H623">
        <v>6</v>
      </c>
      <c r="I623">
        <v>1200000</v>
      </c>
      <c r="J623" t="s">
        <v>76</v>
      </c>
      <c r="K623">
        <v>12</v>
      </c>
      <c r="L623">
        <v>18</v>
      </c>
      <c r="M623">
        <v>8</v>
      </c>
      <c r="O623">
        <v>1.1999999999999999E-3</v>
      </c>
      <c r="Q623">
        <v>0</v>
      </c>
      <c r="R623">
        <v>0</v>
      </c>
      <c r="S623">
        <v>0.18</v>
      </c>
      <c r="T623">
        <v>8415590</v>
      </c>
    </row>
    <row r="624" spans="1:20" x14ac:dyDescent="0.15">
      <c r="A624" s="4" t="str">
        <f>HYPERLINK("https://ibp.a2mac1.com/costing(costing:projects/details/9760/component/8754320)","Panel holder &gt; Clips in round hole")</f>
        <v>Panel holder &gt; Clips in round hole</v>
      </c>
      <c r="B624">
        <v>8754320</v>
      </c>
      <c r="D624">
        <v>0</v>
      </c>
      <c r="E624">
        <v>0.03</v>
      </c>
      <c r="H624">
        <v>2</v>
      </c>
      <c r="I624">
        <v>400000</v>
      </c>
      <c r="J624" t="s">
        <v>76</v>
      </c>
      <c r="K624">
        <v>8</v>
      </c>
      <c r="L624">
        <v>12</v>
      </c>
      <c r="M624">
        <v>6</v>
      </c>
      <c r="O624">
        <v>1E-3</v>
      </c>
      <c r="Q624">
        <v>0</v>
      </c>
      <c r="R624">
        <v>0</v>
      </c>
      <c r="S624">
        <v>0.06</v>
      </c>
      <c r="T624">
        <v>8415590</v>
      </c>
    </row>
    <row r="625" spans="1:20" x14ac:dyDescent="0.15">
      <c r="A625" s="4" t="str">
        <f>HYPERLINK("https://ibp.a2mac1.com/costing(costing:projects/details/9760/component/8754321)","Panel holder &gt; Clips in round hole")</f>
        <v>Panel holder &gt; Clips in round hole</v>
      </c>
      <c r="B625">
        <v>8754321</v>
      </c>
      <c r="D625">
        <v>0</v>
      </c>
      <c r="E625">
        <v>0.03</v>
      </c>
      <c r="H625">
        <v>2</v>
      </c>
      <c r="I625">
        <v>400000</v>
      </c>
      <c r="J625" t="s">
        <v>76</v>
      </c>
      <c r="K625">
        <v>8</v>
      </c>
      <c r="L625">
        <v>12</v>
      </c>
      <c r="M625">
        <v>6</v>
      </c>
      <c r="O625">
        <v>1E-3</v>
      </c>
      <c r="Q625">
        <v>0</v>
      </c>
      <c r="R625">
        <v>0</v>
      </c>
      <c r="S625">
        <v>0.06</v>
      </c>
      <c r="T625">
        <v>8415590</v>
      </c>
    </row>
    <row r="626" spans="1:20" x14ac:dyDescent="0.15">
      <c r="A626" s="4" t="str">
        <f>HYPERLINK("https://ibp.a2mac1.com/costing(costing:projects/details/9760/component/8754614)","Electronics")</f>
        <v>Electronics</v>
      </c>
      <c r="B626">
        <v>8754614</v>
      </c>
      <c r="D626">
        <v>0</v>
      </c>
      <c r="E626">
        <v>8.5143199999999997</v>
      </c>
      <c r="F626" t="s">
        <v>363</v>
      </c>
      <c r="H626">
        <v>1</v>
      </c>
      <c r="I626">
        <v>200000</v>
      </c>
      <c r="J626" t="s">
        <v>76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364</v>
      </c>
      <c r="Q626">
        <v>0</v>
      </c>
      <c r="R626">
        <v>0</v>
      </c>
      <c r="S626">
        <v>7.9900480772680318</v>
      </c>
      <c r="T626">
        <v>8416044</v>
      </c>
    </row>
    <row r="627" spans="1:20" x14ac:dyDescent="0.15">
      <c r="A627" s="4" t="str">
        <f>HYPERLINK("https://ibp.a2mac1.com/costing(costing:projects/details/9760/component/8754615)","Mechanics")</f>
        <v>Mechanics</v>
      </c>
      <c r="B627">
        <v>8754615</v>
      </c>
      <c r="D627">
        <v>0</v>
      </c>
      <c r="E627">
        <v>3.32681</v>
      </c>
      <c r="F627" t="s">
        <v>6930</v>
      </c>
      <c r="H627">
        <v>1</v>
      </c>
      <c r="I627">
        <v>200000</v>
      </c>
      <c r="J627" t="s">
        <v>76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362</v>
      </c>
      <c r="Q627">
        <v>0</v>
      </c>
      <c r="R627">
        <v>0</v>
      </c>
      <c r="S627">
        <v>3.2668466694757394</v>
      </c>
      <c r="T627">
        <v>8416044</v>
      </c>
    </row>
    <row r="628" spans="1:20" x14ac:dyDescent="0.15">
      <c r="A628" s="4" t="str">
        <f>HYPERLINK("https://ibp.a2mac1.com/costing(costing:projects/details/9760/component/8754461)","Electronics")</f>
        <v>Electronics</v>
      </c>
      <c r="B628">
        <v>8754461</v>
      </c>
      <c r="D628">
        <v>0</v>
      </c>
      <c r="E628">
        <v>4.8065899999999999</v>
      </c>
      <c r="F628" t="s">
        <v>363</v>
      </c>
      <c r="H628">
        <v>1</v>
      </c>
      <c r="I628">
        <v>200000</v>
      </c>
      <c r="J628" t="s">
        <v>76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364</v>
      </c>
      <c r="Q628">
        <v>0</v>
      </c>
      <c r="R628">
        <v>0</v>
      </c>
      <c r="S628">
        <v>4.5106227141704505</v>
      </c>
      <c r="T628">
        <v>8415698</v>
      </c>
    </row>
    <row r="629" spans="1:20" x14ac:dyDescent="0.15">
      <c r="A629" s="4" t="str">
        <f>HYPERLINK("https://ibp.a2mac1.com/costing(costing:projects/details/9760/component/8754462)","Mechanics")</f>
        <v>Mechanics</v>
      </c>
      <c r="B629">
        <v>8754462</v>
      </c>
      <c r="D629">
        <v>0</v>
      </c>
      <c r="E629">
        <v>3.3698299999999999</v>
      </c>
      <c r="F629" t="s">
        <v>6930</v>
      </c>
      <c r="H629">
        <v>1</v>
      </c>
      <c r="I629">
        <v>200000</v>
      </c>
      <c r="J629" t="s">
        <v>76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362</v>
      </c>
      <c r="Q629">
        <v>0</v>
      </c>
      <c r="R629">
        <v>0</v>
      </c>
      <c r="S629">
        <v>3.3090912652659545</v>
      </c>
      <c r="T629">
        <v>8415698</v>
      </c>
    </row>
    <row r="630" spans="1:20" x14ac:dyDescent="0.15">
      <c r="A630" s="4" t="str">
        <f>HYPERLINK("https://ibp.a2mac1.com/costing(costing:projects/details/9760/component/8754322)","Panel holder &gt; Clips in round hole")</f>
        <v>Panel holder &gt; Clips in round hole</v>
      </c>
      <c r="B630">
        <v>8754322</v>
      </c>
      <c r="D630">
        <v>0</v>
      </c>
      <c r="E630">
        <v>0.03</v>
      </c>
      <c r="H630">
        <v>2</v>
      </c>
      <c r="I630">
        <v>400000</v>
      </c>
      <c r="J630" t="s">
        <v>76</v>
      </c>
      <c r="K630">
        <v>9</v>
      </c>
      <c r="L630">
        <v>13</v>
      </c>
      <c r="M630">
        <v>6</v>
      </c>
      <c r="O630">
        <v>1E-3</v>
      </c>
      <c r="Q630">
        <v>0</v>
      </c>
      <c r="R630">
        <v>0</v>
      </c>
      <c r="S630">
        <v>0.06</v>
      </c>
      <c r="T630">
        <v>8415591</v>
      </c>
    </row>
    <row r="631" spans="1:20" x14ac:dyDescent="0.15">
      <c r="A631" s="4" t="str">
        <f>HYPERLINK("https://ibp.a2mac1.com/costing(costing:projects/details/9760/component/8754323)","Screw &gt; Torx socket head cap screw with flange")</f>
        <v>Screw &gt; Torx socket head cap screw with flange</v>
      </c>
      <c r="B631">
        <v>8754323</v>
      </c>
      <c r="D631">
        <v>0</v>
      </c>
      <c r="E631">
        <v>0.04</v>
      </c>
      <c r="H631">
        <v>2</v>
      </c>
      <c r="I631">
        <v>400000</v>
      </c>
      <c r="J631" t="s">
        <v>76</v>
      </c>
      <c r="K631">
        <v>16</v>
      </c>
      <c r="L631">
        <v>4</v>
      </c>
      <c r="M631">
        <v>5</v>
      </c>
      <c r="O631">
        <v>2.5000000000000001E-3</v>
      </c>
      <c r="Q631">
        <v>0</v>
      </c>
      <c r="R631">
        <v>0</v>
      </c>
      <c r="S631">
        <v>0.08</v>
      </c>
      <c r="T631">
        <v>8415591</v>
      </c>
    </row>
    <row r="632" spans="1:20" x14ac:dyDescent="0.15">
      <c r="A632" s="4" t="str">
        <f>HYPERLINK("https://ibp.a2mac1.com/costing(costing:projects/details/9760/component/8754324)","Screw &gt; Torx socket head cap screw with flange")</f>
        <v>Screw &gt; Torx socket head cap screw with flange</v>
      </c>
      <c r="B632">
        <v>8754324</v>
      </c>
      <c r="D632">
        <v>0</v>
      </c>
      <c r="E632">
        <v>2.5000000000000001E-2</v>
      </c>
      <c r="H632">
        <v>26</v>
      </c>
      <c r="I632">
        <v>5200000</v>
      </c>
      <c r="J632" t="s">
        <v>76</v>
      </c>
      <c r="K632">
        <v>12</v>
      </c>
      <c r="L632">
        <v>4</v>
      </c>
      <c r="M632">
        <v>4</v>
      </c>
      <c r="O632">
        <v>1.2999999999999999E-3</v>
      </c>
      <c r="Q632">
        <v>0</v>
      </c>
      <c r="R632">
        <v>0</v>
      </c>
      <c r="S632">
        <v>0.65</v>
      </c>
      <c r="T632">
        <v>8415592</v>
      </c>
    </row>
    <row r="633" spans="1:20" x14ac:dyDescent="0.15">
      <c r="A633" s="4" t="str">
        <f>HYPERLINK("https://ibp.a2mac1.com/costing(costing:projects/details/9760/component/8754624)","Screw &gt; Hexagon screw with flange")</f>
        <v>Screw &gt; Hexagon screw with flange</v>
      </c>
      <c r="B633">
        <v>8754624</v>
      </c>
      <c r="D633">
        <v>0</v>
      </c>
      <c r="E633">
        <v>0.05</v>
      </c>
      <c r="H633">
        <v>8</v>
      </c>
      <c r="I633">
        <v>1600000</v>
      </c>
      <c r="J633" t="s">
        <v>76</v>
      </c>
      <c r="K633">
        <v>25</v>
      </c>
      <c r="L633">
        <v>15</v>
      </c>
      <c r="M633">
        <v>10</v>
      </c>
      <c r="O633">
        <v>3.0099999999999998E-2</v>
      </c>
      <c r="Q633">
        <v>0</v>
      </c>
      <c r="R633">
        <v>0</v>
      </c>
      <c r="S633">
        <v>0.4</v>
      </c>
      <c r="T633">
        <v>8416045</v>
      </c>
    </row>
    <row r="634" spans="1:20" x14ac:dyDescent="0.15">
      <c r="A634" s="4" t="str">
        <f>HYPERLINK("https://ibp.a2mac1.com/costing(costing:projects/details/9760/component/8754625)","Screw &gt; Hexagon screw with flange and captive washer")</f>
        <v>Screw &gt; Hexagon screw with flange and captive washer</v>
      </c>
      <c r="B634">
        <v>8754625</v>
      </c>
      <c r="D634">
        <v>0</v>
      </c>
      <c r="E634">
        <v>0.05</v>
      </c>
      <c r="H634">
        <v>4</v>
      </c>
      <c r="I634">
        <v>800000</v>
      </c>
      <c r="J634" t="s">
        <v>76</v>
      </c>
      <c r="K634">
        <v>53</v>
      </c>
      <c r="L634">
        <v>15</v>
      </c>
      <c r="M634">
        <v>10</v>
      </c>
      <c r="O634">
        <v>5.1499999999999997E-2</v>
      </c>
      <c r="Q634">
        <v>0</v>
      </c>
      <c r="R634">
        <v>0</v>
      </c>
      <c r="S634">
        <v>0.2</v>
      </c>
      <c r="T634">
        <v>8416045</v>
      </c>
    </row>
    <row r="635" spans="1:20" x14ac:dyDescent="0.15">
      <c r="A635" s="4" t="str">
        <f>HYPERLINK("https://ibp.a2mac1.com/costing(costing:projects/details/9760/component/8754626)","Screw &gt; Hexagon screw with flange")</f>
        <v>Screw &gt; Hexagon screw with flange</v>
      </c>
      <c r="B635">
        <v>8754626</v>
      </c>
      <c r="D635">
        <v>0</v>
      </c>
      <c r="E635">
        <v>0.05</v>
      </c>
      <c r="H635">
        <v>2</v>
      </c>
      <c r="I635">
        <v>400000</v>
      </c>
      <c r="J635" t="s">
        <v>76</v>
      </c>
      <c r="K635">
        <v>16</v>
      </c>
      <c r="L635">
        <v>13</v>
      </c>
      <c r="M635">
        <v>8</v>
      </c>
      <c r="O635">
        <v>1.7000000000000001E-2</v>
      </c>
      <c r="Q635">
        <v>0</v>
      </c>
      <c r="R635">
        <v>0</v>
      </c>
      <c r="S635">
        <v>0.1</v>
      </c>
      <c r="T635">
        <v>8416045</v>
      </c>
    </row>
    <row r="636" spans="1:20" x14ac:dyDescent="0.15">
      <c r="A636" s="4" t="str">
        <f>HYPERLINK("https://ibp.a2mac1.com/costing(costing:projects/details/9760/component/8754325)","Hole plug &gt; Round hole")</f>
        <v>Hole plug &gt; Round hole</v>
      </c>
      <c r="B636">
        <v>8754325</v>
      </c>
      <c r="D636">
        <v>0</v>
      </c>
      <c r="E636">
        <v>0.1</v>
      </c>
      <c r="H636">
        <v>2</v>
      </c>
      <c r="I636">
        <v>400000</v>
      </c>
      <c r="J636" t="s">
        <v>76</v>
      </c>
      <c r="K636">
        <v>8</v>
      </c>
      <c r="M636">
        <v>29</v>
      </c>
      <c r="O636">
        <v>1.5E-3</v>
      </c>
      <c r="Q636">
        <v>0</v>
      </c>
      <c r="R636">
        <v>0</v>
      </c>
      <c r="S636">
        <v>0.2</v>
      </c>
      <c r="T636">
        <v>8415595</v>
      </c>
    </row>
    <row r="637" spans="1:20" x14ac:dyDescent="0.15">
      <c r="A637" s="4" t="str">
        <f>HYPERLINK("https://ibp.a2mac1.com/costing(costing:projects/details/9760/component/8754326)","Hole plug &gt; Round hole")</f>
        <v>Hole plug &gt; Round hole</v>
      </c>
      <c r="B637">
        <v>8754326</v>
      </c>
      <c r="D637">
        <v>0</v>
      </c>
      <c r="E637">
        <v>0.1</v>
      </c>
      <c r="H637">
        <v>2</v>
      </c>
      <c r="I637">
        <v>400000</v>
      </c>
      <c r="J637" t="s">
        <v>76</v>
      </c>
      <c r="K637">
        <v>7</v>
      </c>
      <c r="M637">
        <v>32</v>
      </c>
      <c r="O637">
        <v>1.5E-3</v>
      </c>
      <c r="Q637">
        <v>0</v>
      </c>
      <c r="R637">
        <v>0</v>
      </c>
      <c r="S637">
        <v>0.2</v>
      </c>
      <c r="T637">
        <v>8415595</v>
      </c>
    </row>
    <row r="638" spans="1:20" x14ac:dyDescent="0.15">
      <c r="A638" s="4" t="str">
        <f>HYPERLINK("https://ibp.a2mac1.com/costing(costing:projects/details/9760/component/8754327)","Hole plug &gt; Round hole")</f>
        <v>Hole plug &gt; Round hole</v>
      </c>
      <c r="B638">
        <v>8754327</v>
      </c>
      <c r="D638">
        <v>0</v>
      </c>
      <c r="E638">
        <v>0.1</v>
      </c>
      <c r="H638">
        <v>6</v>
      </c>
      <c r="I638">
        <v>1200000</v>
      </c>
      <c r="J638" t="s">
        <v>76</v>
      </c>
      <c r="K638">
        <v>8</v>
      </c>
      <c r="M638">
        <v>29</v>
      </c>
      <c r="O638">
        <v>1.5E-3</v>
      </c>
      <c r="Q638">
        <v>0</v>
      </c>
      <c r="R638">
        <v>0</v>
      </c>
      <c r="S638">
        <v>0.6</v>
      </c>
      <c r="T638">
        <v>8415595</v>
      </c>
    </row>
    <row r="639" spans="1:20" x14ac:dyDescent="0.15">
      <c r="A639" s="4" t="str">
        <f>HYPERLINK("https://ibp.a2mac1.com/costing(costing:projects/details/9760/component/8754328)","Hole plug &gt; Round hole")</f>
        <v>Hole plug &gt; Round hole</v>
      </c>
      <c r="B639">
        <v>8754328</v>
      </c>
      <c r="D639">
        <v>0</v>
      </c>
      <c r="E639">
        <v>0.1</v>
      </c>
      <c r="H639">
        <v>2</v>
      </c>
      <c r="I639">
        <v>400000</v>
      </c>
      <c r="J639" t="s">
        <v>76</v>
      </c>
      <c r="K639">
        <v>8</v>
      </c>
      <c r="M639">
        <v>29</v>
      </c>
      <c r="O639">
        <v>1.5E-3</v>
      </c>
      <c r="Q639">
        <v>0</v>
      </c>
      <c r="R639">
        <v>0</v>
      </c>
      <c r="S639">
        <v>0.2</v>
      </c>
      <c r="T639">
        <v>8415595</v>
      </c>
    </row>
    <row r="640" spans="1:20" x14ac:dyDescent="0.15">
      <c r="A640" s="4" t="str">
        <f>HYPERLINK("https://ibp.a2mac1.com/costing(costing:projects/details/9760/component/8754329)","Hole plug &gt; Round hole")</f>
        <v>Hole plug &gt; Round hole</v>
      </c>
      <c r="B640">
        <v>8754329</v>
      </c>
      <c r="D640">
        <v>0</v>
      </c>
      <c r="E640">
        <v>0.1</v>
      </c>
      <c r="H640">
        <v>3</v>
      </c>
      <c r="I640">
        <v>600000</v>
      </c>
      <c r="J640" t="s">
        <v>76</v>
      </c>
      <c r="K640">
        <v>8</v>
      </c>
      <c r="M640">
        <v>32</v>
      </c>
      <c r="O640">
        <v>1.2999999999999999E-3</v>
      </c>
      <c r="Q640">
        <v>0</v>
      </c>
      <c r="R640">
        <v>0</v>
      </c>
      <c r="S640">
        <v>0.3</v>
      </c>
      <c r="T640">
        <v>8415595</v>
      </c>
    </row>
    <row r="641" spans="1:20" x14ac:dyDescent="0.15">
      <c r="A641" s="4" t="str">
        <f>HYPERLINK("https://ibp.a2mac1.com/costing(costing:projects/details/9760/component/8754330)","Hole plug &gt; Round hole")</f>
        <v>Hole plug &gt; Round hole</v>
      </c>
      <c r="B641">
        <v>8754330</v>
      </c>
      <c r="D641">
        <v>0</v>
      </c>
      <c r="E641">
        <v>0.1</v>
      </c>
      <c r="H641">
        <v>7</v>
      </c>
      <c r="I641">
        <v>1400000</v>
      </c>
      <c r="J641" t="s">
        <v>76</v>
      </c>
      <c r="K641">
        <v>7</v>
      </c>
      <c r="M641">
        <v>32</v>
      </c>
      <c r="O641">
        <v>1.4E-3</v>
      </c>
      <c r="Q641">
        <v>0</v>
      </c>
      <c r="R641">
        <v>0</v>
      </c>
      <c r="S641">
        <v>0.7</v>
      </c>
      <c r="T641">
        <v>8415595</v>
      </c>
    </row>
    <row r="642" spans="1:20" x14ac:dyDescent="0.15">
      <c r="A642" s="4" t="str">
        <f>HYPERLINK("https://ibp.a2mac1.com/costing(costing:projects/details/9760/component/8754331)","Rivet &gt; Head rivet")</f>
        <v>Rivet &gt; Head rivet</v>
      </c>
      <c r="B642">
        <v>8754331</v>
      </c>
      <c r="D642">
        <v>0</v>
      </c>
      <c r="E642">
        <v>2.5000000000000001E-2</v>
      </c>
      <c r="H642">
        <v>20</v>
      </c>
      <c r="I642">
        <v>4000000</v>
      </c>
      <c r="J642" t="s">
        <v>76</v>
      </c>
      <c r="K642">
        <v>12</v>
      </c>
      <c r="L642">
        <v>21</v>
      </c>
      <c r="M642">
        <v>7</v>
      </c>
      <c r="O642">
        <v>1.1000000000000001E-3</v>
      </c>
      <c r="Q642">
        <v>0</v>
      </c>
      <c r="R642">
        <v>0</v>
      </c>
      <c r="S642">
        <v>0.5</v>
      </c>
      <c r="T642">
        <v>8415598</v>
      </c>
    </row>
    <row r="643" spans="1:20" x14ac:dyDescent="0.15">
      <c r="A643" s="4" t="str">
        <f>HYPERLINK("https://ibp.a2mac1.com/costing(costing:projects/details/9760/component/8754332)","Panel holder &gt; Clips in rectangular hole")</f>
        <v>Panel holder &gt; Clips in rectangular hole</v>
      </c>
      <c r="B643">
        <v>8754332</v>
      </c>
      <c r="D643">
        <v>0</v>
      </c>
      <c r="E643">
        <v>0.05</v>
      </c>
      <c r="H643">
        <v>4</v>
      </c>
      <c r="I643">
        <v>800000</v>
      </c>
      <c r="J643" t="s">
        <v>76</v>
      </c>
      <c r="K643">
        <v>2</v>
      </c>
      <c r="L643">
        <v>14</v>
      </c>
      <c r="M643">
        <v>5</v>
      </c>
      <c r="O643">
        <v>2.9999999999999997E-4</v>
      </c>
      <c r="Q643">
        <v>0</v>
      </c>
      <c r="R643">
        <v>0</v>
      </c>
      <c r="S643">
        <v>0.2</v>
      </c>
      <c r="T643">
        <v>8415598</v>
      </c>
    </row>
    <row r="644" spans="1:20" x14ac:dyDescent="0.15">
      <c r="A644" s="4" t="str">
        <f>HYPERLINK("https://ibp.a2mac1.com/costing(costing:projects/details/9760/component/8754333)","Screw &gt; Hexagon screw with captive washer")</f>
        <v>Screw &gt; Hexagon screw with captive washer</v>
      </c>
      <c r="B644">
        <v>8754333</v>
      </c>
      <c r="D644">
        <v>0</v>
      </c>
      <c r="E644">
        <v>0.05</v>
      </c>
      <c r="H644">
        <v>2</v>
      </c>
      <c r="I644">
        <v>400000</v>
      </c>
      <c r="J644" t="s">
        <v>76</v>
      </c>
      <c r="K644">
        <v>28</v>
      </c>
      <c r="L644">
        <v>10</v>
      </c>
      <c r="M644">
        <v>6</v>
      </c>
      <c r="O644">
        <v>0.01</v>
      </c>
      <c r="Q644">
        <v>0</v>
      </c>
      <c r="R644">
        <v>0</v>
      </c>
      <c r="S644">
        <v>0.1</v>
      </c>
      <c r="T644">
        <v>8415599</v>
      </c>
    </row>
    <row r="645" spans="1:20" x14ac:dyDescent="0.15">
      <c r="A645" s="4" t="str">
        <f>HYPERLINK("https://ibp.a2mac1.com/costing(costing:projects/details/9760/component/8754334)","Screw &gt; Hexagon screw with captive washer")</f>
        <v>Screw &gt; Hexagon screw with captive washer</v>
      </c>
      <c r="B645">
        <v>8754334</v>
      </c>
      <c r="D645">
        <v>0</v>
      </c>
      <c r="E645">
        <v>0.05</v>
      </c>
      <c r="H645">
        <v>2</v>
      </c>
      <c r="I645">
        <v>400000</v>
      </c>
      <c r="J645" t="s">
        <v>76</v>
      </c>
      <c r="K645">
        <v>28</v>
      </c>
      <c r="L645">
        <v>10</v>
      </c>
      <c r="M645">
        <v>6</v>
      </c>
      <c r="O645">
        <v>0.01</v>
      </c>
      <c r="Q645">
        <v>0</v>
      </c>
      <c r="R645">
        <v>0</v>
      </c>
      <c r="S645">
        <v>0.1</v>
      </c>
      <c r="T645">
        <v>8415599</v>
      </c>
    </row>
    <row r="646" spans="1:20" x14ac:dyDescent="0.15">
      <c r="A646" s="4" t="str">
        <f>HYPERLINK("https://ibp.a2mac1.com/costing(costing:projects/details/9760/component/8754335)","Rivet &gt; Head rivet")</f>
        <v>Rivet &gt; Head rivet</v>
      </c>
      <c r="B646">
        <v>8754335</v>
      </c>
      <c r="D646">
        <v>0</v>
      </c>
      <c r="E646">
        <v>0.03</v>
      </c>
      <c r="H646">
        <v>15</v>
      </c>
      <c r="I646">
        <v>3000000</v>
      </c>
      <c r="J646" t="s">
        <v>76</v>
      </c>
      <c r="K646">
        <v>10</v>
      </c>
      <c r="L646">
        <v>16</v>
      </c>
      <c r="M646">
        <v>11</v>
      </c>
      <c r="O646">
        <v>8.9999999999999998E-4</v>
      </c>
      <c r="Q646">
        <v>0</v>
      </c>
      <c r="R646">
        <v>0</v>
      </c>
      <c r="S646">
        <v>0.45</v>
      </c>
      <c r="T646">
        <v>8415600</v>
      </c>
    </row>
    <row r="647" spans="1:20" x14ac:dyDescent="0.15">
      <c r="A647" s="4" t="str">
        <f>HYPERLINK("https://ibp.a2mac1.com/costing(costing:projects/details/9760/component/8754336)","Screw &gt; Hexagon screw with captive washer")</f>
        <v>Screw &gt; Hexagon screw with captive washer</v>
      </c>
      <c r="B647">
        <v>8754336</v>
      </c>
      <c r="D647">
        <v>0</v>
      </c>
      <c r="E647">
        <v>7.0000000000000007E-2</v>
      </c>
      <c r="H647">
        <v>7</v>
      </c>
      <c r="I647">
        <v>1400000</v>
      </c>
      <c r="J647" t="s">
        <v>76</v>
      </c>
      <c r="K647">
        <v>18</v>
      </c>
      <c r="L647">
        <v>10</v>
      </c>
      <c r="M647">
        <v>6</v>
      </c>
      <c r="O647">
        <v>8.6E-3</v>
      </c>
      <c r="Q647">
        <v>0</v>
      </c>
      <c r="R647">
        <v>0</v>
      </c>
      <c r="S647">
        <v>0.49</v>
      </c>
      <c r="T647">
        <v>8415600</v>
      </c>
    </row>
    <row r="648" spans="1:20" x14ac:dyDescent="0.15">
      <c r="A648" s="4" t="str">
        <f>HYPERLINK("https://ibp.a2mac1.com/costing(costing:projects/details/9760/component/8754337)","Rivet &gt; Head rivet")</f>
        <v>Rivet &gt; Head rivet</v>
      </c>
      <c r="B648">
        <v>8754337</v>
      </c>
      <c r="D648">
        <v>0</v>
      </c>
      <c r="E648">
        <v>0.03</v>
      </c>
      <c r="H648">
        <v>3</v>
      </c>
      <c r="I648">
        <v>600000</v>
      </c>
      <c r="J648" t="s">
        <v>76</v>
      </c>
      <c r="K648">
        <v>11</v>
      </c>
      <c r="L648">
        <v>18</v>
      </c>
      <c r="M648">
        <v>8</v>
      </c>
      <c r="O648">
        <v>1.2999999999999999E-3</v>
      </c>
      <c r="Q648">
        <v>0</v>
      </c>
      <c r="R648">
        <v>0</v>
      </c>
      <c r="S648">
        <v>0.09</v>
      </c>
      <c r="T648">
        <v>8415601</v>
      </c>
    </row>
    <row r="649" spans="1:20" x14ac:dyDescent="0.15">
      <c r="A649" s="4" t="str">
        <f>HYPERLINK("https://ibp.a2mac1.com/costing(costing:projects/details/9760/component/8754338)","Rivet &gt; Head rivet")</f>
        <v>Rivet &gt; Head rivet</v>
      </c>
      <c r="B649">
        <v>8754338</v>
      </c>
      <c r="D649">
        <v>0</v>
      </c>
      <c r="E649">
        <v>0.03</v>
      </c>
      <c r="H649">
        <v>3</v>
      </c>
      <c r="I649">
        <v>600000</v>
      </c>
      <c r="J649" t="s">
        <v>76</v>
      </c>
      <c r="K649">
        <v>11</v>
      </c>
      <c r="L649">
        <v>18</v>
      </c>
      <c r="M649">
        <v>8</v>
      </c>
      <c r="O649">
        <v>1.2999999999999999E-3</v>
      </c>
      <c r="Q649">
        <v>0</v>
      </c>
      <c r="R649">
        <v>0</v>
      </c>
      <c r="S649">
        <v>0.09</v>
      </c>
      <c r="T649">
        <v>8415601</v>
      </c>
    </row>
    <row r="650" spans="1:20" x14ac:dyDescent="0.15">
      <c r="A650" s="4" t="str">
        <f>HYPERLINK("https://ibp.a2mac1.com/costing(costing:projects/details/9760/component/8754640)","Nut &gt; Hexagonal nut with collar")</f>
        <v>Nut &gt; Hexagonal nut with collar</v>
      </c>
      <c r="B650">
        <v>8754640</v>
      </c>
      <c r="D650">
        <v>0</v>
      </c>
      <c r="E650">
        <v>0.05</v>
      </c>
      <c r="H650">
        <v>6</v>
      </c>
      <c r="I650">
        <v>1200000</v>
      </c>
      <c r="J650" t="s">
        <v>76</v>
      </c>
      <c r="K650">
        <v>9</v>
      </c>
      <c r="L650">
        <v>10</v>
      </c>
      <c r="M650">
        <v>5</v>
      </c>
      <c r="O650">
        <v>5.7000000000000002E-3</v>
      </c>
      <c r="Q650">
        <v>0</v>
      </c>
      <c r="R650">
        <v>0</v>
      </c>
      <c r="S650">
        <v>0.3</v>
      </c>
      <c r="T650">
        <v>8416058</v>
      </c>
    </row>
    <row r="651" spans="1:20" x14ac:dyDescent="0.15">
      <c r="A651" s="4" t="str">
        <f>HYPERLINK("https://ibp.a2mac1.com/costing(costing:projects/details/9760/component/8754463)","Other fastener &gt; Attachment")</f>
        <v>Other fastener &gt; Attachment</v>
      </c>
      <c r="B651">
        <v>8754463</v>
      </c>
      <c r="D651">
        <v>0</v>
      </c>
      <c r="E651">
        <v>0.03</v>
      </c>
      <c r="H651">
        <v>2</v>
      </c>
      <c r="I651">
        <v>400000</v>
      </c>
      <c r="J651" t="s">
        <v>76</v>
      </c>
      <c r="K651">
        <v>16</v>
      </c>
      <c r="L651">
        <v>18</v>
      </c>
      <c r="M651">
        <v>36</v>
      </c>
      <c r="O651">
        <v>1E-3</v>
      </c>
      <c r="Q651">
        <v>0</v>
      </c>
      <c r="R651">
        <v>0</v>
      </c>
      <c r="S651">
        <v>0.06</v>
      </c>
      <c r="T651">
        <v>8415734</v>
      </c>
    </row>
    <row r="652" spans="1:20" x14ac:dyDescent="0.15">
      <c r="A652" s="4" t="str">
        <f>HYPERLINK("https://ibp.a2mac1.com/costing(costing:projects/details/9760/component/8754464)","Other fastener &gt; Glue")</f>
        <v>Other fastener &gt; Glue</v>
      </c>
      <c r="B652">
        <v>8754464</v>
      </c>
      <c r="D652">
        <v>0</v>
      </c>
      <c r="E652">
        <v>2.08</v>
      </c>
      <c r="H652">
        <v>1</v>
      </c>
      <c r="I652">
        <v>200000</v>
      </c>
      <c r="J652" t="s">
        <v>76</v>
      </c>
      <c r="O652">
        <v>0.376</v>
      </c>
      <c r="Q652">
        <v>0</v>
      </c>
      <c r="R652">
        <v>0</v>
      </c>
      <c r="S652">
        <v>2.08</v>
      </c>
      <c r="T652">
        <v>8415735</v>
      </c>
    </row>
    <row r="653" spans="1:20" x14ac:dyDescent="0.15">
      <c r="A653" s="4" t="str">
        <f>HYPERLINK("https://ibp.a2mac1.com/costing(costing:projects/details/9760/component/8754339)","Other fastener &gt; Attachment")</f>
        <v>Other fastener &gt; Attachment</v>
      </c>
      <c r="B653">
        <v>8754339</v>
      </c>
      <c r="D653">
        <v>0</v>
      </c>
      <c r="E653">
        <v>0.03</v>
      </c>
      <c r="H653">
        <v>2</v>
      </c>
      <c r="I653">
        <v>400000</v>
      </c>
      <c r="J653" t="s">
        <v>76</v>
      </c>
      <c r="K653">
        <v>20</v>
      </c>
      <c r="L653">
        <v>21</v>
      </c>
      <c r="M653">
        <v>23</v>
      </c>
      <c r="O653">
        <v>2E-3</v>
      </c>
      <c r="Q653">
        <v>0</v>
      </c>
      <c r="R653">
        <v>0</v>
      </c>
      <c r="S653">
        <v>0.06</v>
      </c>
      <c r="T653">
        <v>8415602</v>
      </c>
    </row>
    <row r="654" spans="1:20" x14ac:dyDescent="0.15">
      <c r="A654" s="4" t="str">
        <f>HYPERLINK("https://ibp.a2mac1.com/costing(costing:projects/details/9760/component/8754465)","Screw &gt; Various shape screw with captive washer")</f>
        <v>Screw &gt; Various shape screw with captive washer</v>
      </c>
      <c r="B654">
        <v>8754465</v>
      </c>
      <c r="D654">
        <v>0</v>
      </c>
      <c r="E654">
        <v>0.05</v>
      </c>
      <c r="H654">
        <v>8</v>
      </c>
      <c r="I654">
        <v>1600000</v>
      </c>
      <c r="J654" t="s">
        <v>76</v>
      </c>
      <c r="K654">
        <v>16</v>
      </c>
      <c r="L654">
        <v>5</v>
      </c>
      <c r="M654">
        <v>4</v>
      </c>
      <c r="O654">
        <v>4.0000000000000001E-3</v>
      </c>
      <c r="Q654">
        <v>0</v>
      </c>
      <c r="R654">
        <v>0</v>
      </c>
      <c r="S654">
        <v>0.4</v>
      </c>
      <c r="T654">
        <v>8415749</v>
      </c>
    </row>
    <row r="655" spans="1:20" x14ac:dyDescent="0.15">
      <c r="A655" s="4" t="str">
        <f>HYPERLINK("https://ibp.a2mac1.com/costing(costing:projects/details/9760/component/8754340)","Screw &gt; Torx screw with captive washer")</f>
        <v>Screw &gt; Torx screw with captive washer</v>
      </c>
      <c r="B655">
        <v>8754340</v>
      </c>
      <c r="D655">
        <v>0</v>
      </c>
      <c r="E655">
        <v>0.09</v>
      </c>
      <c r="H655">
        <v>10</v>
      </c>
      <c r="I655">
        <v>2000000</v>
      </c>
      <c r="J655" t="s">
        <v>76</v>
      </c>
      <c r="K655">
        <v>17</v>
      </c>
      <c r="L655">
        <v>3</v>
      </c>
      <c r="M655">
        <v>6</v>
      </c>
      <c r="O655">
        <v>1.2699999999999999E-2</v>
      </c>
      <c r="Q655">
        <v>0</v>
      </c>
      <c r="R655">
        <v>0</v>
      </c>
      <c r="S655">
        <v>0.9</v>
      </c>
      <c r="T655">
        <v>8415603</v>
      </c>
    </row>
    <row r="656" spans="1:20" x14ac:dyDescent="0.15">
      <c r="A656" s="4" t="str">
        <f>HYPERLINK("https://ibp.a2mac1.com/costing(costing:projects/details/9760/component/8754341)","Rivet &gt; Head rivet")</f>
        <v>Rivet &gt; Head rivet</v>
      </c>
      <c r="B656">
        <v>8754341</v>
      </c>
      <c r="D656">
        <v>0</v>
      </c>
      <c r="E656">
        <v>0.03</v>
      </c>
      <c r="H656">
        <v>13</v>
      </c>
      <c r="I656">
        <v>2600000</v>
      </c>
      <c r="J656" t="s">
        <v>76</v>
      </c>
      <c r="K656">
        <v>13</v>
      </c>
      <c r="L656">
        <v>20</v>
      </c>
      <c r="M656">
        <v>8</v>
      </c>
      <c r="O656">
        <v>1.2999999999999999E-3</v>
      </c>
      <c r="Q656">
        <v>0</v>
      </c>
      <c r="R656">
        <v>0</v>
      </c>
      <c r="S656">
        <v>0.39</v>
      </c>
      <c r="T656">
        <v>8415603</v>
      </c>
    </row>
    <row r="657" spans="1:20" x14ac:dyDescent="0.15">
      <c r="A657" s="4" t="str">
        <f>HYPERLINK("https://ibp.a2mac1.com/costing(costing:projects/details/9760/component/8754342)","Screw &gt; Hexagon socket head cap screw with captive washer")</f>
        <v>Screw &gt; Hexagon socket head cap screw with captive washer</v>
      </c>
      <c r="B657">
        <v>8754342</v>
      </c>
      <c r="D657">
        <v>0</v>
      </c>
      <c r="E657">
        <v>0.04</v>
      </c>
      <c r="H657">
        <v>3</v>
      </c>
      <c r="I657">
        <v>600000</v>
      </c>
      <c r="J657" t="s">
        <v>76</v>
      </c>
      <c r="K657">
        <v>17</v>
      </c>
      <c r="L657">
        <v>4</v>
      </c>
      <c r="M657">
        <v>4</v>
      </c>
      <c r="O657">
        <v>3.7000000000000002E-3</v>
      </c>
      <c r="Q657">
        <v>0</v>
      </c>
      <c r="R657">
        <v>0</v>
      </c>
      <c r="S657">
        <v>0.12</v>
      </c>
      <c r="T657">
        <v>8415603</v>
      </c>
    </row>
    <row r="658" spans="1:20" x14ac:dyDescent="0.15">
      <c r="A658" s="4" t="str">
        <f>HYPERLINK("https://ibp.a2mac1.com/costing(costing:projects/details/9760/component/8754343)","Panel holder &gt; Clips in rectangular hole")</f>
        <v>Panel holder &gt; Clips in rectangular hole</v>
      </c>
      <c r="B658">
        <v>8754343</v>
      </c>
      <c r="D658">
        <v>0</v>
      </c>
      <c r="E658">
        <v>0.05</v>
      </c>
      <c r="H658">
        <v>2</v>
      </c>
      <c r="I658">
        <v>400000</v>
      </c>
      <c r="J658" t="s">
        <v>76</v>
      </c>
      <c r="K658">
        <v>2</v>
      </c>
      <c r="L658">
        <v>17</v>
      </c>
      <c r="M658">
        <v>6</v>
      </c>
      <c r="O658">
        <v>4.4999999999999997E-3</v>
      </c>
      <c r="Q658">
        <v>0</v>
      </c>
      <c r="R658">
        <v>0</v>
      </c>
      <c r="S658">
        <v>0.1</v>
      </c>
      <c r="T658">
        <v>8415603</v>
      </c>
    </row>
    <row r="659" spans="1:20" x14ac:dyDescent="0.15">
      <c r="A659" s="4" t="str">
        <f>HYPERLINK("https://ibp.a2mac1.com/costing(costing:projects/details/9760/component/8754344)","Screw &gt; Various shape screw with captive washer")</f>
        <v>Screw &gt; Various shape screw with captive washer</v>
      </c>
      <c r="B659">
        <v>8754344</v>
      </c>
      <c r="D659">
        <v>0</v>
      </c>
      <c r="E659">
        <v>0.09</v>
      </c>
      <c r="H659">
        <v>4</v>
      </c>
      <c r="I659">
        <v>800000</v>
      </c>
      <c r="J659" t="s">
        <v>76</v>
      </c>
      <c r="K659">
        <v>17</v>
      </c>
      <c r="L659">
        <v>8</v>
      </c>
      <c r="M659">
        <v>11</v>
      </c>
      <c r="O659">
        <v>1.2699999999999999E-2</v>
      </c>
      <c r="Q659">
        <v>0</v>
      </c>
      <c r="R659">
        <v>0</v>
      </c>
      <c r="S659">
        <v>0.36</v>
      </c>
      <c r="T659">
        <v>8415603</v>
      </c>
    </row>
    <row r="660" spans="1:20" x14ac:dyDescent="0.15">
      <c r="A660" s="4" t="str">
        <f>HYPERLINK("https://ibp.a2mac1.com/costing(costing:projects/details/9760/component/8754345)","Screw &gt; Hexagon screw with flange")</f>
        <v>Screw &gt; Hexagon screw with flange</v>
      </c>
      <c r="B660">
        <v>8754345</v>
      </c>
      <c r="D660">
        <v>0</v>
      </c>
      <c r="E660">
        <v>7.0000000000000007E-2</v>
      </c>
      <c r="H660">
        <v>1</v>
      </c>
      <c r="I660">
        <v>200000</v>
      </c>
      <c r="J660" t="s">
        <v>76</v>
      </c>
      <c r="K660">
        <v>16</v>
      </c>
      <c r="L660">
        <v>10</v>
      </c>
      <c r="M660">
        <v>6</v>
      </c>
      <c r="O660">
        <v>8.0000000000000002E-3</v>
      </c>
      <c r="Q660">
        <v>0</v>
      </c>
      <c r="R660">
        <v>0</v>
      </c>
      <c r="S660">
        <v>7.0000000000000007E-2</v>
      </c>
      <c r="T660">
        <v>8415603</v>
      </c>
    </row>
    <row r="661" spans="1:20" x14ac:dyDescent="0.15">
      <c r="A661" s="4" t="str">
        <f>HYPERLINK("https://ibp.a2mac1.com/costing(costing:projects/details/9760/component/8754346)","Screw &gt; Hexagon screw with flange")</f>
        <v>Screw &gt; Hexagon screw with flange</v>
      </c>
      <c r="B661">
        <v>8754346</v>
      </c>
      <c r="D661">
        <v>0</v>
      </c>
      <c r="E661">
        <v>0.06</v>
      </c>
      <c r="H661">
        <v>2</v>
      </c>
      <c r="I661">
        <v>400000</v>
      </c>
      <c r="J661" t="s">
        <v>76</v>
      </c>
      <c r="K661">
        <v>16</v>
      </c>
      <c r="L661">
        <v>10</v>
      </c>
      <c r="M661">
        <v>6</v>
      </c>
      <c r="O661">
        <v>7.4999999999999997E-3</v>
      </c>
      <c r="Q661">
        <v>0</v>
      </c>
      <c r="R661">
        <v>0</v>
      </c>
      <c r="S661">
        <v>0.12</v>
      </c>
      <c r="T661">
        <v>8415603</v>
      </c>
    </row>
    <row r="662" spans="1:20" x14ac:dyDescent="0.15">
      <c r="A662" s="4" t="str">
        <f>HYPERLINK("https://ibp.a2mac1.com/costing(costing:projects/details/9760/component/8754347)","Screw &gt; Hexagon screw with flange")</f>
        <v>Screw &gt; Hexagon screw with flange</v>
      </c>
      <c r="B662">
        <v>8754347</v>
      </c>
      <c r="D662">
        <v>0</v>
      </c>
      <c r="E662">
        <v>7.0000000000000007E-2</v>
      </c>
      <c r="H662">
        <v>1</v>
      </c>
      <c r="I662">
        <v>200000</v>
      </c>
      <c r="J662" t="s">
        <v>76</v>
      </c>
      <c r="K662">
        <v>16</v>
      </c>
      <c r="L662">
        <v>10</v>
      </c>
      <c r="M662">
        <v>6</v>
      </c>
      <c r="O662">
        <v>8.0000000000000002E-3</v>
      </c>
      <c r="Q662">
        <v>0</v>
      </c>
      <c r="R662">
        <v>0</v>
      </c>
      <c r="S662">
        <v>7.0000000000000007E-2</v>
      </c>
      <c r="T662">
        <v>8415603</v>
      </c>
    </row>
    <row r="663" spans="1:20" x14ac:dyDescent="0.15">
      <c r="A663" s="4" t="str">
        <f>HYPERLINK("https://ibp.a2mac1.com/costing(costing:projects/details/9760/component/8754348)","Screw &gt; Hexagon screw with flange")</f>
        <v>Screw &gt; Hexagon screw with flange</v>
      </c>
      <c r="B663">
        <v>8754348</v>
      </c>
      <c r="D663">
        <v>0</v>
      </c>
      <c r="E663">
        <v>7.0000000000000007E-2</v>
      </c>
      <c r="H663">
        <v>1</v>
      </c>
      <c r="I663">
        <v>200000</v>
      </c>
      <c r="J663" t="s">
        <v>76</v>
      </c>
      <c r="K663">
        <v>16</v>
      </c>
      <c r="L663">
        <v>10</v>
      </c>
      <c r="M663">
        <v>6</v>
      </c>
      <c r="O663">
        <v>8.0000000000000002E-3</v>
      </c>
      <c r="Q663">
        <v>0</v>
      </c>
      <c r="R663">
        <v>0</v>
      </c>
      <c r="S663">
        <v>7.0000000000000007E-2</v>
      </c>
      <c r="T663">
        <v>8415603</v>
      </c>
    </row>
    <row r="664" spans="1:20" x14ac:dyDescent="0.15">
      <c r="A664" s="4" t="str">
        <f>HYPERLINK("https://ibp.a2mac1.com/costing(costing:projects/details/9760/component/8754349)","Screw &gt; Hexagon screw with flange")</f>
        <v>Screw &gt; Hexagon screw with flange</v>
      </c>
      <c r="B664">
        <v>8754349</v>
      </c>
      <c r="D664">
        <v>0</v>
      </c>
      <c r="E664">
        <v>0.06</v>
      </c>
      <c r="H664">
        <v>1</v>
      </c>
      <c r="I664">
        <v>200000</v>
      </c>
      <c r="J664" t="s">
        <v>76</v>
      </c>
      <c r="K664">
        <v>16</v>
      </c>
      <c r="L664">
        <v>10</v>
      </c>
      <c r="M664">
        <v>6</v>
      </c>
      <c r="O664">
        <v>7.0000000000000001E-3</v>
      </c>
      <c r="Q664">
        <v>0</v>
      </c>
      <c r="R664">
        <v>0</v>
      </c>
      <c r="S664">
        <v>0.06</v>
      </c>
      <c r="T664">
        <v>8415603</v>
      </c>
    </row>
    <row r="665" spans="1:20" x14ac:dyDescent="0.15">
      <c r="A665" s="4" t="str">
        <f>HYPERLINK("https://ibp.a2mac1.com/costing(costing:projects/details/9760/component/8754350)","Screw &gt; Hexagon screw with flange")</f>
        <v>Screw &gt; Hexagon screw with flange</v>
      </c>
      <c r="B665">
        <v>8754350</v>
      </c>
      <c r="D665">
        <v>0</v>
      </c>
      <c r="E665">
        <v>0.06</v>
      </c>
      <c r="H665">
        <v>1</v>
      </c>
      <c r="I665">
        <v>200000</v>
      </c>
      <c r="J665" t="s">
        <v>76</v>
      </c>
      <c r="K665">
        <v>16</v>
      </c>
      <c r="L665">
        <v>10</v>
      </c>
      <c r="M665">
        <v>6</v>
      </c>
      <c r="O665">
        <v>7.0000000000000001E-3</v>
      </c>
      <c r="Q665">
        <v>0</v>
      </c>
      <c r="R665">
        <v>0</v>
      </c>
      <c r="S665">
        <v>0.06</v>
      </c>
      <c r="T665">
        <v>8415603</v>
      </c>
    </row>
    <row r="666" spans="1:20" x14ac:dyDescent="0.15">
      <c r="A666" s="4" t="str">
        <f>HYPERLINK("https://ibp.a2mac1.com/costing(costing:projects/details/9760/component/8754351)","Screw &gt; Hexagon screw with flange")</f>
        <v>Screw &gt; Hexagon screw with flange</v>
      </c>
      <c r="B666">
        <v>8754351</v>
      </c>
      <c r="D666">
        <v>0</v>
      </c>
      <c r="E666">
        <v>0.06</v>
      </c>
      <c r="H666">
        <v>2</v>
      </c>
      <c r="I666">
        <v>400000</v>
      </c>
      <c r="J666" t="s">
        <v>76</v>
      </c>
      <c r="K666">
        <v>16</v>
      </c>
      <c r="L666">
        <v>10</v>
      </c>
      <c r="M666">
        <v>6</v>
      </c>
      <c r="O666">
        <v>7.4999999999999997E-3</v>
      </c>
      <c r="Q666">
        <v>0</v>
      </c>
      <c r="R666">
        <v>0</v>
      </c>
      <c r="S666">
        <v>0.12</v>
      </c>
      <c r="T666">
        <v>8415603</v>
      </c>
    </row>
    <row r="667" spans="1:20" x14ac:dyDescent="0.15">
      <c r="A667" s="4" t="str">
        <f>HYPERLINK("https://ibp.a2mac1.com/costing(costing:projects/details/9760/component/8754352)","Screw &gt; Hexagon screw with flange")</f>
        <v>Screw &gt; Hexagon screw with flange</v>
      </c>
      <c r="B667">
        <v>8754352</v>
      </c>
      <c r="D667">
        <v>0</v>
      </c>
      <c r="E667">
        <v>0.06</v>
      </c>
      <c r="H667">
        <v>1</v>
      </c>
      <c r="I667">
        <v>200000</v>
      </c>
      <c r="J667" t="s">
        <v>76</v>
      </c>
      <c r="K667">
        <v>16</v>
      </c>
      <c r="L667">
        <v>10</v>
      </c>
      <c r="M667">
        <v>6</v>
      </c>
      <c r="O667">
        <v>7.0000000000000001E-3</v>
      </c>
      <c r="Q667">
        <v>0</v>
      </c>
      <c r="R667">
        <v>0</v>
      </c>
      <c r="S667">
        <v>0.06</v>
      </c>
      <c r="T667">
        <v>8415603</v>
      </c>
    </row>
    <row r="668" spans="1:20" x14ac:dyDescent="0.15">
      <c r="A668" s="4" t="str">
        <f>HYPERLINK("https://ibp.a2mac1.com/costing(costing:projects/details/9760/component/8754353)","Screw &gt; Hexagon screw with captive washer")</f>
        <v>Screw &gt; Hexagon screw with captive washer</v>
      </c>
      <c r="B668">
        <v>8754353</v>
      </c>
      <c r="D668">
        <v>0</v>
      </c>
      <c r="E668">
        <v>0.05</v>
      </c>
      <c r="H668">
        <v>3</v>
      </c>
      <c r="I668">
        <v>600000</v>
      </c>
      <c r="J668" t="s">
        <v>76</v>
      </c>
      <c r="K668">
        <v>18</v>
      </c>
      <c r="L668">
        <v>10</v>
      </c>
      <c r="M668">
        <v>6</v>
      </c>
      <c r="O668">
        <v>8.6999999999999994E-3</v>
      </c>
      <c r="Q668">
        <v>0</v>
      </c>
      <c r="R668">
        <v>0</v>
      </c>
      <c r="S668">
        <v>0.15</v>
      </c>
      <c r="T668">
        <v>8415604</v>
      </c>
    </row>
    <row r="669" spans="1:20" x14ac:dyDescent="0.15">
      <c r="A669" s="4" t="str">
        <f>HYPERLINK("https://ibp.a2mac1.com/costing(costing:projects/details/9760/component/8754354)","Screw &gt; Hexagon screw with captive washer")</f>
        <v>Screw &gt; Hexagon screw with captive washer</v>
      </c>
      <c r="B669">
        <v>8754354</v>
      </c>
      <c r="D669">
        <v>0</v>
      </c>
      <c r="E669">
        <v>0.05</v>
      </c>
      <c r="H669">
        <v>3</v>
      </c>
      <c r="I669">
        <v>600000</v>
      </c>
      <c r="J669" t="s">
        <v>76</v>
      </c>
      <c r="K669">
        <v>18</v>
      </c>
      <c r="L669">
        <v>10</v>
      </c>
      <c r="M669">
        <v>6</v>
      </c>
      <c r="O669">
        <v>8.6999999999999994E-3</v>
      </c>
      <c r="Q669">
        <v>0</v>
      </c>
      <c r="R669">
        <v>0</v>
      </c>
      <c r="S669">
        <v>0.15</v>
      </c>
      <c r="T669">
        <v>8415604</v>
      </c>
    </row>
    <row r="670" spans="1:20" x14ac:dyDescent="0.15">
      <c r="A670" s="4" t="str">
        <f>HYPERLINK("https://ibp.a2mac1.com/costing(costing:projects/details/9760/component/8754355)","Screw &gt; Hexagon screw with captive washer")</f>
        <v>Screw &gt; Hexagon screw with captive washer</v>
      </c>
      <c r="B670">
        <v>8754355</v>
      </c>
      <c r="D670">
        <v>0</v>
      </c>
      <c r="E670">
        <v>0.05</v>
      </c>
      <c r="H670">
        <v>4</v>
      </c>
      <c r="I670">
        <v>800000</v>
      </c>
      <c r="J670" t="s">
        <v>76</v>
      </c>
      <c r="K670">
        <v>18</v>
      </c>
      <c r="L670">
        <v>10</v>
      </c>
      <c r="M670">
        <v>6</v>
      </c>
      <c r="O670">
        <v>8.8000000000000005E-3</v>
      </c>
      <c r="Q670">
        <v>0</v>
      </c>
      <c r="R670">
        <v>0</v>
      </c>
      <c r="S670">
        <v>0.2</v>
      </c>
      <c r="T670">
        <v>8415604</v>
      </c>
    </row>
    <row r="671" spans="1:20" x14ac:dyDescent="0.15">
      <c r="A671" s="4" t="str">
        <f>HYPERLINK("https://ibp.a2mac1.com/costing(costing:projects/details/9760/component/8754356)","Screw &gt; Hexagon screw with captive washer")</f>
        <v>Screw &gt; Hexagon screw with captive washer</v>
      </c>
      <c r="B671">
        <v>8754356</v>
      </c>
      <c r="D671">
        <v>0</v>
      </c>
      <c r="E671">
        <v>0.05</v>
      </c>
      <c r="H671">
        <v>4</v>
      </c>
      <c r="I671">
        <v>800000</v>
      </c>
      <c r="J671" t="s">
        <v>76</v>
      </c>
      <c r="K671">
        <v>18</v>
      </c>
      <c r="L671">
        <v>10</v>
      </c>
      <c r="M671">
        <v>6</v>
      </c>
      <c r="O671">
        <v>8.8000000000000005E-3</v>
      </c>
      <c r="Q671">
        <v>0</v>
      </c>
      <c r="R671">
        <v>0</v>
      </c>
      <c r="S671">
        <v>0.2</v>
      </c>
      <c r="T671">
        <v>8415604</v>
      </c>
    </row>
    <row r="672" spans="1:20" x14ac:dyDescent="0.15">
      <c r="A672" s="4" t="str">
        <f>HYPERLINK("https://ibp.a2mac1.com/costing(costing:projects/details/9760/component/8754357)","Screw &gt; Hexagon screw with captive washer")</f>
        <v>Screw &gt; Hexagon screw with captive washer</v>
      </c>
      <c r="B672">
        <v>8754357</v>
      </c>
      <c r="D672">
        <v>0</v>
      </c>
      <c r="E672">
        <v>0.05</v>
      </c>
      <c r="H672">
        <v>4</v>
      </c>
      <c r="I672">
        <v>800000</v>
      </c>
      <c r="J672" t="s">
        <v>76</v>
      </c>
      <c r="K672">
        <v>18</v>
      </c>
      <c r="L672">
        <v>10</v>
      </c>
      <c r="M672">
        <v>6</v>
      </c>
      <c r="O672">
        <v>8.8000000000000005E-3</v>
      </c>
      <c r="Q672">
        <v>0</v>
      </c>
      <c r="R672">
        <v>0</v>
      </c>
      <c r="S672">
        <v>0.2</v>
      </c>
      <c r="T672">
        <v>8415604</v>
      </c>
    </row>
    <row r="673" spans="1:20" x14ac:dyDescent="0.15">
      <c r="A673" s="4" t="str">
        <f>HYPERLINK("https://ibp.a2mac1.com/costing(costing:projects/details/9760/component/8754358)","Screw &gt; Hexagon screw with captive washer")</f>
        <v>Screw &gt; Hexagon screw with captive washer</v>
      </c>
      <c r="B673">
        <v>8754358</v>
      </c>
      <c r="D673">
        <v>0</v>
      </c>
      <c r="E673">
        <v>0.05</v>
      </c>
      <c r="H673">
        <v>4</v>
      </c>
      <c r="I673">
        <v>800000</v>
      </c>
      <c r="J673" t="s">
        <v>76</v>
      </c>
      <c r="K673">
        <v>34</v>
      </c>
      <c r="L673">
        <v>10</v>
      </c>
      <c r="M673">
        <v>6</v>
      </c>
      <c r="O673">
        <v>1.12E-2</v>
      </c>
      <c r="Q673">
        <v>0</v>
      </c>
      <c r="R673">
        <v>0</v>
      </c>
      <c r="S673">
        <v>0.2</v>
      </c>
      <c r="T673">
        <v>8415604</v>
      </c>
    </row>
    <row r="674" spans="1:20" x14ac:dyDescent="0.15">
      <c r="A674" s="4" t="str">
        <f>HYPERLINK("https://ibp.a2mac1.com/costing(costing:projects/details/9760/component/8754301)","Screw &gt; Torx socket head cap screw")</f>
        <v>Screw &gt; Torx socket head cap screw</v>
      </c>
      <c r="B674">
        <v>8754301</v>
      </c>
      <c r="D674">
        <v>0</v>
      </c>
      <c r="E674">
        <v>0.05</v>
      </c>
      <c r="H674">
        <v>2</v>
      </c>
      <c r="I674">
        <v>400000</v>
      </c>
      <c r="J674" t="s">
        <v>76</v>
      </c>
      <c r="K674">
        <v>20</v>
      </c>
      <c r="L674">
        <v>6</v>
      </c>
      <c r="M674">
        <v>6</v>
      </c>
      <c r="O674">
        <v>6.4999999999999997E-3</v>
      </c>
      <c r="Q674">
        <v>0</v>
      </c>
      <c r="R674">
        <v>0</v>
      </c>
      <c r="S674">
        <v>0.1</v>
      </c>
      <c r="T674">
        <v>8415577</v>
      </c>
    </row>
    <row r="675" spans="1:20" x14ac:dyDescent="0.15">
      <c r="A675" s="4" t="str">
        <f>HYPERLINK("https://ibp.a2mac1.com/costing(costing:projects/details/9760/component/8754302)","Screw &gt; Torx socket head cap screw")</f>
        <v>Screw &gt; Torx socket head cap screw</v>
      </c>
      <c r="B675">
        <v>8754302</v>
      </c>
      <c r="D675">
        <v>0</v>
      </c>
      <c r="E675">
        <v>0.05</v>
      </c>
      <c r="H675">
        <v>2</v>
      </c>
      <c r="I675">
        <v>400000</v>
      </c>
      <c r="J675" t="s">
        <v>76</v>
      </c>
      <c r="K675">
        <v>20</v>
      </c>
      <c r="L675">
        <v>6</v>
      </c>
      <c r="M675">
        <v>6</v>
      </c>
      <c r="O675">
        <v>6.4999999999999997E-3</v>
      </c>
      <c r="Q675">
        <v>0</v>
      </c>
      <c r="R675">
        <v>0</v>
      </c>
      <c r="S675">
        <v>0.1</v>
      </c>
      <c r="T675">
        <v>8415577</v>
      </c>
    </row>
    <row r="676" spans="1:20" x14ac:dyDescent="0.15">
      <c r="A676" s="4" t="str">
        <f>HYPERLINK("https://ibp.a2mac1.com/costing(costing:projects/details/9760/component/8754359)","Nut &gt; Clipping nut for soft materials screw")</f>
        <v>Nut &gt; Clipping nut for soft materials screw</v>
      </c>
      <c r="B676">
        <v>8754359</v>
      </c>
      <c r="D676">
        <v>0</v>
      </c>
      <c r="E676">
        <v>0.05</v>
      </c>
      <c r="H676">
        <v>10</v>
      </c>
      <c r="I676">
        <v>2000000</v>
      </c>
      <c r="J676" t="s">
        <v>76</v>
      </c>
      <c r="K676">
        <v>12</v>
      </c>
      <c r="L676">
        <v>5</v>
      </c>
      <c r="M676">
        <v>10</v>
      </c>
      <c r="O676">
        <v>6.9999999999999999E-4</v>
      </c>
      <c r="Q676">
        <v>0</v>
      </c>
      <c r="R676">
        <v>0</v>
      </c>
      <c r="S676">
        <v>0.5</v>
      </c>
      <c r="T676">
        <v>8415607</v>
      </c>
    </row>
    <row r="677" spans="1:20" x14ac:dyDescent="0.15">
      <c r="A677" s="4" t="str">
        <f>HYPERLINK("https://ibp.a2mac1.com/costing(costing:projects/details/9760/component/8754360)","Panel holder &gt; Clips in round hole")</f>
        <v>Panel holder &gt; Clips in round hole</v>
      </c>
      <c r="B677">
        <v>8754360</v>
      </c>
      <c r="D677">
        <v>0</v>
      </c>
      <c r="E677">
        <v>0.05</v>
      </c>
      <c r="H677">
        <v>2</v>
      </c>
      <c r="I677">
        <v>400000</v>
      </c>
      <c r="J677" t="s">
        <v>76</v>
      </c>
      <c r="K677">
        <v>8</v>
      </c>
      <c r="L677">
        <v>13</v>
      </c>
      <c r="M677">
        <v>5</v>
      </c>
      <c r="O677">
        <v>1E-3</v>
      </c>
      <c r="Q677">
        <v>0</v>
      </c>
      <c r="R677">
        <v>0</v>
      </c>
      <c r="S677">
        <v>0.1</v>
      </c>
      <c r="T677">
        <v>8415607</v>
      </c>
    </row>
    <row r="678" spans="1:20" x14ac:dyDescent="0.15">
      <c r="A678" s="4" t="str">
        <f>HYPERLINK("https://ibp.a2mac1.com/costing(costing:projects/details/9760/component/8754361)","Screw &gt; Hexagon screw with flange")</f>
        <v>Screw &gt; Hexagon screw with flange</v>
      </c>
      <c r="B678">
        <v>8754361</v>
      </c>
      <c r="D678">
        <v>0</v>
      </c>
      <c r="E678">
        <v>0.05</v>
      </c>
      <c r="H678">
        <v>3</v>
      </c>
      <c r="I678">
        <v>600000</v>
      </c>
      <c r="J678" t="s">
        <v>76</v>
      </c>
      <c r="K678">
        <v>18</v>
      </c>
      <c r="L678">
        <v>10</v>
      </c>
      <c r="M678">
        <v>6</v>
      </c>
      <c r="O678">
        <v>0.01</v>
      </c>
      <c r="Q678">
        <v>0</v>
      </c>
      <c r="R678">
        <v>0</v>
      </c>
      <c r="S678">
        <v>0.15</v>
      </c>
      <c r="T678">
        <v>8415607</v>
      </c>
    </row>
    <row r="679" spans="1:20" x14ac:dyDescent="0.15">
      <c r="A679" s="4" t="str">
        <f>HYPERLINK("https://ibp.a2mac1.com/costing(costing:projects/details/9760/component/8754362)","Screw &gt; Hexagon screw with flange")</f>
        <v>Screw &gt; Hexagon screw with flange</v>
      </c>
      <c r="B679">
        <v>8754362</v>
      </c>
      <c r="D679">
        <v>0</v>
      </c>
      <c r="E679">
        <v>0.05</v>
      </c>
      <c r="H679">
        <v>3</v>
      </c>
      <c r="I679">
        <v>600000</v>
      </c>
      <c r="J679" t="s">
        <v>76</v>
      </c>
      <c r="K679">
        <v>18</v>
      </c>
      <c r="L679">
        <v>10</v>
      </c>
      <c r="M679">
        <v>6</v>
      </c>
      <c r="O679">
        <v>0.01</v>
      </c>
      <c r="Q679">
        <v>0</v>
      </c>
      <c r="R679">
        <v>0</v>
      </c>
      <c r="S679">
        <v>0.15</v>
      </c>
      <c r="T679">
        <v>8415607</v>
      </c>
    </row>
    <row r="680" spans="1:20" x14ac:dyDescent="0.15">
      <c r="A680" s="4" t="str">
        <f>HYPERLINK("https://ibp.a2mac1.com/costing(costing:projects/details/9760/component/8754363)","Screw &gt; Hexagon screw with flange")</f>
        <v>Screw &gt; Hexagon screw with flange</v>
      </c>
      <c r="B680">
        <v>8754363</v>
      </c>
      <c r="D680">
        <v>0</v>
      </c>
      <c r="E680">
        <v>0.05</v>
      </c>
      <c r="H680">
        <v>10</v>
      </c>
      <c r="I680">
        <v>2000000</v>
      </c>
      <c r="J680" t="s">
        <v>76</v>
      </c>
      <c r="K680">
        <v>18</v>
      </c>
      <c r="L680">
        <v>10</v>
      </c>
      <c r="M680">
        <v>6</v>
      </c>
      <c r="O680">
        <v>0.01</v>
      </c>
      <c r="Q680">
        <v>0</v>
      </c>
      <c r="R680">
        <v>0</v>
      </c>
      <c r="S680">
        <v>0.5</v>
      </c>
      <c r="T680">
        <v>8415607</v>
      </c>
    </row>
    <row r="681" spans="1:20" x14ac:dyDescent="0.15">
      <c r="A681" s="4" t="str">
        <f>HYPERLINK("https://ibp.a2mac1.com/costing(costing:projects/details/9760/component/8754364)","Screw &gt; Hexagon screw with flange")</f>
        <v>Screw &gt; Hexagon screw with flange</v>
      </c>
      <c r="B681">
        <v>8754364</v>
      </c>
      <c r="D681">
        <v>0</v>
      </c>
      <c r="E681">
        <v>0.05</v>
      </c>
      <c r="H681">
        <v>10</v>
      </c>
      <c r="I681">
        <v>2000000</v>
      </c>
      <c r="J681" t="s">
        <v>76</v>
      </c>
      <c r="K681">
        <v>18</v>
      </c>
      <c r="L681">
        <v>10</v>
      </c>
      <c r="M681">
        <v>6</v>
      </c>
      <c r="O681">
        <v>0.01</v>
      </c>
      <c r="Q681">
        <v>0</v>
      </c>
      <c r="R681">
        <v>0</v>
      </c>
      <c r="S681">
        <v>0.5</v>
      </c>
      <c r="T681">
        <v>8415607</v>
      </c>
    </row>
    <row r="682" spans="1:20" x14ac:dyDescent="0.15">
      <c r="A682" s="4" t="str">
        <f>HYPERLINK("https://ibp.a2mac1.com/costing(costing:projects/details/9760/component/8754675)","Rivet &gt; Pop rivet")</f>
        <v>Rivet &gt; Pop rivet</v>
      </c>
      <c r="B682">
        <v>8754675</v>
      </c>
      <c r="D682">
        <v>0</v>
      </c>
      <c r="E682">
        <v>0.03</v>
      </c>
      <c r="H682">
        <v>1</v>
      </c>
      <c r="I682">
        <v>200000</v>
      </c>
      <c r="J682" t="s">
        <v>76</v>
      </c>
      <c r="L682">
        <v>2</v>
      </c>
      <c r="M682">
        <v>4</v>
      </c>
      <c r="O682">
        <v>1E-3</v>
      </c>
      <c r="Q682">
        <v>0</v>
      </c>
      <c r="R682">
        <v>0</v>
      </c>
      <c r="S682">
        <v>0.03</v>
      </c>
      <c r="T682">
        <v>8416100</v>
      </c>
    </row>
    <row r="683" spans="1:20" x14ac:dyDescent="0.15">
      <c r="A683" s="4" t="str">
        <f>HYPERLINK("https://ibp.a2mac1.com/costing(costing:projects/details/9760/component/8754676)","Rivet &gt; Pop rivet")</f>
        <v>Rivet &gt; Pop rivet</v>
      </c>
      <c r="B683">
        <v>8754676</v>
      </c>
      <c r="D683">
        <v>0</v>
      </c>
      <c r="E683">
        <v>0.03</v>
      </c>
      <c r="H683">
        <v>1</v>
      </c>
      <c r="I683">
        <v>200000</v>
      </c>
      <c r="J683" t="s">
        <v>76</v>
      </c>
      <c r="L683">
        <v>2</v>
      </c>
      <c r="M683">
        <v>4</v>
      </c>
      <c r="O683">
        <v>1E-3</v>
      </c>
      <c r="Q683">
        <v>0</v>
      </c>
      <c r="R683">
        <v>0</v>
      </c>
      <c r="S683">
        <v>0.03</v>
      </c>
      <c r="T683">
        <v>8416100</v>
      </c>
    </row>
    <row r="684" spans="1:20" x14ac:dyDescent="0.15">
      <c r="A684" s="4" t="str">
        <f>HYPERLINK("https://ibp.a2mac1.com/costing(costing:projects/details/9760/component/8754677)","Rivet &gt; Pop rivet")</f>
        <v>Rivet &gt; Pop rivet</v>
      </c>
      <c r="B684">
        <v>8754677</v>
      </c>
      <c r="D684">
        <v>0</v>
      </c>
      <c r="E684">
        <v>0.03</v>
      </c>
      <c r="H684">
        <v>1</v>
      </c>
      <c r="I684">
        <v>200000</v>
      </c>
      <c r="J684" t="s">
        <v>76</v>
      </c>
      <c r="L684">
        <v>2</v>
      </c>
      <c r="M684">
        <v>7</v>
      </c>
      <c r="O684">
        <v>1E-3</v>
      </c>
      <c r="Q684">
        <v>0</v>
      </c>
      <c r="R684">
        <v>0</v>
      </c>
      <c r="S684">
        <v>0.03</v>
      </c>
      <c r="T684">
        <v>8416100</v>
      </c>
    </row>
    <row r="685" spans="1:20" x14ac:dyDescent="0.15">
      <c r="A685" s="4" t="str">
        <f>HYPERLINK("https://ibp.a2mac1.com/costing(costing:projects/details/9760/component/8754678)","Rivet &gt; Pop rivet")</f>
        <v>Rivet &gt; Pop rivet</v>
      </c>
      <c r="B685">
        <v>8754678</v>
      </c>
      <c r="D685">
        <v>0</v>
      </c>
      <c r="E685">
        <v>0.03</v>
      </c>
      <c r="H685">
        <v>1</v>
      </c>
      <c r="I685">
        <v>200000</v>
      </c>
      <c r="J685" t="s">
        <v>76</v>
      </c>
      <c r="L685">
        <v>2</v>
      </c>
      <c r="M685">
        <v>7</v>
      </c>
      <c r="O685">
        <v>1E-3</v>
      </c>
      <c r="Q685">
        <v>0</v>
      </c>
      <c r="R685">
        <v>0</v>
      </c>
      <c r="S685">
        <v>0.03</v>
      </c>
      <c r="T685">
        <v>8416100</v>
      </c>
    </row>
    <row r="686" spans="1:20" x14ac:dyDescent="0.15">
      <c r="A686" s="4" t="str">
        <f>HYPERLINK("https://ibp.a2mac1.com/costing(costing:projects/details/9760/component/8754679)","Rivet &gt; Head rivet")</f>
        <v>Rivet &gt; Head rivet</v>
      </c>
      <c r="B686">
        <v>8754679</v>
      </c>
      <c r="D686">
        <v>0</v>
      </c>
      <c r="E686">
        <v>0.03</v>
      </c>
      <c r="H686">
        <v>3</v>
      </c>
      <c r="I686">
        <v>600000</v>
      </c>
      <c r="J686" t="s">
        <v>76</v>
      </c>
      <c r="K686">
        <v>12</v>
      </c>
      <c r="L686">
        <v>18</v>
      </c>
      <c r="M686">
        <v>8</v>
      </c>
      <c r="O686">
        <v>1.2999999999999999E-3</v>
      </c>
      <c r="Q686">
        <v>0</v>
      </c>
      <c r="R686">
        <v>0</v>
      </c>
      <c r="S686">
        <v>0.09</v>
      </c>
      <c r="T686">
        <v>8416101</v>
      </c>
    </row>
    <row r="687" spans="1:20" x14ac:dyDescent="0.15">
      <c r="A687" s="4" t="str">
        <f>HYPERLINK("https://ibp.a2mac1.com/costing(costing:projects/details/9760/component/8754680)","Screw &gt; Torx screw with flange")</f>
        <v>Screw &gt; Torx screw with flange</v>
      </c>
      <c r="B687">
        <v>8754680</v>
      </c>
      <c r="D687">
        <v>0</v>
      </c>
      <c r="E687">
        <v>0.03</v>
      </c>
      <c r="H687">
        <v>3</v>
      </c>
      <c r="I687">
        <v>600000</v>
      </c>
      <c r="J687" t="s">
        <v>76</v>
      </c>
      <c r="K687">
        <v>12</v>
      </c>
      <c r="L687">
        <v>4</v>
      </c>
      <c r="M687">
        <v>4</v>
      </c>
      <c r="O687">
        <v>2E-3</v>
      </c>
      <c r="Q687">
        <v>0</v>
      </c>
      <c r="R687">
        <v>0</v>
      </c>
      <c r="S687">
        <v>0.09</v>
      </c>
      <c r="T687">
        <v>8416101</v>
      </c>
    </row>
    <row r="688" spans="1:20" x14ac:dyDescent="0.15">
      <c r="A688" s="4" t="str">
        <f>HYPERLINK("https://ibp.a2mac1.com/costing(costing:projects/details/9760/component/8754681)","Rivet &gt; Head rivet")</f>
        <v>Rivet &gt; Head rivet</v>
      </c>
      <c r="B688">
        <v>8754681</v>
      </c>
      <c r="D688">
        <v>0</v>
      </c>
      <c r="E688">
        <v>0.03</v>
      </c>
      <c r="H688">
        <v>3</v>
      </c>
      <c r="I688">
        <v>600000</v>
      </c>
      <c r="J688" t="s">
        <v>76</v>
      </c>
      <c r="K688">
        <v>12</v>
      </c>
      <c r="L688">
        <v>18</v>
      </c>
      <c r="M688">
        <v>8</v>
      </c>
      <c r="O688">
        <v>1.2999999999999999E-3</v>
      </c>
      <c r="Q688">
        <v>0</v>
      </c>
      <c r="R688">
        <v>0</v>
      </c>
      <c r="S688">
        <v>0.09</v>
      </c>
      <c r="T688">
        <v>8416101</v>
      </c>
    </row>
    <row r="689" spans="1:21" x14ac:dyDescent="0.15">
      <c r="A689" s="4" t="str">
        <f>HYPERLINK("https://ibp.a2mac1.com/costing(costing:projects/details/9760/component/8754682)","Screw &gt; Torx screw with flange")</f>
        <v>Screw &gt; Torx screw with flange</v>
      </c>
      <c r="B689">
        <v>8754682</v>
      </c>
      <c r="D689">
        <v>0</v>
      </c>
      <c r="E689">
        <v>0.03</v>
      </c>
      <c r="H689">
        <v>3</v>
      </c>
      <c r="I689">
        <v>600000</v>
      </c>
      <c r="J689" t="s">
        <v>76</v>
      </c>
      <c r="K689">
        <v>12</v>
      </c>
      <c r="L689">
        <v>4</v>
      </c>
      <c r="M689">
        <v>4</v>
      </c>
      <c r="O689">
        <v>2E-3</v>
      </c>
      <c r="Q689">
        <v>0</v>
      </c>
      <c r="R689">
        <v>0</v>
      </c>
      <c r="S689">
        <v>0.09</v>
      </c>
      <c r="T689">
        <v>8416101</v>
      </c>
    </row>
    <row r="690" spans="1:21" x14ac:dyDescent="0.15">
      <c r="A690" s="4" t="str">
        <f>HYPERLINK("https://ibp.a2mac1.com/costing(costing:projects/details/9760/component/8754673)","Copper")</f>
        <v>Copper</v>
      </c>
      <c r="B690">
        <v>8754673</v>
      </c>
      <c r="D690">
        <v>0</v>
      </c>
      <c r="E690">
        <v>0.81</v>
      </c>
      <c r="H690">
        <v>1</v>
      </c>
      <c r="I690">
        <v>200000</v>
      </c>
      <c r="J690" t="s">
        <v>162</v>
      </c>
      <c r="K690">
        <v>0</v>
      </c>
      <c r="L690">
        <v>0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0.81</v>
      </c>
      <c r="U690">
        <v>8416096</v>
      </c>
    </row>
    <row r="691" spans="1:21" x14ac:dyDescent="0.15">
      <c r="A691" s="4" t="str">
        <f>HYPERLINK("https://ibp.a2mac1.com/costing(costing:projects/details/9760/component/8754674)","Material")</f>
        <v>Material</v>
      </c>
      <c r="B691">
        <v>8754674</v>
      </c>
      <c r="D691">
        <v>0</v>
      </c>
      <c r="E691">
        <v>8.41</v>
      </c>
      <c r="F691" t="s">
        <v>319</v>
      </c>
      <c r="H691">
        <v>1</v>
      </c>
      <c r="I691">
        <v>200000</v>
      </c>
      <c r="J691" t="s">
        <v>162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320</v>
      </c>
      <c r="Q691">
        <v>0</v>
      </c>
      <c r="R691">
        <v>0</v>
      </c>
      <c r="S691">
        <v>8.2597939961651186</v>
      </c>
      <c r="U691">
        <v>8416096</v>
      </c>
    </row>
    <row r="692" spans="1:21" x14ac:dyDescent="0.15">
      <c r="A692" s="4" t="str">
        <f>HYPERLINK("https://ibp.a2mac1.com/costing(costing:projects/details/9760/component/8754467)","Screw &gt; Various shape screw with captive washer")</f>
        <v>Screw &gt; Various shape screw with captive washer</v>
      </c>
      <c r="B692">
        <v>8754467</v>
      </c>
      <c r="D692">
        <v>0</v>
      </c>
      <c r="E692">
        <v>0.05</v>
      </c>
      <c r="H692">
        <v>2</v>
      </c>
      <c r="I692">
        <v>400000</v>
      </c>
      <c r="J692" t="s">
        <v>76</v>
      </c>
      <c r="K692">
        <v>14</v>
      </c>
      <c r="L692">
        <v>5</v>
      </c>
      <c r="M692">
        <v>4</v>
      </c>
      <c r="O692">
        <v>4.4999999999999997E-3</v>
      </c>
      <c r="Q692">
        <v>0</v>
      </c>
      <c r="R692">
        <v>0</v>
      </c>
      <c r="S692">
        <v>0.1</v>
      </c>
      <c r="T692">
        <v>8415768</v>
      </c>
    </row>
    <row r="693" spans="1:21" x14ac:dyDescent="0.15">
      <c r="A693" s="4" t="str">
        <f>HYPERLINK("https://ibp.a2mac1.com/costing(costing:projects/details/9760/component/8754468)","Screw &gt; Torx screw with flange")</f>
        <v>Screw &gt; Torx screw with flange</v>
      </c>
      <c r="B693">
        <v>8754468</v>
      </c>
      <c r="D693">
        <v>0</v>
      </c>
      <c r="E693">
        <v>0.05</v>
      </c>
      <c r="H693">
        <v>2</v>
      </c>
      <c r="I693">
        <v>400000</v>
      </c>
      <c r="J693" t="s">
        <v>76</v>
      </c>
      <c r="K693">
        <v>17</v>
      </c>
      <c r="L693">
        <v>4</v>
      </c>
      <c r="M693">
        <v>4</v>
      </c>
      <c r="O693">
        <v>4.0000000000000001E-3</v>
      </c>
      <c r="Q693">
        <v>0</v>
      </c>
      <c r="R693">
        <v>0</v>
      </c>
      <c r="S693">
        <v>0.1</v>
      </c>
      <c r="T693">
        <v>8415768</v>
      </c>
    </row>
    <row r="694" spans="1:21" x14ac:dyDescent="0.15">
      <c r="A694" s="4" t="str">
        <f>HYPERLINK("https://ibp.a2mac1.com/costing(costing:projects/details/9760/component/8754469)","Rivet &gt; Pop rivet")</f>
        <v>Rivet &gt; Pop rivet</v>
      </c>
      <c r="B694">
        <v>8754469</v>
      </c>
      <c r="D694">
        <v>0</v>
      </c>
      <c r="E694">
        <v>0.03</v>
      </c>
      <c r="H694">
        <v>5</v>
      </c>
      <c r="I694">
        <v>1000000</v>
      </c>
      <c r="J694" t="s">
        <v>76</v>
      </c>
      <c r="L694">
        <v>5</v>
      </c>
      <c r="M694">
        <v>10</v>
      </c>
      <c r="O694">
        <v>8.0000000000000004E-4</v>
      </c>
      <c r="Q694">
        <v>0</v>
      </c>
      <c r="R694">
        <v>0</v>
      </c>
      <c r="S694">
        <v>0.15</v>
      </c>
      <c r="T694">
        <v>8415768</v>
      </c>
    </row>
    <row r="695" spans="1:21" x14ac:dyDescent="0.15">
      <c r="A695" s="4" t="str">
        <f>HYPERLINK("https://ibp.a2mac1.com/costing(costing:projects/details/9760/component/8754470)","Tube/cluster support &gt; Tube/cluster strap support in hole")</f>
        <v>Tube/cluster support &gt; Tube/cluster strap support in hole</v>
      </c>
      <c r="B695">
        <v>8754470</v>
      </c>
      <c r="D695">
        <v>0</v>
      </c>
      <c r="E695">
        <v>0.03</v>
      </c>
      <c r="H695">
        <v>11</v>
      </c>
      <c r="I695">
        <v>2200000</v>
      </c>
      <c r="J695" t="s">
        <v>76</v>
      </c>
      <c r="K695">
        <v>7</v>
      </c>
      <c r="L695">
        <v>5</v>
      </c>
      <c r="M695">
        <v>8</v>
      </c>
      <c r="O695">
        <v>1E-4</v>
      </c>
      <c r="Q695">
        <v>0</v>
      </c>
      <c r="R695">
        <v>0</v>
      </c>
      <c r="S695">
        <v>0.33</v>
      </c>
      <c r="T695">
        <v>8415768</v>
      </c>
    </row>
    <row r="696" spans="1:21" x14ac:dyDescent="0.15">
      <c r="A696" s="4" t="str">
        <f>HYPERLINK("https://ibp.a2mac1.com/costing(costing:projects/details/9760/component/8754683)","Nut &gt; Pinching nut for metric screw")</f>
        <v>Nut &gt; Pinching nut for metric screw</v>
      </c>
      <c r="B696">
        <v>8754683</v>
      </c>
      <c r="D696">
        <v>0</v>
      </c>
      <c r="E696">
        <v>0.03</v>
      </c>
      <c r="H696">
        <v>7</v>
      </c>
      <c r="I696">
        <v>1400000</v>
      </c>
      <c r="J696" t="s">
        <v>76</v>
      </c>
      <c r="K696">
        <v>2</v>
      </c>
      <c r="L696">
        <v>4</v>
      </c>
      <c r="M696">
        <v>4</v>
      </c>
      <c r="O696">
        <v>2E-3</v>
      </c>
      <c r="Q696">
        <v>0</v>
      </c>
      <c r="R696">
        <v>0</v>
      </c>
      <c r="S696">
        <v>0.21</v>
      </c>
      <c r="T696">
        <v>8416104</v>
      </c>
    </row>
    <row r="697" spans="1:21" x14ac:dyDescent="0.15">
      <c r="A697" s="4" t="str">
        <f>HYPERLINK("https://ibp.a2mac1.com/costing(costing:projects/details/9760/component/8754684)","Nut &gt; Pinching nut for metric screw")</f>
        <v>Nut &gt; Pinching nut for metric screw</v>
      </c>
      <c r="B697">
        <v>8754684</v>
      </c>
      <c r="D697">
        <v>0</v>
      </c>
      <c r="E697">
        <v>0.03</v>
      </c>
      <c r="H697">
        <v>7</v>
      </c>
      <c r="I697">
        <v>1400000</v>
      </c>
      <c r="J697" t="s">
        <v>76</v>
      </c>
      <c r="K697">
        <v>2</v>
      </c>
      <c r="L697">
        <v>4</v>
      </c>
      <c r="M697">
        <v>4</v>
      </c>
      <c r="O697">
        <v>1.6999999999999999E-3</v>
      </c>
      <c r="Q697">
        <v>0</v>
      </c>
      <c r="R697">
        <v>0</v>
      </c>
      <c r="S697">
        <v>0.21</v>
      </c>
      <c r="T697">
        <v>8416105</v>
      </c>
    </row>
    <row r="698" spans="1:21" x14ac:dyDescent="0.15">
      <c r="A698" s="4" t="str">
        <f>HYPERLINK("https://ibp.a2mac1.com/costing(costing:projects/details/9760/component/8754471)","Screw &gt; Various shape screw with captive washer")</f>
        <v>Screw &gt; Various shape screw with captive washer</v>
      </c>
      <c r="B698">
        <v>8754471</v>
      </c>
      <c r="D698">
        <v>0</v>
      </c>
      <c r="E698">
        <v>0.05</v>
      </c>
      <c r="H698">
        <v>4</v>
      </c>
      <c r="I698">
        <v>800000</v>
      </c>
      <c r="J698" t="s">
        <v>76</v>
      </c>
      <c r="K698">
        <v>16</v>
      </c>
      <c r="L698">
        <v>5</v>
      </c>
      <c r="M698">
        <v>4</v>
      </c>
      <c r="O698">
        <v>4.0000000000000001E-3</v>
      </c>
      <c r="Q698">
        <v>0</v>
      </c>
      <c r="R698">
        <v>0</v>
      </c>
      <c r="S698">
        <v>0.2</v>
      </c>
      <c r="T698">
        <v>8415769</v>
      </c>
    </row>
    <row r="699" spans="1:21" x14ac:dyDescent="0.15">
      <c r="A699" s="4" t="str">
        <f>HYPERLINK("https://ibp.a2mac1.com/costing(costing:projects/details/9760/component/8754472)","Screw &gt; Various shape screw with captive washer")</f>
        <v>Screw &gt; Various shape screw with captive washer</v>
      </c>
      <c r="B699">
        <v>8754472</v>
      </c>
      <c r="D699">
        <v>0</v>
      </c>
      <c r="E699">
        <v>0.05</v>
      </c>
      <c r="H699">
        <v>4</v>
      </c>
      <c r="I699">
        <v>800000</v>
      </c>
      <c r="J699" t="s">
        <v>76</v>
      </c>
      <c r="K699">
        <v>16</v>
      </c>
      <c r="L699">
        <v>5</v>
      </c>
      <c r="M699">
        <v>4</v>
      </c>
      <c r="O699">
        <v>4.0000000000000001E-3</v>
      </c>
      <c r="Q699">
        <v>0</v>
      </c>
      <c r="R699">
        <v>0</v>
      </c>
      <c r="S699">
        <v>0.2</v>
      </c>
      <c r="T699">
        <v>8415769</v>
      </c>
    </row>
    <row r="700" spans="1:21" x14ac:dyDescent="0.15">
      <c r="A700" s="4" t="str">
        <f>HYPERLINK("https://ibp.a2mac1.com/costing(costing:projects/details/9760/component/8754473)","Screw &gt; Hexagon screw with flange and captive washer")</f>
        <v>Screw &gt; Hexagon screw with flange and captive washer</v>
      </c>
      <c r="B700">
        <v>8754473</v>
      </c>
      <c r="D700">
        <v>0</v>
      </c>
      <c r="E700">
        <v>0.05</v>
      </c>
      <c r="H700">
        <v>4</v>
      </c>
      <c r="I700">
        <v>800000</v>
      </c>
      <c r="J700" t="s">
        <v>76</v>
      </c>
      <c r="K700">
        <v>150</v>
      </c>
      <c r="L700">
        <v>15</v>
      </c>
      <c r="M700">
        <v>10</v>
      </c>
      <c r="O700">
        <v>9.98E-2</v>
      </c>
      <c r="Q700">
        <v>0</v>
      </c>
      <c r="R700">
        <v>0</v>
      </c>
      <c r="S700">
        <v>0.2</v>
      </c>
      <c r="T700">
        <v>8415771</v>
      </c>
    </row>
    <row r="701" spans="1:21" x14ac:dyDescent="0.15">
      <c r="A701" s="4" t="str">
        <f>HYPERLINK("https://ibp.a2mac1.com/costing(costing:projects/details/9760/component/8754474)","Screw &gt; Hexagon screw with flange")</f>
        <v>Screw &gt; Hexagon screw with flange</v>
      </c>
      <c r="B701">
        <v>8754474</v>
      </c>
      <c r="D701">
        <v>0</v>
      </c>
      <c r="E701">
        <v>0.05</v>
      </c>
      <c r="H701">
        <v>3</v>
      </c>
      <c r="I701">
        <v>600000</v>
      </c>
      <c r="J701" t="s">
        <v>76</v>
      </c>
      <c r="K701">
        <v>150</v>
      </c>
      <c r="L701">
        <v>18</v>
      </c>
      <c r="M701">
        <v>12</v>
      </c>
      <c r="O701">
        <v>0.13869999999999999</v>
      </c>
      <c r="Q701">
        <v>0</v>
      </c>
      <c r="R701">
        <v>0</v>
      </c>
      <c r="S701">
        <v>0.15</v>
      </c>
      <c r="T701">
        <v>8415771</v>
      </c>
    </row>
    <row r="702" spans="1:21" x14ac:dyDescent="0.15">
      <c r="A702" s="4" t="str">
        <f>HYPERLINK("https://ibp.a2mac1.com/costing(costing:projects/details/9760/component/8754475)","Screw &gt; Hexagon screw with flange")</f>
        <v>Screw &gt; Hexagon screw with flange</v>
      </c>
      <c r="B702">
        <v>8754475</v>
      </c>
      <c r="D702">
        <v>0</v>
      </c>
      <c r="E702">
        <v>0.05</v>
      </c>
      <c r="H702">
        <v>3</v>
      </c>
      <c r="I702">
        <v>600000</v>
      </c>
      <c r="J702" t="s">
        <v>76</v>
      </c>
      <c r="K702">
        <v>150</v>
      </c>
      <c r="L702">
        <v>18</v>
      </c>
      <c r="M702">
        <v>12</v>
      </c>
      <c r="O702">
        <v>0.13869999999999999</v>
      </c>
      <c r="Q702">
        <v>0</v>
      </c>
      <c r="R702">
        <v>0</v>
      </c>
      <c r="S702">
        <v>0.15</v>
      </c>
      <c r="T702">
        <v>8415771</v>
      </c>
    </row>
    <row r="703" spans="1:21" x14ac:dyDescent="0.15">
      <c r="A703" s="4" t="str">
        <f>HYPERLINK("https://ibp.a2mac1.com/costing(costing:projects/details/9760/component/8754476)","Screw &gt; Hexagon screw with captive washer")</f>
        <v>Screw &gt; Hexagon screw with captive washer</v>
      </c>
      <c r="B703">
        <v>8754476</v>
      </c>
      <c r="D703">
        <v>0</v>
      </c>
      <c r="E703">
        <v>7.0000000000000007E-2</v>
      </c>
      <c r="H703">
        <v>4</v>
      </c>
      <c r="I703">
        <v>800000</v>
      </c>
      <c r="J703" t="s">
        <v>76</v>
      </c>
      <c r="K703">
        <v>18</v>
      </c>
      <c r="L703">
        <v>10</v>
      </c>
      <c r="M703">
        <v>6</v>
      </c>
      <c r="O703">
        <v>8.8000000000000005E-3</v>
      </c>
      <c r="Q703">
        <v>0</v>
      </c>
      <c r="R703">
        <v>0</v>
      </c>
      <c r="S703">
        <v>0.28000000000000003</v>
      </c>
      <c r="T703">
        <v>8415772</v>
      </c>
    </row>
    <row r="704" spans="1:21" x14ac:dyDescent="0.15">
      <c r="A704" s="4" t="str">
        <f>HYPERLINK("https://ibp.a2mac1.com/costing(costing:projects/details/9760/component/8754477)","Screw &gt; Hexagon screw with captive washer")</f>
        <v>Screw &gt; Hexagon screw with captive washer</v>
      </c>
      <c r="B704">
        <v>8754477</v>
      </c>
      <c r="D704">
        <v>0</v>
      </c>
      <c r="E704">
        <v>7.0000000000000007E-2</v>
      </c>
      <c r="H704">
        <v>4</v>
      </c>
      <c r="I704">
        <v>800000</v>
      </c>
      <c r="J704" t="s">
        <v>76</v>
      </c>
      <c r="K704">
        <v>24</v>
      </c>
      <c r="L704">
        <v>10</v>
      </c>
      <c r="M704">
        <v>6</v>
      </c>
      <c r="O704">
        <v>9.4999999999999998E-3</v>
      </c>
      <c r="Q704">
        <v>0</v>
      </c>
      <c r="R704">
        <v>0</v>
      </c>
      <c r="S704">
        <v>0.28000000000000003</v>
      </c>
      <c r="T704">
        <v>8415772</v>
      </c>
    </row>
    <row r="705" spans="1:21" x14ac:dyDescent="0.15">
      <c r="A705" s="4" t="str">
        <f>HYPERLINK("https://ibp.a2mac1.com/costing(costing:projects/details/9760/component/8754478)","Screw &gt; Torx socket head cap screw with captive washer")</f>
        <v>Screw &gt; Torx socket head cap screw with captive washer</v>
      </c>
      <c r="B705">
        <v>8754478</v>
      </c>
      <c r="D705">
        <v>0</v>
      </c>
      <c r="E705">
        <v>0.05</v>
      </c>
      <c r="H705">
        <v>4</v>
      </c>
      <c r="I705">
        <v>800000</v>
      </c>
      <c r="J705" t="s">
        <v>76</v>
      </c>
      <c r="K705">
        <v>17</v>
      </c>
      <c r="L705">
        <v>4</v>
      </c>
      <c r="M705">
        <v>5</v>
      </c>
      <c r="O705">
        <v>4.3E-3</v>
      </c>
      <c r="Q705">
        <v>0</v>
      </c>
      <c r="R705">
        <v>0</v>
      </c>
      <c r="S705">
        <v>0.2</v>
      </c>
      <c r="T705">
        <v>8415772</v>
      </c>
    </row>
    <row r="706" spans="1:21" x14ac:dyDescent="0.15">
      <c r="A706" s="4" t="str">
        <f>HYPERLINK("https://ibp.a2mac1.com/costing(costing:projects/details/9760/component/8754688)","Screw &gt; Torx socket head cap screw with flange and captive washer")</f>
        <v>Screw &gt; Torx socket head cap screw with flange and captive washer</v>
      </c>
      <c r="B706">
        <v>8754688</v>
      </c>
      <c r="D706">
        <v>0</v>
      </c>
      <c r="E706">
        <v>0.05</v>
      </c>
      <c r="H706">
        <v>4</v>
      </c>
      <c r="I706">
        <v>800000</v>
      </c>
      <c r="J706" t="s">
        <v>76</v>
      </c>
      <c r="K706">
        <v>17</v>
      </c>
      <c r="L706">
        <v>4</v>
      </c>
      <c r="M706">
        <v>4</v>
      </c>
      <c r="O706">
        <v>4.0000000000000001E-3</v>
      </c>
      <c r="Q706">
        <v>0</v>
      </c>
      <c r="R706">
        <v>0</v>
      </c>
      <c r="S706">
        <v>0.2</v>
      </c>
      <c r="T706">
        <v>8416121</v>
      </c>
    </row>
    <row r="707" spans="1:21" x14ac:dyDescent="0.15">
      <c r="A707" s="4" t="str">
        <f>HYPERLINK("https://ibp.a2mac1.com/costing(costing:projects/details/9760/component/8754686)","Material")</f>
        <v>Material</v>
      </c>
      <c r="B707">
        <v>8754686</v>
      </c>
      <c r="D707">
        <v>0</v>
      </c>
      <c r="E707">
        <v>10.32</v>
      </c>
      <c r="F707" t="s">
        <v>319</v>
      </c>
      <c r="H707">
        <v>1</v>
      </c>
      <c r="I707">
        <v>200000</v>
      </c>
      <c r="J707" t="s">
        <v>162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320</v>
      </c>
      <c r="Q707">
        <v>0</v>
      </c>
      <c r="R707">
        <v>0</v>
      </c>
      <c r="S707">
        <v>10.135680623118196</v>
      </c>
      <c r="U707">
        <v>8416117</v>
      </c>
    </row>
    <row r="708" spans="1:21" x14ac:dyDescent="0.15">
      <c r="A708" s="4" t="str">
        <f>HYPERLINK("https://ibp.a2mac1.com/costing(costing:projects/details/9760/component/8754687)","Copper")</f>
        <v>Copper</v>
      </c>
      <c r="B708">
        <v>8754687</v>
      </c>
      <c r="D708">
        <v>0</v>
      </c>
      <c r="E708">
        <v>0.75</v>
      </c>
      <c r="H708">
        <v>1</v>
      </c>
      <c r="I708">
        <v>200000</v>
      </c>
      <c r="J708" t="s">
        <v>162</v>
      </c>
      <c r="K708">
        <v>0</v>
      </c>
      <c r="L708">
        <v>0</v>
      </c>
      <c r="M708">
        <v>0</v>
      </c>
      <c r="N708">
        <v>0</v>
      </c>
      <c r="O708">
        <v>0</v>
      </c>
      <c r="Q708">
        <v>0</v>
      </c>
      <c r="R708">
        <v>0</v>
      </c>
      <c r="S708">
        <v>0.75</v>
      </c>
      <c r="U708">
        <v>8416117</v>
      </c>
    </row>
    <row r="709" spans="1:21" x14ac:dyDescent="0.15">
      <c r="A709" s="4" t="str">
        <f>HYPERLINK("https://ibp.a2mac1.com/costing(costing:projects/details/9760/component/8754479)","Nut &gt; Clipping nut for metal sheet screw")</f>
        <v>Nut &gt; Clipping nut for metal sheet screw</v>
      </c>
      <c r="B709">
        <v>8754479</v>
      </c>
      <c r="D709">
        <v>0</v>
      </c>
      <c r="E709">
        <v>0.03</v>
      </c>
      <c r="H709">
        <v>2</v>
      </c>
      <c r="I709">
        <v>400000</v>
      </c>
      <c r="J709" t="s">
        <v>76</v>
      </c>
      <c r="K709">
        <v>12</v>
      </c>
      <c r="L709">
        <v>5</v>
      </c>
      <c r="M709">
        <v>8</v>
      </c>
      <c r="O709">
        <v>5.0000000000000001E-4</v>
      </c>
      <c r="Q709">
        <v>0</v>
      </c>
      <c r="R709">
        <v>0</v>
      </c>
      <c r="S709">
        <v>0.06</v>
      </c>
      <c r="T709">
        <v>8415774</v>
      </c>
    </row>
    <row r="710" spans="1:21" x14ac:dyDescent="0.15">
      <c r="A710" s="4" t="str">
        <f>HYPERLINK("https://ibp.a2mac1.com/costing(costing:projects/details/9760/component/8754480)","Tube/cluster support &gt; Tube/cluster strap support in hole")</f>
        <v>Tube/cluster support &gt; Tube/cluster strap support in hole</v>
      </c>
      <c r="B710">
        <v>8754480</v>
      </c>
      <c r="D710">
        <v>0</v>
      </c>
      <c r="E710">
        <v>0.03</v>
      </c>
      <c r="H710">
        <v>5</v>
      </c>
      <c r="I710">
        <v>1000000</v>
      </c>
      <c r="J710" t="s">
        <v>76</v>
      </c>
      <c r="K710">
        <v>7</v>
      </c>
      <c r="L710">
        <v>12</v>
      </c>
      <c r="M710">
        <v>10</v>
      </c>
      <c r="O710">
        <v>2.0000000000000001E-4</v>
      </c>
      <c r="Q710">
        <v>0</v>
      </c>
      <c r="R710">
        <v>0</v>
      </c>
      <c r="S710">
        <v>0.15</v>
      </c>
      <c r="T710">
        <v>8415774</v>
      </c>
    </row>
    <row r="711" spans="1:21" x14ac:dyDescent="0.15">
      <c r="A711" s="4" t="str">
        <f>HYPERLINK("https://ibp.a2mac1.com/costing(costing:projects/details/9760/component/8754481)","Screw &gt; Torx socket head cap screw with flange")</f>
        <v>Screw &gt; Torx socket head cap screw with flange</v>
      </c>
      <c r="B711">
        <v>8754481</v>
      </c>
      <c r="D711">
        <v>0</v>
      </c>
      <c r="E711">
        <v>0.03</v>
      </c>
      <c r="H711">
        <v>3</v>
      </c>
      <c r="I711">
        <v>600000</v>
      </c>
      <c r="J711" t="s">
        <v>76</v>
      </c>
      <c r="K711">
        <v>12</v>
      </c>
      <c r="L711">
        <v>4</v>
      </c>
      <c r="M711">
        <v>4</v>
      </c>
      <c r="O711">
        <v>1.6999999999999999E-3</v>
      </c>
      <c r="Q711">
        <v>0</v>
      </c>
      <c r="R711">
        <v>0</v>
      </c>
      <c r="S711">
        <v>0.09</v>
      </c>
      <c r="T711">
        <v>8415774</v>
      </c>
    </row>
    <row r="712" spans="1:21" x14ac:dyDescent="0.15">
      <c r="A712" s="4" t="str">
        <f>HYPERLINK("https://ibp.a2mac1.com/costing(costing:projects/details/9760/component/8754482)","Screw &gt; Torx socket head cap screw with flange")</f>
        <v>Screw &gt; Torx socket head cap screw with flange</v>
      </c>
      <c r="B712">
        <v>8754482</v>
      </c>
      <c r="D712">
        <v>0</v>
      </c>
      <c r="E712">
        <v>0.03</v>
      </c>
      <c r="H712">
        <v>3</v>
      </c>
      <c r="I712">
        <v>600000</v>
      </c>
      <c r="J712" t="s">
        <v>76</v>
      </c>
      <c r="K712">
        <v>12</v>
      </c>
      <c r="L712">
        <v>4</v>
      </c>
      <c r="M712">
        <v>4</v>
      </c>
      <c r="O712">
        <v>1.6999999999999999E-3</v>
      </c>
      <c r="Q712">
        <v>0</v>
      </c>
      <c r="R712">
        <v>0</v>
      </c>
      <c r="S712">
        <v>0.09</v>
      </c>
      <c r="T712">
        <v>8415774</v>
      </c>
    </row>
    <row r="713" spans="1:21" x14ac:dyDescent="0.15">
      <c r="A713" s="4" t="str">
        <f>HYPERLINK("https://ibp.a2mac1.com/costing(costing:projects/details/9760/component/8754483)","Screw &gt; Torx socket head cap screw with flange")</f>
        <v>Screw &gt; Torx socket head cap screw with flange</v>
      </c>
      <c r="B713">
        <v>8754483</v>
      </c>
      <c r="D713">
        <v>0</v>
      </c>
      <c r="E713">
        <v>0.05</v>
      </c>
      <c r="H713">
        <v>2</v>
      </c>
      <c r="I713">
        <v>400000</v>
      </c>
      <c r="J713" t="s">
        <v>76</v>
      </c>
      <c r="K713">
        <v>15</v>
      </c>
      <c r="L713">
        <v>4</v>
      </c>
      <c r="M713">
        <v>5</v>
      </c>
      <c r="O713">
        <v>4.0000000000000001E-3</v>
      </c>
      <c r="Q713">
        <v>0</v>
      </c>
      <c r="R713">
        <v>0</v>
      </c>
      <c r="S713">
        <v>0.1</v>
      </c>
      <c r="T713">
        <v>8415775</v>
      </c>
    </row>
    <row r="714" spans="1:21" x14ac:dyDescent="0.15">
      <c r="A714" s="4" t="str">
        <f>HYPERLINK("https://ibp.a2mac1.com/costing(costing:projects/details/9760/component/8754484)","Nut &gt; Clipping nut for soft materials screw")</f>
        <v>Nut &gt; Clipping nut for soft materials screw</v>
      </c>
      <c r="B714">
        <v>8754484</v>
      </c>
      <c r="D714">
        <v>0</v>
      </c>
      <c r="E714">
        <v>0.03</v>
      </c>
      <c r="H714">
        <v>2</v>
      </c>
      <c r="I714">
        <v>400000</v>
      </c>
      <c r="J714" t="s">
        <v>76</v>
      </c>
      <c r="K714">
        <v>17</v>
      </c>
      <c r="L714">
        <v>5</v>
      </c>
      <c r="M714">
        <v>8</v>
      </c>
      <c r="O714">
        <v>1E-3</v>
      </c>
      <c r="Q714">
        <v>0</v>
      </c>
      <c r="R714">
        <v>0</v>
      </c>
      <c r="S714">
        <v>0.06</v>
      </c>
      <c r="T714">
        <v>8415775</v>
      </c>
    </row>
    <row r="715" spans="1:21" x14ac:dyDescent="0.15">
      <c r="A715" s="4" t="str">
        <f>HYPERLINK("https://ibp.a2mac1.com/costing(costing:projects/details/9760/component/8754485)","Nut &gt; Hexagonal nut with captive washer")</f>
        <v>Nut &gt; Hexagonal nut with captive washer</v>
      </c>
      <c r="B715">
        <v>8754485</v>
      </c>
      <c r="D715">
        <v>0</v>
      </c>
      <c r="E715">
        <v>0.06</v>
      </c>
      <c r="H715">
        <v>5</v>
      </c>
      <c r="I715">
        <v>1000000</v>
      </c>
      <c r="J715" t="s">
        <v>76</v>
      </c>
      <c r="K715">
        <v>7</v>
      </c>
      <c r="L715">
        <v>10</v>
      </c>
      <c r="M715">
        <v>6</v>
      </c>
      <c r="O715">
        <v>5.5999999999999999E-3</v>
      </c>
      <c r="Q715">
        <v>0</v>
      </c>
      <c r="R715">
        <v>0</v>
      </c>
      <c r="S715">
        <v>0.3</v>
      </c>
      <c r="T715">
        <v>8415775</v>
      </c>
    </row>
    <row r="716" spans="1:21" x14ac:dyDescent="0.15">
      <c r="A716" s="4" t="str">
        <f>HYPERLINK("https://ibp.a2mac1.com/costing(costing:projects/details/9760/component/8754486)","Screw &gt; Torx socket head cap screw with flange")</f>
        <v>Screw &gt; Torx socket head cap screw with flange</v>
      </c>
      <c r="B716">
        <v>8754486</v>
      </c>
      <c r="D716">
        <v>0</v>
      </c>
      <c r="E716">
        <v>0.05</v>
      </c>
      <c r="H716">
        <v>5</v>
      </c>
      <c r="I716">
        <v>1000000</v>
      </c>
      <c r="J716" t="s">
        <v>76</v>
      </c>
      <c r="K716">
        <v>15</v>
      </c>
      <c r="L716">
        <v>4</v>
      </c>
      <c r="M716">
        <v>5</v>
      </c>
      <c r="O716">
        <v>4.0000000000000001E-3</v>
      </c>
      <c r="Q716">
        <v>0</v>
      </c>
      <c r="R716">
        <v>0</v>
      </c>
      <c r="S716">
        <v>0.25</v>
      </c>
      <c r="T716">
        <v>8415775</v>
      </c>
    </row>
    <row r="717" spans="1:21" x14ac:dyDescent="0.15">
      <c r="A717" s="4" t="str">
        <f>HYPERLINK("https://ibp.a2mac1.com/costing(costing:projects/details/9760/component/8754487)","Screw &gt; Torx socket head cap screw with flange")</f>
        <v>Screw &gt; Torx socket head cap screw with flange</v>
      </c>
      <c r="B717">
        <v>8754487</v>
      </c>
      <c r="D717">
        <v>0</v>
      </c>
      <c r="E717">
        <v>0.05</v>
      </c>
      <c r="H717">
        <v>5</v>
      </c>
      <c r="I717">
        <v>1000000</v>
      </c>
      <c r="J717" t="s">
        <v>76</v>
      </c>
      <c r="K717">
        <v>15</v>
      </c>
      <c r="L717">
        <v>4</v>
      </c>
      <c r="M717">
        <v>5</v>
      </c>
      <c r="O717">
        <v>4.0000000000000001E-3</v>
      </c>
      <c r="Q717">
        <v>0</v>
      </c>
      <c r="R717">
        <v>0</v>
      </c>
      <c r="S717">
        <v>0.25</v>
      </c>
      <c r="T717">
        <v>8415775</v>
      </c>
    </row>
    <row r="718" spans="1:21" x14ac:dyDescent="0.15">
      <c r="A718" s="4" t="str">
        <f>HYPERLINK("https://ibp.a2mac1.com/costing(costing:projects/details/9760/component/8754689)","Nut &gt; Clipping nut for soft materials screw")</f>
        <v>Nut &gt; Clipping nut for soft materials screw</v>
      </c>
      <c r="B718">
        <v>8754689</v>
      </c>
      <c r="D718">
        <v>0</v>
      </c>
      <c r="E718">
        <v>0.03</v>
      </c>
      <c r="H718">
        <v>5</v>
      </c>
      <c r="I718">
        <v>1000000</v>
      </c>
      <c r="J718" t="s">
        <v>76</v>
      </c>
      <c r="K718">
        <v>17</v>
      </c>
      <c r="L718">
        <v>5</v>
      </c>
      <c r="M718">
        <v>8</v>
      </c>
      <c r="O718">
        <v>1.1999999999999999E-3</v>
      </c>
      <c r="Q718">
        <v>0</v>
      </c>
      <c r="R718">
        <v>0</v>
      </c>
      <c r="S718">
        <v>0.15</v>
      </c>
      <c r="T718">
        <v>8416129</v>
      </c>
    </row>
    <row r="719" spans="1:21" x14ac:dyDescent="0.15">
      <c r="A719" s="4" t="str">
        <f>HYPERLINK("https://ibp.a2mac1.com/costing(costing:projects/details/9760/component/8754690)","Washer &gt; Lock interior washer")</f>
        <v>Washer &gt; Lock interior washer</v>
      </c>
      <c r="B719">
        <v>8754690</v>
      </c>
      <c r="D719">
        <v>0</v>
      </c>
      <c r="E719">
        <v>0.03</v>
      </c>
      <c r="H719">
        <v>4</v>
      </c>
      <c r="I719">
        <v>800000</v>
      </c>
      <c r="J719" t="s">
        <v>76</v>
      </c>
      <c r="K719">
        <v>1</v>
      </c>
      <c r="L719">
        <v>18</v>
      </c>
      <c r="M719">
        <v>6</v>
      </c>
      <c r="O719">
        <v>5.0000000000000001E-4</v>
      </c>
      <c r="Q719">
        <v>0</v>
      </c>
      <c r="R719">
        <v>0</v>
      </c>
      <c r="S719">
        <v>0.12</v>
      </c>
      <c r="T719">
        <v>8416130</v>
      </c>
    </row>
    <row r="720" spans="1:21" x14ac:dyDescent="0.15">
      <c r="A720" s="4" t="str">
        <f>HYPERLINK("https://ibp.a2mac1.com/costing(costing:projects/details/9760/component/8754365)","Nut &gt; Hexagonal nut with collar")</f>
        <v>Nut &gt; Hexagonal nut with collar</v>
      </c>
      <c r="B720">
        <v>8754365</v>
      </c>
      <c r="D720">
        <v>0</v>
      </c>
      <c r="E720">
        <v>0.09</v>
      </c>
      <c r="H720">
        <v>8</v>
      </c>
      <c r="I720">
        <v>1600000</v>
      </c>
      <c r="J720" t="s">
        <v>76</v>
      </c>
      <c r="K720">
        <v>10</v>
      </c>
      <c r="L720">
        <v>15</v>
      </c>
      <c r="M720">
        <v>9</v>
      </c>
      <c r="O720">
        <v>1.18E-2</v>
      </c>
      <c r="Q720">
        <v>0</v>
      </c>
      <c r="R720">
        <v>0</v>
      </c>
      <c r="S720">
        <v>0.72</v>
      </c>
      <c r="T720">
        <v>8415609</v>
      </c>
    </row>
    <row r="721" spans="1:20" x14ac:dyDescent="0.15">
      <c r="A721" s="4" t="str">
        <f>HYPERLINK("https://ibp.a2mac1.com/costing(costing:projects/details/9760/component/8754691)","Mechanics")</f>
        <v>Mechanics</v>
      </c>
      <c r="B721">
        <v>8754691</v>
      </c>
      <c r="D721">
        <v>0</v>
      </c>
      <c r="E721">
        <v>52.032499999999999</v>
      </c>
      <c r="H721">
        <v>1</v>
      </c>
      <c r="I721">
        <v>200000</v>
      </c>
      <c r="J721" t="s">
        <v>76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362</v>
      </c>
      <c r="Q721">
        <v>0</v>
      </c>
      <c r="R721">
        <v>0</v>
      </c>
      <c r="S721">
        <v>51.094652032877264</v>
      </c>
      <c r="T721">
        <v>8416131</v>
      </c>
    </row>
    <row r="722" spans="1:20" x14ac:dyDescent="0.15">
      <c r="A722" s="4" t="str">
        <f>HYPERLINK("https://ibp.a2mac1.com/costing(costing:projects/details/9760/component/8754692)","Electronics")</f>
        <v>Electronics</v>
      </c>
      <c r="B722">
        <v>8754692</v>
      </c>
      <c r="D722">
        <v>0</v>
      </c>
      <c r="E722">
        <v>51.044499999999999</v>
      </c>
      <c r="H722">
        <v>1</v>
      </c>
      <c r="I722">
        <v>200000</v>
      </c>
      <c r="J722" t="s">
        <v>76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364</v>
      </c>
      <c r="Q722">
        <v>0</v>
      </c>
      <c r="R722">
        <v>0</v>
      </c>
      <c r="S722">
        <v>47.901418913090893</v>
      </c>
      <c r="T722">
        <v>8416131</v>
      </c>
    </row>
    <row r="723" spans="1:20" x14ac:dyDescent="0.15">
      <c r="A723" s="4" t="str">
        <f>HYPERLINK("https://ibp.a2mac1.com/costing(costing:projects/details/9760/component/8754693)","Mechanics")</f>
        <v>Mechanics</v>
      </c>
      <c r="B723">
        <v>8754693</v>
      </c>
      <c r="D723">
        <v>0</v>
      </c>
      <c r="E723">
        <v>52.032499999999999</v>
      </c>
      <c r="H723">
        <v>1</v>
      </c>
      <c r="I723">
        <v>200000</v>
      </c>
      <c r="J723" t="s">
        <v>76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362</v>
      </c>
      <c r="Q723">
        <v>0</v>
      </c>
      <c r="R723">
        <v>0</v>
      </c>
      <c r="S723">
        <v>51.094652032877264</v>
      </c>
      <c r="T723">
        <v>8416132</v>
      </c>
    </row>
    <row r="724" spans="1:20" x14ac:dyDescent="0.15">
      <c r="A724" s="4" t="str">
        <f>HYPERLINK("https://ibp.a2mac1.com/costing(costing:projects/details/9760/component/8754694)","Electronics")</f>
        <v>Electronics</v>
      </c>
      <c r="B724">
        <v>8754694</v>
      </c>
      <c r="D724">
        <v>0</v>
      </c>
      <c r="E724">
        <v>51.044499999999999</v>
      </c>
      <c r="H724">
        <v>1</v>
      </c>
      <c r="I724">
        <v>200000</v>
      </c>
      <c r="J724" t="s">
        <v>76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364</v>
      </c>
      <c r="Q724">
        <v>0</v>
      </c>
      <c r="R724">
        <v>0</v>
      </c>
      <c r="S724">
        <v>47.901418913090893</v>
      </c>
      <c r="T724">
        <v>8416132</v>
      </c>
    </row>
    <row r="725" spans="1:20" x14ac:dyDescent="0.15">
      <c r="A725" s="4" t="str">
        <f>HYPERLINK("https://ibp.a2mac1.com/costing(costing:projects/details/9760/component/8754488)","Round head Screw M5x10")</f>
        <v>Round head Screw M5x10</v>
      </c>
      <c r="B725">
        <v>8754488</v>
      </c>
      <c r="D725">
        <v>0</v>
      </c>
      <c r="E725">
        <v>2.6880000000000001E-2</v>
      </c>
      <c r="F725" t="s">
        <v>1414</v>
      </c>
      <c r="H725">
        <v>1</v>
      </c>
      <c r="I725">
        <v>200000</v>
      </c>
      <c r="J725" t="s">
        <v>76</v>
      </c>
      <c r="K725">
        <v>0</v>
      </c>
      <c r="L725">
        <v>0</v>
      </c>
      <c r="M725">
        <v>0</v>
      </c>
      <c r="N725">
        <v>0</v>
      </c>
      <c r="O725">
        <v>2.0699999999999998E-3</v>
      </c>
      <c r="Q725">
        <v>0</v>
      </c>
      <c r="R725">
        <v>0</v>
      </c>
      <c r="S725">
        <v>2.6880000000000001E-2</v>
      </c>
      <c r="T725">
        <v>8415778</v>
      </c>
    </row>
    <row r="726" spans="1:20" x14ac:dyDescent="0.15">
      <c r="A726" s="4" t="str">
        <f>HYPERLINK("https://ibp.a2mac1.com/costing(costing:projects/details/9760/component/8754489)","Round head Screw M18x35")</f>
        <v>Round head Screw M18x35</v>
      </c>
      <c r="B726">
        <v>8754489</v>
      </c>
      <c r="D726">
        <v>0</v>
      </c>
      <c r="E726">
        <v>0.38452999999999998</v>
      </c>
      <c r="F726" t="s">
        <v>8628</v>
      </c>
      <c r="H726">
        <v>1</v>
      </c>
      <c r="I726">
        <v>200000</v>
      </c>
      <c r="J726" t="s">
        <v>76</v>
      </c>
      <c r="K726">
        <v>0</v>
      </c>
      <c r="L726">
        <v>0</v>
      </c>
      <c r="M726">
        <v>0</v>
      </c>
      <c r="N726">
        <v>0</v>
      </c>
      <c r="O726">
        <v>8.9300000000000004E-2</v>
      </c>
      <c r="Q726">
        <v>0</v>
      </c>
      <c r="R726">
        <v>0</v>
      </c>
      <c r="S726">
        <v>0.38452999999999998</v>
      </c>
      <c r="T726">
        <v>8415778</v>
      </c>
    </row>
    <row r="727" spans="1:20" x14ac:dyDescent="0.15">
      <c r="A727" s="4" t="str">
        <f>HYPERLINK("https://ibp.a2mac1.com/costing(costing:projects/details/9760/component/8754695)","Mechanics")</f>
        <v>Mechanics</v>
      </c>
      <c r="B727">
        <v>8754695</v>
      </c>
      <c r="D727">
        <v>0</v>
      </c>
      <c r="E727">
        <v>3.6217999999999999</v>
      </c>
      <c r="H727">
        <v>1</v>
      </c>
      <c r="I727">
        <v>400000</v>
      </c>
      <c r="J727" t="s">
        <v>76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362</v>
      </c>
      <c r="Q727">
        <v>0</v>
      </c>
      <c r="R727">
        <v>0</v>
      </c>
      <c r="S727">
        <v>3.478502000685058</v>
      </c>
      <c r="T727">
        <v>8416133</v>
      </c>
    </row>
    <row r="728" spans="1:20" x14ac:dyDescent="0.15">
      <c r="A728" s="4" t="str">
        <f>HYPERLINK("https://ibp.a2mac1.com/costing(costing:projects/details/9760/component/8754696)","Electronics")</f>
        <v>Electronics</v>
      </c>
      <c r="B728">
        <v>8754696</v>
      </c>
      <c r="D728">
        <v>0</v>
      </c>
      <c r="E728">
        <v>12.932399999999999</v>
      </c>
      <c r="H728">
        <v>1</v>
      </c>
      <c r="I728">
        <v>400000</v>
      </c>
      <c r="J728" t="s">
        <v>76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364</v>
      </c>
      <c r="Q728">
        <v>0</v>
      </c>
      <c r="R728">
        <v>0</v>
      </c>
      <c r="S728">
        <v>11.521295170617613</v>
      </c>
      <c r="T728">
        <v>8416133</v>
      </c>
    </row>
    <row r="729" spans="1:20" x14ac:dyDescent="0.15">
      <c r="A729" s="4" t="str">
        <f>HYPERLINK("https://ibp.a2mac1.com/costing(costing:projects/details/9760/component/8754490)","Round head Screw M4x13")</f>
        <v>Round head Screw M4x13</v>
      </c>
      <c r="B729">
        <v>8754490</v>
      </c>
      <c r="D729">
        <v>0</v>
      </c>
      <c r="E729">
        <v>2.435E-2</v>
      </c>
      <c r="F729" t="s">
        <v>1436</v>
      </c>
      <c r="H729">
        <v>1</v>
      </c>
      <c r="I729">
        <v>200000</v>
      </c>
      <c r="J729" t="s">
        <v>76</v>
      </c>
      <c r="K729">
        <v>0</v>
      </c>
      <c r="L729">
        <v>0</v>
      </c>
      <c r="M729">
        <v>0</v>
      </c>
      <c r="N729">
        <v>0</v>
      </c>
      <c r="O729">
        <v>1.4499999999999999E-3</v>
      </c>
      <c r="Q729">
        <v>0</v>
      </c>
      <c r="R729">
        <v>0</v>
      </c>
      <c r="S729">
        <v>2.435E-2</v>
      </c>
      <c r="T729">
        <v>8415779</v>
      </c>
    </row>
    <row r="730" spans="1:20" x14ac:dyDescent="0.15">
      <c r="A730" s="4" t="str">
        <f>HYPERLINK("https://ibp.a2mac1.com/costing(costing:projects/details/9760/component/8754491)","Mechanics")</f>
        <v>Mechanics</v>
      </c>
      <c r="B730">
        <v>8754491</v>
      </c>
      <c r="D730">
        <v>0</v>
      </c>
      <c r="E730">
        <v>38.728299999999997</v>
      </c>
      <c r="H730">
        <v>1</v>
      </c>
      <c r="I730">
        <v>200000</v>
      </c>
      <c r="J730" t="s">
        <v>76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362</v>
      </c>
      <c r="Q730">
        <v>0</v>
      </c>
      <c r="R730">
        <v>0</v>
      </c>
      <c r="S730">
        <v>38.030250561185419</v>
      </c>
      <c r="T730">
        <v>8415780</v>
      </c>
    </row>
    <row r="731" spans="1:20" x14ac:dyDescent="0.15">
      <c r="A731" s="4" t="str">
        <f>HYPERLINK("https://ibp.a2mac1.com/costing(costing:projects/details/9760/component/8754492)","Electronics")</f>
        <v>Electronics</v>
      </c>
      <c r="B731">
        <v>8754492</v>
      </c>
      <c r="D731">
        <v>0</v>
      </c>
      <c r="E731">
        <v>79.861599999999996</v>
      </c>
      <c r="H731">
        <v>1</v>
      </c>
      <c r="I731">
        <v>200000</v>
      </c>
      <c r="J731" t="s">
        <v>76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364</v>
      </c>
      <c r="Q731">
        <v>0</v>
      </c>
      <c r="R731">
        <v>0</v>
      </c>
      <c r="S731">
        <v>74.944096948147191</v>
      </c>
      <c r="T731">
        <v>8415780</v>
      </c>
    </row>
    <row r="732" spans="1:20" x14ac:dyDescent="0.15">
      <c r="A732" s="4" t="str">
        <f>HYPERLINK("https://ibp.a2mac1.com/costing(costing:projects/details/9760/component/8754697)","Mechanics")</f>
        <v>Mechanics</v>
      </c>
      <c r="B732">
        <v>8754697</v>
      </c>
      <c r="D732">
        <v>0</v>
      </c>
      <c r="E732">
        <v>11.3308</v>
      </c>
      <c r="H732">
        <v>1</v>
      </c>
      <c r="I732">
        <v>200000</v>
      </c>
      <c r="J732" t="s">
        <v>76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362</v>
      </c>
      <c r="Q732">
        <v>0</v>
      </c>
      <c r="R732">
        <v>0</v>
      </c>
      <c r="S732">
        <v>11.126570571356858</v>
      </c>
      <c r="T732">
        <v>8416134</v>
      </c>
    </row>
    <row r="733" spans="1:20" x14ac:dyDescent="0.15">
      <c r="A733" s="4" t="str">
        <f>HYPERLINK("https://ibp.a2mac1.com/costing(costing:projects/details/9760/component/8754698)","Electronics")</f>
        <v>Electronics</v>
      </c>
      <c r="B733">
        <v>8754698</v>
      </c>
      <c r="D733">
        <v>0</v>
      </c>
      <c r="E733">
        <v>24.7806</v>
      </c>
      <c r="H733">
        <v>1</v>
      </c>
      <c r="I733">
        <v>200000</v>
      </c>
      <c r="J733" t="s">
        <v>76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364</v>
      </c>
      <c r="Q733">
        <v>0</v>
      </c>
      <c r="R733">
        <v>0</v>
      </c>
      <c r="S733">
        <v>23.254726787758528</v>
      </c>
      <c r="T733">
        <v>8416134</v>
      </c>
    </row>
    <row r="734" spans="1:20" x14ac:dyDescent="0.15">
      <c r="A734" s="4" t="str">
        <f>HYPERLINK("https://ibp.a2mac1.com/costing(costing:projects/details/9760/component/8754699)","Mechanics")</f>
        <v>Mechanics</v>
      </c>
      <c r="B734">
        <v>8754699</v>
      </c>
      <c r="D734">
        <v>0</v>
      </c>
      <c r="E734">
        <v>11.3308</v>
      </c>
      <c r="H734">
        <v>1</v>
      </c>
      <c r="I734">
        <v>200000</v>
      </c>
      <c r="J734" t="s">
        <v>76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362</v>
      </c>
      <c r="Q734">
        <v>0</v>
      </c>
      <c r="R734">
        <v>0</v>
      </c>
      <c r="S734">
        <v>11.126570571356858</v>
      </c>
      <c r="T734">
        <v>8416135</v>
      </c>
    </row>
    <row r="735" spans="1:20" x14ac:dyDescent="0.15">
      <c r="A735" s="4" t="str">
        <f>HYPERLINK("https://ibp.a2mac1.com/costing(costing:projects/details/9760/component/8754700)","Electronics")</f>
        <v>Electronics</v>
      </c>
      <c r="B735">
        <v>8754700</v>
      </c>
      <c r="D735">
        <v>0</v>
      </c>
      <c r="E735">
        <v>24.7806</v>
      </c>
      <c r="H735">
        <v>1</v>
      </c>
      <c r="I735">
        <v>200000</v>
      </c>
      <c r="J735" t="s">
        <v>76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364</v>
      </c>
      <c r="Q735">
        <v>0</v>
      </c>
      <c r="R735">
        <v>0</v>
      </c>
      <c r="S735">
        <v>23.254726787758528</v>
      </c>
      <c r="T735">
        <v>8416135</v>
      </c>
    </row>
    <row r="736" spans="1:20" x14ac:dyDescent="0.15">
      <c r="A736" s="4" t="str">
        <f>HYPERLINK("https://ibp.a2mac1.com/costing(costing:projects/details/9760/component/8754493)","Other fastener &gt; Attachment")</f>
        <v>Other fastener &gt; Attachment</v>
      </c>
      <c r="B736">
        <v>8754493</v>
      </c>
      <c r="D736">
        <v>0</v>
      </c>
      <c r="E736">
        <v>0.2</v>
      </c>
      <c r="H736">
        <v>1</v>
      </c>
      <c r="I736">
        <v>200000</v>
      </c>
      <c r="J736" t="s">
        <v>76</v>
      </c>
      <c r="K736">
        <v>9</v>
      </c>
      <c r="L736">
        <v>8</v>
      </c>
      <c r="M736">
        <v>30</v>
      </c>
      <c r="O736">
        <v>1E-3</v>
      </c>
      <c r="Q736">
        <v>0</v>
      </c>
      <c r="R736">
        <v>0</v>
      </c>
      <c r="S736">
        <v>0.2</v>
      </c>
      <c r="T736">
        <v>8415785</v>
      </c>
    </row>
    <row r="737" spans="1:20" x14ac:dyDescent="0.15">
      <c r="A737" s="4" t="str">
        <f>HYPERLINK("https://ibp.a2mac1.com/costing(costing:projects/details/9760/component/8754494)","Round head Screw M6x18")</f>
        <v>Round head Screw M6x18</v>
      </c>
      <c r="B737">
        <v>8754494</v>
      </c>
      <c r="D737">
        <v>0</v>
      </c>
      <c r="E737">
        <v>3.7109999999999997E-2</v>
      </c>
      <c r="F737" t="s">
        <v>378</v>
      </c>
      <c r="H737">
        <v>1</v>
      </c>
      <c r="I737">
        <v>200000</v>
      </c>
      <c r="J737" t="s">
        <v>76</v>
      </c>
      <c r="K737">
        <v>0</v>
      </c>
      <c r="L737">
        <v>0</v>
      </c>
      <c r="M737">
        <v>0</v>
      </c>
      <c r="N737">
        <v>0</v>
      </c>
      <c r="O737">
        <v>4.5599999999999998E-3</v>
      </c>
      <c r="Q737">
        <v>0</v>
      </c>
      <c r="R737">
        <v>0</v>
      </c>
      <c r="S737">
        <v>3.7109999999999997E-2</v>
      </c>
      <c r="T737">
        <v>8415785</v>
      </c>
    </row>
    <row r="738" spans="1:20" x14ac:dyDescent="0.15">
      <c r="A738" s="4" t="str">
        <f>HYPERLINK("https://ibp.a2mac1.com/costing(costing:projects/details/9760/component/8754366)","Nut &gt; Clipping nut for soft materials screw")</f>
        <v>Nut &gt; Clipping nut for soft materials screw</v>
      </c>
      <c r="B738">
        <v>8754366</v>
      </c>
      <c r="D738">
        <v>0</v>
      </c>
      <c r="E738">
        <v>0</v>
      </c>
      <c r="H738">
        <v>2</v>
      </c>
      <c r="I738">
        <v>400000</v>
      </c>
      <c r="J738" t="s">
        <v>76</v>
      </c>
      <c r="K738">
        <v>18</v>
      </c>
      <c r="L738">
        <v>5</v>
      </c>
      <c r="M738">
        <v>12</v>
      </c>
      <c r="O738">
        <v>1.5E-3</v>
      </c>
      <c r="Q738">
        <v>0</v>
      </c>
      <c r="R738">
        <v>0</v>
      </c>
      <c r="S738">
        <v>0</v>
      </c>
      <c r="T738">
        <v>8415611</v>
      </c>
    </row>
    <row r="739" spans="1:20" x14ac:dyDescent="0.15">
      <c r="A739" s="4" t="str">
        <f>HYPERLINK("https://ibp.a2mac1.com/costing(costing:projects/details/9760/component/8754495)","Mechanics")</f>
        <v>Mechanics</v>
      </c>
      <c r="B739">
        <v>8754495</v>
      </c>
      <c r="D739">
        <v>0</v>
      </c>
      <c r="E739">
        <v>2.2789000000000001</v>
      </c>
      <c r="H739">
        <v>1</v>
      </c>
      <c r="I739">
        <v>200000</v>
      </c>
      <c r="J739" t="s">
        <v>76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362</v>
      </c>
      <c r="Q739">
        <v>0</v>
      </c>
      <c r="R739">
        <v>0</v>
      </c>
      <c r="S739">
        <v>2.2378244850376974</v>
      </c>
      <c r="T739">
        <v>8415786</v>
      </c>
    </row>
    <row r="740" spans="1:20" x14ac:dyDescent="0.15">
      <c r="A740" s="4" t="str">
        <f>HYPERLINK("https://ibp.a2mac1.com/costing(costing:projects/details/9760/component/8754496)","Electronics")</f>
        <v>Electronics</v>
      </c>
      <c r="B740">
        <v>8754496</v>
      </c>
      <c r="D740">
        <v>0</v>
      </c>
      <c r="E740">
        <v>8.5683000000000007</v>
      </c>
      <c r="H740">
        <v>1</v>
      </c>
      <c r="I740">
        <v>200000</v>
      </c>
      <c r="J740" t="s">
        <v>76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364</v>
      </c>
      <c r="Q740">
        <v>0</v>
      </c>
      <c r="R740">
        <v>0</v>
      </c>
      <c r="S740">
        <v>8.040704241848518</v>
      </c>
      <c r="T740">
        <v>8415786</v>
      </c>
    </row>
    <row r="741" spans="1:20" x14ac:dyDescent="0.15">
      <c r="A741" s="4" t="str">
        <f>HYPERLINK("https://ibp.a2mac1.com/costing(costing:projects/details/9760/component/8754367)","Panel holder &gt; Clips for panel side")</f>
        <v>Panel holder &gt; Clips for panel side</v>
      </c>
      <c r="B741">
        <v>8754367</v>
      </c>
      <c r="D741">
        <v>0</v>
      </c>
      <c r="E741">
        <v>0.1</v>
      </c>
      <c r="H741">
        <v>2</v>
      </c>
      <c r="I741">
        <v>400000</v>
      </c>
      <c r="J741" t="s">
        <v>76</v>
      </c>
      <c r="M741">
        <v>22</v>
      </c>
      <c r="O741">
        <v>3.0000000000000001E-3</v>
      </c>
      <c r="Q741">
        <v>0</v>
      </c>
      <c r="R741">
        <v>0</v>
      </c>
      <c r="S741">
        <v>0.2</v>
      </c>
      <c r="T741">
        <v>8415612</v>
      </c>
    </row>
    <row r="742" spans="1:20" x14ac:dyDescent="0.15">
      <c r="A742" s="4" t="str">
        <f>HYPERLINK("https://ibp.a2mac1.com/costing(costing:projects/details/9760/component/8754368)","Round head Screw M3.5x10")</f>
        <v>Round head Screw M3.5x10</v>
      </c>
      <c r="B742">
        <v>8754368</v>
      </c>
      <c r="D742">
        <v>0</v>
      </c>
      <c r="E742">
        <v>2.1999999999999999E-2</v>
      </c>
      <c r="F742" t="s">
        <v>415</v>
      </c>
      <c r="H742">
        <v>1</v>
      </c>
      <c r="I742">
        <v>200000</v>
      </c>
      <c r="J742" t="s">
        <v>76</v>
      </c>
      <c r="K742">
        <v>0</v>
      </c>
      <c r="L742">
        <v>0</v>
      </c>
      <c r="M742">
        <v>0</v>
      </c>
      <c r="N742">
        <v>0</v>
      </c>
      <c r="O742">
        <v>8.8000000000000003E-4</v>
      </c>
      <c r="Q742">
        <v>0</v>
      </c>
      <c r="R742">
        <v>0</v>
      </c>
      <c r="S742">
        <v>2.1999999999999999E-2</v>
      </c>
      <c r="T742">
        <v>8415612</v>
      </c>
    </row>
    <row r="743" spans="1:20" x14ac:dyDescent="0.15">
      <c r="A743" s="4" t="str">
        <f>HYPERLINK("https://ibp.a2mac1.com/costing(costing:projects/details/9760/component/8754497)","Round head Screw M5x14")</f>
        <v>Round head Screw M5x14</v>
      </c>
      <c r="B743">
        <v>8754497</v>
      </c>
      <c r="D743">
        <v>0</v>
      </c>
      <c r="E743">
        <v>2.8879999999999999E-2</v>
      </c>
      <c r="F743" t="s">
        <v>8676</v>
      </c>
      <c r="H743">
        <v>1</v>
      </c>
      <c r="I743">
        <v>200000</v>
      </c>
      <c r="J743" t="s">
        <v>76</v>
      </c>
      <c r="K743">
        <v>0</v>
      </c>
      <c r="L743">
        <v>0</v>
      </c>
      <c r="M743">
        <v>0</v>
      </c>
      <c r="N743">
        <v>0</v>
      </c>
      <c r="O743">
        <v>2.5600000000000002E-3</v>
      </c>
      <c r="Q743">
        <v>0</v>
      </c>
      <c r="R743">
        <v>0</v>
      </c>
      <c r="S743">
        <v>2.8879999999999999E-2</v>
      </c>
      <c r="T743">
        <v>8415789</v>
      </c>
    </row>
    <row r="744" spans="1:20" x14ac:dyDescent="0.15">
      <c r="A744" s="4" t="str">
        <f>HYPERLINK("https://ibp.a2mac1.com/costing(costing:projects/details/9760/component/8754498)","Round head Screw M5x12")</f>
        <v>Round head Screw M5x12</v>
      </c>
      <c r="B744">
        <v>8754498</v>
      </c>
      <c r="D744">
        <v>0</v>
      </c>
      <c r="E744">
        <v>2.7879999999999999E-2</v>
      </c>
      <c r="F744" t="s">
        <v>1446</v>
      </c>
      <c r="H744">
        <v>1</v>
      </c>
      <c r="I744">
        <v>200000</v>
      </c>
      <c r="J744" t="s">
        <v>76</v>
      </c>
      <c r="K744">
        <v>0</v>
      </c>
      <c r="L744">
        <v>0</v>
      </c>
      <c r="M744">
        <v>0</v>
      </c>
      <c r="N744">
        <v>0</v>
      </c>
      <c r="O744">
        <v>2.31E-3</v>
      </c>
      <c r="Q744">
        <v>0</v>
      </c>
      <c r="R744">
        <v>0</v>
      </c>
      <c r="S744">
        <v>2.7879999999999999E-2</v>
      </c>
      <c r="T744">
        <v>8415789</v>
      </c>
    </row>
    <row r="745" spans="1:20" x14ac:dyDescent="0.15">
      <c r="A745" s="4" t="str">
        <f>HYPERLINK("https://ibp.a2mac1.com/costing(costing:projects/details/9760/component/8754499)","Round head Screw M6x12")</f>
        <v>Round head Screw M6x12</v>
      </c>
      <c r="B745">
        <v>8754499</v>
      </c>
      <c r="D745">
        <v>0</v>
      </c>
      <c r="E745">
        <v>3.2820000000000002E-2</v>
      </c>
      <c r="F745" t="s">
        <v>458</v>
      </c>
      <c r="H745">
        <v>1</v>
      </c>
      <c r="I745">
        <v>200000</v>
      </c>
      <c r="J745" t="s">
        <v>76</v>
      </c>
      <c r="K745">
        <v>0</v>
      </c>
      <c r="L745">
        <v>0</v>
      </c>
      <c r="M745">
        <v>0</v>
      </c>
      <c r="N745">
        <v>0</v>
      </c>
      <c r="O745">
        <v>3.5200000000000001E-3</v>
      </c>
      <c r="Q745">
        <v>0</v>
      </c>
      <c r="R745">
        <v>0</v>
      </c>
      <c r="S745">
        <v>3.2820000000000002E-2</v>
      </c>
      <c r="T745">
        <v>8415789</v>
      </c>
    </row>
    <row r="746" spans="1:20" x14ac:dyDescent="0.15">
      <c r="A746" s="4" t="str">
        <f>HYPERLINK("https://ibp.a2mac1.com/costing(costing:projects/details/9760/component/8754500)","Round head Screw M6x10")</f>
        <v>Round head Screw M6x10</v>
      </c>
      <c r="B746">
        <v>8754500</v>
      </c>
      <c r="D746">
        <v>0</v>
      </c>
      <c r="E746">
        <v>3.1379999999999998E-2</v>
      </c>
      <c r="F746" t="s">
        <v>437</v>
      </c>
      <c r="H746">
        <v>1</v>
      </c>
      <c r="I746">
        <v>200000</v>
      </c>
      <c r="J746" t="s">
        <v>76</v>
      </c>
      <c r="K746">
        <v>0</v>
      </c>
      <c r="L746">
        <v>0</v>
      </c>
      <c r="M746">
        <v>0</v>
      </c>
      <c r="N746">
        <v>0</v>
      </c>
      <c r="O746">
        <v>3.1700000000000001E-3</v>
      </c>
      <c r="Q746">
        <v>0</v>
      </c>
      <c r="R746">
        <v>0</v>
      </c>
      <c r="S746">
        <v>3.1379999999999998E-2</v>
      </c>
      <c r="T746">
        <v>8415789</v>
      </c>
    </row>
    <row r="747" spans="1:20" x14ac:dyDescent="0.15">
      <c r="A747" s="4" t="str">
        <f>HYPERLINK("https://ibp.a2mac1.com/costing(costing:projects/details/9760/component/8754501)","Round head Screw M6x16")</f>
        <v>Round head Screw M6x16</v>
      </c>
      <c r="B747">
        <v>8754501</v>
      </c>
      <c r="D747">
        <v>0</v>
      </c>
      <c r="E747">
        <v>3.5680000000000003E-2</v>
      </c>
      <c r="F747" t="s">
        <v>431</v>
      </c>
      <c r="H747">
        <v>1</v>
      </c>
      <c r="I747">
        <v>200000</v>
      </c>
      <c r="J747" t="s">
        <v>76</v>
      </c>
      <c r="K747">
        <v>0</v>
      </c>
      <c r="L747">
        <v>0</v>
      </c>
      <c r="M747">
        <v>0</v>
      </c>
      <c r="N747">
        <v>0</v>
      </c>
      <c r="O747">
        <v>4.2199999999999998E-3</v>
      </c>
      <c r="Q747">
        <v>0</v>
      </c>
      <c r="R747">
        <v>0</v>
      </c>
      <c r="S747">
        <v>3.5680000000000003E-2</v>
      </c>
      <c r="T747">
        <v>8415789</v>
      </c>
    </row>
    <row r="748" spans="1:20" x14ac:dyDescent="0.15">
      <c r="A748" s="4" t="str">
        <f>HYPERLINK("https://ibp.a2mac1.com/costing(costing:projects/details/9760/component/8754502)","Round head Screw M5x14")</f>
        <v>Round head Screw M5x14</v>
      </c>
      <c r="B748">
        <v>8754502</v>
      </c>
      <c r="D748">
        <v>0</v>
      </c>
      <c r="E748">
        <v>2.8879999999999999E-2</v>
      </c>
      <c r="F748" t="s">
        <v>8676</v>
      </c>
      <c r="H748">
        <v>1</v>
      </c>
      <c r="I748">
        <v>200000</v>
      </c>
      <c r="J748" t="s">
        <v>76</v>
      </c>
      <c r="K748">
        <v>0</v>
      </c>
      <c r="L748">
        <v>0</v>
      </c>
      <c r="M748">
        <v>0</v>
      </c>
      <c r="N748">
        <v>0</v>
      </c>
      <c r="O748">
        <v>2.5600000000000002E-3</v>
      </c>
      <c r="Q748">
        <v>0</v>
      </c>
      <c r="R748">
        <v>0</v>
      </c>
      <c r="S748">
        <v>2.8879999999999999E-2</v>
      </c>
      <c r="T748">
        <v>8415790</v>
      </c>
    </row>
    <row r="749" spans="1:20" x14ac:dyDescent="0.15">
      <c r="A749" s="4" t="str">
        <f>HYPERLINK("https://ibp.a2mac1.com/costing(costing:projects/details/9760/component/8754503)","Stud &gt; Knee screwed dowel")</f>
        <v>Stud &gt; Knee screwed dowel</v>
      </c>
      <c r="B749">
        <v>8754503</v>
      </c>
      <c r="D749">
        <v>0</v>
      </c>
      <c r="E749">
        <v>0.1</v>
      </c>
      <c r="H749">
        <v>2</v>
      </c>
      <c r="I749">
        <v>400000</v>
      </c>
      <c r="J749" t="s">
        <v>76</v>
      </c>
      <c r="K749">
        <v>18</v>
      </c>
      <c r="L749">
        <v>9</v>
      </c>
      <c r="M749">
        <v>10</v>
      </c>
      <c r="O749">
        <v>6.4999999999999997E-3</v>
      </c>
      <c r="Q749">
        <v>0</v>
      </c>
      <c r="R749">
        <v>0</v>
      </c>
      <c r="S749">
        <v>0.2</v>
      </c>
      <c r="T749">
        <v>8415790</v>
      </c>
    </row>
    <row r="750" spans="1:20" x14ac:dyDescent="0.15">
      <c r="A750" s="4" t="str">
        <f>HYPERLINK("https://ibp.a2mac1.com/costing(costing:projects/details/9760/component/8754504)","Round head Screw M6x16")</f>
        <v>Round head Screw M6x16</v>
      </c>
      <c r="B750">
        <v>8754504</v>
      </c>
      <c r="D750">
        <v>0</v>
      </c>
      <c r="E750">
        <v>3.5680000000000003E-2</v>
      </c>
      <c r="F750" t="s">
        <v>431</v>
      </c>
      <c r="H750">
        <v>1</v>
      </c>
      <c r="I750">
        <v>200000</v>
      </c>
      <c r="J750" t="s">
        <v>76</v>
      </c>
      <c r="K750">
        <v>0</v>
      </c>
      <c r="L750">
        <v>0</v>
      </c>
      <c r="M750">
        <v>0</v>
      </c>
      <c r="N750">
        <v>0</v>
      </c>
      <c r="O750">
        <v>4.2199999999999998E-3</v>
      </c>
      <c r="Q750">
        <v>0</v>
      </c>
      <c r="R750">
        <v>0</v>
      </c>
      <c r="S750">
        <v>3.5680000000000003E-2</v>
      </c>
      <c r="T750">
        <v>8415790</v>
      </c>
    </row>
    <row r="751" spans="1:20" x14ac:dyDescent="0.15">
      <c r="A751" s="4" t="str">
        <f>HYPERLINK("https://ibp.a2mac1.com/costing(costing:projects/details/9760/component/8754701)","Electronics")</f>
        <v>Electronics</v>
      </c>
      <c r="B751">
        <v>8754701</v>
      </c>
      <c r="D751">
        <v>0</v>
      </c>
      <c r="E751">
        <v>2.6766999999999999</v>
      </c>
      <c r="H751">
        <v>1</v>
      </c>
      <c r="I751">
        <v>200000</v>
      </c>
      <c r="J751" t="s">
        <v>76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364</v>
      </c>
      <c r="Q751">
        <v>0</v>
      </c>
      <c r="R751">
        <v>0</v>
      </c>
      <c r="S751">
        <v>2.5118813585140494</v>
      </c>
      <c r="T751">
        <v>8416145</v>
      </c>
    </row>
    <row r="752" spans="1:20" x14ac:dyDescent="0.15">
      <c r="A752" s="4" t="str">
        <f>HYPERLINK("https://ibp.a2mac1.com/costing(costing:projects/details/9760/component/8754702)","Mechanics")</f>
        <v>Mechanics</v>
      </c>
      <c r="B752">
        <v>8754702</v>
      </c>
      <c r="D752">
        <v>0</v>
      </c>
      <c r="E752">
        <v>4.2796000000000003</v>
      </c>
      <c r="H752">
        <v>1</v>
      </c>
      <c r="I752">
        <v>200000</v>
      </c>
      <c r="J752" t="s">
        <v>76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362</v>
      </c>
      <c r="Q752">
        <v>0</v>
      </c>
      <c r="R752">
        <v>0</v>
      </c>
      <c r="S752">
        <v>4.2024633227290931</v>
      </c>
      <c r="T752">
        <v>8416145</v>
      </c>
    </row>
    <row r="753" spans="1:20" x14ac:dyDescent="0.15">
      <c r="A753" s="4" t="str">
        <f>HYPERLINK("https://ibp.a2mac1.com/costing(costing:projects/details/9760/component/8754703)","Electronics")</f>
        <v>Electronics</v>
      </c>
      <c r="B753">
        <v>8754703</v>
      </c>
      <c r="D753">
        <v>0</v>
      </c>
      <c r="E753">
        <v>2.6766999999999999</v>
      </c>
      <c r="H753">
        <v>1</v>
      </c>
      <c r="I753">
        <v>200000</v>
      </c>
      <c r="J753" t="s">
        <v>76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364</v>
      </c>
      <c r="Q753">
        <v>0</v>
      </c>
      <c r="R753">
        <v>0</v>
      </c>
      <c r="S753">
        <v>2.5118813585140494</v>
      </c>
      <c r="T753">
        <v>8416146</v>
      </c>
    </row>
    <row r="754" spans="1:20" x14ac:dyDescent="0.15">
      <c r="A754" s="4" t="str">
        <f>HYPERLINK("https://ibp.a2mac1.com/costing(costing:projects/details/9760/component/8754704)","Mechanics")</f>
        <v>Mechanics</v>
      </c>
      <c r="B754">
        <v>8754704</v>
      </c>
      <c r="D754">
        <v>0</v>
      </c>
      <c r="E754">
        <v>4.2796000000000003</v>
      </c>
      <c r="H754">
        <v>1</v>
      </c>
      <c r="I754">
        <v>200000</v>
      </c>
      <c r="J754" t="s">
        <v>76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362</v>
      </c>
      <c r="Q754">
        <v>0</v>
      </c>
      <c r="R754">
        <v>0</v>
      </c>
      <c r="S754">
        <v>4.2024633227290931</v>
      </c>
      <c r="T754">
        <v>8416146</v>
      </c>
    </row>
    <row r="755" spans="1:20" x14ac:dyDescent="0.15">
      <c r="A755" s="4" t="str">
        <f>HYPERLINK("https://ibp.a2mac1.com/costing(costing:projects/details/9760/component/8754505)","Round head Screw M4x18")</f>
        <v>Round head Screw M4x18</v>
      </c>
      <c r="B755">
        <v>8754505</v>
      </c>
      <c r="D755">
        <v>0</v>
      </c>
      <c r="E755">
        <v>2.5919999999999999E-2</v>
      </c>
      <c r="F755" t="s">
        <v>5189</v>
      </c>
      <c r="H755">
        <v>1</v>
      </c>
      <c r="I755">
        <v>200000</v>
      </c>
      <c r="J755" t="s">
        <v>76</v>
      </c>
      <c r="K755">
        <v>0</v>
      </c>
      <c r="L755">
        <v>0</v>
      </c>
      <c r="M755">
        <v>0</v>
      </c>
      <c r="N755">
        <v>0</v>
      </c>
      <c r="O755">
        <v>1.83E-3</v>
      </c>
      <c r="Q755">
        <v>0</v>
      </c>
      <c r="R755">
        <v>0</v>
      </c>
      <c r="S755">
        <v>2.5919999999999999E-2</v>
      </c>
      <c r="T755">
        <v>8415791</v>
      </c>
    </row>
    <row r="756" spans="1:20" x14ac:dyDescent="0.15">
      <c r="A756" s="4" t="str">
        <f>HYPERLINK("https://ibp.a2mac1.com/costing(costing:projects/details/9760/component/8754506)","Round head Screw M4x18")</f>
        <v>Round head Screw M4x18</v>
      </c>
      <c r="B756">
        <v>8754506</v>
      </c>
      <c r="D756">
        <v>0</v>
      </c>
      <c r="E756">
        <v>2.5919999999999999E-2</v>
      </c>
      <c r="F756" t="s">
        <v>5189</v>
      </c>
      <c r="H756">
        <v>1</v>
      </c>
      <c r="I756">
        <v>200000</v>
      </c>
      <c r="J756" t="s">
        <v>76</v>
      </c>
      <c r="K756">
        <v>0</v>
      </c>
      <c r="L756">
        <v>0</v>
      </c>
      <c r="M756">
        <v>0</v>
      </c>
      <c r="N756">
        <v>0</v>
      </c>
      <c r="O756">
        <v>1.83E-3</v>
      </c>
      <c r="Q756">
        <v>0</v>
      </c>
      <c r="R756">
        <v>0</v>
      </c>
      <c r="S756">
        <v>2.5919999999999999E-2</v>
      </c>
      <c r="T756">
        <v>8415791</v>
      </c>
    </row>
    <row r="757" spans="1:20" x14ac:dyDescent="0.15">
      <c r="A757" s="4" t="str">
        <f>HYPERLINK("https://ibp.a2mac1.com/costing(costing:projects/details/9760/component/8754507)","Electronics")</f>
        <v>Electronics</v>
      </c>
      <c r="B757">
        <v>8754507</v>
      </c>
      <c r="D757">
        <v>0</v>
      </c>
      <c r="E757">
        <v>0.93</v>
      </c>
      <c r="H757">
        <v>1</v>
      </c>
      <c r="I757">
        <v>200000</v>
      </c>
      <c r="J757" t="s">
        <v>76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364</v>
      </c>
      <c r="Q757">
        <v>0</v>
      </c>
      <c r="R757">
        <v>0</v>
      </c>
      <c r="S757">
        <v>0.87273495850041682</v>
      </c>
      <c r="T757">
        <v>8415792</v>
      </c>
    </row>
    <row r="758" spans="1:20" x14ac:dyDescent="0.15">
      <c r="A758" s="4" t="str">
        <f>HYPERLINK("https://ibp.a2mac1.com/costing(costing:projects/details/9760/component/8754508)","Mechanics")</f>
        <v>Mechanics</v>
      </c>
      <c r="B758">
        <v>8754508</v>
      </c>
      <c r="D758">
        <v>0</v>
      </c>
      <c r="E758">
        <v>9.39</v>
      </c>
      <c r="H758">
        <v>1</v>
      </c>
      <c r="I758">
        <v>200000</v>
      </c>
      <c r="J758" t="s">
        <v>76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362</v>
      </c>
      <c r="Q758">
        <v>0</v>
      </c>
      <c r="R758">
        <v>0</v>
      </c>
      <c r="S758">
        <v>9.2207520797331952</v>
      </c>
      <c r="T758">
        <v>8415792</v>
      </c>
    </row>
    <row r="759" spans="1:20" x14ac:dyDescent="0.15">
      <c r="A759" s="4" t="str">
        <f>HYPERLINK("https://ibp.a2mac1.com/costing(costing:projects/details/9760/component/8754509)","Nut &gt; Hexagonal nut with collar")</f>
        <v>Nut &gt; Hexagonal nut with collar</v>
      </c>
      <c r="B759">
        <v>8754509</v>
      </c>
      <c r="D759">
        <v>0</v>
      </c>
      <c r="E759">
        <v>0.02</v>
      </c>
      <c r="H759">
        <v>1</v>
      </c>
      <c r="I759">
        <v>200000</v>
      </c>
      <c r="J759" t="s">
        <v>76</v>
      </c>
      <c r="K759">
        <v>10</v>
      </c>
      <c r="L759">
        <v>15</v>
      </c>
      <c r="M759">
        <v>10</v>
      </c>
      <c r="O759">
        <v>1.2E-2</v>
      </c>
      <c r="Q759">
        <v>0</v>
      </c>
      <c r="R759">
        <v>0</v>
      </c>
      <c r="S759">
        <v>0.02</v>
      </c>
      <c r="T759">
        <v>8415796</v>
      </c>
    </row>
    <row r="760" spans="1:20" x14ac:dyDescent="0.15">
      <c r="A760" s="4" t="str">
        <f>HYPERLINK("https://ibp.a2mac1.com/costing(costing:projects/details/9760/component/8754510)","Nut &gt; Hexagonal nut with collar")</f>
        <v>Nut &gt; Hexagonal nut with collar</v>
      </c>
      <c r="B760">
        <v>8754510</v>
      </c>
      <c r="D760">
        <v>0</v>
      </c>
      <c r="E760">
        <v>0.02</v>
      </c>
      <c r="H760">
        <v>1</v>
      </c>
      <c r="I760">
        <v>200000</v>
      </c>
      <c r="J760" t="s">
        <v>76</v>
      </c>
      <c r="K760">
        <v>10</v>
      </c>
      <c r="L760">
        <v>15</v>
      </c>
      <c r="M760">
        <v>10</v>
      </c>
      <c r="O760">
        <v>1.0999999999999999E-2</v>
      </c>
      <c r="Q760">
        <v>0</v>
      </c>
      <c r="R760">
        <v>0</v>
      </c>
      <c r="S760">
        <v>0.02</v>
      </c>
      <c r="T760">
        <v>8415796</v>
      </c>
    </row>
    <row r="761" spans="1:20" x14ac:dyDescent="0.15">
      <c r="A761" s="4" t="str">
        <f>HYPERLINK("https://ibp.a2mac1.com/costing(costing:projects/details/9760/component/8754369)","Screw &gt; Hexagon screw")</f>
        <v>Screw &gt; Hexagon screw</v>
      </c>
      <c r="B761">
        <v>8754369</v>
      </c>
      <c r="D761">
        <v>0</v>
      </c>
      <c r="E761">
        <v>0.05</v>
      </c>
      <c r="H761">
        <v>3</v>
      </c>
      <c r="I761">
        <v>600000</v>
      </c>
      <c r="J761" t="s">
        <v>76</v>
      </c>
      <c r="K761">
        <v>14</v>
      </c>
      <c r="L761">
        <v>10</v>
      </c>
      <c r="M761">
        <v>6</v>
      </c>
      <c r="O761">
        <v>5.0000000000000001E-3</v>
      </c>
      <c r="Q761">
        <v>0</v>
      </c>
      <c r="R761">
        <v>0</v>
      </c>
      <c r="S761">
        <v>0.15</v>
      </c>
      <c r="T761">
        <v>8415616</v>
      </c>
    </row>
    <row r="762" spans="1:20" x14ac:dyDescent="0.15">
      <c r="A762" s="4" t="str">
        <f>HYPERLINK("https://ibp.a2mac1.com/costing(costing:projects/details/9760/component/8754370)","Spacer/Axle &gt; Flange")</f>
        <v>Spacer/Axle &gt; Flange</v>
      </c>
      <c r="B762">
        <v>8754370</v>
      </c>
      <c r="D762">
        <v>0</v>
      </c>
      <c r="E762">
        <v>0.05</v>
      </c>
      <c r="H762">
        <v>1</v>
      </c>
      <c r="I762">
        <v>200000</v>
      </c>
      <c r="J762" t="s">
        <v>76</v>
      </c>
      <c r="K762">
        <v>24</v>
      </c>
      <c r="L762">
        <v>12</v>
      </c>
      <c r="M762">
        <v>13</v>
      </c>
      <c r="O762">
        <v>8.0000000000000002E-3</v>
      </c>
      <c r="Q762">
        <v>0</v>
      </c>
      <c r="R762">
        <v>0</v>
      </c>
      <c r="S762">
        <v>0.05</v>
      </c>
      <c r="T762">
        <v>8415616</v>
      </c>
    </row>
    <row r="763" spans="1:20" x14ac:dyDescent="0.15">
      <c r="A763" s="4" t="str">
        <f>HYPERLINK("https://ibp.a2mac1.com/costing(costing:projects/details/9760/component/8754371)","Screw &gt; Hexagon screw with captive washer")</f>
        <v>Screw &gt; Hexagon screw with captive washer</v>
      </c>
      <c r="B763">
        <v>8754371</v>
      </c>
      <c r="D763">
        <v>0</v>
      </c>
      <c r="E763">
        <v>0</v>
      </c>
      <c r="H763">
        <v>2</v>
      </c>
      <c r="I763">
        <v>400000</v>
      </c>
      <c r="J763" t="s">
        <v>76</v>
      </c>
      <c r="K763">
        <v>18</v>
      </c>
      <c r="L763">
        <v>10</v>
      </c>
      <c r="M763">
        <v>6</v>
      </c>
      <c r="O763">
        <v>8.5000000000000006E-3</v>
      </c>
      <c r="Q763">
        <v>0</v>
      </c>
      <c r="R763">
        <v>0</v>
      </c>
      <c r="S763">
        <v>0</v>
      </c>
      <c r="T763">
        <v>8415617</v>
      </c>
    </row>
    <row r="764" spans="1:20" x14ac:dyDescent="0.15">
      <c r="A764" s="4" t="str">
        <f>HYPERLINK("https://ibp.a2mac1.com/costing(costing:projects/details/9760/component/8754372)","Tube/cluster support &gt; Tube/cluster clipped support in hole")</f>
        <v>Tube/cluster support &gt; Tube/cluster clipped support in hole</v>
      </c>
      <c r="B764">
        <v>8754372</v>
      </c>
      <c r="D764">
        <v>0</v>
      </c>
      <c r="E764">
        <v>0</v>
      </c>
      <c r="H764">
        <v>2</v>
      </c>
      <c r="I764">
        <v>400000</v>
      </c>
      <c r="J764" t="s">
        <v>76</v>
      </c>
      <c r="K764">
        <v>7</v>
      </c>
      <c r="L764">
        <v>9</v>
      </c>
      <c r="M764">
        <v>7</v>
      </c>
      <c r="O764">
        <v>5.0000000000000001E-4</v>
      </c>
      <c r="Q764">
        <v>0</v>
      </c>
      <c r="R764">
        <v>0</v>
      </c>
      <c r="S764">
        <v>0</v>
      </c>
      <c r="T764">
        <v>8415617</v>
      </c>
    </row>
    <row r="765" spans="1:20" x14ac:dyDescent="0.15">
      <c r="A765" s="4" t="str">
        <f>HYPERLINK("https://ibp.a2mac1.com/costing(costing:projects/details/9760/component/8754373)","Tube/cluster support &gt; Tube/cluster clipped support in hole")</f>
        <v>Tube/cluster support &gt; Tube/cluster clipped support in hole</v>
      </c>
      <c r="B765">
        <v>8754373</v>
      </c>
      <c r="D765">
        <v>0</v>
      </c>
      <c r="E765">
        <v>0</v>
      </c>
      <c r="H765">
        <v>1</v>
      </c>
      <c r="I765">
        <v>200000</v>
      </c>
      <c r="J765" t="s">
        <v>76</v>
      </c>
      <c r="K765">
        <v>6</v>
      </c>
      <c r="L765">
        <v>11</v>
      </c>
      <c r="M765">
        <v>7</v>
      </c>
      <c r="O765">
        <v>1E-3</v>
      </c>
      <c r="Q765">
        <v>0</v>
      </c>
      <c r="R765">
        <v>0</v>
      </c>
      <c r="S765">
        <v>0</v>
      </c>
      <c r="T765">
        <v>8415617</v>
      </c>
    </row>
  </sheetData>
  <mergeCells count="3">
    <mergeCell ref="A1:J2"/>
    <mergeCell ref="K1:Q2"/>
    <mergeCell ref="R1:X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0384-9E2B-4540-A89E-68333101CF5D}">
  <dimension ref="A1:AD9"/>
  <sheetViews>
    <sheetView workbookViewId="0"/>
  </sheetViews>
  <sheetFormatPr baseColWidth="10" defaultColWidth="8.83203125" defaultRowHeight="13" x14ac:dyDescent="0.15"/>
  <cols>
    <col min="1" max="1" width="6.5" customWidth="1"/>
    <col min="2" max="2" width="3.1640625" customWidth="1"/>
    <col min="3" max="3" width="18.6640625" customWidth="1"/>
    <col min="4" max="4" width="12.5" customWidth="1"/>
    <col min="5" max="5" width="13.33203125" customWidth="1"/>
    <col min="6" max="6" width="17" customWidth="1"/>
    <col min="7" max="7" width="20.5" customWidth="1"/>
    <col min="8" max="8" width="13.5" customWidth="1"/>
    <col min="9" max="9" width="33.6640625" customWidth="1"/>
    <col min="10" max="10" width="31.83203125" customWidth="1"/>
    <col min="11" max="11" width="18.6640625" customWidth="1"/>
    <col min="12" max="12" width="12.6640625" customWidth="1"/>
    <col min="13" max="13" width="6.83203125" customWidth="1"/>
    <col min="14" max="14" width="12" customWidth="1"/>
    <col min="15" max="15" width="11.5" customWidth="1"/>
    <col min="16" max="16" width="10.33203125" customWidth="1"/>
    <col min="17" max="17" width="14" customWidth="1"/>
    <col min="18" max="18" width="9.1640625" customWidth="1"/>
    <col min="19" max="19" width="8.5" customWidth="1"/>
    <col min="20" max="20" width="17.33203125" customWidth="1"/>
    <col min="21" max="21" width="11.5" customWidth="1"/>
    <col min="22" max="22" width="12.6640625" customWidth="1"/>
    <col min="23" max="23" width="11.6640625" customWidth="1"/>
    <col min="24" max="24" width="12.33203125" customWidth="1"/>
    <col min="25" max="25" width="15.33203125" customWidth="1"/>
    <col min="26" max="26" width="18.1640625" customWidth="1"/>
    <col min="27" max="27" width="15" customWidth="1"/>
    <col min="28" max="28" width="14.33203125" customWidth="1"/>
    <col min="29" max="30" width="13.5" customWidth="1"/>
  </cols>
  <sheetData>
    <row r="1" spans="1:30" ht="17" x14ac:dyDescent="0.15">
      <c r="A1" s="6" t="s">
        <v>302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3508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3" t="s">
        <v>3509</v>
      </c>
      <c r="AD1" s="3" t="s">
        <v>64</v>
      </c>
    </row>
    <row r="2" spans="1:30" x14ac:dyDescent="0.15">
      <c r="A2" s="1" t="s">
        <v>4</v>
      </c>
      <c r="B2" s="1" t="s">
        <v>12</v>
      </c>
      <c r="C2" s="1" t="s">
        <v>307</v>
      </c>
      <c r="D2" s="1" t="s">
        <v>67</v>
      </c>
      <c r="E2" s="1" t="s">
        <v>49</v>
      </c>
      <c r="F2" s="1" t="s">
        <v>54</v>
      </c>
      <c r="G2" s="1" t="s">
        <v>55</v>
      </c>
      <c r="H2" s="1" t="s">
        <v>3499</v>
      </c>
      <c r="I2" s="1" t="s">
        <v>3500</v>
      </c>
      <c r="J2" s="1" t="s">
        <v>52</v>
      </c>
      <c r="K2" s="1" t="s">
        <v>3501</v>
      </c>
      <c r="L2" s="1" t="s">
        <v>306</v>
      </c>
      <c r="M2" s="1" t="s">
        <v>237</v>
      </c>
      <c r="N2" s="1" t="s">
        <v>63</v>
      </c>
      <c r="O2" s="1" t="s">
        <v>14</v>
      </c>
      <c r="P2" s="1" t="s">
        <v>3502</v>
      </c>
      <c r="Q2" s="1" t="s">
        <v>3503</v>
      </c>
      <c r="R2" s="1" t="s">
        <v>258</v>
      </c>
      <c r="S2" s="1" t="s">
        <v>3504</v>
      </c>
      <c r="T2" s="1" t="s">
        <v>3505</v>
      </c>
      <c r="U2" s="1" t="s">
        <v>47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3506</v>
      </c>
      <c r="AA2" s="1" t="s">
        <v>3507</v>
      </c>
      <c r="AB2" s="1" t="s">
        <v>70</v>
      </c>
      <c r="AC2" s="1" t="s">
        <v>57</v>
      </c>
      <c r="AD2" s="1" t="s">
        <v>257</v>
      </c>
    </row>
    <row r="3" spans="1:30" x14ac:dyDescent="0.15">
      <c r="A3" s="4" t="str">
        <f>HYPERLINK("https://ibp.a2mac1.com/costing(costing:projects/details/9760/electroniccomponent/8752995)","HV Connector 1")</f>
        <v>HV Connector 1</v>
      </c>
      <c r="B3">
        <v>8752995</v>
      </c>
      <c r="C3">
        <v>8413261</v>
      </c>
      <c r="F3">
        <v>1</v>
      </c>
      <c r="G3">
        <v>0</v>
      </c>
      <c r="H3">
        <v>6.4249999999999998</v>
      </c>
      <c r="I3">
        <v>0</v>
      </c>
      <c r="J3">
        <v>200000</v>
      </c>
      <c r="K3">
        <v>0</v>
      </c>
      <c r="L3">
        <v>6.2061409133421357</v>
      </c>
      <c r="M3" t="s">
        <v>3510</v>
      </c>
      <c r="N3" t="s">
        <v>76</v>
      </c>
      <c r="U3">
        <v>0.14399999999999999</v>
      </c>
      <c r="V3">
        <v>114</v>
      </c>
      <c r="W3">
        <v>65</v>
      </c>
      <c r="X3">
        <v>67</v>
      </c>
      <c r="Y3">
        <v>0</v>
      </c>
      <c r="Z3" t="s">
        <v>3511</v>
      </c>
      <c r="AA3">
        <v>0</v>
      </c>
      <c r="AC3" t="s">
        <v>3512</v>
      </c>
      <c r="AD3" t="s">
        <v>9</v>
      </c>
    </row>
    <row r="4" spans="1:30" x14ac:dyDescent="0.15">
      <c r="A4" s="4" t="str">
        <f>HYPERLINK("https://ibp.a2mac1.com/costing(costing:projects/details/9760/electroniccomponent/8752967)","Wire Harness 1")</f>
        <v>Wire Harness 1</v>
      </c>
      <c r="B4">
        <v>8752967</v>
      </c>
      <c r="C4">
        <v>8413168</v>
      </c>
      <c r="F4">
        <v>1</v>
      </c>
      <c r="G4">
        <v>0</v>
      </c>
      <c r="H4">
        <v>0.32800000000000001</v>
      </c>
      <c r="I4">
        <v>0</v>
      </c>
      <c r="J4">
        <v>200000</v>
      </c>
      <c r="K4">
        <v>0</v>
      </c>
      <c r="L4">
        <v>0.31682711588734946</v>
      </c>
      <c r="M4" t="s">
        <v>3510</v>
      </c>
      <c r="N4" t="s">
        <v>76</v>
      </c>
      <c r="U4">
        <v>1E-3</v>
      </c>
      <c r="V4">
        <v>0</v>
      </c>
      <c r="W4">
        <v>0</v>
      </c>
      <c r="X4">
        <v>0</v>
      </c>
      <c r="Y4">
        <v>0</v>
      </c>
      <c r="Z4" t="s">
        <v>3511</v>
      </c>
      <c r="AA4">
        <v>0</v>
      </c>
      <c r="AC4" t="s">
        <v>3517</v>
      </c>
      <c r="AD4" t="s">
        <v>9</v>
      </c>
    </row>
    <row r="5" spans="1:30" x14ac:dyDescent="0.15">
      <c r="A5" s="4" t="str">
        <f>HYPERLINK("https://ibp.a2mac1.com/costing(costing:projects/details/9760/electroniccomponent/8752968)","Wire Harness 2")</f>
        <v>Wire Harness 2</v>
      </c>
      <c r="B5">
        <v>8752968</v>
      </c>
      <c r="C5">
        <v>8413168</v>
      </c>
      <c r="F5">
        <v>1</v>
      </c>
      <c r="G5">
        <v>0</v>
      </c>
      <c r="H5">
        <v>0.41899999999999998</v>
      </c>
      <c r="I5">
        <v>0</v>
      </c>
      <c r="J5">
        <v>200000</v>
      </c>
      <c r="K5">
        <v>0</v>
      </c>
      <c r="L5">
        <v>0.40472732181951049</v>
      </c>
      <c r="M5" t="s">
        <v>3510</v>
      </c>
      <c r="N5" t="s">
        <v>76</v>
      </c>
      <c r="U5">
        <v>5.0000000000000001E-3</v>
      </c>
      <c r="V5">
        <v>0</v>
      </c>
      <c r="W5">
        <v>0</v>
      </c>
      <c r="X5">
        <v>0</v>
      </c>
      <c r="Y5">
        <v>0</v>
      </c>
      <c r="Z5" t="s">
        <v>3511</v>
      </c>
      <c r="AA5">
        <v>0</v>
      </c>
      <c r="AC5" t="s">
        <v>3519</v>
      </c>
      <c r="AD5" t="s">
        <v>9</v>
      </c>
    </row>
    <row r="6" spans="1:30" x14ac:dyDescent="0.15">
      <c r="A6" s="4" t="str">
        <f>HYPERLINK("https://ibp.a2mac1.com/costing(costing:projects/details/9760/electroniccomponent/8752969)","Wire Harness 3")</f>
        <v>Wire Harness 3</v>
      </c>
      <c r="B6">
        <v>8752969</v>
      </c>
      <c r="C6">
        <v>8413168</v>
      </c>
      <c r="F6">
        <v>1</v>
      </c>
      <c r="G6">
        <v>0</v>
      </c>
      <c r="H6">
        <v>0.495</v>
      </c>
      <c r="I6">
        <v>0</v>
      </c>
      <c r="J6">
        <v>200000</v>
      </c>
      <c r="K6">
        <v>0</v>
      </c>
      <c r="L6">
        <v>0.47813848281779875</v>
      </c>
      <c r="M6" t="s">
        <v>3510</v>
      </c>
      <c r="N6" t="s">
        <v>76</v>
      </c>
      <c r="U6">
        <v>8.0000000000000002E-3</v>
      </c>
      <c r="V6">
        <v>0</v>
      </c>
      <c r="W6">
        <v>0</v>
      </c>
      <c r="X6">
        <v>0</v>
      </c>
      <c r="Y6">
        <v>0</v>
      </c>
      <c r="Z6" t="s">
        <v>3511</v>
      </c>
      <c r="AA6">
        <v>0</v>
      </c>
      <c r="AC6" t="s">
        <v>3517</v>
      </c>
      <c r="AD6" t="s">
        <v>9</v>
      </c>
    </row>
    <row r="7" spans="1:30" x14ac:dyDescent="0.15">
      <c r="A7" s="4" t="str">
        <f>HYPERLINK("https://ibp.a2mac1.com/costing(costing:projects/details/9760/electroniccomponent/8752996)","Vehicle Connector 1")</f>
        <v>Vehicle Connector 1</v>
      </c>
      <c r="B7">
        <v>8752996</v>
      </c>
      <c r="C7">
        <v>8413275</v>
      </c>
      <c r="F7">
        <v>1</v>
      </c>
      <c r="G7">
        <v>0</v>
      </c>
      <c r="H7">
        <v>1.7569999999999999</v>
      </c>
      <c r="I7">
        <v>0</v>
      </c>
      <c r="J7">
        <v>200000</v>
      </c>
      <c r="K7">
        <v>0</v>
      </c>
      <c r="L7">
        <v>1.6971501299209544</v>
      </c>
      <c r="M7" t="s">
        <v>3510</v>
      </c>
      <c r="N7" t="s">
        <v>76</v>
      </c>
      <c r="U7">
        <v>3.4000000000000002E-2</v>
      </c>
      <c r="V7">
        <v>45</v>
      </c>
      <c r="W7">
        <v>73</v>
      </c>
      <c r="X7">
        <v>40</v>
      </c>
      <c r="Y7">
        <v>0</v>
      </c>
      <c r="Z7" t="s">
        <v>3511</v>
      </c>
      <c r="AA7">
        <v>0</v>
      </c>
      <c r="AC7" t="s">
        <v>3582</v>
      </c>
      <c r="AD7" t="s">
        <v>9</v>
      </c>
    </row>
    <row r="8" spans="1:30" x14ac:dyDescent="0.15">
      <c r="A8" s="4" t="str">
        <f>HYPERLINK("https://ibp.a2mac1.com/costing(costing:projects/details/9760/electroniccomponent/8752970)","Wire Harness 1")</f>
        <v>Wire Harness 1</v>
      </c>
      <c r="B8">
        <v>8752970</v>
      </c>
      <c r="C8">
        <v>8413181</v>
      </c>
      <c r="F8">
        <v>1</v>
      </c>
      <c r="G8">
        <v>0</v>
      </c>
      <c r="H8">
        <v>0.41899999999999998</v>
      </c>
      <c r="I8">
        <v>0</v>
      </c>
      <c r="J8">
        <v>200000</v>
      </c>
      <c r="K8">
        <v>0</v>
      </c>
      <c r="L8">
        <v>0.40472732181951049</v>
      </c>
      <c r="M8" t="s">
        <v>3510</v>
      </c>
      <c r="N8" t="s">
        <v>76</v>
      </c>
      <c r="U8">
        <v>5.0000000000000001E-3</v>
      </c>
      <c r="V8">
        <v>0</v>
      </c>
      <c r="W8">
        <v>0</v>
      </c>
      <c r="X8">
        <v>0</v>
      </c>
      <c r="Y8">
        <v>0</v>
      </c>
      <c r="Z8" t="s">
        <v>3511</v>
      </c>
      <c r="AA8">
        <v>0</v>
      </c>
      <c r="AC8" t="s">
        <v>3586</v>
      </c>
      <c r="AD8" t="s">
        <v>9</v>
      </c>
    </row>
    <row r="9" spans="1:30" x14ac:dyDescent="0.15">
      <c r="A9" s="4" t="str">
        <f>HYPERLINK("https://ibp.a2mac1.com/costing(costing:projects/details/9760/electroniccomponent/8752971)","Wire Harness 2")</f>
        <v>Wire Harness 2</v>
      </c>
      <c r="B9">
        <v>8752971</v>
      </c>
      <c r="C9">
        <v>8413181</v>
      </c>
      <c r="F9">
        <v>1</v>
      </c>
      <c r="G9">
        <v>0</v>
      </c>
      <c r="H9">
        <v>0.32800000000000001</v>
      </c>
      <c r="I9">
        <v>0</v>
      </c>
      <c r="J9">
        <v>200000</v>
      </c>
      <c r="K9">
        <v>0</v>
      </c>
      <c r="L9">
        <v>0.31682711588734946</v>
      </c>
      <c r="M9" t="s">
        <v>3510</v>
      </c>
      <c r="N9" t="s">
        <v>76</v>
      </c>
      <c r="U9">
        <v>1E-3</v>
      </c>
      <c r="V9">
        <v>0</v>
      </c>
      <c r="W9">
        <v>0</v>
      </c>
      <c r="X9">
        <v>0</v>
      </c>
      <c r="Y9">
        <v>0</v>
      </c>
      <c r="Z9" t="s">
        <v>3511</v>
      </c>
      <c r="AA9">
        <v>0</v>
      </c>
      <c r="AC9" t="s">
        <v>3588</v>
      </c>
      <c r="AD9" t="s">
        <v>9</v>
      </c>
    </row>
  </sheetData>
  <mergeCells count="2">
    <mergeCell ref="A1:N1"/>
    <mergeCell ref="O1:A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01FF-48A3-43E0-BFEC-BF08DA53FA63}">
  <dimension ref="A1:L4"/>
  <sheetViews>
    <sheetView workbookViewId="0"/>
  </sheetViews>
  <sheetFormatPr baseColWidth="10" defaultColWidth="8.83203125" defaultRowHeight="13" x14ac:dyDescent="0.15"/>
  <cols>
    <col min="1" max="1" width="6.5" customWidth="1"/>
    <col min="2" max="2" width="3.1640625" customWidth="1"/>
    <col min="3" max="3" width="17.1640625" customWidth="1"/>
    <col min="4" max="4" width="33.33203125" customWidth="1"/>
    <col min="5" max="5" width="8.6640625" customWidth="1"/>
    <col min="6" max="6" width="11.5" customWidth="1"/>
    <col min="7" max="7" width="19" customWidth="1"/>
    <col min="8" max="8" width="10.5" customWidth="1"/>
    <col min="9" max="9" width="31.83203125" customWidth="1"/>
    <col min="10" max="10" width="12" customWidth="1"/>
    <col min="11" max="11" width="14.33203125" customWidth="1"/>
    <col min="12" max="12" width="13.5" customWidth="1"/>
  </cols>
  <sheetData>
    <row r="1" spans="1:12" x14ac:dyDescent="0.15">
      <c r="A1" s="6" t="s">
        <v>8217</v>
      </c>
      <c r="B1" s="6"/>
      <c r="C1" s="6"/>
      <c r="D1" s="6"/>
      <c r="E1" s="6"/>
      <c r="F1" s="6"/>
      <c r="G1" s="6"/>
      <c r="H1" s="6"/>
      <c r="I1" s="6"/>
      <c r="J1" s="6"/>
      <c r="K1" s="6"/>
      <c r="L1" s="6" t="s">
        <v>64</v>
      </c>
    </row>
    <row r="2" spans="1:12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15">
      <c r="A3" s="1" t="s">
        <v>4</v>
      </c>
      <c r="B3" s="1" t="s">
        <v>12</v>
      </c>
      <c r="C3" s="1" t="s">
        <v>115</v>
      </c>
      <c r="D3" s="1" t="s">
        <v>298</v>
      </c>
      <c r="E3" s="1" t="s">
        <v>299</v>
      </c>
      <c r="F3" s="1" t="s">
        <v>14</v>
      </c>
      <c r="G3" s="1" t="s">
        <v>300</v>
      </c>
      <c r="H3" s="1" t="s">
        <v>173</v>
      </c>
      <c r="I3" s="1" t="s">
        <v>52</v>
      </c>
      <c r="J3" s="1" t="s">
        <v>63</v>
      </c>
      <c r="K3" s="1" t="s">
        <v>70</v>
      </c>
      <c r="L3" s="1" t="s">
        <v>257</v>
      </c>
    </row>
    <row r="4" spans="1:12" x14ac:dyDescent="0.15">
      <c r="A4" s="4" t="str">
        <f>HYPERLINK("https://ibp.a2mac1.com/costing(costing:projects/details/9760/consumable/8754466)","Fasteners &amp; adhesives")</f>
        <v>Fasteners &amp; adhesives</v>
      </c>
      <c r="B4">
        <v>8754466</v>
      </c>
      <c r="C4">
        <v>12085081</v>
      </c>
      <c r="D4">
        <v>0</v>
      </c>
      <c r="E4">
        <v>63.4</v>
      </c>
      <c r="H4">
        <v>1</v>
      </c>
      <c r="I4">
        <v>200000</v>
      </c>
      <c r="J4" t="s">
        <v>162</v>
      </c>
    </row>
  </sheetData>
  <mergeCells count="2">
    <mergeCell ref="A1:K2"/>
    <mergeCell ref="L1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367C-9D43-4694-B25F-6D9FD8F9ACD1}">
  <dimension ref="A1:C12"/>
  <sheetViews>
    <sheetView workbookViewId="0"/>
  </sheetViews>
  <sheetFormatPr baseColWidth="10" defaultColWidth="8.83203125" defaultRowHeight="13" x14ac:dyDescent="0.15"/>
  <sheetData>
    <row r="1" spans="1:3" x14ac:dyDescent="0.15">
      <c r="A1" s="1" t="s">
        <v>4</v>
      </c>
      <c r="B1" s="1" t="s">
        <v>8799</v>
      </c>
      <c r="C1" s="1" t="s">
        <v>8800</v>
      </c>
    </row>
    <row r="2" spans="1:3" x14ac:dyDescent="0.15">
      <c r="A2" t="s">
        <v>284</v>
      </c>
      <c r="B2">
        <v>0</v>
      </c>
      <c r="C2">
        <v>0</v>
      </c>
    </row>
    <row r="3" spans="1:3" x14ac:dyDescent="0.15">
      <c r="A3" t="s">
        <v>8801</v>
      </c>
      <c r="B3">
        <v>0</v>
      </c>
      <c r="C3">
        <v>0</v>
      </c>
    </row>
    <row r="4" spans="1:3" x14ac:dyDescent="0.15">
      <c r="A4" t="s">
        <v>8802</v>
      </c>
      <c r="B4">
        <v>0</v>
      </c>
      <c r="C4">
        <v>0</v>
      </c>
    </row>
    <row r="5" spans="1:3" x14ac:dyDescent="0.15">
      <c r="A5" t="s">
        <v>8803</v>
      </c>
      <c r="B5">
        <v>0</v>
      </c>
      <c r="C5">
        <v>0</v>
      </c>
    </row>
    <row r="6" spans="1:3" x14ac:dyDescent="0.15">
      <c r="A6" t="s">
        <v>362</v>
      </c>
      <c r="B6">
        <v>-3.2000000000000001E-2</v>
      </c>
      <c r="C6">
        <v>-4.0000000000000001E-3</v>
      </c>
    </row>
    <row r="7" spans="1:3" x14ac:dyDescent="0.15">
      <c r="A7" t="s">
        <v>8804</v>
      </c>
      <c r="B7">
        <v>-3.2000000000000001E-2</v>
      </c>
      <c r="C7">
        <v>-4.0000000000000001E-3</v>
      </c>
    </row>
    <row r="8" spans="1:3" x14ac:dyDescent="0.15">
      <c r="A8" t="s">
        <v>364</v>
      </c>
      <c r="B8">
        <v>-7.4999999999999997E-2</v>
      </c>
      <c r="C8">
        <v>1.15E-2</v>
      </c>
    </row>
    <row r="9" spans="1:3" x14ac:dyDescent="0.15">
      <c r="A9" t="s">
        <v>8805</v>
      </c>
      <c r="B9">
        <v>-7.4999999999999997E-2</v>
      </c>
      <c r="C9">
        <v>1.15E-2</v>
      </c>
    </row>
    <row r="10" spans="1:3" x14ac:dyDescent="0.15">
      <c r="A10" t="s">
        <v>3510</v>
      </c>
      <c r="B10">
        <v>-0.05</v>
      </c>
      <c r="C10">
        <v>0</v>
      </c>
    </row>
    <row r="11" spans="1:3" x14ac:dyDescent="0.15">
      <c r="A11" t="s">
        <v>3485</v>
      </c>
      <c r="B11">
        <v>-7.0000000000000007E-2</v>
      </c>
      <c r="C11">
        <v>0</v>
      </c>
    </row>
    <row r="12" spans="1:3" x14ac:dyDescent="0.15">
      <c r="A12" t="s">
        <v>320</v>
      </c>
      <c r="B12">
        <v>-2.5999999999999999E-2</v>
      </c>
      <c r="C1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3AA0-A7DE-4703-93C8-A4687181DBAA}">
  <dimension ref="A1:F2"/>
  <sheetViews>
    <sheetView workbookViewId="0"/>
  </sheetViews>
  <sheetFormatPr baseColWidth="10" defaultColWidth="8.83203125" defaultRowHeight="13" x14ac:dyDescent="0.15"/>
  <cols>
    <col min="1" max="1" width="6.5" customWidth="1"/>
    <col min="2" max="2" width="14.5" customWidth="1"/>
    <col min="3" max="3" width="12" customWidth="1"/>
    <col min="4" max="4" width="6.5" customWidth="1"/>
    <col min="5" max="5" width="12.33203125" customWidth="1"/>
    <col min="6" max="6" width="13.5" customWidth="1"/>
  </cols>
  <sheetData>
    <row r="1" spans="1:6" x14ac:dyDescent="0.15">
      <c r="A1" s="1" t="s">
        <v>4</v>
      </c>
      <c r="B1" s="1" t="s">
        <v>8806</v>
      </c>
      <c r="C1" s="1" t="s">
        <v>8807</v>
      </c>
      <c r="D1" s="1" t="s">
        <v>8799</v>
      </c>
      <c r="E1" s="1" t="s">
        <v>8808</v>
      </c>
      <c r="F1" s="1" t="s">
        <v>8809</v>
      </c>
    </row>
    <row r="2" spans="1:6" x14ac:dyDescent="0.15">
      <c r="A2" t="s">
        <v>8810</v>
      </c>
      <c r="B2" t="s">
        <v>8811</v>
      </c>
      <c r="C2" t="s">
        <v>8812</v>
      </c>
      <c r="D2">
        <v>0.92274</v>
      </c>
      <c r="E2" t="s">
        <v>8813</v>
      </c>
      <c r="F2" t="s">
        <v>8814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CE41-F94A-4AD6-9D56-B982C21AE154}">
  <dimension ref="A1:W2"/>
  <sheetViews>
    <sheetView workbookViewId="0"/>
  </sheetViews>
  <sheetFormatPr baseColWidth="10" defaultColWidth="8.83203125" defaultRowHeight="13" x14ac:dyDescent="0.15"/>
  <cols>
    <col min="1" max="1" width="6.5" customWidth="1"/>
    <col min="2" max="2" width="30.33203125" customWidth="1"/>
    <col min="3" max="3" width="16.6640625" customWidth="1"/>
    <col min="4" max="4" width="15.83203125" customWidth="1"/>
    <col min="5" max="5" width="17.5" customWidth="1"/>
    <col min="6" max="6" width="15.33203125" customWidth="1"/>
    <col min="7" max="7" width="18.1640625" customWidth="1"/>
    <col min="8" max="8" width="26.6640625" customWidth="1"/>
    <col min="9" max="9" width="45" customWidth="1"/>
    <col min="10" max="10" width="33.6640625" customWidth="1"/>
    <col min="11" max="11" width="32.83203125" customWidth="1"/>
    <col min="12" max="12" width="16" customWidth="1"/>
    <col min="13" max="13" width="20.5" customWidth="1"/>
    <col min="14" max="14" width="42" customWidth="1"/>
    <col min="15" max="15" width="23.6640625" customWidth="1"/>
    <col min="16" max="16" width="26.83203125" customWidth="1"/>
    <col min="17" max="17" width="23.5" customWidth="1"/>
    <col min="18" max="18" width="21.83203125" customWidth="1"/>
    <col min="19" max="19" width="25.83203125" customWidth="1"/>
    <col min="20" max="20" width="19.83203125" customWidth="1"/>
    <col min="21" max="21" width="20.83203125" customWidth="1"/>
    <col min="22" max="22" width="23.5" customWidth="1"/>
    <col min="23" max="23" width="5.5" customWidth="1"/>
  </cols>
  <sheetData>
    <row r="1" spans="1:23" x14ac:dyDescent="0.15">
      <c r="A1" s="1" t="s">
        <v>4</v>
      </c>
      <c r="B1" s="1" t="s">
        <v>8815</v>
      </c>
      <c r="C1" s="1" t="s">
        <v>8816</v>
      </c>
      <c r="D1" s="1" t="s">
        <v>8817</v>
      </c>
      <c r="E1" s="1" t="s">
        <v>8818</v>
      </c>
      <c r="F1" s="1" t="s">
        <v>8819</v>
      </c>
      <c r="G1" s="1" t="s">
        <v>8820</v>
      </c>
      <c r="H1" s="1" t="s">
        <v>8821</v>
      </c>
      <c r="I1" s="1" t="s">
        <v>8822</v>
      </c>
      <c r="J1" s="1" t="s">
        <v>8823</v>
      </c>
      <c r="K1" s="1" t="s">
        <v>8824</v>
      </c>
      <c r="L1" s="1" t="s">
        <v>8825</v>
      </c>
      <c r="M1" s="1" t="s">
        <v>8826</v>
      </c>
      <c r="N1" s="1" t="s">
        <v>8827</v>
      </c>
      <c r="O1" s="1" t="s">
        <v>8828</v>
      </c>
      <c r="P1" s="1" t="s">
        <v>8829</v>
      </c>
      <c r="Q1" s="1" t="s">
        <v>8830</v>
      </c>
      <c r="R1" s="1" t="s">
        <v>8831</v>
      </c>
      <c r="S1" s="1" t="s">
        <v>8832</v>
      </c>
      <c r="T1" s="1" t="s">
        <v>8833</v>
      </c>
      <c r="U1" s="1" t="s">
        <v>8834</v>
      </c>
      <c r="V1" s="1" t="s">
        <v>8835</v>
      </c>
      <c r="W1" s="1" t="s">
        <v>8790</v>
      </c>
    </row>
    <row r="2" spans="1:23" x14ac:dyDescent="0.15">
      <c r="A2" t="s">
        <v>75</v>
      </c>
      <c r="B2">
        <v>0.08</v>
      </c>
      <c r="C2">
        <v>0.49</v>
      </c>
      <c r="D2">
        <v>1.9575</v>
      </c>
      <c r="E2">
        <v>2</v>
      </c>
      <c r="F2">
        <v>3</v>
      </c>
      <c r="G2">
        <v>305</v>
      </c>
      <c r="H2">
        <v>3</v>
      </c>
      <c r="I2">
        <v>0</v>
      </c>
      <c r="J2">
        <v>0</v>
      </c>
      <c r="K2">
        <v>0</v>
      </c>
      <c r="L2">
        <v>2.768E-2</v>
      </c>
      <c r="M2">
        <v>18.902539999999998</v>
      </c>
      <c r="N2">
        <v>3.22878</v>
      </c>
      <c r="O2">
        <v>0.69188000000000005</v>
      </c>
      <c r="P2">
        <v>8.3596800000000009</v>
      </c>
      <c r="Q2">
        <v>12.56024</v>
      </c>
      <c r="R2">
        <v>15.738300000000001</v>
      </c>
      <c r="S2">
        <v>4.1314799999999998</v>
      </c>
      <c r="T2">
        <v>0.01</v>
      </c>
      <c r="U2">
        <v>1</v>
      </c>
      <c r="V2">
        <v>0.65249999999999997</v>
      </c>
      <c r="W2">
        <v>2025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BF22-AB45-4099-8E6A-9482D468F5DF}">
  <dimension ref="A1:L3"/>
  <sheetViews>
    <sheetView workbookViewId="0"/>
  </sheetViews>
  <sheetFormatPr baseColWidth="10" defaultColWidth="8.83203125" defaultRowHeight="13" x14ac:dyDescent="0.15"/>
  <cols>
    <col min="1" max="1" width="6.5" customWidth="1"/>
    <col min="2" max="2" width="9.5" customWidth="1"/>
    <col min="3" max="3" width="13" customWidth="1"/>
    <col min="4" max="4" width="5.5" customWidth="1"/>
    <col min="5" max="5" width="25.5" customWidth="1"/>
    <col min="6" max="6" width="24.6640625" customWidth="1"/>
    <col min="7" max="7" width="14.33203125" customWidth="1"/>
    <col min="8" max="8" width="15.83203125" customWidth="1"/>
    <col min="9" max="9" width="19" customWidth="1"/>
    <col min="10" max="10" width="18.5" customWidth="1"/>
    <col min="11" max="11" width="13.6640625" customWidth="1"/>
    <col min="12" max="12" width="30.6640625" customWidth="1"/>
  </cols>
  <sheetData>
    <row r="1" spans="1:12" x14ac:dyDescent="0.15">
      <c r="A1" s="1" t="s">
        <v>4</v>
      </c>
      <c r="B1" s="1" t="s">
        <v>8836</v>
      </c>
      <c r="C1" s="1" t="s">
        <v>8837</v>
      </c>
      <c r="D1" s="1" t="s">
        <v>8790</v>
      </c>
      <c r="E1" s="1" t="s">
        <v>8838</v>
      </c>
      <c r="F1" s="1" t="s">
        <v>8839</v>
      </c>
      <c r="G1" s="1" t="s">
        <v>8840</v>
      </c>
      <c r="H1" s="1" t="s">
        <v>8841</v>
      </c>
      <c r="I1" s="1" t="s">
        <v>8842</v>
      </c>
      <c r="J1" s="1" t="s">
        <v>8843</v>
      </c>
      <c r="K1" s="1" t="s">
        <v>8844</v>
      </c>
      <c r="L1" s="1" t="s">
        <v>8845</v>
      </c>
    </row>
    <row r="2" spans="1:12" x14ac:dyDescent="0.15">
      <c r="A2" t="s">
        <v>8794</v>
      </c>
      <c r="B2" t="s">
        <v>8812</v>
      </c>
      <c r="C2">
        <v>200000</v>
      </c>
      <c r="D2">
        <v>2025</v>
      </c>
      <c r="E2">
        <v>12</v>
      </c>
      <c r="F2">
        <v>20</v>
      </c>
      <c r="G2">
        <v>8</v>
      </c>
      <c r="H2">
        <v>3</v>
      </c>
      <c r="I2" t="s">
        <v>75</v>
      </c>
      <c r="J2" t="s">
        <v>75</v>
      </c>
      <c r="K2" t="s">
        <v>97</v>
      </c>
      <c r="L2" t="s">
        <v>73</v>
      </c>
    </row>
    <row r="3" spans="1:12" x14ac:dyDescent="0.15">
      <c r="A3" t="s">
        <v>8846</v>
      </c>
      <c r="B3" t="s">
        <v>8811</v>
      </c>
      <c r="C3">
        <v>200000</v>
      </c>
      <c r="D3">
        <v>2025</v>
      </c>
      <c r="E3">
        <v>12</v>
      </c>
      <c r="F3">
        <v>20</v>
      </c>
      <c r="G3">
        <v>8</v>
      </c>
      <c r="H3">
        <v>3</v>
      </c>
      <c r="I3" t="s">
        <v>75</v>
      </c>
      <c r="J3" t="s">
        <v>75</v>
      </c>
      <c r="K3" t="s">
        <v>97</v>
      </c>
      <c r="L3" t="s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6F24-D63A-4F60-9113-C03CA5B5B1AE}">
  <dimension ref="A1:M82"/>
  <sheetViews>
    <sheetView workbookViewId="0"/>
  </sheetViews>
  <sheetFormatPr baseColWidth="10" defaultColWidth="8.83203125" defaultRowHeight="13" x14ac:dyDescent="0.15"/>
  <cols>
    <col min="1" max="1" width="6.5" customWidth="1"/>
    <col min="2" max="2" width="16" customWidth="1"/>
    <col min="3" max="4" width="24.83203125" customWidth="1"/>
    <col min="5" max="5" width="26.5" customWidth="1"/>
    <col min="6" max="6" width="21" customWidth="1"/>
    <col min="7" max="7" width="20.83203125" customWidth="1"/>
    <col min="8" max="8" width="22.1640625" customWidth="1"/>
    <col min="9" max="9" width="23.1640625" customWidth="1"/>
    <col min="10" max="10" width="21.33203125" customWidth="1"/>
    <col min="11" max="11" width="18.83203125" customWidth="1"/>
    <col min="12" max="12" width="21.5" customWidth="1"/>
    <col min="13" max="13" width="14.5" customWidth="1"/>
  </cols>
  <sheetData>
    <row r="1" spans="1:13" x14ac:dyDescent="0.15">
      <c r="A1" s="1" t="s">
        <v>4</v>
      </c>
      <c r="B1" s="1" t="s">
        <v>8847</v>
      </c>
      <c r="C1" s="1" t="s">
        <v>8848</v>
      </c>
      <c r="D1" s="1" t="s">
        <v>8849</v>
      </c>
      <c r="E1" s="1" t="s">
        <v>8850</v>
      </c>
      <c r="F1" s="1" t="s">
        <v>8851</v>
      </c>
      <c r="G1" s="1" t="s">
        <v>8852</v>
      </c>
      <c r="H1" s="1" t="s">
        <v>8853</v>
      </c>
      <c r="I1" s="1" t="s">
        <v>8854</v>
      </c>
      <c r="J1" s="1" t="s">
        <v>8855</v>
      </c>
      <c r="K1" s="1" t="s">
        <v>8856</v>
      </c>
      <c r="L1" s="1" t="s">
        <v>8857</v>
      </c>
      <c r="M1" s="1" t="s">
        <v>8858</v>
      </c>
    </row>
    <row r="2" spans="1:13" x14ac:dyDescent="0.15">
      <c r="A2" t="s">
        <v>8859</v>
      </c>
      <c r="B2" t="s">
        <v>8847</v>
      </c>
      <c r="C2">
        <v>3.5</v>
      </c>
      <c r="D2">
        <v>3.5</v>
      </c>
      <c r="E2">
        <v>20</v>
      </c>
      <c r="F2">
        <v>3.5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8860</v>
      </c>
    </row>
    <row r="3" spans="1:13" x14ac:dyDescent="0.15">
      <c r="A3" t="s">
        <v>179</v>
      </c>
      <c r="B3" t="s">
        <v>8847</v>
      </c>
      <c r="C3">
        <v>3.5</v>
      </c>
      <c r="D3">
        <v>3.5</v>
      </c>
      <c r="E3">
        <v>40</v>
      </c>
      <c r="F3">
        <v>3.5</v>
      </c>
      <c r="G3">
        <v>12</v>
      </c>
      <c r="H3">
        <v>0</v>
      </c>
      <c r="I3">
        <v>0</v>
      </c>
      <c r="J3">
        <v>6</v>
      </c>
      <c r="K3">
        <v>6</v>
      </c>
      <c r="L3">
        <v>0.5</v>
      </c>
      <c r="M3" t="s">
        <v>8860</v>
      </c>
    </row>
    <row r="4" spans="1:13" x14ac:dyDescent="0.15">
      <c r="A4" t="s">
        <v>107</v>
      </c>
      <c r="B4" t="s">
        <v>8847</v>
      </c>
      <c r="C4">
        <v>3.5</v>
      </c>
      <c r="D4">
        <v>3.5</v>
      </c>
      <c r="E4">
        <v>20</v>
      </c>
      <c r="F4">
        <v>3.5</v>
      </c>
      <c r="G4">
        <v>12</v>
      </c>
      <c r="H4">
        <v>0</v>
      </c>
      <c r="I4">
        <v>0</v>
      </c>
      <c r="J4">
        <v>6</v>
      </c>
      <c r="K4">
        <v>6</v>
      </c>
      <c r="L4">
        <v>0.5</v>
      </c>
      <c r="M4" t="s">
        <v>8860</v>
      </c>
    </row>
    <row r="5" spans="1:13" x14ac:dyDescent="0.15">
      <c r="A5" t="s">
        <v>365</v>
      </c>
      <c r="B5" t="s">
        <v>8847</v>
      </c>
      <c r="C5">
        <v>3.5</v>
      </c>
      <c r="D5">
        <v>3.5</v>
      </c>
      <c r="E5">
        <v>40</v>
      </c>
      <c r="F5">
        <v>3.5</v>
      </c>
      <c r="G5">
        <v>12</v>
      </c>
      <c r="H5">
        <v>0</v>
      </c>
      <c r="I5">
        <v>0</v>
      </c>
      <c r="J5">
        <v>6</v>
      </c>
      <c r="K5">
        <v>6</v>
      </c>
      <c r="L5">
        <v>0.5</v>
      </c>
      <c r="M5" t="s">
        <v>8860</v>
      </c>
    </row>
    <row r="6" spans="1:13" x14ac:dyDescent="0.15">
      <c r="A6" t="s">
        <v>288</v>
      </c>
      <c r="B6" t="s">
        <v>8847</v>
      </c>
      <c r="C6">
        <v>3.5</v>
      </c>
      <c r="D6">
        <v>3.5</v>
      </c>
      <c r="E6">
        <v>20</v>
      </c>
      <c r="F6">
        <v>3.5</v>
      </c>
      <c r="G6">
        <v>12</v>
      </c>
      <c r="H6">
        <v>0</v>
      </c>
      <c r="I6">
        <v>0</v>
      </c>
      <c r="J6">
        <v>6</v>
      </c>
      <c r="K6">
        <v>6</v>
      </c>
      <c r="L6">
        <v>0.5</v>
      </c>
      <c r="M6" t="s">
        <v>8860</v>
      </c>
    </row>
    <row r="7" spans="1:13" x14ac:dyDescent="0.15">
      <c r="A7" t="s">
        <v>8861</v>
      </c>
      <c r="B7" t="s">
        <v>8847</v>
      </c>
      <c r="C7">
        <v>3.5</v>
      </c>
      <c r="D7">
        <v>3.5</v>
      </c>
      <c r="E7">
        <v>40</v>
      </c>
      <c r="F7">
        <v>3.5</v>
      </c>
      <c r="G7">
        <v>12</v>
      </c>
      <c r="H7">
        <v>0</v>
      </c>
      <c r="I7">
        <v>0</v>
      </c>
      <c r="J7">
        <v>6</v>
      </c>
      <c r="K7">
        <v>6</v>
      </c>
      <c r="L7">
        <v>0.5</v>
      </c>
      <c r="M7" t="s">
        <v>8860</v>
      </c>
    </row>
    <row r="8" spans="1:13" x14ac:dyDescent="0.15">
      <c r="A8" t="s">
        <v>8862</v>
      </c>
      <c r="B8" t="s">
        <v>8847</v>
      </c>
      <c r="C8">
        <v>3.5</v>
      </c>
      <c r="D8">
        <v>3.5</v>
      </c>
      <c r="E8">
        <v>20</v>
      </c>
      <c r="F8">
        <v>3.5</v>
      </c>
      <c r="G8">
        <v>30</v>
      </c>
      <c r="H8">
        <v>0</v>
      </c>
      <c r="I8">
        <v>0</v>
      </c>
      <c r="J8">
        <v>6</v>
      </c>
      <c r="K8">
        <v>6</v>
      </c>
      <c r="L8">
        <v>0.5</v>
      </c>
      <c r="M8" t="s">
        <v>8860</v>
      </c>
    </row>
    <row r="9" spans="1:13" x14ac:dyDescent="0.15">
      <c r="A9" t="s">
        <v>8863</v>
      </c>
      <c r="B9" t="s">
        <v>8847</v>
      </c>
      <c r="C9">
        <v>3.5</v>
      </c>
      <c r="D9">
        <v>3.5</v>
      </c>
      <c r="E9">
        <v>40</v>
      </c>
      <c r="F9">
        <v>3.5</v>
      </c>
      <c r="G9">
        <v>20</v>
      </c>
      <c r="H9">
        <v>0</v>
      </c>
      <c r="I9">
        <v>0</v>
      </c>
      <c r="J9">
        <v>6</v>
      </c>
      <c r="K9">
        <v>6</v>
      </c>
      <c r="L9">
        <v>0.5</v>
      </c>
      <c r="M9" t="s">
        <v>8860</v>
      </c>
    </row>
    <row r="10" spans="1:13" x14ac:dyDescent="0.15">
      <c r="A10" t="s">
        <v>8864</v>
      </c>
      <c r="B10" t="s">
        <v>8847</v>
      </c>
      <c r="C10">
        <v>3.5</v>
      </c>
      <c r="D10">
        <v>3.5</v>
      </c>
      <c r="E10">
        <v>40</v>
      </c>
      <c r="F10">
        <v>3.5</v>
      </c>
      <c r="G10">
        <v>17</v>
      </c>
      <c r="H10">
        <v>0</v>
      </c>
      <c r="I10">
        <v>0</v>
      </c>
      <c r="J10">
        <v>8</v>
      </c>
      <c r="K10">
        <v>8</v>
      </c>
      <c r="L10">
        <v>0.5</v>
      </c>
      <c r="M10" t="s">
        <v>8860</v>
      </c>
    </row>
    <row r="11" spans="1:13" x14ac:dyDescent="0.15">
      <c r="A11" t="s">
        <v>72</v>
      </c>
      <c r="B11" t="s">
        <v>8847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8860</v>
      </c>
    </row>
    <row r="12" spans="1:13" x14ac:dyDescent="0.15">
      <c r="A12" t="s">
        <v>1108</v>
      </c>
      <c r="B12" t="s">
        <v>8847</v>
      </c>
      <c r="C12">
        <v>3.5</v>
      </c>
      <c r="D12">
        <v>3.5</v>
      </c>
      <c r="E12">
        <v>20</v>
      </c>
      <c r="F12">
        <v>3.5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8860</v>
      </c>
    </row>
    <row r="13" spans="1:13" x14ac:dyDescent="0.15">
      <c r="A13" t="s">
        <v>100</v>
      </c>
      <c r="B13" t="s">
        <v>8847</v>
      </c>
      <c r="C13">
        <v>3.5</v>
      </c>
      <c r="D13">
        <v>3.5</v>
      </c>
      <c r="E13">
        <v>20</v>
      </c>
      <c r="F13">
        <v>3.5</v>
      </c>
      <c r="G13">
        <v>12</v>
      </c>
      <c r="H13">
        <v>0</v>
      </c>
      <c r="I13">
        <v>0</v>
      </c>
      <c r="J13">
        <v>6</v>
      </c>
      <c r="K13">
        <v>6</v>
      </c>
      <c r="L13">
        <v>0.5</v>
      </c>
      <c r="M13" t="s">
        <v>8860</v>
      </c>
    </row>
    <row r="14" spans="1:13" x14ac:dyDescent="0.15">
      <c r="A14" t="s">
        <v>1889</v>
      </c>
      <c r="B14" t="s">
        <v>8847</v>
      </c>
      <c r="C14">
        <v>3.5</v>
      </c>
      <c r="D14">
        <v>3.5</v>
      </c>
      <c r="E14">
        <v>40</v>
      </c>
      <c r="F14">
        <v>3.5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8860</v>
      </c>
    </row>
    <row r="15" spans="1:13" x14ac:dyDescent="0.15">
      <c r="A15" t="s">
        <v>95</v>
      </c>
      <c r="B15" t="s">
        <v>8847</v>
      </c>
      <c r="C15">
        <v>3.5</v>
      </c>
      <c r="D15">
        <v>3.5</v>
      </c>
      <c r="E15">
        <v>40</v>
      </c>
      <c r="F15">
        <v>3.5</v>
      </c>
      <c r="G15">
        <v>12</v>
      </c>
      <c r="H15">
        <v>0</v>
      </c>
      <c r="I15">
        <v>0</v>
      </c>
      <c r="J15">
        <v>6</v>
      </c>
      <c r="K15">
        <v>6</v>
      </c>
      <c r="L15">
        <v>0.5</v>
      </c>
      <c r="M15" t="s">
        <v>8860</v>
      </c>
    </row>
    <row r="16" spans="1:13" x14ac:dyDescent="0.15">
      <c r="A16" t="s">
        <v>8865</v>
      </c>
      <c r="B16" t="s">
        <v>8847</v>
      </c>
      <c r="C16">
        <v>5</v>
      </c>
      <c r="D16">
        <v>5</v>
      </c>
      <c r="E16">
        <v>30</v>
      </c>
      <c r="F16">
        <v>5</v>
      </c>
      <c r="G16">
        <v>14</v>
      </c>
      <c r="H16">
        <v>0</v>
      </c>
      <c r="I16">
        <v>0</v>
      </c>
      <c r="J16">
        <v>6</v>
      </c>
      <c r="K16">
        <v>6</v>
      </c>
      <c r="L16">
        <v>0.5</v>
      </c>
      <c r="M16" t="s">
        <v>8860</v>
      </c>
    </row>
    <row r="17" spans="1:13" x14ac:dyDescent="0.15">
      <c r="A17" t="s">
        <v>8866</v>
      </c>
      <c r="B17" t="s">
        <v>8847</v>
      </c>
      <c r="C17">
        <v>3.5</v>
      </c>
      <c r="D17">
        <v>3.5</v>
      </c>
      <c r="E17">
        <v>40</v>
      </c>
      <c r="F17">
        <v>3.5</v>
      </c>
      <c r="G17">
        <v>25</v>
      </c>
      <c r="H17">
        <v>0</v>
      </c>
      <c r="I17">
        <v>0</v>
      </c>
      <c r="J17">
        <v>15</v>
      </c>
      <c r="K17">
        <v>15</v>
      </c>
      <c r="L17">
        <v>0.5</v>
      </c>
      <c r="M17" t="s">
        <v>8860</v>
      </c>
    </row>
    <row r="18" spans="1:13" x14ac:dyDescent="0.15">
      <c r="A18" t="s">
        <v>8867</v>
      </c>
      <c r="B18" t="s">
        <v>8847</v>
      </c>
      <c r="C18">
        <v>4</v>
      </c>
      <c r="D18">
        <v>4</v>
      </c>
      <c r="E18">
        <v>40</v>
      </c>
      <c r="F18">
        <v>4</v>
      </c>
      <c r="G18">
        <v>15</v>
      </c>
      <c r="H18">
        <v>0</v>
      </c>
      <c r="I18">
        <v>0</v>
      </c>
      <c r="J18">
        <v>10</v>
      </c>
      <c r="K18">
        <v>10</v>
      </c>
      <c r="L18">
        <v>10</v>
      </c>
      <c r="M18" t="s">
        <v>8860</v>
      </c>
    </row>
    <row r="19" spans="1:13" x14ac:dyDescent="0.15">
      <c r="A19" t="s">
        <v>8868</v>
      </c>
      <c r="B19" t="s">
        <v>8847</v>
      </c>
      <c r="C19">
        <v>0</v>
      </c>
      <c r="D19">
        <v>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8860</v>
      </c>
    </row>
    <row r="20" spans="1:13" x14ac:dyDescent="0.15">
      <c r="A20" t="s">
        <v>8869</v>
      </c>
      <c r="B20" t="s">
        <v>8847</v>
      </c>
      <c r="C20">
        <v>0</v>
      </c>
      <c r="D20">
        <v>0</v>
      </c>
      <c r="E20">
        <v>0</v>
      </c>
      <c r="F20">
        <v>0.5</v>
      </c>
      <c r="G20">
        <v>3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8860</v>
      </c>
    </row>
    <row r="21" spans="1:13" x14ac:dyDescent="0.15">
      <c r="A21" t="s">
        <v>8870</v>
      </c>
      <c r="B21" t="s">
        <v>8847</v>
      </c>
      <c r="C21">
        <v>0</v>
      </c>
      <c r="D21">
        <v>0</v>
      </c>
      <c r="E21">
        <v>0</v>
      </c>
      <c r="F21">
        <v>0.5</v>
      </c>
      <c r="G21">
        <v>0.5</v>
      </c>
      <c r="H21">
        <v>0</v>
      </c>
      <c r="I21">
        <v>0</v>
      </c>
      <c r="J21">
        <v>0</v>
      </c>
      <c r="K21">
        <v>0.5</v>
      </c>
      <c r="L21">
        <v>0.5</v>
      </c>
      <c r="M21" t="s">
        <v>8860</v>
      </c>
    </row>
    <row r="22" spans="1:13" x14ac:dyDescent="0.15">
      <c r="A22" t="s">
        <v>8871</v>
      </c>
      <c r="B22" t="s">
        <v>8847</v>
      </c>
      <c r="C22">
        <v>0</v>
      </c>
      <c r="D22">
        <v>0</v>
      </c>
      <c r="E22">
        <v>20</v>
      </c>
      <c r="F22">
        <v>0.5</v>
      </c>
      <c r="G22">
        <v>3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8860</v>
      </c>
    </row>
    <row r="23" spans="1:13" x14ac:dyDescent="0.15">
      <c r="A23" t="s">
        <v>2782</v>
      </c>
      <c r="B23" t="s">
        <v>8847</v>
      </c>
      <c r="C23">
        <v>0</v>
      </c>
      <c r="D23">
        <v>0</v>
      </c>
      <c r="E23">
        <v>20</v>
      </c>
      <c r="F23">
        <v>0.5</v>
      </c>
      <c r="G23">
        <v>11</v>
      </c>
      <c r="H23">
        <v>0</v>
      </c>
      <c r="I23">
        <v>0</v>
      </c>
      <c r="J23">
        <v>8</v>
      </c>
      <c r="K23">
        <v>8</v>
      </c>
      <c r="L23">
        <v>2.5</v>
      </c>
      <c r="M23" t="s">
        <v>8860</v>
      </c>
    </row>
    <row r="24" spans="1:13" x14ac:dyDescent="0.15">
      <c r="A24" t="s">
        <v>8872</v>
      </c>
      <c r="B24" t="s">
        <v>8847</v>
      </c>
      <c r="C24">
        <v>3.5</v>
      </c>
      <c r="D24">
        <v>3.5</v>
      </c>
      <c r="E24">
        <v>0</v>
      </c>
      <c r="F24">
        <v>3.5</v>
      </c>
      <c r="G24">
        <v>16</v>
      </c>
      <c r="H24">
        <v>0</v>
      </c>
      <c r="I24">
        <v>0</v>
      </c>
      <c r="J24">
        <v>6</v>
      </c>
      <c r="K24">
        <v>6</v>
      </c>
      <c r="L24">
        <v>0.5</v>
      </c>
      <c r="M24" t="s">
        <v>8860</v>
      </c>
    </row>
    <row r="25" spans="1:13" x14ac:dyDescent="0.15">
      <c r="A25" t="s">
        <v>2810</v>
      </c>
      <c r="B25" t="s">
        <v>8847</v>
      </c>
      <c r="C25">
        <v>3.5</v>
      </c>
      <c r="D25">
        <v>3.5</v>
      </c>
      <c r="E25">
        <v>40</v>
      </c>
      <c r="F25">
        <v>3.5</v>
      </c>
      <c r="G25">
        <v>16</v>
      </c>
      <c r="H25">
        <v>0</v>
      </c>
      <c r="I25">
        <v>0</v>
      </c>
      <c r="J25">
        <v>6</v>
      </c>
      <c r="K25">
        <v>6</v>
      </c>
      <c r="L25">
        <v>0.5</v>
      </c>
      <c r="M25" t="s">
        <v>8860</v>
      </c>
    </row>
    <row r="26" spans="1:13" x14ac:dyDescent="0.15">
      <c r="A26" t="s">
        <v>3048</v>
      </c>
      <c r="B26" t="s">
        <v>8847</v>
      </c>
      <c r="C26">
        <v>3.5</v>
      </c>
      <c r="D26">
        <v>3.5</v>
      </c>
      <c r="E26">
        <v>40</v>
      </c>
      <c r="F26">
        <v>3.5</v>
      </c>
      <c r="G26">
        <v>12</v>
      </c>
      <c r="H26">
        <v>0</v>
      </c>
      <c r="I26">
        <v>0</v>
      </c>
      <c r="J26">
        <v>6</v>
      </c>
      <c r="K26">
        <v>6</v>
      </c>
      <c r="L26">
        <v>0.5</v>
      </c>
      <c r="M26" t="s">
        <v>8860</v>
      </c>
    </row>
    <row r="27" spans="1:13" x14ac:dyDescent="0.15">
      <c r="A27" t="s">
        <v>3155</v>
      </c>
      <c r="B27" t="s">
        <v>8847</v>
      </c>
      <c r="C27">
        <v>3.5</v>
      </c>
      <c r="D27">
        <v>3.5</v>
      </c>
      <c r="E27">
        <v>40</v>
      </c>
      <c r="F27">
        <v>3.5</v>
      </c>
      <c r="G27">
        <v>12</v>
      </c>
      <c r="H27">
        <v>0</v>
      </c>
      <c r="I27">
        <v>0</v>
      </c>
      <c r="J27">
        <v>6</v>
      </c>
      <c r="K27">
        <v>6</v>
      </c>
      <c r="L27">
        <v>0.5</v>
      </c>
      <c r="M27" t="s">
        <v>8860</v>
      </c>
    </row>
    <row r="28" spans="1:13" x14ac:dyDescent="0.15">
      <c r="A28" t="s">
        <v>2882</v>
      </c>
      <c r="B28" t="s">
        <v>8847</v>
      </c>
      <c r="C28">
        <v>3.5</v>
      </c>
      <c r="D28">
        <v>3.5</v>
      </c>
      <c r="E28">
        <v>40</v>
      </c>
      <c r="F28">
        <v>3.5</v>
      </c>
      <c r="G28">
        <v>12</v>
      </c>
      <c r="H28">
        <v>0</v>
      </c>
      <c r="I28">
        <v>0</v>
      </c>
      <c r="J28">
        <v>6</v>
      </c>
      <c r="K28">
        <v>6</v>
      </c>
      <c r="L28">
        <v>0.5</v>
      </c>
      <c r="M28" t="s">
        <v>8860</v>
      </c>
    </row>
    <row r="29" spans="1:13" x14ac:dyDescent="0.15">
      <c r="A29" t="s">
        <v>2791</v>
      </c>
      <c r="B29" t="s">
        <v>8847</v>
      </c>
      <c r="C29">
        <v>3.5</v>
      </c>
      <c r="D29">
        <v>3.5</v>
      </c>
      <c r="E29">
        <v>20</v>
      </c>
      <c r="F29">
        <v>3.5</v>
      </c>
      <c r="G29">
        <v>12</v>
      </c>
      <c r="H29">
        <v>0</v>
      </c>
      <c r="I29">
        <v>0</v>
      </c>
      <c r="J29">
        <v>6</v>
      </c>
      <c r="K29">
        <v>6</v>
      </c>
      <c r="L29">
        <v>0.5</v>
      </c>
      <c r="M29" t="s">
        <v>8860</v>
      </c>
    </row>
    <row r="30" spans="1:13" x14ac:dyDescent="0.15">
      <c r="A30" t="s">
        <v>3116</v>
      </c>
      <c r="B30" t="s">
        <v>8847</v>
      </c>
      <c r="C30">
        <v>0</v>
      </c>
      <c r="D30">
        <v>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8860</v>
      </c>
    </row>
    <row r="31" spans="1:13" x14ac:dyDescent="0.15">
      <c r="A31" t="s">
        <v>2786</v>
      </c>
      <c r="B31" t="s">
        <v>8847</v>
      </c>
      <c r="C31">
        <v>0</v>
      </c>
      <c r="D31">
        <v>0</v>
      </c>
      <c r="E31">
        <v>0</v>
      </c>
      <c r="F31">
        <v>0.5</v>
      </c>
      <c r="G31">
        <v>3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8860</v>
      </c>
    </row>
    <row r="32" spans="1:13" x14ac:dyDescent="0.15">
      <c r="A32" t="s">
        <v>8873</v>
      </c>
      <c r="B32" t="s">
        <v>8847</v>
      </c>
      <c r="C32">
        <v>0</v>
      </c>
      <c r="D32">
        <v>0</v>
      </c>
      <c r="E32">
        <v>0</v>
      </c>
      <c r="F32">
        <v>0.5</v>
      </c>
      <c r="G32">
        <v>0.5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8860</v>
      </c>
    </row>
    <row r="33" spans="1:13" x14ac:dyDescent="0.15">
      <c r="A33" t="s">
        <v>8874</v>
      </c>
      <c r="B33" t="s">
        <v>8847</v>
      </c>
      <c r="C33">
        <v>0</v>
      </c>
      <c r="D33">
        <v>0</v>
      </c>
      <c r="E33">
        <v>20</v>
      </c>
      <c r="F33">
        <v>0.5</v>
      </c>
      <c r="G33">
        <v>3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8860</v>
      </c>
    </row>
    <row r="34" spans="1:13" x14ac:dyDescent="0.15">
      <c r="A34" t="s">
        <v>8875</v>
      </c>
      <c r="B34" t="s">
        <v>8847</v>
      </c>
      <c r="C34">
        <v>3.5</v>
      </c>
      <c r="D34">
        <v>3.5</v>
      </c>
      <c r="E34">
        <v>20</v>
      </c>
      <c r="F34">
        <v>3.5</v>
      </c>
      <c r="G34">
        <v>12</v>
      </c>
      <c r="H34">
        <v>0</v>
      </c>
      <c r="I34">
        <v>0</v>
      </c>
      <c r="J34">
        <v>6</v>
      </c>
      <c r="K34">
        <v>6</v>
      </c>
      <c r="L34">
        <v>0.5</v>
      </c>
      <c r="M34" t="s">
        <v>8860</v>
      </c>
    </row>
    <row r="35" spans="1:13" x14ac:dyDescent="0.15">
      <c r="A35" t="s">
        <v>8223</v>
      </c>
      <c r="B35" t="s">
        <v>8847</v>
      </c>
      <c r="C35">
        <v>3.5</v>
      </c>
      <c r="D35">
        <v>3.5</v>
      </c>
      <c r="E35">
        <v>20</v>
      </c>
      <c r="F35">
        <v>3.5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8860</v>
      </c>
    </row>
    <row r="36" spans="1:13" x14ac:dyDescent="0.15">
      <c r="A36" t="s">
        <v>7325</v>
      </c>
      <c r="B36" t="s">
        <v>8847</v>
      </c>
      <c r="C36">
        <v>3.5</v>
      </c>
      <c r="D36">
        <v>3.5</v>
      </c>
      <c r="E36">
        <v>20</v>
      </c>
      <c r="F36">
        <v>3.5</v>
      </c>
      <c r="G36">
        <v>12</v>
      </c>
      <c r="H36">
        <v>0</v>
      </c>
      <c r="I36">
        <v>0</v>
      </c>
      <c r="J36">
        <v>6</v>
      </c>
      <c r="K36">
        <v>6</v>
      </c>
      <c r="L36">
        <v>0.5</v>
      </c>
      <c r="M36" t="s">
        <v>8860</v>
      </c>
    </row>
    <row r="37" spans="1:13" x14ac:dyDescent="0.15">
      <c r="A37" t="s">
        <v>7534</v>
      </c>
      <c r="B37" t="s">
        <v>8847</v>
      </c>
      <c r="C37">
        <v>3.5</v>
      </c>
      <c r="D37">
        <v>3.5</v>
      </c>
      <c r="E37">
        <v>20</v>
      </c>
      <c r="F37">
        <v>3.5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8860</v>
      </c>
    </row>
    <row r="38" spans="1:13" x14ac:dyDescent="0.15">
      <c r="A38" t="s">
        <v>2826</v>
      </c>
      <c r="B38" t="s">
        <v>8847</v>
      </c>
      <c r="C38">
        <v>3.5</v>
      </c>
      <c r="D38">
        <v>3.5</v>
      </c>
      <c r="E38">
        <v>20</v>
      </c>
      <c r="F38">
        <v>3.5</v>
      </c>
      <c r="G38">
        <v>12</v>
      </c>
      <c r="H38">
        <v>2</v>
      </c>
      <c r="I38">
        <v>0.5</v>
      </c>
      <c r="J38">
        <v>8</v>
      </c>
      <c r="K38">
        <v>8</v>
      </c>
      <c r="L38">
        <v>0.5</v>
      </c>
      <c r="M38" t="s">
        <v>8860</v>
      </c>
    </row>
    <row r="39" spans="1:13" x14ac:dyDescent="0.15">
      <c r="A39" t="s">
        <v>8876</v>
      </c>
      <c r="B39" t="s">
        <v>8847</v>
      </c>
      <c r="C39">
        <v>0</v>
      </c>
      <c r="D39">
        <v>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8860</v>
      </c>
    </row>
    <row r="40" spans="1:13" x14ac:dyDescent="0.15">
      <c r="A40" t="s">
        <v>8877</v>
      </c>
      <c r="B40" t="s">
        <v>8847</v>
      </c>
      <c r="C40">
        <v>3.5</v>
      </c>
      <c r="D40">
        <v>3.5</v>
      </c>
      <c r="E40">
        <v>0</v>
      </c>
      <c r="F40">
        <v>3.5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8860</v>
      </c>
    </row>
    <row r="41" spans="1:13" x14ac:dyDescent="0.15">
      <c r="A41" t="s">
        <v>8878</v>
      </c>
      <c r="B41" t="s">
        <v>8847</v>
      </c>
      <c r="C41">
        <v>0</v>
      </c>
      <c r="D41">
        <v>0</v>
      </c>
      <c r="E41">
        <v>0</v>
      </c>
      <c r="F41">
        <v>0.5</v>
      </c>
      <c r="G41">
        <v>3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8860</v>
      </c>
    </row>
    <row r="42" spans="1:13" x14ac:dyDescent="0.15">
      <c r="A42" t="s">
        <v>8879</v>
      </c>
      <c r="B42" t="s">
        <v>8847</v>
      </c>
      <c r="C42">
        <v>3.5</v>
      </c>
      <c r="D42">
        <v>3.5</v>
      </c>
      <c r="E42">
        <v>40</v>
      </c>
      <c r="F42">
        <v>3.5</v>
      </c>
      <c r="G42">
        <v>12</v>
      </c>
      <c r="H42">
        <v>2</v>
      </c>
      <c r="I42">
        <v>0.5</v>
      </c>
      <c r="J42">
        <v>6</v>
      </c>
      <c r="K42">
        <v>6</v>
      </c>
      <c r="L42">
        <v>0.5</v>
      </c>
      <c r="M42" t="s">
        <v>8860</v>
      </c>
    </row>
    <row r="43" spans="1:13" x14ac:dyDescent="0.15">
      <c r="A43" t="s">
        <v>8880</v>
      </c>
      <c r="B43" t="s">
        <v>8847</v>
      </c>
      <c r="C43">
        <v>0</v>
      </c>
      <c r="D43">
        <v>0</v>
      </c>
      <c r="E43">
        <v>20</v>
      </c>
      <c r="F43">
        <v>0.5</v>
      </c>
      <c r="G43">
        <v>9.5</v>
      </c>
      <c r="H43">
        <v>2</v>
      </c>
      <c r="I43">
        <v>0.5</v>
      </c>
      <c r="J43">
        <v>8</v>
      </c>
      <c r="K43">
        <v>8</v>
      </c>
      <c r="L43">
        <v>10</v>
      </c>
      <c r="M43" t="s">
        <v>8860</v>
      </c>
    </row>
    <row r="44" spans="1:13" x14ac:dyDescent="0.15">
      <c r="A44" t="s">
        <v>8881</v>
      </c>
      <c r="B44" t="s">
        <v>8847</v>
      </c>
      <c r="C44">
        <v>0</v>
      </c>
      <c r="D44">
        <v>0</v>
      </c>
      <c r="E44">
        <v>20</v>
      </c>
      <c r="F44">
        <v>0</v>
      </c>
      <c r="G44">
        <v>12</v>
      </c>
      <c r="H44">
        <v>0</v>
      </c>
      <c r="I44">
        <v>0</v>
      </c>
      <c r="J44">
        <v>6</v>
      </c>
      <c r="K44">
        <v>6</v>
      </c>
      <c r="L44">
        <v>0</v>
      </c>
      <c r="M44" t="s">
        <v>8860</v>
      </c>
    </row>
    <row r="45" spans="1:13" x14ac:dyDescent="0.15">
      <c r="A45" t="s">
        <v>3528</v>
      </c>
      <c r="B45" t="s">
        <v>8847</v>
      </c>
      <c r="C45">
        <v>3.5</v>
      </c>
      <c r="D45">
        <v>3.5</v>
      </c>
      <c r="E45">
        <v>40</v>
      </c>
      <c r="F45">
        <v>3.5</v>
      </c>
      <c r="G45">
        <v>25</v>
      </c>
      <c r="H45">
        <v>2</v>
      </c>
      <c r="I45">
        <v>0.5</v>
      </c>
      <c r="J45">
        <v>15</v>
      </c>
      <c r="K45">
        <v>15</v>
      </c>
      <c r="L45">
        <v>0.5</v>
      </c>
      <c r="M45" t="s">
        <v>8860</v>
      </c>
    </row>
    <row r="46" spans="1:13" x14ac:dyDescent="0.15">
      <c r="A46" t="s">
        <v>3524</v>
      </c>
      <c r="B46" t="s">
        <v>8847</v>
      </c>
      <c r="C46">
        <v>4</v>
      </c>
      <c r="D46">
        <v>4</v>
      </c>
      <c r="E46">
        <v>40</v>
      </c>
      <c r="F46">
        <v>4</v>
      </c>
      <c r="G46">
        <v>15</v>
      </c>
      <c r="H46">
        <v>2</v>
      </c>
      <c r="I46">
        <v>0.5</v>
      </c>
      <c r="J46">
        <v>10</v>
      </c>
      <c r="K46">
        <v>10</v>
      </c>
      <c r="L46">
        <v>10</v>
      </c>
      <c r="M46" t="s">
        <v>8860</v>
      </c>
    </row>
    <row r="47" spans="1:13" x14ac:dyDescent="0.15">
      <c r="A47" t="s">
        <v>1015</v>
      </c>
      <c r="B47" t="s">
        <v>8847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8860</v>
      </c>
    </row>
    <row r="48" spans="1:13" x14ac:dyDescent="0.15">
      <c r="A48" t="s">
        <v>8882</v>
      </c>
      <c r="B48" t="s">
        <v>8847</v>
      </c>
      <c r="C48">
        <v>3.5</v>
      </c>
      <c r="D48">
        <v>3.5</v>
      </c>
      <c r="E48">
        <v>40</v>
      </c>
      <c r="F48">
        <v>3.5</v>
      </c>
      <c r="G48">
        <v>12</v>
      </c>
      <c r="H48">
        <v>2</v>
      </c>
      <c r="I48">
        <v>0.5</v>
      </c>
      <c r="J48">
        <v>6</v>
      </c>
      <c r="K48">
        <v>6</v>
      </c>
      <c r="L48">
        <v>0.5</v>
      </c>
      <c r="M48" t="s">
        <v>8860</v>
      </c>
    </row>
    <row r="49" spans="1:13" x14ac:dyDescent="0.15">
      <c r="A49" t="s">
        <v>1688</v>
      </c>
      <c r="B49" t="s">
        <v>8847</v>
      </c>
      <c r="C49">
        <v>3.5</v>
      </c>
      <c r="D49">
        <v>3.5</v>
      </c>
      <c r="E49">
        <v>40</v>
      </c>
      <c r="F49">
        <v>3.5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8860</v>
      </c>
    </row>
    <row r="50" spans="1:13" x14ac:dyDescent="0.15">
      <c r="A50" t="s">
        <v>1761</v>
      </c>
      <c r="B50" t="s">
        <v>8847</v>
      </c>
      <c r="C50">
        <v>3.5</v>
      </c>
      <c r="D50">
        <v>3.5</v>
      </c>
      <c r="E50">
        <v>20</v>
      </c>
      <c r="F50">
        <v>3.5</v>
      </c>
      <c r="G50">
        <v>12</v>
      </c>
      <c r="H50">
        <v>2</v>
      </c>
      <c r="I50">
        <v>0.5</v>
      </c>
      <c r="J50">
        <v>6</v>
      </c>
      <c r="K50">
        <v>6</v>
      </c>
      <c r="L50">
        <v>0.5</v>
      </c>
      <c r="M50" t="s">
        <v>8860</v>
      </c>
    </row>
    <row r="51" spans="1:13" x14ac:dyDescent="0.15">
      <c r="A51" t="s">
        <v>483</v>
      </c>
      <c r="B51" t="s">
        <v>8847</v>
      </c>
      <c r="C51">
        <v>3.5</v>
      </c>
      <c r="D51">
        <v>3.5</v>
      </c>
      <c r="E51">
        <v>20</v>
      </c>
      <c r="F51">
        <v>3.5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8860</v>
      </c>
    </row>
    <row r="52" spans="1:13" x14ac:dyDescent="0.15">
      <c r="A52" t="s">
        <v>323</v>
      </c>
      <c r="B52" t="s">
        <v>8847</v>
      </c>
      <c r="C52">
        <v>3.5</v>
      </c>
      <c r="D52">
        <v>3.5</v>
      </c>
      <c r="E52">
        <v>40</v>
      </c>
      <c r="F52">
        <v>3.5</v>
      </c>
      <c r="G52">
        <v>10</v>
      </c>
      <c r="H52">
        <v>0</v>
      </c>
      <c r="I52">
        <v>0</v>
      </c>
      <c r="J52">
        <v>6</v>
      </c>
      <c r="K52">
        <v>6</v>
      </c>
      <c r="L52">
        <v>1</v>
      </c>
      <c r="M52" t="s">
        <v>8860</v>
      </c>
    </row>
    <row r="53" spans="1:13" x14ac:dyDescent="0.15">
      <c r="A53" t="s">
        <v>1551</v>
      </c>
      <c r="B53" t="s">
        <v>8847</v>
      </c>
      <c r="C53">
        <v>3.5</v>
      </c>
      <c r="D53">
        <v>3.5</v>
      </c>
      <c r="E53">
        <v>40</v>
      </c>
      <c r="F53">
        <v>3.5</v>
      </c>
      <c r="G53">
        <v>12</v>
      </c>
      <c r="H53">
        <v>0</v>
      </c>
      <c r="I53">
        <v>0</v>
      </c>
      <c r="J53">
        <v>10</v>
      </c>
      <c r="K53">
        <v>10</v>
      </c>
      <c r="L53">
        <v>23</v>
      </c>
      <c r="M53" t="s">
        <v>8860</v>
      </c>
    </row>
    <row r="54" spans="1:13" x14ac:dyDescent="0.15">
      <c r="A54" t="s">
        <v>185</v>
      </c>
      <c r="B54" t="s">
        <v>8847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8860</v>
      </c>
    </row>
    <row r="55" spans="1:13" x14ac:dyDescent="0.15">
      <c r="A55" t="s">
        <v>8883</v>
      </c>
      <c r="B55" t="s">
        <v>8847</v>
      </c>
      <c r="C55">
        <v>3.5</v>
      </c>
      <c r="D55">
        <v>3.5</v>
      </c>
      <c r="E55">
        <v>20</v>
      </c>
      <c r="F55">
        <v>3.5</v>
      </c>
      <c r="G55">
        <v>12</v>
      </c>
      <c r="H55">
        <v>0</v>
      </c>
      <c r="I55">
        <v>0</v>
      </c>
      <c r="J55">
        <v>26.9</v>
      </c>
      <c r="K55">
        <v>26.9</v>
      </c>
      <c r="L55">
        <v>0.5</v>
      </c>
      <c r="M55" t="s">
        <v>8860</v>
      </c>
    </row>
    <row r="56" spans="1:13" x14ac:dyDescent="0.15">
      <c r="A56" t="s">
        <v>284</v>
      </c>
      <c r="B56" t="s">
        <v>8847</v>
      </c>
      <c r="C56">
        <v>3.5</v>
      </c>
      <c r="D56">
        <v>3.5</v>
      </c>
      <c r="E56">
        <v>20</v>
      </c>
      <c r="F56">
        <v>3.5</v>
      </c>
      <c r="G56">
        <v>6</v>
      </c>
      <c r="H56">
        <v>0</v>
      </c>
      <c r="I56">
        <v>0</v>
      </c>
      <c r="J56">
        <v>4</v>
      </c>
      <c r="K56">
        <v>4</v>
      </c>
      <c r="L56">
        <v>0.5</v>
      </c>
      <c r="M56" t="s">
        <v>8860</v>
      </c>
    </row>
    <row r="57" spans="1:13" x14ac:dyDescent="0.15">
      <c r="A57" t="s">
        <v>8884</v>
      </c>
      <c r="B57" t="s">
        <v>8847</v>
      </c>
      <c r="C57">
        <v>3.5</v>
      </c>
      <c r="D57">
        <v>3.5</v>
      </c>
      <c r="E57">
        <v>20</v>
      </c>
      <c r="F57">
        <v>3.5</v>
      </c>
      <c r="G57">
        <v>12</v>
      </c>
      <c r="H57">
        <v>0</v>
      </c>
      <c r="I57">
        <v>0</v>
      </c>
      <c r="J57">
        <v>6</v>
      </c>
      <c r="K57">
        <v>6</v>
      </c>
      <c r="L57">
        <v>0.5</v>
      </c>
      <c r="M57" t="s">
        <v>8860</v>
      </c>
    </row>
    <row r="58" spans="1:13" x14ac:dyDescent="0.15">
      <c r="A58" t="s">
        <v>6206</v>
      </c>
      <c r="B58" t="s">
        <v>8847</v>
      </c>
      <c r="C58">
        <v>3.5</v>
      </c>
      <c r="D58">
        <v>3.5</v>
      </c>
      <c r="E58">
        <v>20</v>
      </c>
      <c r="F58">
        <v>3.5</v>
      </c>
      <c r="G58">
        <v>12</v>
      </c>
      <c r="H58">
        <v>0</v>
      </c>
      <c r="I58">
        <v>0</v>
      </c>
      <c r="J58">
        <v>6</v>
      </c>
      <c r="K58">
        <v>6</v>
      </c>
      <c r="L58">
        <v>0.5</v>
      </c>
      <c r="M58" t="s">
        <v>8860</v>
      </c>
    </row>
    <row r="59" spans="1:13" x14ac:dyDescent="0.15">
      <c r="A59" t="s">
        <v>8885</v>
      </c>
      <c r="B59" t="s">
        <v>8847</v>
      </c>
      <c r="C59">
        <v>3.5</v>
      </c>
      <c r="D59">
        <v>3.5</v>
      </c>
      <c r="E59">
        <v>40</v>
      </c>
      <c r="F59">
        <v>3.5</v>
      </c>
      <c r="G59">
        <v>12</v>
      </c>
      <c r="H59">
        <v>0</v>
      </c>
      <c r="I59">
        <v>0</v>
      </c>
      <c r="J59">
        <v>6</v>
      </c>
      <c r="K59">
        <v>6</v>
      </c>
      <c r="L59">
        <v>0.5</v>
      </c>
      <c r="M59" t="s">
        <v>8860</v>
      </c>
    </row>
    <row r="60" spans="1:13" x14ac:dyDescent="0.15">
      <c r="A60" t="s">
        <v>1464</v>
      </c>
      <c r="B60" t="s">
        <v>8847</v>
      </c>
      <c r="C60">
        <v>3.5</v>
      </c>
      <c r="D60">
        <v>3.5</v>
      </c>
      <c r="E60">
        <v>20</v>
      </c>
      <c r="F60">
        <v>3.5</v>
      </c>
      <c r="G60">
        <v>12</v>
      </c>
      <c r="H60">
        <v>0</v>
      </c>
      <c r="I60">
        <v>0</v>
      </c>
      <c r="J60">
        <v>6</v>
      </c>
      <c r="K60">
        <v>6</v>
      </c>
      <c r="L60">
        <v>0.5</v>
      </c>
      <c r="M60" t="s">
        <v>8860</v>
      </c>
    </row>
    <row r="61" spans="1:13" x14ac:dyDescent="0.15">
      <c r="A61" t="s">
        <v>8886</v>
      </c>
      <c r="B61" t="s">
        <v>8847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8860</v>
      </c>
    </row>
    <row r="62" spans="1:13" x14ac:dyDescent="0.15">
      <c r="A62" t="s">
        <v>8887</v>
      </c>
      <c r="B62" t="s">
        <v>8847</v>
      </c>
      <c r="C62">
        <v>3.5</v>
      </c>
      <c r="D62">
        <v>3.5</v>
      </c>
      <c r="E62">
        <v>20</v>
      </c>
      <c r="F62">
        <v>3.5</v>
      </c>
      <c r="G62">
        <v>0</v>
      </c>
      <c r="H62">
        <v>0</v>
      </c>
      <c r="I62">
        <v>0</v>
      </c>
      <c r="J62">
        <v>0</v>
      </c>
      <c r="K62">
        <v>0</v>
      </c>
      <c r="L62">
        <v>0.5</v>
      </c>
      <c r="M62" t="s">
        <v>8860</v>
      </c>
    </row>
    <row r="63" spans="1:13" x14ac:dyDescent="0.15">
      <c r="A63" t="s">
        <v>3013</v>
      </c>
      <c r="B63" t="s">
        <v>8847</v>
      </c>
      <c r="C63">
        <v>3.5</v>
      </c>
      <c r="D63">
        <v>3.5</v>
      </c>
      <c r="E63">
        <v>40</v>
      </c>
      <c r="F63">
        <v>3.5</v>
      </c>
      <c r="G63">
        <v>12</v>
      </c>
      <c r="H63">
        <v>0</v>
      </c>
      <c r="I63">
        <v>0</v>
      </c>
      <c r="J63">
        <v>6</v>
      </c>
      <c r="K63">
        <v>6</v>
      </c>
      <c r="L63">
        <v>0.5</v>
      </c>
      <c r="M63" t="s">
        <v>25</v>
      </c>
    </row>
    <row r="64" spans="1:13" x14ac:dyDescent="0.15">
      <c r="A64" t="s">
        <v>272</v>
      </c>
      <c r="B64" t="s">
        <v>8847</v>
      </c>
      <c r="C64">
        <v>3.5</v>
      </c>
      <c r="D64">
        <v>3.5</v>
      </c>
      <c r="E64">
        <v>20</v>
      </c>
      <c r="F64">
        <v>3.5</v>
      </c>
      <c r="G64">
        <v>12</v>
      </c>
      <c r="H64">
        <v>0</v>
      </c>
      <c r="I64">
        <v>0</v>
      </c>
      <c r="J64">
        <v>6</v>
      </c>
      <c r="K64">
        <v>6</v>
      </c>
      <c r="L64">
        <v>0.5</v>
      </c>
      <c r="M64" t="s">
        <v>8888</v>
      </c>
    </row>
    <row r="65" spans="1:13" x14ac:dyDescent="0.15">
      <c r="A65" t="s">
        <v>8889</v>
      </c>
      <c r="B65" t="s">
        <v>8847</v>
      </c>
      <c r="C65">
        <v>0</v>
      </c>
      <c r="D65">
        <v>0</v>
      </c>
      <c r="E65">
        <v>20</v>
      </c>
      <c r="F65">
        <v>0.5</v>
      </c>
      <c r="G65">
        <v>11</v>
      </c>
      <c r="H65">
        <v>0</v>
      </c>
      <c r="I65">
        <v>0</v>
      </c>
      <c r="J65">
        <v>0</v>
      </c>
      <c r="K65">
        <v>0</v>
      </c>
      <c r="L65">
        <v>2.5</v>
      </c>
      <c r="M65" t="s">
        <v>8860</v>
      </c>
    </row>
    <row r="66" spans="1:13" x14ac:dyDescent="0.15">
      <c r="A66" t="s">
        <v>3166</v>
      </c>
      <c r="B66" t="s">
        <v>8847</v>
      </c>
      <c r="C66">
        <v>3.5</v>
      </c>
      <c r="D66">
        <v>3.5</v>
      </c>
      <c r="E66">
        <v>0</v>
      </c>
      <c r="F66">
        <v>3.5</v>
      </c>
      <c r="G66">
        <v>0</v>
      </c>
      <c r="H66">
        <v>0</v>
      </c>
      <c r="I66">
        <v>0</v>
      </c>
      <c r="J66">
        <v>0</v>
      </c>
      <c r="K66">
        <v>0</v>
      </c>
      <c r="L66">
        <v>0.5</v>
      </c>
      <c r="M66" t="s">
        <v>8860</v>
      </c>
    </row>
    <row r="67" spans="1:13" x14ac:dyDescent="0.15">
      <c r="A67" t="s">
        <v>8890</v>
      </c>
      <c r="B67" t="s">
        <v>8847</v>
      </c>
      <c r="C67">
        <v>3.5</v>
      </c>
      <c r="D67">
        <v>3.5</v>
      </c>
      <c r="E67">
        <v>40</v>
      </c>
      <c r="F67">
        <v>3.5</v>
      </c>
      <c r="G67">
        <v>0</v>
      </c>
      <c r="H67">
        <v>0</v>
      </c>
      <c r="I67">
        <v>0</v>
      </c>
      <c r="J67">
        <v>0</v>
      </c>
      <c r="K67">
        <v>0</v>
      </c>
      <c r="L67">
        <v>0.5</v>
      </c>
      <c r="M67" t="s">
        <v>8860</v>
      </c>
    </row>
    <row r="68" spans="1:13" x14ac:dyDescent="0.15">
      <c r="A68" t="s">
        <v>8891</v>
      </c>
      <c r="B68" t="s">
        <v>8847</v>
      </c>
      <c r="C68">
        <v>3.5</v>
      </c>
      <c r="D68">
        <v>3.5</v>
      </c>
      <c r="E68">
        <v>40</v>
      </c>
      <c r="F68">
        <v>3.5</v>
      </c>
      <c r="G68">
        <v>0</v>
      </c>
      <c r="H68">
        <v>0</v>
      </c>
      <c r="I68">
        <v>0</v>
      </c>
      <c r="J68">
        <v>0</v>
      </c>
      <c r="K68">
        <v>0</v>
      </c>
      <c r="L68">
        <v>0.5</v>
      </c>
      <c r="M68" t="s">
        <v>8860</v>
      </c>
    </row>
    <row r="69" spans="1:13" x14ac:dyDescent="0.15">
      <c r="A69" t="s">
        <v>8892</v>
      </c>
      <c r="B69" t="s">
        <v>8847</v>
      </c>
      <c r="C69">
        <v>3.5</v>
      </c>
      <c r="D69">
        <v>3.5</v>
      </c>
      <c r="E69">
        <v>40</v>
      </c>
      <c r="F69">
        <v>3.5</v>
      </c>
      <c r="G69">
        <v>0</v>
      </c>
      <c r="H69">
        <v>0</v>
      </c>
      <c r="I69">
        <v>0</v>
      </c>
      <c r="J69">
        <v>0</v>
      </c>
      <c r="K69">
        <v>0</v>
      </c>
      <c r="L69">
        <v>0.5</v>
      </c>
      <c r="M69" t="s">
        <v>8860</v>
      </c>
    </row>
    <row r="70" spans="1:13" x14ac:dyDescent="0.15">
      <c r="A70" t="s">
        <v>8893</v>
      </c>
      <c r="B70" t="s">
        <v>8847</v>
      </c>
      <c r="C70">
        <v>3.5</v>
      </c>
      <c r="D70">
        <v>3.5</v>
      </c>
      <c r="E70">
        <v>40</v>
      </c>
      <c r="F70">
        <v>3.5</v>
      </c>
      <c r="G70">
        <v>0</v>
      </c>
      <c r="H70">
        <v>0</v>
      </c>
      <c r="I70">
        <v>0</v>
      </c>
      <c r="J70">
        <v>0</v>
      </c>
      <c r="K70">
        <v>0</v>
      </c>
      <c r="L70">
        <v>0.5</v>
      </c>
      <c r="M70" t="s">
        <v>8860</v>
      </c>
    </row>
    <row r="71" spans="1:13" x14ac:dyDescent="0.15">
      <c r="A71" t="s">
        <v>8894</v>
      </c>
      <c r="B71" t="s">
        <v>8847</v>
      </c>
      <c r="C71">
        <v>3.5</v>
      </c>
      <c r="D71">
        <v>3.5</v>
      </c>
      <c r="E71">
        <v>20</v>
      </c>
      <c r="F71">
        <v>3.5</v>
      </c>
      <c r="G71">
        <v>0</v>
      </c>
      <c r="H71">
        <v>0</v>
      </c>
      <c r="I71">
        <v>0</v>
      </c>
      <c r="J71">
        <v>0</v>
      </c>
      <c r="K71">
        <v>0</v>
      </c>
      <c r="L71">
        <v>0.5</v>
      </c>
      <c r="M71" t="s">
        <v>8860</v>
      </c>
    </row>
    <row r="72" spans="1:13" x14ac:dyDescent="0.15">
      <c r="A72" t="s">
        <v>772</v>
      </c>
      <c r="B72" t="s">
        <v>8847</v>
      </c>
      <c r="C72">
        <v>3.5</v>
      </c>
      <c r="D72">
        <v>3.5</v>
      </c>
      <c r="E72">
        <v>20</v>
      </c>
      <c r="F72">
        <v>3.5</v>
      </c>
      <c r="G72">
        <v>12</v>
      </c>
      <c r="H72">
        <v>0</v>
      </c>
      <c r="I72">
        <v>0</v>
      </c>
      <c r="J72">
        <v>6</v>
      </c>
      <c r="K72">
        <v>6</v>
      </c>
      <c r="L72">
        <v>0.5</v>
      </c>
      <c r="M72" t="s">
        <v>8860</v>
      </c>
    </row>
    <row r="73" spans="1:13" x14ac:dyDescent="0.15">
      <c r="A73" t="s">
        <v>740</v>
      </c>
      <c r="B73" t="s">
        <v>8847</v>
      </c>
      <c r="C73">
        <v>3.5</v>
      </c>
      <c r="D73">
        <v>3.5</v>
      </c>
      <c r="E73">
        <v>20</v>
      </c>
      <c r="F73">
        <v>3.5</v>
      </c>
      <c r="G73">
        <v>12</v>
      </c>
      <c r="H73">
        <v>0</v>
      </c>
      <c r="I73">
        <v>0</v>
      </c>
      <c r="J73">
        <v>6</v>
      </c>
      <c r="K73">
        <v>6</v>
      </c>
      <c r="L73">
        <v>0.5</v>
      </c>
      <c r="M73" t="s">
        <v>8860</v>
      </c>
    </row>
    <row r="74" spans="1:13" x14ac:dyDescent="0.15">
      <c r="A74" t="s">
        <v>5035</v>
      </c>
      <c r="B74" t="s">
        <v>8847</v>
      </c>
      <c r="C74">
        <v>3.5</v>
      </c>
      <c r="D74">
        <v>3.5</v>
      </c>
      <c r="E74">
        <v>20</v>
      </c>
      <c r="F74">
        <v>3.5</v>
      </c>
      <c r="G74">
        <v>0</v>
      </c>
      <c r="H74">
        <v>0</v>
      </c>
      <c r="I74">
        <v>0</v>
      </c>
      <c r="J74">
        <v>0</v>
      </c>
      <c r="K74">
        <v>0</v>
      </c>
      <c r="L74">
        <v>0.5</v>
      </c>
      <c r="M74" t="s">
        <v>8860</v>
      </c>
    </row>
    <row r="75" spans="1:13" x14ac:dyDescent="0.15">
      <c r="A75" t="s">
        <v>5305</v>
      </c>
      <c r="B75" t="s">
        <v>8847</v>
      </c>
      <c r="C75">
        <v>3.5</v>
      </c>
      <c r="D75">
        <v>3.5</v>
      </c>
      <c r="E75">
        <v>20</v>
      </c>
      <c r="F75">
        <v>3.5</v>
      </c>
      <c r="G75">
        <v>12</v>
      </c>
      <c r="H75">
        <v>0</v>
      </c>
      <c r="I75">
        <v>0</v>
      </c>
      <c r="J75">
        <v>6</v>
      </c>
      <c r="K75">
        <v>6</v>
      </c>
      <c r="L75">
        <v>0.5</v>
      </c>
      <c r="M75" t="s">
        <v>8860</v>
      </c>
    </row>
    <row r="76" spans="1:13" x14ac:dyDescent="0.15">
      <c r="A76" t="s">
        <v>4964</v>
      </c>
      <c r="B76" t="s">
        <v>8847</v>
      </c>
      <c r="C76">
        <v>3.5</v>
      </c>
      <c r="D76">
        <v>3.5</v>
      </c>
      <c r="E76">
        <v>20</v>
      </c>
      <c r="F76">
        <v>3.5</v>
      </c>
      <c r="G76">
        <v>0</v>
      </c>
      <c r="H76">
        <v>0</v>
      </c>
      <c r="I76">
        <v>0</v>
      </c>
      <c r="J76">
        <v>0</v>
      </c>
      <c r="K76">
        <v>0</v>
      </c>
      <c r="L76">
        <v>0.5</v>
      </c>
      <c r="M76" t="s">
        <v>8860</v>
      </c>
    </row>
    <row r="77" spans="1:13" x14ac:dyDescent="0.15">
      <c r="A77" t="s">
        <v>5281</v>
      </c>
      <c r="B77" t="s">
        <v>8847</v>
      </c>
      <c r="C77">
        <v>3.5</v>
      </c>
      <c r="D77">
        <v>3.5</v>
      </c>
      <c r="E77">
        <v>20</v>
      </c>
      <c r="F77">
        <v>3.5</v>
      </c>
      <c r="G77">
        <v>12</v>
      </c>
      <c r="H77">
        <v>0</v>
      </c>
      <c r="I77">
        <v>0</v>
      </c>
      <c r="J77">
        <v>6</v>
      </c>
      <c r="K77">
        <v>6</v>
      </c>
      <c r="L77">
        <v>0.5</v>
      </c>
      <c r="M77" t="s">
        <v>8860</v>
      </c>
    </row>
    <row r="78" spans="1:13" x14ac:dyDescent="0.15">
      <c r="A78" t="s">
        <v>8341</v>
      </c>
      <c r="B78" t="s">
        <v>8847</v>
      </c>
      <c r="C78">
        <v>3.5</v>
      </c>
      <c r="D78">
        <v>3.5</v>
      </c>
      <c r="E78">
        <v>20</v>
      </c>
      <c r="F78">
        <v>3.5</v>
      </c>
      <c r="G78">
        <v>0</v>
      </c>
      <c r="H78">
        <v>0</v>
      </c>
      <c r="I78">
        <v>0</v>
      </c>
      <c r="J78">
        <v>0</v>
      </c>
      <c r="K78">
        <v>0</v>
      </c>
      <c r="L78">
        <v>0.5</v>
      </c>
      <c r="M78" t="s">
        <v>8860</v>
      </c>
    </row>
    <row r="79" spans="1:13" x14ac:dyDescent="0.15">
      <c r="A79" t="s">
        <v>5370</v>
      </c>
      <c r="B79" t="s">
        <v>8847</v>
      </c>
      <c r="C79">
        <v>3.5</v>
      </c>
      <c r="D79">
        <v>3.5</v>
      </c>
      <c r="E79">
        <v>20</v>
      </c>
      <c r="F79">
        <v>3.5</v>
      </c>
      <c r="G79">
        <v>12</v>
      </c>
      <c r="H79">
        <v>0</v>
      </c>
      <c r="I79">
        <v>0</v>
      </c>
      <c r="J79">
        <v>6</v>
      </c>
      <c r="K79">
        <v>6</v>
      </c>
      <c r="L79">
        <v>0.5</v>
      </c>
      <c r="M79" t="s">
        <v>8860</v>
      </c>
    </row>
    <row r="80" spans="1:13" x14ac:dyDescent="0.15">
      <c r="A80" t="s">
        <v>8276</v>
      </c>
      <c r="B80" t="s">
        <v>8847</v>
      </c>
      <c r="C80">
        <v>3.5</v>
      </c>
      <c r="D80">
        <v>3.5</v>
      </c>
      <c r="E80">
        <v>20</v>
      </c>
      <c r="F80">
        <v>3.5</v>
      </c>
      <c r="G80">
        <v>0</v>
      </c>
      <c r="H80">
        <v>0</v>
      </c>
      <c r="I80">
        <v>0</v>
      </c>
      <c r="J80">
        <v>0</v>
      </c>
      <c r="K80">
        <v>0</v>
      </c>
      <c r="L80">
        <v>0.5</v>
      </c>
      <c r="M80" t="s">
        <v>8860</v>
      </c>
    </row>
    <row r="81" spans="1:13" x14ac:dyDescent="0.15">
      <c r="A81" t="s">
        <v>8895</v>
      </c>
      <c r="B81" t="s">
        <v>8847</v>
      </c>
      <c r="C81">
        <v>3.5</v>
      </c>
      <c r="D81">
        <v>3.5</v>
      </c>
      <c r="E81">
        <v>20</v>
      </c>
      <c r="F81">
        <v>3.5</v>
      </c>
      <c r="G81">
        <v>12</v>
      </c>
      <c r="H81">
        <v>0</v>
      </c>
      <c r="I81">
        <v>0</v>
      </c>
      <c r="J81">
        <v>6</v>
      </c>
      <c r="K81">
        <v>6</v>
      </c>
      <c r="L81">
        <v>0.5</v>
      </c>
      <c r="M81" t="s">
        <v>8860</v>
      </c>
    </row>
    <row r="82" spans="1:13" x14ac:dyDescent="0.15">
      <c r="A82" t="s">
        <v>8896</v>
      </c>
      <c r="B82" t="s">
        <v>8847</v>
      </c>
      <c r="C82">
        <v>0</v>
      </c>
      <c r="D82">
        <v>0</v>
      </c>
      <c r="E82">
        <v>20</v>
      </c>
      <c r="F82">
        <v>0.5</v>
      </c>
      <c r="G82">
        <v>11</v>
      </c>
      <c r="H82">
        <v>0</v>
      </c>
      <c r="I82">
        <v>0</v>
      </c>
      <c r="J82">
        <v>8</v>
      </c>
      <c r="K82">
        <v>8</v>
      </c>
      <c r="L82">
        <v>2.5</v>
      </c>
      <c r="M82" t="s">
        <v>8860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 summary</vt:lpstr>
      <vt:lpstr>Hierarchy</vt:lpstr>
      <vt:lpstr>Parts</vt:lpstr>
      <vt:lpstr>Assemblies</vt:lpstr>
      <vt:lpstr>Equipments</vt:lpstr>
      <vt:lpstr>Processes</vt:lpstr>
      <vt:lpstr>Materials</vt:lpstr>
      <vt:lpstr>Components</vt:lpstr>
      <vt:lpstr>Electronic Components</vt:lpstr>
      <vt:lpstr>Consumables</vt:lpstr>
      <vt:lpstr>Metrics</vt:lpstr>
      <vt:lpstr>Exchange Rates</vt:lpstr>
      <vt:lpstr>Countries</vt:lpstr>
      <vt:lpstr>Calculation Scenarios</vt:lpstr>
      <vt:lpstr>Overhead Settings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Samson, Maurice</cp:lastModifiedBy>
  <dcterms:modified xsi:type="dcterms:W3CDTF">2026-08-07T11:22:08Z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SetDate">
    <vt:lpwstr>2026-08-07T11:22:06Z</vt:lpwstr>
  </property>
  <property fmtid="{D5CDD505-2E9C-101B-9397-08002B2CF9AE}" pid="3" name="MSIP_Label_b0d5c4f4-7a29-4385-b7a5-afbe2154ae6f_Method">
    <vt:lpwstr>Standard</vt:lpwstr>
  </property>
  <property fmtid="{D5CDD505-2E9C-101B-9397-08002B2CF9AE}" pid="4" name="MSIP_Label_b0d5c4f4-7a29-4385-b7a5-afbe2154ae6f_Name">
    <vt:lpwstr>Confidential</vt:lpwstr>
  </property>
  <property fmtid="{D5CDD505-2E9C-101B-9397-08002B2CF9AE}" pid="5" name="MSIP_Label_b0d5c4f4-7a29-4385-b7a5-afbe2154ae6f_SiteId">
    <vt:lpwstr>2dfb2f0b-4d21-4268-9559-72926144c918</vt:lpwstr>
  </property>
  <property fmtid="{D5CDD505-2E9C-101B-9397-08002B2CF9AE}" pid="6" name="MSIP_Label_b0d5c4f4-7a29-4385-b7a5-afbe2154ae6f_ActionId">
    <vt:lpwstr>f2b6a382-ed26-4b29-b61d-414d282c538e</vt:lpwstr>
  </property>
  <property fmtid="{D5CDD505-2E9C-101B-9397-08002B2CF9AE}" pid="7" name="MSIP_Label_b0d5c4f4-7a29-4385-b7a5-afbe2154ae6f_ContentBits">
    <vt:lpwstr>0</vt:lpwstr>
  </property>
  <property fmtid="{D5CDD505-2E9C-101B-9397-08002B2CF9AE}" pid="8" name="MSIP_Label_b0d5c4f4-7a29-4385-b7a5-afbe2154ae6f_Tag">
    <vt:lpwstr>50, 3, 0, 1</vt:lpwstr>
  </property>
  <property fmtid="{D5CDD505-2E9C-101B-9397-08002B2CF9AE}" pid="9" name="MSIP_Label_b0d5c4f4-7a29-4385-b7a5-afbe2154ae6f_Enabled">
    <vt:lpwstr>true</vt:lpwstr>
  </property>
</Properties>
</file>